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filterPrivacy="1" defaultThemeVersion="124226"/>
  <xr:revisionPtr revIDLastSave="0" documentId="13_ncr:1_{D494FA7E-C83C-463F-AF0D-BB2FC2657D3D}" xr6:coauthVersionLast="43" xr6:coauthVersionMax="43" xr10:uidLastSave="{00000000-0000-0000-0000-000000000000}"/>
  <bookViews>
    <workbookView xWindow="-120" yWindow="-120" windowWidth="29040" windowHeight="15840" firstSheet="21" activeTab="21" xr2:uid="{00000000-000D-0000-FFFF-FFFF00000000}"/>
  </bookViews>
  <sheets>
    <sheet name="3 pr-1" sheetId="1" state="hidden" r:id="rId1"/>
    <sheet name="IV-1 su proj" sheetId="10" state="hidden" r:id="rId2"/>
    <sheet name="3 pr-2" sheetId="2" state="hidden" r:id="rId3"/>
    <sheet name="IV-3" sheetId="11" state="hidden" r:id="rId4"/>
    <sheet name="3 pr-3" sheetId="20" state="hidden" r:id="rId5"/>
    <sheet name="3 pr-4" sheetId="22" state="hidden" r:id="rId6"/>
    <sheet name="3 pr-(5-6)" sheetId="19" state="hidden" r:id="rId7"/>
    <sheet name="3 pr-7" sheetId="12" state="hidden" r:id="rId8"/>
    <sheet name="Lapas1" sheetId="78" state="hidden" r:id="rId9"/>
    <sheet name="IV-2 amsa" sheetId="3" state="hidden" r:id="rId10"/>
    <sheet name="IV-2 arsa" sheetId="6" state="hidden" r:id="rId11"/>
    <sheet name="IV-2 dsa" sheetId="7" state="hidden" r:id="rId12"/>
    <sheet name="IV-2 lrsa" sheetId="8" state="hidden" r:id="rId13"/>
    <sheet name="IV-2 vrsa" sheetId="9" state="hidden" r:id="rId14"/>
    <sheet name="Lęšos priemonės" sheetId="13" state="hidden" r:id="rId15"/>
    <sheet name="4 pr-(1-2)" sheetId="33" state="hidden" r:id="rId16"/>
    <sheet name="4 pr-3" sheetId="34" state="hidden" r:id="rId17"/>
    <sheet name="4pr-(4-5)" sheetId="21" state="hidden" r:id="rId18"/>
    <sheet name="4 pr-6" sheetId="36" state="hidden" r:id="rId19"/>
    <sheet name="4 pr-7" sheetId="37" state="hidden" r:id="rId20"/>
    <sheet name="Veiklos" sheetId="39" state="hidden" r:id="rId21"/>
    <sheet name="ketv. 1" sheetId="29" r:id="rId22"/>
    <sheet name="ketv. 2" sheetId="23" r:id="rId23"/>
    <sheet name="PP pateikimas" sheetId="38" state="hidden" r:id="rId24"/>
    <sheet name="ketv. 3" sheetId="24" r:id="rId25"/>
    <sheet name="ketv. 4 " sheetId="25" r:id="rId26"/>
    <sheet name="ketv. 5 " sheetId="26" r:id="rId27"/>
    <sheet name="ketv. 6 " sheetId="27" r:id="rId28"/>
    <sheet name="ketv. 7 " sheetId="28" r:id="rId29"/>
    <sheet name="ketv. 8" sheetId="30" r:id="rId30"/>
    <sheet name="ketv. 9" sheetId="31" r:id="rId31"/>
    <sheet name="ketv. 10 " sheetId="32" r:id="rId32"/>
    <sheet name="stebesena 1" sheetId="76" state="hidden" r:id="rId33"/>
    <sheet name="ES lėšos" sheetId="40" state="hidden" r:id="rId34"/>
    <sheet name="Sąrašų palyginimas su RPP" sheetId="77" state="hidden" r:id="rId35"/>
    <sheet name="Sąrašų palyginimas su sutartimi" sheetId="74" state="hidden" r:id="rId36"/>
    <sheet name="KPP" sheetId="73" state="hidden" r:id="rId37"/>
    <sheet name="ŽŪM sutartys" sheetId="70" state="hidden" r:id="rId38"/>
    <sheet name="ES_P_projektai" sheetId="69" state="hidden" r:id="rId39"/>
    <sheet name="908" sheetId="68" state="hidden" r:id="rId40"/>
    <sheet name="920" sheetId="67" state="hidden" r:id="rId41"/>
    <sheet name="725" sheetId="66" state="hidden" r:id="rId42"/>
    <sheet name="724" sheetId="65" state="hidden" r:id="rId43"/>
    <sheet name="630" sheetId="63" state="hidden" r:id="rId44"/>
    <sheet name="705" sheetId="64" state="hidden" r:id="rId45"/>
    <sheet name="615" sheetId="62" state="hidden" r:id="rId46"/>
    <sheet name="609" sheetId="61" state="hidden" r:id="rId47"/>
    <sheet name="407" sheetId="60" state="hidden" r:id="rId48"/>
    <sheet name="408" sheetId="59" state="hidden" r:id="rId49"/>
    <sheet name="905" sheetId="58" state="hidden" r:id="rId50"/>
    <sheet name="305" sheetId="56" state="hidden" r:id="rId51"/>
    <sheet name="903" sheetId="57" state="hidden" r:id="rId52"/>
    <sheet name="511" sheetId="55" state="hidden" r:id="rId53"/>
    <sheet name="019" sheetId="54" state="hidden" r:id="rId54"/>
    <sheet name="821" sheetId="53" state="hidden" r:id="rId55"/>
    <sheet name="514" sheetId="46" state="hidden" r:id="rId56"/>
    <sheet name="516" sheetId="47" state="hidden" r:id="rId57"/>
    <sheet name="518" sheetId="48" state="hidden" r:id="rId58"/>
    <sheet name="007" sheetId="49" state="hidden" r:id="rId59"/>
    <sheet name="008" sheetId="50" state="hidden" r:id="rId60"/>
    <sheet name="014" sheetId="51" state="hidden" r:id="rId61"/>
    <sheet name="302" sheetId="52" state="hidden" r:id="rId62"/>
    <sheet name="SFMIS AR 2017" sheetId="41" state="hidden" r:id="rId63"/>
    <sheet name="mokėjimų ataskaita" sheetId="43" state="hidden" r:id="rId64"/>
    <sheet name="Projektu_sutarciu_ataskaita" sheetId="44" state="hidden" r:id="rId65"/>
    <sheet name="projektų ataskaita" sheetId="71" state="hidden" r:id="rId66"/>
    <sheet name="Paraiškos" sheetId="45" state="hidden" r:id="rId67"/>
  </sheets>
  <definedNames>
    <definedName name="_xlnm._FilterDatabase" localSheetId="2" hidden="1">'3 pr-2'!$A$5:$AK$183</definedName>
    <definedName name="_xlnm._FilterDatabase" localSheetId="4" hidden="1">'3 pr-3'!$A$6:$EM$182</definedName>
    <definedName name="_xlnm._FilterDatabase" localSheetId="33" hidden="1">'ES lėšos'!$A$1:$O$149</definedName>
    <definedName name="_xlnm._FilterDatabase" localSheetId="11" hidden="1">'IV-2 dsa'!$A$4:$V$78</definedName>
    <definedName name="_xlnm._FilterDatabase" localSheetId="12" hidden="1">'IV-2 lrsa'!$A$4:$W$22</definedName>
    <definedName name="_xlnm._FilterDatabase" localSheetId="3" hidden="1">'IV-3'!$A$1:$W$180</definedName>
    <definedName name="_xlnm._FilterDatabase" localSheetId="22" hidden="1">'ketv. 2'!$A$5:$AG$186</definedName>
    <definedName name="_xlnm._FilterDatabase" localSheetId="24" hidden="1">'ketv. 3'!$A$5:$U$182</definedName>
    <definedName name="_xlnm._FilterDatabase" localSheetId="25" hidden="1">'ketv. 4 '!$A$5:$AB$183</definedName>
    <definedName name="_xlnm._FilterDatabase" localSheetId="26" hidden="1">'ketv. 5 '!$A$5:$V$181</definedName>
    <definedName name="_xlnm._FilterDatabase" localSheetId="27" hidden="1">'ketv. 6 '!$A$5:$AJ$185</definedName>
    <definedName name="_xlnm._FilterDatabase" localSheetId="28" hidden="1">'ketv. 7 '!$A$4:$AQ$4</definedName>
    <definedName name="_xlnm._FilterDatabase" localSheetId="36" hidden="1">KPP!$A$6:$X$31</definedName>
    <definedName name="_xlnm._FilterDatabase" localSheetId="63" hidden="1">'mokėjimų ataskaita'!$A$12:$DH$460</definedName>
    <definedName name="_xlnm._FilterDatabase" localSheetId="66" hidden="1">Paraiškos!$A$11:$P$175</definedName>
    <definedName name="_xlnm._FilterDatabase" localSheetId="64" hidden="1">Projektu_sutarciu_ataskaita!$A$18:$DV$456</definedName>
    <definedName name="_xlnm._FilterDatabase" localSheetId="35" hidden="1">'Sąrašų palyginimas su sutartimi'!$A$1:$Y$140</definedName>
    <definedName name="_xlnm._FilterDatabase" localSheetId="62" hidden="1">'SFMIS AR 2017'!$D$1:$Z$139</definedName>
    <definedName name="_xlnm._FilterDatabase" localSheetId="37" hidden="1">'ŽŪM sutartys'!$B$2:$H$25</definedName>
    <definedName name="_GoBack" localSheetId="0">'3 pr-1'!#REF!</definedName>
    <definedName name="_xlnm.Print_Titles" localSheetId="6">'3 pr-(5-6)'!$2:$3</definedName>
    <definedName name="_xlnm.Print_Titles" localSheetId="0">'3 pr-1'!$10:$11</definedName>
    <definedName name="_xlnm.Print_Titles" localSheetId="2">'3 pr-2'!$3:$6</definedName>
    <definedName name="_xlnm.Print_Titles" localSheetId="4">'3 pr-3'!$4:$6</definedName>
    <definedName name="_xlnm.Print_Titles" localSheetId="5">'3 pr-4'!$2:$2</definedName>
    <definedName name="_xlnm.Print_Titles" localSheetId="7">'3 pr-7'!$2:$2</definedName>
    <definedName name="_xlnm.Print_Titles" localSheetId="17">'4pr-(4-5)'!$3:$3</definedName>
    <definedName name="_xlnm.Print_Titles" localSheetId="21">'ketv. 1'!$9:$11</definedName>
    <definedName name="_xlnm.Print_Titles" localSheetId="31">'ketv. 10 '!$1:$3</definedName>
    <definedName name="_xlnm.Print_Titles" localSheetId="22">'ketv. 2'!$1:$5</definedName>
    <definedName name="_xlnm.Print_Titles" localSheetId="24">'ketv. 3'!$1:$5</definedName>
    <definedName name="_xlnm.Print_Titles" localSheetId="25">'ketv. 4 '!$2:$5</definedName>
    <definedName name="_xlnm.Print_Titles" localSheetId="26">'ketv. 5 '!$1:$5</definedName>
    <definedName name="_xlnm.Print_Titles" localSheetId="27">'ketv. 6 '!$2:$5</definedName>
    <definedName name="_xlnm.Print_Titles" localSheetId="28">'ketv. 7 '!$1:$4</definedName>
    <definedName name="_xlnm.Print_Titles" localSheetId="29">'ketv. 8'!$1:$3</definedName>
    <definedName name="_xlnm.Print_Titles" localSheetId="30">'ketv. 9'!$1:$3</definedName>
    <definedName name="_xlnm.Print_Titles" localSheetId="62">'SFMIS AR 2017'!$1:$1</definedName>
  </definedNames>
  <calcPr calcId="181029"/>
  <fileRecoveryPr autoRecover="0"/>
</workbook>
</file>

<file path=xl/calcChain.xml><?xml version="1.0" encoding="utf-8"?>
<calcChain xmlns="http://schemas.openxmlformats.org/spreadsheetml/2006/main">
  <c r="Y182" i="25" l="1"/>
  <c r="Y181" i="25"/>
  <c r="Y180" i="25"/>
  <c r="Y179" i="25"/>
  <c r="Y178" i="25"/>
  <c r="Y177" i="25"/>
  <c r="Y176" i="25"/>
  <c r="Y175" i="25"/>
  <c r="Y174" i="25"/>
  <c r="Y171" i="25"/>
  <c r="Y167" i="25"/>
  <c r="Y166" i="25"/>
  <c r="Y165" i="25"/>
  <c r="Y164" i="25"/>
  <c r="Y163" i="25"/>
  <c r="Y162" i="25"/>
  <c r="Y159" i="25"/>
  <c r="Y158" i="25"/>
  <c r="Y157" i="25"/>
  <c r="Y156" i="25"/>
  <c r="Y155" i="25"/>
  <c r="Y153" i="25"/>
  <c r="Y152" i="25"/>
  <c r="Y151" i="25"/>
  <c r="Y150" i="25"/>
  <c r="Y149" i="25"/>
  <c r="Y146" i="25"/>
  <c r="Y145" i="25"/>
  <c r="Y144" i="25"/>
  <c r="Y143" i="25"/>
  <c r="Y142" i="25"/>
  <c r="Y140" i="25"/>
  <c r="Y139" i="25"/>
  <c r="Y138" i="25"/>
  <c r="Y137" i="25"/>
  <c r="Y136" i="25"/>
  <c r="Y134" i="25"/>
  <c r="Y133" i="25"/>
  <c r="Y132" i="25"/>
  <c r="Y131" i="25"/>
  <c r="Y130" i="25"/>
  <c r="Y129" i="25"/>
  <c r="Y128" i="25"/>
  <c r="Y127" i="25"/>
  <c r="Y126" i="25"/>
  <c r="Y125" i="25"/>
  <c r="Y124" i="25"/>
  <c r="Y123" i="25"/>
  <c r="Y122" i="25"/>
  <c r="Y119" i="25"/>
  <c r="Y118" i="25"/>
  <c r="Y117" i="25"/>
  <c r="Y116" i="25"/>
  <c r="Y115" i="25"/>
  <c r="Y113" i="25"/>
  <c r="Y112" i="25"/>
  <c r="Y111" i="25"/>
  <c r="Y110" i="25"/>
  <c r="Y109" i="25"/>
  <c r="Y107" i="25"/>
  <c r="Y106" i="25"/>
  <c r="Y105" i="25"/>
  <c r="Y104" i="25"/>
  <c r="Y103" i="25"/>
  <c r="Y99" i="25"/>
  <c r="Y98" i="25"/>
  <c r="Y97" i="25"/>
  <c r="Y96" i="25"/>
  <c r="Y95" i="25"/>
  <c r="Y94" i="25"/>
  <c r="Y93" i="25"/>
  <c r="Y91" i="25"/>
  <c r="Y90" i="25"/>
  <c r="Y89" i="25"/>
  <c r="Y88" i="25"/>
  <c r="Y87" i="25"/>
  <c r="Y85" i="25"/>
  <c r="Y84" i="25"/>
  <c r="Y83" i="25"/>
  <c r="Y82" i="25"/>
  <c r="Y81" i="25"/>
  <c r="Y80" i="25"/>
  <c r="Y78" i="25"/>
  <c r="Y77" i="25"/>
  <c r="Y76" i="25"/>
  <c r="Y75" i="25"/>
  <c r="Y72" i="25"/>
  <c r="Y71" i="25"/>
  <c r="Y70" i="25"/>
  <c r="Y69" i="25"/>
  <c r="Y68" i="25"/>
  <c r="Y66" i="25"/>
  <c r="Y65" i="25"/>
  <c r="Y64" i="25"/>
  <c r="Y63" i="25"/>
  <c r="Y61" i="25"/>
  <c r="Y60" i="25"/>
  <c r="Y59" i="25"/>
  <c r="Y57" i="25"/>
  <c r="Y55" i="25"/>
  <c r="Y54" i="25"/>
  <c r="Y53" i="25"/>
  <c r="Y52" i="25"/>
  <c r="Y51" i="25"/>
  <c r="Y47" i="25"/>
  <c r="Y48" i="25" s="1"/>
  <c r="Y49" i="25" s="1"/>
  <c r="Y45" i="25"/>
  <c r="Y44" i="25"/>
  <c r="Y43" i="25"/>
  <c r="Y42" i="25"/>
  <c r="Y41" i="25"/>
  <c r="Y40" i="25"/>
  <c r="Y38" i="25"/>
  <c r="Y37" i="25"/>
  <c r="Y36" i="25"/>
  <c r="Y35" i="25"/>
  <c r="Y34" i="25"/>
  <c r="Y32" i="25"/>
  <c r="Y31" i="25"/>
  <c r="Y30" i="25"/>
  <c r="Y29" i="25"/>
  <c r="Y28" i="25"/>
  <c r="Y27" i="25"/>
  <c r="Y26" i="25"/>
  <c r="Y25" i="25"/>
  <c r="Y24" i="25"/>
  <c r="Y23" i="25"/>
  <c r="Y22" i="25"/>
  <c r="Y21" i="25"/>
  <c r="Y20" i="25"/>
  <c r="Y19" i="25"/>
  <c r="Y18" i="25"/>
  <c r="Y17" i="25"/>
  <c r="Y16" i="25"/>
  <c r="Y15" i="25"/>
  <c r="Y14" i="25"/>
  <c r="Y13" i="25"/>
  <c r="Y12" i="25"/>
  <c r="Y11" i="25"/>
  <c r="Y10" i="25"/>
  <c r="T180" i="24"/>
  <c r="T179" i="24"/>
  <c r="T178" i="24"/>
  <c r="T177" i="24"/>
  <c r="T176" i="24"/>
  <c r="T175" i="24"/>
  <c r="T174" i="24"/>
  <c r="T173" i="24"/>
  <c r="T170" i="24"/>
  <c r="T166" i="24"/>
  <c r="T165" i="24"/>
  <c r="T164" i="24"/>
  <c r="T163" i="24"/>
  <c r="T162" i="24"/>
  <c r="T161" i="24"/>
  <c r="T158" i="24"/>
  <c r="T157" i="24"/>
  <c r="T156" i="24"/>
  <c r="T155" i="24"/>
  <c r="T154" i="24"/>
  <c r="T152" i="24"/>
  <c r="T151" i="24"/>
  <c r="T150" i="24"/>
  <c r="T149" i="24"/>
  <c r="T148" i="24"/>
  <c r="T145" i="24"/>
  <c r="T144" i="24"/>
  <c r="T143" i="24"/>
  <c r="T142" i="24"/>
  <c r="T141" i="24"/>
  <c r="T139" i="24"/>
  <c r="T138" i="24"/>
  <c r="T137" i="24"/>
  <c r="T136" i="24"/>
  <c r="T135" i="24"/>
  <c r="T133" i="24"/>
  <c r="T132" i="24"/>
  <c r="T131" i="24"/>
  <c r="T130" i="24"/>
  <c r="T129" i="24"/>
  <c r="T128" i="24"/>
  <c r="T127" i="24"/>
  <c r="T126" i="24"/>
  <c r="T125" i="24"/>
  <c r="T124" i="24"/>
  <c r="T123" i="24"/>
  <c r="T122" i="24"/>
  <c r="T121" i="24"/>
  <c r="T118" i="24"/>
  <c r="T117" i="24"/>
  <c r="T116" i="24"/>
  <c r="T115" i="24"/>
  <c r="T114" i="24"/>
  <c r="T112" i="24"/>
  <c r="T111" i="24"/>
  <c r="T110" i="24"/>
  <c r="T109" i="24"/>
  <c r="T108" i="24"/>
  <c r="T106" i="24"/>
  <c r="T105" i="24"/>
  <c r="T104" i="24"/>
  <c r="T103" i="24"/>
  <c r="T102" i="24"/>
  <c r="T98" i="24"/>
  <c r="T97" i="24"/>
  <c r="T96" i="24"/>
  <c r="T95" i="24"/>
  <c r="T94" i="24"/>
  <c r="T93" i="24"/>
  <c r="T90" i="24"/>
  <c r="T89" i="24"/>
  <c r="T88" i="24"/>
  <c r="T87" i="24"/>
  <c r="T86" i="24"/>
  <c r="T84" i="24"/>
  <c r="T83" i="24"/>
  <c r="T82" i="24"/>
  <c r="T81" i="24"/>
  <c r="T80" i="24"/>
  <c r="T79" i="24"/>
  <c r="T77" i="24"/>
  <c r="T76" i="24"/>
  <c r="T75" i="24"/>
  <c r="T74" i="24"/>
  <c r="T71" i="24"/>
  <c r="T70" i="24"/>
  <c r="T69" i="24"/>
  <c r="T68" i="24"/>
  <c r="T67" i="24"/>
  <c r="T65" i="24"/>
  <c r="T64" i="24"/>
  <c r="T63" i="24"/>
  <c r="T62" i="24"/>
  <c r="T60" i="24"/>
  <c r="T59" i="24"/>
  <c r="T58" i="24"/>
  <c r="T56" i="24"/>
  <c r="T54" i="24"/>
  <c r="T53" i="24"/>
  <c r="T52" i="24"/>
  <c r="T51" i="24"/>
  <c r="T50" i="24"/>
  <c r="T48" i="24"/>
  <c r="T47" i="24"/>
  <c r="T46" i="24"/>
  <c r="T44" i="24"/>
  <c r="T43" i="24"/>
  <c r="T42" i="24"/>
  <c r="T41" i="24"/>
  <c r="T40" i="24"/>
  <c r="T39" i="24"/>
  <c r="T31" i="24"/>
  <c r="T30" i="24"/>
  <c r="T29" i="24"/>
  <c r="T28" i="24"/>
  <c r="T27" i="24"/>
  <c r="T26" i="24"/>
  <c r="T25" i="24"/>
  <c r="T24" i="24"/>
  <c r="T23" i="24"/>
  <c r="T22" i="24"/>
  <c r="T21" i="24"/>
  <c r="T20" i="24"/>
  <c r="T19" i="24"/>
  <c r="T18" i="24"/>
  <c r="T17" i="24"/>
  <c r="T16" i="24"/>
  <c r="T15" i="24"/>
  <c r="T14" i="24"/>
  <c r="T13" i="24"/>
  <c r="T12" i="24"/>
  <c r="T11" i="24"/>
  <c r="T10" i="24"/>
  <c r="T9" i="24"/>
  <c r="T36" i="24"/>
  <c r="T35" i="24"/>
  <c r="T34" i="24"/>
  <c r="T33" i="24"/>
  <c r="T37" i="24"/>
  <c r="V181" i="26"/>
  <c r="V180" i="26"/>
  <c r="V179" i="26"/>
  <c r="V178" i="26"/>
  <c r="V177" i="26"/>
  <c r="V176" i="26"/>
  <c r="V175" i="26"/>
  <c r="V174" i="26"/>
  <c r="V173" i="26"/>
  <c r="V170" i="26"/>
  <c r="V166" i="26"/>
  <c r="V165" i="26"/>
  <c r="V164" i="26"/>
  <c r="V163" i="26"/>
  <c r="V162" i="26"/>
  <c r="V161" i="26"/>
  <c r="V158" i="26"/>
  <c r="V157" i="26"/>
  <c r="V156" i="26"/>
  <c r="V154" i="26"/>
  <c r="V152" i="26"/>
  <c r="V151" i="26"/>
  <c r="V150" i="26"/>
  <c r="V149" i="26"/>
  <c r="V148" i="26"/>
  <c r="V145" i="26"/>
  <c r="V144" i="26"/>
  <c r="V143" i="26"/>
  <c r="V142" i="26"/>
  <c r="V141" i="26"/>
  <c r="V139" i="26"/>
  <c r="V138" i="26"/>
  <c r="V137" i="26"/>
  <c r="V136" i="26"/>
  <c r="V135" i="26"/>
  <c r="V133" i="26"/>
  <c r="V132" i="26"/>
  <c r="V131" i="26"/>
  <c r="V130" i="26"/>
  <c r="V129" i="26"/>
  <c r="V128" i="26"/>
  <c r="V127" i="26"/>
  <c r="V126" i="26"/>
  <c r="V125" i="26"/>
  <c r="V124" i="26"/>
  <c r="V123" i="26"/>
  <c r="V122" i="26"/>
  <c r="V121" i="26"/>
  <c r="V118" i="26"/>
  <c r="V117" i="26"/>
  <c r="V116" i="26"/>
  <c r="V115" i="26"/>
  <c r="V114" i="26"/>
  <c r="V112" i="26"/>
  <c r="V111" i="26"/>
  <c r="V110" i="26"/>
  <c r="V109" i="26"/>
  <c r="V108" i="26"/>
  <c r="V106" i="26"/>
  <c r="V105" i="26"/>
  <c r="V104" i="26"/>
  <c r="V103" i="26"/>
  <c r="V102" i="26"/>
  <c r="V98" i="26"/>
  <c r="V97" i="26"/>
  <c r="V96" i="26"/>
  <c r="V95" i="26"/>
  <c r="V94" i="26"/>
  <c r="V93" i="26"/>
  <c r="V92" i="26"/>
  <c r="V90" i="26"/>
  <c r="V89" i="26"/>
  <c r="V88" i="26"/>
  <c r="V87" i="26"/>
  <c r="V86" i="26"/>
  <c r="V84" i="26"/>
  <c r="V83" i="26"/>
  <c r="V82" i="26"/>
  <c r="V81" i="26"/>
  <c r="V79" i="26"/>
  <c r="V77" i="26"/>
  <c r="V76" i="26"/>
  <c r="V75" i="26"/>
  <c r="V74" i="26"/>
  <c r="V71" i="26"/>
  <c r="V70" i="26"/>
  <c r="V69" i="26"/>
  <c r="V68" i="26"/>
  <c r="V67" i="26"/>
  <c r="V65" i="26"/>
  <c r="V64" i="26"/>
  <c r="V63" i="26"/>
  <c r="V62" i="26"/>
  <c r="V60" i="26"/>
  <c r="V59" i="26"/>
  <c r="V58" i="26"/>
  <c r="V56" i="26"/>
  <c r="V54" i="26"/>
  <c r="V53" i="26"/>
  <c r="V52" i="26"/>
  <c r="V51" i="26"/>
  <c r="V50" i="26"/>
  <c r="V48" i="26"/>
  <c r="V47" i="26"/>
  <c r="V46" i="26"/>
  <c r="V44" i="26"/>
  <c r="V43" i="26"/>
  <c r="V42" i="26"/>
  <c r="V41" i="26"/>
  <c r="V40" i="26"/>
  <c r="V39" i="26"/>
  <c r="V37" i="26"/>
  <c r="V36" i="26"/>
  <c r="V35" i="26"/>
  <c r="V34" i="26"/>
  <c r="V33" i="26"/>
  <c r="V31" i="26"/>
  <c r="V30" i="26"/>
  <c r="V29" i="26"/>
  <c r="V28" i="26"/>
  <c r="V27" i="26"/>
  <c r="V26" i="26"/>
  <c r="V25" i="26"/>
  <c r="V24" i="26"/>
  <c r="V23" i="26"/>
  <c r="V22" i="26"/>
  <c r="V21" i="26"/>
  <c r="V20" i="26"/>
  <c r="V19" i="26"/>
  <c r="V18" i="26"/>
  <c r="V17" i="26"/>
  <c r="V16" i="26"/>
  <c r="V15" i="26"/>
  <c r="V14" i="26"/>
  <c r="V13" i="26"/>
  <c r="V12" i="26"/>
  <c r="V11" i="26"/>
  <c r="V10" i="26"/>
  <c r="V9" i="26"/>
  <c r="T10" i="26"/>
  <c r="T11" i="26"/>
  <c r="T12" i="26"/>
  <c r="T13" i="26"/>
  <c r="T14" i="26"/>
  <c r="T15" i="26"/>
  <c r="T16" i="26"/>
  <c r="T17" i="26"/>
  <c r="T18" i="26"/>
  <c r="T19" i="26"/>
  <c r="T20" i="26"/>
  <c r="T21" i="26"/>
  <c r="T22" i="26"/>
  <c r="T23" i="26"/>
  <c r="T24" i="26"/>
  <c r="T25" i="26"/>
  <c r="T26" i="26"/>
  <c r="T27" i="26"/>
  <c r="T28" i="26"/>
  <c r="T29" i="26"/>
  <c r="T30" i="26"/>
  <c r="T31" i="26"/>
  <c r="T33" i="26"/>
  <c r="T34" i="26"/>
  <c r="T35" i="26"/>
  <c r="T36" i="26"/>
  <c r="T37" i="26"/>
  <c r="AF165" i="27" l="1"/>
  <c r="AF164" i="27"/>
  <c r="AF163" i="27"/>
  <c r="AF162" i="27"/>
  <c r="AF161" i="27"/>
  <c r="Z103" i="25" l="1"/>
  <c r="N26" i="68" l="1"/>
  <c r="J26" i="68"/>
  <c r="I26" i="68"/>
  <c r="G26" i="68"/>
  <c r="G25" i="68"/>
  <c r="G24" i="68"/>
  <c r="G23" i="68"/>
  <c r="G22" i="68"/>
  <c r="G21" i="68"/>
  <c r="N26" i="52"/>
  <c r="I26" i="52"/>
  <c r="G26" i="52"/>
  <c r="AR127" i="20" l="1"/>
  <c r="X127" i="20"/>
  <c r="AR133" i="20"/>
  <c r="X133" i="20"/>
  <c r="AR132" i="20"/>
  <c r="X130" i="20"/>
  <c r="X132" i="20"/>
  <c r="AR126" i="20"/>
  <c r="X126" i="20"/>
  <c r="AR131" i="20"/>
  <c r="X131" i="20"/>
  <c r="AR128" i="20"/>
  <c r="X128" i="20"/>
  <c r="AR129" i="20"/>
  <c r="X129" i="20"/>
  <c r="X125" i="20"/>
  <c r="X124" i="20"/>
  <c r="X123" i="20"/>
  <c r="X122" i="20"/>
  <c r="AR122" i="20"/>
  <c r="AR123" i="20"/>
  <c r="AR124" i="20"/>
  <c r="C134" i="20"/>
  <c r="C133" i="20"/>
  <c r="C132" i="20"/>
  <c r="C131" i="20"/>
  <c r="C130" i="20"/>
  <c r="C99" i="20"/>
  <c r="C95" i="20"/>
  <c r="U49" i="20"/>
  <c r="U48" i="20"/>
  <c r="Y48" i="20"/>
  <c r="Z48" i="20"/>
  <c r="AA48" i="20"/>
  <c r="AB48" i="20"/>
  <c r="Y49" i="20"/>
  <c r="Z49" i="20"/>
  <c r="AA49" i="20"/>
  <c r="AB49" i="20"/>
  <c r="U47" i="20"/>
  <c r="X45" i="20"/>
  <c r="X44" i="20"/>
  <c r="C45" i="20"/>
  <c r="AL146" i="28"/>
  <c r="N171" i="28"/>
  <c r="M171" i="28"/>
  <c r="N170" i="28"/>
  <c r="M170" i="28"/>
  <c r="N168" i="28"/>
  <c r="M168" i="28"/>
  <c r="N167" i="28"/>
  <c r="N166" i="28" s="1"/>
  <c r="M167" i="28"/>
  <c r="M166" i="28" s="1"/>
  <c r="N159" i="28"/>
  <c r="N158" i="28" s="1"/>
  <c r="M159" i="28"/>
  <c r="M158" i="28" s="1"/>
  <c r="N152" i="28"/>
  <c r="M152" i="28"/>
  <c r="N146" i="28"/>
  <c r="M146" i="28"/>
  <c r="N145" i="28"/>
  <c r="M145" i="28"/>
  <c r="N139" i="28"/>
  <c r="M139" i="28"/>
  <c r="N133" i="28"/>
  <c r="M133" i="28"/>
  <c r="N119" i="28"/>
  <c r="M119" i="28"/>
  <c r="N118" i="28"/>
  <c r="M118" i="28"/>
  <c r="N112" i="28"/>
  <c r="N99" i="28" s="1"/>
  <c r="N98" i="28" s="1"/>
  <c r="M112" i="28"/>
  <c r="N106" i="28"/>
  <c r="M106" i="28"/>
  <c r="N100" i="28"/>
  <c r="M100" i="28"/>
  <c r="M99" i="28"/>
  <c r="M98" i="28" s="1"/>
  <c r="N90" i="28"/>
  <c r="M90" i="28"/>
  <c r="N84" i="28"/>
  <c r="M84" i="28"/>
  <c r="M77" i="28"/>
  <c r="N72" i="28"/>
  <c r="M72" i="28"/>
  <c r="M71" i="28" s="1"/>
  <c r="N65" i="28"/>
  <c r="M65" i="28"/>
  <c r="N60" i="28"/>
  <c r="M60" i="28"/>
  <c r="N56" i="28"/>
  <c r="M56" i="28"/>
  <c r="N54" i="28"/>
  <c r="M54" i="28"/>
  <c r="N48" i="28"/>
  <c r="M48" i="28"/>
  <c r="N44" i="28"/>
  <c r="M44" i="28"/>
  <c r="N37" i="28"/>
  <c r="M37" i="28"/>
  <c r="N31" i="28"/>
  <c r="M31" i="28"/>
  <c r="N7" i="28"/>
  <c r="N6" i="28" s="1"/>
  <c r="M7" i="28"/>
  <c r="M6" i="28" s="1"/>
  <c r="M5" i="28" s="1"/>
  <c r="O30" i="28"/>
  <c r="O29" i="28"/>
  <c r="O28" i="28"/>
  <c r="O27" i="28"/>
  <c r="O26" i="28"/>
  <c r="O25" i="28"/>
  <c r="O24" i="28"/>
  <c r="O23" i="28"/>
  <c r="O22" i="28"/>
  <c r="O21" i="28"/>
  <c r="O20" i="28"/>
  <c r="O19" i="28"/>
  <c r="O18" i="28"/>
  <c r="O17" i="28"/>
  <c r="O16" i="28"/>
  <c r="O15" i="28"/>
  <c r="O14" i="28"/>
  <c r="O13" i="28"/>
  <c r="O12" i="28"/>
  <c r="O11" i="28"/>
  <c r="O10" i="28"/>
  <c r="O9" i="28"/>
  <c r="O8" i="28"/>
  <c r="O7" i="28" s="1"/>
  <c r="L87" i="2" l="1"/>
  <c r="CS86" i="10" l="1"/>
  <c r="CR86" i="10"/>
  <c r="CQ86" i="10"/>
  <c r="CT86" i="10" l="1"/>
  <c r="A140" i="77" l="1"/>
  <c r="A139" i="77"/>
  <c r="A138" i="77"/>
  <c r="A137" i="77"/>
  <c r="A136" i="77"/>
  <c r="A135" i="77"/>
  <c r="A134" i="77"/>
  <c r="A133" i="77"/>
  <c r="A132" i="77"/>
  <c r="A131" i="77"/>
  <c r="A130" i="77"/>
  <c r="A129" i="77"/>
  <c r="A128" i="77"/>
  <c r="A127" i="77"/>
  <c r="A126" i="77"/>
  <c r="A125" i="77"/>
  <c r="A124" i="77"/>
  <c r="A123" i="77"/>
  <c r="A122" i="77"/>
  <c r="A121" i="77"/>
  <c r="A120" i="77"/>
  <c r="A119" i="77"/>
  <c r="A118" i="77"/>
  <c r="A117" i="77"/>
  <c r="A116" i="77"/>
  <c r="A115" i="77"/>
  <c r="A114" i="77"/>
  <c r="A113" i="77"/>
  <c r="A112" i="77"/>
  <c r="A111" i="77"/>
  <c r="A110" i="77"/>
  <c r="A109" i="77"/>
  <c r="A108" i="77"/>
  <c r="A107" i="77"/>
  <c r="A106" i="77"/>
  <c r="A105" i="77"/>
  <c r="A104" i="77"/>
  <c r="A103" i="77"/>
  <c r="A102" i="77"/>
  <c r="A101" i="77"/>
  <c r="A100" i="77"/>
  <c r="A99" i="77"/>
  <c r="A98" i="77"/>
  <c r="A97" i="77"/>
  <c r="A96" i="77"/>
  <c r="A95" i="77"/>
  <c r="A94" i="77"/>
  <c r="A93" i="77"/>
  <c r="A92" i="77"/>
  <c r="A91" i="77"/>
  <c r="A90" i="77"/>
  <c r="A89" i="77"/>
  <c r="A88" i="77"/>
  <c r="A87" i="77"/>
  <c r="A86" i="77"/>
  <c r="A85" i="77"/>
  <c r="A84" i="77"/>
  <c r="A83" i="77"/>
  <c r="A82" i="77"/>
  <c r="A81" i="77"/>
  <c r="A80" i="77"/>
  <c r="A79" i="77"/>
  <c r="A78" i="77"/>
  <c r="A77" i="77"/>
  <c r="A76" i="77"/>
  <c r="A75" i="77"/>
  <c r="A74" i="77"/>
  <c r="A73" i="77"/>
  <c r="A72" i="77"/>
  <c r="A71" i="77"/>
  <c r="A70" i="77"/>
  <c r="A69" i="77"/>
  <c r="A68" i="77"/>
  <c r="A67" i="77"/>
  <c r="A66" i="77"/>
  <c r="A65" i="77"/>
  <c r="A64" i="77"/>
  <c r="A63" i="77"/>
  <c r="A62" i="77"/>
  <c r="A61" i="77"/>
  <c r="A60" i="77"/>
  <c r="A59" i="77"/>
  <c r="A58" i="77"/>
  <c r="A57" i="77"/>
  <c r="A56" i="77"/>
  <c r="A55" i="77"/>
  <c r="A54" i="77"/>
  <c r="A53" i="77"/>
  <c r="A52" i="77"/>
  <c r="A51" i="77"/>
  <c r="A50" i="77"/>
  <c r="A49" i="77"/>
  <c r="A48" i="77"/>
  <c r="A47" i="77"/>
  <c r="A46" i="77"/>
  <c r="A45" i="77"/>
  <c r="A44" i="77"/>
  <c r="A43" i="77"/>
  <c r="A42" i="77"/>
  <c r="A41" i="77"/>
  <c r="A40" i="77"/>
  <c r="A39" i="77"/>
  <c r="A38" i="77"/>
  <c r="A37" i="77"/>
  <c r="A36" i="77"/>
  <c r="A35" i="77"/>
  <c r="A34" i="77"/>
  <c r="A33" i="77"/>
  <c r="A32" i="77"/>
  <c r="A31" i="77"/>
  <c r="A30" i="77"/>
  <c r="A29" i="77"/>
  <c r="A28" i="77"/>
  <c r="A27" i="77"/>
  <c r="A26" i="77"/>
  <c r="A25" i="77"/>
  <c r="A24" i="77"/>
  <c r="A23" i="77"/>
  <c r="A22" i="77"/>
  <c r="A21" i="77"/>
  <c r="A20" i="77"/>
  <c r="A19" i="77"/>
  <c r="A18" i="77"/>
  <c r="A17" i="77"/>
  <c r="A16" i="77"/>
  <c r="A15" i="77"/>
  <c r="A14" i="77"/>
  <c r="A13" i="77"/>
  <c r="A12" i="77"/>
  <c r="A11" i="77"/>
  <c r="A10" i="77"/>
  <c r="A9" i="77"/>
  <c r="A8" i="77"/>
  <c r="A7" i="77"/>
  <c r="A6" i="77"/>
  <c r="A5" i="77"/>
  <c r="A4" i="77"/>
  <c r="AH40" i="2" l="1"/>
  <c r="N26" i="59" l="1"/>
  <c r="G26" i="59"/>
  <c r="L26" i="63"/>
  <c r="H26" i="63"/>
  <c r="G26" i="63"/>
  <c r="E25" i="63"/>
  <c r="E24" i="63"/>
  <c r="E23" i="63"/>
  <c r="E22" i="63"/>
  <c r="E21" i="63"/>
  <c r="J34" i="61"/>
  <c r="I34" i="61"/>
  <c r="G33" i="61"/>
  <c r="G32" i="61"/>
  <c r="G31" i="61"/>
  <c r="G30" i="61"/>
  <c r="G29" i="61"/>
  <c r="G28" i="61"/>
  <c r="G27" i="61"/>
  <c r="G26" i="61"/>
  <c r="G25" i="61"/>
  <c r="G24" i="61"/>
  <c r="G23" i="61"/>
  <c r="G22" i="61"/>
  <c r="G21" i="61"/>
  <c r="L26" i="47"/>
  <c r="K26" i="47"/>
  <c r="H26" i="47"/>
  <c r="G26" i="47"/>
  <c r="E25" i="47"/>
  <c r="E24" i="47"/>
  <c r="E23" i="47"/>
  <c r="E22" i="47"/>
  <c r="E21" i="47"/>
  <c r="E26" i="47" l="1"/>
  <c r="G34" i="61"/>
  <c r="E26" i="63"/>
  <c r="E51" i="32"/>
  <c r="E50" i="32"/>
  <c r="E49" i="32"/>
  <c r="E48" i="32"/>
  <c r="E47" i="32"/>
  <c r="E46" i="32"/>
  <c r="E45" i="32"/>
  <c r="E44" i="32"/>
  <c r="E43" i="32"/>
  <c r="E42" i="32"/>
  <c r="E41" i="32"/>
  <c r="E40" i="32"/>
  <c r="E39" i="32"/>
  <c r="E38" i="32"/>
  <c r="E37" i="32"/>
  <c r="E36" i="32"/>
  <c r="E35" i="32"/>
  <c r="E34" i="32"/>
  <c r="E33" i="32"/>
  <c r="E32" i="32"/>
  <c r="E31" i="32"/>
  <c r="E30" i="32"/>
  <c r="E29" i="32"/>
  <c r="E28" i="32"/>
  <c r="E27" i="32"/>
  <c r="E26" i="32"/>
  <c r="E25" i="32"/>
  <c r="E24" i="32"/>
  <c r="E23" i="32"/>
  <c r="E22" i="32"/>
  <c r="E21" i="32"/>
  <c r="E20" i="32"/>
  <c r="E19" i="32"/>
  <c r="E18" i="32"/>
  <c r="E17" i="32"/>
  <c r="E16" i="32"/>
  <c r="E15" i="32"/>
  <c r="E14" i="32"/>
  <c r="E13" i="32"/>
  <c r="E12" i="32"/>
  <c r="E11" i="32"/>
  <c r="E10" i="32"/>
  <c r="E9" i="32"/>
  <c r="E8" i="32"/>
  <c r="E7" i="32"/>
  <c r="E6" i="32"/>
  <c r="E5" i="32"/>
  <c r="E4" i="32"/>
  <c r="G51" i="32"/>
  <c r="G50" i="32"/>
  <c r="G49" i="32"/>
  <c r="G48" i="32"/>
  <c r="G47" i="32"/>
  <c r="G46" i="32"/>
  <c r="G45" i="32"/>
  <c r="G44" i="32"/>
  <c r="G43" i="32"/>
  <c r="G42" i="32"/>
  <c r="G41" i="32"/>
  <c r="G40" i="32"/>
  <c r="G39" i="32"/>
  <c r="G38" i="32"/>
  <c r="G37" i="32"/>
  <c r="G36" i="32"/>
  <c r="G35" i="32"/>
  <c r="G34" i="32"/>
  <c r="G33" i="32"/>
  <c r="G32" i="32"/>
  <c r="G31" i="32"/>
  <c r="G30" i="32"/>
  <c r="G29" i="32"/>
  <c r="G28" i="32"/>
  <c r="G27" i="32"/>
  <c r="G26" i="32"/>
  <c r="G25" i="32"/>
  <c r="G24" i="32"/>
  <c r="G23" i="32"/>
  <c r="G22" i="32"/>
  <c r="G21" i="32"/>
  <c r="G20" i="32"/>
  <c r="G19" i="32"/>
  <c r="G18" i="32"/>
  <c r="G17" i="32"/>
  <c r="G16" i="32"/>
  <c r="G15" i="32"/>
  <c r="G14" i="32"/>
  <c r="G13" i="32"/>
  <c r="G12" i="32"/>
  <c r="G11" i="32"/>
  <c r="G10" i="32"/>
  <c r="G9" i="32"/>
  <c r="G8" i="32"/>
  <c r="G7" i="32"/>
  <c r="G6" i="32"/>
  <c r="G5" i="32"/>
  <c r="G4" i="32"/>
  <c r="C134" i="2" l="1"/>
  <c r="C133" i="2"/>
  <c r="C132" i="2"/>
  <c r="C131" i="2"/>
  <c r="C130" i="2"/>
  <c r="C129" i="2"/>
  <c r="C128" i="2"/>
  <c r="C127" i="2"/>
  <c r="C126" i="2"/>
  <c r="C125" i="2"/>
  <c r="C124" i="2"/>
  <c r="C123" i="2"/>
  <c r="C122" i="2"/>
  <c r="AR130" i="20" l="1"/>
  <c r="AR125" i="20"/>
  <c r="R32" i="2" l="1"/>
  <c r="N25" i="77" s="1"/>
  <c r="F4" i="70" l="1"/>
  <c r="S32" i="26" l="1"/>
  <c r="S38" i="26"/>
  <c r="S45" i="26"/>
  <c r="S49" i="26"/>
  <c r="S55" i="26"/>
  <c r="S57" i="26"/>
  <c r="S61" i="26"/>
  <c r="S66" i="26"/>
  <c r="S72" i="26"/>
  <c r="S73" i="26"/>
  <c r="S78" i="26"/>
  <c r="S85" i="26"/>
  <c r="S91" i="26"/>
  <c r="S99" i="26"/>
  <c r="S100" i="26"/>
  <c r="S101" i="26"/>
  <c r="S107" i="26"/>
  <c r="S113" i="26"/>
  <c r="S119" i="26"/>
  <c r="S120" i="26"/>
  <c r="S134" i="26"/>
  <c r="S140" i="26"/>
  <c r="S146" i="26"/>
  <c r="S147" i="26"/>
  <c r="S153" i="26"/>
  <c r="S159" i="26"/>
  <c r="S160" i="26"/>
  <c r="S167" i="26"/>
  <c r="S168" i="26"/>
  <c r="S169" i="26"/>
  <c r="S171" i="26"/>
  <c r="S172" i="26"/>
  <c r="K5" i="76" l="1"/>
  <c r="F85" i="29"/>
  <c r="A140" i="74" l="1"/>
  <c r="A139" i="74"/>
  <c r="A138" i="74"/>
  <c r="A137" i="74"/>
  <c r="A136" i="74"/>
  <c r="A135" i="74"/>
  <c r="A134" i="74"/>
  <c r="A133" i="74"/>
  <c r="A132" i="74"/>
  <c r="A131" i="74"/>
  <c r="A130" i="74"/>
  <c r="A129" i="74"/>
  <c r="A128" i="74"/>
  <c r="A127" i="74"/>
  <c r="A126" i="74"/>
  <c r="A125" i="74"/>
  <c r="A124" i="74"/>
  <c r="A123" i="74"/>
  <c r="A122" i="74"/>
  <c r="A121" i="74"/>
  <c r="A120" i="74"/>
  <c r="A119" i="74"/>
  <c r="A118" i="74"/>
  <c r="A117" i="74"/>
  <c r="A116" i="74"/>
  <c r="A115" i="74"/>
  <c r="A114" i="74"/>
  <c r="A113" i="74"/>
  <c r="A112" i="74"/>
  <c r="A111" i="74"/>
  <c r="A110" i="74"/>
  <c r="A109" i="74"/>
  <c r="A108" i="74"/>
  <c r="A107" i="74"/>
  <c r="A106" i="74"/>
  <c r="A105" i="74"/>
  <c r="A104" i="74"/>
  <c r="A103" i="74"/>
  <c r="A102" i="74"/>
  <c r="A101" i="74"/>
  <c r="A100" i="74"/>
  <c r="A99" i="74"/>
  <c r="A98" i="74"/>
  <c r="A97" i="74"/>
  <c r="A96" i="74"/>
  <c r="A95" i="74"/>
  <c r="A94" i="74"/>
  <c r="A93" i="74"/>
  <c r="A92" i="74"/>
  <c r="A91" i="74"/>
  <c r="A90" i="74"/>
  <c r="A89" i="74"/>
  <c r="A88" i="74"/>
  <c r="A87" i="74"/>
  <c r="A86" i="74"/>
  <c r="A85" i="74"/>
  <c r="A84" i="74"/>
  <c r="A83" i="74"/>
  <c r="A82" i="74"/>
  <c r="A81" i="74"/>
  <c r="A80" i="74"/>
  <c r="A79" i="74"/>
  <c r="A78" i="74"/>
  <c r="A77" i="74"/>
  <c r="A76" i="74"/>
  <c r="A75" i="74"/>
  <c r="A74" i="74"/>
  <c r="A73" i="74"/>
  <c r="A72" i="74"/>
  <c r="A71" i="74"/>
  <c r="A70" i="74"/>
  <c r="A69" i="74"/>
  <c r="A68" i="74"/>
  <c r="A67" i="74"/>
  <c r="A66" i="74"/>
  <c r="A65" i="74"/>
  <c r="A64" i="74"/>
  <c r="A63" i="74"/>
  <c r="A62" i="74"/>
  <c r="A61" i="74"/>
  <c r="A60" i="74"/>
  <c r="A59" i="74"/>
  <c r="A58" i="74"/>
  <c r="A57" i="74"/>
  <c r="A56" i="74"/>
  <c r="A55" i="74"/>
  <c r="A54" i="74"/>
  <c r="A53" i="74"/>
  <c r="A52" i="74"/>
  <c r="A51" i="74"/>
  <c r="A50" i="74"/>
  <c r="A49" i="74"/>
  <c r="A48" i="74"/>
  <c r="A47" i="74"/>
  <c r="A46" i="74"/>
  <c r="A45" i="74"/>
  <c r="A44" i="74"/>
  <c r="A43" i="74"/>
  <c r="A42" i="74"/>
  <c r="A41" i="74"/>
  <c r="A40" i="74"/>
  <c r="A39" i="74"/>
  <c r="A38" i="74"/>
  <c r="A37" i="74"/>
  <c r="A36" i="74"/>
  <c r="A35" i="74"/>
  <c r="A34" i="74"/>
  <c r="A33" i="74"/>
  <c r="A32" i="74"/>
  <c r="A31" i="74"/>
  <c r="A30" i="74"/>
  <c r="A29" i="74"/>
  <c r="A28" i="74"/>
  <c r="A27" i="74"/>
  <c r="A26" i="74"/>
  <c r="A25" i="74"/>
  <c r="A24" i="74"/>
  <c r="A23" i="74"/>
  <c r="A22" i="74"/>
  <c r="A21" i="74"/>
  <c r="A20" i="74"/>
  <c r="A19" i="74"/>
  <c r="A18" i="74"/>
  <c r="A17" i="74"/>
  <c r="A16" i="74"/>
  <c r="A15" i="74"/>
  <c r="A14" i="74"/>
  <c r="A13" i="74"/>
  <c r="A12" i="74"/>
  <c r="A11" i="74"/>
  <c r="A10" i="74"/>
  <c r="A9" i="74"/>
  <c r="A8" i="74"/>
  <c r="A7" i="74"/>
  <c r="A6" i="74"/>
  <c r="A5" i="74"/>
  <c r="A4" i="74"/>
  <c r="E3" i="70" l="1"/>
  <c r="H3" i="70" s="1"/>
  <c r="P21" i="73" s="1"/>
  <c r="P29" i="73"/>
  <c r="O32" i="2" s="1"/>
  <c r="P28" i="73"/>
  <c r="P25" i="73"/>
  <c r="P23" i="73"/>
  <c r="P22" i="73"/>
  <c r="K21" i="73"/>
  <c r="J21" i="73"/>
  <c r="P20" i="73"/>
  <c r="P19" i="73"/>
  <c r="P18" i="73"/>
  <c r="P16" i="73"/>
  <c r="P14" i="73"/>
  <c r="P13" i="73"/>
  <c r="P12" i="73"/>
  <c r="P11" i="73"/>
  <c r="P9" i="73"/>
  <c r="P8" i="73"/>
  <c r="P7" i="73"/>
  <c r="Q25" i="77" l="1"/>
  <c r="M12" i="9"/>
  <c r="E27" i="70"/>
  <c r="N21" i="73"/>
  <c r="H21" i="73"/>
  <c r="H16" i="40"/>
  <c r="A8" i="73"/>
  <c r="A9" i="73" s="1"/>
  <c r="A10" i="73" s="1"/>
  <c r="A11" i="73" s="1"/>
  <c r="A12" i="73" s="1"/>
  <c r="A13" i="73" s="1"/>
  <c r="A14" i="73" s="1"/>
  <c r="A15" i="73" s="1"/>
  <c r="A16" i="73" s="1"/>
  <c r="A17" i="73" s="1"/>
  <c r="A18" i="73" s="1"/>
  <c r="A19" i="73" s="1"/>
  <c r="A20" i="73" s="1"/>
  <c r="A21" i="73" s="1"/>
  <c r="A22" i="73" s="1"/>
  <c r="A23" i="73" s="1"/>
  <c r="A24" i="73" s="1"/>
  <c r="A25" i="73" s="1"/>
  <c r="A26" i="73" s="1"/>
  <c r="A27" i="73" s="1"/>
  <c r="A28" i="73" s="1"/>
  <c r="A29" i="73" s="1"/>
  <c r="C87" i="20"/>
  <c r="U85" i="20"/>
  <c r="U84" i="20"/>
  <c r="U83" i="20"/>
  <c r="U82" i="20"/>
  <c r="U81" i="20"/>
  <c r="U51" i="20"/>
  <c r="P37" i="10" l="1"/>
  <c r="AR95" i="20" l="1"/>
  <c r="X142" i="20"/>
  <c r="D71" i="2"/>
  <c r="I3" i="70" l="1"/>
  <c r="X31" i="25"/>
  <c r="A4" i="70"/>
  <c r="A5" i="70" s="1"/>
  <c r="A6" i="70" s="1"/>
  <c r="A7" i="70" s="1"/>
  <c r="A8" i="70" s="1"/>
  <c r="A9" i="70" s="1"/>
  <c r="A10" i="70" s="1"/>
  <c r="A11" i="70" s="1"/>
  <c r="A12" i="70" s="1"/>
  <c r="A13" i="70" s="1"/>
  <c r="A14" i="70" s="1"/>
  <c r="A15" i="70" s="1"/>
  <c r="A16" i="70" s="1"/>
  <c r="A17" i="70" s="1"/>
  <c r="A18" i="70" s="1"/>
  <c r="A19" i="70" s="1"/>
  <c r="A20" i="70" s="1"/>
  <c r="A21" i="70" s="1"/>
  <c r="A22" i="70" s="1"/>
  <c r="A23" i="70" s="1"/>
  <c r="A24" i="70" s="1"/>
  <c r="C182" i="2" l="1"/>
  <c r="F130" i="40"/>
  <c r="F131" i="74" s="1"/>
  <c r="F131" i="77" s="1"/>
  <c r="Q31" i="24"/>
  <c r="P31" i="24"/>
  <c r="O31" i="24"/>
  <c r="N31" i="24"/>
  <c r="M31" i="24"/>
  <c r="L31" i="24"/>
  <c r="K31" i="24"/>
  <c r="S26" i="67" l="1"/>
  <c r="R26" i="67"/>
  <c r="Q26" i="67"/>
  <c r="P26" i="67"/>
  <c r="O26" i="67"/>
  <c r="N26" i="67"/>
  <c r="M26" i="67"/>
  <c r="L26" i="67"/>
  <c r="K26" i="67"/>
  <c r="J26" i="67"/>
  <c r="I26" i="67"/>
  <c r="G25" i="67"/>
  <c r="G24" i="67"/>
  <c r="G23" i="67"/>
  <c r="G22" i="67"/>
  <c r="G21" i="67"/>
  <c r="S23" i="57"/>
  <c r="R23" i="57"/>
  <c r="Q23" i="57"/>
  <c r="P23" i="57"/>
  <c r="O23" i="57"/>
  <c r="N23" i="57"/>
  <c r="M23" i="57"/>
  <c r="L23" i="57"/>
  <c r="K23" i="57"/>
  <c r="J23" i="57"/>
  <c r="I23" i="57"/>
  <c r="G21" i="57"/>
  <c r="G23" i="57" s="1"/>
  <c r="S25" i="56"/>
  <c r="R25" i="56"/>
  <c r="Q25" i="56"/>
  <c r="P25" i="56"/>
  <c r="N25" i="56"/>
  <c r="M25" i="56"/>
  <c r="L25" i="56"/>
  <c r="K25" i="56"/>
  <c r="J25" i="56"/>
  <c r="I25" i="56"/>
  <c r="G24" i="56"/>
  <c r="G23" i="56"/>
  <c r="G22" i="56"/>
  <c r="G21" i="56"/>
  <c r="G26" i="67" l="1"/>
  <c r="G25" i="56"/>
  <c r="I26" i="51"/>
  <c r="G22" i="51"/>
  <c r="G26" i="51" s="1"/>
  <c r="K19" i="50"/>
  <c r="J19" i="50"/>
  <c r="I19" i="50"/>
  <c r="H19" i="50"/>
  <c r="G19" i="50"/>
  <c r="F19" i="50"/>
  <c r="E18" i="50"/>
  <c r="E19" i="50" s="1"/>
  <c r="D85" i="2" l="1"/>
  <c r="E85" i="2"/>
  <c r="D90" i="2" l="1"/>
  <c r="J2" i="40" l="1"/>
  <c r="H52" i="32"/>
  <c r="U172" i="26"/>
  <c r="U171" i="26"/>
  <c r="V171" i="26" s="1"/>
  <c r="U169" i="26"/>
  <c r="V169" i="26" s="1"/>
  <c r="U168" i="26"/>
  <c r="V168" i="26" s="1"/>
  <c r="U167" i="26"/>
  <c r="U160" i="26"/>
  <c r="V160" i="26" s="1"/>
  <c r="U159" i="26"/>
  <c r="V159" i="26" s="1"/>
  <c r="U153" i="26"/>
  <c r="V153" i="26" s="1"/>
  <c r="U147" i="26"/>
  <c r="U146" i="26"/>
  <c r="T146" i="26" s="1"/>
  <c r="U120" i="26"/>
  <c r="V120" i="26" s="1"/>
  <c r="U119" i="26"/>
  <c r="V119" i="26" s="1"/>
  <c r="U113" i="26"/>
  <c r="U107" i="26"/>
  <c r="V107" i="26" s="1"/>
  <c r="U101" i="26"/>
  <c r="V101" i="26" s="1"/>
  <c r="U100" i="26"/>
  <c r="V100" i="26" s="1"/>
  <c r="U99" i="26"/>
  <c r="U91" i="26"/>
  <c r="V91" i="26" s="1"/>
  <c r="U85" i="26"/>
  <c r="V85" i="26" s="1"/>
  <c r="U78" i="26"/>
  <c r="V78" i="26" s="1"/>
  <c r="U73" i="26"/>
  <c r="U72" i="26"/>
  <c r="V72" i="26" s="1"/>
  <c r="U66" i="26"/>
  <c r="V66" i="26" s="1"/>
  <c r="U61" i="26"/>
  <c r="V61" i="26" s="1"/>
  <c r="U57" i="26"/>
  <c r="U55" i="26"/>
  <c r="V55" i="26" s="1"/>
  <c r="U49" i="26"/>
  <c r="V49" i="26" s="1"/>
  <c r="U45" i="26"/>
  <c r="V45" i="26" s="1"/>
  <c r="U38" i="26"/>
  <c r="V38" i="26" s="1"/>
  <c r="U32" i="26"/>
  <c r="T32" i="26" s="1"/>
  <c r="V146" i="26" l="1"/>
  <c r="T107" i="26"/>
  <c r="T66" i="26"/>
  <c r="T78" i="26"/>
  <c r="T159" i="26"/>
  <c r="T91" i="26"/>
  <c r="T171" i="26"/>
  <c r="V73" i="26"/>
  <c r="T73" i="26"/>
  <c r="V147" i="26"/>
  <c r="T147" i="26"/>
  <c r="V99" i="26"/>
  <c r="T99" i="26"/>
  <c r="V172" i="26"/>
  <c r="T172" i="26"/>
  <c r="V57" i="26"/>
  <c r="T57" i="26"/>
  <c r="V113" i="26"/>
  <c r="T113" i="26"/>
  <c r="V167" i="26"/>
  <c r="T167" i="26"/>
  <c r="T38" i="26"/>
  <c r="T55" i="26"/>
  <c r="T119" i="26"/>
  <c r="V32" i="26"/>
  <c r="T72" i="26"/>
  <c r="T100" i="26"/>
  <c r="T120" i="26"/>
  <c r="T160" i="26"/>
  <c r="T168" i="26"/>
  <c r="T45" i="26"/>
  <c r="T49" i="26"/>
  <c r="T61" i="26"/>
  <c r="T85" i="26"/>
  <c r="T101" i="26"/>
  <c r="T153" i="26"/>
  <c r="T169" i="26"/>
  <c r="Y46" i="25" l="1"/>
  <c r="Y39" i="25"/>
  <c r="Y33" i="25"/>
  <c r="X173" i="25"/>
  <c r="Y173" i="25" s="1"/>
  <c r="X172" i="25"/>
  <c r="Y172" i="25" s="1"/>
  <c r="X170" i="25"/>
  <c r="Y170" i="25" s="1"/>
  <c r="X169" i="25"/>
  <c r="AA169" i="25" s="1"/>
  <c r="X168" i="25"/>
  <c r="Y168" i="25" s="1"/>
  <c r="X161" i="25"/>
  <c r="Y161" i="25" s="1"/>
  <c r="X160" i="25"/>
  <c r="Y160" i="25" s="1"/>
  <c r="X154" i="25"/>
  <c r="AA154" i="25" s="1"/>
  <c r="X148" i="25"/>
  <c r="AA148" i="25" s="1"/>
  <c r="X147" i="25"/>
  <c r="Y147" i="25" s="1"/>
  <c r="X141" i="25"/>
  <c r="Y141" i="25" s="1"/>
  <c r="X135" i="25"/>
  <c r="AA135" i="25" s="1"/>
  <c r="X121" i="25"/>
  <c r="AA121" i="25" s="1"/>
  <c r="X120" i="25"/>
  <c r="AA120" i="25" s="1"/>
  <c r="X114" i="25"/>
  <c r="Y114" i="25" s="1"/>
  <c r="X108" i="25"/>
  <c r="AA108" i="25" s="1"/>
  <c r="X102" i="25"/>
  <c r="AA102" i="25" s="1"/>
  <c r="X101" i="25"/>
  <c r="AA101" i="25" s="1"/>
  <c r="X100" i="25"/>
  <c r="Y100" i="25" s="1"/>
  <c r="X92" i="25"/>
  <c r="AA92" i="25" s="1"/>
  <c r="X86" i="25"/>
  <c r="AA86" i="25" s="1"/>
  <c r="X79" i="25"/>
  <c r="AA79" i="25" s="1"/>
  <c r="X74" i="25"/>
  <c r="Y74" i="25" s="1"/>
  <c r="X73" i="25"/>
  <c r="AA73" i="25" s="1"/>
  <c r="X67" i="25"/>
  <c r="Y67" i="25" s="1"/>
  <c r="X62" i="25"/>
  <c r="AA62" i="25" s="1"/>
  <c r="X58" i="25"/>
  <c r="AA58" i="25" s="1"/>
  <c r="X56" i="25"/>
  <c r="Y56" i="25" s="1"/>
  <c r="X50" i="25"/>
  <c r="Y50" i="25" s="1"/>
  <c r="X46" i="25"/>
  <c r="AA46" i="25" s="1"/>
  <c r="X39" i="25"/>
  <c r="AA39" i="25" s="1"/>
  <c r="X33" i="25"/>
  <c r="AA33" i="25" s="1"/>
  <c r="X32" i="25"/>
  <c r="X30" i="25"/>
  <c r="X29" i="25"/>
  <c r="X28" i="25"/>
  <c r="X27" i="25"/>
  <c r="X26" i="25"/>
  <c r="X25" i="25"/>
  <c r="X24" i="25"/>
  <c r="X23" i="25"/>
  <c r="X22" i="25"/>
  <c r="X21" i="25"/>
  <c r="X20" i="25"/>
  <c r="X19" i="25"/>
  <c r="X18" i="25"/>
  <c r="X17" i="25"/>
  <c r="X16" i="25"/>
  <c r="X15" i="25"/>
  <c r="X14" i="25"/>
  <c r="X13" i="25"/>
  <c r="X12" i="25"/>
  <c r="X11" i="25"/>
  <c r="X10" i="25"/>
  <c r="X71" i="20"/>
  <c r="AR71" i="20"/>
  <c r="Y58" i="25" l="1"/>
  <c r="Y86" i="25"/>
  <c r="Y120" i="25"/>
  <c r="AA74" i="25"/>
  <c r="Y121" i="25"/>
  <c r="AA114" i="25"/>
  <c r="AA160" i="25"/>
  <c r="AA161" i="25"/>
  <c r="AA100" i="25"/>
  <c r="AA141" i="25"/>
  <c r="AA170" i="25"/>
  <c r="Y101" i="25"/>
  <c r="Y148" i="25"/>
  <c r="AA147" i="25"/>
  <c r="AA172" i="25"/>
  <c r="Y102" i="25"/>
  <c r="Y79" i="25"/>
  <c r="AA50" i="25"/>
  <c r="AA67" i="25"/>
  <c r="AA168" i="25"/>
  <c r="AA173" i="25"/>
  <c r="Y73" i="25"/>
  <c r="Y92" i="25"/>
  <c r="Y108" i="25"/>
  <c r="Y135" i="25"/>
  <c r="Y62" i="25"/>
  <c r="Y154" i="25"/>
  <c r="Y169" i="25"/>
  <c r="AA56" i="25"/>
  <c r="AR51" i="20"/>
  <c r="AK180" i="2" l="1"/>
  <c r="AI180" i="2"/>
  <c r="AH180" i="2"/>
  <c r="AG180" i="2"/>
  <c r="CN94" i="10" l="1"/>
  <c r="CN93" i="10"/>
  <c r="CR65" i="10"/>
  <c r="CS65" i="10" s="1"/>
  <c r="Q24" i="41" l="1"/>
  <c r="Q23" i="41"/>
  <c r="Q22" i="41"/>
  <c r="Q21" i="41"/>
  <c r="Q20" i="41"/>
  <c r="Q19" i="41"/>
  <c r="Q18" i="41"/>
  <c r="Q17" i="41"/>
  <c r="Q16" i="41"/>
  <c r="Q15" i="41"/>
  <c r="Q14" i="41"/>
  <c r="Q13" i="41"/>
  <c r="Q12" i="41"/>
  <c r="Q11" i="41"/>
  <c r="Q10" i="41"/>
  <c r="Q9" i="41"/>
  <c r="Q8" i="41"/>
  <c r="Q7" i="41"/>
  <c r="Q6" i="41"/>
  <c r="Q5" i="41"/>
  <c r="Q4" i="41"/>
  <c r="Q3" i="41"/>
  <c r="Q2" i="41"/>
  <c r="Q139" i="41" l="1"/>
  <c r="Q137" i="41"/>
  <c r="Q132" i="41"/>
  <c r="Q129" i="41"/>
  <c r="Q103" i="41"/>
  <c r="Q102" i="41"/>
  <c r="Q101" i="41"/>
  <c r="Q100" i="41"/>
  <c r="Q99" i="41"/>
  <c r="Q98" i="41"/>
  <c r="Q97" i="41"/>
  <c r="Q96" i="41"/>
  <c r="Q95" i="41"/>
  <c r="Q94" i="41"/>
  <c r="Q93" i="41"/>
  <c r="Q92" i="41"/>
  <c r="Q91" i="41"/>
  <c r="Q75" i="41"/>
  <c r="Q73" i="41"/>
  <c r="Q71" i="41"/>
  <c r="Q68" i="41"/>
  <c r="AO22" i="27"/>
  <c r="AN22" i="27"/>
  <c r="AO25" i="27"/>
  <c r="AN25" i="27"/>
  <c r="AO28" i="27"/>
  <c r="AN28" i="27"/>
  <c r="AO26" i="27"/>
  <c r="AN26" i="27"/>
  <c r="AN17" i="27"/>
  <c r="AO17" i="27"/>
  <c r="AO12" i="27"/>
  <c r="AN12" i="27"/>
  <c r="AO18" i="27"/>
  <c r="AN18" i="27"/>
  <c r="AN14" i="27"/>
  <c r="AO14" i="27"/>
  <c r="AO29" i="27"/>
  <c r="AN29" i="27"/>
  <c r="AO19" i="27"/>
  <c r="AN19" i="27"/>
  <c r="AO27" i="27"/>
  <c r="AN27" i="27"/>
  <c r="AO15" i="27"/>
  <c r="AN15" i="27"/>
  <c r="AO24" i="27"/>
  <c r="AN24" i="27"/>
  <c r="AO16" i="27"/>
  <c r="AN16" i="27"/>
  <c r="AO20" i="27"/>
  <c r="AN20" i="27"/>
  <c r="AO21" i="27"/>
  <c r="AN21" i="27"/>
  <c r="AO10" i="27"/>
  <c r="AN10" i="27"/>
  <c r="AO11" i="27"/>
  <c r="AN11" i="27"/>
  <c r="AO13" i="27"/>
  <c r="AN13" i="27"/>
  <c r="AO9" i="27"/>
  <c r="AN9" i="27"/>
  <c r="C109" i="41"/>
  <c r="O109" i="41" s="1"/>
  <c r="C99" i="41"/>
  <c r="C94" i="41"/>
  <c r="C93" i="41"/>
  <c r="C92" i="41"/>
  <c r="C91" i="41"/>
  <c r="C71" i="41"/>
  <c r="S71" i="41" s="1"/>
  <c r="C73" i="41"/>
  <c r="T73" i="41" s="1"/>
  <c r="C59" i="41"/>
  <c r="T59" i="41" s="1"/>
  <c r="C58" i="41"/>
  <c r="S58" i="41" s="1"/>
  <c r="C35" i="41"/>
  <c r="C34" i="41"/>
  <c r="L30" i="28"/>
  <c r="L29" i="28"/>
  <c r="L28" i="28"/>
  <c r="L27" i="28"/>
  <c r="L26" i="28"/>
  <c r="L25" i="28"/>
  <c r="L24" i="28"/>
  <c r="L23" i="28"/>
  <c r="L22" i="28"/>
  <c r="L21" i="28"/>
  <c r="L20" i="28"/>
  <c r="L19" i="28"/>
  <c r="L18" i="28"/>
  <c r="L17" i="28"/>
  <c r="L16" i="28"/>
  <c r="L15" i="28"/>
  <c r="L14" i="28"/>
  <c r="L13" i="28"/>
  <c r="L12" i="28"/>
  <c r="L11" i="28"/>
  <c r="L10" i="28"/>
  <c r="L9" i="28"/>
  <c r="L8" i="28"/>
  <c r="T58" i="41" l="1"/>
  <c r="T71" i="41"/>
  <c r="P109" i="41"/>
  <c r="T109" i="41"/>
  <c r="M109" i="41"/>
  <c r="S59" i="41"/>
  <c r="S109" i="41"/>
  <c r="S73" i="41"/>
  <c r="Q27" i="41"/>
  <c r="Q109" i="41" l="1"/>
  <c r="I16" i="41"/>
  <c r="A2" i="41" l="1"/>
  <c r="A62" i="40" l="1"/>
  <c r="A62" i="41" s="1"/>
  <c r="A61" i="40"/>
  <c r="A61" i="41" s="1"/>
  <c r="A36" i="40"/>
  <c r="A36" i="41" s="1"/>
  <c r="BL181" i="20" l="1"/>
  <c r="X181" i="20"/>
  <c r="BL165" i="20"/>
  <c r="BL163" i="20"/>
  <c r="BL162" i="20"/>
  <c r="AR166" i="20"/>
  <c r="AR165" i="20"/>
  <c r="AR164" i="20"/>
  <c r="AR163" i="20"/>
  <c r="AR162" i="20"/>
  <c r="X166" i="20"/>
  <c r="X165" i="20"/>
  <c r="X163" i="20"/>
  <c r="X164" i="20"/>
  <c r="X162" i="20"/>
  <c r="X146" i="20"/>
  <c r="X145" i="20"/>
  <c r="X144" i="20"/>
  <c r="X143" i="20"/>
  <c r="AR138" i="20"/>
  <c r="AR136" i="20"/>
  <c r="CF119" i="20"/>
  <c r="CF118" i="20"/>
  <c r="CF117" i="20"/>
  <c r="CF116" i="20"/>
  <c r="CF115" i="20"/>
  <c r="BL119" i="20"/>
  <c r="BL118" i="20"/>
  <c r="BL117" i="20"/>
  <c r="BL116" i="20"/>
  <c r="BL115" i="20"/>
  <c r="X119" i="20"/>
  <c r="X118" i="20"/>
  <c r="X117" i="20"/>
  <c r="X116" i="20"/>
  <c r="X115" i="20"/>
  <c r="AR119" i="20"/>
  <c r="AR118" i="20"/>
  <c r="AR117" i="20"/>
  <c r="AR116" i="20"/>
  <c r="AR115" i="20"/>
  <c r="X110" i="20"/>
  <c r="AR110" i="20"/>
  <c r="AR111" i="20"/>
  <c r="X111" i="20"/>
  <c r="AR109" i="20"/>
  <c r="X109" i="20"/>
  <c r="X112" i="20"/>
  <c r="AR112" i="20"/>
  <c r="X104" i="20" l="1"/>
  <c r="X106" i="20"/>
  <c r="AR106" i="20"/>
  <c r="X103" i="20"/>
  <c r="AR103" i="20"/>
  <c r="X105" i="20"/>
  <c r="AR105" i="20"/>
  <c r="X107" i="20"/>
  <c r="AR107" i="20"/>
  <c r="AR98" i="20"/>
  <c r="X98" i="20"/>
  <c r="AR96" i="20"/>
  <c r="X87" i="20"/>
  <c r="X72" i="20"/>
  <c r="AR72" i="20"/>
  <c r="X68" i="20"/>
  <c r="AR68" i="20"/>
  <c r="X69" i="20"/>
  <c r="AR69" i="20"/>
  <c r="X70" i="20"/>
  <c r="AR70" i="20"/>
  <c r="X66" i="20"/>
  <c r="X57" i="20"/>
  <c r="AR57" i="20"/>
  <c r="DQ54" i="20"/>
  <c r="AR55" i="20"/>
  <c r="X55" i="20"/>
  <c r="EF55" i="20"/>
  <c r="EF54" i="20"/>
  <c r="EF53" i="20"/>
  <c r="EF52" i="20"/>
  <c r="EF51" i="20"/>
  <c r="EM182" i="20"/>
  <c r="EL182" i="20"/>
  <c r="EK182" i="20"/>
  <c r="EJ182" i="20"/>
  <c r="EI182" i="20"/>
  <c r="EH182" i="20"/>
  <c r="EG182" i="20"/>
  <c r="EM181" i="20"/>
  <c r="EL181" i="20"/>
  <c r="EK181" i="20"/>
  <c r="EJ181" i="20"/>
  <c r="EI181" i="20"/>
  <c r="EH181" i="20"/>
  <c r="EG181" i="20"/>
  <c r="EM180" i="20"/>
  <c r="EL180" i="20"/>
  <c r="EK180" i="20"/>
  <c r="EJ180" i="20"/>
  <c r="EI180" i="20"/>
  <c r="EH180" i="20"/>
  <c r="EG180" i="20"/>
  <c r="EM179" i="20"/>
  <c r="EL179" i="20"/>
  <c r="EK179" i="20"/>
  <c r="EJ179" i="20"/>
  <c r="EI179" i="20"/>
  <c r="EH179" i="20"/>
  <c r="EG179" i="20"/>
  <c r="EM178" i="20"/>
  <c r="EL178" i="20"/>
  <c r="EK178" i="20"/>
  <c r="EJ178" i="20"/>
  <c r="EI178" i="20"/>
  <c r="EH178" i="20"/>
  <c r="EG178" i="20"/>
  <c r="EM177" i="20"/>
  <c r="EL177" i="20"/>
  <c r="EK177" i="20"/>
  <c r="EJ177" i="20"/>
  <c r="EI177" i="20"/>
  <c r="EH177" i="20"/>
  <c r="EG177" i="20"/>
  <c r="EM176" i="20"/>
  <c r="EL176" i="20"/>
  <c r="EK176" i="20"/>
  <c r="EJ176" i="20"/>
  <c r="EI176" i="20"/>
  <c r="EH176" i="20"/>
  <c r="EG176" i="20"/>
  <c r="EM175" i="20"/>
  <c r="EL175" i="20"/>
  <c r="EK175" i="20"/>
  <c r="EJ175" i="20"/>
  <c r="EI175" i="20"/>
  <c r="EH175" i="20"/>
  <c r="EG175" i="20"/>
  <c r="EM174" i="20"/>
  <c r="EL174" i="20"/>
  <c r="EK174" i="20"/>
  <c r="EJ174" i="20"/>
  <c r="EI174" i="20"/>
  <c r="EH174" i="20"/>
  <c r="EG174" i="20"/>
  <c r="EM171" i="20"/>
  <c r="EL171" i="20"/>
  <c r="EK171" i="20"/>
  <c r="EJ171" i="20"/>
  <c r="EI171" i="20"/>
  <c r="EH171" i="20"/>
  <c r="EG171" i="20"/>
  <c r="EM167" i="20"/>
  <c r="EL167" i="20"/>
  <c r="EK167" i="20"/>
  <c r="EJ167" i="20"/>
  <c r="EI167" i="20"/>
  <c r="EH167" i="20"/>
  <c r="EG167" i="20"/>
  <c r="EM166" i="20"/>
  <c r="EL166" i="20"/>
  <c r="EK166" i="20"/>
  <c r="EJ166" i="20"/>
  <c r="EI166" i="20"/>
  <c r="EH166" i="20"/>
  <c r="EG166" i="20"/>
  <c r="EM165" i="20"/>
  <c r="EL165" i="20"/>
  <c r="EK165" i="20"/>
  <c r="EJ165" i="20"/>
  <c r="EI165" i="20"/>
  <c r="EH165" i="20"/>
  <c r="EG165" i="20"/>
  <c r="EM164" i="20"/>
  <c r="EL164" i="20"/>
  <c r="EK164" i="20"/>
  <c r="EJ164" i="20"/>
  <c r="EI164" i="20"/>
  <c r="EH164" i="20"/>
  <c r="EG164" i="20"/>
  <c r="EM163" i="20"/>
  <c r="EL163" i="20"/>
  <c r="EK163" i="20"/>
  <c r="EJ163" i="20"/>
  <c r="EI163" i="20"/>
  <c r="EH163" i="20"/>
  <c r="EG163" i="20"/>
  <c r="EM162" i="20"/>
  <c r="EL162" i="20"/>
  <c r="EK162" i="20"/>
  <c r="EJ162" i="20"/>
  <c r="EI162" i="20"/>
  <c r="EH162" i="20"/>
  <c r="EG162" i="20"/>
  <c r="EM159" i="20"/>
  <c r="EL159" i="20"/>
  <c r="EK159" i="20"/>
  <c r="EJ159" i="20"/>
  <c r="EI159" i="20"/>
  <c r="EH159" i="20"/>
  <c r="EG159" i="20"/>
  <c r="EM158" i="20"/>
  <c r="EL158" i="20"/>
  <c r="EK158" i="20"/>
  <c r="EJ158" i="20"/>
  <c r="EI158" i="20"/>
  <c r="EH158" i="20"/>
  <c r="EG158" i="20"/>
  <c r="EM157" i="20"/>
  <c r="EL157" i="20"/>
  <c r="EK157" i="20"/>
  <c r="EJ157" i="20"/>
  <c r="EI157" i="20"/>
  <c r="EH157" i="20"/>
  <c r="EG157" i="20"/>
  <c r="EM156" i="20"/>
  <c r="EL156" i="20"/>
  <c r="EK156" i="20"/>
  <c r="EJ156" i="20"/>
  <c r="EI156" i="20"/>
  <c r="EH156" i="20"/>
  <c r="EG156" i="20"/>
  <c r="EM155" i="20"/>
  <c r="EL155" i="20"/>
  <c r="EK155" i="20"/>
  <c r="EJ155" i="20"/>
  <c r="EI155" i="20"/>
  <c r="EH155" i="20"/>
  <c r="EG155" i="20"/>
  <c r="EM153" i="20"/>
  <c r="EL153" i="20"/>
  <c r="EK153" i="20"/>
  <c r="EJ153" i="20"/>
  <c r="EI153" i="20"/>
  <c r="EH153" i="20"/>
  <c r="EG153" i="20"/>
  <c r="EM152" i="20"/>
  <c r="EL152" i="20"/>
  <c r="EK152" i="20"/>
  <c r="EJ152" i="20"/>
  <c r="EI152" i="20"/>
  <c r="EH152" i="20"/>
  <c r="EG152" i="20"/>
  <c r="EM151" i="20"/>
  <c r="EL151" i="20"/>
  <c r="EK151" i="20"/>
  <c r="EJ151" i="20"/>
  <c r="EI151" i="20"/>
  <c r="EH151" i="20"/>
  <c r="EG151" i="20"/>
  <c r="EM150" i="20"/>
  <c r="EL150" i="20"/>
  <c r="EK150" i="20"/>
  <c r="EJ150" i="20"/>
  <c r="EI150" i="20"/>
  <c r="EH150" i="20"/>
  <c r="EG150" i="20"/>
  <c r="EM149" i="20"/>
  <c r="EL149" i="20"/>
  <c r="EK149" i="20"/>
  <c r="EJ149" i="20"/>
  <c r="EI149" i="20"/>
  <c r="EH149" i="20"/>
  <c r="EG149" i="20"/>
  <c r="EM146" i="20"/>
  <c r="EL146" i="20"/>
  <c r="EK146" i="20"/>
  <c r="EJ146" i="20"/>
  <c r="EI146" i="20"/>
  <c r="EH146" i="20"/>
  <c r="EG146" i="20"/>
  <c r="EM145" i="20"/>
  <c r="EL145" i="20"/>
  <c r="EK145" i="20"/>
  <c r="EJ145" i="20"/>
  <c r="EI145" i="20"/>
  <c r="EH145" i="20"/>
  <c r="EG145" i="20"/>
  <c r="EM144" i="20"/>
  <c r="EL144" i="20"/>
  <c r="EK144" i="20"/>
  <c r="EJ144" i="20"/>
  <c r="EI144" i="20"/>
  <c r="EH144" i="20"/>
  <c r="EG144" i="20"/>
  <c r="EM143" i="20"/>
  <c r="EL143" i="20"/>
  <c r="EK143" i="20"/>
  <c r="EJ143" i="20"/>
  <c r="EI143" i="20"/>
  <c r="EH143" i="20"/>
  <c r="EG143" i="20"/>
  <c r="EM142" i="20"/>
  <c r="EL142" i="20"/>
  <c r="EK142" i="20"/>
  <c r="EJ142" i="20"/>
  <c r="EI142" i="20"/>
  <c r="EH142" i="20"/>
  <c r="EG142" i="20"/>
  <c r="EM140" i="20"/>
  <c r="EL140" i="20"/>
  <c r="EK140" i="20"/>
  <c r="EJ140" i="20"/>
  <c r="EI140" i="20"/>
  <c r="EH140" i="20"/>
  <c r="EG140" i="20"/>
  <c r="EM139" i="20"/>
  <c r="EL139" i="20"/>
  <c r="EK139" i="20"/>
  <c r="EJ139" i="20"/>
  <c r="EI139" i="20"/>
  <c r="EH139" i="20"/>
  <c r="EG139" i="20"/>
  <c r="EM138" i="20"/>
  <c r="EL138" i="20"/>
  <c r="EK138" i="20"/>
  <c r="EJ138" i="20"/>
  <c r="EI138" i="20"/>
  <c r="EH138" i="20"/>
  <c r="EG138" i="20"/>
  <c r="EM137" i="20"/>
  <c r="EL137" i="20"/>
  <c r="EK137" i="20"/>
  <c r="EJ137" i="20"/>
  <c r="EI137" i="20"/>
  <c r="EH137" i="20"/>
  <c r="EG137" i="20"/>
  <c r="EM136" i="20"/>
  <c r="EL136" i="20"/>
  <c r="EK136" i="20"/>
  <c r="EJ136" i="20"/>
  <c r="EI136" i="20"/>
  <c r="EH136" i="20"/>
  <c r="EG136" i="20"/>
  <c r="EM134" i="20"/>
  <c r="EL134" i="20"/>
  <c r="EK134" i="20"/>
  <c r="EJ134" i="20"/>
  <c r="EI134" i="20"/>
  <c r="EH134" i="20"/>
  <c r="EG134" i="20"/>
  <c r="EM133" i="20"/>
  <c r="EL133" i="20"/>
  <c r="EK133" i="20"/>
  <c r="EJ133" i="20"/>
  <c r="EI133" i="20"/>
  <c r="EH133" i="20"/>
  <c r="EG133" i="20"/>
  <c r="EM132" i="20"/>
  <c r="EL132" i="20"/>
  <c r="EK132" i="20"/>
  <c r="EJ132" i="20"/>
  <c r="EI132" i="20"/>
  <c r="EH132" i="20"/>
  <c r="EG132" i="20"/>
  <c r="EM131" i="20"/>
  <c r="EL131" i="20"/>
  <c r="EK131" i="20"/>
  <c r="EJ131" i="20"/>
  <c r="EI131" i="20"/>
  <c r="EH131" i="20"/>
  <c r="EG131" i="20"/>
  <c r="EM130" i="20"/>
  <c r="EL130" i="20"/>
  <c r="EK130" i="20"/>
  <c r="EJ130" i="20"/>
  <c r="EI130" i="20"/>
  <c r="EH130" i="20"/>
  <c r="EG130" i="20"/>
  <c r="EM129" i="20"/>
  <c r="EL129" i="20"/>
  <c r="EK129" i="20"/>
  <c r="EJ129" i="20"/>
  <c r="EI129" i="20"/>
  <c r="EH129" i="20"/>
  <c r="EG129" i="20"/>
  <c r="EM128" i="20"/>
  <c r="EL128" i="20"/>
  <c r="EK128" i="20"/>
  <c r="EJ128" i="20"/>
  <c r="EI128" i="20"/>
  <c r="EH128" i="20"/>
  <c r="EG128" i="20"/>
  <c r="EM127" i="20"/>
  <c r="EL127" i="20"/>
  <c r="EK127" i="20"/>
  <c r="EJ127" i="20"/>
  <c r="EI127" i="20"/>
  <c r="EH127" i="20"/>
  <c r="EG127" i="20"/>
  <c r="EM126" i="20"/>
  <c r="EL126" i="20"/>
  <c r="EK126" i="20"/>
  <c r="EJ126" i="20"/>
  <c r="EI126" i="20"/>
  <c r="EH126" i="20"/>
  <c r="EG126" i="20"/>
  <c r="EM125" i="20"/>
  <c r="EL125" i="20"/>
  <c r="EK125" i="20"/>
  <c r="EJ125" i="20"/>
  <c r="EI125" i="20"/>
  <c r="EH125" i="20"/>
  <c r="EG125" i="20"/>
  <c r="EM124" i="20"/>
  <c r="EL124" i="20"/>
  <c r="EK124" i="20"/>
  <c r="EJ124" i="20"/>
  <c r="EI124" i="20"/>
  <c r="EH124" i="20"/>
  <c r="EG124" i="20"/>
  <c r="EM123" i="20"/>
  <c r="EL123" i="20"/>
  <c r="EK123" i="20"/>
  <c r="EJ123" i="20"/>
  <c r="EI123" i="20"/>
  <c r="EH123" i="20"/>
  <c r="EG123" i="20"/>
  <c r="EM122" i="20"/>
  <c r="EL122" i="20"/>
  <c r="EK122" i="20"/>
  <c r="EJ122" i="20"/>
  <c r="EI122" i="20"/>
  <c r="EH122" i="20"/>
  <c r="EG122" i="20"/>
  <c r="EM119" i="20"/>
  <c r="EL119" i="20"/>
  <c r="EK119" i="20"/>
  <c r="EJ119" i="20"/>
  <c r="EI119" i="20"/>
  <c r="EH119" i="20"/>
  <c r="EG119" i="20"/>
  <c r="EM118" i="20"/>
  <c r="EL118" i="20"/>
  <c r="EK118" i="20"/>
  <c r="EJ118" i="20"/>
  <c r="EI118" i="20"/>
  <c r="EH118" i="20"/>
  <c r="EG118" i="20"/>
  <c r="EM117" i="20"/>
  <c r="EL117" i="20"/>
  <c r="EK117" i="20"/>
  <c r="EJ117" i="20"/>
  <c r="EI117" i="20"/>
  <c r="EH117" i="20"/>
  <c r="EG117" i="20"/>
  <c r="EM116" i="20"/>
  <c r="EL116" i="20"/>
  <c r="EK116" i="20"/>
  <c r="EJ116" i="20"/>
  <c r="EI116" i="20"/>
  <c r="EH116" i="20"/>
  <c r="EG116" i="20"/>
  <c r="EM115" i="20"/>
  <c r="EL115" i="20"/>
  <c r="EK115" i="20"/>
  <c r="EJ115" i="20"/>
  <c r="EI115" i="20"/>
  <c r="EH115" i="20"/>
  <c r="EG115" i="20"/>
  <c r="EM113" i="20"/>
  <c r="EL113" i="20"/>
  <c r="EK113" i="20"/>
  <c r="EJ113" i="20"/>
  <c r="EI113" i="20"/>
  <c r="EH113" i="20"/>
  <c r="EG113" i="20"/>
  <c r="EM112" i="20"/>
  <c r="EL112" i="20"/>
  <c r="EK112" i="20"/>
  <c r="EJ112" i="20"/>
  <c r="EI112" i="20"/>
  <c r="EH112" i="20"/>
  <c r="EG112" i="20"/>
  <c r="EM111" i="20"/>
  <c r="EL111" i="20"/>
  <c r="EK111" i="20"/>
  <c r="EJ111" i="20"/>
  <c r="EI111" i="20"/>
  <c r="EH111" i="20"/>
  <c r="EG111" i="20"/>
  <c r="EM110" i="20"/>
  <c r="EL110" i="20"/>
  <c r="EK110" i="20"/>
  <c r="EJ110" i="20"/>
  <c r="EI110" i="20"/>
  <c r="EH110" i="20"/>
  <c r="EG110" i="20"/>
  <c r="EM109" i="20"/>
  <c r="EL109" i="20"/>
  <c r="EK109" i="20"/>
  <c r="EJ109" i="20"/>
  <c r="EI109" i="20"/>
  <c r="EH109" i="20"/>
  <c r="EG109" i="20"/>
  <c r="EM107" i="20"/>
  <c r="EL107" i="20"/>
  <c r="EK107" i="20"/>
  <c r="EJ107" i="20"/>
  <c r="EI107" i="20"/>
  <c r="EH107" i="20"/>
  <c r="EG107" i="20"/>
  <c r="EM106" i="20"/>
  <c r="EL106" i="20"/>
  <c r="EK106" i="20"/>
  <c r="EJ106" i="20"/>
  <c r="EI106" i="20"/>
  <c r="EH106" i="20"/>
  <c r="EG106" i="20"/>
  <c r="EM105" i="20"/>
  <c r="EL105" i="20"/>
  <c r="EK105" i="20"/>
  <c r="EJ105" i="20"/>
  <c r="EI105" i="20"/>
  <c r="EH105" i="20"/>
  <c r="EG105" i="20"/>
  <c r="EM104" i="20"/>
  <c r="EL104" i="20"/>
  <c r="EK104" i="20"/>
  <c r="EJ104" i="20"/>
  <c r="EI104" i="20"/>
  <c r="EH104" i="20"/>
  <c r="EG104" i="20"/>
  <c r="EM103" i="20"/>
  <c r="EL103" i="20"/>
  <c r="EK103" i="20"/>
  <c r="EJ103" i="20"/>
  <c r="EI103" i="20"/>
  <c r="EH103" i="20"/>
  <c r="EG103" i="20"/>
  <c r="EM102" i="20"/>
  <c r="EL102" i="20"/>
  <c r="EK102" i="20"/>
  <c r="EJ102" i="20"/>
  <c r="EI102" i="20"/>
  <c r="EH102" i="20"/>
  <c r="EG102" i="20"/>
  <c r="EM99" i="20"/>
  <c r="EL99" i="20"/>
  <c r="EK99" i="20"/>
  <c r="EJ99" i="20"/>
  <c r="EI99" i="20"/>
  <c r="EH99" i="20"/>
  <c r="EG99" i="20"/>
  <c r="EM98" i="20"/>
  <c r="EL98" i="20"/>
  <c r="EK98" i="20"/>
  <c r="EJ98" i="20"/>
  <c r="EI98" i="20"/>
  <c r="EH98" i="20"/>
  <c r="EG98" i="20"/>
  <c r="EM97" i="20"/>
  <c r="EL97" i="20"/>
  <c r="EK97" i="20"/>
  <c r="EJ97" i="20"/>
  <c r="EI97" i="20"/>
  <c r="EH97" i="20"/>
  <c r="EG97" i="20"/>
  <c r="EM96" i="20"/>
  <c r="EL96" i="20"/>
  <c r="EK96" i="20"/>
  <c r="EJ96" i="20"/>
  <c r="EI96" i="20"/>
  <c r="EH96" i="20"/>
  <c r="EG96" i="20"/>
  <c r="EM95" i="20"/>
  <c r="EL95" i="20"/>
  <c r="EK95" i="20"/>
  <c r="EJ95" i="20"/>
  <c r="EI95" i="20"/>
  <c r="EH95" i="20"/>
  <c r="EG95" i="20"/>
  <c r="EM94" i="20"/>
  <c r="EL94" i="20"/>
  <c r="EK94" i="20"/>
  <c r="EJ94" i="20"/>
  <c r="EI94" i="20"/>
  <c r="EH94" i="20"/>
  <c r="EG94" i="20"/>
  <c r="EM93" i="20"/>
  <c r="EL93" i="20"/>
  <c r="EK93" i="20"/>
  <c r="EJ93" i="20"/>
  <c r="EI93" i="20"/>
  <c r="EH93" i="20"/>
  <c r="EG93" i="20"/>
  <c r="EM92" i="20"/>
  <c r="EL92" i="20"/>
  <c r="EK92" i="20"/>
  <c r="EJ92" i="20"/>
  <c r="EI92" i="20"/>
  <c r="EH92" i="20"/>
  <c r="EG92" i="20"/>
  <c r="EM91" i="20"/>
  <c r="EL91" i="20"/>
  <c r="EK91" i="20"/>
  <c r="EJ91" i="20"/>
  <c r="EI91" i="20"/>
  <c r="EH91" i="20"/>
  <c r="EG91" i="20"/>
  <c r="EM90" i="20"/>
  <c r="EL90" i="20"/>
  <c r="EK90" i="20"/>
  <c r="EJ90" i="20"/>
  <c r="EI90" i="20"/>
  <c r="EH90" i="20"/>
  <c r="EG90" i="20"/>
  <c r="EM89" i="20"/>
  <c r="EL89" i="20"/>
  <c r="EK89" i="20"/>
  <c r="EJ89" i="20"/>
  <c r="EI89" i="20"/>
  <c r="EH89" i="20"/>
  <c r="EG89" i="20"/>
  <c r="EM88" i="20"/>
  <c r="EL88" i="20"/>
  <c r="EK88" i="20"/>
  <c r="EJ88" i="20"/>
  <c r="EI88" i="20"/>
  <c r="EH88" i="20"/>
  <c r="EG88" i="20"/>
  <c r="EM87" i="20"/>
  <c r="EL87" i="20"/>
  <c r="EK87" i="20"/>
  <c r="EJ87" i="20"/>
  <c r="EI87" i="20"/>
  <c r="EH87" i="20"/>
  <c r="EG87" i="20"/>
  <c r="EM83" i="20"/>
  <c r="EL83" i="20"/>
  <c r="EK83" i="20"/>
  <c r="EJ83" i="20"/>
  <c r="EI83" i="20"/>
  <c r="EH83" i="20"/>
  <c r="EG83" i="20"/>
  <c r="EM82" i="20"/>
  <c r="EL82" i="20"/>
  <c r="EK82" i="20"/>
  <c r="EJ82" i="20"/>
  <c r="EI82" i="20"/>
  <c r="EH82" i="20"/>
  <c r="EG82" i="20"/>
  <c r="EM81" i="20"/>
  <c r="EL81" i="20"/>
  <c r="EK81" i="20"/>
  <c r="EJ81" i="20"/>
  <c r="EI81" i="20"/>
  <c r="EH81" i="20"/>
  <c r="EG81" i="20"/>
  <c r="EM80" i="20"/>
  <c r="EL80" i="20"/>
  <c r="EK80" i="20"/>
  <c r="EJ80" i="20"/>
  <c r="EI80" i="20"/>
  <c r="EH80" i="20"/>
  <c r="EG80" i="20"/>
  <c r="EM79" i="20"/>
  <c r="EM78" i="20"/>
  <c r="EL78" i="20"/>
  <c r="EK78" i="20"/>
  <c r="EJ78" i="20"/>
  <c r="EI78" i="20"/>
  <c r="EH78" i="20"/>
  <c r="EG78" i="20"/>
  <c r="EM77" i="20"/>
  <c r="EL77" i="20"/>
  <c r="EK77" i="20"/>
  <c r="EJ77" i="20"/>
  <c r="EI77" i="20"/>
  <c r="EH77" i="20"/>
  <c r="EG77" i="20"/>
  <c r="EM76" i="20"/>
  <c r="EL76" i="20"/>
  <c r="EK76" i="20"/>
  <c r="EJ76" i="20"/>
  <c r="EI76" i="20"/>
  <c r="EH76" i="20"/>
  <c r="EG76" i="20"/>
  <c r="EM75" i="20"/>
  <c r="EL75" i="20"/>
  <c r="EK75" i="20"/>
  <c r="EJ75" i="20"/>
  <c r="EI75" i="20"/>
  <c r="EH75" i="20"/>
  <c r="EG75" i="20"/>
  <c r="EM72" i="20"/>
  <c r="EL72" i="20"/>
  <c r="EK72" i="20"/>
  <c r="EJ72" i="20"/>
  <c r="EI72" i="20"/>
  <c r="EH72" i="20"/>
  <c r="EG72" i="20"/>
  <c r="EM71" i="20"/>
  <c r="EL71" i="20"/>
  <c r="EK71" i="20"/>
  <c r="EJ71" i="20"/>
  <c r="EI71" i="20"/>
  <c r="EH71" i="20"/>
  <c r="EG71" i="20"/>
  <c r="EM70" i="20"/>
  <c r="EL70" i="20"/>
  <c r="EK70" i="20"/>
  <c r="EJ70" i="20"/>
  <c r="EI70" i="20"/>
  <c r="EH70" i="20"/>
  <c r="EG70" i="20"/>
  <c r="EM69" i="20"/>
  <c r="EL69" i="20"/>
  <c r="EK69" i="20"/>
  <c r="EJ69" i="20"/>
  <c r="EI69" i="20"/>
  <c r="EH69" i="20"/>
  <c r="EG69" i="20"/>
  <c r="EM68" i="20"/>
  <c r="EL68" i="20"/>
  <c r="EK68" i="20"/>
  <c r="EJ68" i="20"/>
  <c r="EI68" i="20"/>
  <c r="EH68" i="20"/>
  <c r="EG68" i="20"/>
  <c r="EM66" i="20"/>
  <c r="EL66" i="20"/>
  <c r="EK66" i="20"/>
  <c r="EJ66" i="20"/>
  <c r="EI66" i="20"/>
  <c r="EH66" i="20"/>
  <c r="EG66" i="20"/>
  <c r="EM65" i="20"/>
  <c r="EL65" i="20"/>
  <c r="EK65" i="20"/>
  <c r="EJ65" i="20"/>
  <c r="EI65" i="20"/>
  <c r="EH65" i="20"/>
  <c r="EG65" i="20"/>
  <c r="EM64" i="20"/>
  <c r="EL64" i="20"/>
  <c r="EK64" i="20"/>
  <c r="EJ64" i="20"/>
  <c r="EI64" i="20"/>
  <c r="EH64" i="20"/>
  <c r="EG64" i="20"/>
  <c r="EM63" i="20"/>
  <c r="EL63" i="20"/>
  <c r="EK63" i="20"/>
  <c r="EJ63" i="20"/>
  <c r="EI63" i="20"/>
  <c r="EH63" i="20"/>
  <c r="EG63" i="20"/>
  <c r="EM61" i="20"/>
  <c r="EL61" i="20"/>
  <c r="EK61" i="20"/>
  <c r="EJ61" i="20"/>
  <c r="EI61" i="20"/>
  <c r="EH61" i="20"/>
  <c r="EG61" i="20"/>
  <c r="EM60" i="20"/>
  <c r="EL60" i="20"/>
  <c r="EK60" i="20"/>
  <c r="EJ60" i="20"/>
  <c r="EI60" i="20"/>
  <c r="EH60" i="20"/>
  <c r="EG60" i="20"/>
  <c r="EM59" i="20"/>
  <c r="EL59" i="20"/>
  <c r="EK59" i="20"/>
  <c r="EJ59" i="20"/>
  <c r="EI59" i="20"/>
  <c r="EH59" i="20"/>
  <c r="EG59" i="20"/>
  <c r="EM57" i="20"/>
  <c r="EL57" i="20"/>
  <c r="EK57" i="20"/>
  <c r="EJ57" i="20"/>
  <c r="EI57" i="20"/>
  <c r="EH57" i="20"/>
  <c r="EG57" i="20"/>
  <c r="EM56" i="20"/>
  <c r="EL56" i="20"/>
  <c r="EK56" i="20"/>
  <c r="EJ56" i="20"/>
  <c r="EI56" i="20"/>
  <c r="EH56" i="20"/>
  <c r="EG56" i="20"/>
  <c r="EM49" i="20"/>
  <c r="EL49" i="20"/>
  <c r="EK49" i="20"/>
  <c r="EJ49" i="20"/>
  <c r="EI49" i="20"/>
  <c r="EH49" i="20"/>
  <c r="EG49" i="20"/>
  <c r="EM48" i="20"/>
  <c r="EL48" i="20"/>
  <c r="EK48" i="20"/>
  <c r="EJ48" i="20"/>
  <c r="EI48" i="20"/>
  <c r="EH48" i="20"/>
  <c r="EG48" i="20"/>
  <c r="EM47" i="20"/>
  <c r="EL47" i="20"/>
  <c r="EK47" i="20"/>
  <c r="EJ47" i="20"/>
  <c r="EI47" i="20"/>
  <c r="EH47" i="20"/>
  <c r="EG47" i="20"/>
  <c r="EM45" i="20"/>
  <c r="EL45" i="20"/>
  <c r="EK45" i="20"/>
  <c r="EJ45" i="20"/>
  <c r="EI45" i="20"/>
  <c r="EH45" i="20"/>
  <c r="EG45" i="20"/>
  <c r="EM44" i="20"/>
  <c r="EL44" i="20"/>
  <c r="EK44" i="20"/>
  <c r="EJ44" i="20"/>
  <c r="EI44" i="20"/>
  <c r="EH44" i="20"/>
  <c r="EG44" i="20"/>
  <c r="EM43" i="20"/>
  <c r="EL43" i="20"/>
  <c r="EK43" i="20"/>
  <c r="EJ43" i="20"/>
  <c r="EI43" i="20"/>
  <c r="EH43" i="20"/>
  <c r="EG43" i="20"/>
  <c r="EM42" i="20"/>
  <c r="EL42" i="20"/>
  <c r="EK42" i="20"/>
  <c r="EJ42" i="20"/>
  <c r="EI42" i="20"/>
  <c r="EH42" i="20"/>
  <c r="EG42" i="20"/>
  <c r="EM41" i="20"/>
  <c r="EL41" i="20"/>
  <c r="EK41" i="20"/>
  <c r="EJ41" i="20"/>
  <c r="EI41" i="20"/>
  <c r="EH41" i="20"/>
  <c r="EG41" i="20"/>
  <c r="EM40" i="20"/>
  <c r="EL40" i="20"/>
  <c r="EK40" i="20"/>
  <c r="EJ40" i="20"/>
  <c r="EI40" i="20"/>
  <c r="EH40" i="20"/>
  <c r="EG40" i="20"/>
  <c r="EM38" i="20"/>
  <c r="EL38" i="20"/>
  <c r="EK38" i="20"/>
  <c r="EJ38" i="20"/>
  <c r="EI38" i="20"/>
  <c r="EH38" i="20"/>
  <c r="EG38" i="20"/>
  <c r="EM37" i="20"/>
  <c r="EL37" i="20"/>
  <c r="EK37" i="20"/>
  <c r="EJ37" i="20"/>
  <c r="EI37" i="20"/>
  <c r="EH37" i="20"/>
  <c r="EG37" i="20"/>
  <c r="EM36" i="20"/>
  <c r="EL36" i="20"/>
  <c r="EK36" i="20"/>
  <c r="EJ36" i="20"/>
  <c r="EI36" i="20"/>
  <c r="EH36" i="20"/>
  <c r="EG36" i="20"/>
  <c r="EM35" i="20"/>
  <c r="EL35" i="20"/>
  <c r="EK35" i="20"/>
  <c r="EJ35" i="20"/>
  <c r="EI35" i="20"/>
  <c r="EH35" i="20"/>
  <c r="EG35" i="20"/>
  <c r="EM34" i="20"/>
  <c r="EL34" i="20"/>
  <c r="EK34" i="20"/>
  <c r="EJ34" i="20"/>
  <c r="EI34" i="20"/>
  <c r="EH34" i="20"/>
  <c r="EG34" i="20"/>
  <c r="EM32" i="20"/>
  <c r="EL32" i="20"/>
  <c r="EK32" i="20"/>
  <c r="EJ32" i="20"/>
  <c r="EI32" i="20"/>
  <c r="EH32" i="20"/>
  <c r="EG32" i="20"/>
  <c r="EM31" i="20"/>
  <c r="EL31" i="20"/>
  <c r="EK31" i="20"/>
  <c r="EJ31" i="20"/>
  <c r="EI31" i="20"/>
  <c r="EH31" i="20"/>
  <c r="EG31" i="20"/>
  <c r="EM30" i="20"/>
  <c r="EL30" i="20"/>
  <c r="EK30" i="20"/>
  <c r="EJ30" i="20"/>
  <c r="EI30" i="20"/>
  <c r="EH30" i="20"/>
  <c r="EG30" i="20"/>
  <c r="EM29" i="20"/>
  <c r="EL29" i="20"/>
  <c r="EK29" i="20"/>
  <c r="EJ29" i="20"/>
  <c r="EI29" i="20"/>
  <c r="EH29" i="20"/>
  <c r="EG29" i="20"/>
  <c r="EM28" i="20"/>
  <c r="EL28" i="20"/>
  <c r="EK28" i="20"/>
  <c r="EJ28" i="20"/>
  <c r="EI28" i="20"/>
  <c r="EH28" i="20"/>
  <c r="EG28" i="20"/>
  <c r="EM27" i="20"/>
  <c r="EL27" i="20"/>
  <c r="EK27" i="20"/>
  <c r="EJ27" i="20"/>
  <c r="EI27" i="20"/>
  <c r="EH27" i="20"/>
  <c r="EG27" i="20"/>
  <c r="EM26" i="20"/>
  <c r="EL26" i="20"/>
  <c r="EK26" i="20"/>
  <c r="EJ26" i="20"/>
  <c r="EI26" i="20"/>
  <c r="EH26" i="20"/>
  <c r="EG26" i="20"/>
  <c r="EM25" i="20"/>
  <c r="EL25" i="20"/>
  <c r="EK25" i="20"/>
  <c r="EJ25" i="20"/>
  <c r="EI25" i="20"/>
  <c r="EH25" i="20"/>
  <c r="EG25" i="20"/>
  <c r="EM24" i="20"/>
  <c r="EL24" i="20"/>
  <c r="EK24" i="20"/>
  <c r="EJ24" i="20"/>
  <c r="EI24" i="20"/>
  <c r="EH24" i="20"/>
  <c r="EG24" i="20"/>
  <c r="EM23" i="20"/>
  <c r="EL23" i="20"/>
  <c r="EK23" i="20"/>
  <c r="EJ23" i="20"/>
  <c r="EI23" i="20"/>
  <c r="EH23" i="20"/>
  <c r="EG23" i="20"/>
  <c r="EM22" i="20"/>
  <c r="EL22" i="20"/>
  <c r="EK22" i="20"/>
  <c r="EJ22" i="20"/>
  <c r="EI22" i="20"/>
  <c r="EH22" i="20"/>
  <c r="EG22" i="20"/>
  <c r="EM21" i="20"/>
  <c r="EL21" i="20"/>
  <c r="EK21" i="20"/>
  <c r="EJ21" i="20"/>
  <c r="EI21" i="20"/>
  <c r="EH21" i="20"/>
  <c r="EG21" i="20"/>
  <c r="EM20" i="20"/>
  <c r="EL20" i="20"/>
  <c r="EK20" i="20"/>
  <c r="EJ20" i="20"/>
  <c r="EI20" i="20"/>
  <c r="EH20" i="20"/>
  <c r="EG20" i="20"/>
  <c r="EM19" i="20"/>
  <c r="EL19" i="20"/>
  <c r="EK19" i="20"/>
  <c r="EJ19" i="20"/>
  <c r="EI19" i="20"/>
  <c r="EH19" i="20"/>
  <c r="EG19" i="20"/>
  <c r="EM18" i="20"/>
  <c r="EL18" i="20"/>
  <c r="EK18" i="20"/>
  <c r="EJ18" i="20"/>
  <c r="EI18" i="20"/>
  <c r="EH18" i="20"/>
  <c r="EG18" i="20"/>
  <c r="EM17" i="20"/>
  <c r="EL17" i="20"/>
  <c r="EK17" i="20"/>
  <c r="EJ17" i="20"/>
  <c r="EI17" i="20"/>
  <c r="EH17" i="20"/>
  <c r="EG17" i="20"/>
  <c r="EM16" i="20"/>
  <c r="EL16" i="20"/>
  <c r="EK16" i="20"/>
  <c r="EJ16" i="20"/>
  <c r="EI16" i="20"/>
  <c r="EH16" i="20"/>
  <c r="EG16" i="20"/>
  <c r="EM15" i="20"/>
  <c r="EL15" i="20"/>
  <c r="EK15" i="20"/>
  <c r="EJ15" i="20"/>
  <c r="EI15" i="20"/>
  <c r="EH15" i="20"/>
  <c r="EG15" i="20"/>
  <c r="EM14" i="20"/>
  <c r="EL14" i="20"/>
  <c r="EK14" i="20"/>
  <c r="EJ14" i="20"/>
  <c r="EI14" i="20"/>
  <c r="EH14" i="20"/>
  <c r="EG14" i="20"/>
  <c r="EM13" i="20"/>
  <c r="EL13" i="20"/>
  <c r="EK13" i="20"/>
  <c r="EJ13" i="20"/>
  <c r="EI13" i="20"/>
  <c r="EH13" i="20"/>
  <c r="EG13" i="20"/>
  <c r="EM12" i="20"/>
  <c r="EL12" i="20"/>
  <c r="EK12" i="20"/>
  <c r="EJ12" i="20"/>
  <c r="EI12" i="20"/>
  <c r="EH12" i="20"/>
  <c r="EG12" i="20"/>
  <c r="EM11" i="20"/>
  <c r="EL11" i="20"/>
  <c r="EK11" i="20"/>
  <c r="EJ11" i="20"/>
  <c r="EI11" i="20"/>
  <c r="EH11" i="20"/>
  <c r="EG11" i="20"/>
  <c r="EM10" i="20"/>
  <c r="EL10" i="20"/>
  <c r="EK10" i="20"/>
  <c r="EJ10" i="20"/>
  <c r="EI10" i="20"/>
  <c r="EH10" i="20"/>
  <c r="EG10" i="20"/>
  <c r="DT55" i="20"/>
  <c r="DT54" i="20"/>
  <c r="DT53" i="20"/>
  <c r="DT52" i="20"/>
  <c r="DT51" i="20"/>
  <c r="EA56" i="20"/>
  <c r="DZ56" i="20"/>
  <c r="DY56" i="20"/>
  <c r="DX56" i="20"/>
  <c r="DW56" i="20"/>
  <c r="DV56" i="20"/>
  <c r="DU56" i="20"/>
  <c r="EA49" i="20"/>
  <c r="DZ49" i="20"/>
  <c r="DY49" i="20"/>
  <c r="DX49" i="20"/>
  <c r="DW49" i="20"/>
  <c r="DV49" i="20"/>
  <c r="DU49" i="20"/>
  <c r="EA48" i="20"/>
  <c r="DZ48" i="20"/>
  <c r="DY48" i="20"/>
  <c r="DX48" i="20"/>
  <c r="DW48" i="20"/>
  <c r="DV48" i="20"/>
  <c r="DU48" i="20"/>
  <c r="EA47" i="20"/>
  <c r="DZ47" i="20"/>
  <c r="DY47" i="20"/>
  <c r="DX47" i="20"/>
  <c r="DW47" i="20"/>
  <c r="DV47" i="20"/>
  <c r="DU47" i="20"/>
  <c r="EA45" i="20"/>
  <c r="DZ45" i="20"/>
  <c r="DY45" i="20"/>
  <c r="DX45" i="20"/>
  <c r="DW45" i="20"/>
  <c r="DV45" i="20"/>
  <c r="DU45" i="20"/>
  <c r="EA44" i="20"/>
  <c r="DZ44" i="20"/>
  <c r="DY44" i="20"/>
  <c r="DX44" i="20"/>
  <c r="DW44" i="20"/>
  <c r="DV44" i="20"/>
  <c r="DU44" i="20"/>
  <c r="EA43" i="20"/>
  <c r="DZ43" i="20"/>
  <c r="DY43" i="20"/>
  <c r="DX43" i="20"/>
  <c r="DW43" i="20"/>
  <c r="DV43" i="20"/>
  <c r="DU43" i="20"/>
  <c r="EA42" i="20"/>
  <c r="DZ42" i="20"/>
  <c r="DY42" i="20"/>
  <c r="DX42" i="20"/>
  <c r="DW42" i="20"/>
  <c r="DV42" i="20"/>
  <c r="DU42" i="20"/>
  <c r="EA41" i="20"/>
  <c r="DZ41" i="20"/>
  <c r="DY41" i="20"/>
  <c r="DX41" i="20"/>
  <c r="DW41" i="20"/>
  <c r="DV41" i="20"/>
  <c r="DU41" i="20"/>
  <c r="EA40" i="20"/>
  <c r="DZ40" i="20"/>
  <c r="DY40" i="20"/>
  <c r="DX40" i="20"/>
  <c r="DW40" i="20"/>
  <c r="DV40" i="20"/>
  <c r="DU40" i="20"/>
  <c r="EA38" i="20"/>
  <c r="DZ38" i="20"/>
  <c r="DY38" i="20"/>
  <c r="DX38" i="20"/>
  <c r="DW38" i="20"/>
  <c r="DV38" i="20"/>
  <c r="DU38" i="20"/>
  <c r="EA37" i="20"/>
  <c r="DZ37" i="20"/>
  <c r="DY37" i="20"/>
  <c r="DX37" i="20"/>
  <c r="DW37" i="20"/>
  <c r="DV37" i="20"/>
  <c r="DU37" i="20"/>
  <c r="EA36" i="20"/>
  <c r="DZ36" i="20"/>
  <c r="DY36" i="20"/>
  <c r="DX36" i="20"/>
  <c r="DW36" i="20"/>
  <c r="DV36" i="20"/>
  <c r="DU36" i="20"/>
  <c r="EA35" i="20"/>
  <c r="DZ35" i="20"/>
  <c r="DY35" i="20"/>
  <c r="DX35" i="20"/>
  <c r="DW35" i="20"/>
  <c r="DV35" i="20"/>
  <c r="DU35" i="20"/>
  <c r="EA34" i="20"/>
  <c r="DZ34" i="20"/>
  <c r="DY34" i="20"/>
  <c r="DX34" i="20"/>
  <c r="DW34" i="20"/>
  <c r="DV34" i="20"/>
  <c r="DU34" i="20"/>
  <c r="EA32" i="20"/>
  <c r="DZ32" i="20"/>
  <c r="DY32" i="20"/>
  <c r="DX32" i="20"/>
  <c r="DW32" i="20"/>
  <c r="DV32" i="20"/>
  <c r="DU32" i="20"/>
  <c r="EA31" i="20"/>
  <c r="DZ31" i="20"/>
  <c r="DY31" i="20"/>
  <c r="DX31" i="20"/>
  <c r="DW31" i="20"/>
  <c r="DV31" i="20"/>
  <c r="DU31" i="20"/>
  <c r="EA30" i="20"/>
  <c r="DZ30" i="20"/>
  <c r="DY30" i="20"/>
  <c r="DX30" i="20"/>
  <c r="DW30" i="20"/>
  <c r="DV30" i="20"/>
  <c r="DU30" i="20"/>
  <c r="EA29" i="20"/>
  <c r="DZ29" i="20"/>
  <c r="DY29" i="20"/>
  <c r="DX29" i="20"/>
  <c r="DW29" i="20"/>
  <c r="DV29" i="20"/>
  <c r="DU29" i="20"/>
  <c r="EA28" i="20"/>
  <c r="DZ28" i="20"/>
  <c r="DY28" i="20"/>
  <c r="DX28" i="20"/>
  <c r="DW28" i="20"/>
  <c r="DV28" i="20"/>
  <c r="DU28" i="20"/>
  <c r="EA27" i="20"/>
  <c r="DZ27" i="20"/>
  <c r="DY27" i="20"/>
  <c r="DX27" i="20"/>
  <c r="DW27" i="20"/>
  <c r="DV27" i="20"/>
  <c r="DU27" i="20"/>
  <c r="EA26" i="20"/>
  <c r="DZ26" i="20"/>
  <c r="DY26" i="20"/>
  <c r="DX26" i="20"/>
  <c r="DW26" i="20"/>
  <c r="DV26" i="20"/>
  <c r="DU26" i="20"/>
  <c r="EA25" i="20"/>
  <c r="DZ25" i="20"/>
  <c r="DY25" i="20"/>
  <c r="DX25" i="20"/>
  <c r="DW25" i="20"/>
  <c r="DV25" i="20"/>
  <c r="DU25" i="20"/>
  <c r="EA24" i="20"/>
  <c r="DZ24" i="20"/>
  <c r="DY24" i="20"/>
  <c r="DX24" i="20"/>
  <c r="DW24" i="20"/>
  <c r="DV24" i="20"/>
  <c r="DU24" i="20"/>
  <c r="EA23" i="20"/>
  <c r="DZ23" i="20"/>
  <c r="DY23" i="20"/>
  <c r="DX23" i="20"/>
  <c r="DW23" i="20"/>
  <c r="DV23" i="20"/>
  <c r="DU23" i="20"/>
  <c r="EA22" i="20"/>
  <c r="DZ22" i="20"/>
  <c r="DY22" i="20"/>
  <c r="DX22" i="20"/>
  <c r="DW22" i="20"/>
  <c r="DV22" i="20"/>
  <c r="DU22" i="20"/>
  <c r="EA21" i="20"/>
  <c r="DZ21" i="20"/>
  <c r="DY21" i="20"/>
  <c r="DX21" i="20"/>
  <c r="DW21" i="20"/>
  <c r="DV21" i="20"/>
  <c r="DU21" i="20"/>
  <c r="EA20" i="20"/>
  <c r="DZ20" i="20"/>
  <c r="DY20" i="20"/>
  <c r="DX20" i="20"/>
  <c r="DW20" i="20"/>
  <c r="DV20" i="20"/>
  <c r="DU20" i="20"/>
  <c r="EA19" i="20"/>
  <c r="DZ19" i="20"/>
  <c r="DY19" i="20"/>
  <c r="DX19" i="20"/>
  <c r="DW19" i="20"/>
  <c r="DV19" i="20"/>
  <c r="DU19" i="20"/>
  <c r="EA18" i="20"/>
  <c r="DZ18" i="20"/>
  <c r="DY18" i="20"/>
  <c r="DX18" i="20"/>
  <c r="DW18" i="20"/>
  <c r="DV18" i="20"/>
  <c r="DU18" i="20"/>
  <c r="EA17" i="20"/>
  <c r="DZ17" i="20"/>
  <c r="DY17" i="20"/>
  <c r="DX17" i="20"/>
  <c r="DW17" i="20"/>
  <c r="DV17" i="20"/>
  <c r="DU17" i="20"/>
  <c r="EA16" i="20"/>
  <c r="DZ16" i="20"/>
  <c r="DY16" i="20"/>
  <c r="DX16" i="20"/>
  <c r="DW16" i="20"/>
  <c r="DV16" i="20"/>
  <c r="DU16" i="20"/>
  <c r="EA15" i="20"/>
  <c r="DZ15" i="20"/>
  <c r="DY15" i="20"/>
  <c r="DX15" i="20"/>
  <c r="DW15" i="20"/>
  <c r="DV15" i="20"/>
  <c r="DU15" i="20"/>
  <c r="EA14" i="20"/>
  <c r="DZ14" i="20"/>
  <c r="DY14" i="20"/>
  <c r="DX14" i="20"/>
  <c r="DW14" i="20"/>
  <c r="DV14" i="20"/>
  <c r="DU14" i="20"/>
  <c r="EA13" i="20"/>
  <c r="DZ13" i="20"/>
  <c r="DY13" i="20"/>
  <c r="DX13" i="20"/>
  <c r="DW13" i="20"/>
  <c r="DV13" i="20"/>
  <c r="DU13" i="20"/>
  <c r="EA12" i="20"/>
  <c r="DZ12" i="20"/>
  <c r="DY12" i="20"/>
  <c r="DX12" i="20"/>
  <c r="DW12" i="20"/>
  <c r="DV12" i="20"/>
  <c r="DU12" i="20"/>
  <c r="EA11" i="20"/>
  <c r="DZ11" i="20"/>
  <c r="DY11" i="20"/>
  <c r="DX11" i="20"/>
  <c r="DW11" i="20"/>
  <c r="DV11" i="20"/>
  <c r="DU11" i="20"/>
  <c r="EA10" i="20"/>
  <c r="DZ10" i="20"/>
  <c r="DY10" i="20"/>
  <c r="DX10" i="20"/>
  <c r="DW10" i="20"/>
  <c r="DV10" i="20"/>
  <c r="DU10" i="20"/>
  <c r="DP56" i="20"/>
  <c r="DO56" i="20"/>
  <c r="DN56" i="20"/>
  <c r="DM56" i="20"/>
  <c r="DL56" i="20"/>
  <c r="DK56" i="20"/>
  <c r="DJ56" i="20"/>
  <c r="DQ55" i="20"/>
  <c r="DP50" i="20"/>
  <c r="DO50" i="20"/>
  <c r="DN50" i="20"/>
  <c r="DM50" i="20"/>
  <c r="DL50" i="20"/>
  <c r="DK50" i="20"/>
  <c r="DJ50" i="20"/>
  <c r="DQ49" i="20"/>
  <c r="DQ48" i="20"/>
  <c r="DQ47" i="20"/>
  <c r="DP46" i="20"/>
  <c r="DO46" i="20"/>
  <c r="DN46" i="20"/>
  <c r="DM46" i="20"/>
  <c r="DL46" i="20"/>
  <c r="DK46" i="20"/>
  <c r="DJ46" i="20"/>
  <c r="DQ45" i="20"/>
  <c r="DQ44" i="20"/>
  <c r="DQ43" i="20"/>
  <c r="DQ42" i="20"/>
  <c r="DQ41" i="20"/>
  <c r="DQ40" i="20"/>
  <c r="DP39" i="20"/>
  <c r="DO39" i="20"/>
  <c r="DN39" i="20"/>
  <c r="DM39" i="20"/>
  <c r="DL39" i="20"/>
  <c r="DK39" i="20"/>
  <c r="DJ39" i="20"/>
  <c r="DQ38" i="20"/>
  <c r="DQ37" i="20"/>
  <c r="DQ36" i="20"/>
  <c r="DQ35" i="20"/>
  <c r="DQ34" i="20"/>
  <c r="DP33" i="20"/>
  <c r="DO33" i="20"/>
  <c r="DN33" i="20"/>
  <c r="DM33" i="20"/>
  <c r="DL33" i="20"/>
  <c r="DK33" i="20"/>
  <c r="DJ33" i="20"/>
  <c r="DQ32" i="20"/>
  <c r="DQ31" i="20"/>
  <c r="DQ30" i="20"/>
  <c r="DQ29" i="20"/>
  <c r="DQ28" i="20"/>
  <c r="DQ27" i="20"/>
  <c r="DQ26" i="20"/>
  <c r="DQ25" i="20"/>
  <c r="DQ24" i="20"/>
  <c r="DQ23" i="20"/>
  <c r="DQ22" i="20"/>
  <c r="DQ21" i="20"/>
  <c r="DQ20" i="20"/>
  <c r="DQ19" i="20"/>
  <c r="DQ18" i="20"/>
  <c r="DQ17" i="20"/>
  <c r="DQ16" i="20"/>
  <c r="DQ15" i="20"/>
  <c r="DQ14" i="20"/>
  <c r="DQ13" i="20"/>
  <c r="DQ12" i="20"/>
  <c r="DQ11" i="20"/>
  <c r="DQ10" i="20"/>
  <c r="DP9" i="20"/>
  <c r="DO9" i="20"/>
  <c r="DN9" i="20"/>
  <c r="DM9" i="20"/>
  <c r="DL9" i="20"/>
  <c r="DK9" i="20"/>
  <c r="DJ9" i="20"/>
  <c r="X43" i="20"/>
  <c r="X38" i="20"/>
  <c r="X42" i="20"/>
  <c r="X37" i="20"/>
  <c r="X35" i="20"/>
  <c r="AR34" i="20"/>
  <c r="X34" i="20"/>
  <c r="DQ46" i="20" l="1"/>
  <c r="EI9" i="20"/>
  <c r="EM9" i="20"/>
  <c r="EG173" i="20"/>
  <c r="EK173" i="20"/>
  <c r="EH173" i="20"/>
  <c r="EL173" i="20"/>
  <c r="EI173" i="20"/>
  <c r="EM173" i="20"/>
  <c r="EJ173" i="20"/>
  <c r="DX9" i="20"/>
  <c r="EJ9" i="20"/>
  <c r="EG9" i="20"/>
  <c r="EK9" i="20"/>
  <c r="EH9" i="20"/>
  <c r="EL9" i="20"/>
  <c r="DQ39" i="20"/>
  <c r="DQ56" i="20"/>
  <c r="DU9" i="20"/>
  <c r="DY9" i="20"/>
  <c r="DQ33" i="20"/>
  <c r="DQ50" i="20"/>
  <c r="DQ9" i="20"/>
  <c r="DV9" i="20"/>
  <c r="DZ9" i="20"/>
  <c r="DW9" i="20"/>
  <c r="EA9" i="20"/>
  <c r="A139" i="40"/>
  <c r="A139" i="41" s="1"/>
  <c r="E130" i="40"/>
  <c r="D130" i="40"/>
  <c r="C130" i="40"/>
  <c r="B130" i="40"/>
  <c r="B131" i="74" s="1"/>
  <c r="B131" i="77" s="1"/>
  <c r="A133" i="40"/>
  <c r="A133" i="41" s="1"/>
  <c r="A134" i="40"/>
  <c r="A134" i="41" s="1"/>
  <c r="A135" i="40"/>
  <c r="A135" i="41" s="1"/>
  <c r="A136" i="40"/>
  <c r="A136" i="41" s="1"/>
  <c r="A137" i="40"/>
  <c r="A137" i="41" s="1"/>
  <c r="A138" i="40"/>
  <c r="A138" i="41" s="1"/>
  <c r="A127" i="40"/>
  <c r="A127" i="41" s="1"/>
  <c r="A128" i="40"/>
  <c r="A128" i="41" s="1"/>
  <c r="A129" i="40"/>
  <c r="A129" i="41" s="1"/>
  <c r="A130" i="40"/>
  <c r="A130" i="41" s="1"/>
  <c r="A131" i="40"/>
  <c r="A131" i="41" s="1"/>
  <c r="A132" i="40"/>
  <c r="A132" i="41" s="1"/>
  <c r="A117" i="40"/>
  <c r="A117" i="41" s="1"/>
  <c r="A118" i="40"/>
  <c r="A118" i="41" s="1"/>
  <c r="A119" i="40"/>
  <c r="A119" i="41" s="1"/>
  <c r="A120" i="40"/>
  <c r="A120" i="41" s="1"/>
  <c r="A121" i="40"/>
  <c r="A121" i="41" s="1"/>
  <c r="A122" i="40"/>
  <c r="A122" i="41" s="1"/>
  <c r="A123" i="40"/>
  <c r="A123" i="41" s="1"/>
  <c r="A124" i="40"/>
  <c r="A124" i="41" s="1"/>
  <c r="A125" i="40"/>
  <c r="A125" i="41" s="1"/>
  <c r="A126" i="40"/>
  <c r="A126" i="41" s="1"/>
  <c r="A109" i="40"/>
  <c r="A109" i="41" s="1"/>
  <c r="A110" i="40"/>
  <c r="A110" i="41" s="1"/>
  <c r="A111" i="40"/>
  <c r="A111" i="41" s="1"/>
  <c r="A112" i="40"/>
  <c r="A112" i="41" s="1"/>
  <c r="A113" i="40"/>
  <c r="A113" i="41" s="1"/>
  <c r="A114" i="40"/>
  <c r="A114" i="41" s="1"/>
  <c r="A115" i="40"/>
  <c r="A115" i="41" s="1"/>
  <c r="A116" i="40"/>
  <c r="A116" i="41" s="1"/>
  <c r="B67" i="40"/>
  <c r="B68" i="74" s="1"/>
  <c r="B68" i="77" s="1"/>
  <c r="D63" i="40"/>
  <c r="B63" i="40"/>
  <c r="B54" i="40"/>
  <c r="B55" i="74" s="1"/>
  <c r="B55" i="77" s="1"/>
  <c r="A25" i="40"/>
  <c r="A25" i="41" s="1"/>
  <c r="J3" i="40"/>
  <c r="J4" i="40"/>
  <c r="J5" i="40"/>
  <c r="J6" i="40"/>
  <c r="J7" i="40"/>
  <c r="J8" i="40"/>
  <c r="J9" i="40"/>
  <c r="J10" i="40"/>
  <c r="J11" i="40"/>
  <c r="J12" i="40"/>
  <c r="J13" i="40"/>
  <c r="J14" i="40"/>
  <c r="J15" i="40"/>
  <c r="J16" i="40"/>
  <c r="K16" i="40" s="1"/>
  <c r="J17" i="40"/>
  <c r="J18" i="40"/>
  <c r="J19" i="40"/>
  <c r="J20" i="40"/>
  <c r="J21" i="40"/>
  <c r="J22" i="40"/>
  <c r="J23" i="40"/>
  <c r="J24" i="40"/>
  <c r="M131" i="74" l="1"/>
  <c r="M131" i="77" s="1"/>
  <c r="O131" i="77" s="1"/>
  <c r="P131" i="74"/>
  <c r="P131" i="77" s="1"/>
  <c r="R131" i="77" s="1"/>
  <c r="S131" i="74"/>
  <c r="S131" i="77" s="1"/>
  <c r="J131" i="74"/>
  <c r="J131" i="77" s="1"/>
  <c r="G131" i="74"/>
  <c r="G131" i="77" s="1"/>
  <c r="V131" i="74"/>
  <c r="V131" i="77" s="1"/>
  <c r="X131" i="77" s="1"/>
  <c r="S68" i="74"/>
  <c r="S68" i="77" s="1"/>
  <c r="U68" i="77" s="1"/>
  <c r="P68" i="74"/>
  <c r="P68" i="77" s="1"/>
  <c r="M68" i="74"/>
  <c r="M68" i="77" s="1"/>
  <c r="O68" i="77" s="1"/>
  <c r="V68" i="74"/>
  <c r="V68" i="77" s="1"/>
  <c r="X68" i="77" s="1"/>
  <c r="J68" i="74"/>
  <c r="J68" i="77" s="1"/>
  <c r="G68" i="74"/>
  <c r="G68" i="77" s="1"/>
  <c r="B130" i="41"/>
  <c r="C131" i="74"/>
  <c r="C131" i="77" s="1"/>
  <c r="S55" i="74"/>
  <c r="S55" i="77" s="1"/>
  <c r="U55" i="77" s="1"/>
  <c r="G55" i="74"/>
  <c r="G55" i="77" s="1"/>
  <c r="P55" i="74"/>
  <c r="P55" i="77" s="1"/>
  <c r="J55" i="74"/>
  <c r="J55" i="77" s="1"/>
  <c r="M55" i="74"/>
  <c r="M55" i="77" s="1"/>
  <c r="O55" i="77" s="1"/>
  <c r="V55" i="74"/>
  <c r="V55" i="77" s="1"/>
  <c r="X55" i="77" s="1"/>
  <c r="E130" i="41"/>
  <c r="D131" i="74"/>
  <c r="D131" i="77" s="1"/>
  <c r="E63" i="41"/>
  <c r="D64" i="74"/>
  <c r="D64" i="77" s="1"/>
  <c r="H63" i="40"/>
  <c r="B64" i="74"/>
  <c r="B64" i="77" s="1"/>
  <c r="F130" i="41"/>
  <c r="E131" i="74"/>
  <c r="E131" i="77" s="1"/>
  <c r="D54" i="41"/>
  <c r="H54" i="40"/>
  <c r="D67" i="41"/>
  <c r="H67" i="40"/>
  <c r="D130" i="41"/>
  <c r="H130" i="40"/>
  <c r="D63" i="41"/>
  <c r="A97" i="40"/>
  <c r="A97" i="41" s="1"/>
  <c r="A98" i="40"/>
  <c r="A98" i="41" s="1"/>
  <c r="A99" i="40"/>
  <c r="A99" i="41" s="1"/>
  <c r="A100" i="40"/>
  <c r="A100" i="41" s="1"/>
  <c r="A101" i="40"/>
  <c r="A101" i="41" s="1"/>
  <c r="A102" i="40"/>
  <c r="A102" i="41" s="1"/>
  <c r="A103" i="40"/>
  <c r="A103" i="41" s="1"/>
  <c r="A104" i="40"/>
  <c r="A104" i="41" s="1"/>
  <c r="A105" i="40"/>
  <c r="A105" i="41" s="1"/>
  <c r="A106" i="40"/>
  <c r="A106" i="41" s="1"/>
  <c r="A107" i="40"/>
  <c r="A107" i="41" s="1"/>
  <c r="A108" i="40"/>
  <c r="A108" i="41" s="1"/>
  <c r="A64" i="40"/>
  <c r="A64" i="41" s="1"/>
  <c r="A65" i="40"/>
  <c r="A65" i="41" s="1"/>
  <c r="A66" i="40"/>
  <c r="A66" i="41" s="1"/>
  <c r="A67" i="40"/>
  <c r="A67" i="41" s="1"/>
  <c r="A68" i="40"/>
  <c r="A68" i="41" s="1"/>
  <c r="A69" i="40"/>
  <c r="A69" i="41" s="1"/>
  <c r="A70" i="40"/>
  <c r="A70" i="41" s="1"/>
  <c r="A71" i="40"/>
  <c r="A71" i="41" s="1"/>
  <c r="A72" i="40"/>
  <c r="A72" i="41" s="1"/>
  <c r="A73" i="40"/>
  <c r="A73" i="41" s="1"/>
  <c r="A74" i="40"/>
  <c r="A74" i="41" s="1"/>
  <c r="A75" i="40"/>
  <c r="A75" i="41" s="1"/>
  <c r="A76" i="40"/>
  <c r="A76" i="41" s="1"/>
  <c r="A77" i="40"/>
  <c r="A77" i="41" s="1"/>
  <c r="A78" i="40"/>
  <c r="A78" i="41" s="1"/>
  <c r="A79" i="40"/>
  <c r="A79" i="41" s="1"/>
  <c r="A80" i="40"/>
  <c r="A80" i="41" s="1"/>
  <c r="A81" i="40"/>
  <c r="A81" i="41" s="1"/>
  <c r="A82" i="40"/>
  <c r="A82" i="41" s="1"/>
  <c r="A83" i="40"/>
  <c r="A83" i="41" s="1"/>
  <c r="A84" i="40"/>
  <c r="A84" i="41" s="1"/>
  <c r="A85" i="40"/>
  <c r="A85" i="41" s="1"/>
  <c r="A86" i="40"/>
  <c r="A86" i="41" s="1"/>
  <c r="A87" i="40"/>
  <c r="A87" i="41" s="1"/>
  <c r="A88" i="40"/>
  <c r="A88" i="41" s="1"/>
  <c r="A89" i="40"/>
  <c r="A89" i="41" s="1"/>
  <c r="A90" i="40"/>
  <c r="A90" i="41" s="1"/>
  <c r="A91" i="40"/>
  <c r="A91" i="41" s="1"/>
  <c r="A92" i="40"/>
  <c r="A92" i="41" s="1"/>
  <c r="A93" i="40"/>
  <c r="A93" i="41" s="1"/>
  <c r="A94" i="40"/>
  <c r="A94" i="41" s="1"/>
  <c r="A95" i="40"/>
  <c r="A95" i="41" s="1"/>
  <c r="A96" i="40"/>
  <c r="A96" i="41" s="1"/>
  <c r="A35" i="40"/>
  <c r="A35" i="41" s="1"/>
  <c r="A37" i="40"/>
  <c r="A37" i="41" s="1"/>
  <c r="A38" i="40"/>
  <c r="A38" i="41" s="1"/>
  <c r="A39" i="40"/>
  <c r="A39" i="41" s="1"/>
  <c r="A40" i="40"/>
  <c r="A40" i="41" s="1"/>
  <c r="A41" i="40"/>
  <c r="A41" i="41" s="1"/>
  <c r="A42" i="40"/>
  <c r="A42" i="41" s="1"/>
  <c r="A43" i="40"/>
  <c r="A43" i="41" s="1"/>
  <c r="A44" i="40"/>
  <c r="A44" i="41" s="1"/>
  <c r="A45" i="40"/>
  <c r="A45" i="41" s="1"/>
  <c r="A46" i="40"/>
  <c r="A46" i="41" s="1"/>
  <c r="A47" i="40"/>
  <c r="A47" i="41" s="1"/>
  <c r="A48" i="40"/>
  <c r="A48" i="41" s="1"/>
  <c r="A49" i="40"/>
  <c r="A49" i="41" s="1"/>
  <c r="A50" i="40"/>
  <c r="A50" i="41" s="1"/>
  <c r="A51" i="40"/>
  <c r="A51" i="41" s="1"/>
  <c r="A52" i="40"/>
  <c r="A52" i="41" s="1"/>
  <c r="A53" i="40"/>
  <c r="A53" i="41" s="1"/>
  <c r="A54" i="40"/>
  <c r="A54" i="41" s="1"/>
  <c r="A55" i="40"/>
  <c r="A55" i="41" s="1"/>
  <c r="A56" i="40"/>
  <c r="A56" i="41" s="1"/>
  <c r="A57" i="40"/>
  <c r="A57" i="41" s="1"/>
  <c r="A58" i="40"/>
  <c r="A58" i="41" s="1"/>
  <c r="A59" i="40"/>
  <c r="A59" i="41" s="1"/>
  <c r="A60" i="40"/>
  <c r="A60" i="41" s="1"/>
  <c r="A63" i="40"/>
  <c r="A63" i="41" s="1"/>
  <c r="A34" i="40"/>
  <c r="A34" i="41" s="1"/>
  <c r="A33" i="40"/>
  <c r="A33" i="41" s="1"/>
  <c r="A32" i="40"/>
  <c r="A32" i="41" s="1"/>
  <c r="A31" i="40"/>
  <c r="A31" i="41" s="1"/>
  <c r="A30" i="40"/>
  <c r="A30" i="41" s="1"/>
  <c r="A29" i="40"/>
  <c r="A29" i="41" s="1"/>
  <c r="A28" i="40"/>
  <c r="A28" i="41" s="1"/>
  <c r="A27" i="40"/>
  <c r="A27" i="41" s="1"/>
  <c r="A26" i="40"/>
  <c r="A26" i="41" s="1"/>
  <c r="A24" i="40"/>
  <c r="A24" i="41" s="1"/>
  <c r="A23" i="40"/>
  <c r="A23" i="41" s="1"/>
  <c r="A22" i="40"/>
  <c r="A22" i="41" s="1"/>
  <c r="A21" i="40"/>
  <c r="A21" i="41" s="1"/>
  <c r="A20" i="40"/>
  <c r="A20" i="41" s="1"/>
  <c r="A19" i="40"/>
  <c r="A19" i="41" s="1"/>
  <c r="A18" i="40"/>
  <c r="A18" i="41" s="1"/>
  <c r="A17" i="40"/>
  <c r="A17" i="41" s="1"/>
  <c r="A16" i="40"/>
  <c r="A16" i="41" s="1"/>
  <c r="A15" i="40"/>
  <c r="A15" i="41" s="1"/>
  <c r="A14" i="40"/>
  <c r="A14" i="41" s="1"/>
  <c r="A13" i="40"/>
  <c r="A13" i="41" s="1"/>
  <c r="A12" i="40"/>
  <c r="A12" i="41" s="1"/>
  <c r="A11" i="40"/>
  <c r="A11" i="41" s="1"/>
  <c r="A10" i="40"/>
  <c r="A10" i="41" s="1"/>
  <c r="A9" i="40"/>
  <c r="A9" i="41" s="1"/>
  <c r="A8" i="40"/>
  <c r="A8" i="41" s="1"/>
  <c r="A7" i="40"/>
  <c r="A7" i="41" s="1"/>
  <c r="A6" i="40"/>
  <c r="A6" i="41" s="1"/>
  <c r="A5" i="40"/>
  <c r="A5" i="41" s="1"/>
  <c r="A4" i="40"/>
  <c r="A4" i="41" s="1"/>
  <c r="A3" i="40"/>
  <c r="A3" i="41" s="1"/>
  <c r="P64" i="74" l="1"/>
  <c r="P64" i="77" s="1"/>
  <c r="M64" i="74"/>
  <c r="M64" i="77" s="1"/>
  <c r="O64" i="77" s="1"/>
  <c r="V64" i="74"/>
  <c r="V64" i="77" s="1"/>
  <c r="X64" i="77" s="1"/>
  <c r="J64" i="74"/>
  <c r="J64" i="77" s="1"/>
  <c r="G64" i="74"/>
  <c r="G64" i="77" s="1"/>
  <c r="S64" i="74"/>
  <c r="S64" i="77" s="1"/>
  <c r="U64" i="77" s="1"/>
  <c r="I67" i="41"/>
  <c r="I54" i="41"/>
  <c r="I130" i="41"/>
  <c r="I63" i="41"/>
  <c r="U183" i="25" l="1"/>
  <c r="T183" i="25"/>
  <c r="S183" i="25"/>
  <c r="R183" i="25"/>
  <c r="Q183" i="25"/>
  <c r="B171" i="28"/>
  <c r="B168" i="28"/>
  <c r="B159" i="28"/>
  <c r="B152" i="28"/>
  <c r="B146" i="28"/>
  <c r="B139" i="28"/>
  <c r="B133" i="28"/>
  <c r="B119" i="28"/>
  <c r="B112" i="28"/>
  <c r="B106" i="28"/>
  <c r="B100" i="28"/>
  <c r="B90" i="28"/>
  <c r="B84" i="28"/>
  <c r="B77" i="28"/>
  <c r="B72" i="28"/>
  <c r="B65" i="28"/>
  <c r="B60" i="28"/>
  <c r="B54" i="28"/>
  <c r="B44" i="28"/>
  <c r="B37" i="28"/>
  <c r="B31" i="28"/>
  <c r="B170" i="28"/>
  <c r="B167" i="28"/>
  <c r="B158" i="28"/>
  <c r="B145" i="28"/>
  <c r="B118" i="28"/>
  <c r="B99" i="28"/>
  <c r="B71" i="28"/>
  <c r="B166" i="28"/>
  <c r="B98" i="28"/>
  <c r="B7" i="28"/>
  <c r="B6" i="28"/>
  <c r="B5" i="28"/>
  <c r="C172" i="23"/>
  <c r="C169" i="23"/>
  <c r="C160" i="23"/>
  <c r="C153" i="23"/>
  <c r="C147" i="23"/>
  <c r="C140" i="23"/>
  <c r="C134" i="23"/>
  <c r="C120" i="23"/>
  <c r="C113" i="23"/>
  <c r="C107" i="23"/>
  <c r="C101" i="23"/>
  <c r="C91" i="23"/>
  <c r="C85" i="23"/>
  <c r="C78" i="23"/>
  <c r="C73" i="23"/>
  <c r="C66" i="23"/>
  <c r="C61" i="23"/>
  <c r="C55" i="23"/>
  <c r="C45" i="23"/>
  <c r="C38" i="23"/>
  <c r="C32" i="23"/>
  <c r="C171" i="23"/>
  <c r="C168" i="23"/>
  <c r="C159" i="23"/>
  <c r="C146" i="23"/>
  <c r="C119" i="23"/>
  <c r="C100" i="23"/>
  <c r="C72" i="23"/>
  <c r="C167" i="23"/>
  <c r="C99" i="23"/>
  <c r="C8" i="23"/>
  <c r="C7" i="23"/>
  <c r="C6" i="23"/>
  <c r="B172" i="24"/>
  <c r="B169" i="24"/>
  <c r="B160" i="24"/>
  <c r="B153" i="24"/>
  <c r="B147" i="24"/>
  <c r="B140" i="24"/>
  <c r="B134" i="24"/>
  <c r="B120" i="24"/>
  <c r="B113" i="24"/>
  <c r="B107" i="24"/>
  <c r="B101" i="24"/>
  <c r="B91" i="24"/>
  <c r="B85" i="24"/>
  <c r="B78" i="24"/>
  <c r="B73" i="24"/>
  <c r="B66" i="24"/>
  <c r="B61" i="24"/>
  <c r="B55" i="24"/>
  <c r="B45" i="24"/>
  <c r="B38" i="24"/>
  <c r="B32" i="24"/>
  <c r="B171" i="24"/>
  <c r="B168" i="24"/>
  <c r="B159" i="24"/>
  <c r="B146" i="24"/>
  <c r="B119" i="24"/>
  <c r="B72" i="24"/>
  <c r="B100" i="24"/>
  <c r="B167" i="24"/>
  <c r="B99" i="24"/>
  <c r="B8" i="24"/>
  <c r="B7" i="24"/>
  <c r="B6" i="24"/>
  <c r="B173" i="25"/>
  <c r="B170" i="25"/>
  <c r="B161" i="25"/>
  <c r="B154" i="25"/>
  <c r="B148" i="25"/>
  <c r="B141" i="25"/>
  <c r="B135" i="25"/>
  <c r="B121" i="25"/>
  <c r="B114" i="25"/>
  <c r="B108" i="25"/>
  <c r="B102" i="25"/>
  <c r="B92" i="25"/>
  <c r="B86" i="25"/>
  <c r="B79" i="25"/>
  <c r="B73" i="25"/>
  <c r="B74" i="25"/>
  <c r="B67" i="25"/>
  <c r="B62" i="25"/>
  <c r="B56" i="25"/>
  <c r="B46" i="25"/>
  <c r="B39" i="25"/>
  <c r="B33" i="25"/>
  <c r="B172" i="25"/>
  <c r="B169" i="25"/>
  <c r="B160" i="25"/>
  <c r="B147" i="25"/>
  <c r="B120" i="25"/>
  <c r="B101" i="25"/>
  <c r="B168" i="25"/>
  <c r="B100" i="25"/>
  <c r="B9" i="25"/>
  <c r="B8" i="25"/>
  <c r="B7" i="25"/>
  <c r="B172" i="26"/>
  <c r="B169" i="26"/>
  <c r="B160" i="26"/>
  <c r="B153" i="26"/>
  <c r="B147" i="26"/>
  <c r="B140" i="26"/>
  <c r="B134" i="26"/>
  <c r="B120" i="26"/>
  <c r="B113" i="26"/>
  <c r="B107" i="26"/>
  <c r="B101" i="26"/>
  <c r="B91" i="26"/>
  <c r="B85" i="26"/>
  <c r="B78" i="26"/>
  <c r="B73" i="26"/>
  <c r="B66" i="26"/>
  <c r="B61" i="26"/>
  <c r="B55" i="26"/>
  <c r="B45" i="26"/>
  <c r="B38" i="26"/>
  <c r="B32" i="26"/>
  <c r="B171" i="26"/>
  <c r="B168" i="26"/>
  <c r="B159" i="26"/>
  <c r="B146" i="26"/>
  <c r="B119" i="26"/>
  <c r="B100" i="26"/>
  <c r="B72" i="26"/>
  <c r="B8" i="26"/>
  <c r="B7" i="26"/>
  <c r="B167" i="26"/>
  <c r="B99" i="26"/>
  <c r="B6" i="26"/>
  <c r="B172" i="27"/>
  <c r="B169" i="27"/>
  <c r="B171" i="27"/>
  <c r="B168" i="27"/>
  <c r="B167" i="27"/>
  <c r="B159" i="27"/>
  <c r="B160" i="27"/>
  <c r="B153" i="27"/>
  <c r="B147" i="27"/>
  <c r="B146" i="27"/>
  <c r="B134" i="27"/>
  <c r="B120" i="27"/>
  <c r="B119" i="27"/>
  <c r="B113" i="27"/>
  <c r="B107" i="27"/>
  <c r="B101" i="27"/>
  <c r="B100" i="27"/>
  <c r="B99" i="27"/>
  <c r="B91" i="27"/>
  <c r="B85" i="27"/>
  <c r="B78" i="27"/>
  <c r="B73" i="27"/>
  <c r="B72" i="27"/>
  <c r="B66" i="27"/>
  <c r="B61" i="27"/>
  <c r="B58" i="2"/>
  <c r="B55" i="27"/>
  <c r="B45" i="27"/>
  <c r="B38" i="27"/>
  <c r="Q181" i="26"/>
  <c r="Q180" i="26"/>
  <c r="Q179" i="26"/>
  <c r="Q178" i="26"/>
  <c r="Q177" i="26"/>
  <c r="Q176" i="26"/>
  <c r="Q175" i="26"/>
  <c r="Q174" i="26"/>
  <c r="Q173" i="26"/>
  <c r="Q170" i="26"/>
  <c r="Q166" i="26"/>
  <c r="Q165" i="26"/>
  <c r="Q164" i="26"/>
  <c r="Q163" i="26"/>
  <c r="Q162" i="26"/>
  <c r="Q161" i="26"/>
  <c r="Q158" i="26"/>
  <c r="Q157" i="26"/>
  <c r="Q156" i="26"/>
  <c r="Q155" i="26"/>
  <c r="Q154" i="26"/>
  <c r="Q152" i="26"/>
  <c r="Q151" i="26"/>
  <c r="Q150" i="26"/>
  <c r="Q149" i="26"/>
  <c r="Q148" i="26"/>
  <c r="Q145" i="26"/>
  <c r="Q144" i="26"/>
  <c r="Q143" i="26"/>
  <c r="Q142" i="26"/>
  <c r="Q141" i="26"/>
  <c r="Q139" i="26"/>
  <c r="Q138" i="26"/>
  <c r="Q137" i="26"/>
  <c r="Q136" i="26"/>
  <c r="Q135" i="26"/>
  <c r="Q133" i="26"/>
  <c r="Q132" i="26"/>
  <c r="Q131" i="26"/>
  <c r="Q130" i="26"/>
  <c r="Q129" i="26"/>
  <c r="Q128" i="26"/>
  <c r="Q127" i="26"/>
  <c r="Q126" i="26"/>
  <c r="Q125" i="26"/>
  <c r="Q124" i="26"/>
  <c r="Q123" i="26"/>
  <c r="Q122" i="26"/>
  <c r="Q121" i="26"/>
  <c r="Q118" i="26"/>
  <c r="Q117" i="26"/>
  <c r="Q116" i="26"/>
  <c r="Q115" i="26"/>
  <c r="Q114" i="26"/>
  <c r="Q112" i="26"/>
  <c r="Q111" i="26"/>
  <c r="Q110" i="26"/>
  <c r="Q109" i="26"/>
  <c r="Q108" i="26"/>
  <c r="Q106" i="26"/>
  <c r="Q105" i="26"/>
  <c r="Q104" i="26"/>
  <c r="Q103" i="26"/>
  <c r="Q102" i="26"/>
  <c r="Q98" i="26"/>
  <c r="Q97" i="26"/>
  <c r="Q96" i="26"/>
  <c r="Q95" i="26"/>
  <c r="Q94" i="26"/>
  <c r="Q93" i="26"/>
  <c r="Q92" i="26"/>
  <c r="Q90" i="26"/>
  <c r="Q89" i="26"/>
  <c r="Q88" i="26"/>
  <c r="Q87" i="26"/>
  <c r="Q86" i="26"/>
  <c r="Q84" i="26"/>
  <c r="Q83" i="26"/>
  <c r="Q82" i="26"/>
  <c r="Q81" i="26"/>
  <c r="Q80" i="26"/>
  <c r="Q79" i="26"/>
  <c r="Q77" i="26"/>
  <c r="Q76" i="26"/>
  <c r="Q75" i="26"/>
  <c r="Q74" i="26"/>
  <c r="Q71" i="26"/>
  <c r="Q70" i="26"/>
  <c r="Q69" i="26"/>
  <c r="Q68" i="26"/>
  <c r="Q67" i="26"/>
  <c r="Q65" i="26"/>
  <c r="Q64" i="26"/>
  <c r="Q63" i="26"/>
  <c r="Q62" i="26"/>
  <c r="Q60" i="26"/>
  <c r="Q59" i="26"/>
  <c r="Q58" i="26"/>
  <c r="Q56" i="26"/>
  <c r="Q54" i="26"/>
  <c r="Q53" i="26"/>
  <c r="Q52" i="26"/>
  <c r="Q51" i="26"/>
  <c r="Q50" i="26"/>
  <c r="Q31" i="26"/>
  <c r="Q30" i="26"/>
  <c r="Q29" i="26"/>
  <c r="Q28" i="26"/>
  <c r="Q27" i="26"/>
  <c r="Q26" i="26"/>
  <c r="Q25" i="26"/>
  <c r="Q24" i="26"/>
  <c r="Q23" i="26"/>
  <c r="Q22" i="26"/>
  <c r="Q21" i="26"/>
  <c r="Q20" i="26"/>
  <c r="Q19" i="26"/>
  <c r="Q18" i="26"/>
  <c r="Q17" i="26"/>
  <c r="Q16" i="26"/>
  <c r="Q15" i="26"/>
  <c r="Q14" i="26"/>
  <c r="Q13" i="26"/>
  <c r="Q12" i="26"/>
  <c r="Q11" i="26"/>
  <c r="Q10" i="26"/>
  <c r="Q9" i="26"/>
  <c r="Q37" i="26"/>
  <c r="Q36" i="26"/>
  <c r="Q35" i="26"/>
  <c r="Q34" i="26"/>
  <c r="Q33" i="26"/>
  <c r="Q48" i="26"/>
  <c r="Q47" i="26"/>
  <c r="Q46" i="26"/>
  <c r="Q44" i="26"/>
  <c r="Q43" i="26"/>
  <c r="Q42" i="26"/>
  <c r="Q41" i="26"/>
  <c r="Q40" i="26"/>
  <c r="Q39" i="26"/>
  <c r="B57" i="27" l="1"/>
  <c r="B57" i="10"/>
  <c r="B57" i="26"/>
  <c r="B56" i="28"/>
  <c r="C57" i="23"/>
  <c r="B58" i="25"/>
  <c r="B57" i="24"/>
  <c r="X172" i="26"/>
  <c r="X171" i="26"/>
  <c r="X169" i="26"/>
  <c r="X168" i="26"/>
  <c r="X167" i="26"/>
  <c r="X160" i="26"/>
  <c r="X159" i="26"/>
  <c r="X153" i="26"/>
  <c r="X147" i="26"/>
  <c r="X146" i="26"/>
  <c r="X120" i="26"/>
  <c r="X119" i="26"/>
  <c r="X113" i="26"/>
  <c r="X107" i="26"/>
  <c r="X101" i="26"/>
  <c r="X100" i="26"/>
  <c r="X99" i="26"/>
  <c r="X91" i="26"/>
  <c r="X85" i="26"/>
  <c r="X78" i="26"/>
  <c r="X73" i="26"/>
  <c r="X72" i="26"/>
  <c r="X66" i="26"/>
  <c r="X61" i="26"/>
  <c r="X57" i="26"/>
  <c r="X55" i="26"/>
  <c r="X49" i="26"/>
  <c r="X45" i="26"/>
  <c r="X38" i="26"/>
  <c r="X32" i="26"/>
  <c r="AQ119" i="28" l="1"/>
  <c r="AN119" i="28"/>
  <c r="AM119" i="28"/>
  <c r="AI119" i="28"/>
  <c r="AH119" i="28"/>
  <c r="AD119" i="28"/>
  <c r="AC119" i="28"/>
  <c r="Y119" i="28"/>
  <c r="X119" i="28"/>
  <c r="T119" i="28"/>
  <c r="S119" i="28"/>
  <c r="AQ90" i="28"/>
  <c r="AM90" i="28"/>
  <c r="AH90" i="28"/>
  <c r="AD90" i="28"/>
  <c r="AC90" i="28"/>
  <c r="Y90" i="28"/>
  <c r="X90" i="28"/>
  <c r="S90" i="28"/>
  <c r="AQ7" i="28"/>
  <c r="AN7" i="28"/>
  <c r="AM7" i="28"/>
  <c r="AI7" i="28"/>
  <c r="AH7" i="28"/>
  <c r="AG7" i="28"/>
  <c r="AD7" i="28"/>
  <c r="AC7" i="28"/>
  <c r="AB7" i="28"/>
  <c r="Y7" i="28"/>
  <c r="X7" i="28"/>
  <c r="W7" i="28"/>
  <c r="T7" i="28"/>
  <c r="S7" i="28"/>
  <c r="R7" i="28"/>
  <c r="L7" i="28"/>
  <c r="AQ31" i="28"/>
  <c r="AN31" i="28"/>
  <c r="AM31" i="28"/>
  <c r="AI31" i="28"/>
  <c r="AH31" i="28"/>
  <c r="AD31" i="28"/>
  <c r="AC31" i="28"/>
  <c r="AB31" i="28"/>
  <c r="Y31" i="28"/>
  <c r="X31" i="28"/>
  <c r="T31" i="28"/>
  <c r="S31" i="28"/>
  <c r="AQ37" i="28"/>
  <c r="AM37" i="28"/>
  <c r="AI37" i="28"/>
  <c r="AH37" i="28"/>
  <c r="AD37" i="28"/>
  <c r="AC37" i="28"/>
  <c r="X37" i="28"/>
  <c r="S37" i="28"/>
  <c r="AQ44" i="28"/>
  <c r="AM44" i="28"/>
  <c r="AI44" i="28"/>
  <c r="AH44" i="28"/>
  <c r="AD44" i="28"/>
  <c r="AC44" i="28"/>
  <c r="X44" i="28"/>
  <c r="S44" i="28"/>
  <c r="AQ48" i="28"/>
  <c r="AM48" i="28"/>
  <c r="AI48" i="28"/>
  <c r="AH48" i="28"/>
  <c r="AC48" i="28"/>
  <c r="Y48" i="28"/>
  <c r="X48" i="28"/>
  <c r="T48" i="28"/>
  <c r="S48" i="28"/>
  <c r="AQ54" i="28"/>
  <c r="AM54" i="28"/>
  <c r="AI54" i="28"/>
  <c r="AH54" i="28"/>
  <c r="AC54" i="28"/>
  <c r="Y54" i="28"/>
  <c r="X54" i="28"/>
  <c r="T54" i="28"/>
  <c r="S54" i="28"/>
  <c r="AQ56" i="28"/>
  <c r="AN56" i="28"/>
  <c r="AM56" i="28"/>
  <c r="AI56" i="28"/>
  <c r="AH56" i="28"/>
  <c r="AD56" i="28"/>
  <c r="AC56" i="28"/>
  <c r="Y56" i="28"/>
  <c r="X56" i="28"/>
  <c r="T56" i="28"/>
  <c r="S56" i="28"/>
  <c r="AQ60" i="28"/>
  <c r="AM60" i="28"/>
  <c r="AI60" i="28"/>
  <c r="AH60" i="28"/>
  <c r="AD60" i="28"/>
  <c r="AC60" i="28"/>
  <c r="X60" i="28"/>
  <c r="S60" i="28"/>
  <c r="AQ65" i="28"/>
  <c r="AN65" i="28"/>
  <c r="AM65" i="28"/>
  <c r="AI65" i="28"/>
  <c r="AH65" i="28"/>
  <c r="AD65" i="28"/>
  <c r="AC65" i="28"/>
  <c r="Y65" i="28"/>
  <c r="X65" i="28"/>
  <c r="T65" i="28"/>
  <c r="S65" i="28"/>
  <c r="AQ72" i="28"/>
  <c r="AN72" i="28"/>
  <c r="AM72" i="28"/>
  <c r="AI72" i="28"/>
  <c r="AH72" i="28"/>
  <c r="AD72" i="28"/>
  <c r="AC72" i="28"/>
  <c r="Y72" i="28"/>
  <c r="X72" i="28"/>
  <c r="T72" i="28"/>
  <c r="S72" i="28"/>
  <c r="AQ77" i="28"/>
  <c r="AM77" i="28"/>
  <c r="AI77" i="28"/>
  <c r="AH77" i="28"/>
  <c r="AD77" i="28"/>
  <c r="AC77" i="28"/>
  <c r="Y77" i="28"/>
  <c r="X77" i="28"/>
  <c r="S77" i="28"/>
  <c r="AQ84" i="28"/>
  <c r="AM84" i="28"/>
  <c r="AI84" i="28"/>
  <c r="AH84" i="28"/>
  <c r="AD84" i="28"/>
  <c r="AC84" i="28"/>
  <c r="Y84" i="28"/>
  <c r="X84" i="28"/>
  <c r="S84" i="28"/>
  <c r="AQ100" i="28"/>
  <c r="AN100" i="28"/>
  <c r="AM100" i="28"/>
  <c r="AI100" i="28"/>
  <c r="AH100" i="28"/>
  <c r="AD100" i="28"/>
  <c r="AC100" i="28"/>
  <c r="Y100" i="28"/>
  <c r="X100" i="28"/>
  <c r="T100" i="28"/>
  <c r="S100" i="28"/>
  <c r="AQ106" i="28"/>
  <c r="AN106" i="28"/>
  <c r="AM106" i="28"/>
  <c r="AI106" i="28"/>
  <c r="AH106" i="28"/>
  <c r="AD106" i="28"/>
  <c r="AC106" i="28"/>
  <c r="Y106" i="28"/>
  <c r="X106" i="28"/>
  <c r="T106" i="28"/>
  <c r="S106" i="28"/>
  <c r="AQ112" i="28"/>
  <c r="AN112" i="28"/>
  <c r="AM112" i="28"/>
  <c r="AI112" i="28"/>
  <c r="AH112" i="28"/>
  <c r="AD112" i="28"/>
  <c r="AC112" i="28"/>
  <c r="Y112" i="28"/>
  <c r="X112" i="28"/>
  <c r="T112" i="28"/>
  <c r="S112" i="28"/>
  <c r="AQ133" i="28"/>
  <c r="AN133" i="28"/>
  <c r="AM133" i="28"/>
  <c r="AI133" i="28"/>
  <c r="AH133" i="28"/>
  <c r="AD133" i="28"/>
  <c r="AC133" i="28"/>
  <c r="Y133" i="28"/>
  <c r="X133" i="28"/>
  <c r="T133" i="28"/>
  <c r="S133" i="28"/>
  <c r="AQ139" i="28"/>
  <c r="AN139" i="28"/>
  <c r="AM139" i="28"/>
  <c r="AI139" i="28"/>
  <c r="AH139" i="28"/>
  <c r="AD139" i="28"/>
  <c r="AC139" i="28"/>
  <c r="Y139" i="28"/>
  <c r="X139" i="28"/>
  <c r="T139" i="28"/>
  <c r="S139" i="28"/>
  <c r="AQ146" i="28"/>
  <c r="AM146" i="28"/>
  <c r="AI146" i="28"/>
  <c r="AH146" i="28"/>
  <c r="AD146" i="28"/>
  <c r="AC146" i="28"/>
  <c r="X146" i="28"/>
  <c r="S146" i="28"/>
  <c r="AQ152" i="28"/>
  <c r="AM152" i="28"/>
  <c r="AI152" i="28"/>
  <c r="AH152" i="28"/>
  <c r="AD152" i="28"/>
  <c r="AC152" i="28"/>
  <c r="Y152" i="28"/>
  <c r="X152" i="28"/>
  <c r="S152" i="28"/>
  <c r="AQ159" i="28"/>
  <c r="AQ158" i="28" s="1"/>
  <c r="AN159" i="28"/>
  <c r="AN158" i="28" s="1"/>
  <c r="AM159" i="28"/>
  <c r="AM158" i="28" s="1"/>
  <c r="AI159" i="28"/>
  <c r="AI158" i="28" s="1"/>
  <c r="AH159" i="28"/>
  <c r="AH158" i="28" s="1"/>
  <c r="AD159" i="28"/>
  <c r="AD158" i="28" s="1"/>
  <c r="AC159" i="28"/>
  <c r="AC158" i="28" s="1"/>
  <c r="Y159" i="28"/>
  <c r="Y158" i="28" s="1"/>
  <c r="X159" i="28"/>
  <c r="X158" i="28" s="1"/>
  <c r="T159" i="28"/>
  <c r="T158" i="28" s="1"/>
  <c r="S159" i="28"/>
  <c r="S158" i="28" s="1"/>
  <c r="AQ168" i="28"/>
  <c r="AQ167" i="28" s="1"/>
  <c r="AN168" i="28"/>
  <c r="AN167" i="28" s="1"/>
  <c r="AM168" i="28"/>
  <c r="AM167" i="28" s="1"/>
  <c r="AI168" i="28"/>
  <c r="AI167" i="28" s="1"/>
  <c r="AH168" i="28"/>
  <c r="AH167" i="28" s="1"/>
  <c r="AD168" i="28"/>
  <c r="AD167" i="28" s="1"/>
  <c r="AC168" i="28"/>
  <c r="AC167" i="28" s="1"/>
  <c r="Y168" i="28"/>
  <c r="Y167" i="28" s="1"/>
  <c r="X168" i="28"/>
  <c r="X167" i="28" s="1"/>
  <c r="T168" i="28"/>
  <c r="T167" i="28" s="1"/>
  <c r="S168" i="28"/>
  <c r="S167" i="28" s="1"/>
  <c r="AQ171" i="28"/>
  <c r="AQ170" i="28" s="1"/>
  <c r="AM171" i="28"/>
  <c r="AM170" i="28" s="1"/>
  <c r="AI171" i="28"/>
  <c r="AI170" i="28" s="1"/>
  <c r="AH171" i="28"/>
  <c r="AH170" i="28" s="1"/>
  <c r="AD171" i="28"/>
  <c r="AD170" i="28" s="1"/>
  <c r="AC171" i="28"/>
  <c r="AC170" i="28" s="1"/>
  <c r="Y171" i="28"/>
  <c r="Y170" i="28" s="1"/>
  <c r="X171" i="28"/>
  <c r="X170" i="28" s="1"/>
  <c r="S171" i="28"/>
  <c r="S170" i="28" s="1"/>
  <c r="B132" i="28"/>
  <c r="A132" i="28"/>
  <c r="S118" i="28" l="1"/>
  <c r="S145" i="28"/>
  <c r="AH145" i="28"/>
  <c r="X118" i="28"/>
  <c r="AH118" i="28"/>
  <c r="AQ118" i="28"/>
  <c r="X6" i="28"/>
  <c r="AC118" i="28"/>
  <c r="AM118" i="28"/>
  <c r="S99" i="28"/>
  <c r="S98" i="28" s="1"/>
  <c r="AC99" i="28"/>
  <c r="AM99" i="28"/>
  <c r="AD145" i="28"/>
  <c r="AD98" i="28" s="1"/>
  <c r="AQ145" i="28"/>
  <c r="S71" i="28"/>
  <c r="AC71" i="28"/>
  <c r="S5" i="28"/>
  <c r="AM71" i="28"/>
  <c r="AM6" i="28"/>
  <c r="S6" i="28"/>
  <c r="AI118" i="28"/>
  <c r="T99" i="28"/>
  <c r="AD99" i="28"/>
  <c r="AN99" i="28"/>
  <c r="AD71" i="28"/>
  <c r="AH6" i="28"/>
  <c r="AQ6" i="28"/>
  <c r="X145" i="28"/>
  <c r="AI145" i="28"/>
  <c r="X99" i="28"/>
  <c r="AH99" i="28"/>
  <c r="AH98" i="28" s="1"/>
  <c r="AQ99" i="28"/>
  <c r="X71" i="28"/>
  <c r="AH71" i="28"/>
  <c r="AC6" i="28"/>
  <c r="AI6" i="28"/>
  <c r="Y118" i="28"/>
  <c r="AC145" i="28"/>
  <c r="AM145" i="28"/>
  <c r="T118" i="28"/>
  <c r="AD118" i="28"/>
  <c r="AN118" i="28"/>
  <c r="Y99" i="28"/>
  <c r="AI99" i="28"/>
  <c r="AQ71" i="28"/>
  <c r="Y71" i="28"/>
  <c r="AH166" i="28"/>
  <c r="Y166" i="28"/>
  <c r="AI166" i="28"/>
  <c r="AC5" i="28"/>
  <c r="AC166" i="28"/>
  <c r="AM166" i="28"/>
  <c r="X166" i="28"/>
  <c r="S166" i="28"/>
  <c r="AD166" i="28"/>
  <c r="AQ166" i="28"/>
  <c r="B84" i="27"/>
  <c r="B83" i="27"/>
  <c r="B82" i="27"/>
  <c r="B81" i="27"/>
  <c r="B80" i="27"/>
  <c r="B79" i="27"/>
  <c r="B32" i="27"/>
  <c r="B182" i="25"/>
  <c r="B181" i="25"/>
  <c r="B180" i="25"/>
  <c r="B179" i="25"/>
  <c r="B178" i="25"/>
  <c r="B177" i="25"/>
  <c r="B176" i="25"/>
  <c r="B175" i="25"/>
  <c r="B174" i="25"/>
  <c r="B171" i="25"/>
  <c r="B167" i="25"/>
  <c r="B166" i="25"/>
  <c r="B165" i="25"/>
  <c r="B164" i="25"/>
  <c r="B163" i="25"/>
  <c r="B162" i="25"/>
  <c r="B159" i="25"/>
  <c r="B158" i="25"/>
  <c r="B157" i="25"/>
  <c r="B156" i="25"/>
  <c r="B155" i="25"/>
  <c r="B153" i="25"/>
  <c r="B152" i="25"/>
  <c r="B151" i="25"/>
  <c r="B150" i="25"/>
  <c r="B149" i="25"/>
  <c r="B146" i="25"/>
  <c r="B145" i="25"/>
  <c r="B144" i="25"/>
  <c r="B143" i="25"/>
  <c r="B142" i="25"/>
  <c r="B140" i="25"/>
  <c r="B139" i="25"/>
  <c r="B138" i="25"/>
  <c r="B137" i="25"/>
  <c r="B136" i="25"/>
  <c r="B134" i="25"/>
  <c r="B133" i="25"/>
  <c r="B132" i="25"/>
  <c r="B131" i="25"/>
  <c r="B130" i="25"/>
  <c r="B129" i="25"/>
  <c r="B128" i="25"/>
  <c r="B127" i="25"/>
  <c r="B126" i="25"/>
  <c r="B125" i="25"/>
  <c r="B124" i="25"/>
  <c r="B123" i="25"/>
  <c r="B122" i="25"/>
  <c r="B119" i="25"/>
  <c r="B118" i="25"/>
  <c r="B117" i="25"/>
  <c r="B116" i="25"/>
  <c r="B115" i="25"/>
  <c r="B113" i="25"/>
  <c r="B112" i="25"/>
  <c r="B111" i="25"/>
  <c r="B110" i="25"/>
  <c r="B109" i="25"/>
  <c r="B107" i="25"/>
  <c r="B106" i="25"/>
  <c r="B105" i="25"/>
  <c r="B104" i="25"/>
  <c r="B103" i="25"/>
  <c r="B99" i="25"/>
  <c r="B98" i="25"/>
  <c r="B97" i="25"/>
  <c r="B96" i="25"/>
  <c r="B95" i="25"/>
  <c r="B94" i="25"/>
  <c r="B93" i="25"/>
  <c r="B91" i="25"/>
  <c r="B90" i="25"/>
  <c r="B89" i="25"/>
  <c r="B88" i="25"/>
  <c r="B87" i="25"/>
  <c r="B85" i="25"/>
  <c r="B84" i="25"/>
  <c r="B83" i="25"/>
  <c r="B82" i="25"/>
  <c r="B81" i="25"/>
  <c r="B80" i="25"/>
  <c r="B78" i="25"/>
  <c r="B77" i="25"/>
  <c r="B76" i="25"/>
  <c r="B75" i="25"/>
  <c r="B72" i="25"/>
  <c r="B71" i="25"/>
  <c r="B70" i="25"/>
  <c r="B69" i="25"/>
  <c r="B68" i="25"/>
  <c r="B66" i="25"/>
  <c r="B65" i="25"/>
  <c r="B64" i="25"/>
  <c r="B63" i="25"/>
  <c r="B61" i="25"/>
  <c r="B60" i="25"/>
  <c r="B59" i="25"/>
  <c r="B57" i="25"/>
  <c r="B55" i="25"/>
  <c r="B54" i="25"/>
  <c r="B53" i="25"/>
  <c r="B52" i="25"/>
  <c r="B51" i="25"/>
  <c r="B49" i="25"/>
  <c r="B48" i="25"/>
  <c r="B47" i="25"/>
  <c r="B45" i="25"/>
  <c r="B44" i="25"/>
  <c r="B43" i="25"/>
  <c r="B42" i="25"/>
  <c r="B41" i="25"/>
  <c r="B40" i="25"/>
  <c r="B38" i="25"/>
  <c r="B37" i="25"/>
  <c r="B36" i="25"/>
  <c r="B35" i="25"/>
  <c r="B34" i="25"/>
  <c r="B32" i="25"/>
  <c r="B31" i="25"/>
  <c r="B30" i="25"/>
  <c r="B29" i="25"/>
  <c r="B28" i="25"/>
  <c r="B27" i="25"/>
  <c r="B26" i="25"/>
  <c r="B25" i="25"/>
  <c r="B24" i="25"/>
  <c r="B23" i="25"/>
  <c r="B22" i="25"/>
  <c r="B21" i="25"/>
  <c r="B20" i="25"/>
  <c r="B19" i="25"/>
  <c r="B18" i="25"/>
  <c r="B17" i="25"/>
  <c r="B16" i="25"/>
  <c r="B15" i="25"/>
  <c r="B14" i="25"/>
  <c r="B13" i="25"/>
  <c r="B12" i="25"/>
  <c r="B11" i="25"/>
  <c r="B10" i="25"/>
  <c r="AP180" i="28"/>
  <c r="AP179" i="28"/>
  <c r="AP178" i="28"/>
  <c r="AP177" i="28"/>
  <c r="AP176" i="28"/>
  <c r="AP175" i="28"/>
  <c r="AP174" i="28"/>
  <c r="AP173" i="28"/>
  <c r="AP172" i="28"/>
  <c r="AP169" i="28"/>
  <c r="AP168" i="28" s="1"/>
  <c r="AP167" i="28" s="1"/>
  <c r="AP165" i="28"/>
  <c r="AP164" i="28"/>
  <c r="AP163" i="28"/>
  <c r="AP162" i="28"/>
  <c r="AP161" i="28"/>
  <c r="AP160" i="28"/>
  <c r="AP157" i="28"/>
  <c r="AP156" i="28"/>
  <c r="AP155" i="28"/>
  <c r="AP154" i="28"/>
  <c r="AP153" i="28"/>
  <c r="AP151" i="28"/>
  <c r="AP150" i="28"/>
  <c r="AP149" i="28"/>
  <c r="AP148" i="28"/>
  <c r="AP147" i="28"/>
  <c r="Q7" i="7"/>
  <c r="Q6" i="7" s="1"/>
  <c r="Q5" i="7" s="1"/>
  <c r="AL7" i="28"/>
  <c r="B180" i="28"/>
  <c r="B179" i="28"/>
  <c r="B178" i="28"/>
  <c r="B177" i="28"/>
  <c r="B176" i="28"/>
  <c r="B175" i="28"/>
  <c r="B174" i="28"/>
  <c r="B173" i="28"/>
  <c r="B172" i="28"/>
  <c r="B169" i="28"/>
  <c r="B165" i="28"/>
  <c r="B164" i="28"/>
  <c r="B163" i="28"/>
  <c r="B162" i="28"/>
  <c r="B161" i="28"/>
  <c r="B160" i="28"/>
  <c r="B157" i="28"/>
  <c r="B156" i="28"/>
  <c r="B155" i="28"/>
  <c r="B154" i="28"/>
  <c r="B153" i="28"/>
  <c r="B151" i="28"/>
  <c r="B150" i="28"/>
  <c r="B149" i="28"/>
  <c r="B148" i="28"/>
  <c r="B147" i="28"/>
  <c r="B144" i="28"/>
  <c r="B143" i="28"/>
  <c r="B142" i="28"/>
  <c r="B141" i="28"/>
  <c r="B140" i="28"/>
  <c r="B135" i="28"/>
  <c r="B136" i="28"/>
  <c r="B137" i="28"/>
  <c r="B138" i="28"/>
  <c r="B134" i="28"/>
  <c r="B131" i="28"/>
  <c r="B130" i="28"/>
  <c r="B129" i="28"/>
  <c r="B128" i="28"/>
  <c r="B127" i="28"/>
  <c r="B126" i="28"/>
  <c r="B125" i="28"/>
  <c r="B124" i="28"/>
  <c r="B123" i="28"/>
  <c r="B122" i="28"/>
  <c r="B121" i="28"/>
  <c r="B120" i="28"/>
  <c r="B117" i="28"/>
  <c r="B116" i="28"/>
  <c r="B115" i="28"/>
  <c r="B114" i="28"/>
  <c r="B113" i="28"/>
  <c r="B111" i="28"/>
  <c r="B110" i="28"/>
  <c r="B109" i="28"/>
  <c r="B108" i="28"/>
  <c r="B107" i="28"/>
  <c r="B105" i="28"/>
  <c r="B104" i="28"/>
  <c r="B103" i="28"/>
  <c r="B102" i="28"/>
  <c r="B101" i="28"/>
  <c r="B97" i="28"/>
  <c r="B96" i="28"/>
  <c r="B95" i="28"/>
  <c r="B94" i="28"/>
  <c r="B93" i="28"/>
  <c r="B92" i="28"/>
  <c r="B91" i="28"/>
  <c r="B89" i="28"/>
  <c r="B88" i="28"/>
  <c r="B87" i="28"/>
  <c r="B86" i="28"/>
  <c r="B85" i="28"/>
  <c r="B83" i="28"/>
  <c r="B82" i="28"/>
  <c r="B81" i="28"/>
  <c r="B80" i="28"/>
  <c r="B79" i="28"/>
  <c r="B78" i="28"/>
  <c r="B76" i="28"/>
  <c r="B75" i="28"/>
  <c r="B74" i="28"/>
  <c r="B73" i="28"/>
  <c r="B70" i="28"/>
  <c r="B69" i="28"/>
  <c r="B68" i="28"/>
  <c r="B67" i="28"/>
  <c r="B66" i="28"/>
  <c r="B64" i="28"/>
  <c r="B63" i="28"/>
  <c r="B62" i="28"/>
  <c r="B61" i="28"/>
  <c r="B59" i="28"/>
  <c r="B58" i="28"/>
  <c r="B57" i="28"/>
  <c r="B55" i="28"/>
  <c r="B53" i="28"/>
  <c r="B52" i="28"/>
  <c r="B51" i="28"/>
  <c r="B50" i="28"/>
  <c r="B49" i="28"/>
  <c r="B47" i="28"/>
  <c r="B46" i="28"/>
  <c r="B45" i="28"/>
  <c r="B43" i="28"/>
  <c r="B42" i="28"/>
  <c r="B41" i="28"/>
  <c r="B40" i="28"/>
  <c r="B39" i="28"/>
  <c r="B38" i="28"/>
  <c r="B36" i="28"/>
  <c r="B35" i="28"/>
  <c r="B34" i="28"/>
  <c r="B33" i="28"/>
  <c r="B32" i="28"/>
  <c r="B9" i="28"/>
  <c r="B10" i="28"/>
  <c r="B11" i="28"/>
  <c r="B12" i="28"/>
  <c r="B13" i="28"/>
  <c r="B14" i="28"/>
  <c r="B15" i="28"/>
  <c r="B16" i="28"/>
  <c r="B17" i="28"/>
  <c r="B18" i="28"/>
  <c r="B19" i="28"/>
  <c r="B20" i="28"/>
  <c r="B21" i="28"/>
  <c r="B22" i="28"/>
  <c r="B23" i="28"/>
  <c r="B24" i="28"/>
  <c r="B25" i="28"/>
  <c r="B26" i="28"/>
  <c r="B27" i="28"/>
  <c r="B28" i="28"/>
  <c r="B29" i="28"/>
  <c r="B30" i="28"/>
  <c r="B8" i="28"/>
  <c r="B181" i="27"/>
  <c r="B180" i="27"/>
  <c r="B179" i="27"/>
  <c r="B178" i="27"/>
  <c r="B177" i="27"/>
  <c r="B176" i="27"/>
  <c r="B175" i="27"/>
  <c r="B174" i="27"/>
  <c r="B173" i="27"/>
  <c r="B170" i="27"/>
  <c r="B166" i="27"/>
  <c r="B165" i="27"/>
  <c r="B164" i="27"/>
  <c r="B163" i="27"/>
  <c r="B162" i="27"/>
  <c r="B161" i="27"/>
  <c r="B158" i="27"/>
  <c r="B157" i="27"/>
  <c r="B156" i="27"/>
  <c r="B155" i="27"/>
  <c r="B154" i="27"/>
  <c r="B152" i="27"/>
  <c r="B151" i="27"/>
  <c r="B150" i="27"/>
  <c r="B149" i="27"/>
  <c r="B148" i="27"/>
  <c r="B145" i="27"/>
  <c r="B144" i="27"/>
  <c r="B143" i="27"/>
  <c r="B142" i="27"/>
  <c r="B141" i="27"/>
  <c r="B139" i="27"/>
  <c r="B138" i="27"/>
  <c r="B137" i="27"/>
  <c r="B136" i="27"/>
  <c r="B135" i="27"/>
  <c r="B133" i="27"/>
  <c r="B132" i="27"/>
  <c r="B131" i="27"/>
  <c r="B130" i="27"/>
  <c r="B129" i="27"/>
  <c r="B128" i="27"/>
  <c r="B127" i="27"/>
  <c r="B126" i="27"/>
  <c r="B125" i="27"/>
  <c r="B124" i="27"/>
  <c r="B123" i="27"/>
  <c r="B122" i="27"/>
  <c r="B121" i="27"/>
  <c r="B118" i="27"/>
  <c r="B117" i="27"/>
  <c r="B116" i="27"/>
  <c r="B115" i="27"/>
  <c r="B114" i="27"/>
  <c r="B112" i="27"/>
  <c r="B111" i="27"/>
  <c r="B110" i="27"/>
  <c r="B109" i="27"/>
  <c r="B108" i="27"/>
  <c r="B106" i="27"/>
  <c r="B105" i="27"/>
  <c r="B104" i="27"/>
  <c r="B103" i="27"/>
  <c r="B102" i="27"/>
  <c r="B98" i="27"/>
  <c r="B97" i="27"/>
  <c r="B96" i="27"/>
  <c r="B95" i="27"/>
  <c r="B94" i="27"/>
  <c r="B93" i="27"/>
  <c r="B92" i="27"/>
  <c r="B90" i="27"/>
  <c r="B89" i="27"/>
  <c r="B88" i="27"/>
  <c r="B87" i="27"/>
  <c r="B86" i="27"/>
  <c r="B77" i="27"/>
  <c r="B76" i="27"/>
  <c r="B75" i="27"/>
  <c r="B74" i="27"/>
  <c r="B71" i="27"/>
  <c r="B70" i="27"/>
  <c r="B69" i="27"/>
  <c r="B68" i="27"/>
  <c r="B67" i="27"/>
  <c r="B65" i="27"/>
  <c r="B64" i="27"/>
  <c r="B63" i="27"/>
  <c r="B62" i="27"/>
  <c r="B60" i="27"/>
  <c r="B59" i="27"/>
  <c r="B58" i="27"/>
  <c r="B56" i="27"/>
  <c r="B54" i="27"/>
  <c r="B53" i="27"/>
  <c r="B52" i="27"/>
  <c r="B51" i="27"/>
  <c r="B50" i="27"/>
  <c r="B48" i="27"/>
  <c r="B47" i="27"/>
  <c r="B46" i="27"/>
  <c r="B44" i="27"/>
  <c r="B43" i="27"/>
  <c r="B42" i="27"/>
  <c r="B41" i="27"/>
  <c r="B40" i="27"/>
  <c r="B39" i="27"/>
  <c r="B37" i="27"/>
  <c r="B36" i="27"/>
  <c r="B35" i="27"/>
  <c r="B34" i="27"/>
  <c r="B33" i="27"/>
  <c r="B10" i="27"/>
  <c r="B11" i="27"/>
  <c r="B12" i="27"/>
  <c r="B13" i="27"/>
  <c r="B14" i="27"/>
  <c r="B15" i="27"/>
  <c r="B16" i="27"/>
  <c r="B17" i="27"/>
  <c r="B18" i="27"/>
  <c r="B19" i="27"/>
  <c r="B20" i="27"/>
  <c r="B21" i="27"/>
  <c r="B22" i="27"/>
  <c r="B23" i="27"/>
  <c r="B24" i="27"/>
  <c r="B25" i="27"/>
  <c r="B26" i="27"/>
  <c r="B27" i="27"/>
  <c r="B28" i="27"/>
  <c r="B29" i="27"/>
  <c r="B30" i="27"/>
  <c r="B31" i="27"/>
  <c r="B9" i="27"/>
  <c r="AI181" i="27"/>
  <c r="AJ172" i="27"/>
  <c r="AJ171" i="27" s="1"/>
  <c r="AJ169" i="27"/>
  <c r="AJ168" i="27" s="1"/>
  <c r="AJ160" i="27"/>
  <c r="AJ159" i="27" s="1"/>
  <c r="AJ153" i="27"/>
  <c r="AJ147" i="27"/>
  <c r="AJ140" i="27"/>
  <c r="AJ134" i="27"/>
  <c r="AJ120" i="27"/>
  <c r="AJ113" i="27"/>
  <c r="AJ107" i="27"/>
  <c r="AJ101" i="27"/>
  <c r="AJ91" i="27"/>
  <c r="AJ78" i="27"/>
  <c r="AJ73" i="27"/>
  <c r="AJ66" i="27"/>
  <c r="AJ61" i="27"/>
  <c r="AJ57" i="27"/>
  <c r="AJ32" i="27"/>
  <c r="AJ38" i="27"/>
  <c r="AJ45" i="27"/>
  <c r="AJ49" i="27"/>
  <c r="AJ55" i="27"/>
  <c r="AJ8" i="27"/>
  <c r="AI7" i="27"/>
  <c r="AI6" i="27"/>
  <c r="B181" i="26"/>
  <c r="B180" i="26"/>
  <c r="B179" i="26"/>
  <c r="B178" i="26"/>
  <c r="B177" i="26"/>
  <c r="B176" i="26"/>
  <c r="B175" i="26"/>
  <c r="B174" i="26"/>
  <c r="B173" i="26"/>
  <c r="B170" i="26"/>
  <c r="B166" i="26"/>
  <c r="B165" i="26"/>
  <c r="B164" i="26"/>
  <c r="B163" i="26"/>
  <c r="B162" i="26"/>
  <c r="B161" i="26"/>
  <c r="B158" i="26"/>
  <c r="B157" i="26"/>
  <c r="B156" i="26"/>
  <c r="B155" i="26"/>
  <c r="B154" i="26"/>
  <c r="B152" i="26"/>
  <c r="B151" i="26"/>
  <c r="B150" i="26"/>
  <c r="B149" i="26"/>
  <c r="B148" i="26"/>
  <c r="B145" i="26"/>
  <c r="B144" i="26"/>
  <c r="B143" i="26"/>
  <c r="B142" i="26"/>
  <c r="B141" i="26"/>
  <c r="B139" i="26"/>
  <c r="B138" i="26"/>
  <c r="B137" i="26"/>
  <c r="B136" i="26"/>
  <c r="B135" i="26"/>
  <c r="B133" i="26"/>
  <c r="B132" i="26"/>
  <c r="B131" i="26"/>
  <c r="B130" i="26"/>
  <c r="B129" i="26"/>
  <c r="B128" i="26"/>
  <c r="B127" i="26"/>
  <c r="B126" i="26"/>
  <c r="B125" i="26"/>
  <c r="B124" i="26"/>
  <c r="B123" i="26"/>
  <c r="B122" i="26"/>
  <c r="B121" i="26"/>
  <c r="B118" i="26"/>
  <c r="B117" i="26"/>
  <c r="B116" i="26"/>
  <c r="B115" i="26"/>
  <c r="B114" i="26"/>
  <c r="B112" i="26"/>
  <c r="B111" i="26"/>
  <c r="B110" i="26"/>
  <c r="B109" i="26"/>
  <c r="B108" i="26"/>
  <c r="B106" i="26"/>
  <c r="B105" i="26"/>
  <c r="B104" i="26"/>
  <c r="B103" i="26"/>
  <c r="B102" i="26"/>
  <c r="Q169" i="26"/>
  <c r="Q168" i="26" s="1"/>
  <c r="Q55" i="26"/>
  <c r="AM98" i="28" l="1"/>
  <c r="AQ98" i="28"/>
  <c r="AC98" i="28"/>
  <c r="X5" i="28"/>
  <c r="AH5" i="28"/>
  <c r="X98" i="28"/>
  <c r="AQ5" i="28"/>
  <c r="AI98" i="28"/>
  <c r="AM5" i="28"/>
  <c r="AJ119" i="27"/>
  <c r="AJ100" i="27"/>
  <c r="AJ146" i="27"/>
  <c r="AP146" i="28"/>
  <c r="AP159" i="28"/>
  <c r="AP158" i="28" s="1"/>
  <c r="AP152" i="28"/>
  <c r="AP171" i="28"/>
  <c r="AP170" i="28" s="1"/>
  <c r="AP166" i="28" s="1"/>
  <c r="Q45" i="26"/>
  <c r="Q61" i="26"/>
  <c r="Q66" i="26"/>
  <c r="Q134" i="26"/>
  <c r="Q57" i="26"/>
  <c r="Q107" i="26"/>
  <c r="Q32" i="26"/>
  <c r="Q78" i="26"/>
  <c r="Q85" i="26"/>
  <c r="Q38" i="26"/>
  <c r="Q73" i="26"/>
  <c r="Q91" i="26"/>
  <c r="Q101" i="26"/>
  <c r="Q113" i="26"/>
  <c r="Q147" i="26"/>
  <c r="Q140" i="26"/>
  <c r="Q160" i="26"/>
  <c r="Q159" i="26" s="1"/>
  <c r="Q49" i="26"/>
  <c r="Q120" i="26"/>
  <c r="Q153" i="26"/>
  <c r="Q172" i="26"/>
  <c r="Q171" i="26" s="1"/>
  <c r="Q167" i="26" s="1"/>
  <c r="AJ167" i="27"/>
  <c r="AJ72" i="27"/>
  <c r="AJ7" i="27"/>
  <c r="Q8" i="26"/>
  <c r="B98" i="26"/>
  <c r="B97" i="26"/>
  <c r="B96" i="26"/>
  <c r="B95" i="26"/>
  <c r="B94" i="26"/>
  <c r="B93" i="26"/>
  <c r="B92" i="26"/>
  <c r="B90" i="26"/>
  <c r="B89" i="26"/>
  <c r="B88" i="26"/>
  <c r="B87" i="26"/>
  <c r="B86" i="26"/>
  <c r="B84" i="26"/>
  <c r="B83" i="26"/>
  <c r="B82" i="26"/>
  <c r="B81" i="26"/>
  <c r="B80" i="26"/>
  <c r="B79" i="26"/>
  <c r="B77" i="26"/>
  <c r="B76" i="26"/>
  <c r="B75" i="26"/>
  <c r="B74" i="26"/>
  <c r="B71" i="26"/>
  <c r="B70" i="26"/>
  <c r="B69" i="26"/>
  <c r="B68" i="26"/>
  <c r="B67" i="26"/>
  <c r="B65" i="26"/>
  <c r="B64" i="26"/>
  <c r="B63" i="26"/>
  <c r="B62" i="26"/>
  <c r="B60" i="26"/>
  <c r="B59" i="26"/>
  <c r="B58" i="26"/>
  <c r="B56" i="26"/>
  <c r="B54" i="26"/>
  <c r="B53" i="26"/>
  <c r="B52" i="26"/>
  <c r="B51" i="26"/>
  <c r="B50" i="26"/>
  <c r="B48" i="26"/>
  <c r="B47" i="26"/>
  <c r="B46" i="26"/>
  <c r="B44" i="26"/>
  <c r="B43" i="26"/>
  <c r="B42" i="26"/>
  <c r="B41" i="26"/>
  <c r="B40" i="26"/>
  <c r="B39" i="26"/>
  <c r="B37" i="26"/>
  <c r="B36" i="26"/>
  <c r="B35" i="26"/>
  <c r="B34" i="26"/>
  <c r="B33" i="26"/>
  <c r="B31" i="26"/>
  <c r="B30" i="26"/>
  <c r="B29" i="26"/>
  <c r="B28" i="26"/>
  <c r="B27" i="26"/>
  <c r="B26" i="26"/>
  <c r="B25" i="26"/>
  <c r="B24" i="26"/>
  <c r="B23" i="26"/>
  <c r="B22" i="26"/>
  <c r="B21" i="26"/>
  <c r="B20" i="26"/>
  <c r="B19" i="26"/>
  <c r="B18" i="26"/>
  <c r="B17" i="26"/>
  <c r="B16" i="26"/>
  <c r="B15" i="26"/>
  <c r="B14" i="26"/>
  <c r="B13" i="26"/>
  <c r="B12" i="26"/>
  <c r="B11" i="26"/>
  <c r="B10" i="26"/>
  <c r="B9" i="26"/>
  <c r="AJ99" i="27" l="1"/>
  <c r="AP145" i="28"/>
  <c r="AJ6" i="27"/>
  <c r="Q119" i="26"/>
  <c r="Q146" i="26"/>
  <c r="Q72" i="26"/>
  <c r="Q100" i="26"/>
  <c r="Q7" i="26"/>
  <c r="B180" i="24"/>
  <c r="B179" i="24"/>
  <c r="B178" i="24"/>
  <c r="B177" i="24"/>
  <c r="B176" i="24"/>
  <c r="B175" i="24"/>
  <c r="B174" i="24"/>
  <c r="B173" i="24"/>
  <c r="B170" i="24"/>
  <c r="B166" i="24"/>
  <c r="B165" i="24"/>
  <c r="B164" i="24"/>
  <c r="B163" i="24"/>
  <c r="B162" i="24"/>
  <c r="B161" i="24"/>
  <c r="B158" i="24"/>
  <c r="B157" i="24"/>
  <c r="B156" i="24"/>
  <c r="B155" i="24"/>
  <c r="B154" i="24"/>
  <c r="B152" i="24"/>
  <c r="B151" i="24"/>
  <c r="B150" i="24"/>
  <c r="B149" i="24"/>
  <c r="B148" i="24"/>
  <c r="B142" i="24"/>
  <c r="B143" i="24"/>
  <c r="B144" i="24"/>
  <c r="B145" i="24"/>
  <c r="B141" i="24"/>
  <c r="Q99" i="26" l="1"/>
  <c r="V102" i="25"/>
  <c r="V32" i="25"/>
  <c r="AB182" i="2" l="1"/>
  <c r="AI180" i="27" s="1"/>
  <c r="AB181" i="2"/>
  <c r="AB180" i="2"/>
  <c r="AB179" i="2"/>
  <c r="AC178" i="23" s="1"/>
  <c r="AB178" i="2"/>
  <c r="AB177" i="2"/>
  <c r="AC176" i="23" s="1"/>
  <c r="AB176" i="2"/>
  <c r="AC175" i="23" s="1"/>
  <c r="AB175" i="2"/>
  <c r="AC174" i="23" s="1"/>
  <c r="AB174" i="2"/>
  <c r="AB173" i="2"/>
  <c r="AB172" i="2"/>
  <c r="AI170" i="27" s="1"/>
  <c r="AI169" i="27" s="1"/>
  <c r="AI168" i="27" s="1"/>
  <c r="AB171" i="2"/>
  <c r="AB170" i="2"/>
  <c r="AB169" i="2"/>
  <c r="AB168" i="2"/>
  <c r="AI166" i="27" s="1"/>
  <c r="AB167" i="2"/>
  <c r="AC166" i="23" s="1"/>
  <c r="AB166" i="2"/>
  <c r="AC165" i="23" s="1"/>
  <c r="AB165" i="2"/>
  <c r="AB164" i="2"/>
  <c r="AB163" i="2"/>
  <c r="AC162" i="23" s="1"/>
  <c r="AB162" i="2"/>
  <c r="AC161" i="23" s="1"/>
  <c r="AB161" i="2"/>
  <c r="AB160" i="2"/>
  <c r="AI158" i="27" s="1"/>
  <c r="AB159" i="2"/>
  <c r="AB158" i="2"/>
  <c r="AB157" i="2"/>
  <c r="AB156" i="2"/>
  <c r="AB155" i="2"/>
  <c r="AB154" i="2"/>
  <c r="AI152" i="27" s="1"/>
  <c r="AB153" i="2"/>
  <c r="AB152" i="2"/>
  <c r="AB151" i="2"/>
  <c r="AC150" i="23" s="1"/>
  <c r="AB150" i="2"/>
  <c r="AB149" i="2"/>
  <c r="AB148" i="2"/>
  <c r="AB147" i="2"/>
  <c r="AI145" i="27" s="1"/>
  <c r="AB146" i="2"/>
  <c r="AC145" i="23" s="1"/>
  <c r="AB145" i="2"/>
  <c r="AC144" i="23" s="1"/>
  <c r="AB144" i="2"/>
  <c r="AB143" i="2"/>
  <c r="AC142" i="23" s="1"/>
  <c r="AB142" i="2"/>
  <c r="AC141" i="23" s="1"/>
  <c r="AB141" i="2"/>
  <c r="AI139" i="27" s="1"/>
  <c r="AB140" i="2"/>
  <c r="AC139" i="23" s="1"/>
  <c r="AB139" i="2"/>
  <c r="AB138" i="2"/>
  <c r="AB137" i="2"/>
  <c r="AB136" i="2"/>
  <c r="AB135" i="2"/>
  <c r="AI133" i="27" s="1"/>
  <c r="AB134" i="2"/>
  <c r="AB133" i="2"/>
  <c r="AB132" i="2"/>
  <c r="AB131" i="2"/>
  <c r="AC130" i="23" s="1"/>
  <c r="AB130" i="2"/>
  <c r="AB129" i="2"/>
  <c r="AB128" i="2"/>
  <c r="AC127" i="23" s="1"/>
  <c r="AB127" i="2"/>
  <c r="AC126" i="23" s="1"/>
  <c r="AB126" i="2"/>
  <c r="AB125" i="2"/>
  <c r="AC124" i="23" s="1"/>
  <c r="AB124" i="2"/>
  <c r="AB123" i="2"/>
  <c r="AC122" i="23" s="1"/>
  <c r="AB122" i="2"/>
  <c r="AB121" i="2"/>
  <c r="AB120" i="2"/>
  <c r="AI118" i="27" s="1"/>
  <c r="AB119" i="2"/>
  <c r="AC118" i="23" s="1"/>
  <c r="AB118" i="2"/>
  <c r="AC117" i="23" s="1"/>
  <c r="AB117" i="2"/>
  <c r="AC116" i="23" s="1"/>
  <c r="AB116" i="2"/>
  <c r="AB115" i="2"/>
  <c r="AC114" i="23" s="1"/>
  <c r="AB114" i="2"/>
  <c r="AI112" i="27" s="1"/>
  <c r="AB113" i="2"/>
  <c r="AC112" i="23" s="1"/>
  <c r="AB112" i="2"/>
  <c r="AB111" i="2"/>
  <c r="AB110" i="2"/>
  <c r="AB109" i="2"/>
  <c r="AB108" i="2"/>
  <c r="AI106" i="27" s="1"/>
  <c r="AB107" i="2"/>
  <c r="AC106" i="23" s="1"/>
  <c r="AB106" i="2"/>
  <c r="AB105" i="2"/>
  <c r="AC104" i="23" s="1"/>
  <c r="AB104" i="2"/>
  <c r="AB103" i="2"/>
  <c r="AC102" i="23" s="1"/>
  <c r="AB102" i="2"/>
  <c r="AB101" i="2"/>
  <c r="AB100" i="2"/>
  <c r="AB99" i="2"/>
  <c r="AB98" i="2"/>
  <c r="AB97" i="2"/>
  <c r="AB96" i="2"/>
  <c r="AC95" i="23" s="1"/>
  <c r="AB95" i="2"/>
  <c r="AB94" i="2"/>
  <c r="AB93" i="2"/>
  <c r="AC92" i="23" s="1"/>
  <c r="AB92" i="2"/>
  <c r="AI90" i="27" s="1"/>
  <c r="AB91" i="2"/>
  <c r="AB90" i="2"/>
  <c r="AB89" i="2"/>
  <c r="AB88" i="2"/>
  <c r="AB87" i="2"/>
  <c r="AB86" i="2"/>
  <c r="AI84" i="27" s="1"/>
  <c r="AB85" i="2"/>
  <c r="AC84" i="23" s="1"/>
  <c r="AB84" i="2"/>
  <c r="AC83" i="23" s="1"/>
  <c r="AB83" i="2"/>
  <c r="AC82" i="23" s="1"/>
  <c r="AB82" i="2"/>
  <c r="AB81" i="2"/>
  <c r="AB80" i="2"/>
  <c r="AB79" i="2"/>
  <c r="AI77" i="27" s="1"/>
  <c r="AB78" i="2"/>
  <c r="AC77" i="23" s="1"/>
  <c r="AB77" i="2"/>
  <c r="AB76" i="2"/>
  <c r="AC75" i="23" s="1"/>
  <c r="AB75" i="2"/>
  <c r="AC74" i="23" s="1"/>
  <c r="AB74" i="2"/>
  <c r="AB73" i="2"/>
  <c r="AB72" i="2"/>
  <c r="AB71" i="2"/>
  <c r="AB70" i="2"/>
  <c r="AB69" i="2"/>
  <c r="AC68" i="23" s="1"/>
  <c r="AB68" i="2"/>
  <c r="AB67" i="2"/>
  <c r="AB66" i="2"/>
  <c r="AB65" i="2"/>
  <c r="AB64" i="2"/>
  <c r="AB63" i="2"/>
  <c r="AC62" i="23" s="1"/>
  <c r="AB62" i="2"/>
  <c r="AB61" i="2"/>
  <c r="AB60" i="2"/>
  <c r="AB59" i="2"/>
  <c r="AC58" i="23" s="1"/>
  <c r="AB58" i="2"/>
  <c r="AB57" i="2"/>
  <c r="AB56" i="2"/>
  <c r="AB55" i="2"/>
  <c r="AC54" i="23" s="1"/>
  <c r="AB54" i="2"/>
  <c r="AC53" i="23" s="1"/>
  <c r="AB53" i="2"/>
  <c r="AC52" i="23" s="1"/>
  <c r="AB52" i="2"/>
  <c r="AB51" i="2"/>
  <c r="AC50" i="23" s="1"/>
  <c r="AB50" i="2"/>
  <c r="AB49" i="2"/>
  <c r="AB48" i="2"/>
  <c r="AB47" i="2"/>
  <c r="AB46" i="2"/>
  <c r="AB45" i="2"/>
  <c r="AC44" i="23" s="1"/>
  <c r="AB44" i="2"/>
  <c r="AC43" i="23" s="1"/>
  <c r="AB43" i="2"/>
  <c r="AC42" i="23" s="1"/>
  <c r="AB42" i="2"/>
  <c r="AB41" i="2"/>
  <c r="AB40" i="2"/>
  <c r="AB39" i="2"/>
  <c r="AB38" i="2"/>
  <c r="AC37" i="23" s="1"/>
  <c r="AB37" i="2"/>
  <c r="AB36" i="2"/>
  <c r="AC35" i="23" s="1"/>
  <c r="AB35" i="2"/>
  <c r="AC34" i="23" s="1"/>
  <c r="AB34" i="2"/>
  <c r="AC33" i="23" s="1"/>
  <c r="B136" i="24"/>
  <c r="B137" i="24"/>
  <c r="B138" i="24"/>
  <c r="B139" i="24"/>
  <c r="B135" i="24"/>
  <c r="C133" i="24"/>
  <c r="S133" i="24" s="1"/>
  <c r="B133" i="24"/>
  <c r="A133" i="24"/>
  <c r="B132" i="24"/>
  <c r="B131" i="24"/>
  <c r="B130" i="24"/>
  <c r="B129" i="24"/>
  <c r="B128" i="24"/>
  <c r="B127" i="24"/>
  <c r="B126" i="24"/>
  <c r="B125" i="24"/>
  <c r="B124" i="24"/>
  <c r="B123" i="24"/>
  <c r="B122" i="24"/>
  <c r="B121" i="24"/>
  <c r="B118" i="24"/>
  <c r="B117" i="24"/>
  <c r="B116" i="24"/>
  <c r="B115" i="24"/>
  <c r="B114" i="24"/>
  <c r="B112" i="24"/>
  <c r="B111" i="24"/>
  <c r="B110" i="24"/>
  <c r="B109" i="24"/>
  <c r="B108" i="24"/>
  <c r="B106" i="24"/>
  <c r="B105" i="24"/>
  <c r="B104" i="24"/>
  <c r="B103" i="24"/>
  <c r="B102" i="24"/>
  <c r="B98" i="24"/>
  <c r="B97" i="24"/>
  <c r="B96" i="24"/>
  <c r="B95" i="24"/>
  <c r="B94" i="24"/>
  <c r="B93" i="24"/>
  <c r="B92" i="24"/>
  <c r="B90" i="24"/>
  <c r="B89" i="24"/>
  <c r="B88" i="24"/>
  <c r="B87" i="24"/>
  <c r="B86" i="24"/>
  <c r="B80" i="24"/>
  <c r="B81" i="24"/>
  <c r="B82" i="24"/>
  <c r="B83" i="24"/>
  <c r="B84" i="24"/>
  <c r="B79" i="24"/>
  <c r="B77" i="24"/>
  <c r="B76" i="24"/>
  <c r="B75" i="24"/>
  <c r="B74" i="24"/>
  <c r="B71" i="24"/>
  <c r="B70" i="24"/>
  <c r="B69" i="24"/>
  <c r="B68" i="24"/>
  <c r="B67" i="24"/>
  <c r="B65" i="24"/>
  <c r="B64" i="24"/>
  <c r="B63" i="24"/>
  <c r="B62" i="24"/>
  <c r="B60" i="24"/>
  <c r="B59" i="24"/>
  <c r="B58" i="24"/>
  <c r="B56" i="24"/>
  <c r="B54" i="24"/>
  <c r="B53" i="24"/>
  <c r="B52" i="24"/>
  <c r="B51" i="24"/>
  <c r="B50" i="24"/>
  <c r="B48" i="24"/>
  <c r="B47" i="24"/>
  <c r="B46" i="24"/>
  <c r="B40" i="24"/>
  <c r="B41" i="24"/>
  <c r="B42" i="24"/>
  <c r="B43" i="24"/>
  <c r="B44" i="24"/>
  <c r="B39" i="24"/>
  <c r="B34" i="24"/>
  <c r="B35" i="24"/>
  <c r="B36" i="24"/>
  <c r="B37" i="24"/>
  <c r="B33" i="24"/>
  <c r="B10" i="24"/>
  <c r="B11" i="24"/>
  <c r="B12" i="24"/>
  <c r="B13" i="24"/>
  <c r="B14" i="24"/>
  <c r="B15" i="24"/>
  <c r="B16" i="24"/>
  <c r="B17" i="24"/>
  <c r="B18" i="24"/>
  <c r="B19" i="24"/>
  <c r="B20" i="24"/>
  <c r="B21" i="24"/>
  <c r="B22" i="24"/>
  <c r="B23" i="24"/>
  <c r="B24" i="24"/>
  <c r="B25" i="24"/>
  <c r="B26" i="24"/>
  <c r="B27" i="24"/>
  <c r="B28" i="24"/>
  <c r="B29" i="24"/>
  <c r="B30" i="24"/>
  <c r="B31" i="24"/>
  <c r="B9" i="24"/>
  <c r="K10" i="2"/>
  <c r="K11" i="2"/>
  <c r="K12" i="2"/>
  <c r="K13" i="2"/>
  <c r="K14" i="2"/>
  <c r="K15" i="2"/>
  <c r="K16" i="2"/>
  <c r="K17" i="2"/>
  <c r="K18" i="2"/>
  <c r="K19" i="2"/>
  <c r="K20" i="2"/>
  <c r="K21" i="2"/>
  <c r="K22" i="2"/>
  <c r="K23" i="2"/>
  <c r="K24" i="2"/>
  <c r="K25" i="2"/>
  <c r="K26" i="2"/>
  <c r="K28" i="2"/>
  <c r="K30" i="2"/>
  <c r="K31" i="2"/>
  <c r="K32" i="2"/>
  <c r="K34" i="2"/>
  <c r="K35" i="2"/>
  <c r="K36" i="2"/>
  <c r="K37" i="2"/>
  <c r="K38" i="2"/>
  <c r="K40" i="2"/>
  <c r="K41" i="2"/>
  <c r="K42" i="2"/>
  <c r="K44" i="2"/>
  <c r="K45" i="2"/>
  <c r="K47" i="2"/>
  <c r="K48" i="2"/>
  <c r="K49" i="2"/>
  <c r="K51" i="2"/>
  <c r="K52" i="2"/>
  <c r="K53" i="2"/>
  <c r="K54" i="2"/>
  <c r="K55" i="2"/>
  <c r="K57" i="2"/>
  <c r="K59" i="2"/>
  <c r="K60" i="2"/>
  <c r="K61" i="2"/>
  <c r="K63" i="2"/>
  <c r="K64" i="2"/>
  <c r="K66" i="2"/>
  <c r="K68" i="2"/>
  <c r="K69" i="2"/>
  <c r="K70" i="2"/>
  <c r="K71" i="2"/>
  <c r="K72" i="2"/>
  <c r="K75" i="2"/>
  <c r="K76" i="2"/>
  <c r="K77" i="2"/>
  <c r="K78" i="2"/>
  <c r="K80" i="2"/>
  <c r="K81" i="2"/>
  <c r="K82" i="2"/>
  <c r="K83" i="2"/>
  <c r="K84" i="2"/>
  <c r="K85" i="2"/>
  <c r="K87" i="2"/>
  <c r="K88" i="2"/>
  <c r="K89" i="2"/>
  <c r="K90" i="2"/>
  <c r="K91" i="2"/>
  <c r="K93" i="2"/>
  <c r="K94" i="2"/>
  <c r="K95" i="2"/>
  <c r="K96" i="2"/>
  <c r="K97" i="2"/>
  <c r="K98" i="2"/>
  <c r="K99" i="2"/>
  <c r="K103" i="2"/>
  <c r="K104" i="2"/>
  <c r="K105" i="2"/>
  <c r="K106" i="2"/>
  <c r="K107" i="2"/>
  <c r="K115" i="2"/>
  <c r="K116" i="2"/>
  <c r="K117" i="2"/>
  <c r="K118" i="2"/>
  <c r="K119" i="2"/>
  <c r="K122" i="2"/>
  <c r="K123" i="2"/>
  <c r="K124" i="2"/>
  <c r="K125" i="2"/>
  <c r="K126" i="2"/>
  <c r="K127" i="2"/>
  <c r="K128" i="2"/>
  <c r="K129" i="2"/>
  <c r="K130" i="2"/>
  <c r="K131" i="2"/>
  <c r="K132" i="2"/>
  <c r="K133" i="2"/>
  <c r="K134" i="2"/>
  <c r="K136" i="2"/>
  <c r="K137" i="2"/>
  <c r="K138" i="2"/>
  <c r="K139" i="2"/>
  <c r="K140" i="2"/>
  <c r="K142" i="2"/>
  <c r="K143" i="2"/>
  <c r="K144" i="2"/>
  <c r="K145" i="2"/>
  <c r="K146" i="2"/>
  <c r="K149" i="2"/>
  <c r="K150" i="2"/>
  <c r="K151" i="2"/>
  <c r="K152" i="2"/>
  <c r="K153" i="2"/>
  <c r="K155" i="2"/>
  <c r="K156" i="2"/>
  <c r="K157" i="2"/>
  <c r="K158" i="2"/>
  <c r="K159" i="2"/>
  <c r="K162" i="2"/>
  <c r="K163" i="2"/>
  <c r="K164" i="2"/>
  <c r="K165" i="2"/>
  <c r="K166" i="2"/>
  <c r="K167" i="2"/>
  <c r="K174" i="2"/>
  <c r="K175" i="2"/>
  <c r="K176" i="2"/>
  <c r="K177" i="2"/>
  <c r="K178" i="2"/>
  <c r="K179" i="2"/>
  <c r="K180" i="2"/>
  <c r="K181" i="2"/>
  <c r="K182" i="2"/>
  <c r="C181" i="23"/>
  <c r="C180" i="23"/>
  <c r="C179" i="23"/>
  <c r="C178" i="23"/>
  <c r="C177" i="23"/>
  <c r="C176" i="23"/>
  <c r="C175" i="23"/>
  <c r="C174" i="23"/>
  <c r="C173" i="23"/>
  <c r="C170" i="23"/>
  <c r="C166" i="23"/>
  <c r="C165" i="23"/>
  <c r="C164" i="23"/>
  <c r="C163" i="23"/>
  <c r="C162" i="23"/>
  <c r="C161" i="23"/>
  <c r="C158" i="23"/>
  <c r="C157" i="23"/>
  <c r="C156" i="23"/>
  <c r="C155" i="23"/>
  <c r="C154" i="23"/>
  <c r="C152" i="23"/>
  <c r="C151" i="23"/>
  <c r="C150" i="23"/>
  <c r="C149" i="23"/>
  <c r="C148" i="23"/>
  <c r="C145" i="23"/>
  <c r="C144" i="23"/>
  <c r="C143" i="23"/>
  <c r="C142" i="23"/>
  <c r="C141" i="23"/>
  <c r="C139" i="23"/>
  <c r="C138" i="23"/>
  <c r="C137" i="23"/>
  <c r="C136" i="23"/>
  <c r="C135" i="23"/>
  <c r="C133" i="23"/>
  <c r="C132" i="23"/>
  <c r="C131" i="23"/>
  <c r="C130" i="23"/>
  <c r="C129" i="23"/>
  <c r="C128" i="23"/>
  <c r="C127" i="23"/>
  <c r="C126" i="23"/>
  <c r="C125" i="23"/>
  <c r="C124" i="23"/>
  <c r="C123" i="23"/>
  <c r="C122" i="23"/>
  <c r="C121" i="23"/>
  <c r="C118" i="23"/>
  <c r="C117" i="23"/>
  <c r="C116" i="23"/>
  <c r="C115" i="23"/>
  <c r="C114" i="23"/>
  <c r="C112" i="23"/>
  <c r="C111" i="23"/>
  <c r="C110" i="23"/>
  <c r="C109" i="23"/>
  <c r="C108" i="23"/>
  <c r="C106" i="23"/>
  <c r="C105" i="23"/>
  <c r="C104" i="23"/>
  <c r="C103" i="23"/>
  <c r="C102" i="23"/>
  <c r="C98" i="23"/>
  <c r="C97" i="23"/>
  <c r="C96" i="23"/>
  <c r="C95" i="23"/>
  <c r="C94" i="23"/>
  <c r="C93" i="23"/>
  <c r="C92" i="23"/>
  <c r="C90" i="23"/>
  <c r="C89" i="23"/>
  <c r="C88" i="23"/>
  <c r="C87" i="23"/>
  <c r="C86" i="23"/>
  <c r="C84" i="23"/>
  <c r="C83" i="23"/>
  <c r="C82" i="23"/>
  <c r="C81" i="23"/>
  <c r="C80" i="23"/>
  <c r="C79" i="23"/>
  <c r="C77" i="23"/>
  <c r="C76" i="23"/>
  <c r="C75" i="23"/>
  <c r="C74" i="23"/>
  <c r="C71" i="23"/>
  <c r="C70" i="23"/>
  <c r="C69" i="23"/>
  <c r="C68" i="23"/>
  <c r="C67" i="23"/>
  <c r="C65" i="23"/>
  <c r="C64" i="23"/>
  <c r="C63" i="23"/>
  <c r="C62" i="23"/>
  <c r="C60" i="23"/>
  <c r="C59" i="23"/>
  <c r="C58" i="23"/>
  <c r="C56" i="23"/>
  <c r="C54" i="23"/>
  <c r="C53" i="23"/>
  <c r="C52" i="23"/>
  <c r="C51" i="23"/>
  <c r="C50" i="23"/>
  <c r="C48" i="23"/>
  <c r="C47" i="23"/>
  <c r="C46" i="23"/>
  <c r="C44" i="23"/>
  <c r="C43" i="23"/>
  <c r="C42" i="23"/>
  <c r="C41" i="23"/>
  <c r="C40" i="23"/>
  <c r="C39" i="23"/>
  <c r="C37" i="23"/>
  <c r="C36" i="23"/>
  <c r="C35" i="23"/>
  <c r="C34" i="23"/>
  <c r="C33" i="23"/>
  <c r="C11" i="23"/>
  <c r="C12" i="23"/>
  <c r="C13" i="23"/>
  <c r="C14" i="23"/>
  <c r="C15" i="23"/>
  <c r="C16" i="23"/>
  <c r="C17" i="23"/>
  <c r="C18" i="23"/>
  <c r="C19" i="23"/>
  <c r="C20" i="23"/>
  <c r="C21" i="23"/>
  <c r="C22" i="23"/>
  <c r="C23" i="23"/>
  <c r="C24" i="23"/>
  <c r="C25" i="23"/>
  <c r="C26" i="23"/>
  <c r="C27" i="23"/>
  <c r="C28" i="23"/>
  <c r="C29" i="23"/>
  <c r="C30" i="23"/>
  <c r="C31" i="23"/>
  <c r="C10" i="23"/>
  <c r="C9" i="23"/>
  <c r="N133" i="24" l="1"/>
  <c r="O133" i="24"/>
  <c r="K133" i="24"/>
  <c r="L133" i="24"/>
  <c r="Q133" i="24"/>
  <c r="M133" i="24"/>
  <c r="P133" i="24"/>
  <c r="AP46" i="28"/>
  <c r="AI47" i="27"/>
  <c r="AP58" i="28"/>
  <c r="AI59" i="27"/>
  <c r="AP70" i="28"/>
  <c r="AI71" i="27"/>
  <c r="AP110" i="28"/>
  <c r="AI110" i="27"/>
  <c r="AP122" i="28"/>
  <c r="AI122" i="27"/>
  <c r="AP130" i="28"/>
  <c r="AI130" i="27"/>
  <c r="AP142" i="28"/>
  <c r="AI142" i="27"/>
  <c r="AC71" i="23"/>
  <c r="AP39" i="28"/>
  <c r="AI40" i="27"/>
  <c r="AP51" i="28"/>
  <c r="AI52" i="27"/>
  <c r="AP59" i="28"/>
  <c r="AI60" i="27"/>
  <c r="AP75" i="28"/>
  <c r="AI75" i="27"/>
  <c r="AP87" i="28"/>
  <c r="AI87" i="27"/>
  <c r="AP95" i="28"/>
  <c r="AI95" i="27"/>
  <c r="AP107" i="28"/>
  <c r="AP127" i="28"/>
  <c r="AI127" i="27"/>
  <c r="AP143" i="28"/>
  <c r="AI143" i="27"/>
  <c r="AI155" i="27"/>
  <c r="AI163" i="27"/>
  <c r="AI179" i="27"/>
  <c r="AP38" i="28"/>
  <c r="AI39" i="27"/>
  <c r="AP50" i="28"/>
  <c r="AI51" i="27"/>
  <c r="AP62" i="28"/>
  <c r="AI63" i="27"/>
  <c r="AP78" i="28"/>
  <c r="AP86" i="28"/>
  <c r="AI86" i="27"/>
  <c r="AI98" i="27"/>
  <c r="Q99" i="24"/>
  <c r="AP114" i="28"/>
  <c r="AI114" i="27"/>
  <c r="AP134" i="28"/>
  <c r="AI150" i="27"/>
  <c r="AI154" i="27"/>
  <c r="AI162" i="27"/>
  <c r="AI178" i="27"/>
  <c r="AP47" i="28"/>
  <c r="AI48" i="27"/>
  <c r="AP63" i="28"/>
  <c r="AI64" i="27"/>
  <c r="AP79" i="28"/>
  <c r="AI79" i="27"/>
  <c r="AP115" i="28"/>
  <c r="AI115" i="27"/>
  <c r="AP131" i="28"/>
  <c r="AI131" i="27"/>
  <c r="AP135" i="28"/>
  <c r="AI135" i="27"/>
  <c r="AI151" i="27"/>
  <c r="AC39" i="23"/>
  <c r="AC108" i="23"/>
  <c r="AC136" i="23"/>
  <c r="AP32" i="28"/>
  <c r="AI33" i="27"/>
  <c r="AP36" i="28"/>
  <c r="AI37" i="27"/>
  <c r="AP40" i="28"/>
  <c r="AI41" i="27"/>
  <c r="AP52" i="28"/>
  <c r="AI53" i="27"/>
  <c r="AP64" i="28"/>
  <c r="AI65" i="27"/>
  <c r="AP68" i="28"/>
  <c r="AI69" i="27"/>
  <c r="AP76" i="28"/>
  <c r="AI76" i="27"/>
  <c r="AP80" i="28"/>
  <c r="AI80" i="27"/>
  <c r="AP88" i="28"/>
  <c r="AI88" i="27"/>
  <c r="AP92" i="28"/>
  <c r="AI92" i="27"/>
  <c r="AP96" i="28"/>
  <c r="AI96" i="27"/>
  <c r="AP104" i="28"/>
  <c r="AI104" i="27"/>
  <c r="AP108" i="28"/>
  <c r="AI108" i="27"/>
  <c r="AP116" i="28"/>
  <c r="AI116" i="27"/>
  <c r="AP120" i="28"/>
  <c r="AP124" i="28"/>
  <c r="AI124" i="27"/>
  <c r="AP128" i="28"/>
  <c r="AI128" i="27"/>
  <c r="AP132" i="28"/>
  <c r="AI132" i="27"/>
  <c r="AP136" i="28"/>
  <c r="AI136" i="27"/>
  <c r="AP140" i="28"/>
  <c r="AP144" i="28"/>
  <c r="AI144" i="27"/>
  <c r="AI148" i="27"/>
  <c r="AI156" i="27"/>
  <c r="AI164" i="27"/>
  <c r="AI176" i="27"/>
  <c r="AC40" i="23"/>
  <c r="AC59" i="23"/>
  <c r="AC64" i="23"/>
  <c r="AC69" i="23"/>
  <c r="AC80" i="23"/>
  <c r="AC89" i="23"/>
  <c r="AC93" i="23"/>
  <c r="AC97" i="23"/>
  <c r="AC109" i="23"/>
  <c r="AC128" i="23"/>
  <c r="AC132" i="23"/>
  <c r="AC137" i="23"/>
  <c r="AC148" i="23"/>
  <c r="AC152" i="23"/>
  <c r="AC157" i="23"/>
  <c r="AC163" i="23"/>
  <c r="AC170" i="23"/>
  <c r="AC169" i="23" s="1"/>
  <c r="AC168" i="23" s="1"/>
  <c r="AC180" i="23"/>
  <c r="AP34" i="28"/>
  <c r="AI35" i="27"/>
  <c r="AP42" i="28"/>
  <c r="AI43" i="27"/>
  <c r="AP66" i="28"/>
  <c r="AI67" i="27"/>
  <c r="AP74" i="28"/>
  <c r="AI74" i="27"/>
  <c r="AP82" i="28"/>
  <c r="AI82" i="27"/>
  <c r="AP94" i="28"/>
  <c r="AI94" i="27"/>
  <c r="AP102" i="28"/>
  <c r="AI102" i="27"/>
  <c r="AP126" i="28"/>
  <c r="AI126" i="27"/>
  <c r="AP138" i="28"/>
  <c r="AI138" i="27"/>
  <c r="AI174" i="27"/>
  <c r="AC47" i="23"/>
  <c r="AC67" i="23"/>
  <c r="AC87" i="23"/>
  <c r="AC111" i="23"/>
  <c r="AC135" i="23"/>
  <c r="AC155" i="23"/>
  <c r="AP35" i="28"/>
  <c r="AI36" i="27"/>
  <c r="AP43" i="28"/>
  <c r="AI44" i="27"/>
  <c r="AP55" i="28"/>
  <c r="AP54" i="28" s="1"/>
  <c r="AI56" i="27"/>
  <c r="AI55" i="27" s="1"/>
  <c r="AP67" i="28"/>
  <c r="AI68" i="27"/>
  <c r="AP83" i="28"/>
  <c r="AI83" i="27"/>
  <c r="AP91" i="28"/>
  <c r="AP103" i="28"/>
  <c r="AI103" i="27"/>
  <c r="AP111" i="28"/>
  <c r="AI111" i="27"/>
  <c r="AP123" i="28"/>
  <c r="AI123" i="27"/>
  <c r="AI175" i="27"/>
  <c r="AC48" i="23"/>
  <c r="AC63" i="23"/>
  <c r="AC79" i="23"/>
  <c r="AC88" i="23"/>
  <c r="AC96" i="23"/>
  <c r="AC103" i="23"/>
  <c r="AC123" i="23"/>
  <c r="AC131" i="23"/>
  <c r="AC151" i="23"/>
  <c r="AC156" i="23"/>
  <c r="AC179" i="23"/>
  <c r="AP33" i="28"/>
  <c r="AI34" i="27"/>
  <c r="AP41" i="28"/>
  <c r="AI42" i="27"/>
  <c r="AP45" i="28"/>
  <c r="AI46" i="27"/>
  <c r="AP49" i="28"/>
  <c r="AI50" i="27"/>
  <c r="AP53" i="28"/>
  <c r="AI54" i="27"/>
  <c r="AP57" i="28"/>
  <c r="AI58" i="27"/>
  <c r="AP61" i="28"/>
  <c r="AI62" i="27"/>
  <c r="AP69" i="28"/>
  <c r="AI70" i="27"/>
  <c r="AP73" i="28"/>
  <c r="AP81" i="28"/>
  <c r="AI81" i="27"/>
  <c r="AP85" i="28"/>
  <c r="AP89" i="28"/>
  <c r="AI89" i="27"/>
  <c r="AP93" i="28"/>
  <c r="AI93" i="27"/>
  <c r="AP97" i="28"/>
  <c r="AI97" i="27"/>
  <c r="AP101" i="28"/>
  <c r="AP105" i="28"/>
  <c r="AI105" i="27"/>
  <c r="AP109" i="28"/>
  <c r="AI109" i="27"/>
  <c r="AP113" i="28"/>
  <c r="AP117" i="28"/>
  <c r="AI117" i="27"/>
  <c r="AP121" i="28"/>
  <c r="AI121" i="27"/>
  <c r="AP125" i="28"/>
  <c r="AI125" i="27"/>
  <c r="AP129" i="28"/>
  <c r="AI129" i="27"/>
  <c r="AP137" i="28"/>
  <c r="AI137" i="27"/>
  <c r="AP141" i="28"/>
  <c r="AI141" i="27"/>
  <c r="AI149" i="27"/>
  <c r="AI157" i="27"/>
  <c r="AI161" i="27"/>
  <c r="AI165" i="27"/>
  <c r="AI173" i="27"/>
  <c r="AI177" i="27"/>
  <c r="AC36" i="23"/>
  <c r="AC32" i="23" s="1"/>
  <c r="AC41" i="23"/>
  <c r="AC46" i="23"/>
  <c r="AC51" i="23"/>
  <c r="AC49" i="23" s="1"/>
  <c r="AC56" i="23"/>
  <c r="AC55" i="23" s="1"/>
  <c r="AC60" i="23"/>
  <c r="AC65" i="23"/>
  <c r="AC70" i="23"/>
  <c r="AC76" i="23"/>
  <c r="AC73" i="23" s="1"/>
  <c r="AC81" i="23"/>
  <c r="AC86" i="23"/>
  <c r="AC90" i="23"/>
  <c r="AC94" i="23"/>
  <c r="AC98" i="23"/>
  <c r="AC105" i="23"/>
  <c r="AC110" i="23"/>
  <c r="AC115" i="23"/>
  <c r="AC113" i="23" s="1"/>
  <c r="AC121" i="23"/>
  <c r="AC125" i="23"/>
  <c r="AC129" i="23"/>
  <c r="AC133" i="23"/>
  <c r="AC138" i="23"/>
  <c r="AC143" i="23"/>
  <c r="AC140" i="23" s="1"/>
  <c r="AC149" i="23"/>
  <c r="AC154" i="23"/>
  <c r="AC158" i="23"/>
  <c r="AC164" i="23"/>
  <c r="AC173" i="23"/>
  <c r="AC177" i="23"/>
  <c r="AC181" i="23"/>
  <c r="AB33" i="2"/>
  <c r="AB32" i="2" s="1"/>
  <c r="AC101" i="23" l="1"/>
  <c r="AP30" i="28"/>
  <c r="AI45" i="27"/>
  <c r="AI57" i="27"/>
  <c r="AC160" i="23"/>
  <c r="AC159" i="23" s="1"/>
  <c r="AI147" i="27"/>
  <c r="AC172" i="23"/>
  <c r="AC171" i="23" s="1"/>
  <c r="AC167" i="23" s="1"/>
  <c r="AC78" i="23"/>
  <c r="AC38" i="23"/>
  <c r="AC61" i="23"/>
  <c r="AC107" i="23"/>
  <c r="AC100" i="23" s="1"/>
  <c r="AC91" i="23"/>
  <c r="AC120" i="23"/>
  <c r="AC147" i="23"/>
  <c r="AC85" i="23"/>
  <c r="AC45" i="23"/>
  <c r="AP112" i="28"/>
  <c r="AP72" i="28"/>
  <c r="AC66" i="23"/>
  <c r="AI134" i="27"/>
  <c r="AI140" i="27"/>
  <c r="AI172" i="27"/>
  <c r="AI171" i="27" s="1"/>
  <c r="AI167" i="27" s="1"/>
  <c r="AI160" i="27"/>
  <c r="AI159" i="27" s="1"/>
  <c r="AI32" i="27"/>
  <c r="AP106" i="28"/>
  <c r="AP139" i="28"/>
  <c r="AI101" i="27"/>
  <c r="AI66" i="27"/>
  <c r="AC57" i="23"/>
  <c r="AI91" i="27"/>
  <c r="AP31" i="28"/>
  <c r="AP133" i="28"/>
  <c r="AI78" i="27"/>
  <c r="AI113" i="27"/>
  <c r="AP77" i="28"/>
  <c r="AI38" i="27"/>
  <c r="AP90" i="28"/>
  <c r="AP100" i="28"/>
  <c r="AI73" i="27"/>
  <c r="AP65" i="28"/>
  <c r="AP37" i="28"/>
  <c r="AI107" i="27"/>
  <c r="AI61" i="27"/>
  <c r="AC153" i="23"/>
  <c r="AI120" i="27"/>
  <c r="AP60" i="28"/>
  <c r="AI49" i="27"/>
  <c r="AP44" i="28"/>
  <c r="AC134" i="23"/>
  <c r="AP119" i="28"/>
  <c r="AI153" i="27"/>
  <c r="AP84" i="28"/>
  <c r="AP48" i="28"/>
  <c r="AP56" i="28"/>
  <c r="AB31" i="2"/>
  <c r="AI31" i="27"/>
  <c r="AC31" i="23"/>
  <c r="B17" i="6"/>
  <c r="B15" i="6"/>
  <c r="B14" i="6"/>
  <c r="B12" i="6"/>
  <c r="B13" i="6"/>
  <c r="B11" i="6"/>
  <c r="B10" i="6"/>
  <c r="B9" i="6"/>
  <c r="B8" i="6"/>
  <c r="AC146" i="23" l="1"/>
  <c r="AP29" i="28"/>
  <c r="Q30" i="24"/>
  <c r="AI146" i="27"/>
  <c r="AC119" i="23"/>
  <c r="AC99" i="23" s="1"/>
  <c r="AI119" i="27"/>
  <c r="AC72" i="23"/>
  <c r="AP71" i="28"/>
  <c r="AP99" i="28"/>
  <c r="AI100" i="27"/>
  <c r="AI72" i="27"/>
  <c r="AP118" i="28"/>
  <c r="AB30" i="2"/>
  <c r="AI30" i="27"/>
  <c r="AC30" i="23"/>
  <c r="X139" i="20"/>
  <c r="AI99" i="27" l="1"/>
  <c r="AP28" i="28"/>
  <c r="Q29" i="24"/>
  <c r="AP98" i="28"/>
  <c r="AB29" i="2"/>
  <c r="AI29" i="27"/>
  <c r="AC29" i="23"/>
  <c r="A46" i="20"/>
  <c r="B46" i="20"/>
  <c r="AP27" i="28" l="1"/>
  <c r="Q28" i="24"/>
  <c r="AB28" i="2"/>
  <c r="AI28" i="27"/>
  <c r="AC28" i="23"/>
  <c r="C51" i="22"/>
  <c r="C50" i="22"/>
  <c r="C49" i="22"/>
  <c r="C48" i="22"/>
  <c r="C46" i="22"/>
  <c r="C45" i="22"/>
  <c r="C44" i="22"/>
  <c r="C43" i="22"/>
  <c r="C42" i="22"/>
  <c r="C41" i="22"/>
  <c r="C40" i="22"/>
  <c r="C39" i="22"/>
  <c r="C38" i="22"/>
  <c r="C37" i="22"/>
  <c r="C36" i="22"/>
  <c r="C35" i="22"/>
  <c r="C34" i="22"/>
  <c r="C33" i="22"/>
  <c r="C32" i="22"/>
  <c r="C31" i="22"/>
  <c r="C30" i="22"/>
  <c r="C29" i="22"/>
  <c r="C28" i="22"/>
  <c r="C27" i="22"/>
  <c r="C26" i="22"/>
  <c r="C25" i="22"/>
  <c r="C24" i="22"/>
  <c r="C23" i="22"/>
  <c r="C22" i="22"/>
  <c r="C21" i="22"/>
  <c r="C20" i="22"/>
  <c r="C19" i="22"/>
  <c r="C18" i="22"/>
  <c r="C17" i="22"/>
  <c r="C16" i="22"/>
  <c r="C15" i="22"/>
  <c r="C14" i="22"/>
  <c r="C13" i="22"/>
  <c r="C12" i="22"/>
  <c r="C11" i="22"/>
  <c r="C10" i="22"/>
  <c r="C9" i="22"/>
  <c r="C8" i="22"/>
  <c r="C7" i="22"/>
  <c r="C6" i="22"/>
  <c r="C5" i="22"/>
  <c r="A147" i="20"/>
  <c r="AP26" i="28" l="1"/>
  <c r="Q27" i="24"/>
  <c r="AB27" i="2"/>
  <c r="AI27" i="27"/>
  <c r="AC27" i="23"/>
  <c r="C4" i="22"/>
  <c r="C3" i="22"/>
  <c r="N9" i="20"/>
  <c r="O9" i="20"/>
  <c r="P9" i="20"/>
  <c r="Q9" i="20"/>
  <c r="R9" i="20"/>
  <c r="S9" i="20"/>
  <c r="T9" i="20"/>
  <c r="AH9" i="20"/>
  <c r="AI9" i="20"/>
  <c r="AJ9" i="20"/>
  <c r="AK9" i="20"/>
  <c r="AL9" i="20"/>
  <c r="AM9" i="20"/>
  <c r="AN9" i="20"/>
  <c r="BB9" i="20"/>
  <c r="BC9" i="20"/>
  <c r="BD9" i="20"/>
  <c r="BE9" i="20"/>
  <c r="BF9" i="20"/>
  <c r="BG9" i="20"/>
  <c r="BH9" i="20"/>
  <c r="AP25" i="28" l="1"/>
  <c r="Q26" i="24"/>
  <c r="U9" i="20"/>
  <c r="AO9" i="20"/>
  <c r="BI9" i="20"/>
  <c r="AB26" i="2"/>
  <c r="AI26" i="27"/>
  <c r="AC26" i="23"/>
  <c r="CM158" i="10"/>
  <c r="CM157" i="10"/>
  <c r="CM155" i="10"/>
  <c r="CM154" i="10"/>
  <c r="AP24" i="28" l="1"/>
  <c r="Q25" i="24"/>
  <c r="AB25" i="2"/>
  <c r="AI25" i="27"/>
  <c r="AC25" i="23"/>
  <c r="B34" i="12"/>
  <c r="B32" i="12"/>
  <c r="B23" i="12"/>
  <c r="B13" i="12"/>
  <c r="AP23" i="28" l="1"/>
  <c r="Q24" i="24"/>
  <c r="AB24" i="2"/>
  <c r="AI24" i="27"/>
  <c r="AC24" i="23"/>
  <c r="O178" i="11"/>
  <c r="P178" i="11" s="1"/>
  <c r="M178" i="11"/>
  <c r="N178" i="11" s="1"/>
  <c r="K178" i="11"/>
  <c r="L178" i="11" s="1"/>
  <c r="O180" i="11"/>
  <c r="P180" i="11" s="1"/>
  <c r="M180" i="11"/>
  <c r="N180" i="11" s="1"/>
  <c r="K180" i="11"/>
  <c r="L180" i="11" s="1"/>
  <c r="O179" i="11"/>
  <c r="P179" i="11" s="1"/>
  <c r="M179" i="11"/>
  <c r="N179" i="11" s="1"/>
  <c r="K179" i="11"/>
  <c r="L179" i="11" s="1"/>
  <c r="O177" i="11"/>
  <c r="P177" i="11" s="1"/>
  <c r="M177" i="11"/>
  <c r="N177" i="11" s="1"/>
  <c r="K177" i="11"/>
  <c r="O176" i="11"/>
  <c r="P176" i="11" s="1"/>
  <c r="M176" i="11"/>
  <c r="N176" i="11" s="1"/>
  <c r="K176" i="11"/>
  <c r="L176" i="11" s="1"/>
  <c r="O175" i="11"/>
  <c r="P175" i="11" s="1"/>
  <c r="M175" i="11"/>
  <c r="N175" i="11" s="1"/>
  <c r="K175" i="11"/>
  <c r="L175" i="11" s="1"/>
  <c r="O174" i="11"/>
  <c r="P174" i="11" s="1"/>
  <c r="M174" i="11"/>
  <c r="N174" i="11" s="1"/>
  <c r="K174" i="11"/>
  <c r="L174" i="11" s="1"/>
  <c r="O173" i="11"/>
  <c r="P173" i="11" s="1"/>
  <c r="M173" i="11"/>
  <c r="N173" i="11" s="1"/>
  <c r="K173" i="11"/>
  <c r="L173" i="11" s="1"/>
  <c r="O172" i="11"/>
  <c r="P172" i="11" s="1"/>
  <c r="M172" i="11"/>
  <c r="N172" i="11" s="1"/>
  <c r="K172" i="11"/>
  <c r="L172" i="11" s="1"/>
  <c r="O169" i="11"/>
  <c r="P169" i="11" s="1"/>
  <c r="M169" i="11"/>
  <c r="N169" i="11" s="1"/>
  <c r="K169" i="11"/>
  <c r="L169" i="11" s="1"/>
  <c r="O165" i="11"/>
  <c r="P165" i="11" s="1"/>
  <c r="M165" i="11"/>
  <c r="N165" i="11" s="1"/>
  <c r="K165" i="11"/>
  <c r="L165" i="11" s="1"/>
  <c r="O164" i="11"/>
  <c r="P164" i="11" s="1"/>
  <c r="M164" i="11"/>
  <c r="N164" i="11" s="1"/>
  <c r="K164" i="11"/>
  <c r="L164" i="11" s="1"/>
  <c r="O163" i="11"/>
  <c r="P163" i="11" s="1"/>
  <c r="M163" i="11"/>
  <c r="N163" i="11" s="1"/>
  <c r="K163" i="11"/>
  <c r="L163" i="11" s="1"/>
  <c r="O162" i="11"/>
  <c r="P162" i="11" s="1"/>
  <c r="M162" i="11"/>
  <c r="N162" i="11" s="1"/>
  <c r="K162" i="11"/>
  <c r="L162" i="11" s="1"/>
  <c r="O161" i="11"/>
  <c r="P161" i="11" s="1"/>
  <c r="M161" i="11"/>
  <c r="N161" i="11" s="1"/>
  <c r="K161" i="11"/>
  <c r="L161" i="11" s="1"/>
  <c r="O160" i="11"/>
  <c r="P160" i="11" s="1"/>
  <c r="M160" i="11"/>
  <c r="N160" i="11" s="1"/>
  <c r="K160" i="11"/>
  <c r="L160" i="11" s="1"/>
  <c r="O157" i="11"/>
  <c r="P157" i="11" s="1"/>
  <c r="M157" i="11"/>
  <c r="N157" i="11" s="1"/>
  <c r="K157" i="11"/>
  <c r="L157" i="11" s="1"/>
  <c r="O156" i="11"/>
  <c r="P156" i="11" s="1"/>
  <c r="M156" i="11"/>
  <c r="N156" i="11" s="1"/>
  <c r="K156" i="11"/>
  <c r="L156" i="11" s="1"/>
  <c r="O155" i="11"/>
  <c r="P155" i="11" s="1"/>
  <c r="M155" i="11"/>
  <c r="N155" i="11" s="1"/>
  <c r="K155" i="11"/>
  <c r="L155" i="11" s="1"/>
  <c r="O154" i="11"/>
  <c r="P154" i="11" s="1"/>
  <c r="M154" i="11"/>
  <c r="N154" i="11" s="1"/>
  <c r="K154" i="11"/>
  <c r="L154" i="11" s="1"/>
  <c r="O153" i="11"/>
  <c r="P153" i="11" s="1"/>
  <c r="M153" i="11"/>
  <c r="N153" i="11" s="1"/>
  <c r="K153" i="11"/>
  <c r="L153" i="11" s="1"/>
  <c r="O151" i="11"/>
  <c r="P151" i="11" s="1"/>
  <c r="M151" i="11"/>
  <c r="N151" i="11" s="1"/>
  <c r="K151" i="11"/>
  <c r="L151" i="11" s="1"/>
  <c r="O150" i="11"/>
  <c r="P150" i="11" s="1"/>
  <c r="M150" i="11"/>
  <c r="N150" i="11" s="1"/>
  <c r="K150" i="11"/>
  <c r="L150" i="11" s="1"/>
  <c r="O149" i="11"/>
  <c r="P149" i="11" s="1"/>
  <c r="M149" i="11"/>
  <c r="N149" i="11" s="1"/>
  <c r="K149" i="11"/>
  <c r="L149" i="11" s="1"/>
  <c r="O148" i="11"/>
  <c r="P148" i="11" s="1"/>
  <c r="M148" i="11"/>
  <c r="N148" i="11" s="1"/>
  <c r="K148" i="11"/>
  <c r="L148" i="11" s="1"/>
  <c r="O147" i="11"/>
  <c r="P147" i="11" s="1"/>
  <c r="M147" i="11"/>
  <c r="N147" i="11" s="1"/>
  <c r="K147" i="11"/>
  <c r="L147" i="11" s="1"/>
  <c r="O144" i="11"/>
  <c r="P144" i="11" s="1"/>
  <c r="M144" i="11"/>
  <c r="N144" i="11" s="1"/>
  <c r="K144" i="11"/>
  <c r="L144" i="11" s="1"/>
  <c r="O143" i="11"/>
  <c r="P143" i="11" s="1"/>
  <c r="M143" i="11"/>
  <c r="N143" i="11" s="1"/>
  <c r="K143" i="11"/>
  <c r="L143" i="11" s="1"/>
  <c r="O142" i="11"/>
  <c r="P142" i="11" s="1"/>
  <c r="M142" i="11"/>
  <c r="N142" i="11" s="1"/>
  <c r="K142" i="11"/>
  <c r="L142" i="11" s="1"/>
  <c r="O141" i="11"/>
  <c r="P141" i="11" s="1"/>
  <c r="M141" i="11"/>
  <c r="N141" i="11" s="1"/>
  <c r="K141" i="11"/>
  <c r="L141" i="11" s="1"/>
  <c r="O140" i="11"/>
  <c r="P140" i="11" s="1"/>
  <c r="M140" i="11"/>
  <c r="N140" i="11" s="1"/>
  <c r="K140" i="11"/>
  <c r="L140" i="11" s="1"/>
  <c r="O138" i="11"/>
  <c r="P138" i="11" s="1"/>
  <c r="M138" i="11"/>
  <c r="N138" i="11" s="1"/>
  <c r="K138" i="11"/>
  <c r="L138" i="11" s="1"/>
  <c r="O137" i="11"/>
  <c r="P137" i="11" s="1"/>
  <c r="M137" i="11"/>
  <c r="N137" i="11" s="1"/>
  <c r="K137" i="11"/>
  <c r="L137" i="11" s="1"/>
  <c r="O136" i="11"/>
  <c r="P136" i="11" s="1"/>
  <c r="M136" i="11"/>
  <c r="N136" i="11" s="1"/>
  <c r="K136" i="11"/>
  <c r="L136" i="11" s="1"/>
  <c r="O135" i="11"/>
  <c r="P135" i="11" s="1"/>
  <c r="M135" i="11"/>
  <c r="N135" i="11" s="1"/>
  <c r="K135" i="11"/>
  <c r="L135" i="11" s="1"/>
  <c r="O134" i="11"/>
  <c r="P134" i="11" s="1"/>
  <c r="M134" i="11"/>
  <c r="N134" i="11" s="1"/>
  <c r="K134" i="11"/>
  <c r="L134" i="11" s="1"/>
  <c r="O132" i="11"/>
  <c r="P132" i="11" s="1"/>
  <c r="M132" i="11"/>
  <c r="N132" i="11" s="1"/>
  <c r="K132" i="11"/>
  <c r="L132" i="11" s="1"/>
  <c r="O131" i="11"/>
  <c r="P131" i="11" s="1"/>
  <c r="M131" i="11"/>
  <c r="N131" i="11" s="1"/>
  <c r="K131" i="11"/>
  <c r="L131" i="11" s="1"/>
  <c r="O130" i="11"/>
  <c r="P130" i="11" s="1"/>
  <c r="M130" i="11"/>
  <c r="N130" i="11" s="1"/>
  <c r="K130" i="11"/>
  <c r="L130" i="11" s="1"/>
  <c r="O129" i="11"/>
  <c r="P129" i="11" s="1"/>
  <c r="M129" i="11"/>
  <c r="N129" i="11" s="1"/>
  <c r="K129" i="11"/>
  <c r="L129" i="11" s="1"/>
  <c r="O128" i="11"/>
  <c r="P128" i="11" s="1"/>
  <c r="M128" i="11"/>
  <c r="N128" i="11" s="1"/>
  <c r="K128" i="11"/>
  <c r="L128" i="11" s="1"/>
  <c r="O127" i="11"/>
  <c r="P127" i="11" s="1"/>
  <c r="M127" i="11"/>
  <c r="N127" i="11" s="1"/>
  <c r="K127" i="11"/>
  <c r="L127" i="11" s="1"/>
  <c r="O126" i="11"/>
  <c r="P126" i="11" s="1"/>
  <c r="M126" i="11"/>
  <c r="N126" i="11" s="1"/>
  <c r="K126" i="11"/>
  <c r="L126" i="11" s="1"/>
  <c r="O125" i="11"/>
  <c r="P125" i="11" s="1"/>
  <c r="M125" i="11"/>
  <c r="N125" i="11" s="1"/>
  <c r="K125" i="11"/>
  <c r="L125" i="11" s="1"/>
  <c r="O124" i="11"/>
  <c r="P124" i="11" s="1"/>
  <c r="M124" i="11"/>
  <c r="N124" i="11" s="1"/>
  <c r="K124" i="11"/>
  <c r="L124" i="11" s="1"/>
  <c r="O123" i="11"/>
  <c r="P123" i="11" s="1"/>
  <c r="M123" i="11"/>
  <c r="N123" i="11" s="1"/>
  <c r="K123" i="11"/>
  <c r="L123" i="11" s="1"/>
  <c r="O122" i="11"/>
  <c r="P122" i="11" s="1"/>
  <c r="M122" i="11"/>
  <c r="N122" i="11" s="1"/>
  <c r="K122" i="11"/>
  <c r="L122" i="11" s="1"/>
  <c r="O121" i="11"/>
  <c r="P121" i="11" s="1"/>
  <c r="M121" i="11"/>
  <c r="N121" i="11" s="1"/>
  <c r="K121" i="11"/>
  <c r="L121" i="11" s="1"/>
  <c r="O120" i="11"/>
  <c r="P120" i="11" s="1"/>
  <c r="M120" i="11"/>
  <c r="N120" i="11" s="1"/>
  <c r="K120" i="11"/>
  <c r="L120" i="11" s="1"/>
  <c r="O117" i="11"/>
  <c r="P117" i="11" s="1"/>
  <c r="M117" i="11"/>
  <c r="N117" i="11" s="1"/>
  <c r="K117" i="11"/>
  <c r="L117" i="11" s="1"/>
  <c r="O116" i="11"/>
  <c r="P116" i="11" s="1"/>
  <c r="M116" i="11"/>
  <c r="N116" i="11" s="1"/>
  <c r="K116" i="11"/>
  <c r="L116" i="11" s="1"/>
  <c r="O115" i="11"/>
  <c r="P115" i="11" s="1"/>
  <c r="M115" i="11"/>
  <c r="N115" i="11" s="1"/>
  <c r="K115" i="11"/>
  <c r="L115" i="11" s="1"/>
  <c r="O114" i="11"/>
  <c r="P114" i="11" s="1"/>
  <c r="M114" i="11"/>
  <c r="N114" i="11" s="1"/>
  <c r="K114" i="11"/>
  <c r="L114" i="11" s="1"/>
  <c r="O113" i="11"/>
  <c r="P113" i="11" s="1"/>
  <c r="M113" i="11"/>
  <c r="N113" i="11" s="1"/>
  <c r="K113" i="11"/>
  <c r="L113" i="11" s="1"/>
  <c r="O111" i="11"/>
  <c r="P111" i="11" s="1"/>
  <c r="M111" i="11"/>
  <c r="N111" i="11" s="1"/>
  <c r="K111" i="11"/>
  <c r="L111" i="11" s="1"/>
  <c r="O110" i="11"/>
  <c r="P110" i="11" s="1"/>
  <c r="M110" i="11"/>
  <c r="N110" i="11" s="1"/>
  <c r="K110" i="11"/>
  <c r="L110" i="11" s="1"/>
  <c r="O109" i="11"/>
  <c r="P109" i="11" s="1"/>
  <c r="M109" i="11"/>
  <c r="N109" i="11" s="1"/>
  <c r="K109" i="11"/>
  <c r="L109" i="11" s="1"/>
  <c r="O108" i="11"/>
  <c r="P108" i="11" s="1"/>
  <c r="M108" i="11"/>
  <c r="N108" i="11" s="1"/>
  <c r="K108" i="11"/>
  <c r="L108" i="11" s="1"/>
  <c r="O107" i="11"/>
  <c r="P107" i="11" s="1"/>
  <c r="M107" i="11"/>
  <c r="N107" i="11" s="1"/>
  <c r="K107" i="11"/>
  <c r="L107" i="11" s="1"/>
  <c r="O105" i="11"/>
  <c r="P105" i="11" s="1"/>
  <c r="M105" i="11"/>
  <c r="N105" i="11" s="1"/>
  <c r="K105" i="11"/>
  <c r="L105" i="11" s="1"/>
  <c r="O104" i="11"/>
  <c r="P104" i="11" s="1"/>
  <c r="M104" i="11"/>
  <c r="N104" i="11" s="1"/>
  <c r="K104" i="11"/>
  <c r="L104" i="11" s="1"/>
  <c r="O103" i="11"/>
  <c r="P103" i="11" s="1"/>
  <c r="M103" i="11"/>
  <c r="N103" i="11" s="1"/>
  <c r="K103" i="11"/>
  <c r="L103" i="11" s="1"/>
  <c r="O102" i="11"/>
  <c r="P102" i="11" s="1"/>
  <c r="M102" i="11"/>
  <c r="N102" i="11" s="1"/>
  <c r="K102" i="11"/>
  <c r="L102" i="11" s="1"/>
  <c r="O101" i="11"/>
  <c r="P101" i="11" s="1"/>
  <c r="M101" i="11"/>
  <c r="N101" i="11" s="1"/>
  <c r="K101" i="11"/>
  <c r="L101" i="11" s="1"/>
  <c r="O97" i="11"/>
  <c r="P97" i="11" s="1"/>
  <c r="M97" i="11"/>
  <c r="N97" i="11" s="1"/>
  <c r="K97" i="11"/>
  <c r="L97" i="11" s="1"/>
  <c r="O96" i="11"/>
  <c r="P96" i="11" s="1"/>
  <c r="M96" i="11"/>
  <c r="N96" i="11" s="1"/>
  <c r="K96" i="11"/>
  <c r="L96" i="11" s="1"/>
  <c r="O95" i="11"/>
  <c r="P95" i="11" s="1"/>
  <c r="M95" i="11"/>
  <c r="N95" i="11" s="1"/>
  <c r="K95" i="11"/>
  <c r="L95" i="11" s="1"/>
  <c r="O94" i="11"/>
  <c r="P94" i="11" s="1"/>
  <c r="M94" i="11"/>
  <c r="N94" i="11" s="1"/>
  <c r="K94" i="11"/>
  <c r="L94" i="11" s="1"/>
  <c r="O93" i="11"/>
  <c r="P93" i="11" s="1"/>
  <c r="M93" i="11"/>
  <c r="N93" i="11" s="1"/>
  <c r="K93" i="11"/>
  <c r="L93" i="11" s="1"/>
  <c r="O92" i="11"/>
  <c r="P92" i="11" s="1"/>
  <c r="M92" i="11"/>
  <c r="N92" i="11" s="1"/>
  <c r="K92" i="11"/>
  <c r="L92" i="11" s="1"/>
  <c r="O91" i="11"/>
  <c r="P91" i="11" s="1"/>
  <c r="M91" i="11"/>
  <c r="N91" i="11" s="1"/>
  <c r="K91" i="11"/>
  <c r="L91" i="11" s="1"/>
  <c r="O89" i="11"/>
  <c r="P89" i="11" s="1"/>
  <c r="M89" i="11"/>
  <c r="N89" i="11" s="1"/>
  <c r="K89" i="11"/>
  <c r="L89" i="11" s="1"/>
  <c r="O88" i="11"/>
  <c r="P88" i="11" s="1"/>
  <c r="M88" i="11"/>
  <c r="N88" i="11" s="1"/>
  <c r="K88" i="11"/>
  <c r="L88" i="11" s="1"/>
  <c r="O87" i="11"/>
  <c r="P87" i="11" s="1"/>
  <c r="M87" i="11"/>
  <c r="N87" i="11" s="1"/>
  <c r="K87" i="11"/>
  <c r="L87" i="11" s="1"/>
  <c r="O86" i="11"/>
  <c r="P86" i="11" s="1"/>
  <c r="M86" i="11"/>
  <c r="N86" i="11" s="1"/>
  <c r="K86" i="11"/>
  <c r="L86" i="11" s="1"/>
  <c r="O85" i="11"/>
  <c r="P85" i="11" s="1"/>
  <c r="M85" i="11"/>
  <c r="N85" i="11" s="1"/>
  <c r="K85" i="11"/>
  <c r="L85" i="11" s="1"/>
  <c r="O83" i="11"/>
  <c r="P83" i="11" s="1"/>
  <c r="M83" i="11"/>
  <c r="N83" i="11" s="1"/>
  <c r="K83" i="11"/>
  <c r="L83" i="11" s="1"/>
  <c r="O82" i="11"/>
  <c r="P82" i="11" s="1"/>
  <c r="M82" i="11"/>
  <c r="N82" i="11" s="1"/>
  <c r="K82" i="11"/>
  <c r="O81" i="11"/>
  <c r="P81" i="11" s="1"/>
  <c r="M81" i="11"/>
  <c r="N81" i="11" s="1"/>
  <c r="K81" i="11"/>
  <c r="L81" i="11" s="1"/>
  <c r="O80" i="11"/>
  <c r="P80" i="11" s="1"/>
  <c r="M80" i="11"/>
  <c r="N80" i="11" s="1"/>
  <c r="K80" i="11"/>
  <c r="L80" i="11" s="1"/>
  <c r="O79" i="11"/>
  <c r="P79" i="11" s="1"/>
  <c r="M79" i="11"/>
  <c r="N79" i="11" s="1"/>
  <c r="K79" i="11"/>
  <c r="L79" i="11" s="1"/>
  <c r="O78" i="11"/>
  <c r="P78" i="11" s="1"/>
  <c r="M78" i="11"/>
  <c r="N78" i="11" s="1"/>
  <c r="K78" i="11"/>
  <c r="L78" i="11" s="1"/>
  <c r="O76" i="11"/>
  <c r="P76" i="11" s="1"/>
  <c r="M76" i="11"/>
  <c r="N76" i="11" s="1"/>
  <c r="K76" i="11"/>
  <c r="L76" i="11" s="1"/>
  <c r="O75" i="11"/>
  <c r="P75" i="11" s="1"/>
  <c r="M75" i="11"/>
  <c r="N75" i="11" s="1"/>
  <c r="K75" i="11"/>
  <c r="L75" i="11" s="1"/>
  <c r="O74" i="11"/>
  <c r="P74" i="11" s="1"/>
  <c r="M74" i="11"/>
  <c r="N74" i="11" s="1"/>
  <c r="K74" i="11"/>
  <c r="L74" i="11" s="1"/>
  <c r="O73" i="11"/>
  <c r="P73" i="11" s="1"/>
  <c r="M73" i="11"/>
  <c r="N73" i="11" s="1"/>
  <c r="K73" i="11"/>
  <c r="L73" i="11" s="1"/>
  <c r="O47" i="11"/>
  <c r="P47" i="11" s="1"/>
  <c r="M47" i="11"/>
  <c r="N47" i="11" s="1"/>
  <c r="K47" i="11"/>
  <c r="L47" i="11" s="1"/>
  <c r="O46" i="11"/>
  <c r="P46" i="11" s="1"/>
  <c r="M46" i="11"/>
  <c r="N46" i="11" s="1"/>
  <c r="K46" i="11"/>
  <c r="L46" i="11" s="1"/>
  <c r="O45" i="11"/>
  <c r="P45" i="11" s="1"/>
  <c r="M45" i="11"/>
  <c r="N45" i="11" s="1"/>
  <c r="K45" i="11"/>
  <c r="O43" i="11"/>
  <c r="P43" i="11" s="1"/>
  <c r="M43" i="11"/>
  <c r="N43" i="11" s="1"/>
  <c r="K43" i="11"/>
  <c r="L43" i="11" s="1"/>
  <c r="O42" i="11"/>
  <c r="P42" i="11" s="1"/>
  <c r="M42" i="11"/>
  <c r="N42" i="11" s="1"/>
  <c r="K42" i="11"/>
  <c r="L42" i="11" s="1"/>
  <c r="O41" i="11"/>
  <c r="P41" i="11" s="1"/>
  <c r="M41" i="11"/>
  <c r="N41" i="11" s="1"/>
  <c r="K41" i="11"/>
  <c r="L41" i="11" s="1"/>
  <c r="O40" i="11"/>
  <c r="P40" i="11" s="1"/>
  <c r="M40" i="11"/>
  <c r="N40" i="11" s="1"/>
  <c r="K40" i="11"/>
  <c r="L40" i="11" s="1"/>
  <c r="O39" i="11"/>
  <c r="P39" i="11" s="1"/>
  <c r="M39" i="11"/>
  <c r="N39" i="11" s="1"/>
  <c r="K39" i="11"/>
  <c r="L39" i="11" s="1"/>
  <c r="O38" i="11"/>
  <c r="P38" i="11" s="1"/>
  <c r="M38" i="11"/>
  <c r="N38" i="11" s="1"/>
  <c r="K38" i="11"/>
  <c r="L38" i="11" s="1"/>
  <c r="O36" i="11"/>
  <c r="P36" i="11" s="1"/>
  <c r="M36" i="11"/>
  <c r="N36" i="11" s="1"/>
  <c r="K36" i="11"/>
  <c r="L36" i="11" s="1"/>
  <c r="O35" i="11"/>
  <c r="P35" i="11" s="1"/>
  <c r="M35" i="11"/>
  <c r="N35" i="11" s="1"/>
  <c r="K35" i="11"/>
  <c r="L35" i="11" s="1"/>
  <c r="O34" i="11"/>
  <c r="P34" i="11" s="1"/>
  <c r="M34" i="11"/>
  <c r="N34" i="11" s="1"/>
  <c r="K34" i="11"/>
  <c r="L34" i="11" s="1"/>
  <c r="O33" i="11"/>
  <c r="P33" i="11" s="1"/>
  <c r="M33" i="11"/>
  <c r="N33" i="11" s="1"/>
  <c r="K33" i="11"/>
  <c r="L33" i="11" s="1"/>
  <c r="O32" i="11"/>
  <c r="P32" i="11" s="1"/>
  <c r="M32" i="11"/>
  <c r="N32" i="11" s="1"/>
  <c r="K32" i="11"/>
  <c r="L32" i="11" s="1"/>
  <c r="O30" i="11"/>
  <c r="P30" i="11" s="1"/>
  <c r="M30" i="11"/>
  <c r="N30" i="11" s="1"/>
  <c r="K30" i="11"/>
  <c r="L30" i="11" s="1"/>
  <c r="O29" i="11"/>
  <c r="P29" i="11" s="1"/>
  <c r="M29" i="11"/>
  <c r="N29" i="11" s="1"/>
  <c r="K29" i="11"/>
  <c r="L29" i="11" s="1"/>
  <c r="O28" i="11"/>
  <c r="P28" i="11" s="1"/>
  <c r="M28" i="11"/>
  <c r="N28" i="11" s="1"/>
  <c r="K28" i="11"/>
  <c r="L28" i="11" s="1"/>
  <c r="O27" i="11"/>
  <c r="P27" i="11" s="1"/>
  <c r="M27" i="11"/>
  <c r="N27" i="11" s="1"/>
  <c r="K27" i="11"/>
  <c r="L27" i="11" s="1"/>
  <c r="O26" i="11"/>
  <c r="P26" i="11" s="1"/>
  <c r="M26" i="11"/>
  <c r="N26" i="11" s="1"/>
  <c r="K26" i="11"/>
  <c r="L26" i="11" s="1"/>
  <c r="O25" i="11"/>
  <c r="P25" i="11" s="1"/>
  <c r="M25" i="11"/>
  <c r="N25" i="11" s="1"/>
  <c r="K25" i="11"/>
  <c r="L25" i="11" s="1"/>
  <c r="O24" i="11"/>
  <c r="P24" i="11" s="1"/>
  <c r="M24" i="11"/>
  <c r="N24" i="11" s="1"/>
  <c r="K24" i="11"/>
  <c r="L24" i="11" s="1"/>
  <c r="O23" i="11"/>
  <c r="P23" i="11" s="1"/>
  <c r="M23" i="11"/>
  <c r="N23" i="11" s="1"/>
  <c r="K23" i="11"/>
  <c r="L23" i="11" s="1"/>
  <c r="O22" i="11"/>
  <c r="P22" i="11" s="1"/>
  <c r="M22" i="11"/>
  <c r="N22" i="11" s="1"/>
  <c r="K22" i="11"/>
  <c r="L22" i="11" s="1"/>
  <c r="O21" i="11"/>
  <c r="P21" i="11" s="1"/>
  <c r="M21" i="11"/>
  <c r="N21" i="11" s="1"/>
  <c r="K21" i="11"/>
  <c r="L21" i="11" s="1"/>
  <c r="O20" i="11"/>
  <c r="P20" i="11" s="1"/>
  <c r="M20" i="11"/>
  <c r="N20" i="11" s="1"/>
  <c r="K20" i="11"/>
  <c r="L20" i="11" s="1"/>
  <c r="O19" i="11"/>
  <c r="P19" i="11" s="1"/>
  <c r="M19" i="11"/>
  <c r="N19" i="11" s="1"/>
  <c r="K19" i="11"/>
  <c r="L19" i="11" s="1"/>
  <c r="O18" i="11"/>
  <c r="P18" i="11" s="1"/>
  <c r="M18" i="11"/>
  <c r="N18" i="11" s="1"/>
  <c r="K18" i="11"/>
  <c r="L18" i="11" s="1"/>
  <c r="O17" i="11"/>
  <c r="P17" i="11" s="1"/>
  <c r="M17" i="11"/>
  <c r="N17" i="11" s="1"/>
  <c r="K17" i="11"/>
  <c r="L17" i="11" s="1"/>
  <c r="O16" i="11"/>
  <c r="P16" i="11" s="1"/>
  <c r="M16" i="11"/>
  <c r="N16" i="11" s="1"/>
  <c r="K16" i="11"/>
  <c r="L16" i="11" s="1"/>
  <c r="O15" i="11"/>
  <c r="P15" i="11" s="1"/>
  <c r="M15" i="11"/>
  <c r="N15" i="11" s="1"/>
  <c r="K15" i="11"/>
  <c r="L15" i="11" s="1"/>
  <c r="O14" i="11"/>
  <c r="P14" i="11" s="1"/>
  <c r="M14" i="11"/>
  <c r="N14" i="11" s="1"/>
  <c r="K14" i="11"/>
  <c r="L14" i="11" s="1"/>
  <c r="O13" i="11"/>
  <c r="P13" i="11" s="1"/>
  <c r="M13" i="11"/>
  <c r="N13" i="11" s="1"/>
  <c r="K13" i="11"/>
  <c r="L13" i="11" s="1"/>
  <c r="O12" i="11"/>
  <c r="P12" i="11" s="1"/>
  <c r="M12" i="11"/>
  <c r="N12" i="11" s="1"/>
  <c r="K12" i="11"/>
  <c r="L12" i="11" s="1"/>
  <c r="O11" i="11"/>
  <c r="P11" i="11" s="1"/>
  <c r="M11" i="11"/>
  <c r="N11" i="11" s="1"/>
  <c r="K11" i="11"/>
  <c r="L11" i="11" s="1"/>
  <c r="O10" i="11"/>
  <c r="P10" i="11" s="1"/>
  <c r="M10" i="11"/>
  <c r="N10" i="11" s="1"/>
  <c r="K10" i="11"/>
  <c r="L10" i="11" s="1"/>
  <c r="O9" i="11"/>
  <c r="P9" i="11" s="1"/>
  <c r="M9" i="11"/>
  <c r="N9" i="11" s="1"/>
  <c r="K9" i="11"/>
  <c r="L9" i="11" s="1"/>
  <c r="O8" i="11"/>
  <c r="P8" i="11" s="1"/>
  <c r="M8" i="11"/>
  <c r="N8" i="11" s="1"/>
  <c r="K8" i="11"/>
  <c r="L8" i="11" s="1"/>
  <c r="O70" i="11"/>
  <c r="P70" i="11" s="1"/>
  <c r="M70" i="11"/>
  <c r="N70" i="11" s="1"/>
  <c r="K70" i="11"/>
  <c r="L70" i="11" s="1"/>
  <c r="O69" i="11"/>
  <c r="P69" i="11" s="1"/>
  <c r="M69" i="11"/>
  <c r="N69" i="11" s="1"/>
  <c r="K69" i="11"/>
  <c r="L69" i="11" s="1"/>
  <c r="O68" i="11"/>
  <c r="P68" i="11" s="1"/>
  <c r="M68" i="11"/>
  <c r="N68" i="11" s="1"/>
  <c r="K68" i="11"/>
  <c r="L68" i="11" s="1"/>
  <c r="O67" i="11"/>
  <c r="P67" i="11" s="1"/>
  <c r="M67" i="11"/>
  <c r="N67" i="11" s="1"/>
  <c r="K67" i="11"/>
  <c r="L67" i="11" s="1"/>
  <c r="O66" i="11"/>
  <c r="P66" i="11" s="1"/>
  <c r="M66" i="11"/>
  <c r="N66" i="11" s="1"/>
  <c r="K66" i="11"/>
  <c r="L66" i="11" s="1"/>
  <c r="O64" i="11"/>
  <c r="P64" i="11" s="1"/>
  <c r="M64" i="11"/>
  <c r="N64" i="11" s="1"/>
  <c r="K64" i="11"/>
  <c r="L64" i="11" s="1"/>
  <c r="O63" i="11"/>
  <c r="P63" i="11" s="1"/>
  <c r="M63" i="11"/>
  <c r="N63" i="11" s="1"/>
  <c r="K63" i="11"/>
  <c r="L63" i="11" s="1"/>
  <c r="O62" i="11"/>
  <c r="P62" i="11" s="1"/>
  <c r="M62" i="11"/>
  <c r="N62" i="11" s="1"/>
  <c r="K62" i="11"/>
  <c r="L62" i="11" s="1"/>
  <c r="O61" i="11"/>
  <c r="P61" i="11" s="1"/>
  <c r="M61" i="11"/>
  <c r="N61" i="11" s="1"/>
  <c r="K61" i="11"/>
  <c r="L61" i="11" s="1"/>
  <c r="O59" i="11"/>
  <c r="P59" i="11" s="1"/>
  <c r="M59" i="11"/>
  <c r="N59" i="11" s="1"/>
  <c r="K59" i="11"/>
  <c r="L59" i="11" s="1"/>
  <c r="O58" i="11"/>
  <c r="P58" i="11" s="1"/>
  <c r="M58" i="11"/>
  <c r="N58" i="11" s="1"/>
  <c r="K58" i="11"/>
  <c r="L58" i="11" s="1"/>
  <c r="O57" i="11"/>
  <c r="P57" i="11" s="1"/>
  <c r="M57" i="11"/>
  <c r="N57" i="11" s="1"/>
  <c r="K57" i="11"/>
  <c r="L57" i="11" s="1"/>
  <c r="O55" i="11"/>
  <c r="P55" i="11" s="1"/>
  <c r="M55" i="11"/>
  <c r="N55" i="11" s="1"/>
  <c r="K55" i="11"/>
  <c r="L55" i="11" s="1"/>
  <c r="K53" i="11"/>
  <c r="L53" i="11" s="1"/>
  <c r="K52" i="11"/>
  <c r="L52" i="11" s="1"/>
  <c r="K51" i="11"/>
  <c r="M53" i="11"/>
  <c r="N53" i="11" s="1"/>
  <c r="M52" i="11"/>
  <c r="N52" i="11" s="1"/>
  <c r="M51" i="11"/>
  <c r="N51" i="11" s="1"/>
  <c r="O53" i="11"/>
  <c r="P53" i="11" s="1"/>
  <c r="O52" i="11"/>
  <c r="P52" i="11" s="1"/>
  <c r="O51" i="11"/>
  <c r="P51" i="11" s="1"/>
  <c r="O49" i="11"/>
  <c r="P49" i="11" s="1"/>
  <c r="M49" i="11"/>
  <c r="N49" i="11" s="1"/>
  <c r="K49" i="11"/>
  <c r="L49" i="11" s="1"/>
  <c r="K50" i="11"/>
  <c r="L50" i="11" s="1"/>
  <c r="M50" i="11"/>
  <c r="N50" i="11" s="1"/>
  <c r="O50" i="11"/>
  <c r="P50" i="11" s="1"/>
  <c r="AP22" i="28" l="1"/>
  <c r="Q23" i="24"/>
  <c r="L177" i="11"/>
  <c r="L45" i="11"/>
  <c r="L82" i="11"/>
  <c r="AB23" i="2"/>
  <c r="AI23" i="27"/>
  <c r="AC23" i="23"/>
  <c r="L51" i="11"/>
  <c r="C33" i="12"/>
  <c r="D34" i="12"/>
  <c r="D32" i="12"/>
  <c r="D30" i="12"/>
  <c r="D28" i="12"/>
  <c r="D26" i="12"/>
  <c r="D24" i="12"/>
  <c r="D21" i="12"/>
  <c r="D19" i="12"/>
  <c r="D17" i="12"/>
  <c r="D15" i="12"/>
  <c r="D13" i="12"/>
  <c r="D11" i="12"/>
  <c r="D9" i="12"/>
  <c r="D7" i="12"/>
  <c r="D5" i="12"/>
  <c r="D3" i="12"/>
  <c r="C34" i="12"/>
  <c r="C32" i="12"/>
  <c r="C30" i="12"/>
  <c r="C28" i="12"/>
  <c r="C26" i="12"/>
  <c r="C24" i="12"/>
  <c r="C21" i="12"/>
  <c r="C19" i="12"/>
  <c r="C17" i="12"/>
  <c r="C15" i="12"/>
  <c r="C13" i="12"/>
  <c r="C11" i="12"/>
  <c r="C9" i="12"/>
  <c r="C7" i="12"/>
  <c r="C5" i="12"/>
  <c r="C3" i="12"/>
  <c r="D23" i="12"/>
  <c r="D18" i="12"/>
  <c r="D16" i="12"/>
  <c r="D12" i="12"/>
  <c r="D10" i="12"/>
  <c r="D6" i="12"/>
  <c r="D4" i="12"/>
  <c r="C29" i="12"/>
  <c r="C27" i="12"/>
  <c r="C23" i="12"/>
  <c r="C20" i="12"/>
  <c r="C16" i="12"/>
  <c r="C12" i="12"/>
  <c r="C10" i="12"/>
  <c r="C8" i="12"/>
  <c r="C4" i="12"/>
  <c r="D33" i="12"/>
  <c r="D31" i="12"/>
  <c r="D29" i="12"/>
  <c r="D27" i="12"/>
  <c r="D25" i="12"/>
  <c r="D20" i="12"/>
  <c r="D14" i="12"/>
  <c r="D8" i="12"/>
  <c r="C31" i="12"/>
  <c r="C25" i="12"/>
  <c r="C18" i="12"/>
  <c r="C14" i="12"/>
  <c r="C6" i="12"/>
  <c r="I114" i="38"/>
  <c r="H114" i="38"/>
  <c r="G114" i="38"/>
  <c r="F114" i="38"/>
  <c r="E114" i="38"/>
  <c r="D114" i="38"/>
  <c r="C114" i="38"/>
  <c r="B99" i="38"/>
  <c r="A99" i="38"/>
  <c r="C108" i="38"/>
  <c r="I108" i="38"/>
  <c r="H108" i="38"/>
  <c r="G108" i="38"/>
  <c r="F108" i="38"/>
  <c r="E108" i="38"/>
  <c r="D108" i="38"/>
  <c r="I102" i="38"/>
  <c r="H102" i="38"/>
  <c r="G102" i="38"/>
  <c r="F102" i="38"/>
  <c r="E102" i="38"/>
  <c r="D102" i="38"/>
  <c r="C102" i="38"/>
  <c r="C92" i="38"/>
  <c r="C86" i="38"/>
  <c r="C79" i="38"/>
  <c r="I74" i="38"/>
  <c r="H74" i="38"/>
  <c r="G74" i="38"/>
  <c r="F74" i="38"/>
  <c r="E74" i="38"/>
  <c r="D74" i="38"/>
  <c r="C74" i="38"/>
  <c r="I67" i="38"/>
  <c r="H67" i="38"/>
  <c r="G67" i="38"/>
  <c r="F67" i="38"/>
  <c r="E67" i="38"/>
  <c r="D67" i="38"/>
  <c r="C67" i="38"/>
  <c r="I62" i="38"/>
  <c r="H62" i="38"/>
  <c r="G62" i="38"/>
  <c r="F62" i="38"/>
  <c r="E62" i="38"/>
  <c r="D62" i="38"/>
  <c r="C62" i="38"/>
  <c r="I56" i="38"/>
  <c r="H56" i="38"/>
  <c r="G56" i="38"/>
  <c r="F56" i="38"/>
  <c r="E56" i="38"/>
  <c r="D56" i="38"/>
  <c r="C56" i="38"/>
  <c r="I50" i="38"/>
  <c r="H50" i="38"/>
  <c r="G50" i="38"/>
  <c r="F50" i="38"/>
  <c r="E50" i="38"/>
  <c r="D50" i="38"/>
  <c r="I46" i="38"/>
  <c r="H46" i="38"/>
  <c r="G46" i="38"/>
  <c r="F46" i="38"/>
  <c r="E46" i="38"/>
  <c r="D46" i="38"/>
  <c r="C46" i="38"/>
  <c r="I39" i="38"/>
  <c r="H39" i="38"/>
  <c r="G39" i="38"/>
  <c r="F39" i="38"/>
  <c r="E39" i="38"/>
  <c r="D39" i="38"/>
  <c r="C39" i="38"/>
  <c r="I33" i="38"/>
  <c r="H33" i="38"/>
  <c r="G33" i="38"/>
  <c r="F33" i="38"/>
  <c r="E33" i="38"/>
  <c r="D33" i="38"/>
  <c r="C33" i="38"/>
  <c r="S188" i="38"/>
  <c r="R188" i="38"/>
  <c r="B188" i="38"/>
  <c r="A188" i="38"/>
  <c r="C179" i="38"/>
  <c r="C178" i="38"/>
  <c r="C176" i="38"/>
  <c r="C175" i="38"/>
  <c r="C167" i="38"/>
  <c r="C166" i="38"/>
  <c r="I160" i="38"/>
  <c r="H160" i="38"/>
  <c r="G160" i="38"/>
  <c r="F160" i="38"/>
  <c r="E160" i="38"/>
  <c r="D160" i="38"/>
  <c r="C160" i="38"/>
  <c r="I154" i="38"/>
  <c r="H154" i="38"/>
  <c r="G154" i="38"/>
  <c r="F154" i="38"/>
  <c r="E154" i="38"/>
  <c r="D154" i="38"/>
  <c r="C154" i="38"/>
  <c r="C153" i="38"/>
  <c r="C147" i="38"/>
  <c r="I147" i="38"/>
  <c r="H147" i="38"/>
  <c r="G147" i="38"/>
  <c r="F147" i="38"/>
  <c r="E147" i="38"/>
  <c r="D147" i="38"/>
  <c r="I135" i="38"/>
  <c r="H135" i="38"/>
  <c r="G135" i="38"/>
  <c r="F135" i="38"/>
  <c r="E135" i="38"/>
  <c r="D135" i="38"/>
  <c r="C135" i="38"/>
  <c r="I121" i="38"/>
  <c r="H121" i="38"/>
  <c r="G121" i="38"/>
  <c r="F121" i="38"/>
  <c r="E121" i="38"/>
  <c r="D121" i="38"/>
  <c r="C121" i="38"/>
  <c r="B134" i="38"/>
  <c r="A134" i="38"/>
  <c r="B133" i="38"/>
  <c r="A133" i="38"/>
  <c r="B132" i="38"/>
  <c r="A132" i="38"/>
  <c r="B131" i="38"/>
  <c r="A131" i="38"/>
  <c r="B130" i="38"/>
  <c r="A130" i="38"/>
  <c r="B129" i="38"/>
  <c r="A129" i="38"/>
  <c r="B128" i="38"/>
  <c r="A128" i="38"/>
  <c r="B127" i="38"/>
  <c r="A127" i="38"/>
  <c r="B126" i="38"/>
  <c r="A126" i="38"/>
  <c r="B125" i="38"/>
  <c r="A125" i="38"/>
  <c r="B124" i="38"/>
  <c r="A124" i="38"/>
  <c r="B123" i="38"/>
  <c r="A123" i="38"/>
  <c r="I120" i="38"/>
  <c r="H120" i="38"/>
  <c r="G120" i="38"/>
  <c r="F120" i="38"/>
  <c r="E120" i="38"/>
  <c r="D120" i="38"/>
  <c r="C120" i="38"/>
  <c r="I101" i="38"/>
  <c r="H101" i="38"/>
  <c r="G101" i="38"/>
  <c r="F101" i="38"/>
  <c r="E101" i="38"/>
  <c r="D101" i="38"/>
  <c r="C101" i="38"/>
  <c r="I73" i="38"/>
  <c r="H73" i="38"/>
  <c r="G73" i="38"/>
  <c r="F73" i="38"/>
  <c r="E73" i="38"/>
  <c r="D73" i="38"/>
  <c r="C73" i="38"/>
  <c r="C174" i="38"/>
  <c r="I174" i="38"/>
  <c r="H174" i="38"/>
  <c r="G174" i="38"/>
  <c r="F174" i="38"/>
  <c r="E174" i="38"/>
  <c r="D174" i="38"/>
  <c r="I100" i="38"/>
  <c r="H100" i="38"/>
  <c r="G100" i="38"/>
  <c r="F100" i="38"/>
  <c r="E100" i="38"/>
  <c r="D100" i="38"/>
  <c r="C100" i="38"/>
  <c r="C9" i="38"/>
  <c r="C8" i="38"/>
  <c r="C7" i="38"/>
  <c r="B85" i="38"/>
  <c r="A85" i="38"/>
  <c r="B84" i="38"/>
  <c r="A84" i="38"/>
  <c r="B83" i="38"/>
  <c r="A83" i="38"/>
  <c r="B82" i="38"/>
  <c r="A82" i="38"/>
  <c r="B81" i="38"/>
  <c r="A81" i="38"/>
  <c r="AP21" i="28" l="1"/>
  <c r="Q22" i="24"/>
  <c r="AB22" i="2"/>
  <c r="AI22" i="27"/>
  <c r="AC22" i="23"/>
  <c r="F12" i="12"/>
  <c r="F8" i="12"/>
  <c r="F32" i="12"/>
  <c r="F3" i="12"/>
  <c r="F22" i="12"/>
  <c r="E12" i="12"/>
  <c r="E8" i="12"/>
  <c r="E3" i="12"/>
  <c r="E32" i="12"/>
  <c r="S84" i="38"/>
  <c r="S83" i="38"/>
  <c r="S82" i="38"/>
  <c r="R82" i="38"/>
  <c r="AP20" i="28" l="1"/>
  <c r="Q21" i="24"/>
  <c r="AB21" i="2"/>
  <c r="AI21" i="27"/>
  <c r="AC21" i="23"/>
  <c r="R84" i="38"/>
  <c r="R83" i="38"/>
  <c r="AA172" i="23"/>
  <c r="AA171" i="23" s="1"/>
  <c r="X172" i="23"/>
  <c r="X171" i="23" s="1"/>
  <c r="U172" i="23"/>
  <c r="U171" i="23" s="1"/>
  <c r="R172" i="23"/>
  <c r="R171" i="23" s="1"/>
  <c r="O172" i="23"/>
  <c r="O171" i="23" s="1"/>
  <c r="AA169" i="23"/>
  <c r="AA168" i="23" s="1"/>
  <c r="X169" i="23"/>
  <c r="X168" i="23" s="1"/>
  <c r="U169" i="23"/>
  <c r="U168" i="23" s="1"/>
  <c r="R169" i="23"/>
  <c r="R168" i="23" s="1"/>
  <c r="O169" i="23"/>
  <c r="O168" i="23" s="1"/>
  <c r="AA160" i="23"/>
  <c r="AA159" i="23" s="1"/>
  <c r="X160" i="23"/>
  <c r="X159" i="23" s="1"/>
  <c r="U160" i="23"/>
  <c r="U159" i="23" s="1"/>
  <c r="R160" i="23"/>
  <c r="R159" i="23" s="1"/>
  <c r="O160" i="23"/>
  <c r="O159" i="23" s="1"/>
  <c r="AA153" i="23"/>
  <c r="X153" i="23"/>
  <c r="U153" i="23"/>
  <c r="R153" i="23"/>
  <c r="O153" i="23"/>
  <c r="AA147" i="23"/>
  <c r="AA146" i="23" s="1"/>
  <c r="X147" i="23"/>
  <c r="U147" i="23"/>
  <c r="R147" i="23"/>
  <c r="O147" i="23"/>
  <c r="AA140" i="23"/>
  <c r="X140" i="23"/>
  <c r="U140" i="23"/>
  <c r="R140" i="23"/>
  <c r="O140" i="23"/>
  <c r="AA134" i="23"/>
  <c r="X134" i="23"/>
  <c r="U134" i="23"/>
  <c r="R134" i="23"/>
  <c r="O134" i="23"/>
  <c r="AA120" i="23"/>
  <c r="X120" i="23"/>
  <c r="U120" i="23"/>
  <c r="R120" i="23"/>
  <c r="O120" i="23"/>
  <c r="AA113" i="23"/>
  <c r="X113" i="23"/>
  <c r="U113" i="23"/>
  <c r="R113" i="23"/>
  <c r="O113" i="23"/>
  <c r="AA107" i="23"/>
  <c r="X107" i="23"/>
  <c r="U107" i="23"/>
  <c r="R107" i="23"/>
  <c r="O107" i="23"/>
  <c r="AA101" i="23"/>
  <c r="X101" i="23"/>
  <c r="U101" i="23"/>
  <c r="R101" i="23"/>
  <c r="O101" i="23"/>
  <c r="AA91" i="23"/>
  <c r="X91" i="23"/>
  <c r="U91" i="23"/>
  <c r="R91" i="23"/>
  <c r="O91" i="23"/>
  <c r="AA85" i="23"/>
  <c r="X85" i="23"/>
  <c r="U85" i="23"/>
  <c r="R85" i="23"/>
  <c r="O85" i="23"/>
  <c r="AA78" i="23"/>
  <c r="X78" i="23"/>
  <c r="U78" i="23"/>
  <c r="R78" i="23"/>
  <c r="O78" i="23"/>
  <c r="AA73" i="23"/>
  <c r="X73" i="23"/>
  <c r="U73" i="23"/>
  <c r="R73" i="23"/>
  <c r="O73" i="23"/>
  <c r="AA66" i="23"/>
  <c r="X66" i="23"/>
  <c r="U66" i="23"/>
  <c r="R66" i="23"/>
  <c r="O66" i="23"/>
  <c r="AA61" i="23"/>
  <c r="X61" i="23"/>
  <c r="U61" i="23"/>
  <c r="R61" i="23"/>
  <c r="O61" i="23"/>
  <c r="AA57" i="23"/>
  <c r="X57" i="23"/>
  <c r="U57" i="23"/>
  <c r="R57" i="23"/>
  <c r="O57" i="23"/>
  <c r="AA55" i="23"/>
  <c r="X55" i="23"/>
  <c r="U55" i="23"/>
  <c r="R55" i="23"/>
  <c r="O55" i="23"/>
  <c r="AP19" i="28" l="1"/>
  <c r="Q20" i="24"/>
  <c r="AA100" i="23"/>
  <c r="X100" i="23"/>
  <c r="R100" i="23"/>
  <c r="X146" i="23"/>
  <c r="AB20" i="2"/>
  <c r="AI20" i="27"/>
  <c r="AC20" i="23"/>
  <c r="O119" i="23"/>
  <c r="X167" i="23"/>
  <c r="R119" i="23"/>
  <c r="R167" i="23"/>
  <c r="AA119" i="23"/>
  <c r="R146" i="23"/>
  <c r="AA167" i="23"/>
  <c r="O146" i="23"/>
  <c r="O100" i="23"/>
  <c r="X119" i="23"/>
  <c r="O167" i="23"/>
  <c r="U167" i="23"/>
  <c r="U146" i="23"/>
  <c r="U119" i="23"/>
  <c r="U100" i="23"/>
  <c r="AP18" i="28" l="1"/>
  <c r="Q19" i="24"/>
  <c r="AB19" i="2"/>
  <c r="AI19" i="27"/>
  <c r="AC19" i="23"/>
  <c r="AP17" i="28" l="1"/>
  <c r="Q18" i="24"/>
  <c r="AB18" i="2"/>
  <c r="AI18" i="27"/>
  <c r="AC18" i="23"/>
  <c r="L54" i="23"/>
  <c r="L53" i="23"/>
  <c r="L52" i="23"/>
  <c r="L51" i="23"/>
  <c r="V31" i="23"/>
  <c r="V30" i="23"/>
  <c r="V29" i="23"/>
  <c r="V28" i="23"/>
  <c r="V27" i="23"/>
  <c r="V26" i="23"/>
  <c r="V25" i="23"/>
  <c r="V24" i="23"/>
  <c r="V23" i="23"/>
  <c r="V22" i="23"/>
  <c r="V21" i="23"/>
  <c r="V20" i="23"/>
  <c r="V19" i="23"/>
  <c r="V18" i="23"/>
  <c r="V17" i="23"/>
  <c r="V16" i="23"/>
  <c r="V15" i="23"/>
  <c r="V14" i="23"/>
  <c r="V13" i="23"/>
  <c r="V12" i="23"/>
  <c r="V11" i="23"/>
  <c r="V10" i="23"/>
  <c r="V9" i="23"/>
  <c r="Y31" i="23"/>
  <c r="Y30" i="23"/>
  <c r="Y29" i="23"/>
  <c r="Y28" i="23"/>
  <c r="Y27" i="23"/>
  <c r="Y26" i="23"/>
  <c r="Y25" i="23"/>
  <c r="Y24" i="23"/>
  <c r="Y23" i="23"/>
  <c r="Y22" i="23"/>
  <c r="Y21" i="23"/>
  <c r="Y20" i="23"/>
  <c r="Y19" i="23"/>
  <c r="Y18" i="23"/>
  <c r="Y17" i="23"/>
  <c r="Y16" i="23"/>
  <c r="Y15" i="23"/>
  <c r="Y14" i="23"/>
  <c r="Y13" i="23"/>
  <c r="Y12" i="23"/>
  <c r="Y11" i="23"/>
  <c r="Y10" i="23"/>
  <c r="Y9" i="23"/>
  <c r="L181" i="23"/>
  <c r="L180" i="23"/>
  <c r="L179" i="23"/>
  <c r="L178" i="23"/>
  <c r="L177" i="23"/>
  <c r="L176" i="23"/>
  <c r="L175" i="23"/>
  <c r="L174" i="23"/>
  <c r="L173" i="23"/>
  <c r="L170" i="23"/>
  <c r="L169" i="23" s="1"/>
  <c r="L168" i="23" s="1"/>
  <c r="AP16" i="28" l="1"/>
  <c r="Q17" i="24"/>
  <c r="L172" i="23"/>
  <c r="L171" i="23" s="1"/>
  <c r="AB17" i="2"/>
  <c r="AI17" i="27"/>
  <c r="AC17" i="23"/>
  <c r="V8" i="23"/>
  <c r="L167" i="23"/>
  <c r="Y8" i="23"/>
  <c r="L166" i="23"/>
  <c r="L165" i="23"/>
  <c r="L164" i="23"/>
  <c r="L163" i="23"/>
  <c r="L162" i="23"/>
  <c r="L161" i="23"/>
  <c r="L158" i="23"/>
  <c r="L157" i="23"/>
  <c r="L155" i="23"/>
  <c r="L154" i="23"/>
  <c r="L156" i="23"/>
  <c r="L152" i="23"/>
  <c r="L151" i="23"/>
  <c r="L150" i="23"/>
  <c r="L149" i="23"/>
  <c r="L148" i="23"/>
  <c r="AP15" i="28" l="1"/>
  <c r="Q16" i="24"/>
  <c r="L147" i="23"/>
  <c r="AB16" i="2"/>
  <c r="AI16" i="27"/>
  <c r="AC16" i="23"/>
  <c r="L160" i="23"/>
  <c r="L159" i="23" s="1"/>
  <c r="L153" i="23"/>
  <c r="L146" i="23" s="1"/>
  <c r="L141" i="23"/>
  <c r="L145" i="23"/>
  <c r="L144" i="23"/>
  <c r="L143" i="23"/>
  <c r="L142" i="23"/>
  <c r="AP14" i="28" l="1"/>
  <c r="Q15" i="24"/>
  <c r="AB15" i="2"/>
  <c r="AI15" i="27"/>
  <c r="AC15" i="23"/>
  <c r="L140" i="23"/>
  <c r="L139" i="23"/>
  <c r="L138" i="23"/>
  <c r="L137" i="23"/>
  <c r="L136" i="23"/>
  <c r="L135" i="23"/>
  <c r="AA99" i="23"/>
  <c r="L133" i="23"/>
  <c r="L132" i="23"/>
  <c r="L131" i="23"/>
  <c r="L130" i="23"/>
  <c r="L129" i="23"/>
  <c r="L128" i="23"/>
  <c r="L127" i="23"/>
  <c r="L126" i="23"/>
  <c r="L125" i="23"/>
  <c r="L124" i="23"/>
  <c r="L123" i="23"/>
  <c r="L122" i="23"/>
  <c r="L121" i="23"/>
  <c r="L118" i="23"/>
  <c r="L117" i="23"/>
  <c r="L116" i="23"/>
  <c r="L115" i="23"/>
  <c r="L114" i="23"/>
  <c r="L112" i="23"/>
  <c r="L111" i="23"/>
  <c r="L110" i="23"/>
  <c r="L109" i="23"/>
  <c r="L108" i="23"/>
  <c r="L106" i="23"/>
  <c r="L105" i="23"/>
  <c r="L104" i="23"/>
  <c r="L103" i="23"/>
  <c r="L102" i="23"/>
  <c r="L97" i="23"/>
  <c r="L96" i="23"/>
  <c r="L95" i="23"/>
  <c r="L94" i="23"/>
  <c r="L93" i="23"/>
  <c r="L92" i="23"/>
  <c r="L90" i="23"/>
  <c r="L89" i="23"/>
  <c r="L88" i="23"/>
  <c r="L87" i="23"/>
  <c r="L86" i="23"/>
  <c r="AA72" i="23"/>
  <c r="X72" i="23"/>
  <c r="R72" i="23"/>
  <c r="O72" i="23"/>
  <c r="L84" i="23"/>
  <c r="L83" i="23"/>
  <c r="L82" i="23"/>
  <c r="L81" i="23"/>
  <c r="L80" i="23"/>
  <c r="L79" i="23"/>
  <c r="L77" i="23"/>
  <c r="L76" i="23"/>
  <c r="L75" i="23"/>
  <c r="L74" i="23"/>
  <c r="L71" i="23"/>
  <c r="L70" i="23"/>
  <c r="L69" i="23"/>
  <c r="L68" i="23"/>
  <c r="L67" i="23"/>
  <c r="L65" i="23"/>
  <c r="L64" i="23"/>
  <c r="L63" i="23"/>
  <c r="L62" i="23"/>
  <c r="L59" i="23"/>
  <c r="L58" i="23"/>
  <c r="L56" i="23"/>
  <c r="L55" i="23" s="1"/>
  <c r="L50" i="23"/>
  <c r="AP13" i="28" l="1"/>
  <c r="Q14" i="24"/>
  <c r="AB14" i="2"/>
  <c r="AI14" i="27"/>
  <c r="AC14" i="23"/>
  <c r="L107" i="23"/>
  <c r="L113" i="23"/>
  <c r="L134" i="23"/>
  <c r="L91" i="23"/>
  <c r="L85" i="23"/>
  <c r="L101" i="23"/>
  <c r="L120" i="23"/>
  <c r="L119" i="23" s="1"/>
  <c r="L66" i="23"/>
  <c r="L78" i="23"/>
  <c r="U72" i="23"/>
  <c r="R99" i="23"/>
  <c r="X99" i="23"/>
  <c r="O99" i="23"/>
  <c r="U99" i="23"/>
  <c r="L73" i="23"/>
  <c r="L61" i="23"/>
  <c r="L57" i="23"/>
  <c r="AA49" i="23"/>
  <c r="X49" i="23"/>
  <c r="U49" i="23"/>
  <c r="R49" i="23"/>
  <c r="O49" i="23"/>
  <c r="L49" i="23"/>
  <c r="L48" i="23"/>
  <c r="L47" i="23"/>
  <c r="L46" i="23"/>
  <c r="L44" i="23"/>
  <c r="O45" i="23"/>
  <c r="R45" i="23"/>
  <c r="U45" i="23"/>
  <c r="X45" i="23"/>
  <c r="AA45" i="23"/>
  <c r="L43" i="23"/>
  <c r="L41" i="23"/>
  <c r="L42" i="23"/>
  <c r="L40" i="23"/>
  <c r="L39" i="23"/>
  <c r="AA38" i="23"/>
  <c r="X38" i="23"/>
  <c r="U38" i="23"/>
  <c r="R38" i="23"/>
  <c r="O38" i="23"/>
  <c r="L33" i="23"/>
  <c r="L34" i="23"/>
  <c r="L37" i="23"/>
  <c r="L36" i="23"/>
  <c r="O32" i="23"/>
  <c r="X32" i="23"/>
  <c r="U32" i="23"/>
  <c r="R32" i="23"/>
  <c r="AA32" i="23"/>
  <c r="O8" i="23"/>
  <c r="L8" i="23"/>
  <c r="R8" i="23"/>
  <c r="U8" i="23"/>
  <c r="X8" i="23"/>
  <c r="AA8" i="23"/>
  <c r="AP12" i="28" l="1"/>
  <c r="Q13" i="24"/>
  <c r="L100" i="23"/>
  <c r="L99" i="23" s="1"/>
  <c r="AB13" i="2"/>
  <c r="AI13" i="27"/>
  <c r="AC13" i="23"/>
  <c r="L72" i="23"/>
  <c r="L45" i="23"/>
  <c r="L38" i="23"/>
  <c r="AA7" i="23"/>
  <c r="AA6" i="23" s="1"/>
  <c r="AA182" i="23" s="1"/>
  <c r="L32" i="23"/>
  <c r="U7" i="23"/>
  <c r="U6" i="23" s="1"/>
  <c r="U182" i="23" s="1"/>
  <c r="O7" i="23"/>
  <c r="O6" i="23" s="1"/>
  <c r="O182" i="23" s="1"/>
  <c r="X7" i="23"/>
  <c r="X6" i="23" s="1"/>
  <c r="X182" i="23" s="1"/>
  <c r="R7" i="23"/>
  <c r="R6" i="23" s="1"/>
  <c r="R182" i="23" s="1"/>
  <c r="AP11" i="28" l="1"/>
  <c r="Q12" i="24"/>
  <c r="AB12" i="2"/>
  <c r="AI12" i="27"/>
  <c r="AC12" i="23"/>
  <c r="L7" i="23"/>
  <c r="L6" i="23" s="1"/>
  <c r="AQ79" i="2"/>
  <c r="AQ33" i="2"/>
  <c r="AP10" i="28" l="1"/>
  <c r="Q11" i="24"/>
  <c r="AB11" i="2"/>
  <c r="AI11" i="27"/>
  <c r="AC11" i="23"/>
  <c r="D142" i="2"/>
  <c r="B109" i="40" s="1"/>
  <c r="B110" i="74" s="1"/>
  <c r="B110" i="77" s="1"/>
  <c r="G110" i="74" l="1"/>
  <c r="G110" i="77" s="1"/>
  <c r="P110" i="74"/>
  <c r="P110" i="77" s="1"/>
  <c r="R110" i="77" s="1"/>
  <c r="J110" i="74"/>
  <c r="J110" i="77" s="1"/>
  <c r="V110" i="74"/>
  <c r="V110" i="77" s="1"/>
  <c r="M110" i="74"/>
  <c r="M110" i="77" s="1"/>
  <c r="S110" i="74"/>
  <c r="S110" i="77" s="1"/>
  <c r="U110" i="77" s="1"/>
  <c r="AP9" i="28"/>
  <c r="Q10" i="24"/>
  <c r="D109" i="41"/>
  <c r="H109" i="40"/>
  <c r="AB10" i="2"/>
  <c r="AI10" i="27"/>
  <c r="AC10" i="23"/>
  <c r="B73" i="10"/>
  <c r="B72" i="10"/>
  <c r="P71" i="10"/>
  <c r="P70" i="10"/>
  <c r="P69" i="10"/>
  <c r="P68" i="10"/>
  <c r="P67" i="10"/>
  <c r="M71" i="10"/>
  <c r="M70" i="10"/>
  <c r="M69" i="10"/>
  <c r="M68" i="10"/>
  <c r="M67" i="10"/>
  <c r="L71" i="10"/>
  <c r="L70" i="10"/>
  <c r="L69" i="10"/>
  <c r="L68" i="10"/>
  <c r="L67" i="10"/>
  <c r="K71" i="10"/>
  <c r="K70" i="10"/>
  <c r="K69" i="10"/>
  <c r="K68" i="10"/>
  <c r="K67" i="10"/>
  <c r="B8" i="10"/>
  <c r="B7" i="10"/>
  <c r="B32" i="10"/>
  <c r="B38" i="10"/>
  <c r="B45" i="10"/>
  <c r="B55" i="10"/>
  <c r="B167" i="10"/>
  <c r="B168" i="10"/>
  <c r="B169" i="10"/>
  <c r="B172" i="10"/>
  <c r="B173" i="10"/>
  <c r="P182" i="10"/>
  <c r="P181" i="10"/>
  <c r="P180" i="10"/>
  <c r="P179" i="10"/>
  <c r="P178" i="10"/>
  <c r="P177" i="10"/>
  <c r="P176" i="10"/>
  <c r="P175" i="10"/>
  <c r="P174" i="10"/>
  <c r="L182" i="10"/>
  <c r="L181" i="10"/>
  <c r="L180" i="10"/>
  <c r="L179" i="10"/>
  <c r="L178" i="10"/>
  <c r="L177" i="10"/>
  <c r="L175" i="10"/>
  <c r="L174" i="10"/>
  <c r="K182" i="10"/>
  <c r="K179" i="10"/>
  <c r="K178" i="10"/>
  <c r="K177" i="10"/>
  <c r="K176" i="10"/>
  <c r="K174" i="10"/>
  <c r="A180" i="28"/>
  <c r="P158" i="10"/>
  <c r="P157" i="10"/>
  <c r="P155" i="10"/>
  <c r="P154" i="10"/>
  <c r="L158" i="10"/>
  <c r="L157" i="10"/>
  <c r="L156" i="10"/>
  <c r="L155" i="10"/>
  <c r="K158" i="10"/>
  <c r="K157" i="10"/>
  <c r="K156" i="10"/>
  <c r="K155" i="10"/>
  <c r="K154" i="10"/>
  <c r="P152" i="10"/>
  <c r="P151" i="10"/>
  <c r="P150" i="10"/>
  <c r="P149" i="10"/>
  <c r="P148" i="10"/>
  <c r="M152" i="10"/>
  <c r="M151" i="10"/>
  <c r="M150" i="10"/>
  <c r="M149" i="10"/>
  <c r="M148" i="10"/>
  <c r="L152" i="10"/>
  <c r="L151" i="10"/>
  <c r="L150" i="10"/>
  <c r="L149" i="10"/>
  <c r="L148" i="10"/>
  <c r="K152" i="10"/>
  <c r="K151" i="10"/>
  <c r="K150" i="10"/>
  <c r="K149" i="10"/>
  <c r="K148" i="10"/>
  <c r="P98" i="10"/>
  <c r="P97" i="10"/>
  <c r="P96" i="10"/>
  <c r="P95" i="10"/>
  <c r="P94" i="10"/>
  <c r="P93" i="10"/>
  <c r="P92" i="10"/>
  <c r="O98" i="10"/>
  <c r="O97" i="10"/>
  <c r="O96" i="10"/>
  <c r="O95" i="10"/>
  <c r="O94" i="10"/>
  <c r="O93" i="10"/>
  <c r="O92" i="10"/>
  <c r="L98" i="10"/>
  <c r="L97" i="10"/>
  <c r="L96" i="10"/>
  <c r="L95" i="10"/>
  <c r="L94" i="10"/>
  <c r="L93" i="10"/>
  <c r="L92" i="10"/>
  <c r="K98" i="10"/>
  <c r="K97" i="10"/>
  <c r="K96" i="10"/>
  <c r="K95" i="10"/>
  <c r="K94" i="10"/>
  <c r="K93" i="10"/>
  <c r="K92" i="10"/>
  <c r="B91" i="10"/>
  <c r="B85" i="10"/>
  <c r="P90" i="10"/>
  <c r="P89" i="10"/>
  <c r="P88" i="10"/>
  <c r="P87" i="10"/>
  <c r="P86" i="10"/>
  <c r="L90" i="10"/>
  <c r="L89" i="10"/>
  <c r="L88" i="10"/>
  <c r="L87" i="10"/>
  <c r="L86" i="10"/>
  <c r="K90" i="10"/>
  <c r="K89" i="10"/>
  <c r="K88" i="10"/>
  <c r="K87" i="10"/>
  <c r="K86" i="10"/>
  <c r="P82" i="10"/>
  <c r="P80" i="10"/>
  <c r="L82" i="10"/>
  <c r="L80" i="10"/>
  <c r="K82" i="10"/>
  <c r="K80" i="10"/>
  <c r="P65" i="10"/>
  <c r="P64" i="10"/>
  <c r="P63" i="10"/>
  <c r="P62" i="10"/>
  <c r="M65" i="10"/>
  <c r="M64" i="10"/>
  <c r="M63" i="10"/>
  <c r="M62" i="10"/>
  <c r="L65" i="10"/>
  <c r="L64" i="10"/>
  <c r="L63" i="10"/>
  <c r="L62" i="10"/>
  <c r="K65" i="10"/>
  <c r="K64" i="10"/>
  <c r="K63" i="10"/>
  <c r="K62" i="10"/>
  <c r="P56" i="10"/>
  <c r="N56" i="10"/>
  <c r="K56" i="10"/>
  <c r="P48" i="10"/>
  <c r="P47" i="10"/>
  <c r="P46" i="10"/>
  <c r="M48" i="10"/>
  <c r="M47" i="10"/>
  <c r="M46" i="10"/>
  <c r="L48" i="10"/>
  <c r="L47" i="10"/>
  <c r="L46" i="10"/>
  <c r="P44" i="10"/>
  <c r="P43" i="10"/>
  <c r="P42" i="10"/>
  <c r="P41" i="10"/>
  <c r="P40" i="10"/>
  <c r="P39" i="10"/>
  <c r="M44" i="10"/>
  <c r="M43" i="10"/>
  <c r="M42" i="10"/>
  <c r="M41" i="10"/>
  <c r="M40" i="10"/>
  <c r="M39" i="10"/>
  <c r="L44" i="10"/>
  <c r="L43" i="10"/>
  <c r="L42" i="10"/>
  <c r="L41" i="10"/>
  <c r="L40" i="10"/>
  <c r="L39" i="10"/>
  <c r="K44" i="10"/>
  <c r="K43" i="10"/>
  <c r="K42" i="10"/>
  <c r="K41" i="10"/>
  <c r="K40" i="10"/>
  <c r="K39" i="10"/>
  <c r="V24" i="25" l="1"/>
  <c r="Q9" i="24"/>
  <c r="Q8" i="24" s="1"/>
  <c r="V31" i="25"/>
  <c r="I109" i="41"/>
  <c r="AP8" i="28"/>
  <c r="AP7" i="28" s="1"/>
  <c r="AP6" i="28" s="1"/>
  <c r="AP5" i="28" s="1"/>
  <c r="V21" i="25"/>
  <c r="V28" i="25"/>
  <c r="V16" i="25"/>
  <c r="AB9" i="2"/>
  <c r="AI9" i="27"/>
  <c r="V27" i="25"/>
  <c r="V23" i="25"/>
  <c r="V19" i="25"/>
  <c r="V15" i="25"/>
  <c r="V11" i="25"/>
  <c r="V29" i="25"/>
  <c r="V13" i="25"/>
  <c r="V30" i="25"/>
  <c r="V26" i="25"/>
  <c r="V22" i="25"/>
  <c r="V18" i="25"/>
  <c r="V14" i="25"/>
  <c r="V10" i="25"/>
  <c r="V25" i="25"/>
  <c r="V17" i="25"/>
  <c r="V20" i="25"/>
  <c r="V12" i="25"/>
  <c r="AC9" i="23"/>
  <c r="AC8" i="23" s="1"/>
  <c r="AC7" i="23" s="1"/>
  <c r="AC6" i="23" s="1"/>
  <c r="AC182" i="23" s="1"/>
  <c r="V9" i="25" l="1"/>
  <c r="AB8" i="2"/>
  <c r="AB7" i="2" s="1"/>
  <c r="AI8" i="27"/>
  <c r="C146" i="20"/>
  <c r="C145" i="20"/>
  <c r="C144" i="20"/>
  <c r="C143" i="20"/>
  <c r="C142" i="20"/>
  <c r="C136" i="20"/>
  <c r="C116" i="20"/>
  <c r="C115" i="20"/>
  <c r="K71" i="6" l="1"/>
  <c r="K56" i="6"/>
  <c r="L55" i="8"/>
  <c r="L52" i="3"/>
  <c r="M32" i="3"/>
  <c r="CM170" i="10" l="1"/>
  <c r="U38" i="20" l="1"/>
  <c r="U37" i="20"/>
  <c r="U36" i="20"/>
  <c r="U35" i="20"/>
  <c r="U34" i="20"/>
  <c r="BH173" i="20"/>
  <c r="BG173" i="20"/>
  <c r="BF173" i="20"/>
  <c r="BE173" i="20"/>
  <c r="BD173" i="20"/>
  <c r="BC173" i="20"/>
  <c r="BB173" i="20"/>
  <c r="T173" i="20"/>
  <c r="S173" i="20"/>
  <c r="R173" i="20"/>
  <c r="Q173" i="20"/>
  <c r="O173" i="20"/>
  <c r="N173" i="20"/>
  <c r="P173" i="20"/>
  <c r="A181" i="27"/>
  <c r="A133" i="27"/>
  <c r="B8" i="27"/>
  <c r="B7" i="27"/>
  <c r="B6" i="27"/>
  <c r="C133" i="26"/>
  <c r="A133" i="26"/>
  <c r="C181" i="26"/>
  <c r="A181" i="26"/>
  <c r="C134" i="25"/>
  <c r="A134" i="25"/>
  <c r="C182" i="25"/>
  <c r="A182" i="25"/>
  <c r="Z182" i="25" l="1"/>
  <c r="U182" i="25" s="1"/>
  <c r="U181" i="26"/>
  <c r="S181" i="26"/>
  <c r="Z134" i="25"/>
  <c r="P134" i="25" s="1"/>
  <c r="U133" i="26"/>
  <c r="S133" i="26"/>
  <c r="C181" i="27"/>
  <c r="Q182" i="25"/>
  <c r="V182" i="25"/>
  <c r="N182" i="25"/>
  <c r="R182" i="25"/>
  <c r="O182" i="25"/>
  <c r="S182" i="25"/>
  <c r="P182" i="25"/>
  <c r="T182" i="25"/>
  <c r="C37" i="24"/>
  <c r="S37" i="24" s="1"/>
  <c r="C36" i="24"/>
  <c r="S36" i="24" s="1"/>
  <c r="C35" i="24"/>
  <c r="S35" i="24" s="1"/>
  <c r="C34" i="24"/>
  <c r="S34" i="24" s="1"/>
  <c r="C33" i="24"/>
  <c r="S33" i="24" s="1"/>
  <c r="A181" i="23"/>
  <c r="A133" i="23"/>
  <c r="W181" i="26" l="1"/>
  <c r="X181" i="27"/>
  <c r="T181" i="27"/>
  <c r="N140" i="74" s="1"/>
  <c r="O140" i="74" s="1"/>
  <c r="P181" i="27"/>
  <c r="Q140" i="74" s="1"/>
  <c r="AF181" i="27"/>
  <c r="K140" i="74" s="1"/>
  <c r="L140" i="74" s="1"/>
  <c r="AB181" i="27"/>
  <c r="W140" i="74" s="1"/>
  <c r="X140" i="74" s="1"/>
  <c r="W133" i="26"/>
  <c r="Y140" i="74"/>
  <c r="Y140" i="77" s="1"/>
  <c r="X134" i="25"/>
  <c r="Q134" i="25"/>
  <c r="C133" i="27"/>
  <c r="P133" i="27" s="1"/>
  <c r="Q104" i="74" s="1"/>
  <c r="R104" i="74" s="1"/>
  <c r="L134" i="25"/>
  <c r="N134" i="25"/>
  <c r="M134" i="25"/>
  <c r="S134" i="25"/>
  <c r="K134" i="25"/>
  <c r="R134" i="25"/>
  <c r="U134" i="25"/>
  <c r="Y104" i="74"/>
  <c r="Y104" i="77" s="1"/>
  <c r="O134" i="25"/>
  <c r="L182" i="25"/>
  <c r="V134" i="25"/>
  <c r="K182" i="25"/>
  <c r="X182" i="25"/>
  <c r="T134" i="25"/>
  <c r="M182" i="25"/>
  <c r="T140" i="74"/>
  <c r="U140" i="74" s="1"/>
  <c r="C180" i="28"/>
  <c r="Q36" i="24"/>
  <c r="Q37" i="24"/>
  <c r="Q34" i="24"/>
  <c r="Q33" i="24"/>
  <c r="P35" i="24"/>
  <c r="O35" i="24"/>
  <c r="K35" i="24"/>
  <c r="L35" i="24"/>
  <c r="M35" i="24"/>
  <c r="N35" i="24"/>
  <c r="Q35" i="24"/>
  <c r="C139" i="41"/>
  <c r="S139" i="41" s="1"/>
  <c r="CH180" i="10"/>
  <c r="CG180" i="10"/>
  <c r="B160" i="10"/>
  <c r="B159" i="10"/>
  <c r="B153" i="10"/>
  <c r="B147" i="10"/>
  <c r="B146" i="10"/>
  <c r="B140" i="10"/>
  <c r="B134" i="10"/>
  <c r="B120" i="10"/>
  <c r="B119" i="10"/>
  <c r="AA54" i="10"/>
  <c r="AK113" i="2"/>
  <c r="CH112" i="10" s="1"/>
  <c r="T133" i="27" l="1"/>
  <c r="C103" i="41"/>
  <c r="T103" i="41" s="1"/>
  <c r="AF133" i="27"/>
  <c r="I103" i="40" s="1"/>
  <c r="M103" i="40" s="1"/>
  <c r="AB180" i="28"/>
  <c r="W180" i="28"/>
  <c r="AL180" i="28"/>
  <c r="AN180" i="28" s="1"/>
  <c r="AG180" i="28"/>
  <c r="R180" i="28"/>
  <c r="T180" i="28" s="1"/>
  <c r="AB133" i="27"/>
  <c r="W104" i="74" s="1"/>
  <c r="X104" i="74" s="1"/>
  <c r="X133" i="27"/>
  <c r="T104" i="74" s="1"/>
  <c r="U104" i="74" s="1"/>
  <c r="C132" i="28"/>
  <c r="N104" i="74"/>
  <c r="O104" i="74" s="1"/>
  <c r="AD181" i="27"/>
  <c r="Y181" i="23"/>
  <c r="S103" i="41"/>
  <c r="I139" i="40"/>
  <c r="M139" i="40" s="1"/>
  <c r="AH181" i="27"/>
  <c r="AB181" i="23"/>
  <c r="Z181" i="27"/>
  <c r="V181" i="23"/>
  <c r="R181" i="27"/>
  <c r="R140" i="74"/>
  <c r="P133" i="23"/>
  <c r="P181" i="23"/>
  <c r="L181" i="27"/>
  <c r="T139" i="41"/>
  <c r="Q32" i="24"/>
  <c r="V181" i="27"/>
  <c r="S181" i="23"/>
  <c r="R133" i="27"/>
  <c r="B99" i="10"/>
  <c r="B100" i="10"/>
  <c r="B101" i="10"/>
  <c r="B113" i="10"/>
  <c r="B107" i="10"/>
  <c r="AH133" i="27" l="1"/>
  <c r="AD134" i="2"/>
  <c r="K104" i="74"/>
  <c r="L104" i="74" s="1"/>
  <c r="AB133" i="23"/>
  <c r="AB132" i="28"/>
  <c r="R132" i="28"/>
  <c r="W132" i="28"/>
  <c r="AL132" i="28"/>
  <c r="R103" i="41" s="1"/>
  <c r="AG132" i="28"/>
  <c r="S133" i="23"/>
  <c r="Z133" i="27"/>
  <c r="V133" i="27"/>
  <c r="V133" i="23"/>
  <c r="Y133" i="23"/>
  <c r="AD133" i="27"/>
  <c r="L133" i="27"/>
  <c r="W134" i="20" s="1"/>
  <c r="J139" i="40"/>
  <c r="R139" i="41"/>
  <c r="L180" i="28"/>
  <c r="O180" i="28" s="1"/>
  <c r="O139" i="40"/>
  <c r="J139" i="41"/>
  <c r="L139" i="41" s="1"/>
  <c r="N181" i="27"/>
  <c r="H140" i="74"/>
  <c r="I140" i="74" s="1"/>
  <c r="J103" i="41"/>
  <c r="L103" i="41" s="1"/>
  <c r="O103" i="40"/>
  <c r="M181" i="23"/>
  <c r="W182" i="20"/>
  <c r="B61" i="10"/>
  <c r="B66" i="10"/>
  <c r="L59" i="9"/>
  <c r="J103" i="40" l="1"/>
  <c r="L132" i="28"/>
  <c r="O132" i="28" s="1"/>
  <c r="M133" i="23"/>
  <c r="N133" i="27"/>
  <c r="H104" i="74"/>
  <c r="I104" i="74" s="1"/>
  <c r="U139" i="41"/>
  <c r="K139" i="41"/>
  <c r="K103" i="41"/>
  <c r="U103" i="41"/>
  <c r="AA43" i="2"/>
  <c r="R43" i="2"/>
  <c r="O43" i="2"/>
  <c r="AG43" i="2"/>
  <c r="Q41" i="28" l="1"/>
  <c r="Q34" i="77"/>
  <c r="V41" i="28"/>
  <c r="N34" i="77"/>
  <c r="AK41" i="28"/>
  <c r="G33" i="40"/>
  <c r="K34" i="77" s="1"/>
  <c r="B36" i="1"/>
  <c r="B35" i="1"/>
  <c r="AU134" i="2" l="1"/>
  <c r="AU133" i="2"/>
  <c r="AU132" i="2"/>
  <c r="AU131" i="2"/>
  <c r="AU130" i="2"/>
  <c r="AU129" i="2"/>
  <c r="AU128" i="2"/>
  <c r="AU127" i="2"/>
  <c r="AU126" i="2"/>
  <c r="AU125" i="2"/>
  <c r="AU124" i="2"/>
  <c r="AU123" i="2"/>
  <c r="AU122" i="2"/>
  <c r="AU182" i="2" l="1"/>
  <c r="AU181" i="2"/>
  <c r="AU180" i="2"/>
  <c r="AT180" i="2"/>
  <c r="AV180" i="2" s="1"/>
  <c r="AU179" i="2"/>
  <c r="AU178" i="2"/>
  <c r="AU177" i="2"/>
  <c r="AU176" i="2"/>
  <c r="AU175" i="2"/>
  <c r="AU174" i="2" l="1"/>
  <c r="K38" i="6" l="1"/>
  <c r="T47" i="1" l="1"/>
  <c r="S47" i="1"/>
  <c r="BI175" i="20"/>
  <c r="L78" i="9"/>
  <c r="L77" i="9"/>
  <c r="B173" i="20" l="1"/>
  <c r="B172" i="20"/>
  <c r="B169" i="20"/>
  <c r="B168" i="20"/>
  <c r="B161" i="20"/>
  <c r="B160" i="20"/>
  <c r="B154" i="20"/>
  <c r="B148" i="20"/>
  <c r="B147" i="20"/>
  <c r="B141" i="20"/>
  <c r="B135" i="20"/>
  <c r="B121" i="20"/>
  <c r="B120" i="20"/>
  <c r="B114" i="20"/>
  <c r="B108" i="20"/>
  <c r="B102" i="20"/>
  <c r="B101" i="20"/>
  <c r="B100" i="20"/>
  <c r="B92" i="20"/>
  <c r="B86" i="20"/>
  <c r="B79" i="20"/>
  <c r="B73" i="20"/>
  <c r="B74" i="20"/>
  <c r="B67" i="20"/>
  <c r="B58" i="20"/>
  <c r="B62" i="20"/>
  <c r="B56" i="20"/>
  <c r="B50" i="2" l="1"/>
  <c r="B39" i="20"/>
  <c r="B33" i="20"/>
  <c r="B9" i="20"/>
  <c r="B8" i="20"/>
  <c r="B7" i="20"/>
  <c r="B49" i="27" l="1"/>
  <c r="B48" i="28"/>
  <c r="B49" i="26"/>
  <c r="C49" i="23"/>
  <c r="B49" i="24"/>
  <c r="B50" i="25"/>
  <c r="C50" i="38"/>
  <c r="B49" i="10"/>
  <c r="B50" i="20"/>
  <c r="AO134" i="20" l="1"/>
  <c r="U134" i="20"/>
  <c r="B134" i="20"/>
  <c r="A134" i="20"/>
  <c r="B132" i="11"/>
  <c r="A132" i="11"/>
  <c r="P55" i="9"/>
  <c r="O55" i="9"/>
  <c r="N55" i="9"/>
  <c r="M55" i="9"/>
  <c r="Q55" i="9"/>
  <c r="P120" i="10" l="1"/>
  <c r="O120" i="10"/>
  <c r="N120" i="10"/>
  <c r="M120" i="10"/>
  <c r="L120" i="10"/>
  <c r="K120" i="10"/>
  <c r="J120" i="10"/>
  <c r="I120" i="10"/>
  <c r="H120" i="10"/>
  <c r="G120" i="10"/>
  <c r="F120" i="10"/>
  <c r="E120" i="10"/>
  <c r="D120" i="10"/>
  <c r="C120" i="10"/>
  <c r="T120" i="10"/>
  <c r="S120" i="10"/>
  <c r="R120" i="10"/>
  <c r="Q120" i="10"/>
  <c r="V120" i="10"/>
  <c r="A133" i="10"/>
  <c r="L57" i="9"/>
  <c r="B57" i="9" l="1"/>
  <c r="A57" i="9"/>
  <c r="D134" i="2" l="1"/>
  <c r="E134" i="2"/>
  <c r="F134" i="2"/>
  <c r="F132" i="28" s="1"/>
  <c r="G134" i="2"/>
  <c r="H134" i="2"/>
  <c r="I134" i="2"/>
  <c r="I132" i="28" s="1"/>
  <c r="J134" i="2"/>
  <c r="AK134" i="2"/>
  <c r="AI134" i="2"/>
  <c r="AH134" i="2"/>
  <c r="R133" i="24" s="1"/>
  <c r="U133" i="24" s="1"/>
  <c r="AG134" i="2"/>
  <c r="AD133" i="23" s="1"/>
  <c r="AG133" i="23" s="1"/>
  <c r="AA134" i="2"/>
  <c r="G103" i="40" s="1"/>
  <c r="X134" i="2"/>
  <c r="U134" i="2"/>
  <c r="R134" i="2"/>
  <c r="O134" i="2"/>
  <c r="L134" i="2"/>
  <c r="L103" i="40" l="1"/>
  <c r="K104" i="77"/>
  <c r="V132" i="28"/>
  <c r="Z132" i="28" s="1"/>
  <c r="N104" i="77"/>
  <c r="Q132" i="28"/>
  <c r="U132" i="28" s="1"/>
  <c r="Q104" i="77"/>
  <c r="AA132" i="28"/>
  <c r="AE132" i="28" s="1"/>
  <c r="T104" i="77"/>
  <c r="AF132" i="28"/>
  <c r="AJ132" i="28" s="1"/>
  <c r="W104" i="77"/>
  <c r="G132" i="28"/>
  <c r="E103" i="40"/>
  <c r="J132" i="28"/>
  <c r="F103" i="40"/>
  <c r="F104" i="74" s="1"/>
  <c r="F104" i="77" s="1"/>
  <c r="E132" i="28"/>
  <c r="D103" i="40"/>
  <c r="H132" i="28"/>
  <c r="C103" i="40"/>
  <c r="D132" i="28"/>
  <c r="B103" i="40"/>
  <c r="B104" i="74" s="1"/>
  <c r="B104" i="77" s="1"/>
  <c r="J134" i="38"/>
  <c r="K132" i="28"/>
  <c r="P132" i="28" s="1"/>
  <c r="O134" i="38"/>
  <c r="AK132" i="28"/>
  <c r="AO132" i="28" s="1"/>
  <c r="F134" i="38"/>
  <c r="G133" i="24"/>
  <c r="I134" i="38"/>
  <c r="J133" i="24"/>
  <c r="H134" i="38"/>
  <c r="I133" i="24"/>
  <c r="D134" i="38"/>
  <c r="E133" i="24"/>
  <c r="E134" i="38"/>
  <c r="F133" i="24"/>
  <c r="G134" i="38"/>
  <c r="H133" i="24"/>
  <c r="C134" i="38"/>
  <c r="D133" i="24"/>
  <c r="S133" i="27"/>
  <c r="U133" i="27" s="1"/>
  <c r="L134" i="38"/>
  <c r="AA133" i="27"/>
  <c r="AC133" i="27" s="1"/>
  <c r="N134" i="38"/>
  <c r="O133" i="27"/>
  <c r="Q133" i="27" s="1"/>
  <c r="K134" i="38"/>
  <c r="W133" i="27"/>
  <c r="Y133" i="27" s="1"/>
  <c r="M134" i="38"/>
  <c r="K133" i="27"/>
  <c r="M133" i="27" s="1"/>
  <c r="K133" i="23"/>
  <c r="J132" i="11"/>
  <c r="K134" i="20"/>
  <c r="AE133" i="27"/>
  <c r="AG133" i="27" s="1"/>
  <c r="Z133" i="23"/>
  <c r="E132" i="11"/>
  <c r="F133" i="27"/>
  <c r="F133" i="26"/>
  <c r="F134" i="25"/>
  <c r="F133" i="23"/>
  <c r="F134" i="20"/>
  <c r="W134" i="25"/>
  <c r="AN134" i="2"/>
  <c r="AP134" i="2"/>
  <c r="AM134" i="2"/>
  <c r="AL134" i="2"/>
  <c r="AO134" i="2"/>
  <c r="H132" i="11"/>
  <c r="I134" i="25"/>
  <c r="I133" i="27"/>
  <c r="I133" i="26"/>
  <c r="I133" i="23"/>
  <c r="I134" i="20"/>
  <c r="D132" i="11"/>
  <c r="E134" i="25"/>
  <c r="E133" i="27"/>
  <c r="E133" i="26"/>
  <c r="E133" i="23"/>
  <c r="E134" i="20"/>
  <c r="F132" i="11"/>
  <c r="G133" i="27"/>
  <c r="G133" i="26"/>
  <c r="G134" i="25"/>
  <c r="G133" i="23"/>
  <c r="G134" i="20"/>
  <c r="I132" i="11"/>
  <c r="J133" i="27"/>
  <c r="J133" i="26"/>
  <c r="J134" i="25"/>
  <c r="J133" i="23"/>
  <c r="J134" i="20"/>
  <c r="AE134" i="2"/>
  <c r="CH133" i="10"/>
  <c r="R133" i="26"/>
  <c r="AT134" i="2"/>
  <c r="AV134" i="2" s="1"/>
  <c r="AX134" i="20"/>
  <c r="AT134" i="20"/>
  <c r="DF134" i="20"/>
  <c r="DB134" i="20"/>
  <c r="DA134" i="20"/>
  <c r="DD134" i="20"/>
  <c r="AY134" i="20"/>
  <c r="DG134" i="20"/>
  <c r="AW134" i="20"/>
  <c r="AS134" i="20"/>
  <c r="DE134" i="20"/>
  <c r="AV134" i="20"/>
  <c r="AU134" i="20"/>
  <c r="DC134" i="20"/>
  <c r="AC134" i="20"/>
  <c r="Y134" i="20"/>
  <c r="AA134" i="20"/>
  <c r="Z134" i="20"/>
  <c r="AB134" i="20"/>
  <c r="AE134" i="20"/>
  <c r="AD134" i="20"/>
  <c r="G132" i="11"/>
  <c r="H133" i="27"/>
  <c r="H133" i="26"/>
  <c r="H134" i="25"/>
  <c r="H133" i="23"/>
  <c r="H134" i="20"/>
  <c r="D133" i="27"/>
  <c r="D133" i="26"/>
  <c r="D134" i="25"/>
  <c r="D133" i="23"/>
  <c r="D134" i="20"/>
  <c r="AO133" i="10"/>
  <c r="Z133" i="10" s="1"/>
  <c r="T133" i="23"/>
  <c r="AM133" i="10"/>
  <c r="Y133" i="10" s="1"/>
  <c r="Q133" i="23"/>
  <c r="AK133" i="10"/>
  <c r="X133" i="10" s="1"/>
  <c r="N133" i="23"/>
  <c r="AQ133" i="10"/>
  <c r="AA133" i="10" s="1"/>
  <c r="W133" i="23"/>
  <c r="W132" i="11"/>
  <c r="AS133" i="10"/>
  <c r="AB133" i="10" s="1"/>
  <c r="V132" i="11"/>
  <c r="AI133" i="10"/>
  <c r="W133" i="10" s="1"/>
  <c r="AJ134" i="2"/>
  <c r="CG133" i="10"/>
  <c r="C132" i="11"/>
  <c r="B133" i="10"/>
  <c r="H104" i="77" l="1"/>
  <c r="B103" i="41"/>
  <c r="C104" i="74"/>
  <c r="C104" i="77" s="1"/>
  <c r="S104" i="74"/>
  <c r="S104" i="77" s="1"/>
  <c r="U104" i="77" s="1"/>
  <c r="P104" i="74"/>
  <c r="P104" i="77" s="1"/>
  <c r="R104" i="77" s="1"/>
  <c r="V104" i="74"/>
  <c r="V104" i="77" s="1"/>
  <c r="X104" i="77" s="1"/>
  <c r="M104" i="74"/>
  <c r="M104" i="77" s="1"/>
  <c r="O104" i="77" s="1"/>
  <c r="G104" i="74"/>
  <c r="G104" i="77" s="1"/>
  <c r="I104" i="77" s="1"/>
  <c r="J104" i="74"/>
  <c r="J104" i="77" s="1"/>
  <c r="L104" i="77" s="1"/>
  <c r="E103" i="41"/>
  <c r="D104" i="74"/>
  <c r="D104" i="77" s="1"/>
  <c r="F103" i="41"/>
  <c r="E104" i="74"/>
  <c r="E104" i="77" s="1"/>
  <c r="D103" i="41"/>
  <c r="H103" i="40"/>
  <c r="AB134" i="25"/>
  <c r="AA134" i="25"/>
  <c r="CJ77" i="10"/>
  <c r="CM53" i="10"/>
  <c r="CL53" i="10"/>
  <c r="CK53" i="10"/>
  <c r="CJ53" i="10"/>
  <c r="N103" i="40" l="1"/>
  <c r="I103" i="41"/>
  <c r="K103" i="40"/>
  <c r="CJ182" i="10"/>
  <c r="A182" i="10"/>
  <c r="Z34" i="6" l="1"/>
  <c r="AA34" i="6" s="1"/>
  <c r="Z33" i="7" l="1"/>
  <c r="AA33" i="7" s="1"/>
  <c r="AA34" i="8" l="1"/>
  <c r="AB34" i="8" s="1"/>
  <c r="AA28" i="3" l="1"/>
  <c r="AB28" i="3" s="1"/>
  <c r="A182" i="20" l="1"/>
  <c r="BI180" i="20" l="1"/>
  <c r="C105" i="21" l="1"/>
  <c r="D105" i="21" s="1"/>
  <c r="DG56" i="20" l="1"/>
  <c r="DG79" i="20"/>
  <c r="DG92" i="20"/>
  <c r="DG102" i="20"/>
  <c r="DF102" i="20"/>
  <c r="DE102" i="20"/>
  <c r="DD102" i="20"/>
  <c r="DC102" i="20"/>
  <c r="DB102" i="20"/>
  <c r="DA102" i="20"/>
  <c r="DG180" i="20"/>
  <c r="DF180" i="20"/>
  <c r="DE180" i="20"/>
  <c r="DD180" i="20"/>
  <c r="DC180" i="20"/>
  <c r="DB180" i="20"/>
  <c r="DA180" i="20"/>
  <c r="DF92" i="20"/>
  <c r="DE92" i="20"/>
  <c r="DD92" i="20"/>
  <c r="DC92" i="20"/>
  <c r="DB92" i="20"/>
  <c r="DA92" i="20"/>
  <c r="DF56" i="20"/>
  <c r="DE56" i="20"/>
  <c r="DD56" i="20"/>
  <c r="DC56" i="20"/>
  <c r="DB56" i="20"/>
  <c r="DA56" i="20"/>
  <c r="BI182" i="20"/>
  <c r="U182" i="20"/>
  <c r="CW182" i="20"/>
  <c r="CC182" i="20"/>
  <c r="AO182" i="20"/>
  <c r="C182" i="20"/>
  <c r="B182" i="20"/>
  <c r="B180" i="11" l="1"/>
  <c r="A180" i="11"/>
  <c r="AK182" i="2" l="1"/>
  <c r="AI182" i="2"/>
  <c r="AP182" i="2" s="1"/>
  <c r="AH182" i="2"/>
  <c r="AG182" i="2"/>
  <c r="AD181" i="23" s="1"/>
  <c r="AG181" i="23" s="1"/>
  <c r="AA182" i="2"/>
  <c r="X182" i="2"/>
  <c r="U182" i="2"/>
  <c r="R182" i="2"/>
  <c r="O182" i="2"/>
  <c r="J182" i="2"/>
  <c r="F139" i="40" s="1"/>
  <c r="F140" i="74" s="1"/>
  <c r="F140" i="77" s="1"/>
  <c r="I182" i="2"/>
  <c r="H182" i="2"/>
  <c r="C139" i="40" s="1"/>
  <c r="G182" i="2"/>
  <c r="E139" i="40" s="1"/>
  <c r="F182" i="2"/>
  <c r="E182" i="2"/>
  <c r="D139" i="40" s="1"/>
  <c r="D182" i="2"/>
  <c r="B139" i="40" s="1"/>
  <c r="B140" i="74" s="1"/>
  <c r="B140" i="77" s="1"/>
  <c r="O75" i="7"/>
  <c r="N75" i="7"/>
  <c r="M75" i="7"/>
  <c r="L75" i="7"/>
  <c r="P75" i="7"/>
  <c r="W82" i="7" s="1"/>
  <c r="B77" i="7"/>
  <c r="A77" i="7"/>
  <c r="K77" i="7"/>
  <c r="AF182" i="2"/>
  <c r="P188" i="38" s="1"/>
  <c r="AA180" i="28" l="1"/>
  <c r="AE180" i="28" s="1"/>
  <c r="T140" i="77"/>
  <c r="AF180" i="28"/>
  <c r="AJ180" i="28" s="1"/>
  <c r="W140" i="77"/>
  <c r="V180" i="28"/>
  <c r="Z180" i="28" s="1"/>
  <c r="N140" i="77"/>
  <c r="Q180" i="28"/>
  <c r="U180" i="28" s="1"/>
  <c r="Q140" i="77"/>
  <c r="E139" i="41"/>
  <c r="D140" i="74"/>
  <c r="D140" i="77" s="1"/>
  <c r="B139" i="41"/>
  <c r="C140" i="74"/>
  <c r="C140" i="77" s="1"/>
  <c r="G140" i="74"/>
  <c r="G140" i="77" s="1"/>
  <c r="P140" i="74"/>
  <c r="P140" i="77" s="1"/>
  <c r="V140" i="74"/>
  <c r="V140" i="77" s="1"/>
  <c r="X140" i="77" s="1"/>
  <c r="M140" i="74"/>
  <c r="M140" i="77" s="1"/>
  <c r="O140" i="77" s="1"/>
  <c r="S140" i="74"/>
  <c r="S140" i="77" s="1"/>
  <c r="U140" i="77" s="1"/>
  <c r="J140" i="74"/>
  <c r="J140" i="77" s="1"/>
  <c r="F139" i="41"/>
  <c r="E140" i="74"/>
  <c r="E140" i="77" s="1"/>
  <c r="D139" i="41"/>
  <c r="H139" i="40"/>
  <c r="AK180" i="28"/>
  <c r="AO180" i="28" s="1"/>
  <c r="G139" i="40"/>
  <c r="C188" i="38"/>
  <c r="D180" i="28"/>
  <c r="L188" i="38"/>
  <c r="Q181" i="23"/>
  <c r="D188" i="38"/>
  <c r="E180" i="28"/>
  <c r="H188" i="38"/>
  <c r="I180" i="28"/>
  <c r="W181" i="27"/>
  <c r="Y181" i="27" s="1"/>
  <c r="M188" i="38"/>
  <c r="T181" i="23"/>
  <c r="E188" i="38"/>
  <c r="F180" i="28"/>
  <c r="I188" i="38"/>
  <c r="J180" i="28"/>
  <c r="AA181" i="27"/>
  <c r="AC181" i="27" s="1"/>
  <c r="N188" i="38"/>
  <c r="W181" i="23"/>
  <c r="G188" i="38"/>
  <c r="H180" i="28"/>
  <c r="F188" i="38"/>
  <c r="G180" i="28"/>
  <c r="K188" i="38"/>
  <c r="N181" i="23"/>
  <c r="AE181" i="27"/>
  <c r="AG181" i="27" s="1"/>
  <c r="O188" i="38"/>
  <c r="Z181" i="23"/>
  <c r="J181" i="26"/>
  <c r="J181" i="27"/>
  <c r="J182" i="25"/>
  <c r="J181" i="23"/>
  <c r="G181" i="27"/>
  <c r="G182" i="25"/>
  <c r="G181" i="26"/>
  <c r="G181" i="23"/>
  <c r="E181" i="26"/>
  <c r="E182" i="25"/>
  <c r="E181" i="27"/>
  <c r="E181" i="23"/>
  <c r="I181" i="26"/>
  <c r="I182" i="25"/>
  <c r="I181" i="27"/>
  <c r="I181" i="23"/>
  <c r="F181" i="26"/>
  <c r="F181" i="27"/>
  <c r="F182" i="25"/>
  <c r="F181" i="23"/>
  <c r="W182" i="25"/>
  <c r="CG182" i="10"/>
  <c r="D181" i="26"/>
  <c r="D182" i="25"/>
  <c r="D181" i="27"/>
  <c r="D181" i="23"/>
  <c r="H181" i="26"/>
  <c r="H182" i="25"/>
  <c r="H181" i="27"/>
  <c r="H181" i="23"/>
  <c r="R181" i="26"/>
  <c r="CH182" i="10"/>
  <c r="AT182" i="2"/>
  <c r="AV182" i="2" s="1"/>
  <c r="AM182" i="10"/>
  <c r="S181" i="27"/>
  <c r="U181" i="27" s="1"/>
  <c r="AK182" i="10"/>
  <c r="O181" i="27"/>
  <c r="Q181" i="27" s="1"/>
  <c r="J182" i="20"/>
  <c r="I180" i="11"/>
  <c r="AO182" i="10"/>
  <c r="I182" i="20"/>
  <c r="H180" i="11"/>
  <c r="F182" i="20"/>
  <c r="E180" i="11"/>
  <c r="G182" i="20"/>
  <c r="F180" i="11"/>
  <c r="K182" i="20"/>
  <c r="J180" i="11"/>
  <c r="AQ182" i="10"/>
  <c r="E182" i="20"/>
  <c r="D180" i="11"/>
  <c r="B182" i="10"/>
  <c r="D182" i="20"/>
  <c r="C180" i="11"/>
  <c r="H182" i="20"/>
  <c r="G180" i="11"/>
  <c r="AS182" i="10"/>
  <c r="W180" i="11"/>
  <c r="DD182" i="20"/>
  <c r="DG182" i="20"/>
  <c r="DC182" i="20"/>
  <c r="DF182" i="20"/>
  <c r="DE182" i="20"/>
  <c r="DA182" i="20"/>
  <c r="AB182" i="20"/>
  <c r="CJ182" i="20"/>
  <c r="BP182" i="20"/>
  <c r="AY182" i="20"/>
  <c r="AU182" i="20"/>
  <c r="CH182" i="20"/>
  <c r="AW182" i="20"/>
  <c r="DB182" i="20"/>
  <c r="Y182" i="20"/>
  <c r="AC182" i="20"/>
  <c r="CM182" i="20"/>
  <c r="CI182" i="20"/>
  <c r="BS182" i="20"/>
  <c r="BO182" i="20"/>
  <c r="AX182" i="20"/>
  <c r="AT182" i="20"/>
  <c r="Z182" i="20"/>
  <c r="AD182" i="20"/>
  <c r="CL182" i="20"/>
  <c r="BR182" i="20"/>
  <c r="BN182" i="20"/>
  <c r="AS182" i="20"/>
  <c r="CK182" i="20"/>
  <c r="BM182" i="20"/>
  <c r="CG182" i="20"/>
  <c r="AA182" i="20"/>
  <c r="AV182" i="20"/>
  <c r="AE182" i="20"/>
  <c r="BQ182" i="20"/>
  <c r="L182" i="2"/>
  <c r="K180" i="28" s="1"/>
  <c r="P180" i="28" s="1"/>
  <c r="AM182" i="2"/>
  <c r="AJ182" i="2"/>
  <c r="AN182" i="2"/>
  <c r="AO182" i="2"/>
  <c r="AL182" i="2"/>
  <c r="R140" i="77" l="1"/>
  <c r="L139" i="40"/>
  <c r="K140" i="77"/>
  <c r="H140" i="77" s="1"/>
  <c r="I140" i="77" s="1"/>
  <c r="N139" i="40"/>
  <c r="I139" i="41"/>
  <c r="K139" i="40"/>
  <c r="AB182" i="25"/>
  <c r="AA182" i="25"/>
  <c r="CL182" i="10"/>
  <c r="X182" i="10" s="1"/>
  <c r="K181" i="27"/>
  <c r="M181" i="27" s="1"/>
  <c r="J188" i="38"/>
  <c r="K181" i="23"/>
  <c r="AL182" i="10"/>
  <c r="CM182" i="10"/>
  <c r="Y182" i="10" s="1"/>
  <c r="AT182" i="10"/>
  <c r="CN182" i="10"/>
  <c r="AB182" i="10" s="1"/>
  <c r="AI182" i="10"/>
  <c r="V180" i="11"/>
  <c r="U126" i="2"/>
  <c r="T96" i="77" s="1"/>
  <c r="U127" i="2"/>
  <c r="T97" i="77" s="1"/>
  <c r="CK130" i="10"/>
  <c r="CK127" i="10"/>
  <c r="CT134" i="10"/>
  <c r="CK123" i="10"/>
  <c r="CK122" i="10"/>
  <c r="A132" i="10"/>
  <c r="A131" i="10"/>
  <c r="A130" i="10"/>
  <c r="A129" i="10"/>
  <c r="A84" i="10"/>
  <c r="A83" i="10"/>
  <c r="AO133" i="20"/>
  <c r="AO132" i="20"/>
  <c r="AO131" i="20"/>
  <c r="AO130" i="20"/>
  <c r="U133" i="20"/>
  <c r="U132" i="20"/>
  <c r="U131" i="20"/>
  <c r="U130" i="20"/>
  <c r="AN121" i="20"/>
  <c r="AM121" i="20"/>
  <c r="AL121" i="20"/>
  <c r="AK121" i="20"/>
  <c r="AJ121" i="20"/>
  <c r="AI121" i="20"/>
  <c r="AH121" i="20"/>
  <c r="T121" i="20"/>
  <c r="S121" i="20"/>
  <c r="R121" i="20"/>
  <c r="Q121" i="20"/>
  <c r="P121" i="20"/>
  <c r="O121" i="20"/>
  <c r="N121" i="20"/>
  <c r="A131" i="28"/>
  <c r="A130" i="28"/>
  <c r="A129" i="28"/>
  <c r="A128" i="28"/>
  <c r="A132" i="27"/>
  <c r="A131" i="27"/>
  <c r="A130" i="27"/>
  <c r="A129" i="27"/>
  <c r="C132" i="26"/>
  <c r="A132" i="26"/>
  <c r="C131" i="26"/>
  <c r="A131" i="26"/>
  <c r="C130" i="26"/>
  <c r="A130" i="26"/>
  <c r="C129" i="26"/>
  <c r="A129" i="26"/>
  <c r="C133" i="25"/>
  <c r="A133" i="25"/>
  <c r="C132" i="25"/>
  <c r="A132" i="25"/>
  <c r="C131" i="25"/>
  <c r="A131" i="25"/>
  <c r="C130" i="25"/>
  <c r="Z130" i="25" s="1"/>
  <c r="A130" i="25"/>
  <c r="C132" i="24"/>
  <c r="S132" i="24" s="1"/>
  <c r="A132" i="24"/>
  <c r="C131" i="24"/>
  <c r="S131" i="24" s="1"/>
  <c r="A131" i="24"/>
  <c r="C130" i="24"/>
  <c r="S130" i="24" s="1"/>
  <c r="A130" i="24"/>
  <c r="C129" i="24"/>
  <c r="S129" i="24" s="1"/>
  <c r="A129" i="24"/>
  <c r="A132" i="23"/>
  <c r="A131" i="23"/>
  <c r="A130" i="23"/>
  <c r="A129" i="23"/>
  <c r="L140" i="77" l="1"/>
  <c r="Z133" i="25"/>
  <c r="U133" i="25" s="1"/>
  <c r="U130" i="26"/>
  <c r="S130" i="26"/>
  <c r="U132" i="26"/>
  <c r="S132" i="26"/>
  <c r="Z131" i="25"/>
  <c r="U131" i="25" s="1"/>
  <c r="Z132" i="25"/>
  <c r="U132" i="25" s="1"/>
  <c r="U129" i="26"/>
  <c r="S129" i="26"/>
  <c r="U131" i="26"/>
  <c r="S131" i="26"/>
  <c r="Q129" i="24"/>
  <c r="Q130" i="24"/>
  <c r="Q132" i="24"/>
  <c r="Q131" i="24"/>
  <c r="T130" i="25"/>
  <c r="U130" i="25"/>
  <c r="C129" i="27"/>
  <c r="Q130" i="25"/>
  <c r="X130" i="25"/>
  <c r="V130" i="25"/>
  <c r="R130" i="25"/>
  <c r="O133" i="25"/>
  <c r="M133" i="25"/>
  <c r="K133" i="25"/>
  <c r="C132" i="27"/>
  <c r="L133" i="25"/>
  <c r="P133" i="25"/>
  <c r="Q133" i="25"/>
  <c r="X133" i="25"/>
  <c r="V133" i="25"/>
  <c r="R133" i="25"/>
  <c r="M127" i="38"/>
  <c r="AA125" i="28"/>
  <c r="M126" i="38"/>
  <c r="AA124" i="28"/>
  <c r="AD182" i="10"/>
  <c r="AE182" i="10"/>
  <c r="AH182" i="10"/>
  <c r="CI182" i="10" s="1"/>
  <c r="CK182" i="10"/>
  <c r="AJ182" i="10"/>
  <c r="BB121" i="20"/>
  <c r="BC121" i="20"/>
  <c r="BD121" i="20"/>
  <c r="BE121" i="20"/>
  <c r="BF121" i="20"/>
  <c r="BG121" i="20"/>
  <c r="BH121" i="20"/>
  <c r="BI122" i="20"/>
  <c r="BI123" i="20"/>
  <c r="C98" i="21"/>
  <c r="D98" i="21" s="1"/>
  <c r="B133" i="20"/>
  <c r="A133" i="20"/>
  <c r="B132" i="20"/>
  <c r="A132" i="20"/>
  <c r="B131" i="20"/>
  <c r="A131" i="20"/>
  <c r="B130" i="20"/>
  <c r="A130" i="20"/>
  <c r="B131" i="11"/>
  <c r="A131" i="11"/>
  <c r="B130" i="11"/>
  <c r="A130" i="11"/>
  <c r="B129" i="11"/>
  <c r="A129" i="11"/>
  <c r="B128" i="11"/>
  <c r="A128" i="11"/>
  <c r="AK133" i="2"/>
  <c r="AI133" i="2"/>
  <c r="AH133" i="2"/>
  <c r="R132" i="24" s="1"/>
  <c r="U132" i="24" s="1"/>
  <c r="AG133" i="2"/>
  <c r="AD132" i="23" s="1"/>
  <c r="AG132" i="23" s="1"/>
  <c r="AA133" i="2"/>
  <c r="X133" i="2"/>
  <c r="U133" i="2"/>
  <c r="R133" i="2"/>
  <c r="O133" i="2"/>
  <c r="K133" i="20"/>
  <c r="J133" i="2"/>
  <c r="I133" i="2"/>
  <c r="H133" i="2"/>
  <c r="G133" i="2"/>
  <c r="F133" i="2"/>
  <c r="E133" i="38" s="1"/>
  <c r="E133" i="2"/>
  <c r="D133" i="2"/>
  <c r="C56" i="9"/>
  <c r="B56" i="9"/>
  <c r="A56" i="9"/>
  <c r="L56" i="9"/>
  <c r="AK132" i="2"/>
  <c r="AI132" i="2"/>
  <c r="AH132" i="2"/>
  <c r="R131" i="24" s="1"/>
  <c r="U131" i="24" s="1"/>
  <c r="AG132" i="2"/>
  <c r="AD131" i="23" s="1"/>
  <c r="AG131" i="23" s="1"/>
  <c r="AA132" i="2"/>
  <c r="G101" i="40" s="1"/>
  <c r="K102" i="77" s="1"/>
  <c r="X132" i="2"/>
  <c r="U132" i="2"/>
  <c r="R132" i="2"/>
  <c r="O132" i="2"/>
  <c r="K132" i="20"/>
  <c r="J132" i="2"/>
  <c r="F101" i="40" s="1"/>
  <c r="F102" i="74" s="1"/>
  <c r="F102" i="77" s="1"/>
  <c r="I132" i="2"/>
  <c r="H132" i="2"/>
  <c r="G132" i="2"/>
  <c r="E101" i="40" s="1"/>
  <c r="F132" i="2"/>
  <c r="E132" i="2"/>
  <c r="D101" i="40" s="1"/>
  <c r="D132" i="2"/>
  <c r="B51" i="8"/>
  <c r="A51" i="8"/>
  <c r="L51" i="8"/>
  <c r="L132" i="2" s="1"/>
  <c r="K130" i="28" s="1"/>
  <c r="AK131" i="2"/>
  <c r="AK130" i="2"/>
  <c r="AK129" i="2"/>
  <c r="AK128" i="2"/>
  <c r="AI131" i="2"/>
  <c r="AH131" i="2"/>
  <c r="R130" i="24" s="1"/>
  <c r="U130" i="24" s="1"/>
  <c r="AI130" i="2"/>
  <c r="AH130" i="2"/>
  <c r="R129" i="24" s="1"/>
  <c r="AI129" i="2"/>
  <c r="CG128" i="10" s="1"/>
  <c r="CJ128" i="10" s="1"/>
  <c r="AH129" i="2"/>
  <c r="AI128" i="2"/>
  <c r="CG127" i="10" s="1"/>
  <c r="CJ127" i="10" s="1"/>
  <c r="CL127" i="10" s="1"/>
  <c r="AH128" i="2"/>
  <c r="AG131" i="2"/>
  <c r="AD130" i="23" s="1"/>
  <c r="AG130" i="23" s="1"/>
  <c r="AG130" i="2"/>
  <c r="AD129" i="23" s="1"/>
  <c r="AG129" i="23" s="1"/>
  <c r="AG129" i="2"/>
  <c r="AG128" i="2"/>
  <c r="AA131" i="2"/>
  <c r="P130" i="24" s="1"/>
  <c r="AA129" i="2"/>
  <c r="AA128" i="2"/>
  <c r="G97" i="40" s="1"/>
  <c r="K98" i="77" s="1"/>
  <c r="X131" i="2"/>
  <c r="X130" i="2"/>
  <c r="X129" i="2"/>
  <c r="W99" i="77" s="1"/>
  <c r="X128" i="2"/>
  <c r="W98" i="77" s="1"/>
  <c r="U131" i="2"/>
  <c r="U129" i="2"/>
  <c r="T99" i="77" s="1"/>
  <c r="U128" i="2"/>
  <c r="T98" i="77" s="1"/>
  <c r="R131" i="2"/>
  <c r="R129" i="2"/>
  <c r="N99" i="77" s="1"/>
  <c r="R128" i="2"/>
  <c r="N98" i="77" s="1"/>
  <c r="O131" i="2"/>
  <c r="O129" i="2"/>
  <c r="Q99" i="77" s="1"/>
  <c r="O128" i="2"/>
  <c r="Q98" i="77" s="1"/>
  <c r="K131" i="20"/>
  <c r="J131" i="2"/>
  <c r="F100" i="40" s="1"/>
  <c r="F101" i="74" s="1"/>
  <c r="F101" i="77" s="1"/>
  <c r="I131" i="2"/>
  <c r="H131" i="2"/>
  <c r="G131" i="2"/>
  <c r="F131" i="2"/>
  <c r="E131" i="2"/>
  <c r="D100" i="40" s="1"/>
  <c r="K130" i="20"/>
  <c r="J130" i="2"/>
  <c r="I130" i="2"/>
  <c r="H130" i="2"/>
  <c r="G130" i="2"/>
  <c r="F130" i="2"/>
  <c r="E130" i="2"/>
  <c r="D99" i="40" s="1"/>
  <c r="J129" i="2"/>
  <c r="I129" i="2"/>
  <c r="H129" i="38" s="1"/>
  <c r="H129" i="2"/>
  <c r="G129" i="2"/>
  <c r="F129" i="2"/>
  <c r="E129" i="38" s="1"/>
  <c r="E129" i="2"/>
  <c r="J128" i="2"/>
  <c r="I128" i="2"/>
  <c r="H128" i="38" s="1"/>
  <c r="H128" i="2"/>
  <c r="G128" i="2"/>
  <c r="F128" i="2"/>
  <c r="E128" i="38" s="1"/>
  <c r="E128" i="2"/>
  <c r="D131" i="2"/>
  <c r="D130" i="2"/>
  <c r="D129" i="2"/>
  <c r="D128" i="2"/>
  <c r="B57" i="7"/>
  <c r="B56" i="7"/>
  <c r="B55" i="7"/>
  <c r="B54" i="7"/>
  <c r="A57" i="7"/>
  <c r="A56" i="7"/>
  <c r="A55" i="7"/>
  <c r="A54" i="7"/>
  <c r="O53" i="7"/>
  <c r="K57" i="7"/>
  <c r="L131" i="2" s="1"/>
  <c r="K129" i="28" s="1"/>
  <c r="K55" i="7"/>
  <c r="L129" i="2" s="1"/>
  <c r="K54" i="7"/>
  <c r="B59" i="7"/>
  <c r="B61" i="7"/>
  <c r="B64" i="7"/>
  <c r="B66" i="7"/>
  <c r="B69" i="7"/>
  <c r="B73" i="7"/>
  <c r="AK127" i="2"/>
  <c r="AI127" i="2"/>
  <c r="CG126" i="10" s="1"/>
  <c r="CJ126" i="10" s="1"/>
  <c r="AH127" i="2"/>
  <c r="AG127" i="2"/>
  <c r="AK126" i="2"/>
  <c r="AI126" i="2"/>
  <c r="CG125" i="10" s="1"/>
  <c r="CJ125" i="10" s="1"/>
  <c r="AH126" i="2"/>
  <c r="AG126" i="2"/>
  <c r="AA127" i="2"/>
  <c r="G96" i="40" s="1"/>
  <c r="K97" i="77" s="1"/>
  <c r="X127" i="2"/>
  <c r="W97" i="77" s="1"/>
  <c r="R127" i="2"/>
  <c r="N97" i="77" s="1"/>
  <c r="O127" i="2"/>
  <c r="Q97" i="77" s="1"/>
  <c r="AA126" i="2"/>
  <c r="G95" i="40" s="1"/>
  <c r="K96" i="77" s="1"/>
  <c r="X126" i="2"/>
  <c r="W96" i="77" s="1"/>
  <c r="R126" i="2"/>
  <c r="N96" i="77" s="1"/>
  <c r="O126" i="2"/>
  <c r="Q96" i="77" s="1"/>
  <c r="P131" i="25" l="1"/>
  <c r="T131" i="25" s="1"/>
  <c r="W131" i="26"/>
  <c r="W130" i="26"/>
  <c r="Y100" i="74"/>
  <c r="Y100" i="77" s="1"/>
  <c r="X129" i="27"/>
  <c r="T129" i="27"/>
  <c r="P129" i="27"/>
  <c r="AB129" i="27"/>
  <c r="W100" i="74" s="1"/>
  <c r="X100" i="74" s="1"/>
  <c r="AF129" i="27"/>
  <c r="W132" i="26"/>
  <c r="X132" i="27"/>
  <c r="T103" i="74" s="1"/>
  <c r="U103" i="74" s="1"/>
  <c r="T132" i="27"/>
  <c r="N103" i="74" s="1"/>
  <c r="AF132" i="27"/>
  <c r="K103" i="74" s="1"/>
  <c r="AB132" i="27"/>
  <c r="W103" i="74" s="1"/>
  <c r="X103" i="74" s="1"/>
  <c r="P132" i="27"/>
  <c r="P132" i="23" s="1"/>
  <c r="S131" i="25"/>
  <c r="V131" i="25"/>
  <c r="Y101" i="74"/>
  <c r="Y101" i="77" s="1"/>
  <c r="Q131" i="25"/>
  <c r="N133" i="25"/>
  <c r="T133" i="25"/>
  <c r="S133" i="25"/>
  <c r="AF128" i="28"/>
  <c r="W100" i="77"/>
  <c r="Q130" i="28"/>
  <c r="Q102" i="77"/>
  <c r="AF131" i="28"/>
  <c r="W103" i="77"/>
  <c r="Q129" i="28"/>
  <c r="Q101" i="77"/>
  <c r="AF130" i="28"/>
  <c r="W102" i="77"/>
  <c r="AA129" i="28"/>
  <c r="T101" i="77"/>
  <c r="V130" i="28"/>
  <c r="N102" i="77"/>
  <c r="AA131" i="28"/>
  <c r="T103" i="77"/>
  <c r="AF129" i="28"/>
  <c r="W101" i="77"/>
  <c r="Q131" i="28"/>
  <c r="Q103" i="77"/>
  <c r="V129" i="28"/>
  <c r="N101" i="77"/>
  <c r="H98" i="77"/>
  <c r="AA130" i="28"/>
  <c r="T102" i="77"/>
  <c r="V131" i="28"/>
  <c r="N103" i="77"/>
  <c r="H96" i="77"/>
  <c r="H97" i="77"/>
  <c r="L132" i="25"/>
  <c r="R131" i="25"/>
  <c r="K131" i="25"/>
  <c r="O131" i="25"/>
  <c r="X131" i="25"/>
  <c r="C130" i="27"/>
  <c r="T130" i="27" s="1"/>
  <c r="R132" i="25"/>
  <c r="Y102" i="74"/>
  <c r="Y102" i="77" s="1"/>
  <c r="C131" i="27"/>
  <c r="X131" i="27" s="1"/>
  <c r="V132" i="25"/>
  <c r="O132" i="25"/>
  <c r="X132" i="25"/>
  <c r="P132" i="25"/>
  <c r="T132" i="25" s="1"/>
  <c r="K132" i="25"/>
  <c r="Q132" i="25"/>
  <c r="W129" i="26"/>
  <c r="Y103" i="74"/>
  <c r="Y103" i="77" s="1"/>
  <c r="N131" i="25"/>
  <c r="M131" i="25"/>
  <c r="L131" i="25"/>
  <c r="S132" i="25"/>
  <c r="N132" i="25"/>
  <c r="M132" i="25"/>
  <c r="L56" i="7"/>
  <c r="O130" i="25"/>
  <c r="E100" i="41"/>
  <c r="D101" i="74"/>
  <c r="D101" i="77" s="1"/>
  <c r="E99" i="41"/>
  <c r="D100" i="74"/>
  <c r="D100" i="77" s="1"/>
  <c r="F101" i="41"/>
  <c r="E102" i="74"/>
  <c r="E102" i="77" s="1"/>
  <c r="E101" i="41"/>
  <c r="D102" i="74"/>
  <c r="D102" i="77" s="1"/>
  <c r="D128" i="38"/>
  <c r="D97" i="40"/>
  <c r="F129" i="38"/>
  <c r="E98" i="40"/>
  <c r="F128" i="38"/>
  <c r="E97" i="40"/>
  <c r="D129" i="38"/>
  <c r="D98" i="40"/>
  <c r="F130" i="38"/>
  <c r="E99" i="40"/>
  <c r="G131" i="38"/>
  <c r="C100" i="40"/>
  <c r="C133" i="38"/>
  <c r="B102" i="40"/>
  <c r="B103" i="74" s="1"/>
  <c r="B103" i="77" s="1"/>
  <c r="G133" i="38"/>
  <c r="C102" i="40"/>
  <c r="AK131" i="28"/>
  <c r="G102" i="40"/>
  <c r="K103" i="77" s="1"/>
  <c r="N131" i="24"/>
  <c r="M132" i="24"/>
  <c r="L132" i="24"/>
  <c r="K130" i="24"/>
  <c r="N130" i="24"/>
  <c r="G128" i="38"/>
  <c r="C97" i="40"/>
  <c r="I129" i="38"/>
  <c r="F98" i="40"/>
  <c r="F99" i="74" s="1"/>
  <c r="F99" i="77" s="1"/>
  <c r="G130" i="38"/>
  <c r="C99" i="40"/>
  <c r="AK127" i="28"/>
  <c r="G98" i="40"/>
  <c r="K99" i="77" s="1"/>
  <c r="H99" i="77" s="1"/>
  <c r="D133" i="38"/>
  <c r="D102" i="40"/>
  <c r="M131" i="24"/>
  <c r="K131" i="24"/>
  <c r="P132" i="24"/>
  <c r="O130" i="24"/>
  <c r="C128" i="38"/>
  <c r="B97" i="40"/>
  <c r="B98" i="74" s="1"/>
  <c r="B98" i="77" s="1"/>
  <c r="I133" i="38"/>
  <c r="F102" i="40"/>
  <c r="F103" i="74" s="1"/>
  <c r="F103" i="77" s="1"/>
  <c r="L131" i="24"/>
  <c r="O131" i="24"/>
  <c r="M130" i="24"/>
  <c r="O129" i="24"/>
  <c r="C129" i="38"/>
  <c r="B98" i="40"/>
  <c r="B99" i="74" s="1"/>
  <c r="B99" i="77" s="1"/>
  <c r="I128" i="38"/>
  <c r="F97" i="40"/>
  <c r="F98" i="74" s="1"/>
  <c r="F98" i="77" s="1"/>
  <c r="G129" i="38"/>
  <c r="C98" i="40"/>
  <c r="I130" i="38"/>
  <c r="F99" i="40"/>
  <c r="F100" i="74" s="1"/>
  <c r="F100" i="77" s="1"/>
  <c r="F131" i="38"/>
  <c r="E100" i="40"/>
  <c r="AK129" i="28"/>
  <c r="G100" i="40"/>
  <c r="K101" i="77" s="1"/>
  <c r="G132" i="38"/>
  <c r="C101" i="40"/>
  <c r="F133" i="38"/>
  <c r="E102" i="40"/>
  <c r="P131" i="24"/>
  <c r="N132" i="24"/>
  <c r="O132" i="24"/>
  <c r="L130" i="24"/>
  <c r="C128" i="28"/>
  <c r="C131" i="28"/>
  <c r="U129" i="24"/>
  <c r="C102" i="41"/>
  <c r="T102" i="41" s="1"/>
  <c r="C132" i="38"/>
  <c r="B101" i="40"/>
  <c r="B102" i="74" s="1"/>
  <c r="B102" i="77" s="1"/>
  <c r="C131" i="38"/>
  <c r="B100" i="40"/>
  <c r="B101" i="74" s="1"/>
  <c r="B101" i="77" s="1"/>
  <c r="C130" i="38"/>
  <c r="B99" i="40"/>
  <c r="B100" i="74" s="1"/>
  <c r="B100" i="77" s="1"/>
  <c r="S99" i="41"/>
  <c r="T99" i="41"/>
  <c r="O126" i="38"/>
  <c r="AK124" i="28"/>
  <c r="O127" i="38"/>
  <c r="AK125" i="28"/>
  <c r="J129" i="38"/>
  <c r="K127" i="28"/>
  <c r="O132" i="38"/>
  <c r="AK130" i="28"/>
  <c r="O128" i="38"/>
  <c r="AK126" i="28"/>
  <c r="N127" i="38"/>
  <c r="AF125" i="28"/>
  <c r="L129" i="38"/>
  <c r="V127" i="28"/>
  <c r="N126" i="38"/>
  <c r="AF124" i="28"/>
  <c r="K129" i="38"/>
  <c r="Q127" i="28"/>
  <c r="M129" i="38"/>
  <c r="AA127" i="28"/>
  <c r="K126" i="38"/>
  <c r="Q124" i="28"/>
  <c r="K127" i="38"/>
  <c r="Q125" i="28"/>
  <c r="N129" i="38"/>
  <c r="AF127" i="28"/>
  <c r="L126" i="38"/>
  <c r="V124" i="28"/>
  <c r="L127" i="38"/>
  <c r="V125" i="28"/>
  <c r="K128" i="38"/>
  <c r="Q126" i="28"/>
  <c r="L128" i="38"/>
  <c r="V126" i="28"/>
  <c r="M128" i="38"/>
  <c r="AA126" i="28"/>
  <c r="N128" i="38"/>
  <c r="AF126" i="28"/>
  <c r="AT129" i="2"/>
  <c r="AV129" i="2" s="1"/>
  <c r="K131" i="23"/>
  <c r="J132" i="38"/>
  <c r="D130" i="11"/>
  <c r="D132" i="38"/>
  <c r="H130" i="11"/>
  <c r="H132" i="38"/>
  <c r="Q131" i="23"/>
  <c r="L132" i="38"/>
  <c r="N132" i="23"/>
  <c r="K133" i="38"/>
  <c r="Z132" i="23"/>
  <c r="O133" i="38"/>
  <c r="K130" i="23"/>
  <c r="J131" i="38"/>
  <c r="E131" i="20"/>
  <c r="D131" i="38"/>
  <c r="H129" i="11"/>
  <c r="H131" i="38"/>
  <c r="AS128" i="10"/>
  <c r="O129" i="38"/>
  <c r="F132" i="20"/>
  <c r="E132" i="38"/>
  <c r="J132" i="20"/>
  <c r="I132" i="38"/>
  <c r="T131" i="23"/>
  <c r="M132" i="38"/>
  <c r="H131" i="11"/>
  <c r="H133" i="38"/>
  <c r="L133" i="38"/>
  <c r="Q132" i="23"/>
  <c r="E130" i="20"/>
  <c r="D130" i="38"/>
  <c r="I130" i="20"/>
  <c r="H130" i="38"/>
  <c r="F131" i="20"/>
  <c r="E131" i="38"/>
  <c r="J131" i="20"/>
  <c r="I131" i="38"/>
  <c r="W129" i="23"/>
  <c r="N130" i="38"/>
  <c r="G132" i="20"/>
  <c r="F132" i="38"/>
  <c r="W131" i="23"/>
  <c r="N132" i="38"/>
  <c r="T132" i="23"/>
  <c r="M133" i="38"/>
  <c r="F130" i="20"/>
  <c r="E130" i="38"/>
  <c r="N130" i="23"/>
  <c r="K131" i="38"/>
  <c r="Q130" i="23"/>
  <c r="L131" i="38"/>
  <c r="T130" i="23"/>
  <c r="M131" i="38"/>
  <c r="W130" i="23"/>
  <c r="N131" i="38"/>
  <c r="Z130" i="23"/>
  <c r="O131" i="38"/>
  <c r="N131" i="23"/>
  <c r="K132" i="38"/>
  <c r="W132" i="23"/>
  <c r="N133" i="38"/>
  <c r="AT130" i="2"/>
  <c r="AV130" i="2" s="1"/>
  <c r="AC182" i="10"/>
  <c r="W182" i="10"/>
  <c r="AT126" i="2"/>
  <c r="AV126" i="2" s="1"/>
  <c r="AT127" i="2"/>
  <c r="AV127" i="2" s="1"/>
  <c r="AT131" i="2"/>
  <c r="AV131" i="2" s="1"/>
  <c r="W130" i="11"/>
  <c r="Z131" i="23"/>
  <c r="AT132" i="2"/>
  <c r="AV132" i="2" s="1"/>
  <c r="AT128" i="2"/>
  <c r="AV128" i="2" s="1"/>
  <c r="AT133" i="2"/>
  <c r="AV133" i="2" s="1"/>
  <c r="L133" i="2"/>
  <c r="K132" i="24" s="1"/>
  <c r="L55" i="9"/>
  <c r="CH128" i="10"/>
  <c r="CK128" i="10" s="1"/>
  <c r="CL128" i="10" s="1"/>
  <c r="DG129" i="20"/>
  <c r="DE129" i="20"/>
  <c r="DA129" i="20"/>
  <c r="DD129" i="20"/>
  <c r="DB129" i="20"/>
  <c r="DC129" i="20"/>
  <c r="DF129" i="20"/>
  <c r="AX130" i="20"/>
  <c r="DF130" i="20"/>
  <c r="DB130" i="20"/>
  <c r="DE130" i="20"/>
  <c r="DA130" i="20"/>
  <c r="DC130" i="20"/>
  <c r="DD130" i="20"/>
  <c r="DG130" i="20"/>
  <c r="DG131" i="20"/>
  <c r="DC131" i="20"/>
  <c r="DF131" i="20"/>
  <c r="DB131" i="20"/>
  <c r="DD131" i="20"/>
  <c r="DA131" i="20"/>
  <c r="DE131" i="20"/>
  <c r="AV133" i="20"/>
  <c r="DE133" i="20"/>
  <c r="DA133" i="20"/>
  <c r="DD133" i="20"/>
  <c r="DB133" i="20"/>
  <c r="DG133" i="20"/>
  <c r="DF133" i="20"/>
  <c r="DC133" i="20"/>
  <c r="CH125" i="10"/>
  <c r="CK125" i="10" s="1"/>
  <c r="CL125" i="10" s="1"/>
  <c r="DC126" i="20"/>
  <c r="DF126" i="20"/>
  <c r="DB126" i="20"/>
  <c r="DG126" i="20"/>
  <c r="DD126" i="20"/>
  <c r="DA126" i="20"/>
  <c r="DE126" i="20"/>
  <c r="CH126" i="10"/>
  <c r="CK126" i="10" s="1"/>
  <c r="CL126" i="10" s="1"/>
  <c r="DE127" i="20"/>
  <c r="DA127" i="20"/>
  <c r="DD127" i="20"/>
  <c r="DF127" i="20"/>
  <c r="DG127" i="20"/>
  <c r="DC127" i="20"/>
  <c r="DB127" i="20"/>
  <c r="L128" i="2"/>
  <c r="CH127" i="10"/>
  <c r="CI127" i="10" s="1"/>
  <c r="DC128" i="20"/>
  <c r="DG128" i="20"/>
  <c r="DF128" i="20"/>
  <c r="DB128" i="20"/>
  <c r="DE128" i="20"/>
  <c r="DA128" i="20"/>
  <c r="DD128" i="20"/>
  <c r="AD132" i="20"/>
  <c r="DD132" i="20"/>
  <c r="DG132" i="20"/>
  <c r="DC132" i="20"/>
  <c r="DA132" i="20"/>
  <c r="DF132" i="20"/>
  <c r="DB132" i="20"/>
  <c r="DE132" i="20"/>
  <c r="BI121" i="20"/>
  <c r="AV130" i="20"/>
  <c r="D128" i="11"/>
  <c r="E132" i="20"/>
  <c r="AB130" i="20"/>
  <c r="AT132" i="20"/>
  <c r="I131" i="20"/>
  <c r="H128" i="11"/>
  <c r="D129" i="11"/>
  <c r="I132" i="20"/>
  <c r="Z132" i="20"/>
  <c r="AX132" i="20"/>
  <c r="J129" i="27"/>
  <c r="J129" i="26"/>
  <c r="J130" i="25"/>
  <c r="J128" i="28"/>
  <c r="J129" i="24"/>
  <c r="J129" i="23"/>
  <c r="O130" i="27"/>
  <c r="AK130" i="10"/>
  <c r="W130" i="27"/>
  <c r="AO130" i="10"/>
  <c r="AA130" i="27"/>
  <c r="AQ130" i="10"/>
  <c r="AE130" i="27"/>
  <c r="AS130" i="10"/>
  <c r="W131" i="25"/>
  <c r="CG130" i="10"/>
  <c r="CJ130" i="10" s="1"/>
  <c r="CL130" i="10" s="1"/>
  <c r="CH130" i="10"/>
  <c r="R130" i="26"/>
  <c r="H131" i="26"/>
  <c r="H131" i="27"/>
  <c r="H132" i="25"/>
  <c r="H130" i="28"/>
  <c r="H131" i="24"/>
  <c r="H131" i="23"/>
  <c r="AA131" i="27"/>
  <c r="AQ131" i="10"/>
  <c r="CG131" i="10"/>
  <c r="CJ131" i="10" s="1"/>
  <c r="W132" i="25"/>
  <c r="E131" i="28"/>
  <c r="E132" i="27"/>
  <c r="E133" i="25"/>
  <c r="E132" i="26"/>
  <c r="E132" i="24"/>
  <c r="E132" i="23"/>
  <c r="O132" i="27"/>
  <c r="AK132" i="10"/>
  <c r="AC131" i="20"/>
  <c r="AA133" i="20"/>
  <c r="AE133" i="20"/>
  <c r="AW131" i="20"/>
  <c r="AU133" i="20"/>
  <c r="G129" i="27"/>
  <c r="G129" i="26"/>
  <c r="G130" i="25"/>
  <c r="G128" i="28"/>
  <c r="G129" i="24"/>
  <c r="G129" i="23"/>
  <c r="H129" i="28"/>
  <c r="H130" i="26"/>
  <c r="H130" i="27"/>
  <c r="H131" i="25"/>
  <c r="H130" i="23"/>
  <c r="H130" i="24"/>
  <c r="E131" i="27"/>
  <c r="E132" i="25"/>
  <c r="E130" i="28"/>
  <c r="E131" i="26"/>
  <c r="E131" i="24"/>
  <c r="E131" i="23"/>
  <c r="I131" i="27"/>
  <c r="I132" i="25"/>
  <c r="I130" i="28"/>
  <c r="I131" i="26"/>
  <c r="I131" i="24"/>
  <c r="I131" i="23"/>
  <c r="O131" i="27"/>
  <c r="AK131" i="10"/>
  <c r="AE131" i="27"/>
  <c r="AS131" i="10"/>
  <c r="CH131" i="10"/>
  <c r="R131" i="26"/>
  <c r="F132" i="26"/>
  <c r="F132" i="24"/>
  <c r="F131" i="28"/>
  <c r="F132" i="27"/>
  <c r="F133" i="25"/>
  <c r="F132" i="23"/>
  <c r="J132" i="26"/>
  <c r="J132" i="24"/>
  <c r="J132" i="27"/>
  <c r="J133" i="25"/>
  <c r="J132" i="23"/>
  <c r="J131" i="28"/>
  <c r="S132" i="27"/>
  <c r="AM132" i="10"/>
  <c r="E128" i="11"/>
  <c r="I128" i="11"/>
  <c r="E129" i="11"/>
  <c r="I129" i="11"/>
  <c r="E130" i="11"/>
  <c r="I130" i="11"/>
  <c r="E131" i="11"/>
  <c r="I131" i="11"/>
  <c r="J130" i="20"/>
  <c r="F133" i="20"/>
  <c r="J133" i="20"/>
  <c r="Y130" i="20"/>
  <c r="AC130" i="20"/>
  <c r="Z131" i="20"/>
  <c r="AD131" i="20"/>
  <c r="AA132" i="20"/>
  <c r="AE132" i="20"/>
  <c r="AB133" i="20"/>
  <c r="AS130" i="20"/>
  <c r="AW130" i="20"/>
  <c r="AT131" i="20"/>
  <c r="AX131" i="20"/>
  <c r="AU132" i="20"/>
  <c r="AY132" i="20"/>
  <c r="B130" i="10"/>
  <c r="D130" i="27"/>
  <c r="D131" i="25"/>
  <c r="D130" i="23"/>
  <c r="D129" i="28"/>
  <c r="D130" i="26"/>
  <c r="D130" i="24"/>
  <c r="F129" i="27"/>
  <c r="F129" i="26"/>
  <c r="F130" i="25"/>
  <c r="F128" i="28"/>
  <c r="F129" i="24"/>
  <c r="F129" i="23"/>
  <c r="G129" i="28"/>
  <c r="G130" i="26"/>
  <c r="G130" i="24"/>
  <c r="G131" i="25"/>
  <c r="G130" i="27"/>
  <c r="G130" i="23"/>
  <c r="AI130" i="10"/>
  <c r="K130" i="27"/>
  <c r="S130" i="27"/>
  <c r="AM130" i="10"/>
  <c r="D131" i="27"/>
  <c r="D132" i="25"/>
  <c r="D131" i="26"/>
  <c r="D130" i="28"/>
  <c r="B131" i="10"/>
  <c r="D131" i="24"/>
  <c r="D131" i="23"/>
  <c r="AI131" i="10"/>
  <c r="K131" i="27"/>
  <c r="I131" i="28"/>
  <c r="I133" i="25"/>
  <c r="I132" i="27"/>
  <c r="I132" i="26"/>
  <c r="I132" i="24"/>
  <c r="I132" i="23"/>
  <c r="AS132" i="10"/>
  <c r="AE132" i="27"/>
  <c r="CH132" i="10"/>
  <c r="R132" i="26"/>
  <c r="W129" i="11"/>
  <c r="D131" i="11"/>
  <c r="W131" i="11"/>
  <c r="E133" i="20"/>
  <c r="I133" i="20"/>
  <c r="Y131" i="20"/>
  <c r="AS131" i="20"/>
  <c r="AY133" i="20"/>
  <c r="H128" i="28"/>
  <c r="H129" i="24"/>
  <c r="H129" i="23"/>
  <c r="H129" i="27"/>
  <c r="H129" i="26"/>
  <c r="H130" i="25"/>
  <c r="E130" i="27"/>
  <c r="E131" i="25"/>
  <c r="E130" i="23"/>
  <c r="E129" i="28"/>
  <c r="E130" i="26"/>
  <c r="E130" i="24"/>
  <c r="I130" i="27"/>
  <c r="I131" i="25"/>
  <c r="I130" i="23"/>
  <c r="I129" i="28"/>
  <c r="I130" i="26"/>
  <c r="I130" i="24"/>
  <c r="CG129" i="10"/>
  <c r="CJ129" i="10" s="1"/>
  <c r="W130" i="25"/>
  <c r="F130" i="28"/>
  <c r="F131" i="26"/>
  <c r="F131" i="24"/>
  <c r="F131" i="23"/>
  <c r="F132" i="25"/>
  <c r="F131" i="27"/>
  <c r="J130" i="28"/>
  <c r="J131" i="27"/>
  <c r="J131" i="26"/>
  <c r="J131" i="24"/>
  <c r="J131" i="23"/>
  <c r="J132" i="25"/>
  <c r="S131" i="27"/>
  <c r="AM131" i="10"/>
  <c r="G132" i="26"/>
  <c r="G132" i="24"/>
  <c r="G132" i="27"/>
  <c r="G133" i="25"/>
  <c r="G132" i="23"/>
  <c r="G131" i="28"/>
  <c r="W132" i="27"/>
  <c r="AO132" i="10"/>
  <c r="F128" i="11"/>
  <c r="J128" i="11"/>
  <c r="F129" i="11"/>
  <c r="J129" i="11"/>
  <c r="F130" i="11"/>
  <c r="J130" i="11"/>
  <c r="F131" i="11"/>
  <c r="J131" i="11"/>
  <c r="G130" i="20"/>
  <c r="G131" i="20"/>
  <c r="G133" i="20"/>
  <c r="Z130" i="20"/>
  <c r="AD130" i="20"/>
  <c r="AA131" i="20"/>
  <c r="AE131" i="20"/>
  <c r="AB132" i="20"/>
  <c r="Y133" i="20"/>
  <c r="AC133" i="20"/>
  <c r="AT130" i="20"/>
  <c r="AU131" i="20"/>
  <c r="AY131" i="20"/>
  <c r="AV132" i="20"/>
  <c r="AS133" i="20"/>
  <c r="AW133" i="20"/>
  <c r="D128" i="28"/>
  <c r="D129" i="24"/>
  <c r="B129" i="10"/>
  <c r="D129" i="27"/>
  <c r="D129" i="26"/>
  <c r="D129" i="23"/>
  <c r="D130" i="25"/>
  <c r="E129" i="23"/>
  <c r="E129" i="27"/>
  <c r="E129" i="26"/>
  <c r="E130" i="25"/>
  <c r="E128" i="28"/>
  <c r="E129" i="24"/>
  <c r="I129" i="23"/>
  <c r="I128" i="28"/>
  <c r="I129" i="27"/>
  <c r="I129" i="26"/>
  <c r="I130" i="25"/>
  <c r="I129" i="24"/>
  <c r="F130" i="27"/>
  <c r="F131" i="25"/>
  <c r="F130" i="23"/>
  <c r="F129" i="28"/>
  <c r="F130" i="26"/>
  <c r="F130" i="24"/>
  <c r="J130" i="27"/>
  <c r="J131" i="25"/>
  <c r="J130" i="23"/>
  <c r="J129" i="28"/>
  <c r="J130" i="26"/>
  <c r="J130" i="24"/>
  <c r="AA129" i="27"/>
  <c r="AQ129" i="10"/>
  <c r="CH129" i="10"/>
  <c r="R129" i="26"/>
  <c r="G131" i="26"/>
  <c r="G131" i="24"/>
  <c r="G131" i="23"/>
  <c r="G130" i="28"/>
  <c r="G131" i="27"/>
  <c r="G132" i="25"/>
  <c r="W131" i="27"/>
  <c r="AO131" i="10"/>
  <c r="D132" i="27"/>
  <c r="D133" i="25"/>
  <c r="D132" i="23"/>
  <c r="B132" i="10"/>
  <c r="D131" i="28"/>
  <c r="D132" i="26"/>
  <c r="D132" i="24"/>
  <c r="H132" i="27"/>
  <c r="H133" i="25"/>
  <c r="H132" i="23"/>
  <c r="H132" i="26"/>
  <c r="H131" i="28"/>
  <c r="H132" i="24"/>
  <c r="AA132" i="27"/>
  <c r="AQ132" i="10"/>
  <c r="CG132" i="10"/>
  <c r="CJ132" i="10" s="1"/>
  <c r="W133" i="25"/>
  <c r="C128" i="11"/>
  <c r="G128" i="11"/>
  <c r="C129" i="11"/>
  <c r="G129" i="11"/>
  <c r="V129" i="11"/>
  <c r="C130" i="11"/>
  <c r="G130" i="11"/>
  <c r="V130" i="11"/>
  <c r="C131" i="11"/>
  <c r="G131" i="11"/>
  <c r="D130" i="20"/>
  <c r="H130" i="20"/>
  <c r="D131" i="20"/>
  <c r="H131" i="20"/>
  <c r="D132" i="20"/>
  <c r="H132" i="20"/>
  <c r="D133" i="20"/>
  <c r="H133" i="20"/>
  <c r="AA130" i="20"/>
  <c r="AE130" i="20"/>
  <c r="AB131" i="20"/>
  <c r="Y132" i="20"/>
  <c r="AC132" i="20"/>
  <c r="Z133" i="20"/>
  <c r="AD133" i="20"/>
  <c r="AU130" i="20"/>
  <c r="AY130" i="20"/>
  <c r="AV131" i="20"/>
  <c r="AS132" i="20"/>
  <c r="AW132" i="20"/>
  <c r="AT133" i="20"/>
  <c r="AX133" i="20"/>
  <c r="AP133" i="2"/>
  <c r="AO133" i="2"/>
  <c r="AN133" i="2"/>
  <c r="AM133" i="2"/>
  <c r="AL133" i="2"/>
  <c r="AP132" i="2"/>
  <c r="AO132" i="2"/>
  <c r="AN132" i="2"/>
  <c r="AM132" i="2"/>
  <c r="AL132" i="2"/>
  <c r="AP131" i="2"/>
  <c r="AO131" i="2"/>
  <c r="AN131" i="2"/>
  <c r="AM131" i="2"/>
  <c r="AL131" i="2"/>
  <c r="AP130" i="2"/>
  <c r="AO130" i="2"/>
  <c r="AM130" i="2"/>
  <c r="AL130" i="2"/>
  <c r="AP129" i="2"/>
  <c r="AO129" i="2"/>
  <c r="AN129" i="2"/>
  <c r="AM129" i="2"/>
  <c r="AL129" i="2"/>
  <c r="AP128" i="2"/>
  <c r="AO128" i="2"/>
  <c r="AN128" i="2"/>
  <c r="AM128" i="2"/>
  <c r="AL128" i="2"/>
  <c r="AP127" i="2"/>
  <c r="AO127" i="2"/>
  <c r="AN127" i="2"/>
  <c r="AM127" i="2"/>
  <c r="AL127" i="2"/>
  <c r="AP126" i="2"/>
  <c r="AO126" i="2"/>
  <c r="AN126" i="2"/>
  <c r="AM126" i="2"/>
  <c r="AL126" i="2"/>
  <c r="AJ135" i="2"/>
  <c r="AJ133" i="2"/>
  <c r="AJ132" i="2"/>
  <c r="AJ131" i="2"/>
  <c r="AJ130" i="2"/>
  <c r="AJ129" i="2"/>
  <c r="AJ128" i="2"/>
  <c r="AJ127" i="2"/>
  <c r="AJ126" i="2"/>
  <c r="AC130" i="2"/>
  <c r="J127" i="2"/>
  <c r="I127" i="2"/>
  <c r="H127" i="38" s="1"/>
  <c r="H127" i="2"/>
  <c r="G127" i="2"/>
  <c r="F127" i="2"/>
  <c r="E127" i="38" s="1"/>
  <c r="E127" i="2"/>
  <c r="J126" i="2"/>
  <c r="I126" i="2"/>
  <c r="H126" i="38" s="1"/>
  <c r="H126" i="2"/>
  <c r="G126" i="2"/>
  <c r="F126" i="2"/>
  <c r="E126" i="38" s="1"/>
  <c r="E126" i="2"/>
  <c r="D127" i="2"/>
  <c r="D126" i="2"/>
  <c r="O50" i="6"/>
  <c r="N50" i="6"/>
  <c r="M50" i="6"/>
  <c r="L50" i="6"/>
  <c r="P50" i="6"/>
  <c r="K52" i="6"/>
  <c r="L127" i="2" s="1"/>
  <c r="K51" i="6"/>
  <c r="L126" i="2" s="1"/>
  <c r="B52" i="6"/>
  <c r="B51" i="6"/>
  <c r="A52" i="6"/>
  <c r="A51" i="6"/>
  <c r="AA124" i="2"/>
  <c r="G93" i="40" s="1"/>
  <c r="K94" i="77" s="1"/>
  <c r="AA123" i="2"/>
  <c r="G92" i="40" s="1"/>
  <c r="K93" i="77" s="1"/>
  <c r="AA122" i="2"/>
  <c r="X125" i="2"/>
  <c r="W95" i="77" s="1"/>
  <c r="X124" i="2"/>
  <c r="W94" i="77" s="1"/>
  <c r="X123" i="2"/>
  <c r="W93" i="77" s="1"/>
  <c r="X122" i="2"/>
  <c r="U124" i="2"/>
  <c r="T94" i="77" s="1"/>
  <c r="U123" i="2"/>
  <c r="T93" i="77" s="1"/>
  <c r="U122" i="2"/>
  <c r="R124" i="2"/>
  <c r="N94" i="77" s="1"/>
  <c r="R123" i="2"/>
  <c r="N93" i="77" s="1"/>
  <c r="R122" i="2"/>
  <c r="O124" i="2"/>
  <c r="Q94" i="77" s="1"/>
  <c r="O123" i="2"/>
  <c r="Q93" i="77" s="1"/>
  <c r="O122" i="2"/>
  <c r="AK125" i="2"/>
  <c r="AK124" i="2"/>
  <c r="AK123" i="2"/>
  <c r="AK122" i="2"/>
  <c r="AI125" i="2"/>
  <c r="CG124" i="10" s="1"/>
  <c r="CJ124" i="10" s="1"/>
  <c r="AI124" i="2"/>
  <c r="CG123" i="10" s="1"/>
  <c r="CJ123" i="10" s="1"/>
  <c r="CL123" i="10" s="1"/>
  <c r="AI123" i="2"/>
  <c r="CG122" i="10" s="1"/>
  <c r="CJ122" i="10" s="1"/>
  <c r="CL122" i="10" s="1"/>
  <c r="AI122" i="2"/>
  <c r="CG121" i="10" s="1"/>
  <c r="CJ121" i="10" s="1"/>
  <c r="AH125" i="2"/>
  <c r="AH124" i="2"/>
  <c r="AH123" i="2"/>
  <c r="AH122" i="2"/>
  <c r="AG125" i="2"/>
  <c r="AG124" i="2"/>
  <c r="AG123" i="2"/>
  <c r="AG122" i="2"/>
  <c r="J125" i="2"/>
  <c r="I125" i="2"/>
  <c r="H125" i="38" s="1"/>
  <c r="H125" i="2"/>
  <c r="G125" i="2"/>
  <c r="F125" i="2"/>
  <c r="E125" i="38" s="1"/>
  <c r="E125" i="2"/>
  <c r="D125" i="2"/>
  <c r="J124" i="2"/>
  <c r="I124" i="2"/>
  <c r="H124" i="38" s="1"/>
  <c r="H124" i="2"/>
  <c r="G124" i="2"/>
  <c r="F124" i="2"/>
  <c r="E124" i="38" s="1"/>
  <c r="E124" i="2"/>
  <c r="D124" i="2"/>
  <c r="J123" i="2"/>
  <c r="I123" i="2"/>
  <c r="H123" i="38" s="1"/>
  <c r="H123" i="2"/>
  <c r="G123" i="2"/>
  <c r="F123" i="2"/>
  <c r="E123" i="38" s="1"/>
  <c r="E123" i="2"/>
  <c r="D123" i="2"/>
  <c r="J122" i="2"/>
  <c r="F91" i="40" s="1"/>
  <c r="F92" i="74" s="1"/>
  <c r="F92" i="77" s="1"/>
  <c r="I122" i="2"/>
  <c r="H122" i="2"/>
  <c r="C91" i="40" s="1"/>
  <c r="G122" i="2"/>
  <c r="E91" i="40" s="1"/>
  <c r="F122" i="2"/>
  <c r="E122" i="2"/>
  <c r="B50" i="3"/>
  <c r="A50" i="3"/>
  <c r="B49" i="3"/>
  <c r="A49" i="3"/>
  <c r="B48" i="3"/>
  <c r="A48" i="3"/>
  <c r="B47" i="3"/>
  <c r="A47" i="3"/>
  <c r="D122" i="2"/>
  <c r="B91" i="40" s="1"/>
  <c r="P46" i="3"/>
  <c r="L49" i="3"/>
  <c r="L124" i="2" s="1"/>
  <c r="L48" i="3"/>
  <c r="L123" i="2" s="1"/>
  <c r="L47" i="3"/>
  <c r="C50" i="3"/>
  <c r="D51" i="3"/>
  <c r="L51" i="3"/>
  <c r="M51" i="3"/>
  <c r="N51" i="3"/>
  <c r="O51" i="3"/>
  <c r="P51" i="3"/>
  <c r="Q51" i="3"/>
  <c r="A52" i="3"/>
  <c r="B52" i="3"/>
  <c r="D58" i="3"/>
  <c r="L58" i="3"/>
  <c r="M58" i="3"/>
  <c r="N58" i="3"/>
  <c r="O58" i="3"/>
  <c r="P58" i="3"/>
  <c r="Q58" i="3"/>
  <c r="A59" i="3"/>
  <c r="B59" i="3"/>
  <c r="M61" i="3"/>
  <c r="N61" i="3"/>
  <c r="O61" i="3"/>
  <c r="P61" i="3"/>
  <c r="Q61" i="3"/>
  <c r="A62" i="3"/>
  <c r="B62" i="3"/>
  <c r="L62" i="3"/>
  <c r="L61" i="3" s="1"/>
  <c r="W62" i="3"/>
  <c r="M63" i="3"/>
  <c r="N63" i="3"/>
  <c r="O63" i="3"/>
  <c r="P63" i="3"/>
  <c r="Q63" i="3"/>
  <c r="A64" i="3"/>
  <c r="B64" i="3"/>
  <c r="L64" i="3"/>
  <c r="L63" i="3" s="1"/>
  <c r="M66" i="3"/>
  <c r="M65" i="3" s="1"/>
  <c r="N66" i="3"/>
  <c r="N65" i="3" s="1"/>
  <c r="O66" i="3"/>
  <c r="O65" i="3" s="1"/>
  <c r="P66" i="3"/>
  <c r="P65" i="3" s="1"/>
  <c r="Q66" i="3"/>
  <c r="Q65" i="3" s="1"/>
  <c r="A67" i="3"/>
  <c r="B67" i="3"/>
  <c r="L67" i="3"/>
  <c r="A68" i="3"/>
  <c r="B68" i="3"/>
  <c r="C68" i="3"/>
  <c r="L68" i="3"/>
  <c r="M71" i="3"/>
  <c r="M70" i="3" s="1"/>
  <c r="N71" i="3"/>
  <c r="N70" i="3" s="1"/>
  <c r="O71" i="3"/>
  <c r="O70" i="3" s="1"/>
  <c r="P71" i="3"/>
  <c r="P70" i="3" s="1"/>
  <c r="Q71" i="3"/>
  <c r="Q70" i="3" s="1"/>
  <c r="T131" i="27" l="1"/>
  <c r="AF130" i="27"/>
  <c r="R131" i="28"/>
  <c r="U131" i="28" s="1"/>
  <c r="AB131" i="28"/>
  <c r="W131" i="28"/>
  <c r="AG131" i="28"/>
  <c r="AJ131" i="28" s="1"/>
  <c r="AL131" i="28"/>
  <c r="AO131" i="28" s="1"/>
  <c r="AB130" i="27"/>
  <c r="W101" i="74" s="1"/>
  <c r="X101" i="74" s="1"/>
  <c r="AF131" i="27"/>
  <c r="P131" i="27"/>
  <c r="Q102" i="74" s="1"/>
  <c r="AB128" i="28"/>
  <c r="W128" i="28"/>
  <c r="AG128" i="28"/>
  <c r="AJ128" i="28" s="1"/>
  <c r="R128" i="28"/>
  <c r="AL128" i="28"/>
  <c r="J99" i="40" s="1"/>
  <c r="P130" i="27"/>
  <c r="Q101" i="74" s="1"/>
  <c r="R101" i="74" s="1"/>
  <c r="AB131" i="27"/>
  <c r="W102" i="74" s="1"/>
  <c r="X102" i="74" s="1"/>
  <c r="X130" i="27"/>
  <c r="T101" i="74" s="1"/>
  <c r="K101" i="74"/>
  <c r="T102" i="74"/>
  <c r="H102" i="77"/>
  <c r="H101" i="77"/>
  <c r="H93" i="77"/>
  <c r="H94" i="77"/>
  <c r="Q120" i="28"/>
  <c r="Q92" i="77"/>
  <c r="H103" i="77"/>
  <c r="V120" i="28"/>
  <c r="N92" i="77"/>
  <c r="AF120" i="28"/>
  <c r="W92" i="77"/>
  <c r="AA120" i="28"/>
  <c r="T92" i="77"/>
  <c r="C129" i="28"/>
  <c r="C100" i="41"/>
  <c r="T100" i="41" s="1"/>
  <c r="N101" i="74"/>
  <c r="C130" i="28"/>
  <c r="N102" i="74"/>
  <c r="C101" i="41"/>
  <c r="S101" i="41" s="1"/>
  <c r="Z131" i="27"/>
  <c r="Y131" i="27"/>
  <c r="V131" i="23"/>
  <c r="K102" i="74"/>
  <c r="Q103" i="74"/>
  <c r="R132" i="27"/>
  <c r="Q132" i="27"/>
  <c r="AC129" i="27"/>
  <c r="AD129" i="27"/>
  <c r="Y129" i="23"/>
  <c r="K100" i="74"/>
  <c r="P56" i="7"/>
  <c r="T100" i="74"/>
  <c r="N56" i="7"/>
  <c r="N100" i="74"/>
  <c r="M56" i="7"/>
  <c r="O130" i="2"/>
  <c r="Q100" i="77" s="1"/>
  <c r="L53" i="7"/>
  <c r="Q100" i="74"/>
  <c r="R100" i="74" s="1"/>
  <c r="M50" i="3"/>
  <c r="P100" i="74"/>
  <c r="P100" i="77" s="1"/>
  <c r="R100" i="77" s="1"/>
  <c r="V100" i="74"/>
  <c r="V100" i="77" s="1"/>
  <c r="X100" i="77" s="1"/>
  <c r="S100" i="74"/>
  <c r="S100" i="77" s="1"/>
  <c r="G100" i="74"/>
  <c r="G100" i="77" s="1"/>
  <c r="J100" i="74"/>
  <c r="J100" i="77" s="1"/>
  <c r="M100" i="74"/>
  <c r="M100" i="77" s="1"/>
  <c r="M102" i="74"/>
  <c r="M102" i="77" s="1"/>
  <c r="O102" i="77" s="1"/>
  <c r="G102" i="74"/>
  <c r="G102" i="77" s="1"/>
  <c r="I102" i="77" s="1"/>
  <c r="V102" i="74"/>
  <c r="V102" i="77" s="1"/>
  <c r="X102" i="77" s="1"/>
  <c r="P102" i="74"/>
  <c r="P102" i="77" s="1"/>
  <c r="R102" i="77" s="1"/>
  <c r="J102" i="74"/>
  <c r="J102" i="77" s="1"/>
  <c r="L102" i="77" s="1"/>
  <c r="S102" i="74"/>
  <c r="S102" i="77" s="1"/>
  <c r="U102" i="77" s="1"/>
  <c r="B101" i="41"/>
  <c r="C102" i="74"/>
  <c r="C102" i="77" s="1"/>
  <c r="F100" i="41"/>
  <c r="E101" i="74"/>
  <c r="E101" i="77" s="1"/>
  <c r="B98" i="41"/>
  <c r="C99" i="74"/>
  <c r="C99" i="77" s="1"/>
  <c r="V99" i="74"/>
  <c r="V99" i="77" s="1"/>
  <c r="X99" i="77" s="1"/>
  <c r="J99" i="74"/>
  <c r="J99" i="77" s="1"/>
  <c r="L99" i="77" s="1"/>
  <c r="S99" i="74"/>
  <c r="S99" i="77" s="1"/>
  <c r="U99" i="77" s="1"/>
  <c r="M99" i="74"/>
  <c r="M99" i="77" s="1"/>
  <c r="O99" i="77" s="1"/>
  <c r="G99" i="74"/>
  <c r="G99" i="77" s="1"/>
  <c r="I99" i="77" s="1"/>
  <c r="P99" i="74"/>
  <c r="P99" i="77" s="1"/>
  <c r="R99" i="77" s="1"/>
  <c r="B102" i="41"/>
  <c r="C103" i="74"/>
  <c r="C103" i="77" s="1"/>
  <c r="B100" i="41"/>
  <c r="C101" i="74"/>
  <c r="C101" i="77" s="1"/>
  <c r="E98" i="41"/>
  <c r="D99" i="74"/>
  <c r="D99" i="77" s="1"/>
  <c r="F98" i="41"/>
  <c r="E99" i="74"/>
  <c r="E99" i="77" s="1"/>
  <c r="F102" i="41"/>
  <c r="E103" i="74"/>
  <c r="E103" i="77" s="1"/>
  <c r="E102" i="41"/>
  <c r="D103" i="74"/>
  <c r="D103" i="77" s="1"/>
  <c r="B99" i="41"/>
  <c r="C100" i="74"/>
  <c r="C100" i="77" s="1"/>
  <c r="B97" i="41"/>
  <c r="C98" i="74"/>
  <c r="C98" i="77" s="1"/>
  <c r="J103" i="74"/>
  <c r="J103" i="77" s="1"/>
  <c r="L103" i="77" s="1"/>
  <c r="M103" i="74"/>
  <c r="M103" i="77" s="1"/>
  <c r="O103" i="77" s="1"/>
  <c r="V103" i="74"/>
  <c r="V103" i="77" s="1"/>
  <c r="X103" i="77" s="1"/>
  <c r="S103" i="74"/>
  <c r="S103" i="77" s="1"/>
  <c r="U103" i="77" s="1"/>
  <c r="G103" i="74"/>
  <c r="G103" i="77" s="1"/>
  <c r="I103" i="77" s="1"/>
  <c r="P103" i="74"/>
  <c r="P103" i="77" s="1"/>
  <c r="R103" i="77" s="1"/>
  <c r="F99" i="41"/>
  <c r="E100" i="74"/>
  <c r="E100" i="77" s="1"/>
  <c r="F97" i="41"/>
  <c r="E98" i="74"/>
  <c r="E98" i="77" s="1"/>
  <c r="E97" i="41"/>
  <c r="D98" i="74"/>
  <c r="D98" i="77" s="1"/>
  <c r="F91" i="41"/>
  <c r="E92" i="74"/>
  <c r="E92" i="77" s="1"/>
  <c r="H91" i="40"/>
  <c r="B92" i="74"/>
  <c r="B92" i="77" s="1"/>
  <c r="B91" i="41"/>
  <c r="C92" i="74"/>
  <c r="C92" i="77" s="1"/>
  <c r="J101" i="74"/>
  <c r="J101" i="77" s="1"/>
  <c r="L101" i="77" s="1"/>
  <c r="G101" i="74"/>
  <c r="G101" i="77" s="1"/>
  <c r="I101" i="77" s="1"/>
  <c r="M101" i="74"/>
  <c r="M101" i="77" s="1"/>
  <c r="O101" i="77" s="1"/>
  <c r="P101" i="74"/>
  <c r="P101" i="77" s="1"/>
  <c r="R101" i="77" s="1"/>
  <c r="S101" i="74"/>
  <c r="S101" i="77" s="1"/>
  <c r="U101" i="77" s="1"/>
  <c r="V101" i="74"/>
  <c r="V101" i="77" s="1"/>
  <c r="X101" i="77" s="1"/>
  <c r="P98" i="74"/>
  <c r="P98" i="77" s="1"/>
  <c r="R98" i="77" s="1"/>
  <c r="G98" i="74"/>
  <c r="G98" i="77" s="1"/>
  <c r="I98" i="77" s="1"/>
  <c r="S98" i="74"/>
  <c r="S98" i="77" s="1"/>
  <c r="U98" i="77" s="1"/>
  <c r="V98" i="74"/>
  <c r="V98" i="77" s="1"/>
  <c r="X98" i="77" s="1"/>
  <c r="M98" i="74"/>
  <c r="M98" i="77" s="1"/>
  <c r="O98" i="77" s="1"/>
  <c r="J98" i="74"/>
  <c r="J98" i="77" s="1"/>
  <c r="L98" i="77" s="1"/>
  <c r="Y132" i="23"/>
  <c r="V129" i="23"/>
  <c r="V132" i="23"/>
  <c r="R129" i="27"/>
  <c r="V132" i="27"/>
  <c r="S129" i="23"/>
  <c r="I102" i="40"/>
  <c r="J102" i="41" s="1"/>
  <c r="K102" i="41" s="1"/>
  <c r="I99" i="40"/>
  <c r="J99" i="41" s="1"/>
  <c r="AD131" i="2"/>
  <c r="AE131" i="2" s="1"/>
  <c r="AD130" i="2"/>
  <c r="AB129" i="23"/>
  <c r="D120" i="11"/>
  <c r="D91" i="40"/>
  <c r="I123" i="38"/>
  <c r="F92" i="40"/>
  <c r="F93" i="74" s="1"/>
  <c r="F93" i="77" s="1"/>
  <c r="F124" i="38"/>
  <c r="E93" i="40"/>
  <c r="C125" i="38"/>
  <c r="B94" i="40"/>
  <c r="B95" i="74" s="1"/>
  <c r="B95" i="77" s="1"/>
  <c r="G125" i="38"/>
  <c r="C94" i="40"/>
  <c r="AK120" i="28"/>
  <c r="G91" i="40"/>
  <c r="K92" i="77" s="1"/>
  <c r="G126" i="38"/>
  <c r="C95" i="40"/>
  <c r="I127" i="38"/>
  <c r="F96" i="40"/>
  <c r="F97" i="74" s="1"/>
  <c r="F97" i="77" s="1"/>
  <c r="D98" i="41"/>
  <c r="H98" i="40"/>
  <c r="N60" i="3"/>
  <c r="F123" i="38"/>
  <c r="E92" i="40"/>
  <c r="G124" i="38"/>
  <c r="C93" i="40"/>
  <c r="D125" i="38"/>
  <c r="D94" i="40"/>
  <c r="D126" i="38"/>
  <c r="D95" i="40"/>
  <c r="F127" i="38"/>
  <c r="E96" i="40"/>
  <c r="C123" i="38"/>
  <c r="B92" i="40"/>
  <c r="B93" i="74" s="1"/>
  <c r="B93" i="77" s="1"/>
  <c r="G123" i="38"/>
  <c r="C92" i="40"/>
  <c r="D124" i="38"/>
  <c r="D93" i="40"/>
  <c r="I125" i="38"/>
  <c r="F94" i="40"/>
  <c r="F95" i="74" s="1"/>
  <c r="F95" i="77" s="1"/>
  <c r="I126" i="38"/>
  <c r="F95" i="40"/>
  <c r="F96" i="74" s="1"/>
  <c r="F96" i="77" s="1"/>
  <c r="G127" i="38"/>
  <c r="C96" i="40"/>
  <c r="D102" i="41"/>
  <c r="H102" i="40"/>
  <c r="D123" i="38"/>
  <c r="D92" i="40"/>
  <c r="I124" i="38"/>
  <c r="F93" i="40"/>
  <c r="F94" i="74" s="1"/>
  <c r="F94" i="77" s="1"/>
  <c r="F125" i="38"/>
  <c r="E94" i="40"/>
  <c r="C126" i="38"/>
  <c r="B95" i="40"/>
  <c r="B96" i="74" s="1"/>
  <c r="B96" i="77" s="1"/>
  <c r="F126" i="38"/>
  <c r="E95" i="40"/>
  <c r="D127" i="38"/>
  <c r="D96" i="40"/>
  <c r="D97" i="41"/>
  <c r="H97" i="40"/>
  <c r="P129" i="23"/>
  <c r="L129" i="27"/>
  <c r="AB130" i="23"/>
  <c r="AG130" i="27"/>
  <c r="AH130" i="27"/>
  <c r="I100" i="40"/>
  <c r="AE131" i="28"/>
  <c r="Z131" i="28"/>
  <c r="U132" i="27"/>
  <c r="AH132" i="27"/>
  <c r="Z132" i="27"/>
  <c r="AD133" i="2"/>
  <c r="AE133" i="2" s="1"/>
  <c r="AB132" i="23"/>
  <c r="AG132" i="27"/>
  <c r="Y132" i="27"/>
  <c r="S102" i="41"/>
  <c r="L132" i="27"/>
  <c r="S132" i="23"/>
  <c r="AC132" i="27"/>
  <c r="AD132" i="27"/>
  <c r="D101" i="41"/>
  <c r="H101" i="40"/>
  <c r="D100" i="41"/>
  <c r="H100" i="40"/>
  <c r="D99" i="41"/>
  <c r="H99" i="40"/>
  <c r="C127" i="38"/>
  <c r="B96" i="40"/>
  <c r="B97" i="74" s="1"/>
  <c r="B97" i="77" s="1"/>
  <c r="C124" i="38"/>
  <c r="B93" i="40"/>
  <c r="B94" i="74" s="1"/>
  <c r="B94" i="77" s="1"/>
  <c r="D91" i="41"/>
  <c r="AB130" i="25"/>
  <c r="AA130" i="25"/>
  <c r="AB133" i="25"/>
  <c r="AA133" i="25"/>
  <c r="AB131" i="25"/>
  <c r="AA131" i="25"/>
  <c r="AB132" i="25"/>
  <c r="AA132" i="25"/>
  <c r="J123" i="38"/>
  <c r="K121" i="28"/>
  <c r="J124" i="38"/>
  <c r="K122" i="28"/>
  <c r="O123" i="38"/>
  <c r="AK121" i="28"/>
  <c r="J127" i="38"/>
  <c r="K125" i="28"/>
  <c r="J128" i="38"/>
  <c r="K126" i="28"/>
  <c r="J126" i="38"/>
  <c r="K124" i="28"/>
  <c r="O124" i="38"/>
  <c r="AK122" i="28"/>
  <c r="AI132" i="10"/>
  <c r="K131" i="28"/>
  <c r="N125" i="38"/>
  <c r="AF123" i="28"/>
  <c r="K123" i="38"/>
  <c r="Q121" i="28"/>
  <c r="L123" i="38"/>
  <c r="V121" i="28"/>
  <c r="M123" i="38"/>
  <c r="AA121" i="28"/>
  <c r="N123" i="38"/>
  <c r="AF121" i="28"/>
  <c r="K124" i="38"/>
  <c r="Q122" i="28"/>
  <c r="L124" i="38"/>
  <c r="V122" i="28"/>
  <c r="M124" i="38"/>
  <c r="AA122" i="28"/>
  <c r="N124" i="38"/>
  <c r="AF122" i="28"/>
  <c r="CM128" i="10"/>
  <c r="AB128" i="10" s="1"/>
  <c r="K132" i="23"/>
  <c r="J133" i="38"/>
  <c r="AT125" i="2"/>
  <c r="AV125" i="2" s="1"/>
  <c r="AT122" i="2"/>
  <c r="AV122" i="2" s="1"/>
  <c r="K50" i="6"/>
  <c r="AT123" i="2"/>
  <c r="AV123" i="2" s="1"/>
  <c r="CI128" i="10"/>
  <c r="AT124" i="2"/>
  <c r="AV124" i="2" s="1"/>
  <c r="X121" i="2"/>
  <c r="V131" i="11"/>
  <c r="K132" i="27"/>
  <c r="CI126" i="10"/>
  <c r="CI125" i="10"/>
  <c r="CH123" i="10"/>
  <c r="CI123" i="10" s="1"/>
  <c r="DG124" i="20"/>
  <c r="DC124" i="20"/>
  <c r="DF124" i="20"/>
  <c r="DB124" i="20"/>
  <c r="DE124" i="20"/>
  <c r="DA124" i="20"/>
  <c r="DD124" i="20"/>
  <c r="CH124" i="10"/>
  <c r="CK124" i="10" s="1"/>
  <c r="CL124" i="10" s="1"/>
  <c r="DG125" i="20"/>
  <c r="DE125" i="20"/>
  <c r="DA125" i="20"/>
  <c r="DD125" i="20"/>
  <c r="DB125" i="20"/>
  <c r="DC125" i="20"/>
  <c r="DF125" i="20"/>
  <c r="CH121" i="10"/>
  <c r="CI121" i="10" s="1"/>
  <c r="DG122" i="20"/>
  <c r="L122" i="2"/>
  <c r="O60" i="3"/>
  <c r="CH122" i="10"/>
  <c r="CI122" i="10" s="1"/>
  <c r="DG123" i="20"/>
  <c r="DE123" i="20"/>
  <c r="DA123" i="20"/>
  <c r="DD123" i="20"/>
  <c r="DF123" i="20"/>
  <c r="DC123" i="20"/>
  <c r="DB123" i="20"/>
  <c r="AP124" i="2"/>
  <c r="AN122" i="2"/>
  <c r="AM123" i="2"/>
  <c r="CM130" i="10"/>
  <c r="AH130" i="10" s="1"/>
  <c r="AL124" i="2"/>
  <c r="CR130" i="10"/>
  <c r="AE130" i="10" s="1"/>
  <c r="CI130" i="10"/>
  <c r="AJ125" i="2"/>
  <c r="AJ122" i="2"/>
  <c r="AO122" i="2"/>
  <c r="AN123" i="2"/>
  <c r="AM124" i="2"/>
  <c r="AL125" i="2"/>
  <c r="AP125" i="2"/>
  <c r="CK129" i="10"/>
  <c r="CL129" i="10" s="1"/>
  <c r="CI129" i="10"/>
  <c r="CT130" i="10"/>
  <c r="AO125" i="2"/>
  <c r="AJ123" i="2"/>
  <c r="AL122" i="2"/>
  <c r="AP122" i="2"/>
  <c r="AO123" i="2"/>
  <c r="AN124" i="2"/>
  <c r="AM125" i="2"/>
  <c r="CI132" i="10"/>
  <c r="CK132" i="10"/>
  <c r="CL132" i="10" s="1"/>
  <c r="CM132" i="10" s="1"/>
  <c r="CI131" i="10"/>
  <c r="CK131" i="10"/>
  <c r="CL131" i="10" s="1"/>
  <c r="AJ124" i="2"/>
  <c r="AM122" i="2"/>
  <c r="AL123" i="2"/>
  <c r="AP123" i="2"/>
  <c r="AO124" i="2"/>
  <c r="CS130" i="10"/>
  <c r="Q60" i="3"/>
  <c r="M60" i="3"/>
  <c r="P60" i="3"/>
  <c r="L66" i="3"/>
  <c r="L65" i="3" s="1"/>
  <c r="L60" i="3"/>
  <c r="T101" i="41" l="1"/>
  <c r="R102" i="41"/>
  <c r="J102" i="40"/>
  <c r="R99" i="41"/>
  <c r="U99" i="41" s="1"/>
  <c r="W130" i="28"/>
  <c r="Z130" i="28" s="1"/>
  <c r="R130" i="28"/>
  <c r="U130" i="28" s="1"/>
  <c r="AG130" i="28"/>
  <c r="AJ130" i="28" s="1"/>
  <c r="AB130" i="28"/>
  <c r="AE130" i="28" s="1"/>
  <c r="AL130" i="28"/>
  <c r="J101" i="40" s="1"/>
  <c r="AB129" i="28"/>
  <c r="AE129" i="28" s="1"/>
  <c r="W129" i="28"/>
  <c r="Z129" i="28" s="1"/>
  <c r="AG129" i="28"/>
  <c r="AJ129" i="28" s="1"/>
  <c r="R129" i="28"/>
  <c r="U129" i="28" s="1"/>
  <c r="AL129" i="28"/>
  <c r="AO129" i="28" s="1"/>
  <c r="R102" i="74"/>
  <c r="L102" i="74"/>
  <c r="U102" i="74"/>
  <c r="O102" i="74"/>
  <c r="O103" i="74"/>
  <c r="R103" i="74"/>
  <c r="L103" i="74"/>
  <c r="U130" i="27"/>
  <c r="S130" i="23"/>
  <c r="V130" i="27"/>
  <c r="Q130" i="27"/>
  <c r="S100" i="41"/>
  <c r="P130" i="23"/>
  <c r="Y130" i="27"/>
  <c r="V130" i="23"/>
  <c r="Z130" i="27"/>
  <c r="R130" i="27"/>
  <c r="L130" i="27"/>
  <c r="N130" i="27" s="1"/>
  <c r="AD130" i="27"/>
  <c r="Y130" i="23"/>
  <c r="AC130" i="27"/>
  <c r="S131" i="23"/>
  <c r="Q131" i="27"/>
  <c r="P131" i="23"/>
  <c r="R131" i="27"/>
  <c r="U131" i="27"/>
  <c r="V131" i="27"/>
  <c r="L101" i="74"/>
  <c r="O101" i="74"/>
  <c r="U101" i="74"/>
  <c r="I101" i="40"/>
  <c r="O101" i="40" s="1"/>
  <c r="AB131" i="23"/>
  <c r="AH131" i="27"/>
  <c r="AD131" i="27"/>
  <c r="AD132" i="2"/>
  <c r="AE132" i="2" s="1"/>
  <c r="AC131" i="27"/>
  <c r="L131" i="27"/>
  <c r="N131" i="27" s="1"/>
  <c r="AG131" i="27"/>
  <c r="Y131" i="23"/>
  <c r="N91" i="40"/>
  <c r="O100" i="74"/>
  <c r="L100" i="74"/>
  <c r="U100" i="74"/>
  <c r="P53" i="7"/>
  <c r="AA130" i="2"/>
  <c r="U130" i="2"/>
  <c r="T100" i="77" s="1"/>
  <c r="U100" i="77" s="1"/>
  <c r="N53" i="7"/>
  <c r="R130" i="2"/>
  <c r="N100" i="77" s="1"/>
  <c r="O100" i="77" s="1"/>
  <c r="M53" i="7"/>
  <c r="K56" i="7"/>
  <c r="L130" i="2" s="1"/>
  <c r="Q128" i="28"/>
  <c r="U128" i="28" s="1"/>
  <c r="L130" i="25"/>
  <c r="L129" i="24"/>
  <c r="O129" i="27"/>
  <c r="Q129" i="27" s="1"/>
  <c r="N129" i="23"/>
  <c r="AK129" i="10"/>
  <c r="CS129" i="10" s="1"/>
  <c r="K130" i="38"/>
  <c r="O125" i="2"/>
  <c r="Q95" i="77" s="1"/>
  <c r="M46" i="3"/>
  <c r="F94" i="41"/>
  <c r="E95" i="74"/>
  <c r="E95" i="77" s="1"/>
  <c r="E92" i="41"/>
  <c r="D93" i="74"/>
  <c r="D93" i="77" s="1"/>
  <c r="B95" i="41"/>
  <c r="C96" i="74"/>
  <c r="C96" i="77" s="1"/>
  <c r="E91" i="41"/>
  <c r="D92" i="74"/>
  <c r="D92" i="77" s="1"/>
  <c r="M94" i="74"/>
  <c r="M94" i="77" s="1"/>
  <c r="O94" i="77" s="1"/>
  <c r="G94" i="74"/>
  <c r="G94" i="77" s="1"/>
  <c r="I94" i="77" s="1"/>
  <c r="P94" i="74"/>
  <c r="P94" i="77" s="1"/>
  <c r="R94" i="77" s="1"/>
  <c r="V94" i="74"/>
  <c r="V94" i="77" s="1"/>
  <c r="X94" i="77" s="1"/>
  <c r="J94" i="74"/>
  <c r="J94" i="77" s="1"/>
  <c r="L94" i="77" s="1"/>
  <c r="S94" i="74"/>
  <c r="S94" i="77" s="1"/>
  <c r="U94" i="77" s="1"/>
  <c r="E96" i="41"/>
  <c r="D97" i="74"/>
  <c r="D97" i="77" s="1"/>
  <c r="P96" i="74"/>
  <c r="P96" i="77" s="1"/>
  <c r="R96" i="77" s="1"/>
  <c r="V96" i="74"/>
  <c r="V96" i="77" s="1"/>
  <c r="X96" i="77" s="1"/>
  <c r="J96" i="74"/>
  <c r="J96" i="77" s="1"/>
  <c r="L96" i="77" s="1"/>
  <c r="M96" i="74"/>
  <c r="M96" i="77" s="1"/>
  <c r="O96" i="77" s="1"/>
  <c r="S96" i="74"/>
  <c r="S96" i="77" s="1"/>
  <c r="U96" i="77" s="1"/>
  <c r="G96" i="74"/>
  <c r="G96" i="77" s="1"/>
  <c r="I96" i="77" s="1"/>
  <c r="J95" i="74"/>
  <c r="J95" i="77" s="1"/>
  <c r="M95" i="74"/>
  <c r="M95" i="77" s="1"/>
  <c r="P95" i="74"/>
  <c r="P95" i="77" s="1"/>
  <c r="R95" i="77" s="1"/>
  <c r="G95" i="74"/>
  <c r="G95" i="77" s="1"/>
  <c r="V95" i="74"/>
  <c r="V95" i="77" s="1"/>
  <c r="X95" i="77" s="1"/>
  <c r="S95" i="74"/>
  <c r="S95" i="77" s="1"/>
  <c r="F95" i="41"/>
  <c r="E96" i="74"/>
  <c r="E96" i="77" s="1"/>
  <c r="B94" i="41"/>
  <c r="C95" i="74"/>
  <c r="C95" i="77" s="1"/>
  <c r="F93" i="41"/>
  <c r="E94" i="74"/>
  <c r="E94" i="77" s="1"/>
  <c r="B96" i="41"/>
  <c r="C97" i="74"/>
  <c r="C97" i="77" s="1"/>
  <c r="B92" i="41"/>
  <c r="C93" i="74"/>
  <c r="C93" i="77" s="1"/>
  <c r="F96" i="41"/>
  <c r="E97" i="74"/>
  <c r="E97" i="77" s="1"/>
  <c r="E94" i="41"/>
  <c r="D95" i="74"/>
  <c r="D95" i="77" s="1"/>
  <c r="F92" i="41"/>
  <c r="E93" i="74"/>
  <c r="E93" i="77" s="1"/>
  <c r="M92" i="74"/>
  <c r="M92" i="77" s="1"/>
  <c r="O92" i="77" s="1"/>
  <c r="S92" i="74"/>
  <c r="S92" i="77" s="1"/>
  <c r="U92" i="77" s="1"/>
  <c r="V92" i="74"/>
  <c r="V92" i="77" s="1"/>
  <c r="X92" i="77" s="1"/>
  <c r="G92" i="74"/>
  <c r="G92" i="77" s="1"/>
  <c r="P92" i="74"/>
  <c r="P92" i="77" s="1"/>
  <c r="R92" i="77" s="1"/>
  <c r="J92" i="74"/>
  <c r="J92" i="77" s="1"/>
  <c r="L92" i="77" s="1"/>
  <c r="J97" i="74"/>
  <c r="J97" i="77" s="1"/>
  <c r="L97" i="77" s="1"/>
  <c r="P97" i="74"/>
  <c r="P97" i="77" s="1"/>
  <c r="R97" i="77" s="1"/>
  <c r="S97" i="74"/>
  <c r="S97" i="77" s="1"/>
  <c r="U97" i="77" s="1"/>
  <c r="M97" i="74"/>
  <c r="M97" i="77" s="1"/>
  <c r="O97" i="77" s="1"/>
  <c r="G97" i="74"/>
  <c r="G97" i="77" s="1"/>
  <c r="I97" i="77" s="1"/>
  <c r="V97" i="74"/>
  <c r="V97" i="77" s="1"/>
  <c r="X97" i="77" s="1"/>
  <c r="E93" i="41"/>
  <c r="D94" i="74"/>
  <c r="D94" i="77" s="1"/>
  <c r="M93" i="74"/>
  <c r="M93" i="77" s="1"/>
  <c r="O93" i="77" s="1"/>
  <c r="P93" i="74"/>
  <c r="P93" i="77" s="1"/>
  <c r="R93" i="77" s="1"/>
  <c r="V93" i="74"/>
  <c r="V93" i="77" s="1"/>
  <c r="X93" i="77" s="1"/>
  <c r="S93" i="74"/>
  <c r="S93" i="77" s="1"/>
  <c r="U93" i="77" s="1"/>
  <c r="J93" i="74"/>
  <c r="J93" i="77" s="1"/>
  <c r="L93" i="77" s="1"/>
  <c r="G93" i="74"/>
  <c r="G93" i="77" s="1"/>
  <c r="I93" i="77" s="1"/>
  <c r="E95" i="41"/>
  <c r="D96" i="74"/>
  <c r="D96" i="77" s="1"/>
  <c r="B93" i="41"/>
  <c r="C94" i="74"/>
  <c r="C94" i="77" s="1"/>
  <c r="M99" i="40"/>
  <c r="O102" i="40"/>
  <c r="M102" i="40"/>
  <c r="H100" i="74"/>
  <c r="I100" i="74" s="1"/>
  <c r="N132" i="27"/>
  <c r="H103" i="74"/>
  <c r="I103" i="74" s="1"/>
  <c r="M129" i="23"/>
  <c r="D95" i="41"/>
  <c r="H95" i="40"/>
  <c r="D94" i="41"/>
  <c r="H94" i="40"/>
  <c r="N102" i="40"/>
  <c r="I102" i="41"/>
  <c r="D92" i="41"/>
  <c r="H92" i="40"/>
  <c r="I97" i="41"/>
  <c r="N97" i="40"/>
  <c r="I98" i="41"/>
  <c r="N98" i="40"/>
  <c r="M100" i="40"/>
  <c r="O100" i="40"/>
  <c r="I100" i="41"/>
  <c r="N100" i="40"/>
  <c r="I99" i="41"/>
  <c r="K99" i="41" s="1"/>
  <c r="I101" i="41"/>
  <c r="N101" i="40"/>
  <c r="L102" i="41"/>
  <c r="L99" i="41"/>
  <c r="U102" i="41"/>
  <c r="J100" i="41"/>
  <c r="L128" i="28"/>
  <c r="O128" i="28" s="1"/>
  <c r="L131" i="28"/>
  <c r="M132" i="23"/>
  <c r="M132" i="27"/>
  <c r="D96" i="41"/>
  <c r="H96" i="40"/>
  <c r="D93" i="41"/>
  <c r="H93" i="40"/>
  <c r="I91" i="41"/>
  <c r="AH128" i="10"/>
  <c r="K99" i="40"/>
  <c r="L102" i="40"/>
  <c r="K102" i="40"/>
  <c r="K120" i="28"/>
  <c r="AF119" i="28"/>
  <c r="AM121" i="2"/>
  <c r="E22" i="19" s="1"/>
  <c r="AO121" i="2"/>
  <c r="G22" i="19" s="1"/>
  <c r="AP121" i="2"/>
  <c r="H22" i="19" s="1"/>
  <c r="AL121" i="2"/>
  <c r="D22" i="19" s="1"/>
  <c r="CI124" i="10"/>
  <c r="CK121" i="10"/>
  <c r="CL121" i="10" s="1"/>
  <c r="Y130" i="10"/>
  <c r="AB130" i="10"/>
  <c r="AH132" i="10"/>
  <c r="AB132" i="10"/>
  <c r="CT131" i="10"/>
  <c r="CR131" i="10"/>
  <c r="CS131" i="10"/>
  <c r="CM131" i="10"/>
  <c r="CT132" i="10"/>
  <c r="CS132" i="10"/>
  <c r="CR132" i="10"/>
  <c r="AF130" i="10"/>
  <c r="Z130" i="10"/>
  <c r="AD130" i="10"/>
  <c r="X130" i="10"/>
  <c r="A83" i="28"/>
  <c r="A84" i="28"/>
  <c r="A82" i="28"/>
  <c r="A84" i="27"/>
  <c r="A83" i="27"/>
  <c r="C84" i="26"/>
  <c r="A84" i="26"/>
  <c r="C83" i="26"/>
  <c r="A83" i="26"/>
  <c r="C85" i="25"/>
  <c r="A85" i="25"/>
  <c r="C84" i="25"/>
  <c r="A84" i="25"/>
  <c r="C84" i="24"/>
  <c r="S84" i="24" s="1"/>
  <c r="A84" i="24"/>
  <c r="C83" i="24"/>
  <c r="S83" i="24" s="1"/>
  <c r="A83" i="24"/>
  <c r="A84" i="23"/>
  <c r="A83" i="23"/>
  <c r="K38" i="7"/>
  <c r="O34" i="7"/>
  <c r="N34" i="7"/>
  <c r="M34" i="7"/>
  <c r="L34" i="7"/>
  <c r="P34" i="7"/>
  <c r="K101" i="40" l="1"/>
  <c r="L101" i="40"/>
  <c r="R100" i="41"/>
  <c r="U100" i="41" s="1"/>
  <c r="J100" i="40"/>
  <c r="K100" i="40" s="1"/>
  <c r="L129" i="28"/>
  <c r="P129" i="28" s="1"/>
  <c r="M130" i="27"/>
  <c r="P131" i="28"/>
  <c r="O131" i="28"/>
  <c r="H101" i="74"/>
  <c r="I101" i="74" s="1"/>
  <c r="M130" i="23"/>
  <c r="R101" i="41"/>
  <c r="L130" i="28"/>
  <c r="AO130" i="28"/>
  <c r="M101" i="40"/>
  <c r="M131" i="27"/>
  <c r="J101" i="41"/>
  <c r="L101" i="41" s="1"/>
  <c r="H102" i="74"/>
  <c r="I102" i="74" s="1"/>
  <c r="M131" i="23"/>
  <c r="Z84" i="25"/>
  <c r="M84" i="25" s="1"/>
  <c r="Z85" i="25"/>
  <c r="M85" i="25" s="1"/>
  <c r="U84" i="26"/>
  <c r="S84" i="26"/>
  <c r="U83" i="26"/>
  <c r="S83" i="26"/>
  <c r="P130" i="25"/>
  <c r="S130" i="25" s="1"/>
  <c r="O130" i="38"/>
  <c r="Z129" i="23"/>
  <c r="AS129" i="10"/>
  <c r="CM129" i="10" s="1"/>
  <c r="AH129" i="10" s="1"/>
  <c r="AE129" i="27"/>
  <c r="AN130" i="2"/>
  <c r="G99" i="40"/>
  <c r="K100" i="77" s="1"/>
  <c r="L100" i="77" s="1"/>
  <c r="W128" i="11"/>
  <c r="AK128" i="28"/>
  <c r="AO128" i="28" s="1"/>
  <c r="P129" i="24"/>
  <c r="AA128" i="28"/>
  <c r="AE128" i="28" s="1"/>
  <c r="N130" i="25"/>
  <c r="N129" i="24"/>
  <c r="M130" i="38"/>
  <c r="W129" i="27"/>
  <c r="AO129" i="10"/>
  <c r="CT129" i="10" s="1"/>
  <c r="Z129" i="10" s="1"/>
  <c r="T129" i="23"/>
  <c r="K53" i="7"/>
  <c r="V128" i="28"/>
  <c r="Z128" i="28" s="1"/>
  <c r="M130" i="25"/>
  <c r="Q129" i="23"/>
  <c r="S129" i="27"/>
  <c r="L130" i="38"/>
  <c r="AM129" i="10"/>
  <c r="CR129" i="10" s="1"/>
  <c r="Y129" i="10" s="1"/>
  <c r="M129" i="24"/>
  <c r="AD129" i="10"/>
  <c r="X129" i="10"/>
  <c r="K128" i="28"/>
  <c r="P128" i="28" s="1"/>
  <c r="K130" i="25"/>
  <c r="K129" i="24"/>
  <c r="K129" i="23"/>
  <c r="J130" i="38"/>
  <c r="K129" i="27"/>
  <c r="AI129" i="10"/>
  <c r="V128" i="11"/>
  <c r="O121" i="2"/>
  <c r="K125" i="38"/>
  <c r="Q123" i="28"/>
  <c r="Q119" i="28" s="1"/>
  <c r="N92" i="40"/>
  <c r="I92" i="41"/>
  <c r="N84" i="24"/>
  <c r="L84" i="24"/>
  <c r="K84" i="24"/>
  <c r="O84" i="24"/>
  <c r="P84" i="24"/>
  <c r="Q84" i="24"/>
  <c r="M84" i="24"/>
  <c r="I94" i="41"/>
  <c r="I95" i="41"/>
  <c r="N95" i="40"/>
  <c r="N83" i="24"/>
  <c r="Q83" i="24"/>
  <c r="M83" i="24"/>
  <c r="P83" i="24"/>
  <c r="L83" i="24"/>
  <c r="K83" i="24"/>
  <c r="O83" i="24"/>
  <c r="I96" i="41"/>
  <c r="N96" i="40"/>
  <c r="I93" i="41"/>
  <c r="N93" i="40"/>
  <c r="K100" i="41"/>
  <c r="L100" i="41"/>
  <c r="L84" i="25"/>
  <c r="AC130" i="10"/>
  <c r="AD132" i="10"/>
  <c r="X132" i="10"/>
  <c r="AF132" i="10"/>
  <c r="Z132" i="10"/>
  <c r="AD131" i="10"/>
  <c r="X131" i="10"/>
  <c r="Y131" i="10"/>
  <c r="AE131" i="10"/>
  <c r="AH131" i="10"/>
  <c r="AB131" i="10"/>
  <c r="W130" i="10"/>
  <c r="Y132" i="10"/>
  <c r="AE132" i="10"/>
  <c r="Z131" i="10"/>
  <c r="AF131" i="10"/>
  <c r="L100" i="40" l="1"/>
  <c r="O129" i="28"/>
  <c r="Y63" i="74"/>
  <c r="Y63" i="77" s="1"/>
  <c r="Y64" i="74"/>
  <c r="Y64" i="77" s="1"/>
  <c r="P130" i="28"/>
  <c r="O130" i="28"/>
  <c r="S84" i="25"/>
  <c r="N84" i="25"/>
  <c r="T84" i="25"/>
  <c r="Q84" i="25"/>
  <c r="O84" i="25"/>
  <c r="S85" i="25"/>
  <c r="Q85" i="25"/>
  <c r="L85" i="25"/>
  <c r="T85" i="25"/>
  <c r="N85" i="25"/>
  <c r="W83" i="26"/>
  <c r="P85" i="25"/>
  <c r="R85" i="25" s="1"/>
  <c r="C84" i="27"/>
  <c r="P84" i="27" s="1"/>
  <c r="U84" i="25"/>
  <c r="O85" i="25"/>
  <c r="K84" i="25"/>
  <c r="V85" i="25"/>
  <c r="V84" i="25"/>
  <c r="U85" i="25"/>
  <c r="P84" i="25"/>
  <c r="R84" i="25" s="1"/>
  <c r="K85" i="25"/>
  <c r="C83" i="27"/>
  <c r="AF83" i="27" s="1"/>
  <c r="X85" i="25"/>
  <c r="X84" i="25"/>
  <c r="K101" i="41"/>
  <c r="U101" i="41"/>
  <c r="W84" i="26"/>
  <c r="H100" i="77"/>
  <c r="I100" i="77" s="1"/>
  <c r="AF129" i="10"/>
  <c r="AB129" i="10"/>
  <c r="W129" i="10" s="1"/>
  <c r="O99" i="40"/>
  <c r="N99" i="40"/>
  <c r="L99" i="40"/>
  <c r="AE129" i="10"/>
  <c r="AG129" i="27"/>
  <c r="AH129" i="27"/>
  <c r="Z129" i="27"/>
  <c r="Y129" i="27"/>
  <c r="V129" i="27"/>
  <c r="U129" i="27"/>
  <c r="N129" i="27"/>
  <c r="M129" i="27"/>
  <c r="W131" i="10"/>
  <c r="AC131" i="10"/>
  <c r="W132" i="10"/>
  <c r="AC132" i="10"/>
  <c r="C85" i="20"/>
  <c r="B85" i="20"/>
  <c r="A85" i="20"/>
  <c r="C84" i="20"/>
  <c r="B84" i="20"/>
  <c r="A84" i="20"/>
  <c r="K37" i="7"/>
  <c r="AF84" i="27" l="1"/>
  <c r="T84" i="27"/>
  <c r="P83" i="27"/>
  <c r="X84" i="27"/>
  <c r="Z84" i="27" s="1"/>
  <c r="T83" i="27"/>
  <c r="AB84" i="27"/>
  <c r="AB83" i="27"/>
  <c r="W63" i="74" s="1"/>
  <c r="X63" i="74" s="1"/>
  <c r="X83" i="27"/>
  <c r="Z83" i="27" s="1"/>
  <c r="C82" i="28"/>
  <c r="V83" i="27"/>
  <c r="Q63" i="74"/>
  <c r="R63" i="74" s="1"/>
  <c r="C62" i="41"/>
  <c r="T62" i="41" s="1"/>
  <c r="C63" i="41"/>
  <c r="S63" i="41" s="1"/>
  <c r="K64" i="74"/>
  <c r="L64" i="74" s="1"/>
  <c r="W64" i="74"/>
  <c r="X64" i="74" s="1"/>
  <c r="C83" i="28"/>
  <c r="Q64" i="74"/>
  <c r="R64" i="74" s="1"/>
  <c r="AC129" i="10"/>
  <c r="V84" i="27"/>
  <c r="N64" i="74"/>
  <c r="O64" i="74" s="1"/>
  <c r="AB83" i="23"/>
  <c r="K63" i="74"/>
  <c r="L63" i="74" s="1"/>
  <c r="S84" i="23"/>
  <c r="I62" i="40"/>
  <c r="C88" i="21"/>
  <c r="D88" i="21" s="1"/>
  <c r="B83" i="11"/>
  <c r="A83" i="11"/>
  <c r="B82" i="11"/>
  <c r="A82" i="11"/>
  <c r="S62" i="41" l="1"/>
  <c r="AB83" i="28"/>
  <c r="W83" i="28"/>
  <c r="R83" i="28"/>
  <c r="T83" i="28" s="1"/>
  <c r="AG83" i="28"/>
  <c r="AL83" i="28"/>
  <c r="AN83" i="28" s="1"/>
  <c r="AB82" i="28"/>
  <c r="AL82" i="28"/>
  <c r="J62" i="40" s="1"/>
  <c r="R82" i="28"/>
  <c r="T82" i="28" s="1"/>
  <c r="W82" i="28"/>
  <c r="AG82" i="28"/>
  <c r="V83" i="23"/>
  <c r="T63" i="74"/>
  <c r="U63" i="74" s="1"/>
  <c r="T63" i="41"/>
  <c r="S83" i="23"/>
  <c r="N63" i="74"/>
  <c r="O63" i="74" s="1"/>
  <c r="Y83" i="23"/>
  <c r="T64" i="74"/>
  <c r="U64" i="74" s="1"/>
  <c r="V84" i="23"/>
  <c r="L83" i="27"/>
  <c r="H63" i="74" s="1"/>
  <c r="I63" i="74" s="1"/>
  <c r="AD83" i="27"/>
  <c r="P83" i="23"/>
  <c r="P84" i="23"/>
  <c r="I63" i="40"/>
  <c r="O63" i="40" s="1"/>
  <c r="AB84" i="23"/>
  <c r="Y84" i="23"/>
  <c r="AD84" i="27"/>
  <c r="L84" i="27"/>
  <c r="H64" i="74" s="1"/>
  <c r="I64" i="74" s="1"/>
  <c r="M62" i="40"/>
  <c r="O62" i="40"/>
  <c r="J62" i="41"/>
  <c r="K62" i="41" s="1"/>
  <c r="B38" i="7"/>
  <c r="A38" i="7"/>
  <c r="B37" i="7"/>
  <c r="A37" i="7"/>
  <c r="AK85" i="2"/>
  <c r="AI85" i="2"/>
  <c r="AH85" i="2"/>
  <c r="R84" i="24" s="1"/>
  <c r="AG85" i="2"/>
  <c r="AD84" i="23" s="1"/>
  <c r="AF85" i="2"/>
  <c r="AA85" i="2"/>
  <c r="X85" i="2"/>
  <c r="U85" i="2"/>
  <c r="R85" i="2"/>
  <c r="V83" i="28" s="1"/>
  <c r="O85" i="2"/>
  <c r="L85" i="2"/>
  <c r="K83" i="28" s="1"/>
  <c r="AK84" i="2"/>
  <c r="CH83" i="10" s="1"/>
  <c r="CK83" i="10" s="1"/>
  <c r="AI84" i="2"/>
  <c r="AH84" i="2"/>
  <c r="R83" i="24" s="1"/>
  <c r="AG84" i="2"/>
  <c r="AD83" i="23" s="1"/>
  <c r="AF84" i="2"/>
  <c r="AC84" i="2"/>
  <c r="AA84" i="2"/>
  <c r="X84" i="2"/>
  <c r="U84" i="2"/>
  <c r="R84" i="2"/>
  <c r="V82" i="28" s="1"/>
  <c r="O84" i="2"/>
  <c r="L84" i="2"/>
  <c r="K82" i="28" s="1"/>
  <c r="K85" i="20"/>
  <c r="J85" i="2"/>
  <c r="I85" i="38" s="1"/>
  <c r="I85" i="2"/>
  <c r="H85" i="38" s="1"/>
  <c r="H85" i="2"/>
  <c r="G85" i="2"/>
  <c r="F85" i="2"/>
  <c r="E85" i="38" s="1"/>
  <c r="D85" i="38"/>
  <c r="K84" i="20"/>
  <c r="J84" i="2"/>
  <c r="I84" i="38" s="1"/>
  <c r="I84" i="2"/>
  <c r="H84" i="38" s="1"/>
  <c r="H84" i="2"/>
  <c r="G84" i="2"/>
  <c r="F84" i="2"/>
  <c r="E84" i="38" s="1"/>
  <c r="E84" i="2"/>
  <c r="D84" i="2"/>
  <c r="J63" i="40" l="1"/>
  <c r="K63" i="40" s="1"/>
  <c r="R63" i="41"/>
  <c r="Z82" i="28"/>
  <c r="L82" i="28"/>
  <c r="N82" i="28" s="1"/>
  <c r="O82" i="28" s="1"/>
  <c r="R62" i="41"/>
  <c r="AN82" i="28"/>
  <c r="Z83" i="28"/>
  <c r="AA82" i="28"/>
  <c r="AE82" i="28" s="1"/>
  <c r="T63" i="77"/>
  <c r="AF82" i="28"/>
  <c r="AJ82" i="28" s="1"/>
  <c r="W63" i="77"/>
  <c r="AF83" i="28"/>
  <c r="W64" i="77"/>
  <c r="AA83" i="28"/>
  <c r="AE83" i="28" s="1"/>
  <c r="T64" i="77"/>
  <c r="Q82" i="28"/>
  <c r="U82" i="28" s="1"/>
  <c r="Q63" i="77"/>
  <c r="Q83" i="28"/>
  <c r="U83" i="28" s="1"/>
  <c r="Q64" i="77"/>
  <c r="R64" i="77" s="1"/>
  <c r="W84" i="20"/>
  <c r="M83" i="23"/>
  <c r="J63" i="41"/>
  <c r="L63" i="41" s="1"/>
  <c r="M63" i="40"/>
  <c r="W85" i="20"/>
  <c r="L83" i="28"/>
  <c r="N83" i="28" s="1"/>
  <c r="O83" i="28" s="1"/>
  <c r="AJ83" i="28"/>
  <c r="M84" i="23"/>
  <c r="P82" i="28"/>
  <c r="F84" i="38"/>
  <c r="E62" i="40"/>
  <c r="C84" i="38"/>
  <c r="B62" i="40"/>
  <c r="B63" i="74" s="1"/>
  <c r="B63" i="77" s="1"/>
  <c r="AK82" i="28"/>
  <c r="AO82" i="28" s="1"/>
  <c r="G62" i="40"/>
  <c r="AK83" i="28"/>
  <c r="AO83" i="28" s="1"/>
  <c r="G63" i="40"/>
  <c r="K64" i="77" s="1"/>
  <c r="D84" i="38"/>
  <c r="D62" i="40"/>
  <c r="F85" i="38"/>
  <c r="E63" i="40"/>
  <c r="U62" i="41"/>
  <c r="L62" i="41"/>
  <c r="G85" i="38"/>
  <c r="C63" i="40"/>
  <c r="G84" i="38"/>
  <c r="C62" i="40"/>
  <c r="M84" i="38"/>
  <c r="T83" i="23"/>
  <c r="L84" i="38"/>
  <c r="Q83" i="23"/>
  <c r="M85" i="38"/>
  <c r="T84" i="23"/>
  <c r="AS84" i="10"/>
  <c r="AH84" i="10" s="1"/>
  <c r="O85" i="38"/>
  <c r="Z84" i="23"/>
  <c r="B84" i="10"/>
  <c r="C85" i="38"/>
  <c r="AI83" i="10"/>
  <c r="J84" i="38"/>
  <c r="K83" i="23"/>
  <c r="N84" i="38"/>
  <c r="W83" i="23"/>
  <c r="AI84" i="10"/>
  <c r="AC84" i="10" s="1"/>
  <c r="J85" i="38"/>
  <c r="K84" i="23"/>
  <c r="L85" i="38"/>
  <c r="Q84" i="23"/>
  <c r="N85" i="38"/>
  <c r="W84" i="23"/>
  <c r="K85" i="38"/>
  <c r="N84" i="23"/>
  <c r="AK83" i="10"/>
  <c r="K84" i="38"/>
  <c r="N83" i="23"/>
  <c r="AS83" i="10"/>
  <c r="O84" i="38"/>
  <c r="Z83" i="23"/>
  <c r="CG84" i="10"/>
  <c r="AP85" i="2"/>
  <c r="AL85" i="2"/>
  <c r="AO85" i="2"/>
  <c r="AN85" i="2"/>
  <c r="AM85" i="2"/>
  <c r="CG83" i="10"/>
  <c r="CJ83" i="10" s="1"/>
  <c r="AM84" i="2"/>
  <c r="AN84" i="2"/>
  <c r="AP84" i="2"/>
  <c r="AL84" i="2"/>
  <c r="AO84" i="2"/>
  <c r="O84" i="27"/>
  <c r="Q84" i="27" s="1"/>
  <c r="AK84" i="10"/>
  <c r="AD84" i="10" s="1"/>
  <c r="W84" i="27"/>
  <c r="Y84" i="27" s="1"/>
  <c r="AO84" i="10"/>
  <c r="AF84" i="10" s="1"/>
  <c r="W83" i="27"/>
  <c r="Y83" i="27" s="1"/>
  <c r="AO83" i="10"/>
  <c r="Z83" i="10" s="1"/>
  <c r="S84" i="27"/>
  <c r="U84" i="27" s="1"/>
  <c r="AM84" i="10"/>
  <c r="AE84" i="10" s="1"/>
  <c r="AA84" i="27"/>
  <c r="AC84" i="27" s="1"/>
  <c r="AQ84" i="10"/>
  <c r="AG84" i="10" s="1"/>
  <c r="S83" i="27"/>
  <c r="U83" i="27" s="1"/>
  <c r="AM83" i="10"/>
  <c r="Y83" i="10" s="1"/>
  <c r="AA83" i="27"/>
  <c r="AC83" i="27" s="1"/>
  <c r="AQ83" i="10"/>
  <c r="AA83" i="10" s="1"/>
  <c r="D84" i="20"/>
  <c r="B83" i="10"/>
  <c r="R84" i="26"/>
  <c r="CH84" i="10"/>
  <c r="I83" i="24"/>
  <c r="I83" i="26"/>
  <c r="I84" i="25"/>
  <c r="I83" i="23"/>
  <c r="I82" i="28"/>
  <c r="I83" i="27"/>
  <c r="I84" i="20"/>
  <c r="H82" i="11"/>
  <c r="U83" i="24"/>
  <c r="AJ85" i="2"/>
  <c r="W85" i="25"/>
  <c r="AA85" i="25" s="1"/>
  <c r="D82" i="11"/>
  <c r="E83" i="24"/>
  <c r="E83" i="26"/>
  <c r="E84" i="25"/>
  <c r="E83" i="23"/>
  <c r="E82" i="28"/>
  <c r="E83" i="27"/>
  <c r="E84" i="20"/>
  <c r="E83" i="28"/>
  <c r="E84" i="27"/>
  <c r="E84" i="23"/>
  <c r="E85" i="25"/>
  <c r="E84" i="26"/>
  <c r="E84" i="24"/>
  <c r="I83" i="28"/>
  <c r="I84" i="27"/>
  <c r="I84" i="23"/>
  <c r="I85" i="25"/>
  <c r="I84" i="26"/>
  <c r="I84" i="24"/>
  <c r="I85" i="20"/>
  <c r="H83" i="11"/>
  <c r="R83" i="26"/>
  <c r="AB84" i="20"/>
  <c r="AD84" i="20"/>
  <c r="Z84" i="20"/>
  <c r="AC84" i="20"/>
  <c r="AE84" i="20"/>
  <c r="AA84" i="20"/>
  <c r="Y84" i="20"/>
  <c r="W83" i="11"/>
  <c r="AE84" i="27"/>
  <c r="AG84" i="23"/>
  <c r="AF84" i="23"/>
  <c r="F83" i="26"/>
  <c r="F84" i="25"/>
  <c r="F82" i="28"/>
  <c r="F83" i="27"/>
  <c r="F83" i="23"/>
  <c r="F83" i="24"/>
  <c r="F84" i="20"/>
  <c r="E82" i="11"/>
  <c r="J83" i="26"/>
  <c r="J84" i="25"/>
  <c r="J82" i="28"/>
  <c r="J83" i="27"/>
  <c r="J83" i="23"/>
  <c r="J83" i="24"/>
  <c r="J84" i="20"/>
  <c r="I82" i="11"/>
  <c r="F84" i="26"/>
  <c r="F85" i="25"/>
  <c r="F84" i="24"/>
  <c r="F84" i="23"/>
  <c r="F83" i="28"/>
  <c r="F84" i="27"/>
  <c r="F85" i="20"/>
  <c r="E83" i="11"/>
  <c r="J84" i="26"/>
  <c r="J85" i="25"/>
  <c r="J84" i="24"/>
  <c r="J84" i="23"/>
  <c r="J83" i="28"/>
  <c r="J84" i="27"/>
  <c r="J85" i="20"/>
  <c r="I83" i="11"/>
  <c r="AE83" i="27"/>
  <c r="W82" i="11"/>
  <c r="AG83" i="23"/>
  <c r="AF83" i="23"/>
  <c r="V83" i="11"/>
  <c r="K84" i="27"/>
  <c r="U84" i="24"/>
  <c r="G84" i="25"/>
  <c r="G83" i="23"/>
  <c r="G82" i="28"/>
  <c r="G83" i="27"/>
  <c r="G83" i="24"/>
  <c r="G83" i="26"/>
  <c r="G84" i="20"/>
  <c r="F82" i="11"/>
  <c r="G84" i="24"/>
  <c r="G83" i="28"/>
  <c r="G84" i="27"/>
  <c r="G84" i="23"/>
  <c r="G85" i="25"/>
  <c r="G84" i="26"/>
  <c r="G85" i="20"/>
  <c r="F83" i="11"/>
  <c r="C82" i="11"/>
  <c r="D82" i="28"/>
  <c r="D83" i="27"/>
  <c r="D83" i="23"/>
  <c r="D83" i="24"/>
  <c r="D83" i="26"/>
  <c r="D84" i="25"/>
  <c r="H82" i="28"/>
  <c r="H83" i="27"/>
  <c r="H83" i="23"/>
  <c r="H83" i="24"/>
  <c r="H83" i="26"/>
  <c r="H84" i="25"/>
  <c r="H84" i="20"/>
  <c r="G82" i="11"/>
  <c r="D84" i="23"/>
  <c r="D83" i="28"/>
  <c r="D84" i="27"/>
  <c r="D84" i="26"/>
  <c r="D85" i="25"/>
  <c r="D84" i="24"/>
  <c r="H84" i="23"/>
  <c r="H83" i="28"/>
  <c r="H84" i="27"/>
  <c r="H84" i="26"/>
  <c r="H85" i="25"/>
  <c r="H84" i="24"/>
  <c r="H85" i="20"/>
  <c r="G83" i="11"/>
  <c r="K83" i="27"/>
  <c r="V82" i="11"/>
  <c r="AJ84" i="2"/>
  <c r="W84" i="25"/>
  <c r="AA84" i="25" s="1"/>
  <c r="O83" i="27"/>
  <c r="R84" i="27"/>
  <c r="AB85" i="20"/>
  <c r="Y85" i="20"/>
  <c r="AE85" i="20"/>
  <c r="AA85" i="20"/>
  <c r="AD85" i="20"/>
  <c r="Z85" i="20"/>
  <c r="AC85" i="20"/>
  <c r="E85" i="20"/>
  <c r="D83" i="11"/>
  <c r="D85" i="20"/>
  <c r="C83" i="11"/>
  <c r="J91" i="10"/>
  <c r="I91" i="10"/>
  <c r="H91" i="10"/>
  <c r="G91" i="10"/>
  <c r="F91" i="10"/>
  <c r="E91" i="10"/>
  <c r="D91" i="10"/>
  <c r="C91" i="10"/>
  <c r="A98" i="10"/>
  <c r="L62" i="40" l="1"/>
  <c r="K63" i="77"/>
  <c r="L64" i="77"/>
  <c r="K63" i="41"/>
  <c r="U63" i="41"/>
  <c r="P83" i="28"/>
  <c r="F62" i="41"/>
  <c r="E63" i="74"/>
  <c r="E63" i="77" s="1"/>
  <c r="B62" i="41"/>
  <c r="C63" i="74"/>
  <c r="C63" i="77" s="1"/>
  <c r="F63" i="41"/>
  <c r="E64" i="74"/>
  <c r="E64" i="77" s="1"/>
  <c r="V63" i="74"/>
  <c r="V63" i="77" s="1"/>
  <c r="X63" i="77" s="1"/>
  <c r="M63" i="74"/>
  <c r="M63" i="77" s="1"/>
  <c r="O63" i="77" s="1"/>
  <c r="J63" i="74"/>
  <c r="J63" i="77" s="1"/>
  <c r="L63" i="77" s="1"/>
  <c r="P63" i="74"/>
  <c r="P63" i="77" s="1"/>
  <c r="R63" i="77" s="1"/>
  <c r="G63" i="74"/>
  <c r="G63" i="77" s="1"/>
  <c r="S63" i="74"/>
  <c r="S63" i="77" s="1"/>
  <c r="U63" i="77" s="1"/>
  <c r="B63" i="41"/>
  <c r="C64" i="74"/>
  <c r="C64" i="77" s="1"/>
  <c r="E62" i="41"/>
  <c r="D63" i="74"/>
  <c r="D63" i="77" s="1"/>
  <c r="CI83" i="10"/>
  <c r="CL83" i="10" s="1"/>
  <c r="AC83" i="10" s="1"/>
  <c r="D62" i="41"/>
  <c r="H62" i="40"/>
  <c r="N63" i="40"/>
  <c r="L63" i="40"/>
  <c r="AB85" i="25"/>
  <c r="N83" i="27"/>
  <c r="M83" i="27"/>
  <c r="AH83" i="27"/>
  <c r="AG83" i="27"/>
  <c r="AH84" i="27"/>
  <c r="AG84" i="27"/>
  <c r="AB84" i="25"/>
  <c r="N84" i="27"/>
  <c r="M84" i="27"/>
  <c r="Q83" i="27"/>
  <c r="R83" i="27"/>
  <c r="K61" i="7"/>
  <c r="CM83" i="10" l="1"/>
  <c r="AH83" i="10" s="1"/>
  <c r="AD83" i="10"/>
  <c r="W83" i="10"/>
  <c r="N62" i="40"/>
  <c r="I62" i="41"/>
  <c r="K62" i="40"/>
  <c r="AB83" i="10"/>
  <c r="CS83" i="10" s="1"/>
  <c r="U81" i="2"/>
  <c r="CR83" i="10" l="1"/>
  <c r="X83" i="10"/>
  <c r="M81" i="38"/>
  <c r="AA79" i="28"/>
  <c r="AO69" i="20"/>
  <c r="K48" i="10" l="1"/>
  <c r="K46" i="10"/>
  <c r="K47" i="10"/>
  <c r="AC32" i="2" l="1"/>
  <c r="AC31" i="2"/>
  <c r="AC30" i="2"/>
  <c r="AC29" i="2"/>
  <c r="AC28" i="2"/>
  <c r="AC27" i="2"/>
  <c r="AC26" i="2"/>
  <c r="AC25" i="2"/>
  <c r="AC24" i="2"/>
  <c r="AC23" i="2"/>
  <c r="AC22" i="2"/>
  <c r="AC21" i="2"/>
  <c r="AC20" i="2"/>
  <c r="AC19" i="2"/>
  <c r="AC18" i="2"/>
  <c r="AC17" i="2"/>
  <c r="AC16" i="2"/>
  <c r="AC15" i="2"/>
  <c r="AC14" i="2"/>
  <c r="AC13" i="2"/>
  <c r="AC12" i="2"/>
  <c r="AC11" i="2"/>
  <c r="AC10" i="2"/>
  <c r="A43" i="7"/>
  <c r="B43" i="7"/>
  <c r="AF99" i="2"/>
  <c r="A98" i="23"/>
  <c r="C98" i="24"/>
  <c r="S98" i="24" s="1"/>
  <c r="A98" i="24"/>
  <c r="C99" i="25"/>
  <c r="Z99" i="25" s="1"/>
  <c r="A99" i="25"/>
  <c r="C98" i="26"/>
  <c r="A98" i="26"/>
  <c r="A98" i="27"/>
  <c r="A97" i="28"/>
  <c r="B97" i="11"/>
  <c r="A97" i="11"/>
  <c r="B99" i="20"/>
  <c r="A99" i="20"/>
  <c r="AK99" i="2"/>
  <c r="CH98" i="10" s="1"/>
  <c r="AI99" i="2"/>
  <c r="CG98" i="10" s="1"/>
  <c r="AH99" i="2"/>
  <c r="R98" i="24" s="1"/>
  <c r="AG99" i="2"/>
  <c r="AD98" i="23" s="1"/>
  <c r="AG98" i="23" s="1"/>
  <c r="AA99" i="2"/>
  <c r="G75" i="40" s="1"/>
  <c r="K76" i="77" s="1"/>
  <c r="X99" i="2"/>
  <c r="W76" i="77" s="1"/>
  <c r="U99" i="2"/>
  <c r="T76" i="77" s="1"/>
  <c r="R99" i="2"/>
  <c r="N76" i="77" s="1"/>
  <c r="O99" i="2"/>
  <c r="K99" i="20"/>
  <c r="J99" i="2"/>
  <c r="F75" i="40" s="1"/>
  <c r="F76" i="74" s="1"/>
  <c r="F76" i="77" s="1"/>
  <c r="I99" i="2"/>
  <c r="H99" i="2"/>
  <c r="C75" i="40" s="1"/>
  <c r="G99" i="2"/>
  <c r="E75" i="40" s="1"/>
  <c r="F99" i="2"/>
  <c r="E99" i="2"/>
  <c r="D75" i="40" s="1"/>
  <c r="D99" i="2"/>
  <c r="O41" i="7"/>
  <c r="N41" i="7"/>
  <c r="M41" i="7"/>
  <c r="L41" i="7"/>
  <c r="P41" i="7"/>
  <c r="K43" i="7"/>
  <c r="L99" i="2" s="1"/>
  <c r="N98" i="23" l="1"/>
  <c r="Q76" i="77"/>
  <c r="H76" i="77" s="1"/>
  <c r="U98" i="26"/>
  <c r="S98" i="26"/>
  <c r="B75" i="41"/>
  <c r="C76" i="74"/>
  <c r="C76" i="77" s="1"/>
  <c r="E75" i="41"/>
  <c r="D76" i="74"/>
  <c r="D76" i="77" s="1"/>
  <c r="F75" i="41"/>
  <c r="E76" i="74"/>
  <c r="E76" i="77" s="1"/>
  <c r="U98" i="24"/>
  <c r="C99" i="38"/>
  <c r="B75" i="40"/>
  <c r="B76" i="74" s="1"/>
  <c r="B76" i="77" s="1"/>
  <c r="P98" i="24"/>
  <c r="M98" i="24"/>
  <c r="L98" i="24"/>
  <c r="K98" i="24"/>
  <c r="Q98" i="24"/>
  <c r="N98" i="24"/>
  <c r="O98" i="24"/>
  <c r="X99" i="25"/>
  <c r="V99" i="25"/>
  <c r="N99" i="25"/>
  <c r="R99" i="25"/>
  <c r="M99" i="25"/>
  <c r="Q99" i="25"/>
  <c r="U99" i="25"/>
  <c r="AC99" i="2"/>
  <c r="C98" i="27"/>
  <c r="K99" i="25"/>
  <c r="O99" i="25"/>
  <c r="S99" i="25"/>
  <c r="L99" i="25"/>
  <c r="P99" i="25"/>
  <c r="T99" i="25"/>
  <c r="J99" i="38"/>
  <c r="K97" i="28"/>
  <c r="O99" i="38"/>
  <c r="AK97" i="28"/>
  <c r="L99" i="38"/>
  <c r="V97" i="28"/>
  <c r="M99" i="38"/>
  <c r="AA97" i="28"/>
  <c r="N99" i="38"/>
  <c r="AF97" i="28"/>
  <c r="K99" i="38"/>
  <c r="Q97" i="28"/>
  <c r="H98" i="24"/>
  <c r="G99" i="38"/>
  <c r="E98" i="23"/>
  <c r="D99" i="38"/>
  <c r="I98" i="23"/>
  <c r="H99" i="38"/>
  <c r="G98" i="27"/>
  <c r="F99" i="38"/>
  <c r="F97" i="28"/>
  <c r="E99" i="38"/>
  <c r="J97" i="28"/>
  <c r="I99" i="38"/>
  <c r="DG99" i="20"/>
  <c r="DE99" i="20"/>
  <c r="DA99" i="20"/>
  <c r="DD99" i="20"/>
  <c r="DF99" i="20"/>
  <c r="DC99" i="20"/>
  <c r="DB99" i="20"/>
  <c r="K98" i="27"/>
  <c r="AI98" i="10"/>
  <c r="AJ98" i="10" s="1"/>
  <c r="W98" i="10"/>
  <c r="CK98" i="10" s="1"/>
  <c r="Q98" i="23"/>
  <c r="AM98" i="10"/>
  <c r="AN98" i="10" s="1"/>
  <c r="Y98" i="10"/>
  <c r="D98" i="24"/>
  <c r="B98" i="10"/>
  <c r="W98" i="23"/>
  <c r="AA98" i="10"/>
  <c r="AQ98" i="10"/>
  <c r="AJ99" i="2"/>
  <c r="T98" i="23"/>
  <c r="Z98" i="10"/>
  <c r="AO98" i="10"/>
  <c r="AP98" i="10" s="1"/>
  <c r="X98" i="10"/>
  <c r="AK98" i="10"/>
  <c r="AL98" i="10" s="1"/>
  <c r="W97" i="11"/>
  <c r="AB98" i="10"/>
  <c r="CI98" i="10" s="1"/>
  <c r="AS98" i="10"/>
  <c r="AT98" i="10" s="1"/>
  <c r="R98" i="26"/>
  <c r="H99" i="20"/>
  <c r="Z99" i="20"/>
  <c r="BO99" i="20"/>
  <c r="H98" i="27"/>
  <c r="AS99" i="20"/>
  <c r="CJ99" i="20"/>
  <c r="I99" i="20"/>
  <c r="AV99" i="20"/>
  <c r="AC99" i="20"/>
  <c r="BR99" i="20"/>
  <c r="CM99" i="20"/>
  <c r="AN99" i="2"/>
  <c r="H97" i="28"/>
  <c r="I98" i="27"/>
  <c r="D99" i="20"/>
  <c r="AW99" i="20"/>
  <c r="AD99" i="20"/>
  <c r="BS99" i="20"/>
  <c r="D98" i="27"/>
  <c r="E98" i="24"/>
  <c r="G97" i="28"/>
  <c r="E99" i="20"/>
  <c r="Y99" i="20"/>
  <c r="BN99" i="20"/>
  <c r="CI99" i="20"/>
  <c r="D97" i="28"/>
  <c r="E98" i="27"/>
  <c r="O98" i="27"/>
  <c r="AA98" i="27"/>
  <c r="W99" i="25"/>
  <c r="I98" i="24"/>
  <c r="I97" i="11"/>
  <c r="F97" i="11"/>
  <c r="J97" i="11"/>
  <c r="W98" i="27"/>
  <c r="G98" i="26"/>
  <c r="G99" i="25"/>
  <c r="F98" i="24"/>
  <c r="J98" i="24"/>
  <c r="F99" i="20"/>
  <c r="J99" i="20"/>
  <c r="AT99" i="20"/>
  <c r="AX99" i="20"/>
  <c r="AA99" i="20"/>
  <c r="AE99" i="20"/>
  <c r="BP99" i="20"/>
  <c r="CG99" i="20"/>
  <c r="CK99" i="20"/>
  <c r="C97" i="11"/>
  <c r="G97" i="11"/>
  <c r="V97" i="11"/>
  <c r="AL99" i="2"/>
  <c r="E97" i="28"/>
  <c r="I97" i="28"/>
  <c r="F98" i="27"/>
  <c r="J98" i="27"/>
  <c r="AE98" i="27"/>
  <c r="D98" i="26"/>
  <c r="H98" i="26"/>
  <c r="D99" i="25"/>
  <c r="H99" i="25"/>
  <c r="G98" i="24"/>
  <c r="D98" i="23"/>
  <c r="H98" i="23"/>
  <c r="Z98" i="23"/>
  <c r="E97" i="11"/>
  <c r="F98" i="26"/>
  <c r="J98" i="26"/>
  <c r="F99" i="25"/>
  <c r="J99" i="25"/>
  <c r="F98" i="23"/>
  <c r="J98" i="23"/>
  <c r="AP99" i="2"/>
  <c r="G98" i="23"/>
  <c r="K98" i="23"/>
  <c r="G99" i="20"/>
  <c r="AU99" i="20"/>
  <c r="AY99" i="20"/>
  <c r="AB99" i="20"/>
  <c r="BM99" i="20"/>
  <c r="BQ99" i="20"/>
  <c r="CH99" i="20"/>
  <c r="CL99" i="20"/>
  <c r="D97" i="11"/>
  <c r="H97" i="11"/>
  <c r="AM99" i="2"/>
  <c r="S98" i="27"/>
  <c r="E98" i="26"/>
  <c r="I98" i="26"/>
  <c r="E99" i="25"/>
  <c r="I99" i="25"/>
  <c r="AF98" i="23"/>
  <c r="AO99" i="2"/>
  <c r="Y76" i="74" l="1"/>
  <c r="Y76" i="77" s="1"/>
  <c r="X98" i="27"/>
  <c r="T98" i="27"/>
  <c r="N76" i="74" s="1"/>
  <c r="O76" i="74" s="1"/>
  <c r="P98" i="27"/>
  <c r="Q76" i="74" s="1"/>
  <c r="AB98" i="27"/>
  <c r="W76" i="74" s="1"/>
  <c r="X76" i="74" s="1"/>
  <c r="AF98" i="27"/>
  <c r="W98" i="26"/>
  <c r="M76" i="74"/>
  <c r="M76" i="77" s="1"/>
  <c r="O76" i="77" s="1"/>
  <c r="P76" i="74"/>
  <c r="P76" i="77" s="1"/>
  <c r="R76" i="77" s="1"/>
  <c r="V76" i="74"/>
  <c r="V76" i="77" s="1"/>
  <c r="X76" i="77" s="1"/>
  <c r="S76" i="74"/>
  <c r="S76" i="77" s="1"/>
  <c r="U76" i="77" s="1"/>
  <c r="J76" i="74"/>
  <c r="J76" i="77" s="1"/>
  <c r="L76" i="77" s="1"/>
  <c r="G76" i="74"/>
  <c r="G76" i="77" s="1"/>
  <c r="I76" i="77" s="1"/>
  <c r="C97" i="28"/>
  <c r="D75" i="41"/>
  <c r="H75" i="40"/>
  <c r="C75" i="41"/>
  <c r="S75" i="41" s="1"/>
  <c r="AB99" i="25"/>
  <c r="AA99" i="25"/>
  <c r="A47" i="7"/>
  <c r="A49" i="7"/>
  <c r="A51" i="7"/>
  <c r="AB97" i="28" l="1"/>
  <c r="AE97" i="28" s="1"/>
  <c r="W97" i="28"/>
  <c r="Z97" i="28" s="1"/>
  <c r="AL97" i="28"/>
  <c r="R75" i="41" s="1"/>
  <c r="AG97" i="28"/>
  <c r="AI97" i="28" s="1"/>
  <c r="R97" i="28"/>
  <c r="U97" i="28" s="1"/>
  <c r="R76" i="74"/>
  <c r="R98" i="27"/>
  <c r="P98" i="23"/>
  <c r="Q98" i="27"/>
  <c r="AC98" i="27"/>
  <c r="Y98" i="27"/>
  <c r="T76" i="74"/>
  <c r="U76" i="74" s="1"/>
  <c r="AB98" i="23"/>
  <c r="K76" i="74"/>
  <c r="L76" i="74" s="1"/>
  <c r="Z98" i="27"/>
  <c r="V98" i="23"/>
  <c r="T75" i="41"/>
  <c r="AH98" i="27"/>
  <c r="AD99" i="2"/>
  <c r="AE99" i="2" s="1"/>
  <c r="I75" i="40"/>
  <c r="J75" i="41" s="1"/>
  <c r="K75" i="41" s="1"/>
  <c r="AG98" i="27"/>
  <c r="I75" i="41"/>
  <c r="N75" i="40"/>
  <c r="Y98" i="23"/>
  <c r="AD98" i="27"/>
  <c r="L98" i="27"/>
  <c r="V98" i="27"/>
  <c r="U98" i="27"/>
  <c r="S98" i="23"/>
  <c r="AR104" i="20"/>
  <c r="AO97" i="28" l="1"/>
  <c r="AN97" i="28"/>
  <c r="J75" i="40"/>
  <c r="K75" i="40" s="1"/>
  <c r="T97" i="28"/>
  <c r="AJ97" i="28"/>
  <c r="L97" i="28"/>
  <c r="O97" i="28" s="1"/>
  <c r="W99" i="20"/>
  <c r="H76" i="74"/>
  <c r="I76" i="74" s="1"/>
  <c r="M75" i="40"/>
  <c r="O75" i="40"/>
  <c r="U75" i="41"/>
  <c r="L75" i="41"/>
  <c r="M98" i="23"/>
  <c r="M98" i="27"/>
  <c r="N98" i="27"/>
  <c r="CF55" i="20"/>
  <c r="BL55" i="20"/>
  <c r="L75" i="40" l="1"/>
  <c r="P97" i="28"/>
  <c r="C10" i="25"/>
  <c r="B78" i="9" l="1"/>
  <c r="B77" i="9"/>
  <c r="B74" i="9"/>
  <c r="A74" i="9"/>
  <c r="B70" i="9"/>
  <c r="B67" i="9"/>
  <c r="B65" i="9"/>
  <c r="C142" i="2"/>
  <c r="C143" i="2"/>
  <c r="C59" i="3" s="1"/>
  <c r="C144" i="2"/>
  <c r="C145" i="2"/>
  <c r="C146" i="2"/>
  <c r="C62" i="9" s="1"/>
  <c r="B62" i="9"/>
  <c r="A62" i="9"/>
  <c r="B59" i="9"/>
  <c r="B53" i="9"/>
  <c r="B51" i="9"/>
  <c r="B49" i="9"/>
  <c r="B45" i="9"/>
  <c r="B43" i="9"/>
  <c r="B36" i="9"/>
  <c r="B34" i="9"/>
  <c r="B32" i="9"/>
  <c r="B31" i="9"/>
  <c r="B30" i="9"/>
  <c r="B3" i="9"/>
  <c r="B26" i="9"/>
  <c r="B22" i="9"/>
  <c r="B21" i="9"/>
  <c r="B20" i="9"/>
  <c r="B19" i="9"/>
  <c r="B18" i="9"/>
  <c r="A22" i="9"/>
  <c r="A21" i="9"/>
  <c r="A20" i="9"/>
  <c r="A19" i="9"/>
  <c r="A18" i="9"/>
  <c r="B17" i="9"/>
  <c r="B15" i="9"/>
  <c r="B14" i="9"/>
  <c r="B12" i="9"/>
  <c r="B11" i="9"/>
  <c r="B10" i="9"/>
  <c r="B9" i="9"/>
  <c r="B8" i="9"/>
  <c r="AB50" i="8" l="1"/>
  <c r="AB49" i="8"/>
  <c r="B67" i="8"/>
  <c r="A67" i="8"/>
  <c r="C55" i="8"/>
  <c r="B3" i="8"/>
  <c r="B71" i="8"/>
  <c r="B70" i="8"/>
  <c r="B63" i="8"/>
  <c r="B60" i="8"/>
  <c r="B58" i="8"/>
  <c r="B55" i="8"/>
  <c r="B53" i="8"/>
  <c r="B48" i="8"/>
  <c r="B46" i="8"/>
  <c r="B44" i="8"/>
  <c r="B40" i="8"/>
  <c r="B38" i="8"/>
  <c r="B34" i="8"/>
  <c r="B31" i="8"/>
  <c r="B29" i="8"/>
  <c r="B27" i="8"/>
  <c r="B26" i="8"/>
  <c r="B25" i="8"/>
  <c r="B21" i="8"/>
  <c r="B19" i="8"/>
  <c r="A8" i="8"/>
  <c r="B8" i="8"/>
  <c r="B13" i="8"/>
  <c r="B12" i="8"/>
  <c r="B11" i="8"/>
  <c r="B10" i="8"/>
  <c r="B9" i="8"/>
  <c r="B75" i="3" l="1"/>
  <c r="B72" i="3"/>
  <c r="B44" i="3"/>
  <c r="B42" i="3"/>
  <c r="B40" i="3"/>
  <c r="B36" i="3"/>
  <c r="B35" i="3"/>
  <c r="B33" i="3"/>
  <c r="B31" i="3"/>
  <c r="B30" i="3"/>
  <c r="B28" i="3"/>
  <c r="B25" i="3"/>
  <c r="B23" i="3"/>
  <c r="B20" i="3"/>
  <c r="B18" i="3"/>
  <c r="B16" i="3"/>
  <c r="B14" i="3"/>
  <c r="C60" i="21" l="1"/>
  <c r="D60" i="21" s="1"/>
  <c r="B76" i="7"/>
  <c r="B51" i="7"/>
  <c r="B49" i="7"/>
  <c r="B47" i="7"/>
  <c r="B42" i="7"/>
  <c r="B40" i="7"/>
  <c r="B36" i="7"/>
  <c r="B35" i="7"/>
  <c r="B33" i="7"/>
  <c r="B30" i="7"/>
  <c r="B28" i="7"/>
  <c r="B26" i="7"/>
  <c r="B25" i="7"/>
  <c r="B24" i="7"/>
  <c r="B20" i="7"/>
  <c r="B18" i="7"/>
  <c r="B14" i="7"/>
  <c r="B13" i="7"/>
  <c r="B3" i="7"/>
  <c r="B11" i="7"/>
  <c r="B10" i="7"/>
  <c r="B9" i="7"/>
  <c r="B8" i="7"/>
  <c r="AK163" i="2" l="1"/>
  <c r="CH162" i="10" s="1"/>
  <c r="AK171" i="2"/>
  <c r="DF171" i="20" l="1"/>
  <c r="DB171" i="20"/>
  <c r="DE171" i="20"/>
  <c r="DA171" i="20"/>
  <c r="DC171" i="20"/>
  <c r="DD171" i="20"/>
  <c r="DG171" i="20"/>
  <c r="DG163" i="20"/>
  <c r="DF163" i="20"/>
  <c r="DB163" i="20"/>
  <c r="DE163" i="20"/>
  <c r="DA163" i="20"/>
  <c r="DD163" i="20"/>
  <c r="DC163" i="20"/>
  <c r="CL124" i="20"/>
  <c r="CH124" i="20"/>
  <c r="BR124" i="20"/>
  <c r="BN124" i="20"/>
  <c r="AW124" i="20"/>
  <c r="AS124" i="20"/>
  <c r="AB124" i="20"/>
  <c r="CM124" i="20"/>
  <c r="BS124" i="20"/>
  <c r="AT124" i="20"/>
  <c r="CK124" i="20"/>
  <c r="CG124" i="20"/>
  <c r="BQ124" i="20"/>
  <c r="BM124" i="20"/>
  <c r="AV124" i="20"/>
  <c r="AE124" i="20"/>
  <c r="AA124" i="20"/>
  <c r="BO124" i="20"/>
  <c r="AC124" i="20"/>
  <c r="CJ124" i="20"/>
  <c r="BP124" i="20"/>
  <c r="AY124" i="20"/>
  <c r="AU124" i="20"/>
  <c r="AD124" i="20"/>
  <c r="Z124" i="20"/>
  <c r="CI124" i="20"/>
  <c r="AX124" i="20"/>
  <c r="Y124" i="20"/>
  <c r="CK163" i="20"/>
  <c r="CG163" i="20"/>
  <c r="BP163" i="20"/>
  <c r="AY163" i="20"/>
  <c r="AU163" i="20"/>
  <c r="AD163" i="20"/>
  <c r="Z163" i="20"/>
  <c r="BM163" i="20"/>
  <c r="AA163" i="20"/>
  <c r="CJ163" i="20"/>
  <c r="BS163" i="20"/>
  <c r="BO163" i="20"/>
  <c r="AX163" i="20"/>
  <c r="AT163" i="20"/>
  <c r="AC163" i="20"/>
  <c r="Y163" i="20"/>
  <c r="CH163" i="20"/>
  <c r="AE163" i="20"/>
  <c r="CM163" i="20"/>
  <c r="CI163" i="20"/>
  <c r="BR163" i="20"/>
  <c r="BN163" i="20"/>
  <c r="AW163" i="20"/>
  <c r="AS163" i="20"/>
  <c r="AB163" i="20"/>
  <c r="CL163" i="20"/>
  <c r="BQ163" i="20"/>
  <c r="AV163" i="20"/>
  <c r="CM122" i="20"/>
  <c r="CI122" i="20"/>
  <c r="CL122" i="20"/>
  <c r="CH122" i="20"/>
  <c r="CK122" i="20"/>
  <c r="CG122" i="20"/>
  <c r="CJ122" i="20"/>
  <c r="BS122" i="20"/>
  <c r="BO122" i="20"/>
  <c r="BR122" i="20"/>
  <c r="BN122" i="20"/>
  <c r="AY122" i="20"/>
  <c r="AU122" i="20"/>
  <c r="AB122" i="20"/>
  <c r="Y122" i="20"/>
  <c r="BQ122" i="20"/>
  <c r="BM122" i="20"/>
  <c r="AX122" i="20"/>
  <c r="AT122" i="20"/>
  <c r="AE122" i="20"/>
  <c r="AA122" i="20"/>
  <c r="AV122" i="20"/>
  <c r="BP122" i="20"/>
  <c r="AW122" i="20"/>
  <c r="AS122" i="20"/>
  <c r="AD122" i="20"/>
  <c r="Z122" i="20"/>
  <c r="AC122" i="20"/>
  <c r="CK123" i="20"/>
  <c r="CG123" i="20"/>
  <c r="CJ123" i="20"/>
  <c r="CM123" i="20"/>
  <c r="CI123" i="20"/>
  <c r="CL123" i="20"/>
  <c r="CH123" i="20"/>
  <c r="BP123" i="20"/>
  <c r="AW123" i="20"/>
  <c r="BS123" i="20"/>
  <c r="BO123" i="20"/>
  <c r="AV123" i="20"/>
  <c r="AC123" i="20"/>
  <c r="Y123" i="20"/>
  <c r="AS123" i="20"/>
  <c r="Z123" i="20"/>
  <c r="BR123" i="20"/>
  <c r="BN123" i="20"/>
  <c r="AY123" i="20"/>
  <c r="AU123" i="20"/>
  <c r="AB123" i="20"/>
  <c r="AD123" i="20"/>
  <c r="BQ123" i="20"/>
  <c r="BM123" i="20"/>
  <c r="AX123" i="20"/>
  <c r="AT123" i="20"/>
  <c r="AE123" i="20"/>
  <c r="AA123" i="20"/>
  <c r="CL129" i="20"/>
  <c r="CH129" i="20"/>
  <c r="BP129" i="20"/>
  <c r="AV129" i="20"/>
  <c r="AB129" i="20"/>
  <c r="CK129" i="20"/>
  <c r="CG129" i="20"/>
  <c r="BS129" i="20"/>
  <c r="BO129" i="20"/>
  <c r="AY129" i="20"/>
  <c r="AU129" i="20"/>
  <c r="AE129" i="20"/>
  <c r="AA129" i="20"/>
  <c r="CJ129" i="20"/>
  <c r="BR129" i="20"/>
  <c r="BN129" i="20"/>
  <c r="AX129" i="20"/>
  <c r="AT129" i="20"/>
  <c r="AD129" i="20"/>
  <c r="Z129" i="20"/>
  <c r="CM129" i="20"/>
  <c r="BQ129" i="20"/>
  <c r="AS129" i="20"/>
  <c r="BM129" i="20"/>
  <c r="CI129" i="20"/>
  <c r="AW129" i="20"/>
  <c r="AC129" i="20"/>
  <c r="Y129" i="20"/>
  <c r="CK125" i="20"/>
  <c r="CG125" i="20"/>
  <c r="BR125" i="20"/>
  <c r="BN125" i="20"/>
  <c r="AY125" i="20"/>
  <c r="AU125" i="20"/>
  <c r="CJ125" i="20"/>
  <c r="BQ125" i="20"/>
  <c r="BM125" i="20"/>
  <c r="AX125" i="20"/>
  <c r="AT125" i="20"/>
  <c r="CM125" i="20"/>
  <c r="CI125" i="20"/>
  <c r="BP125" i="20"/>
  <c r="AW125" i="20"/>
  <c r="AS125" i="20"/>
  <c r="AD125" i="20"/>
  <c r="CL125" i="20"/>
  <c r="AE125" i="20"/>
  <c r="Z125" i="20"/>
  <c r="CH125" i="20"/>
  <c r="BS125" i="20"/>
  <c r="AC125" i="20"/>
  <c r="Y125" i="20"/>
  <c r="BO125" i="20"/>
  <c r="AB125" i="20"/>
  <c r="AV125" i="20"/>
  <c r="AA125" i="20"/>
  <c r="CJ171" i="20"/>
  <c r="BS171" i="20"/>
  <c r="BO171" i="20"/>
  <c r="AX171" i="20"/>
  <c r="AT171" i="20"/>
  <c r="AC171" i="20"/>
  <c r="Y171" i="20"/>
  <c r="CM171" i="20"/>
  <c r="CI171" i="20"/>
  <c r="BR171" i="20"/>
  <c r="BN171" i="20"/>
  <c r="AW171" i="20"/>
  <c r="AS171" i="20"/>
  <c r="AB171" i="20"/>
  <c r="CL171" i="20"/>
  <c r="CH171" i="20"/>
  <c r="BQ171" i="20"/>
  <c r="BM171" i="20"/>
  <c r="AV171" i="20"/>
  <c r="AE171" i="20"/>
  <c r="AA171" i="20"/>
  <c r="CG171" i="20"/>
  <c r="BP171" i="20"/>
  <c r="Z171" i="20"/>
  <c r="AD171" i="20"/>
  <c r="AY171" i="20"/>
  <c r="CK171" i="20"/>
  <c r="AU171" i="20"/>
  <c r="CM126" i="20"/>
  <c r="CI126" i="20"/>
  <c r="BS126" i="20"/>
  <c r="BO126" i="20"/>
  <c r="AV126" i="20"/>
  <c r="AC126" i="20"/>
  <c r="Y126" i="20"/>
  <c r="CL126" i="20"/>
  <c r="CH126" i="20"/>
  <c r="BR126" i="20"/>
  <c r="BN126" i="20"/>
  <c r="AY126" i="20"/>
  <c r="AU126" i="20"/>
  <c r="AB126" i="20"/>
  <c r="CK126" i="20"/>
  <c r="CG126" i="20"/>
  <c r="BQ126" i="20"/>
  <c r="BM126" i="20"/>
  <c r="AX126" i="20"/>
  <c r="AT126" i="20"/>
  <c r="AE126" i="20"/>
  <c r="AA126" i="20"/>
  <c r="CJ126" i="20"/>
  <c r="BP126" i="20"/>
  <c r="Z126" i="20"/>
  <c r="AW126" i="20"/>
  <c r="AS126" i="20"/>
  <c r="AD126" i="20"/>
  <c r="CJ127" i="20"/>
  <c r="BP127" i="20"/>
  <c r="AW127" i="20"/>
  <c r="AS127" i="20"/>
  <c r="AD127" i="20"/>
  <c r="Z127" i="20"/>
  <c r="CM127" i="20"/>
  <c r="CI127" i="20"/>
  <c r="BS127" i="20"/>
  <c r="BO127" i="20"/>
  <c r="AV127" i="20"/>
  <c r="AC127" i="20"/>
  <c r="Y127" i="20"/>
  <c r="CL127" i="20"/>
  <c r="CH127" i="20"/>
  <c r="BR127" i="20"/>
  <c r="BN127" i="20"/>
  <c r="AY127" i="20"/>
  <c r="AU127" i="20"/>
  <c r="AB127" i="20"/>
  <c r="AT127" i="20"/>
  <c r="AE127" i="20"/>
  <c r="CG127" i="20"/>
  <c r="AX127" i="20"/>
  <c r="AA127" i="20"/>
  <c r="BM127" i="20"/>
  <c r="CK127" i="20"/>
  <c r="BQ127" i="20"/>
  <c r="CM128" i="20"/>
  <c r="CI128" i="20"/>
  <c r="BQ128" i="20"/>
  <c r="BM128" i="20"/>
  <c r="AW128" i="20"/>
  <c r="AS128" i="20"/>
  <c r="AC128" i="20"/>
  <c r="Y128" i="20"/>
  <c r="CL128" i="20"/>
  <c r="CH128" i="20"/>
  <c r="BP128" i="20"/>
  <c r="AV128" i="20"/>
  <c r="AB128" i="20"/>
  <c r="CK128" i="20"/>
  <c r="CG128" i="20"/>
  <c r="BS128" i="20"/>
  <c r="BO128" i="20"/>
  <c r="AY128" i="20"/>
  <c r="AU128" i="20"/>
  <c r="AE128" i="20"/>
  <c r="AA128" i="20"/>
  <c r="BR128" i="20"/>
  <c r="AT128" i="20"/>
  <c r="Z128" i="20"/>
  <c r="CJ128" i="20"/>
  <c r="BN128" i="20"/>
  <c r="AD128" i="20"/>
  <c r="AX128" i="20"/>
  <c r="AK63" i="2"/>
  <c r="R62" i="26" s="1"/>
  <c r="AK51" i="2"/>
  <c r="AK52" i="2"/>
  <c r="AK53" i="2"/>
  <c r="AK54" i="2"/>
  <c r="AK55" i="2"/>
  <c r="AK11" i="2"/>
  <c r="R10" i="26" s="1"/>
  <c r="AK13" i="2"/>
  <c r="R12" i="26" s="1"/>
  <c r="B181" i="20"/>
  <c r="B180" i="20"/>
  <c r="B179" i="20"/>
  <c r="B178" i="20"/>
  <c r="B177" i="20"/>
  <c r="B176" i="20"/>
  <c r="B175" i="20"/>
  <c r="B174" i="20"/>
  <c r="B171" i="20"/>
  <c r="B170" i="20"/>
  <c r="B167" i="20"/>
  <c r="B166" i="20"/>
  <c r="B165" i="20"/>
  <c r="B164" i="20"/>
  <c r="B163" i="20"/>
  <c r="B162" i="20"/>
  <c r="B159" i="20"/>
  <c r="B158" i="20"/>
  <c r="B157" i="20"/>
  <c r="B156" i="20"/>
  <c r="B155" i="20"/>
  <c r="B153" i="20"/>
  <c r="B152" i="20"/>
  <c r="B151" i="20"/>
  <c r="B150" i="20"/>
  <c r="B149" i="20"/>
  <c r="B146" i="20"/>
  <c r="B145" i="20"/>
  <c r="B144" i="20"/>
  <c r="B143" i="20"/>
  <c r="B142" i="20"/>
  <c r="B140" i="20"/>
  <c r="B139" i="20"/>
  <c r="B138" i="20"/>
  <c r="B137" i="20"/>
  <c r="B136" i="20"/>
  <c r="B129" i="20"/>
  <c r="B128" i="20"/>
  <c r="B127" i="20"/>
  <c r="B126" i="20"/>
  <c r="B125" i="20"/>
  <c r="B124" i="20"/>
  <c r="B123" i="20"/>
  <c r="B122" i="20"/>
  <c r="B119" i="20"/>
  <c r="B118" i="20"/>
  <c r="B117" i="20"/>
  <c r="B116" i="20"/>
  <c r="B115" i="20"/>
  <c r="B113" i="20"/>
  <c r="B112" i="20"/>
  <c r="B111" i="20"/>
  <c r="B110" i="20"/>
  <c r="B109" i="20"/>
  <c r="B107" i="20"/>
  <c r="B106" i="20"/>
  <c r="B105" i="20"/>
  <c r="B104" i="20"/>
  <c r="B103" i="20"/>
  <c r="B98" i="20"/>
  <c r="B97" i="20"/>
  <c r="B96" i="20"/>
  <c r="B95" i="20"/>
  <c r="B94" i="20"/>
  <c r="B93" i="20"/>
  <c r="B91" i="20"/>
  <c r="B90" i="20"/>
  <c r="B89" i="20"/>
  <c r="B88" i="20"/>
  <c r="B87" i="20"/>
  <c r="B83" i="20"/>
  <c r="B82" i="20"/>
  <c r="B81" i="20"/>
  <c r="B80" i="20"/>
  <c r="B78" i="20"/>
  <c r="B77" i="20"/>
  <c r="B76" i="20"/>
  <c r="B75" i="20"/>
  <c r="B72" i="20"/>
  <c r="B71" i="20"/>
  <c r="B70" i="20"/>
  <c r="B69" i="20"/>
  <c r="B68" i="20"/>
  <c r="B66" i="20"/>
  <c r="B65" i="20"/>
  <c r="B64" i="20"/>
  <c r="B63" i="20"/>
  <c r="B61" i="20"/>
  <c r="B60" i="20"/>
  <c r="B59" i="20"/>
  <c r="B57" i="20"/>
  <c r="B55" i="20"/>
  <c r="B54" i="20"/>
  <c r="B53" i="20"/>
  <c r="B52" i="20"/>
  <c r="B51" i="20"/>
  <c r="B49" i="20"/>
  <c r="B48" i="20"/>
  <c r="B47" i="20"/>
  <c r="B45" i="20"/>
  <c r="B44" i="20"/>
  <c r="B43" i="20"/>
  <c r="B42" i="20"/>
  <c r="B41" i="20"/>
  <c r="B40" i="20"/>
  <c r="B38" i="20"/>
  <c r="B37" i="20"/>
  <c r="B36" i="20"/>
  <c r="B35" i="20"/>
  <c r="B34" i="20"/>
  <c r="B32" i="20"/>
  <c r="B31" i="20"/>
  <c r="B30" i="20"/>
  <c r="B29" i="20"/>
  <c r="B28" i="20"/>
  <c r="B27" i="20"/>
  <c r="B26" i="20"/>
  <c r="B25" i="20"/>
  <c r="B24" i="20"/>
  <c r="B23" i="20"/>
  <c r="B22" i="20"/>
  <c r="B21" i="20"/>
  <c r="B20" i="20"/>
  <c r="B19" i="20"/>
  <c r="B18" i="20"/>
  <c r="B17" i="20"/>
  <c r="B16" i="20"/>
  <c r="B15" i="20"/>
  <c r="B14" i="20"/>
  <c r="B13" i="20"/>
  <c r="B12" i="20"/>
  <c r="B11" i="20"/>
  <c r="B10" i="20"/>
  <c r="A6" i="20"/>
  <c r="B4" i="20"/>
  <c r="B179" i="11"/>
  <c r="B178" i="11"/>
  <c r="B177" i="11"/>
  <c r="B176" i="11"/>
  <c r="B175" i="11"/>
  <c r="B174" i="11"/>
  <c r="B173" i="11"/>
  <c r="B172" i="11"/>
  <c r="B169" i="11"/>
  <c r="B165" i="11"/>
  <c r="B164" i="11"/>
  <c r="B163" i="11"/>
  <c r="B162" i="11"/>
  <c r="B161" i="11"/>
  <c r="B160" i="11"/>
  <c r="B157" i="11"/>
  <c r="B156" i="11"/>
  <c r="B155" i="11"/>
  <c r="B154" i="11"/>
  <c r="B153" i="11"/>
  <c r="B151" i="11"/>
  <c r="B150" i="11"/>
  <c r="B149" i="11"/>
  <c r="B148" i="11"/>
  <c r="B147" i="11"/>
  <c r="B144" i="11"/>
  <c r="B143" i="11"/>
  <c r="B142" i="11"/>
  <c r="B141" i="11"/>
  <c r="B140" i="11"/>
  <c r="B139" i="11"/>
  <c r="B138" i="11"/>
  <c r="B137" i="11"/>
  <c r="B136" i="11"/>
  <c r="B135" i="11"/>
  <c r="B134" i="11"/>
  <c r="B127" i="11"/>
  <c r="B126" i="11"/>
  <c r="B125" i="11"/>
  <c r="B124" i="11"/>
  <c r="B123" i="11"/>
  <c r="B122" i="11"/>
  <c r="B121" i="11"/>
  <c r="B120" i="11"/>
  <c r="B117" i="11"/>
  <c r="B116" i="11"/>
  <c r="B115" i="11"/>
  <c r="B114" i="11"/>
  <c r="B113" i="11"/>
  <c r="B111" i="11"/>
  <c r="B110" i="11"/>
  <c r="B109" i="11"/>
  <c r="B108" i="11"/>
  <c r="B107" i="11"/>
  <c r="B105" i="11"/>
  <c r="B104" i="11"/>
  <c r="B103" i="11"/>
  <c r="B102" i="11"/>
  <c r="B101" i="11"/>
  <c r="B96" i="11"/>
  <c r="B95" i="11"/>
  <c r="B94" i="11"/>
  <c r="B93" i="11"/>
  <c r="B92" i="11"/>
  <c r="B91" i="11"/>
  <c r="B90" i="11"/>
  <c r="B89" i="11"/>
  <c r="B88" i="11"/>
  <c r="B87" i="11"/>
  <c r="B86" i="11"/>
  <c r="B85" i="11"/>
  <c r="B81" i="11"/>
  <c r="B80" i="11"/>
  <c r="B79" i="11"/>
  <c r="B78" i="11"/>
  <c r="B76" i="11"/>
  <c r="B75" i="11"/>
  <c r="B74" i="11"/>
  <c r="B73" i="11"/>
  <c r="B70" i="11"/>
  <c r="B69" i="11"/>
  <c r="B68" i="11"/>
  <c r="B67" i="11"/>
  <c r="B66" i="11"/>
  <c r="B64" i="11"/>
  <c r="B63" i="11"/>
  <c r="B62" i="11"/>
  <c r="B61" i="11"/>
  <c r="B59" i="11"/>
  <c r="B58" i="11"/>
  <c r="B57" i="11"/>
  <c r="B55" i="11"/>
  <c r="B53" i="11"/>
  <c r="B52" i="11"/>
  <c r="B51" i="11"/>
  <c r="B50" i="11"/>
  <c r="B49" i="11"/>
  <c r="B47" i="11"/>
  <c r="B46" i="11"/>
  <c r="B45" i="11"/>
  <c r="B43" i="11"/>
  <c r="B42" i="11"/>
  <c r="B41" i="11"/>
  <c r="B40" i="11"/>
  <c r="B39" i="11"/>
  <c r="B38" i="11"/>
  <c r="B36" i="11"/>
  <c r="B35" i="11"/>
  <c r="B34" i="11"/>
  <c r="B33" i="11"/>
  <c r="B32" i="11"/>
  <c r="B30" i="11"/>
  <c r="B29" i="11"/>
  <c r="B28" i="11"/>
  <c r="B27" i="11"/>
  <c r="B26" i="11"/>
  <c r="B25" i="11"/>
  <c r="B24" i="11"/>
  <c r="B23" i="11"/>
  <c r="B22" i="11"/>
  <c r="B21" i="11"/>
  <c r="B20" i="11"/>
  <c r="B19" i="11"/>
  <c r="B18" i="11"/>
  <c r="B17" i="11"/>
  <c r="B16" i="11"/>
  <c r="B15" i="11"/>
  <c r="B14" i="11"/>
  <c r="B13" i="11"/>
  <c r="B12" i="11"/>
  <c r="B11" i="11"/>
  <c r="B10" i="11"/>
  <c r="B9" i="11"/>
  <c r="B8" i="11"/>
  <c r="AW51" i="20" l="1"/>
  <c r="AS51" i="20"/>
  <c r="AX51" i="20"/>
  <c r="AT51" i="20"/>
  <c r="AV51" i="20"/>
  <c r="AY51" i="20"/>
  <c r="AU51" i="20"/>
  <c r="EJ55" i="20"/>
  <c r="EM54" i="20"/>
  <c r="EI54" i="20"/>
  <c r="EL53" i="20"/>
  <c r="EH53" i="20"/>
  <c r="EK52" i="20"/>
  <c r="EG52" i="20"/>
  <c r="EJ51" i="20"/>
  <c r="DZ55" i="20"/>
  <c r="DV55" i="20"/>
  <c r="DY54" i="20"/>
  <c r="DU54" i="20"/>
  <c r="DX53" i="20"/>
  <c r="EA52" i="20"/>
  <c r="DW52" i="20"/>
  <c r="EA51" i="20"/>
  <c r="DY51" i="20"/>
  <c r="DW51" i="20"/>
  <c r="DU51" i="20"/>
  <c r="EM55" i="20"/>
  <c r="EL54" i="20"/>
  <c r="EK53" i="20"/>
  <c r="EJ52" i="20"/>
  <c r="EI51" i="20"/>
  <c r="DU55" i="20"/>
  <c r="DZ52" i="20"/>
  <c r="DC51" i="20"/>
  <c r="DV51" i="20"/>
  <c r="EH54" i="20"/>
  <c r="DY55" i="20"/>
  <c r="EA53" i="20"/>
  <c r="DG51" i="20"/>
  <c r="DX55" i="20"/>
  <c r="EA54" i="20"/>
  <c r="DW54" i="20"/>
  <c r="DV53" i="20"/>
  <c r="DY52" i="20"/>
  <c r="EK55" i="20"/>
  <c r="EG55" i="20"/>
  <c r="EJ54" i="20"/>
  <c r="EM53" i="20"/>
  <c r="EI53" i="20"/>
  <c r="EL52" i="20"/>
  <c r="EH52" i="20"/>
  <c r="EK51" i="20"/>
  <c r="EG51" i="20"/>
  <c r="EA55" i="20"/>
  <c r="DW55" i="20"/>
  <c r="DZ54" i="20"/>
  <c r="DV54" i="20"/>
  <c r="DY53" i="20"/>
  <c r="DU53" i="20"/>
  <c r="DX52" i="20"/>
  <c r="DF51" i="20"/>
  <c r="DD51" i="20"/>
  <c r="DB51" i="20"/>
  <c r="EI55" i="20"/>
  <c r="EG53" i="20"/>
  <c r="EM51" i="20"/>
  <c r="DX54" i="20"/>
  <c r="DW53" i="20"/>
  <c r="DV52" i="20"/>
  <c r="DE51" i="20"/>
  <c r="DA51" i="20"/>
  <c r="EL55" i="20"/>
  <c r="EH55" i="20"/>
  <c r="EK54" i="20"/>
  <c r="EG54" i="20"/>
  <c r="EJ53" i="20"/>
  <c r="EM52" i="20"/>
  <c r="EI52" i="20"/>
  <c r="EL51" i="20"/>
  <c r="EH51" i="20"/>
  <c r="DZ53" i="20"/>
  <c r="DU52" i="20"/>
  <c r="DZ51" i="20"/>
  <c r="DX51" i="20"/>
  <c r="AV121" i="20"/>
  <c r="AS121" i="20"/>
  <c r="AA121" i="20"/>
  <c r="G45" i="21" s="1"/>
  <c r="AU121" i="20"/>
  <c r="AX121" i="20"/>
  <c r="AC121" i="20"/>
  <c r="I45" i="21" s="1"/>
  <c r="AW121" i="20"/>
  <c r="AE121" i="20"/>
  <c r="K45" i="21" s="1"/>
  <c r="AY121" i="20"/>
  <c r="AD121" i="20"/>
  <c r="J45" i="21" s="1"/>
  <c r="AB121" i="20"/>
  <c r="H45" i="21" s="1"/>
  <c r="Z121" i="20"/>
  <c r="F45" i="21" s="1"/>
  <c r="AT121" i="20"/>
  <c r="Y121" i="20"/>
  <c r="E45" i="21" s="1"/>
  <c r="CH54" i="10"/>
  <c r="DG55" i="20"/>
  <c r="DF55" i="20"/>
  <c r="DB55" i="20"/>
  <c r="DC55" i="20"/>
  <c r="DD55" i="20"/>
  <c r="DA55" i="20"/>
  <c r="DE55" i="20"/>
  <c r="CH50" i="10"/>
  <c r="AD51" i="10" s="1"/>
  <c r="CH53" i="10"/>
  <c r="DG54" i="20"/>
  <c r="DD54" i="20"/>
  <c r="DC54" i="20"/>
  <c r="DF54" i="20"/>
  <c r="DE54" i="20"/>
  <c r="DB54" i="20"/>
  <c r="DA54" i="20"/>
  <c r="DG63" i="20"/>
  <c r="DF63" i="20"/>
  <c r="DB63" i="20"/>
  <c r="DC63" i="20"/>
  <c r="DA63" i="20"/>
  <c r="DE63" i="20"/>
  <c r="DD63" i="20"/>
  <c r="DG13" i="20"/>
  <c r="DD13" i="20"/>
  <c r="DF13" i="20"/>
  <c r="DC13" i="20"/>
  <c r="DB13" i="20"/>
  <c r="DE13" i="20"/>
  <c r="DA13" i="20"/>
  <c r="CH52" i="10"/>
  <c r="DG53" i="20"/>
  <c r="DF53" i="20"/>
  <c r="DB53" i="20"/>
  <c r="DD53" i="20"/>
  <c r="DA53" i="20"/>
  <c r="DE53" i="20"/>
  <c r="DC53" i="20"/>
  <c r="DD11" i="20"/>
  <c r="DB11" i="20"/>
  <c r="DG11" i="20"/>
  <c r="DC11" i="20"/>
  <c r="DF11" i="20"/>
  <c r="DE11" i="20"/>
  <c r="DA11" i="20"/>
  <c r="CH51" i="10"/>
  <c r="DG52" i="20"/>
  <c r="DD52" i="20"/>
  <c r="DE52" i="20"/>
  <c r="DF52" i="20"/>
  <c r="DC52" i="20"/>
  <c r="DB52" i="20"/>
  <c r="DA52" i="20"/>
  <c r="BS13" i="20"/>
  <c r="CH12" i="10"/>
  <c r="BQ11" i="20"/>
  <c r="CH10" i="10"/>
  <c r="BQ63" i="20"/>
  <c r="CH62" i="10"/>
  <c r="AT63" i="20"/>
  <c r="CJ55" i="20"/>
  <c r="CG55" i="20"/>
  <c r="CM55" i="20"/>
  <c r="CI55" i="20"/>
  <c r="CL55" i="20"/>
  <c r="CH55" i="20"/>
  <c r="CK55" i="20"/>
  <c r="AX63" i="20"/>
  <c r="Y63" i="20"/>
  <c r="BO63" i="20"/>
  <c r="AC63" i="20"/>
  <c r="BS63" i="20"/>
  <c r="Z63" i="20"/>
  <c r="AD63" i="20"/>
  <c r="AU63" i="20"/>
  <c r="AY63" i="20"/>
  <c r="BP63" i="20"/>
  <c r="CM51" i="20"/>
  <c r="CI51" i="20"/>
  <c r="CL51" i="20"/>
  <c r="CH51" i="20"/>
  <c r="CK51" i="20"/>
  <c r="CG51" i="20"/>
  <c r="CJ51" i="20"/>
  <c r="AA63" i="20"/>
  <c r="AE63" i="20"/>
  <c r="AV63" i="20"/>
  <c r="BM63" i="20"/>
  <c r="CK63" i="20"/>
  <c r="CG63" i="20"/>
  <c r="CJ63" i="20"/>
  <c r="CM63" i="20"/>
  <c r="CI63" i="20"/>
  <c r="CL63" i="20"/>
  <c r="CH63" i="20"/>
  <c r="AB63" i="20"/>
  <c r="AS63" i="20"/>
  <c r="AW63" i="20"/>
  <c r="BN63" i="20"/>
  <c r="BR63" i="20"/>
  <c r="CL53" i="20"/>
  <c r="CH53" i="20"/>
  <c r="CK53" i="20"/>
  <c r="CG53" i="20"/>
  <c r="CJ53" i="20"/>
  <c r="CM53" i="20"/>
  <c r="CI53" i="20"/>
  <c r="CL52" i="20"/>
  <c r="CH52" i="20"/>
  <c r="CK52" i="20"/>
  <c r="CG52" i="20"/>
  <c r="CJ52" i="20"/>
  <c r="CM52" i="20"/>
  <c r="CI52" i="20"/>
  <c r="AT11" i="20"/>
  <c r="BM11" i="20"/>
  <c r="AB11" i="20"/>
  <c r="AX11" i="20"/>
  <c r="Z13" i="20"/>
  <c r="BO13" i="20"/>
  <c r="AD13" i="20"/>
  <c r="CJ54" i="20"/>
  <c r="CG54" i="20"/>
  <c r="CM54" i="20"/>
  <c r="CI54" i="20"/>
  <c r="CK54" i="20"/>
  <c r="CL54" i="20"/>
  <c r="CH54" i="20"/>
  <c r="CK13" i="20"/>
  <c r="CG13" i="20"/>
  <c r="CL13" i="20"/>
  <c r="CJ13" i="20"/>
  <c r="CM13" i="20"/>
  <c r="CI13" i="20"/>
  <c r="CH13" i="20"/>
  <c r="BR13" i="20"/>
  <c r="BN13" i="20"/>
  <c r="AY13" i="20"/>
  <c r="AU13" i="20"/>
  <c r="AC13" i="20"/>
  <c r="Y13" i="20"/>
  <c r="BQ13" i="20"/>
  <c r="BM13" i="20"/>
  <c r="AX13" i="20"/>
  <c r="AT13" i="20"/>
  <c r="AB13" i="20"/>
  <c r="BP13" i="20"/>
  <c r="AW13" i="20"/>
  <c r="AS13" i="20"/>
  <c r="AE13" i="20"/>
  <c r="AA13" i="20"/>
  <c r="AV13" i="20"/>
  <c r="CJ11" i="20"/>
  <c r="CG11" i="20"/>
  <c r="CM11" i="20"/>
  <c r="CI11" i="20"/>
  <c r="CK11" i="20"/>
  <c r="CL11" i="20"/>
  <c r="CH11" i="20"/>
  <c r="Y11" i="20"/>
  <c r="AC11" i="20"/>
  <c r="AU11" i="20"/>
  <c r="AY11" i="20"/>
  <c r="BN11" i="20"/>
  <c r="BR11" i="20"/>
  <c r="Z11" i="20"/>
  <c r="AD11" i="20"/>
  <c r="AV11" i="20"/>
  <c r="BO11" i="20"/>
  <c r="BS11" i="20"/>
  <c r="AA11" i="20"/>
  <c r="AE11" i="20"/>
  <c r="AS11" i="20"/>
  <c r="AW11" i="20"/>
  <c r="BP11" i="20"/>
  <c r="A139" i="28"/>
  <c r="A133" i="28"/>
  <c r="A34" i="24"/>
  <c r="DX50" i="20" l="1"/>
  <c r="EH50" i="20"/>
  <c r="EK50" i="20"/>
  <c r="DY50" i="20"/>
  <c r="DZ50" i="20"/>
  <c r="EL50" i="20"/>
  <c r="DV50" i="20"/>
  <c r="EI50" i="20"/>
  <c r="EA50" i="20"/>
  <c r="EJ50" i="20"/>
  <c r="EM50" i="20"/>
  <c r="DU50" i="20"/>
  <c r="EG50" i="20"/>
  <c r="DW50" i="20"/>
  <c r="E98" i="21"/>
  <c r="F98" i="21" s="1"/>
  <c r="G98" i="21" s="1"/>
  <c r="H98" i="21" s="1"/>
  <c r="I98" i="21" s="1"/>
  <c r="J98" i="21" s="1"/>
  <c r="K98" i="21" s="1"/>
  <c r="L45" i="21"/>
  <c r="L98" i="21" s="1"/>
  <c r="AD50" i="10"/>
  <c r="AE50" i="10"/>
  <c r="AG51" i="10"/>
  <c r="AG50" i="10"/>
  <c r="AE51" i="10"/>
  <c r="AG54" i="10"/>
  <c r="C31" i="27"/>
  <c r="C9" i="27"/>
  <c r="AF31" i="27" l="1"/>
  <c r="P31" i="27"/>
  <c r="T31" i="27"/>
  <c r="S31" i="23" s="1"/>
  <c r="T9" i="27"/>
  <c r="P9" i="27"/>
  <c r="C8" i="28"/>
  <c r="C2" i="41"/>
  <c r="C30" i="28"/>
  <c r="C24" i="41"/>
  <c r="C31" i="26"/>
  <c r="C30" i="26"/>
  <c r="C29" i="26"/>
  <c r="C28" i="26"/>
  <c r="C27" i="26"/>
  <c r="C26" i="26"/>
  <c r="C25" i="26"/>
  <c r="C24" i="26"/>
  <c r="C23" i="26"/>
  <c r="C22" i="26"/>
  <c r="C21" i="26"/>
  <c r="C20" i="26"/>
  <c r="C19" i="26"/>
  <c r="C18" i="26"/>
  <c r="C17" i="26"/>
  <c r="C16" i="26"/>
  <c r="C15" i="26"/>
  <c r="C14" i="26"/>
  <c r="C13" i="26"/>
  <c r="C12" i="26"/>
  <c r="C11" i="26"/>
  <c r="C10" i="26"/>
  <c r="C9" i="26"/>
  <c r="C38" i="25"/>
  <c r="Z38" i="25" s="1"/>
  <c r="C37" i="25"/>
  <c r="Z37" i="25" s="1"/>
  <c r="C36" i="25"/>
  <c r="Z36" i="25" s="1"/>
  <c r="C35" i="25"/>
  <c r="Z35" i="25" s="1"/>
  <c r="C34" i="25"/>
  <c r="Z34" i="25" s="1"/>
  <c r="C37" i="26"/>
  <c r="C36" i="26"/>
  <c r="C35" i="26"/>
  <c r="C34" i="26"/>
  <c r="C33" i="26"/>
  <c r="C32" i="25"/>
  <c r="C31" i="25"/>
  <c r="C30" i="25"/>
  <c r="C29" i="27" s="1"/>
  <c r="C29" i="25"/>
  <c r="C28" i="27" s="1"/>
  <c r="C28" i="25"/>
  <c r="C27" i="27" s="1"/>
  <c r="C27" i="25"/>
  <c r="C26" i="27" s="1"/>
  <c r="C26" i="25"/>
  <c r="C25" i="27" s="1"/>
  <c r="C25" i="25"/>
  <c r="C24" i="27" s="1"/>
  <c r="C24" i="25"/>
  <c r="C23" i="25"/>
  <c r="C22" i="27" s="1"/>
  <c r="C22" i="25"/>
  <c r="C21" i="27" s="1"/>
  <c r="C21" i="25"/>
  <c r="C20" i="27" s="1"/>
  <c r="C20" i="25"/>
  <c r="C19" i="27" s="1"/>
  <c r="C19" i="25"/>
  <c r="C18" i="27" s="1"/>
  <c r="C18" i="25"/>
  <c r="C17" i="27" s="1"/>
  <c r="C17" i="25"/>
  <c r="C16" i="27" s="1"/>
  <c r="C16" i="25"/>
  <c r="C15" i="27" s="1"/>
  <c r="C15" i="25"/>
  <c r="C14" i="27" s="1"/>
  <c r="C14" i="25"/>
  <c r="C13" i="27" s="1"/>
  <c r="C13" i="25"/>
  <c r="C12" i="27" s="1"/>
  <c r="C12" i="25"/>
  <c r="C11" i="27" s="1"/>
  <c r="C11" i="25"/>
  <c r="C10" i="27" s="1"/>
  <c r="C31" i="24"/>
  <c r="C30" i="24"/>
  <c r="C29" i="24"/>
  <c r="C28" i="24"/>
  <c r="C27" i="24"/>
  <c r="C26" i="24"/>
  <c r="C25" i="24"/>
  <c r="C24" i="24"/>
  <c r="C23" i="24"/>
  <c r="C22" i="24"/>
  <c r="C21" i="24"/>
  <c r="C20" i="24"/>
  <c r="C19" i="24"/>
  <c r="C18" i="24"/>
  <c r="C17" i="24"/>
  <c r="C16" i="24"/>
  <c r="C15" i="24"/>
  <c r="C14" i="24"/>
  <c r="C13" i="24"/>
  <c r="C12" i="24"/>
  <c r="C11" i="24"/>
  <c r="C10" i="24"/>
  <c r="C9" i="24"/>
  <c r="C16" i="41" l="1"/>
  <c r="C23" i="27"/>
  <c r="U36" i="26"/>
  <c r="S36" i="26"/>
  <c r="U10" i="26"/>
  <c r="S10" i="26"/>
  <c r="U14" i="26"/>
  <c r="W8" i="74" s="1"/>
  <c r="X8" i="74" s="1"/>
  <c r="S14" i="26"/>
  <c r="U18" i="26"/>
  <c r="Y12" i="74" s="1"/>
  <c r="Y12" i="77" s="1"/>
  <c r="S18" i="26"/>
  <c r="U22" i="26"/>
  <c r="W22" i="26" s="1"/>
  <c r="S22" i="26"/>
  <c r="U26" i="26"/>
  <c r="W26" i="26" s="1"/>
  <c r="S26" i="26"/>
  <c r="U30" i="26"/>
  <c r="W30" i="26" s="1"/>
  <c r="S30" i="26"/>
  <c r="U33" i="26"/>
  <c r="S33" i="26"/>
  <c r="U37" i="26"/>
  <c r="S37" i="26"/>
  <c r="U11" i="26"/>
  <c r="T5" i="74" s="1"/>
  <c r="U5" i="74" s="1"/>
  <c r="S11" i="26"/>
  <c r="U15" i="26"/>
  <c r="Y9" i="74" s="1"/>
  <c r="Y9" i="77" s="1"/>
  <c r="S15" i="26"/>
  <c r="U19" i="26"/>
  <c r="T13" i="74" s="1"/>
  <c r="U13" i="74" s="1"/>
  <c r="S19" i="26"/>
  <c r="U23" i="26"/>
  <c r="T17" i="74" s="1"/>
  <c r="U17" i="74" s="1"/>
  <c r="S23" i="26"/>
  <c r="U27" i="26"/>
  <c r="W27" i="26" s="1"/>
  <c r="S27" i="26"/>
  <c r="U12" i="26"/>
  <c r="Y6" i="74" s="1"/>
  <c r="Y6" i="77" s="1"/>
  <c r="S12" i="26"/>
  <c r="U16" i="26"/>
  <c r="W16" i="26" s="1"/>
  <c r="S16" i="26"/>
  <c r="U20" i="26"/>
  <c r="Y14" i="74" s="1"/>
  <c r="Y14" i="77" s="1"/>
  <c r="S20" i="26"/>
  <c r="U24" i="26"/>
  <c r="W24" i="26" s="1"/>
  <c r="S24" i="26"/>
  <c r="U28" i="26"/>
  <c r="W28" i="26" s="1"/>
  <c r="S28" i="26"/>
  <c r="U34" i="26"/>
  <c r="S34" i="26"/>
  <c r="U35" i="26"/>
  <c r="S35" i="26"/>
  <c r="U9" i="26"/>
  <c r="T3" i="74" s="1"/>
  <c r="U3" i="74" s="1"/>
  <c r="S9" i="26"/>
  <c r="U13" i="26"/>
  <c r="T7" i="74" s="1"/>
  <c r="U7" i="74" s="1"/>
  <c r="S13" i="26"/>
  <c r="U17" i="26"/>
  <c r="W11" i="74" s="1"/>
  <c r="X11" i="74" s="1"/>
  <c r="S17" i="26"/>
  <c r="U21" i="26"/>
  <c r="S21" i="26"/>
  <c r="U25" i="26"/>
  <c r="W25" i="26" s="1"/>
  <c r="S25" i="26"/>
  <c r="U29" i="26"/>
  <c r="W23" i="74" s="1"/>
  <c r="X23" i="74" s="1"/>
  <c r="S29" i="26"/>
  <c r="T13" i="27"/>
  <c r="P13" i="27"/>
  <c r="T17" i="27"/>
  <c r="T21" i="27"/>
  <c r="P21" i="27"/>
  <c r="P25" i="27"/>
  <c r="T25" i="27"/>
  <c r="T29" i="27"/>
  <c r="P16" i="27"/>
  <c r="T16" i="27"/>
  <c r="P24" i="27"/>
  <c r="T24" i="27"/>
  <c r="T28" i="27"/>
  <c r="T10" i="27"/>
  <c r="P10" i="27"/>
  <c r="Q4" i="74" s="1"/>
  <c r="T14" i="27"/>
  <c r="P14" i="27"/>
  <c r="T18" i="27"/>
  <c r="P18" i="27"/>
  <c r="T22" i="27"/>
  <c r="P22" i="27"/>
  <c r="Q16" i="74" s="1"/>
  <c r="T26" i="27"/>
  <c r="L31" i="27"/>
  <c r="P31" i="23"/>
  <c r="T12" i="27"/>
  <c r="P20" i="27"/>
  <c r="T20" i="27"/>
  <c r="P11" i="27"/>
  <c r="Q5" i="74" s="1"/>
  <c r="T11" i="27"/>
  <c r="P15" i="27"/>
  <c r="T15" i="27"/>
  <c r="T19" i="27"/>
  <c r="P27" i="27"/>
  <c r="Q21" i="74" s="1"/>
  <c r="T27" i="27"/>
  <c r="I24" i="40"/>
  <c r="AB31" i="23"/>
  <c r="U31" i="26"/>
  <c r="Q25" i="74" s="1"/>
  <c r="R25" i="74" s="1"/>
  <c r="S31" i="26"/>
  <c r="Y27" i="74"/>
  <c r="Y27" i="77" s="1"/>
  <c r="T10" i="74"/>
  <c r="U10" i="74" s="1"/>
  <c r="T18" i="74"/>
  <c r="U18" i="74" s="1"/>
  <c r="Y26" i="74"/>
  <c r="Y26" i="77" s="1"/>
  <c r="Q3" i="74"/>
  <c r="Y5" i="74"/>
  <c r="Y5" i="77" s="1"/>
  <c r="Y13" i="74"/>
  <c r="Y13" i="77" s="1"/>
  <c r="Y29" i="74"/>
  <c r="Y29" i="77" s="1"/>
  <c r="W10" i="26"/>
  <c r="W4" i="74"/>
  <c r="X4" i="74" s="1"/>
  <c r="Y4" i="74"/>
  <c r="Y4" i="77" s="1"/>
  <c r="T4" i="74"/>
  <c r="U4" i="74" s="1"/>
  <c r="T20" i="74"/>
  <c r="U20" i="74" s="1"/>
  <c r="T24" i="74"/>
  <c r="U24" i="74" s="1"/>
  <c r="C13" i="41"/>
  <c r="S13" i="41" s="1"/>
  <c r="C23" i="41"/>
  <c r="T23" i="41" s="1"/>
  <c r="C30" i="27"/>
  <c r="P9" i="23"/>
  <c r="C14" i="28"/>
  <c r="C20" i="41"/>
  <c r="T20" i="41" s="1"/>
  <c r="C8" i="41"/>
  <c r="T8" i="41" s="1"/>
  <c r="C26" i="28"/>
  <c r="C19" i="28"/>
  <c r="X36" i="25"/>
  <c r="V36" i="25"/>
  <c r="AC36" i="2"/>
  <c r="C35" i="27"/>
  <c r="X35" i="25"/>
  <c r="X37" i="25"/>
  <c r="X38" i="25"/>
  <c r="T24" i="41"/>
  <c r="S24" i="41"/>
  <c r="T16" i="41"/>
  <c r="S16" i="41"/>
  <c r="S2" i="41"/>
  <c r="T2" i="41"/>
  <c r="S94" i="41"/>
  <c r="T94" i="41"/>
  <c r="T92" i="41"/>
  <c r="S92" i="41"/>
  <c r="S93" i="41"/>
  <c r="T93" i="41"/>
  <c r="S91" i="41"/>
  <c r="T91" i="41"/>
  <c r="S35" i="41"/>
  <c r="T35" i="41"/>
  <c r="S34" i="41"/>
  <c r="T34" i="41"/>
  <c r="C16" i="28"/>
  <c r="C10" i="41"/>
  <c r="C20" i="28"/>
  <c r="C14" i="41"/>
  <c r="C24" i="28"/>
  <c r="C18" i="41"/>
  <c r="C28" i="28"/>
  <c r="C22" i="41"/>
  <c r="C13" i="28"/>
  <c r="C7" i="41"/>
  <c r="C21" i="28"/>
  <c r="C15" i="41"/>
  <c r="C25" i="28"/>
  <c r="C19" i="41"/>
  <c r="C12" i="28"/>
  <c r="C6" i="41"/>
  <c r="C17" i="28"/>
  <c r="C11" i="41"/>
  <c r="C10" i="28"/>
  <c r="C4" i="41"/>
  <c r="C18" i="28"/>
  <c r="C12" i="41"/>
  <c r="C9" i="28"/>
  <c r="C3" i="41"/>
  <c r="C11" i="28"/>
  <c r="C5" i="41"/>
  <c r="C15" i="28"/>
  <c r="C9" i="41"/>
  <c r="C23" i="28"/>
  <c r="C17" i="41"/>
  <c r="C27" i="28"/>
  <c r="C21" i="41"/>
  <c r="AF181" i="2"/>
  <c r="Y30" i="74" l="1"/>
  <c r="Y30" i="77" s="1"/>
  <c r="W36" i="26"/>
  <c r="W34" i="26"/>
  <c r="W33" i="26"/>
  <c r="Y28" i="74"/>
  <c r="Y28" i="77" s="1"/>
  <c r="T35" i="27"/>
  <c r="AB35" i="27"/>
  <c r="W28" i="74" s="1"/>
  <c r="X28" i="74" s="1"/>
  <c r="P35" i="27"/>
  <c r="Q28" i="74" s="1"/>
  <c r="R28" i="74" s="1"/>
  <c r="X35" i="27"/>
  <c r="AF35" i="27"/>
  <c r="K28" i="74" s="1"/>
  <c r="L28" i="74" s="1"/>
  <c r="Q15" i="74"/>
  <c r="T8" i="74"/>
  <c r="U8" i="74" s="1"/>
  <c r="W14" i="26"/>
  <c r="W7" i="74"/>
  <c r="X7" i="74" s="1"/>
  <c r="T22" i="74"/>
  <c r="U22" i="74" s="1"/>
  <c r="S23" i="41"/>
  <c r="T16" i="74"/>
  <c r="U16" i="74" s="1"/>
  <c r="W24" i="74"/>
  <c r="X24" i="74" s="1"/>
  <c r="Y8" i="74"/>
  <c r="Y8" i="77" s="1"/>
  <c r="W18" i="26"/>
  <c r="W20" i="74"/>
  <c r="X20" i="74" s="1"/>
  <c r="T12" i="74"/>
  <c r="U12" i="74" s="1"/>
  <c r="W13" i="74"/>
  <c r="X13" i="74" s="1"/>
  <c r="W5" i="74"/>
  <c r="X5" i="74" s="1"/>
  <c r="T11" i="74"/>
  <c r="U11" i="74" s="1"/>
  <c r="W3" i="74"/>
  <c r="X3" i="74" s="1"/>
  <c r="Y21" i="74"/>
  <c r="Y21" i="77" s="1"/>
  <c r="Y18" i="74"/>
  <c r="Y18" i="77" s="1"/>
  <c r="W10" i="74"/>
  <c r="X10" i="74" s="1"/>
  <c r="Q10" i="74"/>
  <c r="Y20" i="74"/>
  <c r="Y20" i="77" s="1"/>
  <c r="W12" i="74"/>
  <c r="X12" i="74" s="1"/>
  <c r="W19" i="26"/>
  <c r="W11" i="26"/>
  <c r="Y3" i="74"/>
  <c r="Y3" i="77" s="1"/>
  <c r="W21" i="74"/>
  <c r="X21" i="74" s="1"/>
  <c r="W18" i="74"/>
  <c r="X18" i="74" s="1"/>
  <c r="Y10" i="74"/>
  <c r="Y10" i="77" s="1"/>
  <c r="Y19" i="74"/>
  <c r="Y19" i="77" s="1"/>
  <c r="Q12" i="74"/>
  <c r="T19" i="74"/>
  <c r="U19" i="74" s="1"/>
  <c r="T21" i="74"/>
  <c r="U21" i="74" s="1"/>
  <c r="Q18" i="74"/>
  <c r="W9" i="74"/>
  <c r="X9" i="74" s="1"/>
  <c r="Y23" i="74"/>
  <c r="Y23" i="77" s="1"/>
  <c r="W20" i="26"/>
  <c r="W15" i="74"/>
  <c r="X15" i="74" s="1"/>
  <c r="Y11" i="74"/>
  <c r="Y11" i="77" s="1"/>
  <c r="W35" i="26"/>
  <c r="W12" i="26"/>
  <c r="W17" i="74"/>
  <c r="X17" i="74" s="1"/>
  <c r="W19" i="74"/>
  <c r="X19" i="74" s="1"/>
  <c r="Y15" i="74"/>
  <c r="Y15" i="77" s="1"/>
  <c r="W17" i="26"/>
  <c r="T14" i="74"/>
  <c r="U14" i="74" s="1"/>
  <c r="W37" i="26"/>
  <c r="Q9" i="74"/>
  <c r="T28" i="74"/>
  <c r="U28" i="74" s="1"/>
  <c r="W29" i="26"/>
  <c r="Y7" i="74"/>
  <c r="Y7" i="77" s="1"/>
  <c r="W15" i="26"/>
  <c r="W22" i="74"/>
  <c r="X22" i="74" s="1"/>
  <c r="T6" i="74"/>
  <c r="U6" i="74" s="1"/>
  <c r="Y17" i="74"/>
  <c r="Y17" i="77" s="1"/>
  <c r="Q19" i="74"/>
  <c r="W16" i="74"/>
  <c r="X16" i="74" s="1"/>
  <c r="W21" i="26"/>
  <c r="T9" i="74"/>
  <c r="U9" i="74" s="1"/>
  <c r="W14" i="74"/>
  <c r="X14" i="74" s="1"/>
  <c r="Q8" i="74"/>
  <c r="Q7" i="74"/>
  <c r="Y24" i="74"/>
  <c r="Y24" i="77" s="1"/>
  <c r="Y16" i="74"/>
  <c r="Y16" i="77" s="1"/>
  <c r="T23" i="74"/>
  <c r="U23" i="74" s="1"/>
  <c r="T15" i="74"/>
  <c r="U15" i="74" s="1"/>
  <c r="W13" i="26"/>
  <c r="Y22" i="74"/>
  <c r="Y22" i="77" s="1"/>
  <c r="W6" i="74"/>
  <c r="X6" i="74" s="1"/>
  <c r="W23" i="26"/>
  <c r="Q14" i="74"/>
  <c r="T23" i="27"/>
  <c r="AF23" i="27"/>
  <c r="P23" i="27"/>
  <c r="C22" i="28"/>
  <c r="T30" i="27"/>
  <c r="P30" i="27"/>
  <c r="Q24" i="74" s="1"/>
  <c r="J24" i="41"/>
  <c r="M24" i="40"/>
  <c r="O24" i="40"/>
  <c r="M31" i="23"/>
  <c r="N28" i="74"/>
  <c r="O28" i="74" s="1"/>
  <c r="Y25" i="74"/>
  <c r="Y25" i="77" s="1"/>
  <c r="W25" i="74"/>
  <c r="X25" i="74" s="1"/>
  <c r="H25" i="74"/>
  <c r="I25" i="74" s="1"/>
  <c r="T25" i="74"/>
  <c r="U25" i="74" s="1"/>
  <c r="K25" i="74"/>
  <c r="L25" i="74" s="1"/>
  <c r="W31" i="26"/>
  <c r="N25" i="74"/>
  <c r="O25" i="74" s="1"/>
  <c r="T13" i="41"/>
  <c r="S20" i="41"/>
  <c r="C29" i="28"/>
  <c r="P14" i="23"/>
  <c r="P20" i="23"/>
  <c r="P16" i="23"/>
  <c r="P15" i="23"/>
  <c r="P11" i="23"/>
  <c r="P18" i="23"/>
  <c r="P13" i="23"/>
  <c r="P24" i="23"/>
  <c r="P27" i="23"/>
  <c r="P22" i="23"/>
  <c r="P10" i="23"/>
  <c r="P25" i="23"/>
  <c r="P21" i="23"/>
  <c r="S8" i="41"/>
  <c r="C27" i="41"/>
  <c r="C34" i="28"/>
  <c r="C33" i="27"/>
  <c r="X33" i="27" s="1"/>
  <c r="X34" i="25"/>
  <c r="V35" i="25"/>
  <c r="AC35" i="2"/>
  <c r="V34" i="25"/>
  <c r="AC34" i="2"/>
  <c r="V38" i="25"/>
  <c r="AC38" i="2"/>
  <c r="V37" i="25"/>
  <c r="AC37" i="2"/>
  <c r="C34" i="27"/>
  <c r="AB34" i="27" s="1"/>
  <c r="C37" i="27"/>
  <c r="AF37" i="27" s="1"/>
  <c r="C36" i="27"/>
  <c r="P36" i="27" s="1"/>
  <c r="S17" i="41"/>
  <c r="T17" i="41"/>
  <c r="S5" i="41"/>
  <c r="T5" i="41"/>
  <c r="T12" i="41"/>
  <c r="S12" i="41"/>
  <c r="T11" i="41"/>
  <c r="S11" i="41"/>
  <c r="T15" i="41"/>
  <c r="S15" i="41"/>
  <c r="S22" i="41"/>
  <c r="T22" i="41"/>
  <c r="S14" i="41"/>
  <c r="T14" i="41"/>
  <c r="S21" i="41"/>
  <c r="T21" i="41"/>
  <c r="S9" i="41"/>
  <c r="T9" i="41"/>
  <c r="T3" i="41"/>
  <c r="S3" i="41"/>
  <c r="T4" i="41"/>
  <c r="S4" i="41"/>
  <c r="S6" i="41"/>
  <c r="T6" i="41"/>
  <c r="T19" i="41"/>
  <c r="S19" i="41"/>
  <c r="T7" i="41"/>
  <c r="S7" i="41"/>
  <c r="S18" i="41"/>
  <c r="T18" i="41"/>
  <c r="S10" i="41"/>
  <c r="T10" i="41"/>
  <c r="V140" i="20"/>
  <c r="X140" i="20" s="1"/>
  <c r="V138" i="20"/>
  <c r="X138" i="20" s="1"/>
  <c r="V137" i="20"/>
  <c r="X137" i="20" s="1"/>
  <c r="V136" i="20"/>
  <c r="AB33" i="27" l="1"/>
  <c r="AB36" i="27"/>
  <c r="P34" i="27"/>
  <c r="P37" i="27"/>
  <c r="AF33" i="27"/>
  <c r="P33" i="27"/>
  <c r="T34" i="27"/>
  <c r="AF36" i="27"/>
  <c r="K29" i="74" s="1"/>
  <c r="T36" i="27"/>
  <c r="AB37" i="27"/>
  <c r="T33" i="27"/>
  <c r="X34" i="27"/>
  <c r="T27" i="74" s="1"/>
  <c r="U27" i="74" s="1"/>
  <c r="AF34" i="27"/>
  <c r="X36" i="27"/>
  <c r="X37" i="27"/>
  <c r="T30" i="74" s="1"/>
  <c r="U30" i="74" s="1"/>
  <c r="T37" i="27"/>
  <c r="R34" i="28"/>
  <c r="AG34" i="28"/>
  <c r="W34" i="28"/>
  <c r="AL34" i="28"/>
  <c r="Q17" i="74"/>
  <c r="P23" i="23"/>
  <c r="L23" i="27"/>
  <c r="H17" i="74" s="1"/>
  <c r="I16" i="40"/>
  <c r="K17" i="74"/>
  <c r="AM23" i="27"/>
  <c r="AB23" i="23"/>
  <c r="S23" i="23"/>
  <c r="N17" i="74"/>
  <c r="U24" i="41"/>
  <c r="L24" i="41"/>
  <c r="K24" i="41"/>
  <c r="N27" i="74"/>
  <c r="K27" i="74"/>
  <c r="W27" i="74"/>
  <c r="X27" i="74" s="1"/>
  <c r="Q27" i="74"/>
  <c r="T29" i="74"/>
  <c r="U29" i="74" s="1"/>
  <c r="W29" i="74"/>
  <c r="X29" i="74" s="1"/>
  <c r="N29" i="74"/>
  <c r="Q29" i="74"/>
  <c r="K26" i="74"/>
  <c r="T26" i="74"/>
  <c r="U26" i="74" s="1"/>
  <c r="W26" i="74"/>
  <c r="X26" i="74" s="1"/>
  <c r="Q26" i="74"/>
  <c r="N26" i="74"/>
  <c r="Q30" i="74"/>
  <c r="K30" i="74"/>
  <c r="N30" i="74"/>
  <c r="W30" i="74"/>
  <c r="X30" i="74" s="1"/>
  <c r="Y35" i="23"/>
  <c r="V35" i="23"/>
  <c r="S35" i="23"/>
  <c r="P30" i="23"/>
  <c r="T27" i="41"/>
  <c r="S27" i="41"/>
  <c r="I27" i="40"/>
  <c r="AB35" i="23"/>
  <c r="C25" i="41"/>
  <c r="P25" i="41" s="1"/>
  <c r="P35" i="23"/>
  <c r="L35" i="27"/>
  <c r="H28" i="74" s="1"/>
  <c r="I28" i="74" s="1"/>
  <c r="C32" i="28"/>
  <c r="V33" i="25"/>
  <c r="C33" i="28"/>
  <c r="C26" i="41"/>
  <c r="C35" i="28"/>
  <c r="C28" i="41"/>
  <c r="C36" i="28"/>
  <c r="C29" i="41"/>
  <c r="C47" i="22"/>
  <c r="X136" i="20"/>
  <c r="AR113" i="20"/>
  <c r="AR83" i="20"/>
  <c r="AR81" i="20"/>
  <c r="W32" i="20"/>
  <c r="W24" i="20"/>
  <c r="W35" i="28" l="1"/>
  <c r="AG35" i="28"/>
  <c r="AL35" i="28"/>
  <c r="R35" i="28"/>
  <c r="W32" i="28"/>
  <c r="R32" i="28"/>
  <c r="AG32" i="28"/>
  <c r="AL32" i="28"/>
  <c r="W36" i="28"/>
  <c r="AG36" i="28"/>
  <c r="AL36" i="28"/>
  <c r="R36" i="28"/>
  <c r="R33" i="28"/>
  <c r="W33" i="28"/>
  <c r="AG33" i="28"/>
  <c r="AL33" i="28"/>
  <c r="J16" i="41"/>
  <c r="M16" i="40"/>
  <c r="AN23" i="27"/>
  <c r="AO23" i="27"/>
  <c r="M23" i="23"/>
  <c r="S33" i="23"/>
  <c r="Y37" i="23"/>
  <c r="Y36" i="23"/>
  <c r="Y34" i="23"/>
  <c r="Y33" i="23"/>
  <c r="V36" i="23"/>
  <c r="V34" i="23"/>
  <c r="V37" i="23"/>
  <c r="V33" i="23"/>
  <c r="P33" i="23"/>
  <c r="I25" i="40"/>
  <c r="J25" i="41" s="1"/>
  <c r="W36" i="20"/>
  <c r="S25" i="41"/>
  <c r="M27" i="40"/>
  <c r="O27" i="40"/>
  <c r="J27" i="41"/>
  <c r="K27" i="41" s="1"/>
  <c r="T25" i="41"/>
  <c r="M25" i="41"/>
  <c r="L34" i="28"/>
  <c r="O34" i="28" s="1"/>
  <c r="O25" i="41"/>
  <c r="M35" i="23"/>
  <c r="R27" i="41"/>
  <c r="J27" i="40"/>
  <c r="AK33" i="27"/>
  <c r="AB33" i="23"/>
  <c r="L33" i="27"/>
  <c r="H26" i="74" s="1"/>
  <c r="P26" i="41"/>
  <c r="M26" i="41"/>
  <c r="T26" i="41"/>
  <c r="S26" i="41"/>
  <c r="O26" i="41"/>
  <c r="I29" i="40"/>
  <c r="AB37" i="23"/>
  <c r="P28" i="41"/>
  <c r="S28" i="41"/>
  <c r="M28" i="41"/>
  <c r="T28" i="41"/>
  <c r="O28" i="41"/>
  <c r="L34" i="27"/>
  <c r="H27" i="74" s="1"/>
  <c r="P34" i="23"/>
  <c r="P37" i="23"/>
  <c r="L37" i="27"/>
  <c r="H30" i="74" s="1"/>
  <c r="P29" i="41"/>
  <c r="T29" i="41"/>
  <c r="S29" i="41"/>
  <c r="M29" i="41"/>
  <c r="O29" i="41"/>
  <c r="L36" i="27"/>
  <c r="H29" i="74" s="1"/>
  <c r="P36" i="23"/>
  <c r="I26" i="40"/>
  <c r="AB34" i="23"/>
  <c r="S37" i="23"/>
  <c r="AK37" i="27"/>
  <c r="AK36" i="27"/>
  <c r="S36" i="23"/>
  <c r="I28" i="40"/>
  <c r="AB36" i="23"/>
  <c r="AK34" i="27"/>
  <c r="S34" i="23"/>
  <c r="AK156" i="2"/>
  <c r="AK157" i="2"/>
  <c r="CH156" i="10" s="1"/>
  <c r="C157" i="26"/>
  <c r="U157" i="26" l="1"/>
  <c r="S157" i="26"/>
  <c r="U16" i="41"/>
  <c r="L16" i="41"/>
  <c r="K16" i="41"/>
  <c r="V32" i="23"/>
  <c r="Y32" i="23"/>
  <c r="M33" i="23"/>
  <c r="J29" i="41"/>
  <c r="L29" i="41" s="1"/>
  <c r="J26" i="41"/>
  <c r="L26" i="41" s="1"/>
  <c r="U27" i="41"/>
  <c r="L27" i="41"/>
  <c r="L25" i="41"/>
  <c r="J28" i="41"/>
  <c r="L28" i="41" s="1"/>
  <c r="Q25" i="41"/>
  <c r="J25" i="40"/>
  <c r="R25" i="41"/>
  <c r="U25" i="41" s="1"/>
  <c r="L32" i="28"/>
  <c r="O32" i="28" s="1"/>
  <c r="W31" i="28"/>
  <c r="AG31" i="28"/>
  <c r="Q28" i="41"/>
  <c r="R28" i="41"/>
  <c r="J28" i="40"/>
  <c r="L33" i="28"/>
  <c r="O33" i="28" s="1"/>
  <c r="R31" i="28"/>
  <c r="S32" i="23"/>
  <c r="AB32" i="23"/>
  <c r="Q26" i="41"/>
  <c r="J29" i="40"/>
  <c r="R29" i="41"/>
  <c r="M34" i="23"/>
  <c r="P32" i="23"/>
  <c r="L35" i="28"/>
  <c r="O35" i="28" s="1"/>
  <c r="AL31" i="28"/>
  <c r="R26" i="41"/>
  <c r="J26" i="40"/>
  <c r="Q29" i="41"/>
  <c r="M36" i="23"/>
  <c r="L36" i="28"/>
  <c r="O36" i="28" s="1"/>
  <c r="M37" i="23"/>
  <c r="DG157" i="20"/>
  <c r="DF157" i="20"/>
  <c r="DB157" i="20"/>
  <c r="DE157" i="20"/>
  <c r="DA157" i="20"/>
  <c r="DC157" i="20"/>
  <c r="DD157" i="20"/>
  <c r="DD156" i="20"/>
  <c r="DG156" i="20"/>
  <c r="DC156" i="20"/>
  <c r="DF156" i="20"/>
  <c r="DE156" i="20"/>
  <c r="DB156" i="20"/>
  <c r="DA156" i="20"/>
  <c r="CL156" i="20"/>
  <c r="CH156" i="20"/>
  <c r="BQ156" i="20"/>
  <c r="BM156" i="20"/>
  <c r="AV156" i="20"/>
  <c r="AE156" i="20"/>
  <c r="AA156" i="20"/>
  <c r="CI156" i="20"/>
  <c r="AW156" i="20"/>
  <c r="CK156" i="20"/>
  <c r="CG156" i="20"/>
  <c r="BP156" i="20"/>
  <c r="AY156" i="20"/>
  <c r="AU156" i="20"/>
  <c r="AD156" i="20"/>
  <c r="Z156" i="20"/>
  <c r="BR156" i="20"/>
  <c r="AS156" i="20"/>
  <c r="CJ156" i="20"/>
  <c r="BS156" i="20"/>
  <c r="BO156" i="20"/>
  <c r="AX156" i="20"/>
  <c r="AT156" i="20"/>
  <c r="AC156" i="20"/>
  <c r="Y156" i="20"/>
  <c r="CM156" i="20"/>
  <c r="BN156" i="20"/>
  <c r="AB156" i="20"/>
  <c r="CM157" i="20"/>
  <c r="CI157" i="20"/>
  <c r="BP157" i="20"/>
  <c r="AV157" i="20"/>
  <c r="AB157" i="20"/>
  <c r="CL157" i="20"/>
  <c r="CH157" i="20"/>
  <c r="BS157" i="20"/>
  <c r="BO157" i="20"/>
  <c r="AY157" i="20"/>
  <c r="AU157" i="20"/>
  <c r="AE157" i="20"/>
  <c r="AA157" i="20"/>
  <c r="CK157" i="20"/>
  <c r="CG157" i="20"/>
  <c r="BR157" i="20"/>
  <c r="BN157" i="20"/>
  <c r="AX157" i="20"/>
  <c r="AT157" i="20"/>
  <c r="AD157" i="20"/>
  <c r="Z157" i="20"/>
  <c r="AW157" i="20"/>
  <c r="Y157" i="20"/>
  <c r="BQ157" i="20"/>
  <c r="AS157" i="20"/>
  <c r="CJ157" i="20"/>
  <c r="BM157" i="20"/>
  <c r="AC157" i="20"/>
  <c r="BI163" i="20"/>
  <c r="A36" i="11"/>
  <c r="Y123" i="74" l="1"/>
  <c r="Y123" i="77" s="1"/>
  <c r="O31" i="28"/>
  <c r="W157" i="26"/>
  <c r="U26" i="41"/>
  <c r="U29" i="41"/>
  <c r="U28" i="41"/>
  <c r="L31" i="28"/>
  <c r="M32" i="23"/>
  <c r="P76" i="9" l="1"/>
  <c r="O76" i="9"/>
  <c r="N76" i="9"/>
  <c r="M76" i="9"/>
  <c r="Q76" i="9"/>
  <c r="C56" i="19" l="1"/>
  <c r="L142" i="2"/>
  <c r="K140" i="28" s="1"/>
  <c r="O142" i="2"/>
  <c r="Q110" i="77" s="1"/>
  <c r="R142" i="2"/>
  <c r="N110" i="77" s="1"/>
  <c r="O110" i="77" s="1"/>
  <c r="U142" i="2"/>
  <c r="X142" i="2"/>
  <c r="W110" i="77" s="1"/>
  <c r="X110" i="77" s="1"/>
  <c r="AA142" i="2"/>
  <c r="G109" i="40" s="1"/>
  <c r="L143" i="2"/>
  <c r="K141" i="28" s="1"/>
  <c r="O143" i="2"/>
  <c r="R143" i="2"/>
  <c r="U143" i="2"/>
  <c r="X143" i="2"/>
  <c r="W111" i="77" s="1"/>
  <c r="AA143" i="2"/>
  <c r="L144" i="2"/>
  <c r="K142" i="28" s="1"/>
  <c r="O144" i="2"/>
  <c r="Q112" i="77" s="1"/>
  <c r="R144" i="2"/>
  <c r="N112" i="77" s="1"/>
  <c r="U144" i="2"/>
  <c r="X144" i="2"/>
  <c r="AA144" i="2"/>
  <c r="G111" i="40" s="1"/>
  <c r="K112" i="77" s="1"/>
  <c r="L145" i="2"/>
  <c r="K143" i="28" s="1"/>
  <c r="O145" i="2"/>
  <c r="Q113" i="77" s="1"/>
  <c r="R145" i="2"/>
  <c r="N113" i="77" s="1"/>
  <c r="U145" i="2"/>
  <c r="T113" i="77" s="1"/>
  <c r="X145" i="2"/>
  <c r="W113" i="77" s="1"/>
  <c r="AA145" i="2"/>
  <c r="G112" i="40" s="1"/>
  <c r="K113" i="77" s="1"/>
  <c r="L146" i="2"/>
  <c r="O146" i="2"/>
  <c r="R146" i="2"/>
  <c r="U146" i="2"/>
  <c r="X146" i="2"/>
  <c r="AA146" i="2"/>
  <c r="G113" i="40" s="1"/>
  <c r="K114" i="77" s="1"/>
  <c r="J137" i="2"/>
  <c r="F105" i="40" s="1"/>
  <c r="F106" i="74" s="1"/>
  <c r="F106" i="77" s="1"/>
  <c r="I137" i="2"/>
  <c r="E23" i="30"/>
  <c r="A144" i="28"/>
  <c r="A143" i="28"/>
  <c r="A142" i="28"/>
  <c r="A141" i="28"/>
  <c r="A140" i="28"/>
  <c r="A145" i="27"/>
  <c r="A144" i="27"/>
  <c r="AA143" i="27"/>
  <c r="W143" i="27"/>
  <c r="A143" i="27"/>
  <c r="W142" i="27"/>
  <c r="S142" i="27"/>
  <c r="O142" i="27"/>
  <c r="A142" i="27"/>
  <c r="W141" i="27"/>
  <c r="A141" i="27"/>
  <c r="A140" i="27"/>
  <c r="C145" i="26"/>
  <c r="A145" i="26"/>
  <c r="C144" i="26"/>
  <c r="A144" i="26"/>
  <c r="C143" i="26"/>
  <c r="A143" i="26"/>
  <c r="C142" i="26"/>
  <c r="A142" i="26"/>
  <c r="C141" i="26"/>
  <c r="A141" i="26"/>
  <c r="A140" i="26"/>
  <c r="H113" i="77" l="1"/>
  <c r="V144" i="28"/>
  <c r="N114" i="77"/>
  <c r="Q144" i="28"/>
  <c r="Q114" i="77"/>
  <c r="AA141" i="28"/>
  <c r="T111" i="77"/>
  <c r="AF144" i="28"/>
  <c r="W114" i="77"/>
  <c r="AF142" i="28"/>
  <c r="W112" i="77"/>
  <c r="V141" i="28"/>
  <c r="N111" i="77"/>
  <c r="AA144" i="28"/>
  <c r="T114" i="77"/>
  <c r="AA142" i="28"/>
  <c r="T112" i="77"/>
  <c r="Q141" i="28"/>
  <c r="Q111" i="77"/>
  <c r="N109" i="40"/>
  <c r="K110" i="77"/>
  <c r="AA140" i="28"/>
  <c r="T110" i="77"/>
  <c r="U145" i="26"/>
  <c r="S145" i="26"/>
  <c r="U143" i="26"/>
  <c r="S143" i="26"/>
  <c r="U142" i="26"/>
  <c r="Y111" i="74" s="1"/>
  <c r="Y111" i="77" s="1"/>
  <c r="S142" i="26"/>
  <c r="U144" i="26"/>
  <c r="S144" i="26"/>
  <c r="U141" i="26"/>
  <c r="S141" i="26"/>
  <c r="AK141" i="28"/>
  <c r="G110" i="40"/>
  <c r="K111" i="77" s="1"/>
  <c r="AE142" i="27"/>
  <c r="AA144" i="27"/>
  <c r="AF143" i="28"/>
  <c r="S143" i="27"/>
  <c r="V142" i="28"/>
  <c r="AA142" i="27"/>
  <c r="AF141" i="28"/>
  <c r="S141" i="27"/>
  <c r="V140" i="28"/>
  <c r="AE145" i="27"/>
  <c r="AK144" i="28"/>
  <c r="W144" i="27"/>
  <c r="AA143" i="28"/>
  <c r="AE143" i="27"/>
  <c r="AK142" i="28"/>
  <c r="O143" i="27"/>
  <c r="Q142" i="28"/>
  <c r="AE141" i="27"/>
  <c r="AK140" i="28"/>
  <c r="O141" i="27"/>
  <c r="Q140" i="28"/>
  <c r="K145" i="23"/>
  <c r="K144" i="28"/>
  <c r="S144" i="27"/>
  <c r="V143" i="28"/>
  <c r="AA141" i="27"/>
  <c r="AF140" i="28"/>
  <c r="AE144" i="27"/>
  <c r="AK143" i="28"/>
  <c r="O144" i="27"/>
  <c r="Q143" i="28"/>
  <c r="K144" i="27"/>
  <c r="K144" i="23"/>
  <c r="K142" i="27"/>
  <c r="K142" i="23"/>
  <c r="K143" i="27"/>
  <c r="K143" i="23"/>
  <c r="K141" i="27"/>
  <c r="K141" i="23"/>
  <c r="AK146" i="2"/>
  <c r="AI146" i="2"/>
  <c r="W146" i="25" s="1"/>
  <c r="AH146" i="2"/>
  <c r="R145" i="24" s="1"/>
  <c r="AG146" i="2"/>
  <c r="AD145" i="23" s="1"/>
  <c r="AG145" i="23" s="1"/>
  <c r="AA145" i="27"/>
  <c r="W145" i="27"/>
  <c r="S145" i="27"/>
  <c r="O145" i="27"/>
  <c r="K145" i="27"/>
  <c r="J146" i="2"/>
  <c r="I146" i="2"/>
  <c r="I146" i="25" s="1"/>
  <c r="H146" i="2"/>
  <c r="H145" i="23" s="1"/>
  <c r="G146" i="2"/>
  <c r="F146" i="2"/>
  <c r="F145" i="24" s="1"/>
  <c r="E146" i="2"/>
  <c r="D146" i="2"/>
  <c r="B113" i="40" s="1"/>
  <c r="B114" i="74" s="1"/>
  <c r="B114" i="77" s="1"/>
  <c r="P61" i="9"/>
  <c r="O61" i="9"/>
  <c r="N61" i="9"/>
  <c r="M61" i="9"/>
  <c r="L61" i="9"/>
  <c r="Q61" i="9"/>
  <c r="Z61" i="9" s="1"/>
  <c r="Y61" i="9"/>
  <c r="AK145" i="2"/>
  <c r="AI145" i="2"/>
  <c r="W145" i="25" s="1"/>
  <c r="AH145" i="2"/>
  <c r="R144" i="24" s="1"/>
  <c r="AG145" i="2"/>
  <c r="AD144" i="23" s="1"/>
  <c r="AG144" i="23" s="1"/>
  <c r="J145" i="2"/>
  <c r="I145" i="2"/>
  <c r="H151" i="38" s="1"/>
  <c r="H145" i="2"/>
  <c r="C112" i="40" s="1"/>
  <c r="G145" i="2"/>
  <c r="F145" i="2"/>
  <c r="F145" i="25" s="1"/>
  <c r="E145" i="2"/>
  <c r="D145" i="2"/>
  <c r="A61" i="7"/>
  <c r="C60" i="7"/>
  <c r="A60" i="7"/>
  <c r="X60" i="7"/>
  <c r="P60" i="7"/>
  <c r="Y60" i="7" s="1"/>
  <c r="O60" i="7"/>
  <c r="N60" i="7"/>
  <c r="M60" i="7"/>
  <c r="L60" i="7"/>
  <c r="K60" i="7"/>
  <c r="C146" i="25"/>
  <c r="Z146" i="25" s="1"/>
  <c r="A146" i="25"/>
  <c r="C145" i="25"/>
  <c r="Z145" i="25" s="1"/>
  <c r="A145" i="25"/>
  <c r="C144" i="25"/>
  <c r="Z144" i="25" s="1"/>
  <c r="A144" i="25"/>
  <c r="C143" i="25"/>
  <c r="Z143" i="25" s="1"/>
  <c r="A143" i="25"/>
  <c r="C142" i="25"/>
  <c r="Z142" i="25" s="1"/>
  <c r="A142" i="25"/>
  <c r="A141" i="25"/>
  <c r="C145" i="24"/>
  <c r="S145" i="24" s="1"/>
  <c r="A145" i="24"/>
  <c r="C144" i="24"/>
  <c r="S144" i="24" s="1"/>
  <c r="A144" i="24"/>
  <c r="C143" i="24"/>
  <c r="S143" i="24" s="1"/>
  <c r="A143" i="24"/>
  <c r="C142" i="24"/>
  <c r="S142" i="24" s="1"/>
  <c r="A142" i="24"/>
  <c r="C141" i="24"/>
  <c r="S141" i="24" s="1"/>
  <c r="A141" i="24"/>
  <c r="A140" i="24"/>
  <c r="S152" i="38"/>
  <c r="R152" i="38"/>
  <c r="P152" i="38"/>
  <c r="O152" i="38"/>
  <c r="M152" i="38"/>
  <c r="L152" i="38"/>
  <c r="K152" i="38"/>
  <c r="B152" i="38"/>
  <c r="A152" i="38"/>
  <c r="S151" i="38"/>
  <c r="R151" i="38"/>
  <c r="P151" i="38"/>
  <c r="O151" i="38"/>
  <c r="N151" i="38"/>
  <c r="M151" i="38"/>
  <c r="L151" i="38"/>
  <c r="K151" i="38"/>
  <c r="J151" i="38"/>
  <c r="B151" i="38"/>
  <c r="A151" i="38"/>
  <c r="S150" i="38"/>
  <c r="R150" i="38"/>
  <c r="P150" i="38"/>
  <c r="B150" i="38"/>
  <c r="A150" i="38"/>
  <c r="S149" i="38"/>
  <c r="R149" i="38"/>
  <c r="P149" i="38"/>
  <c r="B149" i="38"/>
  <c r="A149" i="38"/>
  <c r="S148" i="38"/>
  <c r="R148" i="38"/>
  <c r="P148" i="38"/>
  <c r="B148" i="38"/>
  <c r="A148" i="38"/>
  <c r="B147" i="38"/>
  <c r="A147" i="38"/>
  <c r="Z145" i="23"/>
  <c r="W145" i="23"/>
  <c r="T145" i="23"/>
  <c r="Q145" i="23"/>
  <c r="N145" i="23"/>
  <c r="Z144" i="23"/>
  <c r="W144" i="23"/>
  <c r="T144" i="23"/>
  <c r="Q144" i="23"/>
  <c r="N144" i="23"/>
  <c r="Z143" i="23"/>
  <c r="W143" i="23"/>
  <c r="T143" i="23"/>
  <c r="Q143" i="23"/>
  <c r="N143" i="23"/>
  <c r="Z142" i="23"/>
  <c r="W142" i="23"/>
  <c r="T142" i="23"/>
  <c r="Q142" i="23"/>
  <c r="N142" i="23"/>
  <c r="Z141" i="23"/>
  <c r="W141" i="23"/>
  <c r="T141" i="23"/>
  <c r="Q141" i="23"/>
  <c r="N141" i="23"/>
  <c r="A140" i="23"/>
  <c r="A145" i="23"/>
  <c r="A144" i="23"/>
  <c r="A143" i="23"/>
  <c r="A142" i="23"/>
  <c r="A141" i="23"/>
  <c r="C78" i="21"/>
  <c r="D78" i="21" s="1"/>
  <c r="B78" i="21"/>
  <c r="A78" i="21"/>
  <c r="B101" i="21"/>
  <c r="A101" i="21"/>
  <c r="AK144" i="2"/>
  <c r="AI144" i="2"/>
  <c r="W144" i="25" s="1"/>
  <c r="AH144" i="2"/>
  <c r="R143" i="24" s="1"/>
  <c r="AG144" i="2"/>
  <c r="AD143" i="23" s="1"/>
  <c r="AG143" i="23" s="1"/>
  <c r="O150" i="38"/>
  <c r="N150" i="38"/>
  <c r="M150" i="38"/>
  <c r="L150" i="38"/>
  <c r="K150" i="38"/>
  <c r="J150" i="38"/>
  <c r="J144" i="2"/>
  <c r="F111" i="40" s="1"/>
  <c r="F112" i="74" s="1"/>
  <c r="F112" i="77" s="1"/>
  <c r="I144" i="2"/>
  <c r="I144" i="25" s="1"/>
  <c r="H144" i="2"/>
  <c r="G144" i="2"/>
  <c r="F144" i="2"/>
  <c r="E144" i="2"/>
  <c r="D144" i="2"/>
  <c r="AK140" i="2"/>
  <c r="A55" i="8"/>
  <c r="D54" i="8"/>
  <c r="Y55" i="8"/>
  <c r="Y54" i="8"/>
  <c r="Q54" i="8"/>
  <c r="Z54" i="8" s="1"/>
  <c r="P54" i="8"/>
  <c r="O54" i="8"/>
  <c r="N54" i="8"/>
  <c r="M54" i="8"/>
  <c r="L54" i="8"/>
  <c r="D52" i="8"/>
  <c r="L52" i="8"/>
  <c r="M52" i="8"/>
  <c r="N52" i="8"/>
  <c r="O52" i="8"/>
  <c r="P52" i="8"/>
  <c r="Q52" i="8"/>
  <c r="AT140" i="10"/>
  <c r="AT119" i="10" s="1"/>
  <c r="AP140" i="10"/>
  <c r="AP119" i="10" s="1"/>
  <c r="AN140" i="10"/>
  <c r="AN119" i="10" s="1"/>
  <c r="AL140" i="10"/>
  <c r="AL119" i="10" s="1"/>
  <c r="AJ140" i="10"/>
  <c r="AJ119" i="10" s="1"/>
  <c r="P140" i="10"/>
  <c r="H36" i="1" s="1"/>
  <c r="O140" i="10"/>
  <c r="N140" i="10"/>
  <c r="M140" i="10"/>
  <c r="L140" i="10"/>
  <c r="K140" i="10"/>
  <c r="G36" i="1" s="1"/>
  <c r="J140" i="10"/>
  <c r="F36" i="1" s="1"/>
  <c r="I140" i="10"/>
  <c r="I119" i="10" s="1"/>
  <c r="H140" i="10"/>
  <c r="H119" i="10" s="1"/>
  <c r="G140" i="10"/>
  <c r="G119" i="10" s="1"/>
  <c r="F140" i="10"/>
  <c r="E140" i="10"/>
  <c r="E36" i="1" s="1"/>
  <c r="D140" i="10"/>
  <c r="D36" i="1" s="1"/>
  <c r="C140" i="10"/>
  <c r="C36" i="1" s="1"/>
  <c r="A36" i="1"/>
  <c r="W141" i="26" l="1"/>
  <c r="W142" i="26"/>
  <c r="W145" i="26"/>
  <c r="W144" i="26"/>
  <c r="W143" i="26"/>
  <c r="Y114" i="74"/>
  <c r="Y114" i="77" s="1"/>
  <c r="H112" i="77"/>
  <c r="G152" i="38"/>
  <c r="H114" i="77"/>
  <c r="H111" i="77"/>
  <c r="AA139" i="28"/>
  <c r="H110" i="77"/>
  <c r="I110" i="77" s="1"/>
  <c r="L110" i="77"/>
  <c r="Y113" i="74"/>
  <c r="Y113" i="77" s="1"/>
  <c r="Y112" i="74"/>
  <c r="Y112" i="77" s="1"/>
  <c r="Y110" i="74"/>
  <c r="Y110" i="77" s="1"/>
  <c r="S114" i="74"/>
  <c r="S114" i="77" s="1"/>
  <c r="U114" i="77" s="1"/>
  <c r="J114" i="74"/>
  <c r="J114" i="77" s="1"/>
  <c r="L114" i="77" s="1"/>
  <c r="G114" i="74"/>
  <c r="G114" i="77" s="1"/>
  <c r="I114" i="77" s="1"/>
  <c r="M114" i="74"/>
  <c r="M114" i="77" s="1"/>
  <c r="O114" i="77" s="1"/>
  <c r="P114" i="74"/>
  <c r="P114" i="77" s="1"/>
  <c r="R114" i="77" s="1"/>
  <c r="V114" i="74"/>
  <c r="V114" i="77" s="1"/>
  <c r="X114" i="77" s="1"/>
  <c r="B112" i="41"/>
  <c r="C113" i="74"/>
  <c r="C113" i="77" s="1"/>
  <c r="N141" i="24"/>
  <c r="K141" i="24"/>
  <c r="L141" i="24"/>
  <c r="M141" i="24"/>
  <c r="O141" i="24"/>
  <c r="P141" i="24"/>
  <c r="Q141" i="24"/>
  <c r="N143" i="24"/>
  <c r="K143" i="24"/>
  <c r="O143" i="24"/>
  <c r="L143" i="24"/>
  <c r="M143" i="24"/>
  <c r="P143" i="24"/>
  <c r="Q143" i="24"/>
  <c r="G143" i="24"/>
  <c r="E111" i="40"/>
  <c r="F151" i="38"/>
  <c r="E112" i="40"/>
  <c r="E146" i="25"/>
  <c r="D113" i="40"/>
  <c r="Q144" i="24"/>
  <c r="M144" i="24"/>
  <c r="P144" i="24"/>
  <c r="L144" i="24"/>
  <c r="N144" i="24"/>
  <c r="K144" i="24"/>
  <c r="O144" i="24"/>
  <c r="D145" i="25"/>
  <c r="B112" i="40"/>
  <c r="B113" i="74" s="1"/>
  <c r="B113" i="77" s="1"/>
  <c r="J146" i="25"/>
  <c r="F113" i="40"/>
  <c r="F114" i="74" s="1"/>
  <c r="F114" i="77" s="1"/>
  <c r="H144" i="25"/>
  <c r="C111" i="40"/>
  <c r="O142" i="24"/>
  <c r="K142" i="24"/>
  <c r="L142" i="24"/>
  <c r="P142" i="24"/>
  <c r="M142" i="24"/>
  <c r="N142" i="24"/>
  <c r="Q142" i="24"/>
  <c r="E144" i="25"/>
  <c r="D111" i="40"/>
  <c r="E145" i="25"/>
  <c r="D112" i="40"/>
  <c r="G146" i="25"/>
  <c r="E113" i="40"/>
  <c r="N145" i="24"/>
  <c r="Q145" i="24"/>
  <c r="M145" i="24"/>
  <c r="O145" i="24"/>
  <c r="K145" i="24"/>
  <c r="L145" i="24"/>
  <c r="P145" i="24"/>
  <c r="I151" i="38"/>
  <c r="F112" i="40"/>
  <c r="F113" i="74" s="1"/>
  <c r="F113" i="77" s="1"/>
  <c r="D113" i="41"/>
  <c r="H113" i="40"/>
  <c r="H145" i="24"/>
  <c r="C113" i="40"/>
  <c r="U143" i="24"/>
  <c r="U144" i="24"/>
  <c r="U145" i="24"/>
  <c r="D144" i="25"/>
  <c r="B111" i="40"/>
  <c r="B112" i="74" s="1"/>
  <c r="B112" i="77" s="1"/>
  <c r="AK139" i="28"/>
  <c r="Q142" i="25"/>
  <c r="X142" i="25"/>
  <c r="L142" i="25"/>
  <c r="M142" i="25"/>
  <c r="V142" i="25"/>
  <c r="AC142" i="2"/>
  <c r="C141" i="27"/>
  <c r="AB141" i="27" s="1"/>
  <c r="N142" i="25"/>
  <c r="R142" i="25"/>
  <c r="X143" i="25"/>
  <c r="X144" i="25"/>
  <c r="X145" i="25"/>
  <c r="P142" i="25"/>
  <c r="S142" i="25" s="1"/>
  <c r="U142" i="25"/>
  <c r="K142" i="25"/>
  <c r="O142" i="25"/>
  <c r="T142" i="25"/>
  <c r="K139" i="28"/>
  <c r="AF139" i="28"/>
  <c r="Q139" i="28"/>
  <c r="V139" i="28"/>
  <c r="H146" i="25"/>
  <c r="K140" i="23"/>
  <c r="N140" i="23"/>
  <c r="T140" i="23"/>
  <c r="W140" i="23"/>
  <c r="Z140" i="23"/>
  <c r="Q140" i="23"/>
  <c r="J144" i="23"/>
  <c r="DF140" i="20"/>
  <c r="DB140" i="20"/>
  <c r="DG140" i="20"/>
  <c r="DE140" i="20"/>
  <c r="DA140" i="20"/>
  <c r="DC140" i="20"/>
  <c r="DD140" i="20"/>
  <c r="DF145" i="20"/>
  <c r="DB145" i="20"/>
  <c r="DE145" i="20"/>
  <c r="DA145" i="20"/>
  <c r="DG145" i="20"/>
  <c r="DD145" i="20"/>
  <c r="DC145" i="20"/>
  <c r="DD146" i="20"/>
  <c r="DC146" i="20"/>
  <c r="DB146" i="20"/>
  <c r="DA146" i="20"/>
  <c r="DE146" i="20"/>
  <c r="DF146" i="20"/>
  <c r="DG146" i="20"/>
  <c r="DG144" i="20"/>
  <c r="DD144" i="20"/>
  <c r="DC144" i="20"/>
  <c r="DF144" i="20"/>
  <c r="DE144" i="20"/>
  <c r="DA144" i="20"/>
  <c r="DB144" i="20"/>
  <c r="J144" i="24"/>
  <c r="I144" i="24"/>
  <c r="J145" i="25"/>
  <c r="D151" i="38"/>
  <c r="I145" i="25"/>
  <c r="J145" i="24"/>
  <c r="G145" i="23"/>
  <c r="F152" i="38"/>
  <c r="F144" i="24"/>
  <c r="G145" i="24"/>
  <c r="F144" i="23"/>
  <c r="R145" i="26"/>
  <c r="CK146" i="20"/>
  <c r="CG146" i="20"/>
  <c r="CJ146" i="20"/>
  <c r="CM146" i="20"/>
  <c r="CI146" i="20"/>
  <c r="CL146" i="20"/>
  <c r="CH146" i="20"/>
  <c r="R143" i="26"/>
  <c r="CK144" i="20"/>
  <c r="CG144" i="20"/>
  <c r="CJ144" i="20"/>
  <c r="CM144" i="20"/>
  <c r="CI144" i="20"/>
  <c r="CL144" i="20"/>
  <c r="CH144" i="20"/>
  <c r="AW140" i="20"/>
  <c r="CM140" i="20"/>
  <c r="CI140" i="20"/>
  <c r="CL140" i="20"/>
  <c r="CH140" i="20"/>
  <c r="CK140" i="20"/>
  <c r="CG140" i="20"/>
  <c r="CJ140" i="20"/>
  <c r="I144" i="23"/>
  <c r="E144" i="24"/>
  <c r="E144" i="23"/>
  <c r="E151" i="38"/>
  <c r="R144" i="26"/>
  <c r="CK145" i="20"/>
  <c r="CG145" i="20"/>
  <c r="CJ145" i="20"/>
  <c r="CM145" i="20"/>
  <c r="CI145" i="20"/>
  <c r="CL145" i="20"/>
  <c r="CH145" i="20"/>
  <c r="I145" i="23"/>
  <c r="G145" i="25"/>
  <c r="G144" i="24"/>
  <c r="G144" i="25"/>
  <c r="G144" i="23"/>
  <c r="H152" i="38"/>
  <c r="I145" i="24"/>
  <c r="I150" i="38"/>
  <c r="J142" i="28"/>
  <c r="J143" i="27"/>
  <c r="J143" i="26"/>
  <c r="G151" i="38"/>
  <c r="H143" i="28"/>
  <c r="H144" i="26"/>
  <c r="H144" i="27"/>
  <c r="F145" i="26"/>
  <c r="F144" i="28"/>
  <c r="F145" i="27"/>
  <c r="F150" i="38"/>
  <c r="G143" i="26"/>
  <c r="G142" i="28"/>
  <c r="G143" i="27"/>
  <c r="H143" i="24"/>
  <c r="D144" i="24"/>
  <c r="H144" i="24"/>
  <c r="F146" i="25"/>
  <c r="E144" i="27"/>
  <c r="E143" i="28"/>
  <c r="E144" i="26"/>
  <c r="I144" i="27"/>
  <c r="I143" i="28"/>
  <c r="I144" i="26"/>
  <c r="G144" i="28"/>
  <c r="G145" i="27"/>
  <c r="G145" i="26"/>
  <c r="J145" i="26"/>
  <c r="J144" i="28"/>
  <c r="J145" i="27"/>
  <c r="G150" i="38"/>
  <c r="A23" i="19"/>
  <c r="H143" i="26"/>
  <c r="H142" i="28"/>
  <c r="A23" i="30" s="1"/>
  <c r="H143" i="27"/>
  <c r="E143" i="24"/>
  <c r="I143" i="24"/>
  <c r="F143" i="28"/>
  <c r="F144" i="26"/>
  <c r="F144" i="27"/>
  <c r="J143" i="28"/>
  <c r="J144" i="26"/>
  <c r="J144" i="27"/>
  <c r="H145" i="27"/>
  <c r="H145" i="26"/>
  <c r="H144" i="28"/>
  <c r="E150" i="38"/>
  <c r="F142" i="28"/>
  <c r="F143" i="27"/>
  <c r="F143" i="26"/>
  <c r="C151" i="38"/>
  <c r="D144" i="27"/>
  <c r="D143" i="28"/>
  <c r="D144" i="26"/>
  <c r="D150" i="38"/>
  <c r="E142" i="28"/>
  <c r="E143" i="27"/>
  <c r="E143" i="26"/>
  <c r="H150" i="38"/>
  <c r="I142" i="28"/>
  <c r="I143" i="27"/>
  <c r="I143" i="26"/>
  <c r="F145" i="23"/>
  <c r="J145" i="23"/>
  <c r="E152" i="38"/>
  <c r="I152" i="38"/>
  <c r="F143" i="24"/>
  <c r="J143" i="24"/>
  <c r="F144" i="25"/>
  <c r="J144" i="25"/>
  <c r="G143" i="28"/>
  <c r="G144" i="26"/>
  <c r="G144" i="27"/>
  <c r="I145" i="26"/>
  <c r="I144" i="28"/>
  <c r="I145" i="27"/>
  <c r="J152" i="38"/>
  <c r="N152" i="38"/>
  <c r="E145" i="23"/>
  <c r="E145" i="27"/>
  <c r="E144" i="28"/>
  <c r="E145" i="26"/>
  <c r="D152" i="38"/>
  <c r="E145" i="24"/>
  <c r="D146" i="25"/>
  <c r="D145" i="26"/>
  <c r="D144" i="28"/>
  <c r="D145" i="27"/>
  <c r="C150" i="38"/>
  <c r="D143" i="27"/>
  <c r="D142" i="28"/>
  <c r="D143" i="26"/>
  <c r="D143" i="24"/>
  <c r="D143" i="23"/>
  <c r="C152" i="38"/>
  <c r="D145" i="23"/>
  <c r="D145" i="24"/>
  <c r="H145" i="25"/>
  <c r="H144" i="23"/>
  <c r="D144" i="23"/>
  <c r="AT140" i="20"/>
  <c r="H143" i="23"/>
  <c r="AX140" i="20"/>
  <c r="AU140" i="20"/>
  <c r="AY140" i="20"/>
  <c r="E143" i="23"/>
  <c r="I143" i="23"/>
  <c r="AV140" i="20"/>
  <c r="F143" i="23"/>
  <c r="J143" i="23"/>
  <c r="AS140" i="20"/>
  <c r="G143" i="23"/>
  <c r="C77" i="21"/>
  <c r="D77" i="21" s="1"/>
  <c r="AE146" i="20"/>
  <c r="AD146" i="20"/>
  <c r="AC146" i="20"/>
  <c r="AB146" i="20"/>
  <c r="AA146" i="20"/>
  <c r="Z146" i="20"/>
  <c r="Y146" i="20"/>
  <c r="AE145" i="20"/>
  <c r="AD145" i="20"/>
  <c r="AC145" i="20"/>
  <c r="AB145" i="20"/>
  <c r="AA145" i="20"/>
  <c r="Z145" i="20"/>
  <c r="Y145" i="20"/>
  <c r="AE144" i="20"/>
  <c r="AD144" i="20"/>
  <c r="AC144" i="20"/>
  <c r="AB144" i="20"/>
  <c r="AA144" i="20"/>
  <c r="Z144" i="20"/>
  <c r="Y144" i="20"/>
  <c r="AK143" i="2"/>
  <c r="CW146" i="20"/>
  <c r="CC146" i="20"/>
  <c r="BI146" i="20"/>
  <c r="AO146" i="20"/>
  <c r="U146" i="20"/>
  <c r="K146" i="20"/>
  <c r="J146" i="20"/>
  <c r="I146" i="20"/>
  <c r="H146" i="20"/>
  <c r="G146" i="20"/>
  <c r="F146" i="20"/>
  <c r="E146" i="20"/>
  <c r="D146" i="20"/>
  <c r="A146" i="20"/>
  <c r="CW145" i="20"/>
  <c r="CC145" i="20"/>
  <c r="BI145" i="20"/>
  <c r="AO145" i="20"/>
  <c r="U145" i="20"/>
  <c r="K145" i="20"/>
  <c r="J145" i="20"/>
  <c r="I145" i="20"/>
  <c r="H145" i="20"/>
  <c r="G145" i="20"/>
  <c r="F145" i="20"/>
  <c r="E145" i="20"/>
  <c r="D145" i="20"/>
  <c r="A145" i="20"/>
  <c r="CW144" i="20"/>
  <c r="CC144" i="20"/>
  <c r="BI144" i="20"/>
  <c r="U144" i="20"/>
  <c r="K144" i="20"/>
  <c r="J144" i="20"/>
  <c r="I144" i="20"/>
  <c r="H144" i="20"/>
  <c r="G144" i="20"/>
  <c r="F144" i="20"/>
  <c r="E144" i="20"/>
  <c r="D144" i="20"/>
  <c r="A144" i="20"/>
  <c r="CW143" i="20"/>
  <c r="CC143" i="20"/>
  <c r="AO143" i="20"/>
  <c r="U143" i="20"/>
  <c r="A143" i="20"/>
  <c r="CW142" i="20"/>
  <c r="CC142" i="20"/>
  <c r="BI142" i="20"/>
  <c r="AU142" i="20"/>
  <c r="AT142" i="20"/>
  <c r="U142" i="20"/>
  <c r="A142" i="20"/>
  <c r="A141" i="20"/>
  <c r="A139" i="11"/>
  <c r="W144" i="11"/>
  <c r="V144" i="11"/>
  <c r="J144" i="11"/>
  <c r="I144" i="11"/>
  <c r="H144" i="11"/>
  <c r="G144" i="11"/>
  <c r="F144" i="11"/>
  <c r="E144" i="11"/>
  <c r="D144" i="11"/>
  <c r="C144" i="11"/>
  <c r="A144" i="11"/>
  <c r="W143" i="11"/>
  <c r="V143" i="11"/>
  <c r="J143" i="11"/>
  <c r="I143" i="11"/>
  <c r="H143" i="11"/>
  <c r="G143" i="11"/>
  <c r="F143" i="11"/>
  <c r="E143" i="11"/>
  <c r="D143" i="11"/>
  <c r="C143" i="11"/>
  <c r="A143" i="11"/>
  <c r="W142" i="11"/>
  <c r="V142" i="11"/>
  <c r="J142" i="11"/>
  <c r="I142" i="11"/>
  <c r="H142" i="11"/>
  <c r="G142" i="11"/>
  <c r="F142" i="11"/>
  <c r="E142" i="11"/>
  <c r="D142" i="11"/>
  <c r="C142" i="11"/>
  <c r="A142" i="11"/>
  <c r="A141" i="11"/>
  <c r="A140" i="11"/>
  <c r="C139" i="11"/>
  <c r="AK142" i="2"/>
  <c r="AI142" i="2"/>
  <c r="AP142" i="2" s="1"/>
  <c r="AH142" i="2"/>
  <c r="R141" i="24" s="1"/>
  <c r="U141" i="24" s="1"/>
  <c r="AG142" i="2"/>
  <c r="AD141" i="23" s="1"/>
  <c r="AG141" i="23" s="1"/>
  <c r="N148" i="38"/>
  <c r="M148" i="38"/>
  <c r="L148" i="38"/>
  <c r="K148" i="38"/>
  <c r="J140" i="11"/>
  <c r="J142" i="2"/>
  <c r="F109" i="40" s="1"/>
  <c r="F110" i="74" s="1"/>
  <c r="F110" i="77" s="1"/>
  <c r="I142" i="2"/>
  <c r="H142" i="2"/>
  <c r="C109" i="40" s="1"/>
  <c r="G142" i="2"/>
  <c r="E109" i="40" s="1"/>
  <c r="F142" i="2"/>
  <c r="E142" i="2"/>
  <c r="D109" i="40" s="1"/>
  <c r="B141" i="10"/>
  <c r="A56" i="6"/>
  <c r="A55" i="6"/>
  <c r="C55" i="6"/>
  <c r="X55" i="6"/>
  <c r="P55" i="6"/>
  <c r="Y55" i="6" s="1"/>
  <c r="O55" i="6"/>
  <c r="N55" i="6"/>
  <c r="M55" i="6"/>
  <c r="L55" i="6"/>
  <c r="K55" i="6"/>
  <c r="Z141" i="2"/>
  <c r="Y141" i="2"/>
  <c r="W141" i="2"/>
  <c r="V141" i="2"/>
  <c r="T141" i="2"/>
  <c r="S141" i="2"/>
  <c r="Q141" i="2"/>
  <c r="P141" i="2"/>
  <c r="AI143" i="2"/>
  <c r="W143" i="25" s="1"/>
  <c r="AH143" i="2"/>
  <c r="R142" i="24" s="1"/>
  <c r="U142" i="24" s="1"/>
  <c r="AG143" i="2"/>
  <c r="AD142" i="23" s="1"/>
  <c r="AG142" i="23" s="1"/>
  <c r="N149" i="38"/>
  <c r="AO142" i="10"/>
  <c r="AF142" i="10" s="1"/>
  <c r="L149" i="38"/>
  <c r="K143" i="20"/>
  <c r="J143" i="2"/>
  <c r="F110" i="40" s="1"/>
  <c r="F111" i="74" s="1"/>
  <c r="F111" i="77" s="1"/>
  <c r="I143" i="2"/>
  <c r="H143" i="2"/>
  <c r="C110" i="40" s="1"/>
  <c r="G143" i="2"/>
  <c r="E110" i="40" s="1"/>
  <c r="F143" i="2"/>
  <c r="E143" i="2"/>
  <c r="D110" i="40" s="1"/>
  <c r="D143" i="2"/>
  <c r="AS145" i="10"/>
  <c r="AH145" i="10" s="1"/>
  <c r="AQ145" i="10"/>
  <c r="AG145" i="10" s="1"/>
  <c r="AO145" i="10"/>
  <c r="AF145" i="10" s="1"/>
  <c r="AM145" i="10"/>
  <c r="AE145" i="10" s="1"/>
  <c r="AK145" i="10"/>
  <c r="AD145" i="10" s="1"/>
  <c r="AI145" i="10"/>
  <c r="AC145" i="10" s="1"/>
  <c r="B145" i="10"/>
  <c r="A145" i="10"/>
  <c r="AS144" i="10"/>
  <c r="AB144" i="10" s="1"/>
  <c r="AQ144" i="10"/>
  <c r="AG144" i="10" s="1"/>
  <c r="AO144" i="10"/>
  <c r="AF144" i="10" s="1"/>
  <c r="AM144" i="10"/>
  <c r="Y144" i="10" s="1"/>
  <c r="AK144" i="10"/>
  <c r="R144" i="10" s="1"/>
  <c r="AI144" i="10"/>
  <c r="AC144" i="10" s="1"/>
  <c r="B144" i="10"/>
  <c r="A144" i="10"/>
  <c r="AS143" i="10"/>
  <c r="AB143" i="10" s="1"/>
  <c r="AQ143" i="10"/>
  <c r="AG143" i="10" s="1"/>
  <c r="AO143" i="10"/>
  <c r="AF143" i="10" s="1"/>
  <c r="AM143" i="10"/>
  <c r="Y143" i="10" s="1"/>
  <c r="AK143" i="10"/>
  <c r="R143" i="10" s="1"/>
  <c r="AI143" i="10"/>
  <c r="AC143" i="10" s="1"/>
  <c r="Z143" i="10"/>
  <c r="B143" i="10"/>
  <c r="A143" i="10"/>
  <c r="AQ142" i="10"/>
  <c r="AI142" i="10"/>
  <c r="AC142" i="10" s="1"/>
  <c r="A142" i="10"/>
  <c r="AS141" i="10"/>
  <c r="V141" i="10" s="1"/>
  <c r="AO141" i="10"/>
  <c r="AK141" i="10"/>
  <c r="R141" i="10" s="1"/>
  <c r="AI141" i="10"/>
  <c r="A141" i="10"/>
  <c r="A140" i="10"/>
  <c r="Y58" i="3"/>
  <c r="Z58" i="3"/>
  <c r="AP146" i="2"/>
  <c r="AN145" i="2"/>
  <c r="AM145" i="2"/>
  <c r="AN144" i="2"/>
  <c r="AM144" i="2"/>
  <c r="B57" i="19"/>
  <c r="AO138" i="20"/>
  <c r="C133" i="11"/>
  <c r="A53" i="8"/>
  <c r="AI140" i="2"/>
  <c r="AJ140" i="2" s="1"/>
  <c r="AH140" i="2"/>
  <c r="AG140" i="2"/>
  <c r="AA140" i="2"/>
  <c r="X140" i="2"/>
  <c r="U140" i="2"/>
  <c r="R140" i="2"/>
  <c r="O140" i="2"/>
  <c r="L140" i="2"/>
  <c r="J140" i="2"/>
  <c r="F108" i="40" s="1"/>
  <c r="F109" i="74" s="1"/>
  <c r="F109" i="77" s="1"/>
  <c r="I140" i="2"/>
  <c r="H140" i="2"/>
  <c r="C108" i="40" s="1"/>
  <c r="G140" i="2"/>
  <c r="E108" i="40" s="1"/>
  <c r="F140" i="2"/>
  <c r="E140" i="2"/>
  <c r="D108" i="40" s="1"/>
  <c r="D140" i="2"/>
  <c r="B108" i="40" s="1"/>
  <c r="B109" i="74" s="1"/>
  <c r="B109" i="77" s="1"/>
  <c r="AK139" i="2"/>
  <c r="AI139" i="2"/>
  <c r="AH139" i="2"/>
  <c r="AG139" i="2"/>
  <c r="AA139" i="2"/>
  <c r="X139" i="2"/>
  <c r="U139" i="2"/>
  <c r="R139" i="2"/>
  <c r="O139" i="2"/>
  <c r="L139" i="2"/>
  <c r="J139" i="2"/>
  <c r="F107" i="40" s="1"/>
  <c r="F108" i="74" s="1"/>
  <c r="F108" i="77" s="1"/>
  <c r="I139" i="2"/>
  <c r="H139" i="2"/>
  <c r="C107" i="40" s="1"/>
  <c r="G139" i="2"/>
  <c r="E107" i="40" s="1"/>
  <c r="F139" i="2"/>
  <c r="E139" i="2"/>
  <c r="D107" i="40" s="1"/>
  <c r="D139" i="2"/>
  <c r="B107" i="40" s="1"/>
  <c r="B108" i="74" s="1"/>
  <c r="B108" i="77" s="1"/>
  <c r="A59" i="7"/>
  <c r="D58" i="9"/>
  <c r="AK138" i="2"/>
  <c r="AI138" i="2"/>
  <c r="AH138" i="2"/>
  <c r="AG138" i="2"/>
  <c r="AA138" i="2"/>
  <c r="X138" i="2"/>
  <c r="U138" i="2"/>
  <c r="R138" i="2"/>
  <c r="O138" i="2"/>
  <c r="O137" i="2"/>
  <c r="L138" i="2"/>
  <c r="K136" i="28" s="1"/>
  <c r="J138" i="2"/>
  <c r="F106" i="40" s="1"/>
  <c r="F107" i="74" s="1"/>
  <c r="F107" i="77" s="1"/>
  <c r="I138" i="2"/>
  <c r="H138" i="2"/>
  <c r="C106" i="40" s="1"/>
  <c r="G138" i="2"/>
  <c r="E106" i="40" s="1"/>
  <c r="F138" i="2"/>
  <c r="E138" i="2"/>
  <c r="D106" i="40" s="1"/>
  <c r="D138" i="2"/>
  <c r="A59" i="9"/>
  <c r="AK136" i="2"/>
  <c r="AI136" i="2"/>
  <c r="AH136" i="2"/>
  <c r="AG136" i="2"/>
  <c r="AA136" i="2"/>
  <c r="X136" i="2"/>
  <c r="U136" i="2"/>
  <c r="R136" i="2"/>
  <c r="O136" i="2"/>
  <c r="J136" i="2"/>
  <c r="F104" i="40" s="1"/>
  <c r="F105" i="74" s="1"/>
  <c r="F105" i="77" s="1"/>
  <c r="I136" i="2"/>
  <c r="H136" i="2"/>
  <c r="C104" i="40" s="1"/>
  <c r="G136" i="2"/>
  <c r="E104" i="40" s="1"/>
  <c r="F136" i="2"/>
  <c r="E136" i="2"/>
  <c r="D104" i="40" s="1"/>
  <c r="D136" i="2"/>
  <c r="B104" i="40" s="1"/>
  <c r="B105" i="74" s="1"/>
  <c r="B105" i="77" s="1"/>
  <c r="K54" i="6"/>
  <c r="L136" i="2" s="1"/>
  <c r="C53" i="6"/>
  <c r="A54" i="6"/>
  <c r="AK137" i="2"/>
  <c r="AI137" i="2"/>
  <c r="AH137" i="2"/>
  <c r="AG137" i="2"/>
  <c r="AA137" i="2"/>
  <c r="X137" i="2"/>
  <c r="U137" i="2"/>
  <c r="R137" i="2"/>
  <c r="L137" i="2"/>
  <c r="K135" i="28" s="1"/>
  <c r="H137" i="2"/>
  <c r="C105" i="40" s="1"/>
  <c r="G137" i="2"/>
  <c r="E105" i="40" s="1"/>
  <c r="F137" i="2"/>
  <c r="E137" i="2"/>
  <c r="D105" i="40" s="1"/>
  <c r="D137" i="2"/>
  <c r="B105" i="40" s="1"/>
  <c r="B106" i="74" s="1"/>
  <c r="B106" i="77" s="1"/>
  <c r="X141" i="27" l="1"/>
  <c r="T110" i="74" s="1"/>
  <c r="U110" i="74" s="1"/>
  <c r="T141" i="27"/>
  <c r="N110" i="74" s="1"/>
  <c r="O110" i="74" s="1"/>
  <c r="AF141" i="27"/>
  <c r="K110" i="74" s="1"/>
  <c r="L110" i="74" s="1"/>
  <c r="P141" i="27"/>
  <c r="Q110" i="74" s="1"/>
  <c r="R110" i="74" s="1"/>
  <c r="V135" i="28"/>
  <c r="N106" i="77"/>
  <c r="Q135" i="28"/>
  <c r="Q106" i="77"/>
  <c r="AF136" i="28"/>
  <c r="W107" i="77"/>
  <c r="Q137" i="28"/>
  <c r="Q108" i="77"/>
  <c r="AF138" i="28"/>
  <c r="W109" i="77"/>
  <c r="AA135" i="28"/>
  <c r="T106" i="77"/>
  <c r="Q136" i="28"/>
  <c r="Q107" i="77"/>
  <c r="V137" i="28"/>
  <c r="N108" i="77"/>
  <c r="Q138" i="28"/>
  <c r="Q109" i="77"/>
  <c r="AF135" i="28"/>
  <c r="W106" i="77"/>
  <c r="V136" i="28"/>
  <c r="N107" i="77"/>
  <c r="AA137" i="28"/>
  <c r="T108" i="77"/>
  <c r="V138" i="28"/>
  <c r="N109" i="77"/>
  <c r="AA136" i="28"/>
  <c r="T107" i="77"/>
  <c r="AF137" i="28"/>
  <c r="W108" i="77"/>
  <c r="AA138" i="28"/>
  <c r="T109" i="77"/>
  <c r="Q134" i="28"/>
  <c r="Q105" i="77"/>
  <c r="V134" i="28"/>
  <c r="N105" i="77"/>
  <c r="AA134" i="28"/>
  <c r="T105" i="77"/>
  <c r="AF134" i="28"/>
  <c r="W105" i="77"/>
  <c r="W110" i="74"/>
  <c r="X110" i="74" s="1"/>
  <c r="B113" i="41"/>
  <c r="C114" i="74"/>
  <c r="C114" i="77" s="1"/>
  <c r="F105" i="41"/>
  <c r="E106" i="74"/>
  <c r="E106" i="77" s="1"/>
  <c r="E106" i="41"/>
  <c r="D107" i="74"/>
  <c r="D107" i="77" s="1"/>
  <c r="E107" i="41"/>
  <c r="D108" i="74"/>
  <c r="D108" i="77" s="1"/>
  <c r="B108" i="41"/>
  <c r="C109" i="74"/>
  <c r="C109" i="77" s="1"/>
  <c r="F110" i="41"/>
  <c r="E111" i="74"/>
  <c r="E111" i="77" s="1"/>
  <c r="F109" i="41"/>
  <c r="E110" i="74"/>
  <c r="E110" i="77" s="1"/>
  <c r="B105" i="41"/>
  <c r="C106" i="74"/>
  <c r="C106" i="77" s="1"/>
  <c r="B109" i="41"/>
  <c r="C110" i="74"/>
  <c r="C110" i="77" s="1"/>
  <c r="V105" i="74"/>
  <c r="V105" i="77" s="1"/>
  <c r="X105" i="77" s="1"/>
  <c r="M105" i="74"/>
  <c r="M105" i="77" s="1"/>
  <c r="G105" i="74"/>
  <c r="G105" i="77" s="1"/>
  <c r="P105" i="74"/>
  <c r="P105" i="77" s="1"/>
  <c r="R105" i="77" s="1"/>
  <c r="S105" i="74"/>
  <c r="S105" i="77" s="1"/>
  <c r="U105" i="77" s="1"/>
  <c r="J105" i="74"/>
  <c r="J105" i="77" s="1"/>
  <c r="B104" i="41"/>
  <c r="C105" i="74"/>
  <c r="C105" i="77" s="1"/>
  <c r="F106" i="41"/>
  <c r="E107" i="74"/>
  <c r="E107" i="77" s="1"/>
  <c r="F107" i="41"/>
  <c r="E108" i="74"/>
  <c r="E108" i="77" s="1"/>
  <c r="E110" i="41"/>
  <c r="D111" i="74"/>
  <c r="D111" i="77" s="1"/>
  <c r="E109" i="41"/>
  <c r="D110" i="74"/>
  <c r="D110" i="77" s="1"/>
  <c r="F113" i="41"/>
  <c r="E114" i="74"/>
  <c r="E114" i="77" s="1"/>
  <c r="E111" i="41"/>
  <c r="D112" i="74"/>
  <c r="D112" i="77" s="1"/>
  <c r="F112" i="41"/>
  <c r="E113" i="74"/>
  <c r="E113" i="77" s="1"/>
  <c r="S109" i="74"/>
  <c r="S109" i="77" s="1"/>
  <c r="U109" i="77" s="1"/>
  <c r="J109" i="74"/>
  <c r="J109" i="77" s="1"/>
  <c r="V109" i="74"/>
  <c r="V109" i="77" s="1"/>
  <c r="X109" i="77" s="1"/>
  <c r="P109" i="74"/>
  <c r="P109" i="77" s="1"/>
  <c r="R109" i="77" s="1"/>
  <c r="G109" i="74"/>
  <c r="G109" i="77" s="1"/>
  <c r="M109" i="74"/>
  <c r="M109" i="77" s="1"/>
  <c r="O109" i="77" s="1"/>
  <c r="S112" i="74"/>
  <c r="S112" i="77" s="1"/>
  <c r="U112" i="77" s="1"/>
  <c r="P112" i="74"/>
  <c r="P112" i="77" s="1"/>
  <c r="R112" i="77" s="1"/>
  <c r="G112" i="74"/>
  <c r="G112" i="77" s="1"/>
  <c r="I112" i="77" s="1"/>
  <c r="V112" i="74"/>
  <c r="V112" i="77" s="1"/>
  <c r="X112" i="77" s="1"/>
  <c r="M112" i="74"/>
  <c r="M112" i="77" s="1"/>
  <c r="O112" i="77" s="1"/>
  <c r="J112" i="74"/>
  <c r="J112" i="77" s="1"/>
  <c r="L112" i="77" s="1"/>
  <c r="E112" i="41"/>
  <c r="D113" i="74"/>
  <c r="D113" i="77" s="1"/>
  <c r="E113" i="41"/>
  <c r="D114" i="74"/>
  <c r="D114" i="77" s="1"/>
  <c r="F111" i="41"/>
  <c r="E112" i="74"/>
  <c r="E112" i="77" s="1"/>
  <c r="G106" i="74"/>
  <c r="G106" i="77" s="1"/>
  <c r="V106" i="74"/>
  <c r="V106" i="77" s="1"/>
  <c r="X106" i="77" s="1"/>
  <c r="P106" i="74"/>
  <c r="P106" i="77" s="1"/>
  <c r="S106" i="74"/>
  <c r="S106" i="77" s="1"/>
  <c r="U106" i="77" s="1"/>
  <c r="J106" i="74"/>
  <c r="J106" i="77" s="1"/>
  <c r="M106" i="74"/>
  <c r="M106" i="77" s="1"/>
  <c r="O106" i="77" s="1"/>
  <c r="F104" i="41"/>
  <c r="E105" i="74"/>
  <c r="E105" i="77" s="1"/>
  <c r="E108" i="41"/>
  <c r="D109" i="74"/>
  <c r="D109" i="77" s="1"/>
  <c r="B110" i="41"/>
  <c r="C111" i="74"/>
  <c r="C111" i="77" s="1"/>
  <c r="E105" i="41"/>
  <c r="D106" i="74"/>
  <c r="D106" i="77" s="1"/>
  <c r="E104" i="41"/>
  <c r="D105" i="74"/>
  <c r="D105" i="77" s="1"/>
  <c r="B106" i="41"/>
  <c r="C107" i="74"/>
  <c r="C107" i="77" s="1"/>
  <c r="M108" i="74"/>
  <c r="M108" i="77" s="1"/>
  <c r="P108" i="74"/>
  <c r="P108" i="77" s="1"/>
  <c r="V108" i="74"/>
  <c r="V108" i="77" s="1"/>
  <c r="X108" i="77" s="1"/>
  <c r="S108" i="74"/>
  <c r="S108" i="77" s="1"/>
  <c r="U108" i="77" s="1"/>
  <c r="J108" i="74"/>
  <c r="J108" i="77" s="1"/>
  <c r="G108" i="74"/>
  <c r="G108" i="77" s="1"/>
  <c r="B107" i="41"/>
  <c r="C108" i="74"/>
  <c r="C108" i="77" s="1"/>
  <c r="F108" i="41"/>
  <c r="E109" i="74"/>
  <c r="E109" i="77" s="1"/>
  <c r="B111" i="41"/>
  <c r="C112" i="74"/>
  <c r="C112" i="77" s="1"/>
  <c r="S113" i="74"/>
  <c r="S113" i="77" s="1"/>
  <c r="U113" i="77" s="1"/>
  <c r="V113" i="74"/>
  <c r="V113" i="77" s="1"/>
  <c r="X113" i="77" s="1"/>
  <c r="G113" i="74"/>
  <c r="G113" i="77" s="1"/>
  <c r="I113" i="77" s="1"/>
  <c r="J113" i="74"/>
  <c r="J113" i="77" s="1"/>
  <c r="L113" i="77" s="1"/>
  <c r="P113" i="74"/>
  <c r="P113" i="77" s="1"/>
  <c r="R113" i="77" s="1"/>
  <c r="M113" i="74"/>
  <c r="M113" i="77" s="1"/>
  <c r="O113" i="77" s="1"/>
  <c r="AK136" i="28"/>
  <c r="G106" i="40"/>
  <c r="K107" i="77" s="1"/>
  <c r="D105" i="41"/>
  <c r="H105" i="40"/>
  <c r="AK134" i="28"/>
  <c r="G104" i="40"/>
  <c r="K105" i="77" s="1"/>
  <c r="B110" i="40"/>
  <c r="B111" i="74" s="1"/>
  <c r="B111" i="77" s="1"/>
  <c r="B140" i="27"/>
  <c r="D104" i="41"/>
  <c r="H104" i="40"/>
  <c r="AK135" i="28"/>
  <c r="G105" i="40"/>
  <c r="K106" i="77" s="1"/>
  <c r="D61" i="9"/>
  <c r="B106" i="40"/>
  <c r="B107" i="74" s="1"/>
  <c r="B107" i="77" s="1"/>
  <c r="D107" i="41"/>
  <c r="H107" i="40"/>
  <c r="AK137" i="28"/>
  <c r="G107" i="40"/>
  <c r="K108" i="77" s="1"/>
  <c r="D108" i="41"/>
  <c r="H108" i="40"/>
  <c r="AK138" i="28"/>
  <c r="G108" i="40"/>
  <c r="K109" i="77" s="1"/>
  <c r="N113" i="40"/>
  <c r="I113" i="41"/>
  <c r="D112" i="41"/>
  <c r="H112" i="40"/>
  <c r="D111" i="41"/>
  <c r="H111" i="40"/>
  <c r="N111" i="40" s="1"/>
  <c r="AA145" i="25"/>
  <c r="AA144" i="25"/>
  <c r="AB145" i="25"/>
  <c r="AA143" i="25"/>
  <c r="C145" i="27"/>
  <c r="X146" i="25"/>
  <c r="V144" i="25"/>
  <c r="AC144" i="2"/>
  <c r="T144" i="25"/>
  <c r="O144" i="25"/>
  <c r="K144" i="25"/>
  <c r="U144" i="25"/>
  <c r="P144" i="25"/>
  <c r="S144" i="25" s="1"/>
  <c r="L144" i="25"/>
  <c r="R144" i="25"/>
  <c r="N144" i="25"/>
  <c r="Q144" i="25"/>
  <c r="M144" i="25"/>
  <c r="AB143" i="25"/>
  <c r="C143" i="27"/>
  <c r="V146" i="25"/>
  <c r="AC146" i="2"/>
  <c r="T146" i="25"/>
  <c r="O146" i="25"/>
  <c r="K146" i="25"/>
  <c r="U146" i="25"/>
  <c r="P146" i="25"/>
  <c r="S146" i="25" s="1"/>
  <c r="L146" i="25"/>
  <c r="R146" i="25"/>
  <c r="N146" i="25"/>
  <c r="Q146" i="25"/>
  <c r="M146" i="25"/>
  <c r="V143" i="25"/>
  <c r="AC143" i="2"/>
  <c r="T143" i="25"/>
  <c r="O143" i="25"/>
  <c r="K143" i="25"/>
  <c r="U143" i="25"/>
  <c r="P143" i="25"/>
  <c r="S143" i="25" s="1"/>
  <c r="L143" i="25"/>
  <c r="R143" i="25"/>
  <c r="N143" i="25"/>
  <c r="Q143" i="25"/>
  <c r="M143" i="25"/>
  <c r="C140" i="28"/>
  <c r="V145" i="25"/>
  <c r="AC145" i="2"/>
  <c r="T145" i="25"/>
  <c r="O145" i="25"/>
  <c r="K145" i="25"/>
  <c r="U145" i="25"/>
  <c r="P145" i="25"/>
  <c r="S145" i="25" s="1"/>
  <c r="R145" i="25"/>
  <c r="N145" i="25"/>
  <c r="Q145" i="25"/>
  <c r="M145" i="25"/>
  <c r="L145" i="25"/>
  <c r="AB146" i="25"/>
  <c r="AB144" i="25"/>
  <c r="C144" i="27"/>
  <c r="C142" i="27"/>
  <c r="K138" i="23"/>
  <c r="K137" i="28"/>
  <c r="K135" i="23"/>
  <c r="K134" i="28"/>
  <c r="K139" i="23"/>
  <c r="K138" i="28"/>
  <c r="AA133" i="28"/>
  <c r="Q133" i="28"/>
  <c r="Q118" i="28" s="1"/>
  <c r="V133" i="28"/>
  <c r="AF133" i="28"/>
  <c r="AF118" i="28" s="1"/>
  <c r="AI136" i="10"/>
  <c r="Q136" i="10" s="1"/>
  <c r="K136" i="23"/>
  <c r="A24" i="19"/>
  <c r="A57" i="19" s="1"/>
  <c r="H134" i="28"/>
  <c r="AI137" i="10"/>
  <c r="AC137" i="10" s="1"/>
  <c r="K137" i="23"/>
  <c r="DD142" i="20"/>
  <c r="DG142" i="20"/>
  <c r="DC142" i="20"/>
  <c r="DB142" i="20"/>
  <c r="DA142" i="20"/>
  <c r="DF142" i="20"/>
  <c r="DE142" i="20"/>
  <c r="DF143" i="20"/>
  <c r="DB143" i="20"/>
  <c r="DG143" i="20"/>
  <c r="DE143" i="20"/>
  <c r="DA143" i="20"/>
  <c r="DD143" i="20"/>
  <c r="DC143" i="20"/>
  <c r="DG137" i="20"/>
  <c r="DE137" i="20"/>
  <c r="DA137" i="20"/>
  <c r="DD137" i="20"/>
  <c r="DF137" i="20"/>
  <c r="DC137" i="20"/>
  <c r="DB137" i="20"/>
  <c r="DG136" i="20"/>
  <c r="DC136" i="20"/>
  <c r="DF136" i="20"/>
  <c r="DB136" i="20"/>
  <c r="DD136" i="20"/>
  <c r="DA136" i="20"/>
  <c r="DE136" i="20"/>
  <c r="DF138" i="20"/>
  <c r="DB138" i="20"/>
  <c r="DE138" i="20"/>
  <c r="DD138" i="20"/>
  <c r="DC138" i="20"/>
  <c r="DG138" i="20"/>
  <c r="DA138" i="20"/>
  <c r="DD139" i="20"/>
  <c r="DC139" i="20"/>
  <c r="DF139" i="20"/>
  <c r="DG139" i="20"/>
  <c r="DE139" i="20"/>
  <c r="DB139" i="20"/>
  <c r="DA139" i="20"/>
  <c r="AM143" i="2"/>
  <c r="Z144" i="10"/>
  <c r="CK136" i="20"/>
  <c r="CG136" i="20"/>
  <c r="CL136" i="20"/>
  <c r="CJ136" i="20"/>
  <c r="CH136" i="20"/>
  <c r="CM136" i="20"/>
  <c r="CI136" i="20"/>
  <c r="CJ142" i="20"/>
  <c r="CG142" i="20"/>
  <c r="CM142" i="20"/>
  <c r="CI142" i="20"/>
  <c r="CL142" i="20"/>
  <c r="CH142" i="20"/>
  <c r="CK142" i="20"/>
  <c r="CM138" i="20"/>
  <c r="CI138" i="20"/>
  <c r="CL138" i="20"/>
  <c r="CH138" i="20"/>
  <c r="CK138" i="20"/>
  <c r="CG138" i="20"/>
  <c r="CJ138" i="20"/>
  <c r="CJ143" i="20"/>
  <c r="CM143" i="20"/>
  <c r="CI143" i="20"/>
  <c r="CL143" i="20"/>
  <c r="CH143" i="20"/>
  <c r="CG143" i="20"/>
  <c r="CK143" i="20"/>
  <c r="CJ137" i="20"/>
  <c r="CM137" i="20"/>
  <c r="CI137" i="20"/>
  <c r="CL137" i="20"/>
  <c r="CH137" i="20"/>
  <c r="CG137" i="20"/>
  <c r="CK137" i="20"/>
  <c r="CL139" i="20"/>
  <c r="CH139" i="20"/>
  <c r="CK139" i="20"/>
  <c r="CG139" i="20"/>
  <c r="CJ139" i="20"/>
  <c r="CM139" i="20"/>
  <c r="CI139" i="20"/>
  <c r="W145" i="10"/>
  <c r="AA145" i="10"/>
  <c r="Q145" i="10"/>
  <c r="U145" i="10"/>
  <c r="G141" i="28"/>
  <c r="G142" i="26"/>
  <c r="G142" i="27"/>
  <c r="G143" i="25"/>
  <c r="G142" i="24"/>
  <c r="AE142" i="20"/>
  <c r="R141" i="26"/>
  <c r="K142" i="20"/>
  <c r="Z145" i="10"/>
  <c r="D142" i="27"/>
  <c r="D142" i="26"/>
  <c r="D141" i="28"/>
  <c r="D142" i="24"/>
  <c r="D143" i="25"/>
  <c r="H141" i="28"/>
  <c r="H142" i="27"/>
  <c r="H142" i="26"/>
  <c r="H142" i="24"/>
  <c r="H143" i="25"/>
  <c r="D140" i="28"/>
  <c r="D141" i="26"/>
  <c r="D141" i="27"/>
  <c r="D141" i="24"/>
  <c r="D142" i="25"/>
  <c r="H140" i="28"/>
  <c r="H141" i="26"/>
  <c r="H141" i="27"/>
  <c r="H141" i="24"/>
  <c r="H142" i="25"/>
  <c r="G141" i="27"/>
  <c r="G141" i="26"/>
  <c r="G140" i="28"/>
  <c r="G141" i="24"/>
  <c r="G142" i="25"/>
  <c r="T145" i="10"/>
  <c r="E142" i="27"/>
  <c r="E142" i="26"/>
  <c r="E141" i="28"/>
  <c r="E142" i="24"/>
  <c r="E143" i="25"/>
  <c r="I142" i="27"/>
  <c r="I142" i="26"/>
  <c r="I141" i="28"/>
  <c r="I142" i="24"/>
  <c r="I143" i="25"/>
  <c r="E140" i="28"/>
  <c r="E141" i="26"/>
  <c r="E141" i="27"/>
  <c r="E141" i="24"/>
  <c r="E142" i="25"/>
  <c r="I140" i="28"/>
  <c r="I141" i="26"/>
  <c r="I141" i="27"/>
  <c r="I141" i="24"/>
  <c r="I142" i="25"/>
  <c r="AE143" i="20"/>
  <c r="R142" i="26"/>
  <c r="V144" i="10"/>
  <c r="F142" i="26"/>
  <c r="F141" i="28"/>
  <c r="F142" i="27"/>
  <c r="F143" i="25"/>
  <c r="F142" i="24"/>
  <c r="J142" i="26"/>
  <c r="J142" i="27"/>
  <c r="J141" i="28"/>
  <c r="J143" i="25"/>
  <c r="J142" i="24"/>
  <c r="F141" i="26"/>
  <c r="F140" i="28"/>
  <c r="F141" i="27"/>
  <c r="F142" i="25"/>
  <c r="F141" i="24"/>
  <c r="J141" i="26"/>
  <c r="J141" i="27"/>
  <c r="J140" i="28"/>
  <c r="J142" i="25"/>
  <c r="J141" i="24"/>
  <c r="W141" i="10"/>
  <c r="Q141" i="10"/>
  <c r="W143" i="10"/>
  <c r="AF141" i="10"/>
  <c r="AF140" i="10" s="1"/>
  <c r="AF119" i="10" s="1"/>
  <c r="T141" i="10"/>
  <c r="AG142" i="10"/>
  <c r="U142" i="10"/>
  <c r="AD144" i="10"/>
  <c r="AE143" i="10"/>
  <c r="V145" i="10"/>
  <c r="AE144" i="10"/>
  <c r="AO142" i="2"/>
  <c r="W142" i="25"/>
  <c r="AB142" i="25" s="1"/>
  <c r="AN142" i="2"/>
  <c r="AD143" i="10"/>
  <c r="X144" i="10"/>
  <c r="J141" i="11"/>
  <c r="AL142" i="2"/>
  <c r="AH144" i="10"/>
  <c r="AQ141" i="10"/>
  <c r="AG141" i="10" s="1"/>
  <c r="F142" i="20"/>
  <c r="E148" i="38"/>
  <c r="F141" i="23"/>
  <c r="AY138" i="20"/>
  <c r="AU138" i="20"/>
  <c r="AV138" i="20"/>
  <c r="AX138" i="20"/>
  <c r="AT138" i="20"/>
  <c r="AW138" i="20"/>
  <c r="AS138" i="20"/>
  <c r="AV139" i="20"/>
  <c r="AW139" i="20"/>
  <c r="AS139" i="20"/>
  <c r="AY139" i="20"/>
  <c r="AU139" i="20"/>
  <c r="AX139" i="20"/>
  <c r="AT139" i="20"/>
  <c r="AM142" i="10"/>
  <c r="S142" i="10" s="1"/>
  <c r="X143" i="10"/>
  <c r="W144" i="10"/>
  <c r="G143" i="20"/>
  <c r="G142" i="23"/>
  <c r="F149" i="38"/>
  <c r="U141" i="2"/>
  <c r="M149" i="38"/>
  <c r="F140" i="11"/>
  <c r="F148" i="38"/>
  <c r="G141" i="23"/>
  <c r="AX137" i="20"/>
  <c r="AT137" i="20"/>
  <c r="AY137" i="20"/>
  <c r="AU137" i="20"/>
  <c r="AW137" i="20"/>
  <c r="AS137" i="20"/>
  <c r="AV137" i="20"/>
  <c r="I141" i="11"/>
  <c r="I149" i="38"/>
  <c r="J142" i="23"/>
  <c r="J142" i="20"/>
  <c r="I148" i="38"/>
  <c r="J141" i="23"/>
  <c r="AH143" i="10"/>
  <c r="B142" i="10"/>
  <c r="D142" i="23"/>
  <c r="C149" i="38"/>
  <c r="G141" i="11"/>
  <c r="H142" i="23"/>
  <c r="G149" i="38"/>
  <c r="V141" i="11"/>
  <c r="J149" i="38"/>
  <c r="R141" i="2"/>
  <c r="C140" i="11"/>
  <c r="C148" i="38"/>
  <c r="D141" i="23"/>
  <c r="G140" i="11"/>
  <c r="G148" i="38"/>
  <c r="H141" i="23"/>
  <c r="V140" i="11"/>
  <c r="J148" i="38"/>
  <c r="D143" i="20"/>
  <c r="E141" i="11"/>
  <c r="E149" i="38"/>
  <c r="F142" i="23"/>
  <c r="AM141" i="10"/>
  <c r="Y141" i="10" s="1"/>
  <c r="V143" i="10"/>
  <c r="D141" i="11"/>
  <c r="D149" i="38"/>
  <c r="E142" i="23"/>
  <c r="H141" i="11"/>
  <c r="H149" i="38"/>
  <c r="I142" i="23"/>
  <c r="AK142" i="10"/>
  <c r="R142" i="10" s="1"/>
  <c r="K149" i="38"/>
  <c r="AS142" i="10"/>
  <c r="V142" i="10" s="1"/>
  <c r="O149" i="38"/>
  <c r="D140" i="11"/>
  <c r="E141" i="23"/>
  <c r="D148" i="38"/>
  <c r="H140" i="11"/>
  <c r="I141" i="23"/>
  <c r="H148" i="38"/>
  <c r="W140" i="11"/>
  <c r="O148" i="38"/>
  <c r="F141" i="11"/>
  <c r="G142" i="20"/>
  <c r="H143" i="20"/>
  <c r="AA141" i="2"/>
  <c r="E140" i="11"/>
  <c r="I140" i="11"/>
  <c r="AO140" i="10"/>
  <c r="L141" i="2"/>
  <c r="C141" i="11"/>
  <c r="D142" i="20"/>
  <c r="H142" i="20"/>
  <c r="E143" i="20"/>
  <c r="I143" i="20"/>
  <c r="Y143" i="20"/>
  <c r="AC143" i="20"/>
  <c r="AB143" i="20"/>
  <c r="X141" i="2"/>
  <c r="W141" i="11"/>
  <c r="E142" i="20"/>
  <c r="I142" i="20"/>
  <c r="F143" i="20"/>
  <c r="J143" i="20"/>
  <c r="AA142" i="20"/>
  <c r="Z143" i="20"/>
  <c r="AD143" i="20"/>
  <c r="AA143" i="10"/>
  <c r="O141" i="2"/>
  <c r="AB142" i="20"/>
  <c r="AA143" i="20"/>
  <c r="AD141" i="10"/>
  <c r="AH141" i="10"/>
  <c r="R145" i="10"/>
  <c r="AB145" i="10"/>
  <c r="X145" i="10"/>
  <c r="Z141" i="10"/>
  <c r="AC141" i="10"/>
  <c r="AC140" i="10" s="1"/>
  <c r="M36" i="1" s="1"/>
  <c r="AI140" i="10"/>
  <c r="O36" i="1" s="1"/>
  <c r="AA144" i="10"/>
  <c r="Y142" i="20"/>
  <c r="AC142" i="20"/>
  <c r="Z142" i="20"/>
  <c r="AD142" i="20"/>
  <c r="T142" i="10"/>
  <c r="Y145" i="10"/>
  <c r="X141" i="10"/>
  <c r="AB141" i="10"/>
  <c r="Z142" i="10"/>
  <c r="S143" i="10"/>
  <c r="W142" i="10"/>
  <c r="AA142" i="10"/>
  <c r="T143" i="10"/>
  <c r="S144" i="10"/>
  <c r="T144" i="10"/>
  <c r="Q142" i="10"/>
  <c r="Q143" i="10"/>
  <c r="U143" i="10"/>
  <c r="Q144" i="10"/>
  <c r="U144" i="10"/>
  <c r="S145" i="10"/>
  <c r="AN143" i="2"/>
  <c r="AO143" i="2"/>
  <c r="AM142" i="2"/>
  <c r="AL143" i="2"/>
  <c r="AP143" i="2"/>
  <c r="AO144" i="2"/>
  <c r="AO145" i="2"/>
  <c r="AN146" i="2"/>
  <c r="AM146" i="2"/>
  <c r="AL144" i="2"/>
  <c r="AP144" i="2"/>
  <c r="AL145" i="2"/>
  <c r="AP145" i="2"/>
  <c r="AO146" i="2"/>
  <c r="AL146" i="2"/>
  <c r="T142" i="27" l="1"/>
  <c r="P142" i="27"/>
  <c r="AF142" i="27"/>
  <c r="AB142" i="27"/>
  <c r="W111" i="74" s="1"/>
  <c r="X111" i="74" s="1"/>
  <c r="X142" i="27"/>
  <c r="W140" i="28"/>
  <c r="R140" i="28"/>
  <c r="AG140" i="28"/>
  <c r="AJ140" i="28" s="1"/>
  <c r="AB140" i="28"/>
  <c r="AE140" i="28" s="1"/>
  <c r="AL140" i="28"/>
  <c r="AF145" i="27"/>
  <c r="P145" i="27"/>
  <c r="AB145" i="27"/>
  <c r="W114" i="74" s="1"/>
  <c r="X114" i="74" s="1"/>
  <c r="X145" i="27"/>
  <c r="T114" i="74" s="1"/>
  <c r="U114" i="74" s="1"/>
  <c r="T145" i="27"/>
  <c r="P144" i="27"/>
  <c r="Q113" i="74" s="1"/>
  <c r="R113" i="74" s="1"/>
  <c r="T144" i="27"/>
  <c r="AB144" i="27"/>
  <c r="W113" i="74" s="1"/>
  <c r="X113" i="74" s="1"/>
  <c r="AF144" i="27"/>
  <c r="K113" i="74" s="1"/>
  <c r="L113" i="74" s="1"/>
  <c r="X144" i="27"/>
  <c r="T113" i="74" s="1"/>
  <c r="U113" i="74" s="1"/>
  <c r="AF143" i="27"/>
  <c r="K112" i="74" s="1"/>
  <c r="L112" i="74" s="1"/>
  <c r="P143" i="27"/>
  <c r="Q112" i="74" s="1"/>
  <c r="R112" i="74" s="1"/>
  <c r="X143" i="27"/>
  <c r="AB143" i="27"/>
  <c r="W112" i="74" s="1"/>
  <c r="X112" i="74" s="1"/>
  <c r="T143" i="27"/>
  <c r="N112" i="74" s="1"/>
  <c r="O112" i="74" s="1"/>
  <c r="R108" i="77"/>
  <c r="O108" i="77"/>
  <c r="R106" i="77"/>
  <c r="H108" i="77"/>
  <c r="H107" i="77"/>
  <c r="L106" i="77"/>
  <c r="H106" i="77"/>
  <c r="I106" i="77" s="1"/>
  <c r="I108" i="77"/>
  <c r="L109" i="77"/>
  <c r="L108" i="77"/>
  <c r="H109" i="77"/>
  <c r="I109" i="77" s="1"/>
  <c r="H105" i="77"/>
  <c r="I105" i="77" s="1"/>
  <c r="L105" i="77"/>
  <c r="O105" i="77"/>
  <c r="T111" i="74"/>
  <c r="U111" i="74" s="1"/>
  <c r="N111" i="74"/>
  <c r="K111" i="74"/>
  <c r="Q111" i="74"/>
  <c r="N113" i="74"/>
  <c r="O113" i="74" s="1"/>
  <c r="T112" i="74"/>
  <c r="U112" i="74" s="1"/>
  <c r="AK133" i="28"/>
  <c r="J107" i="74"/>
  <c r="J107" i="77" s="1"/>
  <c r="L107" i="77" s="1"/>
  <c r="S107" i="74"/>
  <c r="S107" i="77" s="1"/>
  <c r="U107" i="77" s="1"/>
  <c r="M107" i="74"/>
  <c r="M107" i="77" s="1"/>
  <c r="O107" i="77" s="1"/>
  <c r="P107" i="74"/>
  <c r="P107" i="77" s="1"/>
  <c r="R107" i="77" s="1"/>
  <c r="V107" i="74"/>
  <c r="V107" i="77" s="1"/>
  <c r="X107" i="77" s="1"/>
  <c r="G107" i="74"/>
  <c r="G107" i="77" s="1"/>
  <c r="I107" i="77" s="1"/>
  <c r="G111" i="74"/>
  <c r="G111" i="77" s="1"/>
  <c r="I111" i="77" s="1"/>
  <c r="P111" i="74"/>
  <c r="P111" i="77" s="1"/>
  <c r="R111" i="77" s="1"/>
  <c r="M111" i="74"/>
  <c r="M111" i="77" s="1"/>
  <c r="O111" i="77" s="1"/>
  <c r="S111" i="74"/>
  <c r="S111" i="77" s="1"/>
  <c r="U111" i="77" s="1"/>
  <c r="J111" i="74"/>
  <c r="J111" i="77" s="1"/>
  <c r="L111" i="77" s="1"/>
  <c r="V111" i="74"/>
  <c r="V111" i="77" s="1"/>
  <c r="X111" i="77" s="1"/>
  <c r="N108" i="40"/>
  <c r="I108" i="41"/>
  <c r="I107" i="41"/>
  <c r="N107" i="40"/>
  <c r="I105" i="41"/>
  <c r="N105" i="40"/>
  <c r="D110" i="41"/>
  <c r="H110" i="40"/>
  <c r="I112" i="41"/>
  <c r="N112" i="40"/>
  <c r="D106" i="41"/>
  <c r="H106" i="40"/>
  <c r="N104" i="40"/>
  <c r="I104" i="41"/>
  <c r="W137" i="10"/>
  <c r="C113" i="41"/>
  <c r="P113" i="41" s="1"/>
  <c r="C144" i="28"/>
  <c r="I111" i="41"/>
  <c r="K141" i="25"/>
  <c r="AA142" i="25"/>
  <c r="S141" i="25"/>
  <c r="T141" i="25"/>
  <c r="AA146" i="25"/>
  <c r="V141" i="25"/>
  <c r="L141" i="27"/>
  <c r="H110" i="74" s="1"/>
  <c r="I110" i="74" s="1"/>
  <c r="P141" i="23"/>
  <c r="R141" i="27"/>
  <c r="Q141" i="27"/>
  <c r="Q141" i="25"/>
  <c r="G23" i="30" s="1"/>
  <c r="P141" i="25"/>
  <c r="V141" i="23"/>
  <c r="Z141" i="27"/>
  <c r="Y141" i="27"/>
  <c r="AB141" i="23"/>
  <c r="I109" i="40"/>
  <c r="AG141" i="27"/>
  <c r="AH141" i="27"/>
  <c r="N141" i="25"/>
  <c r="U141" i="25"/>
  <c r="C110" i="41"/>
  <c r="C141" i="28"/>
  <c r="C143" i="28"/>
  <c r="C112" i="41"/>
  <c r="Z140" i="28"/>
  <c r="Y141" i="23"/>
  <c r="AD141" i="27"/>
  <c r="AC141" i="27"/>
  <c r="R141" i="25"/>
  <c r="S141" i="23"/>
  <c r="U141" i="27"/>
  <c r="V141" i="27"/>
  <c r="M141" i="25"/>
  <c r="L141" i="25"/>
  <c r="O141" i="25"/>
  <c r="C142" i="28"/>
  <c r="C111" i="41"/>
  <c r="K133" i="28"/>
  <c r="AC136" i="10"/>
  <c r="AR139" i="28"/>
  <c r="W136" i="10"/>
  <c r="Q137" i="10"/>
  <c r="K134" i="23"/>
  <c r="AQ140" i="10"/>
  <c r="AE142" i="10"/>
  <c r="Z141" i="20"/>
  <c r="F24" i="21" s="1"/>
  <c r="AH142" i="10"/>
  <c r="AH140" i="10" s="1"/>
  <c r="N36" i="1" s="1"/>
  <c r="AB142" i="10"/>
  <c r="AB140" i="10" s="1"/>
  <c r="L36" i="1" s="1"/>
  <c r="AS140" i="10"/>
  <c r="P36" i="1" s="1"/>
  <c r="CI143" i="10"/>
  <c r="CJ143" i="10" s="1"/>
  <c r="AE141" i="20"/>
  <c r="K24" i="21" s="1"/>
  <c r="AP141" i="2"/>
  <c r="H23" i="19" s="1"/>
  <c r="AM141" i="2"/>
  <c r="E23" i="19" s="1"/>
  <c r="AD141" i="20"/>
  <c r="J24" i="21" s="1"/>
  <c r="AG140" i="10"/>
  <c r="AG119" i="10" s="1"/>
  <c r="AO141" i="2"/>
  <c r="G23" i="19" s="1"/>
  <c r="CI144" i="10"/>
  <c r="O147" i="38"/>
  <c r="AE140" i="27"/>
  <c r="AL141" i="2"/>
  <c r="D23" i="19" s="1"/>
  <c r="D56" i="19" s="1"/>
  <c r="AN141" i="2"/>
  <c r="F23" i="19" s="1"/>
  <c r="CI145" i="10"/>
  <c r="AE141" i="10"/>
  <c r="S141" i="10"/>
  <c r="AA141" i="10"/>
  <c r="AA140" i="10" s="1"/>
  <c r="AA119" i="10" s="1"/>
  <c r="U141" i="10"/>
  <c r="W140" i="10"/>
  <c r="K36" i="1" s="1"/>
  <c r="L147" i="38"/>
  <c r="S140" i="27"/>
  <c r="N147" i="38"/>
  <c r="AA140" i="27"/>
  <c r="M147" i="38"/>
  <c r="W140" i="27"/>
  <c r="K147" i="38"/>
  <c r="O140" i="27"/>
  <c r="J147" i="38"/>
  <c r="K140" i="27"/>
  <c r="AC141" i="20"/>
  <c r="I24" i="21" s="1"/>
  <c r="AD142" i="10"/>
  <c r="AD140" i="10" s="1"/>
  <c r="AD119" i="10" s="1"/>
  <c r="X142" i="10"/>
  <c r="X140" i="10" s="1"/>
  <c r="X119" i="10" s="1"/>
  <c r="AK140" i="10"/>
  <c r="AB141" i="20"/>
  <c r="H24" i="21" s="1"/>
  <c r="AM140" i="10"/>
  <c r="Y142" i="10"/>
  <c r="Y140" i="10" s="1"/>
  <c r="Y119" i="10" s="1"/>
  <c r="Y141" i="20"/>
  <c r="E24" i="21" s="1"/>
  <c r="AA141" i="20"/>
  <c r="G24" i="21" s="1"/>
  <c r="Z140" i="10"/>
  <c r="Z119" i="10" s="1"/>
  <c r="AB142" i="28" l="1"/>
  <c r="R142" i="28"/>
  <c r="W142" i="28"/>
  <c r="AG142" i="28"/>
  <c r="AJ142" i="28" s="1"/>
  <c r="AL142" i="28"/>
  <c r="R141" i="28"/>
  <c r="AB141" i="28"/>
  <c r="W141" i="28"/>
  <c r="Z141" i="28" s="1"/>
  <c r="AG141" i="28"/>
  <c r="AL141" i="28"/>
  <c r="W144" i="28"/>
  <c r="R144" i="28"/>
  <c r="U144" i="28" s="1"/>
  <c r="AG144" i="28"/>
  <c r="AL144" i="28"/>
  <c r="AB144" i="28"/>
  <c r="AE144" i="28" s="1"/>
  <c r="AB143" i="28"/>
  <c r="AE143" i="28" s="1"/>
  <c r="W143" i="28"/>
  <c r="Z143" i="28" s="1"/>
  <c r="R143" i="28"/>
  <c r="AG143" i="28"/>
  <c r="AJ143" i="28" s="1"/>
  <c r="AL143" i="28"/>
  <c r="AJ144" i="28"/>
  <c r="M113" i="41"/>
  <c r="Z145" i="27"/>
  <c r="V145" i="23"/>
  <c r="Y145" i="27"/>
  <c r="O111" i="74"/>
  <c r="L111" i="74"/>
  <c r="J23" i="30"/>
  <c r="M23" i="30" s="1"/>
  <c r="P23" i="30" s="1"/>
  <c r="S23" i="30" s="1"/>
  <c r="V23" i="30" s="1"/>
  <c r="R111" i="74"/>
  <c r="Y145" i="23"/>
  <c r="R145" i="27"/>
  <c r="Q114" i="74"/>
  <c r="R114" i="74" s="1"/>
  <c r="S145" i="23"/>
  <c r="N114" i="74"/>
  <c r="O114" i="74" s="1"/>
  <c r="AB145" i="23"/>
  <c r="K114" i="74"/>
  <c r="L114" i="74" s="1"/>
  <c r="O113" i="41"/>
  <c r="S113" i="41"/>
  <c r="T113" i="41"/>
  <c r="N106" i="40"/>
  <c r="I106" i="41"/>
  <c r="N110" i="40"/>
  <c r="I110" i="41"/>
  <c r="M109" i="40"/>
  <c r="O109" i="40"/>
  <c r="J109" i="41"/>
  <c r="K109" i="41" s="1"/>
  <c r="Q113" i="41"/>
  <c r="Z144" i="28"/>
  <c r="U145" i="27"/>
  <c r="P145" i="23"/>
  <c r="AC145" i="27"/>
  <c r="AD145" i="27"/>
  <c r="V145" i="27"/>
  <c r="Q145" i="27"/>
  <c r="AG145" i="27"/>
  <c r="I113" i="40"/>
  <c r="AH145" i="27"/>
  <c r="L145" i="27"/>
  <c r="P140" i="27"/>
  <c r="V143" i="23"/>
  <c r="Z143" i="27"/>
  <c r="Y143" i="27"/>
  <c r="Y144" i="23"/>
  <c r="AD144" i="27"/>
  <c r="AC144" i="27"/>
  <c r="P111" i="41"/>
  <c r="T111" i="41"/>
  <c r="M111" i="41"/>
  <c r="O111" i="41"/>
  <c r="S111" i="41"/>
  <c r="Z142" i="28"/>
  <c r="AE142" i="28"/>
  <c r="AH144" i="27"/>
  <c r="AG144" i="27"/>
  <c r="I112" i="40"/>
  <c r="AB144" i="23"/>
  <c r="P110" i="41"/>
  <c r="O110" i="41"/>
  <c r="T110" i="41"/>
  <c r="M110" i="41"/>
  <c r="S110" i="41"/>
  <c r="M141" i="23"/>
  <c r="AG143" i="27"/>
  <c r="AH143" i="27"/>
  <c r="AB143" i="23"/>
  <c r="I111" i="40"/>
  <c r="Q144" i="27"/>
  <c r="L144" i="27"/>
  <c r="H113" i="74" s="1"/>
  <c r="I113" i="74" s="1"/>
  <c r="P144" i="23"/>
  <c r="R144" i="27"/>
  <c r="Q143" i="27"/>
  <c r="L143" i="27"/>
  <c r="H112" i="74" s="1"/>
  <c r="I112" i="74" s="1"/>
  <c r="P143" i="23"/>
  <c r="R143" i="27"/>
  <c r="S144" i="23"/>
  <c r="V144" i="27"/>
  <c r="U144" i="27"/>
  <c r="AH142" i="27"/>
  <c r="I110" i="40"/>
  <c r="AG142" i="27"/>
  <c r="AF140" i="27"/>
  <c r="AB142" i="23"/>
  <c r="S142" i="23"/>
  <c r="U142" i="27"/>
  <c r="V142" i="27"/>
  <c r="N141" i="27"/>
  <c r="M141" i="27"/>
  <c r="J109" i="40"/>
  <c r="R109" i="41"/>
  <c r="AO140" i="28"/>
  <c r="AB140" i="27"/>
  <c r="AD142" i="27"/>
  <c r="Y142" i="23"/>
  <c r="AC142" i="27"/>
  <c r="AD143" i="27"/>
  <c r="AC143" i="27"/>
  <c r="Y143" i="23"/>
  <c r="U143" i="27"/>
  <c r="V143" i="27"/>
  <c r="S143" i="23"/>
  <c r="L140" i="28"/>
  <c r="U140" i="28"/>
  <c r="P112" i="41"/>
  <c r="O112" i="41"/>
  <c r="T112" i="41"/>
  <c r="M112" i="41"/>
  <c r="S112" i="41"/>
  <c r="Y144" i="27"/>
  <c r="Z144" i="27"/>
  <c r="V144" i="23"/>
  <c r="R142" i="27"/>
  <c r="L142" i="27"/>
  <c r="H111" i="74" s="1"/>
  <c r="I111" i="74" s="1"/>
  <c r="Q142" i="27"/>
  <c r="P142" i="23"/>
  <c r="Z142" i="27"/>
  <c r="Y142" i="27"/>
  <c r="V142" i="23"/>
  <c r="X140" i="27"/>
  <c r="T140" i="27"/>
  <c r="E77" i="21"/>
  <c r="F77" i="21" s="1"/>
  <c r="G77" i="21" s="1"/>
  <c r="H77" i="21" s="1"/>
  <c r="I77" i="21" s="1"/>
  <c r="J77" i="21" s="1"/>
  <c r="K77" i="21" s="1"/>
  <c r="L24" i="21"/>
  <c r="L77" i="21" s="1"/>
  <c r="AE140" i="10"/>
  <c r="AE119" i="10" s="1"/>
  <c r="CI142" i="10"/>
  <c r="CJ142" i="10" s="1"/>
  <c r="E56" i="19"/>
  <c r="F56" i="19" s="1"/>
  <c r="G56" i="19" s="1"/>
  <c r="H56" i="19" s="1"/>
  <c r="P140" i="28" l="1"/>
  <c r="O140" i="28"/>
  <c r="M145" i="23"/>
  <c r="M145" i="27"/>
  <c r="H114" i="74"/>
  <c r="I114" i="74" s="1"/>
  <c r="L109" i="41"/>
  <c r="M110" i="40"/>
  <c r="O110" i="40"/>
  <c r="M113" i="40"/>
  <c r="O113" i="40"/>
  <c r="M111" i="40"/>
  <c r="O111" i="40"/>
  <c r="M112" i="40"/>
  <c r="O112" i="40"/>
  <c r="J111" i="41"/>
  <c r="L111" i="41" s="1"/>
  <c r="J112" i="41"/>
  <c r="K112" i="41" s="1"/>
  <c r="J110" i="41"/>
  <c r="L110" i="41" s="1"/>
  <c r="J113" i="41"/>
  <c r="K113" i="41" s="1"/>
  <c r="U109" i="41"/>
  <c r="L144" i="28"/>
  <c r="R113" i="41"/>
  <c r="J113" i="40"/>
  <c r="AO144" i="28"/>
  <c r="Q110" i="41"/>
  <c r="N145" i="27"/>
  <c r="Q112" i="41"/>
  <c r="Y140" i="23"/>
  <c r="S140" i="23"/>
  <c r="K109" i="40"/>
  <c r="L109" i="40"/>
  <c r="M143" i="23"/>
  <c r="M144" i="23"/>
  <c r="Z139" i="28"/>
  <c r="N142" i="27"/>
  <c r="M142" i="27"/>
  <c r="L140" i="27"/>
  <c r="L143" i="28"/>
  <c r="U143" i="28"/>
  <c r="P140" i="23"/>
  <c r="M142" i="23"/>
  <c r="AJ141" i="28"/>
  <c r="AJ139" i="28" s="1"/>
  <c r="AG139" i="28"/>
  <c r="Q111" i="41"/>
  <c r="W139" i="28"/>
  <c r="AB139" i="28"/>
  <c r="AE141" i="28"/>
  <c r="AE139" i="28" s="1"/>
  <c r="M143" i="27"/>
  <c r="N143" i="27"/>
  <c r="M144" i="27"/>
  <c r="N144" i="27"/>
  <c r="R110" i="41"/>
  <c r="J110" i="40"/>
  <c r="AO141" i="28"/>
  <c r="V140" i="23"/>
  <c r="AL139" i="28"/>
  <c r="AB140" i="23"/>
  <c r="AO143" i="28"/>
  <c r="R112" i="41"/>
  <c r="J112" i="40"/>
  <c r="L141" i="28"/>
  <c r="O141" i="28" s="1"/>
  <c r="U141" i="28"/>
  <c r="L142" i="28"/>
  <c r="U142" i="28"/>
  <c r="R111" i="41"/>
  <c r="J111" i="40"/>
  <c r="AO142" i="28"/>
  <c r="R139" i="28"/>
  <c r="E51" i="10"/>
  <c r="D37" i="2"/>
  <c r="B28" i="40" s="1"/>
  <c r="B29" i="74" s="1"/>
  <c r="B29" i="77" s="1"/>
  <c r="P143" i="28" l="1"/>
  <c r="O143" i="28"/>
  <c r="P144" i="28"/>
  <c r="O144" i="28"/>
  <c r="P142" i="28"/>
  <c r="O142" i="28"/>
  <c r="V29" i="74"/>
  <c r="V29" i="77" s="1"/>
  <c r="X29" i="77" s="1"/>
  <c r="M29" i="74"/>
  <c r="M29" i="77" s="1"/>
  <c r="P29" i="74"/>
  <c r="S29" i="74"/>
  <c r="S29" i="77" s="1"/>
  <c r="U29" i="77" s="1"/>
  <c r="G29" i="74"/>
  <c r="J29" i="74"/>
  <c r="D28" i="41"/>
  <c r="H28" i="40"/>
  <c r="K110" i="41"/>
  <c r="U111" i="41"/>
  <c r="K111" i="41"/>
  <c r="U112" i="41"/>
  <c r="L112" i="41"/>
  <c r="U110" i="41"/>
  <c r="U113" i="41"/>
  <c r="L113" i="41"/>
  <c r="K113" i="40"/>
  <c r="L113" i="40"/>
  <c r="AO139" i="28"/>
  <c r="U139" i="28"/>
  <c r="L139" i="28"/>
  <c r="P141" i="28"/>
  <c r="P139" i="28" s="1"/>
  <c r="L110" i="40"/>
  <c r="K110" i="40"/>
  <c r="L112" i="40"/>
  <c r="K112" i="40"/>
  <c r="L111" i="40"/>
  <c r="K111" i="40"/>
  <c r="M140" i="23"/>
  <c r="AA153" i="10"/>
  <c r="Z153" i="10"/>
  <c r="Y153" i="10"/>
  <c r="U153" i="10"/>
  <c r="T153" i="10"/>
  <c r="S153" i="10"/>
  <c r="O139" i="28" l="1"/>
  <c r="R29" i="74"/>
  <c r="P29" i="77"/>
  <c r="L29" i="74"/>
  <c r="J29" i="77"/>
  <c r="O29" i="74"/>
  <c r="I29" i="74"/>
  <c r="G29" i="77"/>
  <c r="I28" i="41"/>
  <c r="K28" i="41" s="1"/>
  <c r="M28" i="40"/>
  <c r="K28" i="40"/>
  <c r="J156" i="10"/>
  <c r="P156" i="10" s="1"/>
  <c r="F154" i="10"/>
  <c r="L154" i="10" s="1"/>
  <c r="W58" i="8"/>
  <c r="V64" i="7"/>
  <c r="AK151" i="2"/>
  <c r="V59" i="6"/>
  <c r="AK103" i="2"/>
  <c r="CH102" i="10" s="1"/>
  <c r="DE103" i="20" l="1"/>
  <c r="DA103" i="20"/>
  <c r="DG103" i="20"/>
  <c r="DB103" i="20"/>
  <c r="DD103" i="20"/>
  <c r="DC103" i="20"/>
  <c r="DF103" i="20"/>
  <c r="DC151" i="20"/>
  <c r="DE151" i="20"/>
  <c r="DF151" i="20"/>
  <c r="DB151" i="20"/>
  <c r="DA151" i="20"/>
  <c r="DG151" i="20"/>
  <c r="DD151" i="20"/>
  <c r="CJ103" i="20"/>
  <c r="CM103" i="20"/>
  <c r="CI103" i="20"/>
  <c r="CL103" i="20"/>
  <c r="CH103" i="20"/>
  <c r="CK103" i="20"/>
  <c r="CG103" i="20"/>
  <c r="BP103" i="20"/>
  <c r="AX103" i="20"/>
  <c r="AT103" i="20"/>
  <c r="AB103" i="20"/>
  <c r="AV103" i="20"/>
  <c r="AY103" i="20"/>
  <c r="Y103" i="20"/>
  <c r="BS103" i="20"/>
  <c r="BO103" i="20"/>
  <c r="AW103" i="20"/>
  <c r="AS103" i="20"/>
  <c r="AE103" i="20"/>
  <c r="AA103" i="20"/>
  <c r="AD103" i="20"/>
  <c r="BM103" i="20"/>
  <c r="AC103" i="20"/>
  <c r="BR103" i="20"/>
  <c r="BN103" i="20"/>
  <c r="Z103" i="20"/>
  <c r="BQ103" i="20"/>
  <c r="AU103" i="20"/>
  <c r="CM151" i="20"/>
  <c r="CI151" i="20"/>
  <c r="CL151" i="20"/>
  <c r="CH151" i="20"/>
  <c r="CK151" i="20"/>
  <c r="CG151" i="20"/>
  <c r="CJ151" i="20"/>
  <c r="AV151" i="20"/>
  <c r="AD151" i="20"/>
  <c r="Z151" i="20"/>
  <c r="AY151" i="20"/>
  <c r="AU151" i="20"/>
  <c r="AC151" i="20"/>
  <c r="Y151" i="20"/>
  <c r="AX151" i="20"/>
  <c r="AT151" i="20"/>
  <c r="AB151" i="20"/>
  <c r="AW151" i="20"/>
  <c r="AA151" i="20"/>
  <c r="AS151" i="20"/>
  <c r="AE151" i="20"/>
  <c r="CR42" i="10"/>
  <c r="CS42" i="10" s="1"/>
  <c r="CR40" i="10"/>
  <c r="CS40" i="10" s="1"/>
  <c r="CR39" i="10" l="1"/>
  <c r="CS39" i="10" s="1"/>
  <c r="CT36" i="10"/>
  <c r="CU36" i="10" s="1"/>
  <c r="CT34" i="10"/>
  <c r="CU34" i="10" s="1"/>
  <c r="A121" i="38" l="1"/>
  <c r="B121" i="38"/>
  <c r="R121" i="38"/>
  <c r="S121" i="38"/>
  <c r="A33" i="38"/>
  <c r="A34" i="38"/>
  <c r="A35" i="38"/>
  <c r="A36" i="38"/>
  <c r="A37" i="38"/>
  <c r="A38" i="38"/>
  <c r="A39" i="38"/>
  <c r="A40" i="38"/>
  <c r="A41" i="38"/>
  <c r="A42" i="38"/>
  <c r="A43" i="38"/>
  <c r="A44" i="38"/>
  <c r="A45" i="38"/>
  <c r="A46" i="38"/>
  <c r="A47" i="38"/>
  <c r="A48" i="38"/>
  <c r="A49" i="38"/>
  <c r="A50" i="38"/>
  <c r="A51" i="38"/>
  <c r="AK10" i="2" l="1"/>
  <c r="A53" i="9"/>
  <c r="A65" i="9"/>
  <c r="A67" i="9"/>
  <c r="A70" i="9"/>
  <c r="M50" i="9"/>
  <c r="N50" i="9"/>
  <c r="O50" i="9"/>
  <c r="P50" i="9"/>
  <c r="Q50" i="9"/>
  <c r="A58" i="8"/>
  <c r="A60" i="8"/>
  <c r="A63" i="8"/>
  <c r="A70" i="8"/>
  <c r="A71" i="8"/>
  <c r="M45" i="8"/>
  <c r="N45" i="8"/>
  <c r="O45" i="8"/>
  <c r="P45" i="8"/>
  <c r="Q45" i="8"/>
  <c r="A40" i="8"/>
  <c r="A44" i="8"/>
  <c r="A46" i="8"/>
  <c r="A48" i="8"/>
  <c r="A66" i="7"/>
  <c r="A69" i="7"/>
  <c r="A76" i="7"/>
  <c r="A64" i="7"/>
  <c r="A13" i="7"/>
  <c r="A14" i="7"/>
  <c r="A18" i="7"/>
  <c r="A20" i="7"/>
  <c r="A24" i="7"/>
  <c r="A25" i="7"/>
  <c r="A26" i="7"/>
  <c r="A28" i="7"/>
  <c r="A30" i="7"/>
  <c r="A35" i="3"/>
  <c r="A36" i="3"/>
  <c r="A40" i="3"/>
  <c r="A42" i="3"/>
  <c r="A44" i="3"/>
  <c r="A14" i="3"/>
  <c r="A16" i="3"/>
  <c r="A18" i="3"/>
  <c r="A20" i="3"/>
  <c r="A23" i="3"/>
  <c r="A25" i="3"/>
  <c r="A28" i="3"/>
  <c r="A30" i="3"/>
  <c r="CH9" i="10" l="1"/>
  <c r="DG10" i="20"/>
  <c r="DF10" i="20"/>
  <c r="DC10" i="20"/>
  <c r="DD10" i="20"/>
  <c r="DE10" i="20"/>
  <c r="DA10" i="20"/>
  <c r="DB10" i="20"/>
  <c r="CM10" i="20"/>
  <c r="CI10" i="20"/>
  <c r="CL10" i="20"/>
  <c r="CH10" i="20"/>
  <c r="CK10" i="20"/>
  <c r="CG10" i="20"/>
  <c r="CJ10" i="20"/>
  <c r="BS10" i="20"/>
  <c r="BO10" i="20"/>
  <c r="AD10" i="20"/>
  <c r="Z10" i="20"/>
  <c r="BR10" i="20"/>
  <c r="BN10" i="20"/>
  <c r="AC10" i="20"/>
  <c r="Y10" i="20"/>
  <c r="BQ10" i="20"/>
  <c r="BM10" i="20"/>
  <c r="AB10" i="20"/>
  <c r="AA10" i="20"/>
  <c r="AE10" i="20"/>
  <c r="BP10" i="20"/>
  <c r="AV10" i="20"/>
  <c r="AX10" i="20"/>
  <c r="AT10" i="20"/>
  <c r="AY10" i="20"/>
  <c r="AU10" i="20"/>
  <c r="AW10" i="20"/>
  <c r="AS10" i="20"/>
  <c r="A100" i="28"/>
  <c r="A5" i="28"/>
  <c r="A6" i="28"/>
  <c r="A7" i="28"/>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125" i="27"/>
  <c r="A126" i="27"/>
  <c r="A127" i="27"/>
  <c r="A128" i="27"/>
  <c r="A134" i="27"/>
  <c r="A135" i="27"/>
  <c r="A136" i="27"/>
  <c r="A85"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0" i="27"/>
  <c r="A71" i="27"/>
  <c r="A72" i="27"/>
  <c r="A73" i="27"/>
  <c r="A74" i="27"/>
  <c r="A38" i="27"/>
  <c r="A39" i="27"/>
  <c r="A40" i="27"/>
  <c r="A41" i="27"/>
  <c r="A42" i="27"/>
  <c r="A43" i="27"/>
  <c r="A44" i="27"/>
  <c r="Z166" i="23"/>
  <c r="W166" i="23"/>
  <c r="T166" i="23"/>
  <c r="Q166" i="23"/>
  <c r="N166" i="23"/>
  <c r="K166" i="23"/>
  <c r="Z139" i="23"/>
  <c r="W139" i="23"/>
  <c r="T139" i="23"/>
  <c r="Q139" i="23"/>
  <c r="N139" i="23"/>
  <c r="Z138" i="23"/>
  <c r="W138" i="23"/>
  <c r="T138" i="23"/>
  <c r="Q138" i="23"/>
  <c r="N138" i="23"/>
  <c r="Z137" i="23"/>
  <c r="W137" i="23"/>
  <c r="T137" i="23"/>
  <c r="Q137" i="23"/>
  <c r="N137" i="23"/>
  <c r="Z136" i="23"/>
  <c r="W136" i="23"/>
  <c r="T136" i="23"/>
  <c r="Q136" i="23"/>
  <c r="N136" i="23"/>
  <c r="Z135" i="23"/>
  <c r="W135" i="23"/>
  <c r="T135" i="23"/>
  <c r="Q135" i="23"/>
  <c r="N135" i="23"/>
  <c r="Z128" i="23"/>
  <c r="W128" i="23"/>
  <c r="T128" i="23"/>
  <c r="Q128" i="23"/>
  <c r="N128" i="23"/>
  <c r="K128" i="23"/>
  <c r="Z127" i="23"/>
  <c r="W127" i="23"/>
  <c r="T127" i="23"/>
  <c r="Q127" i="23"/>
  <c r="N127" i="23"/>
  <c r="K127" i="23"/>
  <c r="Z126" i="23"/>
  <c r="W126" i="23"/>
  <c r="T126" i="23"/>
  <c r="Q126" i="23"/>
  <c r="N126" i="23"/>
  <c r="K126" i="23"/>
  <c r="Z125" i="23"/>
  <c r="W125" i="23"/>
  <c r="T125" i="23"/>
  <c r="Q125" i="23"/>
  <c r="N125" i="23"/>
  <c r="K125" i="23"/>
  <c r="W124" i="23"/>
  <c r="N124" i="23"/>
  <c r="Z123" i="23"/>
  <c r="W123" i="23"/>
  <c r="T123" i="23"/>
  <c r="Q123" i="23"/>
  <c r="N123" i="23"/>
  <c r="K123" i="23"/>
  <c r="Z122" i="23"/>
  <c r="W122" i="23"/>
  <c r="T122" i="23"/>
  <c r="Q122" i="23"/>
  <c r="N122" i="23"/>
  <c r="K122" i="23"/>
  <c r="Z121" i="23"/>
  <c r="W121" i="23"/>
  <c r="T121" i="23"/>
  <c r="Q121" i="23"/>
  <c r="N121" i="23"/>
  <c r="K121" i="23"/>
  <c r="A107" i="23"/>
  <c r="A108" i="23"/>
  <c r="A109" i="23"/>
  <c r="A110" i="23"/>
  <c r="A111" i="23"/>
  <c r="A112" i="23"/>
  <c r="A113" i="23"/>
  <c r="A114" i="23"/>
  <c r="A115" i="23"/>
  <c r="A116" i="23"/>
  <c r="A117" i="23"/>
  <c r="A118" i="23"/>
  <c r="A119" i="23"/>
  <c r="A120" i="23"/>
  <c r="A121" i="23"/>
  <c r="A122" i="23"/>
  <c r="A123" i="23"/>
  <c r="A124" i="23"/>
  <c r="A125" i="23"/>
  <c r="N134" i="23" l="1"/>
  <c r="W120" i="23"/>
  <c r="Z134" i="23"/>
  <c r="N120" i="23"/>
  <c r="Q134" i="23"/>
  <c r="T134" i="23"/>
  <c r="W134" i="23"/>
  <c r="W119" i="23" s="1"/>
  <c r="A169" i="26"/>
  <c r="A45" i="26"/>
  <c r="A6" i="26"/>
  <c r="A120" i="25"/>
  <c r="A154" i="25"/>
  <c r="A155" i="25"/>
  <c r="A156" i="25"/>
  <c r="A157" i="25"/>
  <c r="A158" i="25"/>
  <c r="A159" i="25"/>
  <c r="A160" i="25"/>
  <c r="A161" i="25"/>
  <c r="A162" i="25"/>
  <c r="A163" i="25"/>
  <c r="A164" i="25"/>
  <c r="A165" i="25"/>
  <c r="A166" i="25"/>
  <c r="A167" i="25"/>
  <c r="A168" i="25"/>
  <c r="A169" i="25"/>
  <c r="A170" i="25"/>
  <c r="A171" i="25"/>
  <c r="A172" i="25"/>
  <c r="A173" i="25"/>
  <c r="A174" i="25"/>
  <c r="A175" i="25"/>
  <c r="A176" i="25"/>
  <c r="A177" i="25"/>
  <c r="A67" i="25"/>
  <c r="A68" i="25"/>
  <c r="A69" i="25"/>
  <c r="A70" i="25"/>
  <c r="A71" i="25"/>
  <c r="A72" i="25"/>
  <c r="A73" i="25"/>
  <c r="A74" i="25"/>
  <c r="A75" i="25"/>
  <c r="A76" i="25"/>
  <c r="A77" i="25"/>
  <c r="A78" i="25"/>
  <c r="A79" i="25"/>
  <c r="A80" i="25"/>
  <c r="A81" i="25"/>
  <c r="A82" i="25"/>
  <c r="A83" i="25"/>
  <c r="A86" i="25"/>
  <c r="A87" i="25"/>
  <c r="A88" i="25"/>
  <c r="A89" i="25"/>
  <c r="A90" i="25"/>
  <c r="A91" i="25"/>
  <c r="A56" i="25"/>
  <c r="A58" i="25"/>
  <c r="A59" i="25"/>
  <c r="A60" i="25"/>
  <c r="A61" i="25"/>
  <c r="A62" i="25"/>
  <c r="A63" i="25"/>
  <c r="A64" i="25"/>
  <c r="A65" i="25"/>
  <c r="A66" i="25"/>
  <c r="P36" i="25"/>
  <c r="O36" i="25"/>
  <c r="N36" i="25"/>
  <c r="M36" i="25"/>
  <c r="L36" i="25"/>
  <c r="K36" i="25"/>
  <c r="A39" i="25"/>
  <c r="A40" i="25"/>
  <c r="A41" i="25"/>
  <c r="A42" i="25"/>
  <c r="A43" i="25"/>
  <c r="A44" i="25"/>
  <c r="A45" i="25"/>
  <c r="A46" i="25"/>
  <c r="A47" i="25"/>
  <c r="A48" i="25"/>
  <c r="A49" i="25"/>
  <c r="A50" i="25"/>
  <c r="A51" i="25"/>
  <c r="A52" i="25"/>
  <c r="A53" i="25"/>
  <c r="A54" i="25"/>
  <c r="A55" i="25"/>
  <c r="A57" i="25"/>
  <c r="P32" i="25"/>
  <c r="O32" i="25"/>
  <c r="N32" i="25"/>
  <c r="M32" i="25"/>
  <c r="L32" i="25"/>
  <c r="K32" i="25"/>
  <c r="A32" i="24"/>
  <c r="A169" i="24"/>
  <c r="A170" i="24"/>
  <c r="A171" i="24"/>
  <c r="A172" i="24"/>
  <c r="A173" i="24"/>
  <c r="A174" i="24"/>
  <c r="A175" i="24"/>
  <c r="A176" i="24"/>
  <c r="A177" i="24"/>
  <c r="A178" i="24"/>
  <c r="A179" i="24"/>
  <c r="A180" i="24"/>
  <c r="A55" i="24"/>
  <c r="A56" i="24"/>
  <c r="A57" i="24"/>
  <c r="A58" i="24"/>
  <c r="A59" i="24"/>
  <c r="A60" i="24"/>
  <c r="A61" i="24"/>
  <c r="A62" i="24"/>
  <c r="A63" i="24"/>
  <c r="A64" i="24"/>
  <c r="A65" i="24"/>
  <c r="A66" i="24"/>
  <c r="A67" i="24"/>
  <c r="A68" i="24"/>
  <c r="A69" i="24"/>
  <c r="A70" i="24"/>
  <c r="A71" i="24"/>
  <c r="A72" i="24"/>
  <c r="A73" i="24"/>
  <c r="A45" i="24"/>
  <c r="N119" i="23" l="1"/>
  <c r="A38" i="24"/>
  <c r="A39" i="24"/>
  <c r="A40" i="24"/>
  <c r="A41" i="24"/>
  <c r="A42" i="24"/>
  <c r="A43" i="24"/>
  <c r="A44" i="24"/>
  <c r="A46" i="24"/>
  <c r="A47" i="24"/>
  <c r="A48" i="24"/>
  <c r="A49" i="24"/>
  <c r="A50" i="24"/>
  <c r="A51" i="24"/>
  <c r="A52" i="24"/>
  <c r="A53" i="24"/>
  <c r="A54" i="24"/>
  <c r="AF180" i="2" l="1"/>
  <c r="AF179" i="2"/>
  <c r="AF178" i="2"/>
  <c r="AF177" i="2"/>
  <c r="AF176" i="2"/>
  <c r="AF175" i="2"/>
  <c r="AF174" i="2"/>
  <c r="AJ171" i="2"/>
  <c r="AI171" i="2"/>
  <c r="AH171" i="2"/>
  <c r="AG171" i="2"/>
  <c r="AF171" i="2"/>
  <c r="AF167" i="2"/>
  <c r="AF166" i="2"/>
  <c r="AF165" i="2"/>
  <c r="AF164" i="2"/>
  <c r="AF163" i="2"/>
  <c r="AF162" i="2"/>
  <c r="AF159" i="2"/>
  <c r="AF158" i="2"/>
  <c r="AF157" i="2"/>
  <c r="AF156" i="2"/>
  <c r="AF155" i="2"/>
  <c r="AF149" i="2"/>
  <c r="AF150" i="2"/>
  <c r="AF151" i="2"/>
  <c r="AF152" i="2"/>
  <c r="AF153" i="2"/>
  <c r="S187" i="38" l="1"/>
  <c r="R187" i="38"/>
  <c r="S186" i="38"/>
  <c r="R186" i="38"/>
  <c r="S181" i="38"/>
  <c r="R181" i="38"/>
  <c r="S173" i="38"/>
  <c r="R173" i="38"/>
  <c r="S146" i="38"/>
  <c r="R146" i="38"/>
  <c r="S145" i="38"/>
  <c r="R145" i="38"/>
  <c r="S144" i="38"/>
  <c r="R144" i="38"/>
  <c r="S143" i="38"/>
  <c r="R143" i="38"/>
  <c r="S142" i="38"/>
  <c r="R142" i="38"/>
  <c r="S141" i="38"/>
  <c r="R141" i="38"/>
  <c r="S140" i="38"/>
  <c r="R140" i="38"/>
  <c r="S139" i="38"/>
  <c r="R139" i="38"/>
  <c r="S138" i="38"/>
  <c r="R138" i="38"/>
  <c r="S137" i="38"/>
  <c r="R137" i="38"/>
  <c r="S136" i="38"/>
  <c r="R136" i="38"/>
  <c r="S129" i="38"/>
  <c r="R129" i="38"/>
  <c r="S128" i="38"/>
  <c r="R128" i="38"/>
  <c r="S127" i="38"/>
  <c r="R127" i="38"/>
  <c r="S126" i="38"/>
  <c r="R126" i="38"/>
  <c r="S125" i="38"/>
  <c r="R125" i="38"/>
  <c r="S124" i="38"/>
  <c r="R124" i="38"/>
  <c r="S123" i="38"/>
  <c r="R123" i="38"/>
  <c r="S122" i="38"/>
  <c r="R122" i="38"/>
  <c r="S80" i="38"/>
  <c r="R80" i="38"/>
  <c r="R86" i="38"/>
  <c r="AF119" i="2"/>
  <c r="AF118" i="2"/>
  <c r="AF117" i="2"/>
  <c r="AF116" i="2"/>
  <c r="AF115" i="2"/>
  <c r="AF113" i="2"/>
  <c r="AF112" i="2"/>
  <c r="AF111" i="2"/>
  <c r="AF110" i="2"/>
  <c r="AF109" i="2"/>
  <c r="AF107" i="2"/>
  <c r="P107" i="38" s="1"/>
  <c r="S107" i="38" s="1"/>
  <c r="AF106" i="2"/>
  <c r="AF105" i="2"/>
  <c r="AF104" i="2"/>
  <c r="AF103" i="2"/>
  <c r="AF98" i="2"/>
  <c r="AF97" i="2"/>
  <c r="AF96" i="2"/>
  <c r="AF95" i="2"/>
  <c r="AF94" i="2"/>
  <c r="AF93" i="2"/>
  <c r="R107" i="38" l="1"/>
  <c r="AF91" i="2"/>
  <c r="AF90" i="2"/>
  <c r="AF89" i="2"/>
  <c r="AF88" i="2"/>
  <c r="AF87" i="2"/>
  <c r="AF83" i="2"/>
  <c r="AF82" i="2"/>
  <c r="AF81" i="2"/>
  <c r="AF80" i="2"/>
  <c r="AF78" i="2"/>
  <c r="AF77" i="2"/>
  <c r="AF76" i="2"/>
  <c r="AF75" i="2"/>
  <c r="AK71" i="2"/>
  <c r="AI71" i="2"/>
  <c r="CG70" i="10" s="1"/>
  <c r="AH71" i="2"/>
  <c r="AG71" i="2"/>
  <c r="AF71" i="2"/>
  <c r="AK70" i="2"/>
  <c r="AI70" i="2"/>
  <c r="CG69" i="10" s="1"/>
  <c r="AH70" i="2"/>
  <c r="AF72" i="2"/>
  <c r="AF70" i="2"/>
  <c r="AF69" i="2"/>
  <c r="AF68" i="2"/>
  <c r="AF63" i="2"/>
  <c r="AJ63" i="2"/>
  <c r="AI63" i="2"/>
  <c r="CG62" i="10" s="1"/>
  <c r="AH63" i="2"/>
  <c r="AG63" i="2"/>
  <c r="AF66" i="2"/>
  <c r="AF65" i="2"/>
  <c r="AF64" i="2"/>
  <c r="AF60" i="2"/>
  <c r="AF59" i="2"/>
  <c r="AF52" i="2"/>
  <c r="AI52" i="2"/>
  <c r="CG51" i="10" s="1"/>
  <c r="AH52" i="2"/>
  <c r="AG52" i="2"/>
  <c r="AF55" i="2"/>
  <c r="AF54" i="2"/>
  <c r="AF53" i="2"/>
  <c r="AF51" i="2"/>
  <c r="AF49" i="2"/>
  <c r="AF48" i="2"/>
  <c r="AF47" i="2"/>
  <c r="P47" i="38" s="1"/>
  <c r="R47" i="38" s="1"/>
  <c r="CK70" i="10" l="1"/>
  <c r="CH69" i="10"/>
  <c r="CS69" i="10" s="1"/>
  <c r="CT69" i="10" s="1"/>
  <c r="DG70" i="20"/>
  <c r="DE70" i="20"/>
  <c r="DD70" i="20"/>
  <c r="DC70" i="20"/>
  <c r="DB70" i="20"/>
  <c r="DF70" i="20"/>
  <c r="DA70" i="20"/>
  <c r="CH70" i="10"/>
  <c r="DG71" i="20"/>
  <c r="DC71" i="20"/>
  <c r="DF71" i="20"/>
  <c r="DB71" i="20"/>
  <c r="DE71" i="20"/>
  <c r="DD71" i="20"/>
  <c r="DA71" i="20"/>
  <c r="CJ71" i="20"/>
  <c r="CM71" i="20"/>
  <c r="CI71" i="20"/>
  <c r="CK71" i="20"/>
  <c r="CL71" i="20"/>
  <c r="CH71" i="20"/>
  <c r="CG71" i="20"/>
  <c r="BR71" i="20"/>
  <c r="BN71" i="20"/>
  <c r="AW71" i="20"/>
  <c r="AS71" i="20"/>
  <c r="AB71" i="20"/>
  <c r="AX71" i="20"/>
  <c r="BQ71" i="20"/>
  <c r="BM71" i="20"/>
  <c r="AV71" i="20"/>
  <c r="AE71" i="20"/>
  <c r="AA71" i="20"/>
  <c r="BO71" i="20"/>
  <c r="AC71" i="20"/>
  <c r="BP71" i="20"/>
  <c r="AY71" i="20"/>
  <c r="AU71" i="20"/>
  <c r="AD71" i="20"/>
  <c r="Z71" i="20"/>
  <c r="BS71" i="20"/>
  <c r="AT71" i="20"/>
  <c r="Y71" i="20"/>
  <c r="CL70" i="20"/>
  <c r="CH70" i="20"/>
  <c r="CK70" i="20"/>
  <c r="CG70" i="20"/>
  <c r="CJ70" i="20"/>
  <c r="CI70" i="20"/>
  <c r="CM70" i="20"/>
  <c r="BQ70" i="20"/>
  <c r="BM70" i="20"/>
  <c r="AX70" i="20"/>
  <c r="AT70" i="20"/>
  <c r="AE70" i="20"/>
  <c r="AA70" i="20"/>
  <c r="BP70" i="20"/>
  <c r="AW70" i="20"/>
  <c r="AS70" i="20"/>
  <c r="AD70" i="20"/>
  <c r="Z70" i="20"/>
  <c r="BS70" i="20"/>
  <c r="BO70" i="20"/>
  <c r="AV70" i="20"/>
  <c r="AC70" i="20"/>
  <c r="Y70" i="20"/>
  <c r="BR70" i="20"/>
  <c r="AY70" i="20"/>
  <c r="AB70" i="20"/>
  <c r="BN70" i="20"/>
  <c r="AU70" i="20"/>
  <c r="BS52" i="20"/>
  <c r="BO52" i="20"/>
  <c r="AX52" i="20"/>
  <c r="AT52" i="20"/>
  <c r="AC52" i="20"/>
  <c r="Y52" i="20"/>
  <c r="BP52" i="20"/>
  <c r="AU52" i="20"/>
  <c r="Z52" i="20"/>
  <c r="BR52" i="20"/>
  <c r="BN52" i="20"/>
  <c r="AW52" i="20"/>
  <c r="AS52" i="20"/>
  <c r="AB52" i="20"/>
  <c r="AD52" i="20"/>
  <c r="BQ52" i="20"/>
  <c r="BM52" i="20"/>
  <c r="AV52" i="20"/>
  <c r="AE52" i="20"/>
  <c r="AA52" i="20"/>
  <c r="AY52" i="20"/>
  <c r="S47" i="38"/>
  <c r="P45" i="38"/>
  <c r="AF44" i="2"/>
  <c r="P44" i="38" s="1"/>
  <c r="AF43" i="2"/>
  <c r="P43" i="38" s="1"/>
  <c r="AF42" i="2"/>
  <c r="P42" i="38" s="1"/>
  <c r="AF41" i="2"/>
  <c r="P41" i="38" s="1"/>
  <c r="AF40" i="2"/>
  <c r="P40" i="38" s="1"/>
  <c r="P187" i="38"/>
  <c r="P186" i="38"/>
  <c r="P185" i="38"/>
  <c r="P184" i="38"/>
  <c r="P183" i="38"/>
  <c r="P182" i="38"/>
  <c r="P181" i="38"/>
  <c r="P180" i="38"/>
  <c r="P177" i="38"/>
  <c r="P173" i="38"/>
  <c r="P172" i="38"/>
  <c r="P171" i="38"/>
  <c r="P170" i="38"/>
  <c r="P169" i="38"/>
  <c r="P168" i="38"/>
  <c r="P165" i="38"/>
  <c r="P164" i="38"/>
  <c r="P163" i="38"/>
  <c r="P162" i="38"/>
  <c r="P161" i="38"/>
  <c r="P159" i="38"/>
  <c r="P158" i="38"/>
  <c r="P157" i="38"/>
  <c r="P156" i="38"/>
  <c r="P155" i="38"/>
  <c r="P146" i="38"/>
  <c r="P145" i="38"/>
  <c r="P144" i="38"/>
  <c r="P143" i="38"/>
  <c r="P142" i="38"/>
  <c r="P141" i="38"/>
  <c r="P140" i="38"/>
  <c r="P139" i="38"/>
  <c r="P138" i="38"/>
  <c r="P137" i="38"/>
  <c r="P136" i="38"/>
  <c r="P129" i="38"/>
  <c r="P128" i="38"/>
  <c r="P127" i="38"/>
  <c r="P126" i="38"/>
  <c r="P125" i="38"/>
  <c r="P124" i="38"/>
  <c r="P123" i="38"/>
  <c r="P122" i="38"/>
  <c r="P119" i="38"/>
  <c r="P118" i="38"/>
  <c r="P117" i="38"/>
  <c r="P116" i="38"/>
  <c r="R116" i="38" s="1"/>
  <c r="P115" i="38"/>
  <c r="R115" i="38" s="1"/>
  <c r="P113" i="38"/>
  <c r="P112" i="38"/>
  <c r="P111" i="38"/>
  <c r="P110" i="38"/>
  <c r="P109" i="38"/>
  <c r="P106" i="38"/>
  <c r="P105" i="38"/>
  <c r="P104" i="38"/>
  <c r="P103" i="38"/>
  <c r="P98" i="38"/>
  <c r="P97" i="38"/>
  <c r="P96" i="38"/>
  <c r="P95" i="38"/>
  <c r="P94" i="38"/>
  <c r="P93" i="38"/>
  <c r="P91" i="38"/>
  <c r="P90" i="38"/>
  <c r="P89" i="38"/>
  <c r="P88" i="38"/>
  <c r="R88" i="38" s="1"/>
  <c r="P87" i="38"/>
  <c r="P81" i="38"/>
  <c r="P80" i="38"/>
  <c r="P78" i="38"/>
  <c r="P77" i="38"/>
  <c r="P76" i="38"/>
  <c r="P75" i="38"/>
  <c r="P72" i="38"/>
  <c r="P71" i="38"/>
  <c r="R71" i="38" s="1"/>
  <c r="P70" i="38"/>
  <c r="P69" i="38"/>
  <c r="P68" i="38"/>
  <c r="P66" i="38"/>
  <c r="P65" i="38"/>
  <c r="R65" i="38" s="1"/>
  <c r="P64" i="38"/>
  <c r="R64" i="38" s="1"/>
  <c r="P63" i="38"/>
  <c r="R63" i="38" s="1"/>
  <c r="P61" i="38"/>
  <c r="P60" i="38"/>
  <c r="R60" i="38" s="1"/>
  <c r="P59" i="38"/>
  <c r="R59" i="38" s="1"/>
  <c r="P57" i="38"/>
  <c r="P55" i="38"/>
  <c r="R55" i="38" s="1"/>
  <c r="P54" i="38"/>
  <c r="R54" i="38" s="1"/>
  <c r="P53" i="38"/>
  <c r="R53" i="38" s="1"/>
  <c r="P52" i="38"/>
  <c r="P51" i="38"/>
  <c r="R51" i="38" s="1"/>
  <c r="P49" i="38"/>
  <c r="P48" i="38"/>
  <c r="AF38" i="2"/>
  <c r="P38" i="38" s="1"/>
  <c r="AF37" i="2"/>
  <c r="P37" i="38" s="1"/>
  <c r="AF34" i="2"/>
  <c r="P34" i="38" s="1"/>
  <c r="AF35" i="2"/>
  <c r="P35" i="38" s="1"/>
  <c r="P36" i="38"/>
  <c r="AG21" i="2"/>
  <c r="AF21" i="2"/>
  <c r="P21" i="38" s="1"/>
  <c r="R21" i="38" s="1"/>
  <c r="AG31" i="2"/>
  <c r="AF31" i="2"/>
  <c r="P31" i="38" s="1"/>
  <c r="R31" i="38" s="1"/>
  <c r="AH31" i="2"/>
  <c r="AG28" i="2"/>
  <c r="AF28" i="2"/>
  <c r="P28" i="38" s="1"/>
  <c r="R28" i="38" s="1"/>
  <c r="AG25" i="2"/>
  <c r="AF25" i="2"/>
  <c r="P25" i="38" s="1"/>
  <c r="R25" i="38" s="1"/>
  <c r="AG24" i="2"/>
  <c r="AF24" i="2"/>
  <c r="P24" i="38" s="1"/>
  <c r="R24" i="38" s="1"/>
  <c r="AG23" i="2"/>
  <c r="AF23" i="2"/>
  <c r="P23" i="38" s="1"/>
  <c r="R23" i="38" s="1"/>
  <c r="AG22" i="2"/>
  <c r="AF22" i="2"/>
  <c r="P22" i="38" s="1"/>
  <c r="R22" i="38" s="1"/>
  <c r="AF17" i="2"/>
  <c r="P17" i="38" s="1"/>
  <c r="R17" i="38" s="1"/>
  <c r="AG17" i="2"/>
  <c r="AF16" i="2"/>
  <c r="P16" i="38" s="1"/>
  <c r="R16" i="38" s="1"/>
  <c r="AG16" i="2"/>
  <c r="AF32" i="2"/>
  <c r="P32" i="38" s="1"/>
  <c r="R32" i="38" s="1"/>
  <c r="AF30" i="2"/>
  <c r="P30" i="38" s="1"/>
  <c r="R30" i="38" s="1"/>
  <c r="AF29" i="2"/>
  <c r="P29" i="38" s="1"/>
  <c r="R29" i="38" s="1"/>
  <c r="AF27" i="2"/>
  <c r="P27" i="38" s="1"/>
  <c r="R27" i="38" s="1"/>
  <c r="AF26" i="2"/>
  <c r="P26" i="38" s="1"/>
  <c r="R26" i="38" s="1"/>
  <c r="AF20" i="2"/>
  <c r="P20" i="38" s="1"/>
  <c r="R20" i="38" s="1"/>
  <c r="AF19" i="2"/>
  <c r="P19" i="38" s="1"/>
  <c r="R19" i="38" s="1"/>
  <c r="AF18" i="2"/>
  <c r="P18" i="38" s="1"/>
  <c r="R18" i="38" s="1"/>
  <c r="AF15" i="2"/>
  <c r="P15" i="38" s="1"/>
  <c r="R15" i="38" s="1"/>
  <c r="AF14" i="2"/>
  <c r="P14" i="38" s="1"/>
  <c r="R14" i="38" s="1"/>
  <c r="AF13" i="2"/>
  <c r="P13" i="38" s="1"/>
  <c r="R13" i="38" s="1"/>
  <c r="AF12" i="2"/>
  <c r="P12" i="38" s="1"/>
  <c r="R12" i="38" s="1"/>
  <c r="AF11" i="2"/>
  <c r="P11" i="38" s="1"/>
  <c r="R11" i="38" s="1"/>
  <c r="AF10" i="2"/>
  <c r="P10" i="38" s="1"/>
  <c r="R10" i="38" s="1"/>
  <c r="B187" i="38"/>
  <c r="A187" i="38"/>
  <c r="B186" i="38"/>
  <c r="A186" i="38"/>
  <c r="B185" i="38"/>
  <c r="A185" i="38"/>
  <c r="B184" i="38"/>
  <c r="A184" i="38"/>
  <c r="B183" i="38"/>
  <c r="A183" i="38"/>
  <c r="B182" i="38"/>
  <c r="A182" i="38"/>
  <c r="B181" i="38"/>
  <c r="A181" i="38"/>
  <c r="B180" i="38"/>
  <c r="A180" i="38"/>
  <c r="B179" i="38"/>
  <c r="A179" i="38"/>
  <c r="B178" i="38"/>
  <c r="A178" i="38"/>
  <c r="I177" i="38"/>
  <c r="H177" i="38"/>
  <c r="G177" i="38"/>
  <c r="F177" i="38"/>
  <c r="E177" i="38"/>
  <c r="D177" i="38"/>
  <c r="C177" i="38"/>
  <c r="B177" i="38"/>
  <c r="A177" i="38"/>
  <c r="B176" i="38"/>
  <c r="A176" i="38"/>
  <c r="B175" i="38"/>
  <c r="A175" i="38"/>
  <c r="B174" i="38"/>
  <c r="A174" i="38"/>
  <c r="B173" i="38"/>
  <c r="A173" i="38"/>
  <c r="B172" i="38"/>
  <c r="A172" i="38"/>
  <c r="B171" i="38"/>
  <c r="A171" i="38"/>
  <c r="B170" i="38"/>
  <c r="A170" i="38"/>
  <c r="B169" i="38"/>
  <c r="A169" i="38"/>
  <c r="B168" i="38"/>
  <c r="A168" i="38"/>
  <c r="B167" i="38"/>
  <c r="A167" i="38"/>
  <c r="B166" i="38"/>
  <c r="A166" i="38"/>
  <c r="B165" i="38"/>
  <c r="A165" i="38"/>
  <c r="B164" i="38"/>
  <c r="A164" i="38"/>
  <c r="B163" i="38"/>
  <c r="A163" i="38"/>
  <c r="B162" i="38"/>
  <c r="A162" i="38"/>
  <c r="B161" i="38"/>
  <c r="A161" i="38"/>
  <c r="B160" i="38"/>
  <c r="A160" i="38"/>
  <c r="B159" i="38"/>
  <c r="A159" i="38"/>
  <c r="B158" i="38"/>
  <c r="A158" i="38"/>
  <c r="B157" i="38"/>
  <c r="A157" i="38"/>
  <c r="B156" i="38"/>
  <c r="A156" i="38"/>
  <c r="B155" i="38"/>
  <c r="A155" i="38"/>
  <c r="B154" i="38"/>
  <c r="A154" i="38"/>
  <c r="B153" i="38"/>
  <c r="A153" i="38"/>
  <c r="A146" i="38"/>
  <c r="A145" i="38"/>
  <c r="A144" i="38"/>
  <c r="A143" i="38"/>
  <c r="A142" i="38"/>
  <c r="A141" i="38"/>
  <c r="B140" i="38"/>
  <c r="A140" i="38"/>
  <c r="B139" i="38"/>
  <c r="A139" i="38"/>
  <c r="B138" i="38"/>
  <c r="A138" i="38"/>
  <c r="B137" i="38"/>
  <c r="A137" i="38"/>
  <c r="B136" i="38"/>
  <c r="A136" i="38"/>
  <c r="B135" i="38"/>
  <c r="A135" i="38"/>
  <c r="B122" i="38"/>
  <c r="A122" i="38"/>
  <c r="B120" i="38"/>
  <c r="A120" i="38"/>
  <c r="B119" i="38"/>
  <c r="A119" i="38"/>
  <c r="B118" i="38"/>
  <c r="A118" i="38"/>
  <c r="B117" i="38"/>
  <c r="A117" i="38"/>
  <c r="B116" i="38"/>
  <c r="A116" i="38"/>
  <c r="B115" i="38"/>
  <c r="A115" i="38"/>
  <c r="B114" i="38"/>
  <c r="A114" i="38"/>
  <c r="B113" i="38"/>
  <c r="A113" i="38"/>
  <c r="B112" i="38"/>
  <c r="A112" i="38"/>
  <c r="B111" i="38"/>
  <c r="A111" i="38"/>
  <c r="B110" i="38"/>
  <c r="A110" i="38"/>
  <c r="B109" i="38"/>
  <c r="A109" i="38"/>
  <c r="B108" i="38"/>
  <c r="A108" i="38"/>
  <c r="B107" i="38"/>
  <c r="A107" i="38"/>
  <c r="B106" i="38"/>
  <c r="A106" i="38"/>
  <c r="B105" i="38"/>
  <c r="A105" i="38"/>
  <c r="B104" i="38"/>
  <c r="A104" i="38"/>
  <c r="B103" i="38"/>
  <c r="A103" i="38"/>
  <c r="B102" i="38"/>
  <c r="A102" i="38"/>
  <c r="B101" i="38"/>
  <c r="A101" i="38"/>
  <c r="B100" i="38"/>
  <c r="A100" i="38"/>
  <c r="B98" i="38"/>
  <c r="A98" i="38"/>
  <c r="B97" i="38"/>
  <c r="A97" i="38"/>
  <c r="B96" i="38"/>
  <c r="A96" i="38"/>
  <c r="B95" i="38"/>
  <c r="A95" i="38"/>
  <c r="B94" i="38"/>
  <c r="A94" i="38"/>
  <c r="B93" i="38"/>
  <c r="A93" i="38"/>
  <c r="B92" i="38"/>
  <c r="A92" i="38"/>
  <c r="B91" i="38"/>
  <c r="A91" i="38"/>
  <c r="B90" i="38"/>
  <c r="A90" i="38"/>
  <c r="B89" i="38"/>
  <c r="A89" i="38"/>
  <c r="B88" i="38"/>
  <c r="A88" i="38"/>
  <c r="B87" i="38"/>
  <c r="A87" i="38"/>
  <c r="A86" i="38"/>
  <c r="B80" i="38"/>
  <c r="A80" i="38"/>
  <c r="A79" i="38"/>
  <c r="B78" i="38"/>
  <c r="A78" i="38"/>
  <c r="B77" i="38"/>
  <c r="A77" i="38"/>
  <c r="B76" i="38"/>
  <c r="A76" i="38"/>
  <c r="B75" i="38"/>
  <c r="A75" i="38"/>
  <c r="A74" i="38"/>
  <c r="A73" i="38"/>
  <c r="B72" i="38"/>
  <c r="A72" i="38"/>
  <c r="B71" i="38"/>
  <c r="A71" i="38"/>
  <c r="B70" i="38"/>
  <c r="A70" i="38"/>
  <c r="B69" i="38"/>
  <c r="A69" i="38"/>
  <c r="B68" i="38"/>
  <c r="A68" i="38"/>
  <c r="A67" i="38"/>
  <c r="B66" i="38"/>
  <c r="A66" i="38"/>
  <c r="B65" i="38"/>
  <c r="A65" i="38"/>
  <c r="B64" i="38"/>
  <c r="A64" i="38"/>
  <c r="B63" i="38"/>
  <c r="A63" i="38"/>
  <c r="A62" i="38"/>
  <c r="B61" i="38"/>
  <c r="A61" i="38"/>
  <c r="B60" i="38"/>
  <c r="A60" i="38"/>
  <c r="B59" i="38"/>
  <c r="A59" i="38"/>
  <c r="A58" i="38"/>
  <c r="B57" i="38"/>
  <c r="A57" i="38"/>
  <c r="A56" i="38"/>
  <c r="B55" i="38"/>
  <c r="A55" i="38"/>
  <c r="B54" i="38"/>
  <c r="A54" i="38"/>
  <c r="B53" i="38"/>
  <c r="A53" i="38"/>
  <c r="B52" i="38"/>
  <c r="A52" i="38"/>
  <c r="B51" i="38"/>
  <c r="B49" i="38"/>
  <c r="B48" i="38"/>
  <c r="B47" i="38"/>
  <c r="B45" i="38"/>
  <c r="B44" i="38"/>
  <c r="B43" i="38"/>
  <c r="B42" i="38"/>
  <c r="B41" i="38"/>
  <c r="B40" i="38"/>
  <c r="A32" i="38"/>
  <c r="A31" i="38"/>
  <c r="A30" i="38"/>
  <c r="A29" i="38"/>
  <c r="A28" i="38"/>
  <c r="A27" i="38"/>
  <c r="A26" i="38"/>
  <c r="A25" i="38"/>
  <c r="A24" i="38"/>
  <c r="A23" i="38"/>
  <c r="A22" i="38"/>
  <c r="A21" i="38"/>
  <c r="A20" i="38"/>
  <c r="A19" i="38"/>
  <c r="A18" i="38"/>
  <c r="A17" i="38"/>
  <c r="A16" i="38"/>
  <c r="A15" i="38"/>
  <c r="A14" i="38"/>
  <c r="A13" i="38"/>
  <c r="A12" i="38"/>
  <c r="A11" i="38"/>
  <c r="A10" i="38"/>
  <c r="I9" i="38"/>
  <c r="H9" i="38"/>
  <c r="G9" i="38"/>
  <c r="F9" i="38"/>
  <c r="E9" i="38"/>
  <c r="D9" i="38"/>
  <c r="I8" i="38"/>
  <c r="H8" i="38"/>
  <c r="G8" i="38"/>
  <c r="F8" i="38"/>
  <c r="E8" i="38"/>
  <c r="D8" i="38"/>
  <c r="I7" i="38"/>
  <c r="H7" i="38"/>
  <c r="G7" i="38"/>
  <c r="F7" i="38"/>
  <c r="E7" i="38"/>
  <c r="D7" i="38"/>
  <c r="A7" i="38"/>
  <c r="S44" i="38" l="1"/>
  <c r="R44" i="38"/>
  <c r="S61" i="38"/>
  <c r="R61" i="38"/>
  <c r="S45" i="38"/>
  <c r="R45" i="38"/>
  <c r="S57" i="38"/>
  <c r="R57" i="38"/>
  <c r="S42" i="38"/>
  <c r="R42" i="38"/>
  <c r="R35" i="38"/>
  <c r="S35" i="38"/>
  <c r="R106" i="38"/>
  <c r="S106" i="38"/>
  <c r="S112" i="38"/>
  <c r="R112" i="38"/>
  <c r="S157" i="38"/>
  <c r="R157" i="38"/>
  <c r="S162" i="38"/>
  <c r="R162" i="38"/>
  <c r="S185" i="38"/>
  <c r="R185" i="38"/>
  <c r="R43" i="38"/>
  <c r="S43" i="38"/>
  <c r="R72" i="38"/>
  <c r="S72" i="38"/>
  <c r="R78" i="38"/>
  <c r="S78" i="38"/>
  <c r="R90" i="38"/>
  <c r="S90" i="38"/>
  <c r="R103" i="38"/>
  <c r="S103" i="38"/>
  <c r="S109" i="38"/>
  <c r="R109" i="38"/>
  <c r="S113" i="38"/>
  <c r="R113" i="38"/>
  <c r="S118" i="38"/>
  <c r="R118" i="38"/>
  <c r="R158" i="38"/>
  <c r="S158" i="38"/>
  <c r="R163" i="38"/>
  <c r="S163" i="38"/>
  <c r="S169" i="38"/>
  <c r="R169" i="38"/>
  <c r="R182" i="38"/>
  <c r="S182" i="38"/>
  <c r="R66" i="38"/>
  <c r="S66" i="38"/>
  <c r="R77" i="38"/>
  <c r="S77" i="38"/>
  <c r="R89" i="38"/>
  <c r="S89" i="38"/>
  <c r="R98" i="38"/>
  <c r="S98" i="38"/>
  <c r="R37" i="38"/>
  <c r="S37" i="38"/>
  <c r="R38" i="38"/>
  <c r="S38" i="38"/>
  <c r="R48" i="38"/>
  <c r="S48" i="38"/>
  <c r="R69" i="38"/>
  <c r="S69" i="38"/>
  <c r="R87" i="38"/>
  <c r="S87" i="38"/>
  <c r="R91" i="38"/>
  <c r="S91" i="38"/>
  <c r="R96" i="38"/>
  <c r="S96" i="38"/>
  <c r="R104" i="38"/>
  <c r="S104" i="38"/>
  <c r="R110" i="38"/>
  <c r="S110" i="38"/>
  <c r="R119" i="38"/>
  <c r="S119" i="38"/>
  <c r="S155" i="38"/>
  <c r="R155" i="38"/>
  <c r="S159" i="38"/>
  <c r="R159" i="38"/>
  <c r="S164" i="38"/>
  <c r="R164" i="38"/>
  <c r="S177" i="38"/>
  <c r="R177" i="38"/>
  <c r="S183" i="38"/>
  <c r="R183" i="38"/>
  <c r="R41" i="38"/>
  <c r="S41" i="38"/>
  <c r="R34" i="38"/>
  <c r="S34" i="38"/>
  <c r="R40" i="38"/>
  <c r="S40" i="38"/>
  <c r="R49" i="38"/>
  <c r="S49" i="38"/>
  <c r="R70" i="38"/>
  <c r="S70" i="38"/>
  <c r="R76" i="38"/>
  <c r="S76" i="38"/>
  <c r="S93" i="38"/>
  <c r="R93" i="38"/>
  <c r="R97" i="38"/>
  <c r="S97" i="38"/>
  <c r="R156" i="38"/>
  <c r="S156" i="38"/>
  <c r="R161" i="38"/>
  <c r="S161" i="38"/>
  <c r="R165" i="38"/>
  <c r="S165" i="38"/>
  <c r="R180" i="38"/>
  <c r="S180" i="38"/>
  <c r="R184" i="38"/>
  <c r="S184" i="38"/>
  <c r="R168" i="38"/>
  <c r="S168" i="38"/>
  <c r="S170" i="38"/>
  <c r="R170" i="38"/>
  <c r="S172" i="38"/>
  <c r="R172" i="38"/>
  <c r="R171" i="38"/>
  <c r="S171" i="38"/>
  <c r="S117" i="38"/>
  <c r="R117" i="38"/>
  <c r="S52" i="38"/>
  <c r="R52" i="38"/>
  <c r="R68" i="38"/>
  <c r="S68" i="38"/>
  <c r="S95" i="38"/>
  <c r="R95" i="38"/>
  <c r="R75" i="38"/>
  <c r="S75" i="38"/>
  <c r="S94" i="38"/>
  <c r="R94" i="38"/>
  <c r="R81" i="38"/>
  <c r="S81" i="38"/>
  <c r="S105" i="38"/>
  <c r="R105" i="38"/>
  <c r="R111" i="38"/>
  <c r="S111" i="38"/>
  <c r="S116" i="38"/>
  <c r="S115" i="38"/>
  <c r="S71" i="38"/>
  <c r="S63" i="38"/>
  <c r="O91" i="10" l="1"/>
  <c r="L91" i="10"/>
  <c r="P91" i="10"/>
  <c r="K91" i="10"/>
  <c r="A58" i="10"/>
  <c r="AK16" i="2" l="1"/>
  <c r="R15" i="26" s="1"/>
  <c r="CH15" i="10" l="1"/>
  <c r="DG16" i="20"/>
  <c r="DF16" i="20"/>
  <c r="DB16" i="20"/>
  <c r="DD16" i="20"/>
  <c r="DE16" i="20"/>
  <c r="DA16" i="20"/>
  <c r="DC16" i="20"/>
  <c r="CL16" i="20"/>
  <c r="CH16" i="20"/>
  <c r="CK16" i="20"/>
  <c r="CG16" i="20"/>
  <c r="CJ16" i="20"/>
  <c r="CM16" i="20"/>
  <c r="CI16" i="20"/>
  <c r="BQ16" i="20"/>
  <c r="BM16" i="20"/>
  <c r="AY16" i="20"/>
  <c r="AU16" i="20"/>
  <c r="AC16" i="20"/>
  <c r="Y16" i="20"/>
  <c r="BP16" i="20"/>
  <c r="AX16" i="20"/>
  <c r="AT16" i="20"/>
  <c r="AB16" i="20"/>
  <c r="BS16" i="20"/>
  <c r="BO16" i="20"/>
  <c r="AW16" i="20"/>
  <c r="AS16" i="20"/>
  <c r="AE16" i="20"/>
  <c r="AA16" i="20"/>
  <c r="Z16" i="20"/>
  <c r="BR16" i="20"/>
  <c r="AD16" i="20"/>
  <c r="BN16" i="20"/>
  <c r="AV16" i="20"/>
  <c r="C75" i="21"/>
  <c r="D75" i="21" s="1"/>
  <c r="A63" i="20" l="1"/>
  <c r="C63" i="20"/>
  <c r="U63" i="20"/>
  <c r="AO63" i="20"/>
  <c r="BI63" i="20"/>
  <c r="CC63" i="20"/>
  <c r="CW63" i="20"/>
  <c r="A64" i="20"/>
  <c r="C64" i="20"/>
  <c r="U64" i="20"/>
  <c r="AO64" i="20"/>
  <c r="BI64" i="20"/>
  <c r="CC64" i="20"/>
  <c r="CW64" i="20"/>
  <c r="A65" i="20"/>
  <c r="C65" i="20"/>
  <c r="K65" i="20"/>
  <c r="U65" i="20"/>
  <c r="AO65" i="20"/>
  <c r="BI65" i="20"/>
  <c r="CC65" i="20"/>
  <c r="CW65" i="20"/>
  <c r="A66" i="20"/>
  <c r="C66" i="20"/>
  <c r="U66" i="20"/>
  <c r="AO66" i="20"/>
  <c r="BI66" i="20"/>
  <c r="CC66" i="20"/>
  <c r="CW66" i="20"/>
  <c r="A57" i="20"/>
  <c r="C57" i="20"/>
  <c r="U57" i="20"/>
  <c r="AO57" i="20"/>
  <c r="BI57" i="20"/>
  <c r="CC57" i="20"/>
  <c r="CW57" i="20"/>
  <c r="A51" i="20"/>
  <c r="A52" i="20"/>
  <c r="A53" i="20"/>
  <c r="A54" i="20"/>
  <c r="A55" i="20"/>
  <c r="A56" i="20"/>
  <c r="A58" i="20"/>
  <c r="A59" i="20"/>
  <c r="A60" i="20"/>
  <c r="A61" i="20"/>
  <c r="A62" i="20"/>
  <c r="A67" i="20"/>
  <c r="A68" i="20"/>
  <c r="A69" i="20"/>
  <c r="A70" i="20"/>
  <c r="A71" i="20"/>
  <c r="A72" i="20"/>
  <c r="A73" i="20"/>
  <c r="A74" i="20"/>
  <c r="A75" i="20"/>
  <c r="A76" i="20"/>
  <c r="A77" i="20"/>
  <c r="A78" i="20"/>
  <c r="A79" i="20"/>
  <c r="A80" i="20"/>
  <c r="A81" i="20"/>
  <c r="A82" i="20"/>
  <c r="A83" i="20"/>
  <c r="A86" i="20"/>
  <c r="A87" i="20"/>
  <c r="A88" i="20"/>
  <c r="A89" i="20"/>
  <c r="A90" i="20"/>
  <c r="A91" i="20"/>
  <c r="A92" i="20"/>
  <c r="A93" i="20"/>
  <c r="A94" i="20"/>
  <c r="A95" i="20"/>
  <c r="A96" i="20"/>
  <c r="A97" i="20"/>
  <c r="A98" i="20"/>
  <c r="A100" i="20"/>
  <c r="A101" i="20"/>
  <c r="A102" i="20"/>
  <c r="A103" i="20"/>
  <c r="A104" i="20"/>
  <c r="A105" i="20"/>
  <c r="A106" i="20"/>
  <c r="A107" i="20"/>
  <c r="A108" i="20"/>
  <c r="A109" i="20"/>
  <c r="A110" i="20"/>
  <c r="A111" i="20"/>
  <c r="A112" i="20"/>
  <c r="A113" i="20"/>
  <c r="A114" i="20"/>
  <c r="A115" i="20"/>
  <c r="A116" i="20"/>
  <c r="A117" i="20"/>
  <c r="A118" i="20"/>
  <c r="A119" i="20"/>
  <c r="A120" i="20"/>
  <c r="A121" i="20"/>
  <c r="A122" i="20"/>
  <c r="A123" i="20"/>
  <c r="A124" i="20"/>
  <c r="A125" i="20"/>
  <c r="A126" i="20"/>
  <c r="A127" i="20"/>
  <c r="A128" i="20"/>
  <c r="A129" i="20"/>
  <c r="A135" i="20"/>
  <c r="A136" i="20"/>
  <c r="A137" i="20"/>
  <c r="A138" i="20"/>
  <c r="A139" i="20"/>
  <c r="A140" i="20"/>
  <c r="A148" i="20"/>
  <c r="A149" i="20"/>
  <c r="A150" i="20"/>
  <c r="A151" i="20"/>
  <c r="A152" i="20"/>
  <c r="A153" i="20"/>
  <c r="A154" i="20"/>
  <c r="A155" i="20"/>
  <c r="A156" i="20"/>
  <c r="A157" i="20"/>
  <c r="A158" i="20"/>
  <c r="A159" i="20"/>
  <c r="A160" i="20"/>
  <c r="A161" i="20"/>
  <c r="A162" i="20"/>
  <c r="A163" i="20"/>
  <c r="A164" i="20"/>
  <c r="A165" i="20"/>
  <c r="A166" i="20"/>
  <c r="A167" i="20"/>
  <c r="A40" i="20"/>
  <c r="C40" i="20"/>
  <c r="AO40" i="20"/>
  <c r="BI40" i="20"/>
  <c r="CC40" i="20"/>
  <c r="CW40" i="20"/>
  <c r="A41" i="20"/>
  <c r="C41" i="20"/>
  <c r="AO41" i="20"/>
  <c r="AR41" i="20"/>
  <c r="BI41" i="20"/>
  <c r="CC41" i="20"/>
  <c r="CW41" i="20"/>
  <c r="A42" i="20"/>
  <c r="C42" i="20"/>
  <c r="AO42" i="20"/>
  <c r="BI42" i="20"/>
  <c r="CC42" i="20"/>
  <c r="CW42" i="20"/>
  <c r="A43" i="20"/>
  <c r="C43" i="20"/>
  <c r="K43" i="20"/>
  <c r="AO43" i="20"/>
  <c r="BI43" i="20"/>
  <c r="CC43" i="20"/>
  <c r="CW43" i="20"/>
  <c r="A44" i="20"/>
  <c r="C44" i="20"/>
  <c r="AO44" i="20"/>
  <c r="BI44" i="20"/>
  <c r="CC44" i="20"/>
  <c r="CW44" i="20"/>
  <c r="A45" i="20"/>
  <c r="AO45" i="20"/>
  <c r="BI45" i="20"/>
  <c r="CC45" i="20"/>
  <c r="CW45" i="20"/>
  <c r="A173" i="20"/>
  <c r="AH173" i="20"/>
  <c r="AI173" i="20"/>
  <c r="AJ173" i="20"/>
  <c r="AK173" i="20"/>
  <c r="AL173" i="20"/>
  <c r="AM173" i="20"/>
  <c r="AN173" i="20"/>
  <c r="BV173" i="20"/>
  <c r="BW173" i="20"/>
  <c r="BX173" i="20"/>
  <c r="BY173" i="20"/>
  <c r="BZ173" i="20"/>
  <c r="CA173" i="20"/>
  <c r="CB173" i="20"/>
  <c r="CP173" i="20"/>
  <c r="CQ173" i="20"/>
  <c r="CR173" i="20"/>
  <c r="CS173" i="20"/>
  <c r="CT173" i="20"/>
  <c r="CU173" i="20"/>
  <c r="CV173" i="20"/>
  <c r="U10" i="20"/>
  <c r="AO10" i="20"/>
  <c r="BI10" i="20"/>
  <c r="CC10" i="20"/>
  <c r="CB9" i="20"/>
  <c r="CA9" i="20"/>
  <c r="BZ9" i="20"/>
  <c r="BY9" i="20"/>
  <c r="BX9" i="20"/>
  <c r="BW9" i="20"/>
  <c r="BV9" i="20"/>
  <c r="BI61" i="20"/>
  <c r="BI60" i="20"/>
  <c r="BI59" i="20"/>
  <c r="BI55" i="20"/>
  <c r="BI54" i="20"/>
  <c r="BI53" i="20"/>
  <c r="BI52" i="20"/>
  <c r="BI51" i="20"/>
  <c r="BI49" i="20"/>
  <c r="BI48" i="20"/>
  <c r="BI47" i="20"/>
  <c r="BI38" i="20"/>
  <c r="BI37" i="20"/>
  <c r="BI36" i="20"/>
  <c r="BI35" i="20"/>
  <c r="BI34" i="20"/>
  <c r="BI32" i="20"/>
  <c r="BI31" i="20"/>
  <c r="BI30" i="20"/>
  <c r="BI29" i="20"/>
  <c r="BI28" i="20"/>
  <c r="BI27" i="20"/>
  <c r="BI26" i="20"/>
  <c r="BI25" i="20"/>
  <c r="BI24" i="20"/>
  <c r="BI23" i="20"/>
  <c r="BI22" i="20"/>
  <c r="BI21" i="20"/>
  <c r="BI20" i="20"/>
  <c r="BI19" i="20"/>
  <c r="BI18" i="20"/>
  <c r="BI17" i="20"/>
  <c r="BI16" i="20"/>
  <c r="BI15" i="20"/>
  <c r="BI14" i="20"/>
  <c r="BI13" i="20"/>
  <c r="BI12" i="20"/>
  <c r="BI11" i="20"/>
  <c r="AO37" i="20"/>
  <c r="AO36" i="20"/>
  <c r="AO35" i="20"/>
  <c r="AO34" i="20"/>
  <c r="AO32" i="20"/>
  <c r="AO31" i="20"/>
  <c r="AO30" i="20"/>
  <c r="AO29" i="20"/>
  <c r="AO28" i="20"/>
  <c r="AO27" i="20"/>
  <c r="AO26" i="20"/>
  <c r="AO25" i="20"/>
  <c r="AO24" i="20"/>
  <c r="AO23" i="20"/>
  <c r="AO22" i="20"/>
  <c r="AO21" i="20"/>
  <c r="AO20" i="20"/>
  <c r="AO19" i="20"/>
  <c r="AO18" i="20"/>
  <c r="AO17" i="20"/>
  <c r="AO16" i="20"/>
  <c r="AO15" i="20"/>
  <c r="AO14" i="20"/>
  <c r="AO13" i="20"/>
  <c r="AO12" i="20"/>
  <c r="AO11" i="20"/>
  <c r="C98" i="11"/>
  <c r="C5" i="11"/>
  <c r="N77" i="8"/>
  <c r="M79" i="6"/>
  <c r="CW173" i="20" l="1"/>
  <c r="CC173" i="20"/>
  <c r="AO173" i="20"/>
  <c r="CC9" i="20"/>
  <c r="AO83" i="20"/>
  <c r="AO81" i="20"/>
  <c r="AI90" i="2"/>
  <c r="CG89" i="10" s="1"/>
  <c r="L72" i="3" l="1"/>
  <c r="L71" i="3" s="1"/>
  <c r="L70" i="3" s="1"/>
  <c r="AK17" i="2"/>
  <c r="R16" i="26" s="1"/>
  <c r="AK21" i="2"/>
  <c r="R20" i="26" s="1"/>
  <c r="AK22" i="2"/>
  <c r="R21" i="26" s="1"/>
  <c r="AK24" i="2"/>
  <c r="R23" i="26" s="1"/>
  <c r="AK25" i="2"/>
  <c r="R24" i="26" s="1"/>
  <c r="AK28" i="2"/>
  <c r="R27" i="26" s="1"/>
  <c r="AK31" i="2"/>
  <c r="R30" i="26" s="1"/>
  <c r="AI31" i="2"/>
  <c r="CG30" i="10" s="1"/>
  <c r="AI28" i="2"/>
  <c r="CG27" i="10" s="1"/>
  <c r="AH28" i="2"/>
  <c r="AI25" i="2"/>
  <c r="CG24" i="10" s="1"/>
  <c r="AH25" i="2"/>
  <c r="AI24" i="2"/>
  <c r="CG23" i="10" s="1"/>
  <c r="AH24" i="2"/>
  <c r="AI22" i="2"/>
  <c r="CG21" i="10" s="1"/>
  <c r="AH22" i="2"/>
  <c r="AI21" i="2"/>
  <c r="CG20" i="10" s="1"/>
  <c r="AH21" i="2"/>
  <c r="AI17" i="2"/>
  <c r="CG16" i="10" s="1"/>
  <c r="AH17" i="2"/>
  <c r="AI16" i="2"/>
  <c r="CG15" i="10" s="1"/>
  <c r="AH16" i="2"/>
  <c r="CH30" i="10" l="1"/>
  <c r="DG31" i="20"/>
  <c r="DC31" i="20"/>
  <c r="DA31" i="20"/>
  <c r="DF31" i="20"/>
  <c r="DB31" i="20"/>
  <c r="DE31" i="20"/>
  <c r="DD31" i="20"/>
  <c r="CH21" i="10"/>
  <c r="DG22" i="20"/>
  <c r="DF22" i="20"/>
  <c r="DB22" i="20"/>
  <c r="DD22" i="20"/>
  <c r="DE22" i="20"/>
  <c r="DA22" i="20"/>
  <c r="DC22" i="20"/>
  <c r="CH27" i="10"/>
  <c r="DG28" i="20"/>
  <c r="DE28" i="20"/>
  <c r="DA28" i="20"/>
  <c r="DC28" i="20"/>
  <c r="DD28" i="20"/>
  <c r="DB28" i="20"/>
  <c r="DF28" i="20"/>
  <c r="CH20" i="10"/>
  <c r="DG21" i="20"/>
  <c r="DD21" i="20"/>
  <c r="DB21" i="20"/>
  <c r="DC21" i="20"/>
  <c r="DF21" i="20"/>
  <c r="DE21" i="20"/>
  <c r="DA21" i="20"/>
  <c r="CH24" i="10"/>
  <c r="DG25" i="20"/>
  <c r="DC25" i="20"/>
  <c r="DE25" i="20"/>
  <c r="DF25" i="20"/>
  <c r="DB25" i="20"/>
  <c r="DA25" i="20"/>
  <c r="DD25" i="20"/>
  <c r="CH16" i="10"/>
  <c r="DG17" i="20"/>
  <c r="DD17" i="20"/>
  <c r="DF17" i="20"/>
  <c r="DC17" i="20"/>
  <c r="DB17" i="20"/>
  <c r="DA17" i="20"/>
  <c r="DE17" i="20"/>
  <c r="CH23" i="10"/>
  <c r="DG24" i="20"/>
  <c r="DE24" i="20"/>
  <c r="DA24" i="20"/>
  <c r="DC24" i="20"/>
  <c r="DD24" i="20"/>
  <c r="DF24" i="20"/>
  <c r="DB24" i="20"/>
  <c r="CL21" i="20"/>
  <c r="CH21" i="20"/>
  <c r="CI21" i="20"/>
  <c r="CK21" i="20"/>
  <c r="CG21" i="20"/>
  <c r="CJ21" i="20"/>
  <c r="CM21" i="20"/>
  <c r="BQ21" i="20"/>
  <c r="BM21" i="20"/>
  <c r="AY21" i="20"/>
  <c r="AU21" i="20"/>
  <c r="AC21" i="20"/>
  <c r="Y21" i="20"/>
  <c r="BP21" i="20"/>
  <c r="AX21" i="20"/>
  <c r="AT21" i="20"/>
  <c r="AB21" i="20"/>
  <c r="BR21" i="20"/>
  <c r="AV21" i="20"/>
  <c r="AD21" i="20"/>
  <c r="Z21" i="20"/>
  <c r="BS21" i="20"/>
  <c r="BO21" i="20"/>
  <c r="AW21" i="20"/>
  <c r="AS21" i="20"/>
  <c r="AE21" i="20"/>
  <c r="AA21" i="20"/>
  <c r="BN21" i="20"/>
  <c r="CM22" i="20"/>
  <c r="CI22" i="20"/>
  <c r="CL22" i="20"/>
  <c r="CH22" i="20"/>
  <c r="CJ22" i="20"/>
  <c r="CK22" i="20"/>
  <c r="CG22" i="20"/>
  <c r="BR22" i="20"/>
  <c r="BN22" i="20"/>
  <c r="AV22" i="20"/>
  <c r="AD22" i="20"/>
  <c r="Z22" i="20"/>
  <c r="AA22" i="20"/>
  <c r="BQ22" i="20"/>
  <c r="BM22" i="20"/>
  <c r="AY22" i="20"/>
  <c r="AU22" i="20"/>
  <c r="AC22" i="20"/>
  <c r="Y22" i="20"/>
  <c r="BS22" i="20"/>
  <c r="AW22" i="20"/>
  <c r="BP22" i="20"/>
  <c r="AX22" i="20"/>
  <c r="AT22" i="20"/>
  <c r="AB22" i="20"/>
  <c r="BO22" i="20"/>
  <c r="AS22" i="20"/>
  <c r="AE22" i="20"/>
  <c r="CL31" i="20"/>
  <c r="CH31" i="20"/>
  <c r="CK31" i="20"/>
  <c r="CG31" i="20"/>
  <c r="CJ31" i="20"/>
  <c r="CM31" i="20"/>
  <c r="CI31" i="20"/>
  <c r="BP31" i="20"/>
  <c r="AW31" i="20"/>
  <c r="AS31" i="20"/>
  <c r="AD31" i="20"/>
  <c r="Z31" i="20"/>
  <c r="BS31" i="20"/>
  <c r="BO31" i="20"/>
  <c r="AV31" i="20"/>
  <c r="AC31" i="20"/>
  <c r="Y31" i="20"/>
  <c r="BR31" i="20"/>
  <c r="BN31" i="20"/>
  <c r="AY31" i="20"/>
  <c r="AU31" i="20"/>
  <c r="AB31" i="20"/>
  <c r="BQ31" i="20"/>
  <c r="BM31" i="20"/>
  <c r="AX31" i="20"/>
  <c r="AT31" i="20"/>
  <c r="AE31" i="20"/>
  <c r="AA31" i="20"/>
  <c r="CJ28" i="20"/>
  <c r="CM28" i="20"/>
  <c r="CI28" i="20"/>
  <c r="CL28" i="20"/>
  <c r="CH28" i="20"/>
  <c r="CK28" i="20"/>
  <c r="CG28" i="20"/>
  <c r="BR28" i="20"/>
  <c r="BN28" i="20"/>
  <c r="AY28" i="20"/>
  <c r="AU28" i="20"/>
  <c r="AB28" i="20"/>
  <c r="BQ28" i="20"/>
  <c r="BM28" i="20"/>
  <c r="AX28" i="20"/>
  <c r="AT28" i="20"/>
  <c r="AE28" i="20"/>
  <c r="AA28" i="20"/>
  <c r="BP28" i="20"/>
  <c r="AW28" i="20"/>
  <c r="AS28" i="20"/>
  <c r="AD28" i="20"/>
  <c r="Z28" i="20"/>
  <c r="BS28" i="20"/>
  <c r="BO28" i="20"/>
  <c r="AV28" i="20"/>
  <c r="AC28" i="20"/>
  <c r="Y28" i="20"/>
  <c r="CL25" i="20"/>
  <c r="CH25" i="20"/>
  <c r="CK25" i="20"/>
  <c r="CG25" i="20"/>
  <c r="CJ25" i="20"/>
  <c r="CM25" i="20"/>
  <c r="CI25" i="20"/>
  <c r="BS25" i="20"/>
  <c r="BO25" i="20"/>
  <c r="AV25" i="20"/>
  <c r="AC25" i="20"/>
  <c r="Y25" i="20"/>
  <c r="BR25" i="20"/>
  <c r="BN25" i="20"/>
  <c r="AY25" i="20"/>
  <c r="AU25" i="20"/>
  <c r="AB25" i="20"/>
  <c r="BQ25" i="20"/>
  <c r="BM25" i="20"/>
  <c r="AX25" i="20"/>
  <c r="AT25" i="20"/>
  <c r="AE25" i="20"/>
  <c r="AA25" i="20"/>
  <c r="BP25" i="20"/>
  <c r="AW25" i="20"/>
  <c r="AS25" i="20"/>
  <c r="AD25" i="20"/>
  <c r="Z25" i="20"/>
  <c r="CK24" i="20"/>
  <c r="CG24" i="20"/>
  <c r="CJ24" i="20"/>
  <c r="CM24" i="20"/>
  <c r="CI24" i="20"/>
  <c r="CL24" i="20"/>
  <c r="CH24" i="20"/>
  <c r="BR24" i="20"/>
  <c r="BN24" i="20"/>
  <c r="AY24" i="20"/>
  <c r="AU24" i="20"/>
  <c r="AB24" i="20"/>
  <c r="BQ24" i="20"/>
  <c r="BM24" i="20"/>
  <c r="AX24" i="20"/>
  <c r="AT24" i="20"/>
  <c r="AE24" i="20"/>
  <c r="AA24" i="20"/>
  <c r="BP24" i="20"/>
  <c r="AW24" i="20"/>
  <c r="AS24" i="20"/>
  <c r="AD24" i="20"/>
  <c r="Z24" i="20"/>
  <c r="BS24" i="20"/>
  <c r="BO24" i="20"/>
  <c r="AV24" i="20"/>
  <c r="AC24" i="20"/>
  <c r="Y24" i="20"/>
  <c r="CM17" i="20"/>
  <c r="CI17" i="20"/>
  <c r="CL17" i="20"/>
  <c r="CH17" i="20"/>
  <c r="CK17" i="20"/>
  <c r="CG17" i="20"/>
  <c r="CJ17" i="20"/>
  <c r="BR17" i="20"/>
  <c r="BN17" i="20"/>
  <c r="AV17" i="20"/>
  <c r="AD17" i="20"/>
  <c r="Z17" i="20"/>
  <c r="BQ17" i="20"/>
  <c r="BM17" i="20"/>
  <c r="AY17" i="20"/>
  <c r="AU17" i="20"/>
  <c r="AC17" i="20"/>
  <c r="Y17" i="20"/>
  <c r="BP17" i="20"/>
  <c r="AX17" i="20"/>
  <c r="AT17" i="20"/>
  <c r="AB17" i="20"/>
  <c r="BO17" i="20"/>
  <c r="AW17" i="20"/>
  <c r="AE17" i="20"/>
  <c r="AS17" i="20"/>
  <c r="AA17" i="20"/>
  <c r="BS17" i="20"/>
  <c r="S22" i="38"/>
  <c r="S31" i="38"/>
  <c r="S17" i="38"/>
  <c r="S25" i="38"/>
  <c r="S16" i="38"/>
  <c r="S21" i="38"/>
  <c r="S24" i="38"/>
  <c r="S28" i="38"/>
  <c r="O171" i="2"/>
  <c r="Q169" i="28" s="1"/>
  <c r="Q168" i="28" s="1"/>
  <c r="Q167" i="28" s="1"/>
  <c r="K177" i="38" l="1"/>
  <c r="N170" i="23"/>
  <c r="N169" i="23" s="1"/>
  <c r="N168" i="23" s="1"/>
  <c r="BL178" i="20"/>
  <c r="AR177" i="20"/>
  <c r="CZ179" i="20"/>
  <c r="BL179" i="20"/>
  <c r="CF174" i="20"/>
  <c r="BL174" i="20"/>
  <c r="BL176" i="20"/>
  <c r="BL94" i="20"/>
  <c r="CF53" i="20"/>
  <c r="BL53" i="20"/>
  <c r="CZ54" i="20"/>
  <c r="BL54" i="20"/>
  <c r="CZ52" i="20"/>
  <c r="AR52" i="20"/>
  <c r="CZ51" i="20"/>
  <c r="CF51" i="20"/>
  <c r="BL51" i="20"/>
  <c r="AR93" i="20"/>
  <c r="A166" i="10" l="1"/>
  <c r="A165" i="28"/>
  <c r="A166" i="27"/>
  <c r="C166" i="26"/>
  <c r="A166" i="26"/>
  <c r="C167" i="25"/>
  <c r="C166" i="24"/>
  <c r="S166" i="24" s="1"/>
  <c r="A166" i="24"/>
  <c r="A166" i="23"/>
  <c r="CW167" i="20"/>
  <c r="CC167" i="20"/>
  <c r="BI167" i="20"/>
  <c r="AO167" i="20"/>
  <c r="U167" i="20"/>
  <c r="C167" i="20"/>
  <c r="A165" i="11"/>
  <c r="AK167" i="2"/>
  <c r="CH166" i="10" s="1"/>
  <c r="AI167" i="2"/>
  <c r="CG166" i="10" s="1"/>
  <c r="AH167" i="2"/>
  <c r="AG167" i="2"/>
  <c r="AD166" i="23" s="1"/>
  <c r="AG166" i="23" s="1"/>
  <c r="AA167" i="2"/>
  <c r="X167" i="2"/>
  <c r="U167" i="2"/>
  <c r="R167" i="2"/>
  <c r="O167" i="2"/>
  <c r="K167" i="20"/>
  <c r="J167" i="2"/>
  <c r="F129" i="40" s="1"/>
  <c r="F130" i="74" s="1"/>
  <c r="F130" i="77" s="1"/>
  <c r="I167" i="2"/>
  <c r="H167" i="38" s="1"/>
  <c r="H167" i="2"/>
  <c r="G167" i="2"/>
  <c r="E129" i="40" s="1"/>
  <c r="F167" i="2"/>
  <c r="E167" i="2"/>
  <c r="L167" i="2"/>
  <c r="D167" i="2"/>
  <c r="B129" i="40" s="1"/>
  <c r="B130" i="74" s="1"/>
  <c r="B130" i="77" s="1"/>
  <c r="C102" i="21"/>
  <c r="D102" i="21" s="1"/>
  <c r="AA165" i="28" l="1"/>
  <c r="T130" i="77"/>
  <c r="AF165" i="28"/>
  <c r="W130" i="77"/>
  <c r="V165" i="28"/>
  <c r="N130" i="77"/>
  <c r="Q165" i="28"/>
  <c r="Q130" i="77"/>
  <c r="U166" i="26"/>
  <c r="S166" i="26"/>
  <c r="Z167" i="25"/>
  <c r="R167" i="25" s="1"/>
  <c r="P130" i="74"/>
  <c r="P130" i="77" s="1"/>
  <c r="R130" i="77" s="1"/>
  <c r="M130" i="74"/>
  <c r="M130" i="77" s="1"/>
  <c r="O130" i="77" s="1"/>
  <c r="V130" i="74"/>
  <c r="V130" i="77" s="1"/>
  <c r="X130" i="77" s="1"/>
  <c r="G130" i="74"/>
  <c r="G130" i="77" s="1"/>
  <c r="I130" i="77" s="1"/>
  <c r="J130" i="74"/>
  <c r="J130" i="77" s="1"/>
  <c r="L130" i="77" s="1"/>
  <c r="S130" i="74"/>
  <c r="S130" i="77" s="1"/>
  <c r="U130" i="77" s="1"/>
  <c r="F129" i="41"/>
  <c r="E130" i="74"/>
  <c r="E130" i="77" s="1"/>
  <c r="D129" i="41"/>
  <c r="H129" i="40"/>
  <c r="D167" i="38"/>
  <c r="D129" i="40"/>
  <c r="O166" i="24"/>
  <c r="K166" i="24"/>
  <c r="N166" i="24"/>
  <c r="L166" i="24"/>
  <c r="Q166" i="24"/>
  <c r="M166" i="24"/>
  <c r="P166" i="24"/>
  <c r="G167" i="38"/>
  <c r="C129" i="40"/>
  <c r="AK165" i="28"/>
  <c r="G129" i="40"/>
  <c r="K130" i="77" s="1"/>
  <c r="J173" i="38"/>
  <c r="K165" i="28"/>
  <c r="G166" i="24"/>
  <c r="F167" i="38"/>
  <c r="F166" i="26"/>
  <c r="E167" i="38"/>
  <c r="J165" i="28"/>
  <c r="I167" i="38"/>
  <c r="DD167" i="20"/>
  <c r="DG167" i="20"/>
  <c r="DC167" i="20"/>
  <c r="DA167" i="20"/>
  <c r="DF167" i="20"/>
  <c r="DE167" i="20"/>
  <c r="DB167" i="20"/>
  <c r="CK167" i="20"/>
  <c r="CG167" i="20"/>
  <c r="BP167" i="20"/>
  <c r="AY167" i="20"/>
  <c r="AU167" i="20"/>
  <c r="AD167" i="20"/>
  <c r="Z167" i="20"/>
  <c r="CJ167" i="20"/>
  <c r="BS167" i="20"/>
  <c r="BO167" i="20"/>
  <c r="AX167" i="20"/>
  <c r="AT167" i="20"/>
  <c r="AC167" i="20"/>
  <c r="Y167" i="20"/>
  <c r="CM167" i="20"/>
  <c r="CI167" i="20"/>
  <c r="BR167" i="20"/>
  <c r="BN167" i="20"/>
  <c r="AW167" i="20"/>
  <c r="AS167" i="20"/>
  <c r="AB167" i="20"/>
  <c r="CL167" i="20"/>
  <c r="BQ167" i="20"/>
  <c r="AV167" i="20"/>
  <c r="AE167" i="20"/>
  <c r="CH167" i="20"/>
  <c r="BM167" i="20"/>
  <c r="AA167" i="20"/>
  <c r="AO167" i="2"/>
  <c r="N173" i="38"/>
  <c r="AP167" i="2"/>
  <c r="H166" i="27"/>
  <c r="G173" i="38"/>
  <c r="K173" i="38"/>
  <c r="O173" i="38"/>
  <c r="D166" i="27"/>
  <c r="C173" i="38"/>
  <c r="E165" i="28"/>
  <c r="D173" i="38"/>
  <c r="I165" i="28"/>
  <c r="H173" i="38"/>
  <c r="L173" i="38"/>
  <c r="AA166" i="27"/>
  <c r="G166" i="27"/>
  <c r="F173" i="38"/>
  <c r="F166" i="24"/>
  <c r="E173" i="38"/>
  <c r="J166" i="24"/>
  <c r="I173" i="38"/>
  <c r="M173" i="38"/>
  <c r="R166" i="24"/>
  <c r="U166" i="24" s="1"/>
  <c r="J166" i="26"/>
  <c r="F165" i="28"/>
  <c r="AL167" i="2"/>
  <c r="AM166" i="10"/>
  <c r="CM166" i="10" s="1"/>
  <c r="V165" i="11"/>
  <c r="D165" i="11"/>
  <c r="I167" i="20"/>
  <c r="E167" i="25"/>
  <c r="E166" i="27"/>
  <c r="E165" i="11"/>
  <c r="I165" i="11"/>
  <c r="F167" i="20"/>
  <c r="J167" i="20"/>
  <c r="F166" i="23"/>
  <c r="J166" i="23"/>
  <c r="D166" i="24"/>
  <c r="H166" i="24"/>
  <c r="F167" i="25"/>
  <c r="J167" i="25"/>
  <c r="G166" i="26"/>
  <c r="F166" i="27"/>
  <c r="J166" i="27"/>
  <c r="G165" i="28"/>
  <c r="AM167" i="2"/>
  <c r="AJ167" i="2"/>
  <c r="AO166" i="10"/>
  <c r="W165" i="11"/>
  <c r="E166" i="23"/>
  <c r="I167" i="25"/>
  <c r="R166" i="26"/>
  <c r="O166" i="27"/>
  <c r="B166" i="10"/>
  <c r="F165" i="11"/>
  <c r="J165" i="11"/>
  <c r="G167" i="20"/>
  <c r="G166" i="23"/>
  <c r="E166" i="24"/>
  <c r="I166" i="24"/>
  <c r="G167" i="25"/>
  <c r="D166" i="26"/>
  <c r="H166" i="26"/>
  <c r="K166" i="27"/>
  <c r="W166" i="27"/>
  <c r="AE166" i="27"/>
  <c r="D165" i="28"/>
  <c r="H165" i="28"/>
  <c r="AN167" i="2"/>
  <c r="M166" i="10"/>
  <c r="AI166" i="10"/>
  <c r="CK166" i="10" s="1"/>
  <c r="AC166" i="10" s="1"/>
  <c r="AQ166" i="10"/>
  <c r="H165" i="11"/>
  <c r="E167" i="20"/>
  <c r="I166" i="23"/>
  <c r="I166" i="27"/>
  <c r="C165" i="11"/>
  <c r="G165" i="11"/>
  <c r="D167" i="20"/>
  <c r="H167" i="20"/>
  <c r="D166" i="23"/>
  <c r="H166" i="23"/>
  <c r="D167" i="25"/>
  <c r="H167" i="25"/>
  <c r="W167" i="25"/>
  <c r="E166" i="26"/>
  <c r="I166" i="26"/>
  <c r="S166" i="27"/>
  <c r="AK166" i="10"/>
  <c r="CL166" i="10" s="1"/>
  <c r="AS166" i="10"/>
  <c r="CN166" i="10" s="1"/>
  <c r="AB166" i="10" s="1"/>
  <c r="W166" i="26" l="1"/>
  <c r="Y130" i="74"/>
  <c r="Y130" i="77" s="1"/>
  <c r="H130" i="77"/>
  <c r="C166" i="27"/>
  <c r="P166" i="27" s="1"/>
  <c r="T167" i="25"/>
  <c r="P167" i="25"/>
  <c r="AC167" i="2"/>
  <c r="Q167" i="25"/>
  <c r="O167" i="25"/>
  <c r="N167" i="25"/>
  <c r="X167" i="25"/>
  <c r="L167" i="25"/>
  <c r="U167" i="25"/>
  <c r="K167" i="25"/>
  <c r="M167" i="25"/>
  <c r="V167" i="25"/>
  <c r="S167" i="25"/>
  <c r="E129" i="41"/>
  <c r="D130" i="74"/>
  <c r="D130" i="77" s="1"/>
  <c r="B129" i="41"/>
  <c r="C130" i="74"/>
  <c r="C130" i="77" s="1"/>
  <c r="I129" i="41"/>
  <c r="N129" i="40"/>
  <c r="C165" i="28"/>
  <c r="AB167" i="25"/>
  <c r="G166" i="10"/>
  <c r="AH166" i="10"/>
  <c r="W166" i="10"/>
  <c r="AE166" i="10"/>
  <c r="Y166" i="10"/>
  <c r="AD166" i="10"/>
  <c r="X166" i="10"/>
  <c r="S166" i="10"/>
  <c r="N166" i="10"/>
  <c r="T166" i="10"/>
  <c r="H166" i="10"/>
  <c r="I166" i="10"/>
  <c r="O166" i="10"/>
  <c r="U166" i="10"/>
  <c r="J166" i="10"/>
  <c r="V166" i="10"/>
  <c r="D166" i="10"/>
  <c r="P166" i="10"/>
  <c r="R166" i="10"/>
  <c r="F166" i="10"/>
  <c r="L166" i="10"/>
  <c r="E166" i="10"/>
  <c r="K166" i="10"/>
  <c r="Q166" i="10"/>
  <c r="C166" i="10"/>
  <c r="A43" i="28"/>
  <c r="C44" i="26"/>
  <c r="A44" i="26"/>
  <c r="C45" i="25"/>
  <c r="C44" i="24"/>
  <c r="S44" i="24" s="1"/>
  <c r="A44" i="23"/>
  <c r="A44" i="10"/>
  <c r="A43" i="11"/>
  <c r="AK45" i="2"/>
  <c r="AI45" i="2"/>
  <c r="AH45" i="2"/>
  <c r="AG45" i="2"/>
  <c r="AD44" i="23" s="1"/>
  <c r="AG44" i="23" s="1"/>
  <c r="AA45" i="2"/>
  <c r="G35" i="40" s="1"/>
  <c r="K36" i="77" s="1"/>
  <c r="X45" i="2"/>
  <c r="U45" i="2"/>
  <c r="R45" i="2"/>
  <c r="O45" i="2"/>
  <c r="J45" i="2"/>
  <c r="I45" i="2"/>
  <c r="H45" i="2"/>
  <c r="G45" i="2"/>
  <c r="E35" i="40" s="1"/>
  <c r="F45" i="2"/>
  <c r="E43" i="11" s="1"/>
  <c r="E45" i="2"/>
  <c r="D45" i="2"/>
  <c r="B35" i="40" s="1"/>
  <c r="B36" i="74" s="1"/>
  <c r="B36" i="77" s="1"/>
  <c r="C45" i="2"/>
  <c r="C22" i="9" s="1"/>
  <c r="L22" i="9"/>
  <c r="L45" i="2" s="1"/>
  <c r="P16" i="9"/>
  <c r="O16" i="9"/>
  <c r="AF166" i="27" l="1"/>
  <c r="AA167" i="25"/>
  <c r="X166" i="27"/>
  <c r="AB166" i="27"/>
  <c r="W130" i="74" s="1"/>
  <c r="X130" i="74" s="1"/>
  <c r="W165" i="28"/>
  <c r="R165" i="28"/>
  <c r="AG165" i="28"/>
  <c r="AJ165" i="28" s="1"/>
  <c r="AB165" i="28"/>
  <c r="AE165" i="28" s="1"/>
  <c r="AL165" i="28"/>
  <c r="K130" i="74"/>
  <c r="L130" i="74" s="1"/>
  <c r="T166" i="27"/>
  <c r="U166" i="27" s="1"/>
  <c r="C129" i="41"/>
  <c r="S129" i="41" s="1"/>
  <c r="Q166" i="27"/>
  <c r="V166" i="23"/>
  <c r="AF43" i="28"/>
  <c r="W36" i="77"/>
  <c r="Q43" i="28"/>
  <c r="Q36" i="77"/>
  <c r="V43" i="28"/>
  <c r="N36" i="77"/>
  <c r="AA43" i="28"/>
  <c r="T36" i="77"/>
  <c r="Z45" i="25"/>
  <c r="R45" i="25" s="1"/>
  <c r="U44" i="26"/>
  <c r="S44" i="26"/>
  <c r="J36" i="74"/>
  <c r="J36" i="77" s="1"/>
  <c r="L36" i="77" s="1"/>
  <c r="G36" i="74"/>
  <c r="G36" i="77" s="1"/>
  <c r="V36" i="74"/>
  <c r="V36" i="77" s="1"/>
  <c r="X36" i="77" s="1"/>
  <c r="P36" i="74"/>
  <c r="P36" i="77" s="1"/>
  <c r="S36" i="74"/>
  <c r="S36" i="77" s="1"/>
  <c r="U36" i="77" s="1"/>
  <c r="M36" i="74"/>
  <c r="M36" i="77" s="1"/>
  <c r="F35" i="41"/>
  <c r="E36" i="74"/>
  <c r="E36" i="77" s="1"/>
  <c r="D43" i="11"/>
  <c r="D35" i="40"/>
  <c r="G45" i="38"/>
  <c r="C35" i="40"/>
  <c r="I43" i="11"/>
  <c r="F35" i="40"/>
  <c r="F36" i="74" s="1"/>
  <c r="F36" i="77" s="1"/>
  <c r="Q44" i="24"/>
  <c r="O44" i="24"/>
  <c r="N44" i="24"/>
  <c r="K44" i="24"/>
  <c r="L44" i="24"/>
  <c r="M44" i="24"/>
  <c r="P44" i="24"/>
  <c r="AB166" i="23"/>
  <c r="I129" i="40"/>
  <c r="AD167" i="2"/>
  <c r="AE167" i="2" s="1"/>
  <c r="C44" i="27"/>
  <c r="M45" i="25"/>
  <c r="Z165" i="28"/>
  <c r="D35" i="41"/>
  <c r="H35" i="40"/>
  <c r="N35" i="40" s="1"/>
  <c r="K44" i="23"/>
  <c r="K43" i="28"/>
  <c r="Z44" i="23"/>
  <c r="AK43" i="28"/>
  <c r="W44" i="23"/>
  <c r="N44" i="23"/>
  <c r="Q44" i="23"/>
  <c r="T44" i="23"/>
  <c r="CH44" i="10"/>
  <c r="DG45" i="20"/>
  <c r="DF45" i="20"/>
  <c r="DB45" i="20"/>
  <c r="DC45" i="20"/>
  <c r="DE45" i="20"/>
  <c r="DA45" i="20"/>
  <c r="DD45" i="20"/>
  <c r="AJ45" i="2"/>
  <c r="CG44" i="10"/>
  <c r="CK45" i="20"/>
  <c r="CG45" i="20"/>
  <c r="CJ45" i="20"/>
  <c r="CM45" i="20"/>
  <c r="CI45" i="20"/>
  <c r="CL45" i="20"/>
  <c r="CH45" i="20"/>
  <c r="BQ45" i="20"/>
  <c r="BM45" i="20"/>
  <c r="AV45" i="20"/>
  <c r="AE45" i="20"/>
  <c r="AA45" i="20"/>
  <c r="BR45" i="20"/>
  <c r="AW45" i="20"/>
  <c r="BP45" i="20"/>
  <c r="AY45" i="20"/>
  <c r="AU45" i="20"/>
  <c r="AD45" i="20"/>
  <c r="Z45" i="20"/>
  <c r="AB45" i="20"/>
  <c r="BS45" i="20"/>
  <c r="BO45" i="20"/>
  <c r="AX45" i="20"/>
  <c r="AT45" i="20"/>
  <c r="AC45" i="20"/>
  <c r="Y45" i="20"/>
  <c r="BN45" i="20"/>
  <c r="AS45" i="20"/>
  <c r="I44" i="27"/>
  <c r="H45" i="38"/>
  <c r="I45" i="20"/>
  <c r="K45" i="38"/>
  <c r="I45" i="25"/>
  <c r="I43" i="28"/>
  <c r="F44" i="26"/>
  <c r="E45" i="38"/>
  <c r="F45" i="20"/>
  <c r="J44" i="26"/>
  <c r="I45" i="38"/>
  <c r="J45" i="20"/>
  <c r="L45" i="38"/>
  <c r="F44" i="24"/>
  <c r="J45" i="25"/>
  <c r="F44" i="27"/>
  <c r="J43" i="28"/>
  <c r="E44" i="27"/>
  <c r="D45" i="38"/>
  <c r="E45" i="20"/>
  <c r="O45" i="38"/>
  <c r="M45" i="38"/>
  <c r="J44" i="24"/>
  <c r="E45" i="25"/>
  <c r="J44" i="27"/>
  <c r="E43" i="28"/>
  <c r="F43" i="11"/>
  <c r="F45" i="38"/>
  <c r="G45" i="20"/>
  <c r="J43" i="11"/>
  <c r="K45" i="20"/>
  <c r="D43" i="28"/>
  <c r="C45" i="38"/>
  <c r="D45" i="20"/>
  <c r="V43" i="11"/>
  <c r="J45" i="38"/>
  <c r="N45" i="38"/>
  <c r="H43" i="11"/>
  <c r="AI44" i="10"/>
  <c r="R44" i="24"/>
  <c r="U44" i="24" s="1"/>
  <c r="F45" i="25"/>
  <c r="F43" i="28"/>
  <c r="H43" i="28"/>
  <c r="H45" i="20"/>
  <c r="AK44" i="10"/>
  <c r="W44" i="27"/>
  <c r="G44" i="23"/>
  <c r="AE44" i="27"/>
  <c r="D44" i="26"/>
  <c r="H44" i="26"/>
  <c r="K44" i="27"/>
  <c r="AN45" i="2"/>
  <c r="B44" i="10"/>
  <c r="AQ44" i="10"/>
  <c r="E44" i="23"/>
  <c r="I44" i="23"/>
  <c r="D44" i="24"/>
  <c r="H44" i="24"/>
  <c r="G45" i="25"/>
  <c r="W45" i="25"/>
  <c r="E44" i="26"/>
  <c r="I44" i="26"/>
  <c r="D44" i="27"/>
  <c r="H44" i="27"/>
  <c r="AA44" i="27"/>
  <c r="G43" i="28"/>
  <c r="AO45" i="2"/>
  <c r="G44" i="26"/>
  <c r="AM45" i="2"/>
  <c r="D44" i="23"/>
  <c r="H44" i="23"/>
  <c r="G44" i="24"/>
  <c r="G44" i="27"/>
  <c r="S44" i="27"/>
  <c r="C43" i="11"/>
  <c r="G43" i="11"/>
  <c r="F44" i="23"/>
  <c r="J44" i="23"/>
  <c r="E44" i="24"/>
  <c r="I44" i="24"/>
  <c r="D45" i="25"/>
  <c r="H45" i="25"/>
  <c r="R44" i="26"/>
  <c r="O44" i="27"/>
  <c r="AL45" i="2"/>
  <c r="AP45" i="2"/>
  <c r="AS44" i="10"/>
  <c r="W43" i="11"/>
  <c r="AM44" i="10"/>
  <c r="AO44" i="10"/>
  <c r="Y167" i="2" l="1"/>
  <c r="Z167" i="2" s="1"/>
  <c r="Q45" i="25"/>
  <c r="S167" i="2"/>
  <c r="T167" i="2" s="1"/>
  <c r="Y166" i="23"/>
  <c r="T129" i="41"/>
  <c r="X45" i="25"/>
  <c r="AC166" i="27"/>
  <c r="AD166" i="27"/>
  <c r="V166" i="27"/>
  <c r="L45" i="25"/>
  <c r="N130" i="74"/>
  <c r="O130" i="74" s="1"/>
  <c r="U45" i="25"/>
  <c r="S166" i="23"/>
  <c r="O45" i="25"/>
  <c r="V45" i="25"/>
  <c r="W44" i="26"/>
  <c r="X44" i="27"/>
  <c r="T36" i="74" s="1"/>
  <c r="U36" i="74" s="1"/>
  <c r="AF44" i="27"/>
  <c r="P44" i="27"/>
  <c r="T44" i="27"/>
  <c r="N36" i="74" s="1"/>
  <c r="O36" i="74" s="1"/>
  <c r="AB44" i="27"/>
  <c r="W36" i="74" s="1"/>
  <c r="X36" i="74" s="1"/>
  <c r="V167" i="2"/>
  <c r="W167" i="2" s="1"/>
  <c r="L166" i="27"/>
  <c r="H130" i="74" s="1"/>
  <c r="I130" i="74" s="1"/>
  <c r="Z166" i="27"/>
  <c r="P167" i="2"/>
  <c r="Q167" i="2" s="1"/>
  <c r="T130" i="74"/>
  <c r="U130" i="74" s="1"/>
  <c r="Y166" i="27"/>
  <c r="P166" i="23"/>
  <c r="Q130" i="74"/>
  <c r="R130" i="74" s="1"/>
  <c r="R166" i="27"/>
  <c r="O36" i="77"/>
  <c r="R36" i="77"/>
  <c r="H36" i="77"/>
  <c r="I36" i="77" s="1"/>
  <c r="K45" i="25"/>
  <c r="N45" i="25"/>
  <c r="S45" i="25"/>
  <c r="Y36" i="74"/>
  <c r="Y36" i="77" s="1"/>
  <c r="P45" i="25"/>
  <c r="T45" i="25" s="1"/>
  <c r="AC45" i="2"/>
  <c r="K36" i="74"/>
  <c r="L36" i="74" s="1"/>
  <c r="B35" i="41"/>
  <c r="C36" i="74"/>
  <c r="C36" i="77" s="1"/>
  <c r="E35" i="41"/>
  <c r="D36" i="74"/>
  <c r="D36" i="77" s="1"/>
  <c r="M129" i="40"/>
  <c r="O129" i="40"/>
  <c r="J129" i="41"/>
  <c r="U129" i="41" s="1"/>
  <c r="C43" i="28"/>
  <c r="L165" i="28"/>
  <c r="U165" i="28"/>
  <c r="R129" i="41"/>
  <c r="J129" i="40"/>
  <c r="I35" i="41"/>
  <c r="AB45" i="25"/>
  <c r="AA45" i="25"/>
  <c r="AF44" i="10"/>
  <c r="AB44" i="10"/>
  <c r="W44" i="10"/>
  <c r="Y44" i="10"/>
  <c r="X44" i="10"/>
  <c r="Z44" i="10"/>
  <c r="AA44" i="10"/>
  <c r="AE44" i="10"/>
  <c r="AC44" i="10"/>
  <c r="AD44" i="10"/>
  <c r="AG44" i="10"/>
  <c r="AH44" i="10"/>
  <c r="S44" i="10"/>
  <c r="V44" i="10"/>
  <c r="R44" i="10"/>
  <c r="Q44" i="10"/>
  <c r="U44" i="10"/>
  <c r="T44" i="10"/>
  <c r="M166" i="23" l="1"/>
  <c r="R43" i="28"/>
  <c r="W43" i="28"/>
  <c r="AL43" i="28"/>
  <c r="AB43" i="28"/>
  <c r="AG43" i="28"/>
  <c r="AJ43" i="28" s="1"/>
  <c r="M166" i="27"/>
  <c r="M167" i="2"/>
  <c r="N166" i="27"/>
  <c r="W167" i="20"/>
  <c r="P165" i="28"/>
  <c r="O165" i="28"/>
  <c r="AC44" i="27"/>
  <c r="Q44" i="27"/>
  <c r="Q36" i="74"/>
  <c r="R36" i="74" s="1"/>
  <c r="U44" i="27"/>
  <c r="K129" i="41"/>
  <c r="L129" i="41"/>
  <c r="V44" i="23"/>
  <c r="V45" i="2"/>
  <c r="W45" i="2" s="1"/>
  <c r="Z44" i="27"/>
  <c r="K129" i="40"/>
  <c r="L129" i="40"/>
  <c r="L44" i="27"/>
  <c r="H36" i="74" s="1"/>
  <c r="I36" i="74" s="1"/>
  <c r="P44" i="23"/>
  <c r="P45" i="2"/>
  <c r="Q45" i="2" s="1"/>
  <c r="R44" i="27"/>
  <c r="Y44" i="27"/>
  <c r="Y44" i="23"/>
  <c r="Y45" i="2"/>
  <c r="Z45" i="2" s="1"/>
  <c r="AD44" i="27"/>
  <c r="AE43" i="28"/>
  <c r="S44" i="23"/>
  <c r="S45" i="2"/>
  <c r="T45" i="2" s="1"/>
  <c r="V44" i="27"/>
  <c r="I35" i="40"/>
  <c r="AB44" i="23"/>
  <c r="AD45" i="2"/>
  <c r="AE45" i="2" s="1"/>
  <c r="X51" i="20"/>
  <c r="X41" i="20"/>
  <c r="X40" i="20"/>
  <c r="CI44" i="10"/>
  <c r="CJ44" i="10" s="1"/>
  <c r="X47" i="20"/>
  <c r="M35" i="40" l="1"/>
  <c r="O35" i="40"/>
  <c r="J35" i="41"/>
  <c r="T43" i="28"/>
  <c r="L43" i="28"/>
  <c r="O43" i="28" s="1"/>
  <c r="U43" i="28"/>
  <c r="M44" i="23"/>
  <c r="Y43" i="28"/>
  <c r="Z43" i="28"/>
  <c r="M45" i="2"/>
  <c r="N45" i="2" s="1"/>
  <c r="N44" i="27"/>
  <c r="M44" i="27"/>
  <c r="R35" i="41"/>
  <c r="AN43" i="28"/>
  <c r="J35" i="40"/>
  <c r="N35" i="27"/>
  <c r="N31" i="27"/>
  <c r="R35" i="27"/>
  <c r="R31" i="27"/>
  <c r="V35" i="27"/>
  <c r="V31" i="27"/>
  <c r="V15" i="27"/>
  <c r="Z37" i="27"/>
  <c r="Z36" i="27"/>
  <c r="Z35" i="27"/>
  <c r="Z34" i="27"/>
  <c r="Z33" i="27"/>
  <c r="Z31" i="27"/>
  <c r="Z30" i="27"/>
  <c r="Z29" i="27"/>
  <c r="Z28" i="27"/>
  <c r="Z27" i="27"/>
  <c r="Z26" i="27"/>
  <c r="Z25" i="27"/>
  <c r="Z24" i="27"/>
  <c r="Z23" i="27"/>
  <c r="Z22" i="27"/>
  <c r="Z21" i="27"/>
  <c r="Z20" i="27"/>
  <c r="Z19" i="27"/>
  <c r="Z18" i="27"/>
  <c r="Z17" i="27"/>
  <c r="Z16" i="27"/>
  <c r="Z15" i="27"/>
  <c r="Z14" i="27"/>
  <c r="Z13" i="27"/>
  <c r="Z12" i="27"/>
  <c r="Z11" i="27"/>
  <c r="Z10" i="27"/>
  <c r="Z9" i="27"/>
  <c r="O170" i="27"/>
  <c r="AD37" i="27"/>
  <c r="AD36" i="27"/>
  <c r="AD35" i="27"/>
  <c r="AD34" i="27"/>
  <c r="AD33" i="27"/>
  <c r="AD31" i="27"/>
  <c r="AD30" i="27"/>
  <c r="AD29" i="27"/>
  <c r="AD28" i="27"/>
  <c r="AD27" i="27"/>
  <c r="AD26" i="27"/>
  <c r="AD25" i="27"/>
  <c r="AD24" i="27"/>
  <c r="AD23" i="27"/>
  <c r="AD22" i="27"/>
  <c r="AD21" i="27"/>
  <c r="AD20" i="27"/>
  <c r="AD19" i="27"/>
  <c r="AD18" i="27"/>
  <c r="AD17" i="27"/>
  <c r="AD16" i="27"/>
  <c r="AD15" i="27"/>
  <c r="AD14" i="27"/>
  <c r="AD13" i="27"/>
  <c r="AD12" i="27"/>
  <c r="AD11" i="27"/>
  <c r="AD10" i="27"/>
  <c r="AD9" i="27"/>
  <c r="AH31" i="27"/>
  <c r="AH35" i="27"/>
  <c r="U35" i="41" l="1"/>
  <c r="K35" i="41"/>
  <c r="L35" i="41"/>
  <c r="L35" i="40"/>
  <c r="K35" i="40"/>
  <c r="P43" i="28"/>
  <c r="Z32" i="27"/>
  <c r="Z8" i="27"/>
  <c r="AD8" i="27"/>
  <c r="AD32" i="27"/>
  <c r="AH61" i="2" l="1"/>
  <c r="AI61" i="2"/>
  <c r="CG60" i="10" s="1"/>
  <c r="AK61" i="2"/>
  <c r="AA60" i="10" l="1"/>
  <c r="DG61" i="20"/>
  <c r="DD61" i="20"/>
  <c r="DC61" i="20"/>
  <c r="DF61" i="20"/>
  <c r="DE61" i="20"/>
  <c r="DB61" i="20"/>
  <c r="DA61" i="20"/>
  <c r="CK60" i="10"/>
  <c r="AG60" i="10"/>
  <c r="CJ61" i="20"/>
  <c r="CM61" i="20"/>
  <c r="CI61" i="20"/>
  <c r="CL61" i="20"/>
  <c r="CH61" i="20"/>
  <c r="CK61" i="20"/>
  <c r="CG61" i="20"/>
  <c r="BQ61" i="20"/>
  <c r="BM61" i="20"/>
  <c r="AY61" i="20"/>
  <c r="AU61" i="20"/>
  <c r="AC61" i="20"/>
  <c r="Y61" i="20"/>
  <c r="BP61" i="20"/>
  <c r="AX61" i="20"/>
  <c r="AT61" i="20"/>
  <c r="AB61" i="20"/>
  <c r="BS61" i="20"/>
  <c r="BO61" i="20"/>
  <c r="AW61" i="20"/>
  <c r="AS61" i="20"/>
  <c r="AE61" i="20"/>
  <c r="AA61" i="20"/>
  <c r="BN61" i="20"/>
  <c r="AV61" i="20"/>
  <c r="AD61" i="20"/>
  <c r="BR61" i="20"/>
  <c r="Z61" i="20"/>
  <c r="D116" i="2"/>
  <c r="C116" i="38" l="1"/>
  <c r="B87" i="40"/>
  <c r="B88" i="74" s="1"/>
  <c r="B88" i="77" s="1"/>
  <c r="D61" i="2"/>
  <c r="E61" i="2"/>
  <c r="F61" i="2"/>
  <c r="E61" i="38" s="1"/>
  <c r="G61" i="2"/>
  <c r="D60" i="2"/>
  <c r="E60" i="2"/>
  <c r="F60" i="2"/>
  <c r="E60" i="38" s="1"/>
  <c r="G60" i="2"/>
  <c r="D59" i="2"/>
  <c r="E59" i="2"/>
  <c r="F59" i="2"/>
  <c r="E59" i="38" s="1"/>
  <c r="G59" i="2"/>
  <c r="I58" i="38"/>
  <c r="H58" i="38"/>
  <c r="G58" i="38"/>
  <c r="F58" i="38"/>
  <c r="E58" i="38"/>
  <c r="D58" i="38"/>
  <c r="C58" i="38"/>
  <c r="P88" i="74" l="1"/>
  <c r="P88" i="77" s="1"/>
  <c r="S88" i="74"/>
  <c r="S88" i="77" s="1"/>
  <c r="U88" i="77" s="1"/>
  <c r="M88" i="74"/>
  <c r="M88" i="77" s="1"/>
  <c r="G88" i="74"/>
  <c r="G88" i="77" s="1"/>
  <c r="J88" i="74"/>
  <c r="J88" i="77" s="1"/>
  <c r="V88" i="74"/>
  <c r="V88" i="77" s="1"/>
  <c r="X88" i="77" s="1"/>
  <c r="D59" i="38"/>
  <c r="D44" i="40"/>
  <c r="D60" i="38"/>
  <c r="D45" i="40"/>
  <c r="D61" i="38"/>
  <c r="D46" i="40"/>
  <c r="C59" i="38"/>
  <c r="B44" i="40"/>
  <c r="B45" i="74" s="1"/>
  <c r="B45" i="77" s="1"/>
  <c r="F59" i="38"/>
  <c r="E44" i="40"/>
  <c r="F60" i="38"/>
  <c r="E45" i="40"/>
  <c r="F61" i="38"/>
  <c r="E46" i="40"/>
  <c r="D87" i="41"/>
  <c r="H87" i="40"/>
  <c r="C61" i="38"/>
  <c r="B46" i="40"/>
  <c r="B47" i="74" s="1"/>
  <c r="B47" i="77" s="1"/>
  <c r="C60" i="38"/>
  <c r="B45" i="40"/>
  <c r="B46" i="74" s="1"/>
  <c r="B46" i="77" s="1"/>
  <c r="C181" i="2"/>
  <c r="C180" i="2"/>
  <c r="C71" i="8" s="1"/>
  <c r="C179" i="2"/>
  <c r="C70" i="8" s="1"/>
  <c r="C178" i="2"/>
  <c r="C177" i="2"/>
  <c r="C75" i="3" s="1"/>
  <c r="C176" i="2"/>
  <c r="C175" i="2"/>
  <c r="C78" i="9" s="1"/>
  <c r="C174" i="2"/>
  <c r="C77" i="9" s="1"/>
  <c r="C171" i="2"/>
  <c r="C166" i="2"/>
  <c r="C165" i="2"/>
  <c r="C67" i="3" s="1"/>
  <c r="C164" i="2"/>
  <c r="C63" i="8" s="1"/>
  <c r="C163" i="2"/>
  <c r="C162" i="2"/>
  <c r="C70" i="9" s="1"/>
  <c r="C159" i="2"/>
  <c r="C60" i="8" s="1"/>
  <c r="C158" i="2"/>
  <c r="C157" i="2"/>
  <c r="C64" i="3" s="1"/>
  <c r="C156" i="2"/>
  <c r="C155" i="2"/>
  <c r="C67" i="9" s="1"/>
  <c r="C153" i="2"/>
  <c r="C58" i="8" s="1"/>
  <c r="C152" i="2"/>
  <c r="C151" i="2"/>
  <c r="C62" i="3" s="1"/>
  <c r="C150" i="2"/>
  <c r="C149" i="2"/>
  <c r="C65" i="9" s="1"/>
  <c r="C140" i="2"/>
  <c r="C53" i="8" s="1"/>
  <c r="C139" i="2"/>
  <c r="C138" i="2"/>
  <c r="C59" i="9" s="1"/>
  <c r="C137" i="2"/>
  <c r="C52" i="3" s="1"/>
  <c r="C136" i="2"/>
  <c r="C57" i="9"/>
  <c r="C51" i="8"/>
  <c r="C49" i="3"/>
  <c r="C48" i="3"/>
  <c r="C47" i="3"/>
  <c r="C119" i="2"/>
  <c r="C48" i="8" s="1"/>
  <c r="C118" i="2"/>
  <c r="C117" i="2"/>
  <c r="C44" i="3" s="1"/>
  <c r="C116" i="2"/>
  <c r="C115" i="2"/>
  <c r="C53" i="9" s="1"/>
  <c r="C113" i="2"/>
  <c r="C46" i="8" s="1"/>
  <c r="C112" i="2"/>
  <c r="C111" i="2"/>
  <c r="C42" i="3" s="1"/>
  <c r="C110" i="2"/>
  <c r="C109" i="2"/>
  <c r="C51" i="9" s="1"/>
  <c r="C107" i="2"/>
  <c r="C44" i="8" s="1"/>
  <c r="C106" i="2"/>
  <c r="C105" i="2"/>
  <c r="C40" i="3" s="1"/>
  <c r="C104" i="2"/>
  <c r="C103" i="2"/>
  <c r="C49" i="9" s="1"/>
  <c r="C98" i="2"/>
  <c r="C40" i="8" s="1"/>
  <c r="C97" i="2"/>
  <c r="C96" i="2"/>
  <c r="C95" i="2"/>
  <c r="C36" i="3" s="1"/>
  <c r="C94" i="2"/>
  <c r="C35" i="3" s="1"/>
  <c r="C93" i="2"/>
  <c r="C45" i="9" s="1"/>
  <c r="C91" i="2"/>
  <c r="C90" i="2"/>
  <c r="C89" i="2"/>
  <c r="C38" i="8" s="1"/>
  <c r="C88" i="2"/>
  <c r="C33" i="3" s="1"/>
  <c r="C87" i="2"/>
  <c r="C43" i="9" s="1"/>
  <c r="C83" i="2"/>
  <c r="C82" i="2"/>
  <c r="C81" i="2"/>
  <c r="C31" i="3" s="1"/>
  <c r="C80" i="2"/>
  <c r="C30" i="3" s="1"/>
  <c r="C78" i="2"/>
  <c r="C34" i="8" s="1"/>
  <c r="C77" i="2"/>
  <c r="C76" i="2"/>
  <c r="C75" i="2"/>
  <c r="C28" i="3" s="1"/>
  <c r="C72" i="2"/>
  <c r="C36" i="9" s="1"/>
  <c r="C71" i="2"/>
  <c r="C70" i="2"/>
  <c r="C31" i="8" s="1"/>
  <c r="C69" i="2"/>
  <c r="C68" i="2"/>
  <c r="C25" i="3" s="1"/>
  <c r="C66" i="2"/>
  <c r="C29" i="8" s="1"/>
  <c r="C65" i="2"/>
  <c r="C64" i="2"/>
  <c r="C23" i="3" s="1"/>
  <c r="C63" i="2"/>
  <c r="C34" i="9" s="1"/>
  <c r="C61" i="2"/>
  <c r="C60" i="2"/>
  <c r="C59" i="2"/>
  <c r="C57" i="2"/>
  <c r="C18" i="3" s="1"/>
  <c r="C55" i="2"/>
  <c r="C54" i="2"/>
  <c r="C53" i="2"/>
  <c r="C21" i="8" s="1"/>
  <c r="C52" i="2"/>
  <c r="C16" i="3" s="1"/>
  <c r="C51" i="2"/>
  <c r="C26" i="9" s="1"/>
  <c r="C49" i="2"/>
  <c r="C19" i="8" s="1"/>
  <c r="C48" i="2"/>
  <c r="C47" i="2"/>
  <c r="C14" i="3" s="1"/>
  <c r="C44" i="2"/>
  <c r="C21" i="9" s="1"/>
  <c r="C43" i="2"/>
  <c r="C20" i="9" s="1"/>
  <c r="C42" i="2"/>
  <c r="C19" i="9" s="1"/>
  <c r="C41" i="2"/>
  <c r="C18" i="9" s="1"/>
  <c r="C40" i="2"/>
  <c r="C17" i="9" s="1"/>
  <c r="C38" i="2"/>
  <c r="C37" i="2"/>
  <c r="C36" i="2"/>
  <c r="C35" i="2"/>
  <c r="C15" i="9" s="1"/>
  <c r="C34" i="2"/>
  <c r="C14" i="9" s="1"/>
  <c r="C12" i="9"/>
  <c r="C31" i="2"/>
  <c r="C30" i="2"/>
  <c r="C29" i="2"/>
  <c r="C28" i="2"/>
  <c r="C27" i="2"/>
  <c r="C26" i="2"/>
  <c r="C25" i="2"/>
  <c r="C24" i="2"/>
  <c r="C23" i="2"/>
  <c r="C22" i="2"/>
  <c r="C21" i="2"/>
  <c r="C20" i="2"/>
  <c r="C19" i="2"/>
  <c r="C18" i="2"/>
  <c r="C17" i="2"/>
  <c r="C16" i="2"/>
  <c r="C15" i="2"/>
  <c r="C14" i="2"/>
  <c r="C13" i="2"/>
  <c r="C12" i="2"/>
  <c r="C11" i="2"/>
  <c r="C10" i="2"/>
  <c r="C6" i="2"/>
  <c r="C5" i="2"/>
  <c r="C4" i="2"/>
  <c r="C9" i="9" l="1"/>
  <c r="R26" i="2"/>
  <c r="N19" i="77" s="1"/>
  <c r="O26" i="2"/>
  <c r="Q19" i="77" s="1"/>
  <c r="R14" i="2"/>
  <c r="N7" i="77" s="1"/>
  <c r="O14" i="2"/>
  <c r="R11" i="2"/>
  <c r="N4" i="77" s="1"/>
  <c r="O11" i="2"/>
  <c r="C9" i="8"/>
  <c r="O15" i="2"/>
  <c r="R15" i="2"/>
  <c r="N8" i="77" s="1"/>
  <c r="C11" i="8"/>
  <c r="O19" i="2"/>
  <c r="R19" i="2"/>
  <c r="N12" i="77" s="1"/>
  <c r="C8" i="9"/>
  <c r="R23" i="2"/>
  <c r="N16" i="77" s="1"/>
  <c r="O23" i="2"/>
  <c r="Q16" i="77" s="1"/>
  <c r="C10" i="9"/>
  <c r="R27" i="2"/>
  <c r="N20" i="77" s="1"/>
  <c r="R31" i="2"/>
  <c r="N24" i="77" s="1"/>
  <c r="O31" i="2"/>
  <c r="Q24" i="77" s="1"/>
  <c r="R10" i="2"/>
  <c r="O10" i="2"/>
  <c r="R22" i="2"/>
  <c r="N15" i="77" s="1"/>
  <c r="O22" i="2"/>
  <c r="Q15" i="77" s="1"/>
  <c r="C12" i="8"/>
  <c r="R20" i="2"/>
  <c r="N13" i="77" s="1"/>
  <c r="C10" i="8"/>
  <c r="R18" i="2"/>
  <c r="N11" i="77" s="1"/>
  <c r="C13" i="8"/>
  <c r="R30" i="2"/>
  <c r="N23" i="77" s="1"/>
  <c r="O12" i="2"/>
  <c r="R12" i="2"/>
  <c r="N5" i="77" s="1"/>
  <c r="O16" i="2"/>
  <c r="Q9" i="77" s="1"/>
  <c r="R16" i="2"/>
  <c r="N9" i="77" s="1"/>
  <c r="AA24" i="2"/>
  <c r="P12" i="6" s="1"/>
  <c r="O24" i="2"/>
  <c r="Q17" i="77" s="1"/>
  <c r="R24" i="2"/>
  <c r="N17" i="77" s="1"/>
  <c r="O28" i="2"/>
  <c r="Q21" i="77" s="1"/>
  <c r="R28" i="2"/>
  <c r="N21" i="77" s="1"/>
  <c r="C8" i="8"/>
  <c r="R13" i="2"/>
  <c r="N6" i="77" s="1"/>
  <c r="O17" i="2"/>
  <c r="Q10" i="77" s="1"/>
  <c r="R17" i="2"/>
  <c r="N10" i="77" s="1"/>
  <c r="R21" i="2"/>
  <c r="N14" i="77" s="1"/>
  <c r="O21" i="2"/>
  <c r="Q14" i="77" s="1"/>
  <c r="O25" i="2"/>
  <c r="Q18" i="77" s="1"/>
  <c r="R25" i="2"/>
  <c r="N18" i="77" s="1"/>
  <c r="C11" i="9"/>
  <c r="R29" i="2"/>
  <c r="N22" i="77" s="1"/>
  <c r="S47" i="74"/>
  <c r="S47" i="77" s="1"/>
  <c r="U47" i="77" s="1"/>
  <c r="V47" i="74"/>
  <c r="V47" i="77" s="1"/>
  <c r="X47" i="77" s="1"/>
  <c r="J47" i="74"/>
  <c r="J47" i="77" s="1"/>
  <c r="M47" i="74"/>
  <c r="M47" i="77" s="1"/>
  <c r="O47" i="77" s="1"/>
  <c r="G47" i="74"/>
  <c r="G47" i="77" s="1"/>
  <c r="P47" i="74"/>
  <c r="P47" i="77" s="1"/>
  <c r="F46" i="41"/>
  <c r="E47" i="74"/>
  <c r="E47" i="77" s="1"/>
  <c r="F44" i="41"/>
  <c r="E45" i="74"/>
  <c r="E45" i="77" s="1"/>
  <c r="E46" i="41"/>
  <c r="D47" i="74"/>
  <c r="D47" i="77" s="1"/>
  <c r="E44" i="41"/>
  <c r="D45" i="74"/>
  <c r="D45" i="77" s="1"/>
  <c r="V46" i="74"/>
  <c r="V46" i="77" s="1"/>
  <c r="X46" i="77" s="1"/>
  <c r="G46" i="74"/>
  <c r="G46" i="77" s="1"/>
  <c r="S46" i="74"/>
  <c r="S46" i="77" s="1"/>
  <c r="U46" i="77" s="1"/>
  <c r="J46" i="74"/>
  <c r="J46" i="77" s="1"/>
  <c r="P46" i="74"/>
  <c r="P46" i="77" s="1"/>
  <c r="M46" i="74"/>
  <c r="M46" i="77" s="1"/>
  <c r="O46" i="77" s="1"/>
  <c r="F45" i="41"/>
  <c r="E46" i="74"/>
  <c r="E46" i="77" s="1"/>
  <c r="S45" i="74"/>
  <c r="S45" i="77" s="1"/>
  <c r="U45" i="77" s="1"/>
  <c r="P45" i="74"/>
  <c r="P45" i="77" s="1"/>
  <c r="M45" i="74"/>
  <c r="M45" i="77" s="1"/>
  <c r="O45" i="77" s="1"/>
  <c r="V45" i="74"/>
  <c r="V45" i="77" s="1"/>
  <c r="X45" i="77" s="1"/>
  <c r="G45" i="74"/>
  <c r="G45" i="77" s="1"/>
  <c r="J45" i="74"/>
  <c r="J45" i="77" s="1"/>
  <c r="E45" i="41"/>
  <c r="D46" i="74"/>
  <c r="D46" i="77" s="1"/>
  <c r="I87" i="41"/>
  <c r="D44" i="41"/>
  <c r="H44" i="40"/>
  <c r="D46" i="41"/>
  <c r="H46" i="40"/>
  <c r="D45" i="41"/>
  <c r="H45" i="40"/>
  <c r="C3" i="9"/>
  <c r="C3" i="8"/>
  <c r="C30" i="9"/>
  <c r="C25" i="8"/>
  <c r="C20" i="3"/>
  <c r="C32" i="9"/>
  <c r="C27" i="8"/>
  <c r="C31" i="9"/>
  <c r="C26" i="8"/>
  <c r="C74" i="9"/>
  <c r="C72" i="3"/>
  <c r="C67" i="8"/>
  <c r="C82" i="21"/>
  <c r="D82" i="21" s="1"/>
  <c r="L8" i="7" l="1"/>
  <c r="Q3" i="77"/>
  <c r="L9" i="7"/>
  <c r="Q4" i="77"/>
  <c r="L11" i="7"/>
  <c r="Q7" i="77"/>
  <c r="L10" i="7"/>
  <c r="Q5" i="77"/>
  <c r="M11" i="8"/>
  <c r="Q12" i="77"/>
  <c r="M9" i="8"/>
  <c r="Q8" i="77"/>
  <c r="N3" i="77"/>
  <c r="M9" i="6"/>
  <c r="M8" i="6"/>
  <c r="L12" i="6"/>
  <c r="L24" i="25"/>
  <c r="L9" i="6"/>
  <c r="L8" i="6"/>
  <c r="L11" i="6"/>
  <c r="M9" i="9"/>
  <c r="L14" i="6"/>
  <c r="M8" i="9"/>
  <c r="L13" i="6"/>
  <c r="L10" i="6"/>
  <c r="L15" i="6"/>
  <c r="I44" i="41"/>
  <c r="I46" i="41"/>
  <c r="I45" i="41"/>
  <c r="AK170" i="10"/>
  <c r="O171" i="10"/>
  <c r="N171" i="10"/>
  <c r="M171" i="10"/>
  <c r="L171" i="10"/>
  <c r="F171" i="10"/>
  <c r="AH171" i="10"/>
  <c r="AD170" i="10" l="1"/>
  <c r="F169" i="10"/>
  <c r="F168" i="10" s="1"/>
  <c r="A181" i="10" l="1"/>
  <c r="A180" i="10"/>
  <c r="A179" i="10"/>
  <c r="A178" i="10"/>
  <c r="A177" i="10"/>
  <c r="A176" i="10"/>
  <c r="A175" i="10"/>
  <c r="A174" i="10"/>
  <c r="A173" i="10"/>
  <c r="A172" i="10"/>
  <c r="B170" i="10"/>
  <c r="A170" i="10"/>
  <c r="A169" i="10"/>
  <c r="A168" i="10"/>
  <c r="A167" i="10"/>
  <c r="A165" i="10"/>
  <c r="A164" i="10"/>
  <c r="A163" i="10"/>
  <c r="A162" i="10"/>
  <c r="A161" i="10"/>
  <c r="A160" i="10"/>
  <c r="A159" i="10"/>
  <c r="A158" i="10"/>
  <c r="A157" i="10"/>
  <c r="A156" i="10"/>
  <c r="A155" i="10"/>
  <c r="A154" i="10"/>
  <c r="A153" i="10"/>
  <c r="A152" i="10"/>
  <c r="A151" i="10"/>
  <c r="A150" i="10"/>
  <c r="A149" i="10"/>
  <c r="A148" i="10"/>
  <c r="A147" i="10"/>
  <c r="A146" i="10"/>
  <c r="A139" i="10"/>
  <c r="A138" i="10"/>
  <c r="A137" i="10"/>
  <c r="A136" i="10"/>
  <c r="A135" i="10"/>
  <c r="A134" i="10"/>
  <c r="A128" i="10"/>
  <c r="A127" i="10"/>
  <c r="A126" i="10"/>
  <c r="A125" i="10"/>
  <c r="A124" i="10"/>
  <c r="A123" i="10"/>
  <c r="A122" i="10"/>
  <c r="A121" i="10"/>
  <c r="A120" i="10"/>
  <c r="A119" i="10"/>
  <c r="A118" i="10"/>
  <c r="A117" i="10"/>
  <c r="A116" i="10"/>
  <c r="A115" i="10"/>
  <c r="A114" i="10"/>
  <c r="A113" i="10"/>
  <c r="A112" i="10"/>
  <c r="A111" i="10"/>
  <c r="A110" i="10"/>
  <c r="A109" i="10"/>
  <c r="A108" i="10"/>
  <c r="A107" i="10"/>
  <c r="A106" i="10"/>
  <c r="A105" i="10"/>
  <c r="A104" i="10"/>
  <c r="A103" i="10"/>
  <c r="A102" i="10"/>
  <c r="A101" i="10"/>
  <c r="A100" i="10"/>
  <c r="A99" i="10"/>
  <c r="A97" i="10"/>
  <c r="A96" i="10"/>
  <c r="A95" i="10"/>
  <c r="A94" i="10"/>
  <c r="A93" i="10"/>
  <c r="A92" i="10"/>
  <c r="A91" i="10"/>
  <c r="A90" i="10"/>
  <c r="A89" i="10"/>
  <c r="A88" i="10"/>
  <c r="A87" i="10"/>
  <c r="A86" i="10"/>
  <c r="A85" i="10"/>
  <c r="A82" i="10"/>
  <c r="A81" i="10"/>
  <c r="A80" i="10"/>
  <c r="A79" i="10"/>
  <c r="B78" i="10"/>
  <c r="A78" i="10"/>
  <c r="A77" i="10"/>
  <c r="A76" i="10"/>
  <c r="A75" i="10"/>
  <c r="A74" i="10"/>
  <c r="A73" i="10"/>
  <c r="A72" i="10"/>
  <c r="A71" i="10"/>
  <c r="A70" i="10"/>
  <c r="A69" i="10"/>
  <c r="A68" i="10"/>
  <c r="A67" i="10"/>
  <c r="A66" i="10"/>
  <c r="A65" i="10"/>
  <c r="A64" i="10"/>
  <c r="A63" i="10"/>
  <c r="A62" i="10"/>
  <c r="A61" i="10"/>
  <c r="B60" i="10"/>
  <c r="A60" i="10"/>
  <c r="B59" i="10"/>
  <c r="A59" i="10"/>
  <c r="B58" i="10"/>
  <c r="A57" i="10"/>
  <c r="A56" i="10"/>
  <c r="A54" i="10"/>
  <c r="A53" i="10"/>
  <c r="A52" i="10"/>
  <c r="A51" i="10"/>
  <c r="A50" i="10"/>
  <c r="A55" i="10"/>
  <c r="A49" i="10"/>
  <c r="A48" i="10"/>
  <c r="A47" i="10"/>
  <c r="A46" i="10"/>
  <c r="A45" i="10"/>
  <c r="A38" i="10"/>
  <c r="A32" i="10"/>
  <c r="A43" i="10"/>
  <c r="A42" i="10"/>
  <c r="A41" i="10"/>
  <c r="A40" i="10"/>
  <c r="A39" i="10"/>
  <c r="A7" i="10"/>
  <c r="A6" i="10"/>
  <c r="A8" i="10"/>
  <c r="A30" i="10"/>
  <c r="A29" i="10"/>
  <c r="A28" i="10"/>
  <c r="A27" i="10"/>
  <c r="A26" i="10"/>
  <c r="A25" i="10"/>
  <c r="A24" i="10"/>
  <c r="A23" i="10"/>
  <c r="A22" i="10"/>
  <c r="A21" i="10"/>
  <c r="A20" i="10"/>
  <c r="A19" i="10"/>
  <c r="A18" i="10"/>
  <c r="A17" i="10"/>
  <c r="A16" i="10"/>
  <c r="A15" i="10"/>
  <c r="A14" i="10"/>
  <c r="A13" i="10"/>
  <c r="A12" i="10"/>
  <c r="A11" i="10"/>
  <c r="A10" i="10"/>
  <c r="A9" i="10"/>
  <c r="A37" i="10"/>
  <c r="A36" i="10"/>
  <c r="A35" i="10"/>
  <c r="A34" i="10"/>
  <c r="A33" i="10"/>
  <c r="C181" i="20" l="1"/>
  <c r="C180" i="20"/>
  <c r="C179" i="20"/>
  <c r="C178" i="20"/>
  <c r="C177" i="20"/>
  <c r="C176" i="20"/>
  <c r="C175" i="20"/>
  <c r="C174" i="20"/>
  <c r="C171" i="20"/>
  <c r="C170" i="20"/>
  <c r="C166" i="20"/>
  <c r="C165" i="20"/>
  <c r="C164" i="20"/>
  <c r="C163" i="20"/>
  <c r="C162" i="20"/>
  <c r="C159" i="20"/>
  <c r="C158" i="20"/>
  <c r="C157" i="20"/>
  <c r="C156" i="20"/>
  <c r="C155" i="20"/>
  <c r="C153" i="20"/>
  <c r="C152" i="20"/>
  <c r="C151" i="20"/>
  <c r="C150" i="20"/>
  <c r="C149" i="20"/>
  <c r="C140" i="20"/>
  <c r="C139" i="20"/>
  <c r="C138" i="20"/>
  <c r="C137" i="20"/>
  <c r="C129" i="20"/>
  <c r="C128" i="20"/>
  <c r="C127" i="20"/>
  <c r="C126" i="20"/>
  <c r="C125" i="20"/>
  <c r="C124" i="20"/>
  <c r="C123" i="20"/>
  <c r="C122" i="20"/>
  <c r="C119" i="20"/>
  <c r="C118" i="20"/>
  <c r="C117" i="20"/>
  <c r="C113" i="20"/>
  <c r="C112" i="20"/>
  <c r="C111" i="20"/>
  <c r="C110" i="20"/>
  <c r="C109" i="20"/>
  <c r="C107" i="20"/>
  <c r="C106" i="20"/>
  <c r="C105" i="20"/>
  <c r="C104" i="20"/>
  <c r="C103" i="20"/>
  <c r="C98" i="20"/>
  <c r="C97" i="20"/>
  <c r="C96" i="20"/>
  <c r="C94" i="20"/>
  <c r="C93" i="20"/>
  <c r="C91" i="20"/>
  <c r="C90" i="20"/>
  <c r="C89" i="20"/>
  <c r="C88" i="20"/>
  <c r="C83" i="20"/>
  <c r="C82" i="20"/>
  <c r="C81" i="20"/>
  <c r="C80" i="20"/>
  <c r="C78" i="20"/>
  <c r="C77" i="20"/>
  <c r="C76" i="20"/>
  <c r="C75" i="20"/>
  <c r="C72" i="20"/>
  <c r="C71" i="20"/>
  <c r="C70" i="20"/>
  <c r="C69" i="20"/>
  <c r="C68" i="20"/>
  <c r="C61" i="20"/>
  <c r="C60" i="20"/>
  <c r="C59" i="20"/>
  <c r="C55" i="20"/>
  <c r="C54" i="20"/>
  <c r="C53" i="20"/>
  <c r="C52" i="20"/>
  <c r="C51" i="20"/>
  <c r="C49" i="20"/>
  <c r="C48" i="20"/>
  <c r="C47" i="20"/>
  <c r="C38" i="20"/>
  <c r="C37" i="20"/>
  <c r="C36" i="20"/>
  <c r="C35" i="20"/>
  <c r="C34" i="20"/>
  <c r="C32" i="20"/>
  <c r="C31" i="20"/>
  <c r="C30" i="20"/>
  <c r="C29" i="20"/>
  <c r="C28" i="20"/>
  <c r="C27" i="20"/>
  <c r="C26" i="20"/>
  <c r="C25" i="20"/>
  <c r="C24" i="20"/>
  <c r="C23" i="20"/>
  <c r="C22" i="20"/>
  <c r="C21" i="20"/>
  <c r="C20" i="20"/>
  <c r="C19" i="20"/>
  <c r="C18" i="20"/>
  <c r="C17" i="20"/>
  <c r="C16" i="20"/>
  <c r="C15" i="20"/>
  <c r="C14" i="20"/>
  <c r="C13" i="20"/>
  <c r="C12" i="20"/>
  <c r="C11" i="20"/>
  <c r="C10" i="20"/>
  <c r="C5" i="20"/>
  <c r="C4" i="20"/>
  <c r="CW181" i="20"/>
  <c r="CW180" i="20"/>
  <c r="CW179" i="20"/>
  <c r="CW178" i="20"/>
  <c r="CW177" i="20"/>
  <c r="CW176" i="20"/>
  <c r="CW175" i="20"/>
  <c r="CW174" i="20"/>
  <c r="CW171" i="20"/>
  <c r="CV170" i="20"/>
  <c r="CU170" i="20"/>
  <c r="CT170" i="20"/>
  <c r="CS170" i="20"/>
  <c r="CR170" i="20"/>
  <c r="CQ170" i="20"/>
  <c r="CP170" i="20"/>
  <c r="CW166" i="20"/>
  <c r="CW165" i="20"/>
  <c r="CW164" i="20"/>
  <c r="CW163" i="20"/>
  <c r="CW162" i="20"/>
  <c r="CV161" i="20"/>
  <c r="CU161" i="20"/>
  <c r="CT161" i="20"/>
  <c r="CS161" i="20"/>
  <c r="CR161" i="20"/>
  <c r="CQ161" i="20"/>
  <c r="CP161" i="20"/>
  <c r="CW159" i="20"/>
  <c r="CW158" i="20"/>
  <c r="CW157" i="20"/>
  <c r="CW156" i="20"/>
  <c r="CW155" i="20"/>
  <c r="CV154" i="20"/>
  <c r="CU154" i="20"/>
  <c r="CT154" i="20"/>
  <c r="CS154" i="20"/>
  <c r="CR154" i="20"/>
  <c r="CQ154" i="20"/>
  <c r="CP154" i="20"/>
  <c r="CW153" i="20"/>
  <c r="CW152" i="20"/>
  <c r="CW151" i="20"/>
  <c r="CW150" i="20"/>
  <c r="CW149" i="20"/>
  <c r="CV148" i="20"/>
  <c r="CV141" i="20" s="1"/>
  <c r="CU148" i="20"/>
  <c r="CU141" i="20" s="1"/>
  <c r="CT148" i="20"/>
  <c r="CT141" i="20" s="1"/>
  <c r="CS148" i="20"/>
  <c r="CS141" i="20" s="1"/>
  <c r="CR148" i="20"/>
  <c r="CR141" i="20" s="1"/>
  <c r="CQ148" i="20"/>
  <c r="CQ141" i="20" s="1"/>
  <c r="CP148" i="20"/>
  <c r="CP141" i="20" s="1"/>
  <c r="CW140" i="20"/>
  <c r="CW139" i="20"/>
  <c r="CW138" i="20"/>
  <c r="CW137" i="20"/>
  <c r="CW136" i="20"/>
  <c r="CV135" i="20"/>
  <c r="CU135" i="20"/>
  <c r="CT135" i="20"/>
  <c r="CS135" i="20"/>
  <c r="CR135" i="20"/>
  <c r="CQ135" i="20"/>
  <c r="CP135" i="20"/>
  <c r="CW129" i="20"/>
  <c r="CW128" i="20"/>
  <c r="CW127" i="20"/>
  <c r="CW126" i="20"/>
  <c r="CW125" i="20"/>
  <c r="CW124" i="20"/>
  <c r="CW123" i="20"/>
  <c r="CW122" i="20"/>
  <c r="CV121" i="20"/>
  <c r="CU121" i="20"/>
  <c r="CT121" i="20"/>
  <c r="CS121" i="20"/>
  <c r="CR121" i="20"/>
  <c r="CQ121" i="20"/>
  <c r="CP121" i="20"/>
  <c r="CW119" i="20"/>
  <c r="CW118" i="20"/>
  <c r="CW117" i="20"/>
  <c r="CW116" i="20"/>
  <c r="CW115" i="20"/>
  <c r="CV114" i="20"/>
  <c r="CU114" i="20"/>
  <c r="CT114" i="20"/>
  <c r="CS114" i="20"/>
  <c r="CR114" i="20"/>
  <c r="CQ114" i="20"/>
  <c r="CP114" i="20"/>
  <c r="CW113" i="20"/>
  <c r="CW112" i="20"/>
  <c r="CW111" i="20"/>
  <c r="CW110" i="20"/>
  <c r="CW109" i="20"/>
  <c r="CV108" i="20"/>
  <c r="CU108" i="20"/>
  <c r="CT108" i="20"/>
  <c r="CS108" i="20"/>
  <c r="CR108" i="20"/>
  <c r="CQ108" i="20"/>
  <c r="CP108" i="20"/>
  <c r="CW107" i="20"/>
  <c r="CW106" i="20"/>
  <c r="CW105" i="20"/>
  <c r="CW104" i="20"/>
  <c r="CW103" i="20"/>
  <c r="CV102" i="20"/>
  <c r="CU102" i="20"/>
  <c r="CT102" i="20"/>
  <c r="CS102" i="20"/>
  <c r="CR102" i="20"/>
  <c r="CQ102" i="20"/>
  <c r="CP102" i="20"/>
  <c r="CW98" i="20"/>
  <c r="CW97" i="20"/>
  <c r="CW96" i="20"/>
  <c r="CW95" i="20"/>
  <c r="CW94" i="20"/>
  <c r="CW93" i="20"/>
  <c r="CV92" i="20"/>
  <c r="CU92" i="20"/>
  <c r="CT92" i="20"/>
  <c r="CS92" i="20"/>
  <c r="CR92" i="20"/>
  <c r="CQ92" i="20"/>
  <c r="CP92" i="20"/>
  <c r="CW91" i="20"/>
  <c r="CW90" i="20"/>
  <c r="CW89" i="20"/>
  <c r="CW88" i="20"/>
  <c r="CW87" i="20"/>
  <c r="CV86" i="20"/>
  <c r="CU86" i="20"/>
  <c r="CT86" i="20"/>
  <c r="CS86" i="20"/>
  <c r="CR86" i="20"/>
  <c r="CQ86" i="20"/>
  <c r="CP86" i="20"/>
  <c r="CW83" i="20"/>
  <c r="CW82" i="20"/>
  <c r="CW81" i="20"/>
  <c r="CW80" i="20"/>
  <c r="CV79" i="20"/>
  <c r="CU79" i="20"/>
  <c r="CT79" i="20"/>
  <c r="CS79" i="20"/>
  <c r="CR79" i="20"/>
  <c r="CQ79" i="20"/>
  <c r="CP79" i="20"/>
  <c r="CW78" i="20"/>
  <c r="CW77" i="20"/>
  <c r="CW76" i="20"/>
  <c r="CW75" i="20"/>
  <c r="CV74" i="20"/>
  <c r="CU74" i="20"/>
  <c r="CT74" i="20"/>
  <c r="CS74" i="20"/>
  <c r="CR74" i="20"/>
  <c r="CQ74" i="20"/>
  <c r="CP74" i="20"/>
  <c r="CW72" i="20"/>
  <c r="CW71" i="20"/>
  <c r="CW70" i="20"/>
  <c r="CW69" i="20"/>
  <c r="CW68" i="20"/>
  <c r="CV67" i="20"/>
  <c r="CU67" i="20"/>
  <c r="CT67" i="20"/>
  <c r="CS67" i="20"/>
  <c r="CR67" i="20"/>
  <c r="CQ67" i="20"/>
  <c r="CP67" i="20"/>
  <c r="CV62" i="20"/>
  <c r="CU62" i="20"/>
  <c r="CT62" i="20"/>
  <c r="CS62" i="20"/>
  <c r="CR62" i="20"/>
  <c r="CQ62" i="20"/>
  <c r="CP62" i="20"/>
  <c r="CW61" i="20"/>
  <c r="CW60" i="20"/>
  <c r="CW59" i="20"/>
  <c r="CV58" i="20"/>
  <c r="CU58" i="20"/>
  <c r="CT58" i="20"/>
  <c r="CS58" i="20"/>
  <c r="CR58" i="20"/>
  <c r="CQ58" i="20"/>
  <c r="CP58" i="20"/>
  <c r="CV56" i="20"/>
  <c r="CU56" i="20"/>
  <c r="CT56" i="20"/>
  <c r="CS56" i="20"/>
  <c r="CR56" i="20"/>
  <c r="CQ56" i="20"/>
  <c r="CP56" i="20"/>
  <c r="CW55" i="20"/>
  <c r="CW54" i="20"/>
  <c r="CW53" i="20"/>
  <c r="CW52" i="20"/>
  <c r="CW51" i="20"/>
  <c r="CV50" i="20"/>
  <c r="CU50" i="20"/>
  <c r="CT50" i="20"/>
  <c r="CS50" i="20"/>
  <c r="CR50" i="20"/>
  <c r="CQ50" i="20"/>
  <c r="CP50" i="20"/>
  <c r="CW49" i="20"/>
  <c r="CW48" i="20"/>
  <c r="CW47" i="20"/>
  <c r="CV46" i="20"/>
  <c r="CU46" i="20"/>
  <c r="CT46" i="20"/>
  <c r="CS46" i="20"/>
  <c r="CR46" i="20"/>
  <c r="CQ46" i="20"/>
  <c r="CP46" i="20"/>
  <c r="CV39" i="20"/>
  <c r="CU39" i="20"/>
  <c r="CT39" i="20"/>
  <c r="CS39" i="20"/>
  <c r="CR39" i="20"/>
  <c r="CQ39" i="20"/>
  <c r="CP39" i="20"/>
  <c r="CW38" i="20"/>
  <c r="CW37" i="20"/>
  <c r="CW36" i="20"/>
  <c r="CW35" i="20"/>
  <c r="CW34" i="20"/>
  <c r="CV33" i="20"/>
  <c r="CU33" i="20"/>
  <c r="CT33" i="20"/>
  <c r="CS33" i="20"/>
  <c r="CR33" i="20"/>
  <c r="CQ33" i="20"/>
  <c r="CP33" i="20"/>
  <c r="CW32" i="20"/>
  <c r="CW31" i="20"/>
  <c r="CW30" i="20"/>
  <c r="CW29" i="20"/>
  <c r="CW28" i="20"/>
  <c r="CW27" i="20"/>
  <c r="CW26" i="20"/>
  <c r="CW25" i="20"/>
  <c r="CW24" i="20"/>
  <c r="CW23" i="20"/>
  <c r="CW22" i="20"/>
  <c r="CW21" i="20"/>
  <c r="CW20" i="20"/>
  <c r="CW19" i="20"/>
  <c r="CW18" i="20"/>
  <c r="CW17" i="20"/>
  <c r="CW16" i="20"/>
  <c r="CW15" i="20"/>
  <c r="CW14" i="20"/>
  <c r="CW13" i="20"/>
  <c r="CW12" i="20"/>
  <c r="CW11" i="20"/>
  <c r="CW10" i="20"/>
  <c r="CV9" i="20"/>
  <c r="CU9" i="20"/>
  <c r="CT9" i="20"/>
  <c r="CS9" i="20"/>
  <c r="CR9" i="20"/>
  <c r="CQ9" i="20"/>
  <c r="CP9" i="20"/>
  <c r="CC181" i="20"/>
  <c r="CC180" i="20"/>
  <c r="CC179" i="20"/>
  <c r="CC178" i="20"/>
  <c r="CC177" i="20"/>
  <c r="CC176" i="20"/>
  <c r="CC175" i="20"/>
  <c r="CC174" i="20"/>
  <c r="CC171" i="20"/>
  <c r="CB170" i="20"/>
  <c r="CA170" i="20"/>
  <c r="BZ170" i="20"/>
  <c r="BY170" i="20"/>
  <c r="BX170" i="20"/>
  <c r="BW170" i="20"/>
  <c r="BV170" i="20"/>
  <c r="CC166" i="20"/>
  <c r="CC165" i="20"/>
  <c r="CC164" i="20"/>
  <c r="CC163" i="20"/>
  <c r="CC162" i="20"/>
  <c r="CB161" i="20"/>
  <c r="CA161" i="20"/>
  <c r="BZ161" i="20"/>
  <c r="BY161" i="20"/>
  <c r="BX161" i="20"/>
  <c r="BW161" i="20"/>
  <c r="BV161" i="20"/>
  <c r="CC159" i="20"/>
  <c r="CC158" i="20"/>
  <c r="CC157" i="20"/>
  <c r="CC156" i="20"/>
  <c r="CC155" i="20"/>
  <c r="CB154" i="20"/>
  <c r="CA154" i="20"/>
  <c r="BZ154" i="20"/>
  <c r="BY154" i="20"/>
  <c r="BX154" i="20"/>
  <c r="BW154" i="20"/>
  <c r="BV154" i="20"/>
  <c r="CC153" i="20"/>
  <c r="CC152" i="20"/>
  <c r="CC151" i="20"/>
  <c r="CC150" i="20"/>
  <c r="CC149" i="20"/>
  <c r="CB148" i="20"/>
  <c r="CA148" i="20"/>
  <c r="BZ148" i="20"/>
  <c r="BY148" i="20"/>
  <c r="BX148" i="20"/>
  <c r="BW148" i="20"/>
  <c r="BV148" i="20"/>
  <c r="CC140" i="20"/>
  <c r="CC139" i="20"/>
  <c r="CC138" i="20"/>
  <c r="CC137" i="20"/>
  <c r="CC136" i="20"/>
  <c r="CC129" i="20"/>
  <c r="CC128" i="20"/>
  <c r="CC127" i="20"/>
  <c r="CC126" i="20"/>
  <c r="CC125" i="20"/>
  <c r="CC124" i="20"/>
  <c r="CC123" i="20"/>
  <c r="CC122" i="20"/>
  <c r="CB121" i="20"/>
  <c r="CA121" i="20"/>
  <c r="BZ121" i="20"/>
  <c r="BY121" i="20"/>
  <c r="BX121" i="20"/>
  <c r="BW121" i="20"/>
  <c r="BV121" i="20"/>
  <c r="CC113" i="20"/>
  <c r="CC112" i="20"/>
  <c r="CC111" i="20"/>
  <c r="CC110" i="20"/>
  <c r="CC109" i="20"/>
  <c r="CB108" i="20"/>
  <c r="CA108" i="20"/>
  <c r="BZ108" i="20"/>
  <c r="BY108" i="20"/>
  <c r="BX108" i="20"/>
  <c r="BW108" i="20"/>
  <c r="BV108" i="20"/>
  <c r="CC107" i="20"/>
  <c r="CC106" i="20"/>
  <c r="CC105" i="20"/>
  <c r="CC104" i="20"/>
  <c r="CC103" i="20"/>
  <c r="CB102" i="20"/>
  <c r="CA102" i="20"/>
  <c r="BZ102" i="20"/>
  <c r="BY102" i="20"/>
  <c r="BX102" i="20"/>
  <c r="BW102" i="20"/>
  <c r="BV102" i="20"/>
  <c r="CC98" i="20"/>
  <c r="CC97" i="20"/>
  <c r="CC96" i="20"/>
  <c r="CC95" i="20"/>
  <c r="CC94" i="20"/>
  <c r="CC93" i="20"/>
  <c r="CB92" i="20"/>
  <c r="CA92" i="20"/>
  <c r="BZ92" i="20"/>
  <c r="BY92" i="20"/>
  <c r="BX92" i="20"/>
  <c r="BW92" i="20"/>
  <c r="BV92" i="20"/>
  <c r="CC91" i="20"/>
  <c r="CC90" i="20"/>
  <c r="CC89" i="20"/>
  <c r="CC88" i="20"/>
  <c r="CC87" i="20"/>
  <c r="CB86" i="20"/>
  <c r="CA86" i="20"/>
  <c r="BZ86" i="20"/>
  <c r="BY86" i="20"/>
  <c r="BX86" i="20"/>
  <c r="BW86" i="20"/>
  <c r="BV86" i="20"/>
  <c r="CC83" i="20"/>
  <c r="CC82" i="20"/>
  <c r="CC81" i="20"/>
  <c r="CC80" i="20"/>
  <c r="CB79" i="20"/>
  <c r="CA79" i="20"/>
  <c r="BZ79" i="20"/>
  <c r="BY79" i="20"/>
  <c r="BX79" i="20"/>
  <c r="BW79" i="20"/>
  <c r="BV79" i="20"/>
  <c r="CC78" i="20"/>
  <c r="CC77" i="20"/>
  <c r="CC76" i="20"/>
  <c r="CC75" i="20"/>
  <c r="CB74" i="20"/>
  <c r="CA74" i="20"/>
  <c r="BZ74" i="20"/>
  <c r="BY74" i="20"/>
  <c r="BX74" i="20"/>
  <c r="BW74" i="20"/>
  <c r="BV74" i="20"/>
  <c r="CC72" i="20"/>
  <c r="CC71" i="20"/>
  <c r="CC70" i="20"/>
  <c r="CC69" i="20"/>
  <c r="CC68" i="20"/>
  <c r="CB67" i="20"/>
  <c r="CA67" i="20"/>
  <c r="BZ67" i="20"/>
  <c r="BY67" i="20"/>
  <c r="BX67" i="20"/>
  <c r="BW67" i="20"/>
  <c r="BV67" i="20"/>
  <c r="CB62" i="20"/>
  <c r="CA62" i="20"/>
  <c r="BZ62" i="20"/>
  <c r="BY62" i="20"/>
  <c r="BX62" i="20"/>
  <c r="BW62" i="20"/>
  <c r="BV62" i="20"/>
  <c r="CC61" i="20"/>
  <c r="CC60" i="20"/>
  <c r="CC59" i="20"/>
  <c r="CB58" i="20"/>
  <c r="CA58" i="20"/>
  <c r="BZ58" i="20"/>
  <c r="BY58" i="20"/>
  <c r="BX58" i="20"/>
  <c r="BW58" i="20"/>
  <c r="BV58" i="20"/>
  <c r="CB56" i="20"/>
  <c r="CA56" i="20"/>
  <c r="BZ56" i="20"/>
  <c r="BY56" i="20"/>
  <c r="BX56" i="20"/>
  <c r="BW56" i="20"/>
  <c r="BV56" i="20"/>
  <c r="CC55" i="20"/>
  <c r="CC54" i="20"/>
  <c r="CC53" i="20"/>
  <c r="CC52" i="20"/>
  <c r="CC51" i="20"/>
  <c r="CB50" i="20"/>
  <c r="CA50" i="20"/>
  <c r="BZ50" i="20"/>
  <c r="BY50" i="20"/>
  <c r="BX50" i="20"/>
  <c r="BW50" i="20"/>
  <c r="BV50" i="20"/>
  <c r="CC49" i="20"/>
  <c r="CC48" i="20"/>
  <c r="CC47" i="20"/>
  <c r="CB46" i="20"/>
  <c r="CA46" i="20"/>
  <c r="BZ46" i="20"/>
  <c r="BY46" i="20"/>
  <c r="BX46" i="20"/>
  <c r="BW46" i="20"/>
  <c r="BV46" i="20"/>
  <c r="CB39" i="20"/>
  <c r="CA39" i="20"/>
  <c r="BZ39" i="20"/>
  <c r="BY39" i="20"/>
  <c r="BX39" i="20"/>
  <c r="BW39" i="20"/>
  <c r="BV39" i="20"/>
  <c r="CC38" i="20"/>
  <c r="CC37" i="20"/>
  <c r="CC36" i="20"/>
  <c r="CC35" i="20"/>
  <c r="CC34" i="20"/>
  <c r="CB33" i="20"/>
  <c r="CA33" i="20"/>
  <c r="BZ33" i="20"/>
  <c r="BY33" i="20"/>
  <c r="BX33" i="20"/>
  <c r="BW33" i="20"/>
  <c r="BV33" i="20"/>
  <c r="CC32" i="20"/>
  <c r="CC31" i="20"/>
  <c r="CC30" i="20"/>
  <c r="CC29" i="20"/>
  <c r="CC28" i="20"/>
  <c r="CC27" i="20"/>
  <c r="CC26" i="20"/>
  <c r="CC25" i="20"/>
  <c r="CC24" i="20"/>
  <c r="CC23" i="20"/>
  <c r="CC22" i="20"/>
  <c r="CC21" i="20"/>
  <c r="CC20" i="20"/>
  <c r="CC19" i="20"/>
  <c r="CC18" i="20"/>
  <c r="CC17" i="20"/>
  <c r="CC16" i="20"/>
  <c r="CC15" i="20"/>
  <c r="CC14" i="20"/>
  <c r="CC13" i="20"/>
  <c r="CC12" i="20"/>
  <c r="CC11" i="20"/>
  <c r="BI181" i="20"/>
  <c r="BI179" i="20"/>
  <c r="BI178" i="20"/>
  <c r="BI177" i="20"/>
  <c r="BI176" i="20"/>
  <c r="BI174" i="20"/>
  <c r="BI171" i="20"/>
  <c r="BH170" i="20"/>
  <c r="BG170" i="20"/>
  <c r="BF170" i="20"/>
  <c r="BE170" i="20"/>
  <c r="BD170" i="20"/>
  <c r="BC170" i="20"/>
  <c r="BB170" i="20"/>
  <c r="BI166" i="20"/>
  <c r="BI165" i="20"/>
  <c r="BI164" i="20"/>
  <c r="BI162" i="20"/>
  <c r="BH161" i="20"/>
  <c r="BG161" i="20"/>
  <c r="BF161" i="20"/>
  <c r="BE161" i="20"/>
  <c r="BD161" i="20"/>
  <c r="BC161" i="20"/>
  <c r="BB161" i="20"/>
  <c r="BI159" i="20"/>
  <c r="BI158" i="20"/>
  <c r="BI157" i="20"/>
  <c r="BI156" i="20"/>
  <c r="BI155" i="20"/>
  <c r="BH154" i="20"/>
  <c r="BG154" i="20"/>
  <c r="BF154" i="20"/>
  <c r="BE154" i="20"/>
  <c r="BD154" i="20"/>
  <c r="BC154" i="20"/>
  <c r="BB154" i="20"/>
  <c r="BI153" i="20"/>
  <c r="BI152" i="20"/>
  <c r="BI151" i="20"/>
  <c r="BI150" i="20"/>
  <c r="BI149" i="20"/>
  <c r="BH148" i="20"/>
  <c r="BG148" i="20"/>
  <c r="BF148" i="20"/>
  <c r="BE148" i="20"/>
  <c r="BD148" i="20"/>
  <c r="BC148" i="20"/>
  <c r="BB148" i="20"/>
  <c r="BI140" i="20"/>
  <c r="BI139" i="20"/>
  <c r="BI138" i="20"/>
  <c r="BI136" i="20"/>
  <c r="BI127" i="20"/>
  <c r="BI126" i="20"/>
  <c r="BI125" i="20"/>
  <c r="BI124" i="20"/>
  <c r="BI119" i="20"/>
  <c r="BI118" i="20"/>
  <c r="BI117" i="20"/>
  <c r="BI116" i="20"/>
  <c r="BI115" i="20"/>
  <c r="BH114" i="20"/>
  <c r="BG114" i="20"/>
  <c r="BF114" i="20"/>
  <c r="BE114" i="20"/>
  <c r="BD114" i="20"/>
  <c r="BC114" i="20"/>
  <c r="BB114" i="20"/>
  <c r="BI113" i="20"/>
  <c r="BI112" i="20"/>
  <c r="BI111" i="20"/>
  <c r="BI110" i="20"/>
  <c r="BI109" i="20"/>
  <c r="BH108" i="20"/>
  <c r="BG108" i="20"/>
  <c r="BF108" i="20"/>
  <c r="BE108" i="20"/>
  <c r="BD108" i="20"/>
  <c r="BC108" i="20"/>
  <c r="BB108" i="20"/>
  <c r="BI107" i="20"/>
  <c r="BI106" i="20"/>
  <c r="BI105" i="20"/>
  <c r="BI104" i="20"/>
  <c r="BI103" i="20"/>
  <c r="BH102" i="20"/>
  <c r="BG102" i="20"/>
  <c r="BF102" i="20"/>
  <c r="BE102" i="20"/>
  <c r="BD102" i="20"/>
  <c r="BC102" i="20"/>
  <c r="BB102" i="20"/>
  <c r="BI98" i="20"/>
  <c r="BI97" i="20"/>
  <c r="BI96" i="20"/>
  <c r="BI95" i="20"/>
  <c r="BI94" i="20"/>
  <c r="BI93" i="20"/>
  <c r="BH92" i="20"/>
  <c r="BG92" i="20"/>
  <c r="BF92" i="20"/>
  <c r="BE92" i="20"/>
  <c r="BD92" i="20"/>
  <c r="BC92" i="20"/>
  <c r="BB92" i="20"/>
  <c r="BI91" i="20"/>
  <c r="BI90" i="20"/>
  <c r="BI89" i="20"/>
  <c r="BI88" i="20"/>
  <c r="BI87" i="20"/>
  <c r="BH86" i="20"/>
  <c r="BG86" i="20"/>
  <c r="BF86" i="20"/>
  <c r="BE86" i="20"/>
  <c r="BD86" i="20"/>
  <c r="BC86" i="20"/>
  <c r="BB86" i="20"/>
  <c r="BI83" i="20"/>
  <c r="BI82" i="20"/>
  <c r="BI81" i="20"/>
  <c r="BI80" i="20"/>
  <c r="BH79" i="20"/>
  <c r="BG79" i="20"/>
  <c r="BF79" i="20"/>
  <c r="BE79" i="20"/>
  <c r="BD79" i="20"/>
  <c r="BC79" i="20"/>
  <c r="BB79" i="20"/>
  <c r="BI78" i="20"/>
  <c r="BI77" i="20"/>
  <c r="BI76" i="20"/>
  <c r="BI75" i="20"/>
  <c r="BH74" i="20"/>
  <c r="BG74" i="20"/>
  <c r="BF74" i="20"/>
  <c r="BE74" i="20"/>
  <c r="BD74" i="20"/>
  <c r="BC74" i="20"/>
  <c r="BB74" i="20"/>
  <c r="BI72" i="20"/>
  <c r="BI71" i="20"/>
  <c r="BI70" i="20"/>
  <c r="BI69" i="20"/>
  <c r="BI68" i="20"/>
  <c r="BH67" i="20"/>
  <c r="BG67" i="20"/>
  <c r="BF67" i="20"/>
  <c r="BE67" i="20"/>
  <c r="BD67" i="20"/>
  <c r="BC67" i="20"/>
  <c r="BB67" i="20"/>
  <c r="BH62" i="20"/>
  <c r="BG62" i="20"/>
  <c r="BF62" i="20"/>
  <c r="BE62" i="20"/>
  <c r="BD62" i="20"/>
  <c r="BC62" i="20"/>
  <c r="BB62" i="20"/>
  <c r="BH58" i="20"/>
  <c r="BG58" i="20"/>
  <c r="BF58" i="20"/>
  <c r="BE58" i="20"/>
  <c r="BD58" i="20"/>
  <c r="BC58" i="20"/>
  <c r="BB58" i="20"/>
  <c r="BH56" i="20"/>
  <c r="BG56" i="20"/>
  <c r="BF56" i="20"/>
  <c r="BE56" i="20"/>
  <c r="BD56" i="20"/>
  <c r="BC56" i="20"/>
  <c r="BB56" i="20"/>
  <c r="BH50" i="20"/>
  <c r="BG50" i="20"/>
  <c r="BF50" i="20"/>
  <c r="BE50" i="20"/>
  <c r="BD50" i="20"/>
  <c r="BC50" i="20"/>
  <c r="BB50" i="20"/>
  <c r="BH46" i="20"/>
  <c r="BG46" i="20"/>
  <c r="BF46" i="20"/>
  <c r="BE46" i="20"/>
  <c r="BD46" i="20"/>
  <c r="BC46" i="20"/>
  <c r="BB46" i="20"/>
  <c r="BH39" i="20"/>
  <c r="BG39" i="20"/>
  <c r="BF39" i="20"/>
  <c r="BE39" i="20"/>
  <c r="BD39" i="20"/>
  <c r="BC39" i="20"/>
  <c r="BB39" i="20"/>
  <c r="BH33" i="20"/>
  <c r="BG33" i="20"/>
  <c r="BF33" i="20"/>
  <c r="BE33" i="20"/>
  <c r="BD33" i="20"/>
  <c r="BC33" i="20"/>
  <c r="BB33" i="20"/>
  <c r="AO181" i="20"/>
  <c r="AO180" i="20"/>
  <c r="AO179" i="20"/>
  <c r="AO178" i="20"/>
  <c r="AO177" i="20"/>
  <c r="AO176" i="20"/>
  <c r="AO175" i="20"/>
  <c r="AO174" i="20"/>
  <c r="AO171" i="20"/>
  <c r="AN170" i="20"/>
  <c r="AM170" i="20"/>
  <c r="AL170" i="20"/>
  <c r="AK170" i="20"/>
  <c r="AJ170" i="20"/>
  <c r="AI170" i="20"/>
  <c r="AH170" i="20"/>
  <c r="AO166" i="20"/>
  <c r="AO165" i="20"/>
  <c r="AO164" i="20"/>
  <c r="AO163" i="20"/>
  <c r="AO162" i="20"/>
  <c r="AN161" i="20"/>
  <c r="AM161" i="20"/>
  <c r="AL161" i="20"/>
  <c r="AK161" i="20"/>
  <c r="AJ161" i="20"/>
  <c r="AI161" i="20"/>
  <c r="AH161" i="20"/>
  <c r="AO159" i="20"/>
  <c r="AO158" i="20"/>
  <c r="AO156" i="20"/>
  <c r="AO155" i="20"/>
  <c r="AN154" i="20"/>
  <c r="AM154" i="20"/>
  <c r="AL154" i="20"/>
  <c r="AK154" i="20"/>
  <c r="AJ154" i="20"/>
  <c r="AI154" i="20"/>
  <c r="AH154" i="20"/>
  <c r="AO153" i="20"/>
  <c r="AO152" i="20"/>
  <c r="AO151" i="20"/>
  <c r="AO150" i="20"/>
  <c r="AO149" i="20"/>
  <c r="AN148" i="20"/>
  <c r="AM148" i="20"/>
  <c r="AL148" i="20"/>
  <c r="AK148" i="20"/>
  <c r="AJ148" i="20"/>
  <c r="AI148" i="20"/>
  <c r="AH148" i="20"/>
  <c r="AO140" i="20"/>
  <c r="AO139" i="20"/>
  <c r="AO137" i="20"/>
  <c r="AO136" i="20"/>
  <c r="AN135" i="20"/>
  <c r="AM135" i="20"/>
  <c r="AL135" i="20"/>
  <c r="AK135" i="20"/>
  <c r="AJ135" i="20"/>
  <c r="AI135" i="20"/>
  <c r="AH135" i="20"/>
  <c r="AO129" i="20"/>
  <c r="AO128" i="20"/>
  <c r="AO127" i="20"/>
  <c r="AO126" i="20"/>
  <c r="AO125" i="20"/>
  <c r="AO124" i="20"/>
  <c r="AO123" i="20"/>
  <c r="AO122" i="20"/>
  <c r="AO119" i="20"/>
  <c r="AO118" i="20"/>
  <c r="AO117" i="20"/>
  <c r="AO116" i="20"/>
  <c r="AO115" i="20"/>
  <c r="AN114" i="20"/>
  <c r="AM114" i="20"/>
  <c r="AL114" i="20"/>
  <c r="AK114" i="20"/>
  <c r="AJ114" i="20"/>
  <c r="AI114" i="20"/>
  <c r="AH114" i="20"/>
  <c r="AO113" i="20"/>
  <c r="AO112" i="20"/>
  <c r="AO111" i="20"/>
  <c r="AO110" i="20"/>
  <c r="AO109" i="20"/>
  <c r="AN108" i="20"/>
  <c r="AM108" i="20"/>
  <c r="AL108" i="20"/>
  <c r="AK108" i="20"/>
  <c r="AJ108" i="20"/>
  <c r="AI108" i="20"/>
  <c r="AH108" i="20"/>
  <c r="AO107" i="20"/>
  <c r="AO106" i="20"/>
  <c r="AO105" i="20"/>
  <c r="AO104" i="20"/>
  <c r="AO103" i="20"/>
  <c r="AN102" i="20"/>
  <c r="AM102" i="20"/>
  <c r="AL102" i="20"/>
  <c r="AK102" i="20"/>
  <c r="AJ102" i="20"/>
  <c r="AI102" i="20"/>
  <c r="AH102" i="20"/>
  <c r="AO98" i="20"/>
  <c r="AO97" i="20"/>
  <c r="AO96" i="20"/>
  <c r="AO95" i="20"/>
  <c r="AO94" i="20"/>
  <c r="AO93" i="20"/>
  <c r="AN92" i="20"/>
  <c r="AM92" i="20"/>
  <c r="AL92" i="20"/>
  <c r="AK92" i="20"/>
  <c r="AJ92" i="20"/>
  <c r="AI92" i="20"/>
  <c r="AH92" i="20"/>
  <c r="AO91" i="20"/>
  <c r="AO89" i="20"/>
  <c r="AO88" i="20"/>
  <c r="AO87" i="20"/>
  <c r="AN86" i="20"/>
  <c r="AM86" i="20"/>
  <c r="AL86" i="20"/>
  <c r="AK86" i="20"/>
  <c r="AJ86" i="20"/>
  <c r="AI86" i="20"/>
  <c r="AH86" i="20"/>
  <c r="AO82" i="20"/>
  <c r="AO80" i="20"/>
  <c r="AN79" i="20"/>
  <c r="AM79" i="20"/>
  <c r="AL79" i="20"/>
  <c r="AK79" i="20"/>
  <c r="AJ79" i="20"/>
  <c r="AI79" i="20"/>
  <c r="AH79" i="20"/>
  <c r="AO78" i="20"/>
  <c r="AO77" i="20"/>
  <c r="AO76" i="20"/>
  <c r="AO75" i="20"/>
  <c r="AN74" i="20"/>
  <c r="AM74" i="20"/>
  <c r="AL74" i="20"/>
  <c r="AK74" i="20"/>
  <c r="AJ74" i="20"/>
  <c r="AI74" i="20"/>
  <c r="AH74" i="20"/>
  <c r="AO71" i="20"/>
  <c r="AN67" i="20"/>
  <c r="AM67" i="20"/>
  <c r="AL67" i="20"/>
  <c r="AK67" i="20"/>
  <c r="AJ67" i="20"/>
  <c r="AI67" i="20"/>
  <c r="AH67" i="20"/>
  <c r="AN62" i="20"/>
  <c r="AM62" i="20"/>
  <c r="AL62" i="20"/>
  <c r="AK62" i="20"/>
  <c r="AJ62" i="20"/>
  <c r="AI62" i="20"/>
  <c r="AH62" i="20"/>
  <c r="AO61" i="20"/>
  <c r="AO60" i="20"/>
  <c r="AO59" i="20"/>
  <c r="AN58" i="20"/>
  <c r="AM58" i="20"/>
  <c r="AL58" i="20"/>
  <c r="AK58" i="20"/>
  <c r="AJ58" i="20"/>
  <c r="AI58" i="20"/>
  <c r="AH58" i="20"/>
  <c r="AN56" i="20"/>
  <c r="AM56" i="20"/>
  <c r="AL56" i="20"/>
  <c r="AK56" i="20"/>
  <c r="AJ56" i="20"/>
  <c r="AI56" i="20"/>
  <c r="AH56" i="20"/>
  <c r="AO55" i="20"/>
  <c r="AO54" i="20"/>
  <c r="AO53" i="20"/>
  <c r="AO52" i="20"/>
  <c r="AO51" i="20"/>
  <c r="AN50" i="20"/>
  <c r="AM50" i="20"/>
  <c r="AL50" i="20"/>
  <c r="AK50" i="20"/>
  <c r="AJ50" i="20"/>
  <c r="AI50" i="20"/>
  <c r="AH50" i="20"/>
  <c r="AO49" i="20"/>
  <c r="AO48" i="20"/>
  <c r="AO47" i="20"/>
  <c r="AN46" i="20"/>
  <c r="AM46" i="20"/>
  <c r="AL46" i="20"/>
  <c r="AK46" i="20"/>
  <c r="AJ46" i="20"/>
  <c r="AI46" i="20"/>
  <c r="AH46" i="20"/>
  <c r="AN33" i="20"/>
  <c r="AM33" i="20"/>
  <c r="AL33" i="20"/>
  <c r="AK33" i="20"/>
  <c r="AJ33" i="20"/>
  <c r="AI33" i="20"/>
  <c r="AH33" i="20"/>
  <c r="U181" i="20"/>
  <c r="U180" i="20"/>
  <c r="U179" i="20"/>
  <c r="U178" i="20"/>
  <c r="U177" i="20"/>
  <c r="U176" i="20"/>
  <c r="U175" i="20"/>
  <c r="U174" i="20"/>
  <c r="T170" i="20"/>
  <c r="S170" i="20"/>
  <c r="R170" i="20"/>
  <c r="Q170" i="20"/>
  <c r="P170" i="20"/>
  <c r="O170" i="20"/>
  <c r="N170" i="20"/>
  <c r="U171" i="20"/>
  <c r="T161" i="20"/>
  <c r="S161" i="20"/>
  <c r="R161" i="20"/>
  <c r="Q161" i="20"/>
  <c r="P161" i="20"/>
  <c r="O161" i="20"/>
  <c r="N161" i="20"/>
  <c r="U166" i="20"/>
  <c r="U165" i="20"/>
  <c r="U164" i="20"/>
  <c r="U163" i="20"/>
  <c r="U162" i="20"/>
  <c r="T154" i="20"/>
  <c r="S154" i="20"/>
  <c r="R154" i="20"/>
  <c r="Q154" i="20"/>
  <c r="P154" i="20"/>
  <c r="O154" i="20"/>
  <c r="N154" i="20"/>
  <c r="U159" i="20"/>
  <c r="U158" i="20"/>
  <c r="U157" i="20"/>
  <c r="AO157" i="20" s="1"/>
  <c r="U156" i="20"/>
  <c r="U155" i="20"/>
  <c r="T148" i="20"/>
  <c r="T141" i="20" s="1"/>
  <c r="S148" i="20"/>
  <c r="S141" i="20" s="1"/>
  <c r="R148" i="20"/>
  <c r="R141" i="20" s="1"/>
  <c r="Q148" i="20"/>
  <c r="Q141" i="20" s="1"/>
  <c r="P148" i="20"/>
  <c r="P141" i="20" s="1"/>
  <c r="O148" i="20"/>
  <c r="O141" i="20" s="1"/>
  <c r="N148" i="20"/>
  <c r="U153" i="20"/>
  <c r="U152" i="20"/>
  <c r="U151" i="20"/>
  <c r="U150" i="20"/>
  <c r="U149" i="20"/>
  <c r="T135" i="20"/>
  <c r="S135" i="20"/>
  <c r="R135" i="20"/>
  <c r="Q135" i="20"/>
  <c r="P135" i="20"/>
  <c r="O135" i="20"/>
  <c r="N135" i="20"/>
  <c r="U140" i="20"/>
  <c r="U139" i="20"/>
  <c r="U138" i="20"/>
  <c r="U137" i="20"/>
  <c r="U136" i="20"/>
  <c r="U129" i="20"/>
  <c r="U128" i="20"/>
  <c r="U127" i="20"/>
  <c r="U126" i="20"/>
  <c r="U125" i="20"/>
  <c r="U124" i="20"/>
  <c r="U123" i="20"/>
  <c r="U122" i="20"/>
  <c r="T114" i="20"/>
  <c r="S114" i="20"/>
  <c r="R114" i="20"/>
  <c r="Q114" i="20"/>
  <c r="P114" i="20"/>
  <c r="O114" i="20"/>
  <c r="N114" i="20"/>
  <c r="U119" i="20"/>
  <c r="U118" i="20"/>
  <c r="U117" i="20"/>
  <c r="U116" i="20"/>
  <c r="U115" i="20"/>
  <c r="T108" i="20"/>
  <c r="S108" i="20"/>
  <c r="R108" i="20"/>
  <c r="Q108" i="20"/>
  <c r="P108" i="20"/>
  <c r="O108" i="20"/>
  <c r="N108" i="20"/>
  <c r="U113" i="20"/>
  <c r="U112" i="20"/>
  <c r="U111" i="20"/>
  <c r="U110" i="20"/>
  <c r="U109" i="20"/>
  <c r="T102" i="20"/>
  <c r="S102" i="20"/>
  <c r="R102" i="20"/>
  <c r="Q102" i="20"/>
  <c r="P102" i="20"/>
  <c r="O102" i="20"/>
  <c r="N102" i="20"/>
  <c r="U107" i="20"/>
  <c r="U106" i="20"/>
  <c r="U105" i="20"/>
  <c r="U104" i="20"/>
  <c r="U103" i="20"/>
  <c r="T92" i="20"/>
  <c r="S92" i="20"/>
  <c r="R92" i="20"/>
  <c r="Q92" i="20"/>
  <c r="P92" i="20"/>
  <c r="O92" i="20"/>
  <c r="N92" i="20"/>
  <c r="U98" i="20"/>
  <c r="U97" i="20"/>
  <c r="U96" i="20"/>
  <c r="U95" i="20"/>
  <c r="U94" i="20"/>
  <c r="U93" i="20"/>
  <c r="T86" i="20"/>
  <c r="S86" i="20"/>
  <c r="R86" i="20"/>
  <c r="Q86" i="20"/>
  <c r="P86" i="20"/>
  <c r="O86" i="20"/>
  <c r="N86" i="20"/>
  <c r="U91" i="20"/>
  <c r="U90" i="20"/>
  <c r="U89" i="20"/>
  <c r="U88" i="20"/>
  <c r="U87" i="20"/>
  <c r="T79" i="20"/>
  <c r="S79" i="20"/>
  <c r="R79" i="20"/>
  <c r="Q79" i="20"/>
  <c r="P79" i="20"/>
  <c r="O79" i="20"/>
  <c r="N79" i="20"/>
  <c r="U80" i="20"/>
  <c r="T74" i="20"/>
  <c r="S74" i="20"/>
  <c r="R74" i="20"/>
  <c r="Q74" i="20"/>
  <c r="P74" i="20"/>
  <c r="O74" i="20"/>
  <c r="N74" i="20"/>
  <c r="U78" i="20"/>
  <c r="U77" i="20"/>
  <c r="U76" i="20"/>
  <c r="U75" i="20"/>
  <c r="T67" i="20"/>
  <c r="S67" i="20"/>
  <c r="R67" i="20"/>
  <c r="Q67" i="20"/>
  <c r="P67" i="20"/>
  <c r="O67" i="20"/>
  <c r="N67" i="20"/>
  <c r="U72" i="20"/>
  <c r="U71" i="20"/>
  <c r="U70" i="20"/>
  <c r="U69" i="20"/>
  <c r="U68" i="20"/>
  <c r="T62" i="20"/>
  <c r="S62" i="20"/>
  <c r="R62" i="20"/>
  <c r="Q62" i="20"/>
  <c r="P62" i="20"/>
  <c r="O62" i="20"/>
  <c r="N62" i="20"/>
  <c r="T58" i="20"/>
  <c r="S58" i="20"/>
  <c r="R58" i="20"/>
  <c r="Q58" i="20"/>
  <c r="P58" i="20"/>
  <c r="O58" i="20"/>
  <c r="N58" i="20"/>
  <c r="U61" i="20"/>
  <c r="U60" i="20"/>
  <c r="U59" i="20"/>
  <c r="T56" i="20"/>
  <c r="S56" i="20"/>
  <c r="R56" i="20"/>
  <c r="Q56" i="20"/>
  <c r="P56" i="20"/>
  <c r="O56" i="20"/>
  <c r="N56" i="20"/>
  <c r="T50" i="20"/>
  <c r="S50" i="20"/>
  <c r="R50" i="20"/>
  <c r="Q50" i="20"/>
  <c r="P50" i="20"/>
  <c r="O50" i="20"/>
  <c r="N50" i="20"/>
  <c r="T46" i="20"/>
  <c r="S46" i="20"/>
  <c r="R46" i="20"/>
  <c r="Q46" i="20"/>
  <c r="P46" i="20"/>
  <c r="O46" i="20"/>
  <c r="N46" i="20"/>
  <c r="T39" i="20"/>
  <c r="S39" i="20"/>
  <c r="R39" i="20"/>
  <c r="Q39" i="20"/>
  <c r="P39" i="20"/>
  <c r="O39" i="20"/>
  <c r="N39" i="20"/>
  <c r="U173" i="20" l="1"/>
  <c r="BI173" i="20"/>
  <c r="AO121" i="20"/>
  <c r="N141" i="20"/>
  <c r="CW141" i="20"/>
  <c r="U50" i="20"/>
  <c r="AO46" i="20"/>
  <c r="U92" i="20"/>
  <c r="U121" i="20"/>
  <c r="BI58" i="20"/>
  <c r="CW46" i="20"/>
  <c r="AO148" i="20"/>
  <c r="AO154" i="20"/>
  <c r="BI46" i="20"/>
  <c r="CW154" i="20"/>
  <c r="CW161" i="20"/>
  <c r="CW170" i="20"/>
  <c r="AO67" i="20"/>
  <c r="BI62" i="20"/>
  <c r="CW135" i="20"/>
  <c r="BI74" i="20"/>
  <c r="CC39" i="20"/>
  <c r="CC46" i="20"/>
  <c r="CC58" i="20"/>
  <c r="CC79" i="20"/>
  <c r="CC108" i="20"/>
  <c r="CC148" i="20"/>
  <c r="CW56" i="20"/>
  <c r="BI50" i="20"/>
  <c r="CW50" i="20"/>
  <c r="U56" i="20"/>
  <c r="U62" i="20"/>
  <c r="U148" i="20"/>
  <c r="AO56" i="20"/>
  <c r="AO135" i="20"/>
  <c r="AO161" i="20"/>
  <c r="AO170" i="20"/>
  <c r="BI67" i="20"/>
  <c r="BI86" i="20"/>
  <c r="BI92" i="20"/>
  <c r="CC33" i="20"/>
  <c r="CC56" i="20"/>
  <c r="CC102" i="20"/>
  <c r="CC170" i="20"/>
  <c r="CW33" i="20"/>
  <c r="CW39" i="20"/>
  <c r="CW58" i="20"/>
  <c r="CW67" i="20"/>
  <c r="CW86" i="20"/>
  <c r="CW92" i="20"/>
  <c r="CW121" i="20"/>
  <c r="U102" i="20"/>
  <c r="U39" i="20"/>
  <c r="U46" i="20"/>
  <c r="U58" i="20"/>
  <c r="U67" i="20"/>
  <c r="U135" i="20"/>
  <c r="U154" i="20"/>
  <c r="U161" i="20"/>
  <c r="U170" i="20"/>
  <c r="AO33" i="20"/>
  <c r="AO50" i="20"/>
  <c r="AO58" i="20"/>
  <c r="AO92" i="20"/>
  <c r="BI33" i="20"/>
  <c r="BI39" i="20"/>
  <c r="BI79" i="20"/>
  <c r="BI102" i="20"/>
  <c r="BI108" i="20"/>
  <c r="BI114" i="20"/>
  <c r="BI154" i="20"/>
  <c r="CC50" i="20"/>
  <c r="CC67" i="20"/>
  <c r="CC92" i="20"/>
  <c r="CC121" i="20"/>
  <c r="CC161" i="20"/>
  <c r="CW62" i="20"/>
  <c r="CW79" i="20"/>
  <c r="CW102" i="20"/>
  <c r="CW108" i="20"/>
  <c r="CW114" i="20"/>
  <c r="U108" i="20"/>
  <c r="U86" i="20"/>
  <c r="U114" i="20"/>
  <c r="AO62" i="20"/>
  <c r="AO86" i="20"/>
  <c r="AO102" i="20"/>
  <c r="AO108" i="20"/>
  <c r="AO114" i="20"/>
  <c r="BI56" i="20"/>
  <c r="BI148" i="20"/>
  <c r="BI161" i="20"/>
  <c r="BI170" i="20"/>
  <c r="CC62" i="20"/>
  <c r="CC86" i="20"/>
  <c r="CC154" i="20"/>
  <c r="CW9" i="20"/>
  <c r="CW148" i="20"/>
  <c r="U79" i="20"/>
  <c r="AO79" i="20"/>
  <c r="AO74" i="20"/>
  <c r="CC74" i="20"/>
  <c r="CW74" i="20"/>
  <c r="U74" i="20"/>
  <c r="DF122" i="20"/>
  <c r="DE122" i="20"/>
  <c r="DD122" i="20"/>
  <c r="DC122" i="20"/>
  <c r="DB122" i="20"/>
  <c r="DA122" i="20"/>
  <c r="M38" i="2"/>
  <c r="M37" i="2"/>
  <c r="M36" i="2"/>
  <c r="N36" i="2" s="1"/>
  <c r="M35" i="2"/>
  <c r="M34" i="2"/>
  <c r="M32" i="2"/>
  <c r="N32" i="2" s="1"/>
  <c r="M24" i="2"/>
  <c r="P38" i="2"/>
  <c r="P37" i="2"/>
  <c r="P36" i="2"/>
  <c r="Q36" i="2" s="1"/>
  <c r="P35" i="2"/>
  <c r="P34" i="2"/>
  <c r="P32" i="2"/>
  <c r="Q32" i="2" s="1"/>
  <c r="P31" i="2"/>
  <c r="P28" i="2"/>
  <c r="P26" i="2"/>
  <c r="P25" i="2"/>
  <c r="P24" i="2"/>
  <c r="Q24" i="2" s="1"/>
  <c r="P23" i="2"/>
  <c r="P22" i="2"/>
  <c r="P21" i="2"/>
  <c r="P19" i="2"/>
  <c r="P17" i="2"/>
  <c r="P16" i="2"/>
  <c r="P15" i="2"/>
  <c r="P14" i="2"/>
  <c r="P12" i="2"/>
  <c r="P11" i="2"/>
  <c r="P10" i="2"/>
  <c r="S38" i="2"/>
  <c r="S37" i="2"/>
  <c r="S36" i="2"/>
  <c r="T36" i="2" s="1"/>
  <c r="S35" i="2"/>
  <c r="S34" i="2"/>
  <c r="S32" i="2"/>
  <c r="T32" i="2" s="1"/>
  <c r="S24" i="2"/>
  <c r="Y38" i="2"/>
  <c r="Y37" i="2"/>
  <c r="Y36" i="2"/>
  <c r="Y35" i="2"/>
  <c r="Y34" i="2"/>
  <c r="Y32" i="2"/>
  <c r="Y31" i="2"/>
  <c r="Y30" i="2"/>
  <c r="Y29" i="2"/>
  <c r="Y28" i="2"/>
  <c r="Y27" i="2"/>
  <c r="Y26" i="2"/>
  <c r="Y25" i="2"/>
  <c r="Y24" i="2"/>
  <c r="Y23" i="2"/>
  <c r="Y22" i="2"/>
  <c r="Y21" i="2"/>
  <c r="Y20" i="2"/>
  <c r="Y19" i="2"/>
  <c r="Y18" i="2"/>
  <c r="Y17" i="2"/>
  <c r="Y16" i="2"/>
  <c r="Y15" i="2"/>
  <c r="Y14" i="2"/>
  <c r="Y13" i="2"/>
  <c r="Y12" i="2"/>
  <c r="Y11" i="2"/>
  <c r="Y10" i="2"/>
  <c r="V38" i="2"/>
  <c r="W38" i="2" s="1"/>
  <c r="V37" i="2"/>
  <c r="W37" i="2" s="1"/>
  <c r="V36" i="2"/>
  <c r="W36" i="2" s="1"/>
  <c r="V35" i="2"/>
  <c r="W35" i="2" s="1"/>
  <c r="V34" i="2"/>
  <c r="W34" i="2" s="1"/>
  <c r="V32" i="2"/>
  <c r="W32" i="2" s="1"/>
  <c r="V31" i="2"/>
  <c r="W31" i="2" s="1"/>
  <c r="V30" i="2"/>
  <c r="W30" i="2" s="1"/>
  <c r="V29" i="2"/>
  <c r="W29" i="2" s="1"/>
  <c r="V28" i="2"/>
  <c r="W28" i="2" s="1"/>
  <c r="V27" i="2"/>
  <c r="W27" i="2" s="1"/>
  <c r="V26" i="2"/>
  <c r="W26" i="2" s="1"/>
  <c r="V25" i="2"/>
  <c r="W25" i="2" s="1"/>
  <c r="V24" i="2"/>
  <c r="W24" i="2" s="1"/>
  <c r="V23" i="2"/>
  <c r="W23" i="2" s="1"/>
  <c r="V22" i="2"/>
  <c r="W22" i="2" s="1"/>
  <c r="V21" i="2"/>
  <c r="W21" i="2" s="1"/>
  <c r="V20" i="2"/>
  <c r="W20" i="2" s="1"/>
  <c r="V19" i="2"/>
  <c r="W19" i="2" s="1"/>
  <c r="V18" i="2"/>
  <c r="W18" i="2" s="1"/>
  <c r="V17" i="2"/>
  <c r="W17" i="2" s="1"/>
  <c r="V16" i="2"/>
  <c r="W16" i="2" s="1"/>
  <c r="V15" i="2"/>
  <c r="W15" i="2" s="1"/>
  <c r="V14" i="2"/>
  <c r="W14" i="2" s="1"/>
  <c r="V13" i="2"/>
  <c r="W13" i="2" s="1"/>
  <c r="V12" i="2"/>
  <c r="W12" i="2" s="1"/>
  <c r="V11" i="2"/>
  <c r="W11" i="2" s="1"/>
  <c r="V10" i="2"/>
  <c r="W10" i="2" s="1"/>
  <c r="AD38" i="2"/>
  <c r="AD37" i="2"/>
  <c r="AD36" i="2"/>
  <c r="AE36" i="2" s="1"/>
  <c r="AD35" i="2"/>
  <c r="AD34" i="2"/>
  <c r="AD32" i="2"/>
  <c r="AE32" i="2" s="1"/>
  <c r="AD24" i="2"/>
  <c r="AP171" i="2"/>
  <c r="AO171" i="2"/>
  <c r="AN171" i="2"/>
  <c r="AL171" i="2"/>
  <c r="AP140" i="2"/>
  <c r="AO140" i="2"/>
  <c r="AM140" i="2"/>
  <c r="AL140" i="2"/>
  <c r="AP139" i="2"/>
  <c r="AO139" i="2"/>
  <c r="AM139" i="2"/>
  <c r="AL139" i="2"/>
  <c r="AP138" i="2"/>
  <c r="AO138" i="2"/>
  <c r="AM138" i="2"/>
  <c r="AL138" i="2"/>
  <c r="AP137" i="2"/>
  <c r="AO137" i="2"/>
  <c r="AM137" i="2"/>
  <c r="AL137" i="2"/>
  <c r="AP136" i="2"/>
  <c r="AO136" i="2"/>
  <c r="AM136" i="2"/>
  <c r="AL136" i="2"/>
  <c r="AP70" i="2"/>
  <c r="AO70" i="2"/>
  <c r="AM70" i="2"/>
  <c r="AL70" i="2"/>
  <c r="AP63" i="2"/>
  <c r="AO63" i="2"/>
  <c r="AN63" i="2"/>
  <c r="AL63" i="2"/>
  <c r="AP61" i="2"/>
  <c r="AM61" i="2"/>
  <c r="AL61" i="2"/>
  <c r="AP52" i="2"/>
  <c r="AO52" i="2"/>
  <c r="AN52" i="2"/>
  <c r="AL52" i="2"/>
  <c r="AP31" i="2"/>
  <c r="AO31" i="2"/>
  <c r="AL31" i="2"/>
  <c r="AP28" i="2"/>
  <c r="AO28" i="2"/>
  <c r="AL28" i="2"/>
  <c r="AP25" i="2"/>
  <c r="AO25" i="2"/>
  <c r="AL25" i="2"/>
  <c r="AP24" i="2"/>
  <c r="AO24" i="2"/>
  <c r="AL24" i="2"/>
  <c r="AP22" i="2"/>
  <c r="AO22" i="2"/>
  <c r="AL22" i="2"/>
  <c r="AP21" i="2"/>
  <c r="AO21" i="2"/>
  <c r="AL21" i="2"/>
  <c r="AP17" i="2"/>
  <c r="AO17" i="2"/>
  <c r="AL17" i="2"/>
  <c r="AP16" i="2"/>
  <c r="AO16" i="2"/>
  <c r="AL16" i="2"/>
  <c r="U38" i="25"/>
  <c r="T38" i="25"/>
  <c r="R38" i="25"/>
  <c r="Q38" i="25"/>
  <c r="U37" i="25"/>
  <c r="T37" i="25"/>
  <c r="R37" i="25"/>
  <c r="Q37" i="25"/>
  <c r="U36" i="25"/>
  <c r="T36" i="25"/>
  <c r="S36" i="25"/>
  <c r="R36" i="25"/>
  <c r="Q36" i="25"/>
  <c r="U35" i="25"/>
  <c r="T35" i="25"/>
  <c r="R35" i="25"/>
  <c r="Q35" i="25"/>
  <c r="U34" i="25"/>
  <c r="T34" i="25"/>
  <c r="R34" i="25"/>
  <c r="Q34" i="25"/>
  <c r="U32" i="25"/>
  <c r="T32" i="25"/>
  <c r="S32" i="25"/>
  <c r="R32" i="25"/>
  <c r="Q32" i="25"/>
  <c r="U31" i="25"/>
  <c r="T31" i="25"/>
  <c r="R31" i="25"/>
  <c r="Q31" i="25"/>
  <c r="U30" i="25"/>
  <c r="T30" i="25"/>
  <c r="Q30" i="25"/>
  <c r="U29" i="25"/>
  <c r="T29" i="25"/>
  <c r="R29" i="25"/>
  <c r="Q29" i="25"/>
  <c r="U28" i="25"/>
  <c r="T28" i="25"/>
  <c r="R28" i="25"/>
  <c r="Q28" i="25"/>
  <c r="U27" i="25"/>
  <c r="T27" i="25"/>
  <c r="R27" i="25"/>
  <c r="Q27" i="25"/>
  <c r="U26" i="25"/>
  <c r="T26" i="25"/>
  <c r="Q26" i="25"/>
  <c r="U25" i="25"/>
  <c r="T25" i="25"/>
  <c r="R25" i="25"/>
  <c r="Q25" i="25"/>
  <c r="U24" i="25"/>
  <c r="T24" i="25"/>
  <c r="R24" i="25"/>
  <c r="Q24" i="25"/>
  <c r="U23" i="25"/>
  <c r="T23" i="25"/>
  <c r="R23" i="25"/>
  <c r="Q23" i="25"/>
  <c r="U22" i="25"/>
  <c r="T22" i="25"/>
  <c r="R22" i="25"/>
  <c r="Q22" i="25"/>
  <c r="U21" i="25"/>
  <c r="T21" i="25"/>
  <c r="R21" i="25"/>
  <c r="Q21" i="25"/>
  <c r="U20" i="25"/>
  <c r="T20" i="25"/>
  <c r="R20" i="25"/>
  <c r="Q20" i="25"/>
  <c r="U19" i="25"/>
  <c r="T19" i="25"/>
  <c r="R19" i="25"/>
  <c r="Q19" i="25"/>
  <c r="U18" i="25"/>
  <c r="T18" i="25"/>
  <c r="R18" i="25"/>
  <c r="Q18" i="25"/>
  <c r="U17" i="25"/>
  <c r="T17" i="25"/>
  <c r="Q17" i="25"/>
  <c r="U16" i="25"/>
  <c r="T16" i="25"/>
  <c r="R16" i="25"/>
  <c r="Q16" i="25"/>
  <c r="U15" i="25"/>
  <c r="T15" i="25"/>
  <c r="R15" i="25"/>
  <c r="Q15" i="25"/>
  <c r="U14" i="25"/>
  <c r="T14" i="25"/>
  <c r="R14" i="25"/>
  <c r="Q14" i="25"/>
  <c r="U13" i="25"/>
  <c r="T13" i="25"/>
  <c r="R13" i="25"/>
  <c r="Q13" i="25"/>
  <c r="U12" i="25"/>
  <c r="T12" i="25"/>
  <c r="R12" i="25"/>
  <c r="Q12" i="25"/>
  <c r="U11" i="25"/>
  <c r="T11" i="25"/>
  <c r="R11" i="25"/>
  <c r="Q11" i="25"/>
  <c r="U10" i="25"/>
  <c r="T10" i="25"/>
  <c r="R10" i="25"/>
  <c r="Q10" i="25"/>
  <c r="AP135" i="2" l="1"/>
  <c r="H24" i="19" s="1"/>
  <c r="AM135" i="2"/>
  <c r="E24" i="19" s="1"/>
  <c r="U141" i="20"/>
  <c r="AO135" i="2"/>
  <c r="G24" i="19" s="1"/>
  <c r="AL135" i="2"/>
  <c r="D24" i="19" s="1"/>
  <c r="M33" i="2"/>
  <c r="P33" i="2"/>
  <c r="Y33" i="2"/>
  <c r="V33" i="2"/>
  <c r="S33" i="2"/>
  <c r="W33" i="2"/>
  <c r="Y9" i="2"/>
  <c r="V9" i="2"/>
  <c r="W9" i="2"/>
  <c r="AD33" i="2"/>
  <c r="Q33" i="25"/>
  <c r="G5" i="30" s="1"/>
  <c r="U33" i="25"/>
  <c r="T33" i="25"/>
  <c r="Q9" i="25"/>
  <c r="G4" i="30" s="1"/>
  <c r="U9" i="25"/>
  <c r="R33" i="25"/>
  <c r="T9" i="25"/>
  <c r="J5" i="30" l="1"/>
  <c r="A119" i="28"/>
  <c r="X8" i="27"/>
  <c r="AB8" i="27"/>
  <c r="AF32" i="27"/>
  <c r="AB32" i="27"/>
  <c r="X32" i="27"/>
  <c r="T32" i="27"/>
  <c r="P32" i="27"/>
  <c r="L32" i="27"/>
  <c r="AE130" i="2" l="1"/>
  <c r="C180" i="26" l="1"/>
  <c r="C179" i="26"/>
  <c r="C178" i="26"/>
  <c r="C177" i="26"/>
  <c r="C176" i="26"/>
  <c r="C175" i="26"/>
  <c r="C174" i="26"/>
  <c r="C173" i="26"/>
  <c r="C170" i="26"/>
  <c r="C165" i="26"/>
  <c r="C164" i="26"/>
  <c r="C163" i="26"/>
  <c r="C162" i="26"/>
  <c r="C161" i="26"/>
  <c r="C158" i="26"/>
  <c r="C156" i="26"/>
  <c r="C155" i="26"/>
  <c r="C154" i="26"/>
  <c r="C152" i="26"/>
  <c r="C151" i="26"/>
  <c r="C150" i="26"/>
  <c r="C149" i="26"/>
  <c r="C148" i="26"/>
  <c r="C139" i="26"/>
  <c r="C138" i="26"/>
  <c r="C137" i="26"/>
  <c r="C136" i="26"/>
  <c r="C135" i="26"/>
  <c r="C128" i="26"/>
  <c r="C127" i="26"/>
  <c r="C126" i="26"/>
  <c r="C125" i="26"/>
  <c r="C124" i="26"/>
  <c r="C123" i="26"/>
  <c r="C122" i="26"/>
  <c r="C121" i="26"/>
  <c r="C118" i="26"/>
  <c r="C117" i="26"/>
  <c r="C116" i="26"/>
  <c r="C115" i="26"/>
  <c r="C114" i="26"/>
  <c r="C112" i="26"/>
  <c r="C111" i="26"/>
  <c r="C110" i="26"/>
  <c r="C109" i="26"/>
  <c r="C108" i="26"/>
  <c r="C106" i="26"/>
  <c r="C105" i="26"/>
  <c r="C104" i="26"/>
  <c r="C103" i="26"/>
  <c r="C102" i="26"/>
  <c r="C97" i="26"/>
  <c r="C96" i="26"/>
  <c r="C95" i="26"/>
  <c r="C94" i="26"/>
  <c r="C93" i="26"/>
  <c r="C92" i="26"/>
  <c r="C181" i="25"/>
  <c r="Z181" i="25" s="1"/>
  <c r="C180" i="25"/>
  <c r="Z180" i="25" s="1"/>
  <c r="C179" i="25"/>
  <c r="Z179" i="25" s="1"/>
  <c r="C178" i="25"/>
  <c r="Z178" i="25" s="1"/>
  <c r="C177" i="25"/>
  <c r="Z177" i="25" s="1"/>
  <c r="C176" i="25"/>
  <c r="Z176" i="25" s="1"/>
  <c r="C175" i="25"/>
  <c r="Z175" i="25" s="1"/>
  <c r="C174" i="25"/>
  <c r="Z174" i="25" s="1"/>
  <c r="C171" i="25"/>
  <c r="Z171" i="25" s="1"/>
  <c r="C166" i="25"/>
  <c r="Z166" i="25" s="1"/>
  <c r="C165" i="25"/>
  <c r="Z165" i="25" s="1"/>
  <c r="C164" i="25"/>
  <c r="Z164" i="25" s="1"/>
  <c r="C163" i="25"/>
  <c r="Z163" i="25" s="1"/>
  <c r="C162" i="25"/>
  <c r="Z162" i="25" s="1"/>
  <c r="C159" i="25"/>
  <c r="Z159" i="25" s="1"/>
  <c r="C158" i="25"/>
  <c r="Z158" i="25" s="1"/>
  <c r="C157" i="25"/>
  <c r="Z157" i="25" s="1"/>
  <c r="C156" i="25"/>
  <c r="Z156" i="25" s="1"/>
  <c r="C155" i="25"/>
  <c r="Z155" i="25" s="1"/>
  <c r="C153" i="25"/>
  <c r="Z153" i="25" s="1"/>
  <c r="C152" i="25"/>
  <c r="Z152" i="25" s="1"/>
  <c r="C151" i="25"/>
  <c r="Z151" i="25" s="1"/>
  <c r="C150" i="25"/>
  <c r="Z150" i="25" s="1"/>
  <c r="C149" i="25"/>
  <c r="Z149" i="25" s="1"/>
  <c r="C140" i="25"/>
  <c r="Z140" i="25" s="1"/>
  <c r="C139" i="25"/>
  <c r="Z139" i="25" s="1"/>
  <c r="C138" i="25"/>
  <c r="Z138" i="25" s="1"/>
  <c r="C137" i="25"/>
  <c r="Z137" i="25" s="1"/>
  <c r="C136" i="25"/>
  <c r="Z136" i="25" s="1"/>
  <c r="C129" i="25"/>
  <c r="Z129" i="25" s="1"/>
  <c r="C128" i="25"/>
  <c r="Z128" i="25" s="1"/>
  <c r="C127" i="25"/>
  <c r="Z127" i="25" s="1"/>
  <c r="C126" i="25"/>
  <c r="Z126" i="25" s="1"/>
  <c r="C125" i="25"/>
  <c r="Z125" i="25" s="1"/>
  <c r="C124" i="25"/>
  <c r="Z124" i="25" s="1"/>
  <c r="C123" i="25"/>
  <c r="Z123" i="25" s="1"/>
  <c r="C122" i="25"/>
  <c r="Z122" i="25" s="1"/>
  <c r="C119" i="25"/>
  <c r="Z119" i="25" s="1"/>
  <c r="C118" i="25"/>
  <c r="Z118" i="25" s="1"/>
  <c r="C117" i="25"/>
  <c r="Z117" i="25" s="1"/>
  <c r="C116" i="25"/>
  <c r="Z116" i="25" s="1"/>
  <c r="C115" i="25"/>
  <c r="Z115" i="25" s="1"/>
  <c r="C113" i="25"/>
  <c r="Z113" i="25" s="1"/>
  <c r="C112" i="25"/>
  <c r="Z112" i="25" s="1"/>
  <c r="C111" i="25"/>
  <c r="Z111" i="25" s="1"/>
  <c r="C110" i="25"/>
  <c r="Z110" i="25" s="1"/>
  <c r="C109" i="25"/>
  <c r="Z109" i="25" s="1"/>
  <c r="C107" i="25"/>
  <c r="Z107" i="25" s="1"/>
  <c r="C106" i="25"/>
  <c r="Z106" i="25" s="1"/>
  <c r="C105" i="25"/>
  <c r="Z105" i="25" s="1"/>
  <c r="C104" i="25"/>
  <c r="Z104" i="25" s="1"/>
  <c r="C103" i="25"/>
  <c r="C98" i="25"/>
  <c r="Z98" i="25" s="1"/>
  <c r="C97" i="25"/>
  <c r="Z97" i="25" s="1"/>
  <c r="C96" i="25"/>
  <c r="Z96" i="25" s="1"/>
  <c r="C95" i="25"/>
  <c r="C94" i="25"/>
  <c r="Z94" i="25" s="1"/>
  <c r="C93" i="25"/>
  <c r="Z93" i="25" s="1"/>
  <c r="C180" i="24"/>
  <c r="S180" i="24" s="1"/>
  <c r="C179" i="24"/>
  <c r="S179" i="24" s="1"/>
  <c r="C178" i="24"/>
  <c r="S178" i="24" s="1"/>
  <c r="C177" i="24"/>
  <c r="S177" i="24" s="1"/>
  <c r="C176" i="24"/>
  <c r="S176" i="24" s="1"/>
  <c r="C175" i="24"/>
  <c r="S175" i="24" s="1"/>
  <c r="C174" i="24"/>
  <c r="S174" i="24" s="1"/>
  <c r="C173" i="24"/>
  <c r="S173" i="24" s="1"/>
  <c r="C170" i="24"/>
  <c r="S170" i="24" s="1"/>
  <c r="C165" i="24"/>
  <c r="S165" i="24" s="1"/>
  <c r="C164" i="24"/>
  <c r="S164" i="24" s="1"/>
  <c r="C163" i="24"/>
  <c r="S163" i="24" s="1"/>
  <c r="C162" i="24"/>
  <c r="S162" i="24" s="1"/>
  <c r="C161" i="24"/>
  <c r="S161" i="24" s="1"/>
  <c r="C158" i="24"/>
  <c r="S158" i="24" s="1"/>
  <c r="C157" i="24"/>
  <c r="S157" i="24" s="1"/>
  <c r="C156" i="24"/>
  <c r="S156" i="24" s="1"/>
  <c r="C155" i="24"/>
  <c r="S155" i="24" s="1"/>
  <c r="C154" i="24"/>
  <c r="S154" i="24" s="1"/>
  <c r="C152" i="24"/>
  <c r="S152" i="24" s="1"/>
  <c r="C151" i="24"/>
  <c r="S151" i="24" s="1"/>
  <c r="C150" i="24"/>
  <c r="S150" i="24" s="1"/>
  <c r="C149" i="24"/>
  <c r="S149" i="24" s="1"/>
  <c r="C148" i="24"/>
  <c r="S148" i="24" s="1"/>
  <c r="C139" i="24"/>
  <c r="S139" i="24" s="1"/>
  <c r="C138" i="24"/>
  <c r="S138" i="24" s="1"/>
  <c r="C137" i="24"/>
  <c r="S137" i="24" s="1"/>
  <c r="C136" i="24"/>
  <c r="S136" i="24" s="1"/>
  <c r="C135" i="24"/>
  <c r="S135" i="24" s="1"/>
  <c r="C128" i="24"/>
  <c r="S128" i="24" s="1"/>
  <c r="C127" i="24"/>
  <c r="S127" i="24" s="1"/>
  <c r="C126" i="24"/>
  <c r="S126" i="24" s="1"/>
  <c r="C125" i="24"/>
  <c r="S125" i="24" s="1"/>
  <c r="C124" i="24"/>
  <c r="S124" i="24" s="1"/>
  <c r="C123" i="24"/>
  <c r="S123" i="24" s="1"/>
  <c r="C122" i="24"/>
  <c r="S122" i="24" s="1"/>
  <c r="C121" i="24"/>
  <c r="S121" i="24" s="1"/>
  <c r="C118" i="24"/>
  <c r="S118" i="24" s="1"/>
  <c r="C117" i="24"/>
  <c r="S117" i="24" s="1"/>
  <c r="C116" i="24"/>
  <c r="S116" i="24" s="1"/>
  <c r="C115" i="24"/>
  <c r="S115" i="24" s="1"/>
  <c r="C114" i="24"/>
  <c r="S114" i="24" s="1"/>
  <c r="C112" i="24"/>
  <c r="S112" i="24" s="1"/>
  <c r="C111" i="24"/>
  <c r="S111" i="24" s="1"/>
  <c r="C110" i="24"/>
  <c r="S110" i="24" s="1"/>
  <c r="C109" i="24"/>
  <c r="S109" i="24" s="1"/>
  <c r="C108" i="24"/>
  <c r="S108" i="24" s="1"/>
  <c r="C106" i="24"/>
  <c r="S106" i="24" s="1"/>
  <c r="C105" i="24"/>
  <c r="S105" i="24" s="1"/>
  <c r="C104" i="24"/>
  <c r="S104" i="24" s="1"/>
  <c r="C103" i="24"/>
  <c r="S103" i="24" s="1"/>
  <c r="C102" i="24"/>
  <c r="S102" i="24" s="1"/>
  <c r="C97" i="24"/>
  <c r="S97" i="24" s="1"/>
  <c r="C96" i="24"/>
  <c r="S96" i="24" s="1"/>
  <c r="C95" i="24"/>
  <c r="S95" i="24" s="1"/>
  <c r="C94" i="24"/>
  <c r="S94" i="24" s="1"/>
  <c r="C93" i="24"/>
  <c r="S93" i="24" s="1"/>
  <c r="C92" i="24"/>
  <c r="S92" i="24" s="1"/>
  <c r="C90" i="24"/>
  <c r="S90" i="24" s="1"/>
  <c r="C89" i="24"/>
  <c r="S89" i="24" s="1"/>
  <c r="C88" i="24"/>
  <c r="S88" i="24" s="1"/>
  <c r="C87" i="24"/>
  <c r="S87" i="24" s="1"/>
  <c r="C86" i="24"/>
  <c r="S86" i="24" s="1"/>
  <c r="C91" i="25"/>
  <c r="Z91" i="25" s="1"/>
  <c r="C90" i="25"/>
  <c r="Z90" i="25" s="1"/>
  <c r="C89" i="25"/>
  <c r="Z89" i="25" s="1"/>
  <c r="C88" i="25"/>
  <c r="Z88" i="25" s="1"/>
  <c r="C87" i="25"/>
  <c r="Z87" i="25" s="1"/>
  <c r="C90" i="26"/>
  <c r="C89" i="26"/>
  <c r="C88" i="26"/>
  <c r="C87" i="26"/>
  <c r="C86" i="26"/>
  <c r="C82" i="26"/>
  <c r="C81" i="26"/>
  <c r="C80" i="26"/>
  <c r="C79" i="26"/>
  <c r="C77" i="26"/>
  <c r="C76" i="26"/>
  <c r="C75" i="26"/>
  <c r="C74" i="26"/>
  <c r="C71" i="26"/>
  <c r="C70" i="26"/>
  <c r="C69" i="26"/>
  <c r="C68" i="26"/>
  <c r="C67" i="26"/>
  <c r="C65" i="26"/>
  <c r="C64" i="26"/>
  <c r="C63" i="26"/>
  <c r="C62" i="26"/>
  <c r="C60" i="26"/>
  <c r="C59" i="26"/>
  <c r="C58" i="26"/>
  <c r="C83" i="25"/>
  <c r="C82" i="25"/>
  <c r="Z82" i="25" s="1"/>
  <c r="C81" i="25"/>
  <c r="C80" i="25"/>
  <c r="Z80" i="25" s="1"/>
  <c r="C78" i="25"/>
  <c r="Z78" i="25" s="1"/>
  <c r="C77" i="25"/>
  <c r="Z77" i="25" s="1"/>
  <c r="C76" i="25"/>
  <c r="Z76" i="25" s="1"/>
  <c r="C75" i="25"/>
  <c r="Z75" i="25" s="1"/>
  <c r="C82" i="24"/>
  <c r="S82" i="24" s="1"/>
  <c r="C81" i="24"/>
  <c r="S81" i="24" s="1"/>
  <c r="C80" i="24"/>
  <c r="S80" i="24" s="1"/>
  <c r="C79" i="24"/>
  <c r="S79" i="24" s="1"/>
  <c r="C77" i="24"/>
  <c r="S77" i="24" s="1"/>
  <c r="C76" i="24"/>
  <c r="S76" i="24" s="1"/>
  <c r="C75" i="24"/>
  <c r="S75" i="24" s="1"/>
  <c r="C74" i="24"/>
  <c r="S74" i="24" s="1"/>
  <c r="C72" i="25"/>
  <c r="Z72" i="25" s="1"/>
  <c r="C71" i="25"/>
  <c r="Z71" i="25" s="1"/>
  <c r="C70" i="25"/>
  <c r="Z70" i="25" s="1"/>
  <c r="C69" i="25"/>
  <c r="Z69" i="25" s="1"/>
  <c r="C68" i="25"/>
  <c r="Z68" i="25" s="1"/>
  <c r="C71" i="24"/>
  <c r="S71" i="24" s="1"/>
  <c r="C70" i="24"/>
  <c r="S70" i="24" s="1"/>
  <c r="C69" i="24"/>
  <c r="S69" i="24" s="1"/>
  <c r="C68" i="24"/>
  <c r="S68" i="24" s="1"/>
  <c r="C67" i="24"/>
  <c r="S67" i="24" s="1"/>
  <c r="C66" i="25"/>
  <c r="Z66" i="25" s="1"/>
  <c r="C65" i="25"/>
  <c r="Z65" i="25" s="1"/>
  <c r="C64" i="25"/>
  <c r="Z64" i="25" s="1"/>
  <c r="C63" i="25"/>
  <c r="Z63" i="25" s="1"/>
  <c r="C65" i="24"/>
  <c r="S65" i="24" s="1"/>
  <c r="C64" i="24"/>
  <c r="S64" i="24" s="1"/>
  <c r="C63" i="24"/>
  <c r="S63" i="24" s="1"/>
  <c r="C62" i="24"/>
  <c r="S62" i="24" s="1"/>
  <c r="C61" i="25"/>
  <c r="Z61" i="25" s="1"/>
  <c r="C60" i="25"/>
  <c r="Z60" i="25" s="1"/>
  <c r="C59" i="25"/>
  <c r="Z59" i="25" s="1"/>
  <c r="C60" i="24"/>
  <c r="S60" i="24" s="1"/>
  <c r="C59" i="24"/>
  <c r="S59" i="24" s="1"/>
  <c r="C58" i="24"/>
  <c r="S58" i="24" s="1"/>
  <c r="C57" i="25"/>
  <c r="Z57" i="25" s="1"/>
  <c r="C56" i="24"/>
  <c r="S56" i="24" s="1"/>
  <c r="C54" i="24"/>
  <c r="S54" i="24" s="1"/>
  <c r="C53" i="24"/>
  <c r="S53" i="24" s="1"/>
  <c r="C52" i="24"/>
  <c r="S52" i="24" s="1"/>
  <c r="C51" i="24"/>
  <c r="S51" i="24" s="1"/>
  <c r="C50" i="24"/>
  <c r="S50" i="24" s="1"/>
  <c r="C56" i="26"/>
  <c r="C54" i="26"/>
  <c r="C53" i="26"/>
  <c r="C52" i="26"/>
  <c r="C51" i="26"/>
  <c r="C50" i="26"/>
  <c r="C48" i="26"/>
  <c r="C47" i="26"/>
  <c r="C46" i="26"/>
  <c r="C43" i="26"/>
  <c r="C42" i="26"/>
  <c r="C41" i="26"/>
  <c r="C40" i="26"/>
  <c r="C39" i="26"/>
  <c r="C55" i="25"/>
  <c r="Z55" i="25" s="1"/>
  <c r="C54" i="25"/>
  <c r="Z54" i="25" s="1"/>
  <c r="C53" i="25"/>
  <c r="Z53" i="25" s="1"/>
  <c r="C52" i="25"/>
  <c r="Z52" i="25" s="1"/>
  <c r="C51" i="25"/>
  <c r="Z51" i="25" s="1"/>
  <c r="C49" i="25"/>
  <c r="Z49" i="25" s="1"/>
  <c r="C48" i="25"/>
  <c r="Z48" i="25" s="1"/>
  <c r="C47" i="25"/>
  <c r="C44" i="25"/>
  <c r="Z44" i="25" s="1"/>
  <c r="C43" i="25"/>
  <c r="Z43" i="25" s="1"/>
  <c r="C42" i="25"/>
  <c r="Z42" i="25" s="1"/>
  <c r="C41" i="25"/>
  <c r="Z41" i="25" s="1"/>
  <c r="C40" i="25"/>
  <c r="Z40" i="25" s="1"/>
  <c r="C48" i="24"/>
  <c r="S48" i="24" s="1"/>
  <c r="C47" i="24"/>
  <c r="S47" i="24" s="1"/>
  <c r="C46" i="24"/>
  <c r="S46" i="24" s="1"/>
  <c r="C43" i="24"/>
  <c r="S43" i="24" s="1"/>
  <c r="C42" i="24"/>
  <c r="S42" i="24" s="1"/>
  <c r="C41" i="24"/>
  <c r="S41" i="24" s="1"/>
  <c r="C40" i="24"/>
  <c r="S40" i="24" s="1"/>
  <c r="C39" i="24"/>
  <c r="S39" i="24" s="1"/>
  <c r="A119" i="26"/>
  <c r="W129" i="25"/>
  <c r="W128" i="25"/>
  <c r="W127" i="25"/>
  <c r="W126" i="25"/>
  <c r="W125" i="25"/>
  <c r="W124" i="25"/>
  <c r="W123" i="25"/>
  <c r="W122" i="25"/>
  <c r="U40" i="26" l="1"/>
  <c r="S40" i="26"/>
  <c r="U46" i="26"/>
  <c r="S46" i="26"/>
  <c r="U51" i="26"/>
  <c r="S51" i="26"/>
  <c r="U56" i="26"/>
  <c r="S56" i="26"/>
  <c r="U58" i="26"/>
  <c r="S58" i="26"/>
  <c r="U63" i="26"/>
  <c r="S63" i="26"/>
  <c r="U68" i="26"/>
  <c r="S68" i="26"/>
  <c r="U74" i="26"/>
  <c r="S74" i="26"/>
  <c r="U79" i="26"/>
  <c r="S79" i="26"/>
  <c r="U86" i="26"/>
  <c r="S86" i="26"/>
  <c r="U90" i="26"/>
  <c r="W90" i="26" s="1"/>
  <c r="S90" i="26"/>
  <c r="U93" i="26"/>
  <c r="S93" i="26"/>
  <c r="U97" i="26"/>
  <c r="S97" i="26"/>
  <c r="U105" i="26"/>
  <c r="S105" i="26"/>
  <c r="U110" i="26"/>
  <c r="S110" i="26"/>
  <c r="U115" i="26"/>
  <c r="S115" i="26"/>
  <c r="U121" i="26"/>
  <c r="S121" i="26"/>
  <c r="U125" i="26"/>
  <c r="S125" i="26"/>
  <c r="U135" i="26"/>
  <c r="S135" i="26"/>
  <c r="U139" i="26"/>
  <c r="S139" i="26"/>
  <c r="U151" i="26"/>
  <c r="S151" i="26"/>
  <c r="U156" i="26"/>
  <c r="S156" i="26"/>
  <c r="U163" i="26"/>
  <c r="S163" i="26"/>
  <c r="U173" i="26"/>
  <c r="S173" i="26"/>
  <c r="U177" i="26"/>
  <c r="S177" i="26"/>
  <c r="U94" i="26"/>
  <c r="S94" i="26"/>
  <c r="U102" i="26"/>
  <c r="S102" i="26"/>
  <c r="U106" i="26"/>
  <c r="S106" i="26"/>
  <c r="U111" i="26"/>
  <c r="S111" i="26"/>
  <c r="U116" i="26"/>
  <c r="S116" i="26"/>
  <c r="U122" i="26"/>
  <c r="S122" i="26"/>
  <c r="U126" i="26"/>
  <c r="S126" i="26"/>
  <c r="U136" i="26"/>
  <c r="S136" i="26"/>
  <c r="U148" i="26"/>
  <c r="S148" i="26"/>
  <c r="U152" i="26"/>
  <c r="S152" i="26"/>
  <c r="U158" i="26"/>
  <c r="S158" i="26"/>
  <c r="U164" i="26"/>
  <c r="S164" i="26"/>
  <c r="U174" i="26"/>
  <c r="S174" i="26"/>
  <c r="U178" i="26"/>
  <c r="S178" i="26"/>
  <c r="U42" i="26"/>
  <c r="S42" i="26"/>
  <c r="U48" i="26"/>
  <c r="S48" i="26"/>
  <c r="U53" i="26"/>
  <c r="S53" i="26"/>
  <c r="U60" i="26"/>
  <c r="Y47" i="74" s="1"/>
  <c r="Y47" i="77" s="1"/>
  <c r="S60" i="26"/>
  <c r="U65" i="26"/>
  <c r="S65" i="26"/>
  <c r="U70" i="26"/>
  <c r="S70" i="26"/>
  <c r="U76" i="26"/>
  <c r="S76" i="26"/>
  <c r="U81" i="26"/>
  <c r="S81" i="26"/>
  <c r="U88" i="26"/>
  <c r="S88" i="26"/>
  <c r="U95" i="26"/>
  <c r="S95" i="26"/>
  <c r="U103" i="26"/>
  <c r="S103" i="26"/>
  <c r="U108" i="26"/>
  <c r="S108" i="26"/>
  <c r="U112" i="26"/>
  <c r="S112" i="26"/>
  <c r="U117" i="26"/>
  <c r="S117" i="26"/>
  <c r="U123" i="26"/>
  <c r="S123" i="26"/>
  <c r="U127" i="26"/>
  <c r="S127" i="26"/>
  <c r="U137" i="26"/>
  <c r="S137" i="26"/>
  <c r="U149" i="26"/>
  <c r="S149" i="26"/>
  <c r="U154" i="26"/>
  <c r="S154" i="26"/>
  <c r="U161" i="26"/>
  <c r="S161" i="26"/>
  <c r="U165" i="26"/>
  <c r="S165" i="26"/>
  <c r="U175" i="26"/>
  <c r="S175" i="26"/>
  <c r="U179" i="26"/>
  <c r="S179" i="26"/>
  <c r="U41" i="26"/>
  <c r="S41" i="26"/>
  <c r="U47" i="26"/>
  <c r="S47" i="26"/>
  <c r="U52" i="26"/>
  <c r="S52" i="26"/>
  <c r="Z81" i="25"/>
  <c r="U59" i="26"/>
  <c r="S59" i="26"/>
  <c r="U64" i="26"/>
  <c r="S64" i="26"/>
  <c r="U69" i="26"/>
  <c r="S69" i="26"/>
  <c r="U75" i="26"/>
  <c r="S75" i="26"/>
  <c r="U80" i="26"/>
  <c r="S80" i="26"/>
  <c r="U87" i="26"/>
  <c r="S87" i="26"/>
  <c r="Z47" i="25"/>
  <c r="U39" i="26"/>
  <c r="S39" i="26"/>
  <c r="U43" i="26"/>
  <c r="S43" i="26"/>
  <c r="U50" i="26"/>
  <c r="S50" i="26"/>
  <c r="U54" i="26"/>
  <c r="S54" i="26"/>
  <c r="Z83" i="25"/>
  <c r="U62" i="26"/>
  <c r="S62" i="26"/>
  <c r="U67" i="26"/>
  <c r="S67" i="26"/>
  <c r="U71" i="26"/>
  <c r="S71" i="26"/>
  <c r="U77" i="26"/>
  <c r="S77" i="26"/>
  <c r="U82" i="26"/>
  <c r="S82" i="26"/>
  <c r="U89" i="26"/>
  <c r="S89" i="26"/>
  <c r="Z95" i="25"/>
  <c r="X95" i="25" s="1"/>
  <c r="U92" i="26"/>
  <c r="S92" i="26"/>
  <c r="U96" i="26"/>
  <c r="S96" i="26"/>
  <c r="U104" i="26"/>
  <c r="S104" i="26"/>
  <c r="U109" i="26"/>
  <c r="S109" i="26"/>
  <c r="U114" i="26"/>
  <c r="S114" i="26"/>
  <c r="U118" i="26"/>
  <c r="S118" i="26"/>
  <c r="U124" i="26"/>
  <c r="S124" i="26"/>
  <c r="U128" i="26"/>
  <c r="S128" i="26"/>
  <c r="U138" i="26"/>
  <c r="S138" i="26"/>
  <c r="U150" i="26"/>
  <c r="S150" i="26"/>
  <c r="U155" i="26"/>
  <c r="S155" i="26"/>
  <c r="U162" i="26"/>
  <c r="S162" i="26"/>
  <c r="U170" i="26"/>
  <c r="S170" i="26"/>
  <c r="U176" i="26"/>
  <c r="S176" i="26"/>
  <c r="U180" i="26"/>
  <c r="S180" i="26"/>
  <c r="W121" i="26"/>
  <c r="Y92" i="74"/>
  <c r="Y92" i="77" s="1"/>
  <c r="Y77" i="74"/>
  <c r="Y77" i="77" s="1"/>
  <c r="W111" i="26"/>
  <c r="Y85" i="74"/>
  <c r="Y85" i="77" s="1"/>
  <c r="W122" i="26"/>
  <c r="Y93" i="74"/>
  <c r="Y93" i="77" s="1"/>
  <c r="W136" i="26"/>
  <c r="Y106" i="74"/>
  <c r="Y106" i="77" s="1"/>
  <c r="W152" i="26"/>
  <c r="Y119" i="74"/>
  <c r="Y119" i="77" s="1"/>
  <c r="W164" i="26"/>
  <c r="Y128" i="74"/>
  <c r="Y128" i="77" s="1"/>
  <c r="W178" i="26"/>
  <c r="Y137" i="74"/>
  <c r="Y137" i="77" s="1"/>
  <c r="W68" i="26"/>
  <c r="Y53" i="74"/>
  <c r="Y53" i="77" s="1"/>
  <c r="W79" i="26"/>
  <c r="Y61" i="74"/>
  <c r="Y61" i="77" s="1"/>
  <c r="W110" i="26"/>
  <c r="Y84" i="74"/>
  <c r="Y84" i="77" s="1"/>
  <c r="W151" i="26"/>
  <c r="Y118" i="74"/>
  <c r="Y118" i="77" s="1"/>
  <c r="W163" i="26"/>
  <c r="Y127" i="74"/>
  <c r="Y127" i="77" s="1"/>
  <c r="W41" i="26"/>
  <c r="Y33" i="74"/>
  <c r="Y33" i="77" s="1"/>
  <c r="W48" i="26"/>
  <c r="Y38" i="74"/>
  <c r="Y38" i="77" s="1"/>
  <c r="W60" i="26"/>
  <c r="W70" i="26"/>
  <c r="Y55" i="74"/>
  <c r="Y55" i="77" s="1"/>
  <c r="W81" i="26"/>
  <c r="Y62" i="74"/>
  <c r="Y62" i="77" s="1"/>
  <c r="W95" i="26"/>
  <c r="Y73" i="74"/>
  <c r="Y73" i="77" s="1"/>
  <c r="W108" i="26"/>
  <c r="Y82" i="74"/>
  <c r="Y82" i="77" s="1"/>
  <c r="W117" i="26"/>
  <c r="Y90" i="74"/>
  <c r="Y90" i="77" s="1"/>
  <c r="W127" i="26"/>
  <c r="Y98" i="74"/>
  <c r="Y98" i="77" s="1"/>
  <c r="W149" i="26"/>
  <c r="Y116" i="74"/>
  <c r="Y116" i="77" s="1"/>
  <c r="W161" i="26"/>
  <c r="Y125" i="74"/>
  <c r="Y125" i="77" s="1"/>
  <c r="W175" i="26"/>
  <c r="Y134" i="74"/>
  <c r="Y134" i="77" s="1"/>
  <c r="W40" i="26"/>
  <c r="Y32" i="74"/>
  <c r="Y32" i="77" s="1"/>
  <c r="W51" i="26"/>
  <c r="Y40" i="74"/>
  <c r="Y40" i="77" s="1"/>
  <c r="W58" i="26"/>
  <c r="Y45" i="74"/>
  <c r="Y45" i="77" s="1"/>
  <c r="Y69" i="74"/>
  <c r="Y69" i="77" s="1"/>
  <c r="W97" i="26"/>
  <c r="Y75" i="74"/>
  <c r="Y75" i="77" s="1"/>
  <c r="W135" i="26"/>
  <c r="Y105" i="74"/>
  <c r="Y105" i="77" s="1"/>
  <c r="W177" i="26"/>
  <c r="Y136" i="74"/>
  <c r="Y136" i="77" s="1"/>
  <c r="W52" i="26"/>
  <c r="Y41" i="74"/>
  <c r="Y41" i="77" s="1"/>
  <c r="W39" i="26"/>
  <c r="Y35" i="74"/>
  <c r="Y35" i="77" s="1"/>
  <c r="W50" i="26"/>
  <c r="W128" i="26"/>
  <c r="Y117" i="74"/>
  <c r="Y117" i="77" s="1"/>
  <c r="Q46" i="24"/>
  <c r="Q77" i="24"/>
  <c r="Q104" i="24"/>
  <c r="Q109" i="24"/>
  <c r="Q41" i="24"/>
  <c r="Q47" i="24"/>
  <c r="Q53" i="24"/>
  <c r="Q58" i="24"/>
  <c r="Q64" i="24"/>
  <c r="Q69" i="24"/>
  <c r="N74" i="24"/>
  <c r="O74" i="24"/>
  <c r="M74" i="24"/>
  <c r="L74" i="24"/>
  <c r="Q74" i="24"/>
  <c r="P74" i="24"/>
  <c r="K74" i="24"/>
  <c r="P79" i="24"/>
  <c r="L79" i="24"/>
  <c r="O79" i="24"/>
  <c r="K79" i="24"/>
  <c r="N79" i="24"/>
  <c r="Q79" i="24"/>
  <c r="M79" i="24"/>
  <c r="Q88" i="24"/>
  <c r="Q93" i="24"/>
  <c r="Q97" i="24"/>
  <c r="Q105" i="24"/>
  <c r="Q110" i="24"/>
  <c r="Q115" i="24"/>
  <c r="Q121" i="24"/>
  <c r="N121" i="24"/>
  <c r="K121" i="24"/>
  <c r="M121" i="24"/>
  <c r="O121" i="24"/>
  <c r="L121" i="24"/>
  <c r="P121" i="24"/>
  <c r="N125" i="24"/>
  <c r="O125" i="24"/>
  <c r="K125" i="24"/>
  <c r="L125" i="24"/>
  <c r="Q125" i="24"/>
  <c r="M125" i="24"/>
  <c r="P125" i="24"/>
  <c r="P135" i="24"/>
  <c r="N135" i="24"/>
  <c r="Q135" i="24"/>
  <c r="K135" i="24"/>
  <c r="M135" i="24"/>
  <c r="O135" i="24"/>
  <c r="L135" i="24"/>
  <c r="N139" i="24"/>
  <c r="Q139" i="24"/>
  <c r="M139" i="24"/>
  <c r="O139" i="24"/>
  <c r="K139" i="24"/>
  <c r="L139" i="24"/>
  <c r="P139" i="24"/>
  <c r="Q151" i="24"/>
  <c r="Q156" i="24"/>
  <c r="Q162" i="24"/>
  <c r="Q176" i="24"/>
  <c r="Q180" i="24"/>
  <c r="Q40" i="24"/>
  <c r="Q63" i="24"/>
  <c r="Q82" i="24"/>
  <c r="Q92" i="24"/>
  <c r="Q42" i="24"/>
  <c r="M42" i="24"/>
  <c r="P42" i="24"/>
  <c r="L42" i="24"/>
  <c r="Q48" i="24"/>
  <c r="Q50" i="24"/>
  <c r="Q54" i="24"/>
  <c r="Q59" i="24"/>
  <c r="Q65" i="24"/>
  <c r="Q70" i="24"/>
  <c r="P75" i="24"/>
  <c r="O75" i="24"/>
  <c r="K75" i="24"/>
  <c r="L75" i="24"/>
  <c r="M75" i="24"/>
  <c r="N75" i="24"/>
  <c r="Q75" i="24"/>
  <c r="N80" i="24"/>
  <c r="Q80" i="24"/>
  <c r="Q89" i="24"/>
  <c r="Q94" i="24"/>
  <c r="Q102" i="24"/>
  <c r="Q106" i="24"/>
  <c r="Q111" i="24"/>
  <c r="Q116" i="24"/>
  <c r="P122" i="24"/>
  <c r="Q122" i="24"/>
  <c r="M122" i="24"/>
  <c r="L122" i="24"/>
  <c r="K122" i="24"/>
  <c r="N122" i="24"/>
  <c r="O122" i="24"/>
  <c r="P126" i="24"/>
  <c r="L126" i="24"/>
  <c r="O126" i="24"/>
  <c r="K126" i="24"/>
  <c r="M126" i="24"/>
  <c r="Q126" i="24"/>
  <c r="N126" i="24"/>
  <c r="Q136" i="24"/>
  <c r="P136" i="24"/>
  <c r="M136" i="24"/>
  <c r="K136" i="24"/>
  <c r="O136" i="24"/>
  <c r="L136" i="24"/>
  <c r="N136" i="24"/>
  <c r="Q148" i="24"/>
  <c r="Q152" i="24"/>
  <c r="Q157" i="24"/>
  <c r="Q163" i="24"/>
  <c r="Q173" i="24"/>
  <c r="Q177" i="24"/>
  <c r="Q52" i="24"/>
  <c r="Q68" i="24"/>
  <c r="Q87" i="24"/>
  <c r="Q96" i="24"/>
  <c r="Q39" i="24"/>
  <c r="Q43" i="24"/>
  <c r="Q51" i="24"/>
  <c r="Q56" i="24"/>
  <c r="Q55" i="24" s="1"/>
  <c r="O60" i="24"/>
  <c r="Q60" i="24"/>
  <c r="P60" i="24"/>
  <c r="M60" i="24"/>
  <c r="L60" i="24"/>
  <c r="N60" i="24"/>
  <c r="K60" i="24"/>
  <c r="Q62" i="24"/>
  <c r="Q67" i="24"/>
  <c r="Q71" i="24"/>
  <c r="Q76" i="24"/>
  <c r="O81" i="24"/>
  <c r="P81" i="24"/>
  <c r="L81" i="24"/>
  <c r="M81" i="24"/>
  <c r="Q81" i="24"/>
  <c r="K81" i="24"/>
  <c r="N81" i="24"/>
  <c r="Q86" i="24"/>
  <c r="N90" i="24"/>
  <c r="P90" i="24"/>
  <c r="L90" i="24"/>
  <c r="O90" i="24"/>
  <c r="K90" i="24"/>
  <c r="Q90" i="24"/>
  <c r="M90" i="24"/>
  <c r="Q95" i="24"/>
  <c r="Q103" i="24"/>
  <c r="Q108" i="24"/>
  <c r="Q112" i="24"/>
  <c r="Q117" i="24"/>
  <c r="N123" i="24"/>
  <c r="Q123" i="24"/>
  <c r="M123" i="24"/>
  <c r="K123" i="24"/>
  <c r="O123" i="24"/>
  <c r="P123" i="24"/>
  <c r="L123" i="24"/>
  <c r="Q127" i="24"/>
  <c r="M127" i="24"/>
  <c r="P127" i="24"/>
  <c r="L127" i="24"/>
  <c r="N127" i="24"/>
  <c r="K127" i="24"/>
  <c r="O127" i="24"/>
  <c r="O137" i="24"/>
  <c r="K137" i="24"/>
  <c r="N137" i="24"/>
  <c r="P137" i="24"/>
  <c r="L137" i="24"/>
  <c r="M137" i="24"/>
  <c r="Q137" i="24"/>
  <c r="Q149" i="24"/>
  <c r="Q154" i="24"/>
  <c r="Q158" i="24"/>
  <c r="Q164" i="24"/>
  <c r="Q174" i="24"/>
  <c r="Q178" i="24"/>
  <c r="Q114" i="24"/>
  <c r="Q118" i="24"/>
  <c r="O124" i="24"/>
  <c r="L124" i="24"/>
  <c r="Q124" i="24"/>
  <c r="N128" i="24"/>
  <c r="Q128" i="24"/>
  <c r="M128" i="24"/>
  <c r="O128" i="24"/>
  <c r="K128" i="24"/>
  <c r="L128" i="24"/>
  <c r="P128" i="24"/>
  <c r="P138" i="24"/>
  <c r="Q138" i="24"/>
  <c r="M138" i="24"/>
  <c r="N138" i="24"/>
  <c r="O138" i="24"/>
  <c r="L138" i="24"/>
  <c r="K138" i="24"/>
  <c r="Q150" i="24"/>
  <c r="Q155" i="24"/>
  <c r="Q161" i="24"/>
  <c r="Q165" i="24"/>
  <c r="Q175" i="24"/>
  <c r="Q179" i="24"/>
  <c r="X75" i="25"/>
  <c r="V75" i="25"/>
  <c r="AC75" i="2"/>
  <c r="C74" i="27"/>
  <c r="O75" i="25"/>
  <c r="K75" i="25"/>
  <c r="N75" i="25"/>
  <c r="M75" i="25"/>
  <c r="P75" i="25"/>
  <c r="L75" i="25"/>
  <c r="U75" i="25"/>
  <c r="Q75" i="25"/>
  <c r="T75" i="25"/>
  <c r="S75" i="25"/>
  <c r="R75" i="25"/>
  <c r="X80" i="25"/>
  <c r="V80" i="25"/>
  <c r="AC80" i="2"/>
  <c r="C79" i="27"/>
  <c r="O80" i="25"/>
  <c r="K80" i="25"/>
  <c r="N80" i="25"/>
  <c r="M80" i="25"/>
  <c r="P80" i="25"/>
  <c r="L80" i="25"/>
  <c r="U80" i="25"/>
  <c r="Q80" i="25"/>
  <c r="T80" i="25"/>
  <c r="S80" i="25"/>
  <c r="R80" i="25"/>
  <c r="X124" i="25"/>
  <c r="V124" i="25"/>
  <c r="AC124" i="2"/>
  <c r="C123" i="27"/>
  <c r="N124" i="25"/>
  <c r="M124" i="25"/>
  <c r="P124" i="25"/>
  <c r="L124" i="25"/>
  <c r="O124" i="25"/>
  <c r="K124" i="25"/>
  <c r="S124" i="25"/>
  <c r="R124" i="25"/>
  <c r="U124" i="25"/>
  <c r="Q124" i="25"/>
  <c r="T124" i="25"/>
  <c r="X175" i="25"/>
  <c r="V175" i="25"/>
  <c r="AC175" i="2"/>
  <c r="C174" i="27"/>
  <c r="P175" i="25"/>
  <c r="L175" i="25"/>
  <c r="O175" i="25"/>
  <c r="K175" i="25"/>
  <c r="N175" i="25"/>
  <c r="M175" i="25"/>
  <c r="U175" i="25"/>
  <c r="Q175" i="25"/>
  <c r="T175" i="25"/>
  <c r="S175" i="25"/>
  <c r="R175" i="25"/>
  <c r="X61" i="25"/>
  <c r="V61" i="25"/>
  <c r="AC61" i="2"/>
  <c r="C60" i="27"/>
  <c r="O61" i="25"/>
  <c r="K61" i="25"/>
  <c r="N61" i="25"/>
  <c r="M61" i="25"/>
  <c r="P61" i="25"/>
  <c r="L61" i="25"/>
  <c r="S61" i="25"/>
  <c r="R61" i="25"/>
  <c r="U61" i="25"/>
  <c r="Q61" i="25"/>
  <c r="T61" i="25"/>
  <c r="X76" i="25"/>
  <c r="V76" i="25"/>
  <c r="AC76" i="2"/>
  <c r="C75" i="27"/>
  <c r="M76" i="25"/>
  <c r="P76" i="25"/>
  <c r="L76" i="25"/>
  <c r="O76" i="25"/>
  <c r="K76" i="25"/>
  <c r="N76" i="25"/>
  <c r="T76" i="25"/>
  <c r="S76" i="25"/>
  <c r="R76" i="25"/>
  <c r="U76" i="25"/>
  <c r="Q76" i="25"/>
  <c r="X91" i="25"/>
  <c r="V91" i="25"/>
  <c r="AC91" i="2"/>
  <c r="C90" i="27"/>
  <c r="O91" i="25"/>
  <c r="K91" i="25"/>
  <c r="N91" i="25"/>
  <c r="M91" i="25"/>
  <c r="P91" i="25"/>
  <c r="L91" i="25"/>
  <c r="S91" i="25"/>
  <c r="R91" i="25"/>
  <c r="U91" i="25"/>
  <c r="Q91" i="25"/>
  <c r="T91" i="25"/>
  <c r="X97" i="25"/>
  <c r="V97" i="25"/>
  <c r="AC97" i="2"/>
  <c r="C96" i="27"/>
  <c r="R97" i="25"/>
  <c r="U97" i="25"/>
  <c r="Q97" i="25"/>
  <c r="T97" i="25"/>
  <c r="X125" i="25"/>
  <c r="V125" i="25"/>
  <c r="AC125" i="2"/>
  <c r="C124" i="27"/>
  <c r="L125" i="25"/>
  <c r="O125" i="25"/>
  <c r="R125" i="25"/>
  <c r="U125" i="25"/>
  <c r="Q125" i="25"/>
  <c r="S125" i="25"/>
  <c r="X180" i="25"/>
  <c r="V180" i="25"/>
  <c r="AC180" i="2"/>
  <c r="C179" i="27"/>
  <c r="N180" i="25"/>
  <c r="M180" i="25"/>
  <c r="P180" i="25"/>
  <c r="L180" i="25"/>
  <c r="O180" i="25"/>
  <c r="K180" i="25"/>
  <c r="T180" i="25"/>
  <c r="S180" i="25"/>
  <c r="R180" i="25"/>
  <c r="U180" i="25"/>
  <c r="Q180" i="25"/>
  <c r="X44" i="25"/>
  <c r="V44" i="25"/>
  <c r="AC44" i="2"/>
  <c r="C43" i="27"/>
  <c r="T44" i="25"/>
  <c r="R44" i="25"/>
  <c r="U44" i="25"/>
  <c r="Q44" i="25"/>
  <c r="C54" i="41"/>
  <c r="T54" i="41" s="1"/>
  <c r="X77" i="25"/>
  <c r="V77" i="25"/>
  <c r="AC77" i="2"/>
  <c r="C76" i="27"/>
  <c r="O77" i="25"/>
  <c r="K77" i="25"/>
  <c r="N77" i="25"/>
  <c r="M77" i="25"/>
  <c r="P77" i="25"/>
  <c r="L77" i="25"/>
  <c r="S77" i="25"/>
  <c r="R77" i="25"/>
  <c r="U77" i="25"/>
  <c r="Q77" i="25"/>
  <c r="T77" i="25"/>
  <c r="X82" i="25"/>
  <c r="V82" i="25"/>
  <c r="AC82" i="2"/>
  <c r="C81" i="27"/>
  <c r="M82" i="25"/>
  <c r="P82" i="25"/>
  <c r="L82" i="25"/>
  <c r="O82" i="25"/>
  <c r="K82" i="25"/>
  <c r="N82" i="25"/>
  <c r="T82" i="25"/>
  <c r="S82" i="25"/>
  <c r="R82" i="25"/>
  <c r="U82" i="25"/>
  <c r="Q82" i="25"/>
  <c r="X122" i="25"/>
  <c r="V122" i="25"/>
  <c r="AC122" i="2"/>
  <c r="C121" i="27"/>
  <c r="N122" i="25"/>
  <c r="M122" i="25"/>
  <c r="P122" i="25"/>
  <c r="L122" i="25"/>
  <c r="O122" i="25"/>
  <c r="K122" i="25"/>
  <c r="U122" i="25"/>
  <c r="Q122" i="25"/>
  <c r="T122" i="25"/>
  <c r="S122" i="25"/>
  <c r="R122" i="25"/>
  <c r="X78" i="25"/>
  <c r="V78" i="25"/>
  <c r="AC78" i="2"/>
  <c r="C77" i="27"/>
  <c r="M78" i="25"/>
  <c r="P78" i="25"/>
  <c r="L78" i="25"/>
  <c r="O78" i="25"/>
  <c r="K78" i="25"/>
  <c r="N78" i="25"/>
  <c r="R78" i="25"/>
  <c r="U78" i="25"/>
  <c r="Q78" i="25"/>
  <c r="T78" i="25"/>
  <c r="S78" i="25"/>
  <c r="X123" i="25"/>
  <c r="V123" i="25"/>
  <c r="AC123" i="2"/>
  <c r="C122" i="27"/>
  <c r="P123" i="25"/>
  <c r="T123" i="25" s="1"/>
  <c r="L123" i="25"/>
  <c r="O123" i="25"/>
  <c r="K123" i="25"/>
  <c r="N123" i="25"/>
  <c r="M123" i="25"/>
  <c r="S123" i="25"/>
  <c r="R123" i="25"/>
  <c r="U123" i="25"/>
  <c r="Q123" i="25"/>
  <c r="X127" i="25"/>
  <c r="V127" i="25"/>
  <c r="AC127" i="2"/>
  <c r="C126" i="27"/>
  <c r="P127" i="25"/>
  <c r="T127" i="25" s="1"/>
  <c r="L127" i="25"/>
  <c r="O127" i="25"/>
  <c r="K127" i="25"/>
  <c r="N127" i="25"/>
  <c r="M127" i="25"/>
  <c r="R127" i="25"/>
  <c r="U127" i="25"/>
  <c r="Q127" i="25"/>
  <c r="S127" i="25"/>
  <c r="X126" i="25"/>
  <c r="V126" i="25"/>
  <c r="AC126" i="2"/>
  <c r="C125" i="27"/>
  <c r="N126" i="25"/>
  <c r="M126" i="25"/>
  <c r="P126" i="25"/>
  <c r="L126" i="25"/>
  <c r="O126" i="25"/>
  <c r="K126" i="25"/>
  <c r="S126" i="25"/>
  <c r="R126" i="25"/>
  <c r="U126" i="25"/>
  <c r="Q126" i="25"/>
  <c r="T126" i="25"/>
  <c r="X128" i="25"/>
  <c r="V128" i="25"/>
  <c r="AC128" i="2"/>
  <c r="C127" i="27"/>
  <c r="P128" i="25"/>
  <c r="T128" i="25" s="1"/>
  <c r="L128" i="25"/>
  <c r="O128" i="25"/>
  <c r="K128" i="25"/>
  <c r="N128" i="25"/>
  <c r="M128" i="25"/>
  <c r="R128" i="25"/>
  <c r="U128" i="25"/>
  <c r="Q128" i="25"/>
  <c r="S128" i="25"/>
  <c r="X129" i="25"/>
  <c r="V129" i="25"/>
  <c r="AC129" i="2"/>
  <c r="C128" i="27"/>
  <c r="P129" i="25"/>
  <c r="L129" i="25"/>
  <c r="O129" i="25"/>
  <c r="K129" i="25"/>
  <c r="N129" i="25"/>
  <c r="M129" i="25"/>
  <c r="R129" i="25"/>
  <c r="U129" i="25"/>
  <c r="Q129" i="25"/>
  <c r="T129" i="25"/>
  <c r="S129" i="25"/>
  <c r="AB125" i="25"/>
  <c r="AB122" i="25"/>
  <c r="AB123" i="25"/>
  <c r="AB127" i="25"/>
  <c r="AB129" i="25"/>
  <c r="AB126" i="25"/>
  <c r="AB124" i="25"/>
  <c r="AB128" i="25"/>
  <c r="X57" i="25"/>
  <c r="X48" i="25"/>
  <c r="X60" i="25"/>
  <c r="X69" i="25"/>
  <c r="X104" i="25"/>
  <c r="X150" i="25"/>
  <c r="X159" i="25"/>
  <c r="X179" i="25"/>
  <c r="X43" i="25"/>
  <c r="X49" i="25"/>
  <c r="X54" i="25"/>
  <c r="X66" i="25"/>
  <c r="X70" i="25"/>
  <c r="X87" i="25"/>
  <c r="X93" i="25"/>
  <c r="X105" i="25"/>
  <c r="X110" i="25"/>
  <c r="X115" i="25"/>
  <c r="X119" i="25"/>
  <c r="X139" i="25"/>
  <c r="X151" i="25"/>
  <c r="X156" i="25"/>
  <c r="X162" i="25"/>
  <c r="X166" i="25"/>
  <c r="X176" i="25"/>
  <c r="X41" i="25"/>
  <c r="X52" i="25"/>
  <c r="X59" i="25"/>
  <c r="X64" i="25"/>
  <c r="X68" i="25"/>
  <c r="X72" i="25"/>
  <c r="X89" i="25"/>
  <c r="X42" i="25"/>
  <c r="X53" i="25"/>
  <c r="X65" i="25"/>
  <c r="X90" i="25"/>
  <c r="X96" i="25"/>
  <c r="X109" i="25"/>
  <c r="X113" i="25"/>
  <c r="X118" i="25"/>
  <c r="X138" i="25"/>
  <c r="X155" i="25"/>
  <c r="X165" i="25"/>
  <c r="X40" i="25"/>
  <c r="X51" i="25"/>
  <c r="X55" i="25"/>
  <c r="X63" i="25"/>
  <c r="X88" i="25"/>
  <c r="X94" i="25"/>
  <c r="X98" i="25"/>
  <c r="X106" i="25"/>
  <c r="X111" i="25"/>
  <c r="X116" i="25"/>
  <c r="X136" i="25"/>
  <c r="X140" i="25"/>
  <c r="X152" i="25"/>
  <c r="X157" i="25"/>
  <c r="X163" i="25"/>
  <c r="X171" i="25"/>
  <c r="X177" i="25"/>
  <c r="X181" i="25"/>
  <c r="X103" i="25"/>
  <c r="X107" i="25"/>
  <c r="X112" i="25"/>
  <c r="X117" i="25"/>
  <c r="X137" i="25"/>
  <c r="X149" i="25"/>
  <c r="X153" i="25"/>
  <c r="X158" i="25"/>
  <c r="X164" i="25"/>
  <c r="X174" i="25"/>
  <c r="X178" i="25"/>
  <c r="W82" i="26" l="1"/>
  <c r="Y66" i="74"/>
  <c r="Y66" i="77" s="1"/>
  <c r="Y58" i="74"/>
  <c r="Y58" i="77" s="1"/>
  <c r="T75" i="27"/>
  <c r="N58" i="74" s="1"/>
  <c r="O58" i="74" s="1"/>
  <c r="P75" i="27"/>
  <c r="AB75" i="27"/>
  <c r="AF75" i="27"/>
  <c r="X75" i="27"/>
  <c r="T58" i="74" s="1"/>
  <c r="U58" i="74" s="1"/>
  <c r="Y50" i="74"/>
  <c r="Y50" i="77" s="1"/>
  <c r="Y60" i="74"/>
  <c r="Y60" i="77" s="1"/>
  <c r="X77" i="27"/>
  <c r="AF77" i="27"/>
  <c r="K60" i="74" s="1"/>
  <c r="P77" i="27"/>
  <c r="Q60" i="74" s="1"/>
  <c r="T77" i="27"/>
  <c r="AB77" i="27"/>
  <c r="W80" i="26"/>
  <c r="Y68" i="74"/>
  <c r="Y68" i="77" s="1"/>
  <c r="Y52" i="74"/>
  <c r="Y52" i="77" s="1"/>
  <c r="Y54" i="74"/>
  <c r="Y54" i="77" s="1"/>
  <c r="Y46" i="74"/>
  <c r="Y46" i="77" s="1"/>
  <c r="Y139" i="74"/>
  <c r="Y139" i="77" s="1"/>
  <c r="Y131" i="74"/>
  <c r="Y131" i="77" s="1"/>
  <c r="Y121" i="74"/>
  <c r="Y121" i="77" s="1"/>
  <c r="W138" i="26"/>
  <c r="W124" i="26"/>
  <c r="X124" i="27"/>
  <c r="T124" i="27"/>
  <c r="AF124" i="27"/>
  <c r="AB124" i="27"/>
  <c r="W95" i="74" s="1"/>
  <c r="X95" i="74" s="1"/>
  <c r="P124" i="27"/>
  <c r="Y87" i="74"/>
  <c r="Y87" i="77" s="1"/>
  <c r="Y79" i="74"/>
  <c r="Y79" i="77" s="1"/>
  <c r="Y70" i="74"/>
  <c r="Y70" i="77" s="1"/>
  <c r="W54" i="26"/>
  <c r="W43" i="26"/>
  <c r="P43" i="27"/>
  <c r="Q35" i="74" s="1"/>
  <c r="X43" i="27"/>
  <c r="T35" i="74" s="1"/>
  <c r="U35" i="74" s="1"/>
  <c r="AF43" i="27"/>
  <c r="T43" i="27"/>
  <c r="AB43" i="27"/>
  <c r="W35" i="74" s="1"/>
  <c r="X35" i="74" s="1"/>
  <c r="W47" i="26"/>
  <c r="W179" i="26"/>
  <c r="P179" i="27"/>
  <c r="Q138" i="74" s="1"/>
  <c r="R138" i="74" s="1"/>
  <c r="X179" i="27"/>
  <c r="T138" i="74" s="1"/>
  <c r="U138" i="74" s="1"/>
  <c r="AF179" i="27"/>
  <c r="K138" i="74" s="1"/>
  <c r="L138" i="74" s="1"/>
  <c r="T179" i="27"/>
  <c r="N138" i="74" s="1"/>
  <c r="AB179" i="27"/>
  <c r="W165" i="26"/>
  <c r="W154" i="26"/>
  <c r="W137" i="26"/>
  <c r="W123" i="26"/>
  <c r="P123" i="27"/>
  <c r="Q94" i="74" s="1"/>
  <c r="R94" i="74" s="1"/>
  <c r="T123" i="27"/>
  <c r="X123" i="27"/>
  <c r="T94" i="74" s="1"/>
  <c r="U94" i="74" s="1"/>
  <c r="AB123" i="27"/>
  <c r="AF123" i="27"/>
  <c r="K94" i="74" s="1"/>
  <c r="L94" i="74" s="1"/>
  <c r="W112" i="26"/>
  <c r="W103" i="26"/>
  <c r="W88" i="26"/>
  <c r="W76" i="26"/>
  <c r="P76" i="27"/>
  <c r="X76" i="27"/>
  <c r="T76" i="27"/>
  <c r="AF76" i="27"/>
  <c r="K59" i="74" s="1"/>
  <c r="AB76" i="27"/>
  <c r="W65" i="26"/>
  <c r="W53" i="26"/>
  <c r="W42" i="26"/>
  <c r="W174" i="26"/>
  <c r="T174" i="27"/>
  <c r="P174" i="27"/>
  <c r="AB174" i="27"/>
  <c r="W133" i="74" s="1"/>
  <c r="X133" i="74" s="1"/>
  <c r="X174" i="27"/>
  <c r="AF174" i="27"/>
  <c r="W158" i="26"/>
  <c r="W148" i="26"/>
  <c r="W126" i="26"/>
  <c r="T126" i="27"/>
  <c r="P126" i="27"/>
  <c r="AB126" i="27"/>
  <c r="W97" i="74" s="1"/>
  <c r="X97" i="74" s="1"/>
  <c r="AF126" i="27"/>
  <c r="X126" i="27"/>
  <c r="W116" i="26"/>
  <c r="W106" i="26"/>
  <c r="W94" i="26"/>
  <c r="W173" i="26"/>
  <c r="W156" i="26"/>
  <c r="W139" i="26"/>
  <c r="W125" i="26"/>
  <c r="X125" i="27"/>
  <c r="T125" i="27"/>
  <c r="P125" i="27"/>
  <c r="Q96" i="74" s="1"/>
  <c r="R96" i="74" s="1"/>
  <c r="AF125" i="27"/>
  <c r="AB125" i="27"/>
  <c r="W96" i="74" s="1"/>
  <c r="X96" i="74" s="1"/>
  <c r="W115" i="26"/>
  <c r="W105" i="26"/>
  <c r="W93" i="26"/>
  <c r="W86" i="26"/>
  <c r="W74" i="26"/>
  <c r="X74" i="27"/>
  <c r="T57" i="74" s="1"/>
  <c r="U57" i="74" s="1"/>
  <c r="T74" i="27"/>
  <c r="P74" i="27"/>
  <c r="AB74" i="27"/>
  <c r="AF74" i="27"/>
  <c r="K57" i="74" s="1"/>
  <c r="L57" i="74" s="1"/>
  <c r="W63" i="26"/>
  <c r="W56" i="26"/>
  <c r="W46" i="26"/>
  <c r="T71" i="26"/>
  <c r="Y48" i="74"/>
  <c r="Y48" i="77" s="1"/>
  <c r="Y135" i="74"/>
  <c r="Y135" i="77" s="1"/>
  <c r="Y126" i="74"/>
  <c r="Y126" i="77" s="1"/>
  <c r="W150" i="26"/>
  <c r="Y99" i="74"/>
  <c r="Y99" i="77" s="1"/>
  <c r="X128" i="27"/>
  <c r="AF128" i="27"/>
  <c r="P128" i="27"/>
  <c r="Q99" i="74" s="1"/>
  <c r="R99" i="74" s="1"/>
  <c r="T128" i="27"/>
  <c r="AB128" i="27"/>
  <c r="W99" i="74" s="1"/>
  <c r="X99" i="74" s="1"/>
  <c r="W118" i="26"/>
  <c r="W109" i="26"/>
  <c r="W96" i="26"/>
  <c r="P96" i="27"/>
  <c r="Q74" i="74" s="1"/>
  <c r="X96" i="27"/>
  <c r="AF96" i="27"/>
  <c r="K74" i="74" s="1"/>
  <c r="T96" i="27"/>
  <c r="AB96" i="27"/>
  <c r="W74" i="74" s="1"/>
  <c r="X74" i="74" s="1"/>
  <c r="Y39" i="74"/>
  <c r="Y39" i="77" s="1"/>
  <c r="Y31" i="74"/>
  <c r="Y31" i="77" s="1"/>
  <c r="P127" i="27"/>
  <c r="X127" i="27"/>
  <c r="T98" i="74" s="1"/>
  <c r="U98" i="74" s="1"/>
  <c r="AB127" i="27"/>
  <c r="W98" i="74" s="1"/>
  <c r="X98" i="74" s="1"/>
  <c r="T127" i="27"/>
  <c r="N98" i="74" s="1"/>
  <c r="O98" i="74" s="1"/>
  <c r="AF127" i="27"/>
  <c r="P81" i="27"/>
  <c r="T81" i="27"/>
  <c r="X81" i="27"/>
  <c r="T62" i="74" s="1"/>
  <c r="U62" i="74" s="1"/>
  <c r="AB81" i="27"/>
  <c r="AF81" i="27"/>
  <c r="K62" i="74" s="1"/>
  <c r="L62" i="74" s="1"/>
  <c r="T122" i="27"/>
  <c r="N93" i="74" s="1"/>
  <c r="O93" i="74" s="1"/>
  <c r="P122" i="27"/>
  <c r="Q93" i="74" s="1"/>
  <c r="R93" i="74" s="1"/>
  <c r="AB122" i="27"/>
  <c r="AF122" i="27"/>
  <c r="K93" i="74" s="1"/>
  <c r="L93" i="74" s="1"/>
  <c r="X122" i="27"/>
  <c r="W102" i="26"/>
  <c r="X121" i="27"/>
  <c r="T121" i="27"/>
  <c r="N92" i="74" s="1"/>
  <c r="O92" i="74" s="1"/>
  <c r="P121" i="27"/>
  <c r="AB121" i="27"/>
  <c r="W92" i="74" s="1"/>
  <c r="X92" i="74" s="1"/>
  <c r="AF121" i="27"/>
  <c r="X79" i="27"/>
  <c r="T61" i="74" s="1"/>
  <c r="U61" i="74" s="1"/>
  <c r="T79" i="27"/>
  <c r="P79" i="27"/>
  <c r="Q61" i="74" s="1"/>
  <c r="R61" i="74" s="1"/>
  <c r="AB79" i="27"/>
  <c r="AF79" i="27"/>
  <c r="K61" i="74" s="1"/>
  <c r="L61" i="74" s="1"/>
  <c r="AB90" i="27"/>
  <c r="W69" i="74" s="1"/>
  <c r="X69" i="74" s="1"/>
  <c r="T90" i="27"/>
  <c r="N69" i="74" s="1"/>
  <c r="O69" i="74" s="1"/>
  <c r="P90" i="27"/>
  <c r="X90" i="27"/>
  <c r="T69" i="74" s="1"/>
  <c r="U69" i="74" s="1"/>
  <c r="AF90" i="27"/>
  <c r="K69" i="74" s="1"/>
  <c r="L69" i="74" s="1"/>
  <c r="T60" i="27"/>
  <c r="N47" i="74" s="1"/>
  <c r="O47" i="74" s="1"/>
  <c r="AB60" i="27"/>
  <c r="W47" i="74" s="1"/>
  <c r="X47" i="74" s="1"/>
  <c r="P60" i="27"/>
  <c r="Q47" i="74" s="1"/>
  <c r="R47" i="74" s="1"/>
  <c r="AF60" i="27"/>
  <c r="K47" i="74" s="1"/>
  <c r="L47" i="74" s="1"/>
  <c r="X60" i="27"/>
  <c r="T47" i="74" s="1"/>
  <c r="U47" i="74" s="1"/>
  <c r="S54" i="41"/>
  <c r="W104" i="26"/>
  <c r="W92" i="26"/>
  <c r="Y122" i="74"/>
  <c r="Y122" i="77" s="1"/>
  <c r="Y88" i="74"/>
  <c r="Y88" i="77" s="1"/>
  <c r="Y138" i="74"/>
  <c r="Y138" i="77" s="1"/>
  <c r="Y129" i="74"/>
  <c r="Y129" i="77" s="1"/>
  <c r="Y120" i="74"/>
  <c r="Y120" i="77" s="1"/>
  <c r="Y107" i="74"/>
  <c r="Y107" i="77" s="1"/>
  <c r="Y94" i="74"/>
  <c r="Y94" i="77" s="1"/>
  <c r="Y86" i="74"/>
  <c r="Y86" i="77" s="1"/>
  <c r="Y78" i="74"/>
  <c r="Y78" i="77" s="1"/>
  <c r="Y67" i="74"/>
  <c r="Y67" i="77" s="1"/>
  <c r="Y59" i="74"/>
  <c r="Y59" i="77" s="1"/>
  <c r="Y51" i="74"/>
  <c r="Y51" i="77" s="1"/>
  <c r="Y42" i="74"/>
  <c r="Y42" i="77" s="1"/>
  <c r="Y34" i="74"/>
  <c r="Y34" i="77" s="1"/>
  <c r="Y132" i="74"/>
  <c r="Y132" i="77" s="1"/>
  <c r="Y57" i="74"/>
  <c r="Y57" i="77" s="1"/>
  <c r="W180" i="26"/>
  <c r="Y43" i="74"/>
  <c r="Y43" i="77" s="1"/>
  <c r="Y65" i="74"/>
  <c r="Y65" i="77" s="1"/>
  <c r="Y44" i="74"/>
  <c r="Y44" i="77" s="1"/>
  <c r="Y72" i="74"/>
  <c r="Y72" i="77" s="1"/>
  <c r="Y96" i="74"/>
  <c r="Y96" i="77" s="1"/>
  <c r="Y71" i="74"/>
  <c r="Y71" i="77" s="1"/>
  <c r="Y133" i="74"/>
  <c r="Y133" i="77" s="1"/>
  <c r="Y124" i="74"/>
  <c r="Y124" i="77" s="1"/>
  <c r="Y115" i="74"/>
  <c r="Y115" i="77" s="1"/>
  <c r="Y97" i="74"/>
  <c r="Y97" i="77" s="1"/>
  <c r="Y89" i="74"/>
  <c r="Y89" i="77" s="1"/>
  <c r="Y81" i="74"/>
  <c r="Y81" i="77" s="1"/>
  <c r="Y37" i="74"/>
  <c r="Y37" i="77" s="1"/>
  <c r="Y109" i="74"/>
  <c r="Y109" i="77" s="1"/>
  <c r="Y80" i="74"/>
  <c r="Y80" i="77" s="1"/>
  <c r="Y49" i="74"/>
  <c r="Y49" i="77" s="1"/>
  <c r="Y108" i="74"/>
  <c r="Y108" i="77" s="1"/>
  <c r="N35" i="74"/>
  <c r="W170" i="26"/>
  <c r="W114" i="26"/>
  <c r="Y83" i="74"/>
  <c r="Y83" i="77" s="1"/>
  <c r="Y74" i="74"/>
  <c r="Y74" i="77" s="1"/>
  <c r="W176" i="26"/>
  <c r="Y91" i="74"/>
  <c r="Y91" i="77" s="1"/>
  <c r="W162" i="26"/>
  <c r="W155" i="26"/>
  <c r="Y95" i="74"/>
  <c r="Y95" i="77" s="1"/>
  <c r="R95" i="25"/>
  <c r="W62" i="26"/>
  <c r="U95" i="25"/>
  <c r="W89" i="26"/>
  <c r="W87" i="26"/>
  <c r="W75" i="26"/>
  <c r="W69" i="26"/>
  <c r="W77" i="26"/>
  <c r="C94" i="27"/>
  <c r="W71" i="26"/>
  <c r="W67" i="26"/>
  <c r="W59" i="26"/>
  <c r="W64" i="26"/>
  <c r="V95" i="25"/>
  <c r="Y56" i="74"/>
  <c r="Y56" i="77" s="1"/>
  <c r="X83" i="25"/>
  <c r="V83" i="25"/>
  <c r="AC83" i="2"/>
  <c r="Q83" i="25"/>
  <c r="U83" i="25"/>
  <c r="T83" i="25"/>
  <c r="S83" i="25"/>
  <c r="X81" i="25"/>
  <c r="V81" i="25"/>
  <c r="AC81" i="2"/>
  <c r="Q81" i="25"/>
  <c r="U81" i="25"/>
  <c r="T81" i="25"/>
  <c r="S81" i="25"/>
  <c r="T95" i="25"/>
  <c r="C82" i="27"/>
  <c r="C81" i="28" s="1"/>
  <c r="C80" i="27"/>
  <c r="C79" i="28" s="1"/>
  <c r="X47" i="25"/>
  <c r="V47" i="25"/>
  <c r="AC47" i="2"/>
  <c r="Q47" i="25"/>
  <c r="G8" i="30" s="1"/>
  <c r="U47" i="25"/>
  <c r="T47" i="25"/>
  <c r="S47" i="25"/>
  <c r="Q95" i="25"/>
  <c r="AC95" i="2"/>
  <c r="C46" i="27"/>
  <c r="C45" i="28" s="1"/>
  <c r="Q69" i="74"/>
  <c r="R69" i="74" s="1"/>
  <c r="W94" i="74"/>
  <c r="X94" i="74" s="1"/>
  <c r="N94" i="74"/>
  <c r="O94" i="74" s="1"/>
  <c r="Q95" i="74"/>
  <c r="R95" i="74" s="1"/>
  <c r="N60" i="74"/>
  <c r="O60" i="74" s="1"/>
  <c r="T59" i="74"/>
  <c r="Q59" i="74"/>
  <c r="R59" i="74" s="1"/>
  <c r="N59" i="74"/>
  <c r="O59" i="74" s="1"/>
  <c r="K133" i="74"/>
  <c r="L133" i="74" s="1"/>
  <c r="T133" i="74"/>
  <c r="U133" i="74" s="1"/>
  <c r="N133" i="74"/>
  <c r="O133" i="74" s="1"/>
  <c r="Q133" i="74"/>
  <c r="R133" i="74" s="1"/>
  <c r="N99" i="74"/>
  <c r="O99" i="74" s="1"/>
  <c r="T99" i="74"/>
  <c r="U99" i="74" s="1"/>
  <c r="N74" i="74"/>
  <c r="O74" i="74" s="1"/>
  <c r="T60" i="74"/>
  <c r="U60" i="74" s="1"/>
  <c r="Q98" i="74"/>
  <c r="R98" i="74" s="1"/>
  <c r="W59" i="74"/>
  <c r="X59" i="74" s="1"/>
  <c r="K35" i="74"/>
  <c r="N97" i="74"/>
  <c r="O97" i="74" s="1"/>
  <c r="K97" i="74"/>
  <c r="L97" i="74" s="1"/>
  <c r="Q97" i="74"/>
  <c r="R97" i="74" s="1"/>
  <c r="T97" i="74"/>
  <c r="U97" i="74" s="1"/>
  <c r="W62" i="74"/>
  <c r="X62" i="74" s="1"/>
  <c r="N62" i="74"/>
  <c r="O62" i="74" s="1"/>
  <c r="W57" i="74"/>
  <c r="X57" i="74" s="1"/>
  <c r="N57" i="74"/>
  <c r="O57" i="74" s="1"/>
  <c r="Q57" i="74"/>
  <c r="R57" i="74" s="1"/>
  <c r="K99" i="74"/>
  <c r="L99" i="74" s="1"/>
  <c r="T74" i="74"/>
  <c r="U74" i="74" s="1"/>
  <c r="W60" i="74"/>
  <c r="X60" i="74" s="1"/>
  <c r="K98" i="74"/>
  <c r="L98" i="74" s="1"/>
  <c r="W93" i="74"/>
  <c r="X93" i="74" s="1"/>
  <c r="T93" i="74"/>
  <c r="U93" i="74" s="1"/>
  <c r="K96" i="74"/>
  <c r="L96" i="74" s="1"/>
  <c r="T96" i="74"/>
  <c r="U96" i="74" s="1"/>
  <c r="N96" i="74"/>
  <c r="O96" i="74" s="1"/>
  <c r="Q92" i="74"/>
  <c r="R92" i="74" s="1"/>
  <c r="K92" i="74"/>
  <c r="L92" i="74" s="1"/>
  <c r="T92" i="74"/>
  <c r="U92" i="74" s="1"/>
  <c r="W138" i="74"/>
  <c r="X138" i="74" s="1"/>
  <c r="O138" i="74"/>
  <c r="W58" i="74"/>
  <c r="X58" i="74" s="1"/>
  <c r="Q58" i="74"/>
  <c r="R58" i="74" s="1"/>
  <c r="K58" i="74"/>
  <c r="L58" i="74" s="1"/>
  <c r="N61" i="74"/>
  <c r="O61" i="74" s="1"/>
  <c r="W61" i="74"/>
  <c r="X61" i="74" s="1"/>
  <c r="Q62" i="74"/>
  <c r="R62" i="74" s="1"/>
  <c r="G15" i="30"/>
  <c r="J15" i="30" s="1"/>
  <c r="M15" i="30" s="1"/>
  <c r="P15" i="30" s="1"/>
  <c r="S15" i="30" s="1"/>
  <c r="V15" i="30" s="1"/>
  <c r="AA124" i="25"/>
  <c r="Q78" i="24"/>
  <c r="Q73" i="24"/>
  <c r="Q160" i="24"/>
  <c r="Q159" i="24" s="1"/>
  <c r="Q113" i="24"/>
  <c r="Q66" i="24"/>
  <c r="Q45" i="24"/>
  <c r="AA125" i="25"/>
  <c r="AA127" i="25"/>
  <c r="Q57" i="24"/>
  <c r="Q107" i="24"/>
  <c r="Q101" i="24"/>
  <c r="Q172" i="24"/>
  <c r="Q171" i="24" s="1"/>
  <c r="Q153" i="24"/>
  <c r="Q85" i="24"/>
  <c r="Q49" i="24"/>
  <c r="Q170" i="24"/>
  <c r="Q169" i="24" s="1"/>
  <c r="Q168" i="24" s="1"/>
  <c r="L170" i="24"/>
  <c r="L169" i="24" s="1"/>
  <c r="L168" i="24" s="1"/>
  <c r="Q61" i="24"/>
  <c r="Q38" i="24"/>
  <c r="Q147" i="24"/>
  <c r="Q91" i="24"/>
  <c r="Q134" i="24"/>
  <c r="Q120" i="24"/>
  <c r="AA126" i="25"/>
  <c r="AA129" i="25"/>
  <c r="AA123" i="25"/>
  <c r="AA122" i="25"/>
  <c r="C61" i="41"/>
  <c r="C80" i="28"/>
  <c r="C42" i="28"/>
  <c r="C68" i="41"/>
  <c r="C89" i="28"/>
  <c r="C59" i="28"/>
  <c r="C46" i="41"/>
  <c r="N134" i="24"/>
  <c r="P134" i="24"/>
  <c r="S74" i="25"/>
  <c r="L74" i="25"/>
  <c r="K74" i="25"/>
  <c r="V74" i="25"/>
  <c r="C121" i="28"/>
  <c r="C120" i="28"/>
  <c r="X71" i="25"/>
  <c r="V71" i="25"/>
  <c r="AC71" i="2"/>
  <c r="C70" i="27"/>
  <c r="T70" i="27" s="1"/>
  <c r="R71" i="25"/>
  <c r="U71" i="25"/>
  <c r="Q71" i="25"/>
  <c r="T71" i="25"/>
  <c r="C95" i="28"/>
  <c r="K134" i="24"/>
  <c r="M134" i="24"/>
  <c r="T74" i="25"/>
  <c r="P74" i="25"/>
  <c r="O74" i="25"/>
  <c r="AA128" i="25"/>
  <c r="C76" i="28"/>
  <c r="C123" i="28"/>
  <c r="C122" i="28"/>
  <c r="O134" i="24"/>
  <c r="Q74" i="25"/>
  <c r="G14" i="30" s="1"/>
  <c r="M74" i="25"/>
  <c r="C73" i="28"/>
  <c r="C56" i="41"/>
  <c r="C75" i="28"/>
  <c r="C178" i="28"/>
  <c r="C137" i="41"/>
  <c r="C57" i="41"/>
  <c r="C74" i="28"/>
  <c r="C132" i="41"/>
  <c r="C173" i="28"/>
  <c r="L134" i="24"/>
  <c r="C78" i="28"/>
  <c r="C60" i="41"/>
  <c r="R74" i="25"/>
  <c r="U74" i="25"/>
  <c r="N74" i="25"/>
  <c r="S121" i="25"/>
  <c r="O121" i="25"/>
  <c r="R121" i="25"/>
  <c r="Q121" i="25"/>
  <c r="G22" i="30" s="1"/>
  <c r="L121" i="25"/>
  <c r="V121" i="25"/>
  <c r="U121" i="25"/>
  <c r="C125" i="28"/>
  <c r="C96" i="41"/>
  <c r="C95" i="41"/>
  <c r="C124" i="28"/>
  <c r="C97" i="41"/>
  <c r="C126" i="28"/>
  <c r="C98" i="41"/>
  <c r="C127" i="28"/>
  <c r="V158" i="25"/>
  <c r="AC158" i="2"/>
  <c r="R158" i="25"/>
  <c r="U158" i="25"/>
  <c r="T158" i="25"/>
  <c r="S158" i="25"/>
  <c r="C157" i="27"/>
  <c r="V98" i="25"/>
  <c r="AC98" i="2"/>
  <c r="R98" i="25"/>
  <c r="Q98" i="25"/>
  <c r="U98" i="25"/>
  <c r="T98" i="25"/>
  <c r="C97" i="27"/>
  <c r="T97" i="27" s="1"/>
  <c r="V59" i="25"/>
  <c r="AC59" i="2"/>
  <c r="Q59" i="25"/>
  <c r="U59" i="25"/>
  <c r="T59" i="25"/>
  <c r="S59" i="25"/>
  <c r="C58" i="27"/>
  <c r="T58" i="27" s="1"/>
  <c r="V179" i="25"/>
  <c r="AC179" i="2"/>
  <c r="U179" i="25"/>
  <c r="T179" i="25"/>
  <c r="Q179" i="25"/>
  <c r="S179" i="25"/>
  <c r="C178" i="27"/>
  <c r="X178" i="27" s="1"/>
  <c r="V178" i="25"/>
  <c r="AC178" i="2"/>
  <c r="U178" i="25"/>
  <c r="T178" i="25"/>
  <c r="Q178" i="25"/>
  <c r="S178" i="25"/>
  <c r="C177" i="27"/>
  <c r="V157" i="25"/>
  <c r="AC157" i="2"/>
  <c r="R157" i="25"/>
  <c r="U157" i="25"/>
  <c r="T157" i="25"/>
  <c r="S157" i="25"/>
  <c r="C156" i="27"/>
  <c r="V165" i="25"/>
  <c r="AC165" i="2"/>
  <c r="Q165" i="25"/>
  <c r="U165" i="25"/>
  <c r="T165" i="25"/>
  <c r="R165" i="25"/>
  <c r="C164" i="27"/>
  <c r="X164" i="27" s="1"/>
  <c r="V65" i="25"/>
  <c r="AC65" i="2"/>
  <c r="U65" i="25"/>
  <c r="T65" i="25"/>
  <c r="S65" i="25"/>
  <c r="Q65" i="25"/>
  <c r="C64" i="27"/>
  <c r="V72" i="25"/>
  <c r="AC72" i="2"/>
  <c r="T72" i="25"/>
  <c r="R72" i="25"/>
  <c r="Q72" i="25"/>
  <c r="U72" i="25"/>
  <c r="C71" i="27"/>
  <c r="V52" i="25"/>
  <c r="AC52" i="2"/>
  <c r="U52" i="25"/>
  <c r="T52" i="25"/>
  <c r="S52" i="25"/>
  <c r="R52" i="25"/>
  <c r="C51" i="27"/>
  <c r="AF51" i="27" s="1"/>
  <c r="V162" i="25"/>
  <c r="AC162" i="2"/>
  <c r="Q162" i="25"/>
  <c r="U162" i="25"/>
  <c r="T162" i="25"/>
  <c r="R162" i="25"/>
  <c r="C161" i="27"/>
  <c r="V119" i="25"/>
  <c r="AC119" i="2"/>
  <c r="R119" i="25"/>
  <c r="Q119" i="25"/>
  <c r="U119" i="25"/>
  <c r="T119" i="25"/>
  <c r="C118" i="27"/>
  <c r="P118" i="27" s="1"/>
  <c r="V93" i="25"/>
  <c r="AC93" i="2"/>
  <c r="U93" i="25"/>
  <c r="T93" i="25"/>
  <c r="S93" i="25"/>
  <c r="Q93" i="25"/>
  <c r="C92" i="27"/>
  <c r="V54" i="25"/>
  <c r="AC54" i="2"/>
  <c r="U54" i="25"/>
  <c r="T54" i="25"/>
  <c r="S54" i="25"/>
  <c r="Q54" i="25"/>
  <c r="C53" i="27"/>
  <c r="V159" i="25"/>
  <c r="AC159" i="2"/>
  <c r="R159" i="25"/>
  <c r="U159" i="25"/>
  <c r="T159" i="25"/>
  <c r="S159" i="25"/>
  <c r="C158" i="27"/>
  <c r="V60" i="25"/>
  <c r="AC60" i="2"/>
  <c r="Q60" i="25"/>
  <c r="U60" i="25"/>
  <c r="T60" i="25"/>
  <c r="S60" i="25"/>
  <c r="C59" i="27"/>
  <c r="V136" i="25"/>
  <c r="AC131" i="2"/>
  <c r="AC136" i="2"/>
  <c r="M136" i="25"/>
  <c r="P136" i="25"/>
  <c r="L136" i="25"/>
  <c r="N136" i="25"/>
  <c r="O136" i="25"/>
  <c r="K136" i="25"/>
  <c r="R136" i="25"/>
  <c r="U136" i="25"/>
  <c r="Q136" i="25"/>
  <c r="T136" i="25"/>
  <c r="C135" i="27"/>
  <c r="AF135" i="27" s="1"/>
  <c r="V118" i="25"/>
  <c r="AC118" i="2"/>
  <c r="R118" i="25"/>
  <c r="Q118" i="25"/>
  <c r="U118" i="25"/>
  <c r="T118" i="25"/>
  <c r="C117" i="27"/>
  <c r="AF117" i="27" s="1"/>
  <c r="V89" i="25"/>
  <c r="AC89" i="2"/>
  <c r="Q89" i="25"/>
  <c r="U89" i="25"/>
  <c r="T89" i="25"/>
  <c r="R89" i="25"/>
  <c r="C88" i="27"/>
  <c r="V166" i="25"/>
  <c r="AC166" i="2"/>
  <c r="Q166" i="25"/>
  <c r="U166" i="25"/>
  <c r="T166" i="25"/>
  <c r="R166" i="25"/>
  <c r="C165" i="27"/>
  <c r="V105" i="25"/>
  <c r="AC105" i="2"/>
  <c r="R105" i="25"/>
  <c r="Q105" i="25"/>
  <c r="U105" i="25"/>
  <c r="T105" i="25"/>
  <c r="C104" i="27"/>
  <c r="V69" i="25"/>
  <c r="AC69" i="2"/>
  <c r="U69" i="25"/>
  <c r="T69" i="25"/>
  <c r="R69" i="25"/>
  <c r="Q69" i="25"/>
  <c r="C68" i="27"/>
  <c r="T68" i="27" s="1"/>
  <c r="V112" i="25"/>
  <c r="AC112" i="2"/>
  <c r="S112" i="25"/>
  <c r="Q112" i="25"/>
  <c r="U112" i="25"/>
  <c r="T112" i="25"/>
  <c r="C111" i="27"/>
  <c r="AF111" i="27" s="1"/>
  <c r="V116" i="25"/>
  <c r="AC116" i="2"/>
  <c r="R116" i="25"/>
  <c r="Q116" i="25"/>
  <c r="U116" i="25"/>
  <c r="T116" i="25"/>
  <c r="C115" i="27"/>
  <c r="P115" i="27" s="1"/>
  <c r="V63" i="25"/>
  <c r="AC63" i="2"/>
  <c r="U63" i="25"/>
  <c r="T63" i="25"/>
  <c r="S63" i="25"/>
  <c r="Q63" i="25"/>
  <c r="C62" i="27"/>
  <c r="V113" i="25"/>
  <c r="AC113" i="2"/>
  <c r="S113" i="25"/>
  <c r="Q113" i="25"/>
  <c r="U113" i="25"/>
  <c r="T113" i="25"/>
  <c r="C112" i="27"/>
  <c r="V174" i="25"/>
  <c r="AC174" i="2"/>
  <c r="Q174" i="25"/>
  <c r="U174" i="25"/>
  <c r="T174" i="25"/>
  <c r="S174" i="25"/>
  <c r="C173" i="27"/>
  <c r="V149" i="25"/>
  <c r="AC149" i="2"/>
  <c r="Q149" i="25"/>
  <c r="U149" i="25"/>
  <c r="T149" i="25"/>
  <c r="S149" i="25"/>
  <c r="C148" i="27"/>
  <c r="V107" i="25"/>
  <c r="AC107" i="2"/>
  <c r="R107" i="25"/>
  <c r="Q107" i="25"/>
  <c r="U107" i="25"/>
  <c r="T107" i="25"/>
  <c r="C106" i="27"/>
  <c r="V177" i="25"/>
  <c r="AC177" i="2"/>
  <c r="U177" i="25"/>
  <c r="T177" i="25"/>
  <c r="Q177" i="25"/>
  <c r="S177" i="25"/>
  <c r="C176" i="27"/>
  <c r="V152" i="25"/>
  <c r="AC152" i="2"/>
  <c r="Q152" i="25"/>
  <c r="U152" i="25"/>
  <c r="T152" i="25"/>
  <c r="S152" i="25"/>
  <c r="C151" i="27"/>
  <c r="AF151" i="27" s="1"/>
  <c r="V111" i="25"/>
  <c r="AC111" i="2"/>
  <c r="R111" i="25"/>
  <c r="Q111" i="25"/>
  <c r="U111" i="25"/>
  <c r="T111" i="25"/>
  <c r="C110" i="27"/>
  <c r="V88" i="25"/>
  <c r="AC88" i="2"/>
  <c r="Q88" i="25"/>
  <c r="U88" i="25"/>
  <c r="T88" i="25"/>
  <c r="S88" i="25"/>
  <c r="C87" i="27"/>
  <c r="V55" i="25"/>
  <c r="AC55" i="2"/>
  <c r="U55" i="25"/>
  <c r="T55" i="25"/>
  <c r="Q55" i="25"/>
  <c r="C54" i="27"/>
  <c r="V155" i="25"/>
  <c r="AC155" i="2"/>
  <c r="R155" i="25"/>
  <c r="U155" i="25"/>
  <c r="T155" i="25"/>
  <c r="S155" i="25"/>
  <c r="C154" i="27"/>
  <c r="V109" i="25"/>
  <c r="AC109" i="2"/>
  <c r="S109" i="25"/>
  <c r="Q109" i="25"/>
  <c r="U109" i="25"/>
  <c r="T109" i="25"/>
  <c r="C108" i="27"/>
  <c r="V53" i="25"/>
  <c r="AC53" i="2"/>
  <c r="U53" i="25"/>
  <c r="T53" i="25"/>
  <c r="S53" i="25"/>
  <c r="Q53" i="25"/>
  <c r="C52" i="27"/>
  <c r="V68" i="25"/>
  <c r="AC68" i="2"/>
  <c r="U68" i="25"/>
  <c r="T68" i="25"/>
  <c r="R68" i="25"/>
  <c r="Q68" i="25"/>
  <c r="C67" i="27"/>
  <c r="V41" i="25"/>
  <c r="AC41" i="2"/>
  <c r="Q41" i="25"/>
  <c r="U41" i="25"/>
  <c r="T41" i="25"/>
  <c r="S41" i="25"/>
  <c r="C40" i="27"/>
  <c r="AB40" i="27" s="1"/>
  <c r="V156" i="25"/>
  <c r="AC156" i="2"/>
  <c r="R156" i="25"/>
  <c r="U156" i="25"/>
  <c r="T156" i="25"/>
  <c r="S156" i="25"/>
  <c r="C155" i="27"/>
  <c r="V115" i="25"/>
  <c r="AC115" i="2"/>
  <c r="R115" i="25"/>
  <c r="Q115" i="25"/>
  <c r="U115" i="25"/>
  <c r="T115" i="25"/>
  <c r="C114" i="27"/>
  <c r="V87" i="25"/>
  <c r="AC85" i="2"/>
  <c r="AC87" i="2"/>
  <c r="Q87" i="25"/>
  <c r="U87" i="25"/>
  <c r="T87" i="25"/>
  <c r="R87" i="25"/>
  <c r="C86" i="27"/>
  <c r="P86" i="27" s="1"/>
  <c r="V49" i="25"/>
  <c r="AC49" i="2"/>
  <c r="U49" i="25"/>
  <c r="T49" i="25"/>
  <c r="S49" i="25"/>
  <c r="R49" i="25"/>
  <c r="C48" i="27"/>
  <c r="P48" i="27" s="1"/>
  <c r="V150" i="25"/>
  <c r="AC150" i="2"/>
  <c r="Q150" i="25"/>
  <c r="U150" i="25"/>
  <c r="T150" i="25"/>
  <c r="S150" i="25"/>
  <c r="C149" i="27"/>
  <c r="V48" i="25"/>
  <c r="AC48" i="2"/>
  <c r="U48" i="25"/>
  <c r="T48" i="25"/>
  <c r="S48" i="25"/>
  <c r="R48" i="25"/>
  <c r="C47" i="27"/>
  <c r="V117" i="25"/>
  <c r="AC117" i="2"/>
  <c r="R117" i="25"/>
  <c r="Q117" i="25"/>
  <c r="U117" i="25"/>
  <c r="T117" i="25"/>
  <c r="C116" i="27"/>
  <c r="V163" i="25"/>
  <c r="AC163" i="2"/>
  <c r="Q163" i="25"/>
  <c r="U163" i="25"/>
  <c r="T163" i="25"/>
  <c r="R163" i="25"/>
  <c r="C162" i="27"/>
  <c r="P162" i="27" s="1"/>
  <c r="V40" i="25"/>
  <c r="AC40" i="2"/>
  <c r="R40" i="25"/>
  <c r="U40" i="25"/>
  <c r="T40" i="25"/>
  <c r="S40" i="25"/>
  <c r="C39" i="27"/>
  <c r="V90" i="25"/>
  <c r="AC90" i="2"/>
  <c r="Q90" i="25"/>
  <c r="U90" i="25"/>
  <c r="T90" i="25"/>
  <c r="R90" i="25"/>
  <c r="C89" i="27"/>
  <c r="V139" i="25"/>
  <c r="AC134" i="2"/>
  <c r="AC139" i="2"/>
  <c r="O139" i="25"/>
  <c r="K139" i="25"/>
  <c r="N139" i="25"/>
  <c r="P139" i="25"/>
  <c r="S139" i="25" s="1"/>
  <c r="M139" i="25"/>
  <c r="L139" i="25"/>
  <c r="R139" i="25"/>
  <c r="U139" i="25"/>
  <c r="Q139" i="25"/>
  <c r="T139" i="25"/>
  <c r="C138" i="27"/>
  <c r="V66" i="25"/>
  <c r="AC66" i="2"/>
  <c r="U66" i="25"/>
  <c r="T66" i="25"/>
  <c r="R66" i="25"/>
  <c r="Q66" i="25"/>
  <c r="C65" i="27"/>
  <c r="V153" i="25"/>
  <c r="AC153" i="2"/>
  <c r="Q153" i="25"/>
  <c r="U153" i="25"/>
  <c r="T153" i="25"/>
  <c r="S153" i="25"/>
  <c r="C152" i="27"/>
  <c r="V181" i="25"/>
  <c r="T181" i="25"/>
  <c r="R181" i="25"/>
  <c r="U181" i="25"/>
  <c r="Q181" i="25"/>
  <c r="C180" i="27"/>
  <c r="V94" i="25"/>
  <c r="AC94" i="2"/>
  <c r="U94" i="25"/>
  <c r="T94" i="25"/>
  <c r="S94" i="25"/>
  <c r="Q94" i="25"/>
  <c r="C93" i="27"/>
  <c r="V164" i="25"/>
  <c r="AC164" i="2"/>
  <c r="Q164" i="25"/>
  <c r="U164" i="25"/>
  <c r="T164" i="25"/>
  <c r="R164" i="25"/>
  <c r="C163" i="27"/>
  <c r="V137" i="25"/>
  <c r="AC132" i="2"/>
  <c r="AC137" i="2"/>
  <c r="O137" i="25"/>
  <c r="K137" i="25"/>
  <c r="N137" i="25"/>
  <c r="L137" i="25"/>
  <c r="M137" i="25"/>
  <c r="P137" i="25"/>
  <c r="S137" i="25" s="1"/>
  <c r="U137" i="25"/>
  <c r="Q137" i="25"/>
  <c r="T137" i="25"/>
  <c r="R137" i="25"/>
  <c r="C136" i="27"/>
  <c r="AB136" i="27" s="1"/>
  <c r="V103" i="25"/>
  <c r="AC103" i="2"/>
  <c r="R103" i="25"/>
  <c r="Q103" i="25"/>
  <c r="U103" i="25"/>
  <c r="T103" i="25"/>
  <c r="C102" i="27"/>
  <c r="V171" i="25"/>
  <c r="V170" i="25" s="1"/>
  <c r="V169" i="25" s="1"/>
  <c r="AC171" i="2"/>
  <c r="L171" i="25"/>
  <c r="L170" i="25" s="1"/>
  <c r="L169" i="25" s="1"/>
  <c r="Q171" i="25"/>
  <c r="Q170" i="25" s="1"/>
  <c r="G28" i="30" s="1"/>
  <c r="U171" i="25"/>
  <c r="U170" i="25" s="1"/>
  <c r="T171" i="25"/>
  <c r="T170" i="25" s="1"/>
  <c r="S171" i="25"/>
  <c r="S170" i="25" s="1"/>
  <c r="C170" i="27"/>
  <c r="V140" i="25"/>
  <c r="AC140" i="2"/>
  <c r="M140" i="25"/>
  <c r="P140" i="25"/>
  <c r="S140" i="25" s="1"/>
  <c r="L140" i="25"/>
  <c r="O140" i="25"/>
  <c r="K140" i="25"/>
  <c r="N140" i="25"/>
  <c r="R140" i="25"/>
  <c r="U140" i="25"/>
  <c r="Q140" i="25"/>
  <c r="T140" i="25"/>
  <c r="C139" i="27"/>
  <c r="V106" i="25"/>
  <c r="AC106" i="2"/>
  <c r="S106" i="25"/>
  <c r="Q106" i="25"/>
  <c r="U106" i="25"/>
  <c r="T106" i="25"/>
  <c r="C105" i="27"/>
  <c r="AF105" i="27" s="1"/>
  <c r="V51" i="25"/>
  <c r="AC51" i="2"/>
  <c r="U51" i="25"/>
  <c r="T51" i="25"/>
  <c r="S51" i="25"/>
  <c r="Q51" i="25"/>
  <c r="C50" i="27"/>
  <c r="V138" i="25"/>
  <c r="AC133" i="2"/>
  <c r="AC138" i="2"/>
  <c r="M138" i="25"/>
  <c r="P138" i="25"/>
  <c r="S138" i="25" s="1"/>
  <c r="L138" i="25"/>
  <c r="O138" i="25"/>
  <c r="K138" i="25"/>
  <c r="N138" i="25"/>
  <c r="T138" i="25"/>
  <c r="R138" i="25"/>
  <c r="U138" i="25"/>
  <c r="Q138" i="25"/>
  <c r="C137" i="27"/>
  <c r="V96" i="25"/>
  <c r="AC96" i="2"/>
  <c r="T96" i="25"/>
  <c r="R96" i="25"/>
  <c r="Q96" i="25"/>
  <c r="U96" i="25"/>
  <c r="C95" i="27"/>
  <c r="V42" i="25"/>
  <c r="AC42" i="2"/>
  <c r="Q42" i="25"/>
  <c r="U42" i="25"/>
  <c r="T42" i="25"/>
  <c r="R42" i="25"/>
  <c r="C41" i="27"/>
  <c r="AB41" i="27" s="1"/>
  <c r="V64" i="25"/>
  <c r="AC64" i="2"/>
  <c r="U64" i="25"/>
  <c r="T64" i="25"/>
  <c r="S64" i="25"/>
  <c r="Q64" i="25"/>
  <c r="C63" i="27"/>
  <c r="X63" i="27" s="1"/>
  <c r="V176" i="25"/>
  <c r="AC176" i="2"/>
  <c r="U176" i="25"/>
  <c r="T176" i="25"/>
  <c r="Q176" i="25"/>
  <c r="S176" i="25"/>
  <c r="C175" i="27"/>
  <c r="V151" i="25"/>
  <c r="AC151" i="2"/>
  <c r="Q151" i="25"/>
  <c r="U151" i="25"/>
  <c r="T151" i="25"/>
  <c r="S151" i="25"/>
  <c r="C150" i="27"/>
  <c r="V110" i="25"/>
  <c r="AC110" i="2"/>
  <c r="R110" i="25"/>
  <c r="Q110" i="25"/>
  <c r="U110" i="25"/>
  <c r="T110" i="25"/>
  <c r="C109" i="27"/>
  <c r="X109" i="27" s="1"/>
  <c r="V70" i="25"/>
  <c r="AC70" i="2"/>
  <c r="U70" i="25"/>
  <c r="T70" i="25"/>
  <c r="R70" i="25"/>
  <c r="Q70" i="25"/>
  <c r="C69" i="27"/>
  <c r="V43" i="25"/>
  <c r="AC43" i="2"/>
  <c r="Q43" i="25"/>
  <c r="U43" i="25"/>
  <c r="T43" i="25"/>
  <c r="R43" i="25"/>
  <c r="C42" i="27"/>
  <c r="V104" i="25"/>
  <c r="AC104" i="2"/>
  <c r="R104" i="25"/>
  <c r="Q104" i="25"/>
  <c r="U104" i="25"/>
  <c r="T104" i="25"/>
  <c r="C103" i="27"/>
  <c r="V57" i="25"/>
  <c r="V56" i="25" s="1"/>
  <c r="Q57" i="25"/>
  <c r="G10" i="30" s="1"/>
  <c r="U57" i="25"/>
  <c r="U56" i="25" s="1"/>
  <c r="T57" i="25"/>
  <c r="T56" i="25" s="1"/>
  <c r="S57" i="25"/>
  <c r="S56" i="25" s="1"/>
  <c r="C56" i="27"/>
  <c r="P56" i="27" s="1"/>
  <c r="A179" i="28"/>
  <c r="A178" i="28"/>
  <c r="A177" i="28"/>
  <c r="A176" i="28"/>
  <c r="A175" i="28"/>
  <c r="A174" i="28"/>
  <c r="A173" i="28"/>
  <c r="A172" i="28"/>
  <c r="A171" i="28"/>
  <c r="A170" i="28"/>
  <c r="J169" i="28"/>
  <c r="I169" i="28"/>
  <c r="H169" i="28"/>
  <c r="G169" i="28"/>
  <c r="F169" i="28"/>
  <c r="E169" i="28"/>
  <c r="D169" i="28"/>
  <c r="A169" i="28"/>
  <c r="A168" i="28"/>
  <c r="A167" i="28"/>
  <c r="A166" i="28"/>
  <c r="A164" i="28"/>
  <c r="A163" i="28"/>
  <c r="A162" i="28"/>
  <c r="A161" i="28"/>
  <c r="A160" i="28"/>
  <c r="A159" i="28"/>
  <c r="A158" i="28"/>
  <c r="A157" i="28"/>
  <c r="A156" i="28"/>
  <c r="A155" i="28"/>
  <c r="A154" i="28"/>
  <c r="A153" i="28"/>
  <c r="A152" i="28"/>
  <c r="A151" i="28"/>
  <c r="A150" i="28"/>
  <c r="A149" i="28"/>
  <c r="A148" i="28"/>
  <c r="A147" i="28"/>
  <c r="A146" i="28"/>
  <c r="A145" i="28"/>
  <c r="A138" i="28"/>
  <c r="A137" i="28"/>
  <c r="A136" i="28"/>
  <c r="A135" i="28"/>
  <c r="A134" i="28"/>
  <c r="A127" i="28"/>
  <c r="A126" i="28"/>
  <c r="A125" i="28"/>
  <c r="A124" i="28"/>
  <c r="A123" i="28"/>
  <c r="A122" i="28"/>
  <c r="A121" i="28"/>
  <c r="A120" i="28"/>
  <c r="A118" i="28"/>
  <c r="A117" i="28"/>
  <c r="A116" i="28"/>
  <c r="A115" i="28"/>
  <c r="A114" i="28"/>
  <c r="A113" i="28"/>
  <c r="A112" i="28"/>
  <c r="A111" i="28"/>
  <c r="A110" i="28"/>
  <c r="A109" i="28"/>
  <c r="A108" i="28"/>
  <c r="A107" i="28"/>
  <c r="A106" i="28"/>
  <c r="A105" i="28"/>
  <c r="A104" i="28"/>
  <c r="A103" i="28"/>
  <c r="A102" i="28"/>
  <c r="A101" i="28"/>
  <c r="A99" i="28"/>
  <c r="A98" i="28"/>
  <c r="A96" i="28"/>
  <c r="A95" i="28"/>
  <c r="A94" i="28"/>
  <c r="A93" i="28"/>
  <c r="A92" i="28"/>
  <c r="A91" i="28"/>
  <c r="A90" i="28"/>
  <c r="A89" i="28"/>
  <c r="A88" i="28"/>
  <c r="A87" i="28"/>
  <c r="A86" i="28"/>
  <c r="A85" i="28"/>
  <c r="A81" i="28"/>
  <c r="A80" i="28"/>
  <c r="A79" i="28"/>
  <c r="A78" i="28"/>
  <c r="A77" i="28"/>
  <c r="A76" i="28"/>
  <c r="A75" i="28"/>
  <c r="A74" i="28"/>
  <c r="A73" i="28"/>
  <c r="A72" i="28"/>
  <c r="A71" i="28"/>
  <c r="A70" i="28"/>
  <c r="A69" i="28"/>
  <c r="A68" i="28"/>
  <c r="A67" i="28"/>
  <c r="A66" i="28"/>
  <c r="A65" i="28"/>
  <c r="A64" i="28"/>
  <c r="A63" i="28"/>
  <c r="A62" i="28"/>
  <c r="A61" i="28"/>
  <c r="A60" i="28"/>
  <c r="G59" i="28"/>
  <c r="F59" i="28"/>
  <c r="E59" i="28"/>
  <c r="D59" i="28"/>
  <c r="A59" i="28"/>
  <c r="G58" i="28"/>
  <c r="F58" i="28"/>
  <c r="E58" i="28"/>
  <c r="D58" i="28"/>
  <c r="A58" i="28"/>
  <c r="G57" i="28"/>
  <c r="F57" i="28"/>
  <c r="E57" i="28"/>
  <c r="D57" i="28"/>
  <c r="A57" i="28"/>
  <c r="A56" i="28"/>
  <c r="A55" i="28"/>
  <c r="A54" i="28"/>
  <c r="A53" i="28"/>
  <c r="A52" i="28"/>
  <c r="A51" i="28"/>
  <c r="A50" i="28"/>
  <c r="A49" i="28"/>
  <c r="A48" i="28"/>
  <c r="A47" i="28"/>
  <c r="A46" i="28"/>
  <c r="A45" i="28"/>
  <c r="A44" i="28"/>
  <c r="A42" i="28"/>
  <c r="A41" i="28"/>
  <c r="A40" i="28"/>
  <c r="A39" i="28"/>
  <c r="A38" i="28"/>
  <c r="A37" i="28"/>
  <c r="A36" i="28"/>
  <c r="A35" i="28"/>
  <c r="A34" i="28"/>
  <c r="A33" i="28"/>
  <c r="A32" i="28"/>
  <c r="A31" i="28"/>
  <c r="A30" i="28"/>
  <c r="A29" i="28"/>
  <c r="A28" i="28"/>
  <c r="A27" i="28"/>
  <c r="A26" i="28"/>
  <c r="A25" i="28"/>
  <c r="A24" i="28"/>
  <c r="A23" i="28"/>
  <c r="A22" i="28"/>
  <c r="A21" i="28"/>
  <c r="A20" i="28"/>
  <c r="A19" i="28"/>
  <c r="A18" i="28"/>
  <c r="A17" i="28"/>
  <c r="A16" i="28"/>
  <c r="A15" i="28"/>
  <c r="A14" i="28"/>
  <c r="A13" i="28"/>
  <c r="A12" i="28"/>
  <c r="A11" i="28"/>
  <c r="A10" i="28"/>
  <c r="A9" i="28"/>
  <c r="A8" i="28"/>
  <c r="V79" i="25" l="1"/>
  <c r="AF58" i="27"/>
  <c r="P102" i="27"/>
  <c r="AF102" i="27"/>
  <c r="X110" i="27"/>
  <c r="AB110" i="27"/>
  <c r="T148" i="27"/>
  <c r="X148" i="27"/>
  <c r="AB148" i="27"/>
  <c r="AF148" i="27"/>
  <c r="P148" i="27"/>
  <c r="P92" i="27"/>
  <c r="AF92" i="27"/>
  <c r="T92" i="27"/>
  <c r="X92" i="27"/>
  <c r="AB92" i="27"/>
  <c r="T71" i="27"/>
  <c r="AB71" i="27"/>
  <c r="X71" i="27"/>
  <c r="P71" i="27"/>
  <c r="AB125" i="28"/>
  <c r="W125" i="28"/>
  <c r="R125" i="28"/>
  <c r="AG125" i="28"/>
  <c r="AL125" i="28"/>
  <c r="AB78" i="28"/>
  <c r="W78" i="28"/>
  <c r="AL78" i="28"/>
  <c r="AG78" i="28"/>
  <c r="R78" i="28"/>
  <c r="AF94" i="27"/>
  <c r="K72" i="74" s="1"/>
  <c r="X94" i="27"/>
  <c r="T72" i="74" s="1"/>
  <c r="U72" i="74" s="1"/>
  <c r="AB94" i="27"/>
  <c r="T94" i="27"/>
  <c r="N72" i="74" s="1"/>
  <c r="O72" i="74" s="1"/>
  <c r="P94" i="27"/>
  <c r="Q72" i="74" s="1"/>
  <c r="AF40" i="27"/>
  <c r="P51" i="27"/>
  <c r="AF68" i="27"/>
  <c r="AB97" i="27"/>
  <c r="AF110" i="27"/>
  <c r="P151" i="27"/>
  <c r="T102" i="27"/>
  <c r="N77" i="74" s="1"/>
  <c r="T111" i="27"/>
  <c r="P136" i="27"/>
  <c r="AF48" i="27"/>
  <c r="AB162" i="27"/>
  <c r="AF71" i="27"/>
  <c r="T86" i="27"/>
  <c r="T95" i="27"/>
  <c r="X95" i="27"/>
  <c r="AB95" i="27"/>
  <c r="AF95" i="27"/>
  <c r="X170" i="27"/>
  <c r="AF170" i="27"/>
  <c r="P170" i="27"/>
  <c r="T170" i="27"/>
  <c r="AB170" i="27"/>
  <c r="AF154" i="27"/>
  <c r="X154" i="27"/>
  <c r="AB154" i="27"/>
  <c r="T154" i="27"/>
  <c r="P154" i="27"/>
  <c r="T115" i="27"/>
  <c r="AF115" i="27"/>
  <c r="X115" i="27"/>
  <c r="AB115" i="27"/>
  <c r="R127" i="28"/>
  <c r="W127" i="28"/>
  <c r="AL127" i="28"/>
  <c r="AG127" i="28"/>
  <c r="AB127" i="28"/>
  <c r="W75" i="28"/>
  <c r="R75" i="28"/>
  <c r="AG75" i="28"/>
  <c r="AL75" i="28"/>
  <c r="AB75" i="28"/>
  <c r="R76" i="28"/>
  <c r="W76" i="28"/>
  <c r="AB76" i="28"/>
  <c r="AG76" i="28"/>
  <c r="AL76" i="28"/>
  <c r="T109" i="27"/>
  <c r="AF109" i="27"/>
  <c r="P109" i="27"/>
  <c r="AB50" i="27"/>
  <c r="T50" i="27"/>
  <c r="AF50" i="27"/>
  <c r="AB163" i="27"/>
  <c r="X163" i="27"/>
  <c r="X89" i="27"/>
  <c r="T89" i="27"/>
  <c r="AF89" i="27"/>
  <c r="P89" i="27"/>
  <c r="AB89" i="27"/>
  <c r="AB47" i="27"/>
  <c r="X47" i="27"/>
  <c r="T47" i="27"/>
  <c r="AF47" i="27"/>
  <c r="P47" i="27"/>
  <c r="X108" i="27"/>
  <c r="AF108" i="27"/>
  <c r="P108" i="27"/>
  <c r="AB108" i="27"/>
  <c r="P106" i="27"/>
  <c r="AB106" i="27"/>
  <c r="X106" i="27"/>
  <c r="T106" i="27"/>
  <c r="AF106" i="27"/>
  <c r="AB62" i="27"/>
  <c r="T62" i="27"/>
  <c r="AF62" i="27"/>
  <c r="AF104" i="27"/>
  <c r="AB104" i="27"/>
  <c r="X104" i="27"/>
  <c r="P104" i="27"/>
  <c r="T104" i="27"/>
  <c r="T135" i="27"/>
  <c r="X135" i="27"/>
  <c r="AB135" i="27"/>
  <c r="AB53" i="27"/>
  <c r="P53" i="27"/>
  <c r="AF53" i="27"/>
  <c r="X53" i="27"/>
  <c r="T53" i="27"/>
  <c r="AB156" i="27"/>
  <c r="P156" i="27"/>
  <c r="AF156" i="27"/>
  <c r="X156" i="27"/>
  <c r="T156" i="27"/>
  <c r="AB124" i="28"/>
  <c r="R124" i="28"/>
  <c r="AG124" i="28"/>
  <c r="AL124" i="28"/>
  <c r="W124" i="28"/>
  <c r="X70" i="27"/>
  <c r="P70" i="27"/>
  <c r="AF70" i="27"/>
  <c r="AB120" i="28"/>
  <c r="W120" i="28"/>
  <c r="AG120" i="28"/>
  <c r="R120" i="28"/>
  <c r="AL120" i="28"/>
  <c r="AB79" i="28"/>
  <c r="X80" i="27" s="1"/>
  <c r="W79" i="28"/>
  <c r="T80" i="27" s="1"/>
  <c r="V80" i="27" s="1"/>
  <c r="AG79" i="28"/>
  <c r="AB80" i="27" s="1"/>
  <c r="AL79" i="28"/>
  <c r="AF80" i="27" s="1"/>
  <c r="R79" i="28"/>
  <c r="P80" i="27" s="1"/>
  <c r="X40" i="27"/>
  <c r="T40" i="27"/>
  <c r="T51" i="27"/>
  <c r="AB58" i="27"/>
  <c r="P68" i="27"/>
  <c r="P97" i="27"/>
  <c r="P110" i="27"/>
  <c r="P135" i="27"/>
  <c r="P163" i="27"/>
  <c r="X48" i="27"/>
  <c r="P62" i="27"/>
  <c r="AB103" i="27"/>
  <c r="P103" i="27"/>
  <c r="AF103" i="27"/>
  <c r="T103" i="27"/>
  <c r="X103" i="27"/>
  <c r="AB105" i="27"/>
  <c r="T105" i="27"/>
  <c r="P105" i="27"/>
  <c r="X65" i="27"/>
  <c r="T65" i="27"/>
  <c r="AF65" i="27"/>
  <c r="P65" i="27"/>
  <c r="AB65" i="27"/>
  <c r="X149" i="27"/>
  <c r="AF149" i="27"/>
  <c r="P149" i="27"/>
  <c r="AB149" i="27"/>
  <c r="P165" i="27"/>
  <c r="AB165" i="27"/>
  <c r="X165" i="27"/>
  <c r="T165" i="27"/>
  <c r="T157" i="27"/>
  <c r="X157" i="27"/>
  <c r="AB157" i="27"/>
  <c r="AF157" i="27"/>
  <c r="P157" i="27"/>
  <c r="AB74" i="28"/>
  <c r="W74" i="28"/>
  <c r="R74" i="28"/>
  <c r="AG74" i="28"/>
  <c r="AL74" i="28"/>
  <c r="W95" i="28"/>
  <c r="R95" i="28"/>
  <c r="AG95" i="28"/>
  <c r="AB95" i="28"/>
  <c r="AL95" i="28"/>
  <c r="T56" i="27"/>
  <c r="AB56" i="27"/>
  <c r="X56" i="27"/>
  <c r="AF56" i="27"/>
  <c r="AF41" i="27"/>
  <c r="P41" i="27"/>
  <c r="X41" i="27"/>
  <c r="X69" i="27"/>
  <c r="T69" i="27"/>
  <c r="AF69" i="27"/>
  <c r="P69" i="27"/>
  <c r="AB69" i="27"/>
  <c r="AF63" i="27"/>
  <c r="T63" i="27"/>
  <c r="P63" i="27"/>
  <c r="AF116" i="27"/>
  <c r="T116" i="27"/>
  <c r="X116" i="27"/>
  <c r="P116" i="27"/>
  <c r="AB116" i="27"/>
  <c r="AB86" i="27"/>
  <c r="X86" i="27"/>
  <c r="AF86" i="27"/>
  <c r="X114" i="27"/>
  <c r="P114" i="27"/>
  <c r="T114" i="27"/>
  <c r="AF114" i="27"/>
  <c r="AB114" i="27"/>
  <c r="T52" i="27"/>
  <c r="X52" i="27"/>
  <c r="AB52" i="27"/>
  <c r="AF52" i="27"/>
  <c r="T176" i="27"/>
  <c r="P176" i="27"/>
  <c r="X176" i="27"/>
  <c r="AF176" i="27"/>
  <c r="T112" i="27"/>
  <c r="X112" i="27"/>
  <c r="AB112" i="27"/>
  <c r="P112" i="27"/>
  <c r="AF112" i="27"/>
  <c r="T117" i="27"/>
  <c r="P117" i="27"/>
  <c r="AB117" i="27"/>
  <c r="X117" i="27"/>
  <c r="T158" i="27"/>
  <c r="P158" i="27"/>
  <c r="AB158" i="27"/>
  <c r="X158" i="27"/>
  <c r="AF158" i="27"/>
  <c r="T161" i="27"/>
  <c r="AB161" i="27"/>
  <c r="X161" i="27"/>
  <c r="P164" i="27"/>
  <c r="T164" i="27"/>
  <c r="AB173" i="28"/>
  <c r="W173" i="28"/>
  <c r="AG173" i="28"/>
  <c r="R173" i="28"/>
  <c r="AL173" i="28"/>
  <c r="AB73" i="28"/>
  <c r="R73" i="28"/>
  <c r="W73" i="28"/>
  <c r="AL73" i="28"/>
  <c r="AG73" i="28"/>
  <c r="W122" i="28"/>
  <c r="R122" i="28"/>
  <c r="AG122" i="28"/>
  <c r="AB122" i="28"/>
  <c r="AL122" i="28"/>
  <c r="AB121" i="28"/>
  <c r="W121" i="28"/>
  <c r="AG121" i="28"/>
  <c r="AL121" i="28"/>
  <c r="R121" i="28"/>
  <c r="W42" i="28"/>
  <c r="R42" i="28"/>
  <c r="AG42" i="28"/>
  <c r="AL42" i="28"/>
  <c r="AB42" i="28"/>
  <c r="R81" i="28"/>
  <c r="P82" i="27" s="1"/>
  <c r="AB81" i="28"/>
  <c r="X82" i="27" s="1"/>
  <c r="AL81" i="28"/>
  <c r="AF82" i="27" s="1"/>
  <c r="W81" i="28"/>
  <c r="T82" i="27" s="1"/>
  <c r="V82" i="27" s="1"/>
  <c r="AG81" i="28"/>
  <c r="AB82" i="27" s="1"/>
  <c r="P40" i="27"/>
  <c r="AB51" i="27"/>
  <c r="X51" i="27"/>
  <c r="P58" i="27"/>
  <c r="X68" i="27"/>
  <c r="AF97" i="27"/>
  <c r="T110" i="27"/>
  <c r="T163" i="27"/>
  <c r="X102" i="27"/>
  <c r="T77" i="74" s="1"/>
  <c r="U77" i="74" s="1"/>
  <c r="P95" i="27"/>
  <c r="T149" i="27"/>
  <c r="T41" i="27"/>
  <c r="P50" i="27"/>
  <c r="X62" i="27"/>
  <c r="X105" i="27"/>
  <c r="C93" i="28"/>
  <c r="P42" i="27"/>
  <c r="AB42" i="27"/>
  <c r="X42" i="27"/>
  <c r="T42" i="27"/>
  <c r="AF42" i="27"/>
  <c r="AF137" i="27"/>
  <c r="P137" i="27"/>
  <c r="T137" i="27"/>
  <c r="X137" i="27"/>
  <c r="AB137" i="27"/>
  <c r="P139" i="27"/>
  <c r="AB139" i="27"/>
  <c r="AF139" i="27"/>
  <c r="T139" i="27"/>
  <c r="X139" i="27"/>
  <c r="X136" i="27"/>
  <c r="T136" i="27"/>
  <c r="T180" i="27"/>
  <c r="N139" i="74" s="1"/>
  <c r="AB180" i="27"/>
  <c r="X180" i="27"/>
  <c r="AF180" i="27"/>
  <c r="K139" i="74" s="1"/>
  <c r="P180" i="27"/>
  <c r="Q139" i="74" s="1"/>
  <c r="X138" i="27"/>
  <c r="AF138" i="27"/>
  <c r="T138" i="27"/>
  <c r="P138" i="27"/>
  <c r="AB138" i="27"/>
  <c r="T162" i="27"/>
  <c r="X162" i="27"/>
  <c r="T48" i="27"/>
  <c r="AB48" i="27"/>
  <c r="AF67" i="27"/>
  <c r="P67" i="27"/>
  <c r="T67" i="27"/>
  <c r="X67" i="27"/>
  <c r="AB67" i="27"/>
  <c r="P54" i="27"/>
  <c r="T54" i="27"/>
  <c r="X54" i="27"/>
  <c r="AB54" i="27"/>
  <c r="W43" i="74" s="1"/>
  <c r="X43" i="74" s="1"/>
  <c r="AF54" i="27"/>
  <c r="T151" i="27"/>
  <c r="AB151" i="27"/>
  <c r="T173" i="27"/>
  <c r="N132" i="74" s="1"/>
  <c r="O132" i="74" s="1"/>
  <c r="P173" i="27"/>
  <c r="AF173" i="27"/>
  <c r="X173" i="27"/>
  <c r="AB173" i="27"/>
  <c r="X111" i="27"/>
  <c r="P111" i="27"/>
  <c r="T88" i="27"/>
  <c r="P88" i="27"/>
  <c r="Q67" i="74" s="1"/>
  <c r="AF88" i="27"/>
  <c r="X88" i="27"/>
  <c r="AB88" i="27"/>
  <c r="W67" i="74" s="1"/>
  <c r="X67" i="74" s="1"/>
  <c r="T59" i="27"/>
  <c r="X59" i="27"/>
  <c r="AB59" i="27"/>
  <c r="P59" i="27"/>
  <c r="AF59" i="27"/>
  <c r="AF118" i="27"/>
  <c r="T118" i="27"/>
  <c r="X118" i="27"/>
  <c r="AB118" i="27"/>
  <c r="W91" i="74" s="1"/>
  <c r="X91" i="74" s="1"/>
  <c r="P64" i="27"/>
  <c r="AB64" i="27"/>
  <c r="X64" i="27"/>
  <c r="T64" i="27"/>
  <c r="N50" i="74" s="1"/>
  <c r="O50" i="74" s="1"/>
  <c r="AF64" i="27"/>
  <c r="T178" i="27"/>
  <c r="N137" i="74" s="1"/>
  <c r="AF178" i="27"/>
  <c r="K137" i="74" s="1"/>
  <c r="AB178" i="27"/>
  <c r="W137" i="74" s="1"/>
  <c r="X137" i="74" s="1"/>
  <c r="W126" i="28"/>
  <c r="R126" i="28"/>
  <c r="AG126" i="28"/>
  <c r="AL126" i="28"/>
  <c r="AB126" i="28"/>
  <c r="W178" i="28"/>
  <c r="R178" i="28"/>
  <c r="AG178" i="28"/>
  <c r="AL178" i="28"/>
  <c r="AB178" i="28"/>
  <c r="R123" i="28"/>
  <c r="AB123" i="28"/>
  <c r="W123" i="28"/>
  <c r="AG123" i="28"/>
  <c r="AL123" i="28"/>
  <c r="W80" i="28"/>
  <c r="M81" i="10" s="1"/>
  <c r="R80" i="28"/>
  <c r="AG80" i="28"/>
  <c r="O81" i="10" s="1"/>
  <c r="AB80" i="28"/>
  <c r="AL80" i="28"/>
  <c r="AB45" i="28"/>
  <c r="X46" i="27" s="1"/>
  <c r="V47" i="2" s="1"/>
  <c r="W47" i="2" s="1"/>
  <c r="W45" i="28"/>
  <c r="T46" i="27" s="1"/>
  <c r="AL45" i="28"/>
  <c r="AF46" i="27" s="1"/>
  <c r="AG45" i="28"/>
  <c r="AB46" i="27" s="1"/>
  <c r="Y46" i="23" s="1"/>
  <c r="R45" i="28"/>
  <c r="P46" i="27" s="1"/>
  <c r="X58" i="27"/>
  <c r="T45" i="74" s="1"/>
  <c r="U45" i="74" s="1"/>
  <c r="AB68" i="27"/>
  <c r="X97" i="27"/>
  <c r="T75" i="74" s="1"/>
  <c r="U75" i="74" s="1"/>
  <c r="X151" i="27"/>
  <c r="AB102" i="27"/>
  <c r="W77" i="74" s="1"/>
  <c r="X77" i="74" s="1"/>
  <c r="AB111" i="27"/>
  <c r="W85" i="74" s="1"/>
  <c r="X85" i="74" s="1"/>
  <c r="AF136" i="27"/>
  <c r="K106" i="74" s="1"/>
  <c r="L106" i="74" s="1"/>
  <c r="AB164" i="27"/>
  <c r="W128" i="74" s="1"/>
  <c r="X128" i="74" s="1"/>
  <c r="P178" i="27"/>
  <c r="Q137" i="74" s="1"/>
  <c r="AB70" i="27"/>
  <c r="W55" i="74" s="1"/>
  <c r="X55" i="74" s="1"/>
  <c r="T108" i="27"/>
  <c r="N82" i="74" s="1"/>
  <c r="O82" i="74" s="1"/>
  <c r="P161" i="27"/>
  <c r="Q125" i="74" s="1"/>
  <c r="P52" i="27"/>
  <c r="Q41" i="74" s="1"/>
  <c r="R41" i="74" s="1"/>
  <c r="X50" i="27"/>
  <c r="T39" i="74" s="1"/>
  <c r="AB109" i="27"/>
  <c r="W83" i="74" s="1"/>
  <c r="X83" i="74" s="1"/>
  <c r="AB176" i="27"/>
  <c r="AB63" i="27"/>
  <c r="W49" i="74" s="1"/>
  <c r="AL89" i="28"/>
  <c r="W89" i="28"/>
  <c r="AG89" i="28"/>
  <c r="R89" i="28"/>
  <c r="AB89" i="28"/>
  <c r="R59" i="28"/>
  <c r="AL59" i="28"/>
  <c r="AB59" i="28"/>
  <c r="W59" i="28"/>
  <c r="AG59" i="28"/>
  <c r="Y81" i="2"/>
  <c r="Z81" i="2" s="1"/>
  <c r="W72" i="74"/>
  <c r="X72" i="74" s="1"/>
  <c r="G16" i="30"/>
  <c r="S80" i="23"/>
  <c r="S82" i="23"/>
  <c r="W89" i="74"/>
  <c r="X89" i="74" s="1"/>
  <c r="T89" i="74"/>
  <c r="U89" i="74" s="1"/>
  <c r="N89" i="74"/>
  <c r="K89" i="74"/>
  <c r="Q89" i="74"/>
  <c r="W65" i="74"/>
  <c r="X65" i="74" s="1"/>
  <c r="K65" i="74"/>
  <c r="T65" i="74"/>
  <c r="U65" i="74" s="1"/>
  <c r="N65" i="74"/>
  <c r="O65" i="74" s="1"/>
  <c r="Q65" i="74"/>
  <c r="K87" i="74"/>
  <c r="Q87" i="74"/>
  <c r="W87" i="74"/>
  <c r="X87" i="74" s="1"/>
  <c r="T87" i="74"/>
  <c r="U87" i="74" s="1"/>
  <c r="N87" i="74"/>
  <c r="N41" i="74"/>
  <c r="O41" i="74" s="1"/>
  <c r="T41" i="74"/>
  <c r="K41" i="74"/>
  <c r="W41" i="74"/>
  <c r="X41" i="74" s="1"/>
  <c r="W135" i="74"/>
  <c r="X135" i="74" s="1"/>
  <c r="N135" i="74"/>
  <c r="O135" i="74" s="1"/>
  <c r="T135" i="74"/>
  <c r="U135" i="74" s="1"/>
  <c r="K135" i="74"/>
  <c r="Q135" i="74"/>
  <c r="T86" i="74"/>
  <c r="U86" i="74" s="1"/>
  <c r="N86" i="74"/>
  <c r="O86" i="74" s="1"/>
  <c r="W86" i="74"/>
  <c r="X86" i="74" s="1"/>
  <c r="Q86" i="74"/>
  <c r="K86" i="74"/>
  <c r="K53" i="74"/>
  <c r="Q53" i="74"/>
  <c r="T53" i="74"/>
  <c r="U53" i="74" s="1"/>
  <c r="N53" i="74"/>
  <c r="O53" i="74" s="1"/>
  <c r="W53" i="74"/>
  <c r="X53" i="74" s="1"/>
  <c r="W90" i="74"/>
  <c r="X90" i="74" s="1"/>
  <c r="K90" i="74"/>
  <c r="T90" i="74"/>
  <c r="U90" i="74" s="1"/>
  <c r="Q90" i="74"/>
  <c r="N90" i="74"/>
  <c r="N124" i="74"/>
  <c r="O124" i="74" s="1"/>
  <c r="T124" i="74"/>
  <c r="U124" i="74" s="1"/>
  <c r="K124" i="74"/>
  <c r="Q124" i="74"/>
  <c r="W124" i="74"/>
  <c r="X124" i="74" s="1"/>
  <c r="K70" i="74"/>
  <c r="Q70" i="74"/>
  <c r="W70" i="74"/>
  <c r="T70" i="74"/>
  <c r="U70" i="74" s="1"/>
  <c r="N70" i="74"/>
  <c r="O70" i="74" s="1"/>
  <c r="W56" i="74"/>
  <c r="X56" i="74" s="1"/>
  <c r="K56" i="74"/>
  <c r="T56" i="74"/>
  <c r="U56" i="74" s="1"/>
  <c r="N56" i="74"/>
  <c r="O56" i="74" s="1"/>
  <c r="Q56" i="74"/>
  <c r="W123" i="74"/>
  <c r="X123" i="74" s="1"/>
  <c r="K123" i="74"/>
  <c r="T123" i="74"/>
  <c r="U123" i="74" s="1"/>
  <c r="N123" i="74"/>
  <c r="O123" i="74" s="1"/>
  <c r="Q123" i="74"/>
  <c r="S83" i="2"/>
  <c r="T83" i="2" s="1"/>
  <c r="K78" i="74"/>
  <c r="W78" i="74"/>
  <c r="X78" i="74" s="1"/>
  <c r="Q78" i="74"/>
  <c r="N78" i="74"/>
  <c r="T78" i="74"/>
  <c r="U78" i="74" s="1"/>
  <c r="K73" i="74"/>
  <c r="Q73" i="74"/>
  <c r="W73" i="74"/>
  <c r="X73" i="74" s="1"/>
  <c r="N73" i="74"/>
  <c r="O73" i="74" s="1"/>
  <c r="T73" i="74"/>
  <c r="U73" i="74" s="1"/>
  <c r="K80" i="74"/>
  <c r="Q80" i="74"/>
  <c r="T80" i="74"/>
  <c r="U80" i="74" s="1"/>
  <c r="W80" i="74"/>
  <c r="X80" i="74" s="1"/>
  <c r="N80" i="74"/>
  <c r="K131" i="74"/>
  <c r="L131" i="74" s="1"/>
  <c r="W131" i="74"/>
  <c r="X131" i="74" s="1"/>
  <c r="N131" i="74"/>
  <c r="O131" i="74" s="1"/>
  <c r="T131" i="74"/>
  <c r="U131" i="74" s="1"/>
  <c r="K77" i="74"/>
  <c r="Q77" i="74"/>
  <c r="W51" i="74"/>
  <c r="X51" i="74" s="1"/>
  <c r="N51" i="74"/>
  <c r="O51" i="74" s="1"/>
  <c r="K51" i="74"/>
  <c r="Q51" i="74"/>
  <c r="T51" i="74"/>
  <c r="U51" i="74" s="1"/>
  <c r="K116" i="74"/>
  <c r="N116" i="74"/>
  <c r="O116" i="74" s="1"/>
  <c r="W116" i="74"/>
  <c r="X116" i="74" s="1"/>
  <c r="Q116" i="74"/>
  <c r="T116" i="74"/>
  <c r="U116" i="74" s="1"/>
  <c r="K32" i="74"/>
  <c r="W32" i="74"/>
  <c r="X32" i="74" s="1"/>
  <c r="Q32" i="74"/>
  <c r="T32" i="74"/>
  <c r="U32" i="74" s="1"/>
  <c r="N32" i="74"/>
  <c r="W120" i="74"/>
  <c r="X120" i="74" s="1"/>
  <c r="T120" i="74"/>
  <c r="U120" i="74" s="1"/>
  <c r="N120" i="74"/>
  <c r="O120" i="74" s="1"/>
  <c r="Q120" i="74"/>
  <c r="K120" i="74"/>
  <c r="W84" i="74"/>
  <c r="X84" i="74" s="1"/>
  <c r="T84" i="74"/>
  <c r="U84" i="74" s="1"/>
  <c r="K84" i="74"/>
  <c r="N84" i="74"/>
  <c r="O84" i="74" s="1"/>
  <c r="Q84" i="74"/>
  <c r="Q115" i="74"/>
  <c r="W115" i="74"/>
  <c r="X115" i="74" s="1"/>
  <c r="K115" i="74"/>
  <c r="T115" i="74"/>
  <c r="U115" i="74" s="1"/>
  <c r="N115" i="74"/>
  <c r="O115" i="74" s="1"/>
  <c r="W88" i="74"/>
  <c r="X88" i="74" s="1"/>
  <c r="N88" i="74"/>
  <c r="O88" i="74" s="1"/>
  <c r="T88" i="74"/>
  <c r="U88" i="74" s="1"/>
  <c r="Q88" i="74"/>
  <c r="R88" i="74" s="1"/>
  <c r="K88" i="74"/>
  <c r="L88" i="74" s="1"/>
  <c r="K129" i="74"/>
  <c r="T129" i="74"/>
  <c r="U129" i="74" s="1"/>
  <c r="N129" i="74"/>
  <c r="O129" i="74" s="1"/>
  <c r="Q129" i="74"/>
  <c r="W129" i="74"/>
  <c r="X129" i="74" s="1"/>
  <c r="T125" i="74"/>
  <c r="U125" i="74" s="1"/>
  <c r="W125" i="74"/>
  <c r="X125" i="74" s="1"/>
  <c r="K125" i="74"/>
  <c r="N125" i="74"/>
  <c r="O125" i="74" s="1"/>
  <c r="K128" i="74"/>
  <c r="Q128" i="74"/>
  <c r="T128" i="74"/>
  <c r="U128" i="74" s="1"/>
  <c r="N128" i="74"/>
  <c r="O128" i="74" s="1"/>
  <c r="W45" i="74"/>
  <c r="X45" i="74" s="1"/>
  <c r="N45" i="74"/>
  <c r="O45" i="74" s="1"/>
  <c r="K45" i="74"/>
  <c r="L45" i="74" s="1"/>
  <c r="Q45" i="74"/>
  <c r="R45" i="74" s="1"/>
  <c r="K83" i="74"/>
  <c r="T83" i="74"/>
  <c r="U83" i="74" s="1"/>
  <c r="N83" i="74"/>
  <c r="O83" i="74" s="1"/>
  <c r="Q83" i="74"/>
  <c r="T33" i="74"/>
  <c r="U33" i="74" s="1"/>
  <c r="Q33" i="74"/>
  <c r="W33" i="74"/>
  <c r="X33" i="74" s="1"/>
  <c r="K33" i="74"/>
  <c r="N33" i="74"/>
  <c r="K39" i="74"/>
  <c r="Q39" i="74"/>
  <c r="R39" i="74" s="1"/>
  <c r="W39" i="74"/>
  <c r="X39" i="74" s="1"/>
  <c r="N39" i="74"/>
  <c r="O39" i="74" s="1"/>
  <c r="T127" i="74"/>
  <c r="U127" i="74" s="1"/>
  <c r="N127" i="74"/>
  <c r="O127" i="74" s="1"/>
  <c r="K127" i="74"/>
  <c r="W127" i="74"/>
  <c r="X127" i="74" s="1"/>
  <c r="Q127" i="74"/>
  <c r="N68" i="74"/>
  <c r="O68" i="74" s="1"/>
  <c r="T68" i="74"/>
  <c r="U68" i="74" s="1"/>
  <c r="K68" i="74"/>
  <c r="L68" i="74" s="1"/>
  <c r="Q68" i="74"/>
  <c r="R68" i="74" s="1"/>
  <c r="W68" i="74"/>
  <c r="X68" i="74" s="1"/>
  <c r="K37" i="74"/>
  <c r="W37" i="74"/>
  <c r="X37" i="74" s="1"/>
  <c r="T37" i="74"/>
  <c r="U37" i="74" s="1"/>
  <c r="N37" i="74"/>
  <c r="K82" i="74"/>
  <c r="T82" i="74"/>
  <c r="U82" i="74" s="1"/>
  <c r="W82" i="74"/>
  <c r="X82" i="74" s="1"/>
  <c r="Q82" i="74"/>
  <c r="N81" i="74"/>
  <c r="K81" i="74"/>
  <c r="Q81" i="74"/>
  <c r="W81" i="74"/>
  <c r="X81" i="74" s="1"/>
  <c r="T81" i="74"/>
  <c r="U81" i="74" s="1"/>
  <c r="T48" i="74"/>
  <c r="U48" i="74" s="1"/>
  <c r="K48" i="74"/>
  <c r="Q48" i="74"/>
  <c r="W48" i="74"/>
  <c r="X48" i="74" s="1"/>
  <c r="N48" i="74"/>
  <c r="O48" i="74" s="1"/>
  <c r="W79" i="74"/>
  <c r="X79" i="74" s="1"/>
  <c r="T79" i="74"/>
  <c r="U79" i="74" s="1"/>
  <c r="N79" i="74"/>
  <c r="K79" i="74"/>
  <c r="Q79" i="74"/>
  <c r="W105" i="74"/>
  <c r="X105" i="74" s="1"/>
  <c r="T105" i="74"/>
  <c r="U105" i="74" s="1"/>
  <c r="K105" i="74"/>
  <c r="L105" i="74" s="1"/>
  <c r="Q105" i="74"/>
  <c r="R105" i="74" s="1"/>
  <c r="N105" i="74"/>
  <c r="O105" i="74" s="1"/>
  <c r="Q42" i="74"/>
  <c r="R42" i="74" s="1"/>
  <c r="K42" i="74"/>
  <c r="N42" i="74"/>
  <c r="O42" i="74" s="1"/>
  <c r="T42" i="74"/>
  <c r="W42" i="74"/>
  <c r="X42" i="74" s="1"/>
  <c r="T91" i="74"/>
  <c r="U91" i="74" s="1"/>
  <c r="K91" i="74"/>
  <c r="Q91" i="74"/>
  <c r="N91" i="74"/>
  <c r="T50" i="74"/>
  <c r="U50" i="74" s="1"/>
  <c r="Q50" i="74"/>
  <c r="W50" i="74"/>
  <c r="X50" i="74" s="1"/>
  <c r="K50" i="74"/>
  <c r="T137" i="74"/>
  <c r="U137" i="74" s="1"/>
  <c r="O137" i="74"/>
  <c r="K55" i="74"/>
  <c r="L55" i="74" s="1"/>
  <c r="Q55" i="74"/>
  <c r="R55" i="74" s="1"/>
  <c r="N55" i="74"/>
  <c r="O55" i="74" s="1"/>
  <c r="T55" i="74"/>
  <c r="U55" i="74" s="1"/>
  <c r="W54" i="74"/>
  <c r="X54" i="74" s="1"/>
  <c r="N54" i="74"/>
  <c r="O54" i="74" s="1"/>
  <c r="K54" i="74"/>
  <c r="Q54" i="74"/>
  <c r="T54" i="74"/>
  <c r="U54" i="74" s="1"/>
  <c r="K49" i="74"/>
  <c r="T49" i="74"/>
  <c r="U49" i="74" s="1"/>
  <c r="N49" i="74"/>
  <c r="O49" i="74" s="1"/>
  <c r="Q49" i="74"/>
  <c r="N44" i="74"/>
  <c r="O44" i="74" s="1"/>
  <c r="K44" i="74"/>
  <c r="W44" i="74"/>
  <c r="X44" i="74" s="1"/>
  <c r="Q44" i="74"/>
  <c r="R44" i="74" s="1"/>
  <c r="T44" i="74"/>
  <c r="K34" i="74"/>
  <c r="N34" i="74"/>
  <c r="W34" i="74"/>
  <c r="X34" i="74" s="1"/>
  <c r="T34" i="74"/>
  <c r="U34" i="74" s="1"/>
  <c r="Q34" i="74"/>
  <c r="Q107" i="74"/>
  <c r="R107" i="74" s="1"/>
  <c r="W107" i="74"/>
  <c r="X107" i="74" s="1"/>
  <c r="T107" i="74"/>
  <c r="U107" i="74" s="1"/>
  <c r="K107" i="74"/>
  <c r="L107" i="74" s="1"/>
  <c r="N107" i="74"/>
  <c r="O107" i="74" s="1"/>
  <c r="N109" i="74"/>
  <c r="O109" i="74" s="1"/>
  <c r="T109" i="74"/>
  <c r="U109" i="74" s="1"/>
  <c r="K109" i="74"/>
  <c r="L109" i="74" s="1"/>
  <c r="Q109" i="74"/>
  <c r="R109" i="74" s="1"/>
  <c r="W109" i="74"/>
  <c r="X109" i="74" s="1"/>
  <c r="N106" i="74"/>
  <c r="O106" i="74" s="1"/>
  <c r="Q106" i="74"/>
  <c r="R106" i="74" s="1"/>
  <c r="W106" i="74"/>
  <c r="X106" i="74" s="1"/>
  <c r="T106" i="74"/>
  <c r="U106" i="74" s="1"/>
  <c r="O139" i="74"/>
  <c r="W139" i="74"/>
  <c r="X139" i="74" s="1"/>
  <c r="T139" i="74"/>
  <c r="U139" i="74" s="1"/>
  <c r="W108" i="74"/>
  <c r="X108" i="74" s="1"/>
  <c r="T108" i="74"/>
  <c r="U108" i="74" s="1"/>
  <c r="Q108" i="74"/>
  <c r="R108" i="74" s="1"/>
  <c r="K108" i="74"/>
  <c r="L108" i="74" s="1"/>
  <c r="N108" i="74"/>
  <c r="O108" i="74" s="1"/>
  <c r="T126" i="74"/>
  <c r="U126" i="74" s="1"/>
  <c r="K126" i="74"/>
  <c r="Q126" i="74"/>
  <c r="W126" i="74"/>
  <c r="X126" i="74" s="1"/>
  <c r="N126" i="74"/>
  <c r="O126" i="74" s="1"/>
  <c r="N38" i="74"/>
  <c r="K38" i="74"/>
  <c r="W38" i="74"/>
  <c r="X38" i="74" s="1"/>
  <c r="T38" i="74"/>
  <c r="U38" i="74" s="1"/>
  <c r="N52" i="74"/>
  <c r="O52" i="74" s="1"/>
  <c r="K52" i="74"/>
  <c r="W52" i="74"/>
  <c r="X52" i="74" s="1"/>
  <c r="Q52" i="74"/>
  <c r="T52" i="74"/>
  <c r="U52" i="74" s="1"/>
  <c r="T43" i="74"/>
  <c r="K43" i="74"/>
  <c r="Q43" i="74"/>
  <c r="R43" i="74" s="1"/>
  <c r="N43" i="74"/>
  <c r="O43" i="74" s="1"/>
  <c r="T118" i="74"/>
  <c r="U118" i="74" s="1"/>
  <c r="K118" i="74"/>
  <c r="Q118" i="74"/>
  <c r="N118" i="74"/>
  <c r="O118" i="74" s="1"/>
  <c r="W118" i="74"/>
  <c r="X118" i="74" s="1"/>
  <c r="Q132" i="74"/>
  <c r="W132" i="74"/>
  <c r="X132" i="74" s="1"/>
  <c r="T132" i="74"/>
  <c r="U132" i="74" s="1"/>
  <c r="K132" i="74"/>
  <c r="N85" i="74"/>
  <c r="O85" i="74" s="1"/>
  <c r="T85" i="74"/>
  <c r="U85" i="74" s="1"/>
  <c r="K85" i="74"/>
  <c r="Q85" i="74"/>
  <c r="T67" i="74"/>
  <c r="U67" i="74" s="1"/>
  <c r="K67" i="74"/>
  <c r="N67" i="74"/>
  <c r="O67" i="74" s="1"/>
  <c r="N46" i="74"/>
  <c r="O46" i="74" s="1"/>
  <c r="K46" i="74"/>
  <c r="L46" i="74" s="1"/>
  <c r="Q46" i="74"/>
  <c r="R46" i="74" s="1"/>
  <c r="T46" i="74"/>
  <c r="U46" i="74" s="1"/>
  <c r="W46" i="74"/>
  <c r="X46" i="74" s="1"/>
  <c r="W40" i="74"/>
  <c r="X40" i="74" s="1"/>
  <c r="K40" i="74"/>
  <c r="N40" i="74"/>
  <c r="O40" i="74" s="1"/>
  <c r="Q40" i="74"/>
  <c r="R40" i="74" s="1"/>
  <c r="K122" i="74"/>
  <c r="Q122" i="74"/>
  <c r="W122" i="74"/>
  <c r="X122" i="74" s="1"/>
  <c r="N122" i="74"/>
  <c r="O122" i="74" s="1"/>
  <c r="T122" i="74"/>
  <c r="U122" i="74" s="1"/>
  <c r="N75" i="74"/>
  <c r="O75" i="74" s="1"/>
  <c r="K75" i="74"/>
  <c r="W75" i="74"/>
  <c r="X75" i="74" s="1"/>
  <c r="Q75" i="74"/>
  <c r="O82" i="10"/>
  <c r="AN81" i="28"/>
  <c r="AF78" i="27"/>
  <c r="S81" i="2"/>
  <c r="T81" i="2" s="1"/>
  <c r="N82" i="10"/>
  <c r="AE79" i="28"/>
  <c r="AB80" i="23"/>
  <c r="AD81" i="2"/>
  <c r="K95" i="74"/>
  <c r="L95" i="74" s="1"/>
  <c r="Q50" i="3"/>
  <c r="T95" i="74"/>
  <c r="U95" i="74" s="1"/>
  <c r="O50" i="3"/>
  <c r="N95" i="74"/>
  <c r="O95" i="74" s="1"/>
  <c r="N50" i="3"/>
  <c r="J22" i="30"/>
  <c r="M22" i="30" s="1"/>
  <c r="J14" i="30"/>
  <c r="M14" i="30" s="1"/>
  <c r="P14" i="30" s="1"/>
  <c r="S14" i="30" s="1"/>
  <c r="V14" i="30" s="1"/>
  <c r="Q146" i="24"/>
  <c r="Q140" i="24" s="1"/>
  <c r="Q72" i="24"/>
  <c r="Q100" i="24"/>
  <c r="Q119" i="24"/>
  <c r="Q7" i="24"/>
  <c r="Q167" i="24"/>
  <c r="T78" i="27"/>
  <c r="L60" i="27"/>
  <c r="H47" i="74" s="1"/>
  <c r="I47" i="74" s="1"/>
  <c r="L120" i="24"/>
  <c r="L119" i="24" s="1"/>
  <c r="AB174" i="23"/>
  <c r="I132" i="40"/>
  <c r="AH174" i="27"/>
  <c r="AD175" i="2"/>
  <c r="AE175" i="2" s="1"/>
  <c r="I57" i="40"/>
  <c r="AB75" i="23"/>
  <c r="AH75" i="27"/>
  <c r="AD76" i="2"/>
  <c r="AE76" i="2" s="1"/>
  <c r="AB179" i="23"/>
  <c r="I137" i="40"/>
  <c r="AH179" i="27"/>
  <c r="AD180" i="2"/>
  <c r="AE180" i="2" s="1"/>
  <c r="Y74" i="23"/>
  <c r="AD74" i="27"/>
  <c r="Y75" i="2"/>
  <c r="AB73" i="27"/>
  <c r="Y125" i="2"/>
  <c r="Z125" i="2" s="1"/>
  <c r="Y124" i="23"/>
  <c r="AD124" i="27"/>
  <c r="J59" i="40"/>
  <c r="P121" i="23"/>
  <c r="L121" i="27"/>
  <c r="H92" i="74" s="1"/>
  <c r="I92" i="74" s="1"/>
  <c r="P122" i="2"/>
  <c r="Q122" i="2" s="1"/>
  <c r="R121" i="27"/>
  <c r="S123" i="2"/>
  <c r="T123" i="2" s="1"/>
  <c r="S122" i="23"/>
  <c r="T60" i="41"/>
  <c r="S60" i="41"/>
  <c r="V79" i="23"/>
  <c r="Z79" i="27"/>
  <c r="V80" i="2"/>
  <c r="W80" i="2" s="1"/>
  <c r="P174" i="23"/>
  <c r="L174" i="27"/>
  <c r="H133" i="74" s="1"/>
  <c r="I133" i="74" s="1"/>
  <c r="R174" i="27"/>
  <c r="P175" i="2"/>
  <c r="Q175" i="2" s="1"/>
  <c r="K134" i="74"/>
  <c r="S57" i="41"/>
  <c r="T57" i="41"/>
  <c r="T137" i="41"/>
  <c r="S137" i="41"/>
  <c r="Y179" i="23"/>
  <c r="AD179" i="27"/>
  <c r="Y180" i="2"/>
  <c r="Z180" i="2" s="1"/>
  <c r="Y76" i="23"/>
  <c r="AD76" i="27"/>
  <c r="Y77" i="2"/>
  <c r="Z77" i="2" s="1"/>
  <c r="V76" i="23"/>
  <c r="Z76" i="27"/>
  <c r="V77" i="2"/>
  <c r="W77" i="2" s="1"/>
  <c r="T56" i="41"/>
  <c r="S56" i="41"/>
  <c r="O120" i="24"/>
  <c r="O119" i="24" s="1"/>
  <c r="Y124" i="2"/>
  <c r="Z124" i="2" s="1"/>
  <c r="Y123" i="23"/>
  <c r="AD123" i="27"/>
  <c r="AB124" i="23"/>
  <c r="I94" i="40"/>
  <c r="AD125" i="2"/>
  <c r="S125" i="2"/>
  <c r="S124" i="23"/>
  <c r="AB77" i="23"/>
  <c r="I59" i="40"/>
  <c r="AH77" i="27"/>
  <c r="AD78" i="2"/>
  <c r="AE78" i="2" s="1"/>
  <c r="I73" i="40"/>
  <c r="AB96" i="23"/>
  <c r="AD97" i="2"/>
  <c r="I91" i="40"/>
  <c r="AB121" i="23"/>
  <c r="AD122" i="2"/>
  <c r="AE122" i="2" s="1"/>
  <c r="AH121" i="27"/>
  <c r="Y121" i="23"/>
  <c r="Y122" i="2"/>
  <c r="Z122" i="2" s="1"/>
  <c r="AD121" i="27"/>
  <c r="Y123" i="2"/>
  <c r="Z123" i="2" s="1"/>
  <c r="Y122" i="23"/>
  <c r="AB60" i="23"/>
  <c r="I46" i="40"/>
  <c r="AH60" i="27"/>
  <c r="AD61" i="2"/>
  <c r="AE61" i="2" s="1"/>
  <c r="AB90" i="23"/>
  <c r="I68" i="40"/>
  <c r="AH90" i="27"/>
  <c r="AD91" i="2"/>
  <c r="AE91" i="2" s="1"/>
  <c r="V90" i="23"/>
  <c r="Z90" i="27"/>
  <c r="V91" i="2"/>
  <c r="W91" i="2" s="1"/>
  <c r="V43" i="23"/>
  <c r="Z43" i="27"/>
  <c r="V44" i="2"/>
  <c r="W44" i="2" s="1"/>
  <c r="L43" i="27"/>
  <c r="H35" i="74" s="1"/>
  <c r="P43" i="23"/>
  <c r="P44" i="2"/>
  <c r="T61" i="41"/>
  <c r="S61" i="41"/>
  <c r="P90" i="23"/>
  <c r="L90" i="27"/>
  <c r="H69" i="74" s="1"/>
  <c r="I69" i="74" s="1"/>
  <c r="R90" i="27"/>
  <c r="P91" i="2"/>
  <c r="Q91" i="2" s="1"/>
  <c r="S68" i="41"/>
  <c r="T68" i="41"/>
  <c r="Y43" i="23"/>
  <c r="AD43" i="27"/>
  <c r="Y44" i="2"/>
  <c r="P81" i="23"/>
  <c r="L81" i="27"/>
  <c r="H62" i="74" s="1"/>
  <c r="I62" i="74" s="1"/>
  <c r="R81" i="27"/>
  <c r="P82" i="2"/>
  <c r="Q82" i="2" s="1"/>
  <c r="V81" i="23"/>
  <c r="Z81" i="27"/>
  <c r="V82" i="2"/>
  <c r="W82" i="2" s="1"/>
  <c r="N79" i="10"/>
  <c r="O79" i="10"/>
  <c r="M79" i="10"/>
  <c r="Y174" i="23"/>
  <c r="AD174" i="27"/>
  <c r="Y175" i="2"/>
  <c r="Z175" i="2" s="1"/>
  <c r="S174" i="23"/>
  <c r="V174" i="27"/>
  <c r="S175" i="2"/>
  <c r="T175" i="2" s="1"/>
  <c r="Y75" i="23"/>
  <c r="AD75" i="27"/>
  <c r="Y76" i="2"/>
  <c r="Z76" i="2" s="1"/>
  <c r="P179" i="23"/>
  <c r="L179" i="27"/>
  <c r="H138" i="74" s="1"/>
  <c r="I138" i="74" s="1"/>
  <c r="R179" i="27"/>
  <c r="P180" i="2"/>
  <c r="Q180" i="2" s="1"/>
  <c r="P76" i="23"/>
  <c r="L76" i="27"/>
  <c r="H59" i="74" s="1"/>
  <c r="R76" i="27"/>
  <c r="P77" i="2"/>
  <c r="Q77" i="2" s="1"/>
  <c r="V74" i="23"/>
  <c r="Z74" i="27"/>
  <c r="V75" i="2"/>
  <c r="X73" i="27"/>
  <c r="L123" i="27"/>
  <c r="H94" i="74" s="1"/>
  <c r="I94" i="74" s="1"/>
  <c r="P124" i="2"/>
  <c r="Q124" i="2" s="1"/>
  <c r="P123" i="23"/>
  <c r="R123" i="27"/>
  <c r="AB123" i="23"/>
  <c r="AD124" i="2"/>
  <c r="AE124" i="2" s="1"/>
  <c r="I93" i="40"/>
  <c r="V125" i="2"/>
  <c r="V124" i="23"/>
  <c r="Y77" i="23"/>
  <c r="AD77" i="27"/>
  <c r="Y78" i="2"/>
  <c r="Z78" i="2" s="1"/>
  <c r="V77" i="23"/>
  <c r="Z77" i="27"/>
  <c r="V78" i="2"/>
  <c r="W78" i="2" s="1"/>
  <c r="V96" i="23"/>
  <c r="Z96" i="27"/>
  <c r="V97" i="2"/>
  <c r="W97" i="2" s="1"/>
  <c r="Y96" i="23"/>
  <c r="AD96" i="27"/>
  <c r="Y97" i="2"/>
  <c r="Z97" i="2" s="1"/>
  <c r="V121" i="23"/>
  <c r="V122" i="2"/>
  <c r="W122" i="2" s="1"/>
  <c r="Z121" i="27"/>
  <c r="L122" i="27"/>
  <c r="H93" i="74" s="1"/>
  <c r="I93" i="74" s="1"/>
  <c r="P122" i="23"/>
  <c r="P123" i="2"/>
  <c r="Q123" i="2" s="1"/>
  <c r="R122" i="27"/>
  <c r="AB122" i="23"/>
  <c r="AD123" i="2"/>
  <c r="AE123" i="2" s="1"/>
  <c r="I92" i="40"/>
  <c r="V60" i="23"/>
  <c r="Z60" i="27"/>
  <c r="V61" i="2"/>
  <c r="W61" i="2" s="1"/>
  <c r="Y60" i="23"/>
  <c r="AD60" i="27"/>
  <c r="Y61" i="2"/>
  <c r="Y90" i="23"/>
  <c r="AD90" i="27"/>
  <c r="Y91" i="2"/>
  <c r="Z91" i="2" s="1"/>
  <c r="S90" i="23"/>
  <c r="V90" i="27"/>
  <c r="S91" i="2"/>
  <c r="T91" i="2" s="1"/>
  <c r="AB43" i="23"/>
  <c r="I34" i="40"/>
  <c r="AD44" i="2"/>
  <c r="N81" i="10"/>
  <c r="Y81" i="23"/>
  <c r="AD81" i="27"/>
  <c r="Y82" i="2"/>
  <c r="Z82" i="2" s="1"/>
  <c r="I60" i="40"/>
  <c r="AB79" i="23"/>
  <c r="AH79" i="27"/>
  <c r="AD80" i="2"/>
  <c r="P79" i="23"/>
  <c r="L79" i="27"/>
  <c r="H61" i="74" s="1"/>
  <c r="I61" i="74" s="1"/>
  <c r="R79" i="27"/>
  <c r="P80" i="2"/>
  <c r="Q80" i="2" s="1"/>
  <c r="S132" i="41"/>
  <c r="T132" i="41"/>
  <c r="L75" i="27"/>
  <c r="H58" i="74" s="1"/>
  <c r="I58" i="74" s="1"/>
  <c r="P75" i="23"/>
  <c r="R75" i="27"/>
  <c r="P76" i="2"/>
  <c r="Q76" i="2" s="1"/>
  <c r="V179" i="23"/>
  <c r="Z179" i="27"/>
  <c r="V180" i="2"/>
  <c r="W180" i="2" s="1"/>
  <c r="S76" i="23"/>
  <c r="V76" i="27"/>
  <c r="S77" i="2"/>
  <c r="T77" i="2" s="1"/>
  <c r="I56" i="40"/>
  <c r="AB74" i="23"/>
  <c r="AH74" i="27"/>
  <c r="AD75" i="2"/>
  <c r="AF73" i="27"/>
  <c r="AJ122" i="28"/>
  <c r="AE122" i="28"/>
  <c r="Z122" i="28"/>
  <c r="S124" i="2"/>
  <c r="T124" i="2" s="1"/>
  <c r="S123" i="23"/>
  <c r="S77" i="23"/>
  <c r="V77" i="27"/>
  <c r="S78" i="2"/>
  <c r="T78" i="2" s="1"/>
  <c r="AI95" i="28"/>
  <c r="V123" i="2"/>
  <c r="W123" i="2" s="1"/>
  <c r="V122" i="23"/>
  <c r="Z122" i="27"/>
  <c r="S79" i="23"/>
  <c r="V79" i="27"/>
  <c r="S80" i="2"/>
  <c r="T80" i="2" s="1"/>
  <c r="Y79" i="23"/>
  <c r="AD79" i="27"/>
  <c r="Y80" i="2"/>
  <c r="Z80" i="2" s="1"/>
  <c r="V174" i="23"/>
  <c r="Z174" i="27"/>
  <c r="V175" i="2"/>
  <c r="W175" i="2" s="1"/>
  <c r="S75" i="23"/>
  <c r="V75" i="27"/>
  <c r="S76" i="2"/>
  <c r="T76" i="2" s="1"/>
  <c r="V75" i="23"/>
  <c r="Z75" i="27"/>
  <c r="V76" i="2"/>
  <c r="W76" i="2" s="1"/>
  <c r="S179" i="23"/>
  <c r="V179" i="27"/>
  <c r="S180" i="2"/>
  <c r="T180" i="2" s="1"/>
  <c r="AB76" i="23"/>
  <c r="I58" i="40"/>
  <c r="AH76" i="27"/>
  <c r="AD77" i="2"/>
  <c r="AE77" i="2" s="1"/>
  <c r="P74" i="23"/>
  <c r="L74" i="27"/>
  <c r="H57" i="74" s="1"/>
  <c r="I57" i="74" s="1"/>
  <c r="R74" i="27"/>
  <c r="P75" i="2"/>
  <c r="P73" i="27"/>
  <c r="S74" i="23"/>
  <c r="V74" i="27"/>
  <c r="S75" i="2"/>
  <c r="T73" i="27"/>
  <c r="S73" i="23" s="1"/>
  <c r="V123" i="23"/>
  <c r="V124" i="2"/>
  <c r="W124" i="2" s="1"/>
  <c r="P124" i="23"/>
  <c r="P125" i="2"/>
  <c r="Q125" i="2" s="1"/>
  <c r="L124" i="27"/>
  <c r="H95" i="74" s="1"/>
  <c r="I95" i="74" s="1"/>
  <c r="R124" i="27"/>
  <c r="AJ123" i="28"/>
  <c r="L77" i="27"/>
  <c r="H60" i="74" s="1"/>
  <c r="P77" i="23"/>
  <c r="R77" i="27"/>
  <c r="P78" i="2"/>
  <c r="Q78" i="2" s="1"/>
  <c r="L96" i="27"/>
  <c r="H74" i="74" s="1"/>
  <c r="P96" i="23"/>
  <c r="P97" i="2"/>
  <c r="S96" i="23"/>
  <c r="V96" i="27"/>
  <c r="S97" i="2"/>
  <c r="T97" i="2" s="1"/>
  <c r="C69" i="28"/>
  <c r="Z120" i="28"/>
  <c r="AE120" i="28"/>
  <c r="AJ120" i="28"/>
  <c r="S121" i="23"/>
  <c r="S122" i="2"/>
  <c r="T122" i="2" s="1"/>
  <c r="V121" i="27"/>
  <c r="Z121" i="28"/>
  <c r="AE121" i="28"/>
  <c r="AJ121" i="28"/>
  <c r="S46" i="41"/>
  <c r="T46" i="41"/>
  <c r="S60" i="23"/>
  <c r="V60" i="27"/>
  <c r="S61" i="2"/>
  <c r="T61" i="2" s="1"/>
  <c r="S43" i="23"/>
  <c r="S44" i="2"/>
  <c r="Y42" i="28"/>
  <c r="I61" i="40"/>
  <c r="AB81" i="23"/>
  <c r="AH81" i="27"/>
  <c r="AD82" i="2"/>
  <c r="AE82" i="2" s="1"/>
  <c r="S81" i="23"/>
  <c r="V81" i="27"/>
  <c r="S82" i="2"/>
  <c r="T82" i="2" s="1"/>
  <c r="V126" i="23"/>
  <c r="V127" i="2"/>
  <c r="W127" i="2" s="1"/>
  <c r="P126" i="23"/>
  <c r="P127" i="2"/>
  <c r="Q127" i="2" s="1"/>
  <c r="L126" i="27"/>
  <c r="H97" i="74" s="1"/>
  <c r="I97" i="74" s="1"/>
  <c r="R126" i="27"/>
  <c r="I96" i="40"/>
  <c r="AB126" i="23"/>
  <c r="AD127" i="2"/>
  <c r="AE127" i="2" s="1"/>
  <c r="Y126" i="23"/>
  <c r="Y127" i="2"/>
  <c r="Z127" i="2" s="1"/>
  <c r="AD126" i="27"/>
  <c r="Z125" i="28"/>
  <c r="AJ125" i="28"/>
  <c r="AE125" i="28"/>
  <c r="S96" i="41"/>
  <c r="T96" i="41"/>
  <c r="S127" i="2"/>
  <c r="T127" i="2" s="1"/>
  <c r="S126" i="23"/>
  <c r="S126" i="2"/>
  <c r="T126" i="2" s="1"/>
  <c r="S125" i="23"/>
  <c r="V125" i="27"/>
  <c r="Y125" i="23"/>
  <c r="Y126" i="2"/>
  <c r="Z126" i="2" s="1"/>
  <c r="AD125" i="27"/>
  <c r="P126" i="2"/>
  <c r="Q126" i="2" s="1"/>
  <c r="L125" i="27"/>
  <c r="H96" i="74" s="1"/>
  <c r="I96" i="74" s="1"/>
  <c r="P125" i="23"/>
  <c r="R125" i="27"/>
  <c r="V126" i="2"/>
  <c r="W126" i="2" s="1"/>
  <c r="V125" i="23"/>
  <c r="Z125" i="27"/>
  <c r="T95" i="41"/>
  <c r="S95" i="41"/>
  <c r="AJ124" i="28"/>
  <c r="Z124" i="28"/>
  <c r="AE124" i="28"/>
  <c r="I95" i="40"/>
  <c r="AB125" i="23"/>
  <c r="AD126" i="2"/>
  <c r="AE126" i="2" s="1"/>
  <c r="AH125" i="27"/>
  <c r="V127" i="23"/>
  <c r="V128" i="2"/>
  <c r="W128" i="2" s="1"/>
  <c r="Z127" i="27"/>
  <c r="AJ126" i="28"/>
  <c r="AE126" i="28"/>
  <c r="Z126" i="28"/>
  <c r="P127" i="23"/>
  <c r="P128" i="2"/>
  <c r="Q128" i="2" s="1"/>
  <c r="L127" i="27"/>
  <c r="H98" i="74" s="1"/>
  <c r="I98" i="74" s="1"/>
  <c r="R127" i="27"/>
  <c r="S128" i="2"/>
  <c r="T128" i="2" s="1"/>
  <c r="S127" i="23"/>
  <c r="V127" i="27"/>
  <c r="AD128" i="2"/>
  <c r="AE128" i="2" s="1"/>
  <c r="I97" i="40"/>
  <c r="AB127" i="23"/>
  <c r="AH127" i="27"/>
  <c r="T97" i="41"/>
  <c r="S97" i="41"/>
  <c r="Y127" i="23"/>
  <c r="Y128" i="2"/>
  <c r="Z128" i="2" s="1"/>
  <c r="AD127" i="27"/>
  <c r="Y129" i="2"/>
  <c r="Z129" i="2" s="1"/>
  <c r="AB120" i="27"/>
  <c r="Y128" i="23"/>
  <c r="AD128" i="27"/>
  <c r="V128" i="23"/>
  <c r="V129" i="2"/>
  <c r="W129" i="2" s="1"/>
  <c r="X120" i="27"/>
  <c r="Z128" i="27"/>
  <c r="L128" i="27"/>
  <c r="H99" i="74" s="1"/>
  <c r="I99" i="74" s="1"/>
  <c r="P128" i="23"/>
  <c r="P120" i="27"/>
  <c r="P129" i="2"/>
  <c r="Q129" i="2" s="1"/>
  <c r="R128" i="27"/>
  <c r="T98" i="41"/>
  <c r="S98" i="41"/>
  <c r="S129" i="2"/>
  <c r="T129" i="2" s="1"/>
  <c r="T120" i="27"/>
  <c r="S128" i="23"/>
  <c r="V128" i="27"/>
  <c r="AF120" i="27"/>
  <c r="I98" i="40"/>
  <c r="AB128" i="23"/>
  <c r="AD129" i="2"/>
  <c r="AH128" i="27"/>
  <c r="S46" i="25"/>
  <c r="V46" i="25"/>
  <c r="T50" i="25"/>
  <c r="AN79" i="28"/>
  <c r="L81" i="28"/>
  <c r="T81" i="28"/>
  <c r="T79" i="28"/>
  <c r="T46" i="25"/>
  <c r="U50" i="25"/>
  <c r="S58" i="25"/>
  <c r="R154" i="25"/>
  <c r="T135" i="25"/>
  <c r="R161" i="25"/>
  <c r="K135" i="25"/>
  <c r="V135" i="25"/>
  <c r="V120" i="25" s="1"/>
  <c r="T92" i="25"/>
  <c r="U39" i="25"/>
  <c r="U67" i="25"/>
  <c r="U108" i="25"/>
  <c r="V108" i="25"/>
  <c r="Q173" i="25"/>
  <c r="G29" i="30" s="1"/>
  <c r="V62" i="25"/>
  <c r="P135" i="25"/>
  <c r="S136" i="25"/>
  <c r="S135" i="25" s="1"/>
  <c r="C58" i="28"/>
  <c r="C45" i="41"/>
  <c r="C136" i="41"/>
  <c r="C177" i="28"/>
  <c r="C63" i="28"/>
  <c r="C49" i="41"/>
  <c r="C90" i="41"/>
  <c r="C117" i="28"/>
  <c r="C130" i="41"/>
  <c r="C169" i="28"/>
  <c r="C76" i="41"/>
  <c r="C101" i="28"/>
  <c r="C138" i="41"/>
  <c r="C179" i="28"/>
  <c r="C64" i="28"/>
  <c r="C50" i="41"/>
  <c r="C125" i="41"/>
  <c r="C161" i="28"/>
  <c r="C37" i="41"/>
  <c r="C47" i="28"/>
  <c r="Q38" i="74"/>
  <c r="T114" i="25"/>
  <c r="C51" i="41"/>
  <c r="C66" i="28"/>
  <c r="U154" i="25"/>
  <c r="C53" i="28"/>
  <c r="C42" i="41"/>
  <c r="C117" i="41"/>
  <c r="C150" i="28"/>
  <c r="U148" i="25"/>
  <c r="C131" i="41"/>
  <c r="C172" i="28"/>
  <c r="C84" i="41"/>
  <c r="C110" i="28"/>
  <c r="C87" i="28"/>
  <c r="C66" i="41"/>
  <c r="C55" i="28"/>
  <c r="C43" i="41"/>
  <c r="S94" i="23"/>
  <c r="V94" i="27"/>
  <c r="S95" i="2"/>
  <c r="T95" i="2" s="1"/>
  <c r="C68" i="28"/>
  <c r="C53" i="41"/>
  <c r="C62" i="28"/>
  <c r="C48" i="41"/>
  <c r="C49" i="28"/>
  <c r="C38" i="41"/>
  <c r="T45" i="28"/>
  <c r="Q56" i="25"/>
  <c r="V94" i="23"/>
  <c r="Z94" i="27"/>
  <c r="V95" i="2"/>
  <c r="W95" i="2" s="1"/>
  <c r="C33" i="41"/>
  <c r="C41" i="28"/>
  <c r="C174" i="28"/>
  <c r="C133" i="41"/>
  <c r="C106" i="41"/>
  <c r="C136" i="28"/>
  <c r="T102" i="25"/>
  <c r="C92" i="28"/>
  <c r="C70" i="41"/>
  <c r="C30" i="41"/>
  <c r="C38" i="28"/>
  <c r="C115" i="41"/>
  <c r="C148" i="28"/>
  <c r="T86" i="25"/>
  <c r="U114" i="25"/>
  <c r="V114" i="25"/>
  <c r="C39" i="28"/>
  <c r="C31" i="41"/>
  <c r="Q67" i="25"/>
  <c r="G13" i="30" s="1"/>
  <c r="Q108" i="25"/>
  <c r="G20" i="30" s="1"/>
  <c r="C153" i="28"/>
  <c r="C119" i="41"/>
  <c r="C83" i="41"/>
  <c r="C109" i="28"/>
  <c r="C147" i="28"/>
  <c r="C114" i="41"/>
  <c r="Q148" i="25"/>
  <c r="G25" i="30" s="1"/>
  <c r="T62" i="25"/>
  <c r="C87" i="41"/>
  <c r="C114" i="28"/>
  <c r="C164" i="28"/>
  <c r="C128" i="41"/>
  <c r="Q135" i="25"/>
  <c r="G24" i="30" s="1"/>
  <c r="O135" i="25"/>
  <c r="O120" i="25" s="1"/>
  <c r="M135" i="25"/>
  <c r="C69" i="41"/>
  <c r="C91" i="28"/>
  <c r="U92" i="25"/>
  <c r="T161" i="25"/>
  <c r="V161" i="25"/>
  <c r="V160" i="25" s="1"/>
  <c r="C70" i="28"/>
  <c r="C55" i="41"/>
  <c r="C176" i="28"/>
  <c r="C135" i="41"/>
  <c r="T58" i="25"/>
  <c r="V58" i="25"/>
  <c r="C122" i="41"/>
  <c r="C156" i="28"/>
  <c r="M80" i="10"/>
  <c r="I71" i="40"/>
  <c r="AB94" i="23"/>
  <c r="AD95" i="2"/>
  <c r="C102" i="28"/>
  <c r="C77" i="41"/>
  <c r="C149" i="28"/>
  <c r="C116" i="41"/>
  <c r="C94" i="28"/>
  <c r="C72" i="41"/>
  <c r="V50" i="25"/>
  <c r="C108" i="41"/>
  <c r="C138" i="28"/>
  <c r="U102" i="25"/>
  <c r="C126" i="41"/>
  <c r="C162" i="28"/>
  <c r="C118" i="41"/>
  <c r="C151" i="28"/>
  <c r="C67" i="41"/>
  <c r="C88" i="28"/>
  <c r="Q37" i="74"/>
  <c r="C36" i="41"/>
  <c r="C46" i="28"/>
  <c r="U46" i="25"/>
  <c r="U86" i="25"/>
  <c r="V86" i="25"/>
  <c r="Q114" i="25"/>
  <c r="G21" i="30" s="1"/>
  <c r="C154" i="28"/>
  <c r="C120" i="41"/>
  <c r="R67" i="25"/>
  <c r="V67" i="25"/>
  <c r="C81" i="41"/>
  <c r="C107" i="28"/>
  <c r="S154" i="25"/>
  <c r="C65" i="41"/>
  <c r="C86" i="28"/>
  <c r="C105" i="28"/>
  <c r="C80" i="41"/>
  <c r="S148" i="25"/>
  <c r="T173" i="25"/>
  <c r="V173" i="25"/>
  <c r="V172" i="25" s="1"/>
  <c r="V168" i="25" s="1"/>
  <c r="C61" i="28"/>
  <c r="C47" i="41"/>
  <c r="U62" i="25"/>
  <c r="C78" i="41"/>
  <c r="C103" i="28"/>
  <c r="C104" i="41"/>
  <c r="C134" i="28"/>
  <c r="U135" i="25"/>
  <c r="N135" i="25"/>
  <c r="C52" i="28"/>
  <c r="C41" i="41"/>
  <c r="Q92" i="25"/>
  <c r="G18" i="30" s="1"/>
  <c r="U161" i="25"/>
  <c r="C50" i="28"/>
  <c r="C39" i="41"/>
  <c r="C121" i="41"/>
  <c r="C155" i="28"/>
  <c r="U58" i="25"/>
  <c r="C74" i="41"/>
  <c r="C96" i="28"/>
  <c r="M82" i="10"/>
  <c r="N80" i="10"/>
  <c r="P94" i="23"/>
  <c r="P95" i="2"/>
  <c r="C108" i="28"/>
  <c r="C82" i="41"/>
  <c r="C40" i="28"/>
  <c r="C32" i="41"/>
  <c r="C79" i="41"/>
  <c r="C104" i="28"/>
  <c r="Q102" i="25"/>
  <c r="G19" i="30" s="1"/>
  <c r="C135" i="28"/>
  <c r="C105" i="41"/>
  <c r="C137" i="28"/>
  <c r="C107" i="41"/>
  <c r="T39" i="25"/>
  <c r="V39" i="25"/>
  <c r="C88" i="41"/>
  <c r="C115" i="28"/>
  <c r="C85" i="28"/>
  <c r="C64" i="41"/>
  <c r="Q86" i="25"/>
  <c r="G17" i="30" s="1"/>
  <c r="C113" i="28"/>
  <c r="C86" i="41"/>
  <c r="R114" i="25"/>
  <c r="T67" i="25"/>
  <c r="C51" i="28"/>
  <c r="C40" i="41"/>
  <c r="T108" i="25"/>
  <c r="T154" i="25"/>
  <c r="V154" i="25"/>
  <c r="C134" i="41"/>
  <c r="C175" i="28"/>
  <c r="T148" i="25"/>
  <c r="V148" i="25"/>
  <c r="U173" i="25"/>
  <c r="C85" i="41"/>
  <c r="C111" i="28"/>
  <c r="Q62" i="25"/>
  <c r="G12" i="30" s="1"/>
  <c r="C52" i="41"/>
  <c r="C67" i="28"/>
  <c r="C89" i="41"/>
  <c r="C116" i="28"/>
  <c r="R135" i="25"/>
  <c r="L135" i="25"/>
  <c r="L120" i="25" s="1"/>
  <c r="AC121" i="2"/>
  <c r="C123" i="41"/>
  <c r="C157" i="28"/>
  <c r="V92" i="25"/>
  <c r="C124" i="41"/>
  <c r="C160" i="28"/>
  <c r="Q161" i="25"/>
  <c r="G27" i="30" s="1"/>
  <c r="C127" i="41"/>
  <c r="C163" i="28"/>
  <c r="C57" i="28"/>
  <c r="C44" i="41"/>
  <c r="Q58" i="25"/>
  <c r="G11" i="30" s="1"/>
  <c r="A180" i="27"/>
  <c r="A179" i="27"/>
  <c r="A178" i="27"/>
  <c r="A177" i="27"/>
  <c r="A176" i="27"/>
  <c r="A175" i="27"/>
  <c r="A174" i="27"/>
  <c r="A173" i="27"/>
  <c r="J170" i="27"/>
  <c r="I170" i="27"/>
  <c r="H170" i="27"/>
  <c r="G170" i="27"/>
  <c r="F170" i="27"/>
  <c r="E170" i="27"/>
  <c r="D170" i="27"/>
  <c r="A170" i="27"/>
  <c r="A165" i="27"/>
  <c r="A164" i="27"/>
  <c r="A163" i="27"/>
  <c r="A162" i="27"/>
  <c r="A161" i="27"/>
  <c r="A158" i="27"/>
  <c r="A157" i="27"/>
  <c r="A156" i="27"/>
  <c r="A155" i="27"/>
  <c r="A154" i="27"/>
  <c r="A152" i="27"/>
  <c r="A151" i="27"/>
  <c r="A150" i="27"/>
  <c r="A149" i="27"/>
  <c r="A148" i="27"/>
  <c r="A139" i="27"/>
  <c r="A138" i="27"/>
  <c r="A137" i="27"/>
  <c r="A97" i="27"/>
  <c r="A96" i="27"/>
  <c r="A95" i="27"/>
  <c r="A94" i="27"/>
  <c r="A93" i="27"/>
  <c r="A92" i="27"/>
  <c r="A90" i="27"/>
  <c r="A89" i="27"/>
  <c r="A88" i="27"/>
  <c r="A87" i="27"/>
  <c r="A86" i="27"/>
  <c r="A82" i="27"/>
  <c r="A81" i="27"/>
  <c r="A80" i="27"/>
  <c r="A79" i="27"/>
  <c r="A77" i="27"/>
  <c r="A76" i="27"/>
  <c r="A75" i="27"/>
  <c r="G60" i="27"/>
  <c r="F60" i="27"/>
  <c r="E60" i="27"/>
  <c r="D60" i="27"/>
  <c r="G59" i="27"/>
  <c r="F59" i="27"/>
  <c r="E59" i="27"/>
  <c r="D59" i="27"/>
  <c r="G58" i="27"/>
  <c r="F58" i="27"/>
  <c r="E58" i="27"/>
  <c r="D58" i="27"/>
  <c r="A37" i="27"/>
  <c r="A36" i="27"/>
  <c r="A35" i="27"/>
  <c r="A34" i="27"/>
  <c r="A33" i="27"/>
  <c r="R170" i="26"/>
  <c r="R139" i="26"/>
  <c r="R138" i="26"/>
  <c r="R137" i="26"/>
  <c r="R136" i="26"/>
  <c r="R135" i="26"/>
  <c r="R128" i="26"/>
  <c r="R127" i="26"/>
  <c r="R126" i="26"/>
  <c r="R125" i="26"/>
  <c r="R124" i="26"/>
  <c r="R123" i="26"/>
  <c r="R122" i="26"/>
  <c r="R121" i="26"/>
  <c r="R120" i="26"/>
  <c r="R69" i="26"/>
  <c r="R60" i="26"/>
  <c r="R51" i="26"/>
  <c r="W171" i="25"/>
  <c r="W140" i="25"/>
  <c r="W139" i="25"/>
  <c r="W138" i="25"/>
  <c r="W137" i="25"/>
  <c r="W136" i="25"/>
  <c r="W70" i="25"/>
  <c r="W63" i="25"/>
  <c r="W61" i="25"/>
  <c r="W52" i="25"/>
  <c r="W31" i="25"/>
  <c r="W28" i="25"/>
  <c r="W25" i="25"/>
  <c r="W24" i="25"/>
  <c r="W22" i="25"/>
  <c r="W21" i="25"/>
  <c r="W17" i="25"/>
  <c r="W16" i="25"/>
  <c r="R170" i="24"/>
  <c r="U170" i="24" s="1"/>
  <c r="R139" i="24"/>
  <c r="U139" i="24" s="1"/>
  <c r="R138" i="24"/>
  <c r="U138" i="24" s="1"/>
  <c r="R137" i="24"/>
  <c r="U137" i="24" s="1"/>
  <c r="R136" i="24"/>
  <c r="U136" i="24" s="1"/>
  <c r="R135" i="24"/>
  <c r="U135" i="24" s="1"/>
  <c r="R128" i="24"/>
  <c r="U128" i="24" s="1"/>
  <c r="R127" i="24"/>
  <c r="U127" i="24" s="1"/>
  <c r="R126" i="24"/>
  <c r="U126" i="24" s="1"/>
  <c r="R125" i="24"/>
  <c r="U125" i="24" s="1"/>
  <c r="R124" i="24"/>
  <c r="U124" i="24" s="1"/>
  <c r="R123" i="24"/>
  <c r="U123" i="24" s="1"/>
  <c r="R122" i="24"/>
  <c r="U122" i="24" s="1"/>
  <c r="R121" i="24"/>
  <c r="U120" i="24"/>
  <c r="R69" i="24"/>
  <c r="U69" i="24" s="1"/>
  <c r="R62" i="24"/>
  <c r="U62" i="24" s="1"/>
  <c r="R60" i="24"/>
  <c r="U60" i="24" s="1"/>
  <c r="R51" i="24"/>
  <c r="U51" i="24" s="1"/>
  <c r="R30" i="24"/>
  <c r="U30" i="24" s="1"/>
  <c r="R27" i="24"/>
  <c r="U27" i="24" s="1"/>
  <c r="R24" i="24"/>
  <c r="U24" i="24" s="1"/>
  <c r="R23" i="24"/>
  <c r="U23" i="24" s="1"/>
  <c r="R21" i="24"/>
  <c r="U21" i="24" s="1"/>
  <c r="R20" i="24"/>
  <c r="U20" i="24" s="1"/>
  <c r="R16" i="24"/>
  <c r="U16" i="24" s="1"/>
  <c r="R15" i="24"/>
  <c r="U15" i="24" s="1"/>
  <c r="A171" i="27"/>
  <c r="A168" i="27"/>
  <c r="A159" i="27"/>
  <c r="A146" i="27"/>
  <c r="A100" i="27"/>
  <c r="A167" i="27"/>
  <c r="A99" i="27"/>
  <c r="A172" i="27"/>
  <c r="A169" i="27"/>
  <c r="A160" i="27"/>
  <c r="A153" i="27"/>
  <c r="A147" i="27"/>
  <c r="A91" i="27"/>
  <c r="A78" i="27"/>
  <c r="A32" i="27"/>
  <c r="A31" i="27"/>
  <c r="A30" i="27"/>
  <c r="A29" i="27"/>
  <c r="A28" i="27"/>
  <c r="A27" i="27"/>
  <c r="A26" i="27"/>
  <c r="A25" i="27"/>
  <c r="A24" i="27"/>
  <c r="A23" i="27"/>
  <c r="A22" i="27"/>
  <c r="A21" i="27"/>
  <c r="A20" i="27"/>
  <c r="A19" i="27"/>
  <c r="A18" i="27"/>
  <c r="A17" i="27"/>
  <c r="A16" i="27"/>
  <c r="A15" i="27"/>
  <c r="A14" i="27"/>
  <c r="A13" i="27"/>
  <c r="A12" i="27"/>
  <c r="A11" i="27"/>
  <c r="A10" i="27"/>
  <c r="A9" i="27"/>
  <c r="A8" i="27"/>
  <c r="A7" i="27"/>
  <c r="A6" i="27"/>
  <c r="A180" i="26"/>
  <c r="A179" i="26"/>
  <c r="A178" i="26"/>
  <c r="A177" i="26"/>
  <c r="A176" i="26"/>
  <c r="A175" i="26"/>
  <c r="A174" i="26"/>
  <c r="A173" i="26"/>
  <c r="A172" i="26"/>
  <c r="A171" i="26"/>
  <c r="J170" i="26"/>
  <c r="I170" i="26"/>
  <c r="H170" i="26"/>
  <c r="G170" i="26"/>
  <c r="F170" i="26"/>
  <c r="E170" i="26"/>
  <c r="D170" i="26"/>
  <c r="A170" i="26"/>
  <c r="A168" i="26"/>
  <c r="A167" i="26"/>
  <c r="A165" i="26"/>
  <c r="A164" i="26"/>
  <c r="A163" i="26"/>
  <c r="A162" i="26"/>
  <c r="A161" i="26"/>
  <c r="A160" i="26"/>
  <c r="A159" i="26"/>
  <c r="A158" i="26"/>
  <c r="A157" i="26"/>
  <c r="A156" i="26"/>
  <c r="A155" i="26"/>
  <c r="A154" i="26"/>
  <c r="A153" i="26"/>
  <c r="A152" i="26"/>
  <c r="A151" i="26"/>
  <c r="A150" i="26"/>
  <c r="A149" i="26"/>
  <c r="A148" i="26"/>
  <c r="A147" i="26"/>
  <c r="A146" i="26"/>
  <c r="A139" i="26"/>
  <c r="A138" i="26"/>
  <c r="A137" i="26"/>
  <c r="A136" i="26"/>
  <c r="A135" i="26"/>
  <c r="A134" i="26"/>
  <c r="A128" i="26"/>
  <c r="A127" i="26"/>
  <c r="A126" i="26"/>
  <c r="A125" i="26"/>
  <c r="A124" i="26"/>
  <c r="A123" i="26"/>
  <c r="A122" i="26"/>
  <c r="A121" i="26"/>
  <c r="A120" i="26"/>
  <c r="A118" i="26"/>
  <c r="A117" i="26"/>
  <c r="A116" i="26"/>
  <c r="A115" i="26"/>
  <c r="A114" i="26"/>
  <c r="A113" i="26"/>
  <c r="A112" i="26"/>
  <c r="A111" i="26"/>
  <c r="A110" i="26"/>
  <c r="A109" i="26"/>
  <c r="A108" i="26"/>
  <c r="A107" i="26"/>
  <c r="A106" i="26"/>
  <c r="A105" i="26"/>
  <c r="A104" i="26"/>
  <c r="A103" i="26"/>
  <c r="A102" i="26"/>
  <c r="A101" i="26"/>
  <c r="A100" i="26"/>
  <c r="A99" i="26"/>
  <c r="A97" i="26"/>
  <c r="A96" i="26"/>
  <c r="A95" i="26"/>
  <c r="A94" i="26"/>
  <c r="A93" i="26"/>
  <c r="A92" i="26"/>
  <c r="A91" i="26"/>
  <c r="A90" i="26"/>
  <c r="A89" i="26"/>
  <c r="A88" i="26"/>
  <c r="A87" i="26"/>
  <c r="A86" i="26"/>
  <c r="A85" i="26"/>
  <c r="A82" i="26"/>
  <c r="A81" i="26"/>
  <c r="A80" i="26"/>
  <c r="A79" i="26"/>
  <c r="A78" i="26"/>
  <c r="A77" i="26"/>
  <c r="A76" i="26"/>
  <c r="A75" i="26"/>
  <c r="A74" i="26"/>
  <c r="A73" i="26"/>
  <c r="A72" i="26"/>
  <c r="A71" i="26"/>
  <c r="A70" i="26"/>
  <c r="A69" i="26"/>
  <c r="A68" i="26"/>
  <c r="A67" i="26"/>
  <c r="A66" i="26"/>
  <c r="A65" i="26"/>
  <c r="A64" i="26"/>
  <c r="A63" i="26"/>
  <c r="A62" i="26"/>
  <c r="A61" i="26"/>
  <c r="G60" i="26"/>
  <c r="F60" i="26"/>
  <c r="E60" i="26"/>
  <c r="D60" i="26"/>
  <c r="A60" i="26"/>
  <c r="G59" i="26"/>
  <c r="F59" i="26"/>
  <c r="E59" i="26"/>
  <c r="D59" i="26"/>
  <c r="A59" i="26"/>
  <c r="G58" i="26"/>
  <c r="F58" i="26"/>
  <c r="E58" i="26"/>
  <c r="D58" i="26"/>
  <c r="A58" i="26"/>
  <c r="A57" i="26"/>
  <c r="A56" i="26"/>
  <c r="A55" i="26"/>
  <c r="A54" i="26"/>
  <c r="A53" i="26"/>
  <c r="A52" i="26"/>
  <c r="A51" i="26"/>
  <c r="A50" i="26"/>
  <c r="A49" i="26"/>
  <c r="A48" i="26"/>
  <c r="A47" i="26"/>
  <c r="A46" i="26"/>
  <c r="A43" i="26"/>
  <c r="A42" i="26"/>
  <c r="A41" i="26"/>
  <c r="A40" i="26"/>
  <c r="A39" i="26"/>
  <c r="A38" i="26"/>
  <c r="A37" i="26"/>
  <c r="A36" i="26"/>
  <c r="A35" i="26"/>
  <c r="A34" i="26"/>
  <c r="A33" i="26"/>
  <c r="A32" i="26"/>
  <c r="A31" i="26"/>
  <c r="A30" i="26"/>
  <c r="A29" i="26"/>
  <c r="A28" i="26"/>
  <c r="A27" i="26"/>
  <c r="A26" i="26"/>
  <c r="A25" i="26"/>
  <c r="A24" i="26"/>
  <c r="A23" i="26"/>
  <c r="A22" i="26"/>
  <c r="A21" i="26"/>
  <c r="A20" i="26"/>
  <c r="A19" i="26"/>
  <c r="A18" i="26"/>
  <c r="A17" i="26"/>
  <c r="A16" i="26"/>
  <c r="A15" i="26"/>
  <c r="A14" i="26"/>
  <c r="A13" i="26"/>
  <c r="A12" i="26"/>
  <c r="A11" i="26"/>
  <c r="A10" i="26"/>
  <c r="A9" i="26"/>
  <c r="A181" i="25"/>
  <c r="A180" i="25"/>
  <c r="A179" i="25"/>
  <c r="A178" i="25"/>
  <c r="J171" i="25"/>
  <c r="I171" i="25"/>
  <c r="H171" i="25"/>
  <c r="G171" i="25"/>
  <c r="F171" i="25"/>
  <c r="E171" i="25"/>
  <c r="D171" i="25"/>
  <c r="A153" i="25"/>
  <c r="A152" i="25"/>
  <c r="A151" i="25"/>
  <c r="A150" i="25"/>
  <c r="A149" i="25"/>
  <c r="A148" i="25"/>
  <c r="A147" i="25"/>
  <c r="A140" i="25"/>
  <c r="A139" i="25"/>
  <c r="A138" i="25"/>
  <c r="A137" i="25"/>
  <c r="A136" i="25"/>
  <c r="A135" i="25"/>
  <c r="A129" i="25"/>
  <c r="A128" i="25"/>
  <c r="A127" i="25"/>
  <c r="A126" i="25"/>
  <c r="A125" i="25"/>
  <c r="A124" i="25"/>
  <c r="A123" i="25"/>
  <c r="A122" i="25"/>
  <c r="A121" i="25"/>
  <c r="A119" i="25"/>
  <c r="A118" i="25"/>
  <c r="A117" i="25"/>
  <c r="A116" i="25"/>
  <c r="A115" i="25"/>
  <c r="A114" i="25"/>
  <c r="A113" i="25"/>
  <c r="A112" i="25"/>
  <c r="A111" i="25"/>
  <c r="A110" i="25"/>
  <c r="A109" i="25"/>
  <c r="A108" i="25"/>
  <c r="A107" i="25"/>
  <c r="A106" i="25"/>
  <c r="A105" i="25"/>
  <c r="A104" i="25"/>
  <c r="A103" i="25"/>
  <c r="A102" i="25"/>
  <c r="A101" i="25"/>
  <c r="A100" i="25"/>
  <c r="A98" i="25"/>
  <c r="A97" i="25"/>
  <c r="A96" i="25"/>
  <c r="A95" i="25"/>
  <c r="A94" i="25"/>
  <c r="A93" i="25"/>
  <c r="A92" i="25"/>
  <c r="G61" i="25"/>
  <c r="F61" i="25"/>
  <c r="E61" i="25"/>
  <c r="D61" i="25"/>
  <c r="G60" i="25"/>
  <c r="F60" i="25"/>
  <c r="E60" i="25"/>
  <c r="D60" i="25"/>
  <c r="G59" i="25"/>
  <c r="F59" i="25"/>
  <c r="E59" i="25"/>
  <c r="D59" i="25"/>
  <c r="A38" i="25"/>
  <c r="A37" i="25"/>
  <c r="A36" i="25"/>
  <c r="A35" i="25"/>
  <c r="A34" i="25"/>
  <c r="A33" i="25"/>
  <c r="A32" i="25"/>
  <c r="A31" i="25"/>
  <c r="A30" i="25"/>
  <c r="A29" i="25"/>
  <c r="A28" i="25"/>
  <c r="A27" i="25"/>
  <c r="A26" i="25"/>
  <c r="A25" i="25"/>
  <c r="A24" i="25"/>
  <c r="A23" i="25"/>
  <c r="A22" i="25"/>
  <c r="A21" i="25"/>
  <c r="A20" i="25"/>
  <c r="A19" i="25"/>
  <c r="A18" i="25"/>
  <c r="A17" i="25"/>
  <c r="A16" i="25"/>
  <c r="A15" i="25"/>
  <c r="A14" i="25"/>
  <c r="A13" i="25"/>
  <c r="A12" i="25"/>
  <c r="A11" i="25"/>
  <c r="A10" i="25"/>
  <c r="A7" i="25"/>
  <c r="J170" i="24"/>
  <c r="I170" i="24"/>
  <c r="H170" i="24"/>
  <c r="G170" i="24"/>
  <c r="F170" i="24"/>
  <c r="E170" i="24"/>
  <c r="D170" i="24"/>
  <c r="A168" i="24"/>
  <c r="A167" i="24"/>
  <c r="A165" i="24"/>
  <c r="A164" i="24"/>
  <c r="A163" i="24"/>
  <c r="A162" i="24"/>
  <c r="A161" i="24"/>
  <c r="A160" i="24"/>
  <c r="A159" i="24"/>
  <c r="A158" i="24"/>
  <c r="A157" i="24"/>
  <c r="A156" i="24"/>
  <c r="A155" i="24"/>
  <c r="A154" i="24"/>
  <c r="A153" i="24"/>
  <c r="A152" i="24"/>
  <c r="A151" i="24"/>
  <c r="A150" i="24"/>
  <c r="A149" i="24"/>
  <c r="A148" i="24"/>
  <c r="A147" i="24"/>
  <c r="A146" i="24"/>
  <c r="A139" i="24"/>
  <c r="A138" i="24"/>
  <c r="A137" i="24"/>
  <c r="A136" i="24"/>
  <c r="A135" i="24"/>
  <c r="A134" i="24"/>
  <c r="A128" i="24"/>
  <c r="A127" i="24"/>
  <c r="A126" i="24"/>
  <c r="A125" i="24"/>
  <c r="A124" i="24"/>
  <c r="A123" i="24"/>
  <c r="A122" i="24"/>
  <c r="A121" i="24"/>
  <c r="A120" i="24"/>
  <c r="A119" i="24"/>
  <c r="A118" i="24"/>
  <c r="A117" i="24"/>
  <c r="A116" i="24"/>
  <c r="A115" i="24"/>
  <c r="A114" i="24"/>
  <c r="A113" i="24"/>
  <c r="A112" i="24"/>
  <c r="A111" i="24"/>
  <c r="A110" i="24"/>
  <c r="A109" i="24"/>
  <c r="A108" i="24"/>
  <c r="A107" i="24"/>
  <c r="A106" i="24"/>
  <c r="A105" i="24"/>
  <c r="A104" i="24"/>
  <c r="A103" i="24"/>
  <c r="A102" i="24"/>
  <c r="A101" i="24"/>
  <c r="A100" i="24"/>
  <c r="A99" i="24"/>
  <c r="A97" i="24"/>
  <c r="A96" i="24"/>
  <c r="A95" i="24"/>
  <c r="A94" i="24"/>
  <c r="A93" i="24"/>
  <c r="A92" i="24"/>
  <c r="A91" i="24"/>
  <c r="A90" i="24"/>
  <c r="A89" i="24"/>
  <c r="A88" i="24"/>
  <c r="A87" i="24"/>
  <c r="A86" i="24"/>
  <c r="A85" i="24"/>
  <c r="A82" i="24"/>
  <c r="A81" i="24"/>
  <c r="A80" i="24"/>
  <c r="A79" i="24"/>
  <c r="A78" i="24"/>
  <c r="A77" i="24"/>
  <c r="A76" i="24"/>
  <c r="A75" i="24"/>
  <c r="A74" i="24"/>
  <c r="G60" i="24"/>
  <c r="F60" i="24"/>
  <c r="E60" i="24"/>
  <c r="D60" i="24"/>
  <c r="G59" i="24"/>
  <c r="F59" i="24"/>
  <c r="E59" i="24"/>
  <c r="D59" i="24"/>
  <c r="G58" i="24"/>
  <c r="F58" i="24"/>
  <c r="E58" i="24"/>
  <c r="D58" i="24"/>
  <c r="A37" i="24"/>
  <c r="A36" i="24"/>
  <c r="A35" i="24"/>
  <c r="A33" i="24"/>
  <c r="A31" i="24"/>
  <c r="A30" i="24"/>
  <c r="A29" i="24"/>
  <c r="A28" i="24"/>
  <c r="A27" i="24"/>
  <c r="A26" i="24"/>
  <c r="A25" i="24"/>
  <c r="A24" i="24"/>
  <c r="A23" i="24"/>
  <c r="A22" i="24"/>
  <c r="A21" i="24"/>
  <c r="A20" i="24"/>
  <c r="A19" i="24"/>
  <c r="A18" i="24"/>
  <c r="A17" i="24"/>
  <c r="A16" i="24"/>
  <c r="A15" i="24"/>
  <c r="A14" i="24"/>
  <c r="A13" i="24"/>
  <c r="A12" i="24"/>
  <c r="A11" i="24"/>
  <c r="A10" i="24"/>
  <c r="A9" i="24"/>
  <c r="A6" i="24"/>
  <c r="M14" i="3" l="1"/>
  <c r="N14" i="3"/>
  <c r="Y47" i="2"/>
  <c r="Y45" i="28"/>
  <c r="AD46" i="27"/>
  <c r="AB67" i="28"/>
  <c r="W67" i="28"/>
  <c r="AL67" i="28"/>
  <c r="AG67" i="28"/>
  <c r="R67" i="28"/>
  <c r="R175" i="28"/>
  <c r="AB175" i="28"/>
  <c r="AL175" i="28"/>
  <c r="W175" i="28"/>
  <c r="AG175" i="28"/>
  <c r="R108" i="28"/>
  <c r="W108" i="28"/>
  <c r="AB108" i="28"/>
  <c r="AL108" i="28"/>
  <c r="AG108" i="28"/>
  <c r="W155" i="28"/>
  <c r="R155" i="28"/>
  <c r="AG155" i="28"/>
  <c r="AL155" i="28"/>
  <c r="AB155" i="28"/>
  <c r="R103" i="28"/>
  <c r="AB103" i="28"/>
  <c r="AL103" i="28"/>
  <c r="AG103" i="28"/>
  <c r="W103" i="28"/>
  <c r="R61" i="28"/>
  <c r="AB61" i="28"/>
  <c r="AL61" i="28"/>
  <c r="AG61" i="28"/>
  <c r="W61" i="28"/>
  <c r="R151" i="28"/>
  <c r="P152" i="27" s="1"/>
  <c r="AB151" i="28"/>
  <c r="X152" i="27" s="1"/>
  <c r="AL151" i="28"/>
  <c r="AF152" i="27" s="1"/>
  <c r="W151" i="28"/>
  <c r="T152" i="27" s="1"/>
  <c r="AG151" i="28"/>
  <c r="AB152" i="27" s="1"/>
  <c r="AB114" i="28"/>
  <c r="R114" i="28"/>
  <c r="W114" i="28"/>
  <c r="AL114" i="28"/>
  <c r="AG114" i="28"/>
  <c r="R136" i="28"/>
  <c r="W136" i="28"/>
  <c r="AB136" i="28"/>
  <c r="AL136" i="28"/>
  <c r="AG136" i="28"/>
  <c r="AB41" i="28"/>
  <c r="W41" i="28"/>
  <c r="R41" i="28"/>
  <c r="AG41" i="28"/>
  <c r="AL41" i="28"/>
  <c r="R49" i="28"/>
  <c r="AB49" i="28"/>
  <c r="AL49" i="28"/>
  <c r="W49" i="28"/>
  <c r="AG49" i="28"/>
  <c r="AB68" i="28"/>
  <c r="W68" i="28"/>
  <c r="AL68" i="28"/>
  <c r="AG68" i="28"/>
  <c r="R68" i="28"/>
  <c r="AB87" i="28"/>
  <c r="W87" i="28"/>
  <c r="AG87" i="28"/>
  <c r="AL87" i="28"/>
  <c r="R87" i="28"/>
  <c r="W64" i="28"/>
  <c r="R64" i="28"/>
  <c r="AG64" i="28"/>
  <c r="AL64" i="28"/>
  <c r="AB64" i="28"/>
  <c r="AB93" i="28"/>
  <c r="R93" i="28"/>
  <c r="AL93" i="28"/>
  <c r="W93" i="28"/>
  <c r="AG93" i="28"/>
  <c r="AI93" i="28" s="1"/>
  <c r="AB157" i="28"/>
  <c r="W157" i="28"/>
  <c r="AG157" i="28"/>
  <c r="AL157" i="28"/>
  <c r="R157" i="28"/>
  <c r="W85" i="28"/>
  <c r="R85" i="28"/>
  <c r="AG85" i="28"/>
  <c r="AL85" i="28"/>
  <c r="AB85" i="28"/>
  <c r="W135" i="28"/>
  <c r="R135" i="28"/>
  <c r="AG135" i="28"/>
  <c r="AL135" i="28"/>
  <c r="AB135" i="28"/>
  <c r="R96" i="28"/>
  <c r="W96" i="28"/>
  <c r="AB96" i="28"/>
  <c r="AL96" i="28"/>
  <c r="AG96" i="28"/>
  <c r="AB105" i="28"/>
  <c r="W105" i="28"/>
  <c r="R105" i="28"/>
  <c r="AG105" i="28"/>
  <c r="AL105" i="28"/>
  <c r="W107" i="28"/>
  <c r="R107" i="28"/>
  <c r="AG107" i="28"/>
  <c r="AL107" i="28"/>
  <c r="AB107" i="28"/>
  <c r="AB138" i="28"/>
  <c r="W138" i="28"/>
  <c r="AG138" i="28"/>
  <c r="AL138" i="28"/>
  <c r="R138" i="28"/>
  <c r="AB94" i="28"/>
  <c r="W94" i="28"/>
  <c r="R94" i="28"/>
  <c r="AL94" i="28"/>
  <c r="AG94" i="28"/>
  <c r="W102" i="28"/>
  <c r="R102" i="28"/>
  <c r="AG102" i="28"/>
  <c r="AB102" i="28"/>
  <c r="AL102" i="28"/>
  <c r="R70" i="28"/>
  <c r="AB70" i="28"/>
  <c r="W70" i="28"/>
  <c r="AL70" i="28"/>
  <c r="AG70" i="28"/>
  <c r="W91" i="28"/>
  <c r="R91" i="28"/>
  <c r="AG91" i="28"/>
  <c r="AB91" i="28"/>
  <c r="AL91" i="28"/>
  <c r="R147" i="28"/>
  <c r="W147" i="28"/>
  <c r="AB147" i="28"/>
  <c r="AG147" i="28"/>
  <c r="AL147" i="28"/>
  <c r="AB153" i="28"/>
  <c r="R153" i="28"/>
  <c r="W153" i="28"/>
  <c r="AL153" i="28"/>
  <c r="AG153" i="28"/>
  <c r="R39" i="28"/>
  <c r="AB39" i="28"/>
  <c r="AL39" i="28"/>
  <c r="AG39" i="28"/>
  <c r="W39" i="28"/>
  <c r="AB148" i="28"/>
  <c r="W148" i="28"/>
  <c r="AG148" i="28"/>
  <c r="R148" i="28"/>
  <c r="AL148" i="28"/>
  <c r="AB110" i="28"/>
  <c r="W110" i="28"/>
  <c r="AG110" i="28"/>
  <c r="R110" i="28"/>
  <c r="AL110" i="28"/>
  <c r="R53" i="28"/>
  <c r="W53" i="28"/>
  <c r="AB53" i="28"/>
  <c r="AL53" i="28"/>
  <c r="AG53" i="28"/>
  <c r="W161" i="28"/>
  <c r="R161" i="28"/>
  <c r="AG161" i="28"/>
  <c r="AB161" i="28"/>
  <c r="AL161" i="28"/>
  <c r="R179" i="28"/>
  <c r="W179" i="28"/>
  <c r="AL179" i="28"/>
  <c r="AB179" i="28"/>
  <c r="AG179" i="28"/>
  <c r="R169" i="28"/>
  <c r="W169" i="28"/>
  <c r="AG169" i="28"/>
  <c r="AB169" i="28"/>
  <c r="AL169" i="28"/>
  <c r="Q14" i="3"/>
  <c r="AB57" i="28"/>
  <c r="W57" i="28"/>
  <c r="AG57" i="28"/>
  <c r="AL57" i="28"/>
  <c r="R57" i="28"/>
  <c r="AB160" i="28"/>
  <c r="W160" i="28"/>
  <c r="AG160" i="28"/>
  <c r="AL160" i="28"/>
  <c r="R160" i="28"/>
  <c r="W116" i="28"/>
  <c r="R116" i="28"/>
  <c r="AG116" i="28"/>
  <c r="AL116" i="28"/>
  <c r="AB116" i="28"/>
  <c r="AB51" i="28"/>
  <c r="W51" i="28"/>
  <c r="R51" i="28"/>
  <c r="AL51" i="28"/>
  <c r="AG51" i="28"/>
  <c r="R113" i="28"/>
  <c r="AB113" i="28"/>
  <c r="W113" i="28"/>
  <c r="AG113" i="28"/>
  <c r="AL113" i="28"/>
  <c r="AB115" i="28"/>
  <c r="W115" i="28"/>
  <c r="R115" i="28"/>
  <c r="AG115" i="28"/>
  <c r="AL115" i="28"/>
  <c r="AB40" i="28"/>
  <c r="AL40" i="28"/>
  <c r="R40" i="28"/>
  <c r="W40" i="28"/>
  <c r="AG40" i="28"/>
  <c r="AB134" i="28"/>
  <c r="W134" i="28"/>
  <c r="R134" i="28"/>
  <c r="AG134" i="28"/>
  <c r="AL134" i="28"/>
  <c r="R86" i="28"/>
  <c r="P87" i="27" s="1"/>
  <c r="W86" i="28"/>
  <c r="T87" i="27" s="1"/>
  <c r="AG86" i="28"/>
  <c r="AB87" i="27" s="1"/>
  <c r="AB86" i="28"/>
  <c r="X87" i="27" s="1"/>
  <c r="AL86" i="28"/>
  <c r="AF87" i="27" s="1"/>
  <c r="AB154" i="28"/>
  <c r="X155" i="27" s="1"/>
  <c r="W154" i="28"/>
  <c r="T155" i="27" s="1"/>
  <c r="R154" i="28"/>
  <c r="P155" i="27" s="1"/>
  <c r="AG154" i="28"/>
  <c r="AB155" i="27" s="1"/>
  <c r="AL154" i="28"/>
  <c r="AF155" i="27" s="1"/>
  <c r="AB88" i="28"/>
  <c r="W88" i="28"/>
  <c r="AG88" i="28"/>
  <c r="AL88" i="28"/>
  <c r="R88" i="28"/>
  <c r="R162" i="28"/>
  <c r="AB162" i="28"/>
  <c r="AL162" i="28"/>
  <c r="AG162" i="28"/>
  <c r="W162" i="28"/>
  <c r="R156" i="28"/>
  <c r="W156" i="28"/>
  <c r="AB156" i="28"/>
  <c r="AG156" i="28"/>
  <c r="AL156" i="28"/>
  <c r="AB109" i="28"/>
  <c r="W109" i="28"/>
  <c r="AG109" i="28"/>
  <c r="R109" i="28"/>
  <c r="AL109" i="28"/>
  <c r="R92" i="28"/>
  <c r="P93" i="27" s="1"/>
  <c r="AB92" i="28"/>
  <c r="X93" i="27" s="1"/>
  <c r="W92" i="28"/>
  <c r="T93" i="27" s="1"/>
  <c r="AL92" i="28"/>
  <c r="AF93" i="27" s="1"/>
  <c r="AG92" i="28"/>
  <c r="AB93" i="27" s="1"/>
  <c r="AB62" i="28"/>
  <c r="AL62" i="28"/>
  <c r="R62" i="28"/>
  <c r="AG62" i="28"/>
  <c r="W62" i="28"/>
  <c r="AB55" i="28"/>
  <c r="W55" i="28"/>
  <c r="AG55" i="28"/>
  <c r="AL55" i="28"/>
  <c r="R55" i="28"/>
  <c r="W150" i="28"/>
  <c r="R150" i="28"/>
  <c r="AG150" i="28"/>
  <c r="AB150" i="28"/>
  <c r="AL150" i="28"/>
  <c r="AB63" i="28"/>
  <c r="W63" i="28"/>
  <c r="R63" i="28"/>
  <c r="AG63" i="28"/>
  <c r="AL63" i="28"/>
  <c r="W58" i="28"/>
  <c r="R58" i="28"/>
  <c r="AG58" i="28"/>
  <c r="AL58" i="28"/>
  <c r="AB58" i="28"/>
  <c r="W69" i="28"/>
  <c r="R69" i="28"/>
  <c r="AG69" i="28"/>
  <c r="AB69" i="28"/>
  <c r="AL69" i="28"/>
  <c r="AB163" i="28"/>
  <c r="R163" i="28"/>
  <c r="W163" i="28"/>
  <c r="AG163" i="28"/>
  <c r="AL163" i="28"/>
  <c r="W111" i="28"/>
  <c r="R111" i="28"/>
  <c r="AG111" i="28"/>
  <c r="AB111" i="28"/>
  <c r="AL111" i="28"/>
  <c r="AB137" i="28"/>
  <c r="W137" i="28"/>
  <c r="AG137" i="28"/>
  <c r="AL137" i="28"/>
  <c r="R137" i="28"/>
  <c r="AB104" i="28"/>
  <c r="R104" i="28"/>
  <c r="AG104" i="28"/>
  <c r="W104" i="28"/>
  <c r="AL104" i="28"/>
  <c r="AB50" i="28"/>
  <c r="R50" i="28"/>
  <c r="AL50" i="28"/>
  <c r="W50" i="28"/>
  <c r="AG50" i="28"/>
  <c r="W52" i="28"/>
  <c r="R52" i="28"/>
  <c r="AG52" i="28"/>
  <c r="AB52" i="28"/>
  <c r="AL52" i="28"/>
  <c r="AB46" i="28"/>
  <c r="W46" i="28"/>
  <c r="AL46" i="28"/>
  <c r="AG46" i="28"/>
  <c r="R46" i="28"/>
  <c r="AB149" i="28"/>
  <c r="X150" i="27" s="1"/>
  <c r="W149" i="28"/>
  <c r="T150" i="27" s="1"/>
  <c r="AG149" i="28"/>
  <c r="AB150" i="27" s="1"/>
  <c r="R149" i="28"/>
  <c r="P150" i="27" s="1"/>
  <c r="AL149" i="28"/>
  <c r="AF150" i="27" s="1"/>
  <c r="AB176" i="28"/>
  <c r="X177" i="27" s="1"/>
  <c r="AL176" i="28"/>
  <c r="R176" i="28"/>
  <c r="P177" i="27" s="1"/>
  <c r="W176" i="28"/>
  <c r="T177" i="27" s="1"/>
  <c r="AG176" i="28"/>
  <c r="AB177" i="27" s="1"/>
  <c r="AB164" i="28"/>
  <c r="W164" i="28"/>
  <c r="R164" i="28"/>
  <c r="AG164" i="28"/>
  <c r="AL164" i="28"/>
  <c r="W38" i="28"/>
  <c r="T39" i="27" s="1"/>
  <c r="R38" i="28"/>
  <c r="P39" i="27" s="1"/>
  <c r="AG38" i="28"/>
  <c r="AB39" i="27" s="1"/>
  <c r="AB38" i="28"/>
  <c r="X39" i="27" s="1"/>
  <c r="AL38" i="28"/>
  <c r="AF39" i="27" s="1"/>
  <c r="W174" i="28"/>
  <c r="T175" i="27" s="1"/>
  <c r="R174" i="28"/>
  <c r="P175" i="27" s="1"/>
  <c r="AG174" i="28"/>
  <c r="AB175" i="27" s="1"/>
  <c r="AB174" i="28"/>
  <c r="X175" i="27" s="1"/>
  <c r="AL174" i="28"/>
  <c r="AF175" i="27" s="1"/>
  <c r="AB172" i="28"/>
  <c r="W172" i="28"/>
  <c r="AG172" i="28"/>
  <c r="R172" i="28"/>
  <c r="AL172" i="28"/>
  <c r="R66" i="28"/>
  <c r="W66" i="28"/>
  <c r="AL66" i="28"/>
  <c r="AB66" i="28"/>
  <c r="AG66" i="28"/>
  <c r="W47" i="28"/>
  <c r="R47" i="28"/>
  <c r="AG47" i="28"/>
  <c r="AB47" i="28"/>
  <c r="AL47" i="28"/>
  <c r="AL101" i="28"/>
  <c r="AB101" i="28"/>
  <c r="W101" i="28"/>
  <c r="AG101" i="28"/>
  <c r="R101" i="28"/>
  <c r="R117" i="28"/>
  <c r="W117" i="28"/>
  <c r="AB117" i="28"/>
  <c r="AL117" i="28"/>
  <c r="AG117" i="28"/>
  <c r="AB177" i="28"/>
  <c r="W177" i="28"/>
  <c r="R177" i="28"/>
  <c r="AG177" i="28"/>
  <c r="AL177" i="28"/>
  <c r="AN45" i="28"/>
  <c r="N81" i="28"/>
  <c r="O81" i="28" s="1"/>
  <c r="O80" i="10"/>
  <c r="V46" i="23"/>
  <c r="AB78" i="27"/>
  <c r="L79" i="28"/>
  <c r="N79" i="28" s="1"/>
  <c r="O79" i="28" s="1"/>
  <c r="Y80" i="23"/>
  <c r="Z46" i="27"/>
  <c r="AD80" i="27"/>
  <c r="Y94" i="23"/>
  <c r="M94" i="23" s="1"/>
  <c r="L94" i="27"/>
  <c r="H72" i="74" s="1"/>
  <c r="Y95" i="2"/>
  <c r="Z95" i="2" s="1"/>
  <c r="AD94" i="27"/>
  <c r="L45" i="28"/>
  <c r="O45" i="28" s="1"/>
  <c r="L14" i="3"/>
  <c r="S46" i="23"/>
  <c r="S47" i="2"/>
  <c r="V82" i="23"/>
  <c r="Z82" i="27"/>
  <c r="V83" i="2"/>
  <c r="W83" i="2" s="1"/>
  <c r="AB82" i="23"/>
  <c r="AB78" i="23" s="1"/>
  <c r="AD83" i="2"/>
  <c r="AD79" i="2" s="1"/>
  <c r="J16" i="19"/>
  <c r="V80" i="23"/>
  <c r="Z80" i="27"/>
  <c r="V81" i="2"/>
  <c r="W81" i="2" s="1"/>
  <c r="P47" i="2"/>
  <c r="P46" i="23"/>
  <c r="L46" i="27"/>
  <c r="M47" i="2" s="1"/>
  <c r="Y83" i="2"/>
  <c r="Z83" i="2" s="1"/>
  <c r="Z79" i="2" s="1"/>
  <c r="Y82" i="23"/>
  <c r="Y78" i="23" s="1"/>
  <c r="AD82" i="27"/>
  <c r="X78" i="27"/>
  <c r="AB46" i="23"/>
  <c r="AD47" i="2"/>
  <c r="Q46" i="3"/>
  <c r="AA125" i="2"/>
  <c r="AE125" i="2" s="1"/>
  <c r="O46" i="3"/>
  <c r="U125" i="2"/>
  <c r="T95" i="77" s="1"/>
  <c r="U95" i="77" s="1"/>
  <c r="N46" i="3"/>
  <c r="R125" i="2"/>
  <c r="L50" i="3"/>
  <c r="J27" i="30"/>
  <c r="J21" i="30"/>
  <c r="J24" i="30"/>
  <c r="M24" i="30" s="1"/>
  <c r="P24" i="30" s="1"/>
  <c r="S24" i="30" s="1"/>
  <c r="J13" i="30"/>
  <c r="Q170" i="27"/>
  <c r="Q169" i="27" s="1"/>
  <c r="Q168" i="27" s="1"/>
  <c r="Q131" i="74"/>
  <c r="R131" i="74" s="1"/>
  <c r="V51" i="23"/>
  <c r="T40" i="74"/>
  <c r="Q6" i="24"/>
  <c r="Q181" i="24" s="1"/>
  <c r="L70" i="27"/>
  <c r="H55" i="74" s="1"/>
  <c r="I55" i="74" s="1"/>
  <c r="AG77" i="28"/>
  <c r="AB77" i="28"/>
  <c r="AL77" i="28"/>
  <c r="R77" i="28"/>
  <c r="M96" i="40"/>
  <c r="O96" i="40"/>
  <c r="M56" i="40"/>
  <c r="O56" i="40"/>
  <c r="M60" i="40"/>
  <c r="O60" i="40"/>
  <c r="O59" i="40"/>
  <c r="M137" i="40"/>
  <c r="O137" i="40"/>
  <c r="M132" i="40"/>
  <c r="O132" i="40"/>
  <c r="M98" i="40"/>
  <c r="O98" i="40"/>
  <c r="O58" i="40"/>
  <c r="M93" i="40"/>
  <c r="O93" i="40"/>
  <c r="M91" i="40"/>
  <c r="O91" i="40"/>
  <c r="M57" i="40"/>
  <c r="O57" i="40"/>
  <c r="M92" i="40"/>
  <c r="O92" i="40"/>
  <c r="M94" i="40"/>
  <c r="M97" i="40"/>
  <c r="O97" i="40"/>
  <c r="M95" i="40"/>
  <c r="O95" i="40"/>
  <c r="M61" i="40"/>
  <c r="O61" i="40"/>
  <c r="M68" i="40"/>
  <c r="O68" i="40"/>
  <c r="M46" i="40"/>
  <c r="O46" i="40"/>
  <c r="J96" i="41"/>
  <c r="L96" i="41" s="1"/>
  <c r="J92" i="41"/>
  <c r="L92" i="41" s="1"/>
  <c r="J94" i="41"/>
  <c r="L94" i="41" s="1"/>
  <c r="J71" i="41"/>
  <c r="J34" i="41"/>
  <c r="J59" i="41"/>
  <c r="J137" i="41"/>
  <c r="L137" i="41" s="1"/>
  <c r="J132" i="41"/>
  <c r="L132" i="41" s="1"/>
  <c r="J98" i="41"/>
  <c r="L98" i="41" s="1"/>
  <c r="J58" i="41"/>
  <c r="L58" i="41" s="1"/>
  <c r="J93" i="41"/>
  <c r="K93" i="41" s="1"/>
  <c r="J73" i="41"/>
  <c r="J57" i="41"/>
  <c r="K57" i="41" s="1"/>
  <c r="J97" i="41"/>
  <c r="K97" i="41" s="1"/>
  <c r="J95" i="41"/>
  <c r="J61" i="41"/>
  <c r="L61" i="41" s="1"/>
  <c r="J68" i="41"/>
  <c r="L68" i="41" s="1"/>
  <c r="J46" i="41"/>
  <c r="K46" i="41" s="1"/>
  <c r="J91" i="41"/>
  <c r="L91" i="41" s="1"/>
  <c r="J56" i="41"/>
  <c r="U56" i="41" s="1"/>
  <c r="J60" i="41"/>
  <c r="L60" i="41" s="1"/>
  <c r="S78" i="23"/>
  <c r="W77" i="28"/>
  <c r="M124" i="23"/>
  <c r="V78" i="27"/>
  <c r="AH73" i="27"/>
  <c r="V73" i="23"/>
  <c r="R68" i="41"/>
  <c r="AN89" i="28"/>
  <c r="J68" i="40"/>
  <c r="L120" i="28"/>
  <c r="U120" i="28"/>
  <c r="AB70" i="23"/>
  <c r="I54" i="40"/>
  <c r="AD71" i="2"/>
  <c r="P70" i="23"/>
  <c r="P71" i="2"/>
  <c r="W97" i="20"/>
  <c r="M97" i="2"/>
  <c r="W78" i="20"/>
  <c r="N77" i="27"/>
  <c r="M78" i="2"/>
  <c r="N78" i="2" s="1"/>
  <c r="T75" i="2"/>
  <c r="T74" i="2" s="1"/>
  <c r="S74" i="2"/>
  <c r="Q75" i="2"/>
  <c r="Q74" i="2" s="1"/>
  <c r="P74" i="2"/>
  <c r="L75" i="28"/>
  <c r="O75" i="28" s="1"/>
  <c r="W76" i="20"/>
  <c r="N75" i="27"/>
  <c r="M76" i="2"/>
  <c r="N76" i="2" s="1"/>
  <c r="L81" i="10"/>
  <c r="T80" i="28"/>
  <c r="L80" i="28"/>
  <c r="AB72" i="28"/>
  <c r="J56" i="40"/>
  <c r="R57" i="41"/>
  <c r="AL72" i="28"/>
  <c r="R56" i="41" s="1"/>
  <c r="M76" i="23"/>
  <c r="M179" i="23"/>
  <c r="J60" i="40"/>
  <c r="P79" i="10"/>
  <c r="AN78" i="28"/>
  <c r="R60" i="41"/>
  <c r="M90" i="23"/>
  <c r="R46" i="41"/>
  <c r="J46" i="40"/>
  <c r="T42" i="28"/>
  <c r="L42" i="28"/>
  <c r="O42" i="28" s="1"/>
  <c r="J92" i="40"/>
  <c r="R92" i="41"/>
  <c r="AO121" i="28"/>
  <c r="V70" i="23"/>
  <c r="Z70" i="27"/>
  <c r="V71" i="2"/>
  <c r="W71" i="2" s="1"/>
  <c r="Y70" i="23"/>
  <c r="AD70" i="27"/>
  <c r="Y71" i="2"/>
  <c r="Z71" i="2" s="1"/>
  <c r="R94" i="41"/>
  <c r="J94" i="40"/>
  <c r="R73" i="41"/>
  <c r="J73" i="40"/>
  <c r="AN95" i="28"/>
  <c r="AB73" i="23"/>
  <c r="W80" i="20"/>
  <c r="N79" i="27"/>
  <c r="M80" i="2"/>
  <c r="N80" i="2" s="1"/>
  <c r="M124" i="2"/>
  <c r="N124" i="2" s="1"/>
  <c r="W72" i="28"/>
  <c r="T178" i="28"/>
  <c r="L178" i="28"/>
  <c r="O178" i="28" s="1"/>
  <c r="T173" i="28"/>
  <c r="L173" i="28"/>
  <c r="O173" i="28" s="1"/>
  <c r="Z75" i="2"/>
  <c r="Z74" i="2" s="1"/>
  <c r="Y74" i="2"/>
  <c r="O70" i="10"/>
  <c r="N70" i="10"/>
  <c r="W75" i="20"/>
  <c r="N74" i="27"/>
  <c r="M75" i="2"/>
  <c r="L73" i="27"/>
  <c r="R59" i="41"/>
  <c r="J58" i="40"/>
  <c r="T95" i="28"/>
  <c r="L95" i="28"/>
  <c r="O95" i="28" s="1"/>
  <c r="R93" i="41"/>
  <c r="J93" i="40"/>
  <c r="AO122" i="28"/>
  <c r="M79" i="23"/>
  <c r="M122" i="23"/>
  <c r="AG72" i="28"/>
  <c r="W75" i="2"/>
  <c r="W74" i="2" s="1"/>
  <c r="V74" i="2"/>
  <c r="R137" i="41"/>
  <c r="AN178" i="28"/>
  <c r="J137" i="40"/>
  <c r="W82" i="20"/>
  <c r="N81" i="27"/>
  <c r="M82" i="2"/>
  <c r="N82" i="2" s="1"/>
  <c r="M43" i="23"/>
  <c r="R58" i="41"/>
  <c r="J57" i="40"/>
  <c r="W175" i="20"/>
  <c r="N174" i="27"/>
  <c r="M175" i="2"/>
  <c r="N175" i="2" s="1"/>
  <c r="M122" i="2"/>
  <c r="N121" i="27"/>
  <c r="AN42" i="28"/>
  <c r="R34" i="41"/>
  <c r="J34" i="40"/>
  <c r="L89" i="28"/>
  <c r="O89" i="28" s="1"/>
  <c r="T89" i="28"/>
  <c r="L121" i="28"/>
  <c r="U121" i="28"/>
  <c r="R91" i="41"/>
  <c r="J91" i="40"/>
  <c r="AO120" i="28"/>
  <c r="S70" i="23"/>
  <c r="V70" i="27"/>
  <c r="S71" i="2"/>
  <c r="T71" i="2" s="1"/>
  <c r="M96" i="23"/>
  <c r="M77" i="23"/>
  <c r="L123" i="28"/>
  <c r="O123" i="28" s="1"/>
  <c r="U123" i="28"/>
  <c r="M125" i="2"/>
  <c r="P73" i="23"/>
  <c r="M74" i="23"/>
  <c r="L122" i="28"/>
  <c r="U122" i="28"/>
  <c r="AE75" i="2"/>
  <c r="AE74" i="2" s="1"/>
  <c r="Z14" i="30" s="1"/>
  <c r="AD74" i="2"/>
  <c r="M75" i="23"/>
  <c r="AE80" i="2"/>
  <c r="Z15" i="30" s="1"/>
  <c r="P81" i="10"/>
  <c r="AN80" i="28"/>
  <c r="R61" i="41"/>
  <c r="J61" i="40"/>
  <c r="M123" i="2"/>
  <c r="N123" i="2" s="1"/>
  <c r="M123" i="23"/>
  <c r="R72" i="28"/>
  <c r="L73" i="28"/>
  <c r="O73" i="28" s="1"/>
  <c r="W77" i="20"/>
  <c r="N76" i="27"/>
  <c r="M77" i="2"/>
  <c r="N77" i="2" s="1"/>
  <c r="W180" i="20"/>
  <c r="N179" i="27"/>
  <c r="M180" i="2"/>
  <c r="N180" i="2" s="1"/>
  <c r="T78" i="28"/>
  <c r="L78" i="28"/>
  <c r="L79" i="10"/>
  <c r="M81" i="23"/>
  <c r="W91" i="20"/>
  <c r="N90" i="27"/>
  <c r="M91" i="2"/>
  <c r="N91" i="2" s="1"/>
  <c r="L59" i="28"/>
  <c r="O59" i="28" s="1"/>
  <c r="M44" i="2"/>
  <c r="L74" i="28"/>
  <c r="O74" i="28" s="1"/>
  <c r="J132" i="40"/>
  <c r="R132" i="41"/>
  <c r="AN173" i="28"/>
  <c r="M174" i="23"/>
  <c r="M121" i="23"/>
  <c r="L76" i="28"/>
  <c r="O76" i="28" s="1"/>
  <c r="Y73" i="23"/>
  <c r="V120" i="23"/>
  <c r="J96" i="40"/>
  <c r="R96" i="41"/>
  <c r="AO125" i="28"/>
  <c r="M126" i="23"/>
  <c r="L125" i="28"/>
  <c r="U125" i="28"/>
  <c r="L124" i="28"/>
  <c r="U124" i="28"/>
  <c r="N125" i="27"/>
  <c r="AB120" i="23"/>
  <c r="S120" i="23"/>
  <c r="Y120" i="23"/>
  <c r="R95" i="41"/>
  <c r="J95" i="40"/>
  <c r="AO124" i="28"/>
  <c r="M125" i="23"/>
  <c r="R97" i="41"/>
  <c r="J97" i="40"/>
  <c r="AO126" i="28"/>
  <c r="N127" i="27"/>
  <c r="R120" i="27"/>
  <c r="M127" i="23"/>
  <c r="L126" i="28"/>
  <c r="U126" i="28"/>
  <c r="AE129" i="2"/>
  <c r="AD121" i="2"/>
  <c r="AG119" i="28"/>
  <c r="AJ127" i="28"/>
  <c r="AJ119" i="28" s="1"/>
  <c r="R119" i="28"/>
  <c r="L127" i="28"/>
  <c r="O127" i="28" s="1"/>
  <c r="U127" i="28"/>
  <c r="AB119" i="28"/>
  <c r="AE127" i="28"/>
  <c r="R98" i="41"/>
  <c r="AL119" i="28"/>
  <c r="J98" i="40"/>
  <c r="AO127" i="28"/>
  <c r="M128" i="23"/>
  <c r="P120" i="23"/>
  <c r="W119" i="28"/>
  <c r="Z127" i="28"/>
  <c r="L120" i="27"/>
  <c r="N128" i="27"/>
  <c r="AB17" i="25"/>
  <c r="AA17" i="25"/>
  <c r="AB25" i="25"/>
  <c r="AA25" i="25"/>
  <c r="AB61" i="25"/>
  <c r="AA61" i="25"/>
  <c r="AB137" i="25"/>
  <c r="AA137" i="25"/>
  <c r="AB171" i="25"/>
  <c r="AA171" i="25"/>
  <c r="AB16" i="25"/>
  <c r="AA16" i="25"/>
  <c r="AB24" i="25"/>
  <c r="AA24" i="25"/>
  <c r="AB52" i="25"/>
  <c r="AA52" i="25"/>
  <c r="AB136" i="25"/>
  <c r="AA136" i="25"/>
  <c r="AB140" i="25"/>
  <c r="AA140" i="25"/>
  <c r="AB138" i="25"/>
  <c r="AA138" i="25"/>
  <c r="AB21" i="25"/>
  <c r="AA21" i="25"/>
  <c r="AB28" i="25"/>
  <c r="AA28" i="25"/>
  <c r="AB63" i="25"/>
  <c r="AA63" i="25"/>
  <c r="AB22" i="25"/>
  <c r="AA22" i="25"/>
  <c r="AB31" i="25"/>
  <c r="AA31" i="25"/>
  <c r="AB70" i="25"/>
  <c r="AA70" i="25"/>
  <c r="AB139" i="25"/>
  <c r="AA139" i="25"/>
  <c r="V101" i="25"/>
  <c r="V8" i="25"/>
  <c r="P44" i="41"/>
  <c r="T44" i="41"/>
  <c r="M44" i="41"/>
  <c r="O44" i="41"/>
  <c r="S44" i="41"/>
  <c r="I127" i="40"/>
  <c r="AB164" i="23"/>
  <c r="AD165" i="2"/>
  <c r="V117" i="23"/>
  <c r="Z117" i="27"/>
  <c r="V118" i="2"/>
  <c r="W118" i="2" s="1"/>
  <c r="P89" i="41"/>
  <c r="O89" i="41"/>
  <c r="S89" i="41"/>
  <c r="T89" i="41"/>
  <c r="M89" i="41"/>
  <c r="Q89" i="41" s="1"/>
  <c r="S68" i="23"/>
  <c r="V68" i="27"/>
  <c r="S69" i="2"/>
  <c r="T69" i="2" s="1"/>
  <c r="Z112" i="27"/>
  <c r="V113" i="2"/>
  <c r="W113" i="2" s="1"/>
  <c r="V112" i="23"/>
  <c r="P177" i="2"/>
  <c r="P176" i="23"/>
  <c r="L176" i="27"/>
  <c r="Y115" i="2"/>
  <c r="AB113" i="27"/>
  <c r="Y114" i="23"/>
  <c r="AD114" i="27"/>
  <c r="AD85" i="2"/>
  <c r="AE85" i="2" s="1"/>
  <c r="AD87" i="2"/>
  <c r="I64" i="40"/>
  <c r="AB86" i="23"/>
  <c r="V58" i="23"/>
  <c r="Z58" i="27"/>
  <c r="V59" i="2"/>
  <c r="X57" i="27"/>
  <c r="P158" i="23"/>
  <c r="P159" i="2"/>
  <c r="L158" i="27"/>
  <c r="H124" i="74" s="1"/>
  <c r="V68" i="23"/>
  <c r="Z68" i="27"/>
  <c r="V69" i="2"/>
  <c r="W69" i="2" s="1"/>
  <c r="Y176" i="23"/>
  <c r="AD176" i="27"/>
  <c r="Y177" i="2"/>
  <c r="Z177" i="2" s="1"/>
  <c r="AD52" i="27"/>
  <c r="Y52" i="23"/>
  <c r="Y53" i="2"/>
  <c r="Y85" i="2"/>
  <c r="Z85" i="2" s="1"/>
  <c r="Y86" i="23"/>
  <c r="AD86" i="27"/>
  <c r="Y87" i="2"/>
  <c r="P116" i="23"/>
  <c r="L116" i="27"/>
  <c r="P117" i="2"/>
  <c r="P107" i="41"/>
  <c r="M107" i="41"/>
  <c r="S107" i="41"/>
  <c r="T107" i="41"/>
  <c r="O107" i="41"/>
  <c r="Y136" i="23"/>
  <c r="Y132" i="2"/>
  <c r="Z132" i="2" s="1"/>
  <c r="Y137" i="2"/>
  <c r="Z137" i="2" s="1"/>
  <c r="AD136" i="27"/>
  <c r="P105" i="23"/>
  <c r="L105" i="27"/>
  <c r="P106" i="2"/>
  <c r="P32" i="41"/>
  <c r="O32" i="41"/>
  <c r="S32" i="41"/>
  <c r="T32" i="41"/>
  <c r="M32" i="41"/>
  <c r="Z161" i="27"/>
  <c r="X160" i="27"/>
  <c r="X159" i="27" s="1"/>
  <c r="V162" i="2"/>
  <c r="V161" i="23"/>
  <c r="V112" i="27"/>
  <c r="S112" i="23"/>
  <c r="S113" i="2"/>
  <c r="T113" i="2" s="1"/>
  <c r="S52" i="23"/>
  <c r="V52" i="27"/>
  <c r="S53" i="2"/>
  <c r="T53" i="2" s="1"/>
  <c r="L114" i="27"/>
  <c r="H87" i="74" s="1"/>
  <c r="P114" i="23"/>
  <c r="P115" i="2"/>
  <c r="P113" i="27"/>
  <c r="I107" i="40"/>
  <c r="AB138" i="23"/>
  <c r="AJ135" i="28"/>
  <c r="Z135" i="28"/>
  <c r="AE135" i="28"/>
  <c r="AD106" i="2"/>
  <c r="I79" i="40"/>
  <c r="AB105" i="23"/>
  <c r="V60" i="2"/>
  <c r="W60" i="2" s="1"/>
  <c r="V59" i="23"/>
  <c r="Z59" i="27"/>
  <c r="AB59" i="23"/>
  <c r="AD60" i="2"/>
  <c r="I45" i="40"/>
  <c r="AD58" i="27"/>
  <c r="AB57" i="27"/>
  <c r="Y58" i="23"/>
  <c r="Y59" i="2"/>
  <c r="L58" i="27"/>
  <c r="H45" i="74" s="1"/>
  <c r="I45" i="74" s="1"/>
  <c r="P58" i="23"/>
  <c r="P59" i="2"/>
  <c r="S164" i="23"/>
  <c r="V164" i="27"/>
  <c r="S165" i="2"/>
  <c r="T165" i="2" s="1"/>
  <c r="AD164" i="27"/>
  <c r="Y164" i="23"/>
  <c r="Y165" i="2"/>
  <c r="Z165" i="2" s="1"/>
  <c r="L161" i="27"/>
  <c r="H125" i="74" s="1"/>
  <c r="P160" i="27"/>
  <c r="P159" i="27" s="1"/>
  <c r="P162" i="2"/>
  <c r="P161" i="23"/>
  <c r="AB158" i="23"/>
  <c r="I123" i="40"/>
  <c r="AD159" i="2"/>
  <c r="S158" i="23"/>
  <c r="V158" i="27"/>
  <c r="S159" i="2"/>
  <c r="T159" i="2" s="1"/>
  <c r="I89" i="40"/>
  <c r="AD118" i="2"/>
  <c r="AB117" i="23"/>
  <c r="AD117" i="27"/>
  <c r="Y117" i="23"/>
  <c r="Y118" i="2"/>
  <c r="Z118" i="2" s="1"/>
  <c r="N68" i="10"/>
  <c r="O68" i="10"/>
  <c r="AB68" i="23"/>
  <c r="AD69" i="2"/>
  <c r="I52" i="40"/>
  <c r="P85" i="41"/>
  <c r="M85" i="41"/>
  <c r="S85" i="41"/>
  <c r="O85" i="41"/>
  <c r="T85" i="41"/>
  <c r="AD177" i="2"/>
  <c r="I134" i="40"/>
  <c r="AB176" i="23"/>
  <c r="P40" i="41"/>
  <c r="M40" i="41"/>
  <c r="O40" i="41"/>
  <c r="S40" i="41"/>
  <c r="T40" i="41"/>
  <c r="AD51" i="28"/>
  <c r="P86" i="41"/>
  <c r="M86" i="41"/>
  <c r="T86" i="41"/>
  <c r="O86" i="41"/>
  <c r="S86" i="41"/>
  <c r="I86" i="40"/>
  <c r="AB114" i="23"/>
  <c r="AD115" i="2"/>
  <c r="AF113" i="27"/>
  <c r="P64" i="41"/>
  <c r="O64" i="41"/>
  <c r="M64" i="41"/>
  <c r="T64" i="41"/>
  <c r="S64" i="41"/>
  <c r="Z86" i="27"/>
  <c r="V87" i="2"/>
  <c r="V86" i="23"/>
  <c r="V85" i="2"/>
  <c r="W85" i="2" s="1"/>
  <c r="S68" i="2"/>
  <c r="S67" i="23"/>
  <c r="V67" i="27"/>
  <c r="T66" i="27"/>
  <c r="V67" i="23"/>
  <c r="Z67" i="27"/>
  <c r="V68" i="2"/>
  <c r="X66" i="27"/>
  <c r="P48" i="23"/>
  <c r="P49" i="2"/>
  <c r="L48" i="27"/>
  <c r="Z48" i="27"/>
  <c r="V49" i="2"/>
  <c r="W49" i="2" s="1"/>
  <c r="V48" i="23"/>
  <c r="L162" i="27"/>
  <c r="P162" i="23"/>
  <c r="P163" i="2"/>
  <c r="AD162" i="27"/>
  <c r="Y163" i="2"/>
  <c r="Z163" i="2" s="1"/>
  <c r="Y162" i="23"/>
  <c r="V66" i="2"/>
  <c r="W66" i="2" s="1"/>
  <c r="V65" i="23"/>
  <c r="Z65" i="27"/>
  <c r="Y181" i="2"/>
  <c r="Z181" i="2" s="1"/>
  <c r="Y180" i="23"/>
  <c r="AD180" i="27"/>
  <c r="AB180" i="23"/>
  <c r="AD181" i="2"/>
  <c r="I138" i="40"/>
  <c r="AB102" i="23"/>
  <c r="AD103" i="2"/>
  <c r="AF101" i="27"/>
  <c r="I76" i="40"/>
  <c r="AB168" i="28"/>
  <c r="AB167" i="28" s="1"/>
  <c r="W168" i="28"/>
  <c r="W167" i="28" s="1"/>
  <c r="AG168" i="28"/>
  <c r="AG167" i="28" s="1"/>
  <c r="AD170" i="27"/>
  <c r="AD169" i="27" s="1"/>
  <c r="AD168" i="27" s="1"/>
  <c r="Y170" i="23"/>
  <c r="Y169" i="23" s="1"/>
  <c r="Y168" i="23" s="1"/>
  <c r="Y171" i="2"/>
  <c r="AB169" i="27"/>
  <c r="P119" i="2"/>
  <c r="L118" i="27"/>
  <c r="P118" i="23"/>
  <c r="I49" i="40"/>
  <c r="AB64" i="23"/>
  <c r="AD65" i="2"/>
  <c r="S64" i="23"/>
  <c r="V64" i="27"/>
  <c r="S65" i="2"/>
  <c r="T65" i="2" s="1"/>
  <c r="Y178" i="23"/>
  <c r="AD178" i="27"/>
  <c r="Y179" i="2"/>
  <c r="Z179" i="2" s="1"/>
  <c r="V178" i="23"/>
  <c r="Z178" i="27"/>
  <c r="V179" i="2"/>
  <c r="W179" i="2" s="1"/>
  <c r="L109" i="27"/>
  <c r="P109" i="23"/>
  <c r="P110" i="2"/>
  <c r="V156" i="27"/>
  <c r="S157" i="2"/>
  <c r="T157" i="2" s="1"/>
  <c r="S156" i="23"/>
  <c r="Z156" i="27"/>
  <c r="V157" i="2"/>
  <c r="W157" i="2" s="1"/>
  <c r="V156" i="23"/>
  <c r="P39" i="41"/>
  <c r="M39" i="41"/>
  <c r="T39" i="41"/>
  <c r="S39" i="41"/>
  <c r="O39" i="41"/>
  <c r="V53" i="23"/>
  <c r="V54" i="2"/>
  <c r="Y135" i="23"/>
  <c r="AB134" i="27"/>
  <c r="Y131" i="2"/>
  <c r="Z131" i="2" s="1"/>
  <c r="AD135" i="27"/>
  <c r="Y136" i="2"/>
  <c r="Z104" i="27"/>
  <c r="V105" i="2"/>
  <c r="W105" i="2" s="1"/>
  <c r="V104" i="23"/>
  <c r="P47" i="41"/>
  <c r="O47" i="41"/>
  <c r="T47" i="41"/>
  <c r="M47" i="41"/>
  <c r="S47" i="41"/>
  <c r="P80" i="41"/>
  <c r="M80" i="41"/>
  <c r="T80" i="41"/>
  <c r="S80" i="41"/>
  <c r="O80" i="41"/>
  <c r="Y109" i="2"/>
  <c r="AB107" i="27"/>
  <c r="Y108" i="23"/>
  <c r="AD108" i="27"/>
  <c r="T45" i="27"/>
  <c r="S47" i="23"/>
  <c r="S48" i="2"/>
  <c r="Q119" i="74"/>
  <c r="R119" i="74" s="1"/>
  <c r="K119" i="74"/>
  <c r="Y163" i="23"/>
  <c r="AD163" i="27"/>
  <c r="Y164" i="2"/>
  <c r="Z164" i="2" s="1"/>
  <c r="AD164" i="2"/>
  <c r="I126" i="40"/>
  <c r="AB163" i="23"/>
  <c r="L139" i="27"/>
  <c r="P139" i="23"/>
  <c r="P140" i="2"/>
  <c r="Q140" i="2" s="1"/>
  <c r="L95" i="27"/>
  <c r="P95" i="23"/>
  <c r="P96" i="2"/>
  <c r="I72" i="40"/>
  <c r="AD96" i="2"/>
  <c r="AB95" i="23"/>
  <c r="P157" i="23"/>
  <c r="L157" i="27"/>
  <c r="H123" i="74" s="1"/>
  <c r="P158" i="2"/>
  <c r="AD71" i="27"/>
  <c r="Y71" i="23"/>
  <c r="Y72" i="2"/>
  <c r="Z72" i="2" s="1"/>
  <c r="AD93" i="2"/>
  <c r="AB92" i="23"/>
  <c r="I69" i="40"/>
  <c r="S116" i="2"/>
  <c r="S115" i="23"/>
  <c r="AB110" i="23"/>
  <c r="AD111" i="2"/>
  <c r="I83" i="40"/>
  <c r="V110" i="23"/>
  <c r="V111" i="2"/>
  <c r="W111" i="2" s="1"/>
  <c r="Z110" i="27"/>
  <c r="P119" i="41"/>
  <c r="S119" i="41"/>
  <c r="M119" i="41"/>
  <c r="T119" i="41"/>
  <c r="O119" i="41"/>
  <c r="Y40" i="23"/>
  <c r="AD40" i="27"/>
  <c r="Y41" i="2"/>
  <c r="V150" i="2"/>
  <c r="W150" i="2" s="1"/>
  <c r="V149" i="23"/>
  <c r="Z149" i="27"/>
  <c r="P30" i="41"/>
  <c r="M30" i="41"/>
  <c r="O30" i="41"/>
  <c r="T30" i="41"/>
  <c r="S30" i="41"/>
  <c r="AB137" i="23"/>
  <c r="AD138" i="2"/>
  <c r="AE138" i="2" s="1"/>
  <c r="I106" i="40"/>
  <c r="P56" i="23"/>
  <c r="R56" i="27"/>
  <c r="R55" i="27" s="1"/>
  <c r="L56" i="27"/>
  <c r="H44" i="74" s="1"/>
  <c r="P57" i="2"/>
  <c r="P55" i="27"/>
  <c r="V56" i="23"/>
  <c r="V55" i="23" s="1"/>
  <c r="V57" i="2"/>
  <c r="V56" i="2" s="1"/>
  <c r="X55" i="27"/>
  <c r="P84" i="41"/>
  <c r="M84" i="41"/>
  <c r="T84" i="41"/>
  <c r="S84" i="41"/>
  <c r="O84" i="41"/>
  <c r="P174" i="2"/>
  <c r="L173" i="27"/>
  <c r="H132" i="74" s="1"/>
  <c r="P173" i="23"/>
  <c r="P131" i="41"/>
  <c r="M131" i="41"/>
  <c r="O131" i="41"/>
  <c r="T131" i="41"/>
  <c r="S131" i="41"/>
  <c r="N151" i="10"/>
  <c r="O151" i="10"/>
  <c r="Y150" i="28"/>
  <c r="P117" i="41"/>
  <c r="O117" i="41"/>
  <c r="S117" i="41"/>
  <c r="M117" i="41"/>
  <c r="T117" i="41"/>
  <c r="O54" i="10"/>
  <c r="M54" i="10"/>
  <c r="P55" i="2"/>
  <c r="Q55" i="2" s="1"/>
  <c r="L54" i="27"/>
  <c r="P54" i="23"/>
  <c r="R54" i="27"/>
  <c r="V109" i="23"/>
  <c r="V110" i="2"/>
  <c r="W110" i="2" s="1"/>
  <c r="Z109" i="27"/>
  <c r="AI96" i="28"/>
  <c r="P74" i="41"/>
  <c r="T74" i="41"/>
  <c r="S74" i="41"/>
  <c r="M74" i="41"/>
  <c r="O74" i="41"/>
  <c r="S52" i="2"/>
  <c r="T52" i="2" s="1"/>
  <c r="S51" i="23"/>
  <c r="V51" i="27"/>
  <c r="V135" i="23"/>
  <c r="X134" i="27"/>
  <c r="V131" i="2"/>
  <c r="W131" i="2" s="1"/>
  <c r="Z135" i="27"/>
  <c r="V136" i="2"/>
  <c r="AB106" i="23"/>
  <c r="AD107" i="2"/>
  <c r="I80" i="40"/>
  <c r="I36" i="40"/>
  <c r="AB47" i="23"/>
  <c r="AD48" i="2"/>
  <c r="AF45" i="27"/>
  <c r="V139" i="23"/>
  <c r="V140" i="2"/>
  <c r="W140" i="2" s="1"/>
  <c r="Z139" i="27"/>
  <c r="Y104" i="2"/>
  <c r="Z104" i="2" s="1"/>
  <c r="Y103" i="23"/>
  <c r="AD103" i="27"/>
  <c r="I87" i="40"/>
  <c r="AB115" i="23"/>
  <c r="AD116" i="2"/>
  <c r="Y155" i="2"/>
  <c r="Y154" i="23"/>
  <c r="AD154" i="27"/>
  <c r="P31" i="41"/>
  <c r="M31" i="41"/>
  <c r="S31" i="41"/>
  <c r="O31" i="41"/>
  <c r="T31" i="41"/>
  <c r="L149" i="27"/>
  <c r="H116" i="74" s="1"/>
  <c r="P149" i="23"/>
  <c r="P150" i="2"/>
  <c r="P137" i="23"/>
  <c r="P138" i="2"/>
  <c r="Q138" i="2" s="1"/>
  <c r="L137" i="27"/>
  <c r="P133" i="2"/>
  <c r="Q133" i="2" s="1"/>
  <c r="P33" i="41"/>
  <c r="T33" i="41"/>
  <c r="M33" i="41"/>
  <c r="S33" i="41"/>
  <c r="O33" i="41"/>
  <c r="P51" i="2"/>
  <c r="L50" i="27"/>
  <c r="P50" i="23"/>
  <c r="R50" i="27"/>
  <c r="P49" i="27"/>
  <c r="Z63" i="27"/>
  <c r="V64" i="2"/>
  <c r="W64" i="2" s="1"/>
  <c r="V63" i="23"/>
  <c r="Y62" i="28"/>
  <c r="P53" i="41"/>
  <c r="M53" i="41"/>
  <c r="O53" i="41"/>
  <c r="T53" i="41"/>
  <c r="S53" i="41"/>
  <c r="N69" i="10"/>
  <c r="O69" i="10"/>
  <c r="AF57" i="27"/>
  <c r="I44" i="40"/>
  <c r="AB58" i="23"/>
  <c r="AD59" i="2"/>
  <c r="T160" i="27"/>
  <c r="T159" i="27" s="1"/>
  <c r="V161" i="27"/>
  <c r="S161" i="23"/>
  <c r="S162" i="2"/>
  <c r="Y158" i="23"/>
  <c r="AD158" i="27"/>
  <c r="Y159" i="2"/>
  <c r="Z159" i="2" s="1"/>
  <c r="P113" i="2"/>
  <c r="P112" i="23"/>
  <c r="L112" i="27"/>
  <c r="H86" i="74" s="1"/>
  <c r="P134" i="41"/>
  <c r="S134" i="41"/>
  <c r="M134" i="41"/>
  <c r="O134" i="41"/>
  <c r="T134" i="41"/>
  <c r="AD116" i="27"/>
  <c r="Y116" i="23"/>
  <c r="Y117" i="2"/>
  <c r="Z117" i="2" s="1"/>
  <c r="V138" i="23"/>
  <c r="V134" i="2"/>
  <c r="W134" i="2" s="1"/>
  <c r="Z138" i="27"/>
  <c r="S132" i="2"/>
  <c r="T132" i="2" s="1"/>
  <c r="S136" i="23"/>
  <c r="S137" i="2"/>
  <c r="T137" i="2" s="1"/>
  <c r="S106" i="2"/>
  <c r="S105" i="23"/>
  <c r="S41" i="23"/>
  <c r="AK41" i="27"/>
  <c r="S42" i="2"/>
  <c r="Z41" i="27"/>
  <c r="V42" i="2"/>
  <c r="W42" i="2" s="1"/>
  <c r="V41" i="23"/>
  <c r="P82" i="41"/>
  <c r="M82" i="41"/>
  <c r="O82" i="41"/>
  <c r="S82" i="41"/>
  <c r="T82" i="41"/>
  <c r="S109" i="23"/>
  <c r="V109" i="27"/>
  <c r="S110" i="2"/>
  <c r="T110" i="2" s="1"/>
  <c r="Y97" i="23"/>
  <c r="AD97" i="27"/>
  <c r="Y98" i="2"/>
  <c r="Z98" i="2" s="1"/>
  <c r="AD98" i="2"/>
  <c r="I74" i="40"/>
  <c r="AB97" i="23"/>
  <c r="P121" i="41"/>
  <c r="O121" i="41"/>
  <c r="S121" i="41"/>
  <c r="T121" i="41"/>
  <c r="M121" i="41"/>
  <c r="Q121" i="41" s="1"/>
  <c r="P51" i="23"/>
  <c r="L51" i="27"/>
  <c r="H40" i="74" s="1"/>
  <c r="R51" i="27"/>
  <c r="P52" i="2"/>
  <c r="Q52" i="2" s="1"/>
  <c r="P41" i="41"/>
  <c r="M41" i="41"/>
  <c r="O41" i="41"/>
  <c r="T41" i="41"/>
  <c r="S41" i="41"/>
  <c r="S54" i="2"/>
  <c r="T54" i="2" s="1"/>
  <c r="S53" i="23"/>
  <c r="V53" i="27"/>
  <c r="S131" i="2"/>
  <c r="T131" i="2" s="1"/>
  <c r="S135" i="23"/>
  <c r="S136" i="2"/>
  <c r="T134" i="27"/>
  <c r="P78" i="41"/>
  <c r="M78" i="41"/>
  <c r="S78" i="41"/>
  <c r="O78" i="41"/>
  <c r="T78" i="41"/>
  <c r="P63" i="2"/>
  <c r="L62" i="27"/>
  <c r="H48" i="74" s="1"/>
  <c r="P62" i="23"/>
  <c r="P61" i="27"/>
  <c r="S63" i="2"/>
  <c r="T61" i="27"/>
  <c r="S62" i="23"/>
  <c r="V62" i="27"/>
  <c r="P106" i="23"/>
  <c r="L106" i="27"/>
  <c r="P107" i="2"/>
  <c r="Z106" i="27"/>
  <c r="V107" i="2"/>
  <c r="W107" i="2" s="1"/>
  <c r="V106" i="23"/>
  <c r="P109" i="2"/>
  <c r="P107" i="27"/>
  <c r="L108" i="27"/>
  <c r="H82" i="74" s="1"/>
  <c r="P108" i="23"/>
  <c r="N121" i="74"/>
  <c r="O121" i="74" s="1"/>
  <c r="T121" i="74"/>
  <c r="U121" i="74" s="1"/>
  <c r="K121" i="74"/>
  <c r="Q121" i="74"/>
  <c r="W121" i="74"/>
  <c r="X121" i="74" s="1"/>
  <c r="P36" i="41"/>
  <c r="M36" i="41"/>
  <c r="O36" i="41"/>
  <c r="S36" i="41"/>
  <c r="T36" i="41"/>
  <c r="V89" i="27"/>
  <c r="S90" i="2"/>
  <c r="T90" i="2" s="1"/>
  <c r="S89" i="23"/>
  <c r="P89" i="23"/>
  <c r="P90" i="2"/>
  <c r="L89" i="27"/>
  <c r="I118" i="40"/>
  <c r="AD153" i="2"/>
  <c r="P118" i="41"/>
  <c r="S118" i="41"/>
  <c r="T118" i="41"/>
  <c r="M118" i="41"/>
  <c r="O118" i="41"/>
  <c r="V164" i="2"/>
  <c r="W164" i="2" s="1"/>
  <c r="Z163" i="27"/>
  <c r="V163" i="23"/>
  <c r="L163" i="27"/>
  <c r="P163" i="23"/>
  <c r="P164" i="2"/>
  <c r="S140" i="2"/>
  <c r="T140" i="2" s="1"/>
  <c r="S139" i="23"/>
  <c r="AD140" i="2"/>
  <c r="AE140" i="2" s="1"/>
  <c r="I108" i="40"/>
  <c r="AB139" i="23"/>
  <c r="P72" i="41"/>
  <c r="M72" i="41"/>
  <c r="S72" i="41"/>
  <c r="O72" i="41"/>
  <c r="T72" i="41"/>
  <c r="S96" i="2"/>
  <c r="T96" i="2" s="1"/>
  <c r="S95" i="23"/>
  <c r="V95" i="27"/>
  <c r="P77" i="41"/>
  <c r="M77" i="41"/>
  <c r="S77" i="41"/>
  <c r="T77" i="41"/>
  <c r="O77" i="41"/>
  <c r="Y157" i="23"/>
  <c r="AD157" i="27"/>
  <c r="Y158" i="2"/>
  <c r="Z158" i="2" s="1"/>
  <c r="V157" i="27"/>
  <c r="S158" i="2"/>
  <c r="T158" i="2" s="1"/>
  <c r="S157" i="23"/>
  <c r="P55" i="41"/>
  <c r="M55" i="41"/>
  <c r="S55" i="41"/>
  <c r="O55" i="41"/>
  <c r="T55" i="41"/>
  <c r="V72" i="2"/>
  <c r="W72" i="2" s="1"/>
  <c r="V71" i="23"/>
  <c r="Z71" i="27"/>
  <c r="V92" i="27"/>
  <c r="S93" i="2"/>
  <c r="T93" i="2" s="1"/>
  <c r="S92" i="23"/>
  <c r="V93" i="2"/>
  <c r="W93" i="2" s="1"/>
  <c r="V92" i="23"/>
  <c r="Z92" i="27"/>
  <c r="AB165" i="23"/>
  <c r="I128" i="40"/>
  <c r="AD166" i="2"/>
  <c r="V165" i="27"/>
  <c r="S166" i="2"/>
  <c r="T166" i="2" s="1"/>
  <c r="S165" i="23"/>
  <c r="L115" i="27"/>
  <c r="P115" i="23"/>
  <c r="P116" i="2"/>
  <c r="P87" i="41"/>
  <c r="M87" i="41"/>
  <c r="T87" i="41"/>
  <c r="S87" i="41"/>
  <c r="O87" i="41"/>
  <c r="AD149" i="2"/>
  <c r="I114" i="40"/>
  <c r="AB148" i="23"/>
  <c r="V148" i="27"/>
  <c r="S148" i="23"/>
  <c r="S149" i="2"/>
  <c r="P83" i="41"/>
  <c r="M83" i="41"/>
  <c r="T83" i="41"/>
  <c r="S83" i="41"/>
  <c r="O83" i="41"/>
  <c r="P155" i="2"/>
  <c r="L154" i="27"/>
  <c r="H120" i="74" s="1"/>
  <c r="P154" i="23"/>
  <c r="I119" i="40"/>
  <c r="AB154" i="23"/>
  <c r="AD155" i="2"/>
  <c r="S41" i="2"/>
  <c r="AK40" i="27"/>
  <c r="S40" i="23"/>
  <c r="AD41" i="2"/>
  <c r="I31" i="40"/>
  <c r="AB40" i="23"/>
  <c r="Y150" i="2"/>
  <c r="Z150" i="2" s="1"/>
  <c r="Y149" i="23"/>
  <c r="AD149" i="27"/>
  <c r="S39" i="23"/>
  <c r="P38" i="27"/>
  <c r="AB39" i="23"/>
  <c r="P70" i="41"/>
  <c r="M70" i="41"/>
  <c r="T70" i="41"/>
  <c r="O70" i="41"/>
  <c r="S70" i="41"/>
  <c r="AE136" i="28"/>
  <c r="Z136" i="28"/>
  <c r="AJ136" i="28"/>
  <c r="P106" i="41"/>
  <c r="O106" i="41"/>
  <c r="T106" i="41"/>
  <c r="S106" i="41"/>
  <c r="M106" i="41"/>
  <c r="Q106" i="41" s="1"/>
  <c r="AD43" i="2"/>
  <c r="I33" i="40"/>
  <c r="AB42" i="23"/>
  <c r="AD51" i="2"/>
  <c r="AB50" i="23"/>
  <c r="I38" i="40"/>
  <c r="AF49" i="27"/>
  <c r="V50" i="23"/>
  <c r="V51" i="2"/>
  <c r="I48" i="40"/>
  <c r="AB63" i="23"/>
  <c r="AD64" i="2"/>
  <c r="Y64" i="2"/>
  <c r="Y63" i="23"/>
  <c r="Y70" i="2"/>
  <c r="Z70" i="2" s="1"/>
  <c r="Y69" i="23"/>
  <c r="AD69" i="27"/>
  <c r="AD70" i="2"/>
  <c r="AB69" i="23"/>
  <c r="I53" i="40"/>
  <c r="J71" i="40"/>
  <c r="AN93" i="28"/>
  <c r="R71" i="41"/>
  <c r="V56" i="27"/>
  <c r="V55" i="27" s="1"/>
  <c r="S56" i="23"/>
  <c r="S55" i="23" s="1"/>
  <c r="S57" i="2"/>
  <c r="T55" i="27"/>
  <c r="V88" i="23"/>
  <c r="Z88" i="27"/>
  <c r="V89" i="2"/>
  <c r="W89" i="2" s="1"/>
  <c r="AB88" i="23"/>
  <c r="I66" i="40"/>
  <c r="AD89" i="2"/>
  <c r="I84" i="40"/>
  <c r="AB111" i="23"/>
  <c r="AD112" i="2"/>
  <c r="V111" i="23"/>
  <c r="Z111" i="27"/>
  <c r="V112" i="2"/>
  <c r="W112" i="2" s="1"/>
  <c r="AD174" i="2"/>
  <c r="I131" i="40"/>
  <c r="AB173" i="23"/>
  <c r="P151" i="23"/>
  <c r="L151" i="27"/>
  <c r="H118" i="74" s="1"/>
  <c r="P152" i="2"/>
  <c r="V151" i="27"/>
  <c r="S152" i="2"/>
  <c r="T152" i="2" s="1"/>
  <c r="S151" i="23"/>
  <c r="V54" i="23"/>
  <c r="V55" i="2"/>
  <c r="AD67" i="27"/>
  <c r="Y68" i="2"/>
  <c r="Y67" i="23"/>
  <c r="AB66" i="27"/>
  <c r="P66" i="27"/>
  <c r="P67" i="23"/>
  <c r="P68" i="2"/>
  <c r="L67" i="27"/>
  <c r="H52" i="74" s="1"/>
  <c r="Y47" i="28"/>
  <c r="AB48" i="23"/>
  <c r="I37" i="40"/>
  <c r="AD49" i="2"/>
  <c r="S162" i="23"/>
  <c r="V162" i="27"/>
  <c r="S163" i="2"/>
  <c r="T163" i="2" s="1"/>
  <c r="Y65" i="23"/>
  <c r="AD65" i="27"/>
  <c r="Y66" i="2"/>
  <c r="V65" i="27"/>
  <c r="S66" i="2"/>
  <c r="T66" i="2" s="1"/>
  <c r="S65" i="23"/>
  <c r="V180" i="23"/>
  <c r="Z180" i="27"/>
  <c r="V181" i="2"/>
  <c r="W181" i="2" s="1"/>
  <c r="P138" i="41"/>
  <c r="M138" i="41"/>
  <c r="T138" i="41"/>
  <c r="O138" i="41"/>
  <c r="S138" i="41"/>
  <c r="P101" i="27"/>
  <c r="L102" i="27"/>
  <c r="H77" i="74" s="1"/>
  <c r="P102" i="23"/>
  <c r="P103" i="2"/>
  <c r="Y103" i="2"/>
  <c r="AB101" i="27"/>
  <c r="Y102" i="23"/>
  <c r="AD102" i="27"/>
  <c r="V171" i="2"/>
  <c r="V170" i="23"/>
  <c r="V169" i="23" s="1"/>
  <c r="V168" i="23" s="1"/>
  <c r="X169" i="27"/>
  <c r="AB118" i="23"/>
  <c r="I90" i="40"/>
  <c r="AD119" i="2"/>
  <c r="Y118" i="23"/>
  <c r="AD118" i="27"/>
  <c r="Y119" i="2"/>
  <c r="Z119" i="2" s="1"/>
  <c r="P49" i="41"/>
  <c r="M49" i="41"/>
  <c r="O49" i="41"/>
  <c r="T49" i="41"/>
  <c r="S49" i="41"/>
  <c r="Y63" i="28"/>
  <c r="S179" i="2"/>
  <c r="T179" i="2" s="1"/>
  <c r="S178" i="23"/>
  <c r="V178" i="27"/>
  <c r="AB178" i="23"/>
  <c r="AD179" i="2"/>
  <c r="I136" i="40"/>
  <c r="P45" i="41"/>
  <c r="O45" i="41"/>
  <c r="S45" i="41"/>
  <c r="T45" i="41"/>
  <c r="M45" i="41"/>
  <c r="S59" i="23"/>
  <c r="V59" i="27"/>
  <c r="S60" i="2"/>
  <c r="T60" i="2" s="1"/>
  <c r="L164" i="27"/>
  <c r="P164" i="23"/>
  <c r="P165" i="2"/>
  <c r="AF160" i="27"/>
  <c r="AF159" i="27" s="1"/>
  <c r="AD162" i="2"/>
  <c r="I124" i="40"/>
  <c r="AB161" i="23"/>
  <c r="V159" i="2"/>
  <c r="W159" i="2" s="1"/>
  <c r="V158" i="23"/>
  <c r="Z158" i="27"/>
  <c r="S117" i="23"/>
  <c r="S118" i="2"/>
  <c r="P52" i="41"/>
  <c r="M52" i="41"/>
  <c r="T52" i="41"/>
  <c r="S52" i="41"/>
  <c r="O52" i="41"/>
  <c r="AD53" i="2"/>
  <c r="I40" i="40"/>
  <c r="AB52" i="23"/>
  <c r="X113" i="27"/>
  <c r="Z114" i="27"/>
  <c r="V115" i="2"/>
  <c r="V114" i="23"/>
  <c r="V86" i="27"/>
  <c r="S85" i="2"/>
  <c r="T85" i="2" s="1"/>
  <c r="S87" i="2"/>
  <c r="S86" i="23"/>
  <c r="AJ137" i="28"/>
  <c r="AE137" i="28"/>
  <c r="Z137" i="28"/>
  <c r="V58" i="27"/>
  <c r="S58" i="23"/>
  <c r="S59" i="2"/>
  <c r="T57" i="27"/>
  <c r="V165" i="2"/>
  <c r="W165" i="2" s="1"/>
  <c r="V164" i="23"/>
  <c r="Z164" i="27"/>
  <c r="P127" i="41"/>
  <c r="M127" i="41"/>
  <c r="O127" i="41"/>
  <c r="S127" i="41"/>
  <c r="T127" i="41"/>
  <c r="AD161" i="27"/>
  <c r="Y162" i="2"/>
  <c r="Y161" i="23"/>
  <c r="AB160" i="27"/>
  <c r="AB159" i="27" s="1"/>
  <c r="P124" i="41"/>
  <c r="M124" i="41"/>
  <c r="S124" i="41"/>
  <c r="O124" i="41"/>
  <c r="T124" i="41"/>
  <c r="P123" i="41"/>
  <c r="M123" i="41"/>
  <c r="O123" i="41"/>
  <c r="S123" i="41"/>
  <c r="T123" i="41"/>
  <c r="V24" i="30"/>
  <c r="P117" i="23"/>
  <c r="P118" i="2"/>
  <c r="L117" i="27"/>
  <c r="L68" i="27"/>
  <c r="P68" i="23"/>
  <c r="P69" i="2"/>
  <c r="Y69" i="2"/>
  <c r="Z69" i="2" s="1"/>
  <c r="Y68" i="23"/>
  <c r="AD68" i="27"/>
  <c r="I85" i="40"/>
  <c r="AB112" i="23"/>
  <c r="AD113" i="2"/>
  <c r="AD112" i="27"/>
  <c r="Y113" i="2"/>
  <c r="Z113" i="2" s="1"/>
  <c r="Y112" i="23"/>
  <c r="V147" i="25"/>
  <c r="V100" i="25" s="1"/>
  <c r="S176" i="23"/>
  <c r="V176" i="27"/>
  <c r="S177" i="2"/>
  <c r="T177" i="2" s="1"/>
  <c r="V176" i="23"/>
  <c r="Z176" i="27"/>
  <c r="V177" i="2"/>
  <c r="W177" i="2" s="1"/>
  <c r="V52" i="23"/>
  <c r="V53" i="2"/>
  <c r="L52" i="27"/>
  <c r="H41" i="74" s="1"/>
  <c r="P52" i="23"/>
  <c r="R52" i="27"/>
  <c r="P53" i="2"/>
  <c r="Q53" i="2" s="1"/>
  <c r="S114" i="23"/>
  <c r="S115" i="2"/>
  <c r="T113" i="27"/>
  <c r="P87" i="2"/>
  <c r="L86" i="27"/>
  <c r="H65" i="74" s="1"/>
  <c r="P86" i="23"/>
  <c r="P85" i="2"/>
  <c r="Q85" i="2" s="1"/>
  <c r="AD117" i="2"/>
  <c r="I88" i="40"/>
  <c r="AB116" i="23"/>
  <c r="P88" i="41"/>
  <c r="T88" i="41"/>
  <c r="M88" i="41"/>
  <c r="O88" i="41"/>
  <c r="S88" i="41"/>
  <c r="L138" i="27"/>
  <c r="H108" i="74" s="1"/>
  <c r="I108" i="74" s="1"/>
  <c r="P138" i="23"/>
  <c r="P134" i="2"/>
  <c r="Q134" i="2" s="1"/>
  <c r="V136" i="23"/>
  <c r="V132" i="2"/>
  <c r="W132" i="2" s="1"/>
  <c r="V137" i="2"/>
  <c r="W137" i="2" s="1"/>
  <c r="Z136" i="27"/>
  <c r="P132" i="2"/>
  <c r="Q132" i="2" s="1"/>
  <c r="P137" i="2"/>
  <c r="Q137" i="2" s="1"/>
  <c r="L136" i="27"/>
  <c r="P136" i="23"/>
  <c r="V105" i="23"/>
  <c r="Z105" i="27"/>
  <c r="V106" i="2"/>
  <c r="W106" i="2" s="1"/>
  <c r="AD105" i="27"/>
  <c r="Y105" i="23"/>
  <c r="Y106" i="2"/>
  <c r="Z106" i="2" s="1"/>
  <c r="L41" i="27"/>
  <c r="H33" i="74" s="1"/>
  <c r="P42" i="2"/>
  <c r="P41" i="23"/>
  <c r="Y40" i="28"/>
  <c r="AD110" i="2"/>
  <c r="I82" i="40"/>
  <c r="AB109" i="23"/>
  <c r="Y110" i="2"/>
  <c r="Z110" i="2" s="1"/>
  <c r="Y109" i="23"/>
  <c r="AD109" i="27"/>
  <c r="S97" i="23"/>
  <c r="V97" i="27"/>
  <c r="S98" i="2"/>
  <c r="T98" i="2" s="1"/>
  <c r="L97" i="27"/>
  <c r="P97" i="23"/>
  <c r="P98" i="2"/>
  <c r="Y156" i="23"/>
  <c r="Y157" i="2"/>
  <c r="Z157" i="2" s="1"/>
  <c r="AD156" i="27"/>
  <c r="P157" i="2"/>
  <c r="L156" i="27"/>
  <c r="H122" i="74" s="1"/>
  <c r="P156" i="23"/>
  <c r="AD50" i="28"/>
  <c r="Y53" i="23"/>
  <c r="AD53" i="27"/>
  <c r="Y54" i="2"/>
  <c r="AD52" i="28"/>
  <c r="P135" i="23"/>
  <c r="P131" i="2"/>
  <c r="Q131" i="2" s="1"/>
  <c r="P136" i="2"/>
  <c r="P134" i="27"/>
  <c r="L135" i="27"/>
  <c r="H105" i="74" s="1"/>
  <c r="I105" i="74" s="1"/>
  <c r="P104" i="41"/>
  <c r="M104" i="41"/>
  <c r="T104" i="41"/>
  <c r="O104" i="41"/>
  <c r="S104" i="41"/>
  <c r="AD104" i="27"/>
  <c r="Y104" i="23"/>
  <c r="Y105" i="2"/>
  <c r="Z105" i="2" s="1"/>
  <c r="I78" i="40"/>
  <c r="AB104" i="23"/>
  <c r="AD105" i="2"/>
  <c r="V63" i="2"/>
  <c r="V62" i="23"/>
  <c r="Z62" i="27"/>
  <c r="X61" i="27"/>
  <c r="V108" i="23"/>
  <c r="X107" i="27"/>
  <c r="Z108" i="27"/>
  <c r="V109" i="2"/>
  <c r="P81" i="41"/>
  <c r="S81" i="41"/>
  <c r="M81" i="41"/>
  <c r="O81" i="41"/>
  <c r="T81" i="41"/>
  <c r="V47" i="23"/>
  <c r="Z47" i="27"/>
  <c r="V48" i="2"/>
  <c r="P45" i="27"/>
  <c r="P48" i="2"/>
  <c r="L47" i="27"/>
  <c r="P47" i="23"/>
  <c r="Y90" i="2"/>
  <c r="Z90" i="2" s="1"/>
  <c r="AD89" i="27"/>
  <c r="Y89" i="23"/>
  <c r="P67" i="41"/>
  <c r="M67" i="41"/>
  <c r="O67" i="41"/>
  <c r="T67" i="41"/>
  <c r="S67" i="41"/>
  <c r="P126" i="41"/>
  <c r="S126" i="41"/>
  <c r="M126" i="41"/>
  <c r="O126" i="41"/>
  <c r="T126" i="41"/>
  <c r="Y139" i="23"/>
  <c r="Y140" i="2"/>
  <c r="Z140" i="2" s="1"/>
  <c r="AD139" i="27"/>
  <c r="AD95" i="27"/>
  <c r="Y95" i="23"/>
  <c r="Y96" i="2"/>
  <c r="Z96" i="2" s="1"/>
  <c r="P116" i="41"/>
  <c r="M116" i="41"/>
  <c r="S116" i="41"/>
  <c r="O116" i="41"/>
  <c r="T116" i="41"/>
  <c r="AD150" i="27"/>
  <c r="V150" i="23"/>
  <c r="V150" i="27"/>
  <c r="V103" i="23"/>
  <c r="Z103" i="27"/>
  <c r="V104" i="2"/>
  <c r="W104" i="2" s="1"/>
  <c r="AD104" i="2"/>
  <c r="AB103" i="23"/>
  <c r="I77" i="40"/>
  <c r="L77" i="28"/>
  <c r="V157" i="23"/>
  <c r="Z157" i="27"/>
  <c r="V158" i="2"/>
  <c r="W158" i="2" s="1"/>
  <c r="P135" i="41"/>
  <c r="O135" i="41"/>
  <c r="S135" i="41"/>
  <c r="M135" i="41"/>
  <c r="T135" i="41"/>
  <c r="I55" i="40"/>
  <c r="AB71" i="23"/>
  <c r="AD72" i="2"/>
  <c r="Y92" i="23"/>
  <c r="Y93" i="2"/>
  <c r="P69" i="41"/>
  <c r="O69" i="41"/>
  <c r="M69" i="41"/>
  <c r="S69" i="41"/>
  <c r="T69" i="41"/>
  <c r="P128" i="41"/>
  <c r="M128" i="41"/>
  <c r="O128" i="41"/>
  <c r="T128" i="41"/>
  <c r="S128" i="41"/>
  <c r="V166" i="2"/>
  <c r="W166" i="2" s="1"/>
  <c r="V165" i="23"/>
  <c r="Z165" i="27"/>
  <c r="Y115" i="23"/>
  <c r="AD115" i="27"/>
  <c r="Y116" i="2"/>
  <c r="Z116" i="2" s="1"/>
  <c r="P114" i="41"/>
  <c r="T114" i="41"/>
  <c r="M114" i="41"/>
  <c r="O114" i="41"/>
  <c r="S114" i="41"/>
  <c r="P149" i="2"/>
  <c r="L148" i="27"/>
  <c r="H115" i="74" s="1"/>
  <c r="P148" i="23"/>
  <c r="AD110" i="27"/>
  <c r="Y110" i="23"/>
  <c r="Y111" i="2"/>
  <c r="Z111" i="2" s="1"/>
  <c r="L110" i="27"/>
  <c r="P110" i="23"/>
  <c r="P111" i="2"/>
  <c r="Y39" i="28"/>
  <c r="L40" i="27"/>
  <c r="H32" i="74" s="1"/>
  <c r="P40" i="23"/>
  <c r="P41" i="2"/>
  <c r="S149" i="23"/>
  <c r="V149" i="27"/>
  <c r="S150" i="2"/>
  <c r="T150" i="2" s="1"/>
  <c r="P115" i="41"/>
  <c r="S115" i="41"/>
  <c r="M115" i="41"/>
  <c r="O115" i="41"/>
  <c r="T115" i="41"/>
  <c r="V138" i="2"/>
  <c r="W138" i="2" s="1"/>
  <c r="V137" i="23"/>
  <c r="V133" i="2"/>
  <c r="W133" i="2" s="1"/>
  <c r="Z137" i="27"/>
  <c r="S137" i="23"/>
  <c r="S133" i="2"/>
  <c r="T133" i="2" s="1"/>
  <c r="S138" i="2"/>
  <c r="T138" i="2" s="1"/>
  <c r="AB175" i="23"/>
  <c r="V42" i="23"/>
  <c r="Z42" i="27"/>
  <c r="V43" i="2"/>
  <c r="W43" i="2" s="1"/>
  <c r="P43" i="2"/>
  <c r="L42" i="27"/>
  <c r="H34" i="74" s="1"/>
  <c r="P42" i="23"/>
  <c r="P38" i="41"/>
  <c r="S38" i="41"/>
  <c r="O38" i="41"/>
  <c r="M38" i="41"/>
  <c r="T38" i="41"/>
  <c r="P48" i="41"/>
  <c r="M48" i="41"/>
  <c r="O48" i="41"/>
  <c r="T48" i="41"/>
  <c r="S48" i="41"/>
  <c r="S64" i="2"/>
  <c r="S63" i="23"/>
  <c r="V70" i="2"/>
  <c r="W70" i="2" s="1"/>
  <c r="V69" i="23"/>
  <c r="Z69" i="27"/>
  <c r="P43" i="41"/>
  <c r="O43" i="41"/>
  <c r="S43" i="41"/>
  <c r="M43" i="41"/>
  <c r="T43" i="41"/>
  <c r="AB55" i="27"/>
  <c r="AD56" i="27"/>
  <c r="AD55" i="27" s="1"/>
  <c r="Y57" i="2"/>
  <c r="Y56" i="2" s="1"/>
  <c r="Y56" i="23"/>
  <c r="Y55" i="23" s="1"/>
  <c r="P66" i="41"/>
  <c r="T66" i="41"/>
  <c r="M66" i="41"/>
  <c r="S66" i="41"/>
  <c r="O66" i="41"/>
  <c r="Y88" i="23"/>
  <c r="AD88" i="27"/>
  <c r="Y89" i="2"/>
  <c r="Z89" i="2" s="1"/>
  <c r="P112" i="2"/>
  <c r="P111" i="23"/>
  <c r="L111" i="27"/>
  <c r="S111" i="23"/>
  <c r="V111" i="27"/>
  <c r="S112" i="2"/>
  <c r="T112" i="2" s="1"/>
  <c r="S174" i="2"/>
  <c r="T174" i="2" s="1"/>
  <c r="S173" i="23"/>
  <c r="V173" i="27"/>
  <c r="AD152" i="2"/>
  <c r="I117" i="40"/>
  <c r="AB151" i="23"/>
  <c r="Y54" i="23"/>
  <c r="AD54" i="27"/>
  <c r="Y55" i="2"/>
  <c r="S55" i="2"/>
  <c r="T55" i="2" s="1"/>
  <c r="S54" i="23"/>
  <c r="V54" i="27"/>
  <c r="AB67" i="23"/>
  <c r="AD68" i="2"/>
  <c r="AF66" i="27"/>
  <c r="I51" i="40"/>
  <c r="P37" i="41"/>
  <c r="M37" i="41"/>
  <c r="O37" i="41"/>
  <c r="S37" i="41"/>
  <c r="T37" i="41"/>
  <c r="P125" i="41"/>
  <c r="T125" i="41"/>
  <c r="O125" i="41"/>
  <c r="M125" i="41"/>
  <c r="S125" i="41"/>
  <c r="P50" i="41"/>
  <c r="O50" i="41"/>
  <c r="T50" i="41"/>
  <c r="M50" i="41"/>
  <c r="S50" i="41"/>
  <c r="I50" i="40"/>
  <c r="AB65" i="23"/>
  <c r="AD66" i="2"/>
  <c r="S180" i="23"/>
  <c r="V180" i="27"/>
  <c r="S181" i="2"/>
  <c r="T181" i="2" s="1"/>
  <c r="P76" i="41"/>
  <c r="O76" i="41"/>
  <c r="T76" i="41"/>
  <c r="M76" i="41"/>
  <c r="S76" i="41"/>
  <c r="P170" i="23"/>
  <c r="R170" i="27"/>
  <c r="R169" i="27" s="1"/>
  <c r="R168" i="27" s="1"/>
  <c r="L170" i="27"/>
  <c r="H131" i="74" s="1"/>
  <c r="I131" i="74" s="1"/>
  <c r="P171" i="2"/>
  <c r="P169" i="27"/>
  <c r="S170" i="23"/>
  <c r="S169" i="23" s="1"/>
  <c r="S168" i="23" s="1"/>
  <c r="T169" i="27"/>
  <c r="V170" i="27"/>
  <c r="V169" i="27" s="1"/>
  <c r="V168" i="27" s="1"/>
  <c r="S171" i="2"/>
  <c r="Z118" i="27"/>
  <c r="V119" i="2"/>
  <c r="W119" i="2" s="1"/>
  <c r="V118" i="23"/>
  <c r="P90" i="41"/>
  <c r="M90" i="41"/>
  <c r="T90" i="41"/>
  <c r="O90" i="41"/>
  <c r="S90" i="41"/>
  <c r="V64" i="23"/>
  <c r="Z64" i="27"/>
  <c r="V65" i="2"/>
  <c r="W65" i="2" s="1"/>
  <c r="L64" i="27"/>
  <c r="H50" i="74" s="1"/>
  <c r="P64" i="23"/>
  <c r="P65" i="2"/>
  <c r="P136" i="41"/>
  <c r="S136" i="41"/>
  <c r="M136" i="41"/>
  <c r="T136" i="41"/>
  <c r="O136" i="41"/>
  <c r="AD59" i="27"/>
  <c r="Y59" i="23"/>
  <c r="Y60" i="2"/>
  <c r="S116" i="23"/>
  <c r="S117" i="2"/>
  <c r="V116" i="23"/>
  <c r="V117" i="2"/>
  <c r="W117" i="2" s="1"/>
  <c r="Z116" i="27"/>
  <c r="Y138" i="23"/>
  <c r="Y134" i="2"/>
  <c r="Z134" i="2" s="1"/>
  <c r="AD138" i="27"/>
  <c r="S134" i="2"/>
  <c r="T134" i="2" s="1"/>
  <c r="S138" i="23"/>
  <c r="P105" i="41"/>
  <c r="O105" i="41"/>
  <c r="S105" i="41"/>
  <c r="M105" i="41"/>
  <c r="T105" i="41"/>
  <c r="I105" i="40"/>
  <c r="AB136" i="23"/>
  <c r="AD137" i="2"/>
  <c r="AE137" i="2" s="1"/>
  <c r="P79" i="41"/>
  <c r="T79" i="41"/>
  <c r="M79" i="41"/>
  <c r="O79" i="41"/>
  <c r="S79" i="41"/>
  <c r="I32" i="40"/>
  <c r="AB41" i="23"/>
  <c r="AD42" i="2"/>
  <c r="Y41" i="23"/>
  <c r="AD41" i="27"/>
  <c r="Y42" i="2"/>
  <c r="V98" i="2"/>
  <c r="W98" i="2" s="1"/>
  <c r="Z97" i="27"/>
  <c r="V97" i="23"/>
  <c r="I121" i="40"/>
  <c r="AB156" i="23"/>
  <c r="AD157" i="2"/>
  <c r="I39" i="40"/>
  <c r="AB51" i="23"/>
  <c r="AD52" i="2"/>
  <c r="AD51" i="27"/>
  <c r="Y52" i="2"/>
  <c r="Y51" i="23"/>
  <c r="I41" i="40"/>
  <c r="AB53" i="23"/>
  <c r="AD54" i="2"/>
  <c r="P53" i="23"/>
  <c r="P54" i="2"/>
  <c r="Q54" i="2" s="1"/>
  <c r="L53" i="27"/>
  <c r="H42" i="74" s="1"/>
  <c r="R53" i="27"/>
  <c r="AF134" i="27"/>
  <c r="AB135" i="23"/>
  <c r="AD136" i="2"/>
  <c r="I104" i="40"/>
  <c r="S104" i="23"/>
  <c r="S105" i="2"/>
  <c r="P104" i="23"/>
  <c r="P105" i="2"/>
  <c r="L104" i="27"/>
  <c r="AB61" i="27"/>
  <c r="Y62" i="23"/>
  <c r="AD62" i="27"/>
  <c r="Y63" i="2"/>
  <c r="AD63" i="2"/>
  <c r="AB62" i="23"/>
  <c r="AF61" i="27"/>
  <c r="I47" i="40"/>
  <c r="S106" i="23"/>
  <c r="S107" i="2"/>
  <c r="Y107" i="2"/>
  <c r="Z107" i="2" s="1"/>
  <c r="Y106" i="23"/>
  <c r="AD106" i="27"/>
  <c r="P65" i="41"/>
  <c r="S65" i="41"/>
  <c r="M65" i="41"/>
  <c r="T65" i="41"/>
  <c r="O65" i="41"/>
  <c r="T107" i="27"/>
  <c r="S108" i="23"/>
  <c r="V108" i="27"/>
  <c r="S109" i="2"/>
  <c r="AF107" i="27"/>
  <c r="I81" i="40"/>
  <c r="AB108" i="23"/>
  <c r="AD109" i="2"/>
  <c r="P120" i="41"/>
  <c r="M120" i="41"/>
  <c r="T120" i="41"/>
  <c r="S120" i="41"/>
  <c r="O120" i="41"/>
  <c r="V73" i="25"/>
  <c r="AD47" i="27"/>
  <c r="Y48" i="2"/>
  <c r="Y47" i="23"/>
  <c r="V90" i="2"/>
  <c r="W90" i="2" s="1"/>
  <c r="V89" i="23"/>
  <c r="Z89" i="27"/>
  <c r="AB89" i="23"/>
  <c r="AD90" i="2"/>
  <c r="I67" i="40"/>
  <c r="S163" i="23"/>
  <c r="V163" i="27"/>
  <c r="S164" i="2"/>
  <c r="T164" i="2" s="1"/>
  <c r="AE138" i="28"/>
  <c r="AJ138" i="28"/>
  <c r="Z138" i="28"/>
  <c r="P108" i="41"/>
  <c r="T108" i="41"/>
  <c r="M108" i="41"/>
  <c r="S108" i="41"/>
  <c r="O108" i="41"/>
  <c r="V95" i="23"/>
  <c r="Z95" i="27"/>
  <c r="V96" i="2"/>
  <c r="W96" i="2" s="1"/>
  <c r="AI94" i="28"/>
  <c r="S103" i="23"/>
  <c r="S104" i="2"/>
  <c r="P104" i="2"/>
  <c r="L103" i="27"/>
  <c r="P103" i="23"/>
  <c r="I122" i="40"/>
  <c r="AD158" i="2"/>
  <c r="AB157" i="23"/>
  <c r="P122" i="41"/>
  <c r="O122" i="41"/>
  <c r="T122" i="41"/>
  <c r="S122" i="41"/>
  <c r="M122" i="41"/>
  <c r="Q122" i="41" s="1"/>
  <c r="S72" i="2"/>
  <c r="T72" i="2" s="1"/>
  <c r="S71" i="23"/>
  <c r="V71" i="27"/>
  <c r="L71" i="27"/>
  <c r="P71" i="23"/>
  <c r="P72" i="2"/>
  <c r="P93" i="2"/>
  <c r="L92" i="27"/>
  <c r="H70" i="74" s="1"/>
  <c r="P92" i="23"/>
  <c r="L165" i="27"/>
  <c r="P165" i="23"/>
  <c r="P166" i="2"/>
  <c r="Y165" i="23"/>
  <c r="AD165" i="27"/>
  <c r="Y166" i="2"/>
  <c r="Z166" i="2" s="1"/>
  <c r="V115" i="23"/>
  <c r="V116" i="2"/>
  <c r="W116" i="2" s="1"/>
  <c r="Z115" i="27"/>
  <c r="V148" i="23"/>
  <c r="Z148" i="27"/>
  <c r="V149" i="2"/>
  <c r="AD148" i="27"/>
  <c r="Y148" i="23"/>
  <c r="Y149" i="2"/>
  <c r="S110" i="23"/>
  <c r="V110" i="27"/>
  <c r="S111" i="2"/>
  <c r="T111" i="2" s="1"/>
  <c r="V155" i="2"/>
  <c r="V154" i="23"/>
  <c r="Z154" i="27"/>
  <c r="V154" i="27"/>
  <c r="S155" i="2"/>
  <c r="S154" i="23"/>
  <c r="Z40" i="27"/>
  <c r="V41" i="2"/>
  <c r="W41" i="2" s="1"/>
  <c r="V40" i="23"/>
  <c r="N149" i="10"/>
  <c r="O149" i="10"/>
  <c r="Y148" i="28"/>
  <c r="AB149" i="23"/>
  <c r="AD150" i="2"/>
  <c r="I115" i="40"/>
  <c r="P39" i="23"/>
  <c r="P40" i="2"/>
  <c r="AD93" i="27"/>
  <c r="Y137" i="23"/>
  <c r="Y133" i="2"/>
  <c r="Z133" i="2" s="1"/>
  <c r="AD137" i="27"/>
  <c r="Y138" i="2"/>
  <c r="Z138" i="2" s="1"/>
  <c r="P133" i="41"/>
  <c r="M133" i="41"/>
  <c r="T133" i="41"/>
  <c r="S133" i="41"/>
  <c r="O133" i="41"/>
  <c r="Y43" i="2"/>
  <c r="Y42" i="23"/>
  <c r="AD42" i="27"/>
  <c r="S43" i="2"/>
  <c r="S42" i="23"/>
  <c r="AK42" i="27"/>
  <c r="S50" i="23"/>
  <c r="V50" i="27"/>
  <c r="S51" i="2"/>
  <c r="T49" i="27"/>
  <c r="AD50" i="27"/>
  <c r="Y51" i="2"/>
  <c r="Y50" i="23"/>
  <c r="AB49" i="27"/>
  <c r="P64" i="2"/>
  <c r="P63" i="23"/>
  <c r="L63" i="27"/>
  <c r="H49" i="74" s="1"/>
  <c r="V69" i="27"/>
  <c r="S70" i="2"/>
  <c r="T70" i="2" s="1"/>
  <c r="S69" i="23"/>
  <c r="L69" i="27"/>
  <c r="P69" i="23"/>
  <c r="P70" i="2"/>
  <c r="T93" i="28"/>
  <c r="L93" i="28"/>
  <c r="O93" i="28" s="1"/>
  <c r="AF55" i="27"/>
  <c r="I43" i="40"/>
  <c r="AB56" i="23"/>
  <c r="AB55" i="23" s="1"/>
  <c r="AD57" i="2"/>
  <c r="AD56" i="2" s="1"/>
  <c r="W54" i="28"/>
  <c r="AG54" i="28"/>
  <c r="P89" i="2"/>
  <c r="L88" i="27"/>
  <c r="H67" i="74" s="1"/>
  <c r="P88" i="23"/>
  <c r="S89" i="2"/>
  <c r="T89" i="2" s="1"/>
  <c r="S88" i="23"/>
  <c r="V88" i="27"/>
  <c r="Y111" i="23"/>
  <c r="Y112" i="2"/>
  <c r="Z112" i="2" s="1"/>
  <c r="AD111" i="27"/>
  <c r="V174" i="2"/>
  <c r="W174" i="2" s="1"/>
  <c r="V173" i="23"/>
  <c r="Z173" i="27"/>
  <c r="AD173" i="27"/>
  <c r="Y173" i="23"/>
  <c r="Y174" i="2"/>
  <c r="V152" i="2"/>
  <c r="W152" i="2" s="1"/>
  <c r="V151" i="23"/>
  <c r="Z151" i="27"/>
  <c r="AD151" i="27"/>
  <c r="Y152" i="2"/>
  <c r="Z152" i="2" s="1"/>
  <c r="Y151" i="23"/>
  <c r="P42" i="41"/>
  <c r="O42" i="41"/>
  <c r="M42" i="41"/>
  <c r="S42" i="41"/>
  <c r="T42" i="41"/>
  <c r="AD55" i="2"/>
  <c r="I42" i="40"/>
  <c r="AB54" i="23"/>
  <c r="P51" i="41"/>
  <c r="O51" i="41"/>
  <c r="M51" i="41"/>
  <c r="T51" i="41"/>
  <c r="S51" i="41"/>
  <c r="AD48" i="27"/>
  <c r="Y49" i="2"/>
  <c r="Y48" i="23"/>
  <c r="S48" i="23"/>
  <c r="S49" i="2"/>
  <c r="V163" i="2"/>
  <c r="W163" i="2" s="1"/>
  <c r="V162" i="23"/>
  <c r="Z162" i="27"/>
  <c r="AB162" i="23"/>
  <c r="AD163" i="2"/>
  <c r="I125" i="40"/>
  <c r="Y64" i="28"/>
  <c r="L65" i="27"/>
  <c r="P65" i="23"/>
  <c r="P66" i="2"/>
  <c r="P180" i="23"/>
  <c r="P181" i="2"/>
  <c r="L180" i="27"/>
  <c r="T101" i="27"/>
  <c r="S103" i="2"/>
  <c r="S102" i="23"/>
  <c r="Z102" i="27"/>
  <c r="V103" i="2"/>
  <c r="X101" i="27"/>
  <c r="V102" i="23"/>
  <c r="AB170" i="23"/>
  <c r="AB169" i="23" s="1"/>
  <c r="AB168" i="23" s="1"/>
  <c r="AD171" i="2"/>
  <c r="AD170" i="2" s="1"/>
  <c r="AF169" i="27"/>
  <c r="I130" i="40"/>
  <c r="P130" i="41"/>
  <c r="O130" i="41"/>
  <c r="S130" i="41"/>
  <c r="M130" i="41"/>
  <c r="T130" i="41"/>
  <c r="S119" i="2"/>
  <c r="S118" i="23"/>
  <c r="AD64" i="27"/>
  <c r="Y65" i="2"/>
  <c r="Y64" i="23"/>
  <c r="L178" i="27"/>
  <c r="H137" i="74" s="1"/>
  <c r="P178" i="23"/>
  <c r="P179" i="2"/>
  <c r="L59" i="27"/>
  <c r="H46" i="74" s="1"/>
  <c r="I46" i="74" s="1"/>
  <c r="P60" i="2"/>
  <c r="P59" i="23"/>
  <c r="N59" i="10"/>
  <c r="O59" i="10"/>
  <c r="M59" i="10"/>
  <c r="U121" i="24"/>
  <c r="A172" i="23"/>
  <c r="A171" i="23"/>
  <c r="Y79" i="2" l="1"/>
  <c r="K136" i="74"/>
  <c r="AF177" i="27"/>
  <c r="AD178" i="2" s="1"/>
  <c r="R54" i="41"/>
  <c r="J54" i="40"/>
  <c r="K54" i="40" s="1"/>
  <c r="H38" i="74"/>
  <c r="W49" i="20"/>
  <c r="X49" i="20" s="1"/>
  <c r="H37" i="74"/>
  <c r="W48" i="20"/>
  <c r="X48" i="20" s="1"/>
  <c r="AD78" i="27"/>
  <c r="M95" i="2"/>
  <c r="U59" i="41"/>
  <c r="N78" i="28"/>
  <c r="O78" i="28" s="1"/>
  <c r="O72" i="28"/>
  <c r="U95" i="41"/>
  <c r="P126" i="28"/>
  <c r="O126" i="28"/>
  <c r="N80" i="28"/>
  <c r="O80" i="28" s="1"/>
  <c r="P125" i="28"/>
  <c r="O125" i="28"/>
  <c r="P122" i="28"/>
  <c r="O122" i="28"/>
  <c r="P121" i="28"/>
  <c r="O121" i="28"/>
  <c r="P124" i="28"/>
  <c r="O124" i="28"/>
  <c r="P120" i="28"/>
  <c r="O120" i="28"/>
  <c r="S40" i="2"/>
  <c r="T38" i="27"/>
  <c r="AD156" i="2"/>
  <c r="AB177" i="23"/>
  <c r="AB172" i="23" s="1"/>
  <c r="AB171" i="23" s="1"/>
  <c r="AB167" i="23" s="1"/>
  <c r="L71" i="41"/>
  <c r="AB152" i="23"/>
  <c r="T153" i="27"/>
  <c r="W65" i="28"/>
  <c r="X153" i="27"/>
  <c r="AF153" i="27"/>
  <c r="R152" i="27"/>
  <c r="AK39" i="27"/>
  <c r="I135" i="40"/>
  <c r="J135" i="41" s="1"/>
  <c r="AB155" i="23"/>
  <c r="P152" i="23"/>
  <c r="L155" i="27"/>
  <c r="M156" i="2" s="1"/>
  <c r="P153" i="2"/>
  <c r="Q153" i="2" s="1"/>
  <c r="I120" i="40"/>
  <c r="J120" i="41" s="1"/>
  <c r="P156" i="2"/>
  <c r="P154" i="2" s="1"/>
  <c r="P155" i="23"/>
  <c r="P153" i="23" s="1"/>
  <c r="O152" i="10"/>
  <c r="N152" i="10"/>
  <c r="Y151" i="28"/>
  <c r="T147" i="27"/>
  <c r="P153" i="27"/>
  <c r="V155" i="27"/>
  <c r="V153" i="27" s="1"/>
  <c r="S155" i="23"/>
  <c r="S156" i="2"/>
  <c r="T156" i="2" s="1"/>
  <c r="Y155" i="23"/>
  <c r="Y153" i="23" s="1"/>
  <c r="AB153" i="27"/>
  <c r="V155" i="23"/>
  <c r="V153" i="23" s="1"/>
  <c r="V156" i="2"/>
  <c r="W156" i="2" s="1"/>
  <c r="Y156" i="2"/>
  <c r="Z156" i="2" s="1"/>
  <c r="Z155" i="27"/>
  <c r="Z153" i="27" s="1"/>
  <c r="AD155" i="27"/>
  <c r="AD153" i="27" s="1"/>
  <c r="T125" i="2"/>
  <c r="N95" i="77"/>
  <c r="O95" i="77" s="1"/>
  <c r="V78" i="23"/>
  <c r="AB91" i="27"/>
  <c r="AF38" i="27"/>
  <c r="I30" i="40"/>
  <c r="J30" i="41" s="1"/>
  <c r="V151" i="2"/>
  <c r="W151" i="2" s="1"/>
  <c r="Y93" i="23"/>
  <c r="AD40" i="2"/>
  <c r="AD39" i="2" s="1"/>
  <c r="Z78" i="27"/>
  <c r="N71" i="74"/>
  <c r="O71" i="74" s="1"/>
  <c r="Q134" i="74"/>
  <c r="N134" i="74"/>
  <c r="O134" i="74" s="1"/>
  <c r="K117" i="74"/>
  <c r="T66" i="74"/>
  <c r="U66" i="74" s="1"/>
  <c r="AF172" i="27"/>
  <c r="AF171" i="27" s="1"/>
  <c r="I133" i="40"/>
  <c r="J133" i="41" s="1"/>
  <c r="Y94" i="2"/>
  <c r="Z94" i="2" s="1"/>
  <c r="T31" i="74"/>
  <c r="U31" i="74" s="1"/>
  <c r="Y151" i="2"/>
  <c r="Z151" i="2" s="1"/>
  <c r="Z150" i="27"/>
  <c r="Q117" i="74"/>
  <c r="Y150" i="23"/>
  <c r="W134" i="74"/>
  <c r="X134" i="74" s="1"/>
  <c r="K66" i="74"/>
  <c r="AD176" i="2"/>
  <c r="AD173" i="2" s="1"/>
  <c r="W136" i="74"/>
  <c r="X136" i="74" s="1"/>
  <c r="S150" i="23"/>
  <c r="T71" i="74"/>
  <c r="U71" i="74" s="1"/>
  <c r="Q66" i="74"/>
  <c r="W31" i="74"/>
  <c r="X31" i="74" s="1"/>
  <c r="Q136" i="74"/>
  <c r="S151" i="2"/>
  <c r="T151" i="2" s="1"/>
  <c r="K71" i="74"/>
  <c r="T134" i="74"/>
  <c r="U134" i="74" s="1"/>
  <c r="N66" i="74"/>
  <c r="O66" i="74" s="1"/>
  <c r="W66" i="74"/>
  <c r="X66" i="74" s="1"/>
  <c r="T136" i="74"/>
  <c r="U136" i="74" s="1"/>
  <c r="N136" i="74"/>
  <c r="O136" i="74" s="1"/>
  <c r="M46" i="23"/>
  <c r="AE121" i="2"/>
  <c r="Z22" i="30" s="1"/>
  <c r="G94" i="40"/>
  <c r="AK123" i="28"/>
  <c r="AA121" i="2"/>
  <c r="O125" i="38"/>
  <c r="AN125" i="2"/>
  <c r="AN121" i="2" s="1"/>
  <c r="F22" i="19" s="1"/>
  <c r="Z124" i="23"/>
  <c r="Z120" i="23" s="1"/>
  <c r="Z119" i="23" s="1"/>
  <c r="P125" i="25"/>
  <c r="P124" i="24"/>
  <c r="P120" i="24" s="1"/>
  <c r="P119" i="24" s="1"/>
  <c r="M125" i="38"/>
  <c r="AA123" i="28"/>
  <c r="U121" i="2"/>
  <c r="T124" i="23"/>
  <c r="T120" i="23" s="1"/>
  <c r="T119" i="23" s="1"/>
  <c r="N124" i="24"/>
  <c r="N120" i="24" s="1"/>
  <c r="N119" i="24" s="1"/>
  <c r="N125" i="25"/>
  <c r="N121" i="25" s="1"/>
  <c r="N120" i="25" s="1"/>
  <c r="W125" i="2"/>
  <c r="L125" i="2"/>
  <c r="L46" i="3"/>
  <c r="R121" i="2"/>
  <c r="L125" i="38"/>
  <c r="V123" i="28"/>
  <c r="Q124" i="23"/>
  <c r="Q120" i="23" s="1"/>
  <c r="Q119" i="23" s="1"/>
  <c r="M125" i="25"/>
  <c r="M121" i="25" s="1"/>
  <c r="M120" i="25" s="1"/>
  <c r="M124" i="24"/>
  <c r="M120" i="24" s="1"/>
  <c r="M119" i="24" s="1"/>
  <c r="Q71" i="74"/>
  <c r="M35" i="3"/>
  <c r="N31" i="74"/>
  <c r="N16" i="9"/>
  <c r="K31" i="74"/>
  <c r="Q16" i="9"/>
  <c r="Q31" i="74"/>
  <c r="M16" i="9"/>
  <c r="T77" i="28"/>
  <c r="O150" i="10"/>
  <c r="W117" i="74"/>
  <c r="X117" i="74" s="1"/>
  <c r="Y149" i="28"/>
  <c r="N117" i="74"/>
  <c r="O117" i="74" s="1"/>
  <c r="AI92" i="28"/>
  <c r="W71" i="74"/>
  <c r="X71" i="74" s="1"/>
  <c r="N150" i="10"/>
  <c r="T117" i="74"/>
  <c r="U117" i="74" s="1"/>
  <c r="M177" i="2"/>
  <c r="H135" i="74"/>
  <c r="M181" i="2"/>
  <c r="H139" i="74"/>
  <c r="AB168" i="27"/>
  <c r="X168" i="27"/>
  <c r="P168" i="27"/>
  <c r="T168" i="27"/>
  <c r="AF168" i="27"/>
  <c r="M165" i="2"/>
  <c r="H128" i="74"/>
  <c r="M166" i="2"/>
  <c r="H129" i="74"/>
  <c r="M164" i="2"/>
  <c r="H127" i="74"/>
  <c r="M163" i="2"/>
  <c r="H126" i="74"/>
  <c r="AF119" i="27"/>
  <c r="M138" i="2"/>
  <c r="N138" i="2" s="1"/>
  <c r="H107" i="74"/>
  <c r="I107" i="74" s="1"/>
  <c r="M137" i="2"/>
  <c r="N137" i="2" s="1"/>
  <c r="H106" i="74"/>
  <c r="I106" i="74" s="1"/>
  <c r="M140" i="2"/>
  <c r="N140" i="2" s="1"/>
  <c r="H109" i="74"/>
  <c r="I109" i="74" s="1"/>
  <c r="M119" i="2"/>
  <c r="H91" i="74"/>
  <c r="M117" i="2"/>
  <c r="H89" i="74"/>
  <c r="M118" i="2"/>
  <c r="H90" i="74"/>
  <c r="M116" i="2"/>
  <c r="H88" i="74"/>
  <c r="I88" i="74" s="1"/>
  <c r="M112" i="2"/>
  <c r="H85" i="74"/>
  <c r="M111" i="2"/>
  <c r="H84" i="74"/>
  <c r="M110" i="2"/>
  <c r="H83" i="74"/>
  <c r="M107" i="2"/>
  <c r="H81" i="74"/>
  <c r="M104" i="2"/>
  <c r="H78" i="74"/>
  <c r="M106" i="2"/>
  <c r="H80" i="74"/>
  <c r="M105" i="2"/>
  <c r="H79" i="74"/>
  <c r="M96" i="2"/>
  <c r="H73" i="74"/>
  <c r="M98" i="2"/>
  <c r="H75" i="74"/>
  <c r="M90" i="2"/>
  <c r="H68" i="74"/>
  <c r="I68" i="74" s="1"/>
  <c r="M89" i="2"/>
  <c r="M72" i="2"/>
  <c r="H56" i="74"/>
  <c r="M70" i="2"/>
  <c r="H54" i="74"/>
  <c r="M69" i="2"/>
  <c r="H53" i="74"/>
  <c r="M66" i="2"/>
  <c r="H51" i="74"/>
  <c r="M55" i="2"/>
  <c r="H43" i="74"/>
  <c r="M51" i="2"/>
  <c r="H39" i="74"/>
  <c r="M41" i="2"/>
  <c r="M43" i="2"/>
  <c r="M42" i="2"/>
  <c r="U92" i="41"/>
  <c r="U96" i="41"/>
  <c r="L57" i="41"/>
  <c r="U73" i="41"/>
  <c r="AN77" i="28"/>
  <c r="M104" i="40"/>
  <c r="O104" i="40"/>
  <c r="M108" i="40"/>
  <c r="O108" i="40"/>
  <c r="M44" i="40"/>
  <c r="O33" i="40"/>
  <c r="M107" i="40"/>
  <c r="O107" i="40"/>
  <c r="M106" i="40"/>
  <c r="O106" i="40"/>
  <c r="M130" i="40"/>
  <c r="M67" i="40"/>
  <c r="M105" i="40"/>
  <c r="O105" i="40"/>
  <c r="M87" i="40"/>
  <c r="M45" i="40"/>
  <c r="M54" i="40"/>
  <c r="K98" i="41"/>
  <c r="U98" i="41"/>
  <c r="K96" i="41"/>
  <c r="U34" i="41"/>
  <c r="K68" i="41"/>
  <c r="U57" i="41"/>
  <c r="L34" i="41"/>
  <c r="U68" i="41"/>
  <c r="U46" i="41"/>
  <c r="L97" i="41"/>
  <c r="U93" i="41"/>
  <c r="K95" i="41"/>
  <c r="U137" i="41"/>
  <c r="K94" i="41"/>
  <c r="U132" i="41"/>
  <c r="K91" i="41"/>
  <c r="L93" i="41"/>
  <c r="K137" i="41"/>
  <c r="L95" i="41"/>
  <c r="U94" i="41"/>
  <c r="U91" i="41"/>
  <c r="L73" i="41"/>
  <c r="K132" i="41"/>
  <c r="K92" i="41"/>
  <c r="L46" i="41"/>
  <c r="K61" i="41"/>
  <c r="J122" i="41"/>
  <c r="J32" i="41"/>
  <c r="L32" i="41" s="1"/>
  <c r="J136" i="41"/>
  <c r="L136" i="41" s="1"/>
  <c r="J48" i="41"/>
  <c r="L48" i="41" s="1"/>
  <c r="J79" i="41"/>
  <c r="J41" i="41"/>
  <c r="J105" i="41"/>
  <c r="L105" i="41" s="1"/>
  <c r="J82" i="41"/>
  <c r="L82" i="41" s="1"/>
  <c r="J40" i="41"/>
  <c r="L40" i="41" s="1"/>
  <c r="J74" i="41"/>
  <c r="L74" i="41" s="1"/>
  <c r="J72" i="41"/>
  <c r="L72" i="41" s="1"/>
  <c r="J126" i="41"/>
  <c r="L126" i="41" s="1"/>
  <c r="J55" i="41"/>
  <c r="J90" i="41"/>
  <c r="J138" i="41"/>
  <c r="J89" i="41"/>
  <c r="L89" i="41" s="1"/>
  <c r="J115" i="41"/>
  <c r="L115" i="41" s="1"/>
  <c r="J67" i="41"/>
  <c r="L67" i="41" s="1"/>
  <c r="J87" i="41"/>
  <c r="K87" i="41" s="1"/>
  <c r="J127" i="41"/>
  <c r="J121" i="41"/>
  <c r="L121" i="41" s="1"/>
  <c r="J77" i="41"/>
  <c r="J78" i="41"/>
  <c r="L78" i="41" s="1"/>
  <c r="J88" i="41"/>
  <c r="L88" i="41" s="1"/>
  <c r="J85" i="41"/>
  <c r="J66" i="41"/>
  <c r="J53" i="41"/>
  <c r="L53" i="41" s="1"/>
  <c r="J128" i="41"/>
  <c r="L128" i="41" s="1"/>
  <c r="J108" i="41"/>
  <c r="K108" i="41" s="1"/>
  <c r="J106" i="41"/>
  <c r="K106" i="41" s="1"/>
  <c r="J49" i="41"/>
  <c r="L49" i="41" s="1"/>
  <c r="U97" i="41"/>
  <c r="U58" i="41"/>
  <c r="L59" i="41"/>
  <c r="J54" i="41"/>
  <c r="K54" i="41" s="1"/>
  <c r="U61" i="41"/>
  <c r="J84" i="41"/>
  <c r="J33" i="41"/>
  <c r="J80" i="41"/>
  <c r="J107" i="41"/>
  <c r="K107" i="41" s="1"/>
  <c r="J123" i="41"/>
  <c r="J125" i="41"/>
  <c r="J50" i="41"/>
  <c r="J117" i="41"/>
  <c r="L117" i="41" s="1"/>
  <c r="U71" i="41"/>
  <c r="J31" i="41"/>
  <c r="J118" i="41"/>
  <c r="J83" i="41"/>
  <c r="J134" i="41"/>
  <c r="J52" i="41"/>
  <c r="L52" i="41" s="1"/>
  <c r="L56" i="41"/>
  <c r="K56" i="41"/>
  <c r="K60" i="41"/>
  <c r="U60" i="41"/>
  <c r="J131" i="41"/>
  <c r="J43" i="41"/>
  <c r="J47" i="41"/>
  <c r="J51" i="41"/>
  <c r="L51" i="41" s="1"/>
  <c r="J38" i="41"/>
  <c r="L38" i="41" s="1"/>
  <c r="J81" i="41"/>
  <c r="L81" i="41" s="1"/>
  <c r="J104" i="41"/>
  <c r="K104" i="41" s="1"/>
  <c r="J124" i="41"/>
  <c r="L124" i="41" s="1"/>
  <c r="J44" i="41"/>
  <c r="K44" i="41" s="1"/>
  <c r="J69" i="41"/>
  <c r="L69" i="41" s="1"/>
  <c r="J86" i="41"/>
  <c r="J64" i="41"/>
  <c r="J119" i="41"/>
  <c r="L119" i="41" s="1"/>
  <c r="J114" i="41"/>
  <c r="J76" i="41"/>
  <c r="L76" i="41" s="1"/>
  <c r="L78" i="10"/>
  <c r="N122" i="2"/>
  <c r="M121" i="2"/>
  <c r="K93" i="40"/>
  <c r="L93" i="40"/>
  <c r="L92" i="40"/>
  <c r="K92" i="40"/>
  <c r="K81" i="10"/>
  <c r="M73" i="23"/>
  <c r="K46" i="40"/>
  <c r="M71" i="2"/>
  <c r="L72" i="28"/>
  <c r="L91" i="40"/>
  <c r="K91" i="40"/>
  <c r="N75" i="2"/>
  <c r="N74" i="2" s="1"/>
  <c r="M74" i="2"/>
  <c r="L69" i="28"/>
  <c r="O69" i="28" s="1"/>
  <c r="K94" i="40"/>
  <c r="P78" i="10"/>
  <c r="M70" i="23"/>
  <c r="Q82" i="41"/>
  <c r="U119" i="28"/>
  <c r="Q83" i="41"/>
  <c r="Q72" i="41"/>
  <c r="Q78" i="41"/>
  <c r="M120" i="23"/>
  <c r="L96" i="40"/>
  <c r="K96" i="40"/>
  <c r="K95" i="40"/>
  <c r="L95" i="40"/>
  <c r="L97" i="40"/>
  <c r="K97" i="40"/>
  <c r="L98" i="40"/>
  <c r="K98" i="40"/>
  <c r="L119" i="28"/>
  <c r="P127" i="28"/>
  <c r="V7" i="25"/>
  <c r="V183" i="25" s="1"/>
  <c r="Q53" i="41"/>
  <c r="Q74" i="41"/>
  <c r="Q131" i="41"/>
  <c r="AG44" i="28"/>
  <c r="Q85" i="41"/>
  <c r="Q127" i="41"/>
  <c r="Q88" i="41"/>
  <c r="Q55" i="41"/>
  <c r="Q33" i="41"/>
  <c r="Q31" i="41"/>
  <c r="Q49" i="41"/>
  <c r="Q51" i="41"/>
  <c r="Q134" i="41"/>
  <c r="Q64" i="41"/>
  <c r="Q124" i="41"/>
  <c r="Q52" i="41"/>
  <c r="Q119" i="41"/>
  <c r="L117" i="28"/>
  <c r="O117" i="28" s="1"/>
  <c r="Q108" i="41"/>
  <c r="AB44" i="28"/>
  <c r="L108" i="28"/>
  <c r="O108" i="28" s="1"/>
  <c r="Q79" i="41"/>
  <c r="Q105" i="41"/>
  <c r="AG48" i="28"/>
  <c r="AB152" i="28"/>
  <c r="Q114" i="41"/>
  <c r="L114" i="28"/>
  <c r="O114" i="28" s="1"/>
  <c r="Q81" i="41"/>
  <c r="AB37" i="28"/>
  <c r="Q66" i="41"/>
  <c r="Q43" i="41"/>
  <c r="Q38" i="41"/>
  <c r="Q115" i="41"/>
  <c r="Q128" i="41"/>
  <c r="Q69" i="41"/>
  <c r="Q116" i="41"/>
  <c r="Q123" i="41"/>
  <c r="Q138" i="41"/>
  <c r="Q70" i="41"/>
  <c r="Q77" i="41"/>
  <c r="L111" i="28"/>
  <c r="O111" i="28" s="1"/>
  <c r="Q32" i="41"/>
  <c r="Q104" i="41"/>
  <c r="L68" i="28"/>
  <c r="O68" i="28" s="1"/>
  <c r="Q80" i="41"/>
  <c r="Q39" i="41"/>
  <c r="AD58" i="2"/>
  <c r="AB134" i="23"/>
  <c r="AB119" i="23" s="1"/>
  <c r="V57" i="27"/>
  <c r="P46" i="2"/>
  <c r="V45" i="23"/>
  <c r="M59" i="23"/>
  <c r="Z45" i="27"/>
  <c r="P100" i="27"/>
  <c r="M178" i="23"/>
  <c r="M69" i="23"/>
  <c r="P39" i="2"/>
  <c r="AD62" i="2"/>
  <c r="Z101" i="27"/>
  <c r="M65" i="23"/>
  <c r="Y49" i="23"/>
  <c r="V107" i="23"/>
  <c r="AB61" i="23"/>
  <c r="AB66" i="23"/>
  <c r="V57" i="23"/>
  <c r="V49" i="27"/>
  <c r="AD67" i="2"/>
  <c r="M52" i="23"/>
  <c r="AB107" i="23"/>
  <c r="S101" i="23"/>
  <c r="S153" i="23"/>
  <c r="M92" i="23"/>
  <c r="X100" i="27"/>
  <c r="S102" i="2"/>
  <c r="M180" i="23"/>
  <c r="AD49" i="27"/>
  <c r="S49" i="23"/>
  <c r="M71" i="23"/>
  <c r="Z107" i="27"/>
  <c r="M68" i="23"/>
  <c r="M117" i="23"/>
  <c r="AB100" i="27"/>
  <c r="AD45" i="27"/>
  <c r="V49" i="23"/>
  <c r="S39" i="2"/>
  <c r="Y45" i="23"/>
  <c r="M104" i="23"/>
  <c r="R51" i="41"/>
  <c r="J51" i="40"/>
  <c r="AL65" i="28"/>
  <c r="AI91" i="28"/>
  <c r="AG90" i="28"/>
  <c r="AE134" i="28"/>
  <c r="AE133" i="28" s="1"/>
  <c r="AB133" i="28"/>
  <c r="AB118" i="28" s="1"/>
  <c r="J39" i="41"/>
  <c r="W65" i="20"/>
  <c r="X65" i="20" s="1"/>
  <c r="M65" i="2"/>
  <c r="M40" i="23"/>
  <c r="T39" i="28"/>
  <c r="L39" i="28"/>
  <c r="O39" i="28" s="1"/>
  <c r="M47" i="23"/>
  <c r="P45" i="23"/>
  <c r="V46" i="2"/>
  <c r="X45" i="27" s="1"/>
  <c r="W48" i="2"/>
  <c r="W46" i="2" s="1"/>
  <c r="AN86" i="28"/>
  <c r="J65" i="40"/>
  <c r="R65" i="41"/>
  <c r="J80" i="40"/>
  <c r="R80" i="41"/>
  <c r="AB60" i="28"/>
  <c r="T61" i="28"/>
  <c r="L61" i="28"/>
  <c r="O61" i="28" s="1"/>
  <c r="R60" i="28"/>
  <c r="W63" i="2"/>
  <c r="W62" i="2" s="1"/>
  <c r="V62" i="2"/>
  <c r="M136" i="2"/>
  <c r="L134" i="27"/>
  <c r="P134" i="23"/>
  <c r="P119" i="23" s="1"/>
  <c r="M135" i="23"/>
  <c r="L40" i="28"/>
  <c r="O40" i="28" s="1"/>
  <c r="T40" i="28"/>
  <c r="M138" i="23"/>
  <c r="M86" i="23"/>
  <c r="S114" i="2"/>
  <c r="Y161" i="2"/>
  <c r="Z162" i="2"/>
  <c r="Z161" i="2" s="1"/>
  <c r="M58" i="10"/>
  <c r="W56" i="28"/>
  <c r="S58" i="2"/>
  <c r="T59" i="2"/>
  <c r="T58" i="2" s="1"/>
  <c r="AO137" i="28"/>
  <c r="R107" i="41"/>
  <c r="J107" i="40"/>
  <c r="R84" i="28"/>
  <c r="L85" i="28"/>
  <c r="O85" i="28" s="1"/>
  <c r="T85" i="28"/>
  <c r="Z113" i="27"/>
  <c r="M164" i="23"/>
  <c r="R49" i="41"/>
  <c r="J49" i="40"/>
  <c r="AN63" i="28"/>
  <c r="Y101" i="23"/>
  <c r="M102" i="23"/>
  <c r="P101" i="23"/>
  <c r="M68" i="2"/>
  <c r="L66" i="27"/>
  <c r="AB171" i="28"/>
  <c r="AB170" i="28" s="1"/>
  <c r="AB166" i="28" s="1"/>
  <c r="T172" i="28"/>
  <c r="L172" i="28"/>
  <c r="O172" i="28" s="1"/>
  <c r="R171" i="28"/>
  <c r="R170" i="28" s="1"/>
  <c r="AD50" i="2"/>
  <c r="AO136" i="28"/>
  <c r="J106" i="40"/>
  <c r="R106" i="41"/>
  <c r="AL37" i="28"/>
  <c r="AN38" i="28"/>
  <c r="R30" i="41"/>
  <c r="J30" i="40"/>
  <c r="R83" i="41"/>
  <c r="J83" i="40"/>
  <c r="M89" i="23"/>
  <c r="P108" i="2"/>
  <c r="W63" i="20"/>
  <c r="X63" i="20" s="1"/>
  <c r="L61" i="27"/>
  <c r="M63" i="2"/>
  <c r="S130" i="2"/>
  <c r="T119" i="27"/>
  <c r="AG112" i="28"/>
  <c r="T175" i="28"/>
  <c r="L175" i="28"/>
  <c r="O175" i="28" s="1"/>
  <c r="M113" i="2"/>
  <c r="W113" i="20"/>
  <c r="X113" i="20" s="1"/>
  <c r="J89" i="40"/>
  <c r="R89" i="41"/>
  <c r="S160" i="23"/>
  <c r="S159" i="23" s="1"/>
  <c r="M50" i="23"/>
  <c r="P49" i="23"/>
  <c r="AO41" i="28"/>
  <c r="R33" i="41"/>
  <c r="AN41" i="28"/>
  <c r="J33" i="40"/>
  <c r="Y41" i="28"/>
  <c r="Z41" i="28"/>
  <c r="M149" i="23"/>
  <c r="J36" i="41"/>
  <c r="R106" i="28"/>
  <c r="L107" i="28"/>
  <c r="O107" i="28" s="1"/>
  <c r="AG106" i="28"/>
  <c r="Z134" i="27"/>
  <c r="AN96" i="28"/>
  <c r="R74" i="41"/>
  <c r="J74" i="40"/>
  <c r="AD53" i="28"/>
  <c r="N54" i="10"/>
  <c r="P54" i="10"/>
  <c r="AN53" i="28"/>
  <c r="R42" i="41"/>
  <c r="J42" i="40"/>
  <c r="L55" i="27"/>
  <c r="M57" i="2"/>
  <c r="M56" i="2" s="1"/>
  <c r="N148" i="10"/>
  <c r="AB146" i="28"/>
  <c r="R128" i="41"/>
  <c r="J128" i="40"/>
  <c r="M157" i="23"/>
  <c r="T88" i="28"/>
  <c r="L88" i="28"/>
  <c r="O88" i="28" s="1"/>
  <c r="S46" i="2"/>
  <c r="AF100" i="27"/>
  <c r="W100" i="28"/>
  <c r="M48" i="23"/>
  <c r="V66" i="23"/>
  <c r="T68" i="2"/>
  <c r="T67" i="2" s="1"/>
  <c r="S67" i="2"/>
  <c r="W87" i="2"/>
  <c r="J52" i="40"/>
  <c r="R52" i="41"/>
  <c r="M161" i="23"/>
  <c r="P160" i="23"/>
  <c r="P159" i="23" s="1"/>
  <c r="R159" i="28"/>
  <c r="R158" i="28" s="1"/>
  <c r="L160" i="28"/>
  <c r="O160" i="28" s="1"/>
  <c r="W159" i="28"/>
  <c r="W158" i="28" s="1"/>
  <c r="M58" i="23"/>
  <c r="U135" i="28"/>
  <c r="L135" i="28"/>
  <c r="M114" i="23"/>
  <c r="P113" i="23"/>
  <c r="V160" i="23"/>
  <c r="V159" i="23" s="1"/>
  <c r="Z87" i="2"/>
  <c r="M158" i="23"/>
  <c r="Y113" i="23"/>
  <c r="M176" i="23"/>
  <c r="R43" i="41"/>
  <c r="AN55" i="28"/>
  <c r="AN54" i="28" s="1"/>
  <c r="J43" i="40"/>
  <c r="AL54" i="28"/>
  <c r="M93" i="2"/>
  <c r="W93" i="20"/>
  <c r="X93" i="20" s="1"/>
  <c r="J72" i="40"/>
  <c r="R72" i="41"/>
  <c r="AN94" i="28"/>
  <c r="S170" i="2"/>
  <c r="T171" i="2"/>
  <c r="T170" i="2" s="1"/>
  <c r="P169" i="23"/>
  <c r="P168" i="23" s="1"/>
  <c r="M170" i="23"/>
  <c r="M169" i="23" s="1"/>
  <c r="M168" i="23" s="1"/>
  <c r="L59" i="10"/>
  <c r="L58" i="28"/>
  <c r="O58" i="28" s="1"/>
  <c r="W103" i="2"/>
  <c r="W102" i="2" s="1"/>
  <c r="V102" i="2"/>
  <c r="T100" i="27"/>
  <c r="AG65" i="28"/>
  <c r="O67" i="10"/>
  <c r="AB65" i="28"/>
  <c r="N67" i="10"/>
  <c r="AB54" i="28"/>
  <c r="AD55" i="28"/>
  <c r="AD54" i="28" s="1"/>
  <c r="Q133" i="41"/>
  <c r="T155" i="2"/>
  <c r="M165" i="23"/>
  <c r="J69" i="40"/>
  <c r="AL90" i="28"/>
  <c r="R69" i="41"/>
  <c r="AN91" i="28"/>
  <c r="T94" i="28"/>
  <c r="L94" i="28"/>
  <c r="O94" i="28" s="1"/>
  <c r="U138" i="28"/>
  <c r="L138" i="28"/>
  <c r="L162" i="28"/>
  <c r="O162" i="28" s="1"/>
  <c r="Y46" i="2"/>
  <c r="AD108" i="2"/>
  <c r="T109" i="2"/>
  <c r="T108" i="2" s="1"/>
  <c r="S108" i="2"/>
  <c r="AJ134" i="28"/>
  <c r="AJ133" i="28" s="1"/>
  <c r="AJ118" i="28" s="1"/>
  <c r="AG133" i="28"/>
  <c r="AG118" i="28" s="1"/>
  <c r="W54" i="20"/>
  <c r="X54" i="20" s="1"/>
  <c r="M54" i="2"/>
  <c r="R82" i="41"/>
  <c r="J82" i="40"/>
  <c r="R79" i="41"/>
  <c r="J79" i="40"/>
  <c r="Q171" i="2"/>
  <c r="Q170" i="2" s="1"/>
  <c r="P170" i="2"/>
  <c r="T179" i="28"/>
  <c r="L179" i="28"/>
  <c r="O179" i="28" s="1"/>
  <c r="AN179" i="28"/>
  <c r="R138" i="41"/>
  <c r="J138" i="40"/>
  <c r="Q48" i="41"/>
  <c r="R48" i="28"/>
  <c r="L49" i="28"/>
  <c r="O49" i="28" s="1"/>
  <c r="M42" i="23"/>
  <c r="J133" i="40"/>
  <c r="AN174" i="28"/>
  <c r="R133" i="41"/>
  <c r="R152" i="28"/>
  <c r="T153" i="28"/>
  <c r="L153" i="28"/>
  <c r="O153" i="28" s="1"/>
  <c r="M110" i="23"/>
  <c r="R87" i="41"/>
  <c r="J87" i="40"/>
  <c r="Y91" i="23"/>
  <c r="L149" i="28"/>
  <c r="O149" i="28" s="1"/>
  <c r="T149" i="28"/>
  <c r="M48" i="2"/>
  <c r="AQ48" i="20"/>
  <c r="AR48" i="20" s="1"/>
  <c r="L45" i="27"/>
  <c r="T86" i="28"/>
  <c r="L86" i="28"/>
  <c r="O86" i="28" s="1"/>
  <c r="L105" i="28"/>
  <c r="O105" i="28" s="1"/>
  <c r="W60" i="28"/>
  <c r="Y61" i="28"/>
  <c r="Y60" i="28" s="1"/>
  <c r="P119" i="27"/>
  <c r="P130" i="2"/>
  <c r="J41" i="40"/>
  <c r="AN52" i="28"/>
  <c r="R41" i="41"/>
  <c r="L50" i="28"/>
  <c r="O50" i="28" s="1"/>
  <c r="M97" i="23"/>
  <c r="R32" i="41"/>
  <c r="AN40" i="28"/>
  <c r="J32" i="40"/>
  <c r="M85" i="2"/>
  <c r="N85" i="2" s="1"/>
  <c r="M87" i="2"/>
  <c r="S113" i="23"/>
  <c r="W53" i="20"/>
  <c r="X53" i="20" s="1"/>
  <c r="M53" i="2"/>
  <c r="AD160" i="27"/>
  <c r="AD159" i="27" s="1"/>
  <c r="R44" i="41"/>
  <c r="AL56" i="28"/>
  <c r="J44" i="40"/>
  <c r="P58" i="10"/>
  <c r="S57" i="23"/>
  <c r="T87" i="2"/>
  <c r="W84" i="28"/>
  <c r="AB84" i="28"/>
  <c r="AD161" i="2"/>
  <c r="Q45" i="41"/>
  <c r="L63" i="28"/>
  <c r="O63" i="28" s="1"/>
  <c r="T63" i="28"/>
  <c r="L101" i="27"/>
  <c r="M103" i="2"/>
  <c r="J37" i="41"/>
  <c r="P67" i="2"/>
  <c r="Y66" i="23"/>
  <c r="J131" i="40"/>
  <c r="AN172" i="28"/>
  <c r="R131" i="41"/>
  <c r="AL171" i="28"/>
  <c r="AL170" i="28" s="1"/>
  <c r="U136" i="28"/>
  <c r="L136" i="28"/>
  <c r="AB38" i="23"/>
  <c r="T38" i="28"/>
  <c r="L38" i="28"/>
  <c r="R37" i="28"/>
  <c r="T149" i="2"/>
  <c r="J77" i="40"/>
  <c r="R77" i="41"/>
  <c r="M163" i="23"/>
  <c r="L154" i="28"/>
  <c r="O154" i="28" s="1"/>
  <c r="T154" i="28"/>
  <c r="P107" i="23"/>
  <c r="M108" i="23"/>
  <c r="M106" i="23"/>
  <c r="S62" i="2"/>
  <c r="T63" i="2"/>
  <c r="P62" i="2"/>
  <c r="T136" i="2"/>
  <c r="T135" i="2" s="1"/>
  <c r="S135" i="2"/>
  <c r="R121" i="41"/>
  <c r="AN155" i="28"/>
  <c r="J121" i="40"/>
  <c r="W112" i="28"/>
  <c r="J86" i="40"/>
  <c r="R86" i="41"/>
  <c r="AL112" i="28"/>
  <c r="M112" i="23"/>
  <c r="L116" i="28"/>
  <c r="O116" i="28" s="1"/>
  <c r="V160" i="27"/>
  <c r="V159" i="27" s="1"/>
  <c r="L163" i="28"/>
  <c r="O163" i="28" s="1"/>
  <c r="AB57" i="23"/>
  <c r="M150" i="2"/>
  <c r="W150" i="20"/>
  <c r="X150" i="20" s="1"/>
  <c r="Z155" i="2"/>
  <c r="L176" i="28"/>
  <c r="O176" i="28" s="1"/>
  <c r="T176" i="28"/>
  <c r="W106" i="28"/>
  <c r="L96" i="28"/>
  <c r="O96" i="28" s="1"/>
  <c r="T96" i="28"/>
  <c r="M54" i="23"/>
  <c r="T150" i="28"/>
  <c r="L150" i="28"/>
  <c r="O150" i="28" s="1"/>
  <c r="M173" i="23"/>
  <c r="L110" i="28"/>
  <c r="O110" i="28" s="1"/>
  <c r="J66" i="40"/>
  <c r="AN87" i="28"/>
  <c r="R66" i="41"/>
  <c r="T147" i="28"/>
  <c r="L147" i="28"/>
  <c r="O147" i="28" s="1"/>
  <c r="R146" i="28"/>
  <c r="L164" i="28"/>
  <c r="O164" i="28" s="1"/>
  <c r="AN151" i="28"/>
  <c r="J118" i="40"/>
  <c r="R118" i="41"/>
  <c r="S45" i="23"/>
  <c r="Z109" i="2"/>
  <c r="Z108" i="2" s="1"/>
  <c r="Y108" i="2"/>
  <c r="Y130" i="2"/>
  <c r="AB119" i="27"/>
  <c r="M109" i="23"/>
  <c r="U169" i="28"/>
  <c r="U168" i="28" s="1"/>
  <c r="U167" i="28" s="1"/>
  <c r="L170" i="10"/>
  <c r="R168" i="28"/>
  <c r="R167" i="28" s="1"/>
  <c r="L169" i="28"/>
  <c r="O169" i="28" s="1"/>
  <c r="AD102" i="2"/>
  <c r="R76" i="41"/>
  <c r="J76" i="40"/>
  <c r="AL100" i="28"/>
  <c r="M162" i="23"/>
  <c r="AD114" i="2"/>
  <c r="J40" i="40"/>
  <c r="R40" i="41"/>
  <c r="AN51" i="28"/>
  <c r="Q40" i="41"/>
  <c r="P161" i="2"/>
  <c r="AL159" i="28"/>
  <c r="AL158" i="28" s="1"/>
  <c r="R124" i="41"/>
  <c r="J124" i="40"/>
  <c r="W59" i="20"/>
  <c r="X59" i="20" s="1"/>
  <c r="M59" i="2"/>
  <c r="AD57" i="27"/>
  <c r="M115" i="2"/>
  <c r="L113" i="27"/>
  <c r="W162" i="2"/>
  <c r="W161" i="2" s="1"/>
  <c r="V161" i="2"/>
  <c r="L115" i="28"/>
  <c r="O115" i="28" s="1"/>
  <c r="Q44" i="41"/>
  <c r="L177" i="28"/>
  <c r="O177" i="28" s="1"/>
  <c r="T177" i="28"/>
  <c r="M88" i="23"/>
  <c r="L148" i="28"/>
  <c r="O148" i="28" s="1"/>
  <c r="T148" i="28"/>
  <c r="W155" i="2"/>
  <c r="W90" i="28"/>
  <c r="AB90" i="28"/>
  <c r="AO138" i="28"/>
  <c r="J108" i="40"/>
  <c r="R108" i="41"/>
  <c r="R126" i="41"/>
  <c r="J126" i="40"/>
  <c r="R36" i="41"/>
  <c r="AL44" i="28"/>
  <c r="J36" i="40"/>
  <c r="AN46" i="28"/>
  <c r="V107" i="27"/>
  <c r="Y62" i="2"/>
  <c r="Z134" i="28"/>
  <c r="Z133" i="28" s="1"/>
  <c r="W133" i="28"/>
  <c r="W118" i="28" s="1"/>
  <c r="L169" i="27"/>
  <c r="W171" i="20"/>
  <c r="X171" i="20" s="1"/>
  <c r="M171" i="2"/>
  <c r="M170" i="2" s="1"/>
  <c r="Q76" i="41"/>
  <c r="Q50" i="41"/>
  <c r="M111" i="23"/>
  <c r="AD49" i="28"/>
  <c r="AB48" i="28"/>
  <c r="AN39" i="28"/>
  <c r="R31" i="41"/>
  <c r="J31" i="40"/>
  <c r="AG152" i="28"/>
  <c r="M148" i="23"/>
  <c r="Q135" i="41"/>
  <c r="AG60" i="28"/>
  <c r="Z61" i="27"/>
  <c r="P135" i="2"/>
  <c r="Q136" i="2"/>
  <c r="Q135" i="2" s="1"/>
  <c r="L52" i="28"/>
  <c r="O52" i="28" s="1"/>
  <c r="M156" i="23"/>
  <c r="M41" i="23"/>
  <c r="T157" i="28"/>
  <c r="L157" i="28"/>
  <c r="O157" i="28" s="1"/>
  <c r="O58" i="10"/>
  <c r="AG56" i="28"/>
  <c r="L57" i="28"/>
  <c r="O57" i="28" s="1"/>
  <c r="R56" i="28"/>
  <c r="L58" i="10"/>
  <c r="R64" i="41"/>
  <c r="AN85" i="28"/>
  <c r="J64" i="40"/>
  <c r="AL84" i="28"/>
  <c r="V113" i="23"/>
  <c r="V170" i="2"/>
  <c r="Y102" i="2"/>
  <c r="Z103" i="2"/>
  <c r="Z102" i="2" s="1"/>
  <c r="R37" i="41"/>
  <c r="AN47" i="28"/>
  <c r="J37" i="40"/>
  <c r="P66" i="23"/>
  <c r="M67" i="23"/>
  <c r="Z68" i="2"/>
  <c r="Z67" i="2" s="1"/>
  <c r="Y67" i="2"/>
  <c r="W152" i="20"/>
  <c r="X152" i="20" s="1"/>
  <c r="M152" i="2"/>
  <c r="W171" i="28"/>
  <c r="W170" i="28" s="1"/>
  <c r="W166" i="28" s="1"/>
  <c r="T57" i="2"/>
  <c r="T56" i="2" s="1"/>
  <c r="S56" i="2"/>
  <c r="AG37" i="28"/>
  <c r="AD154" i="2"/>
  <c r="M154" i="23"/>
  <c r="M115" i="23"/>
  <c r="L102" i="28"/>
  <c r="O102" i="28" s="1"/>
  <c r="J120" i="40"/>
  <c r="AN154" i="28"/>
  <c r="R120" i="41"/>
  <c r="L107" i="27"/>
  <c r="M109" i="2"/>
  <c r="L103" i="28"/>
  <c r="O103" i="28" s="1"/>
  <c r="S134" i="23"/>
  <c r="S119" i="23" s="1"/>
  <c r="Q41" i="41"/>
  <c r="T155" i="28"/>
  <c r="L155" i="28"/>
  <c r="O155" i="28" s="1"/>
  <c r="AB112" i="28"/>
  <c r="J127" i="40"/>
  <c r="R127" i="41"/>
  <c r="AN62" i="28"/>
  <c r="R48" i="41"/>
  <c r="J48" i="40"/>
  <c r="P50" i="2"/>
  <c r="Q51" i="2"/>
  <c r="Q50" i="2" s="1"/>
  <c r="U41" i="28"/>
  <c r="T41" i="28"/>
  <c r="L41" i="28"/>
  <c r="O41" i="28" s="1"/>
  <c r="T156" i="28"/>
  <c r="L156" i="28"/>
  <c r="O156" i="28" s="1"/>
  <c r="AD46" i="2"/>
  <c r="AB106" i="28"/>
  <c r="V130" i="2"/>
  <c r="X119" i="27"/>
  <c r="Q117" i="41"/>
  <c r="M174" i="2"/>
  <c r="W174" i="20"/>
  <c r="X174" i="20" s="1"/>
  <c r="P55" i="23"/>
  <c r="M56" i="23"/>
  <c r="M55" i="23" s="1"/>
  <c r="W146" i="28"/>
  <c r="Y147" i="28"/>
  <c r="AG146" i="28"/>
  <c r="O148" i="10"/>
  <c r="R55" i="41"/>
  <c r="J55" i="40"/>
  <c r="M139" i="23"/>
  <c r="L151" i="28"/>
  <c r="O151" i="28" s="1"/>
  <c r="T151" i="28"/>
  <c r="AD107" i="27"/>
  <c r="Y135" i="2"/>
  <c r="Z136" i="2"/>
  <c r="Z135" i="2" s="1"/>
  <c r="Y134" i="23"/>
  <c r="Y119" i="23" s="1"/>
  <c r="AL168" i="28"/>
  <c r="AL167" i="28" s="1"/>
  <c r="J130" i="40"/>
  <c r="R130" i="41"/>
  <c r="P170" i="10"/>
  <c r="AB101" i="23"/>
  <c r="AB100" i="28"/>
  <c r="M49" i="2"/>
  <c r="V67" i="2"/>
  <c r="W68" i="2"/>
  <c r="W67" i="2" s="1"/>
  <c r="V66" i="27"/>
  <c r="AB113" i="23"/>
  <c r="AB159" i="28"/>
  <c r="AB158" i="28" s="1"/>
  <c r="Y58" i="2"/>
  <c r="J45" i="41"/>
  <c r="W159" i="20"/>
  <c r="X159" i="20" s="1"/>
  <c r="M159" i="2"/>
  <c r="W59" i="2"/>
  <c r="W58" i="2" s="1"/>
  <c r="V58" i="2"/>
  <c r="J88" i="40"/>
  <c r="R88" i="41"/>
  <c r="Y114" i="2"/>
  <c r="Z115" i="2"/>
  <c r="Z114" i="2" s="1"/>
  <c r="L64" i="28"/>
  <c r="O64" i="28" s="1"/>
  <c r="T64" i="28"/>
  <c r="Z174" i="2"/>
  <c r="Y61" i="23"/>
  <c r="AE136" i="2"/>
  <c r="AE135" i="2" s="1"/>
  <c r="Z24" i="30" s="1"/>
  <c r="AD135" i="2"/>
  <c r="W179" i="20"/>
  <c r="X179" i="20" s="1"/>
  <c r="M179" i="2"/>
  <c r="J90" i="40"/>
  <c r="R90" i="41"/>
  <c r="L66" i="28"/>
  <c r="O66" i="28" s="1"/>
  <c r="R65" i="28"/>
  <c r="W64" i="20"/>
  <c r="X64" i="20" s="1"/>
  <c r="M64" i="2"/>
  <c r="S50" i="2"/>
  <c r="T51" i="2"/>
  <c r="T50" i="2" s="1"/>
  <c r="S38" i="23"/>
  <c r="P38" i="23"/>
  <c r="R45" i="41"/>
  <c r="P59" i="10"/>
  <c r="J45" i="40"/>
  <c r="W60" i="20"/>
  <c r="X60" i="20" s="1"/>
  <c r="M60" i="2"/>
  <c r="R136" i="41"/>
  <c r="J136" i="40"/>
  <c r="AN177" i="28"/>
  <c r="Q130" i="41"/>
  <c r="J130" i="41"/>
  <c r="V101" i="23"/>
  <c r="R50" i="41"/>
  <c r="AN64" i="28"/>
  <c r="J50" i="40"/>
  <c r="J42" i="41"/>
  <c r="Q42" i="41"/>
  <c r="R54" i="28"/>
  <c r="L55" i="28"/>
  <c r="O55" i="28" s="1"/>
  <c r="O54" i="28" s="1"/>
  <c r="M63" i="23"/>
  <c r="Y50" i="2"/>
  <c r="L92" i="28"/>
  <c r="O92" i="28" s="1"/>
  <c r="T92" i="28"/>
  <c r="AN92" i="28"/>
  <c r="J70" i="40"/>
  <c r="R70" i="41"/>
  <c r="J115" i="40"/>
  <c r="R115" i="41"/>
  <c r="AN148" i="28"/>
  <c r="Z149" i="2"/>
  <c r="W149" i="2"/>
  <c r="L91" i="28"/>
  <c r="O91" i="28" s="1"/>
  <c r="O90" i="28" s="1"/>
  <c r="T91" i="28"/>
  <c r="R90" i="28"/>
  <c r="M103" i="23"/>
  <c r="L46" i="28"/>
  <c r="O46" i="28" s="1"/>
  <c r="T46" i="28"/>
  <c r="R44" i="28"/>
  <c r="W44" i="28"/>
  <c r="Y46" i="28"/>
  <c r="Y44" i="28" s="1"/>
  <c r="Q120" i="41"/>
  <c r="S107" i="23"/>
  <c r="Q65" i="41"/>
  <c r="AO134" i="28"/>
  <c r="J104" i="40"/>
  <c r="R104" i="41"/>
  <c r="AL133" i="28"/>
  <c r="AL118" i="28" s="1"/>
  <c r="U134" i="28"/>
  <c r="R133" i="28"/>
  <c r="R118" i="28" s="1"/>
  <c r="L134" i="28"/>
  <c r="O134" i="28" s="1"/>
  <c r="M53" i="23"/>
  <c r="L104" i="28"/>
  <c r="O104" i="28" s="1"/>
  <c r="Q136" i="41"/>
  <c r="M64" i="23"/>
  <c r="Q90" i="41"/>
  <c r="Q125" i="41"/>
  <c r="L161" i="28"/>
  <c r="O161" i="28" s="1"/>
  <c r="J125" i="40"/>
  <c r="R125" i="41"/>
  <c r="Q37" i="41"/>
  <c r="J38" i="40"/>
  <c r="AL48" i="28"/>
  <c r="R38" i="41"/>
  <c r="AN49" i="28"/>
  <c r="W48" i="28"/>
  <c r="T174" i="28"/>
  <c r="L174" i="28"/>
  <c r="O174" i="28" s="1"/>
  <c r="W152" i="28"/>
  <c r="AL152" i="28"/>
  <c r="AN153" i="28"/>
  <c r="R119" i="41"/>
  <c r="J119" i="40"/>
  <c r="M149" i="2"/>
  <c r="W149" i="20"/>
  <c r="X149" i="20" s="1"/>
  <c r="J116" i="40"/>
  <c r="R116" i="41"/>
  <c r="AN149" i="28"/>
  <c r="Q126" i="41"/>
  <c r="Q67" i="41"/>
  <c r="W109" i="2"/>
  <c r="W108" i="2" s="1"/>
  <c r="V108" i="2"/>
  <c r="AN61" i="28"/>
  <c r="J47" i="40"/>
  <c r="AL60" i="28"/>
  <c r="R47" i="41"/>
  <c r="V61" i="23"/>
  <c r="R39" i="41"/>
  <c r="J39" i="40"/>
  <c r="AN50" i="28"/>
  <c r="M157" i="2"/>
  <c r="W157" i="20"/>
  <c r="X157" i="20" s="1"/>
  <c r="M136" i="23"/>
  <c r="R123" i="41"/>
  <c r="AN157" i="28"/>
  <c r="J123" i="40"/>
  <c r="Y160" i="23"/>
  <c r="Y159" i="23" s="1"/>
  <c r="N58" i="10"/>
  <c r="AB56" i="28"/>
  <c r="U137" i="28"/>
  <c r="L137" i="28"/>
  <c r="AG84" i="28"/>
  <c r="V114" i="2"/>
  <c r="W115" i="2"/>
  <c r="W114" i="2" s="1"/>
  <c r="AB160" i="23"/>
  <c r="AB159" i="23" s="1"/>
  <c r="AD101" i="27"/>
  <c r="P102" i="2"/>
  <c r="T47" i="28"/>
  <c r="L47" i="28"/>
  <c r="O47" i="28" s="1"/>
  <c r="AD66" i="27"/>
  <c r="M151" i="23"/>
  <c r="AG171" i="28"/>
  <c r="AG170" i="28" s="1"/>
  <c r="AG166" i="28" s="1"/>
  <c r="W37" i="28"/>
  <c r="Y38" i="28"/>
  <c r="AB153" i="23"/>
  <c r="W155" i="20"/>
  <c r="M155" i="2"/>
  <c r="L109" i="28"/>
  <c r="O109" i="28" s="1"/>
  <c r="Q87" i="41"/>
  <c r="Q118" i="41"/>
  <c r="Q36" i="41"/>
  <c r="S61" i="23"/>
  <c r="M62" i="23"/>
  <c r="P61" i="23"/>
  <c r="J78" i="40"/>
  <c r="R78" i="41"/>
  <c r="M51" i="23"/>
  <c r="L113" i="28"/>
  <c r="O113" i="28" s="1"/>
  <c r="R112" i="28"/>
  <c r="R134" i="41"/>
  <c r="AN175" i="28"/>
  <c r="J134" i="40"/>
  <c r="S161" i="2"/>
  <c r="T162" i="2"/>
  <c r="T161" i="2" s="1"/>
  <c r="R53" i="41"/>
  <c r="J53" i="40"/>
  <c r="L62" i="28"/>
  <c r="O62" i="28" s="1"/>
  <c r="T62" i="28"/>
  <c r="R49" i="27"/>
  <c r="M137" i="23"/>
  <c r="R135" i="41"/>
  <c r="AN176" i="28"/>
  <c r="J135" i="40"/>
  <c r="AN156" i="28"/>
  <c r="R122" i="41"/>
  <c r="J122" i="40"/>
  <c r="AB45" i="23"/>
  <c r="R81" i="41"/>
  <c r="J81" i="40"/>
  <c r="AL106" i="28"/>
  <c r="W136" i="2"/>
  <c r="W135" i="2" s="1"/>
  <c r="V135" i="2"/>
  <c r="V134" i="23"/>
  <c r="V119" i="23" s="1"/>
  <c r="L54" i="10"/>
  <c r="L53" i="28"/>
  <c r="O53" i="28" s="1"/>
  <c r="AN150" i="28"/>
  <c r="R117" i="41"/>
  <c r="J117" i="40"/>
  <c r="Q84" i="41"/>
  <c r="J84" i="40"/>
  <c r="R84" i="41"/>
  <c r="T87" i="28"/>
  <c r="L87" i="28"/>
  <c r="O87" i="28" s="1"/>
  <c r="P56" i="2"/>
  <c r="Q57" i="2"/>
  <c r="Q56" i="2" s="1"/>
  <c r="Q30" i="41"/>
  <c r="AN147" i="28"/>
  <c r="R114" i="41"/>
  <c r="J114" i="40"/>
  <c r="L70" i="28"/>
  <c r="O70" i="28" s="1"/>
  <c r="W158" i="20"/>
  <c r="X158" i="20" s="1"/>
  <c r="M158" i="2"/>
  <c r="M95" i="23"/>
  <c r="R67" i="41"/>
  <c r="AN88" i="28"/>
  <c r="J67" i="40"/>
  <c r="Y107" i="23"/>
  <c r="Q47" i="41"/>
  <c r="AD134" i="27"/>
  <c r="M118" i="23"/>
  <c r="Z171" i="2"/>
  <c r="Z170" i="2" s="1"/>
  <c r="Y170" i="2"/>
  <c r="R100" i="28"/>
  <c r="L101" i="28"/>
  <c r="O101" i="28" s="1"/>
  <c r="AG100" i="28"/>
  <c r="Z66" i="27"/>
  <c r="S66" i="23"/>
  <c r="Q86" i="41"/>
  <c r="L51" i="28"/>
  <c r="O51" i="28" s="1"/>
  <c r="J85" i="40"/>
  <c r="R85" i="41"/>
  <c r="L67" i="28"/>
  <c r="O67" i="28" s="1"/>
  <c r="L160" i="27"/>
  <c r="L159" i="27" s="1"/>
  <c r="M162" i="2"/>
  <c r="AG159" i="28"/>
  <c r="AG158" i="28" s="1"/>
  <c r="Y57" i="23"/>
  <c r="AO135" i="28"/>
  <c r="R105" i="41"/>
  <c r="J105" i="40"/>
  <c r="P114" i="2"/>
  <c r="Z160" i="27"/>
  <c r="Z159" i="27" s="1"/>
  <c r="M105" i="23"/>
  <c r="Q107" i="41"/>
  <c r="M116" i="23"/>
  <c r="Z57" i="27"/>
  <c r="AD113" i="27"/>
  <c r="AD170" i="23"/>
  <c r="AG170" i="23" s="1"/>
  <c r="AD139" i="23"/>
  <c r="AG139" i="23" s="1"/>
  <c r="AD138" i="23"/>
  <c r="AG138" i="23" s="1"/>
  <c r="AD137" i="23"/>
  <c r="AG137" i="23" s="1"/>
  <c r="AD136" i="23"/>
  <c r="AG136" i="23" s="1"/>
  <c r="AD135" i="23"/>
  <c r="AG135" i="23" s="1"/>
  <c r="AD128" i="23"/>
  <c r="AG128" i="23" s="1"/>
  <c r="AD127" i="23"/>
  <c r="AG127" i="23" s="1"/>
  <c r="AD126" i="23"/>
  <c r="AG126" i="23" s="1"/>
  <c r="AD125" i="23"/>
  <c r="AG125" i="23" s="1"/>
  <c r="AD124" i="23"/>
  <c r="AG124" i="23" s="1"/>
  <c r="AD123" i="23"/>
  <c r="AG123" i="23" s="1"/>
  <c r="AD122" i="23"/>
  <c r="AG122" i="23" s="1"/>
  <c r="AD121" i="23"/>
  <c r="AG121" i="23" s="1"/>
  <c r="AD62" i="23"/>
  <c r="AG62" i="23" s="1"/>
  <c r="AD51" i="23"/>
  <c r="AG51" i="23" s="1"/>
  <c r="A180" i="23"/>
  <c r="A179" i="23"/>
  <c r="A178" i="23"/>
  <c r="A177" i="23"/>
  <c r="A176" i="23"/>
  <c r="A175" i="23"/>
  <c r="A174" i="23"/>
  <c r="A173" i="23"/>
  <c r="J170" i="23"/>
  <c r="I170" i="23"/>
  <c r="H170" i="23"/>
  <c r="G170" i="23"/>
  <c r="F170" i="23"/>
  <c r="E170" i="23"/>
  <c r="D170" i="23"/>
  <c r="A170" i="23"/>
  <c r="A169" i="23"/>
  <c r="A168" i="23"/>
  <c r="A167" i="23"/>
  <c r="A165" i="23"/>
  <c r="A164" i="23"/>
  <c r="A163" i="23"/>
  <c r="A162" i="23"/>
  <c r="A161" i="23"/>
  <c r="A160" i="23"/>
  <c r="A159" i="23"/>
  <c r="A158" i="23"/>
  <c r="A157" i="23"/>
  <c r="A156" i="23"/>
  <c r="A155" i="23"/>
  <c r="A154" i="23"/>
  <c r="A153" i="23"/>
  <c r="A152" i="23"/>
  <c r="A151" i="23"/>
  <c r="A150" i="23"/>
  <c r="A149" i="23"/>
  <c r="A148" i="23"/>
  <c r="A147" i="23"/>
  <c r="A146" i="23"/>
  <c r="A100" i="23"/>
  <c r="A139" i="23"/>
  <c r="A138" i="23"/>
  <c r="A137" i="23"/>
  <c r="A136" i="23"/>
  <c r="A135" i="23"/>
  <c r="A134" i="23"/>
  <c r="A128" i="23"/>
  <c r="A127" i="23"/>
  <c r="A126" i="23"/>
  <c r="A106" i="23"/>
  <c r="A105" i="23"/>
  <c r="A104" i="23"/>
  <c r="A103" i="23"/>
  <c r="A102" i="23"/>
  <c r="A101" i="23"/>
  <c r="A99" i="23"/>
  <c r="A6" i="23"/>
  <c r="A97" i="23"/>
  <c r="A96" i="23"/>
  <c r="A95" i="23"/>
  <c r="A94" i="23"/>
  <c r="A93" i="23"/>
  <c r="A92" i="23"/>
  <c r="A91" i="23"/>
  <c r="A90" i="23"/>
  <c r="A89" i="23"/>
  <c r="A88" i="23"/>
  <c r="A87" i="23"/>
  <c r="A86" i="23"/>
  <c r="A85" i="23"/>
  <c r="A82" i="23"/>
  <c r="A81" i="23"/>
  <c r="A80" i="23"/>
  <c r="A79" i="23"/>
  <c r="A78" i="23"/>
  <c r="A77" i="23"/>
  <c r="A73" i="23"/>
  <c r="A72" i="23"/>
  <c r="A76" i="23"/>
  <c r="A75" i="23"/>
  <c r="A74" i="23"/>
  <c r="A71" i="23"/>
  <c r="A70" i="23"/>
  <c r="A69" i="23"/>
  <c r="A68" i="23"/>
  <c r="A67" i="23"/>
  <c r="A66" i="23"/>
  <c r="A65" i="23"/>
  <c r="A64" i="23"/>
  <c r="A63" i="23"/>
  <c r="A62" i="23"/>
  <c r="A61" i="23"/>
  <c r="G60" i="23"/>
  <c r="F60" i="23"/>
  <c r="E60" i="23"/>
  <c r="D60" i="23"/>
  <c r="A60" i="23"/>
  <c r="G59" i="23"/>
  <c r="F59" i="23"/>
  <c r="E59" i="23"/>
  <c r="D59" i="23"/>
  <c r="A59" i="23"/>
  <c r="G58" i="23"/>
  <c r="F58" i="23"/>
  <c r="E58" i="23"/>
  <c r="D58" i="23"/>
  <c r="A58" i="23"/>
  <c r="A57" i="23"/>
  <c r="A56" i="23"/>
  <c r="A55" i="23"/>
  <c r="A54" i="23"/>
  <c r="A53" i="23"/>
  <c r="A52" i="23"/>
  <c r="A51" i="23"/>
  <c r="A50" i="23"/>
  <c r="A49" i="23"/>
  <c r="AD30" i="23"/>
  <c r="AG30" i="23" s="1"/>
  <c r="AD27" i="23"/>
  <c r="AG27" i="23" s="1"/>
  <c r="AD24" i="23"/>
  <c r="AG24" i="23" s="1"/>
  <c r="AD23" i="23"/>
  <c r="AG23" i="23" s="1"/>
  <c r="AD21" i="23"/>
  <c r="AG21" i="23" s="1"/>
  <c r="AD20" i="23"/>
  <c r="AG20" i="23" s="1"/>
  <c r="AD16" i="23"/>
  <c r="AG16" i="23" s="1"/>
  <c r="AD15" i="23"/>
  <c r="AG15" i="23" s="1"/>
  <c r="AG10" i="2"/>
  <c r="AD9" i="23" s="1"/>
  <c r="AJ138" i="2"/>
  <c r="AJ137" i="2"/>
  <c r="AJ136" i="2"/>
  <c r="AJ70" i="2"/>
  <c r="AJ61" i="2"/>
  <c r="AJ52" i="2"/>
  <c r="AJ31" i="2"/>
  <c r="AJ28" i="2"/>
  <c r="AJ25" i="2"/>
  <c r="AJ24" i="2"/>
  <c r="AJ22" i="2"/>
  <c r="AJ21" i="2"/>
  <c r="AJ17" i="2"/>
  <c r="AJ16" i="2"/>
  <c r="O100" i="28" l="1"/>
  <c r="O112" i="28"/>
  <c r="O56" i="28"/>
  <c r="O44" i="28"/>
  <c r="O77" i="28"/>
  <c r="P137" i="28"/>
  <c r="O137" i="28"/>
  <c r="O146" i="28"/>
  <c r="O60" i="28"/>
  <c r="P136" i="28"/>
  <c r="O136" i="28"/>
  <c r="P138" i="28"/>
  <c r="O138" i="28"/>
  <c r="O106" i="28"/>
  <c r="O99" i="28" s="1"/>
  <c r="O84" i="28"/>
  <c r="O119" i="28"/>
  <c r="O118" i="28" s="1"/>
  <c r="O65" i="28"/>
  <c r="H31" i="74"/>
  <c r="O38" i="28"/>
  <c r="O37" i="28" s="1"/>
  <c r="O48" i="28"/>
  <c r="O152" i="28"/>
  <c r="P135" i="28"/>
  <c r="O135" i="28"/>
  <c r="O159" i="28"/>
  <c r="O158" i="28" s="1"/>
  <c r="O171" i="28"/>
  <c r="O170" i="28" s="1"/>
  <c r="N77" i="28"/>
  <c r="N71" i="28" s="1"/>
  <c r="N5" i="28" s="1"/>
  <c r="L153" i="27"/>
  <c r="T146" i="27"/>
  <c r="T99" i="27" s="1"/>
  <c r="AG71" i="28"/>
  <c r="V154" i="2"/>
  <c r="W156" i="20"/>
  <c r="X156" i="20" s="1"/>
  <c r="W154" i="2"/>
  <c r="Y154" i="2"/>
  <c r="T154" i="2"/>
  <c r="Z154" i="2"/>
  <c r="S154" i="2"/>
  <c r="T119" i="74"/>
  <c r="U119" i="74" s="1"/>
  <c r="V152" i="23"/>
  <c r="V147" i="23" s="1"/>
  <c r="V146" i="23" s="1"/>
  <c r="X147" i="27"/>
  <c r="X146" i="27" s="1"/>
  <c r="X99" i="27" s="1"/>
  <c r="Z152" i="27"/>
  <c r="Z147" i="27" s="1"/>
  <c r="Z146" i="27" s="1"/>
  <c r="Z140" i="27" s="1"/>
  <c r="V153" i="2"/>
  <c r="N119" i="74"/>
  <c r="S153" i="2"/>
  <c r="S148" i="2" s="1"/>
  <c r="S152" i="23"/>
  <c r="L152" i="27"/>
  <c r="L118" i="41" s="1"/>
  <c r="W119" i="74"/>
  <c r="X119" i="74" s="1"/>
  <c r="AB147" i="27"/>
  <c r="AB146" i="27" s="1"/>
  <c r="AB99" i="27" s="1"/>
  <c r="Y99" i="2" s="1"/>
  <c r="Z99" i="2" s="1"/>
  <c r="AD152" i="27"/>
  <c r="AD147" i="27" s="1"/>
  <c r="AD146" i="27" s="1"/>
  <c r="AD140" i="27" s="1"/>
  <c r="Y153" i="2"/>
  <c r="Y152" i="23"/>
  <c r="Y147" i="23" s="1"/>
  <c r="Y146" i="23" s="1"/>
  <c r="M155" i="23"/>
  <c r="M153" i="23" s="1"/>
  <c r="H121" i="74"/>
  <c r="L94" i="40"/>
  <c r="K95" i="77"/>
  <c r="L95" i="77" s="1"/>
  <c r="Y92" i="2"/>
  <c r="AF167" i="27"/>
  <c r="AD39" i="27"/>
  <c r="AD38" i="27" s="1"/>
  <c r="Y39" i="23"/>
  <c r="Y38" i="23" s="1"/>
  <c r="Y7" i="23" s="1"/>
  <c r="Y6" i="23" s="1"/>
  <c r="Y40" i="2"/>
  <c r="Y39" i="2" s="1"/>
  <c r="AB38" i="27"/>
  <c r="V94" i="2"/>
  <c r="W94" i="2" s="1"/>
  <c r="V93" i="23"/>
  <c r="V91" i="23" s="1"/>
  <c r="Z93" i="27"/>
  <c r="Z91" i="27" s="1"/>
  <c r="X91" i="27"/>
  <c r="Y175" i="23"/>
  <c r="AD175" i="27"/>
  <c r="AB172" i="27"/>
  <c r="AB171" i="27" s="1"/>
  <c r="AB167" i="27" s="1"/>
  <c r="Y176" i="2"/>
  <c r="V39" i="23"/>
  <c r="L39" i="27"/>
  <c r="L30" i="41" s="1"/>
  <c r="V40" i="2"/>
  <c r="Z39" i="27"/>
  <c r="Z38" i="27" s="1"/>
  <c r="X38" i="27"/>
  <c r="S177" i="23"/>
  <c r="V177" i="27"/>
  <c r="S178" i="2"/>
  <c r="T178" i="2" s="1"/>
  <c r="AB85" i="27"/>
  <c r="Y88" i="2"/>
  <c r="AD87" i="27"/>
  <c r="AD85" i="27" s="1"/>
  <c r="Y87" i="23"/>
  <c r="Y85" i="23" s="1"/>
  <c r="Y72" i="23" s="1"/>
  <c r="Z175" i="27"/>
  <c r="V175" i="23"/>
  <c r="X172" i="27"/>
  <c r="X171" i="27" s="1"/>
  <c r="X167" i="27" s="1"/>
  <c r="V176" i="2"/>
  <c r="W176" i="2" s="1"/>
  <c r="X85" i="27"/>
  <c r="V88" i="2"/>
  <c r="V87" i="23"/>
  <c r="V85" i="23" s="1"/>
  <c r="Z87" i="27"/>
  <c r="Z85" i="27" s="1"/>
  <c r="V175" i="27"/>
  <c r="S175" i="23"/>
  <c r="S172" i="23" s="1"/>
  <c r="S171" i="23" s="1"/>
  <c r="S167" i="23" s="1"/>
  <c r="T172" i="27"/>
  <c r="T171" i="27" s="1"/>
  <c r="T167" i="27" s="1"/>
  <c r="S176" i="2"/>
  <c r="T176" i="2" s="1"/>
  <c r="T91" i="27"/>
  <c r="S94" i="2"/>
  <c r="T94" i="2" s="1"/>
  <c r="S93" i="23"/>
  <c r="S91" i="23" s="1"/>
  <c r="V93" i="27"/>
  <c r="V91" i="27" s="1"/>
  <c r="P177" i="23"/>
  <c r="P178" i="2"/>
  <c r="L177" i="27"/>
  <c r="L135" i="41" s="1"/>
  <c r="P88" i="2"/>
  <c r="P86" i="2" s="1"/>
  <c r="P87" i="23"/>
  <c r="L87" i="27"/>
  <c r="P85" i="27"/>
  <c r="P84" i="2" s="1"/>
  <c r="Q84" i="2" s="1"/>
  <c r="I65" i="40"/>
  <c r="J65" i="41" s="1"/>
  <c r="U65" i="41" s="1"/>
  <c r="AB87" i="23"/>
  <c r="AB85" i="23" s="1"/>
  <c r="AF85" i="27"/>
  <c r="AD88" i="2"/>
  <c r="AD86" i="2" s="1"/>
  <c r="Z177" i="27"/>
  <c r="V177" i="23"/>
  <c r="V178" i="2"/>
  <c r="W178" i="2" s="1"/>
  <c r="S87" i="23"/>
  <c r="S85" i="23" s="1"/>
  <c r="S72" i="23" s="1"/>
  <c r="S88" i="2"/>
  <c r="V87" i="27"/>
  <c r="V85" i="27" s="1"/>
  <c r="T85" i="27"/>
  <c r="AB93" i="23"/>
  <c r="AB91" i="23" s="1"/>
  <c r="AD94" i="2"/>
  <c r="AD92" i="2" s="1"/>
  <c r="I70" i="40"/>
  <c r="J70" i="41" s="1"/>
  <c r="U70" i="41" s="1"/>
  <c r="AF91" i="27"/>
  <c r="AD177" i="27"/>
  <c r="Y177" i="23"/>
  <c r="Y178" i="2"/>
  <c r="Z178" i="2" s="1"/>
  <c r="L150" i="27"/>
  <c r="P151" i="2"/>
  <c r="P148" i="2" s="1"/>
  <c r="P147" i="27"/>
  <c r="P146" i="27" s="1"/>
  <c r="P99" i="27" s="1"/>
  <c r="P150" i="23"/>
  <c r="AD151" i="2"/>
  <c r="AD148" i="2" s="1"/>
  <c r="AD141" i="2" s="1"/>
  <c r="I116" i="40"/>
  <c r="J116" i="41" s="1"/>
  <c r="AB150" i="23"/>
  <c r="AB147" i="23" s="1"/>
  <c r="AB146" i="23" s="1"/>
  <c r="AF147" i="27"/>
  <c r="AF146" i="27" s="1"/>
  <c r="AF99" i="27" s="1"/>
  <c r="P175" i="23"/>
  <c r="P176" i="2"/>
  <c r="P172" i="27"/>
  <c r="P171" i="27" s="1"/>
  <c r="P167" i="27" s="1"/>
  <c r="L175" i="27"/>
  <c r="L133" i="41" s="1"/>
  <c r="L93" i="27"/>
  <c r="T125" i="25"/>
  <c r="T121" i="25" s="1"/>
  <c r="P22" i="30" s="1"/>
  <c r="S22" i="30" s="1"/>
  <c r="V22" i="30" s="1"/>
  <c r="P121" i="25"/>
  <c r="P120" i="25" s="1"/>
  <c r="AK119" i="28"/>
  <c r="AK118" i="28" s="1"/>
  <c r="AO123" i="28"/>
  <c r="AO119" i="28" s="1"/>
  <c r="N94" i="40"/>
  <c r="O94" i="40"/>
  <c r="AA119" i="28"/>
  <c r="AA118" i="28" s="1"/>
  <c r="AE123" i="28"/>
  <c r="AE119" i="28" s="1"/>
  <c r="AE118" i="28" s="1"/>
  <c r="J125" i="38"/>
  <c r="K123" i="28"/>
  <c r="L121" i="2"/>
  <c r="K124" i="23"/>
  <c r="K120" i="23" s="1"/>
  <c r="K125" i="25"/>
  <c r="K121" i="25" s="1"/>
  <c r="K120" i="25" s="1"/>
  <c r="K124" i="24"/>
  <c r="K120" i="24" s="1"/>
  <c r="K119" i="24" s="1"/>
  <c r="V119" i="28"/>
  <c r="V118" i="28" s="1"/>
  <c r="Z123" i="28"/>
  <c r="Z119" i="28" s="1"/>
  <c r="Z118" i="28" s="1"/>
  <c r="N125" i="2"/>
  <c r="N121" i="2" s="1"/>
  <c r="AI90" i="28"/>
  <c r="AI71" i="28" s="1"/>
  <c r="AI5" i="28" s="1"/>
  <c r="H134" i="74"/>
  <c r="Y146" i="28"/>
  <c r="Y145" i="28" s="1"/>
  <c r="Y98" i="28" s="1"/>
  <c r="AL145" i="28"/>
  <c r="H71" i="74"/>
  <c r="H66" i="74"/>
  <c r="H136" i="74"/>
  <c r="H117" i="74"/>
  <c r="M161" i="2"/>
  <c r="L168" i="27"/>
  <c r="M114" i="2"/>
  <c r="M102" i="2"/>
  <c r="L119" i="27"/>
  <c r="Y37" i="28"/>
  <c r="Y6" i="28" s="1"/>
  <c r="Y5" i="28" s="1"/>
  <c r="AG99" i="28"/>
  <c r="U78" i="41"/>
  <c r="U32" i="41"/>
  <c r="U40" i="41"/>
  <c r="L55" i="41"/>
  <c r="U55" i="41"/>
  <c r="U83" i="41"/>
  <c r="U117" i="41"/>
  <c r="L33" i="41"/>
  <c r="L125" i="41"/>
  <c r="L123" i="41"/>
  <c r="U67" i="41"/>
  <c r="L83" i="41"/>
  <c r="U53" i="41"/>
  <c r="U125" i="41"/>
  <c r="L127" i="41"/>
  <c r="U88" i="41"/>
  <c r="L79" i="41"/>
  <c r="L87" i="41"/>
  <c r="U79" i="41"/>
  <c r="L106" i="41"/>
  <c r="U115" i="41"/>
  <c r="U87" i="41"/>
  <c r="U33" i="41"/>
  <c r="U106" i="41"/>
  <c r="U90" i="41"/>
  <c r="L90" i="41"/>
  <c r="K67" i="41"/>
  <c r="L138" i="41"/>
  <c r="L85" i="41"/>
  <c r="L120" i="41"/>
  <c r="L31" i="41"/>
  <c r="U31" i="41"/>
  <c r="L107" i="41"/>
  <c r="U121" i="41"/>
  <c r="U52" i="41"/>
  <c r="U128" i="41"/>
  <c r="U116" i="41"/>
  <c r="U85" i="41"/>
  <c r="K105" i="41"/>
  <c r="U72" i="41"/>
  <c r="U105" i="41"/>
  <c r="U48" i="41"/>
  <c r="U120" i="41"/>
  <c r="U138" i="41"/>
  <c r="U107" i="41"/>
  <c r="L54" i="41"/>
  <c r="U54" i="41"/>
  <c r="L41" i="41"/>
  <c r="L80" i="41"/>
  <c r="U119" i="41"/>
  <c r="L122" i="41"/>
  <c r="L77" i="41"/>
  <c r="L50" i="41"/>
  <c r="L84" i="41"/>
  <c r="U126" i="41"/>
  <c r="U123" i="41"/>
  <c r="U50" i="41"/>
  <c r="U84" i="41"/>
  <c r="U122" i="41"/>
  <c r="U135" i="41"/>
  <c r="U66" i="41"/>
  <c r="U77" i="41"/>
  <c r="U82" i="41"/>
  <c r="U74" i="41"/>
  <c r="L108" i="41"/>
  <c r="L66" i="41"/>
  <c r="U136" i="41"/>
  <c r="U127" i="41"/>
  <c r="U108" i="41"/>
  <c r="U41" i="41"/>
  <c r="U133" i="41"/>
  <c r="U89" i="41"/>
  <c r="U49" i="41"/>
  <c r="U80" i="41"/>
  <c r="U118" i="41"/>
  <c r="L134" i="41"/>
  <c r="U134" i="41"/>
  <c r="U86" i="41"/>
  <c r="L47" i="41"/>
  <c r="U64" i="41"/>
  <c r="L64" i="41"/>
  <c r="U124" i="41"/>
  <c r="L44" i="41"/>
  <c r="U51" i="41"/>
  <c r="U38" i="41"/>
  <c r="L131" i="41"/>
  <c r="L114" i="41"/>
  <c r="U69" i="41"/>
  <c r="L43" i="41"/>
  <c r="U81" i="41"/>
  <c r="U114" i="41"/>
  <c r="U43" i="41"/>
  <c r="L104" i="41"/>
  <c r="L86" i="41"/>
  <c r="U47" i="41"/>
  <c r="U104" i="41"/>
  <c r="U131" i="41"/>
  <c r="U44" i="41"/>
  <c r="U76" i="41"/>
  <c r="M67" i="2"/>
  <c r="L112" i="28"/>
  <c r="R166" i="28"/>
  <c r="AL71" i="28"/>
  <c r="R145" i="28"/>
  <c r="K54" i="10"/>
  <c r="AD48" i="28"/>
  <c r="AD6" i="28" s="1"/>
  <c r="AD5" i="28" s="1"/>
  <c r="AB145" i="28"/>
  <c r="W6" i="28"/>
  <c r="AN146" i="28"/>
  <c r="R99" i="28"/>
  <c r="M108" i="2"/>
  <c r="AB99" i="28"/>
  <c r="T152" i="28"/>
  <c r="AO133" i="28"/>
  <c r="AG145" i="28"/>
  <c r="AL166" i="28"/>
  <c r="W71" i="28"/>
  <c r="AG6" i="28"/>
  <c r="AG5" i="28" s="1"/>
  <c r="V100" i="23"/>
  <c r="U39" i="41"/>
  <c r="M66" i="23"/>
  <c r="S100" i="23"/>
  <c r="Z100" i="27"/>
  <c r="M154" i="2"/>
  <c r="K105" i="40"/>
  <c r="L105" i="40"/>
  <c r="AN152" i="28"/>
  <c r="L104" i="40"/>
  <c r="K104" i="40"/>
  <c r="T44" i="28"/>
  <c r="L54" i="28"/>
  <c r="U42" i="41"/>
  <c r="L42" i="41"/>
  <c r="L65" i="28"/>
  <c r="K130" i="40"/>
  <c r="AN84" i="28"/>
  <c r="K58" i="10"/>
  <c r="AL99" i="28"/>
  <c r="AL98" i="28" s="1"/>
  <c r="L168" i="28"/>
  <c r="L167" i="28" s="1"/>
  <c r="K170" i="10"/>
  <c r="L146" i="28"/>
  <c r="M107" i="23"/>
  <c r="L37" i="28"/>
  <c r="AB71" i="28"/>
  <c r="P121" i="2"/>
  <c r="P120" i="2" s="1"/>
  <c r="Q130" i="2"/>
  <c r="Q121" i="2" s="1"/>
  <c r="Q120" i="2" s="1"/>
  <c r="K87" i="40"/>
  <c r="L152" i="28"/>
  <c r="AN90" i="28"/>
  <c r="L159" i="28"/>
  <c r="L158" i="28" s="1"/>
  <c r="M49" i="23"/>
  <c r="L171" i="28"/>
  <c r="L170" i="28" s="1"/>
  <c r="T84" i="28"/>
  <c r="M134" i="23"/>
  <c r="M119" i="23" s="1"/>
  <c r="T60" i="28"/>
  <c r="M45" i="23"/>
  <c r="L39" i="41"/>
  <c r="AD100" i="27"/>
  <c r="U133" i="28"/>
  <c r="U118" i="28" s="1"/>
  <c r="L44" i="28"/>
  <c r="K45" i="40"/>
  <c r="AB100" i="23"/>
  <c r="V121" i="2"/>
  <c r="V120" i="2" s="1"/>
  <c r="W130" i="2"/>
  <c r="W121" i="2" s="1"/>
  <c r="W120" i="2" s="1"/>
  <c r="U30" i="41"/>
  <c r="AB6" i="28"/>
  <c r="T146" i="28"/>
  <c r="T37" i="28"/>
  <c r="U37" i="41"/>
  <c r="L37" i="41"/>
  <c r="X46" i="20"/>
  <c r="W46" i="20"/>
  <c r="L48" i="28"/>
  <c r="L106" i="28"/>
  <c r="T171" i="28"/>
  <c r="T170" i="28" s="1"/>
  <c r="T166" i="28" s="1"/>
  <c r="P100" i="23"/>
  <c r="L84" i="28"/>
  <c r="K107" i="40"/>
  <c r="L107" i="40"/>
  <c r="L100" i="28"/>
  <c r="K67" i="40"/>
  <c r="M61" i="23"/>
  <c r="W154" i="20"/>
  <c r="X155" i="20"/>
  <c r="AN60" i="28"/>
  <c r="T90" i="28"/>
  <c r="K130" i="41"/>
  <c r="U130" i="41"/>
  <c r="L130" i="41"/>
  <c r="U45" i="41"/>
  <c r="L45" i="41"/>
  <c r="K45" i="41"/>
  <c r="L56" i="28"/>
  <c r="AN44" i="28"/>
  <c r="AL170" i="10"/>
  <c r="L169" i="10"/>
  <c r="L168" i="10" s="1"/>
  <c r="Z130" i="2"/>
  <c r="Z121" i="2" s="1"/>
  <c r="Z120" i="2" s="1"/>
  <c r="Y121" i="2"/>
  <c r="Y120" i="2" s="1"/>
  <c r="K44" i="40"/>
  <c r="M46" i="2"/>
  <c r="K59" i="10"/>
  <c r="W99" i="28"/>
  <c r="S121" i="2"/>
  <c r="S120" i="2" s="1"/>
  <c r="T130" i="2"/>
  <c r="T121" i="2" s="1"/>
  <c r="T120" i="2" s="1"/>
  <c r="AN37" i="28"/>
  <c r="K106" i="40"/>
  <c r="L106" i="40"/>
  <c r="M101" i="23"/>
  <c r="R71" i="28"/>
  <c r="AN48" i="28"/>
  <c r="L133" i="28"/>
  <c r="L118" i="28" s="1"/>
  <c r="L90" i="28"/>
  <c r="W145" i="28"/>
  <c r="K108" i="40"/>
  <c r="L108" i="40"/>
  <c r="R6" i="28"/>
  <c r="AN171" i="28"/>
  <c r="AN170" i="28" s="1"/>
  <c r="AN166" i="28" s="1"/>
  <c r="L100" i="27"/>
  <c r="M113" i="23"/>
  <c r="M160" i="23"/>
  <c r="M159" i="23" s="1"/>
  <c r="L36" i="41"/>
  <c r="U36" i="41"/>
  <c r="L33" i="40"/>
  <c r="M62" i="2"/>
  <c r="AL6" i="28"/>
  <c r="Y100" i="23"/>
  <c r="M135" i="2"/>
  <c r="N136" i="2"/>
  <c r="N135" i="2" s="1"/>
  <c r="L60" i="28"/>
  <c r="AF9" i="23"/>
  <c r="AG9" i="23"/>
  <c r="K79" i="10"/>
  <c r="K78" i="10" s="1"/>
  <c r="AF30" i="23"/>
  <c r="AF170" i="23"/>
  <c r="AF51" i="23"/>
  <c r="AF62" i="23"/>
  <c r="AF16" i="23"/>
  <c r="AF20" i="23"/>
  <c r="AF24" i="23"/>
  <c r="AF21" i="23"/>
  <c r="AF15" i="23"/>
  <c r="AF23" i="23"/>
  <c r="AF27" i="23"/>
  <c r="O145" i="28" l="1"/>
  <c r="O98" i="28" s="1"/>
  <c r="O6" i="28"/>
  <c r="O71" i="28"/>
  <c r="Z153" i="2"/>
  <c r="Z148" i="2" s="1"/>
  <c r="Y148" i="2"/>
  <c r="H119" i="74"/>
  <c r="W153" i="20"/>
  <c r="X153" i="20" s="1"/>
  <c r="M153" i="2"/>
  <c r="W153" i="2"/>
  <c r="W148" i="2" s="1"/>
  <c r="V148" i="2"/>
  <c r="M152" i="23"/>
  <c r="S147" i="23"/>
  <c r="S146" i="23" s="1"/>
  <c r="S99" i="23" s="1"/>
  <c r="H95" i="77"/>
  <c r="I95" i="77" s="1"/>
  <c r="AG98" i="28"/>
  <c r="AG181" i="28" s="1"/>
  <c r="AO118" i="28"/>
  <c r="V172" i="27"/>
  <c r="V171" i="27" s="1"/>
  <c r="V167" i="27" s="1"/>
  <c r="AB72" i="23"/>
  <c r="V72" i="23"/>
  <c r="L65" i="41"/>
  <c r="L116" i="41"/>
  <c r="W88" i="2"/>
  <c r="W86" i="2" s="1"/>
  <c r="V86" i="2"/>
  <c r="V172" i="23"/>
  <c r="V171" i="23" s="1"/>
  <c r="V167" i="23" s="1"/>
  <c r="Z88" i="2"/>
  <c r="Z86" i="2" s="1"/>
  <c r="Y86" i="2"/>
  <c r="V39" i="2"/>
  <c r="W40" i="2"/>
  <c r="W39" i="2" s="1"/>
  <c r="M175" i="23"/>
  <c r="P172" i="23"/>
  <c r="P171" i="23" s="1"/>
  <c r="P167" i="23" s="1"/>
  <c r="M151" i="2"/>
  <c r="L147" i="27"/>
  <c r="L146" i="27" s="1"/>
  <c r="L99" i="27" s="1"/>
  <c r="W151" i="20"/>
  <c r="X151" i="20" s="1"/>
  <c r="T72" i="27"/>
  <c r="S84" i="2"/>
  <c r="M178" i="2"/>
  <c r="W178" i="20"/>
  <c r="X178" i="20" s="1"/>
  <c r="X72" i="27"/>
  <c r="V84" i="2"/>
  <c r="Z172" i="27"/>
  <c r="Z171" i="27" s="1"/>
  <c r="AB72" i="27"/>
  <c r="Y84" i="2"/>
  <c r="Z84" i="2" s="1"/>
  <c r="M40" i="2"/>
  <c r="M39" i="2" s="1"/>
  <c r="L38" i="27"/>
  <c r="AD172" i="27"/>
  <c r="AD171" i="27" s="1"/>
  <c r="AD167" i="27" s="1"/>
  <c r="M176" i="2"/>
  <c r="L172" i="27"/>
  <c r="L171" i="27" s="1"/>
  <c r="L167" i="27" s="1"/>
  <c r="W176" i="20"/>
  <c r="X176" i="20" s="1"/>
  <c r="M150" i="23"/>
  <c r="P147" i="23"/>
  <c r="P146" i="23" s="1"/>
  <c r="P99" i="23" s="1"/>
  <c r="L70" i="41"/>
  <c r="AD84" i="2"/>
  <c r="AE84" i="2" s="1"/>
  <c r="AF72" i="27"/>
  <c r="L85" i="27"/>
  <c r="M84" i="2" s="1"/>
  <c r="N84" i="2" s="1"/>
  <c r="W88" i="20"/>
  <c r="X88" i="20" s="1"/>
  <c r="M88" i="2"/>
  <c r="M86" i="2" s="1"/>
  <c r="M39" i="23"/>
  <c r="M38" i="23" s="1"/>
  <c r="V38" i="23"/>
  <c r="V7" i="23" s="1"/>
  <c r="V6" i="23" s="1"/>
  <c r="Y172" i="23"/>
  <c r="Y171" i="23" s="1"/>
  <c r="Y167" i="23" s="1"/>
  <c r="T88" i="2"/>
  <c r="T86" i="2" s="1"/>
  <c r="S86" i="2"/>
  <c r="P85" i="23"/>
  <c r="M87" i="23"/>
  <c r="M85" i="23" s="1"/>
  <c r="M177" i="23"/>
  <c r="Z176" i="2"/>
  <c r="Z173" i="2" s="1"/>
  <c r="Y173" i="2"/>
  <c r="K119" i="28"/>
  <c r="P123" i="28"/>
  <c r="P119" i="28" s="1"/>
  <c r="AL5" i="28"/>
  <c r="AL181" i="28" s="1"/>
  <c r="V99" i="2"/>
  <c r="W99" i="2" s="1"/>
  <c r="W92" i="2" s="1"/>
  <c r="P99" i="2"/>
  <c r="Q99" i="2" s="1"/>
  <c r="S99" i="2"/>
  <c r="S92" i="2" s="1"/>
  <c r="R98" i="28"/>
  <c r="T145" i="28"/>
  <c r="T98" i="28" s="1"/>
  <c r="AB5" i="28"/>
  <c r="Y99" i="23"/>
  <c r="AB98" i="28"/>
  <c r="W5" i="28"/>
  <c r="L71" i="28"/>
  <c r="AN145" i="28"/>
  <c r="AN98" i="28" s="1"/>
  <c r="AN6" i="28"/>
  <c r="L99" i="28"/>
  <c r="W98" i="28"/>
  <c r="V99" i="23"/>
  <c r="AB99" i="23"/>
  <c r="T6" i="28"/>
  <c r="L145" i="28"/>
  <c r="M100" i="23"/>
  <c r="R5" i="28"/>
  <c r="R170" i="10"/>
  <c r="X170" i="10"/>
  <c r="CL170" i="10"/>
  <c r="T71" i="28"/>
  <c r="L6" i="28"/>
  <c r="L166" i="28"/>
  <c r="AN71" i="28"/>
  <c r="M148" i="2" l="1"/>
  <c r="O5" i="28"/>
  <c r="M147" i="23"/>
  <c r="M146" i="23" s="1"/>
  <c r="M99" i="23" s="1"/>
  <c r="V182" i="23"/>
  <c r="M172" i="23"/>
  <c r="M171" i="23" s="1"/>
  <c r="M167" i="23" s="1"/>
  <c r="W84" i="2"/>
  <c r="W79" i="2" s="1"/>
  <c r="V79" i="2"/>
  <c r="S79" i="2"/>
  <c r="T84" i="2"/>
  <c r="T79" i="2" s="1"/>
  <c r="Y182" i="23"/>
  <c r="AR119" i="28"/>
  <c r="K118" i="28"/>
  <c r="V92" i="2"/>
  <c r="T99" i="2"/>
  <c r="T92" i="2" s="1"/>
  <c r="M99" i="2"/>
  <c r="N99" i="2" s="1"/>
  <c r="L98" i="28"/>
  <c r="R181" i="28"/>
  <c r="W181" i="28"/>
  <c r="L5" i="28"/>
  <c r="AN5" i="28"/>
  <c r="T5" i="28"/>
  <c r="A48" i="23"/>
  <c r="A47" i="23"/>
  <c r="A46" i="23"/>
  <c r="A45" i="23"/>
  <c r="A43" i="23"/>
  <c r="A42" i="23"/>
  <c r="A41" i="23"/>
  <c r="A40" i="23"/>
  <c r="A39" i="23"/>
  <c r="A38" i="23"/>
  <c r="A37" i="23"/>
  <c r="A36" i="23"/>
  <c r="A35" i="23"/>
  <c r="A34" i="23"/>
  <c r="A33" i="23"/>
  <c r="A32" i="23" l="1"/>
  <c r="A31" i="23"/>
  <c r="A30" i="23"/>
  <c r="A29" i="23"/>
  <c r="A28" i="23"/>
  <c r="A27" i="23"/>
  <c r="A26" i="23"/>
  <c r="A25" i="23"/>
  <c r="A24" i="23"/>
  <c r="A23" i="23"/>
  <c r="A22" i="23"/>
  <c r="A21" i="23"/>
  <c r="A20" i="23"/>
  <c r="A19" i="23"/>
  <c r="A18" i="23"/>
  <c r="A17" i="23"/>
  <c r="A16" i="23"/>
  <c r="A15" i="23"/>
  <c r="A14" i="23"/>
  <c r="A13" i="23"/>
  <c r="A12" i="23"/>
  <c r="A11" i="23"/>
  <c r="A10" i="23"/>
  <c r="A9" i="23"/>
  <c r="AK175" i="2" l="1"/>
  <c r="CH175" i="10" l="1"/>
  <c r="DF175" i="20"/>
  <c r="DB175" i="20"/>
  <c r="DE175" i="20"/>
  <c r="DA175" i="20"/>
  <c r="DG175" i="20"/>
  <c r="DD175" i="20"/>
  <c r="DC175" i="20"/>
  <c r="CJ175" i="20"/>
  <c r="BP175" i="20"/>
  <c r="AV175" i="20"/>
  <c r="AB175" i="20"/>
  <c r="CL175" i="20"/>
  <c r="CH175" i="20"/>
  <c r="BR175" i="20"/>
  <c r="BN175" i="20"/>
  <c r="AX175" i="20"/>
  <c r="AT175" i="20"/>
  <c r="AD175" i="20"/>
  <c r="Z175" i="20"/>
  <c r="CK175" i="20"/>
  <c r="CG175" i="20"/>
  <c r="BQ175" i="20"/>
  <c r="BM175" i="20"/>
  <c r="AW175" i="20"/>
  <c r="AS175" i="20"/>
  <c r="AC175" i="20"/>
  <c r="Y175" i="20"/>
  <c r="BS175" i="20"/>
  <c r="AE175" i="20"/>
  <c r="BO175" i="20"/>
  <c r="AA175" i="20"/>
  <c r="CM175" i="20"/>
  <c r="AY175" i="20"/>
  <c r="CI175" i="20"/>
  <c r="AU175" i="20"/>
  <c r="R174" i="26"/>
  <c r="N4" i="13"/>
  <c r="A36" i="9" l="1"/>
  <c r="K171" i="20" l="1"/>
  <c r="J171" i="20"/>
  <c r="I171" i="20"/>
  <c r="H171" i="20"/>
  <c r="G171" i="20"/>
  <c r="F171" i="20"/>
  <c r="E171" i="20"/>
  <c r="K113" i="20"/>
  <c r="K112" i="20"/>
  <c r="K111" i="20"/>
  <c r="K110" i="20"/>
  <c r="K109" i="20"/>
  <c r="G61" i="20"/>
  <c r="F61" i="20"/>
  <c r="E61" i="20"/>
  <c r="G60" i="20"/>
  <c r="F60" i="20"/>
  <c r="E60" i="20"/>
  <c r="K29" i="20"/>
  <c r="K27" i="20"/>
  <c r="A181" i="20"/>
  <c r="A180" i="20"/>
  <c r="A179" i="20"/>
  <c r="A178" i="20"/>
  <c r="A177" i="20"/>
  <c r="A176" i="20"/>
  <c r="A175" i="20"/>
  <c r="A174" i="20"/>
  <c r="A172" i="20"/>
  <c r="A171" i="20"/>
  <c r="A170" i="20"/>
  <c r="A169" i="20"/>
  <c r="A168" i="20"/>
  <c r="A50" i="20"/>
  <c r="A49" i="20"/>
  <c r="A48" i="20"/>
  <c r="A47" i="20"/>
  <c r="A39" i="20"/>
  <c r="A38" i="20"/>
  <c r="A37" i="20"/>
  <c r="A36" i="20"/>
  <c r="A35" i="20"/>
  <c r="A34" i="20"/>
  <c r="A33" i="20"/>
  <c r="A32" i="20"/>
  <c r="A31" i="20"/>
  <c r="A30" i="20"/>
  <c r="A29" i="20"/>
  <c r="A28" i="20"/>
  <c r="A27" i="20"/>
  <c r="A26" i="20"/>
  <c r="A25" i="20"/>
  <c r="A24" i="20"/>
  <c r="A23" i="20"/>
  <c r="A22" i="20"/>
  <c r="A21" i="20"/>
  <c r="A20" i="20"/>
  <c r="A19" i="20"/>
  <c r="A18" i="20"/>
  <c r="A17" i="20"/>
  <c r="A16" i="20"/>
  <c r="A15" i="20"/>
  <c r="A14" i="20"/>
  <c r="A13" i="20"/>
  <c r="A12" i="20"/>
  <c r="A11" i="20"/>
  <c r="A10" i="20"/>
  <c r="A179" i="11"/>
  <c r="A178" i="11"/>
  <c r="A177" i="11"/>
  <c r="A176" i="11"/>
  <c r="A175" i="11"/>
  <c r="A174" i="11"/>
  <c r="A173" i="11"/>
  <c r="A172" i="11"/>
  <c r="A169" i="11"/>
  <c r="A164" i="11"/>
  <c r="A163" i="11"/>
  <c r="A162" i="11"/>
  <c r="A161" i="11"/>
  <c r="A160" i="11"/>
  <c r="A157" i="11"/>
  <c r="A156" i="11"/>
  <c r="A155" i="11"/>
  <c r="A154" i="11"/>
  <c r="A153" i="11"/>
  <c r="A151" i="11"/>
  <c r="A150" i="11"/>
  <c r="A149" i="11"/>
  <c r="A148" i="11"/>
  <c r="A147" i="11"/>
  <c r="A138" i="11"/>
  <c r="A137" i="11"/>
  <c r="A136" i="11"/>
  <c r="A135" i="11"/>
  <c r="A134" i="11"/>
  <c r="A127" i="11"/>
  <c r="A126" i="11"/>
  <c r="A125" i="11"/>
  <c r="A124" i="11"/>
  <c r="A123" i="11"/>
  <c r="A122" i="11"/>
  <c r="A121" i="11"/>
  <c r="A120" i="11"/>
  <c r="A117" i="11"/>
  <c r="A116" i="11"/>
  <c r="A115" i="11"/>
  <c r="A114" i="11"/>
  <c r="A113" i="11"/>
  <c r="A111" i="11"/>
  <c r="A110" i="11"/>
  <c r="A109" i="11"/>
  <c r="A108" i="11"/>
  <c r="A107" i="11"/>
  <c r="A105" i="11"/>
  <c r="A104" i="11"/>
  <c r="A103" i="11"/>
  <c r="A102" i="11"/>
  <c r="A101" i="11"/>
  <c r="A96" i="11"/>
  <c r="A95" i="11"/>
  <c r="A94" i="11"/>
  <c r="A93" i="11"/>
  <c r="A92" i="11"/>
  <c r="A91" i="11"/>
  <c r="A89" i="11"/>
  <c r="A88" i="11"/>
  <c r="A87" i="11"/>
  <c r="A86" i="11"/>
  <c r="A85" i="11"/>
  <c r="A81" i="11"/>
  <c r="A80" i="11"/>
  <c r="A79" i="11"/>
  <c r="A78" i="11"/>
  <c r="A76" i="11"/>
  <c r="A75" i="11"/>
  <c r="A74" i="11"/>
  <c r="A73" i="11"/>
  <c r="A70" i="11"/>
  <c r="A69" i="11"/>
  <c r="A68" i="11"/>
  <c r="A67" i="11"/>
  <c r="A66" i="11"/>
  <c r="A64" i="11"/>
  <c r="A63" i="11"/>
  <c r="A62" i="11"/>
  <c r="A61" i="11"/>
  <c r="A59" i="11"/>
  <c r="A58" i="11"/>
  <c r="A57" i="11"/>
  <c r="A55" i="11"/>
  <c r="A53" i="11"/>
  <c r="A52" i="11"/>
  <c r="A51" i="11"/>
  <c r="A50" i="11"/>
  <c r="A49" i="11"/>
  <c r="A47" i="11"/>
  <c r="A46" i="11"/>
  <c r="A45" i="11"/>
  <c r="A42" i="11"/>
  <c r="A41" i="11"/>
  <c r="A40" i="11"/>
  <c r="A39" i="11"/>
  <c r="A38" i="11"/>
  <c r="A35" i="11"/>
  <c r="A34" i="11"/>
  <c r="A33" i="11"/>
  <c r="A32" i="11"/>
  <c r="A30" i="11"/>
  <c r="A29" i="11"/>
  <c r="A28" i="11"/>
  <c r="A27" i="11"/>
  <c r="A26" i="11"/>
  <c r="A25" i="11"/>
  <c r="A24" i="11"/>
  <c r="A23" i="11"/>
  <c r="A22" i="11"/>
  <c r="A21" i="11"/>
  <c r="A20" i="11"/>
  <c r="A19" i="11"/>
  <c r="A18" i="11"/>
  <c r="A17" i="11"/>
  <c r="A16" i="11"/>
  <c r="A15" i="11"/>
  <c r="A14" i="11"/>
  <c r="A13" i="11"/>
  <c r="A12" i="11"/>
  <c r="A11" i="11"/>
  <c r="A10" i="11"/>
  <c r="A9" i="11"/>
  <c r="A8" i="11"/>
  <c r="J169" i="11"/>
  <c r="I169" i="11"/>
  <c r="H169" i="11"/>
  <c r="G169" i="11"/>
  <c r="F169" i="11"/>
  <c r="E169" i="11"/>
  <c r="D169" i="11"/>
  <c r="J111" i="11"/>
  <c r="J110" i="11"/>
  <c r="J109" i="11"/>
  <c r="J108" i="11"/>
  <c r="J107" i="11"/>
  <c r="J63" i="11"/>
  <c r="F59" i="11"/>
  <c r="E59" i="11"/>
  <c r="D59" i="11"/>
  <c r="F58" i="11"/>
  <c r="E58" i="11"/>
  <c r="D58" i="11"/>
  <c r="J41" i="11"/>
  <c r="J27" i="11"/>
  <c r="J25" i="11"/>
  <c r="J181" i="2"/>
  <c r="I181" i="2"/>
  <c r="H187" i="38" s="1"/>
  <c r="H181" i="2"/>
  <c r="G181" i="2"/>
  <c r="F181" i="2"/>
  <c r="E187" i="38" s="1"/>
  <c r="E181" i="2"/>
  <c r="J180" i="2"/>
  <c r="I180" i="2"/>
  <c r="H186" i="38" s="1"/>
  <c r="H180" i="2"/>
  <c r="G180" i="2"/>
  <c r="F180" i="2"/>
  <c r="E186" i="38" s="1"/>
  <c r="E180" i="2"/>
  <c r="J179" i="2"/>
  <c r="F136" i="40" s="1"/>
  <c r="F137" i="74" s="1"/>
  <c r="F137" i="77" s="1"/>
  <c r="I179" i="2"/>
  <c r="H179" i="2"/>
  <c r="C136" i="40" s="1"/>
  <c r="G179" i="2"/>
  <c r="E136" i="40" s="1"/>
  <c r="F179" i="2"/>
  <c r="E179" i="2"/>
  <c r="D136" i="40" s="1"/>
  <c r="K178" i="20"/>
  <c r="J178" i="2"/>
  <c r="F135" i="40" s="1"/>
  <c r="F136" i="74" s="1"/>
  <c r="F136" i="77" s="1"/>
  <c r="I178" i="2"/>
  <c r="H178" i="2"/>
  <c r="C135" i="40" s="1"/>
  <c r="G178" i="2"/>
  <c r="E135" i="40" s="1"/>
  <c r="F178" i="2"/>
  <c r="E178" i="2"/>
  <c r="D135" i="40" s="1"/>
  <c r="J177" i="2"/>
  <c r="I177" i="2"/>
  <c r="H183" i="38" s="1"/>
  <c r="H177" i="2"/>
  <c r="G177" i="2"/>
  <c r="F177" i="2"/>
  <c r="E183" i="38" s="1"/>
  <c r="E177" i="2"/>
  <c r="J176" i="2"/>
  <c r="F133" i="40" s="1"/>
  <c r="F134" i="74" s="1"/>
  <c r="F134" i="77" s="1"/>
  <c r="I176" i="2"/>
  <c r="H176" i="2"/>
  <c r="C133" i="40" s="1"/>
  <c r="G176" i="2"/>
  <c r="E133" i="40" s="1"/>
  <c r="F176" i="2"/>
  <c r="E176" i="2"/>
  <c r="D133" i="40" s="1"/>
  <c r="J175" i="2"/>
  <c r="F132" i="40" s="1"/>
  <c r="F133" i="74" s="1"/>
  <c r="F133" i="77" s="1"/>
  <c r="I175" i="2"/>
  <c r="H175" i="2"/>
  <c r="C132" i="40" s="1"/>
  <c r="G175" i="2"/>
  <c r="E132" i="40" s="1"/>
  <c r="F175" i="2"/>
  <c r="E175" i="2"/>
  <c r="D132" i="40" s="1"/>
  <c r="J174" i="2"/>
  <c r="I174" i="2"/>
  <c r="H180" i="38" s="1"/>
  <c r="H174" i="2"/>
  <c r="G174" i="2"/>
  <c r="F174" i="2"/>
  <c r="E180" i="38" s="1"/>
  <c r="E174" i="2"/>
  <c r="J166" i="2"/>
  <c r="F128" i="40" s="1"/>
  <c r="F129" i="74" s="1"/>
  <c r="F129" i="77" s="1"/>
  <c r="I166" i="2"/>
  <c r="H166" i="2"/>
  <c r="C128" i="40" s="1"/>
  <c r="G166" i="2"/>
  <c r="E128" i="40" s="1"/>
  <c r="F166" i="2"/>
  <c r="E166" i="2"/>
  <c r="D128" i="40" s="1"/>
  <c r="J165" i="2"/>
  <c r="I165" i="2"/>
  <c r="H171" i="38" s="1"/>
  <c r="H165" i="2"/>
  <c r="G165" i="2"/>
  <c r="F165" i="2"/>
  <c r="E171" i="38" s="1"/>
  <c r="E165" i="2"/>
  <c r="J164" i="2"/>
  <c r="I164" i="2"/>
  <c r="H170" i="38" s="1"/>
  <c r="H164" i="2"/>
  <c r="G164" i="2"/>
  <c r="F164" i="2"/>
  <c r="E170" i="38" s="1"/>
  <c r="E164" i="2"/>
  <c r="J163" i="2"/>
  <c r="I163" i="2"/>
  <c r="H169" i="38" s="1"/>
  <c r="H163" i="2"/>
  <c r="G163" i="2"/>
  <c r="F163" i="2"/>
  <c r="E169" i="38" s="1"/>
  <c r="E163" i="2"/>
  <c r="J162" i="2"/>
  <c r="I162" i="2"/>
  <c r="H168" i="38" s="1"/>
  <c r="H162" i="2"/>
  <c r="G162" i="2"/>
  <c r="F162" i="2"/>
  <c r="E168" i="38" s="1"/>
  <c r="E162" i="2"/>
  <c r="J157" i="2"/>
  <c r="I157" i="2"/>
  <c r="H163" i="38" s="1"/>
  <c r="H157" i="2"/>
  <c r="G157" i="2"/>
  <c r="F157" i="2"/>
  <c r="E163" i="38" s="1"/>
  <c r="E157" i="2"/>
  <c r="D157" i="2"/>
  <c r="J159" i="2"/>
  <c r="I159" i="2"/>
  <c r="H165" i="38" s="1"/>
  <c r="H159" i="2"/>
  <c r="G159" i="2"/>
  <c r="F159" i="2"/>
  <c r="E165" i="38" s="1"/>
  <c r="E159" i="2"/>
  <c r="J158" i="2"/>
  <c r="I158" i="2"/>
  <c r="H164" i="38" s="1"/>
  <c r="H158" i="2"/>
  <c r="G158" i="2"/>
  <c r="F158" i="2"/>
  <c r="E164" i="38" s="1"/>
  <c r="E158" i="2"/>
  <c r="J156" i="2"/>
  <c r="I156" i="2"/>
  <c r="H162" i="38" s="1"/>
  <c r="H156" i="2"/>
  <c r="G156" i="2"/>
  <c r="F156" i="2"/>
  <c r="E162" i="38" s="1"/>
  <c r="E156" i="2"/>
  <c r="J155" i="2"/>
  <c r="I155" i="2"/>
  <c r="H161" i="38" s="1"/>
  <c r="H155" i="2"/>
  <c r="G155" i="2"/>
  <c r="F155" i="2"/>
  <c r="E161" i="38" s="1"/>
  <c r="E155" i="2"/>
  <c r="J149" i="11"/>
  <c r="J151" i="2"/>
  <c r="I151" i="2"/>
  <c r="H157" i="38" s="1"/>
  <c r="H151" i="2"/>
  <c r="G151" i="2"/>
  <c r="F151" i="2"/>
  <c r="E157" i="38" s="1"/>
  <c r="E151" i="2"/>
  <c r="D151" i="2"/>
  <c r="B116" i="40" s="1"/>
  <c r="B117" i="74" s="1"/>
  <c r="B117" i="77" s="1"/>
  <c r="J153" i="2"/>
  <c r="F118" i="40" s="1"/>
  <c r="F119" i="74" s="1"/>
  <c r="F119" i="77" s="1"/>
  <c r="I153" i="2"/>
  <c r="H153" i="2"/>
  <c r="C118" i="40" s="1"/>
  <c r="G153" i="2"/>
  <c r="E118" i="40" s="1"/>
  <c r="F153" i="2"/>
  <c r="E153" i="2"/>
  <c r="D118" i="40" s="1"/>
  <c r="J152" i="2"/>
  <c r="I152" i="2"/>
  <c r="H158" i="38" s="1"/>
  <c r="H152" i="2"/>
  <c r="G152" i="2"/>
  <c r="F152" i="2"/>
  <c r="E158" i="38" s="1"/>
  <c r="E152" i="2"/>
  <c r="J150" i="2"/>
  <c r="I150" i="2"/>
  <c r="H156" i="38" s="1"/>
  <c r="H150" i="2"/>
  <c r="G150" i="2"/>
  <c r="F150" i="2"/>
  <c r="E156" i="38" s="1"/>
  <c r="E150" i="2"/>
  <c r="J149" i="2"/>
  <c r="I149" i="2"/>
  <c r="H155" i="38" s="1"/>
  <c r="H149" i="2"/>
  <c r="G149" i="2"/>
  <c r="F149" i="2"/>
  <c r="E155" i="38" s="1"/>
  <c r="E149" i="2"/>
  <c r="I146" i="38"/>
  <c r="H146" i="38"/>
  <c r="G146" i="38"/>
  <c r="F146" i="38"/>
  <c r="E146" i="38"/>
  <c r="D146" i="38"/>
  <c r="I145" i="38"/>
  <c r="H145" i="38"/>
  <c r="G145" i="38"/>
  <c r="F145" i="38"/>
  <c r="E145" i="38"/>
  <c r="D145" i="38"/>
  <c r="I144" i="38"/>
  <c r="H144" i="38"/>
  <c r="G144" i="38"/>
  <c r="F144" i="38"/>
  <c r="E144" i="38"/>
  <c r="D144" i="38"/>
  <c r="I143" i="38"/>
  <c r="H143" i="38"/>
  <c r="G143" i="38"/>
  <c r="F143" i="38"/>
  <c r="E143" i="38"/>
  <c r="D143" i="38"/>
  <c r="I142" i="38"/>
  <c r="H142" i="38"/>
  <c r="G142" i="38"/>
  <c r="F142" i="38"/>
  <c r="E142" i="38"/>
  <c r="D142" i="38"/>
  <c r="I141" i="38"/>
  <c r="H141" i="38"/>
  <c r="G141" i="38"/>
  <c r="F141" i="38"/>
  <c r="E141" i="38"/>
  <c r="D141" i="38"/>
  <c r="I140" i="38"/>
  <c r="H140" i="38"/>
  <c r="G140" i="38"/>
  <c r="F140" i="38"/>
  <c r="E140" i="38"/>
  <c r="D140" i="38"/>
  <c r="K139" i="20"/>
  <c r="I139" i="38"/>
  <c r="H139" i="38"/>
  <c r="G139" i="38"/>
  <c r="F139" i="38"/>
  <c r="E139" i="38"/>
  <c r="I138" i="38"/>
  <c r="H138" i="38"/>
  <c r="G138" i="38"/>
  <c r="F138" i="38"/>
  <c r="E138" i="38"/>
  <c r="D138" i="38"/>
  <c r="I137" i="38"/>
  <c r="H137" i="38"/>
  <c r="G137" i="38"/>
  <c r="F137" i="38"/>
  <c r="E137" i="38"/>
  <c r="D137" i="38"/>
  <c r="I136" i="38"/>
  <c r="H136" i="38"/>
  <c r="G136" i="38"/>
  <c r="F136" i="38"/>
  <c r="E136" i="38"/>
  <c r="D136" i="38"/>
  <c r="J125" i="11"/>
  <c r="C125" i="11"/>
  <c r="D126" i="20"/>
  <c r="K125" i="20"/>
  <c r="I122" i="38"/>
  <c r="H122" i="38"/>
  <c r="G122" i="38"/>
  <c r="F122" i="38"/>
  <c r="E122" i="38"/>
  <c r="D122" i="38"/>
  <c r="J119" i="2"/>
  <c r="I119" i="2"/>
  <c r="H119" i="38" s="1"/>
  <c r="H119" i="2"/>
  <c r="G119" i="2"/>
  <c r="F119" i="2"/>
  <c r="E119" i="38" s="1"/>
  <c r="E119" i="2"/>
  <c r="J118" i="2"/>
  <c r="I118" i="2"/>
  <c r="H118" i="38" s="1"/>
  <c r="H118" i="2"/>
  <c r="G118" i="2"/>
  <c r="F118" i="2"/>
  <c r="E118" i="38" s="1"/>
  <c r="E118" i="2"/>
  <c r="J117" i="2"/>
  <c r="I117" i="2"/>
  <c r="H117" i="38" s="1"/>
  <c r="H117" i="2"/>
  <c r="G117" i="2"/>
  <c r="F117" i="2"/>
  <c r="E117" i="38" s="1"/>
  <c r="E117" i="2"/>
  <c r="J116" i="2"/>
  <c r="I116" i="2"/>
  <c r="H116" i="38" s="1"/>
  <c r="H116" i="2"/>
  <c r="G116" i="2"/>
  <c r="F116" i="2"/>
  <c r="E116" i="38" s="1"/>
  <c r="E116" i="2"/>
  <c r="J115" i="2"/>
  <c r="I115" i="2"/>
  <c r="H115" i="38" s="1"/>
  <c r="H115" i="2"/>
  <c r="G115" i="2"/>
  <c r="F115" i="2"/>
  <c r="E115" i="38" s="1"/>
  <c r="E115" i="2"/>
  <c r="J113" i="2"/>
  <c r="I113" i="2"/>
  <c r="H113" i="38" s="1"/>
  <c r="H113" i="2"/>
  <c r="G113" i="2"/>
  <c r="F113" i="2"/>
  <c r="E113" i="38" s="1"/>
  <c r="E113" i="2"/>
  <c r="J112" i="2"/>
  <c r="I112" i="2"/>
  <c r="H112" i="38" s="1"/>
  <c r="H112" i="2"/>
  <c r="G112" i="2"/>
  <c r="F112" i="2"/>
  <c r="E112" i="38" s="1"/>
  <c r="E112" i="2"/>
  <c r="J111" i="2"/>
  <c r="I111" i="2"/>
  <c r="H111" i="38" s="1"/>
  <c r="H111" i="2"/>
  <c r="G111" i="2"/>
  <c r="F111" i="2"/>
  <c r="E111" i="38" s="1"/>
  <c r="E111" i="2"/>
  <c r="J110" i="2"/>
  <c r="I110" i="2"/>
  <c r="H110" i="38" s="1"/>
  <c r="H110" i="2"/>
  <c r="G110" i="2"/>
  <c r="F110" i="2"/>
  <c r="E110" i="38" s="1"/>
  <c r="E110" i="2"/>
  <c r="J109" i="2"/>
  <c r="I109" i="2"/>
  <c r="H109" i="38" s="1"/>
  <c r="H109" i="2"/>
  <c r="G109" i="2"/>
  <c r="F109" i="2"/>
  <c r="E109" i="38" s="1"/>
  <c r="E109" i="2"/>
  <c r="J107" i="2"/>
  <c r="I107" i="2"/>
  <c r="H107" i="38" s="1"/>
  <c r="H107" i="2"/>
  <c r="G107" i="2"/>
  <c r="F107" i="2"/>
  <c r="E107" i="38" s="1"/>
  <c r="E107" i="2"/>
  <c r="J106" i="2"/>
  <c r="I106" i="2"/>
  <c r="H106" i="38" s="1"/>
  <c r="H106" i="2"/>
  <c r="G106" i="2"/>
  <c r="F106" i="2"/>
  <c r="E106" i="38" s="1"/>
  <c r="E106" i="2"/>
  <c r="K105" i="20"/>
  <c r="J105" i="2"/>
  <c r="I105" i="2"/>
  <c r="H105" i="38" s="1"/>
  <c r="H105" i="2"/>
  <c r="G105" i="2"/>
  <c r="F105" i="2"/>
  <c r="E105" i="38" s="1"/>
  <c r="E105" i="2"/>
  <c r="J104" i="2"/>
  <c r="I104" i="2"/>
  <c r="H104" i="38" s="1"/>
  <c r="H104" i="2"/>
  <c r="G104" i="2"/>
  <c r="F104" i="2"/>
  <c r="E104" i="38" s="1"/>
  <c r="E104" i="2"/>
  <c r="J103" i="2"/>
  <c r="I103" i="2"/>
  <c r="H103" i="38" s="1"/>
  <c r="H103" i="2"/>
  <c r="G103" i="2"/>
  <c r="F103" i="2"/>
  <c r="E103" i="38" s="1"/>
  <c r="E103" i="2"/>
  <c r="J98" i="2"/>
  <c r="I98" i="2"/>
  <c r="H98" i="38" s="1"/>
  <c r="H98" i="2"/>
  <c r="G98" i="2"/>
  <c r="F98" i="2"/>
  <c r="E98" i="38" s="1"/>
  <c r="E98" i="2"/>
  <c r="D98" i="2"/>
  <c r="B74" i="40" s="1"/>
  <c r="B75" i="74" s="1"/>
  <c r="B75" i="77" s="1"/>
  <c r="J97" i="2"/>
  <c r="I97" i="2"/>
  <c r="H97" i="38" s="1"/>
  <c r="H97" i="2"/>
  <c r="G97" i="2"/>
  <c r="F97" i="2"/>
  <c r="E97" i="38" s="1"/>
  <c r="E97" i="2"/>
  <c r="J96" i="2"/>
  <c r="I96" i="2"/>
  <c r="H96" i="38" s="1"/>
  <c r="H96" i="2"/>
  <c r="G96" i="2"/>
  <c r="F96" i="2"/>
  <c r="E96" i="38" s="1"/>
  <c r="E96" i="2"/>
  <c r="J93" i="11"/>
  <c r="J95" i="2"/>
  <c r="I95" i="2"/>
  <c r="H95" i="38" s="1"/>
  <c r="H95" i="2"/>
  <c r="G95" i="2"/>
  <c r="F95" i="2"/>
  <c r="E95" i="38" s="1"/>
  <c r="E95" i="2"/>
  <c r="J94" i="2"/>
  <c r="I94" i="2"/>
  <c r="H94" i="38" s="1"/>
  <c r="H94" i="2"/>
  <c r="G94" i="2"/>
  <c r="F94" i="2"/>
  <c r="E94" i="38" s="1"/>
  <c r="E94" i="2"/>
  <c r="J93" i="2"/>
  <c r="F69" i="40" s="1"/>
  <c r="F70" i="74" s="1"/>
  <c r="F70" i="77" s="1"/>
  <c r="I93" i="2"/>
  <c r="H93" i="2"/>
  <c r="C69" i="40" s="1"/>
  <c r="G93" i="2"/>
  <c r="E69" i="40" s="1"/>
  <c r="F93" i="2"/>
  <c r="E93" i="2"/>
  <c r="D69" i="40" s="1"/>
  <c r="J91" i="2"/>
  <c r="I91" i="2"/>
  <c r="H91" i="38" s="1"/>
  <c r="H91" i="2"/>
  <c r="G91" i="2"/>
  <c r="F91" i="2"/>
  <c r="E91" i="38" s="1"/>
  <c r="E91" i="2"/>
  <c r="J90" i="2"/>
  <c r="I90" i="2"/>
  <c r="H90" i="38" s="1"/>
  <c r="H90" i="2"/>
  <c r="G90" i="2"/>
  <c r="F90" i="2"/>
  <c r="E90" i="38" s="1"/>
  <c r="E90" i="2"/>
  <c r="J89" i="2"/>
  <c r="I89" i="2"/>
  <c r="H89" i="38" s="1"/>
  <c r="H89" i="2"/>
  <c r="G89" i="2"/>
  <c r="F89" i="2"/>
  <c r="E89" i="38" s="1"/>
  <c r="E89" i="2"/>
  <c r="K88" i="20"/>
  <c r="J88" i="2"/>
  <c r="I88" i="2"/>
  <c r="H88" i="38" s="1"/>
  <c r="H88" i="2"/>
  <c r="G88" i="2"/>
  <c r="F88" i="2"/>
  <c r="E88" i="38" s="1"/>
  <c r="E88" i="2"/>
  <c r="J87" i="2"/>
  <c r="F64" i="40" s="1"/>
  <c r="F65" i="74" s="1"/>
  <c r="F65" i="77" s="1"/>
  <c r="I87" i="2"/>
  <c r="H87" i="2"/>
  <c r="C64" i="40" s="1"/>
  <c r="G87" i="2"/>
  <c r="E64" i="40" s="1"/>
  <c r="F87" i="2"/>
  <c r="E87" i="2"/>
  <c r="D64" i="40" s="1"/>
  <c r="K83" i="20"/>
  <c r="J83" i="2"/>
  <c r="I83" i="2"/>
  <c r="H83" i="38" s="1"/>
  <c r="H83" i="2"/>
  <c r="G83" i="38" s="1"/>
  <c r="G83" i="2"/>
  <c r="F83" i="38" s="1"/>
  <c r="F83" i="2"/>
  <c r="E83" i="38" s="1"/>
  <c r="E83" i="2"/>
  <c r="D83" i="38" s="1"/>
  <c r="K82" i="20"/>
  <c r="J82" i="2"/>
  <c r="I82" i="2"/>
  <c r="H82" i="38" s="1"/>
  <c r="H82" i="2"/>
  <c r="G82" i="2"/>
  <c r="F82" i="2"/>
  <c r="E82" i="38" s="1"/>
  <c r="E82" i="2"/>
  <c r="K81" i="20"/>
  <c r="J81" i="2"/>
  <c r="I81" i="2"/>
  <c r="H81" i="38" s="1"/>
  <c r="H81" i="2"/>
  <c r="G81" i="38" s="1"/>
  <c r="G81" i="2"/>
  <c r="F81" i="38" s="1"/>
  <c r="F81" i="2"/>
  <c r="E81" i="38" s="1"/>
  <c r="E81" i="2"/>
  <c r="D81" i="38" s="1"/>
  <c r="K80" i="20"/>
  <c r="J80" i="2"/>
  <c r="F60" i="40" s="1"/>
  <c r="F61" i="74" s="1"/>
  <c r="F61" i="77" s="1"/>
  <c r="I80" i="2"/>
  <c r="H80" i="2"/>
  <c r="C60" i="40" s="1"/>
  <c r="G80" i="2"/>
  <c r="E60" i="40" s="1"/>
  <c r="F80" i="2"/>
  <c r="E80" i="2"/>
  <c r="D60" i="40" s="1"/>
  <c r="J78" i="2"/>
  <c r="I78" i="2"/>
  <c r="H78" i="38" s="1"/>
  <c r="H78" i="2"/>
  <c r="G78" i="2"/>
  <c r="F78" i="2"/>
  <c r="E78" i="38" s="1"/>
  <c r="E78" i="2"/>
  <c r="K77" i="20"/>
  <c r="J77" i="2"/>
  <c r="I77" i="2"/>
  <c r="H77" i="38" s="1"/>
  <c r="H77" i="2"/>
  <c r="G77" i="2"/>
  <c r="F77" i="2"/>
  <c r="E77" i="38" s="1"/>
  <c r="E77" i="2"/>
  <c r="K76" i="20"/>
  <c r="J76" i="2"/>
  <c r="I76" i="2"/>
  <c r="H76" i="38" s="1"/>
  <c r="H76" i="2"/>
  <c r="G76" i="2"/>
  <c r="F76" i="2"/>
  <c r="E76" i="38" s="1"/>
  <c r="E76" i="2"/>
  <c r="J75" i="2"/>
  <c r="I75" i="2"/>
  <c r="H75" i="38" s="1"/>
  <c r="H75" i="2"/>
  <c r="G75" i="2"/>
  <c r="F75" i="2"/>
  <c r="E75" i="38" s="1"/>
  <c r="E75" i="2"/>
  <c r="J72" i="2"/>
  <c r="I72" i="2"/>
  <c r="H72" i="38" s="1"/>
  <c r="H72" i="2"/>
  <c r="G72" i="2"/>
  <c r="F72" i="2"/>
  <c r="E72" i="38" s="1"/>
  <c r="E72" i="2"/>
  <c r="D72" i="2"/>
  <c r="B55" i="40" s="1"/>
  <c r="B56" i="74" s="1"/>
  <c r="B56" i="77" s="1"/>
  <c r="J71" i="2"/>
  <c r="I71" i="2"/>
  <c r="H71" i="38" s="1"/>
  <c r="H71" i="2"/>
  <c r="G71" i="2"/>
  <c r="F71" i="2"/>
  <c r="E71" i="38" s="1"/>
  <c r="E71" i="2"/>
  <c r="J70" i="2"/>
  <c r="I70" i="2"/>
  <c r="H70" i="38" s="1"/>
  <c r="H70" i="2"/>
  <c r="G70" i="2"/>
  <c r="F70" i="2"/>
  <c r="E70" i="38" s="1"/>
  <c r="E70" i="2"/>
  <c r="K69" i="20"/>
  <c r="J69" i="2"/>
  <c r="I69" i="2"/>
  <c r="H69" i="38" s="1"/>
  <c r="H69" i="2"/>
  <c r="G69" i="2"/>
  <c r="F69" i="2"/>
  <c r="E69" i="38" s="1"/>
  <c r="E69" i="2"/>
  <c r="K68" i="20"/>
  <c r="J68" i="2"/>
  <c r="I68" i="2"/>
  <c r="H68" i="38" s="1"/>
  <c r="H68" i="2"/>
  <c r="G68" i="2"/>
  <c r="F68" i="2"/>
  <c r="E68" i="38" s="1"/>
  <c r="E68" i="2"/>
  <c r="D68" i="2"/>
  <c r="B51" i="40" s="1"/>
  <c r="B52" i="74" s="1"/>
  <c r="B52" i="77" s="1"/>
  <c r="K66" i="20"/>
  <c r="J66" i="2"/>
  <c r="F50" i="40" s="1"/>
  <c r="F51" i="74" s="1"/>
  <c r="F51" i="77" s="1"/>
  <c r="I66" i="2"/>
  <c r="H66" i="2"/>
  <c r="C50" i="40" s="1"/>
  <c r="G66" i="2"/>
  <c r="E50" i="40" s="1"/>
  <c r="F66" i="2"/>
  <c r="E66" i="2"/>
  <c r="D50" i="40" s="1"/>
  <c r="J65" i="2"/>
  <c r="F49" i="40" s="1"/>
  <c r="F50" i="74" s="1"/>
  <c r="F50" i="77" s="1"/>
  <c r="I65" i="2"/>
  <c r="H65" i="2"/>
  <c r="C49" i="40" s="1"/>
  <c r="G65" i="2"/>
  <c r="E49" i="40" s="1"/>
  <c r="F65" i="2"/>
  <c r="E65" i="2"/>
  <c r="D49" i="40" s="1"/>
  <c r="K64" i="20"/>
  <c r="J64" i="2"/>
  <c r="F48" i="40" s="1"/>
  <c r="F49" i="74" s="1"/>
  <c r="F49" i="77" s="1"/>
  <c r="I64" i="2"/>
  <c r="H64" i="2"/>
  <c r="C48" i="40" s="1"/>
  <c r="G64" i="2"/>
  <c r="E48" i="40" s="1"/>
  <c r="F64" i="2"/>
  <c r="E64" i="2"/>
  <c r="D48" i="40" s="1"/>
  <c r="K63" i="20"/>
  <c r="J63" i="2"/>
  <c r="F47" i="40" s="1"/>
  <c r="F48" i="74" s="1"/>
  <c r="F48" i="77" s="1"/>
  <c r="I63" i="2"/>
  <c r="H63" i="2"/>
  <c r="C47" i="40" s="1"/>
  <c r="G63" i="2"/>
  <c r="E47" i="40" s="1"/>
  <c r="F63" i="2"/>
  <c r="E63" i="2"/>
  <c r="D47" i="40" s="1"/>
  <c r="D63" i="2"/>
  <c r="B47" i="40" s="1"/>
  <c r="B48" i="74" s="1"/>
  <c r="B48" i="77" s="1"/>
  <c r="W61" i="20"/>
  <c r="J61" i="2"/>
  <c r="I61" i="2"/>
  <c r="H61" i="38" s="1"/>
  <c r="H61" i="2"/>
  <c r="K60" i="20"/>
  <c r="J60" i="2"/>
  <c r="I60" i="2"/>
  <c r="H60" i="38" s="1"/>
  <c r="H60" i="2"/>
  <c r="J57" i="11"/>
  <c r="J59" i="2"/>
  <c r="I59" i="2"/>
  <c r="H59" i="38" s="1"/>
  <c r="H59" i="2"/>
  <c r="G59" i="20"/>
  <c r="F59" i="20"/>
  <c r="E59" i="20"/>
  <c r="K57" i="20"/>
  <c r="J57" i="2"/>
  <c r="F43" i="40" s="1"/>
  <c r="F44" i="74" s="1"/>
  <c r="F44" i="77" s="1"/>
  <c r="I57" i="2"/>
  <c r="H57" i="2"/>
  <c r="C43" i="40" s="1"/>
  <c r="G57" i="2"/>
  <c r="E43" i="40" s="1"/>
  <c r="F57" i="2"/>
  <c r="E57" i="2"/>
  <c r="D43" i="40" s="1"/>
  <c r="D57" i="2"/>
  <c r="B43" i="40" s="1"/>
  <c r="B44" i="74" s="1"/>
  <c r="B44" i="77" s="1"/>
  <c r="J55" i="2"/>
  <c r="I55" i="2"/>
  <c r="H55" i="38" s="1"/>
  <c r="H55" i="2"/>
  <c r="G55" i="2"/>
  <c r="F55" i="2"/>
  <c r="E55" i="38" s="1"/>
  <c r="E55" i="2"/>
  <c r="K54" i="20"/>
  <c r="J54" i="2"/>
  <c r="I54" i="2"/>
  <c r="H54" i="38" s="1"/>
  <c r="H54" i="2"/>
  <c r="G54" i="2"/>
  <c r="F54" i="2"/>
  <c r="E54" i="38" s="1"/>
  <c r="E54" i="2"/>
  <c r="J51" i="11"/>
  <c r="J53" i="2"/>
  <c r="I53" i="2"/>
  <c r="H53" i="38" s="1"/>
  <c r="H53" i="2"/>
  <c r="G53" i="2"/>
  <c r="F53" i="2"/>
  <c r="E53" i="38" s="1"/>
  <c r="E53" i="2"/>
  <c r="D53" i="2"/>
  <c r="J52" i="2"/>
  <c r="I52" i="2"/>
  <c r="H52" i="38" s="1"/>
  <c r="H52" i="2"/>
  <c r="G52" i="2"/>
  <c r="F52" i="2"/>
  <c r="E52" i="38" s="1"/>
  <c r="E52" i="2"/>
  <c r="J51" i="2"/>
  <c r="I51" i="2"/>
  <c r="H51" i="38" s="1"/>
  <c r="H51" i="2"/>
  <c r="G51" i="2"/>
  <c r="F51" i="2"/>
  <c r="E51" i="38" s="1"/>
  <c r="E51" i="2"/>
  <c r="J49" i="2"/>
  <c r="I49" i="2"/>
  <c r="H49" i="38" s="1"/>
  <c r="H49" i="2"/>
  <c r="G49" i="2"/>
  <c r="F49" i="2"/>
  <c r="E49" i="38" s="1"/>
  <c r="E49" i="2"/>
  <c r="K48" i="20"/>
  <c r="J48" i="2"/>
  <c r="I48" i="2"/>
  <c r="H48" i="38" s="1"/>
  <c r="H48" i="2"/>
  <c r="G48" i="2"/>
  <c r="F48" i="2"/>
  <c r="E48" i="38" s="1"/>
  <c r="E48" i="2"/>
  <c r="K47" i="20"/>
  <c r="J47" i="2"/>
  <c r="I47" i="38" s="1"/>
  <c r="I47" i="2"/>
  <c r="H47" i="38" s="1"/>
  <c r="H47" i="2"/>
  <c r="G47" i="38" s="1"/>
  <c r="G47" i="2"/>
  <c r="F47" i="38" s="1"/>
  <c r="F47" i="2"/>
  <c r="E47" i="38" s="1"/>
  <c r="E47" i="2"/>
  <c r="D47" i="38" s="1"/>
  <c r="K44" i="20"/>
  <c r="J44" i="2"/>
  <c r="F34" i="40" s="1"/>
  <c r="F35" i="74" s="1"/>
  <c r="F35" i="77" s="1"/>
  <c r="I44" i="2"/>
  <c r="H44" i="2"/>
  <c r="C34" i="40" s="1"/>
  <c r="G44" i="2"/>
  <c r="E34" i="40" s="1"/>
  <c r="F44" i="2"/>
  <c r="E44" i="2"/>
  <c r="D34" i="40" s="1"/>
  <c r="J43" i="2"/>
  <c r="F33" i="40" s="1"/>
  <c r="F34" i="74" s="1"/>
  <c r="F34" i="77" s="1"/>
  <c r="I43" i="2"/>
  <c r="H43" i="2"/>
  <c r="C33" i="40" s="1"/>
  <c r="G43" i="2"/>
  <c r="E33" i="40" s="1"/>
  <c r="F43" i="2"/>
  <c r="E43" i="2"/>
  <c r="D33" i="40" s="1"/>
  <c r="K42" i="20"/>
  <c r="J42" i="2"/>
  <c r="F32" i="40" s="1"/>
  <c r="F33" i="74" s="1"/>
  <c r="F33" i="77" s="1"/>
  <c r="I42" i="2"/>
  <c r="H42" i="2"/>
  <c r="C32" i="40" s="1"/>
  <c r="G42" i="2"/>
  <c r="E32" i="40" s="1"/>
  <c r="F42" i="2"/>
  <c r="E42" i="2"/>
  <c r="D32" i="40" s="1"/>
  <c r="K41" i="20"/>
  <c r="J41" i="2"/>
  <c r="F31" i="40" s="1"/>
  <c r="F32" i="74" s="1"/>
  <c r="F32" i="77" s="1"/>
  <c r="I41" i="2"/>
  <c r="H41" i="2"/>
  <c r="C31" i="40" s="1"/>
  <c r="G41" i="2"/>
  <c r="E31" i="40" s="1"/>
  <c r="F41" i="2"/>
  <c r="E41" i="2"/>
  <c r="D31" i="40" s="1"/>
  <c r="K40" i="20"/>
  <c r="J40" i="2"/>
  <c r="F30" i="40" s="1"/>
  <c r="F31" i="74" s="1"/>
  <c r="F31" i="77" s="1"/>
  <c r="I40" i="2"/>
  <c r="H40" i="2"/>
  <c r="C30" i="40" s="1"/>
  <c r="G40" i="2"/>
  <c r="E30" i="40" s="1"/>
  <c r="F40" i="2"/>
  <c r="E40" i="2"/>
  <c r="D30" i="40" s="1"/>
  <c r="J38" i="2"/>
  <c r="I38" i="2"/>
  <c r="H38" i="38" s="1"/>
  <c r="H38" i="2"/>
  <c r="G38" i="2"/>
  <c r="F38" i="2"/>
  <c r="E38" i="38" s="1"/>
  <c r="E38" i="2"/>
  <c r="J37" i="2"/>
  <c r="I37" i="2"/>
  <c r="H37" i="38" s="1"/>
  <c r="H37" i="2"/>
  <c r="G37" i="2"/>
  <c r="F37" i="2"/>
  <c r="E37" i="38" s="1"/>
  <c r="E37" i="2"/>
  <c r="J36" i="2"/>
  <c r="I36" i="2"/>
  <c r="H36" i="38" s="1"/>
  <c r="H36" i="2"/>
  <c r="G36" i="2"/>
  <c r="F36" i="2"/>
  <c r="E36" i="38" s="1"/>
  <c r="E36" i="2"/>
  <c r="J35" i="2"/>
  <c r="I35" i="2"/>
  <c r="H35" i="38" s="1"/>
  <c r="H35" i="2"/>
  <c r="C26" i="40" s="1"/>
  <c r="G35" i="2"/>
  <c r="F35" i="2"/>
  <c r="E35" i="38" s="1"/>
  <c r="E35" i="2"/>
  <c r="J34" i="2"/>
  <c r="I34" i="2"/>
  <c r="H34" i="38" s="1"/>
  <c r="H34" i="2"/>
  <c r="G34" i="2"/>
  <c r="F34" i="2"/>
  <c r="E34" i="38" s="1"/>
  <c r="E34" i="2"/>
  <c r="K32" i="20"/>
  <c r="J32" i="2"/>
  <c r="I32" i="2"/>
  <c r="H32" i="38" s="1"/>
  <c r="H32" i="2"/>
  <c r="G32" i="2"/>
  <c r="F32" i="2"/>
  <c r="E32" i="38" s="1"/>
  <c r="E32" i="2"/>
  <c r="B29" i="73" s="1"/>
  <c r="J31" i="2"/>
  <c r="I31" i="2"/>
  <c r="H31" i="38" s="1"/>
  <c r="H31" i="2"/>
  <c r="G31" i="2"/>
  <c r="F31" i="2"/>
  <c r="E31" i="38" s="1"/>
  <c r="E31" i="2"/>
  <c r="B28" i="73" s="1"/>
  <c r="D31" i="2"/>
  <c r="J30" i="2"/>
  <c r="I30" i="2"/>
  <c r="H30" i="38" s="1"/>
  <c r="H30" i="2"/>
  <c r="G30" i="2"/>
  <c r="F30" i="2"/>
  <c r="E30" i="38" s="1"/>
  <c r="E30" i="2"/>
  <c r="B27" i="73" s="1"/>
  <c r="J29" i="2"/>
  <c r="I29" i="2"/>
  <c r="H29" i="38" s="1"/>
  <c r="H29" i="2"/>
  <c r="G29" i="2"/>
  <c r="F29" i="2"/>
  <c r="E29" i="38" s="1"/>
  <c r="E29" i="2"/>
  <c r="B26" i="73" s="1"/>
  <c r="J28" i="2"/>
  <c r="I28" i="2"/>
  <c r="H28" i="38" s="1"/>
  <c r="H28" i="2"/>
  <c r="G28" i="2"/>
  <c r="F28" i="2"/>
  <c r="E28" i="38" s="1"/>
  <c r="E28" i="2"/>
  <c r="B25" i="73" s="1"/>
  <c r="D28" i="2"/>
  <c r="J27" i="2"/>
  <c r="I27" i="2"/>
  <c r="H27" i="38" s="1"/>
  <c r="H27" i="2"/>
  <c r="G27" i="2"/>
  <c r="F27" i="2"/>
  <c r="E27" i="38" s="1"/>
  <c r="E27" i="2"/>
  <c r="B24" i="73" s="1"/>
  <c r="J26" i="2"/>
  <c r="I26" i="2"/>
  <c r="H26" i="38" s="1"/>
  <c r="H26" i="2"/>
  <c r="G26" i="2"/>
  <c r="F26" i="2"/>
  <c r="E26" i="38" s="1"/>
  <c r="E26" i="2"/>
  <c r="B23" i="73" s="1"/>
  <c r="K25" i="20"/>
  <c r="J25" i="2"/>
  <c r="I25" i="2"/>
  <c r="H25" i="38" s="1"/>
  <c r="H25" i="2"/>
  <c r="G25" i="2"/>
  <c r="F25" i="2"/>
  <c r="E25" i="38" s="1"/>
  <c r="E25" i="2"/>
  <c r="B22" i="73" s="1"/>
  <c r="D25" i="2"/>
  <c r="D22" i="73" s="1"/>
  <c r="J24" i="2"/>
  <c r="I24" i="2"/>
  <c r="H24" i="38" s="1"/>
  <c r="H24" i="2"/>
  <c r="G24" i="2"/>
  <c r="F24" i="2"/>
  <c r="E24" i="38" s="1"/>
  <c r="E24" i="2"/>
  <c r="B21" i="73" s="1"/>
  <c r="D24" i="2"/>
  <c r="J23" i="2"/>
  <c r="I23" i="2"/>
  <c r="H23" i="38" s="1"/>
  <c r="H23" i="2"/>
  <c r="G23" i="2"/>
  <c r="F23" i="2"/>
  <c r="E23" i="38" s="1"/>
  <c r="E23" i="2"/>
  <c r="B20" i="73" s="1"/>
  <c r="K22" i="20"/>
  <c r="J22" i="2"/>
  <c r="I22" i="2"/>
  <c r="H22" i="38" s="1"/>
  <c r="H22" i="2"/>
  <c r="G22" i="2"/>
  <c r="F22" i="2"/>
  <c r="E22" i="38" s="1"/>
  <c r="E22" i="2"/>
  <c r="B19" i="73" s="1"/>
  <c r="D22" i="2"/>
  <c r="K21" i="20"/>
  <c r="J21" i="2"/>
  <c r="I21" i="2"/>
  <c r="H21" i="38" s="1"/>
  <c r="H21" i="2"/>
  <c r="G21" i="2"/>
  <c r="F21" i="2"/>
  <c r="E21" i="38" s="1"/>
  <c r="E21" i="2"/>
  <c r="B18" i="73" s="1"/>
  <c r="D21" i="2"/>
  <c r="K20" i="20"/>
  <c r="J20" i="2"/>
  <c r="I20" i="2"/>
  <c r="H20" i="38" s="1"/>
  <c r="H20" i="2"/>
  <c r="G20" i="2"/>
  <c r="F20" i="2"/>
  <c r="E20" i="38" s="1"/>
  <c r="E20" i="2"/>
  <c r="B17" i="73" s="1"/>
  <c r="K19" i="20"/>
  <c r="J19" i="2"/>
  <c r="I19" i="2"/>
  <c r="H19" i="38" s="1"/>
  <c r="H19" i="2"/>
  <c r="G19" i="2"/>
  <c r="F19" i="2"/>
  <c r="E19" i="38" s="1"/>
  <c r="E19" i="2"/>
  <c r="B16" i="73" s="1"/>
  <c r="J18" i="2"/>
  <c r="I18" i="2"/>
  <c r="H18" i="38" s="1"/>
  <c r="H18" i="2"/>
  <c r="G18" i="2"/>
  <c r="F18" i="2"/>
  <c r="E18" i="38" s="1"/>
  <c r="E18" i="2"/>
  <c r="B15" i="73" s="1"/>
  <c r="K17" i="20"/>
  <c r="J17" i="2"/>
  <c r="I17" i="2"/>
  <c r="H17" i="38" s="1"/>
  <c r="H17" i="2"/>
  <c r="G17" i="2"/>
  <c r="F17" i="2"/>
  <c r="E17" i="38" s="1"/>
  <c r="E17" i="2"/>
  <c r="B14" i="73" s="1"/>
  <c r="D17" i="2"/>
  <c r="K16" i="20"/>
  <c r="J16" i="2"/>
  <c r="I16" i="2"/>
  <c r="H16" i="38" s="1"/>
  <c r="H16" i="2"/>
  <c r="G16" i="2"/>
  <c r="F16" i="2"/>
  <c r="E16" i="38" s="1"/>
  <c r="E16" i="2"/>
  <c r="B13" i="73" s="1"/>
  <c r="D16" i="2"/>
  <c r="J15" i="2"/>
  <c r="I15" i="2"/>
  <c r="H15" i="38" s="1"/>
  <c r="H15" i="2"/>
  <c r="G15" i="2"/>
  <c r="F15" i="2"/>
  <c r="E15" i="38" s="1"/>
  <c r="E15" i="2"/>
  <c r="B12" i="73" s="1"/>
  <c r="K14" i="20"/>
  <c r="J14" i="2"/>
  <c r="I14" i="2"/>
  <c r="H14" i="38" s="1"/>
  <c r="H14" i="2"/>
  <c r="G14" i="2"/>
  <c r="F14" i="2"/>
  <c r="E14" i="38" s="1"/>
  <c r="E14" i="2"/>
  <c r="B11" i="73" s="1"/>
  <c r="K13" i="20"/>
  <c r="J13" i="2"/>
  <c r="I13" i="2"/>
  <c r="H13" i="38" s="1"/>
  <c r="H13" i="2"/>
  <c r="G13" i="2"/>
  <c r="F13" i="2"/>
  <c r="E13" i="38" s="1"/>
  <c r="E13" i="2"/>
  <c r="B10" i="73" s="1"/>
  <c r="J12" i="2"/>
  <c r="I12" i="2"/>
  <c r="H12" i="38" s="1"/>
  <c r="H12" i="2"/>
  <c r="G12" i="2"/>
  <c r="F12" i="2"/>
  <c r="E12" i="38" s="1"/>
  <c r="E12" i="2"/>
  <c r="B9" i="73" s="1"/>
  <c r="J11" i="2"/>
  <c r="I11" i="2"/>
  <c r="H11" i="38" s="1"/>
  <c r="H11" i="2"/>
  <c r="G11" i="2"/>
  <c r="F11" i="2"/>
  <c r="E11" i="2"/>
  <c r="B8" i="73" s="1"/>
  <c r="K10" i="20"/>
  <c r="J10" i="2"/>
  <c r="I10" i="2"/>
  <c r="H10" i="38" s="1"/>
  <c r="H10" i="2"/>
  <c r="G10" i="2"/>
  <c r="F10" i="2"/>
  <c r="E10" i="38" s="1"/>
  <c r="E10" i="2"/>
  <c r="B7" i="73" s="1"/>
  <c r="D171" i="20"/>
  <c r="D61" i="20"/>
  <c r="D60" i="20"/>
  <c r="C169" i="11"/>
  <c r="C59" i="11"/>
  <c r="C58" i="11"/>
  <c r="C57" i="11"/>
  <c r="AI175" i="2"/>
  <c r="AH175" i="2"/>
  <c r="AG175" i="2"/>
  <c r="AD174" i="23" s="1"/>
  <c r="AG174" i="23" s="1"/>
  <c r="AK174" i="2"/>
  <c r="AI174" i="2"/>
  <c r="CG174" i="10" s="1"/>
  <c r="AH174" i="2"/>
  <c r="AG174" i="2"/>
  <c r="AD173" i="23" s="1"/>
  <c r="AG173" i="23" s="1"/>
  <c r="D175" i="2"/>
  <c r="B132" i="40" s="1"/>
  <c r="B133" i="74" s="1"/>
  <c r="B133" i="77" s="1"/>
  <c r="D174" i="2"/>
  <c r="B131" i="40" s="1"/>
  <c r="B132" i="74" s="1"/>
  <c r="B132" i="77" s="1"/>
  <c r="A78" i="9"/>
  <c r="A77" i="9"/>
  <c r="AK162" i="2"/>
  <c r="CH161" i="10" s="1"/>
  <c r="AI162" i="2"/>
  <c r="CG161" i="10" s="1"/>
  <c r="AH162" i="2"/>
  <c r="AG162" i="2"/>
  <c r="AD161" i="23" s="1"/>
  <c r="AG161" i="23" s="1"/>
  <c r="D162" i="2"/>
  <c r="B124" i="40" s="1"/>
  <c r="B125" i="74" s="1"/>
  <c r="B125" i="77" s="1"/>
  <c r="AK155" i="2"/>
  <c r="AI155" i="2"/>
  <c r="AH155" i="2"/>
  <c r="AG155" i="2"/>
  <c r="AD154" i="23" s="1"/>
  <c r="AG154" i="23" s="1"/>
  <c r="D155" i="2"/>
  <c r="B119" i="40" s="1"/>
  <c r="B120" i="74" s="1"/>
  <c r="B120" i="77" s="1"/>
  <c r="AK149" i="2"/>
  <c r="AI149" i="2"/>
  <c r="AH149" i="2"/>
  <c r="AG149" i="2"/>
  <c r="AD148" i="23" s="1"/>
  <c r="AG148" i="23" s="1"/>
  <c r="D149" i="2"/>
  <c r="B114" i="40" s="1"/>
  <c r="B115" i="74" s="1"/>
  <c r="B115" i="77" s="1"/>
  <c r="AH115" i="2"/>
  <c r="AG115" i="2"/>
  <c r="AD114" i="23" s="1"/>
  <c r="AG114" i="23" s="1"/>
  <c r="D115" i="2"/>
  <c r="B86" i="40" s="1"/>
  <c r="B87" i="74" s="1"/>
  <c r="B87" i="77" s="1"/>
  <c r="AI109" i="2"/>
  <c r="CG108" i="10" s="1"/>
  <c r="AH109" i="2"/>
  <c r="AG109" i="2"/>
  <c r="AD108" i="23" s="1"/>
  <c r="AG108" i="23" s="1"/>
  <c r="D109" i="2"/>
  <c r="B81" i="40" s="1"/>
  <c r="A51" i="9"/>
  <c r="AI103" i="2"/>
  <c r="CG102" i="10" s="1"/>
  <c r="AH103" i="2"/>
  <c r="AG103" i="2"/>
  <c r="AD102" i="23" s="1"/>
  <c r="AG102" i="23" s="1"/>
  <c r="D103" i="2"/>
  <c r="B76" i="40" s="1"/>
  <c r="B77" i="74" s="1"/>
  <c r="B77" i="77" s="1"/>
  <c r="A49" i="9"/>
  <c r="AK93" i="2"/>
  <c r="CH92" i="10" s="1"/>
  <c r="CP92" i="10" s="1"/>
  <c r="CS92" i="10" s="1"/>
  <c r="AI93" i="2"/>
  <c r="CG92" i="10" s="1"/>
  <c r="AH93" i="2"/>
  <c r="AG93" i="2"/>
  <c r="AD92" i="23" s="1"/>
  <c r="AG92" i="23" s="1"/>
  <c r="D93" i="2"/>
  <c r="B69" i="40" s="1"/>
  <c r="A45" i="9"/>
  <c r="AK87" i="2"/>
  <c r="CH86" i="10" s="1"/>
  <c r="AI87" i="2"/>
  <c r="CG86" i="10" s="1"/>
  <c r="AH87" i="2"/>
  <c r="AG87" i="2"/>
  <c r="AD86" i="23" s="1"/>
  <c r="AG86" i="23" s="1"/>
  <c r="D87" i="2"/>
  <c r="B64" i="40" s="1"/>
  <c r="B65" i="74" s="1"/>
  <c r="B65" i="77" s="1"/>
  <c r="A43" i="9"/>
  <c r="AK72" i="2"/>
  <c r="AI72" i="2"/>
  <c r="CG71" i="10" s="1"/>
  <c r="AH72" i="2"/>
  <c r="AG72" i="2"/>
  <c r="AD71" i="23" s="1"/>
  <c r="AG71" i="23" s="1"/>
  <c r="A34" i="9"/>
  <c r="A32" i="9"/>
  <c r="A31" i="9"/>
  <c r="A30" i="9"/>
  <c r="D32" i="9"/>
  <c r="D31" i="9"/>
  <c r="AI51" i="2"/>
  <c r="CG50" i="10" s="1"/>
  <c r="AH51" i="2"/>
  <c r="AG51" i="2"/>
  <c r="AD50" i="23" s="1"/>
  <c r="AG50" i="23" s="1"/>
  <c r="D51" i="2"/>
  <c r="B38" i="40" s="1"/>
  <c r="B39" i="74" s="1"/>
  <c r="B39" i="77" s="1"/>
  <c r="A26" i="9"/>
  <c r="AK44" i="2"/>
  <c r="AI44" i="2"/>
  <c r="AH44" i="2"/>
  <c r="AG44" i="2"/>
  <c r="AD43" i="23" s="1"/>
  <c r="AG43" i="23" s="1"/>
  <c r="AK43" i="2"/>
  <c r="AI43" i="2"/>
  <c r="CG42" i="10" s="1"/>
  <c r="AH43" i="2"/>
  <c r="AD42" i="23"/>
  <c r="AG42" i="23" s="1"/>
  <c r="AK42" i="2"/>
  <c r="AI42" i="2"/>
  <c r="AH42" i="2"/>
  <c r="AG42" i="2"/>
  <c r="AD41" i="23" s="1"/>
  <c r="AG41" i="23" s="1"/>
  <c r="AK41" i="2"/>
  <c r="AI41" i="2"/>
  <c r="CG40" i="10" s="1"/>
  <c r="AH41" i="2"/>
  <c r="AG41" i="2"/>
  <c r="AD40" i="23" s="1"/>
  <c r="AG40" i="23" s="1"/>
  <c r="AK40" i="2"/>
  <c r="AI40" i="2"/>
  <c r="CG39" i="10" s="1"/>
  <c r="AG40" i="2"/>
  <c r="AD39" i="23" s="1"/>
  <c r="AG39" i="23" s="1"/>
  <c r="D44" i="2"/>
  <c r="B34" i="40" s="1"/>
  <c r="B35" i="74" s="1"/>
  <c r="B35" i="77" s="1"/>
  <c r="D43" i="2"/>
  <c r="D42" i="2"/>
  <c r="B32" i="40" s="1"/>
  <c r="B33" i="74" s="1"/>
  <c r="B33" i="77" s="1"/>
  <c r="D41" i="2"/>
  <c r="B31" i="40" s="1"/>
  <c r="B32" i="74" s="1"/>
  <c r="B32" i="77" s="1"/>
  <c r="D40" i="2"/>
  <c r="B30" i="40" s="1"/>
  <c r="B31" i="74" s="1"/>
  <c r="B31" i="77" s="1"/>
  <c r="A17" i="9"/>
  <c r="AK35" i="2"/>
  <c r="R34" i="26" s="1"/>
  <c r="AI35" i="2"/>
  <c r="CG34" i="10" s="1"/>
  <c r="AH35" i="2"/>
  <c r="AG35" i="2"/>
  <c r="AD34" i="23" s="1"/>
  <c r="AG34" i="23" s="1"/>
  <c r="AK34" i="2"/>
  <c r="R33" i="26" s="1"/>
  <c r="AI34" i="2"/>
  <c r="CG33" i="10" s="1"/>
  <c r="AH34" i="2"/>
  <c r="AG34" i="2"/>
  <c r="AD33" i="23" s="1"/>
  <c r="AG33" i="23" s="1"/>
  <c r="D35" i="2"/>
  <c r="B26" i="40" s="1"/>
  <c r="B27" i="74" s="1"/>
  <c r="B27" i="77" s="1"/>
  <c r="D34" i="2"/>
  <c r="B25" i="40" s="1"/>
  <c r="B26" i="74" s="1"/>
  <c r="B26" i="77" s="1"/>
  <c r="A15" i="9"/>
  <c r="A14" i="9"/>
  <c r="AK32" i="2"/>
  <c r="R31" i="26" s="1"/>
  <c r="AI32" i="2"/>
  <c r="AH32" i="2"/>
  <c r="AG32" i="2"/>
  <c r="AD31" i="23" s="1"/>
  <c r="AG31" i="23" s="1"/>
  <c r="D32" i="2"/>
  <c r="D29" i="73" s="1"/>
  <c r="AK29" i="2"/>
  <c r="R28" i="26" s="1"/>
  <c r="AI29" i="2"/>
  <c r="CG28" i="10" s="1"/>
  <c r="AH29" i="2"/>
  <c r="AG29" i="2"/>
  <c r="AD28" i="23" s="1"/>
  <c r="AG28" i="23" s="1"/>
  <c r="D29" i="2"/>
  <c r="D26" i="73" s="1"/>
  <c r="AK27" i="2"/>
  <c r="R26" i="26" s="1"/>
  <c r="AI27" i="2"/>
  <c r="CG26" i="10" s="1"/>
  <c r="AH27" i="2"/>
  <c r="AG27" i="2"/>
  <c r="AD26" i="23" s="1"/>
  <c r="AG26" i="23" s="1"/>
  <c r="D27" i="2"/>
  <c r="AK26" i="2"/>
  <c r="R25" i="26" s="1"/>
  <c r="AI26" i="2"/>
  <c r="CG25" i="10" s="1"/>
  <c r="AH26" i="2"/>
  <c r="AG26" i="2"/>
  <c r="AD25" i="23" s="1"/>
  <c r="AG25" i="23" s="1"/>
  <c r="D26" i="2"/>
  <c r="AK23" i="2"/>
  <c r="R22" i="26" s="1"/>
  <c r="AI23" i="2"/>
  <c r="CG22" i="10" s="1"/>
  <c r="AH23" i="2"/>
  <c r="AD22" i="23"/>
  <c r="AG22" i="23" s="1"/>
  <c r="D23" i="2"/>
  <c r="A12" i="9"/>
  <c r="A11" i="9"/>
  <c r="A10" i="9"/>
  <c r="A9" i="9"/>
  <c r="A8" i="9"/>
  <c r="M64" i="9"/>
  <c r="N64" i="9"/>
  <c r="O64" i="9"/>
  <c r="P64" i="9"/>
  <c r="Q64" i="9"/>
  <c r="M13" i="9"/>
  <c r="N13" i="9"/>
  <c r="O13" i="9"/>
  <c r="P13" i="9"/>
  <c r="Q13" i="9"/>
  <c r="AD179" i="23"/>
  <c r="AK179" i="2"/>
  <c r="CH179" i="10" s="1"/>
  <c r="CM179" i="10" s="1"/>
  <c r="AI179" i="2"/>
  <c r="AH179" i="2"/>
  <c r="AG179" i="2"/>
  <c r="AD178" i="23" s="1"/>
  <c r="AG178" i="23" s="1"/>
  <c r="D180" i="2"/>
  <c r="B137" i="40" s="1"/>
  <c r="B138" i="74" s="1"/>
  <c r="B138" i="77" s="1"/>
  <c r="D179" i="2"/>
  <c r="B136" i="40" s="1"/>
  <c r="B137" i="74" s="1"/>
  <c r="B137" i="77" s="1"/>
  <c r="AK164" i="2"/>
  <c r="CH163" i="10" s="1"/>
  <c r="AI164" i="2"/>
  <c r="CG163" i="10" s="1"/>
  <c r="AH164" i="2"/>
  <c r="AG164" i="2"/>
  <c r="AD163" i="23" s="1"/>
  <c r="AG163" i="23" s="1"/>
  <c r="D164" i="2"/>
  <c r="B126" i="40" s="1"/>
  <c r="B127" i="74" s="1"/>
  <c r="B127" i="77" s="1"/>
  <c r="AK159" i="2"/>
  <c r="AI159" i="2"/>
  <c r="AH159" i="2"/>
  <c r="AG159" i="2"/>
  <c r="AD158" i="23" s="1"/>
  <c r="AG158" i="23" s="1"/>
  <c r="D159" i="2"/>
  <c r="B123" i="40" s="1"/>
  <c r="B124" i="74" s="1"/>
  <c r="B124" i="77" s="1"/>
  <c r="AK153" i="2"/>
  <c r="AI153" i="2"/>
  <c r="AH153" i="2"/>
  <c r="AG153" i="2"/>
  <c r="AD152" i="23" s="1"/>
  <c r="AG152" i="23" s="1"/>
  <c r="D153" i="2"/>
  <c r="B118" i="40" s="1"/>
  <c r="B119" i="74" s="1"/>
  <c r="B119" i="77" s="1"/>
  <c r="AK119" i="2"/>
  <c r="CH118" i="10" s="1"/>
  <c r="AI119" i="2"/>
  <c r="AH119" i="2"/>
  <c r="AG119" i="2"/>
  <c r="AD118" i="23" s="1"/>
  <c r="AG118" i="23" s="1"/>
  <c r="D119" i="2"/>
  <c r="B90" i="40" s="1"/>
  <c r="B91" i="74" s="1"/>
  <c r="B91" i="77" s="1"/>
  <c r="AI113" i="2"/>
  <c r="AH113" i="2"/>
  <c r="AG113" i="2"/>
  <c r="AD112" i="23" s="1"/>
  <c r="AG112" i="23" s="1"/>
  <c r="D113" i="2"/>
  <c r="B85" i="40" s="1"/>
  <c r="B86" i="74" s="1"/>
  <c r="B86" i="77" s="1"/>
  <c r="AK107" i="2"/>
  <c r="CH106" i="10" s="1"/>
  <c r="AI107" i="2"/>
  <c r="CG106" i="10" s="1"/>
  <c r="AH107" i="2"/>
  <c r="AG107" i="2"/>
  <c r="AD106" i="23" s="1"/>
  <c r="AG106" i="23" s="1"/>
  <c r="D107" i="2"/>
  <c r="B80" i="40" s="1"/>
  <c r="B81" i="74" s="1"/>
  <c r="B81" i="77" s="1"/>
  <c r="AK98" i="2"/>
  <c r="CH97" i="10" s="1"/>
  <c r="AI98" i="2"/>
  <c r="CG97" i="10" s="1"/>
  <c r="AH98" i="2"/>
  <c r="AG98" i="2"/>
  <c r="AD97" i="23" s="1"/>
  <c r="AG97" i="23" s="1"/>
  <c r="AK89" i="2"/>
  <c r="CH88" i="10" s="1"/>
  <c r="AI89" i="2"/>
  <c r="CG88" i="10" s="1"/>
  <c r="AH89" i="2"/>
  <c r="AG89" i="2"/>
  <c r="AD88" i="23" s="1"/>
  <c r="AG88" i="23" s="1"/>
  <c r="D89" i="2"/>
  <c r="B66" i="40" s="1"/>
  <c r="B67" i="74" s="1"/>
  <c r="B67" i="77" s="1"/>
  <c r="A38" i="8"/>
  <c r="AK78" i="2"/>
  <c r="AI78" i="2"/>
  <c r="CG77" i="10" s="1"/>
  <c r="CI77" i="10" s="1"/>
  <c r="AH78" i="2"/>
  <c r="AG78" i="2"/>
  <c r="AD77" i="23" s="1"/>
  <c r="AG77" i="23" s="1"/>
  <c r="D78" i="2"/>
  <c r="B59" i="40" s="1"/>
  <c r="B60" i="74" s="1"/>
  <c r="B60" i="77" s="1"/>
  <c r="A34" i="8"/>
  <c r="AG70" i="2"/>
  <c r="AD69" i="23" s="1"/>
  <c r="AG69" i="23" s="1"/>
  <c r="D70" i="2"/>
  <c r="B53" i="40" s="1"/>
  <c r="B54" i="74" s="1"/>
  <c r="B54" i="77" s="1"/>
  <c r="A31" i="8"/>
  <c r="L29" i="8"/>
  <c r="AK66" i="2"/>
  <c r="AI66" i="2"/>
  <c r="CG65" i="10" s="1"/>
  <c r="AH66" i="2"/>
  <c r="AG66" i="2"/>
  <c r="AD65" i="23" s="1"/>
  <c r="AG65" i="23" s="1"/>
  <c r="D66" i="2"/>
  <c r="B50" i="40" s="1"/>
  <c r="B51" i="74" s="1"/>
  <c r="B51" i="77" s="1"/>
  <c r="A29" i="8"/>
  <c r="AG61" i="2"/>
  <c r="AD60" i="23" s="1"/>
  <c r="AG60" i="23" s="1"/>
  <c r="AH60" i="2"/>
  <c r="AI60" i="2"/>
  <c r="CG59" i="10" s="1"/>
  <c r="AK60" i="2"/>
  <c r="AG60" i="2"/>
  <c r="AD59" i="23" s="1"/>
  <c r="AG59" i="23" s="1"/>
  <c r="W25" i="8"/>
  <c r="V25" i="8"/>
  <c r="U25" i="8"/>
  <c r="T25" i="8"/>
  <c r="A27" i="8"/>
  <c r="A26" i="8"/>
  <c r="A25" i="8"/>
  <c r="D30" i="9"/>
  <c r="AI53" i="2"/>
  <c r="CG52" i="10" s="1"/>
  <c r="AH53" i="2"/>
  <c r="AG53" i="2"/>
  <c r="AD52" i="23" s="1"/>
  <c r="AG52" i="23" s="1"/>
  <c r="A21" i="8"/>
  <c r="AK47" i="2"/>
  <c r="AI47" i="2"/>
  <c r="CG46" i="10" s="1"/>
  <c r="AH47" i="2"/>
  <c r="AG47" i="2"/>
  <c r="AD46" i="23" s="1"/>
  <c r="AG46" i="23" s="1"/>
  <c r="AK49" i="2"/>
  <c r="AI49" i="2"/>
  <c r="CG48" i="10" s="1"/>
  <c r="AH49" i="2"/>
  <c r="AG49" i="2"/>
  <c r="AD48" i="23" s="1"/>
  <c r="AG48" i="23" s="1"/>
  <c r="D49" i="2"/>
  <c r="B37" i="40" s="1"/>
  <c r="B38" i="74" s="1"/>
  <c r="B38" i="77" s="1"/>
  <c r="A19" i="8"/>
  <c r="AK30" i="2"/>
  <c r="R29" i="26" s="1"/>
  <c r="AI30" i="2"/>
  <c r="CG29" i="10" s="1"/>
  <c r="AH30" i="2"/>
  <c r="AG30" i="2"/>
  <c r="AD29" i="23" s="1"/>
  <c r="AG29" i="23" s="1"/>
  <c r="D30" i="2"/>
  <c r="AK20" i="2"/>
  <c r="R19" i="26" s="1"/>
  <c r="AI20" i="2"/>
  <c r="CG19" i="10" s="1"/>
  <c r="AH20" i="2"/>
  <c r="AG20" i="2"/>
  <c r="AD19" i="23" s="1"/>
  <c r="AG19" i="23" s="1"/>
  <c r="D20" i="2"/>
  <c r="AK19" i="2"/>
  <c r="R18" i="26" s="1"/>
  <c r="AI19" i="2"/>
  <c r="CG18" i="10" s="1"/>
  <c r="AH19" i="2"/>
  <c r="AG19" i="2"/>
  <c r="AD18" i="23" s="1"/>
  <c r="AG18" i="23" s="1"/>
  <c r="D19" i="2"/>
  <c r="AK18" i="2"/>
  <c r="R17" i="26" s="1"/>
  <c r="AI18" i="2"/>
  <c r="CG17" i="10" s="1"/>
  <c r="AH18" i="2"/>
  <c r="AG18" i="2"/>
  <c r="AD17" i="23" s="1"/>
  <c r="AG17" i="23" s="1"/>
  <c r="D18" i="2"/>
  <c r="AK15" i="2"/>
  <c r="R14" i="26" s="1"/>
  <c r="AI15" i="2"/>
  <c r="CG14" i="10" s="1"/>
  <c r="AH15" i="2"/>
  <c r="AG15" i="2"/>
  <c r="AD14" i="23" s="1"/>
  <c r="AG14" i="23" s="1"/>
  <c r="D15" i="2"/>
  <c r="AI13" i="2"/>
  <c r="CG12" i="10" s="1"/>
  <c r="AH13" i="2"/>
  <c r="AG13" i="2"/>
  <c r="AD12" i="23" s="1"/>
  <c r="AG12" i="23" s="1"/>
  <c r="D13" i="2"/>
  <c r="A13" i="8"/>
  <c r="A12" i="8"/>
  <c r="A11" i="8"/>
  <c r="A10" i="8"/>
  <c r="A9" i="8"/>
  <c r="M26" i="8"/>
  <c r="L26" i="8" s="1"/>
  <c r="M47" i="8"/>
  <c r="N47" i="8"/>
  <c r="O47" i="8"/>
  <c r="P47" i="8"/>
  <c r="Q47" i="8"/>
  <c r="AK178" i="2"/>
  <c r="AI178" i="2"/>
  <c r="CG178" i="10" s="1"/>
  <c r="AH178" i="2"/>
  <c r="AG178" i="2"/>
  <c r="AD177" i="23" s="1"/>
  <c r="AG177" i="23" s="1"/>
  <c r="D178" i="2"/>
  <c r="B135" i="40" s="1"/>
  <c r="B136" i="74" s="1"/>
  <c r="B136" i="77" s="1"/>
  <c r="AK166" i="2"/>
  <c r="CH165" i="10" s="1"/>
  <c r="AI166" i="2"/>
  <c r="CG165" i="10" s="1"/>
  <c r="AH166" i="2"/>
  <c r="AG166" i="2"/>
  <c r="AD165" i="23" s="1"/>
  <c r="AG165" i="23" s="1"/>
  <c r="D166" i="2"/>
  <c r="B128" i="40" s="1"/>
  <c r="B129" i="74" s="1"/>
  <c r="B129" i="77" s="1"/>
  <c r="AK158" i="2"/>
  <c r="AI158" i="2"/>
  <c r="AH158" i="2"/>
  <c r="AG158" i="2"/>
  <c r="AD157" i="23" s="1"/>
  <c r="AG157" i="23" s="1"/>
  <c r="D158" i="2"/>
  <c r="B122" i="40" s="1"/>
  <c r="B123" i="74" s="1"/>
  <c r="B123" i="77" s="1"/>
  <c r="AK152" i="2"/>
  <c r="AI152" i="2"/>
  <c r="AH152" i="2"/>
  <c r="AG152" i="2"/>
  <c r="AD151" i="23" s="1"/>
  <c r="AG151" i="23" s="1"/>
  <c r="D152" i="2"/>
  <c r="B117" i="40" s="1"/>
  <c r="B118" i="74" s="1"/>
  <c r="B118" i="77" s="1"/>
  <c r="AK118" i="2"/>
  <c r="CH117" i="10" s="1"/>
  <c r="AI118" i="2"/>
  <c r="AH118" i="2"/>
  <c r="AG118" i="2"/>
  <c r="AD117" i="23" s="1"/>
  <c r="AG117" i="23" s="1"/>
  <c r="D118" i="2"/>
  <c r="B89" i="40" s="1"/>
  <c r="B90" i="74" s="1"/>
  <c r="B90" i="77" s="1"/>
  <c r="AI112" i="2"/>
  <c r="AH112" i="2"/>
  <c r="AG112" i="2"/>
  <c r="AD111" i="23" s="1"/>
  <c r="AG111" i="23" s="1"/>
  <c r="D112" i="2"/>
  <c r="B84" i="40" s="1"/>
  <c r="B85" i="74" s="1"/>
  <c r="B85" i="77" s="1"/>
  <c r="AI106" i="2"/>
  <c r="CG105" i="10" s="1"/>
  <c r="AH106" i="2"/>
  <c r="AG106" i="2"/>
  <c r="AD105" i="23" s="1"/>
  <c r="AG105" i="23" s="1"/>
  <c r="D106" i="2"/>
  <c r="B79" i="40" s="1"/>
  <c r="B80" i="74" s="1"/>
  <c r="B80" i="77" s="1"/>
  <c r="AK97" i="2"/>
  <c r="CH96" i="10" s="1"/>
  <c r="AI97" i="2"/>
  <c r="CG96" i="10" s="1"/>
  <c r="AH97" i="2"/>
  <c r="AG97" i="2"/>
  <c r="AD96" i="23" s="1"/>
  <c r="AG96" i="23" s="1"/>
  <c r="D97" i="2"/>
  <c r="B73" i="40" s="1"/>
  <c r="B74" i="74" s="1"/>
  <c r="B74" i="77" s="1"/>
  <c r="A42" i="7"/>
  <c r="AK91" i="2"/>
  <c r="CH90" i="10" s="1"/>
  <c r="AI91" i="2"/>
  <c r="CG90" i="10" s="1"/>
  <c r="AH91" i="2"/>
  <c r="AG91" i="2"/>
  <c r="AD90" i="23" s="1"/>
  <c r="AG90" i="23" s="1"/>
  <c r="D91" i="2"/>
  <c r="B68" i="40" s="1"/>
  <c r="B69" i="74" s="1"/>
  <c r="B69" i="77" s="1"/>
  <c r="A40" i="7"/>
  <c r="O39" i="7"/>
  <c r="N39" i="7"/>
  <c r="M39" i="7"/>
  <c r="AK83" i="2"/>
  <c r="AI83" i="2"/>
  <c r="CG82" i="10" s="1"/>
  <c r="AH83" i="2"/>
  <c r="AG83" i="2"/>
  <c r="AD82" i="23" s="1"/>
  <c r="AG82" i="23" s="1"/>
  <c r="AK82" i="2"/>
  <c r="AI82" i="2"/>
  <c r="CG81" i="10" s="1"/>
  <c r="CJ81" i="10" s="1"/>
  <c r="AH82" i="2"/>
  <c r="AG82" i="2"/>
  <c r="AD81" i="23" s="1"/>
  <c r="AG81" i="23" s="1"/>
  <c r="D83" i="2"/>
  <c r="C83" i="38" s="1"/>
  <c r="D82" i="2"/>
  <c r="A36" i="7"/>
  <c r="A35" i="7"/>
  <c r="AK77" i="2"/>
  <c r="AI77" i="2"/>
  <c r="CG76" i="10" s="1"/>
  <c r="AH77" i="2"/>
  <c r="AG77" i="2"/>
  <c r="AD76" i="23" s="1"/>
  <c r="AG76" i="23" s="1"/>
  <c r="D77" i="2"/>
  <c r="B58" i="40" s="1"/>
  <c r="B59" i="74" s="1"/>
  <c r="B59" i="77" s="1"/>
  <c r="A33" i="7"/>
  <c r="AK69" i="2"/>
  <c r="AI69" i="2"/>
  <c r="CG68" i="10" s="1"/>
  <c r="AH69" i="2"/>
  <c r="AG69" i="2"/>
  <c r="AD68" i="23" s="1"/>
  <c r="AG68" i="23" s="1"/>
  <c r="D69" i="2"/>
  <c r="B52" i="40" s="1"/>
  <c r="B53" i="74" s="1"/>
  <c r="B53" i="77" s="1"/>
  <c r="K30" i="7"/>
  <c r="AK65" i="2"/>
  <c r="AI65" i="2"/>
  <c r="CG64" i="10" s="1"/>
  <c r="AH65" i="2"/>
  <c r="AG65" i="2"/>
  <c r="AD64" i="23" s="1"/>
  <c r="AG64" i="23" s="1"/>
  <c r="D65" i="2"/>
  <c r="B49" i="40" s="1"/>
  <c r="B50" i="74" s="1"/>
  <c r="B50" i="77" s="1"/>
  <c r="AI54" i="2"/>
  <c r="CG53" i="10" s="1"/>
  <c r="AH54" i="2"/>
  <c r="AG54" i="2"/>
  <c r="AD53" i="23" s="1"/>
  <c r="AG53" i="23" s="1"/>
  <c r="D54" i="2"/>
  <c r="B41" i="40" s="1"/>
  <c r="B42" i="74" s="1"/>
  <c r="B42" i="77" s="1"/>
  <c r="AK48" i="2"/>
  <c r="AI48" i="2"/>
  <c r="CG47" i="10" s="1"/>
  <c r="AH48" i="2"/>
  <c r="AG48" i="2"/>
  <c r="AD47" i="23" s="1"/>
  <c r="AG47" i="23" s="1"/>
  <c r="D48" i="2"/>
  <c r="B36" i="40" s="1"/>
  <c r="B37" i="74" s="1"/>
  <c r="B37" i="77" s="1"/>
  <c r="AG37" i="2"/>
  <c r="AD36" i="23" s="1"/>
  <c r="AG36" i="23" s="1"/>
  <c r="AK38" i="2"/>
  <c r="R37" i="26" s="1"/>
  <c r="AI38" i="2"/>
  <c r="CG37" i="10" s="1"/>
  <c r="AH38" i="2"/>
  <c r="AG38" i="2"/>
  <c r="AD37" i="23" s="1"/>
  <c r="AG37" i="23" s="1"/>
  <c r="AK37" i="2"/>
  <c r="R36" i="26" s="1"/>
  <c r="AI37" i="2"/>
  <c r="CG36" i="10" s="1"/>
  <c r="AH37" i="2"/>
  <c r="D38" i="2"/>
  <c r="AK14" i="2"/>
  <c r="R13" i="26" s="1"/>
  <c r="AI14" i="2"/>
  <c r="CG13" i="10" s="1"/>
  <c r="AH14" i="2"/>
  <c r="AG14" i="2"/>
  <c r="AD13" i="23" s="1"/>
  <c r="AG13" i="23" s="1"/>
  <c r="AK12" i="2"/>
  <c r="R11" i="26" s="1"/>
  <c r="AI12" i="2"/>
  <c r="CG11" i="10" s="1"/>
  <c r="AH12" i="2"/>
  <c r="AG12" i="2"/>
  <c r="AD11" i="23" s="1"/>
  <c r="AG11" i="23" s="1"/>
  <c r="AI11" i="2"/>
  <c r="CG10" i="10" s="1"/>
  <c r="AH11" i="2"/>
  <c r="AG11" i="2"/>
  <c r="AD10" i="23" s="1"/>
  <c r="AG10" i="23" s="1"/>
  <c r="AI10" i="2"/>
  <c r="CG9" i="10" s="1"/>
  <c r="AH10" i="2"/>
  <c r="D14" i="2"/>
  <c r="D12" i="2"/>
  <c r="D11" i="2"/>
  <c r="D10" i="2"/>
  <c r="D7" i="73" s="1"/>
  <c r="A11" i="7"/>
  <c r="A10" i="7"/>
  <c r="A9" i="7"/>
  <c r="A8" i="7"/>
  <c r="B20" i="40" l="1"/>
  <c r="D25" i="73"/>
  <c r="B15" i="40"/>
  <c r="D20" i="73"/>
  <c r="B16" i="40"/>
  <c r="D21" i="73"/>
  <c r="B18" i="40"/>
  <c r="D23" i="73"/>
  <c r="B33" i="40"/>
  <c r="B34" i="74" s="1"/>
  <c r="B34" i="77" s="1"/>
  <c r="D43" i="20"/>
  <c r="B19" i="40"/>
  <c r="D24" i="73"/>
  <c r="B8" i="40"/>
  <c r="D13" i="73"/>
  <c r="B9" i="40"/>
  <c r="D14" i="73"/>
  <c r="B13" i="40"/>
  <c r="D18" i="73"/>
  <c r="B14" i="40"/>
  <c r="D19" i="73"/>
  <c r="B23" i="40"/>
  <c r="D28" i="73"/>
  <c r="B11" i="40"/>
  <c r="D16" i="73"/>
  <c r="B10" i="40"/>
  <c r="D15" i="73"/>
  <c r="B12" i="40"/>
  <c r="D17" i="73"/>
  <c r="B5" i="40"/>
  <c r="D10" i="73"/>
  <c r="B7" i="40"/>
  <c r="D12" i="73"/>
  <c r="B22" i="40"/>
  <c r="D27" i="73"/>
  <c r="B3" i="40"/>
  <c r="D3" i="41" s="1"/>
  <c r="D8" i="73"/>
  <c r="B4" i="40"/>
  <c r="D9" i="73"/>
  <c r="B6" i="40"/>
  <c r="D11" i="73"/>
  <c r="B4" i="74"/>
  <c r="S127" i="74"/>
  <c r="S127" i="77" s="1"/>
  <c r="U127" i="77" s="1"/>
  <c r="M127" i="74"/>
  <c r="M127" i="77" s="1"/>
  <c r="O127" i="77" s="1"/>
  <c r="G127" i="74"/>
  <c r="P127" i="74"/>
  <c r="J127" i="74"/>
  <c r="V127" i="74"/>
  <c r="V127" i="77" s="1"/>
  <c r="X127" i="77" s="1"/>
  <c r="J133" i="74"/>
  <c r="J133" i="77" s="1"/>
  <c r="G133" i="74"/>
  <c r="G133" i="77" s="1"/>
  <c r="M133" i="74"/>
  <c r="M133" i="77" s="1"/>
  <c r="O133" i="77" s="1"/>
  <c r="S133" i="74"/>
  <c r="S133" i="77" s="1"/>
  <c r="U133" i="77" s="1"/>
  <c r="P133" i="74"/>
  <c r="P133" i="77" s="1"/>
  <c r="V133" i="74"/>
  <c r="V133" i="77" s="1"/>
  <c r="X133" i="77" s="1"/>
  <c r="D16" i="41"/>
  <c r="B17" i="74"/>
  <c r="D6" i="41"/>
  <c r="B7" i="74"/>
  <c r="V42" i="74"/>
  <c r="V42" i="77" s="1"/>
  <c r="X42" i="77" s="1"/>
  <c r="P42" i="74"/>
  <c r="P42" i="77" s="1"/>
  <c r="R42" i="77" s="1"/>
  <c r="M42" i="74"/>
  <c r="M42" i="77" s="1"/>
  <c r="O42" i="77" s="1"/>
  <c r="S42" i="74"/>
  <c r="G42" i="74"/>
  <c r="J42" i="74"/>
  <c r="V50" i="74"/>
  <c r="V50" i="77" s="1"/>
  <c r="X50" i="77" s="1"/>
  <c r="M50" i="74"/>
  <c r="M50" i="77" s="1"/>
  <c r="O50" i="77" s="1"/>
  <c r="J50" i="74"/>
  <c r="P50" i="74"/>
  <c r="G50" i="74"/>
  <c r="S50" i="74"/>
  <c r="S50" i="77" s="1"/>
  <c r="U50" i="77" s="1"/>
  <c r="J59" i="74"/>
  <c r="G59" i="74"/>
  <c r="S59" i="74"/>
  <c r="V59" i="74"/>
  <c r="V59" i="77" s="1"/>
  <c r="X59" i="77" s="1"/>
  <c r="M59" i="74"/>
  <c r="M59" i="77" s="1"/>
  <c r="O59" i="77" s="1"/>
  <c r="P59" i="74"/>
  <c r="P59" i="77" s="1"/>
  <c r="R59" i="77" s="1"/>
  <c r="S80" i="74"/>
  <c r="S80" i="77" s="1"/>
  <c r="U80" i="77" s="1"/>
  <c r="V80" i="74"/>
  <c r="V80" i="77" s="1"/>
  <c r="X80" i="77" s="1"/>
  <c r="G80" i="74"/>
  <c r="J80" i="74"/>
  <c r="P80" i="74"/>
  <c r="M80" i="74"/>
  <c r="S85" i="74"/>
  <c r="S85" i="77" s="1"/>
  <c r="U85" i="77" s="1"/>
  <c r="J85" i="74"/>
  <c r="P85" i="74"/>
  <c r="G85" i="74"/>
  <c r="M85" i="74"/>
  <c r="M85" i="77" s="1"/>
  <c r="O85" i="77" s="1"/>
  <c r="V85" i="74"/>
  <c r="V85" i="77" s="1"/>
  <c r="X85" i="77" s="1"/>
  <c r="P90" i="74"/>
  <c r="G90" i="74"/>
  <c r="J90" i="74"/>
  <c r="V90" i="74"/>
  <c r="V90" i="77" s="1"/>
  <c r="X90" i="77" s="1"/>
  <c r="M90" i="74"/>
  <c r="S90" i="74"/>
  <c r="S90" i="77" s="1"/>
  <c r="U90" i="77" s="1"/>
  <c r="P136" i="74"/>
  <c r="J136" i="74"/>
  <c r="M136" i="74"/>
  <c r="M136" i="77" s="1"/>
  <c r="O136" i="77" s="1"/>
  <c r="G136" i="74"/>
  <c r="V136" i="74"/>
  <c r="V136" i="77" s="1"/>
  <c r="X136" i="77" s="1"/>
  <c r="S136" i="74"/>
  <c r="S136" i="77" s="1"/>
  <c r="U136" i="77" s="1"/>
  <c r="D7" i="41"/>
  <c r="B8" i="74"/>
  <c r="D22" i="41"/>
  <c r="B23" i="74"/>
  <c r="S69" i="74"/>
  <c r="S69" i="77" s="1"/>
  <c r="U69" i="77" s="1"/>
  <c r="M69" i="74"/>
  <c r="M69" i="77" s="1"/>
  <c r="O69" i="77" s="1"/>
  <c r="G69" i="74"/>
  <c r="G69" i="77" s="1"/>
  <c r="P69" i="74"/>
  <c r="P69" i="77" s="1"/>
  <c r="J69" i="74"/>
  <c r="J69" i="77" s="1"/>
  <c r="V69" i="74"/>
  <c r="V69" i="77" s="1"/>
  <c r="X69" i="77" s="1"/>
  <c r="G118" i="74"/>
  <c r="V118" i="74"/>
  <c r="V118" i="77" s="1"/>
  <c r="X118" i="77" s="1"/>
  <c r="M118" i="74"/>
  <c r="M118" i="77" s="1"/>
  <c r="O118" i="77" s="1"/>
  <c r="J118" i="74"/>
  <c r="S118" i="74"/>
  <c r="S118" i="77" s="1"/>
  <c r="U118" i="77" s="1"/>
  <c r="P118" i="74"/>
  <c r="D10" i="41"/>
  <c r="B11" i="74"/>
  <c r="V51" i="74"/>
  <c r="V51" i="77" s="1"/>
  <c r="X51" i="77" s="1"/>
  <c r="J51" i="74"/>
  <c r="S51" i="74"/>
  <c r="S51" i="77" s="1"/>
  <c r="U51" i="77" s="1"/>
  <c r="G51" i="74"/>
  <c r="P51" i="74"/>
  <c r="M51" i="74"/>
  <c r="M51" i="77" s="1"/>
  <c r="O51" i="77" s="1"/>
  <c r="V67" i="74"/>
  <c r="V67" i="77" s="1"/>
  <c r="X67" i="77" s="1"/>
  <c r="P67" i="74"/>
  <c r="J67" i="74"/>
  <c r="M67" i="74"/>
  <c r="M67" i="77" s="1"/>
  <c r="O67" i="77" s="1"/>
  <c r="G67" i="74"/>
  <c r="S67" i="74"/>
  <c r="S67" i="77" s="1"/>
  <c r="U67" i="77" s="1"/>
  <c r="V124" i="74"/>
  <c r="V124" i="77" s="1"/>
  <c r="X124" i="77" s="1"/>
  <c r="P124" i="74"/>
  <c r="M124" i="74"/>
  <c r="M124" i="77" s="1"/>
  <c r="O124" i="77" s="1"/>
  <c r="G124" i="74"/>
  <c r="J124" i="74"/>
  <c r="S124" i="74"/>
  <c r="S124" i="77" s="1"/>
  <c r="U124" i="77" s="1"/>
  <c r="D15" i="41"/>
  <c r="B16" i="74"/>
  <c r="J27" i="74"/>
  <c r="V27" i="74"/>
  <c r="V27" i="77" s="1"/>
  <c r="X27" i="77" s="1"/>
  <c r="M27" i="74"/>
  <c r="M27" i="77" s="1"/>
  <c r="S27" i="74"/>
  <c r="S27" i="77" s="1"/>
  <c r="U27" i="77" s="1"/>
  <c r="G27" i="74"/>
  <c r="P27" i="74"/>
  <c r="S33" i="74"/>
  <c r="S33" i="77" s="1"/>
  <c r="U33" i="77" s="1"/>
  <c r="P33" i="74"/>
  <c r="M33" i="74"/>
  <c r="G33" i="74"/>
  <c r="V33" i="74"/>
  <c r="V33" i="77" s="1"/>
  <c r="X33" i="77" s="1"/>
  <c r="J33" i="74"/>
  <c r="P39" i="74"/>
  <c r="P39" i="77" s="1"/>
  <c r="R39" i="77" s="1"/>
  <c r="V39" i="74"/>
  <c r="V39" i="77" s="1"/>
  <c r="X39" i="77" s="1"/>
  <c r="S39" i="74"/>
  <c r="J39" i="74"/>
  <c r="M39" i="74"/>
  <c r="M39" i="77" s="1"/>
  <c r="O39" i="77" s="1"/>
  <c r="G39" i="74"/>
  <c r="H81" i="40"/>
  <c r="B82" i="74"/>
  <c r="B82" i="77" s="1"/>
  <c r="M87" i="74"/>
  <c r="S87" i="74"/>
  <c r="S87" i="77" s="1"/>
  <c r="U87" i="77" s="1"/>
  <c r="G87" i="74"/>
  <c r="P87" i="74"/>
  <c r="V87" i="74"/>
  <c r="V87" i="77" s="1"/>
  <c r="X87" i="77" s="1"/>
  <c r="J87" i="74"/>
  <c r="P120" i="74"/>
  <c r="J120" i="74"/>
  <c r="M120" i="74"/>
  <c r="M120" i="77" s="1"/>
  <c r="O120" i="77" s="1"/>
  <c r="G120" i="74"/>
  <c r="S120" i="74"/>
  <c r="S120" i="77" s="1"/>
  <c r="U120" i="77" s="1"/>
  <c r="V120" i="74"/>
  <c r="V120" i="77" s="1"/>
  <c r="X120" i="77" s="1"/>
  <c r="M132" i="74"/>
  <c r="M132" i="77" s="1"/>
  <c r="O132" i="77" s="1"/>
  <c r="S132" i="74"/>
  <c r="S132" i="77" s="1"/>
  <c r="U132" i="77" s="1"/>
  <c r="J132" i="74"/>
  <c r="G132" i="74"/>
  <c r="V132" i="74"/>
  <c r="V132" i="77" s="1"/>
  <c r="X132" i="77" s="1"/>
  <c r="P132" i="74"/>
  <c r="D20" i="41"/>
  <c r="B21" i="74"/>
  <c r="F31" i="41"/>
  <c r="E32" i="74"/>
  <c r="E32" i="77" s="1"/>
  <c r="B32" i="41"/>
  <c r="C33" i="74"/>
  <c r="C33" i="77" s="1"/>
  <c r="E33" i="41"/>
  <c r="D34" i="74"/>
  <c r="D34" i="77" s="1"/>
  <c r="F34" i="41"/>
  <c r="E35" i="74"/>
  <c r="E35" i="77" s="1"/>
  <c r="F47" i="41"/>
  <c r="E48" i="74"/>
  <c r="E48" i="77" s="1"/>
  <c r="B48" i="41"/>
  <c r="C49" i="74"/>
  <c r="C49" i="77" s="1"/>
  <c r="E49" i="41"/>
  <c r="D50" i="74"/>
  <c r="D50" i="77" s="1"/>
  <c r="F50" i="41"/>
  <c r="E51" i="74"/>
  <c r="E51" i="77" s="1"/>
  <c r="G56" i="74"/>
  <c r="V56" i="74"/>
  <c r="V56" i="77" s="1"/>
  <c r="X56" i="77" s="1"/>
  <c r="J56" i="74"/>
  <c r="P56" i="74"/>
  <c r="M56" i="74"/>
  <c r="M56" i="77" s="1"/>
  <c r="O56" i="77" s="1"/>
  <c r="S56" i="74"/>
  <c r="S56" i="77" s="1"/>
  <c r="U56" i="77" s="1"/>
  <c r="B60" i="41"/>
  <c r="C61" i="74"/>
  <c r="C61" i="77" s="1"/>
  <c r="B64" i="41"/>
  <c r="C65" i="74"/>
  <c r="C65" i="77" s="1"/>
  <c r="E69" i="41"/>
  <c r="D70" i="74"/>
  <c r="D70" i="77" s="1"/>
  <c r="E128" i="41"/>
  <c r="D129" i="74"/>
  <c r="D129" i="77" s="1"/>
  <c r="E132" i="41"/>
  <c r="D133" i="74"/>
  <c r="D133" i="77" s="1"/>
  <c r="F133" i="41"/>
  <c r="E134" i="74"/>
  <c r="E134" i="77" s="1"/>
  <c r="F135" i="41"/>
  <c r="E136" i="74"/>
  <c r="E136" i="77" s="1"/>
  <c r="B136" i="41"/>
  <c r="C137" i="74"/>
  <c r="C137" i="77" s="1"/>
  <c r="V53" i="74"/>
  <c r="V53" i="77" s="1"/>
  <c r="X53" i="77" s="1"/>
  <c r="P53" i="74"/>
  <c r="M53" i="74"/>
  <c r="M53" i="77" s="1"/>
  <c r="O53" i="77" s="1"/>
  <c r="S53" i="74"/>
  <c r="S53" i="77" s="1"/>
  <c r="U53" i="77" s="1"/>
  <c r="J53" i="74"/>
  <c r="G53" i="74"/>
  <c r="S38" i="74"/>
  <c r="S38" i="77" s="1"/>
  <c r="U38" i="77" s="1"/>
  <c r="G38" i="74"/>
  <c r="V38" i="74"/>
  <c r="V38" i="77" s="1"/>
  <c r="X38" i="77" s="1"/>
  <c r="P38" i="74"/>
  <c r="J38" i="74"/>
  <c r="M38" i="74"/>
  <c r="V81" i="74"/>
  <c r="V81" i="77" s="1"/>
  <c r="X81" i="77" s="1"/>
  <c r="J81" i="74"/>
  <c r="P81" i="74"/>
  <c r="S81" i="74"/>
  <c r="S81" i="77" s="1"/>
  <c r="U81" i="77" s="1"/>
  <c r="M81" i="74"/>
  <c r="G81" i="74"/>
  <c r="F118" i="41"/>
  <c r="E119" i="74"/>
  <c r="E119" i="77" s="1"/>
  <c r="S117" i="74"/>
  <c r="S117" i="77" s="1"/>
  <c r="U117" i="77" s="1"/>
  <c r="M117" i="74"/>
  <c r="M117" i="77" s="1"/>
  <c r="O117" i="77" s="1"/>
  <c r="V117" i="74"/>
  <c r="V117" i="77" s="1"/>
  <c r="X117" i="77" s="1"/>
  <c r="P117" i="74"/>
  <c r="J117" i="74"/>
  <c r="G117" i="74"/>
  <c r="B133" i="41"/>
  <c r="C134" i="74"/>
  <c r="C134" i="77" s="1"/>
  <c r="B135" i="41"/>
  <c r="C136" i="74"/>
  <c r="C136" i="77" s="1"/>
  <c r="E136" i="41"/>
  <c r="D137" i="74"/>
  <c r="D137" i="77" s="1"/>
  <c r="J123" i="74"/>
  <c r="M123" i="74"/>
  <c r="M123" i="77" s="1"/>
  <c r="O123" i="77" s="1"/>
  <c r="S123" i="74"/>
  <c r="S123" i="77" s="1"/>
  <c r="U123" i="77" s="1"/>
  <c r="P123" i="74"/>
  <c r="V123" i="74"/>
  <c r="V123" i="77" s="1"/>
  <c r="X123" i="77" s="1"/>
  <c r="G123" i="74"/>
  <c r="D18" i="41"/>
  <c r="B19" i="74"/>
  <c r="V34" i="74"/>
  <c r="V34" i="77" s="1"/>
  <c r="X34" i="77" s="1"/>
  <c r="J34" i="74"/>
  <c r="S34" i="74"/>
  <c r="S34" i="77" s="1"/>
  <c r="U34" i="77" s="1"/>
  <c r="G34" i="74"/>
  <c r="P34" i="74"/>
  <c r="M34" i="74"/>
  <c r="H69" i="40"/>
  <c r="M69" i="40" s="1"/>
  <c r="B70" i="74"/>
  <c r="B70" i="77" s="1"/>
  <c r="G125" i="74"/>
  <c r="P125" i="74"/>
  <c r="S125" i="74"/>
  <c r="S125" i="77" s="1"/>
  <c r="U125" i="77" s="1"/>
  <c r="V125" i="74"/>
  <c r="V125" i="77" s="1"/>
  <c r="X125" i="77" s="1"/>
  <c r="M125" i="74"/>
  <c r="M125" i="77" s="1"/>
  <c r="O125" i="77" s="1"/>
  <c r="J125" i="74"/>
  <c r="F30" i="41"/>
  <c r="E31" i="74"/>
  <c r="E31" i="77" s="1"/>
  <c r="B31" i="41"/>
  <c r="C32" i="74"/>
  <c r="C32" i="77" s="1"/>
  <c r="E32" i="41"/>
  <c r="D33" i="74"/>
  <c r="D33" i="77" s="1"/>
  <c r="B34" i="41"/>
  <c r="C35" i="74"/>
  <c r="C35" i="77" s="1"/>
  <c r="F43" i="41"/>
  <c r="E44" i="74"/>
  <c r="E44" i="77" s="1"/>
  <c r="M48" i="74"/>
  <c r="M48" i="77" s="1"/>
  <c r="O48" i="77" s="1"/>
  <c r="P48" i="74"/>
  <c r="G48" i="74"/>
  <c r="J48" i="74"/>
  <c r="S48" i="74"/>
  <c r="S48" i="77" s="1"/>
  <c r="U48" i="77" s="1"/>
  <c r="V48" i="74"/>
  <c r="V48" i="77" s="1"/>
  <c r="X48" i="77" s="1"/>
  <c r="B47" i="41"/>
  <c r="C48" i="74"/>
  <c r="C48" i="77" s="1"/>
  <c r="E48" i="41"/>
  <c r="D49" i="74"/>
  <c r="D49" i="77" s="1"/>
  <c r="B50" i="41"/>
  <c r="C51" i="74"/>
  <c r="C51" i="77" s="1"/>
  <c r="S52" i="74"/>
  <c r="S52" i="77" s="1"/>
  <c r="U52" i="77" s="1"/>
  <c r="M52" i="74"/>
  <c r="M52" i="77" s="1"/>
  <c r="O52" i="77" s="1"/>
  <c r="V52" i="74"/>
  <c r="V52" i="77" s="1"/>
  <c r="X52" i="77" s="1"/>
  <c r="G52" i="74"/>
  <c r="J52" i="74"/>
  <c r="P52" i="74"/>
  <c r="E60" i="41"/>
  <c r="D61" i="74"/>
  <c r="D61" i="77" s="1"/>
  <c r="E64" i="41"/>
  <c r="D65" i="74"/>
  <c r="D65" i="77" s="1"/>
  <c r="D4" i="41"/>
  <c r="B5" i="74"/>
  <c r="B5" i="77" s="1"/>
  <c r="V37" i="74"/>
  <c r="V37" i="77" s="1"/>
  <c r="X37" i="77" s="1"/>
  <c r="J37" i="74"/>
  <c r="S37" i="74"/>
  <c r="S37" i="77" s="1"/>
  <c r="U37" i="77" s="1"/>
  <c r="P37" i="74"/>
  <c r="G37" i="74"/>
  <c r="M37" i="74"/>
  <c r="P74" i="74"/>
  <c r="V74" i="74"/>
  <c r="V74" i="77" s="1"/>
  <c r="X74" i="77" s="1"/>
  <c r="J74" i="74"/>
  <c r="M74" i="74"/>
  <c r="M74" i="77" s="1"/>
  <c r="O74" i="77" s="1"/>
  <c r="G74" i="74"/>
  <c r="S74" i="74"/>
  <c r="S74" i="77" s="1"/>
  <c r="U74" i="77" s="1"/>
  <c r="S129" i="74"/>
  <c r="S129" i="77" s="1"/>
  <c r="U129" i="77" s="1"/>
  <c r="J129" i="74"/>
  <c r="M129" i="74"/>
  <c r="M129" i="77" s="1"/>
  <c r="O129" i="77" s="1"/>
  <c r="P129" i="74"/>
  <c r="G129" i="74"/>
  <c r="V129" i="74"/>
  <c r="V129" i="77" s="1"/>
  <c r="X129" i="77" s="1"/>
  <c r="D12" i="41"/>
  <c r="B13" i="74"/>
  <c r="B13" i="77" s="1"/>
  <c r="P60" i="74"/>
  <c r="M60" i="74"/>
  <c r="M60" i="77" s="1"/>
  <c r="O60" i="77" s="1"/>
  <c r="V60" i="74"/>
  <c r="V60" i="77" s="1"/>
  <c r="X60" i="77" s="1"/>
  <c r="J60" i="74"/>
  <c r="S60" i="74"/>
  <c r="S60" i="77" s="1"/>
  <c r="U60" i="77" s="1"/>
  <c r="G60" i="74"/>
  <c r="S86" i="74"/>
  <c r="S86" i="77" s="1"/>
  <c r="U86" i="77" s="1"/>
  <c r="P86" i="74"/>
  <c r="V86" i="74"/>
  <c r="V86" i="77" s="1"/>
  <c r="X86" i="77" s="1"/>
  <c r="M86" i="74"/>
  <c r="M86" i="77" s="1"/>
  <c r="O86" i="77" s="1"/>
  <c r="G86" i="74"/>
  <c r="J86" i="74"/>
  <c r="M91" i="74"/>
  <c r="P91" i="74"/>
  <c r="S91" i="74"/>
  <c r="S91" i="77" s="1"/>
  <c r="U91" i="77" s="1"/>
  <c r="G91" i="74"/>
  <c r="J91" i="74"/>
  <c r="V91" i="74"/>
  <c r="V91" i="77" s="1"/>
  <c r="X91" i="77" s="1"/>
  <c r="M137" i="74"/>
  <c r="M137" i="77" s="1"/>
  <c r="O137" i="77" s="1"/>
  <c r="P137" i="74"/>
  <c r="V137" i="74"/>
  <c r="V137" i="77" s="1"/>
  <c r="X137" i="77" s="1"/>
  <c r="G137" i="74"/>
  <c r="J137" i="74"/>
  <c r="S137" i="74"/>
  <c r="S137" i="77" s="1"/>
  <c r="U137" i="77" s="1"/>
  <c r="D19" i="41"/>
  <c r="B20" i="74"/>
  <c r="M31" i="74"/>
  <c r="G31" i="74"/>
  <c r="J31" i="74"/>
  <c r="P31" i="74"/>
  <c r="V31" i="74"/>
  <c r="V31" i="77" s="1"/>
  <c r="X31" i="77" s="1"/>
  <c r="S31" i="74"/>
  <c r="S31" i="77" s="1"/>
  <c r="U31" i="77" s="1"/>
  <c r="S35" i="74"/>
  <c r="S35" i="77" s="1"/>
  <c r="U35" i="77" s="1"/>
  <c r="M35" i="74"/>
  <c r="G35" i="74"/>
  <c r="V35" i="74"/>
  <c r="V35" i="77" s="1"/>
  <c r="X35" i="77" s="1"/>
  <c r="J35" i="74"/>
  <c r="P35" i="74"/>
  <c r="B26" i="41"/>
  <c r="C27" i="74"/>
  <c r="C27" i="77" s="1"/>
  <c r="B30" i="41"/>
  <c r="C31" i="74"/>
  <c r="C31" i="77" s="1"/>
  <c r="E31" i="41"/>
  <c r="D32" i="74"/>
  <c r="D32" i="77" s="1"/>
  <c r="F33" i="41"/>
  <c r="E34" i="74"/>
  <c r="E34" i="77" s="1"/>
  <c r="E34" i="41"/>
  <c r="D35" i="74"/>
  <c r="D35" i="77" s="1"/>
  <c r="S44" i="74"/>
  <c r="G44" i="74"/>
  <c r="M44" i="74"/>
  <c r="M44" i="77" s="1"/>
  <c r="O44" i="77" s="1"/>
  <c r="V44" i="74"/>
  <c r="V44" i="77" s="1"/>
  <c r="X44" i="77" s="1"/>
  <c r="J44" i="74"/>
  <c r="P44" i="74"/>
  <c r="P44" i="77" s="1"/>
  <c r="R44" i="77" s="1"/>
  <c r="B43" i="41"/>
  <c r="C44" i="74"/>
  <c r="C44" i="77" s="1"/>
  <c r="E47" i="41"/>
  <c r="D48" i="74"/>
  <c r="D48" i="77" s="1"/>
  <c r="F49" i="41"/>
  <c r="E50" i="74"/>
  <c r="E50" i="77" s="1"/>
  <c r="E50" i="41"/>
  <c r="D51" i="74"/>
  <c r="D51" i="77" s="1"/>
  <c r="F69" i="41"/>
  <c r="E70" i="74"/>
  <c r="E70" i="77" s="1"/>
  <c r="B118" i="41"/>
  <c r="C119" i="74"/>
  <c r="C119" i="77" s="1"/>
  <c r="F128" i="41"/>
  <c r="E129" i="74"/>
  <c r="E129" i="77" s="1"/>
  <c r="F132" i="41"/>
  <c r="E133" i="74"/>
  <c r="E133" i="77" s="1"/>
  <c r="E133" i="41"/>
  <c r="D134" i="74"/>
  <c r="D134" i="77" s="1"/>
  <c r="E135" i="41"/>
  <c r="D136" i="74"/>
  <c r="D136" i="77" s="1"/>
  <c r="D11" i="41"/>
  <c r="B12" i="74"/>
  <c r="B12" i="77" s="1"/>
  <c r="D5" i="41"/>
  <c r="B6" i="74"/>
  <c r="S54" i="74"/>
  <c r="S54" i="77" s="1"/>
  <c r="U54" i="77" s="1"/>
  <c r="J54" i="74"/>
  <c r="V54" i="74"/>
  <c r="V54" i="77" s="1"/>
  <c r="X54" i="77" s="1"/>
  <c r="P54" i="74"/>
  <c r="M54" i="74"/>
  <c r="M54" i="77" s="1"/>
  <c r="O54" i="77" s="1"/>
  <c r="G54" i="74"/>
  <c r="V119" i="74"/>
  <c r="V119" i="77" s="1"/>
  <c r="X119" i="77" s="1"/>
  <c r="S119" i="74"/>
  <c r="S119" i="77" s="1"/>
  <c r="U119" i="77" s="1"/>
  <c r="P119" i="74"/>
  <c r="P119" i="77" s="1"/>
  <c r="R119" i="77" s="1"/>
  <c r="J119" i="74"/>
  <c r="M119" i="74"/>
  <c r="G119" i="74"/>
  <c r="S138" i="74"/>
  <c r="S138" i="77" s="1"/>
  <c r="U138" i="77" s="1"/>
  <c r="G138" i="74"/>
  <c r="G138" i="77" s="1"/>
  <c r="M138" i="74"/>
  <c r="M138" i="77" s="1"/>
  <c r="O138" i="77" s="1"/>
  <c r="J138" i="74"/>
  <c r="J138" i="77" s="1"/>
  <c r="V138" i="74"/>
  <c r="V138" i="77" s="1"/>
  <c r="X138" i="77" s="1"/>
  <c r="P138" i="74"/>
  <c r="P138" i="77" s="1"/>
  <c r="S26" i="74"/>
  <c r="S26" i="77" s="1"/>
  <c r="U26" i="77" s="1"/>
  <c r="J26" i="74"/>
  <c r="V26" i="74"/>
  <c r="V26" i="77" s="1"/>
  <c r="X26" i="77" s="1"/>
  <c r="M26" i="74"/>
  <c r="M26" i="77" s="1"/>
  <c r="G26" i="74"/>
  <c r="P26" i="74"/>
  <c r="V32" i="74"/>
  <c r="V32" i="77" s="1"/>
  <c r="X32" i="77" s="1"/>
  <c r="S32" i="74"/>
  <c r="S32" i="77" s="1"/>
  <c r="U32" i="77" s="1"/>
  <c r="M32" i="74"/>
  <c r="P32" i="74"/>
  <c r="G32" i="74"/>
  <c r="J32" i="74"/>
  <c r="G65" i="74"/>
  <c r="V65" i="74"/>
  <c r="V65" i="77" s="1"/>
  <c r="X65" i="77" s="1"/>
  <c r="M65" i="74"/>
  <c r="M65" i="77" s="1"/>
  <c r="O65" i="77" s="1"/>
  <c r="S65" i="74"/>
  <c r="S65" i="77" s="1"/>
  <c r="U65" i="77" s="1"/>
  <c r="P65" i="74"/>
  <c r="J65" i="74"/>
  <c r="P77" i="74"/>
  <c r="S77" i="74"/>
  <c r="S77" i="77" s="1"/>
  <c r="U77" i="77" s="1"/>
  <c r="J77" i="74"/>
  <c r="M77" i="74"/>
  <c r="G77" i="74"/>
  <c r="V77" i="74"/>
  <c r="V77" i="77" s="1"/>
  <c r="X77" i="77" s="1"/>
  <c r="V115" i="74"/>
  <c r="V115" i="77" s="1"/>
  <c r="X115" i="77" s="1"/>
  <c r="J115" i="74"/>
  <c r="S115" i="74"/>
  <c r="S115" i="77" s="1"/>
  <c r="U115" i="77" s="1"/>
  <c r="P115" i="74"/>
  <c r="G115" i="74"/>
  <c r="M115" i="74"/>
  <c r="M115" i="77" s="1"/>
  <c r="O115" i="77" s="1"/>
  <c r="D8" i="41"/>
  <c r="B9" i="74"/>
  <c r="D9" i="41"/>
  <c r="B10" i="74"/>
  <c r="D13" i="41"/>
  <c r="B14" i="74"/>
  <c r="D14" i="41"/>
  <c r="B15" i="74"/>
  <c r="D23" i="41"/>
  <c r="B24" i="74"/>
  <c r="M24" i="74" s="1"/>
  <c r="E30" i="41"/>
  <c r="D31" i="74"/>
  <c r="D31" i="77" s="1"/>
  <c r="F32" i="41"/>
  <c r="E33" i="74"/>
  <c r="E33" i="77" s="1"/>
  <c r="B33" i="41"/>
  <c r="C34" i="74"/>
  <c r="C34" i="77" s="1"/>
  <c r="E43" i="41"/>
  <c r="D44" i="74"/>
  <c r="D44" i="77" s="1"/>
  <c r="F48" i="41"/>
  <c r="E49" i="74"/>
  <c r="E49" i="77" s="1"/>
  <c r="B49" i="41"/>
  <c r="C50" i="74"/>
  <c r="C50" i="77" s="1"/>
  <c r="F60" i="41"/>
  <c r="E61" i="74"/>
  <c r="E61" i="77" s="1"/>
  <c r="F64" i="41"/>
  <c r="E65" i="74"/>
  <c r="E65" i="77" s="1"/>
  <c r="B69" i="41"/>
  <c r="C70" i="74"/>
  <c r="C70" i="77" s="1"/>
  <c r="S75" i="74"/>
  <c r="S75" i="77" s="1"/>
  <c r="U75" i="77" s="1"/>
  <c r="M75" i="74"/>
  <c r="M75" i="77" s="1"/>
  <c r="O75" i="77" s="1"/>
  <c r="P75" i="74"/>
  <c r="J75" i="74"/>
  <c r="G75" i="74"/>
  <c r="V75" i="74"/>
  <c r="V75" i="77" s="1"/>
  <c r="X75" i="77" s="1"/>
  <c r="E118" i="41"/>
  <c r="D119" i="74"/>
  <c r="D119" i="77" s="1"/>
  <c r="B128" i="41"/>
  <c r="C129" i="74"/>
  <c r="C129" i="77" s="1"/>
  <c r="B132" i="41"/>
  <c r="C133" i="74"/>
  <c r="C133" i="77" s="1"/>
  <c r="F136" i="41"/>
  <c r="E137" i="74"/>
  <c r="E137" i="77" s="1"/>
  <c r="D50" i="41"/>
  <c r="H50" i="40"/>
  <c r="D66" i="41"/>
  <c r="H66" i="40"/>
  <c r="U97" i="10"/>
  <c r="AA97" i="10"/>
  <c r="D123" i="41"/>
  <c r="H123" i="40"/>
  <c r="C32" i="38"/>
  <c r="B24" i="40"/>
  <c r="D38" i="41"/>
  <c r="H38" i="40"/>
  <c r="D86" i="41"/>
  <c r="H86" i="40"/>
  <c r="D119" i="41"/>
  <c r="H119" i="40"/>
  <c r="D131" i="41"/>
  <c r="H131" i="40"/>
  <c r="D10" i="38"/>
  <c r="D2" i="40"/>
  <c r="I11" i="38"/>
  <c r="F3" i="40"/>
  <c r="F4" i="74" s="1"/>
  <c r="F4" i="77" s="1"/>
  <c r="G12" i="38"/>
  <c r="C4" i="40"/>
  <c r="I13" i="38"/>
  <c r="F5" i="40"/>
  <c r="F6" i="74" s="1"/>
  <c r="F6" i="77" s="1"/>
  <c r="F14" i="38"/>
  <c r="E6" i="40"/>
  <c r="G15" i="38"/>
  <c r="C7" i="40"/>
  <c r="D16" i="38"/>
  <c r="D8" i="40"/>
  <c r="D17" i="38"/>
  <c r="D9" i="40"/>
  <c r="I18" i="38"/>
  <c r="F10" i="40"/>
  <c r="F11" i="74" s="1"/>
  <c r="F11" i="77" s="1"/>
  <c r="G19" i="38"/>
  <c r="C11" i="40"/>
  <c r="D20" i="38"/>
  <c r="D12" i="40"/>
  <c r="D21" i="38"/>
  <c r="D13" i="40"/>
  <c r="D22" i="38"/>
  <c r="D14" i="40"/>
  <c r="I23" i="38"/>
  <c r="F15" i="40"/>
  <c r="F16" i="74" s="1"/>
  <c r="F16" i="77" s="1"/>
  <c r="F24" i="38"/>
  <c r="E16" i="40"/>
  <c r="D25" i="20"/>
  <c r="B17" i="40"/>
  <c r="G25" i="38"/>
  <c r="C17" i="40"/>
  <c r="D26" i="38"/>
  <c r="D18" i="40"/>
  <c r="F27" i="38"/>
  <c r="E19" i="40"/>
  <c r="G28" i="38"/>
  <c r="C20" i="40"/>
  <c r="I29" i="38"/>
  <c r="F21" i="40"/>
  <c r="F22" i="74" s="1"/>
  <c r="F22" i="77" s="1"/>
  <c r="G30" i="38"/>
  <c r="C22" i="40"/>
  <c r="D31" i="38"/>
  <c r="D23" i="40"/>
  <c r="F32" i="38"/>
  <c r="E24" i="40"/>
  <c r="G34" i="38"/>
  <c r="C25" i="40"/>
  <c r="I35" i="38"/>
  <c r="F26" i="40"/>
  <c r="F27" i="74" s="1"/>
  <c r="F27" i="77" s="1"/>
  <c r="G36" i="38"/>
  <c r="C27" i="40"/>
  <c r="I37" i="38"/>
  <c r="F28" i="40"/>
  <c r="F29" i="74" s="1"/>
  <c r="F29" i="77" s="1"/>
  <c r="G38" i="38"/>
  <c r="C29" i="40"/>
  <c r="D48" i="38"/>
  <c r="D36" i="40"/>
  <c r="I49" i="38"/>
  <c r="F37" i="40"/>
  <c r="F38" i="74" s="1"/>
  <c r="F38" i="77" s="1"/>
  <c r="I52" i="38"/>
  <c r="F39" i="40"/>
  <c r="F40" i="74" s="1"/>
  <c r="F40" i="77" s="1"/>
  <c r="F53" i="38"/>
  <c r="E40" i="40"/>
  <c r="D55" i="38"/>
  <c r="D42" i="40"/>
  <c r="F68" i="38"/>
  <c r="E51" i="40"/>
  <c r="D70" i="38"/>
  <c r="D53" i="40"/>
  <c r="F71" i="38"/>
  <c r="E54" i="40"/>
  <c r="D55" i="41"/>
  <c r="H55" i="40"/>
  <c r="I75" i="38"/>
  <c r="F56" i="40"/>
  <c r="F57" i="74" s="1"/>
  <c r="F57" i="77" s="1"/>
  <c r="D77" i="38"/>
  <c r="D58" i="40"/>
  <c r="I78" i="38"/>
  <c r="F59" i="40"/>
  <c r="F60" i="74" s="1"/>
  <c r="F60" i="77" s="1"/>
  <c r="I82" i="38"/>
  <c r="F62" i="40"/>
  <c r="F63" i="74" s="1"/>
  <c r="F63" i="77" s="1"/>
  <c r="I88" i="38"/>
  <c r="F65" i="40"/>
  <c r="F66" i="74" s="1"/>
  <c r="F66" i="77" s="1"/>
  <c r="F89" i="38"/>
  <c r="E66" i="40"/>
  <c r="D90" i="38"/>
  <c r="D67" i="40"/>
  <c r="F91" i="38"/>
  <c r="E68" i="40"/>
  <c r="F94" i="38"/>
  <c r="E70" i="40"/>
  <c r="D95" i="38"/>
  <c r="D71" i="40"/>
  <c r="I96" i="38"/>
  <c r="F72" i="40"/>
  <c r="F73" i="74" s="1"/>
  <c r="F73" i="77" s="1"/>
  <c r="D98" i="38"/>
  <c r="D74" i="40"/>
  <c r="F103" i="38"/>
  <c r="E76" i="40"/>
  <c r="D104" i="38"/>
  <c r="D77" i="40"/>
  <c r="F105" i="38"/>
  <c r="E78" i="40"/>
  <c r="G106" i="38"/>
  <c r="C79" i="40"/>
  <c r="I107" i="38"/>
  <c r="F80" i="40"/>
  <c r="F81" i="74" s="1"/>
  <c r="F81" i="77" s="1"/>
  <c r="G109" i="38"/>
  <c r="C81" i="40"/>
  <c r="I110" i="38"/>
  <c r="F82" i="40"/>
  <c r="F83" i="74" s="1"/>
  <c r="F83" i="77" s="1"/>
  <c r="G111" i="38"/>
  <c r="C83" i="40"/>
  <c r="I112" i="38"/>
  <c r="F84" i="40"/>
  <c r="F85" i="74" s="1"/>
  <c r="F85" i="77" s="1"/>
  <c r="G113" i="38"/>
  <c r="C85" i="40"/>
  <c r="I115" i="38"/>
  <c r="F86" i="40"/>
  <c r="F87" i="74" s="1"/>
  <c r="F87" i="77" s="1"/>
  <c r="G116" i="38"/>
  <c r="C87" i="40"/>
  <c r="I117" i="38"/>
  <c r="F88" i="40"/>
  <c r="F89" i="74" s="1"/>
  <c r="F89" i="77" s="1"/>
  <c r="G118" i="38"/>
  <c r="C89" i="40"/>
  <c r="I119" i="38"/>
  <c r="F90" i="40"/>
  <c r="F91" i="74" s="1"/>
  <c r="F91" i="77" s="1"/>
  <c r="G155" i="38"/>
  <c r="C114" i="40"/>
  <c r="I156" i="38"/>
  <c r="F115" i="40"/>
  <c r="F116" i="74" s="1"/>
  <c r="F116" i="77" s="1"/>
  <c r="G158" i="38"/>
  <c r="C117" i="40"/>
  <c r="F157" i="38"/>
  <c r="E116" i="40"/>
  <c r="G161" i="38"/>
  <c r="C119" i="40"/>
  <c r="I162" i="38"/>
  <c r="F120" i="40"/>
  <c r="F121" i="74" s="1"/>
  <c r="F121" i="77" s="1"/>
  <c r="G164" i="38"/>
  <c r="C122" i="40"/>
  <c r="I165" i="38"/>
  <c r="F123" i="40"/>
  <c r="F124" i="74" s="1"/>
  <c r="F124" i="77" s="1"/>
  <c r="F163" i="38"/>
  <c r="E121" i="40"/>
  <c r="D168" i="38"/>
  <c r="D124" i="40"/>
  <c r="F169" i="38"/>
  <c r="E125" i="40"/>
  <c r="D170" i="38"/>
  <c r="D126" i="40"/>
  <c r="F171" i="38"/>
  <c r="E127" i="40"/>
  <c r="F180" i="38"/>
  <c r="E131" i="40"/>
  <c r="D183" i="38"/>
  <c r="D134" i="40"/>
  <c r="I186" i="38"/>
  <c r="F137" i="40"/>
  <c r="F138" i="74" s="1"/>
  <c r="F138" i="77" s="1"/>
  <c r="D117" i="41"/>
  <c r="H117" i="40"/>
  <c r="C36" i="11"/>
  <c r="B29" i="40"/>
  <c r="B30" i="74" s="1"/>
  <c r="B30" i="77" s="1"/>
  <c r="D52" i="41"/>
  <c r="H52" i="40"/>
  <c r="M97" i="10"/>
  <c r="N96" i="10"/>
  <c r="M96" i="10"/>
  <c r="N97" i="10"/>
  <c r="D122" i="41"/>
  <c r="H122" i="40"/>
  <c r="D37" i="41"/>
  <c r="H37" i="40"/>
  <c r="D80" i="41"/>
  <c r="H80" i="40"/>
  <c r="D126" i="41"/>
  <c r="H126" i="40"/>
  <c r="D33" i="41"/>
  <c r="H33" i="40"/>
  <c r="D124" i="41"/>
  <c r="H124" i="40"/>
  <c r="D132" i="41"/>
  <c r="H132" i="40"/>
  <c r="I10" i="38"/>
  <c r="F2" i="40"/>
  <c r="F3" i="74" s="1"/>
  <c r="F3" i="77" s="1"/>
  <c r="F11" i="38"/>
  <c r="E3" i="40"/>
  <c r="D12" i="38"/>
  <c r="D4" i="40"/>
  <c r="F13" i="38"/>
  <c r="E5" i="40"/>
  <c r="G14" i="38"/>
  <c r="C6" i="40"/>
  <c r="D15" i="38"/>
  <c r="D7" i="40"/>
  <c r="I16" i="38"/>
  <c r="F8" i="40"/>
  <c r="F9" i="74" s="1"/>
  <c r="F9" i="77" s="1"/>
  <c r="I17" i="38"/>
  <c r="F9" i="40"/>
  <c r="F10" i="74" s="1"/>
  <c r="F10" i="77" s="1"/>
  <c r="F18" i="38"/>
  <c r="E10" i="40"/>
  <c r="D19" i="38"/>
  <c r="D11" i="40"/>
  <c r="I20" i="38"/>
  <c r="F12" i="40"/>
  <c r="F13" i="74" s="1"/>
  <c r="F13" i="77" s="1"/>
  <c r="I21" i="38"/>
  <c r="F13" i="40"/>
  <c r="F14" i="74" s="1"/>
  <c r="F14" i="77" s="1"/>
  <c r="I22" i="38"/>
  <c r="F14" i="40"/>
  <c r="F15" i="74" s="1"/>
  <c r="F15" i="77" s="1"/>
  <c r="F23" i="38"/>
  <c r="E15" i="40"/>
  <c r="G24" i="38"/>
  <c r="C16" i="40"/>
  <c r="D25" i="38"/>
  <c r="D17" i="40"/>
  <c r="I26" i="38"/>
  <c r="F18" i="40"/>
  <c r="F19" i="74" s="1"/>
  <c r="F19" i="77" s="1"/>
  <c r="G27" i="38"/>
  <c r="C19" i="40"/>
  <c r="D28" i="38"/>
  <c r="D20" i="40"/>
  <c r="F29" i="38"/>
  <c r="E21" i="40"/>
  <c r="D30" i="38"/>
  <c r="D22" i="40"/>
  <c r="I31" i="38"/>
  <c r="F23" i="40"/>
  <c r="F24" i="74" s="1"/>
  <c r="F24" i="77" s="1"/>
  <c r="G32" i="38"/>
  <c r="C24" i="40"/>
  <c r="D34" i="38"/>
  <c r="D25" i="40"/>
  <c r="F35" i="38"/>
  <c r="E26" i="40"/>
  <c r="D36" i="38"/>
  <c r="D27" i="40"/>
  <c r="F37" i="38"/>
  <c r="E28" i="40"/>
  <c r="D38" i="38"/>
  <c r="D29" i="40"/>
  <c r="I48" i="38"/>
  <c r="F36" i="40"/>
  <c r="F37" i="74" s="1"/>
  <c r="F37" i="77" s="1"/>
  <c r="F49" i="38"/>
  <c r="E37" i="40"/>
  <c r="D51" i="38"/>
  <c r="D38" i="40"/>
  <c r="F52" i="38"/>
  <c r="E39" i="40"/>
  <c r="D53" i="20"/>
  <c r="B40" i="40"/>
  <c r="B41" i="74" s="1"/>
  <c r="B41" i="77" s="1"/>
  <c r="D54" i="38"/>
  <c r="D41" i="40"/>
  <c r="I55" i="38"/>
  <c r="F42" i="40"/>
  <c r="F43" i="74" s="1"/>
  <c r="F43" i="77" s="1"/>
  <c r="G59" i="38"/>
  <c r="C44" i="40"/>
  <c r="G60" i="38"/>
  <c r="C45" i="40"/>
  <c r="G61" i="38"/>
  <c r="C46" i="40"/>
  <c r="D47" i="41"/>
  <c r="H47" i="40"/>
  <c r="D51" i="41"/>
  <c r="H51" i="40"/>
  <c r="D69" i="38"/>
  <c r="D52" i="40"/>
  <c r="I70" i="38"/>
  <c r="F53" i="40"/>
  <c r="F54" i="74" s="1"/>
  <c r="F54" i="77" s="1"/>
  <c r="D72" i="38"/>
  <c r="D55" i="40"/>
  <c r="F75" i="38"/>
  <c r="E56" i="40"/>
  <c r="D76" i="38"/>
  <c r="D57" i="40"/>
  <c r="I77" i="38"/>
  <c r="F58" i="40"/>
  <c r="F59" i="74" s="1"/>
  <c r="F59" i="77" s="1"/>
  <c r="F78" i="38"/>
  <c r="E59" i="40"/>
  <c r="I81" i="38"/>
  <c r="F61" i="40"/>
  <c r="F62" i="74" s="1"/>
  <c r="F62" i="77" s="1"/>
  <c r="F82" i="38"/>
  <c r="E61" i="40"/>
  <c r="F88" i="38"/>
  <c r="E65" i="40"/>
  <c r="I90" i="38"/>
  <c r="F67" i="40"/>
  <c r="F68" i="74" s="1"/>
  <c r="F68" i="77" s="1"/>
  <c r="I95" i="38"/>
  <c r="F71" i="40"/>
  <c r="F72" i="74" s="1"/>
  <c r="F72" i="77" s="1"/>
  <c r="F96" i="38"/>
  <c r="E72" i="40"/>
  <c r="D97" i="38"/>
  <c r="D73" i="40"/>
  <c r="I98" i="38"/>
  <c r="F74" i="40"/>
  <c r="F75" i="74" s="1"/>
  <c r="F75" i="77" s="1"/>
  <c r="G103" i="38"/>
  <c r="C76" i="40"/>
  <c r="I104" i="38"/>
  <c r="F77" i="40"/>
  <c r="F78" i="74" s="1"/>
  <c r="F78" i="77" s="1"/>
  <c r="G105" i="38"/>
  <c r="C78" i="40"/>
  <c r="D106" i="38"/>
  <c r="D79" i="40"/>
  <c r="F107" i="38"/>
  <c r="E80" i="40"/>
  <c r="D109" i="38"/>
  <c r="D81" i="40"/>
  <c r="F110" i="38"/>
  <c r="E82" i="40"/>
  <c r="D111" i="38"/>
  <c r="D83" i="40"/>
  <c r="F112" i="38"/>
  <c r="E84" i="40"/>
  <c r="D113" i="38"/>
  <c r="D85" i="40"/>
  <c r="F115" i="38"/>
  <c r="E86" i="40"/>
  <c r="D116" i="38"/>
  <c r="D87" i="40"/>
  <c r="F117" i="38"/>
  <c r="E88" i="40"/>
  <c r="D118" i="38"/>
  <c r="D89" i="40"/>
  <c r="F119" i="38"/>
  <c r="E90" i="40"/>
  <c r="D155" i="38"/>
  <c r="D114" i="40"/>
  <c r="F156" i="38"/>
  <c r="E115" i="40"/>
  <c r="D158" i="38"/>
  <c r="D117" i="40"/>
  <c r="D116" i="41"/>
  <c r="H116" i="40"/>
  <c r="G157" i="38"/>
  <c r="C116" i="40"/>
  <c r="D161" i="38"/>
  <c r="D119" i="40"/>
  <c r="F162" i="38"/>
  <c r="E120" i="40"/>
  <c r="D164" i="38"/>
  <c r="D122" i="40"/>
  <c r="F165" i="38"/>
  <c r="E123" i="40"/>
  <c r="C155" i="11"/>
  <c r="B121" i="40"/>
  <c r="B122" i="74" s="1"/>
  <c r="B122" i="77" s="1"/>
  <c r="G163" i="38"/>
  <c r="C121" i="40"/>
  <c r="I168" i="38"/>
  <c r="F124" i="40"/>
  <c r="F125" i="74" s="1"/>
  <c r="F125" i="77" s="1"/>
  <c r="G169" i="38"/>
  <c r="C125" i="40"/>
  <c r="I170" i="38"/>
  <c r="F126" i="40"/>
  <c r="F127" i="74" s="1"/>
  <c r="F127" i="77" s="1"/>
  <c r="G171" i="38"/>
  <c r="C127" i="40"/>
  <c r="I183" i="38"/>
  <c r="F134" i="40"/>
  <c r="F135" i="74" s="1"/>
  <c r="F135" i="77" s="1"/>
  <c r="F186" i="38"/>
  <c r="E137" i="40"/>
  <c r="D187" i="38"/>
  <c r="D138" i="40"/>
  <c r="D10" i="25"/>
  <c r="B2" i="40"/>
  <c r="D36" i="41"/>
  <c r="H36" i="40"/>
  <c r="C82" i="38"/>
  <c r="B61" i="40"/>
  <c r="B62" i="74" s="1"/>
  <c r="B62" i="77" s="1"/>
  <c r="AA96" i="10"/>
  <c r="U96" i="10"/>
  <c r="D128" i="41"/>
  <c r="H128" i="40"/>
  <c r="D85" i="41"/>
  <c r="H85" i="40"/>
  <c r="D90" i="41"/>
  <c r="H90" i="40"/>
  <c r="D136" i="41"/>
  <c r="H136" i="40"/>
  <c r="D30" i="41"/>
  <c r="H30" i="40"/>
  <c r="F10" i="38"/>
  <c r="E2" i="40"/>
  <c r="E3" i="74" s="1"/>
  <c r="E3" i="77" s="1"/>
  <c r="G11" i="38"/>
  <c r="C3" i="40"/>
  <c r="I12" i="38"/>
  <c r="F4" i="40"/>
  <c r="F5" i="74" s="1"/>
  <c r="F5" i="77" s="1"/>
  <c r="G13" i="38"/>
  <c r="C5" i="40"/>
  <c r="D14" i="38"/>
  <c r="D6" i="40"/>
  <c r="I15" i="38"/>
  <c r="F7" i="40"/>
  <c r="F8" i="74" s="1"/>
  <c r="F8" i="77" s="1"/>
  <c r="F16" i="38"/>
  <c r="E8" i="40"/>
  <c r="F17" i="38"/>
  <c r="E9" i="40"/>
  <c r="G18" i="38"/>
  <c r="C10" i="40"/>
  <c r="I19" i="38"/>
  <c r="F11" i="40"/>
  <c r="F12" i="74" s="1"/>
  <c r="F12" i="77" s="1"/>
  <c r="F20" i="38"/>
  <c r="E12" i="40"/>
  <c r="F21" i="38"/>
  <c r="E13" i="40"/>
  <c r="F22" i="38"/>
  <c r="E14" i="40"/>
  <c r="G23" i="38"/>
  <c r="C15" i="40"/>
  <c r="D24" i="38"/>
  <c r="D16" i="40"/>
  <c r="I25" i="38"/>
  <c r="F17" i="40"/>
  <c r="F18" i="74" s="1"/>
  <c r="F18" i="77" s="1"/>
  <c r="F26" i="38"/>
  <c r="E18" i="40"/>
  <c r="D27" i="38"/>
  <c r="D19" i="40"/>
  <c r="I28" i="38"/>
  <c r="F20" i="40"/>
  <c r="F21" i="74" s="1"/>
  <c r="F21" i="77" s="1"/>
  <c r="G29" i="38"/>
  <c r="C21" i="40"/>
  <c r="I30" i="38"/>
  <c r="F22" i="40"/>
  <c r="F23" i="74" s="1"/>
  <c r="F23" i="77" s="1"/>
  <c r="F31" i="38"/>
  <c r="E23" i="40"/>
  <c r="D32" i="38"/>
  <c r="D24" i="40"/>
  <c r="I34" i="38"/>
  <c r="F25" i="40"/>
  <c r="F26" i="74" s="1"/>
  <c r="F26" i="77" s="1"/>
  <c r="I36" i="38"/>
  <c r="F27" i="40"/>
  <c r="F28" i="74" s="1"/>
  <c r="F28" i="77" s="1"/>
  <c r="G37" i="38"/>
  <c r="C28" i="40"/>
  <c r="I38" i="38"/>
  <c r="F29" i="40"/>
  <c r="F30" i="74" s="1"/>
  <c r="F30" i="77" s="1"/>
  <c r="F48" i="38"/>
  <c r="E36" i="40"/>
  <c r="G49" i="38"/>
  <c r="C37" i="40"/>
  <c r="I51" i="38"/>
  <c r="F38" i="40"/>
  <c r="F39" i="74" s="1"/>
  <c r="F39" i="77" s="1"/>
  <c r="D53" i="38"/>
  <c r="D40" i="40"/>
  <c r="I54" i="38"/>
  <c r="F41" i="40"/>
  <c r="F42" i="74" s="1"/>
  <c r="F42" i="77" s="1"/>
  <c r="F55" i="38"/>
  <c r="E42" i="40"/>
  <c r="D43" i="41"/>
  <c r="H43" i="40"/>
  <c r="D68" i="38"/>
  <c r="D51" i="40"/>
  <c r="I69" i="38"/>
  <c r="F52" i="40"/>
  <c r="F53" i="74" s="1"/>
  <c r="F53" i="77" s="1"/>
  <c r="F70" i="38"/>
  <c r="E53" i="40"/>
  <c r="D71" i="38"/>
  <c r="D54" i="40"/>
  <c r="I72" i="38"/>
  <c r="F55" i="40"/>
  <c r="F56" i="74" s="1"/>
  <c r="F56" i="77" s="1"/>
  <c r="I76" i="38"/>
  <c r="F57" i="40"/>
  <c r="F58" i="74" s="1"/>
  <c r="F58" i="77" s="1"/>
  <c r="F77" i="38"/>
  <c r="E58" i="40"/>
  <c r="D89" i="38"/>
  <c r="D66" i="40"/>
  <c r="F90" i="38"/>
  <c r="E67" i="40"/>
  <c r="D91" i="38"/>
  <c r="D68" i="40"/>
  <c r="D94" i="38"/>
  <c r="D70" i="40"/>
  <c r="F95" i="38"/>
  <c r="E71" i="40"/>
  <c r="I97" i="38"/>
  <c r="F73" i="40"/>
  <c r="F74" i="74" s="1"/>
  <c r="F74" i="77" s="1"/>
  <c r="F98" i="38"/>
  <c r="E74" i="40"/>
  <c r="D103" i="38"/>
  <c r="D76" i="40"/>
  <c r="F104" i="38"/>
  <c r="E77" i="40"/>
  <c r="D105" i="38"/>
  <c r="D78" i="40"/>
  <c r="I106" i="38"/>
  <c r="F79" i="40"/>
  <c r="F80" i="74" s="1"/>
  <c r="F80" i="77" s="1"/>
  <c r="G107" i="38"/>
  <c r="C80" i="40"/>
  <c r="I109" i="38"/>
  <c r="F81" i="40"/>
  <c r="F82" i="74" s="1"/>
  <c r="F82" i="77" s="1"/>
  <c r="G110" i="38"/>
  <c r="C82" i="40"/>
  <c r="I111" i="38"/>
  <c r="F83" i="40"/>
  <c r="F84" i="74" s="1"/>
  <c r="F84" i="77" s="1"/>
  <c r="G112" i="38"/>
  <c r="C84" i="40"/>
  <c r="I113" i="38"/>
  <c r="F85" i="40"/>
  <c r="F86" i="74" s="1"/>
  <c r="F86" i="77" s="1"/>
  <c r="G115" i="38"/>
  <c r="C86" i="40"/>
  <c r="I116" i="38"/>
  <c r="F87" i="40"/>
  <c r="F88" i="74" s="1"/>
  <c r="F88" i="77" s="1"/>
  <c r="G117" i="38"/>
  <c r="C88" i="40"/>
  <c r="I118" i="38"/>
  <c r="F89" i="40"/>
  <c r="F90" i="74" s="1"/>
  <c r="F90" i="77" s="1"/>
  <c r="G119" i="38"/>
  <c r="C90" i="40"/>
  <c r="I155" i="38"/>
  <c r="F114" i="40"/>
  <c r="F115" i="74" s="1"/>
  <c r="F115" i="77" s="1"/>
  <c r="G156" i="38"/>
  <c r="C115" i="40"/>
  <c r="I158" i="38"/>
  <c r="F117" i="40"/>
  <c r="F118" i="74" s="1"/>
  <c r="F118" i="77" s="1"/>
  <c r="D157" i="38"/>
  <c r="D116" i="40"/>
  <c r="I161" i="38"/>
  <c r="F119" i="40"/>
  <c r="F120" i="74" s="1"/>
  <c r="F120" i="77" s="1"/>
  <c r="G162" i="38"/>
  <c r="C120" i="40"/>
  <c r="I164" i="38"/>
  <c r="F122" i="40"/>
  <c r="F123" i="74" s="1"/>
  <c r="F123" i="77" s="1"/>
  <c r="G165" i="38"/>
  <c r="C123" i="40"/>
  <c r="D163" i="38"/>
  <c r="D121" i="40"/>
  <c r="F168" i="38"/>
  <c r="E124" i="40"/>
  <c r="D169" i="38"/>
  <c r="D125" i="40"/>
  <c r="F170" i="38"/>
  <c r="E126" i="40"/>
  <c r="D171" i="38"/>
  <c r="D127" i="40"/>
  <c r="D180" i="38"/>
  <c r="D131" i="40"/>
  <c r="F183" i="38"/>
  <c r="E134" i="40"/>
  <c r="I187" i="38"/>
  <c r="F138" i="40"/>
  <c r="F139" i="74" s="1"/>
  <c r="F139" i="77" s="1"/>
  <c r="D41" i="41"/>
  <c r="H41" i="40"/>
  <c r="D58" i="41"/>
  <c r="H58" i="40"/>
  <c r="M58" i="40" s="1"/>
  <c r="D79" i="41"/>
  <c r="H79" i="40"/>
  <c r="D84" i="41"/>
  <c r="H84" i="40"/>
  <c r="D89" i="41"/>
  <c r="H89" i="40"/>
  <c r="D135" i="41"/>
  <c r="H135" i="40"/>
  <c r="D118" i="41"/>
  <c r="H118" i="40"/>
  <c r="D137" i="41"/>
  <c r="H137" i="40"/>
  <c r="B28" i="10"/>
  <c r="B21" i="40"/>
  <c r="D31" i="41"/>
  <c r="H31" i="40"/>
  <c r="D64" i="41"/>
  <c r="H64" i="40"/>
  <c r="D76" i="41"/>
  <c r="H76" i="40"/>
  <c r="D114" i="41"/>
  <c r="H114" i="40"/>
  <c r="G10" i="38"/>
  <c r="C2" i="40"/>
  <c r="D11" i="38"/>
  <c r="D3" i="40"/>
  <c r="F12" i="38"/>
  <c r="E4" i="40"/>
  <c r="D13" i="38"/>
  <c r="D5" i="40"/>
  <c r="I14" i="38"/>
  <c r="F6" i="40"/>
  <c r="F7" i="74" s="1"/>
  <c r="F7" i="77" s="1"/>
  <c r="F15" i="38"/>
  <c r="E7" i="40"/>
  <c r="G16" i="38"/>
  <c r="C8" i="40"/>
  <c r="G17" i="38"/>
  <c r="C9" i="40"/>
  <c r="D18" i="38"/>
  <c r="D10" i="40"/>
  <c r="F19" i="38"/>
  <c r="E11" i="40"/>
  <c r="G20" i="38"/>
  <c r="C12" i="40"/>
  <c r="G21" i="38"/>
  <c r="C13" i="40"/>
  <c r="G22" i="38"/>
  <c r="C14" i="40"/>
  <c r="D23" i="38"/>
  <c r="D15" i="40"/>
  <c r="I24" i="38"/>
  <c r="F16" i="40"/>
  <c r="F17" i="74" s="1"/>
  <c r="F17" i="77" s="1"/>
  <c r="F25" i="38"/>
  <c r="E17" i="40"/>
  <c r="G26" i="38"/>
  <c r="C18" i="40"/>
  <c r="I27" i="38"/>
  <c r="F19" i="40"/>
  <c r="F20" i="74" s="1"/>
  <c r="F20" i="77" s="1"/>
  <c r="F28" i="38"/>
  <c r="E20" i="40"/>
  <c r="D29" i="38"/>
  <c r="D21" i="40"/>
  <c r="F30" i="38"/>
  <c r="E22" i="40"/>
  <c r="G31" i="38"/>
  <c r="C23" i="40"/>
  <c r="I32" i="38"/>
  <c r="F24" i="40"/>
  <c r="F25" i="74" s="1"/>
  <c r="F25" i="77" s="1"/>
  <c r="F34" i="38"/>
  <c r="E25" i="40"/>
  <c r="D35" i="38"/>
  <c r="D26" i="40"/>
  <c r="F36" i="38"/>
  <c r="E27" i="40"/>
  <c r="D37" i="38"/>
  <c r="D28" i="40"/>
  <c r="F38" i="38"/>
  <c r="E29" i="40"/>
  <c r="G48" i="38"/>
  <c r="C36" i="40"/>
  <c r="D49" i="38"/>
  <c r="D37" i="40"/>
  <c r="F51" i="38"/>
  <c r="E38" i="40"/>
  <c r="D52" i="38"/>
  <c r="D39" i="40"/>
  <c r="I53" i="38"/>
  <c r="F40" i="40"/>
  <c r="F41" i="74" s="1"/>
  <c r="F41" i="77" s="1"/>
  <c r="F54" i="38"/>
  <c r="E41" i="40"/>
  <c r="I59" i="38"/>
  <c r="F44" i="40"/>
  <c r="F45" i="74" s="1"/>
  <c r="F45" i="77" s="1"/>
  <c r="I60" i="38"/>
  <c r="F45" i="40"/>
  <c r="F46" i="74" s="1"/>
  <c r="F46" i="77" s="1"/>
  <c r="I61" i="38"/>
  <c r="F46" i="40"/>
  <c r="F47" i="74" s="1"/>
  <c r="F47" i="77" s="1"/>
  <c r="I68" i="38"/>
  <c r="F51" i="40"/>
  <c r="F52" i="74" s="1"/>
  <c r="F52" i="77" s="1"/>
  <c r="F69" i="38"/>
  <c r="E52" i="40"/>
  <c r="I71" i="38"/>
  <c r="F54" i="40"/>
  <c r="F55" i="74" s="1"/>
  <c r="F55" i="77" s="1"/>
  <c r="F72" i="38"/>
  <c r="E55" i="40"/>
  <c r="D75" i="38"/>
  <c r="D56" i="40"/>
  <c r="F76" i="38"/>
  <c r="E57" i="40"/>
  <c r="D78" i="38"/>
  <c r="D59" i="40"/>
  <c r="D82" i="38"/>
  <c r="D61" i="40"/>
  <c r="I83" i="38"/>
  <c r="F63" i="40"/>
  <c r="F64" i="74" s="1"/>
  <c r="F64" i="77" s="1"/>
  <c r="D88" i="38"/>
  <c r="D65" i="40"/>
  <c r="I89" i="38"/>
  <c r="F66" i="40"/>
  <c r="F67" i="74" s="1"/>
  <c r="F67" i="77" s="1"/>
  <c r="I91" i="38"/>
  <c r="F68" i="40"/>
  <c r="F69" i="74" s="1"/>
  <c r="F69" i="77" s="1"/>
  <c r="I94" i="38"/>
  <c r="F70" i="40"/>
  <c r="F71" i="74" s="1"/>
  <c r="F71" i="77" s="1"/>
  <c r="D96" i="38"/>
  <c r="D72" i="40"/>
  <c r="F97" i="38"/>
  <c r="E73" i="40"/>
  <c r="D74" i="41"/>
  <c r="H74" i="40"/>
  <c r="I103" i="38"/>
  <c r="F76" i="40"/>
  <c r="F77" i="74" s="1"/>
  <c r="F77" i="77" s="1"/>
  <c r="G104" i="38"/>
  <c r="C77" i="40"/>
  <c r="I105" i="38"/>
  <c r="F78" i="40"/>
  <c r="F79" i="74" s="1"/>
  <c r="F79" i="77" s="1"/>
  <c r="F106" i="38"/>
  <c r="E79" i="40"/>
  <c r="D107" i="38"/>
  <c r="D80" i="40"/>
  <c r="F109" i="38"/>
  <c r="E81" i="40"/>
  <c r="D110" i="38"/>
  <c r="D82" i="40"/>
  <c r="F111" i="38"/>
  <c r="E83" i="40"/>
  <c r="D112" i="38"/>
  <c r="D84" i="40"/>
  <c r="F113" i="38"/>
  <c r="E85" i="40"/>
  <c r="D115" i="38"/>
  <c r="D86" i="40"/>
  <c r="F116" i="38"/>
  <c r="E87" i="40"/>
  <c r="D117" i="38"/>
  <c r="D88" i="40"/>
  <c r="F118" i="38"/>
  <c r="E89" i="40"/>
  <c r="D119" i="38"/>
  <c r="D90" i="40"/>
  <c r="F155" i="38"/>
  <c r="E114" i="40"/>
  <c r="D156" i="38"/>
  <c r="D115" i="40"/>
  <c r="F158" i="38"/>
  <c r="E117" i="40"/>
  <c r="I157" i="38"/>
  <c r="F116" i="40"/>
  <c r="F117" i="74" s="1"/>
  <c r="F117" i="77" s="1"/>
  <c r="F161" i="38"/>
  <c r="E119" i="40"/>
  <c r="D162" i="38"/>
  <c r="D120" i="40"/>
  <c r="F164" i="38"/>
  <c r="E122" i="40"/>
  <c r="D165" i="38"/>
  <c r="D123" i="40"/>
  <c r="I163" i="38"/>
  <c r="F121" i="40"/>
  <c r="F122" i="74" s="1"/>
  <c r="F122" i="77" s="1"/>
  <c r="G168" i="38"/>
  <c r="C124" i="40"/>
  <c r="I169" i="38"/>
  <c r="F125" i="40"/>
  <c r="F126" i="74" s="1"/>
  <c r="F126" i="77" s="1"/>
  <c r="G170" i="38"/>
  <c r="C126" i="40"/>
  <c r="I171" i="38"/>
  <c r="F127" i="40"/>
  <c r="F128" i="74" s="1"/>
  <c r="F128" i="77" s="1"/>
  <c r="I180" i="38"/>
  <c r="F131" i="40"/>
  <c r="F132" i="74" s="1"/>
  <c r="F132" i="77" s="1"/>
  <c r="D186" i="38"/>
  <c r="D137" i="40"/>
  <c r="F187" i="38"/>
  <c r="E138" i="40"/>
  <c r="M81" i="40"/>
  <c r="D26" i="41"/>
  <c r="H26" i="40"/>
  <c r="D25" i="41"/>
  <c r="H25" i="40"/>
  <c r="D81" i="41"/>
  <c r="D34" i="41"/>
  <c r="H34" i="40"/>
  <c r="M34" i="40" s="1"/>
  <c r="D32" i="41"/>
  <c r="H32" i="40"/>
  <c r="D49" i="41"/>
  <c r="H49" i="40"/>
  <c r="D73" i="41"/>
  <c r="H73" i="40"/>
  <c r="M73" i="40" s="1"/>
  <c r="D69" i="41"/>
  <c r="D53" i="41"/>
  <c r="H53" i="40"/>
  <c r="D59" i="41"/>
  <c r="H59" i="40"/>
  <c r="M59" i="40" s="1"/>
  <c r="D68" i="41"/>
  <c r="H68" i="40"/>
  <c r="CK37" i="10"/>
  <c r="CO31" i="10"/>
  <c r="CP86" i="10"/>
  <c r="G97" i="38"/>
  <c r="C73" i="40"/>
  <c r="G95" i="38"/>
  <c r="C71" i="40"/>
  <c r="G94" i="38"/>
  <c r="C70" i="40"/>
  <c r="G96" i="38"/>
  <c r="C72" i="40"/>
  <c r="G98" i="38"/>
  <c r="C74" i="40"/>
  <c r="G183" i="38"/>
  <c r="C134" i="40"/>
  <c r="G187" i="38"/>
  <c r="C138" i="40"/>
  <c r="G186" i="38"/>
  <c r="C137" i="40"/>
  <c r="G180" i="38"/>
  <c r="C131" i="40"/>
  <c r="G68" i="38"/>
  <c r="C51" i="40"/>
  <c r="G71" i="38"/>
  <c r="C54" i="40"/>
  <c r="G69" i="38"/>
  <c r="C52" i="40"/>
  <c r="G70" i="38"/>
  <c r="C53" i="40"/>
  <c r="G72" i="38"/>
  <c r="C55" i="40"/>
  <c r="G88" i="38"/>
  <c r="C65" i="40"/>
  <c r="G90" i="38"/>
  <c r="C67" i="40"/>
  <c r="G91" i="38"/>
  <c r="C68" i="40"/>
  <c r="G89" i="38"/>
  <c r="C66" i="40"/>
  <c r="G82" i="38"/>
  <c r="C61" i="40"/>
  <c r="G78" i="38"/>
  <c r="C59" i="40"/>
  <c r="G77" i="38"/>
  <c r="C58" i="40"/>
  <c r="G76" i="38"/>
  <c r="C57" i="40"/>
  <c r="G75" i="38"/>
  <c r="C56" i="40"/>
  <c r="G51" i="38"/>
  <c r="C38" i="40"/>
  <c r="C39" i="74" s="1"/>
  <c r="C39" i="77" s="1"/>
  <c r="G53" i="38"/>
  <c r="C40" i="40"/>
  <c r="G54" i="38"/>
  <c r="C41" i="40"/>
  <c r="G55" i="38"/>
  <c r="C42" i="40"/>
  <c r="G52" i="38"/>
  <c r="C39" i="40"/>
  <c r="C40" i="74" s="1"/>
  <c r="C40" i="77" s="1"/>
  <c r="E11" i="38"/>
  <c r="F10" i="27"/>
  <c r="D93" i="38"/>
  <c r="D92" i="38"/>
  <c r="I159" i="38"/>
  <c r="I153" i="38"/>
  <c r="D80" i="38"/>
  <c r="D79" i="38"/>
  <c r="H80" i="38"/>
  <c r="H79" i="38"/>
  <c r="D87" i="38"/>
  <c r="D86" i="38"/>
  <c r="H87" i="38"/>
  <c r="H86" i="38"/>
  <c r="E93" i="38"/>
  <c r="E92" i="38"/>
  <c r="I93" i="38"/>
  <c r="I92" i="38"/>
  <c r="F159" i="38"/>
  <c r="F153" i="38"/>
  <c r="E172" i="38"/>
  <c r="E166" i="38"/>
  <c r="I172" i="38"/>
  <c r="I166" i="38"/>
  <c r="E181" i="38"/>
  <c r="E175" i="38"/>
  <c r="I181" i="38"/>
  <c r="I175" i="38"/>
  <c r="G182" i="38"/>
  <c r="G176" i="38"/>
  <c r="G184" i="38"/>
  <c r="G178" i="38"/>
  <c r="D185" i="38"/>
  <c r="D179" i="38"/>
  <c r="H185" i="38"/>
  <c r="H179" i="38"/>
  <c r="H93" i="38"/>
  <c r="H92" i="38"/>
  <c r="E159" i="38"/>
  <c r="E153" i="38"/>
  <c r="H172" i="38"/>
  <c r="H166" i="38"/>
  <c r="H181" i="38"/>
  <c r="H175" i="38"/>
  <c r="G185" i="38"/>
  <c r="G179" i="38"/>
  <c r="E80" i="38"/>
  <c r="E79" i="38"/>
  <c r="I80" i="38"/>
  <c r="I79" i="38"/>
  <c r="E87" i="38"/>
  <c r="E86" i="38"/>
  <c r="I87" i="38"/>
  <c r="I86" i="38"/>
  <c r="F93" i="38"/>
  <c r="F92" i="38"/>
  <c r="G159" i="38"/>
  <c r="G153" i="38"/>
  <c r="F172" i="38"/>
  <c r="F166" i="38"/>
  <c r="F181" i="38"/>
  <c r="F175" i="38"/>
  <c r="D182" i="38"/>
  <c r="D176" i="38"/>
  <c r="H182" i="38"/>
  <c r="H176" i="38"/>
  <c r="D184" i="38"/>
  <c r="D178" i="38"/>
  <c r="H184" i="38"/>
  <c r="H178" i="38"/>
  <c r="E185" i="38"/>
  <c r="E179" i="38"/>
  <c r="I185" i="38"/>
  <c r="I179" i="38"/>
  <c r="G80" i="38"/>
  <c r="G79" i="38"/>
  <c r="G87" i="38"/>
  <c r="G86" i="38"/>
  <c r="D172" i="38"/>
  <c r="D166" i="38"/>
  <c r="D181" i="38"/>
  <c r="D175" i="38"/>
  <c r="F182" i="38"/>
  <c r="F176" i="38"/>
  <c r="F184" i="38"/>
  <c r="F178" i="38"/>
  <c r="F80" i="38"/>
  <c r="F79" i="38"/>
  <c r="F87" i="38"/>
  <c r="F86" i="38"/>
  <c r="G93" i="38"/>
  <c r="G92" i="38"/>
  <c r="D159" i="38"/>
  <c r="D153" i="38"/>
  <c r="H159" i="38"/>
  <c r="H153" i="38"/>
  <c r="G172" i="38"/>
  <c r="G166" i="38"/>
  <c r="G181" i="38"/>
  <c r="G175" i="38"/>
  <c r="E182" i="38"/>
  <c r="E176" i="38"/>
  <c r="I182" i="38"/>
  <c r="I176" i="38"/>
  <c r="E184" i="38"/>
  <c r="E178" i="38"/>
  <c r="I184" i="38"/>
  <c r="I178" i="38"/>
  <c r="F185" i="38"/>
  <c r="F179" i="38"/>
  <c r="AG179" i="23"/>
  <c r="AF179" i="23"/>
  <c r="AT179" i="2"/>
  <c r="AV179" i="2" s="1"/>
  <c r="CG179" i="10"/>
  <c r="CH178" i="10"/>
  <c r="AT178" i="2"/>
  <c r="AV178" i="2" s="1"/>
  <c r="CG175" i="10"/>
  <c r="AT175" i="2"/>
  <c r="AV175" i="2" s="1"/>
  <c r="CH174" i="10"/>
  <c r="CM174" i="10" s="1"/>
  <c r="AT174" i="2"/>
  <c r="AV174" i="2" s="1"/>
  <c r="C30" i="11"/>
  <c r="C51" i="11"/>
  <c r="CH76" i="10"/>
  <c r="DG77" i="20"/>
  <c r="DE77" i="20"/>
  <c r="DA77" i="20"/>
  <c r="DD77" i="20"/>
  <c r="DC77" i="20"/>
  <c r="DB77" i="20"/>
  <c r="DF77" i="20"/>
  <c r="CH82" i="10"/>
  <c r="DG83" i="20"/>
  <c r="DE83" i="20"/>
  <c r="DA83" i="20"/>
  <c r="DD83" i="20"/>
  <c r="DC83" i="20"/>
  <c r="DB83" i="20"/>
  <c r="DF83" i="20"/>
  <c r="DG98" i="20"/>
  <c r="DC98" i="20"/>
  <c r="DF98" i="20"/>
  <c r="DB98" i="20"/>
  <c r="DD98" i="20"/>
  <c r="DA98" i="20"/>
  <c r="DE98" i="20"/>
  <c r="CH11" i="10"/>
  <c r="DG12" i="20"/>
  <c r="DF12" i="20"/>
  <c r="DB12" i="20"/>
  <c r="DD12" i="20"/>
  <c r="DE12" i="20"/>
  <c r="DA12" i="20"/>
  <c r="DC12" i="20"/>
  <c r="CH13" i="10"/>
  <c r="DG14" i="20"/>
  <c r="DF14" i="20"/>
  <c r="DB14" i="20"/>
  <c r="DE14" i="20"/>
  <c r="DA14" i="20"/>
  <c r="DD14" i="20"/>
  <c r="DC14" i="20"/>
  <c r="CH36" i="10"/>
  <c r="DG37" i="20"/>
  <c r="DD37" i="20"/>
  <c r="DB37" i="20"/>
  <c r="DF37" i="20"/>
  <c r="DA37" i="20"/>
  <c r="DE37" i="20"/>
  <c r="DC37" i="20"/>
  <c r="CH37" i="10"/>
  <c r="CM30" i="10" s="1"/>
  <c r="CO30" i="10" s="1"/>
  <c r="DG38" i="20"/>
  <c r="DF38" i="20"/>
  <c r="DB38" i="20"/>
  <c r="DA38" i="20"/>
  <c r="DD38" i="20"/>
  <c r="DE38" i="20"/>
  <c r="DC38" i="20"/>
  <c r="DG91" i="20"/>
  <c r="DC91" i="20"/>
  <c r="DF91" i="20"/>
  <c r="DB91" i="20"/>
  <c r="DE91" i="20"/>
  <c r="DD91" i="20"/>
  <c r="DA91" i="20"/>
  <c r="DD166" i="20"/>
  <c r="DG166" i="20"/>
  <c r="DC166" i="20"/>
  <c r="DF166" i="20"/>
  <c r="DE166" i="20"/>
  <c r="DB166" i="20"/>
  <c r="DA166" i="20"/>
  <c r="CH19" i="10"/>
  <c r="DG20" i="20"/>
  <c r="DF20" i="20"/>
  <c r="DB20" i="20"/>
  <c r="DE20" i="20"/>
  <c r="DA20" i="20"/>
  <c r="DD20" i="20"/>
  <c r="DC20" i="20"/>
  <c r="DG107" i="20"/>
  <c r="DE107" i="20"/>
  <c r="DA107" i="20"/>
  <c r="DD107" i="20"/>
  <c r="DB107" i="20"/>
  <c r="DF107" i="20"/>
  <c r="DC107" i="20"/>
  <c r="DF159" i="20"/>
  <c r="DB159" i="20"/>
  <c r="DE159" i="20"/>
  <c r="DA159" i="20"/>
  <c r="DD159" i="20"/>
  <c r="DG159" i="20"/>
  <c r="DC159" i="20"/>
  <c r="CH22" i="10"/>
  <c r="DD23" i="20"/>
  <c r="DG23" i="20"/>
  <c r="DC23" i="20"/>
  <c r="DF23" i="20"/>
  <c r="DB23" i="20"/>
  <c r="DA23" i="20"/>
  <c r="DE23" i="20"/>
  <c r="DG32" i="20"/>
  <c r="DE32" i="20"/>
  <c r="DA32" i="20"/>
  <c r="DC32" i="20"/>
  <c r="DD32" i="20"/>
  <c r="DF32" i="20"/>
  <c r="DB32" i="20"/>
  <c r="CH33" i="10"/>
  <c r="DG34" i="20"/>
  <c r="DF34" i="20"/>
  <c r="DB34" i="20"/>
  <c r="DD34" i="20"/>
  <c r="DC34" i="20"/>
  <c r="DA34" i="20"/>
  <c r="DE34" i="20"/>
  <c r="CH34" i="10"/>
  <c r="DG35" i="20"/>
  <c r="DD35" i="20"/>
  <c r="DC35" i="20"/>
  <c r="DA35" i="20"/>
  <c r="DB35" i="20"/>
  <c r="DF35" i="20"/>
  <c r="DE35" i="20"/>
  <c r="DG87" i="20"/>
  <c r="DC87" i="20"/>
  <c r="DF87" i="20"/>
  <c r="DB87" i="20"/>
  <c r="DE87" i="20"/>
  <c r="DD87" i="20"/>
  <c r="DA87" i="20"/>
  <c r="DF155" i="20"/>
  <c r="DB155" i="20"/>
  <c r="DE155" i="20"/>
  <c r="DA155" i="20"/>
  <c r="DD155" i="20"/>
  <c r="DC155" i="20"/>
  <c r="DG155" i="20"/>
  <c r="CH64" i="10"/>
  <c r="U64" i="10" s="1"/>
  <c r="DG65" i="20"/>
  <c r="DF65" i="20"/>
  <c r="DB65" i="20"/>
  <c r="DA65" i="20"/>
  <c r="DC65" i="20"/>
  <c r="DE65" i="20"/>
  <c r="DD65" i="20"/>
  <c r="CH18" i="10"/>
  <c r="DG19" i="20"/>
  <c r="DD19" i="20"/>
  <c r="DF19" i="20"/>
  <c r="DC19" i="20"/>
  <c r="DB19" i="20"/>
  <c r="DE19" i="20"/>
  <c r="DA19" i="20"/>
  <c r="CH46" i="10"/>
  <c r="DG47" i="20"/>
  <c r="DD47" i="20"/>
  <c r="DB47" i="20"/>
  <c r="DF47" i="20"/>
  <c r="DA47" i="20"/>
  <c r="DE47" i="20"/>
  <c r="DC47" i="20"/>
  <c r="DC89" i="20"/>
  <c r="DF89" i="20"/>
  <c r="DB89" i="20"/>
  <c r="DA89" i="20"/>
  <c r="DD89" i="20"/>
  <c r="DG89" i="20"/>
  <c r="DE89" i="20"/>
  <c r="DG179" i="20"/>
  <c r="DF179" i="20"/>
  <c r="DB179" i="20"/>
  <c r="DE179" i="20"/>
  <c r="DA179" i="20"/>
  <c r="DD179" i="20"/>
  <c r="DC179" i="20"/>
  <c r="CH28" i="10"/>
  <c r="DG29" i="20"/>
  <c r="DC29" i="20"/>
  <c r="DE29" i="20"/>
  <c r="DF29" i="20"/>
  <c r="DB29" i="20"/>
  <c r="DA29" i="20"/>
  <c r="DD29" i="20"/>
  <c r="CH68" i="10"/>
  <c r="DG69" i="20"/>
  <c r="DE69" i="20"/>
  <c r="DA69" i="20"/>
  <c r="DD69" i="20"/>
  <c r="DF69" i="20"/>
  <c r="DC69" i="20"/>
  <c r="DB69" i="20"/>
  <c r="DC118" i="20"/>
  <c r="DF118" i="20"/>
  <c r="DB118" i="20"/>
  <c r="DD118" i="20"/>
  <c r="DA118" i="20"/>
  <c r="DE118" i="20"/>
  <c r="DG118" i="20"/>
  <c r="DG178" i="20"/>
  <c r="DD178" i="20"/>
  <c r="DC178" i="20"/>
  <c r="DB178" i="20"/>
  <c r="DA178" i="20"/>
  <c r="DE178" i="20"/>
  <c r="DF178" i="20"/>
  <c r="CH14" i="10"/>
  <c r="DG15" i="20"/>
  <c r="DD15" i="20"/>
  <c r="DB15" i="20"/>
  <c r="DC15" i="20"/>
  <c r="DF15" i="20"/>
  <c r="DE15" i="20"/>
  <c r="DA15" i="20"/>
  <c r="CH29" i="10"/>
  <c r="DG30" i="20"/>
  <c r="DE30" i="20"/>
  <c r="DA30" i="20"/>
  <c r="DD30" i="20"/>
  <c r="DC30" i="20"/>
  <c r="DB30" i="20"/>
  <c r="DF30" i="20"/>
  <c r="CH59" i="10"/>
  <c r="AA59" i="10" s="1"/>
  <c r="DG60" i="20"/>
  <c r="DF60" i="20"/>
  <c r="DB60" i="20"/>
  <c r="DD60" i="20"/>
  <c r="DA60" i="20"/>
  <c r="DC60" i="20"/>
  <c r="DE60" i="20"/>
  <c r="DD164" i="20"/>
  <c r="DC164" i="20"/>
  <c r="DG164" i="20"/>
  <c r="DB164" i="20"/>
  <c r="DA164" i="20"/>
  <c r="DE164" i="20"/>
  <c r="DF164" i="20"/>
  <c r="CH25" i="10"/>
  <c r="DG26" i="20"/>
  <c r="DE26" i="20"/>
  <c r="DA26" i="20"/>
  <c r="DD26" i="20"/>
  <c r="DC26" i="20"/>
  <c r="DB26" i="20"/>
  <c r="DF26" i="20"/>
  <c r="CH71" i="10"/>
  <c r="DG72" i="20"/>
  <c r="DE72" i="20"/>
  <c r="DA72" i="20"/>
  <c r="DD72" i="20"/>
  <c r="DF72" i="20"/>
  <c r="DB72" i="20"/>
  <c r="DC72" i="20"/>
  <c r="DD162" i="20"/>
  <c r="DG162" i="20"/>
  <c r="DC162" i="20"/>
  <c r="DF162" i="20"/>
  <c r="DE162" i="20"/>
  <c r="DA162" i="20"/>
  <c r="DB162" i="20"/>
  <c r="DG174" i="20"/>
  <c r="DD174" i="20"/>
  <c r="DC174" i="20"/>
  <c r="DB174" i="20"/>
  <c r="DA174" i="20"/>
  <c r="DF174" i="20"/>
  <c r="DE174" i="20"/>
  <c r="CH81" i="10"/>
  <c r="CI81" i="10" s="1"/>
  <c r="DG82" i="20"/>
  <c r="DC82" i="20"/>
  <c r="DF82" i="20"/>
  <c r="DB82" i="20"/>
  <c r="DA82" i="20"/>
  <c r="DD82" i="20"/>
  <c r="DE82" i="20"/>
  <c r="DD158" i="20"/>
  <c r="DC158" i="20"/>
  <c r="DB158" i="20"/>
  <c r="DA158" i="20"/>
  <c r="DF158" i="20"/>
  <c r="DG158" i="20"/>
  <c r="DE158" i="20"/>
  <c r="CH48" i="10"/>
  <c r="DG49" i="20"/>
  <c r="DD49" i="20"/>
  <c r="DF49" i="20"/>
  <c r="DA49" i="20"/>
  <c r="DE49" i="20"/>
  <c r="DC49" i="20"/>
  <c r="DB49" i="20"/>
  <c r="CH47" i="10"/>
  <c r="DF48" i="20"/>
  <c r="DB48" i="20"/>
  <c r="DA48" i="20"/>
  <c r="DD48" i="20"/>
  <c r="DG48" i="20"/>
  <c r="DC48" i="20"/>
  <c r="DE48" i="20"/>
  <c r="DE97" i="20"/>
  <c r="DA97" i="20"/>
  <c r="DG97" i="20"/>
  <c r="DD97" i="20"/>
  <c r="DB97" i="20"/>
  <c r="DC97" i="20"/>
  <c r="DF97" i="20"/>
  <c r="CH17" i="10"/>
  <c r="DG18" i="20"/>
  <c r="DF18" i="20"/>
  <c r="DB18" i="20"/>
  <c r="DE18" i="20"/>
  <c r="DA18" i="20"/>
  <c r="DD18" i="20"/>
  <c r="DC18" i="20"/>
  <c r="CH65" i="10"/>
  <c r="DE66" i="20"/>
  <c r="DA66" i="20"/>
  <c r="DD66" i="20"/>
  <c r="DB66" i="20"/>
  <c r="DF66" i="20"/>
  <c r="DG66" i="20"/>
  <c r="DC66" i="20"/>
  <c r="CH26" i="10"/>
  <c r="DG27" i="20"/>
  <c r="DC27" i="20"/>
  <c r="DA27" i="20"/>
  <c r="DF27" i="20"/>
  <c r="DB27" i="20"/>
  <c r="DE27" i="20"/>
  <c r="DD27" i="20"/>
  <c r="CH39" i="10"/>
  <c r="DG40" i="20"/>
  <c r="DD40" i="20"/>
  <c r="DF40" i="20"/>
  <c r="DA40" i="20"/>
  <c r="DC40" i="20"/>
  <c r="DE40" i="20"/>
  <c r="DB40" i="20"/>
  <c r="CH40" i="10"/>
  <c r="DG41" i="20"/>
  <c r="DF41" i="20"/>
  <c r="DB41" i="20"/>
  <c r="DE41" i="20"/>
  <c r="DA41" i="20"/>
  <c r="DD41" i="20"/>
  <c r="DC41" i="20"/>
  <c r="CH41" i="10"/>
  <c r="DG42" i="20"/>
  <c r="DD42" i="20"/>
  <c r="DE42" i="20"/>
  <c r="DB42" i="20"/>
  <c r="DF42" i="20"/>
  <c r="DC42" i="20"/>
  <c r="DA42" i="20"/>
  <c r="CH42" i="10"/>
  <c r="DF43" i="20"/>
  <c r="DB43" i="20"/>
  <c r="DD43" i="20"/>
  <c r="DC43" i="20"/>
  <c r="DG43" i="20"/>
  <c r="DA43" i="20"/>
  <c r="DE43" i="20"/>
  <c r="CH43" i="10"/>
  <c r="DG44" i="20"/>
  <c r="DD44" i="20"/>
  <c r="DC44" i="20"/>
  <c r="DA44" i="20"/>
  <c r="DE44" i="20"/>
  <c r="DB44" i="20"/>
  <c r="DF44" i="20"/>
  <c r="DG93" i="20"/>
  <c r="DC93" i="20"/>
  <c r="DF93" i="20"/>
  <c r="DB93" i="20"/>
  <c r="DD93" i="20"/>
  <c r="DA93" i="20"/>
  <c r="DE93" i="20"/>
  <c r="DC153" i="20"/>
  <c r="DA153" i="20"/>
  <c r="DD153" i="20"/>
  <c r="DG153" i="20"/>
  <c r="DF153" i="20"/>
  <c r="DB153" i="20"/>
  <c r="DE153" i="20"/>
  <c r="DG149" i="20"/>
  <c r="DC149" i="20"/>
  <c r="DA149" i="20"/>
  <c r="DF149" i="20"/>
  <c r="DB149" i="20"/>
  <c r="DE149" i="20"/>
  <c r="DD149" i="20"/>
  <c r="DE152" i="20"/>
  <c r="DA152" i="20"/>
  <c r="DG152" i="20"/>
  <c r="DB152" i="20"/>
  <c r="DD152" i="20"/>
  <c r="DC152" i="20"/>
  <c r="DF152" i="20"/>
  <c r="DC119" i="20"/>
  <c r="DE119" i="20"/>
  <c r="DD119" i="20"/>
  <c r="DG119" i="20"/>
  <c r="DF119" i="20"/>
  <c r="DB119" i="20"/>
  <c r="DA119" i="20"/>
  <c r="CH77" i="10"/>
  <c r="CK77" i="10" s="1"/>
  <c r="DC78" i="20"/>
  <c r="DF78" i="20"/>
  <c r="DB78" i="20"/>
  <c r="DE78" i="20"/>
  <c r="DA78" i="20"/>
  <c r="DG78" i="20"/>
  <c r="DD78" i="20"/>
  <c r="AJ42" i="2"/>
  <c r="CG41" i="10"/>
  <c r="AJ44" i="2"/>
  <c r="CG43" i="10"/>
  <c r="AG30" i="10"/>
  <c r="AC30" i="10"/>
  <c r="Y30" i="10"/>
  <c r="O30" i="10"/>
  <c r="K30" i="10"/>
  <c r="G30" i="10"/>
  <c r="C30" i="10"/>
  <c r="AE29" i="10"/>
  <c r="AA29" i="10"/>
  <c r="W29" i="10"/>
  <c r="M29" i="10"/>
  <c r="I29" i="10"/>
  <c r="E29" i="10"/>
  <c r="AG27" i="10"/>
  <c r="AC27" i="10"/>
  <c r="Y27" i="10"/>
  <c r="O27" i="10"/>
  <c r="K27" i="10"/>
  <c r="G27" i="10"/>
  <c r="C27" i="10"/>
  <c r="AE24" i="10"/>
  <c r="AA24" i="10"/>
  <c r="W24" i="10"/>
  <c r="M24" i="10"/>
  <c r="I24" i="10"/>
  <c r="E24" i="10"/>
  <c r="AG23" i="10"/>
  <c r="AC23" i="10"/>
  <c r="Y23" i="10"/>
  <c r="O23" i="10"/>
  <c r="K23" i="10"/>
  <c r="G23" i="10"/>
  <c r="C23" i="10"/>
  <c r="AE21" i="10"/>
  <c r="AF30" i="10"/>
  <c r="AB30" i="10"/>
  <c r="X30" i="10"/>
  <c r="N30" i="10"/>
  <c r="J30" i="10"/>
  <c r="F30" i="10"/>
  <c r="AH29" i="10"/>
  <c r="AD29" i="10"/>
  <c r="Z29" i="10"/>
  <c r="P29" i="10"/>
  <c r="L29" i="10"/>
  <c r="H29" i="10"/>
  <c r="D29" i="10"/>
  <c r="AF27" i="10"/>
  <c r="AB27" i="10"/>
  <c r="X27" i="10"/>
  <c r="N27" i="10"/>
  <c r="J27" i="10"/>
  <c r="F27" i="10"/>
  <c r="AH24" i="10"/>
  <c r="AD24" i="10"/>
  <c r="Z24" i="10"/>
  <c r="P24" i="10"/>
  <c r="L24" i="10"/>
  <c r="H24" i="10"/>
  <c r="D24" i="10"/>
  <c r="AF23" i="10"/>
  <c r="AB23" i="10"/>
  <c r="X23" i="10"/>
  <c r="N23" i="10"/>
  <c r="J23" i="10"/>
  <c r="F23" i="10"/>
  <c r="AH21" i="10"/>
  <c r="AH30" i="10"/>
  <c r="Z30" i="10"/>
  <c r="L30" i="10"/>
  <c r="D30" i="10"/>
  <c r="AB29" i="10"/>
  <c r="N29" i="10"/>
  <c r="F29" i="10"/>
  <c r="AD27" i="10"/>
  <c r="P27" i="10"/>
  <c r="H27" i="10"/>
  <c r="AF24" i="10"/>
  <c r="X24" i="10"/>
  <c r="J24" i="10"/>
  <c r="AH23" i="10"/>
  <c r="Z23" i="10"/>
  <c r="L23" i="10"/>
  <c r="D23" i="10"/>
  <c r="AC21" i="10"/>
  <c r="Y21" i="10"/>
  <c r="O21" i="10"/>
  <c r="K21" i="10"/>
  <c r="G21" i="10"/>
  <c r="C21" i="10"/>
  <c r="AE20" i="10"/>
  <c r="AA20" i="10"/>
  <c r="W20" i="10"/>
  <c r="M20" i="10"/>
  <c r="I20" i="10"/>
  <c r="E20" i="10"/>
  <c r="AG19" i="10"/>
  <c r="AC19" i="10"/>
  <c r="Y19" i="10"/>
  <c r="O19" i="10"/>
  <c r="K19" i="10"/>
  <c r="G19" i="10"/>
  <c r="C19" i="10"/>
  <c r="AE18" i="10"/>
  <c r="AA18" i="10"/>
  <c r="W18" i="10"/>
  <c r="M18" i="10"/>
  <c r="I18" i="10"/>
  <c r="E18" i="10"/>
  <c r="AG17" i="10"/>
  <c r="AC17" i="10"/>
  <c r="Y17" i="10"/>
  <c r="O17" i="10"/>
  <c r="K17" i="10"/>
  <c r="G17" i="10"/>
  <c r="C17" i="10"/>
  <c r="AE16" i="10"/>
  <c r="AA16" i="10"/>
  <c r="W16" i="10"/>
  <c r="M16" i="10"/>
  <c r="I16" i="10"/>
  <c r="E16" i="10"/>
  <c r="AG15" i="10"/>
  <c r="AC15" i="10"/>
  <c r="Y15" i="10"/>
  <c r="O15" i="10"/>
  <c r="K15" i="10"/>
  <c r="G15" i="10"/>
  <c r="C15" i="10"/>
  <c r="AE14" i="10"/>
  <c r="AA14" i="10"/>
  <c r="W14" i="10"/>
  <c r="M14" i="10"/>
  <c r="I14" i="10"/>
  <c r="E14" i="10"/>
  <c r="AG13" i="10"/>
  <c r="AC13" i="10"/>
  <c r="Y13" i="10"/>
  <c r="O13" i="10"/>
  <c r="K13" i="10"/>
  <c r="G13" i="10"/>
  <c r="C13" i="10"/>
  <c r="AE12" i="10"/>
  <c r="AA12" i="10"/>
  <c r="W12" i="10"/>
  <c r="M12" i="10"/>
  <c r="I12" i="10"/>
  <c r="E12" i="10"/>
  <c r="AG11" i="10"/>
  <c r="AC11" i="10"/>
  <c r="Y11" i="10"/>
  <c r="O11" i="10"/>
  <c r="K11" i="10"/>
  <c r="G11" i="10"/>
  <c r="C11" i="10"/>
  <c r="AF10" i="10"/>
  <c r="AB10" i="10"/>
  <c r="X10" i="10"/>
  <c r="N10" i="10"/>
  <c r="J10" i="10"/>
  <c r="F10" i="10"/>
  <c r="AH9" i="10"/>
  <c r="AD9" i="10"/>
  <c r="Z9" i="10"/>
  <c r="N28" i="10"/>
  <c r="J28" i="10"/>
  <c r="F28" i="10"/>
  <c r="P26" i="10"/>
  <c r="L26" i="10"/>
  <c r="H26" i="10"/>
  <c r="D26" i="10"/>
  <c r="N25" i="10"/>
  <c r="J25" i="10"/>
  <c r="F25" i="10"/>
  <c r="P22" i="10"/>
  <c r="L22" i="10"/>
  <c r="H22" i="10"/>
  <c r="D22" i="10"/>
  <c r="E9" i="10"/>
  <c r="I9" i="10"/>
  <c r="M9" i="10"/>
  <c r="AD30" i="10"/>
  <c r="P30" i="10"/>
  <c r="AF29" i="10"/>
  <c r="J29" i="10"/>
  <c r="Z27" i="10"/>
  <c r="D27" i="10"/>
  <c r="AE30" i="10"/>
  <c r="W30" i="10"/>
  <c r="I30" i="10"/>
  <c r="AG29" i="10"/>
  <c r="Y29" i="10"/>
  <c r="K29" i="10"/>
  <c r="C29" i="10"/>
  <c r="AA27" i="10"/>
  <c r="M27" i="10"/>
  <c r="E27" i="10"/>
  <c r="AC24" i="10"/>
  <c r="O24" i="10"/>
  <c r="G24" i="10"/>
  <c r="AE23" i="10"/>
  <c r="W23" i="10"/>
  <c r="I23" i="10"/>
  <c r="AG21" i="10"/>
  <c r="AB21" i="10"/>
  <c r="X21" i="10"/>
  <c r="N21" i="10"/>
  <c r="J21" i="10"/>
  <c r="F21" i="10"/>
  <c r="AH20" i="10"/>
  <c r="AD20" i="10"/>
  <c r="Z20" i="10"/>
  <c r="P20" i="10"/>
  <c r="L20" i="10"/>
  <c r="H20" i="10"/>
  <c r="D20" i="10"/>
  <c r="AF19" i="10"/>
  <c r="AB19" i="10"/>
  <c r="X19" i="10"/>
  <c r="N19" i="10"/>
  <c r="J19" i="10"/>
  <c r="F19" i="10"/>
  <c r="AH18" i="10"/>
  <c r="AD18" i="10"/>
  <c r="Z18" i="10"/>
  <c r="P18" i="10"/>
  <c r="L18" i="10"/>
  <c r="H18" i="10"/>
  <c r="D18" i="10"/>
  <c r="AF17" i="10"/>
  <c r="AB17" i="10"/>
  <c r="X17" i="10"/>
  <c r="N17" i="10"/>
  <c r="J17" i="10"/>
  <c r="F17" i="10"/>
  <c r="AH16" i="10"/>
  <c r="AD16" i="10"/>
  <c r="Z16" i="10"/>
  <c r="P16" i="10"/>
  <c r="L16" i="10"/>
  <c r="H16" i="10"/>
  <c r="D16" i="10"/>
  <c r="AF15" i="10"/>
  <c r="AB15" i="10"/>
  <c r="X15" i="10"/>
  <c r="N15" i="10"/>
  <c r="J15" i="10"/>
  <c r="F15" i="10"/>
  <c r="AH14" i="10"/>
  <c r="AD14" i="10"/>
  <c r="Z14" i="10"/>
  <c r="P14" i="10"/>
  <c r="L14" i="10"/>
  <c r="H14" i="10"/>
  <c r="D14" i="10"/>
  <c r="AF13" i="10"/>
  <c r="AB13" i="10"/>
  <c r="X13" i="10"/>
  <c r="N13" i="10"/>
  <c r="J13" i="10"/>
  <c r="F13" i="10"/>
  <c r="AH12" i="10"/>
  <c r="AD12" i="10"/>
  <c r="Z12" i="10"/>
  <c r="P12" i="10"/>
  <c r="L12" i="10"/>
  <c r="H12" i="10"/>
  <c r="D12" i="10"/>
  <c r="AF11" i="10"/>
  <c r="AB11" i="10"/>
  <c r="X11" i="10"/>
  <c r="N11" i="10"/>
  <c r="J11" i="10"/>
  <c r="F11" i="10"/>
  <c r="AE10" i="10"/>
  <c r="AA10" i="10"/>
  <c r="W10" i="10"/>
  <c r="M10" i="10"/>
  <c r="I10" i="10"/>
  <c r="E10" i="10"/>
  <c r="AG9" i="10"/>
  <c r="AC9" i="10"/>
  <c r="Y9" i="10"/>
  <c r="M28" i="10"/>
  <c r="I28" i="10"/>
  <c r="E28" i="10"/>
  <c r="O26" i="10"/>
  <c r="K26" i="10"/>
  <c r="G26" i="10"/>
  <c r="C26" i="10"/>
  <c r="M25" i="10"/>
  <c r="I25" i="10"/>
  <c r="E25" i="10"/>
  <c r="O22" i="10"/>
  <c r="K22" i="10"/>
  <c r="G22" i="10"/>
  <c r="C22" i="10"/>
  <c r="F9" i="10"/>
  <c r="J9" i="10"/>
  <c r="N9" i="10"/>
  <c r="H30" i="10"/>
  <c r="X29" i="10"/>
  <c r="AH27" i="10"/>
  <c r="L27" i="10"/>
  <c r="AB24" i="10"/>
  <c r="AC29" i="10"/>
  <c r="W27" i="10"/>
  <c r="N24" i="10"/>
  <c r="AD23" i="10"/>
  <c r="H23" i="10"/>
  <c r="AA21" i="10"/>
  <c r="M21" i="10"/>
  <c r="E21" i="10"/>
  <c r="AC20" i="10"/>
  <c r="O20" i="10"/>
  <c r="G20" i="10"/>
  <c r="AE19" i="10"/>
  <c r="W19" i="10"/>
  <c r="I19" i="10"/>
  <c r="AG18" i="10"/>
  <c r="Y18" i="10"/>
  <c r="K18" i="10"/>
  <c r="C18" i="10"/>
  <c r="AA17" i="10"/>
  <c r="M17" i="10"/>
  <c r="E17" i="10"/>
  <c r="AC16" i="10"/>
  <c r="O16" i="10"/>
  <c r="G16" i="10"/>
  <c r="AE15" i="10"/>
  <c r="W15" i="10"/>
  <c r="I15" i="10"/>
  <c r="AG14" i="10"/>
  <c r="Y14" i="10"/>
  <c r="K14" i="10"/>
  <c r="C14" i="10"/>
  <c r="AA13" i="10"/>
  <c r="M13" i="10"/>
  <c r="E13" i="10"/>
  <c r="AC12" i="10"/>
  <c r="O12" i="10"/>
  <c r="G12" i="10"/>
  <c r="AE11" i="10"/>
  <c r="W11" i="10"/>
  <c r="I11" i="10"/>
  <c r="AH10" i="10"/>
  <c r="Z10" i="10"/>
  <c r="L10" i="10"/>
  <c r="D10" i="10"/>
  <c r="AB9" i="10"/>
  <c r="P28" i="10"/>
  <c r="H28" i="10"/>
  <c r="N26" i="10"/>
  <c r="F26" i="10"/>
  <c r="L25" i="10"/>
  <c r="D25" i="10"/>
  <c r="J22" i="10"/>
  <c r="C9" i="10"/>
  <c r="K9" i="10"/>
  <c r="P23" i="10"/>
  <c r="W21" i="10"/>
  <c r="AG20" i="10"/>
  <c r="K20" i="10"/>
  <c r="AA19" i="10"/>
  <c r="E19" i="10"/>
  <c r="AC18" i="10"/>
  <c r="G18" i="10"/>
  <c r="W17" i="10"/>
  <c r="AG16" i="10"/>
  <c r="K16" i="10"/>
  <c r="AA15" i="10"/>
  <c r="E15" i="10"/>
  <c r="O14" i="10"/>
  <c r="AE13" i="10"/>
  <c r="I13" i="10"/>
  <c r="AG12" i="10"/>
  <c r="K12" i="10"/>
  <c r="AA11" i="10"/>
  <c r="E11" i="10"/>
  <c r="P10" i="10"/>
  <c r="AF9" i="10"/>
  <c r="D28" i="10"/>
  <c r="P25" i="10"/>
  <c r="N22" i="10"/>
  <c r="G9" i="10"/>
  <c r="Y24" i="10"/>
  <c r="M23" i="10"/>
  <c r="P21" i="10"/>
  <c r="AF20" i="10"/>
  <c r="J20" i="10"/>
  <c r="Z19" i="10"/>
  <c r="AB18" i="10"/>
  <c r="F18" i="10"/>
  <c r="P17" i="10"/>
  <c r="AF16" i="10"/>
  <c r="J16" i="10"/>
  <c r="Z15" i="10"/>
  <c r="D15" i="10"/>
  <c r="F14" i="10"/>
  <c r="P13" i="10"/>
  <c r="AF12" i="10"/>
  <c r="J12" i="10"/>
  <c r="AH11" i="10"/>
  <c r="L11" i="10"/>
  <c r="AC10" i="10"/>
  <c r="G10" i="10"/>
  <c r="W9" i="10"/>
  <c r="C28" i="10"/>
  <c r="O25" i="10"/>
  <c r="M22" i="10"/>
  <c r="H9" i="10"/>
  <c r="AA30" i="10"/>
  <c r="O29" i="10"/>
  <c r="I27" i="10"/>
  <c r="K24" i="10"/>
  <c r="AA23" i="10"/>
  <c r="E23" i="10"/>
  <c r="Z21" i="10"/>
  <c r="L21" i="10"/>
  <c r="D21" i="10"/>
  <c r="AB20" i="10"/>
  <c r="N20" i="10"/>
  <c r="F20" i="10"/>
  <c r="AD19" i="10"/>
  <c r="P19" i="10"/>
  <c r="H19" i="10"/>
  <c r="AF18" i="10"/>
  <c r="X18" i="10"/>
  <c r="J18" i="10"/>
  <c r="AH17" i="10"/>
  <c r="Z17" i="10"/>
  <c r="L17" i="10"/>
  <c r="D17" i="10"/>
  <c r="AB16" i="10"/>
  <c r="N16" i="10"/>
  <c r="F16" i="10"/>
  <c r="AD15" i="10"/>
  <c r="P15" i="10"/>
  <c r="H15" i="10"/>
  <c r="AF14" i="10"/>
  <c r="X14" i="10"/>
  <c r="J14" i="10"/>
  <c r="AH13" i="10"/>
  <c r="Z13" i="10"/>
  <c r="L13" i="10"/>
  <c r="D13" i="10"/>
  <c r="AB12" i="10"/>
  <c r="N12" i="10"/>
  <c r="F12" i="10"/>
  <c r="AD11" i="10"/>
  <c r="P11" i="10"/>
  <c r="H11" i="10"/>
  <c r="AG10" i="10"/>
  <c r="Y10" i="10"/>
  <c r="K10" i="10"/>
  <c r="C10" i="10"/>
  <c r="AA9" i="10"/>
  <c r="O28" i="10"/>
  <c r="G28" i="10"/>
  <c r="M26" i="10"/>
  <c r="E26" i="10"/>
  <c r="K25" i="10"/>
  <c r="C25" i="10"/>
  <c r="I22" i="10"/>
  <c r="D9" i="10"/>
  <c r="L9" i="10"/>
  <c r="M30" i="10"/>
  <c r="G29" i="10"/>
  <c r="AG24" i="10"/>
  <c r="F24" i="10"/>
  <c r="AF21" i="10"/>
  <c r="I21" i="10"/>
  <c r="Y20" i="10"/>
  <c r="C20" i="10"/>
  <c r="M19" i="10"/>
  <c r="O18" i="10"/>
  <c r="AE17" i="10"/>
  <c r="I17" i="10"/>
  <c r="Y16" i="10"/>
  <c r="C16" i="10"/>
  <c r="M15" i="10"/>
  <c r="AC14" i="10"/>
  <c r="G14" i="10"/>
  <c r="W13" i="10"/>
  <c r="Y12" i="10"/>
  <c r="C12" i="10"/>
  <c r="M11" i="10"/>
  <c r="AD10" i="10"/>
  <c r="H10" i="10"/>
  <c r="X9" i="10"/>
  <c r="L28" i="10"/>
  <c r="J26" i="10"/>
  <c r="H25" i="10"/>
  <c r="F22" i="10"/>
  <c r="O9" i="10"/>
  <c r="E30" i="10"/>
  <c r="AE27" i="10"/>
  <c r="C24" i="10"/>
  <c r="AD21" i="10"/>
  <c r="H21" i="10"/>
  <c r="X20" i="10"/>
  <c r="AH19" i="10"/>
  <c r="L19" i="10"/>
  <c r="D19" i="10"/>
  <c r="N18" i="10"/>
  <c r="AD17" i="10"/>
  <c r="H17" i="10"/>
  <c r="X16" i="10"/>
  <c r="AH15" i="10"/>
  <c r="L15" i="10"/>
  <c r="AB14" i="10"/>
  <c r="N14" i="10"/>
  <c r="AD13" i="10"/>
  <c r="H13" i="10"/>
  <c r="X12" i="10"/>
  <c r="Z11" i="10"/>
  <c r="D11" i="10"/>
  <c r="O10" i="10"/>
  <c r="AE9" i="10"/>
  <c r="K28" i="10"/>
  <c r="I26" i="10"/>
  <c r="G25" i="10"/>
  <c r="E22" i="10"/>
  <c r="P9" i="10"/>
  <c r="CJ23" i="20"/>
  <c r="CM23" i="20"/>
  <c r="CI23" i="20"/>
  <c r="CL23" i="20"/>
  <c r="CH23" i="20"/>
  <c r="CK23" i="20"/>
  <c r="CG23" i="20"/>
  <c r="BQ23" i="20"/>
  <c r="BM23" i="20"/>
  <c r="AX23" i="20"/>
  <c r="AT23" i="20"/>
  <c r="AE23" i="20"/>
  <c r="AA23" i="20"/>
  <c r="BP23" i="20"/>
  <c r="AW23" i="20"/>
  <c r="AS23" i="20"/>
  <c r="AD23" i="20"/>
  <c r="Z23" i="20"/>
  <c r="BS23" i="20"/>
  <c r="BO23" i="20"/>
  <c r="AV23" i="20"/>
  <c r="AC23" i="20"/>
  <c r="Y23" i="20"/>
  <c r="BR23" i="20"/>
  <c r="BN23" i="20"/>
  <c r="AY23" i="20"/>
  <c r="AU23" i="20"/>
  <c r="AB23" i="20"/>
  <c r="CK32" i="20"/>
  <c r="CG32" i="20"/>
  <c r="CJ32" i="20"/>
  <c r="CM32" i="20"/>
  <c r="CI32" i="20"/>
  <c r="CL32" i="20"/>
  <c r="CH32" i="20"/>
  <c r="BQ32" i="20"/>
  <c r="BM32" i="20"/>
  <c r="AX32" i="20"/>
  <c r="AT32" i="20"/>
  <c r="AE32" i="20"/>
  <c r="AA32" i="20"/>
  <c r="BP32" i="20"/>
  <c r="AW32" i="20"/>
  <c r="AS32" i="20"/>
  <c r="AD32" i="20"/>
  <c r="Z32" i="20"/>
  <c r="BS32" i="20"/>
  <c r="BO32" i="20"/>
  <c r="AV32" i="20"/>
  <c r="AC32" i="20"/>
  <c r="Y32" i="20"/>
  <c r="BR32" i="20"/>
  <c r="BN32" i="20"/>
  <c r="AY32" i="20"/>
  <c r="AU32" i="20"/>
  <c r="AB32" i="20"/>
  <c r="CJ34" i="20"/>
  <c r="CM34" i="20"/>
  <c r="CI34" i="20"/>
  <c r="CL34" i="20"/>
  <c r="CH34" i="20"/>
  <c r="CK34" i="20"/>
  <c r="CG34" i="20"/>
  <c r="CL35" i="20"/>
  <c r="CH35" i="20"/>
  <c r="CK35" i="20"/>
  <c r="CG35" i="20"/>
  <c r="CJ35" i="20"/>
  <c r="CM35" i="20"/>
  <c r="CI35" i="20"/>
  <c r="CK87" i="20"/>
  <c r="CG87" i="20"/>
  <c r="CJ87" i="20"/>
  <c r="CM87" i="20"/>
  <c r="CI87" i="20"/>
  <c r="CL87" i="20"/>
  <c r="CH87" i="20"/>
  <c r="BP87" i="20"/>
  <c r="AX87" i="20"/>
  <c r="AT87" i="20"/>
  <c r="AB87" i="20"/>
  <c r="BS87" i="20"/>
  <c r="BO87" i="20"/>
  <c r="AW87" i="20"/>
  <c r="AS87" i="20"/>
  <c r="AE87" i="20"/>
  <c r="AA87" i="20"/>
  <c r="BR87" i="20"/>
  <c r="BN87" i="20"/>
  <c r="AV87" i="20"/>
  <c r="AD87" i="20"/>
  <c r="Z87" i="20"/>
  <c r="BQ87" i="20"/>
  <c r="BM87" i="20"/>
  <c r="AY87" i="20"/>
  <c r="AU87" i="20"/>
  <c r="AC87" i="20"/>
  <c r="Y87" i="20"/>
  <c r="CM26" i="20"/>
  <c r="CI26" i="20"/>
  <c r="CL26" i="20"/>
  <c r="CH26" i="20"/>
  <c r="CK26" i="20"/>
  <c r="CG26" i="20"/>
  <c r="CJ26" i="20"/>
  <c r="BP26" i="20"/>
  <c r="AW26" i="20"/>
  <c r="AS26" i="20"/>
  <c r="AD26" i="20"/>
  <c r="Z26" i="20"/>
  <c r="BS26" i="20"/>
  <c r="BO26" i="20"/>
  <c r="AV26" i="20"/>
  <c r="AC26" i="20"/>
  <c r="Y26" i="20"/>
  <c r="BR26" i="20"/>
  <c r="BN26" i="20"/>
  <c r="AY26" i="20"/>
  <c r="AU26" i="20"/>
  <c r="AB26" i="20"/>
  <c r="BQ26" i="20"/>
  <c r="BM26" i="20"/>
  <c r="AX26" i="20"/>
  <c r="AT26" i="20"/>
  <c r="AE26" i="20"/>
  <c r="AA26" i="20"/>
  <c r="CJ72" i="20"/>
  <c r="CM72" i="20"/>
  <c r="CI72" i="20"/>
  <c r="CL72" i="20"/>
  <c r="CH72" i="20"/>
  <c r="CK72" i="20"/>
  <c r="CG72" i="20"/>
  <c r="BP72" i="20"/>
  <c r="AX72" i="20"/>
  <c r="AT72" i="20"/>
  <c r="AB72" i="20"/>
  <c r="BS72" i="20"/>
  <c r="BO72" i="20"/>
  <c r="AW72" i="20"/>
  <c r="AS72" i="20"/>
  <c r="AE72" i="20"/>
  <c r="AA72" i="20"/>
  <c r="BR72" i="20"/>
  <c r="BN72" i="20"/>
  <c r="AV72" i="20"/>
  <c r="AD72" i="20"/>
  <c r="Z72" i="20"/>
  <c r="BQ72" i="20"/>
  <c r="BM72" i="20"/>
  <c r="AY72" i="20"/>
  <c r="AU72" i="20"/>
  <c r="AC72" i="20"/>
  <c r="Y72" i="20"/>
  <c r="CJ149" i="20"/>
  <c r="CM149" i="20"/>
  <c r="CI149" i="20"/>
  <c r="CL149" i="20"/>
  <c r="CH149" i="20"/>
  <c r="CK149" i="20"/>
  <c r="CG149" i="20"/>
  <c r="CK27" i="20"/>
  <c r="CG27" i="20"/>
  <c r="CJ27" i="20"/>
  <c r="CM27" i="20"/>
  <c r="CI27" i="20"/>
  <c r="CL27" i="20"/>
  <c r="CH27" i="20"/>
  <c r="BQ27" i="20"/>
  <c r="BM27" i="20"/>
  <c r="AX27" i="20"/>
  <c r="AT27" i="20"/>
  <c r="AE27" i="20"/>
  <c r="AA27" i="20"/>
  <c r="BP27" i="20"/>
  <c r="AW27" i="20"/>
  <c r="AS27" i="20"/>
  <c r="AD27" i="20"/>
  <c r="Z27" i="20"/>
  <c r="BS27" i="20"/>
  <c r="BO27" i="20"/>
  <c r="AV27" i="20"/>
  <c r="AC27" i="20"/>
  <c r="Y27" i="20"/>
  <c r="BR27" i="20"/>
  <c r="BN27" i="20"/>
  <c r="AY27" i="20"/>
  <c r="AU27" i="20"/>
  <c r="AB27" i="20"/>
  <c r="CK40" i="20"/>
  <c r="CG40" i="20"/>
  <c r="CJ40" i="20"/>
  <c r="CM40" i="20"/>
  <c r="CI40" i="20"/>
  <c r="CL40" i="20"/>
  <c r="CH40" i="20"/>
  <c r="CL41" i="20"/>
  <c r="CH41" i="20"/>
  <c r="CK41" i="20"/>
  <c r="CG41" i="20"/>
  <c r="CJ41" i="20"/>
  <c r="CM41" i="20"/>
  <c r="CI41" i="20"/>
  <c r="CM42" i="20"/>
  <c r="CI42" i="20"/>
  <c r="CL42" i="20"/>
  <c r="CH42" i="20"/>
  <c r="CK42" i="20"/>
  <c r="CG42" i="20"/>
  <c r="CJ42" i="20"/>
  <c r="CJ43" i="20"/>
  <c r="CM43" i="20"/>
  <c r="CI43" i="20"/>
  <c r="CL43" i="20"/>
  <c r="CH43" i="20"/>
  <c r="CK43" i="20"/>
  <c r="CG43" i="20"/>
  <c r="CJ44" i="20"/>
  <c r="CM44" i="20"/>
  <c r="CI44" i="20"/>
  <c r="CL44" i="20"/>
  <c r="CH44" i="20"/>
  <c r="CK44" i="20"/>
  <c r="CG44" i="20"/>
  <c r="CM93" i="20"/>
  <c r="CI93" i="20"/>
  <c r="CL93" i="20"/>
  <c r="CH93" i="20"/>
  <c r="CK93" i="20"/>
  <c r="CG93" i="20"/>
  <c r="CJ93" i="20"/>
  <c r="BR93" i="20"/>
  <c r="BN93" i="20"/>
  <c r="AV93" i="20"/>
  <c r="AD93" i="20"/>
  <c r="Z93" i="20"/>
  <c r="BQ93" i="20"/>
  <c r="BM93" i="20"/>
  <c r="AY93" i="20"/>
  <c r="AU93" i="20"/>
  <c r="AC93" i="20"/>
  <c r="Y93" i="20"/>
  <c r="BP93" i="20"/>
  <c r="AX93" i="20"/>
  <c r="AT93" i="20"/>
  <c r="AB93" i="20"/>
  <c r="BS93" i="20"/>
  <c r="BO93" i="20"/>
  <c r="AW93" i="20"/>
  <c r="AS93" i="20"/>
  <c r="AE93" i="20"/>
  <c r="AA93" i="20"/>
  <c r="CL155" i="20"/>
  <c r="CH155" i="20"/>
  <c r="BS155" i="20"/>
  <c r="BO155" i="20"/>
  <c r="AW155" i="20"/>
  <c r="AS155" i="20"/>
  <c r="AE155" i="20"/>
  <c r="CK155" i="20"/>
  <c r="CG155" i="20"/>
  <c r="CJ155" i="20"/>
  <c r="BQ155" i="20"/>
  <c r="BM155" i="20"/>
  <c r="AY155" i="20"/>
  <c r="AU155" i="20"/>
  <c r="CM155" i="20"/>
  <c r="CI155" i="20"/>
  <c r="BP155" i="20"/>
  <c r="AX155" i="20"/>
  <c r="AT155" i="20"/>
  <c r="AB155" i="20"/>
  <c r="BR155" i="20"/>
  <c r="Z155" i="20"/>
  <c r="BN155" i="20"/>
  <c r="AV155" i="20"/>
  <c r="AD155" i="20"/>
  <c r="Y155" i="20"/>
  <c r="AC155" i="20"/>
  <c r="AA155" i="20"/>
  <c r="CM29" i="20"/>
  <c r="CI29" i="20"/>
  <c r="CL29" i="20"/>
  <c r="CH29" i="20"/>
  <c r="CK29" i="20"/>
  <c r="CG29" i="20"/>
  <c r="CJ29" i="20"/>
  <c r="BS29" i="20"/>
  <c r="BO29" i="20"/>
  <c r="AV29" i="20"/>
  <c r="AC29" i="20"/>
  <c r="Y29" i="20"/>
  <c r="BR29" i="20"/>
  <c r="BN29" i="20"/>
  <c r="AY29" i="20"/>
  <c r="AU29" i="20"/>
  <c r="AB29" i="20"/>
  <c r="BQ29" i="20"/>
  <c r="BM29" i="20"/>
  <c r="AX29" i="20"/>
  <c r="AT29" i="20"/>
  <c r="AE29" i="20"/>
  <c r="AA29" i="20"/>
  <c r="BP29" i="20"/>
  <c r="AW29" i="20"/>
  <c r="AS29" i="20"/>
  <c r="AD29" i="20"/>
  <c r="Z29" i="20"/>
  <c r="CJ162" i="20"/>
  <c r="BQ162" i="20"/>
  <c r="BM162" i="20"/>
  <c r="AY162" i="20"/>
  <c r="AU162" i="20"/>
  <c r="AC162" i="20"/>
  <c r="Y162" i="20"/>
  <c r="CM162" i="20"/>
  <c r="CL162" i="20"/>
  <c r="CH162" i="20"/>
  <c r="BS162" i="20"/>
  <c r="BO162" i="20"/>
  <c r="AW162" i="20"/>
  <c r="AS162" i="20"/>
  <c r="E52" i="21" s="1"/>
  <c r="AE162" i="20"/>
  <c r="AA162" i="20"/>
  <c r="CK162" i="20"/>
  <c r="CG162" i="20"/>
  <c r="BR162" i="20"/>
  <c r="BN162" i="20"/>
  <c r="AV162" i="20"/>
  <c r="AD162" i="20"/>
  <c r="Z162" i="20"/>
  <c r="CI162" i="20"/>
  <c r="AT162" i="20"/>
  <c r="AB162" i="20"/>
  <c r="BP162" i="20"/>
  <c r="AX162" i="20"/>
  <c r="CH174" i="20"/>
  <c r="CJ174" i="20"/>
  <c r="BS174" i="20"/>
  <c r="BO174" i="20"/>
  <c r="AY174" i="20"/>
  <c r="AU174" i="20"/>
  <c r="AE174" i="20"/>
  <c r="AA174" i="20"/>
  <c r="CL174" i="20"/>
  <c r="CG174" i="20"/>
  <c r="BQ174" i="20"/>
  <c r="BM174" i="20"/>
  <c r="AW174" i="20"/>
  <c r="AS174" i="20"/>
  <c r="AC174" i="20"/>
  <c r="Y174" i="20"/>
  <c r="CK174" i="20"/>
  <c r="BP174" i="20"/>
  <c r="AV174" i="20"/>
  <c r="AB174" i="20"/>
  <c r="CM174" i="20"/>
  <c r="AX174" i="20"/>
  <c r="CI174" i="20"/>
  <c r="AT174" i="20"/>
  <c r="BR174" i="20"/>
  <c r="AD174" i="20"/>
  <c r="BN174" i="20"/>
  <c r="Z174" i="20"/>
  <c r="CK15" i="20"/>
  <c r="CG15" i="20"/>
  <c r="CJ15" i="20"/>
  <c r="CM15" i="20"/>
  <c r="CI15" i="20"/>
  <c r="CH15" i="20"/>
  <c r="CL15" i="20"/>
  <c r="BP15" i="20"/>
  <c r="AX15" i="20"/>
  <c r="AT15" i="20"/>
  <c r="AB15" i="20"/>
  <c r="BS15" i="20"/>
  <c r="BO15" i="20"/>
  <c r="AW15" i="20"/>
  <c r="AS15" i="20"/>
  <c r="AE15" i="20"/>
  <c r="AA15" i="20"/>
  <c r="BR15" i="20"/>
  <c r="BN15" i="20"/>
  <c r="AV15" i="20"/>
  <c r="AD15" i="20"/>
  <c r="Z15" i="20"/>
  <c r="BM15" i="20"/>
  <c r="AY15" i="20"/>
  <c r="BQ15" i="20"/>
  <c r="AU15" i="20"/>
  <c r="AC15" i="20"/>
  <c r="Y15" i="20"/>
  <c r="CM30" i="20"/>
  <c r="CI30" i="20"/>
  <c r="CL30" i="20"/>
  <c r="CH30" i="20"/>
  <c r="CK30" i="20"/>
  <c r="CG30" i="20"/>
  <c r="CJ30" i="20"/>
  <c r="BS30" i="20"/>
  <c r="BO30" i="20"/>
  <c r="AW30" i="20"/>
  <c r="AS30" i="20"/>
  <c r="AE30" i="20"/>
  <c r="AA30" i="20"/>
  <c r="BR30" i="20"/>
  <c r="BN30" i="20"/>
  <c r="AV30" i="20"/>
  <c r="AD30" i="20"/>
  <c r="Z30" i="20"/>
  <c r="BQ30" i="20"/>
  <c r="BM30" i="20"/>
  <c r="AY30" i="20"/>
  <c r="AU30" i="20"/>
  <c r="AC30" i="20"/>
  <c r="Y30" i="20"/>
  <c r="AT30" i="20"/>
  <c r="AB30" i="20"/>
  <c r="BP30" i="20"/>
  <c r="AX30" i="20"/>
  <c r="CM60" i="20"/>
  <c r="CI60" i="20"/>
  <c r="CL60" i="20"/>
  <c r="CH60" i="20"/>
  <c r="CK60" i="20"/>
  <c r="CG60" i="20"/>
  <c r="CJ60" i="20"/>
  <c r="BP60" i="20"/>
  <c r="AX60" i="20"/>
  <c r="AT60" i="20"/>
  <c r="AB60" i="20"/>
  <c r="BS60" i="20"/>
  <c r="BO60" i="20"/>
  <c r="AW60" i="20"/>
  <c r="AS60" i="20"/>
  <c r="AE60" i="20"/>
  <c r="AA60" i="20"/>
  <c r="BR60" i="20"/>
  <c r="BN60" i="20"/>
  <c r="AV60" i="20"/>
  <c r="AD60" i="20"/>
  <c r="Z60" i="20"/>
  <c r="AY60" i="20"/>
  <c r="AC60" i="20"/>
  <c r="BQ60" i="20"/>
  <c r="AU60" i="20"/>
  <c r="Y60" i="20"/>
  <c r="BM60" i="20"/>
  <c r="CK78" i="20"/>
  <c r="CG78" i="20"/>
  <c r="CJ78" i="20"/>
  <c r="CM78" i="20"/>
  <c r="CI78" i="20"/>
  <c r="CL78" i="20"/>
  <c r="CH78" i="20"/>
  <c r="BQ78" i="20"/>
  <c r="BM78" i="20"/>
  <c r="AY78" i="20"/>
  <c r="AU78" i="20"/>
  <c r="AC78" i="20"/>
  <c r="Y78" i="20"/>
  <c r="BP78" i="20"/>
  <c r="AX78" i="20"/>
  <c r="AT78" i="20"/>
  <c r="AB78" i="20"/>
  <c r="BN78" i="20"/>
  <c r="BS78" i="20"/>
  <c r="BO78" i="20"/>
  <c r="AW78" i="20"/>
  <c r="AS78" i="20"/>
  <c r="AE78" i="20"/>
  <c r="AA78" i="20"/>
  <c r="BR78" i="20"/>
  <c r="Z78" i="20"/>
  <c r="AV78" i="20"/>
  <c r="AD78" i="20"/>
  <c r="CL159" i="20"/>
  <c r="CH159" i="20"/>
  <c r="BQ159" i="20"/>
  <c r="BM159" i="20"/>
  <c r="AX159" i="20"/>
  <c r="AT159" i="20"/>
  <c r="AE159" i="20"/>
  <c r="AA159" i="20"/>
  <c r="CK159" i="20"/>
  <c r="CG159" i="20"/>
  <c r="BP159" i="20"/>
  <c r="AW159" i="20"/>
  <c r="AS159" i="20"/>
  <c r="AD159" i="20"/>
  <c r="Z159" i="20"/>
  <c r="CJ159" i="20"/>
  <c r="BS159" i="20"/>
  <c r="BO159" i="20"/>
  <c r="AV159" i="20"/>
  <c r="AC159" i="20"/>
  <c r="Y159" i="20"/>
  <c r="CI159" i="20"/>
  <c r="BR159" i="20"/>
  <c r="AY159" i="20"/>
  <c r="AB159" i="20"/>
  <c r="CM159" i="20"/>
  <c r="BN159" i="20"/>
  <c r="AU159" i="20"/>
  <c r="CL18" i="20"/>
  <c r="CH18" i="20"/>
  <c r="CK18" i="20"/>
  <c r="CG18" i="20"/>
  <c r="CJ18" i="20"/>
  <c r="CM18" i="20"/>
  <c r="CI18" i="20"/>
  <c r="BS18" i="20"/>
  <c r="BO18" i="20"/>
  <c r="AW18" i="20"/>
  <c r="AS18" i="20"/>
  <c r="AE18" i="20"/>
  <c r="AA18" i="20"/>
  <c r="BR18" i="20"/>
  <c r="BN18" i="20"/>
  <c r="AV18" i="20"/>
  <c r="AD18" i="20"/>
  <c r="Z18" i="20"/>
  <c r="BQ18" i="20"/>
  <c r="BM18" i="20"/>
  <c r="AY18" i="20"/>
  <c r="AU18" i="20"/>
  <c r="AC18" i="20"/>
  <c r="Y18" i="20"/>
  <c r="AT18" i="20"/>
  <c r="AB18" i="20"/>
  <c r="AX18" i="20"/>
  <c r="BP18" i="20"/>
  <c r="CK66" i="20"/>
  <c r="CG66" i="20"/>
  <c r="CJ66" i="20"/>
  <c r="CM66" i="20"/>
  <c r="CI66" i="20"/>
  <c r="CH66" i="20"/>
  <c r="CL66" i="20"/>
  <c r="BR66" i="20"/>
  <c r="BN66" i="20"/>
  <c r="AW66" i="20"/>
  <c r="AS66" i="20"/>
  <c r="AB66" i="20"/>
  <c r="BQ66" i="20"/>
  <c r="BM66" i="20"/>
  <c r="AV66" i="20"/>
  <c r="AE66" i="20"/>
  <c r="AA66" i="20"/>
  <c r="BP66" i="20"/>
  <c r="AY66" i="20"/>
  <c r="AU66" i="20"/>
  <c r="AD66" i="20"/>
  <c r="Z66" i="20"/>
  <c r="BO66" i="20"/>
  <c r="Y66" i="20"/>
  <c r="AX66" i="20"/>
  <c r="AT66" i="20"/>
  <c r="BS66" i="20"/>
  <c r="AC66" i="20"/>
  <c r="CL119" i="20"/>
  <c r="CH119" i="20"/>
  <c r="BP119" i="20"/>
  <c r="CK119" i="20"/>
  <c r="CG119" i="20"/>
  <c r="BM119" i="20"/>
  <c r="BQ119" i="20"/>
  <c r="CJ119" i="20"/>
  <c r="BN119" i="20"/>
  <c r="BR119" i="20"/>
  <c r="CM119" i="20"/>
  <c r="BS119" i="20"/>
  <c r="CI119" i="20"/>
  <c r="BO119" i="20"/>
  <c r="CM164" i="20"/>
  <c r="CI164" i="20"/>
  <c r="BR164" i="20"/>
  <c r="BN164" i="20"/>
  <c r="AY164" i="20"/>
  <c r="AU164" i="20"/>
  <c r="AB164" i="20"/>
  <c r="CL164" i="20"/>
  <c r="CH164" i="20"/>
  <c r="BQ164" i="20"/>
  <c r="BM164" i="20"/>
  <c r="AX164" i="20"/>
  <c r="AT164" i="20"/>
  <c r="AE164" i="20"/>
  <c r="AA164" i="20"/>
  <c r="CK164" i="20"/>
  <c r="CG164" i="20"/>
  <c r="BP164" i="20"/>
  <c r="AW164" i="20"/>
  <c r="AS164" i="20"/>
  <c r="AD164" i="20"/>
  <c r="Z164" i="20"/>
  <c r="AC164" i="20"/>
  <c r="BS164" i="20"/>
  <c r="AV164" i="20"/>
  <c r="Y164" i="20"/>
  <c r="CJ164" i="20"/>
  <c r="BO164" i="20"/>
  <c r="CM19" i="20"/>
  <c r="CI19" i="20"/>
  <c r="CL19" i="20"/>
  <c r="CH19" i="20"/>
  <c r="CK19" i="20"/>
  <c r="CG19" i="20"/>
  <c r="CJ19" i="20"/>
  <c r="BP19" i="20"/>
  <c r="AX19" i="20"/>
  <c r="AT19" i="20"/>
  <c r="AB19" i="20"/>
  <c r="BS19" i="20"/>
  <c r="BO19" i="20"/>
  <c r="AW19" i="20"/>
  <c r="AS19" i="20"/>
  <c r="AE19" i="20"/>
  <c r="AA19" i="20"/>
  <c r="BR19" i="20"/>
  <c r="BN19" i="20"/>
  <c r="AV19" i="20"/>
  <c r="AD19" i="20"/>
  <c r="Z19" i="20"/>
  <c r="BQ19" i="20"/>
  <c r="Y19" i="20"/>
  <c r="BM19" i="20"/>
  <c r="AY19" i="20"/>
  <c r="AU19" i="20"/>
  <c r="AC19" i="20"/>
  <c r="CJ49" i="20"/>
  <c r="CM49" i="20"/>
  <c r="CI49" i="20"/>
  <c r="CL49" i="20"/>
  <c r="CH49" i="20"/>
  <c r="CG49" i="20"/>
  <c r="CK49" i="20"/>
  <c r="BP49" i="20"/>
  <c r="AY49" i="20"/>
  <c r="AU49" i="20"/>
  <c r="AD49" i="20"/>
  <c r="BS49" i="20"/>
  <c r="BO49" i="20"/>
  <c r="AX49" i="20"/>
  <c r="AT49" i="20"/>
  <c r="AC49" i="20"/>
  <c r="BR49" i="20"/>
  <c r="BN49" i="20"/>
  <c r="AW49" i="20"/>
  <c r="AS49" i="20"/>
  <c r="BM49" i="20"/>
  <c r="AV49" i="20"/>
  <c r="BQ49" i="20"/>
  <c r="AE49" i="20"/>
  <c r="CK89" i="20"/>
  <c r="CG89" i="20"/>
  <c r="CJ89" i="20"/>
  <c r="CM89" i="20"/>
  <c r="CI89" i="20"/>
  <c r="CL89" i="20"/>
  <c r="CH89" i="20"/>
  <c r="BQ89" i="20"/>
  <c r="BM89" i="20"/>
  <c r="AX89" i="20"/>
  <c r="AT89" i="20"/>
  <c r="AE89" i="20"/>
  <c r="AA89" i="20"/>
  <c r="AU89" i="20"/>
  <c r="AB89" i="20"/>
  <c r="BP89" i="20"/>
  <c r="AW89" i="20"/>
  <c r="AS89" i="20"/>
  <c r="AD89" i="20"/>
  <c r="Z89" i="20"/>
  <c r="BN89" i="20"/>
  <c r="BS89" i="20"/>
  <c r="BO89" i="20"/>
  <c r="AV89" i="20"/>
  <c r="AC89" i="20"/>
  <c r="Y89" i="20"/>
  <c r="BR89" i="20"/>
  <c r="AY89" i="20"/>
  <c r="CM98" i="20"/>
  <c r="CI98" i="20"/>
  <c r="CL98" i="20"/>
  <c r="CH98" i="20"/>
  <c r="CK98" i="20"/>
  <c r="CG98" i="20"/>
  <c r="CJ98" i="20"/>
  <c r="BS98" i="20"/>
  <c r="BO98" i="20"/>
  <c r="AV98" i="20"/>
  <c r="AC98" i="20"/>
  <c r="Y98" i="20"/>
  <c r="AW98" i="20"/>
  <c r="Z98" i="20"/>
  <c r="BR98" i="20"/>
  <c r="BN98" i="20"/>
  <c r="AY98" i="20"/>
  <c r="AU98" i="20"/>
  <c r="AB98" i="20"/>
  <c r="BP98" i="20"/>
  <c r="AD98" i="20"/>
  <c r="BQ98" i="20"/>
  <c r="BM98" i="20"/>
  <c r="AX98" i="20"/>
  <c r="AT98" i="20"/>
  <c r="AE98" i="20"/>
  <c r="AA98" i="20"/>
  <c r="AS98" i="20"/>
  <c r="CJ20" i="20"/>
  <c r="CM20" i="20"/>
  <c r="CI20" i="20"/>
  <c r="CL20" i="20"/>
  <c r="CH20" i="20"/>
  <c r="CK20" i="20"/>
  <c r="CG20" i="20"/>
  <c r="BQ20" i="20"/>
  <c r="BM20" i="20"/>
  <c r="AY20" i="20"/>
  <c r="AU20" i="20"/>
  <c r="AC20" i="20"/>
  <c r="Y20" i="20"/>
  <c r="BP20" i="20"/>
  <c r="AX20" i="20"/>
  <c r="AT20" i="20"/>
  <c r="AB20" i="20"/>
  <c r="BS20" i="20"/>
  <c r="BO20" i="20"/>
  <c r="AW20" i="20"/>
  <c r="AS20" i="20"/>
  <c r="AE20" i="20"/>
  <c r="AA20" i="20"/>
  <c r="AV20" i="20"/>
  <c r="AD20" i="20"/>
  <c r="Z20" i="20"/>
  <c r="BN20" i="20"/>
  <c r="BR20" i="20"/>
  <c r="CM107" i="20"/>
  <c r="CI107" i="20"/>
  <c r="BR107" i="20"/>
  <c r="BN107" i="20"/>
  <c r="AY107" i="20"/>
  <c r="AU107" i="20"/>
  <c r="AB107" i="20"/>
  <c r="CL107" i="20"/>
  <c r="CH107" i="20"/>
  <c r="BQ107" i="20"/>
  <c r="BM107" i="20"/>
  <c r="AX107" i="20"/>
  <c r="AT107" i="20"/>
  <c r="AE107" i="20"/>
  <c r="CK107" i="20"/>
  <c r="CG107" i="20"/>
  <c r="BP107" i="20"/>
  <c r="AW107" i="20"/>
  <c r="AS107" i="20"/>
  <c r="AD107" i="20"/>
  <c r="Z107" i="20"/>
  <c r="CJ107" i="20"/>
  <c r="AC107" i="20"/>
  <c r="BS107" i="20"/>
  <c r="AV107" i="20"/>
  <c r="AA107" i="20"/>
  <c r="BO107" i="20"/>
  <c r="Y107" i="20"/>
  <c r="CK153" i="20"/>
  <c r="CG153" i="20"/>
  <c r="CJ153" i="20"/>
  <c r="CM153" i="20"/>
  <c r="CI153" i="20"/>
  <c r="CH153" i="20"/>
  <c r="CL153" i="20"/>
  <c r="CJ179" i="20"/>
  <c r="BR179" i="20"/>
  <c r="BN179" i="20"/>
  <c r="AV179" i="20"/>
  <c r="AD179" i="20"/>
  <c r="Z179" i="20"/>
  <c r="CM179" i="20"/>
  <c r="CI179" i="20"/>
  <c r="BQ179" i="20"/>
  <c r="BM179" i="20"/>
  <c r="AY179" i="20"/>
  <c r="AU179" i="20"/>
  <c r="AC179" i="20"/>
  <c r="Y179" i="20"/>
  <c r="CL179" i="20"/>
  <c r="CH179" i="20"/>
  <c r="BP179" i="20"/>
  <c r="AX179" i="20"/>
  <c r="AT179" i="20"/>
  <c r="AB179" i="20"/>
  <c r="BS179" i="20"/>
  <c r="AW179" i="20"/>
  <c r="AA179" i="20"/>
  <c r="CK179" i="20"/>
  <c r="BO179" i="20"/>
  <c r="AS179" i="20"/>
  <c r="AE179" i="20"/>
  <c r="CG179" i="20"/>
  <c r="CK180" i="20"/>
  <c r="CG180" i="20"/>
  <c r="BS180" i="20"/>
  <c r="BO180" i="20"/>
  <c r="AW180" i="20"/>
  <c r="AS180" i="20"/>
  <c r="AE180" i="20"/>
  <c r="AA180" i="20"/>
  <c r="CJ180" i="20"/>
  <c r="BR180" i="20"/>
  <c r="BN180" i="20"/>
  <c r="AV180" i="20"/>
  <c r="AD180" i="20"/>
  <c r="Z180" i="20"/>
  <c r="CM180" i="20"/>
  <c r="CI180" i="20"/>
  <c r="BQ180" i="20"/>
  <c r="BM180" i="20"/>
  <c r="AY180" i="20"/>
  <c r="AU180" i="20"/>
  <c r="AC180" i="20"/>
  <c r="Y180" i="20"/>
  <c r="CH180" i="20"/>
  <c r="CL180" i="20"/>
  <c r="AT180" i="20"/>
  <c r="BP180" i="20"/>
  <c r="AX180" i="20"/>
  <c r="AB180" i="20"/>
  <c r="CK47" i="20"/>
  <c r="CG47" i="20"/>
  <c r="CJ47" i="20"/>
  <c r="CM47" i="20"/>
  <c r="CI47" i="20"/>
  <c r="CL47" i="20"/>
  <c r="CH47" i="20"/>
  <c r="BS47" i="20"/>
  <c r="BO47" i="20"/>
  <c r="AW47" i="20"/>
  <c r="AS47" i="20"/>
  <c r="AE47" i="20"/>
  <c r="AA47" i="20"/>
  <c r="AX47" i="20"/>
  <c r="BR47" i="20"/>
  <c r="BN47" i="20"/>
  <c r="AV47" i="20"/>
  <c r="AD47" i="20"/>
  <c r="Z47" i="20"/>
  <c r="BP47" i="20"/>
  <c r="AB47" i="20"/>
  <c r="BQ47" i="20"/>
  <c r="BM47" i="20"/>
  <c r="AY47" i="20"/>
  <c r="AU47" i="20"/>
  <c r="AC47" i="20"/>
  <c r="Y47" i="20"/>
  <c r="AT47" i="20"/>
  <c r="CJ12" i="20"/>
  <c r="CG12" i="20"/>
  <c r="CM12" i="20"/>
  <c r="CI12" i="20"/>
  <c r="CK12" i="20"/>
  <c r="CL12" i="20"/>
  <c r="CH12" i="20"/>
  <c r="BQ12" i="20"/>
  <c r="BM12" i="20"/>
  <c r="AX12" i="20"/>
  <c r="AT12" i="20"/>
  <c r="AB12" i="20"/>
  <c r="BP12" i="20"/>
  <c r="AW12" i="20"/>
  <c r="AS12" i="20"/>
  <c r="AE12" i="20"/>
  <c r="AA12" i="20"/>
  <c r="BS12" i="20"/>
  <c r="BO12" i="20"/>
  <c r="AV12" i="20"/>
  <c r="AD12" i="20"/>
  <c r="Z12" i="20"/>
  <c r="BN12" i="20"/>
  <c r="Y12" i="20"/>
  <c r="BR12" i="20"/>
  <c r="AY12" i="20"/>
  <c r="AU12" i="20"/>
  <c r="AC12" i="20"/>
  <c r="CL14" i="20"/>
  <c r="CH14" i="20"/>
  <c r="CM14" i="20"/>
  <c r="CK14" i="20"/>
  <c r="CG14" i="20"/>
  <c r="CJ14" i="20"/>
  <c r="CI14" i="20"/>
  <c r="BS14" i="20"/>
  <c r="BO14" i="20"/>
  <c r="AV14" i="20"/>
  <c r="AD14" i="20"/>
  <c r="Z14" i="20"/>
  <c r="BR14" i="20"/>
  <c r="BN14" i="20"/>
  <c r="AY14" i="20"/>
  <c r="AU14" i="20"/>
  <c r="AC14" i="20"/>
  <c r="Y14" i="20"/>
  <c r="BQ14" i="20"/>
  <c r="BM14" i="20"/>
  <c r="AX14" i="20"/>
  <c r="AT14" i="20"/>
  <c r="AB14" i="20"/>
  <c r="BP14" i="20"/>
  <c r="AA14" i="20"/>
  <c r="AE14" i="20"/>
  <c r="AW14" i="20"/>
  <c r="AS14" i="20"/>
  <c r="CM37" i="20"/>
  <c r="CI37" i="20"/>
  <c r="CL37" i="20"/>
  <c r="CH37" i="20"/>
  <c r="CK37" i="20"/>
  <c r="CG37" i="20"/>
  <c r="CJ37" i="20"/>
  <c r="AD37" i="20"/>
  <c r="Z37" i="20"/>
  <c r="AV37" i="20"/>
  <c r="BR37" i="20"/>
  <c r="BN37" i="20"/>
  <c r="AC37" i="20"/>
  <c r="Y37" i="20"/>
  <c r="AY37" i="20"/>
  <c r="AU37" i="20"/>
  <c r="BQ37" i="20"/>
  <c r="BM37" i="20"/>
  <c r="AB37" i="20"/>
  <c r="AX37" i="20"/>
  <c r="AT37" i="20"/>
  <c r="BP37" i="20"/>
  <c r="BS37" i="20"/>
  <c r="AE37" i="20"/>
  <c r="AW37" i="20"/>
  <c r="BO37" i="20"/>
  <c r="AA37" i="20"/>
  <c r="AS37" i="20"/>
  <c r="CJ38" i="20"/>
  <c r="CK38" i="20"/>
  <c r="CM38" i="20"/>
  <c r="CI38" i="20"/>
  <c r="CG38" i="20"/>
  <c r="CL38" i="20"/>
  <c r="CH38" i="20"/>
  <c r="AE38" i="20"/>
  <c r="AA38" i="20"/>
  <c r="AW38" i="20"/>
  <c r="AS38" i="20"/>
  <c r="BS38" i="20"/>
  <c r="BO38" i="20"/>
  <c r="AD38" i="20"/>
  <c r="Z38" i="20"/>
  <c r="AV38" i="20"/>
  <c r="BR38" i="20"/>
  <c r="BN38" i="20"/>
  <c r="AC38" i="20"/>
  <c r="Y38" i="20"/>
  <c r="AY38" i="20"/>
  <c r="AU38" i="20"/>
  <c r="BQ38" i="20"/>
  <c r="BM38" i="20"/>
  <c r="AB38" i="20"/>
  <c r="AT38" i="20"/>
  <c r="BP38" i="20"/>
  <c r="AX38" i="20"/>
  <c r="CK91" i="20"/>
  <c r="CG91" i="20"/>
  <c r="CJ91" i="20"/>
  <c r="CM91" i="20"/>
  <c r="CI91" i="20"/>
  <c r="CL91" i="20"/>
  <c r="CH91" i="20"/>
  <c r="BQ91" i="20"/>
  <c r="BM91" i="20"/>
  <c r="AV91" i="20"/>
  <c r="AE91" i="20"/>
  <c r="AA91" i="20"/>
  <c r="BR91" i="20"/>
  <c r="BP91" i="20"/>
  <c r="AY91" i="20"/>
  <c r="AU91" i="20"/>
  <c r="AD91" i="20"/>
  <c r="Z91" i="20"/>
  <c r="AS91" i="20"/>
  <c r="BS91" i="20"/>
  <c r="BO91" i="20"/>
  <c r="AX91" i="20"/>
  <c r="AT91" i="20"/>
  <c r="AC91" i="20"/>
  <c r="Y91" i="20"/>
  <c r="BN91" i="20"/>
  <c r="AW91" i="20"/>
  <c r="AB91" i="20"/>
  <c r="CJ152" i="20"/>
  <c r="CM152" i="20"/>
  <c r="CI152" i="20"/>
  <c r="CL152" i="20"/>
  <c r="CH152" i="20"/>
  <c r="CG152" i="20"/>
  <c r="CK152" i="20"/>
  <c r="CJ69" i="20"/>
  <c r="CM69" i="20"/>
  <c r="CI69" i="20"/>
  <c r="CL69" i="20"/>
  <c r="CH69" i="20"/>
  <c r="CK69" i="20"/>
  <c r="CG69" i="20"/>
  <c r="BP69" i="20"/>
  <c r="AY69" i="20"/>
  <c r="AU69" i="20"/>
  <c r="AD69" i="20"/>
  <c r="Z69" i="20"/>
  <c r="BS69" i="20"/>
  <c r="BO69" i="20"/>
  <c r="AX69" i="20"/>
  <c r="AT69" i="20"/>
  <c r="AC69" i="20"/>
  <c r="Y69" i="20"/>
  <c r="BR69" i="20"/>
  <c r="BN69" i="20"/>
  <c r="AW69" i="20"/>
  <c r="AS69" i="20"/>
  <c r="AB69" i="20"/>
  <c r="AV69" i="20"/>
  <c r="AE69" i="20"/>
  <c r="BQ69" i="20"/>
  <c r="AA69" i="20"/>
  <c r="BM69" i="20"/>
  <c r="CM158" i="20"/>
  <c r="CI158" i="20"/>
  <c r="BP158" i="20"/>
  <c r="AY158" i="20"/>
  <c r="AU158" i="20"/>
  <c r="AD158" i="20"/>
  <c r="Z158" i="20"/>
  <c r="CL158" i="20"/>
  <c r="CH158" i="20"/>
  <c r="BS158" i="20"/>
  <c r="BO158" i="20"/>
  <c r="AX158" i="20"/>
  <c r="AT158" i="20"/>
  <c r="AC158" i="20"/>
  <c r="Y158" i="20"/>
  <c r="CK158" i="20"/>
  <c r="CG158" i="20"/>
  <c r="BR158" i="20"/>
  <c r="BN158" i="20"/>
  <c r="AW158" i="20"/>
  <c r="AS158" i="20"/>
  <c r="AB158" i="20"/>
  <c r="CJ158" i="20"/>
  <c r="BM158" i="20"/>
  <c r="AA158" i="20"/>
  <c r="AV158" i="20"/>
  <c r="AE158" i="20"/>
  <c r="BQ158" i="20"/>
  <c r="CL48" i="20"/>
  <c r="CH48" i="20"/>
  <c r="CM48" i="20"/>
  <c r="CK48" i="20"/>
  <c r="CG48" i="20"/>
  <c r="CJ48" i="20"/>
  <c r="CI48" i="20"/>
  <c r="BS48" i="20"/>
  <c r="BO48" i="20"/>
  <c r="AV48" i="20"/>
  <c r="AC48" i="20"/>
  <c r="BR48" i="20"/>
  <c r="BN48" i="20"/>
  <c r="AY48" i="20"/>
  <c r="AU48" i="20"/>
  <c r="BQ48" i="20"/>
  <c r="BM48" i="20"/>
  <c r="AX48" i="20"/>
  <c r="AT48" i="20"/>
  <c r="AE48" i="20"/>
  <c r="BP48" i="20"/>
  <c r="AS48" i="20"/>
  <c r="AD48" i="20"/>
  <c r="AW48" i="20"/>
  <c r="CM97" i="20"/>
  <c r="CI97" i="20"/>
  <c r="CL97" i="20"/>
  <c r="CH97" i="20"/>
  <c r="CK97" i="20"/>
  <c r="CG97" i="20"/>
  <c r="CJ97" i="20"/>
  <c r="BR97" i="20"/>
  <c r="BN97" i="20"/>
  <c r="AV97" i="20"/>
  <c r="AD97" i="20"/>
  <c r="Z97" i="20"/>
  <c r="BS97" i="20"/>
  <c r="AW97" i="20"/>
  <c r="AA97" i="20"/>
  <c r="BQ97" i="20"/>
  <c r="BM97" i="20"/>
  <c r="AY97" i="20"/>
  <c r="AU97" i="20"/>
  <c r="AC97" i="20"/>
  <c r="Y97" i="20"/>
  <c r="AE97" i="20"/>
  <c r="BP97" i="20"/>
  <c r="AX97" i="20"/>
  <c r="AT97" i="20"/>
  <c r="AB97" i="20"/>
  <c r="BO97" i="20"/>
  <c r="AS97" i="20"/>
  <c r="CM118" i="20"/>
  <c r="CI118" i="20"/>
  <c r="BO118" i="20"/>
  <c r="BS118" i="20"/>
  <c r="CL118" i="20"/>
  <c r="CH118" i="20"/>
  <c r="BP118" i="20"/>
  <c r="CK118" i="20"/>
  <c r="CG118" i="20"/>
  <c r="BM118" i="20"/>
  <c r="BQ118" i="20"/>
  <c r="CJ118" i="20"/>
  <c r="BR118" i="20"/>
  <c r="BN118" i="20"/>
  <c r="CK166" i="20"/>
  <c r="CG166" i="20"/>
  <c r="BR166" i="20"/>
  <c r="BN166" i="20"/>
  <c r="AV166" i="20"/>
  <c r="AD166" i="20"/>
  <c r="Z166" i="20"/>
  <c r="CJ166" i="20"/>
  <c r="BQ166" i="20"/>
  <c r="BM166" i="20"/>
  <c r="AY166" i="20"/>
  <c r="AU166" i="20"/>
  <c r="AC166" i="20"/>
  <c r="Y166" i="20"/>
  <c r="CM166" i="20"/>
  <c r="CI166" i="20"/>
  <c r="BP166" i="20"/>
  <c r="AX166" i="20"/>
  <c r="AT166" i="20"/>
  <c r="AB166" i="20"/>
  <c r="CL166" i="20"/>
  <c r="BS166" i="20"/>
  <c r="AA166" i="20"/>
  <c r="CH166" i="20"/>
  <c r="BO166" i="20"/>
  <c r="AW166" i="20"/>
  <c r="AS166" i="20"/>
  <c r="AE166" i="20"/>
  <c r="CJ65" i="20"/>
  <c r="CM65" i="20"/>
  <c r="CI65" i="20"/>
  <c r="CL65" i="20"/>
  <c r="CH65" i="20"/>
  <c r="CK65" i="20"/>
  <c r="CG65" i="20"/>
  <c r="BS65" i="20"/>
  <c r="BO65" i="20"/>
  <c r="AW65" i="20"/>
  <c r="AS65" i="20"/>
  <c r="AE65" i="20"/>
  <c r="AA65" i="20"/>
  <c r="BR65" i="20"/>
  <c r="BN65" i="20"/>
  <c r="AV65" i="20"/>
  <c r="AD65" i="20"/>
  <c r="Z65" i="20"/>
  <c r="BQ65" i="20"/>
  <c r="BM65" i="20"/>
  <c r="AY65" i="20"/>
  <c r="AU65" i="20"/>
  <c r="AC65" i="20"/>
  <c r="Y65" i="20"/>
  <c r="BP65" i="20"/>
  <c r="AX65" i="20"/>
  <c r="AT65" i="20"/>
  <c r="AB65" i="20"/>
  <c r="CK77" i="20"/>
  <c r="CG77" i="20"/>
  <c r="CJ77" i="20"/>
  <c r="CM77" i="20"/>
  <c r="CI77" i="20"/>
  <c r="CL77" i="20"/>
  <c r="CH77" i="20"/>
  <c r="BR77" i="20"/>
  <c r="BN77" i="20"/>
  <c r="AX77" i="20"/>
  <c r="AT77" i="20"/>
  <c r="AD77" i="20"/>
  <c r="Z77" i="20"/>
  <c r="BQ77" i="20"/>
  <c r="BM77" i="20"/>
  <c r="AW77" i="20"/>
  <c r="AS77" i="20"/>
  <c r="AC77" i="20"/>
  <c r="Y77" i="20"/>
  <c r="BP77" i="20"/>
  <c r="AV77" i="20"/>
  <c r="AB77" i="20"/>
  <c r="BO77" i="20"/>
  <c r="AE77" i="20"/>
  <c r="AY77" i="20"/>
  <c r="AA77" i="20"/>
  <c r="BS77" i="20"/>
  <c r="AU77" i="20"/>
  <c r="CK82" i="20"/>
  <c r="CG82" i="20"/>
  <c r="CJ82" i="20"/>
  <c r="CM82" i="20"/>
  <c r="CI82" i="20"/>
  <c r="CH82" i="20"/>
  <c r="CL82" i="20"/>
  <c r="BQ82" i="20"/>
  <c r="BM82" i="20"/>
  <c r="AW82" i="20"/>
  <c r="AS82" i="20"/>
  <c r="AC82" i="20"/>
  <c r="Y82" i="20"/>
  <c r="BR82" i="20"/>
  <c r="BP82" i="20"/>
  <c r="AV82" i="20"/>
  <c r="AB82" i="20"/>
  <c r="BS82" i="20"/>
  <c r="BO82" i="20"/>
  <c r="AY82" i="20"/>
  <c r="AU82" i="20"/>
  <c r="AE82" i="20"/>
  <c r="AA82" i="20"/>
  <c r="BN82" i="20"/>
  <c r="Z82" i="20"/>
  <c r="AX82" i="20"/>
  <c r="AT82" i="20"/>
  <c r="AD82" i="20"/>
  <c r="CL83" i="20"/>
  <c r="CH83" i="20"/>
  <c r="CK83" i="20"/>
  <c r="CG83" i="20"/>
  <c r="CJ83" i="20"/>
  <c r="CM83" i="20"/>
  <c r="CI83" i="20"/>
  <c r="BR83" i="20"/>
  <c r="BN83" i="20"/>
  <c r="AX83" i="20"/>
  <c r="AT83" i="20"/>
  <c r="AD83" i="20"/>
  <c r="Z83" i="20"/>
  <c r="BQ83" i="20"/>
  <c r="BM83" i="20"/>
  <c r="AW83" i="20"/>
  <c r="AS83" i="20"/>
  <c r="AC83" i="20"/>
  <c r="Y83" i="20"/>
  <c r="BS83" i="20"/>
  <c r="BP83" i="20"/>
  <c r="AV83" i="20"/>
  <c r="AB83" i="20"/>
  <c r="BO83" i="20"/>
  <c r="AU83" i="20"/>
  <c r="AE83" i="20"/>
  <c r="AA83" i="20"/>
  <c r="AY83" i="20"/>
  <c r="CM178" i="20"/>
  <c r="CI178" i="20"/>
  <c r="BS178" i="20"/>
  <c r="BO178" i="20"/>
  <c r="AY178" i="20"/>
  <c r="AU178" i="20"/>
  <c r="AE178" i="20"/>
  <c r="AA178" i="20"/>
  <c r="CL178" i="20"/>
  <c r="CH178" i="20"/>
  <c r="BR178" i="20"/>
  <c r="BN178" i="20"/>
  <c r="AX178" i="20"/>
  <c r="AT178" i="20"/>
  <c r="AD178" i="20"/>
  <c r="Z178" i="20"/>
  <c r="CK178" i="20"/>
  <c r="CG178" i="20"/>
  <c r="BQ178" i="20"/>
  <c r="BM178" i="20"/>
  <c r="AW178" i="20"/>
  <c r="AS178" i="20"/>
  <c r="AC178" i="20"/>
  <c r="Y178" i="20"/>
  <c r="CJ178" i="20"/>
  <c r="AV178" i="20"/>
  <c r="BP178" i="20"/>
  <c r="AB178" i="20"/>
  <c r="BR51" i="20"/>
  <c r="BN51" i="20"/>
  <c r="AB51" i="20"/>
  <c r="BO51" i="20"/>
  <c r="Y51" i="20"/>
  <c r="BQ51" i="20"/>
  <c r="BM51" i="20"/>
  <c r="AE51" i="20"/>
  <c r="AA51" i="20"/>
  <c r="BS51" i="20"/>
  <c r="AC51" i="20"/>
  <c r="BP51" i="20"/>
  <c r="AD51" i="20"/>
  <c r="Z51" i="20"/>
  <c r="BQ53" i="20"/>
  <c r="BM53" i="20"/>
  <c r="AY53" i="20"/>
  <c r="AU53" i="20"/>
  <c r="AC53" i="20"/>
  <c r="Y53" i="20"/>
  <c r="BR53" i="20"/>
  <c r="AV53" i="20"/>
  <c r="Z53" i="20"/>
  <c r="BP53" i="20"/>
  <c r="AX53" i="20"/>
  <c r="AT53" i="20"/>
  <c r="AB53" i="20"/>
  <c r="AD53" i="20"/>
  <c r="BS53" i="20"/>
  <c r="BO53" i="20"/>
  <c r="AW53" i="20"/>
  <c r="AS53" i="20"/>
  <c r="AE53" i="20"/>
  <c r="AA53" i="20"/>
  <c r="BN53" i="20"/>
  <c r="BP54" i="20"/>
  <c r="AW54" i="20"/>
  <c r="AS54" i="20"/>
  <c r="AD54" i="20"/>
  <c r="Z54" i="20"/>
  <c r="BR54" i="20"/>
  <c r="AY54" i="20"/>
  <c r="BM54" i="20"/>
  <c r="AT54" i="20"/>
  <c r="AA54" i="20"/>
  <c r="BS54" i="20"/>
  <c r="BO54" i="20"/>
  <c r="AV54" i="20"/>
  <c r="AC54" i="20"/>
  <c r="Y54" i="20"/>
  <c r="BN54" i="20"/>
  <c r="AU54" i="20"/>
  <c r="AB54" i="20"/>
  <c r="BQ54" i="20"/>
  <c r="AX54" i="20"/>
  <c r="AE54" i="20"/>
  <c r="BS44" i="20"/>
  <c r="BO44" i="20"/>
  <c r="AW44" i="20"/>
  <c r="AS44" i="20"/>
  <c r="AE44" i="20"/>
  <c r="AA44" i="20"/>
  <c r="BR44" i="20"/>
  <c r="BN44" i="20"/>
  <c r="AV44" i="20"/>
  <c r="AD44" i="20"/>
  <c r="Z44" i="20"/>
  <c r="BQ44" i="20"/>
  <c r="BM44" i="20"/>
  <c r="AY44" i="20"/>
  <c r="AU44" i="20"/>
  <c r="AC44" i="20"/>
  <c r="Y44" i="20"/>
  <c r="BP44" i="20"/>
  <c r="AX44" i="20"/>
  <c r="AT44" i="20"/>
  <c r="AB44" i="20"/>
  <c r="BQ43" i="20"/>
  <c r="BM43" i="20"/>
  <c r="AX43" i="20"/>
  <c r="AT43" i="20"/>
  <c r="AE43" i="20"/>
  <c r="AA43" i="20"/>
  <c r="BR43" i="20"/>
  <c r="BP43" i="20"/>
  <c r="AW43" i="20"/>
  <c r="AS43" i="20"/>
  <c r="AD43" i="20"/>
  <c r="Z43" i="20"/>
  <c r="AU43" i="20"/>
  <c r="BS43" i="20"/>
  <c r="BO43" i="20"/>
  <c r="AV43" i="20"/>
  <c r="AC43" i="20"/>
  <c r="Y43" i="20"/>
  <c r="BN43" i="20"/>
  <c r="AY43" i="20"/>
  <c r="AB43" i="20"/>
  <c r="BS42" i="20"/>
  <c r="BO42" i="20"/>
  <c r="AY42" i="20"/>
  <c r="AU42" i="20"/>
  <c r="AE42" i="20"/>
  <c r="AA42" i="20"/>
  <c r="AV42" i="20"/>
  <c r="BR42" i="20"/>
  <c r="BN42" i="20"/>
  <c r="AX42" i="20"/>
  <c r="AT42" i="20"/>
  <c r="AD42" i="20"/>
  <c r="Z42" i="20"/>
  <c r="BQ42" i="20"/>
  <c r="BM42" i="20"/>
  <c r="AW42" i="20"/>
  <c r="AS42" i="20"/>
  <c r="AC42" i="20"/>
  <c r="Y42" i="20"/>
  <c r="BP42" i="20"/>
  <c r="AB42" i="20"/>
  <c r="BQ41" i="20"/>
  <c r="BM41" i="20"/>
  <c r="AV41" i="20"/>
  <c r="AE41" i="20"/>
  <c r="AA41" i="20"/>
  <c r="BO41" i="20"/>
  <c r="AT41" i="20"/>
  <c r="AC41" i="20"/>
  <c r="BR41" i="20"/>
  <c r="BN41" i="20"/>
  <c r="AW41" i="20"/>
  <c r="AS41" i="20"/>
  <c r="AB41" i="20"/>
  <c r="BP41" i="20"/>
  <c r="AY41" i="20"/>
  <c r="AU41" i="20"/>
  <c r="AD41" i="20"/>
  <c r="Z41" i="20"/>
  <c r="BS41" i="20"/>
  <c r="AX41" i="20"/>
  <c r="Y41" i="20"/>
  <c r="BS40" i="20"/>
  <c r="BO40" i="20"/>
  <c r="AW40" i="20"/>
  <c r="AS40" i="20"/>
  <c r="AE40" i="20"/>
  <c r="AA40" i="20"/>
  <c r="BQ40" i="20"/>
  <c r="AU40" i="20"/>
  <c r="Y40" i="20"/>
  <c r="AX40" i="20"/>
  <c r="AB40" i="20"/>
  <c r="BR40" i="20"/>
  <c r="BN40" i="20"/>
  <c r="AV40" i="20"/>
  <c r="AD40" i="20"/>
  <c r="Z40" i="20"/>
  <c r="BM40" i="20"/>
  <c r="AY40" i="20"/>
  <c r="AC40" i="20"/>
  <c r="BP40" i="20"/>
  <c r="AT40" i="20"/>
  <c r="AB35" i="20"/>
  <c r="AV35" i="20"/>
  <c r="BP35" i="20"/>
  <c r="AC35" i="20"/>
  <c r="AS35" i="20"/>
  <c r="BQ35" i="20"/>
  <c r="AE35" i="20"/>
  <c r="AA35" i="20"/>
  <c r="AY35" i="20"/>
  <c r="AU35" i="20"/>
  <c r="BS35" i="20"/>
  <c r="BO35" i="20"/>
  <c r="AD35" i="20"/>
  <c r="Z35" i="20"/>
  <c r="AX35" i="20"/>
  <c r="AT35" i="20"/>
  <c r="BR35" i="20"/>
  <c r="BN35" i="20"/>
  <c r="Y35" i="20"/>
  <c r="AW35" i="20"/>
  <c r="BM35" i="20"/>
  <c r="AE34" i="20"/>
  <c r="AA34" i="20"/>
  <c r="AX34" i="20"/>
  <c r="AT34" i="20"/>
  <c r="BQ34" i="20"/>
  <c r="BM34" i="20"/>
  <c r="AD34" i="20"/>
  <c r="Z34" i="20"/>
  <c r="AW34" i="20"/>
  <c r="AS34" i="20"/>
  <c r="BP34" i="20"/>
  <c r="AC34" i="20"/>
  <c r="Y34" i="20"/>
  <c r="AV34" i="20"/>
  <c r="BS34" i="20"/>
  <c r="BO34" i="20"/>
  <c r="AB34" i="20"/>
  <c r="AY34" i="20"/>
  <c r="AU34" i="20"/>
  <c r="BR34" i="20"/>
  <c r="BN34" i="20"/>
  <c r="N60" i="27"/>
  <c r="G35" i="38"/>
  <c r="H35" i="25"/>
  <c r="AX153" i="20"/>
  <c r="AT153" i="20"/>
  <c r="AB153" i="20"/>
  <c r="AW153" i="20"/>
  <c r="AS153" i="20"/>
  <c r="AE153" i="20"/>
  <c r="AA153" i="20"/>
  <c r="AV153" i="20"/>
  <c r="AD153" i="20"/>
  <c r="Z153" i="20"/>
  <c r="AY153" i="20"/>
  <c r="AC153" i="20"/>
  <c r="AU153" i="20"/>
  <c r="Y153" i="20"/>
  <c r="AX149" i="20"/>
  <c r="AT149" i="20"/>
  <c r="AB149" i="20"/>
  <c r="AW149" i="20"/>
  <c r="AS149" i="20"/>
  <c r="AE149" i="20"/>
  <c r="AA149" i="20"/>
  <c r="AV149" i="20"/>
  <c r="AD149" i="20"/>
  <c r="Z149" i="20"/>
  <c r="AU149" i="20"/>
  <c r="Y149" i="20"/>
  <c r="AY149" i="20"/>
  <c r="AC149" i="20"/>
  <c r="AW152" i="20"/>
  <c r="AS152" i="20"/>
  <c r="AE152" i="20"/>
  <c r="AA152" i="20"/>
  <c r="AV152" i="20"/>
  <c r="AD152" i="20"/>
  <c r="Z152" i="20"/>
  <c r="AY152" i="20"/>
  <c r="AU152" i="20"/>
  <c r="AC152" i="20"/>
  <c r="Y152" i="20"/>
  <c r="AX152" i="20"/>
  <c r="AB152" i="20"/>
  <c r="AT152" i="20"/>
  <c r="AV118" i="20"/>
  <c r="AE118" i="20"/>
  <c r="AA118" i="20"/>
  <c r="AX118" i="20"/>
  <c r="Y118" i="20"/>
  <c r="AS118" i="20"/>
  <c r="AY118" i="20"/>
  <c r="AU118" i="20"/>
  <c r="AD118" i="20"/>
  <c r="Z118" i="20"/>
  <c r="AT118" i="20"/>
  <c r="AC118" i="20"/>
  <c r="AW118" i="20"/>
  <c r="AB118" i="20"/>
  <c r="AY119" i="20"/>
  <c r="AU119" i="20"/>
  <c r="AC119" i="20"/>
  <c r="Y119" i="20"/>
  <c r="AV119" i="20"/>
  <c r="AX119" i="20"/>
  <c r="AT119" i="20"/>
  <c r="AB119" i="20"/>
  <c r="Z119" i="20"/>
  <c r="AW119" i="20"/>
  <c r="AS119" i="20"/>
  <c r="AE119" i="20"/>
  <c r="AA119" i="20"/>
  <c r="AD119" i="20"/>
  <c r="AF19" i="23"/>
  <c r="AF14" i="23"/>
  <c r="AF29" i="23"/>
  <c r="AF28" i="23"/>
  <c r="AF18" i="23"/>
  <c r="AF12" i="23"/>
  <c r="AF26" i="23"/>
  <c r="AF10" i="23"/>
  <c r="AF17" i="23"/>
  <c r="AF31" i="23"/>
  <c r="AF25" i="23"/>
  <c r="AF22" i="23"/>
  <c r="R17" i="24"/>
  <c r="U17" i="24" s="1"/>
  <c r="B10" i="10"/>
  <c r="C11" i="38"/>
  <c r="R10" i="24"/>
  <c r="U10" i="24" s="1"/>
  <c r="R64" i="24"/>
  <c r="U64" i="24" s="1"/>
  <c r="B90" i="10"/>
  <c r="C91" i="38"/>
  <c r="R96" i="24"/>
  <c r="U96" i="24" s="1"/>
  <c r="B117" i="10"/>
  <c r="C118" i="38"/>
  <c r="B157" i="10"/>
  <c r="C164" i="38"/>
  <c r="R165" i="24"/>
  <c r="U165" i="24" s="1"/>
  <c r="B12" i="10"/>
  <c r="C13" i="38"/>
  <c r="B179" i="10"/>
  <c r="C185" i="38"/>
  <c r="R22" i="24"/>
  <c r="U22" i="24" s="1"/>
  <c r="R31" i="24"/>
  <c r="U31" i="24" s="1"/>
  <c r="R33" i="24"/>
  <c r="U33" i="24" s="1"/>
  <c r="R34" i="24"/>
  <c r="U34" i="24" s="1"/>
  <c r="B121" i="10"/>
  <c r="C122" i="38"/>
  <c r="F40" i="38"/>
  <c r="G40" i="20"/>
  <c r="B11" i="10"/>
  <c r="C12" i="38"/>
  <c r="B37" i="10"/>
  <c r="C38" i="38"/>
  <c r="R47" i="24"/>
  <c r="U47" i="24" s="1"/>
  <c r="B53" i="10"/>
  <c r="C54" i="38"/>
  <c r="B68" i="10"/>
  <c r="C69" i="38"/>
  <c r="R76" i="24"/>
  <c r="U76" i="24" s="1"/>
  <c r="R81" i="24"/>
  <c r="U81" i="24" s="1"/>
  <c r="R82" i="24"/>
  <c r="U82" i="24" s="1"/>
  <c r="B14" i="10"/>
  <c r="C15" i="38"/>
  <c r="R18" i="24"/>
  <c r="U18" i="24" s="1"/>
  <c r="R46" i="24"/>
  <c r="U46" i="24" s="1"/>
  <c r="B112" i="10"/>
  <c r="C113" i="38"/>
  <c r="R118" i="24"/>
  <c r="B152" i="10"/>
  <c r="C159" i="38"/>
  <c r="B163" i="10"/>
  <c r="C170" i="38"/>
  <c r="B33" i="10"/>
  <c r="C34" i="38"/>
  <c r="B86" i="10"/>
  <c r="C87" i="38"/>
  <c r="R92" i="24"/>
  <c r="R108" i="24"/>
  <c r="U108" i="24" s="1"/>
  <c r="B136" i="10"/>
  <c r="C137" i="38"/>
  <c r="R148" i="24"/>
  <c r="U148" i="24" s="1"/>
  <c r="H40" i="20"/>
  <c r="G40" i="38"/>
  <c r="H41" i="38"/>
  <c r="I41" i="20"/>
  <c r="I42" i="38"/>
  <c r="J42" i="20"/>
  <c r="D44" i="38"/>
  <c r="E44" i="20"/>
  <c r="H57" i="20"/>
  <c r="G57" i="38"/>
  <c r="H63" i="38"/>
  <c r="I63" i="20"/>
  <c r="I64" i="38"/>
  <c r="J64" i="20"/>
  <c r="D66" i="38"/>
  <c r="E66" i="20"/>
  <c r="H66" i="38"/>
  <c r="I66" i="20"/>
  <c r="B13" i="10"/>
  <c r="C14" i="38"/>
  <c r="R36" i="24"/>
  <c r="U36" i="24" s="1"/>
  <c r="R37" i="24"/>
  <c r="U37" i="24" s="1"/>
  <c r="B64" i="10"/>
  <c r="C65" i="38"/>
  <c r="D65" i="20"/>
  <c r="B81" i="10"/>
  <c r="R90" i="24"/>
  <c r="U90" i="24" s="1"/>
  <c r="B96" i="10"/>
  <c r="C97" i="38"/>
  <c r="R105" i="24"/>
  <c r="U105" i="24" s="1"/>
  <c r="B111" i="10"/>
  <c r="C112" i="38"/>
  <c r="R117" i="24"/>
  <c r="B127" i="10"/>
  <c r="B151" i="10"/>
  <c r="C158" i="38"/>
  <c r="R157" i="24"/>
  <c r="U157" i="24" s="1"/>
  <c r="B165" i="10"/>
  <c r="C172" i="38"/>
  <c r="R177" i="24"/>
  <c r="U177" i="24" s="1"/>
  <c r="R12" i="24"/>
  <c r="U12" i="24" s="1"/>
  <c r="B17" i="10"/>
  <c r="C18" i="38"/>
  <c r="R19" i="24"/>
  <c r="U19" i="24" s="1"/>
  <c r="R52" i="24"/>
  <c r="U52" i="24" s="1"/>
  <c r="B69" i="10"/>
  <c r="C70" i="38"/>
  <c r="R88" i="24"/>
  <c r="B22" i="10"/>
  <c r="C23" i="38"/>
  <c r="R26" i="24"/>
  <c r="U26" i="24" s="1"/>
  <c r="B34" i="10"/>
  <c r="C35" i="38"/>
  <c r="B41" i="10"/>
  <c r="C42" i="38"/>
  <c r="D42" i="20"/>
  <c r="R39" i="24"/>
  <c r="U39" i="24" s="1"/>
  <c r="R40" i="24"/>
  <c r="U40" i="24" s="1"/>
  <c r="R41" i="24"/>
  <c r="U41" i="24" s="1"/>
  <c r="R42" i="24"/>
  <c r="U42" i="24" s="1"/>
  <c r="R43" i="24"/>
  <c r="U43" i="24" s="1"/>
  <c r="B50" i="10"/>
  <c r="C51" i="38"/>
  <c r="R71" i="24"/>
  <c r="U71" i="24" s="1"/>
  <c r="B174" i="10"/>
  <c r="C180" i="38"/>
  <c r="B15" i="10"/>
  <c r="C16" i="38"/>
  <c r="B16" i="10"/>
  <c r="C17" i="38"/>
  <c r="B23" i="10"/>
  <c r="C24" i="38"/>
  <c r="B24" i="10"/>
  <c r="C25" i="38"/>
  <c r="D40" i="38"/>
  <c r="E40" i="20"/>
  <c r="H40" i="38"/>
  <c r="I40" i="20"/>
  <c r="E41" i="38"/>
  <c r="F41" i="20"/>
  <c r="I41" i="38"/>
  <c r="J41" i="20"/>
  <c r="F42" i="38"/>
  <c r="G42" i="20"/>
  <c r="H43" i="20"/>
  <c r="G43" i="38"/>
  <c r="E44" i="38"/>
  <c r="F44" i="20"/>
  <c r="I44" i="38"/>
  <c r="J44" i="20"/>
  <c r="D57" i="38"/>
  <c r="E57" i="20"/>
  <c r="H57" i="38"/>
  <c r="I57" i="20"/>
  <c r="E63" i="38"/>
  <c r="F63" i="20"/>
  <c r="I63" i="38"/>
  <c r="J63" i="20"/>
  <c r="F64" i="38"/>
  <c r="G64" i="20"/>
  <c r="H65" i="20"/>
  <c r="G65" i="38"/>
  <c r="E66" i="38"/>
  <c r="F66" i="20"/>
  <c r="I66" i="38"/>
  <c r="J66" i="20"/>
  <c r="B36" i="10"/>
  <c r="C37" i="38"/>
  <c r="B178" i="10"/>
  <c r="C184" i="38"/>
  <c r="R77" i="24"/>
  <c r="U77" i="24" s="1"/>
  <c r="B43" i="10"/>
  <c r="C44" i="38"/>
  <c r="D44" i="20"/>
  <c r="R50" i="24"/>
  <c r="U50" i="24" s="1"/>
  <c r="B30" i="10"/>
  <c r="C31" i="38"/>
  <c r="B29" i="10"/>
  <c r="C30" i="38"/>
  <c r="R48" i="24"/>
  <c r="U48" i="24" s="1"/>
  <c r="R65" i="24"/>
  <c r="B77" i="10"/>
  <c r="C78" i="38"/>
  <c r="R106" i="24"/>
  <c r="U106" i="24" s="1"/>
  <c r="B128" i="10"/>
  <c r="R158" i="24"/>
  <c r="U158" i="24" s="1"/>
  <c r="B180" i="10"/>
  <c r="C186" i="38"/>
  <c r="R25" i="24"/>
  <c r="U25" i="24" s="1"/>
  <c r="C29" i="38"/>
  <c r="B40" i="10"/>
  <c r="C41" i="38"/>
  <c r="D41" i="20"/>
  <c r="B102" i="10"/>
  <c r="C103" i="38"/>
  <c r="B114" i="10"/>
  <c r="C115" i="38"/>
  <c r="B122" i="10"/>
  <c r="B154" i="10"/>
  <c r="C161" i="38"/>
  <c r="R161" i="24"/>
  <c r="U161" i="24" s="1"/>
  <c r="R173" i="24"/>
  <c r="U173" i="24" s="1"/>
  <c r="R174" i="24"/>
  <c r="U174" i="24" s="1"/>
  <c r="D41" i="38"/>
  <c r="E41" i="20"/>
  <c r="E42" i="38"/>
  <c r="F42" i="20"/>
  <c r="F43" i="38"/>
  <c r="G43" i="20"/>
  <c r="H44" i="38"/>
  <c r="I44" i="20"/>
  <c r="B56" i="10"/>
  <c r="C57" i="38"/>
  <c r="D57" i="20"/>
  <c r="D63" i="38"/>
  <c r="E63" i="20"/>
  <c r="E64" i="38"/>
  <c r="F64" i="20"/>
  <c r="F65" i="38"/>
  <c r="G65" i="20"/>
  <c r="B71" i="10"/>
  <c r="C72" i="38"/>
  <c r="B9" i="10"/>
  <c r="C10" i="38"/>
  <c r="R11" i="24"/>
  <c r="U11" i="24" s="1"/>
  <c r="R13" i="24"/>
  <c r="U13" i="24" s="1"/>
  <c r="B47" i="10"/>
  <c r="C48" i="38"/>
  <c r="R53" i="24"/>
  <c r="U53" i="24" s="1"/>
  <c r="R68" i="24"/>
  <c r="U68" i="24" s="1"/>
  <c r="B76" i="10"/>
  <c r="C77" i="38"/>
  <c r="B82" i="10"/>
  <c r="R14" i="24"/>
  <c r="U14" i="24" s="1"/>
  <c r="B18" i="10"/>
  <c r="C19" i="38"/>
  <c r="R29" i="24"/>
  <c r="U29" i="24" s="1"/>
  <c r="B48" i="10"/>
  <c r="C49" i="38"/>
  <c r="B65" i="10"/>
  <c r="C66" i="38"/>
  <c r="D66" i="20"/>
  <c r="R97" i="24"/>
  <c r="U97" i="24" s="1"/>
  <c r="B106" i="10"/>
  <c r="C107" i="38"/>
  <c r="R112" i="24"/>
  <c r="U112" i="24" s="1"/>
  <c r="B118" i="10"/>
  <c r="C119" i="38"/>
  <c r="C146" i="38"/>
  <c r="R152" i="24"/>
  <c r="U152" i="24" s="1"/>
  <c r="B158" i="10"/>
  <c r="C165" i="38"/>
  <c r="R163" i="24"/>
  <c r="U163" i="24" s="1"/>
  <c r="R178" i="24"/>
  <c r="U178" i="24" s="1"/>
  <c r="R179" i="24"/>
  <c r="U179" i="24" s="1"/>
  <c r="B25" i="10"/>
  <c r="C26" i="38"/>
  <c r="R28" i="24"/>
  <c r="U28" i="24" s="1"/>
  <c r="B42" i="10"/>
  <c r="C43" i="38"/>
  <c r="R86" i="24"/>
  <c r="B92" i="10"/>
  <c r="C93" i="38"/>
  <c r="R102" i="24"/>
  <c r="U102" i="24" s="1"/>
  <c r="B108" i="10"/>
  <c r="C109" i="38"/>
  <c r="R114" i="24"/>
  <c r="B148" i="10"/>
  <c r="C155" i="38"/>
  <c r="R154" i="24"/>
  <c r="U154" i="24" s="1"/>
  <c r="B161" i="10"/>
  <c r="C168" i="38"/>
  <c r="B175" i="10"/>
  <c r="C181" i="38"/>
  <c r="B20" i="10"/>
  <c r="C21" i="38"/>
  <c r="B21" i="10"/>
  <c r="C22" i="38"/>
  <c r="B27" i="10"/>
  <c r="C28" i="38"/>
  <c r="E40" i="38"/>
  <c r="F40" i="20"/>
  <c r="I40" i="38"/>
  <c r="J40" i="20"/>
  <c r="F41" i="38"/>
  <c r="G41" i="20"/>
  <c r="H42" i="20"/>
  <c r="G42" i="38"/>
  <c r="D43" i="38"/>
  <c r="E43" i="20"/>
  <c r="H43" i="38"/>
  <c r="I43" i="20"/>
  <c r="F44" i="38"/>
  <c r="G44" i="20"/>
  <c r="B52" i="10"/>
  <c r="C53" i="38"/>
  <c r="E57" i="38"/>
  <c r="F57" i="20"/>
  <c r="I57" i="38"/>
  <c r="J57" i="20"/>
  <c r="F63" i="38"/>
  <c r="G63" i="20"/>
  <c r="H64" i="20"/>
  <c r="G64" i="38"/>
  <c r="D65" i="38"/>
  <c r="E65" i="20"/>
  <c r="H65" i="38"/>
  <c r="I65" i="20"/>
  <c r="F66" i="38"/>
  <c r="G66" i="20"/>
  <c r="B124" i="10"/>
  <c r="B125" i="10"/>
  <c r="B126" i="10"/>
  <c r="R9" i="24"/>
  <c r="U9" i="24" s="1"/>
  <c r="B105" i="10"/>
  <c r="C106" i="38"/>
  <c r="R111" i="24"/>
  <c r="U111" i="24" s="1"/>
  <c r="C145" i="38"/>
  <c r="R151" i="24"/>
  <c r="U151" i="24" s="1"/>
  <c r="B19" i="10"/>
  <c r="C20" i="38"/>
  <c r="R59" i="24"/>
  <c r="U59" i="24" s="1"/>
  <c r="B88" i="10"/>
  <c r="C89" i="38"/>
  <c r="B26" i="10"/>
  <c r="C27" i="38"/>
  <c r="B39" i="10"/>
  <c r="C40" i="38"/>
  <c r="D40" i="20"/>
  <c r="B135" i="10"/>
  <c r="C136" i="38"/>
  <c r="H41" i="20"/>
  <c r="G41" i="38"/>
  <c r="D42" i="38"/>
  <c r="E42" i="20"/>
  <c r="H42" i="38"/>
  <c r="I42" i="20"/>
  <c r="E43" i="38"/>
  <c r="F43" i="20"/>
  <c r="I43" i="38"/>
  <c r="J43" i="20"/>
  <c r="H44" i="20"/>
  <c r="G44" i="38"/>
  <c r="F57" i="38"/>
  <c r="G57" i="20"/>
  <c r="B62" i="10"/>
  <c r="C63" i="38"/>
  <c r="D63" i="20"/>
  <c r="H63" i="20"/>
  <c r="G63" i="38"/>
  <c r="D64" i="38"/>
  <c r="E64" i="20"/>
  <c r="H64" i="38"/>
  <c r="I64" i="20"/>
  <c r="E65" i="38"/>
  <c r="F65" i="20"/>
  <c r="I65" i="38"/>
  <c r="J65" i="20"/>
  <c r="H66" i="20"/>
  <c r="G66" i="38"/>
  <c r="B67" i="10"/>
  <c r="C68" i="38"/>
  <c r="B97" i="10"/>
  <c r="C98" i="38"/>
  <c r="D139" i="38"/>
  <c r="D137" i="11"/>
  <c r="B150" i="10"/>
  <c r="C157" i="38"/>
  <c r="B156" i="10"/>
  <c r="C163" i="38"/>
  <c r="C19" i="11"/>
  <c r="D17" i="20"/>
  <c r="M61" i="2"/>
  <c r="N61" i="2" s="1"/>
  <c r="R88" i="26"/>
  <c r="R42" i="26"/>
  <c r="R102" i="26"/>
  <c r="R9" i="26"/>
  <c r="R64" i="26"/>
  <c r="R96" i="26"/>
  <c r="R151" i="26"/>
  <c r="BP152" i="20"/>
  <c r="BQ152" i="20"/>
  <c r="BS152" i="20"/>
  <c r="BO152" i="20"/>
  <c r="BR152" i="20"/>
  <c r="BN152" i="20"/>
  <c r="BM152" i="20"/>
  <c r="R165" i="26"/>
  <c r="R59" i="26"/>
  <c r="R97" i="26"/>
  <c r="R152" i="26"/>
  <c r="BQ153" i="20"/>
  <c r="BM153" i="20"/>
  <c r="BP153" i="20"/>
  <c r="BN153" i="20"/>
  <c r="BS153" i="20"/>
  <c r="BO153" i="20"/>
  <c r="BR153" i="20"/>
  <c r="R163" i="26"/>
  <c r="R178" i="26"/>
  <c r="R179" i="26"/>
  <c r="R40" i="26"/>
  <c r="R76" i="26"/>
  <c r="R81" i="26"/>
  <c r="R82" i="26"/>
  <c r="R48" i="26"/>
  <c r="R46" i="26"/>
  <c r="R65" i="26"/>
  <c r="R50" i="26"/>
  <c r="R92" i="26"/>
  <c r="R148" i="26"/>
  <c r="BQ149" i="20"/>
  <c r="BM149" i="20"/>
  <c r="BP149" i="20"/>
  <c r="BN149" i="20"/>
  <c r="BS149" i="20"/>
  <c r="BO149" i="20"/>
  <c r="BR149" i="20"/>
  <c r="R161" i="26"/>
  <c r="R173" i="26"/>
  <c r="R53" i="26"/>
  <c r="R68" i="26"/>
  <c r="R39" i="26"/>
  <c r="R41" i="26"/>
  <c r="R43" i="26"/>
  <c r="R71" i="26"/>
  <c r="R86" i="26"/>
  <c r="R154" i="26"/>
  <c r="R47" i="26"/>
  <c r="R90" i="26"/>
  <c r="R117" i="26"/>
  <c r="R157" i="26"/>
  <c r="R177" i="26"/>
  <c r="R52" i="26"/>
  <c r="R106" i="26"/>
  <c r="R118" i="26"/>
  <c r="R158" i="26"/>
  <c r="H102" i="28"/>
  <c r="H103" i="27"/>
  <c r="H103" i="26"/>
  <c r="H104" i="25"/>
  <c r="H103" i="24"/>
  <c r="H103" i="23"/>
  <c r="D103" i="11"/>
  <c r="E103" i="28"/>
  <c r="E104" i="27"/>
  <c r="E104" i="26"/>
  <c r="E105" i="25"/>
  <c r="E104" i="24"/>
  <c r="E104" i="23"/>
  <c r="H103" i="11"/>
  <c r="I103" i="28"/>
  <c r="I104" i="27"/>
  <c r="I104" i="26"/>
  <c r="I105" i="25"/>
  <c r="I104" i="24"/>
  <c r="I104" i="23"/>
  <c r="F104" i="28"/>
  <c r="F105" i="27"/>
  <c r="F105" i="26"/>
  <c r="F106" i="25"/>
  <c r="F105" i="24"/>
  <c r="F105" i="23"/>
  <c r="J104" i="28"/>
  <c r="J105" i="27"/>
  <c r="J105" i="26"/>
  <c r="J106" i="25"/>
  <c r="J105" i="24"/>
  <c r="J105" i="23"/>
  <c r="G105" i="28"/>
  <c r="G106" i="27"/>
  <c r="G106" i="26"/>
  <c r="G107" i="25"/>
  <c r="G106" i="24"/>
  <c r="G106" i="23"/>
  <c r="H107" i="28"/>
  <c r="H108" i="27"/>
  <c r="H108" i="26"/>
  <c r="H109" i="25"/>
  <c r="H108" i="24"/>
  <c r="H108" i="23"/>
  <c r="E108" i="11"/>
  <c r="F108" i="28"/>
  <c r="F109" i="27"/>
  <c r="F109" i="26"/>
  <c r="F110" i="25"/>
  <c r="F109" i="24"/>
  <c r="F109" i="23"/>
  <c r="J108" i="28"/>
  <c r="J109" i="27"/>
  <c r="J109" i="26"/>
  <c r="J110" i="25"/>
  <c r="J109" i="24"/>
  <c r="J109" i="23"/>
  <c r="H111" i="20"/>
  <c r="H109" i="28"/>
  <c r="H110" i="27"/>
  <c r="H110" i="26"/>
  <c r="H111" i="25"/>
  <c r="H110" i="24"/>
  <c r="H110" i="23"/>
  <c r="F110" i="28"/>
  <c r="F111" i="27"/>
  <c r="F111" i="26"/>
  <c r="F112" i="25"/>
  <c r="F111" i="24"/>
  <c r="F111" i="23"/>
  <c r="J110" i="28"/>
  <c r="J111" i="27"/>
  <c r="J111" i="26"/>
  <c r="J112" i="25"/>
  <c r="J111" i="24"/>
  <c r="J111" i="23"/>
  <c r="H111" i="28"/>
  <c r="H112" i="27"/>
  <c r="H112" i="26"/>
  <c r="H113" i="25"/>
  <c r="H112" i="24"/>
  <c r="H112" i="23"/>
  <c r="F113" i="28"/>
  <c r="F114" i="27"/>
  <c r="F114" i="26"/>
  <c r="F115" i="25"/>
  <c r="F114" i="24"/>
  <c r="F114" i="23"/>
  <c r="J113" i="28"/>
  <c r="J114" i="26"/>
  <c r="J114" i="27"/>
  <c r="J115" i="25"/>
  <c r="J114" i="24"/>
  <c r="J114" i="23"/>
  <c r="G114" i="28"/>
  <c r="G115" i="27"/>
  <c r="G115" i="26"/>
  <c r="G116" i="25"/>
  <c r="G115" i="24"/>
  <c r="G115" i="23"/>
  <c r="H115" i="28"/>
  <c r="H116" i="27"/>
  <c r="H116" i="26"/>
  <c r="H117" i="25"/>
  <c r="H116" i="24"/>
  <c r="H116" i="23"/>
  <c r="E116" i="28"/>
  <c r="E117" i="27"/>
  <c r="E117" i="26"/>
  <c r="E118" i="25"/>
  <c r="E117" i="24"/>
  <c r="E117" i="23"/>
  <c r="I116" i="28"/>
  <c r="I117" i="27"/>
  <c r="I117" i="26"/>
  <c r="I118" i="25"/>
  <c r="I117" i="24"/>
  <c r="I117" i="23"/>
  <c r="F117" i="28"/>
  <c r="F118" i="27"/>
  <c r="F118" i="26"/>
  <c r="F119" i="25"/>
  <c r="F118" i="24"/>
  <c r="F118" i="23"/>
  <c r="J117" i="28"/>
  <c r="J118" i="27"/>
  <c r="J118" i="26"/>
  <c r="J119" i="25"/>
  <c r="J118" i="24"/>
  <c r="J118" i="23"/>
  <c r="G120" i="28"/>
  <c r="G121" i="27"/>
  <c r="G121" i="26"/>
  <c r="G122" i="25"/>
  <c r="G121" i="24"/>
  <c r="G121" i="23"/>
  <c r="H121" i="28"/>
  <c r="H122" i="27"/>
  <c r="H122" i="26"/>
  <c r="H123" i="25"/>
  <c r="H122" i="24"/>
  <c r="H122" i="23"/>
  <c r="E122" i="28"/>
  <c r="E123" i="27"/>
  <c r="E123" i="26"/>
  <c r="E124" i="25"/>
  <c r="E123" i="24"/>
  <c r="E123" i="23"/>
  <c r="I122" i="28"/>
  <c r="I123" i="27"/>
  <c r="I124" i="25"/>
  <c r="I123" i="24"/>
  <c r="I123" i="26"/>
  <c r="I123" i="23"/>
  <c r="F126" i="28"/>
  <c r="F127" i="26"/>
  <c r="F127" i="27"/>
  <c r="F128" i="25"/>
  <c r="F127" i="24"/>
  <c r="F127" i="23"/>
  <c r="J126" i="28"/>
  <c r="J127" i="27"/>
  <c r="J127" i="26"/>
  <c r="J128" i="25"/>
  <c r="J127" i="24"/>
  <c r="J127" i="23"/>
  <c r="G127" i="28"/>
  <c r="G128" i="27"/>
  <c r="G128" i="26"/>
  <c r="G129" i="25"/>
  <c r="G128" i="24"/>
  <c r="G128" i="23"/>
  <c r="G125" i="20"/>
  <c r="G123" i="28"/>
  <c r="G124" i="27"/>
  <c r="G124" i="26"/>
  <c r="G125" i="25"/>
  <c r="G124" i="24"/>
  <c r="G124" i="23"/>
  <c r="G124" i="28"/>
  <c r="G125" i="27"/>
  <c r="G125" i="26"/>
  <c r="G126" i="25"/>
  <c r="G125" i="24"/>
  <c r="G125" i="23"/>
  <c r="F125" i="11"/>
  <c r="G125" i="28"/>
  <c r="G126" i="27"/>
  <c r="G126" i="26"/>
  <c r="G127" i="25"/>
  <c r="G126" i="24"/>
  <c r="G126" i="23"/>
  <c r="A24" i="30"/>
  <c r="H135" i="27"/>
  <c r="H135" i="26"/>
  <c r="H135" i="24"/>
  <c r="H136" i="25"/>
  <c r="H135" i="23"/>
  <c r="E135" i="28"/>
  <c r="E136" i="27"/>
  <c r="E136" i="26"/>
  <c r="E137" i="25"/>
  <c r="E136" i="24"/>
  <c r="E136" i="23"/>
  <c r="I135" i="28"/>
  <c r="I136" i="27"/>
  <c r="I136" i="26"/>
  <c r="I137" i="25"/>
  <c r="I136" i="24"/>
  <c r="I136" i="23"/>
  <c r="F136" i="28"/>
  <c r="F137" i="27"/>
  <c r="F137" i="26"/>
  <c r="F138" i="25"/>
  <c r="F137" i="24"/>
  <c r="F137" i="23"/>
  <c r="J136" i="28"/>
  <c r="J137" i="27"/>
  <c r="J137" i="26"/>
  <c r="J138" i="25"/>
  <c r="J137" i="24"/>
  <c r="J137" i="23"/>
  <c r="G139" i="20"/>
  <c r="G137" i="28"/>
  <c r="G138" i="27"/>
  <c r="G138" i="26"/>
  <c r="G139" i="25"/>
  <c r="G138" i="24"/>
  <c r="G138" i="23"/>
  <c r="H138" i="28"/>
  <c r="H139" i="27"/>
  <c r="H139" i="26"/>
  <c r="H140" i="25"/>
  <c r="H139" i="24"/>
  <c r="H139" i="23"/>
  <c r="G147" i="28"/>
  <c r="G148" i="27"/>
  <c r="G148" i="26"/>
  <c r="G149" i="25"/>
  <c r="G148" i="24"/>
  <c r="G148" i="23"/>
  <c r="H148" i="28"/>
  <c r="H149" i="27"/>
  <c r="H149" i="26"/>
  <c r="H150" i="25"/>
  <c r="H149" i="24"/>
  <c r="H149" i="23"/>
  <c r="E150" i="28"/>
  <c r="E151" i="27"/>
  <c r="E151" i="26"/>
  <c r="E152" i="25"/>
  <c r="E151" i="24"/>
  <c r="E151" i="23"/>
  <c r="I150" i="28"/>
  <c r="I151" i="27"/>
  <c r="I151" i="26"/>
  <c r="I151" i="24"/>
  <c r="I152" i="25"/>
  <c r="I151" i="23"/>
  <c r="F151" i="28"/>
  <c r="F152" i="27"/>
  <c r="F152" i="26"/>
  <c r="F152" i="24"/>
  <c r="F153" i="25"/>
  <c r="F152" i="23"/>
  <c r="J151" i="28"/>
  <c r="J152" i="27"/>
  <c r="J152" i="26"/>
  <c r="J152" i="24"/>
  <c r="J153" i="25"/>
  <c r="J152" i="23"/>
  <c r="F149" i="28"/>
  <c r="F150" i="27"/>
  <c r="F150" i="26"/>
  <c r="F151" i="25"/>
  <c r="F150" i="24"/>
  <c r="F150" i="23"/>
  <c r="J149" i="28"/>
  <c r="J150" i="26"/>
  <c r="J150" i="27"/>
  <c r="J151" i="25"/>
  <c r="J150" i="24"/>
  <c r="J150" i="23"/>
  <c r="G153" i="28"/>
  <c r="G154" i="27"/>
  <c r="G154" i="26"/>
  <c r="G155" i="25"/>
  <c r="G154" i="24"/>
  <c r="G154" i="23"/>
  <c r="H154" i="28"/>
  <c r="H155" i="27"/>
  <c r="H155" i="26"/>
  <c r="H156" i="25"/>
  <c r="H155" i="24"/>
  <c r="H155" i="23"/>
  <c r="E156" i="28"/>
  <c r="E157" i="27"/>
  <c r="E157" i="26"/>
  <c r="E158" i="25"/>
  <c r="E157" i="24"/>
  <c r="E157" i="23"/>
  <c r="I156" i="28"/>
  <c r="I157" i="27"/>
  <c r="I157" i="26"/>
  <c r="I158" i="25"/>
  <c r="I157" i="24"/>
  <c r="I157" i="23"/>
  <c r="F157" i="28"/>
  <c r="F158" i="26"/>
  <c r="F158" i="27"/>
  <c r="F159" i="25"/>
  <c r="F158" i="24"/>
  <c r="F158" i="23"/>
  <c r="J157" i="28"/>
  <c r="J158" i="26"/>
  <c r="J158" i="27"/>
  <c r="J159" i="25"/>
  <c r="J158" i="24"/>
  <c r="J158" i="23"/>
  <c r="F157" i="20"/>
  <c r="F155" i="28"/>
  <c r="F156" i="27"/>
  <c r="F156" i="26"/>
  <c r="F156" i="24"/>
  <c r="F157" i="25"/>
  <c r="F156" i="23"/>
  <c r="J157" i="20"/>
  <c r="J155" i="28"/>
  <c r="J156" i="27"/>
  <c r="J156" i="26"/>
  <c r="J156" i="24"/>
  <c r="J157" i="25"/>
  <c r="J156" i="23"/>
  <c r="G160" i="28"/>
  <c r="G161" i="27"/>
  <c r="G161" i="26"/>
  <c r="G162" i="25"/>
  <c r="G161" i="24"/>
  <c r="G161" i="23"/>
  <c r="H161" i="28"/>
  <c r="H162" i="27"/>
  <c r="H162" i="26"/>
  <c r="H163" i="25"/>
  <c r="H162" i="24"/>
  <c r="H162" i="23"/>
  <c r="E162" i="28"/>
  <c r="E163" i="27"/>
  <c r="E163" i="26"/>
  <c r="E164" i="25"/>
  <c r="E163" i="24"/>
  <c r="E163" i="23"/>
  <c r="I162" i="28"/>
  <c r="I163" i="27"/>
  <c r="I163" i="26"/>
  <c r="I164" i="25"/>
  <c r="I163" i="24"/>
  <c r="I163" i="23"/>
  <c r="E163" i="11"/>
  <c r="F163" i="28"/>
  <c r="F164" i="26"/>
  <c r="F165" i="25"/>
  <c r="F164" i="27"/>
  <c r="F164" i="24"/>
  <c r="F164" i="23"/>
  <c r="I163" i="11"/>
  <c r="J163" i="28"/>
  <c r="J164" i="26"/>
  <c r="J164" i="27"/>
  <c r="J165" i="25"/>
  <c r="J164" i="24"/>
  <c r="J164" i="23"/>
  <c r="G164" i="28"/>
  <c r="G165" i="27"/>
  <c r="G165" i="26"/>
  <c r="G166" i="25"/>
  <c r="G165" i="24"/>
  <c r="G165" i="23"/>
  <c r="H172" i="28"/>
  <c r="H173" i="27"/>
  <c r="H173" i="26"/>
  <c r="H174" i="25"/>
  <c r="H173" i="24"/>
  <c r="H173" i="23"/>
  <c r="E175" i="20"/>
  <c r="E173" i="28"/>
  <c r="E174" i="27"/>
  <c r="E174" i="26"/>
  <c r="E175" i="25"/>
  <c r="E174" i="24"/>
  <c r="E174" i="23"/>
  <c r="I173" i="28"/>
  <c r="I174" i="27"/>
  <c r="I174" i="26"/>
  <c r="I175" i="25"/>
  <c r="I174" i="24"/>
  <c r="I174" i="23"/>
  <c r="F176" i="20"/>
  <c r="F174" i="28"/>
  <c r="F175" i="26"/>
  <c r="F175" i="27"/>
  <c r="F176" i="25"/>
  <c r="F175" i="24"/>
  <c r="F175" i="23"/>
  <c r="J174" i="28"/>
  <c r="J175" i="27"/>
  <c r="J175" i="26"/>
  <c r="J176" i="25"/>
  <c r="J175" i="24"/>
  <c r="J175" i="23"/>
  <c r="G175" i="28"/>
  <c r="G176" i="27"/>
  <c r="G176" i="26"/>
  <c r="G177" i="25"/>
  <c r="G176" i="24"/>
  <c r="G176" i="23"/>
  <c r="H176" i="28"/>
  <c r="H177" i="27"/>
  <c r="H177" i="26"/>
  <c r="H177" i="24"/>
  <c r="H178" i="25"/>
  <c r="H177" i="23"/>
  <c r="E179" i="20"/>
  <c r="E177" i="28"/>
  <c r="E178" i="27"/>
  <c r="E178" i="26"/>
  <c r="E178" i="24"/>
  <c r="E179" i="25"/>
  <c r="E178" i="23"/>
  <c r="I179" i="20"/>
  <c r="I177" i="28"/>
  <c r="I178" i="27"/>
  <c r="I178" i="26"/>
  <c r="I178" i="24"/>
  <c r="I179" i="25"/>
  <c r="I178" i="23"/>
  <c r="F178" i="28"/>
  <c r="F179" i="26"/>
  <c r="F179" i="27"/>
  <c r="F179" i="24"/>
  <c r="F180" i="25"/>
  <c r="F179" i="23"/>
  <c r="J178" i="28"/>
  <c r="J179" i="27"/>
  <c r="J179" i="26"/>
  <c r="J179" i="24"/>
  <c r="J180" i="25"/>
  <c r="J179" i="23"/>
  <c r="G179" i="28"/>
  <c r="G180" i="27"/>
  <c r="G180" i="26"/>
  <c r="G180" i="24"/>
  <c r="G181" i="25"/>
  <c r="G180" i="23"/>
  <c r="AP10" i="2"/>
  <c r="AL10" i="2"/>
  <c r="AO10" i="2"/>
  <c r="W10" i="25"/>
  <c r="AJ10" i="2"/>
  <c r="D36" i="28"/>
  <c r="D37" i="27"/>
  <c r="D37" i="26"/>
  <c r="D37" i="24"/>
  <c r="D38" i="25"/>
  <c r="D37" i="23"/>
  <c r="D54" i="20"/>
  <c r="D52" i="28"/>
  <c r="D53" i="27"/>
  <c r="D53" i="26"/>
  <c r="D54" i="25"/>
  <c r="D53" i="24"/>
  <c r="D53" i="23"/>
  <c r="D69" i="20"/>
  <c r="D67" i="28"/>
  <c r="D68" i="27"/>
  <c r="D68" i="26"/>
  <c r="D69" i="25"/>
  <c r="D68" i="24"/>
  <c r="D68" i="23"/>
  <c r="AF90" i="23"/>
  <c r="AJ97" i="2"/>
  <c r="AO97" i="2"/>
  <c r="AP97" i="2"/>
  <c r="AL97" i="2"/>
  <c r="AM97" i="2"/>
  <c r="W97" i="25"/>
  <c r="AF157" i="23"/>
  <c r="AM166" i="2"/>
  <c r="AP166" i="2"/>
  <c r="AL166" i="2"/>
  <c r="AO166" i="2"/>
  <c r="W166" i="25"/>
  <c r="AJ166" i="2"/>
  <c r="AF52" i="23"/>
  <c r="AF59" i="23"/>
  <c r="AJ98" i="2"/>
  <c r="AM98" i="2"/>
  <c r="AL98" i="2"/>
  <c r="AP98" i="2"/>
  <c r="AO98" i="2"/>
  <c r="W98" i="25"/>
  <c r="AJ113" i="2"/>
  <c r="AP113" i="2"/>
  <c r="AL113" i="2"/>
  <c r="AO113" i="2"/>
  <c r="AN113" i="2"/>
  <c r="W113" i="25"/>
  <c r="AN179" i="2"/>
  <c r="AP179" i="2"/>
  <c r="AO179" i="2"/>
  <c r="AL179" i="2"/>
  <c r="W179" i="25"/>
  <c r="AJ179" i="2"/>
  <c r="C25" i="11"/>
  <c r="D25" i="28"/>
  <c r="D26" i="27"/>
  <c r="D27" i="25"/>
  <c r="D26" i="26"/>
  <c r="D26" i="24"/>
  <c r="D38" i="28"/>
  <c r="D39" i="27"/>
  <c r="D40" i="25"/>
  <c r="D39" i="26"/>
  <c r="D39" i="24"/>
  <c r="D39" i="23"/>
  <c r="C85" i="11"/>
  <c r="D85" i="28"/>
  <c r="D86" i="27"/>
  <c r="D86" i="26"/>
  <c r="D87" i="25"/>
  <c r="D86" i="24"/>
  <c r="D86" i="23"/>
  <c r="C113" i="11"/>
  <c r="D113" i="28"/>
  <c r="D114" i="27"/>
  <c r="D115" i="25"/>
  <c r="D114" i="24"/>
  <c r="D114" i="26"/>
  <c r="D114" i="23"/>
  <c r="C121" i="11"/>
  <c r="D121" i="28"/>
  <c r="D122" i="27"/>
  <c r="D122" i="26"/>
  <c r="D123" i="25"/>
  <c r="D122" i="24"/>
  <c r="D122" i="23"/>
  <c r="I9" i="23"/>
  <c r="I8" i="28"/>
  <c r="I9" i="27"/>
  <c r="I10" i="25"/>
  <c r="I9" i="26"/>
  <c r="I9" i="24"/>
  <c r="J9" i="28"/>
  <c r="J10" i="27"/>
  <c r="J11" i="25"/>
  <c r="J10" i="26"/>
  <c r="J10" i="24"/>
  <c r="H11" i="28"/>
  <c r="H12" i="27"/>
  <c r="H13" i="25"/>
  <c r="H12" i="26"/>
  <c r="H12" i="24"/>
  <c r="I13" i="23"/>
  <c r="I12" i="28"/>
  <c r="I13" i="27"/>
  <c r="I14" i="25"/>
  <c r="I13" i="26"/>
  <c r="I13" i="24"/>
  <c r="J14" i="23"/>
  <c r="J13" i="28"/>
  <c r="J14" i="27"/>
  <c r="J15" i="25"/>
  <c r="J14" i="26"/>
  <c r="J14" i="24"/>
  <c r="J15" i="23"/>
  <c r="J14" i="28"/>
  <c r="J15" i="27"/>
  <c r="J16" i="25"/>
  <c r="J15" i="26"/>
  <c r="J15" i="24"/>
  <c r="J15" i="28"/>
  <c r="J16" i="27"/>
  <c r="J17" i="25"/>
  <c r="J16" i="26"/>
  <c r="J16" i="24"/>
  <c r="H18" i="23"/>
  <c r="H17" i="28"/>
  <c r="H18" i="27"/>
  <c r="H19" i="25"/>
  <c r="H18" i="26"/>
  <c r="H18" i="24"/>
  <c r="I19" i="23"/>
  <c r="I18" i="28"/>
  <c r="I19" i="27"/>
  <c r="I20" i="25"/>
  <c r="I19" i="26"/>
  <c r="I19" i="24"/>
  <c r="E21" i="23"/>
  <c r="E20" i="28"/>
  <c r="E21" i="27"/>
  <c r="E22" i="25"/>
  <c r="E21" i="26"/>
  <c r="E21" i="24"/>
  <c r="F22" i="28"/>
  <c r="F23" i="27"/>
  <c r="F24" i="25"/>
  <c r="F23" i="26"/>
  <c r="F23" i="24"/>
  <c r="J24" i="23"/>
  <c r="J23" i="28"/>
  <c r="J24" i="27"/>
  <c r="J25" i="25"/>
  <c r="J24" i="26"/>
  <c r="J24" i="24"/>
  <c r="H26" i="23"/>
  <c r="H25" i="28"/>
  <c r="H26" i="27"/>
  <c r="H27" i="25"/>
  <c r="H26" i="26"/>
  <c r="H26" i="24"/>
  <c r="I27" i="23"/>
  <c r="I26" i="28"/>
  <c r="I27" i="27"/>
  <c r="I28" i="25"/>
  <c r="I27" i="26"/>
  <c r="I27" i="24"/>
  <c r="H28" i="28"/>
  <c r="H29" i="27"/>
  <c r="H30" i="25"/>
  <c r="H29" i="26"/>
  <c r="H29" i="24"/>
  <c r="E31" i="23"/>
  <c r="E30" i="28"/>
  <c r="E31" i="27"/>
  <c r="E32" i="25"/>
  <c r="E31" i="26"/>
  <c r="E31" i="24"/>
  <c r="G33" i="28"/>
  <c r="G34" i="27"/>
  <c r="G35" i="25"/>
  <c r="G34" i="26"/>
  <c r="G34" i="24"/>
  <c r="G34" i="23"/>
  <c r="I35" i="28"/>
  <c r="I36" i="27"/>
  <c r="I37" i="25"/>
  <c r="I36" i="26"/>
  <c r="I36" i="24"/>
  <c r="I36" i="23"/>
  <c r="G38" i="28"/>
  <c r="G39" i="27"/>
  <c r="G39" i="26"/>
  <c r="G39" i="24"/>
  <c r="G40" i="25"/>
  <c r="G39" i="23"/>
  <c r="D40" i="11"/>
  <c r="E40" i="28"/>
  <c r="E41" i="27"/>
  <c r="E42" i="25"/>
  <c r="E41" i="26"/>
  <c r="E41" i="24"/>
  <c r="E41" i="23"/>
  <c r="J41" i="28"/>
  <c r="J42" i="27"/>
  <c r="J42" i="26"/>
  <c r="J43" i="25"/>
  <c r="J42" i="24"/>
  <c r="J42" i="23"/>
  <c r="I47" i="20"/>
  <c r="I45" i="28"/>
  <c r="I46" i="27"/>
  <c r="I46" i="26"/>
  <c r="I47" i="25"/>
  <c r="I46" i="24"/>
  <c r="I46" i="23"/>
  <c r="G47" i="28"/>
  <c r="G48" i="27"/>
  <c r="G48" i="26"/>
  <c r="G49" i="25"/>
  <c r="G48" i="24"/>
  <c r="G48" i="23"/>
  <c r="E52" i="20"/>
  <c r="E50" i="28"/>
  <c r="E51" i="27"/>
  <c r="E51" i="26"/>
  <c r="E52" i="25"/>
  <c r="E51" i="24"/>
  <c r="E51" i="23"/>
  <c r="I53" i="20"/>
  <c r="I51" i="28"/>
  <c r="I52" i="27"/>
  <c r="I53" i="25"/>
  <c r="I52" i="26"/>
  <c r="I52" i="24"/>
  <c r="I52" i="23"/>
  <c r="G55" i="20"/>
  <c r="G53" i="28"/>
  <c r="G54" i="27"/>
  <c r="G54" i="26"/>
  <c r="G55" i="25"/>
  <c r="G54" i="24"/>
  <c r="G54" i="23"/>
  <c r="E62" i="28"/>
  <c r="E63" i="27"/>
  <c r="E63" i="26"/>
  <c r="E64" i="25"/>
  <c r="E63" i="24"/>
  <c r="E63" i="23"/>
  <c r="J63" i="28"/>
  <c r="J64" i="27"/>
  <c r="J64" i="26"/>
  <c r="J65" i="25"/>
  <c r="J64" i="24"/>
  <c r="J64" i="23"/>
  <c r="H68" i="20"/>
  <c r="H66" i="28"/>
  <c r="H67" i="27"/>
  <c r="H67" i="26"/>
  <c r="H68" i="25"/>
  <c r="H67" i="24"/>
  <c r="H67" i="23"/>
  <c r="F68" i="28"/>
  <c r="F69" i="27"/>
  <c r="F69" i="26"/>
  <c r="F69" i="24"/>
  <c r="F70" i="25"/>
  <c r="F69" i="23"/>
  <c r="E73" i="28"/>
  <c r="E74" i="27"/>
  <c r="E74" i="26"/>
  <c r="E75" i="25"/>
  <c r="E74" i="24"/>
  <c r="E74" i="23"/>
  <c r="J74" i="28"/>
  <c r="J75" i="27"/>
  <c r="J75" i="26"/>
  <c r="J76" i="25"/>
  <c r="J75" i="24"/>
  <c r="J75" i="23"/>
  <c r="H78" i="20"/>
  <c r="H76" i="28"/>
  <c r="H77" i="27"/>
  <c r="H77" i="26"/>
  <c r="H78" i="25"/>
  <c r="H77" i="24"/>
  <c r="H77" i="23"/>
  <c r="F79" i="28"/>
  <c r="F80" i="27"/>
  <c r="F80" i="26"/>
  <c r="F81" i="25"/>
  <c r="F80" i="24"/>
  <c r="F80" i="23"/>
  <c r="J79" i="28"/>
  <c r="J80" i="27"/>
  <c r="J80" i="26"/>
  <c r="J81" i="25"/>
  <c r="J80" i="24"/>
  <c r="J80" i="23"/>
  <c r="H82" i="23"/>
  <c r="H81" i="28"/>
  <c r="H82" i="27"/>
  <c r="H82" i="26"/>
  <c r="H83" i="25"/>
  <c r="H82" i="24"/>
  <c r="F86" i="28"/>
  <c r="F87" i="27"/>
  <c r="F87" i="26"/>
  <c r="F88" i="25"/>
  <c r="F87" i="24"/>
  <c r="F87" i="23"/>
  <c r="I89" i="28"/>
  <c r="I90" i="27"/>
  <c r="I90" i="26"/>
  <c r="I91" i="25"/>
  <c r="I90" i="24"/>
  <c r="I90" i="23"/>
  <c r="J96" i="28"/>
  <c r="J97" i="27"/>
  <c r="J97" i="26"/>
  <c r="J98" i="25"/>
  <c r="J97" i="24"/>
  <c r="J97" i="23"/>
  <c r="AF11" i="23"/>
  <c r="AO48" i="2"/>
  <c r="AN48" i="2"/>
  <c r="AP48" i="2"/>
  <c r="AM48" i="2"/>
  <c r="W48" i="25"/>
  <c r="AJ48" i="2"/>
  <c r="AF53" i="23"/>
  <c r="D63" i="28"/>
  <c r="D64" i="27"/>
  <c r="D64" i="26"/>
  <c r="D65" i="25"/>
  <c r="D64" i="24"/>
  <c r="D64" i="23"/>
  <c r="AF68" i="23"/>
  <c r="AJ77" i="2"/>
  <c r="AL77" i="2"/>
  <c r="AO77" i="2"/>
  <c r="AP77" i="2"/>
  <c r="W77" i="25"/>
  <c r="D82" i="20"/>
  <c r="D80" i="28"/>
  <c r="D81" i="27"/>
  <c r="D81" i="26"/>
  <c r="D82" i="25"/>
  <c r="D81" i="24"/>
  <c r="D81" i="23"/>
  <c r="AJ82" i="2"/>
  <c r="AM82" i="2"/>
  <c r="AP82" i="2"/>
  <c r="AL82" i="2"/>
  <c r="W82" i="25"/>
  <c r="AJ83" i="2"/>
  <c r="AP83" i="2"/>
  <c r="AL83" i="2"/>
  <c r="AN83" i="2"/>
  <c r="AO83" i="2"/>
  <c r="W83" i="25"/>
  <c r="D97" i="20"/>
  <c r="D95" i="28"/>
  <c r="D96" i="27"/>
  <c r="D96" i="26"/>
  <c r="D97" i="25"/>
  <c r="D96" i="24"/>
  <c r="D96" i="23"/>
  <c r="C110" i="11"/>
  <c r="D110" i="28"/>
  <c r="D111" i="27"/>
  <c r="D111" i="26"/>
  <c r="D112" i="25"/>
  <c r="D111" i="24"/>
  <c r="D111" i="23"/>
  <c r="D128" i="20"/>
  <c r="D126" i="28"/>
  <c r="D127" i="27"/>
  <c r="D127" i="26"/>
  <c r="D128" i="25"/>
  <c r="D127" i="24"/>
  <c r="D127" i="23"/>
  <c r="C150" i="11"/>
  <c r="D150" i="28"/>
  <c r="D151" i="27"/>
  <c r="D151" i="26"/>
  <c r="D152" i="25"/>
  <c r="D151" i="24"/>
  <c r="D151" i="23"/>
  <c r="D166" i="20"/>
  <c r="D164" i="28"/>
  <c r="D165" i="27"/>
  <c r="D165" i="26"/>
  <c r="D166" i="25"/>
  <c r="D165" i="24"/>
  <c r="D165" i="23"/>
  <c r="D16" i="28"/>
  <c r="D17" i="27"/>
  <c r="D18" i="25"/>
  <c r="D17" i="26"/>
  <c r="D17" i="24"/>
  <c r="AP19" i="2"/>
  <c r="AL19" i="2"/>
  <c r="AO19" i="2"/>
  <c r="W19" i="25"/>
  <c r="AJ19" i="2"/>
  <c r="AJ49" i="2"/>
  <c r="AN49" i="2"/>
  <c r="AM49" i="2"/>
  <c r="AO49" i="2"/>
  <c r="AP49" i="2"/>
  <c r="W49" i="25"/>
  <c r="AJ47" i="2"/>
  <c r="AP47" i="2"/>
  <c r="AO47" i="2"/>
  <c r="AM47" i="2"/>
  <c r="AN47" i="2"/>
  <c r="W47" i="25"/>
  <c r="AJ66" i="2"/>
  <c r="AO66" i="2"/>
  <c r="AP66" i="2"/>
  <c r="AM66" i="2"/>
  <c r="AL66" i="2"/>
  <c r="W66" i="25"/>
  <c r="D70" i="20"/>
  <c r="D68" i="28"/>
  <c r="D69" i="27"/>
  <c r="D69" i="26"/>
  <c r="D70" i="25"/>
  <c r="D69" i="24"/>
  <c r="D69" i="23"/>
  <c r="AJ78" i="2"/>
  <c r="AP78" i="2"/>
  <c r="AL78" i="2"/>
  <c r="AO78" i="2"/>
  <c r="W78" i="25"/>
  <c r="AF88" i="23"/>
  <c r="C111" i="11"/>
  <c r="D111" i="28"/>
  <c r="D112" i="27"/>
  <c r="D112" i="26"/>
  <c r="D113" i="25"/>
  <c r="D112" i="24"/>
  <c r="D112" i="23"/>
  <c r="D129" i="20"/>
  <c r="D127" i="28"/>
  <c r="D128" i="27"/>
  <c r="D128" i="26"/>
  <c r="D129" i="25"/>
  <c r="D128" i="24"/>
  <c r="D128" i="23"/>
  <c r="D153" i="20"/>
  <c r="D151" i="28"/>
  <c r="D152" i="27"/>
  <c r="D152" i="26"/>
  <c r="D153" i="25"/>
  <c r="D152" i="24"/>
  <c r="D152" i="23"/>
  <c r="D164" i="20"/>
  <c r="D162" i="28"/>
  <c r="D163" i="27"/>
  <c r="D163" i="26"/>
  <c r="D164" i="25"/>
  <c r="D163" i="24"/>
  <c r="D163" i="23"/>
  <c r="D180" i="20"/>
  <c r="D178" i="28"/>
  <c r="D179" i="27"/>
  <c r="D179" i="26"/>
  <c r="D180" i="25"/>
  <c r="D179" i="24"/>
  <c r="D179" i="23"/>
  <c r="AP23" i="2"/>
  <c r="AL23" i="2"/>
  <c r="AO23" i="2"/>
  <c r="W23" i="25"/>
  <c r="AJ23" i="2"/>
  <c r="D27" i="28"/>
  <c r="D28" i="27"/>
  <c r="D29" i="25"/>
  <c r="D28" i="26"/>
  <c r="D28" i="24"/>
  <c r="AO32" i="2"/>
  <c r="AL32" i="2"/>
  <c r="AP32" i="2"/>
  <c r="W32" i="25"/>
  <c r="AJ32" i="2"/>
  <c r="D34" i="20"/>
  <c r="D32" i="28"/>
  <c r="D33" i="27"/>
  <c r="D33" i="26"/>
  <c r="D34" i="25"/>
  <c r="D33" i="24"/>
  <c r="D33" i="23"/>
  <c r="AM34" i="2"/>
  <c r="AO34" i="2"/>
  <c r="AL34" i="2"/>
  <c r="AP34" i="2"/>
  <c r="W34" i="25"/>
  <c r="AJ34" i="2"/>
  <c r="AJ35" i="2"/>
  <c r="AM35" i="2"/>
  <c r="AP35" i="2"/>
  <c r="AL35" i="2"/>
  <c r="AO35" i="2"/>
  <c r="W35" i="25"/>
  <c r="C39" i="11"/>
  <c r="D39" i="28"/>
  <c r="D40" i="27"/>
  <c r="D40" i="26"/>
  <c r="D41" i="25"/>
  <c r="D40" i="24"/>
  <c r="D40" i="23"/>
  <c r="AF39" i="23"/>
  <c r="AF40" i="23"/>
  <c r="AF42" i="23"/>
  <c r="AJ51" i="2"/>
  <c r="AP51" i="2"/>
  <c r="AL51" i="2"/>
  <c r="AN51" i="2"/>
  <c r="AO51" i="2"/>
  <c r="W51" i="25"/>
  <c r="AF71" i="23"/>
  <c r="AF86" i="23"/>
  <c r="AO93" i="2"/>
  <c r="AN93" i="2"/>
  <c r="AL93" i="2"/>
  <c r="AP93" i="2"/>
  <c r="W93" i="25"/>
  <c r="AJ93" i="2"/>
  <c r="AF102" i="23"/>
  <c r="AJ109" i="2"/>
  <c r="AP109" i="2"/>
  <c r="AL109" i="2"/>
  <c r="AO109" i="2"/>
  <c r="AN109" i="2"/>
  <c r="W109" i="25"/>
  <c r="AO149" i="2"/>
  <c r="AN149" i="2"/>
  <c r="AP149" i="2"/>
  <c r="AL149" i="2"/>
  <c r="W149" i="25"/>
  <c r="AJ149" i="2"/>
  <c r="AF154" i="23"/>
  <c r="AJ162" i="2"/>
  <c r="AP162" i="2"/>
  <c r="AL162" i="2"/>
  <c r="AO162" i="2"/>
  <c r="W162" i="25"/>
  <c r="C172" i="11"/>
  <c r="D172" i="28"/>
  <c r="D173" i="27"/>
  <c r="D173" i="26"/>
  <c r="D174" i="25"/>
  <c r="D173" i="24"/>
  <c r="D173" i="23"/>
  <c r="AJ174" i="2"/>
  <c r="AO174" i="2"/>
  <c r="AN174" i="2"/>
  <c r="AP174" i="2"/>
  <c r="AL174" i="2"/>
  <c r="W174" i="25"/>
  <c r="AJ175" i="2"/>
  <c r="AN175" i="2"/>
  <c r="AM175" i="2"/>
  <c r="AL175" i="2"/>
  <c r="AP175" i="2"/>
  <c r="W175" i="25"/>
  <c r="F8" i="28"/>
  <c r="F9" i="27"/>
  <c r="F10" i="25"/>
  <c r="F9" i="26"/>
  <c r="F9" i="24"/>
  <c r="J8" i="28"/>
  <c r="J9" i="27"/>
  <c r="J10" i="25"/>
  <c r="J9" i="26"/>
  <c r="J9" i="24"/>
  <c r="G9" i="28"/>
  <c r="G10" i="27"/>
  <c r="G11" i="25"/>
  <c r="G10" i="26"/>
  <c r="G10" i="24"/>
  <c r="H11" i="23"/>
  <c r="H10" i="28"/>
  <c r="H11" i="27"/>
  <c r="H12" i="25"/>
  <c r="H11" i="26"/>
  <c r="E11" i="28"/>
  <c r="E12" i="27"/>
  <c r="E12" i="26"/>
  <c r="E12" i="24"/>
  <c r="E13" i="25"/>
  <c r="I12" i="23"/>
  <c r="I11" i="28"/>
  <c r="I12" i="27"/>
  <c r="I12" i="26"/>
  <c r="I13" i="25"/>
  <c r="I12" i="24"/>
  <c r="F12" i="28"/>
  <c r="F13" i="27"/>
  <c r="F14" i="25"/>
  <c r="F13" i="26"/>
  <c r="F13" i="24"/>
  <c r="J12" i="28"/>
  <c r="J13" i="27"/>
  <c r="J14" i="25"/>
  <c r="J13" i="26"/>
  <c r="J13" i="24"/>
  <c r="G14" i="23"/>
  <c r="G13" i="28"/>
  <c r="G14" i="27"/>
  <c r="G15" i="25"/>
  <c r="G14" i="26"/>
  <c r="G14" i="24"/>
  <c r="G14" i="28"/>
  <c r="G15" i="27"/>
  <c r="G15" i="26"/>
  <c r="G15" i="24"/>
  <c r="G16" i="25"/>
  <c r="G15" i="28"/>
  <c r="G16" i="27"/>
  <c r="G17" i="25"/>
  <c r="G16" i="26"/>
  <c r="G16" i="24"/>
  <c r="H16" i="28"/>
  <c r="H17" i="27"/>
  <c r="H18" i="25"/>
  <c r="H17" i="26"/>
  <c r="H17" i="24"/>
  <c r="E17" i="28"/>
  <c r="E18" i="27"/>
  <c r="E18" i="26"/>
  <c r="E18" i="24"/>
  <c r="E19" i="25"/>
  <c r="I18" i="23"/>
  <c r="I17" i="28"/>
  <c r="I18" i="27"/>
  <c r="I18" i="26"/>
  <c r="I19" i="25"/>
  <c r="I18" i="24"/>
  <c r="F19" i="23"/>
  <c r="F18" i="28"/>
  <c r="F19" i="27"/>
  <c r="F20" i="25"/>
  <c r="F19" i="26"/>
  <c r="F19" i="24"/>
  <c r="J19" i="23"/>
  <c r="J18" i="28"/>
  <c r="J19" i="27"/>
  <c r="J20" i="25"/>
  <c r="J19" i="26"/>
  <c r="J19" i="24"/>
  <c r="F19" i="28"/>
  <c r="F20" i="27"/>
  <c r="F21" i="25"/>
  <c r="F20" i="26"/>
  <c r="F20" i="24"/>
  <c r="J20" i="23"/>
  <c r="J19" i="28"/>
  <c r="J20" i="27"/>
  <c r="J21" i="25"/>
  <c r="J20" i="26"/>
  <c r="J20" i="24"/>
  <c r="F20" i="28"/>
  <c r="F21" i="27"/>
  <c r="F22" i="25"/>
  <c r="F21" i="26"/>
  <c r="F21" i="24"/>
  <c r="J21" i="23"/>
  <c r="J20" i="28"/>
  <c r="J21" i="27"/>
  <c r="J22" i="25"/>
  <c r="J21" i="26"/>
  <c r="J21" i="24"/>
  <c r="G22" i="23"/>
  <c r="G21" i="28"/>
  <c r="G22" i="27"/>
  <c r="G23" i="25"/>
  <c r="G22" i="26"/>
  <c r="G22" i="24"/>
  <c r="G23" i="23"/>
  <c r="G22" i="28"/>
  <c r="G23" i="27"/>
  <c r="G23" i="26"/>
  <c r="G23" i="24"/>
  <c r="G24" i="25"/>
  <c r="G23" i="28"/>
  <c r="G24" i="27"/>
  <c r="G25" i="25"/>
  <c r="G24" i="26"/>
  <c r="G24" i="24"/>
  <c r="H24" i="28"/>
  <c r="H25" i="27"/>
  <c r="H26" i="25"/>
  <c r="H25" i="26"/>
  <c r="H25" i="24"/>
  <c r="E25" i="28"/>
  <c r="E26" i="27"/>
  <c r="E26" i="26"/>
  <c r="E26" i="24"/>
  <c r="E27" i="25"/>
  <c r="I26" i="23"/>
  <c r="I25" i="28"/>
  <c r="I26" i="27"/>
  <c r="I26" i="26"/>
  <c r="I27" i="25"/>
  <c r="I26" i="24"/>
  <c r="F26" i="28"/>
  <c r="F27" i="27"/>
  <c r="F28" i="25"/>
  <c r="F27" i="26"/>
  <c r="F27" i="24"/>
  <c r="J26" i="28"/>
  <c r="J27" i="27"/>
  <c r="J28" i="25"/>
  <c r="J27" i="26"/>
  <c r="J27" i="24"/>
  <c r="G27" i="28"/>
  <c r="G28" i="27"/>
  <c r="G29" i="25"/>
  <c r="G28" i="26"/>
  <c r="G28" i="24"/>
  <c r="E29" i="23"/>
  <c r="E28" i="28"/>
  <c r="E29" i="27"/>
  <c r="E30" i="25"/>
  <c r="E29" i="26"/>
  <c r="E29" i="24"/>
  <c r="I29" i="23"/>
  <c r="I28" i="28"/>
  <c r="I29" i="27"/>
  <c r="I30" i="25"/>
  <c r="I29" i="26"/>
  <c r="I29" i="24"/>
  <c r="E29" i="28"/>
  <c r="E30" i="27"/>
  <c r="E30" i="26"/>
  <c r="E30" i="24"/>
  <c r="E31" i="25"/>
  <c r="I30" i="23"/>
  <c r="I29" i="28"/>
  <c r="I30" i="27"/>
  <c r="I30" i="26"/>
  <c r="I31" i="25"/>
  <c r="I30" i="24"/>
  <c r="F31" i="23"/>
  <c r="F30" i="28"/>
  <c r="F31" i="27"/>
  <c r="F32" i="25"/>
  <c r="F31" i="26"/>
  <c r="F31" i="24"/>
  <c r="J31" i="23"/>
  <c r="J30" i="28"/>
  <c r="J31" i="27"/>
  <c r="J32" i="25"/>
  <c r="J31" i="26"/>
  <c r="J31" i="24"/>
  <c r="G32" i="28"/>
  <c r="G33" i="27"/>
  <c r="G34" i="25"/>
  <c r="G33" i="26"/>
  <c r="G33" i="24"/>
  <c r="G33" i="23"/>
  <c r="H33" i="28"/>
  <c r="H34" i="27"/>
  <c r="H34" i="26"/>
  <c r="H34" i="24"/>
  <c r="H34" i="23"/>
  <c r="E34" i="28"/>
  <c r="E35" i="27"/>
  <c r="E36" i="25"/>
  <c r="E35" i="26"/>
  <c r="E35" i="24"/>
  <c r="E35" i="23"/>
  <c r="I34" i="28"/>
  <c r="I35" i="27"/>
  <c r="I36" i="25"/>
  <c r="I35" i="26"/>
  <c r="I35" i="24"/>
  <c r="I35" i="23"/>
  <c r="E35" i="11"/>
  <c r="F35" i="28"/>
  <c r="F36" i="27"/>
  <c r="F36" i="26"/>
  <c r="F36" i="24"/>
  <c r="F37" i="25"/>
  <c r="F36" i="23"/>
  <c r="J35" i="28"/>
  <c r="J36" i="27"/>
  <c r="J36" i="26"/>
  <c r="J36" i="24"/>
  <c r="J37" i="25"/>
  <c r="J36" i="23"/>
  <c r="F36" i="11"/>
  <c r="G36" i="28"/>
  <c r="G37" i="27"/>
  <c r="G38" i="25"/>
  <c r="G37" i="26"/>
  <c r="G37" i="24"/>
  <c r="G37" i="23"/>
  <c r="H38" i="28"/>
  <c r="H39" i="27"/>
  <c r="H40" i="25"/>
  <c r="H39" i="26"/>
  <c r="H39" i="24"/>
  <c r="H39" i="23"/>
  <c r="E39" i="28"/>
  <c r="E40" i="27"/>
  <c r="E40" i="26"/>
  <c r="E40" i="24"/>
  <c r="E41" i="25"/>
  <c r="E40" i="23"/>
  <c r="I39" i="28"/>
  <c r="I40" i="27"/>
  <c r="I40" i="26"/>
  <c r="I41" i="25"/>
  <c r="I40" i="24"/>
  <c r="I40" i="23"/>
  <c r="F40" i="28"/>
  <c r="F41" i="27"/>
  <c r="F41" i="26"/>
  <c r="F42" i="25"/>
  <c r="F41" i="24"/>
  <c r="F41" i="23"/>
  <c r="J40" i="28"/>
  <c r="J41" i="27"/>
  <c r="J41" i="26"/>
  <c r="J42" i="25"/>
  <c r="J41" i="24"/>
  <c r="J41" i="23"/>
  <c r="G41" i="28"/>
  <c r="G42" i="27"/>
  <c r="G43" i="25"/>
  <c r="G42" i="26"/>
  <c r="G42" i="24"/>
  <c r="G42" i="23"/>
  <c r="E42" i="28"/>
  <c r="E43" i="27"/>
  <c r="E43" i="26"/>
  <c r="E44" i="25"/>
  <c r="E43" i="24"/>
  <c r="E43" i="23"/>
  <c r="I42" i="28"/>
  <c r="I43" i="27"/>
  <c r="I44" i="25"/>
  <c r="I43" i="26"/>
  <c r="I43" i="24"/>
  <c r="I43" i="23"/>
  <c r="F47" i="20"/>
  <c r="F45" i="28"/>
  <c r="F46" i="27"/>
  <c r="F46" i="26"/>
  <c r="F47" i="25"/>
  <c r="F46" i="24"/>
  <c r="F46" i="23"/>
  <c r="J45" i="28"/>
  <c r="J46" i="27"/>
  <c r="J46" i="26"/>
  <c r="J46" i="24"/>
  <c r="J47" i="25"/>
  <c r="J46" i="23"/>
  <c r="G48" i="20"/>
  <c r="G46" i="28"/>
  <c r="G47" i="26"/>
  <c r="G47" i="27"/>
  <c r="G48" i="25"/>
  <c r="G47" i="24"/>
  <c r="G47" i="23"/>
  <c r="H49" i="20"/>
  <c r="H47" i="28"/>
  <c r="H48" i="27"/>
  <c r="H49" i="25"/>
  <c r="H48" i="24"/>
  <c r="H48" i="26"/>
  <c r="H48" i="23"/>
  <c r="E51" i="20"/>
  <c r="E49" i="28"/>
  <c r="E50" i="27"/>
  <c r="E50" i="26"/>
  <c r="E51" i="25"/>
  <c r="E50" i="24"/>
  <c r="E50" i="23"/>
  <c r="I51" i="20"/>
  <c r="I49" i="28"/>
  <c r="I50" i="27"/>
  <c r="I51" i="25"/>
  <c r="I50" i="26"/>
  <c r="I50" i="24"/>
  <c r="I50" i="23"/>
  <c r="E50" i="11"/>
  <c r="F50" i="28"/>
  <c r="F51" i="27"/>
  <c r="F51" i="26"/>
  <c r="F52" i="25"/>
  <c r="F51" i="24"/>
  <c r="F51" i="23"/>
  <c r="I50" i="11"/>
  <c r="J50" i="28"/>
  <c r="J51" i="27"/>
  <c r="J51" i="26"/>
  <c r="J52" i="25"/>
  <c r="J51" i="24"/>
  <c r="J51" i="23"/>
  <c r="F53" i="20"/>
  <c r="F51" i="28"/>
  <c r="F52" i="27"/>
  <c r="F52" i="26"/>
  <c r="F53" i="25"/>
  <c r="F52" i="24"/>
  <c r="F52" i="23"/>
  <c r="J53" i="20"/>
  <c r="J51" i="28"/>
  <c r="J52" i="27"/>
  <c r="J52" i="26"/>
  <c r="J52" i="24"/>
  <c r="J53" i="25"/>
  <c r="J52" i="23"/>
  <c r="F52" i="11"/>
  <c r="G52" i="28"/>
  <c r="G53" i="27"/>
  <c r="G54" i="25"/>
  <c r="G53" i="24"/>
  <c r="G53" i="26"/>
  <c r="G53" i="23"/>
  <c r="H53" i="28"/>
  <c r="H54" i="27"/>
  <c r="H54" i="26"/>
  <c r="H55" i="25"/>
  <c r="H54" i="24"/>
  <c r="H54" i="23"/>
  <c r="C55" i="11"/>
  <c r="D55" i="28"/>
  <c r="D56" i="27"/>
  <c r="D56" i="26"/>
  <c r="D57" i="25"/>
  <c r="D56" i="24"/>
  <c r="D56" i="23"/>
  <c r="H55" i="28"/>
  <c r="H56" i="27"/>
  <c r="H56" i="26"/>
  <c r="H57" i="25"/>
  <c r="H56" i="24"/>
  <c r="H56" i="23"/>
  <c r="I59" i="20"/>
  <c r="I57" i="28"/>
  <c r="I58" i="27"/>
  <c r="I58" i="26"/>
  <c r="I59" i="25"/>
  <c r="I58" i="24"/>
  <c r="I58" i="23"/>
  <c r="I58" i="28"/>
  <c r="I59" i="27"/>
  <c r="I59" i="26"/>
  <c r="I60" i="25"/>
  <c r="I59" i="24"/>
  <c r="I59" i="23"/>
  <c r="I59" i="28"/>
  <c r="I60" i="27"/>
  <c r="I60" i="26"/>
  <c r="I61" i="25"/>
  <c r="I60" i="24"/>
  <c r="I60" i="23"/>
  <c r="D61" i="11"/>
  <c r="E61" i="28"/>
  <c r="E62" i="27"/>
  <c r="E63" i="25"/>
  <c r="E62" i="24"/>
  <c r="E62" i="26"/>
  <c r="E62" i="23"/>
  <c r="I61" i="28"/>
  <c r="I62" i="27"/>
  <c r="I63" i="25"/>
  <c r="I62" i="26"/>
  <c r="I62" i="24"/>
  <c r="I62" i="23"/>
  <c r="F62" i="28"/>
  <c r="F63" i="27"/>
  <c r="F63" i="26"/>
  <c r="F64" i="25"/>
  <c r="F63" i="24"/>
  <c r="F63" i="23"/>
  <c r="J62" i="28"/>
  <c r="J63" i="27"/>
  <c r="J63" i="26"/>
  <c r="J64" i="25"/>
  <c r="J63" i="24"/>
  <c r="J63" i="23"/>
  <c r="F63" i="11"/>
  <c r="G63" i="28"/>
  <c r="G64" i="27"/>
  <c r="G64" i="26"/>
  <c r="G65" i="25"/>
  <c r="G64" i="24"/>
  <c r="G64" i="23"/>
  <c r="E64" i="28"/>
  <c r="E65" i="27"/>
  <c r="E65" i="26"/>
  <c r="E66" i="25"/>
  <c r="E65" i="24"/>
  <c r="E65" i="23"/>
  <c r="I64" i="28"/>
  <c r="I65" i="27"/>
  <c r="I65" i="26"/>
  <c r="I66" i="25"/>
  <c r="I65" i="24"/>
  <c r="I65" i="23"/>
  <c r="E68" i="20"/>
  <c r="E66" i="28"/>
  <c r="E67" i="27"/>
  <c r="E67" i="26"/>
  <c r="E68" i="25"/>
  <c r="E67" i="24"/>
  <c r="E67" i="23"/>
  <c r="I68" i="20"/>
  <c r="I66" i="28"/>
  <c r="I67" i="27"/>
  <c r="I67" i="26"/>
  <c r="I68" i="25"/>
  <c r="I67" i="24"/>
  <c r="I67" i="23"/>
  <c r="F69" i="20"/>
  <c r="F67" i="28"/>
  <c r="F68" i="27"/>
  <c r="F68" i="26"/>
  <c r="F69" i="25"/>
  <c r="F68" i="24"/>
  <c r="F68" i="23"/>
  <c r="J67" i="28"/>
  <c r="J68" i="27"/>
  <c r="J68" i="26"/>
  <c r="J69" i="25"/>
  <c r="J68" i="24"/>
  <c r="J68" i="23"/>
  <c r="G68" i="28"/>
  <c r="G69" i="27"/>
  <c r="G69" i="26"/>
  <c r="G70" i="25"/>
  <c r="G69" i="24"/>
  <c r="G69" i="23"/>
  <c r="H71" i="20"/>
  <c r="H69" i="28"/>
  <c r="H70" i="27"/>
  <c r="H70" i="26"/>
  <c r="H71" i="25"/>
  <c r="H70" i="24"/>
  <c r="H70" i="23"/>
  <c r="C70" i="11"/>
  <c r="D70" i="28"/>
  <c r="D71" i="27"/>
  <c r="D71" i="26"/>
  <c r="D72" i="25"/>
  <c r="D71" i="24"/>
  <c r="D71" i="23"/>
  <c r="H70" i="28"/>
  <c r="H71" i="27"/>
  <c r="H71" i="26"/>
  <c r="H72" i="25"/>
  <c r="H71" i="24"/>
  <c r="H71" i="23"/>
  <c r="F75" i="20"/>
  <c r="F73" i="28"/>
  <c r="F74" i="27"/>
  <c r="F74" i="26"/>
  <c r="F75" i="25"/>
  <c r="F74" i="24"/>
  <c r="F74" i="23"/>
  <c r="J75" i="20"/>
  <c r="J73" i="28"/>
  <c r="J74" i="26"/>
  <c r="J74" i="27"/>
  <c r="J75" i="25"/>
  <c r="J74" i="24"/>
  <c r="J74" i="23"/>
  <c r="F74" i="11"/>
  <c r="G74" i="28"/>
  <c r="G75" i="27"/>
  <c r="G75" i="26"/>
  <c r="G76" i="25"/>
  <c r="G75" i="24"/>
  <c r="G75" i="23"/>
  <c r="H75" i="28"/>
  <c r="H76" i="27"/>
  <c r="H76" i="26"/>
  <c r="H77" i="25"/>
  <c r="H76" i="24"/>
  <c r="H76" i="23"/>
  <c r="E76" i="28"/>
  <c r="E77" i="27"/>
  <c r="E77" i="26"/>
  <c r="E78" i="25"/>
  <c r="E77" i="24"/>
  <c r="E77" i="23"/>
  <c r="I76" i="28"/>
  <c r="I77" i="27"/>
  <c r="I77" i="26"/>
  <c r="I78" i="25"/>
  <c r="I77" i="24"/>
  <c r="I77" i="23"/>
  <c r="F80" i="20"/>
  <c r="F78" i="28"/>
  <c r="F79" i="27"/>
  <c r="F79" i="26"/>
  <c r="F80" i="25"/>
  <c r="F79" i="24"/>
  <c r="F79" i="23"/>
  <c r="J80" i="20"/>
  <c r="J78" i="28"/>
  <c r="J79" i="27"/>
  <c r="J79" i="26"/>
  <c r="J80" i="25"/>
  <c r="J79" i="24"/>
  <c r="J79" i="23"/>
  <c r="G79" i="28"/>
  <c r="G80" i="27"/>
  <c r="G80" i="26"/>
  <c r="G81" i="25"/>
  <c r="G80" i="24"/>
  <c r="G80" i="23"/>
  <c r="H81" i="23"/>
  <c r="H80" i="28"/>
  <c r="H81" i="27"/>
  <c r="H81" i="26"/>
  <c r="H82" i="25"/>
  <c r="H81" i="24"/>
  <c r="E83" i="20"/>
  <c r="E81" i="28"/>
  <c r="E82" i="27"/>
  <c r="E82" i="26"/>
  <c r="E83" i="25"/>
  <c r="E82" i="24"/>
  <c r="E82" i="23"/>
  <c r="I81" i="28"/>
  <c r="I82" i="27"/>
  <c r="I82" i="26"/>
  <c r="I83" i="25"/>
  <c r="I82" i="24"/>
  <c r="I82" i="23"/>
  <c r="F87" i="20"/>
  <c r="F85" i="28"/>
  <c r="F86" i="27"/>
  <c r="F86" i="26"/>
  <c r="F87" i="25"/>
  <c r="F86" i="24"/>
  <c r="F86" i="23"/>
  <c r="J87" i="20"/>
  <c r="J85" i="28"/>
  <c r="J86" i="27"/>
  <c r="J86" i="26"/>
  <c r="J86" i="24"/>
  <c r="J87" i="25"/>
  <c r="J86" i="23"/>
  <c r="G88" i="20"/>
  <c r="G86" i="28"/>
  <c r="G87" i="27"/>
  <c r="G87" i="26"/>
  <c r="G88" i="25"/>
  <c r="G87" i="24"/>
  <c r="G87" i="23"/>
  <c r="H87" i="28"/>
  <c r="H88" i="27"/>
  <c r="H88" i="26"/>
  <c r="H89" i="25"/>
  <c r="H88" i="24"/>
  <c r="H88" i="23"/>
  <c r="D88" i="11"/>
  <c r="E88" i="28"/>
  <c r="E89" i="27"/>
  <c r="E89" i="26"/>
  <c r="E90" i="25"/>
  <c r="E89" i="24"/>
  <c r="E89" i="23"/>
  <c r="I88" i="28"/>
  <c r="I89" i="27"/>
  <c r="I89" i="26"/>
  <c r="I90" i="25"/>
  <c r="I89" i="24"/>
  <c r="I89" i="23"/>
  <c r="E89" i="11"/>
  <c r="F89" i="28"/>
  <c r="F90" i="27"/>
  <c r="F90" i="26"/>
  <c r="F90" i="24"/>
  <c r="F91" i="25"/>
  <c r="F90" i="23"/>
  <c r="J89" i="28"/>
  <c r="J90" i="27"/>
  <c r="J90" i="26"/>
  <c r="J90" i="24"/>
  <c r="J91" i="25"/>
  <c r="J90" i="23"/>
  <c r="G91" i="28"/>
  <c r="G92" i="27"/>
  <c r="G92" i="26"/>
  <c r="G93" i="25"/>
  <c r="G92" i="24"/>
  <c r="G92" i="23"/>
  <c r="H94" i="20"/>
  <c r="H92" i="28"/>
  <c r="H93" i="27"/>
  <c r="H93" i="26"/>
  <c r="H94" i="25"/>
  <c r="H93" i="24"/>
  <c r="H93" i="23"/>
  <c r="E95" i="20"/>
  <c r="E93" i="28"/>
  <c r="E94" i="27"/>
  <c r="E94" i="26"/>
  <c r="E95" i="25"/>
  <c r="E94" i="24"/>
  <c r="E94" i="23"/>
  <c r="I95" i="20"/>
  <c r="I93" i="28"/>
  <c r="I94" i="27"/>
  <c r="I94" i="26"/>
  <c r="I95" i="25"/>
  <c r="I94" i="24"/>
  <c r="I94" i="23"/>
  <c r="F94" i="28"/>
  <c r="F95" i="27"/>
  <c r="F95" i="26"/>
  <c r="F96" i="25"/>
  <c r="F95" i="24"/>
  <c r="F95" i="23"/>
  <c r="J94" i="28"/>
  <c r="J95" i="26"/>
  <c r="J95" i="27"/>
  <c r="J96" i="25"/>
  <c r="J95" i="24"/>
  <c r="J95" i="23"/>
  <c r="G95" i="28"/>
  <c r="G96" i="27"/>
  <c r="G96" i="26"/>
  <c r="G97" i="25"/>
  <c r="G96" i="24"/>
  <c r="G96" i="23"/>
  <c r="G96" i="28"/>
  <c r="G97" i="27"/>
  <c r="G97" i="26"/>
  <c r="G98" i="25"/>
  <c r="G97" i="24"/>
  <c r="G97" i="23"/>
  <c r="H101" i="28"/>
  <c r="H102" i="27"/>
  <c r="H102" i="26"/>
  <c r="H103" i="25"/>
  <c r="H102" i="24"/>
  <c r="H102" i="23"/>
  <c r="E104" i="20"/>
  <c r="E102" i="28"/>
  <c r="E103" i="27"/>
  <c r="E103" i="26"/>
  <c r="E104" i="25"/>
  <c r="E103" i="24"/>
  <c r="E103" i="23"/>
  <c r="I102" i="28"/>
  <c r="I103" i="27"/>
  <c r="I103" i="26"/>
  <c r="I104" i="25"/>
  <c r="I103" i="24"/>
  <c r="I103" i="23"/>
  <c r="F103" i="28"/>
  <c r="F104" i="27"/>
  <c r="F104" i="26"/>
  <c r="F105" i="25"/>
  <c r="F104" i="24"/>
  <c r="F104" i="23"/>
  <c r="J103" i="28"/>
  <c r="J104" i="27"/>
  <c r="J105" i="25"/>
  <c r="J104" i="26"/>
  <c r="J104" i="24"/>
  <c r="J104" i="23"/>
  <c r="G104" i="28"/>
  <c r="G105" i="27"/>
  <c r="G105" i="26"/>
  <c r="G106" i="25"/>
  <c r="G105" i="24"/>
  <c r="G105" i="23"/>
  <c r="H105" i="28"/>
  <c r="H106" i="27"/>
  <c r="H106" i="26"/>
  <c r="H107" i="25"/>
  <c r="H106" i="24"/>
  <c r="H106" i="23"/>
  <c r="E109" i="20"/>
  <c r="E107" i="28"/>
  <c r="E108" i="27"/>
  <c r="E108" i="26"/>
  <c r="E109" i="25"/>
  <c r="E108" i="24"/>
  <c r="E108" i="23"/>
  <c r="I107" i="28"/>
  <c r="I108" i="27"/>
  <c r="I109" i="25"/>
  <c r="I108" i="26"/>
  <c r="I108" i="24"/>
  <c r="I108" i="23"/>
  <c r="G108" i="28"/>
  <c r="G109" i="27"/>
  <c r="G109" i="26"/>
  <c r="G110" i="25"/>
  <c r="G109" i="24"/>
  <c r="G109" i="23"/>
  <c r="E109" i="28"/>
  <c r="E110" i="27"/>
  <c r="E110" i="26"/>
  <c r="E111" i="25"/>
  <c r="E110" i="24"/>
  <c r="E110" i="23"/>
  <c r="I109" i="28"/>
  <c r="I110" i="27"/>
  <c r="I111" i="25"/>
  <c r="I110" i="26"/>
  <c r="I110" i="24"/>
  <c r="I110" i="23"/>
  <c r="G110" i="28"/>
  <c r="G111" i="27"/>
  <c r="G111" i="26"/>
  <c r="G112" i="25"/>
  <c r="G111" i="24"/>
  <c r="G111" i="23"/>
  <c r="E111" i="28"/>
  <c r="E112" i="27"/>
  <c r="E112" i="26"/>
  <c r="E113" i="25"/>
  <c r="E112" i="24"/>
  <c r="E112" i="23"/>
  <c r="I111" i="28"/>
  <c r="I112" i="27"/>
  <c r="I113" i="25"/>
  <c r="I112" i="26"/>
  <c r="I112" i="24"/>
  <c r="I112" i="23"/>
  <c r="G113" i="28"/>
  <c r="G114" i="27"/>
  <c r="G114" i="26"/>
  <c r="G115" i="25"/>
  <c r="G114" i="24"/>
  <c r="G114" i="23"/>
  <c r="H114" i="28"/>
  <c r="H115" i="27"/>
  <c r="H115" i="26"/>
  <c r="H116" i="25"/>
  <c r="H115" i="24"/>
  <c r="H115" i="23"/>
  <c r="E117" i="20"/>
  <c r="E115" i="28"/>
  <c r="E116" i="27"/>
  <c r="E116" i="26"/>
  <c r="E117" i="25"/>
  <c r="E116" i="24"/>
  <c r="E116" i="23"/>
  <c r="I117" i="20"/>
  <c r="I115" i="28"/>
  <c r="I116" i="27"/>
  <c r="I117" i="25"/>
  <c r="I116" i="24"/>
  <c r="I116" i="26"/>
  <c r="I116" i="23"/>
  <c r="F116" i="28"/>
  <c r="F117" i="27"/>
  <c r="F117" i="26"/>
  <c r="F118" i="25"/>
  <c r="F117" i="24"/>
  <c r="F117" i="23"/>
  <c r="J116" i="28"/>
  <c r="J117" i="27"/>
  <c r="J117" i="26"/>
  <c r="J118" i="25"/>
  <c r="J117" i="24"/>
  <c r="J117" i="23"/>
  <c r="G117" i="28"/>
  <c r="G118" i="27"/>
  <c r="G118" i="26"/>
  <c r="G119" i="25"/>
  <c r="G118" i="24"/>
  <c r="G118" i="23"/>
  <c r="H120" i="28"/>
  <c r="H121" i="27"/>
  <c r="H121" i="26"/>
  <c r="H122" i="25"/>
  <c r="H121" i="24"/>
  <c r="H121" i="23"/>
  <c r="E121" i="28"/>
  <c r="E122" i="27"/>
  <c r="E122" i="26"/>
  <c r="E123" i="25"/>
  <c r="E122" i="24"/>
  <c r="E122" i="23"/>
  <c r="I121" i="28"/>
  <c r="I122" i="27"/>
  <c r="I122" i="26"/>
  <c r="I123" i="25"/>
  <c r="I122" i="24"/>
  <c r="I122" i="23"/>
  <c r="F122" i="28"/>
  <c r="F123" i="26"/>
  <c r="F123" i="27"/>
  <c r="F124" i="25"/>
  <c r="F123" i="24"/>
  <c r="F123" i="23"/>
  <c r="J122" i="28"/>
  <c r="J123" i="27"/>
  <c r="J123" i="26"/>
  <c r="J124" i="25"/>
  <c r="J123" i="24"/>
  <c r="J123" i="23"/>
  <c r="G126" i="28"/>
  <c r="G127" i="27"/>
  <c r="G127" i="26"/>
  <c r="G128" i="25"/>
  <c r="G127" i="24"/>
  <c r="G127" i="23"/>
  <c r="H127" i="28"/>
  <c r="H128" i="27"/>
  <c r="H128" i="26"/>
  <c r="H129" i="25"/>
  <c r="H128" i="24"/>
  <c r="H128" i="23"/>
  <c r="D125" i="20"/>
  <c r="D123" i="28"/>
  <c r="D124" i="27"/>
  <c r="D124" i="26"/>
  <c r="D125" i="25"/>
  <c r="D124" i="24"/>
  <c r="D124" i="23"/>
  <c r="H123" i="28"/>
  <c r="H124" i="27"/>
  <c r="H124" i="26"/>
  <c r="H125" i="25"/>
  <c r="H124" i="24"/>
  <c r="H124" i="23"/>
  <c r="C124" i="11"/>
  <c r="D124" i="28"/>
  <c r="D125" i="27"/>
  <c r="D125" i="26"/>
  <c r="D126" i="25"/>
  <c r="D125" i="24"/>
  <c r="D125" i="23"/>
  <c r="H124" i="28"/>
  <c r="H125" i="27"/>
  <c r="H125" i="26"/>
  <c r="H126" i="25"/>
  <c r="H125" i="24"/>
  <c r="H125" i="23"/>
  <c r="D127" i="20"/>
  <c r="D125" i="28"/>
  <c r="D126" i="27"/>
  <c r="D126" i="26"/>
  <c r="D127" i="25"/>
  <c r="D126" i="24"/>
  <c r="D126" i="23"/>
  <c r="H125" i="28"/>
  <c r="H126" i="27"/>
  <c r="H126" i="26"/>
  <c r="H127" i="25"/>
  <c r="H126" i="24"/>
  <c r="H126" i="23"/>
  <c r="E134" i="28"/>
  <c r="E135" i="27"/>
  <c r="E135" i="26"/>
  <c r="E136" i="25"/>
  <c r="E135" i="24"/>
  <c r="E135" i="23"/>
  <c r="I134" i="28"/>
  <c r="I135" i="27"/>
  <c r="I135" i="26"/>
  <c r="I136" i="25"/>
  <c r="I135" i="24"/>
  <c r="I135" i="23"/>
  <c r="F135" i="28"/>
  <c r="F136" i="27"/>
  <c r="F136" i="26"/>
  <c r="F137" i="25"/>
  <c r="F136" i="24"/>
  <c r="F136" i="23"/>
  <c r="J135" i="28"/>
  <c r="J136" i="26"/>
  <c r="J136" i="27"/>
  <c r="J137" i="25"/>
  <c r="J136" i="24"/>
  <c r="J136" i="23"/>
  <c r="F136" i="11"/>
  <c r="G136" i="28"/>
  <c r="G137" i="27"/>
  <c r="G137" i="26"/>
  <c r="G138" i="25"/>
  <c r="G137" i="24"/>
  <c r="G137" i="23"/>
  <c r="H137" i="28"/>
  <c r="H138" i="27"/>
  <c r="H138" i="26"/>
  <c r="H139" i="25"/>
  <c r="H138" i="24"/>
  <c r="H138" i="23"/>
  <c r="E138" i="28"/>
  <c r="E139" i="27"/>
  <c r="E140" i="25"/>
  <c r="E139" i="24"/>
  <c r="E139" i="26"/>
  <c r="E139" i="23"/>
  <c r="I138" i="28"/>
  <c r="I139" i="27"/>
  <c r="I139" i="26"/>
  <c r="I140" i="25"/>
  <c r="I139" i="24"/>
  <c r="I139" i="23"/>
  <c r="H147" i="28"/>
  <c r="H148" i="27"/>
  <c r="H148" i="26"/>
  <c r="H149" i="25"/>
  <c r="H148" i="24"/>
  <c r="H148" i="23"/>
  <c r="E150" i="20"/>
  <c r="E148" i="28"/>
  <c r="E149" i="27"/>
  <c r="E149" i="26"/>
  <c r="E150" i="25"/>
  <c r="E149" i="24"/>
  <c r="E149" i="23"/>
  <c r="I148" i="28"/>
  <c r="I149" i="27"/>
  <c r="I149" i="26"/>
  <c r="I150" i="25"/>
  <c r="I149" i="24"/>
  <c r="I149" i="23"/>
  <c r="F150" i="28"/>
  <c r="F151" i="26"/>
  <c r="F151" i="27"/>
  <c r="F152" i="25"/>
  <c r="F151" i="24"/>
  <c r="F151" i="23"/>
  <c r="J150" i="28"/>
  <c r="J151" i="27"/>
  <c r="J151" i="26"/>
  <c r="J152" i="25"/>
  <c r="J151" i="24"/>
  <c r="J151" i="23"/>
  <c r="G151" i="28"/>
  <c r="G152" i="27"/>
  <c r="G152" i="26"/>
  <c r="G153" i="25"/>
  <c r="G152" i="24"/>
  <c r="G152" i="23"/>
  <c r="F149" i="11"/>
  <c r="G149" i="28"/>
  <c r="G150" i="27"/>
  <c r="G150" i="26"/>
  <c r="G151" i="25"/>
  <c r="G150" i="24"/>
  <c r="G150" i="23"/>
  <c r="H153" i="28"/>
  <c r="H154" i="27"/>
  <c r="H154" i="26"/>
  <c r="H155" i="25"/>
  <c r="H154" i="24"/>
  <c r="H154" i="23"/>
  <c r="E156" i="20"/>
  <c r="E154" i="28"/>
  <c r="E155" i="27"/>
  <c r="E155" i="26"/>
  <c r="E156" i="25"/>
  <c r="E155" i="24"/>
  <c r="E155" i="23"/>
  <c r="I154" i="28"/>
  <c r="I155" i="27"/>
  <c r="I155" i="26"/>
  <c r="I156" i="25"/>
  <c r="I155" i="24"/>
  <c r="I155" i="23"/>
  <c r="F156" i="28"/>
  <c r="F157" i="27"/>
  <c r="F157" i="26"/>
  <c r="F157" i="24"/>
  <c r="F158" i="25"/>
  <c r="F157" i="23"/>
  <c r="J156" i="28"/>
  <c r="J157" i="27"/>
  <c r="J157" i="26"/>
  <c r="J157" i="24"/>
  <c r="J158" i="25"/>
  <c r="J157" i="23"/>
  <c r="G157" i="28"/>
  <c r="G158" i="27"/>
  <c r="G158" i="26"/>
  <c r="G159" i="25"/>
  <c r="G158" i="24"/>
  <c r="G158" i="23"/>
  <c r="G155" i="28"/>
  <c r="G156" i="27"/>
  <c r="G156" i="26"/>
  <c r="G157" i="25"/>
  <c r="G156" i="24"/>
  <c r="G156" i="23"/>
  <c r="H160" i="28"/>
  <c r="H161" i="27"/>
  <c r="H161" i="26"/>
  <c r="H162" i="25"/>
  <c r="H161" i="24"/>
  <c r="H161" i="23"/>
  <c r="E163" i="20"/>
  <c r="E161" i="28"/>
  <c r="E162" i="27"/>
  <c r="E162" i="26"/>
  <c r="E163" i="25"/>
  <c r="E162" i="24"/>
  <c r="E162" i="23"/>
  <c r="I161" i="28"/>
  <c r="I162" i="27"/>
  <c r="I162" i="26"/>
  <c r="I163" i="25"/>
  <c r="I162" i="24"/>
  <c r="I162" i="23"/>
  <c r="F162" i="28"/>
  <c r="F163" i="27"/>
  <c r="F163" i="26"/>
  <c r="F164" i="25"/>
  <c r="F163" i="24"/>
  <c r="F163" i="23"/>
  <c r="J162" i="28"/>
  <c r="J163" i="27"/>
  <c r="J163" i="26"/>
  <c r="J164" i="25"/>
  <c r="J163" i="24"/>
  <c r="J163" i="23"/>
  <c r="G163" i="28"/>
  <c r="G164" i="27"/>
  <c r="G165" i="25"/>
  <c r="G164" i="26"/>
  <c r="G164" i="24"/>
  <c r="G164" i="23"/>
  <c r="H164" i="28"/>
  <c r="H165" i="27"/>
  <c r="H165" i="26"/>
  <c r="H166" i="25"/>
  <c r="H165" i="24"/>
  <c r="H165" i="23"/>
  <c r="E174" i="20"/>
  <c r="E172" i="28"/>
  <c r="E173" i="27"/>
  <c r="E173" i="26"/>
  <c r="E174" i="25"/>
  <c r="E173" i="24"/>
  <c r="E173" i="23"/>
  <c r="I172" i="28"/>
  <c r="I173" i="27"/>
  <c r="I173" i="26"/>
  <c r="I174" i="25"/>
  <c r="I173" i="24"/>
  <c r="I173" i="23"/>
  <c r="F173" i="28"/>
  <c r="F174" i="26"/>
  <c r="F174" i="27"/>
  <c r="F175" i="25"/>
  <c r="F174" i="24"/>
  <c r="F174" i="23"/>
  <c r="J173" i="28"/>
  <c r="J174" i="26"/>
  <c r="J174" i="27"/>
  <c r="J175" i="25"/>
  <c r="J174" i="24"/>
  <c r="J174" i="23"/>
  <c r="G176" i="20"/>
  <c r="G174" i="28"/>
  <c r="G175" i="27"/>
  <c r="G175" i="26"/>
  <c r="G176" i="25"/>
  <c r="G175" i="24"/>
  <c r="G175" i="23"/>
  <c r="G175" i="11"/>
  <c r="H175" i="28"/>
  <c r="H176" i="27"/>
  <c r="H176" i="26"/>
  <c r="H176" i="24"/>
  <c r="H177" i="25"/>
  <c r="H176" i="23"/>
  <c r="E176" i="28"/>
  <c r="E177" i="27"/>
  <c r="E177" i="26"/>
  <c r="E178" i="25"/>
  <c r="E177" i="24"/>
  <c r="E177" i="23"/>
  <c r="I176" i="28"/>
  <c r="I177" i="27"/>
  <c r="I178" i="25"/>
  <c r="I177" i="26"/>
  <c r="I177" i="24"/>
  <c r="I177" i="23"/>
  <c r="F177" i="28"/>
  <c r="F178" i="26"/>
  <c r="F178" i="27"/>
  <c r="F178" i="24"/>
  <c r="F179" i="25"/>
  <c r="F178" i="23"/>
  <c r="J177" i="28"/>
  <c r="J178" i="26"/>
  <c r="J178" i="27"/>
  <c r="J178" i="24"/>
  <c r="J179" i="25"/>
  <c r="J178" i="23"/>
  <c r="G178" i="28"/>
  <c r="G179" i="27"/>
  <c r="G179" i="26"/>
  <c r="G179" i="24"/>
  <c r="G180" i="25"/>
  <c r="G179" i="23"/>
  <c r="H179" i="28"/>
  <c r="H180" i="27"/>
  <c r="H180" i="26"/>
  <c r="H180" i="24"/>
  <c r="H181" i="25"/>
  <c r="H180" i="23"/>
  <c r="D10" i="28"/>
  <c r="D11" i="27"/>
  <c r="D12" i="25"/>
  <c r="D11" i="26"/>
  <c r="D11" i="24"/>
  <c r="AP11" i="2"/>
  <c r="AL11" i="2"/>
  <c r="AO11" i="2"/>
  <c r="W11" i="25"/>
  <c r="AJ11" i="2"/>
  <c r="AF105" i="23"/>
  <c r="AJ112" i="2"/>
  <c r="AP112" i="2"/>
  <c r="AL112" i="2"/>
  <c r="AO112" i="2"/>
  <c r="AN112" i="2"/>
  <c r="W112" i="25"/>
  <c r="AF177" i="23"/>
  <c r="D13" i="28"/>
  <c r="D14" i="27"/>
  <c r="D15" i="25"/>
  <c r="D14" i="26"/>
  <c r="D14" i="24"/>
  <c r="AP18" i="2"/>
  <c r="AL18" i="2"/>
  <c r="AO18" i="2"/>
  <c r="W18" i="25"/>
  <c r="AJ18" i="2"/>
  <c r="D28" i="28"/>
  <c r="D29" i="27"/>
  <c r="D30" i="25"/>
  <c r="D29" i="26"/>
  <c r="D29" i="24"/>
  <c r="D78" i="20"/>
  <c r="D76" i="28"/>
  <c r="D77" i="27"/>
  <c r="D77" i="26"/>
  <c r="D78" i="25"/>
  <c r="D77" i="24"/>
  <c r="D77" i="23"/>
  <c r="AF106" i="23"/>
  <c r="AF158" i="23"/>
  <c r="AJ164" i="2"/>
  <c r="AO164" i="2"/>
  <c r="AL164" i="2"/>
  <c r="AP164" i="2"/>
  <c r="AM164" i="2"/>
  <c r="W164" i="25"/>
  <c r="C42" i="11"/>
  <c r="D42" i="28"/>
  <c r="D43" i="27"/>
  <c r="D43" i="26"/>
  <c r="D44" i="25"/>
  <c r="D43" i="24"/>
  <c r="D43" i="23"/>
  <c r="D103" i="20"/>
  <c r="D101" i="28"/>
  <c r="D102" i="27"/>
  <c r="D102" i="26"/>
  <c r="D103" i="25"/>
  <c r="D102" i="24"/>
  <c r="D102" i="23"/>
  <c r="D137" i="20"/>
  <c r="D135" i="28"/>
  <c r="D136" i="27"/>
  <c r="D136" i="26"/>
  <c r="D137" i="25"/>
  <c r="D136" i="24"/>
  <c r="D136" i="23"/>
  <c r="D155" i="20"/>
  <c r="D153" i="28"/>
  <c r="D154" i="27"/>
  <c r="D154" i="26"/>
  <c r="D154" i="24"/>
  <c r="D155" i="25"/>
  <c r="D154" i="23"/>
  <c r="E8" i="28"/>
  <c r="E9" i="27"/>
  <c r="E10" i="25"/>
  <c r="E9" i="26"/>
  <c r="E9" i="24"/>
  <c r="F9" i="28"/>
  <c r="F11" i="25"/>
  <c r="F10" i="26"/>
  <c r="F10" i="24"/>
  <c r="G10" i="28"/>
  <c r="G11" i="27"/>
  <c r="G11" i="26"/>
  <c r="G11" i="24"/>
  <c r="G12" i="25"/>
  <c r="E12" i="28"/>
  <c r="E13" i="27"/>
  <c r="E14" i="25"/>
  <c r="E13" i="26"/>
  <c r="E13" i="24"/>
  <c r="F14" i="23"/>
  <c r="F13" i="28"/>
  <c r="F14" i="27"/>
  <c r="F15" i="25"/>
  <c r="F14" i="26"/>
  <c r="F14" i="24"/>
  <c r="F14" i="28"/>
  <c r="F15" i="27"/>
  <c r="F16" i="25"/>
  <c r="F15" i="26"/>
  <c r="F15" i="24"/>
  <c r="F15" i="28"/>
  <c r="F16" i="27"/>
  <c r="F17" i="25"/>
  <c r="F16" i="26"/>
  <c r="F16" i="24"/>
  <c r="G17" i="23"/>
  <c r="G16" i="28"/>
  <c r="G17" i="27"/>
  <c r="G17" i="26"/>
  <c r="G17" i="24"/>
  <c r="G18" i="25"/>
  <c r="E19" i="23"/>
  <c r="E18" i="28"/>
  <c r="E19" i="27"/>
  <c r="E20" i="25"/>
  <c r="E19" i="26"/>
  <c r="E19" i="24"/>
  <c r="I20" i="23"/>
  <c r="I19" i="28"/>
  <c r="I20" i="27"/>
  <c r="I20" i="26"/>
  <c r="I21" i="25"/>
  <c r="I20" i="24"/>
  <c r="F22" i="23"/>
  <c r="F21" i="28"/>
  <c r="F22" i="27"/>
  <c r="F23" i="25"/>
  <c r="F22" i="26"/>
  <c r="F22" i="24"/>
  <c r="J23" i="23"/>
  <c r="J22" i="28"/>
  <c r="J23" i="27"/>
  <c r="J24" i="25"/>
  <c r="J23" i="26"/>
  <c r="J23" i="24"/>
  <c r="G25" i="23"/>
  <c r="G24" i="28"/>
  <c r="G25" i="27"/>
  <c r="G25" i="26"/>
  <c r="G25" i="24"/>
  <c r="G26" i="25"/>
  <c r="E26" i="28"/>
  <c r="E27" i="27"/>
  <c r="E28" i="25"/>
  <c r="E27" i="26"/>
  <c r="E27" i="24"/>
  <c r="J28" i="23"/>
  <c r="J27" i="28"/>
  <c r="J28" i="27"/>
  <c r="J29" i="25"/>
  <c r="J28" i="26"/>
  <c r="J28" i="24"/>
  <c r="H30" i="23"/>
  <c r="H29" i="28"/>
  <c r="H30" i="27"/>
  <c r="H31" i="25"/>
  <c r="H30" i="26"/>
  <c r="H30" i="24"/>
  <c r="F32" i="28"/>
  <c r="F33" i="27"/>
  <c r="F34" i="25"/>
  <c r="F33" i="26"/>
  <c r="F33" i="24"/>
  <c r="F33" i="23"/>
  <c r="E35" i="28"/>
  <c r="E36" i="27"/>
  <c r="E37" i="25"/>
  <c r="E36" i="26"/>
  <c r="E36" i="24"/>
  <c r="E36" i="23"/>
  <c r="J36" i="28"/>
  <c r="J37" i="27"/>
  <c r="J38" i="25"/>
  <c r="J37" i="26"/>
  <c r="J37" i="24"/>
  <c r="J37" i="23"/>
  <c r="H39" i="28"/>
  <c r="H40" i="27"/>
  <c r="H40" i="26"/>
  <c r="H41" i="25"/>
  <c r="H40" i="24"/>
  <c r="H40" i="23"/>
  <c r="F41" i="28"/>
  <c r="F42" i="27"/>
  <c r="F42" i="26"/>
  <c r="F43" i="25"/>
  <c r="F42" i="24"/>
  <c r="F42" i="23"/>
  <c r="H42" i="28"/>
  <c r="H43" i="27"/>
  <c r="H43" i="26"/>
  <c r="H44" i="25"/>
  <c r="H43" i="24"/>
  <c r="H43" i="23"/>
  <c r="F48" i="20"/>
  <c r="F46" i="28"/>
  <c r="F47" i="27"/>
  <c r="F47" i="26"/>
  <c r="F48" i="25"/>
  <c r="F47" i="24"/>
  <c r="F47" i="23"/>
  <c r="H49" i="28"/>
  <c r="H50" i="27"/>
  <c r="H50" i="26"/>
  <c r="H51" i="25"/>
  <c r="H50" i="24"/>
  <c r="H50" i="23"/>
  <c r="E53" i="20"/>
  <c r="E51" i="28"/>
  <c r="E52" i="27"/>
  <c r="E53" i="25"/>
  <c r="E52" i="26"/>
  <c r="E52" i="24"/>
  <c r="E52" i="23"/>
  <c r="J52" i="28"/>
  <c r="J53" i="27"/>
  <c r="J53" i="26"/>
  <c r="J54" i="25"/>
  <c r="J53" i="24"/>
  <c r="J53" i="23"/>
  <c r="G55" i="28"/>
  <c r="G56" i="27"/>
  <c r="G56" i="26"/>
  <c r="G57" i="25"/>
  <c r="G56" i="24"/>
  <c r="G56" i="23"/>
  <c r="D61" i="28"/>
  <c r="D62" i="27"/>
  <c r="D62" i="26"/>
  <c r="D63" i="25"/>
  <c r="D62" i="24"/>
  <c r="D62" i="23"/>
  <c r="I62" i="28"/>
  <c r="I63" i="27"/>
  <c r="I63" i="26"/>
  <c r="I64" i="25"/>
  <c r="I63" i="24"/>
  <c r="I63" i="23"/>
  <c r="H64" i="28"/>
  <c r="H65" i="27"/>
  <c r="H65" i="26"/>
  <c r="H66" i="25"/>
  <c r="H65" i="24"/>
  <c r="H65" i="23"/>
  <c r="E69" i="20"/>
  <c r="E67" i="28"/>
  <c r="E68" i="27"/>
  <c r="E68" i="26"/>
  <c r="E69" i="25"/>
  <c r="E68" i="24"/>
  <c r="E68" i="23"/>
  <c r="J68" i="28"/>
  <c r="J69" i="27"/>
  <c r="J69" i="26"/>
  <c r="J70" i="25"/>
  <c r="J69" i="24"/>
  <c r="J69" i="23"/>
  <c r="E74" i="11"/>
  <c r="F74" i="28"/>
  <c r="F75" i="27"/>
  <c r="F75" i="26"/>
  <c r="F75" i="24"/>
  <c r="F76" i="25"/>
  <c r="F75" i="23"/>
  <c r="G75" i="28"/>
  <c r="G76" i="27"/>
  <c r="G76" i="26"/>
  <c r="G77" i="25"/>
  <c r="G76" i="24"/>
  <c r="G76" i="23"/>
  <c r="E78" i="28"/>
  <c r="E79" i="27"/>
  <c r="E79" i="26"/>
  <c r="E79" i="24"/>
  <c r="E80" i="25"/>
  <c r="E79" i="23"/>
  <c r="I85" i="28"/>
  <c r="I86" i="27"/>
  <c r="I86" i="26"/>
  <c r="I87" i="25"/>
  <c r="I86" i="24"/>
  <c r="I86" i="23"/>
  <c r="G89" i="20"/>
  <c r="G87" i="28"/>
  <c r="G88" i="27"/>
  <c r="G88" i="26"/>
  <c r="G89" i="25"/>
  <c r="G88" i="24"/>
  <c r="G88" i="23"/>
  <c r="D89" i="11"/>
  <c r="E89" i="28"/>
  <c r="E90" i="27"/>
  <c r="E90" i="26"/>
  <c r="E91" i="25"/>
  <c r="E90" i="24"/>
  <c r="E90" i="23"/>
  <c r="J91" i="28"/>
  <c r="J92" i="27"/>
  <c r="J92" i="26"/>
  <c r="J93" i="25"/>
  <c r="J92" i="24"/>
  <c r="J92" i="23"/>
  <c r="E96" i="20"/>
  <c r="E94" i="28"/>
  <c r="E95" i="27"/>
  <c r="E95" i="26"/>
  <c r="E96" i="25"/>
  <c r="E95" i="24"/>
  <c r="E95" i="23"/>
  <c r="E95" i="11"/>
  <c r="F95" i="28"/>
  <c r="F96" i="27"/>
  <c r="F96" i="26"/>
  <c r="F97" i="25"/>
  <c r="F96" i="24"/>
  <c r="F96" i="23"/>
  <c r="F96" i="28"/>
  <c r="F97" i="27"/>
  <c r="F97" i="26"/>
  <c r="F98" i="25"/>
  <c r="F97" i="24"/>
  <c r="F97" i="23"/>
  <c r="D8" i="28"/>
  <c r="D9" i="27"/>
  <c r="D9" i="26"/>
  <c r="D9" i="24"/>
  <c r="AJ37" i="2"/>
  <c r="AO37" i="2"/>
  <c r="AP37" i="2"/>
  <c r="AL37" i="2"/>
  <c r="AM37" i="2"/>
  <c r="W37" i="25"/>
  <c r="AM38" i="2"/>
  <c r="AP38" i="2"/>
  <c r="AO38" i="2"/>
  <c r="AL38" i="2"/>
  <c r="W38" i="25"/>
  <c r="AJ38" i="2"/>
  <c r="C46" i="11"/>
  <c r="D46" i="28"/>
  <c r="D47" i="27"/>
  <c r="D47" i="26"/>
  <c r="D48" i="25"/>
  <c r="D47" i="24"/>
  <c r="D47" i="23"/>
  <c r="AF64" i="23"/>
  <c r="C75" i="11"/>
  <c r="D75" i="28"/>
  <c r="D76" i="27"/>
  <c r="D76" i="26"/>
  <c r="D76" i="24"/>
  <c r="D77" i="25"/>
  <c r="D76" i="23"/>
  <c r="C81" i="11"/>
  <c r="D81" i="28"/>
  <c r="D82" i="27"/>
  <c r="D82" i="26"/>
  <c r="D83" i="25"/>
  <c r="D82" i="24"/>
  <c r="D82" i="23"/>
  <c r="AP91" i="2"/>
  <c r="AL91" i="2"/>
  <c r="AM91" i="2"/>
  <c r="W91" i="25"/>
  <c r="AJ91" i="2"/>
  <c r="AF96" i="23"/>
  <c r="AJ106" i="2"/>
  <c r="AN106" i="2"/>
  <c r="AP106" i="2"/>
  <c r="AO106" i="2"/>
  <c r="AL106" i="2"/>
  <c r="W106" i="25"/>
  <c r="AF111" i="23"/>
  <c r="AP118" i="2"/>
  <c r="AL118" i="2"/>
  <c r="AO118" i="2"/>
  <c r="AM118" i="2"/>
  <c r="W118" i="25"/>
  <c r="AJ118" i="2"/>
  <c r="AF151" i="23"/>
  <c r="AJ158" i="2"/>
  <c r="AO158" i="2"/>
  <c r="AN158" i="2"/>
  <c r="AP158" i="2"/>
  <c r="AM158" i="2"/>
  <c r="W158" i="25"/>
  <c r="AJ178" i="2"/>
  <c r="AO178" i="2"/>
  <c r="AN178" i="2"/>
  <c r="AL178" i="2"/>
  <c r="AP178" i="2"/>
  <c r="W178" i="25"/>
  <c r="AO13" i="2"/>
  <c r="AL13" i="2"/>
  <c r="AP13" i="2"/>
  <c r="W13" i="25"/>
  <c r="AJ13" i="2"/>
  <c r="D17" i="28"/>
  <c r="D18" i="27"/>
  <c r="D19" i="25"/>
  <c r="D18" i="26"/>
  <c r="D18" i="24"/>
  <c r="AO20" i="2"/>
  <c r="AL20" i="2"/>
  <c r="AP20" i="2"/>
  <c r="W20" i="25"/>
  <c r="AJ20" i="2"/>
  <c r="D49" i="20"/>
  <c r="D47" i="28"/>
  <c r="D48" i="27"/>
  <c r="D49" i="25"/>
  <c r="D48" i="26"/>
  <c r="D48" i="24"/>
  <c r="D48" i="23"/>
  <c r="AJ53" i="2"/>
  <c r="AO53" i="2"/>
  <c r="AN53" i="2"/>
  <c r="AL53" i="2"/>
  <c r="AP53" i="2"/>
  <c r="W53" i="25"/>
  <c r="AJ60" i="2"/>
  <c r="AN60" i="2"/>
  <c r="AL60" i="2"/>
  <c r="AP60" i="2"/>
  <c r="AO60" i="2"/>
  <c r="W60" i="25"/>
  <c r="D64" i="28"/>
  <c r="D65" i="27"/>
  <c r="D65" i="26"/>
  <c r="D66" i="25"/>
  <c r="D65" i="24"/>
  <c r="D65" i="23"/>
  <c r="AF69" i="23"/>
  <c r="R77" i="26"/>
  <c r="AF97" i="23"/>
  <c r="AJ107" i="2"/>
  <c r="AP107" i="2"/>
  <c r="AL107" i="2"/>
  <c r="AO107" i="2"/>
  <c r="W107" i="25"/>
  <c r="AF112" i="23"/>
  <c r="AO119" i="2"/>
  <c r="AP119" i="2"/>
  <c r="AL119" i="2"/>
  <c r="AM119" i="2"/>
  <c r="W119" i="25"/>
  <c r="AJ119" i="2"/>
  <c r="AF152" i="23"/>
  <c r="AJ159" i="2"/>
  <c r="AN159" i="2"/>
  <c r="AM159" i="2"/>
  <c r="AP159" i="2"/>
  <c r="AO159" i="2"/>
  <c r="W159" i="25"/>
  <c r="AF178" i="23"/>
  <c r="D21" i="28"/>
  <c r="D22" i="27"/>
  <c r="D23" i="25"/>
  <c r="D22" i="26"/>
  <c r="D22" i="24"/>
  <c r="AP26" i="2"/>
  <c r="AL26" i="2"/>
  <c r="AO26" i="2"/>
  <c r="W26" i="25"/>
  <c r="AJ26" i="2"/>
  <c r="D30" i="28"/>
  <c r="D31" i="27"/>
  <c r="D32" i="25"/>
  <c r="D31" i="26"/>
  <c r="D31" i="24"/>
  <c r="D35" i="20"/>
  <c r="D33" i="28"/>
  <c r="D34" i="27"/>
  <c r="D35" i="25"/>
  <c r="D34" i="26"/>
  <c r="D34" i="24"/>
  <c r="D34" i="23"/>
  <c r="D40" i="28"/>
  <c r="D41" i="27"/>
  <c r="D41" i="26"/>
  <c r="D42" i="25"/>
  <c r="D41" i="24"/>
  <c r="D41" i="23"/>
  <c r="C49" i="11"/>
  <c r="D49" i="28"/>
  <c r="D50" i="27"/>
  <c r="D50" i="26"/>
  <c r="D51" i="25"/>
  <c r="D50" i="24"/>
  <c r="D50" i="23"/>
  <c r="C91" i="11"/>
  <c r="D91" i="28"/>
  <c r="D92" i="27"/>
  <c r="D92" i="26"/>
  <c r="D93" i="25"/>
  <c r="D92" i="24"/>
  <c r="D92" i="23"/>
  <c r="D109" i="20"/>
  <c r="D107" i="28"/>
  <c r="D108" i="27"/>
  <c r="D108" i="26"/>
  <c r="D109" i="25"/>
  <c r="D108" i="24"/>
  <c r="D108" i="23"/>
  <c r="D149" i="20"/>
  <c r="D147" i="28"/>
  <c r="D148" i="27"/>
  <c r="D148" i="26"/>
  <c r="D149" i="25"/>
  <c r="D148" i="24"/>
  <c r="D148" i="23"/>
  <c r="C160" i="11"/>
  <c r="D160" i="28"/>
  <c r="D161" i="27"/>
  <c r="D161" i="26"/>
  <c r="D162" i="25"/>
  <c r="D161" i="24"/>
  <c r="D161" i="23"/>
  <c r="C173" i="11"/>
  <c r="D173" i="28"/>
  <c r="D174" i="27"/>
  <c r="D174" i="26"/>
  <c r="D174" i="24"/>
  <c r="D175" i="25"/>
  <c r="D174" i="23"/>
  <c r="G9" i="23"/>
  <c r="G8" i="28"/>
  <c r="G9" i="27"/>
  <c r="G9" i="26"/>
  <c r="G9" i="24"/>
  <c r="G10" i="25"/>
  <c r="H10" i="23"/>
  <c r="H9" i="28"/>
  <c r="H10" i="27"/>
  <c r="H11" i="25"/>
  <c r="H10" i="26"/>
  <c r="H10" i="24"/>
  <c r="E10" i="28"/>
  <c r="E11" i="27"/>
  <c r="E12" i="25"/>
  <c r="E11" i="26"/>
  <c r="E11" i="24"/>
  <c r="I10" i="28"/>
  <c r="I11" i="27"/>
  <c r="I12" i="25"/>
  <c r="I11" i="26"/>
  <c r="I11" i="24"/>
  <c r="F12" i="23"/>
  <c r="F11" i="28"/>
  <c r="F12" i="27"/>
  <c r="F13" i="25"/>
  <c r="F12" i="26"/>
  <c r="F12" i="24"/>
  <c r="J12" i="23"/>
  <c r="J11" i="28"/>
  <c r="J12" i="27"/>
  <c r="J13" i="25"/>
  <c r="J12" i="26"/>
  <c r="J12" i="24"/>
  <c r="G12" i="28"/>
  <c r="G13" i="27"/>
  <c r="G13" i="26"/>
  <c r="G13" i="24"/>
  <c r="G14" i="25"/>
  <c r="H13" i="28"/>
  <c r="H14" i="27"/>
  <c r="H15" i="25"/>
  <c r="H14" i="26"/>
  <c r="H14" i="24"/>
  <c r="D14" i="28"/>
  <c r="D15" i="27"/>
  <c r="D16" i="25"/>
  <c r="D15" i="26"/>
  <c r="D15" i="24"/>
  <c r="H14" i="28"/>
  <c r="H15" i="27"/>
  <c r="H16" i="25"/>
  <c r="H15" i="26"/>
  <c r="H15" i="24"/>
  <c r="D15" i="28"/>
  <c r="D16" i="27"/>
  <c r="D17" i="25"/>
  <c r="D16" i="26"/>
  <c r="D16" i="24"/>
  <c r="H16" i="23"/>
  <c r="H15" i="28"/>
  <c r="H16" i="27"/>
  <c r="H17" i="25"/>
  <c r="H16" i="26"/>
  <c r="H16" i="24"/>
  <c r="E16" i="28"/>
  <c r="E17" i="27"/>
  <c r="E18" i="25"/>
  <c r="E17" i="26"/>
  <c r="E17" i="24"/>
  <c r="I16" i="28"/>
  <c r="I17" i="27"/>
  <c r="I18" i="25"/>
  <c r="I17" i="26"/>
  <c r="I17" i="24"/>
  <c r="F17" i="28"/>
  <c r="F18" i="27"/>
  <c r="F19" i="25"/>
  <c r="F18" i="26"/>
  <c r="F18" i="24"/>
  <c r="J17" i="28"/>
  <c r="J18" i="27"/>
  <c r="J19" i="25"/>
  <c r="J18" i="26"/>
  <c r="J18" i="24"/>
  <c r="G18" i="28"/>
  <c r="G19" i="27"/>
  <c r="G19" i="26"/>
  <c r="G19" i="24"/>
  <c r="G20" i="25"/>
  <c r="G19" i="28"/>
  <c r="G20" i="27"/>
  <c r="G21" i="25"/>
  <c r="G20" i="26"/>
  <c r="G20" i="24"/>
  <c r="G20" i="28"/>
  <c r="G21" i="27"/>
  <c r="G21" i="26"/>
  <c r="G21" i="24"/>
  <c r="G22" i="25"/>
  <c r="H21" i="28"/>
  <c r="H22" i="27"/>
  <c r="H23" i="25"/>
  <c r="H22" i="26"/>
  <c r="H22" i="24"/>
  <c r="D22" i="28"/>
  <c r="D23" i="27"/>
  <c r="D24" i="25"/>
  <c r="D23" i="26"/>
  <c r="D23" i="24"/>
  <c r="H22" i="28"/>
  <c r="H23" i="27"/>
  <c r="H24" i="25"/>
  <c r="H23" i="26"/>
  <c r="H23" i="24"/>
  <c r="D23" i="28"/>
  <c r="D24" i="27"/>
  <c r="D25" i="25"/>
  <c r="D24" i="26"/>
  <c r="D24" i="24"/>
  <c r="H23" i="28"/>
  <c r="H24" i="27"/>
  <c r="H25" i="25"/>
  <c r="H24" i="26"/>
  <c r="H24" i="24"/>
  <c r="E24" i="28"/>
  <c r="E25" i="27"/>
  <c r="E26" i="25"/>
  <c r="E25" i="26"/>
  <c r="E25" i="24"/>
  <c r="I24" i="28"/>
  <c r="I25" i="27"/>
  <c r="I26" i="25"/>
  <c r="I25" i="26"/>
  <c r="I25" i="24"/>
  <c r="F25" i="28"/>
  <c r="F26" i="27"/>
  <c r="F27" i="25"/>
  <c r="F26" i="26"/>
  <c r="F26" i="24"/>
  <c r="J25" i="28"/>
  <c r="J26" i="27"/>
  <c r="J27" i="25"/>
  <c r="J26" i="26"/>
  <c r="J26" i="24"/>
  <c r="G27" i="23"/>
  <c r="G26" i="28"/>
  <c r="G27" i="27"/>
  <c r="G27" i="26"/>
  <c r="G27" i="24"/>
  <c r="G28" i="25"/>
  <c r="H28" i="23"/>
  <c r="H27" i="28"/>
  <c r="H28" i="27"/>
  <c r="H29" i="25"/>
  <c r="H28" i="26"/>
  <c r="H28" i="24"/>
  <c r="F29" i="23"/>
  <c r="F28" i="28"/>
  <c r="F29" i="27"/>
  <c r="F30" i="25"/>
  <c r="F29" i="26"/>
  <c r="F29" i="24"/>
  <c r="J29" i="23"/>
  <c r="J28" i="28"/>
  <c r="J29" i="27"/>
  <c r="J30" i="25"/>
  <c r="J29" i="26"/>
  <c r="J29" i="24"/>
  <c r="F30" i="23"/>
  <c r="F29" i="28"/>
  <c r="F30" i="27"/>
  <c r="F31" i="25"/>
  <c r="F30" i="26"/>
  <c r="F30" i="24"/>
  <c r="J29" i="28"/>
  <c r="J30" i="27"/>
  <c r="J31" i="25"/>
  <c r="J30" i="26"/>
  <c r="J30" i="24"/>
  <c r="G30" i="28"/>
  <c r="G31" i="27"/>
  <c r="G31" i="26"/>
  <c r="G31" i="24"/>
  <c r="G32" i="25"/>
  <c r="H34" i="20"/>
  <c r="H32" i="28"/>
  <c r="H33" i="27"/>
  <c r="H33" i="26"/>
  <c r="H33" i="24"/>
  <c r="H34" i="25"/>
  <c r="H33" i="23"/>
  <c r="E35" i="20"/>
  <c r="E33" i="28"/>
  <c r="E34" i="27"/>
  <c r="E35" i="25"/>
  <c r="E34" i="26"/>
  <c r="E34" i="24"/>
  <c r="E34" i="23"/>
  <c r="I35" i="20"/>
  <c r="I33" i="28"/>
  <c r="I34" i="27"/>
  <c r="I35" i="25"/>
  <c r="I34" i="26"/>
  <c r="I34" i="24"/>
  <c r="I34" i="23"/>
  <c r="E34" i="11"/>
  <c r="F34" i="28"/>
  <c r="F35" i="27"/>
  <c r="F36" i="25"/>
  <c r="F35" i="26"/>
  <c r="F35" i="24"/>
  <c r="F35" i="23"/>
  <c r="J34" i="28"/>
  <c r="J35" i="27"/>
  <c r="J36" i="25"/>
  <c r="J35" i="26"/>
  <c r="J35" i="24"/>
  <c r="J35" i="23"/>
  <c r="G37" i="20"/>
  <c r="G35" i="28"/>
  <c r="G36" i="27"/>
  <c r="G37" i="25"/>
  <c r="G36" i="26"/>
  <c r="G36" i="24"/>
  <c r="G36" i="23"/>
  <c r="H38" i="20"/>
  <c r="H36" i="28"/>
  <c r="H37" i="27"/>
  <c r="H37" i="26"/>
  <c r="H37" i="24"/>
  <c r="H38" i="25"/>
  <c r="H37" i="23"/>
  <c r="E38" i="28"/>
  <c r="E39" i="27"/>
  <c r="E40" i="25"/>
  <c r="E39" i="26"/>
  <c r="E39" i="24"/>
  <c r="E39" i="23"/>
  <c r="I38" i="28"/>
  <c r="I39" i="27"/>
  <c r="I40" i="25"/>
  <c r="I39" i="26"/>
  <c r="I39" i="24"/>
  <c r="I39" i="23"/>
  <c r="F39" i="28"/>
  <c r="F40" i="27"/>
  <c r="F40" i="26"/>
  <c r="F41" i="25"/>
  <c r="F40" i="24"/>
  <c r="F40" i="23"/>
  <c r="J39" i="28"/>
  <c r="J40" i="27"/>
  <c r="J40" i="26"/>
  <c r="J41" i="25"/>
  <c r="J40" i="24"/>
  <c r="J40" i="23"/>
  <c r="G40" i="28"/>
  <c r="G41" i="27"/>
  <c r="G41" i="26"/>
  <c r="G41" i="24"/>
  <c r="G42" i="25"/>
  <c r="G41" i="23"/>
  <c r="H41" i="28"/>
  <c r="H42" i="27"/>
  <c r="H42" i="26"/>
  <c r="H43" i="25"/>
  <c r="H42" i="24"/>
  <c r="H42" i="23"/>
  <c r="F42" i="28"/>
  <c r="F43" i="27"/>
  <c r="F43" i="26"/>
  <c r="F44" i="25"/>
  <c r="F43" i="24"/>
  <c r="F43" i="23"/>
  <c r="J42" i="28"/>
  <c r="J43" i="27"/>
  <c r="J43" i="26"/>
  <c r="J44" i="25"/>
  <c r="J43" i="24"/>
  <c r="J43" i="23"/>
  <c r="G47" i="20"/>
  <c r="G45" i="28"/>
  <c r="G46" i="27"/>
  <c r="G46" i="26"/>
  <c r="G47" i="25"/>
  <c r="G46" i="24"/>
  <c r="G46" i="23"/>
  <c r="H46" i="28"/>
  <c r="H47" i="27"/>
  <c r="H48" i="25"/>
  <c r="H47" i="24"/>
  <c r="H47" i="26"/>
  <c r="H47" i="23"/>
  <c r="E47" i="28"/>
  <c r="E48" i="27"/>
  <c r="E48" i="26"/>
  <c r="E49" i="25"/>
  <c r="E48" i="24"/>
  <c r="E48" i="23"/>
  <c r="I47" i="28"/>
  <c r="I48" i="27"/>
  <c r="I48" i="26"/>
  <c r="I48" i="24"/>
  <c r="I49" i="25"/>
  <c r="I48" i="23"/>
  <c r="F49" i="28"/>
  <c r="F50" i="27"/>
  <c r="F50" i="26"/>
  <c r="F51" i="25"/>
  <c r="F50" i="24"/>
  <c r="F50" i="23"/>
  <c r="J49" i="28"/>
  <c r="J50" i="27"/>
  <c r="J50" i="26"/>
  <c r="J51" i="25"/>
  <c r="J50" i="24"/>
  <c r="J50" i="23"/>
  <c r="G52" i="20"/>
  <c r="G50" i="28"/>
  <c r="G51" i="27"/>
  <c r="G52" i="25"/>
  <c r="G51" i="26"/>
  <c r="G51" i="24"/>
  <c r="G51" i="23"/>
  <c r="F51" i="11"/>
  <c r="G51" i="28"/>
  <c r="G52" i="27"/>
  <c r="G52" i="26"/>
  <c r="G53" i="25"/>
  <c r="G52" i="24"/>
  <c r="G52" i="23"/>
  <c r="H52" i="28"/>
  <c r="H53" i="27"/>
  <c r="H53" i="26"/>
  <c r="H53" i="24"/>
  <c r="H54" i="25"/>
  <c r="H53" i="23"/>
  <c r="E55" i="20"/>
  <c r="E53" i="28"/>
  <c r="E54" i="27"/>
  <c r="E54" i="26"/>
  <c r="E54" i="24"/>
  <c r="E55" i="25"/>
  <c r="E54" i="23"/>
  <c r="I53" i="28"/>
  <c r="I54" i="27"/>
  <c r="I54" i="26"/>
  <c r="I54" i="24"/>
  <c r="I55" i="25"/>
  <c r="I54" i="23"/>
  <c r="E55" i="28"/>
  <c r="E56" i="27"/>
  <c r="E56" i="26"/>
  <c r="E57" i="25"/>
  <c r="E56" i="24"/>
  <c r="E56" i="23"/>
  <c r="I55" i="28"/>
  <c r="I56" i="27"/>
  <c r="I56" i="26"/>
  <c r="I57" i="25"/>
  <c r="I56" i="24"/>
  <c r="I56" i="23"/>
  <c r="J59" i="20"/>
  <c r="J57" i="28"/>
  <c r="J58" i="27"/>
  <c r="J58" i="26"/>
  <c r="J58" i="24"/>
  <c r="J59" i="25"/>
  <c r="J58" i="23"/>
  <c r="J58" i="28"/>
  <c r="J59" i="27"/>
  <c r="J59" i="26"/>
  <c r="J60" i="25"/>
  <c r="J59" i="24"/>
  <c r="J59" i="23"/>
  <c r="J59" i="28"/>
  <c r="J60" i="27"/>
  <c r="J60" i="26"/>
  <c r="J61" i="25"/>
  <c r="J60" i="24"/>
  <c r="J60" i="23"/>
  <c r="F61" i="28"/>
  <c r="F62" i="27"/>
  <c r="F62" i="26"/>
  <c r="F63" i="25"/>
  <c r="F62" i="24"/>
  <c r="F62" i="23"/>
  <c r="J61" i="28"/>
  <c r="J62" i="27"/>
  <c r="J62" i="26"/>
  <c r="J63" i="25"/>
  <c r="J62" i="24"/>
  <c r="J62" i="23"/>
  <c r="F62" i="11"/>
  <c r="G62" i="28"/>
  <c r="G63" i="27"/>
  <c r="G64" i="25"/>
  <c r="G63" i="24"/>
  <c r="G63" i="26"/>
  <c r="G63" i="23"/>
  <c r="H63" i="28"/>
  <c r="H64" i="27"/>
  <c r="H64" i="26"/>
  <c r="H65" i="25"/>
  <c r="H64" i="24"/>
  <c r="H64" i="23"/>
  <c r="F64" i="28"/>
  <c r="F65" i="27"/>
  <c r="F65" i="26"/>
  <c r="F66" i="25"/>
  <c r="F65" i="24"/>
  <c r="F65" i="23"/>
  <c r="J64" i="28"/>
  <c r="J65" i="27"/>
  <c r="J65" i="26"/>
  <c r="J66" i="25"/>
  <c r="J65" i="24"/>
  <c r="J65" i="23"/>
  <c r="E66" i="11"/>
  <c r="F66" i="28"/>
  <c r="F67" i="27"/>
  <c r="F67" i="26"/>
  <c r="F68" i="25"/>
  <c r="F67" i="24"/>
  <c r="F67" i="23"/>
  <c r="J68" i="20"/>
  <c r="J66" i="28"/>
  <c r="J67" i="27"/>
  <c r="J67" i="26"/>
  <c r="J67" i="24"/>
  <c r="J68" i="25"/>
  <c r="J67" i="23"/>
  <c r="G69" i="20"/>
  <c r="G67" i="28"/>
  <c r="G68" i="27"/>
  <c r="G68" i="26"/>
  <c r="G69" i="25"/>
  <c r="G68" i="24"/>
  <c r="G68" i="23"/>
  <c r="H70" i="20"/>
  <c r="H68" i="28"/>
  <c r="H69" i="27"/>
  <c r="H69" i="26"/>
  <c r="H70" i="25"/>
  <c r="H69" i="24"/>
  <c r="H69" i="23"/>
  <c r="E71" i="20"/>
  <c r="E69" i="28"/>
  <c r="E70" i="27"/>
  <c r="E70" i="26"/>
  <c r="E71" i="25"/>
  <c r="E70" i="24"/>
  <c r="E70" i="23"/>
  <c r="I69" i="28"/>
  <c r="I70" i="27"/>
  <c r="I70" i="26"/>
  <c r="I71" i="25"/>
  <c r="I70" i="24"/>
  <c r="I70" i="23"/>
  <c r="E72" i="20"/>
  <c r="E70" i="28"/>
  <c r="E71" i="27"/>
  <c r="E71" i="26"/>
  <c r="E72" i="25"/>
  <c r="E71" i="24"/>
  <c r="E71" i="23"/>
  <c r="I70" i="28"/>
  <c r="I71" i="27"/>
  <c r="I71" i="26"/>
  <c r="I72" i="25"/>
  <c r="I71" i="24"/>
  <c r="I71" i="23"/>
  <c r="G73" i="28"/>
  <c r="G74" i="27"/>
  <c r="G74" i="26"/>
  <c r="G75" i="25"/>
  <c r="G74" i="24"/>
  <c r="G74" i="23"/>
  <c r="H74" i="28"/>
  <c r="H75" i="27"/>
  <c r="H75" i="26"/>
  <c r="H76" i="25"/>
  <c r="H75" i="24"/>
  <c r="H75" i="23"/>
  <c r="E77" i="20"/>
  <c r="E75" i="28"/>
  <c r="E76" i="27"/>
  <c r="E76" i="26"/>
  <c r="E77" i="25"/>
  <c r="E76" i="24"/>
  <c r="E76" i="23"/>
  <c r="I75" i="28"/>
  <c r="I76" i="27"/>
  <c r="I76" i="26"/>
  <c r="I77" i="25"/>
  <c r="I76" i="24"/>
  <c r="I76" i="23"/>
  <c r="F76" i="28"/>
  <c r="F77" i="27"/>
  <c r="F77" i="26"/>
  <c r="F78" i="25"/>
  <c r="F77" i="24"/>
  <c r="F77" i="23"/>
  <c r="J76" i="28"/>
  <c r="J77" i="27"/>
  <c r="J77" i="26"/>
  <c r="J78" i="25"/>
  <c r="J77" i="24"/>
  <c r="J77" i="23"/>
  <c r="G78" i="28"/>
  <c r="G79" i="27"/>
  <c r="G79" i="26"/>
  <c r="G80" i="25"/>
  <c r="G79" i="24"/>
  <c r="G79" i="23"/>
  <c r="H79" i="28"/>
  <c r="H80" i="27"/>
  <c r="H80" i="26"/>
  <c r="H81" i="25"/>
  <c r="H80" i="24"/>
  <c r="E80" i="28"/>
  <c r="E81" i="27"/>
  <c r="E81" i="26"/>
  <c r="E81" i="24"/>
  <c r="E82" i="25"/>
  <c r="E81" i="23"/>
  <c r="I80" i="28"/>
  <c r="I81" i="27"/>
  <c r="I81" i="26"/>
  <c r="I81" i="24"/>
  <c r="I82" i="25"/>
  <c r="I81" i="23"/>
  <c r="F83" i="20"/>
  <c r="F81" i="28"/>
  <c r="F82" i="27"/>
  <c r="F82" i="26"/>
  <c r="F83" i="25"/>
  <c r="F82" i="24"/>
  <c r="F82" i="23"/>
  <c r="J81" i="28"/>
  <c r="J82" i="27"/>
  <c r="J82" i="26"/>
  <c r="J83" i="25"/>
  <c r="J82" i="24"/>
  <c r="J82" i="23"/>
  <c r="G85" i="28"/>
  <c r="G86" i="27"/>
  <c r="G86" i="26"/>
  <c r="G87" i="25"/>
  <c r="G86" i="24"/>
  <c r="G86" i="23"/>
  <c r="H86" i="28"/>
  <c r="H87" i="27"/>
  <c r="H87" i="26"/>
  <c r="H87" i="24"/>
  <c r="H88" i="25"/>
  <c r="H87" i="23"/>
  <c r="E87" i="28"/>
  <c r="E88" i="27"/>
  <c r="E88" i="26"/>
  <c r="E89" i="25"/>
  <c r="E88" i="24"/>
  <c r="E88" i="23"/>
  <c r="I87" i="28"/>
  <c r="I88" i="27"/>
  <c r="I88" i="26"/>
  <c r="I89" i="25"/>
  <c r="I88" i="24"/>
  <c r="I88" i="23"/>
  <c r="F88" i="28"/>
  <c r="F89" i="27"/>
  <c r="F89" i="26"/>
  <c r="F90" i="25"/>
  <c r="F89" i="24"/>
  <c r="F89" i="23"/>
  <c r="J88" i="28"/>
  <c r="J89" i="27"/>
  <c r="J89" i="26"/>
  <c r="J90" i="25"/>
  <c r="J89" i="24"/>
  <c r="J89" i="23"/>
  <c r="G89" i="28"/>
  <c r="G90" i="27"/>
  <c r="G90" i="26"/>
  <c r="G91" i="25"/>
  <c r="G90" i="24"/>
  <c r="G90" i="23"/>
  <c r="H91" i="28"/>
  <c r="H92" i="27"/>
  <c r="H92" i="26"/>
  <c r="H93" i="25"/>
  <c r="H92" i="24"/>
  <c r="H92" i="23"/>
  <c r="E92" i="28"/>
  <c r="E93" i="27"/>
  <c r="E93" i="26"/>
  <c r="E94" i="25"/>
  <c r="E93" i="24"/>
  <c r="E93" i="23"/>
  <c r="I92" i="28"/>
  <c r="I93" i="27"/>
  <c r="I93" i="26"/>
  <c r="I94" i="25"/>
  <c r="I93" i="24"/>
  <c r="I93" i="23"/>
  <c r="F93" i="28"/>
  <c r="F94" i="27"/>
  <c r="F94" i="26"/>
  <c r="F95" i="25"/>
  <c r="F94" i="24"/>
  <c r="F94" i="23"/>
  <c r="J93" i="28"/>
  <c r="J94" i="27"/>
  <c r="J94" i="26"/>
  <c r="J95" i="25"/>
  <c r="J94" i="24"/>
  <c r="J94" i="23"/>
  <c r="G96" i="20"/>
  <c r="G94" i="28"/>
  <c r="G95" i="27"/>
  <c r="G95" i="26"/>
  <c r="G96" i="25"/>
  <c r="G95" i="24"/>
  <c r="G95" i="23"/>
  <c r="H95" i="28"/>
  <c r="H96" i="27"/>
  <c r="H96" i="26"/>
  <c r="H97" i="25"/>
  <c r="H96" i="24"/>
  <c r="H96" i="23"/>
  <c r="C96" i="11"/>
  <c r="D96" i="28"/>
  <c r="D97" i="27"/>
  <c r="D97" i="26"/>
  <c r="D98" i="25"/>
  <c r="D97" i="24"/>
  <c r="D97" i="23"/>
  <c r="H96" i="28"/>
  <c r="H97" i="27"/>
  <c r="H97" i="26"/>
  <c r="H98" i="25"/>
  <c r="H97" i="24"/>
  <c r="H97" i="23"/>
  <c r="E101" i="28"/>
  <c r="E102" i="27"/>
  <c r="E102" i="26"/>
  <c r="E103" i="25"/>
  <c r="E102" i="24"/>
  <c r="E102" i="23"/>
  <c r="I101" i="28"/>
  <c r="I102" i="27"/>
  <c r="I102" i="26"/>
  <c r="I103" i="25"/>
  <c r="I102" i="24"/>
  <c r="I102" i="23"/>
  <c r="F102" i="28"/>
  <c r="F103" i="27"/>
  <c r="F103" i="26"/>
  <c r="F104" i="25"/>
  <c r="F103" i="24"/>
  <c r="F103" i="23"/>
  <c r="J102" i="28"/>
  <c r="J103" i="27"/>
  <c r="J103" i="26"/>
  <c r="J104" i="25"/>
  <c r="J103" i="24"/>
  <c r="J103" i="23"/>
  <c r="G105" i="20"/>
  <c r="G103" i="28"/>
  <c r="G104" i="27"/>
  <c r="G104" i="26"/>
  <c r="G105" i="25"/>
  <c r="G104" i="24"/>
  <c r="G104" i="23"/>
  <c r="H104" i="28"/>
  <c r="H105" i="27"/>
  <c r="H106" i="25"/>
  <c r="H105" i="26"/>
  <c r="H105" i="24"/>
  <c r="H105" i="23"/>
  <c r="E105" i="28"/>
  <c r="E106" i="27"/>
  <c r="E106" i="26"/>
  <c r="E107" i="25"/>
  <c r="E106" i="24"/>
  <c r="E106" i="23"/>
  <c r="I105" i="28"/>
  <c r="I106" i="27"/>
  <c r="I106" i="26"/>
  <c r="I107" i="25"/>
  <c r="I106" i="24"/>
  <c r="I106" i="23"/>
  <c r="F107" i="28"/>
  <c r="F108" i="27"/>
  <c r="F108" i="26"/>
  <c r="F109" i="25"/>
  <c r="F108" i="24"/>
  <c r="F108" i="23"/>
  <c r="J107" i="28"/>
  <c r="J108" i="27"/>
  <c r="J108" i="26"/>
  <c r="J109" i="25"/>
  <c r="J108" i="24"/>
  <c r="J108" i="23"/>
  <c r="H108" i="28"/>
  <c r="H109" i="27"/>
  <c r="H109" i="26"/>
  <c r="H110" i="25"/>
  <c r="H109" i="24"/>
  <c r="H109" i="23"/>
  <c r="E109" i="11"/>
  <c r="F109" i="28"/>
  <c r="F110" i="27"/>
  <c r="F110" i="26"/>
  <c r="F111" i="25"/>
  <c r="F110" i="24"/>
  <c r="F110" i="23"/>
  <c r="I109" i="11"/>
  <c r="J109" i="28"/>
  <c r="J110" i="27"/>
  <c r="J110" i="26"/>
  <c r="J111" i="25"/>
  <c r="J110" i="24"/>
  <c r="J110" i="23"/>
  <c r="H110" i="28"/>
  <c r="H111" i="27"/>
  <c r="H111" i="26"/>
  <c r="H112" i="25"/>
  <c r="H111" i="24"/>
  <c r="H111" i="23"/>
  <c r="F111" i="28"/>
  <c r="F112" i="27"/>
  <c r="F112" i="26"/>
  <c r="F113" i="25"/>
  <c r="F112" i="24"/>
  <c r="F112" i="23"/>
  <c r="J111" i="28"/>
  <c r="J112" i="27"/>
  <c r="J112" i="26"/>
  <c r="J113" i="25"/>
  <c r="J112" i="24"/>
  <c r="J112" i="23"/>
  <c r="H113" i="28"/>
  <c r="H114" i="27"/>
  <c r="H114" i="26"/>
  <c r="H115" i="25"/>
  <c r="H114" i="24"/>
  <c r="H114" i="23"/>
  <c r="E114" i="28"/>
  <c r="E115" i="27"/>
  <c r="E115" i="26"/>
  <c r="E116" i="25"/>
  <c r="E115" i="24"/>
  <c r="E115" i="23"/>
  <c r="I114" i="28"/>
  <c r="I115" i="27"/>
  <c r="I115" i="26"/>
  <c r="I116" i="25"/>
  <c r="I115" i="24"/>
  <c r="I115" i="23"/>
  <c r="F115" i="28"/>
  <c r="F116" i="27"/>
  <c r="F116" i="26"/>
  <c r="F117" i="25"/>
  <c r="F116" i="24"/>
  <c r="F116" i="23"/>
  <c r="J115" i="28"/>
  <c r="J116" i="27"/>
  <c r="J116" i="26"/>
  <c r="J117" i="25"/>
  <c r="J116" i="24"/>
  <c r="J116" i="23"/>
  <c r="G116" i="28"/>
  <c r="G117" i="27"/>
  <c r="G117" i="26"/>
  <c r="G118" i="25"/>
  <c r="G117" i="24"/>
  <c r="G117" i="23"/>
  <c r="H117" i="28"/>
  <c r="H118" i="27"/>
  <c r="H118" i="26"/>
  <c r="H119" i="25"/>
  <c r="H118" i="24"/>
  <c r="H118" i="23"/>
  <c r="E120" i="28"/>
  <c r="E121" i="27"/>
  <c r="E121" i="26"/>
  <c r="E122" i="25"/>
  <c r="E121" i="24"/>
  <c r="E121" i="23"/>
  <c r="I120" i="28"/>
  <c r="I121" i="27"/>
  <c r="I121" i="26"/>
  <c r="I122" i="25"/>
  <c r="I121" i="24"/>
  <c r="I121" i="23"/>
  <c r="F121" i="28"/>
  <c r="F122" i="27"/>
  <c r="F122" i="26"/>
  <c r="F123" i="25"/>
  <c r="F122" i="24"/>
  <c r="F122" i="23"/>
  <c r="J121" i="28"/>
  <c r="J122" i="27"/>
  <c r="J123" i="25"/>
  <c r="J122" i="24"/>
  <c r="J122" i="26"/>
  <c r="J122" i="23"/>
  <c r="G122" i="28"/>
  <c r="G123" i="27"/>
  <c r="G123" i="26"/>
  <c r="G124" i="25"/>
  <c r="G123" i="24"/>
  <c r="G123" i="23"/>
  <c r="H126" i="28"/>
  <c r="H127" i="27"/>
  <c r="H128" i="25"/>
  <c r="H127" i="24"/>
  <c r="H127" i="26"/>
  <c r="H127" i="23"/>
  <c r="E129" i="20"/>
  <c r="E127" i="28"/>
  <c r="E128" i="27"/>
  <c r="E128" i="26"/>
  <c r="E129" i="25"/>
  <c r="E128" i="24"/>
  <c r="E128" i="23"/>
  <c r="I127" i="28"/>
  <c r="I128" i="27"/>
  <c r="I128" i="26"/>
  <c r="I129" i="25"/>
  <c r="I128" i="24"/>
  <c r="I128" i="23"/>
  <c r="D123" i="11"/>
  <c r="E123" i="28"/>
  <c r="E124" i="27"/>
  <c r="E124" i="26"/>
  <c r="E125" i="25"/>
  <c r="E124" i="24"/>
  <c r="E124" i="23"/>
  <c r="H123" i="11"/>
  <c r="I123" i="28"/>
  <c r="I124" i="27"/>
  <c r="I124" i="26"/>
  <c r="I125" i="25"/>
  <c r="I124" i="24"/>
  <c r="I124" i="23"/>
  <c r="E124" i="28"/>
  <c r="E125" i="27"/>
  <c r="E125" i="26"/>
  <c r="E126" i="25"/>
  <c r="E125" i="24"/>
  <c r="E125" i="23"/>
  <c r="I124" i="28"/>
  <c r="I125" i="27"/>
  <c r="I125" i="26"/>
  <c r="I126" i="25"/>
  <c r="I125" i="24"/>
  <c r="I125" i="23"/>
  <c r="E127" i="20"/>
  <c r="E125" i="28"/>
  <c r="E126" i="27"/>
  <c r="E126" i="26"/>
  <c r="E127" i="25"/>
  <c r="E126" i="24"/>
  <c r="E126" i="23"/>
  <c r="I127" i="20"/>
  <c r="I125" i="28"/>
  <c r="I126" i="27"/>
  <c r="I126" i="26"/>
  <c r="I127" i="25"/>
  <c r="I126" i="24"/>
  <c r="I126" i="23"/>
  <c r="F134" i="28"/>
  <c r="F135" i="26"/>
  <c r="F135" i="27"/>
  <c r="F136" i="25"/>
  <c r="F135" i="24"/>
  <c r="F135" i="23"/>
  <c r="J134" i="28"/>
  <c r="J135" i="26"/>
  <c r="J135" i="27"/>
  <c r="J136" i="25"/>
  <c r="J135" i="24"/>
  <c r="J135" i="23"/>
  <c r="G135" i="28"/>
  <c r="G136" i="27"/>
  <c r="G136" i="26"/>
  <c r="G137" i="25"/>
  <c r="G136" i="24"/>
  <c r="G136" i="23"/>
  <c r="H136" i="28"/>
  <c r="H137" i="27"/>
  <c r="H137" i="26"/>
  <c r="H138" i="25"/>
  <c r="H137" i="24"/>
  <c r="H137" i="23"/>
  <c r="E137" i="28"/>
  <c r="E138" i="27"/>
  <c r="E138" i="26"/>
  <c r="E139" i="25"/>
  <c r="E138" i="24"/>
  <c r="E138" i="23"/>
  <c r="H137" i="11"/>
  <c r="I137" i="28"/>
  <c r="I138" i="27"/>
  <c r="I138" i="26"/>
  <c r="I139" i="25"/>
  <c r="I138" i="24"/>
  <c r="I138" i="23"/>
  <c r="E138" i="11"/>
  <c r="F138" i="28"/>
  <c r="F139" i="26"/>
  <c r="F139" i="27"/>
  <c r="F140" i="25"/>
  <c r="F139" i="24"/>
  <c r="F139" i="23"/>
  <c r="I138" i="11"/>
  <c r="J138" i="28"/>
  <c r="J139" i="26"/>
  <c r="J139" i="27"/>
  <c r="J140" i="25"/>
  <c r="J139" i="24"/>
  <c r="J139" i="23"/>
  <c r="E149" i="20"/>
  <c r="E147" i="28"/>
  <c r="E148" i="27"/>
  <c r="E148" i="26"/>
  <c r="E149" i="25"/>
  <c r="E148" i="24"/>
  <c r="E148" i="23"/>
  <c r="I147" i="28"/>
  <c r="I148" i="27"/>
  <c r="I148" i="26"/>
  <c r="I149" i="25"/>
  <c r="I148" i="24"/>
  <c r="I148" i="23"/>
  <c r="F148" i="28"/>
  <c r="F149" i="26"/>
  <c r="F149" i="27"/>
  <c r="F150" i="25"/>
  <c r="F149" i="24"/>
  <c r="F149" i="23"/>
  <c r="J148" i="28"/>
  <c r="J149" i="26"/>
  <c r="J149" i="27"/>
  <c r="J150" i="25"/>
  <c r="J149" i="24"/>
  <c r="J149" i="23"/>
  <c r="G150" i="28"/>
  <c r="G151" i="27"/>
  <c r="G151" i="26"/>
  <c r="G152" i="25"/>
  <c r="G151" i="24"/>
  <c r="G151" i="23"/>
  <c r="H151" i="28"/>
  <c r="H152" i="27"/>
  <c r="H152" i="26"/>
  <c r="H153" i="25"/>
  <c r="H152" i="24"/>
  <c r="H152" i="23"/>
  <c r="C149" i="11"/>
  <c r="D149" i="28"/>
  <c r="D150" i="27"/>
  <c r="D150" i="26"/>
  <c r="D151" i="25"/>
  <c r="D150" i="24"/>
  <c r="D150" i="23"/>
  <c r="H149" i="28"/>
  <c r="H150" i="27"/>
  <c r="H150" i="26"/>
  <c r="H151" i="25"/>
  <c r="H150" i="24"/>
  <c r="H150" i="23"/>
  <c r="D153" i="11"/>
  <c r="E153" i="28"/>
  <c r="E154" i="27"/>
  <c r="E154" i="26"/>
  <c r="E155" i="25"/>
  <c r="E154" i="24"/>
  <c r="E154" i="23"/>
  <c r="I153" i="28"/>
  <c r="I154" i="27"/>
  <c r="I155" i="25"/>
  <c r="I154" i="26"/>
  <c r="I154" i="24"/>
  <c r="I154" i="23"/>
  <c r="F154" i="28"/>
  <c r="F155" i="27"/>
  <c r="F155" i="26"/>
  <c r="F156" i="25"/>
  <c r="F155" i="24"/>
  <c r="F155" i="23"/>
  <c r="J154" i="28"/>
  <c r="J155" i="26"/>
  <c r="J155" i="27"/>
  <c r="J156" i="25"/>
  <c r="J155" i="24"/>
  <c r="J155" i="23"/>
  <c r="G156" i="28"/>
  <c r="G157" i="27"/>
  <c r="G157" i="26"/>
  <c r="G158" i="25"/>
  <c r="G157" i="24"/>
  <c r="G157" i="23"/>
  <c r="H157" i="28"/>
  <c r="H158" i="27"/>
  <c r="H159" i="25"/>
  <c r="H158" i="26"/>
  <c r="H158" i="24"/>
  <c r="H158" i="23"/>
  <c r="D157" i="20"/>
  <c r="D155" i="28"/>
  <c r="D156" i="27"/>
  <c r="D156" i="26"/>
  <c r="D157" i="25"/>
  <c r="D156" i="24"/>
  <c r="D156" i="23"/>
  <c r="G155" i="11"/>
  <c r="H155" i="28"/>
  <c r="H156" i="27"/>
  <c r="H156" i="26"/>
  <c r="H157" i="25"/>
  <c r="H156" i="24"/>
  <c r="H156" i="23"/>
  <c r="E162" i="20"/>
  <c r="E160" i="28"/>
  <c r="E161" i="27"/>
  <c r="E161" i="26"/>
  <c r="E162" i="25"/>
  <c r="E161" i="24"/>
  <c r="E161" i="23"/>
  <c r="I160" i="28"/>
  <c r="I161" i="27"/>
  <c r="I161" i="26"/>
  <c r="I162" i="25"/>
  <c r="I161" i="24"/>
  <c r="I161" i="23"/>
  <c r="F161" i="28"/>
  <c r="F162" i="26"/>
  <c r="F162" i="27"/>
  <c r="F163" i="25"/>
  <c r="F162" i="24"/>
  <c r="F162" i="23"/>
  <c r="J161" i="28"/>
  <c r="J162" i="27"/>
  <c r="J162" i="26"/>
  <c r="J163" i="25"/>
  <c r="J162" i="24"/>
  <c r="J162" i="23"/>
  <c r="G162" i="28"/>
  <c r="G163" i="27"/>
  <c r="G163" i="26"/>
  <c r="G164" i="25"/>
  <c r="G163" i="24"/>
  <c r="G163" i="23"/>
  <c r="H165" i="20"/>
  <c r="H163" i="28"/>
  <c r="H164" i="27"/>
  <c r="H164" i="26"/>
  <c r="H165" i="25"/>
  <c r="H164" i="24"/>
  <c r="H164" i="23"/>
  <c r="E164" i="28"/>
  <c r="E165" i="27"/>
  <c r="E165" i="26"/>
  <c r="E166" i="25"/>
  <c r="E165" i="24"/>
  <c r="E165" i="23"/>
  <c r="I164" i="28"/>
  <c r="I165" i="27"/>
  <c r="I165" i="26"/>
  <c r="I166" i="25"/>
  <c r="I165" i="24"/>
  <c r="I165" i="23"/>
  <c r="F172" i="28"/>
  <c r="F173" i="27"/>
  <c r="F173" i="26"/>
  <c r="F174" i="25"/>
  <c r="F173" i="24"/>
  <c r="F173" i="23"/>
  <c r="J172" i="28"/>
  <c r="J173" i="27"/>
  <c r="J173" i="26"/>
  <c r="J174" i="25"/>
  <c r="J173" i="24"/>
  <c r="J173" i="23"/>
  <c r="G173" i="28"/>
  <c r="G174" i="27"/>
  <c r="G174" i="26"/>
  <c r="G175" i="25"/>
  <c r="G174" i="24"/>
  <c r="G174" i="23"/>
  <c r="H174" i="28"/>
  <c r="H175" i="27"/>
  <c r="H175" i="26"/>
  <c r="H176" i="25"/>
  <c r="H175" i="24"/>
  <c r="H175" i="23"/>
  <c r="E175" i="28"/>
  <c r="E176" i="27"/>
  <c r="E176" i="26"/>
  <c r="E177" i="25"/>
  <c r="E176" i="24"/>
  <c r="E176" i="23"/>
  <c r="I175" i="28"/>
  <c r="I176" i="27"/>
  <c r="I176" i="26"/>
  <c r="I177" i="25"/>
  <c r="I176" i="24"/>
  <c r="I176" i="23"/>
  <c r="F176" i="28"/>
  <c r="F177" i="27"/>
  <c r="F177" i="26"/>
  <c r="F177" i="24"/>
  <c r="F178" i="25"/>
  <c r="F177" i="23"/>
  <c r="J176" i="28"/>
  <c r="J177" i="27"/>
  <c r="J177" i="26"/>
  <c r="J177" i="24"/>
  <c r="J178" i="25"/>
  <c r="J177" i="23"/>
  <c r="G177" i="28"/>
  <c r="G178" i="27"/>
  <c r="G178" i="26"/>
  <c r="G179" i="25"/>
  <c r="G178" i="24"/>
  <c r="G178" i="23"/>
  <c r="H178" i="28"/>
  <c r="H179" i="27"/>
  <c r="H179" i="26"/>
  <c r="H180" i="25"/>
  <c r="H179" i="24"/>
  <c r="H179" i="23"/>
  <c r="E179" i="28"/>
  <c r="E180" i="27"/>
  <c r="E180" i="26"/>
  <c r="E180" i="24"/>
  <c r="E181" i="25"/>
  <c r="E180" i="23"/>
  <c r="I179" i="28"/>
  <c r="I180" i="27"/>
  <c r="I180" i="26"/>
  <c r="I180" i="24"/>
  <c r="I181" i="25"/>
  <c r="I180" i="23"/>
  <c r="AJ65" i="2"/>
  <c r="AP65" i="2"/>
  <c r="AL65" i="2"/>
  <c r="AO65" i="2"/>
  <c r="AN65" i="2"/>
  <c r="W65" i="25"/>
  <c r="AP152" i="2"/>
  <c r="AL152" i="2"/>
  <c r="AO152" i="2"/>
  <c r="AN152" i="2"/>
  <c r="W152" i="25"/>
  <c r="AJ152" i="2"/>
  <c r="D89" i="20"/>
  <c r="D87" i="28"/>
  <c r="D88" i="27"/>
  <c r="D88" i="26"/>
  <c r="D89" i="25"/>
  <c r="D88" i="24"/>
  <c r="D88" i="23"/>
  <c r="AO153" i="2"/>
  <c r="AN153" i="2"/>
  <c r="AL153" i="2"/>
  <c r="AP153" i="2"/>
  <c r="W153" i="25"/>
  <c r="AJ153" i="2"/>
  <c r="D179" i="20"/>
  <c r="D177" i="28"/>
  <c r="D178" i="27"/>
  <c r="D178" i="26"/>
  <c r="D178" i="24"/>
  <c r="D179" i="25"/>
  <c r="D178" i="23"/>
  <c r="AJ180" i="2"/>
  <c r="AM180" i="2"/>
  <c r="AP180" i="2"/>
  <c r="AL180" i="2"/>
  <c r="AN180" i="2"/>
  <c r="W180" i="25"/>
  <c r="AP29" i="2"/>
  <c r="AL29" i="2"/>
  <c r="AO29" i="2"/>
  <c r="W29" i="25"/>
  <c r="AJ29" i="2"/>
  <c r="E19" i="28"/>
  <c r="E20" i="27"/>
  <c r="E20" i="26"/>
  <c r="E20" i="24"/>
  <c r="E21" i="25"/>
  <c r="I21" i="23"/>
  <c r="I20" i="28"/>
  <c r="I21" i="27"/>
  <c r="I22" i="25"/>
  <c r="I21" i="26"/>
  <c r="I21" i="24"/>
  <c r="J22" i="23"/>
  <c r="J21" i="28"/>
  <c r="J22" i="27"/>
  <c r="J23" i="25"/>
  <c r="J22" i="26"/>
  <c r="J22" i="24"/>
  <c r="F23" i="28"/>
  <c r="F24" i="27"/>
  <c r="F25" i="25"/>
  <c r="F24" i="26"/>
  <c r="F24" i="24"/>
  <c r="F28" i="23"/>
  <c r="F27" i="28"/>
  <c r="F28" i="27"/>
  <c r="F29" i="25"/>
  <c r="F28" i="26"/>
  <c r="F28" i="24"/>
  <c r="D29" i="28"/>
  <c r="D30" i="27"/>
  <c r="D31" i="25"/>
  <c r="D30" i="26"/>
  <c r="D30" i="24"/>
  <c r="I31" i="23"/>
  <c r="I30" i="28"/>
  <c r="I31" i="27"/>
  <c r="I32" i="25"/>
  <c r="I31" i="26"/>
  <c r="I31" i="24"/>
  <c r="J32" i="28"/>
  <c r="J33" i="27"/>
  <c r="J34" i="25"/>
  <c r="J33" i="26"/>
  <c r="J33" i="24"/>
  <c r="J33" i="23"/>
  <c r="H36" i="20"/>
  <c r="H34" i="28"/>
  <c r="H35" i="27"/>
  <c r="H35" i="26"/>
  <c r="H35" i="24"/>
  <c r="H36" i="25"/>
  <c r="H35" i="23"/>
  <c r="F36" i="28"/>
  <c r="F37" i="27"/>
  <c r="F38" i="25"/>
  <c r="F37" i="26"/>
  <c r="F37" i="24"/>
  <c r="F37" i="23"/>
  <c r="I40" i="28"/>
  <c r="I41" i="27"/>
  <c r="I41" i="26"/>
  <c r="I42" i="25"/>
  <c r="I41" i="24"/>
  <c r="I41" i="23"/>
  <c r="E47" i="20"/>
  <c r="E45" i="28"/>
  <c r="E46" i="27"/>
  <c r="E46" i="26"/>
  <c r="E47" i="25"/>
  <c r="E46" i="24"/>
  <c r="E46" i="23"/>
  <c r="J46" i="28"/>
  <c r="J47" i="27"/>
  <c r="J48" i="25"/>
  <c r="J47" i="26"/>
  <c r="J47" i="24"/>
  <c r="J47" i="23"/>
  <c r="I52" i="20"/>
  <c r="I50" i="28"/>
  <c r="I51" i="27"/>
  <c r="I51" i="26"/>
  <c r="I52" i="25"/>
  <c r="I51" i="24"/>
  <c r="I51" i="23"/>
  <c r="F54" i="20"/>
  <c r="F52" i="28"/>
  <c r="F53" i="27"/>
  <c r="F53" i="26"/>
  <c r="F54" i="25"/>
  <c r="F53" i="24"/>
  <c r="F53" i="23"/>
  <c r="H61" i="28"/>
  <c r="H62" i="27"/>
  <c r="H62" i="26"/>
  <c r="H63" i="25"/>
  <c r="H62" i="24"/>
  <c r="H62" i="23"/>
  <c r="F63" i="28"/>
  <c r="F64" i="27"/>
  <c r="F64" i="26"/>
  <c r="F64" i="24"/>
  <c r="F65" i="25"/>
  <c r="F64" i="23"/>
  <c r="D68" i="20"/>
  <c r="D66" i="28"/>
  <c r="D67" i="27"/>
  <c r="D67" i="26"/>
  <c r="D68" i="25"/>
  <c r="D67" i="24"/>
  <c r="D67" i="23"/>
  <c r="I67" i="28"/>
  <c r="I68" i="27"/>
  <c r="I68" i="26"/>
  <c r="I69" i="25"/>
  <c r="I68" i="24"/>
  <c r="I68" i="23"/>
  <c r="F69" i="11"/>
  <c r="G69" i="28"/>
  <c r="G70" i="27"/>
  <c r="G70" i="26"/>
  <c r="G71" i="25"/>
  <c r="G70" i="24"/>
  <c r="G70" i="23"/>
  <c r="G70" i="28"/>
  <c r="G71" i="27"/>
  <c r="G71" i="26"/>
  <c r="G72" i="25"/>
  <c r="G71" i="24"/>
  <c r="G71" i="23"/>
  <c r="I73" i="28"/>
  <c r="I74" i="27"/>
  <c r="I74" i="26"/>
  <c r="I75" i="25"/>
  <c r="I74" i="24"/>
  <c r="I74" i="23"/>
  <c r="I78" i="28"/>
  <c r="I79" i="27"/>
  <c r="I79" i="26"/>
  <c r="I80" i="25"/>
  <c r="I79" i="24"/>
  <c r="I79" i="23"/>
  <c r="F80" i="11"/>
  <c r="G80" i="28"/>
  <c r="G81" i="27"/>
  <c r="G81" i="26"/>
  <c r="G82" i="25"/>
  <c r="G81" i="24"/>
  <c r="G81" i="23"/>
  <c r="E87" i="20"/>
  <c r="E85" i="28"/>
  <c r="E86" i="27"/>
  <c r="E86" i="26"/>
  <c r="E87" i="25"/>
  <c r="E86" i="24"/>
  <c r="E86" i="23"/>
  <c r="J86" i="28"/>
  <c r="J87" i="27"/>
  <c r="J87" i="26"/>
  <c r="J88" i="25"/>
  <c r="J87" i="24"/>
  <c r="J87" i="23"/>
  <c r="H88" i="28"/>
  <c r="H89" i="27"/>
  <c r="H89" i="26"/>
  <c r="H89" i="24"/>
  <c r="H90" i="25"/>
  <c r="H89" i="23"/>
  <c r="F91" i="28"/>
  <c r="F92" i="27"/>
  <c r="F92" i="26"/>
  <c r="F93" i="25"/>
  <c r="F92" i="24"/>
  <c r="F92" i="23"/>
  <c r="G92" i="28"/>
  <c r="G93" i="27"/>
  <c r="G93" i="26"/>
  <c r="G94" i="25"/>
  <c r="G93" i="24"/>
  <c r="G93" i="23"/>
  <c r="H93" i="28"/>
  <c r="H94" i="27"/>
  <c r="H94" i="26"/>
  <c r="H95" i="25"/>
  <c r="H94" i="24"/>
  <c r="H94" i="23"/>
  <c r="I94" i="28"/>
  <c r="I95" i="27"/>
  <c r="I95" i="26"/>
  <c r="I96" i="25"/>
  <c r="I95" i="24"/>
  <c r="I95" i="23"/>
  <c r="J95" i="28"/>
  <c r="J96" i="27"/>
  <c r="J96" i="26"/>
  <c r="J97" i="25"/>
  <c r="J96" i="24"/>
  <c r="J96" i="23"/>
  <c r="G101" i="28"/>
  <c r="G102" i="27"/>
  <c r="G102" i="26"/>
  <c r="G103" i="25"/>
  <c r="G102" i="24"/>
  <c r="G102" i="23"/>
  <c r="D12" i="28"/>
  <c r="D13" i="27"/>
  <c r="D14" i="25"/>
  <c r="D13" i="26"/>
  <c r="D13" i="24"/>
  <c r="AF13" i="23"/>
  <c r="D9" i="28"/>
  <c r="D10" i="27"/>
  <c r="D11" i="25"/>
  <c r="D10" i="26"/>
  <c r="D10" i="24"/>
  <c r="AO12" i="2"/>
  <c r="AL12" i="2"/>
  <c r="AP12" i="2"/>
  <c r="W12" i="25"/>
  <c r="AJ12" i="2"/>
  <c r="AP14" i="2"/>
  <c r="AL14" i="2"/>
  <c r="AO14" i="2"/>
  <c r="W14" i="25"/>
  <c r="AJ14" i="2"/>
  <c r="D37" i="20"/>
  <c r="D35" i="28"/>
  <c r="D36" i="27"/>
  <c r="D37" i="25"/>
  <c r="D36" i="26"/>
  <c r="D36" i="24"/>
  <c r="D36" i="23"/>
  <c r="AF47" i="23"/>
  <c r="AN54" i="2"/>
  <c r="AP54" i="2"/>
  <c r="AO54" i="2"/>
  <c r="AL54" i="2"/>
  <c r="W54" i="25"/>
  <c r="AJ54" i="2"/>
  <c r="AM69" i="2"/>
  <c r="AP69" i="2"/>
  <c r="AL69" i="2"/>
  <c r="AO69" i="2"/>
  <c r="W69" i="25"/>
  <c r="AJ69" i="2"/>
  <c r="AF82" i="23"/>
  <c r="D91" i="20"/>
  <c r="D89" i="28"/>
  <c r="D90" i="27"/>
  <c r="D90" i="26"/>
  <c r="D91" i="25"/>
  <c r="D90" i="24"/>
  <c r="D90" i="23"/>
  <c r="C104" i="11"/>
  <c r="D104" i="28"/>
  <c r="D105" i="27"/>
  <c r="D105" i="26"/>
  <c r="D106" i="25"/>
  <c r="D105" i="24"/>
  <c r="D105" i="23"/>
  <c r="C116" i="11"/>
  <c r="D116" i="28"/>
  <c r="D117" i="27"/>
  <c r="D117" i="26"/>
  <c r="D118" i="25"/>
  <c r="D117" i="24"/>
  <c r="D117" i="23"/>
  <c r="C156" i="11"/>
  <c r="D156" i="28"/>
  <c r="D157" i="27"/>
  <c r="D157" i="26"/>
  <c r="D158" i="25"/>
  <c r="D157" i="24"/>
  <c r="D157" i="23"/>
  <c r="C176" i="11"/>
  <c r="D176" i="28"/>
  <c r="D177" i="27"/>
  <c r="D177" i="26"/>
  <c r="D177" i="24"/>
  <c r="D178" i="25"/>
  <c r="D177" i="23"/>
  <c r="D11" i="28"/>
  <c r="D12" i="27"/>
  <c r="D13" i="25"/>
  <c r="D12" i="26"/>
  <c r="D12" i="24"/>
  <c r="AP15" i="2"/>
  <c r="AL15" i="2"/>
  <c r="AO15" i="2"/>
  <c r="W15" i="25"/>
  <c r="AJ15" i="2"/>
  <c r="D18" i="28"/>
  <c r="D19" i="27"/>
  <c r="D20" i="25"/>
  <c r="D19" i="26"/>
  <c r="D19" i="24"/>
  <c r="AP30" i="2"/>
  <c r="AL30" i="2"/>
  <c r="AO30" i="2"/>
  <c r="W30" i="25"/>
  <c r="AJ30" i="2"/>
  <c r="AF48" i="23"/>
  <c r="AF46" i="23"/>
  <c r="AF65" i="23"/>
  <c r="AJ89" i="2"/>
  <c r="AN89" i="2"/>
  <c r="AL89" i="2"/>
  <c r="AO89" i="2"/>
  <c r="AP89" i="2"/>
  <c r="W89" i="25"/>
  <c r="C105" i="11"/>
  <c r="D105" i="28"/>
  <c r="D106" i="27"/>
  <c r="D106" i="26"/>
  <c r="D107" i="25"/>
  <c r="D106" i="24"/>
  <c r="D106" i="23"/>
  <c r="C117" i="11"/>
  <c r="D117" i="28"/>
  <c r="D118" i="27"/>
  <c r="D118" i="26"/>
  <c r="D119" i="25"/>
  <c r="D118" i="24"/>
  <c r="D118" i="23"/>
  <c r="C157" i="11"/>
  <c r="D157" i="28"/>
  <c r="D158" i="27"/>
  <c r="D158" i="26"/>
  <c r="D159" i="25"/>
  <c r="D158" i="24"/>
  <c r="D158" i="23"/>
  <c r="D24" i="28"/>
  <c r="D25" i="27"/>
  <c r="D26" i="25"/>
  <c r="D25" i="26"/>
  <c r="D25" i="24"/>
  <c r="AP27" i="2"/>
  <c r="AL27" i="2"/>
  <c r="AO27" i="2"/>
  <c r="W27" i="25"/>
  <c r="AJ27" i="2"/>
  <c r="C41" i="11"/>
  <c r="D41" i="28"/>
  <c r="D42" i="27"/>
  <c r="D42" i="26"/>
  <c r="D43" i="25"/>
  <c r="D42" i="24"/>
  <c r="D42" i="23"/>
  <c r="AJ40" i="2"/>
  <c r="AM40" i="2"/>
  <c r="AP40" i="2"/>
  <c r="AN40" i="2"/>
  <c r="AO40" i="2"/>
  <c r="W40" i="25"/>
  <c r="AJ41" i="2"/>
  <c r="AP41" i="2"/>
  <c r="AL41" i="2"/>
  <c r="AO41" i="2"/>
  <c r="AN41" i="2"/>
  <c r="W41" i="25"/>
  <c r="AL42" i="2"/>
  <c r="AP42" i="2"/>
  <c r="AM42" i="2"/>
  <c r="W42" i="25"/>
  <c r="AJ43" i="2"/>
  <c r="AO43" i="2"/>
  <c r="AL43" i="2"/>
  <c r="AP43" i="2"/>
  <c r="W43" i="25"/>
  <c r="AM44" i="2"/>
  <c r="AP44" i="2"/>
  <c r="AL44" i="2"/>
  <c r="W44" i="25"/>
  <c r="AF50" i="23"/>
  <c r="AJ72" i="2"/>
  <c r="AM72" i="2"/>
  <c r="AP72" i="2"/>
  <c r="AO72" i="2"/>
  <c r="AL72" i="2"/>
  <c r="W72" i="25"/>
  <c r="AJ87" i="2"/>
  <c r="AP87" i="2"/>
  <c r="AL87" i="2"/>
  <c r="AO87" i="2"/>
  <c r="AM87" i="2"/>
  <c r="W87" i="25"/>
  <c r="AF92" i="23"/>
  <c r="AP103" i="2"/>
  <c r="AL103" i="2"/>
  <c r="AO103" i="2"/>
  <c r="W103" i="25"/>
  <c r="AJ103" i="2"/>
  <c r="AF108" i="23"/>
  <c r="AO115" i="2"/>
  <c r="AM115" i="2"/>
  <c r="AL115" i="2"/>
  <c r="AP115" i="2"/>
  <c r="W115" i="25"/>
  <c r="AJ115" i="2"/>
  <c r="D122" i="20"/>
  <c r="D120" i="28"/>
  <c r="D121" i="27"/>
  <c r="D121" i="26"/>
  <c r="D122" i="25"/>
  <c r="D121" i="24"/>
  <c r="D121" i="23"/>
  <c r="C134" i="11"/>
  <c r="D134" i="28"/>
  <c r="D135" i="27"/>
  <c r="D135" i="26"/>
  <c r="D136" i="25"/>
  <c r="D135" i="24"/>
  <c r="D135" i="23"/>
  <c r="AF148" i="23"/>
  <c r="AJ155" i="2"/>
  <c r="AN155" i="2"/>
  <c r="AM155" i="2"/>
  <c r="AO155" i="2"/>
  <c r="AP155" i="2"/>
  <c r="W155" i="25"/>
  <c r="AF173" i="23"/>
  <c r="H9" i="23"/>
  <c r="H8" i="28"/>
  <c r="H9" i="27"/>
  <c r="H10" i="25"/>
  <c r="H9" i="26"/>
  <c r="H9" i="24"/>
  <c r="E10" i="23"/>
  <c r="E9" i="28"/>
  <c r="E10" i="27"/>
  <c r="E10" i="26"/>
  <c r="E10" i="24"/>
  <c r="E11" i="25"/>
  <c r="I9" i="28"/>
  <c r="I10" i="27"/>
  <c r="I10" i="26"/>
  <c r="I11" i="25"/>
  <c r="I10" i="24"/>
  <c r="F10" i="28"/>
  <c r="F11" i="27"/>
  <c r="F12" i="25"/>
  <c r="F11" i="26"/>
  <c r="F11" i="24"/>
  <c r="J10" i="28"/>
  <c r="J11" i="27"/>
  <c r="J12" i="25"/>
  <c r="J11" i="26"/>
  <c r="J11" i="24"/>
  <c r="G11" i="28"/>
  <c r="G12" i="27"/>
  <c r="G13" i="25"/>
  <c r="G12" i="26"/>
  <c r="G12" i="24"/>
  <c r="H13" i="23"/>
  <c r="H12" i="28"/>
  <c r="H13" i="27"/>
  <c r="H14" i="25"/>
  <c r="H13" i="26"/>
  <c r="H13" i="24"/>
  <c r="E13" i="28"/>
  <c r="E14" i="27"/>
  <c r="E14" i="26"/>
  <c r="E14" i="24"/>
  <c r="E15" i="25"/>
  <c r="I13" i="28"/>
  <c r="I14" i="27"/>
  <c r="I14" i="26"/>
  <c r="I15" i="25"/>
  <c r="I14" i="24"/>
  <c r="E14" i="28"/>
  <c r="E15" i="27"/>
  <c r="E16" i="25"/>
  <c r="E15" i="26"/>
  <c r="E15" i="24"/>
  <c r="I15" i="23"/>
  <c r="I14" i="28"/>
  <c r="I15" i="27"/>
  <c r="I16" i="25"/>
  <c r="I15" i="26"/>
  <c r="I15" i="24"/>
  <c r="E15" i="28"/>
  <c r="E16" i="27"/>
  <c r="E16" i="26"/>
  <c r="E16" i="24"/>
  <c r="E17" i="25"/>
  <c r="I16" i="23"/>
  <c r="I15" i="28"/>
  <c r="I16" i="27"/>
  <c r="I16" i="26"/>
  <c r="I17" i="25"/>
  <c r="I16" i="24"/>
  <c r="F17" i="23"/>
  <c r="F16" i="28"/>
  <c r="F17" i="27"/>
  <c r="F18" i="25"/>
  <c r="F17" i="26"/>
  <c r="F17" i="24"/>
  <c r="J17" i="23"/>
  <c r="J16" i="28"/>
  <c r="J17" i="27"/>
  <c r="J18" i="25"/>
  <c r="J17" i="26"/>
  <c r="J17" i="24"/>
  <c r="G17" i="28"/>
  <c r="G18" i="27"/>
  <c r="G19" i="25"/>
  <c r="G18" i="26"/>
  <c r="G18" i="24"/>
  <c r="H18" i="28"/>
  <c r="H19" i="27"/>
  <c r="H20" i="25"/>
  <c r="H19" i="26"/>
  <c r="H19" i="24"/>
  <c r="D20" i="23"/>
  <c r="D19" i="28"/>
  <c r="D20" i="27"/>
  <c r="D21" i="25"/>
  <c r="D20" i="26"/>
  <c r="D20" i="24"/>
  <c r="H19" i="28"/>
  <c r="H20" i="27"/>
  <c r="H21" i="25"/>
  <c r="H20" i="26"/>
  <c r="H20" i="24"/>
  <c r="D20" i="28"/>
  <c r="D21" i="27"/>
  <c r="D22" i="25"/>
  <c r="D21" i="26"/>
  <c r="D21" i="24"/>
  <c r="H20" i="28"/>
  <c r="H21" i="27"/>
  <c r="H22" i="25"/>
  <c r="H21" i="26"/>
  <c r="H21" i="24"/>
  <c r="E21" i="28"/>
  <c r="E22" i="27"/>
  <c r="E22" i="26"/>
  <c r="E22" i="24"/>
  <c r="E23" i="25"/>
  <c r="I21" i="28"/>
  <c r="I22" i="27"/>
  <c r="I22" i="26"/>
  <c r="I23" i="25"/>
  <c r="I22" i="24"/>
  <c r="E22" i="28"/>
  <c r="E23" i="27"/>
  <c r="E24" i="25"/>
  <c r="E23" i="26"/>
  <c r="E23" i="24"/>
  <c r="I22" i="28"/>
  <c r="I23" i="27"/>
  <c r="I24" i="25"/>
  <c r="I23" i="26"/>
  <c r="I23" i="24"/>
  <c r="E23" i="28"/>
  <c r="E24" i="27"/>
  <c r="E24" i="26"/>
  <c r="E24" i="24"/>
  <c r="E25" i="25"/>
  <c r="I24" i="23"/>
  <c r="I23" i="28"/>
  <c r="I24" i="27"/>
  <c r="I24" i="26"/>
  <c r="I25" i="25"/>
  <c r="I24" i="24"/>
  <c r="F25" i="23"/>
  <c r="F24" i="28"/>
  <c r="F25" i="27"/>
  <c r="F26" i="25"/>
  <c r="F25" i="26"/>
  <c r="F25" i="24"/>
  <c r="J25" i="23"/>
  <c r="J24" i="28"/>
  <c r="J25" i="27"/>
  <c r="J26" i="25"/>
  <c r="J25" i="26"/>
  <c r="J25" i="24"/>
  <c r="G26" i="23"/>
  <c r="G25" i="28"/>
  <c r="G26" i="27"/>
  <c r="G27" i="25"/>
  <c r="G26" i="26"/>
  <c r="G26" i="24"/>
  <c r="D26" i="28"/>
  <c r="D27" i="27"/>
  <c r="D28" i="25"/>
  <c r="D27" i="26"/>
  <c r="D27" i="24"/>
  <c r="H27" i="23"/>
  <c r="H26" i="28"/>
  <c r="H27" i="27"/>
  <c r="H28" i="25"/>
  <c r="H27" i="26"/>
  <c r="H27" i="24"/>
  <c r="E28" i="23"/>
  <c r="E27" i="28"/>
  <c r="E28" i="27"/>
  <c r="E28" i="26"/>
  <c r="E28" i="24"/>
  <c r="E29" i="25"/>
  <c r="I28" i="23"/>
  <c r="I27" i="28"/>
  <c r="I28" i="27"/>
  <c r="I28" i="26"/>
  <c r="I29" i="25"/>
  <c r="I28" i="24"/>
  <c r="G29" i="23"/>
  <c r="G28" i="28"/>
  <c r="G29" i="27"/>
  <c r="G29" i="26"/>
  <c r="G29" i="24"/>
  <c r="G30" i="25"/>
  <c r="G30" i="23"/>
  <c r="G29" i="28"/>
  <c r="G30" i="27"/>
  <c r="G31" i="25"/>
  <c r="G30" i="26"/>
  <c r="G30" i="24"/>
  <c r="H31" i="23"/>
  <c r="H30" i="28"/>
  <c r="H31" i="27"/>
  <c r="H32" i="25"/>
  <c r="H31" i="26"/>
  <c r="H31" i="24"/>
  <c r="E32" i="28"/>
  <c r="E33" i="27"/>
  <c r="E34" i="25"/>
  <c r="E33" i="26"/>
  <c r="E33" i="24"/>
  <c r="E33" i="23"/>
  <c r="I32" i="28"/>
  <c r="I33" i="27"/>
  <c r="I34" i="25"/>
  <c r="I33" i="26"/>
  <c r="I33" i="24"/>
  <c r="I33" i="23"/>
  <c r="F33" i="28"/>
  <c r="F34" i="27"/>
  <c r="F34" i="26"/>
  <c r="F34" i="24"/>
  <c r="F35" i="25"/>
  <c r="F34" i="23"/>
  <c r="J33" i="28"/>
  <c r="J34" i="27"/>
  <c r="J34" i="26"/>
  <c r="J34" i="24"/>
  <c r="J35" i="25"/>
  <c r="J34" i="23"/>
  <c r="F34" i="11"/>
  <c r="G34" i="28"/>
  <c r="G35" i="27"/>
  <c r="G36" i="25"/>
  <c r="G35" i="26"/>
  <c r="G35" i="24"/>
  <c r="G35" i="23"/>
  <c r="H37" i="20"/>
  <c r="H35" i="28"/>
  <c r="H36" i="27"/>
  <c r="H37" i="25"/>
  <c r="H36" i="26"/>
  <c r="H36" i="24"/>
  <c r="H36" i="23"/>
  <c r="E38" i="20"/>
  <c r="E36" i="28"/>
  <c r="E37" i="27"/>
  <c r="E38" i="25"/>
  <c r="E37" i="26"/>
  <c r="E37" i="24"/>
  <c r="E37" i="23"/>
  <c r="I36" i="28"/>
  <c r="I37" i="27"/>
  <c r="I38" i="25"/>
  <c r="I37" i="26"/>
  <c r="I37" i="24"/>
  <c r="I37" i="23"/>
  <c r="F38" i="28"/>
  <c r="F39" i="27"/>
  <c r="F40" i="25"/>
  <c r="F39" i="26"/>
  <c r="F39" i="24"/>
  <c r="F39" i="23"/>
  <c r="J38" i="28"/>
  <c r="J39" i="27"/>
  <c r="J39" i="26"/>
  <c r="J40" i="25"/>
  <c r="J39" i="24"/>
  <c r="J39" i="23"/>
  <c r="G39" i="28"/>
  <c r="G40" i="27"/>
  <c r="G40" i="26"/>
  <c r="G41" i="25"/>
  <c r="G40" i="24"/>
  <c r="G40" i="23"/>
  <c r="H40" i="28"/>
  <c r="H41" i="27"/>
  <c r="H41" i="26"/>
  <c r="H42" i="25"/>
  <c r="H41" i="24"/>
  <c r="H41" i="23"/>
  <c r="E41" i="28"/>
  <c r="E42" i="27"/>
  <c r="E42" i="26"/>
  <c r="E42" i="24"/>
  <c r="E43" i="25"/>
  <c r="E42" i="23"/>
  <c r="I41" i="28"/>
  <c r="I42" i="27"/>
  <c r="I42" i="26"/>
  <c r="I42" i="24"/>
  <c r="I43" i="25"/>
  <c r="I42" i="23"/>
  <c r="G42" i="28"/>
  <c r="G43" i="27"/>
  <c r="G43" i="24"/>
  <c r="G43" i="26"/>
  <c r="G44" i="25"/>
  <c r="G43" i="23"/>
  <c r="G45" i="11"/>
  <c r="H45" i="28"/>
  <c r="H46" i="27"/>
  <c r="H47" i="25"/>
  <c r="H46" i="26"/>
  <c r="H46" i="24"/>
  <c r="H46" i="23"/>
  <c r="E46" i="28"/>
  <c r="E47" i="27"/>
  <c r="E47" i="26"/>
  <c r="E48" i="25"/>
  <c r="E47" i="24"/>
  <c r="E47" i="23"/>
  <c r="I46" i="28"/>
  <c r="I47" i="27"/>
  <c r="I47" i="26"/>
  <c r="I48" i="25"/>
  <c r="I47" i="24"/>
  <c r="I47" i="23"/>
  <c r="F47" i="28"/>
  <c r="F48" i="27"/>
  <c r="F48" i="26"/>
  <c r="F49" i="25"/>
  <c r="F48" i="24"/>
  <c r="F48" i="23"/>
  <c r="J47" i="28"/>
  <c r="J48" i="27"/>
  <c r="J48" i="26"/>
  <c r="J49" i="25"/>
  <c r="J48" i="24"/>
  <c r="J48" i="23"/>
  <c r="G49" i="28"/>
  <c r="G50" i="27"/>
  <c r="G50" i="26"/>
  <c r="G51" i="25"/>
  <c r="G50" i="24"/>
  <c r="G50" i="23"/>
  <c r="H52" i="20"/>
  <c r="H50" i="28"/>
  <c r="H51" i="27"/>
  <c r="H51" i="26"/>
  <c r="H52" i="25"/>
  <c r="H51" i="24"/>
  <c r="H51" i="23"/>
  <c r="D51" i="28"/>
  <c r="D52" i="27"/>
  <c r="D52" i="26"/>
  <c r="D53" i="25"/>
  <c r="D52" i="24"/>
  <c r="D52" i="23"/>
  <c r="H53" i="20"/>
  <c r="H51" i="28"/>
  <c r="H52" i="27"/>
  <c r="H52" i="26"/>
  <c r="H53" i="25"/>
  <c r="H52" i="24"/>
  <c r="H52" i="23"/>
  <c r="E54" i="20"/>
  <c r="E52" i="28"/>
  <c r="E53" i="27"/>
  <c r="E53" i="26"/>
  <c r="E54" i="25"/>
  <c r="E53" i="24"/>
  <c r="E53" i="23"/>
  <c r="I52" i="28"/>
  <c r="I53" i="27"/>
  <c r="I53" i="26"/>
  <c r="I54" i="25"/>
  <c r="I53" i="24"/>
  <c r="I53" i="23"/>
  <c r="F53" i="28"/>
  <c r="F54" i="27"/>
  <c r="F54" i="26"/>
  <c r="F55" i="25"/>
  <c r="F54" i="24"/>
  <c r="F54" i="23"/>
  <c r="J55" i="20"/>
  <c r="J53" i="28"/>
  <c r="J54" i="27"/>
  <c r="J54" i="26"/>
  <c r="J55" i="25"/>
  <c r="J54" i="24"/>
  <c r="J54" i="23"/>
  <c r="E55" i="11"/>
  <c r="F55" i="28"/>
  <c r="F56" i="27"/>
  <c r="F57" i="25"/>
  <c r="F56" i="26"/>
  <c r="F56" i="24"/>
  <c r="F56" i="23"/>
  <c r="I55" i="11"/>
  <c r="J55" i="28"/>
  <c r="J56" i="27"/>
  <c r="J57" i="25"/>
  <c r="J56" i="26"/>
  <c r="J56" i="24"/>
  <c r="J56" i="23"/>
  <c r="L57" i="27"/>
  <c r="G61" i="28"/>
  <c r="G62" i="27"/>
  <c r="G62" i="26"/>
  <c r="G63" i="25"/>
  <c r="G62" i="24"/>
  <c r="G62" i="23"/>
  <c r="H62" i="28"/>
  <c r="H63" i="27"/>
  <c r="H63" i="26"/>
  <c r="H63" i="24"/>
  <c r="H64" i="25"/>
  <c r="H63" i="23"/>
  <c r="E63" i="28"/>
  <c r="E64" i="27"/>
  <c r="E65" i="25"/>
  <c r="E64" i="26"/>
  <c r="E64" i="24"/>
  <c r="E64" i="23"/>
  <c r="I63" i="28"/>
  <c r="I64" i="27"/>
  <c r="I64" i="26"/>
  <c r="I65" i="25"/>
  <c r="I64" i="24"/>
  <c r="I64" i="23"/>
  <c r="G64" i="28"/>
  <c r="G65" i="27"/>
  <c r="G65" i="26"/>
  <c r="G65" i="24"/>
  <c r="G66" i="25"/>
  <c r="G65" i="23"/>
  <c r="G68" i="20"/>
  <c r="G66" i="28"/>
  <c r="G67" i="27"/>
  <c r="G67" i="26"/>
  <c r="G68" i="25"/>
  <c r="G67" i="24"/>
  <c r="G67" i="23"/>
  <c r="H67" i="28"/>
  <c r="H68" i="27"/>
  <c r="H68" i="26"/>
  <c r="H68" i="24"/>
  <c r="H69" i="25"/>
  <c r="H68" i="23"/>
  <c r="E68" i="28"/>
  <c r="E69" i="27"/>
  <c r="E69" i="26"/>
  <c r="E70" i="25"/>
  <c r="E69" i="24"/>
  <c r="E69" i="23"/>
  <c r="I68" i="28"/>
  <c r="I69" i="27"/>
  <c r="I69" i="26"/>
  <c r="I70" i="25"/>
  <c r="I69" i="24"/>
  <c r="I69" i="23"/>
  <c r="F71" i="20"/>
  <c r="F69" i="28"/>
  <c r="F70" i="27"/>
  <c r="F70" i="26"/>
  <c r="F71" i="25"/>
  <c r="F70" i="24"/>
  <c r="F70" i="23"/>
  <c r="J69" i="28"/>
  <c r="J70" i="27"/>
  <c r="J70" i="26"/>
  <c r="J71" i="25"/>
  <c r="J70" i="24"/>
  <c r="J70" i="23"/>
  <c r="F72" i="20"/>
  <c r="F70" i="28"/>
  <c r="F71" i="27"/>
  <c r="F71" i="26"/>
  <c r="F72" i="25"/>
  <c r="F71" i="24"/>
  <c r="F71" i="23"/>
  <c r="J72" i="20"/>
  <c r="J70" i="28"/>
  <c r="J71" i="27"/>
  <c r="J71" i="26"/>
  <c r="J72" i="25"/>
  <c r="J71" i="24"/>
  <c r="J71" i="23"/>
  <c r="G73" i="11"/>
  <c r="H73" i="28"/>
  <c r="H74" i="27"/>
  <c r="H74" i="26"/>
  <c r="H74" i="24"/>
  <c r="H75" i="25"/>
  <c r="H74" i="23"/>
  <c r="E74" i="28"/>
  <c r="E75" i="27"/>
  <c r="E75" i="26"/>
  <c r="E76" i="25"/>
  <c r="E75" i="24"/>
  <c r="E75" i="23"/>
  <c r="I74" i="28"/>
  <c r="I75" i="27"/>
  <c r="I75" i="26"/>
  <c r="I76" i="25"/>
  <c r="I75" i="24"/>
  <c r="I75" i="23"/>
  <c r="F77" i="20"/>
  <c r="F75" i="28"/>
  <c r="F76" i="27"/>
  <c r="F76" i="26"/>
  <c r="F77" i="25"/>
  <c r="F76" i="24"/>
  <c r="F76" i="23"/>
  <c r="J75" i="28"/>
  <c r="J76" i="26"/>
  <c r="J76" i="27"/>
  <c r="J77" i="25"/>
  <c r="J76" i="24"/>
  <c r="J76" i="23"/>
  <c r="G76" i="28"/>
  <c r="G77" i="27"/>
  <c r="G77" i="26"/>
  <c r="G78" i="25"/>
  <c r="G77" i="24"/>
  <c r="G77" i="23"/>
  <c r="H78" i="28"/>
  <c r="H79" i="27"/>
  <c r="H79" i="26"/>
  <c r="H80" i="25"/>
  <c r="H79" i="24"/>
  <c r="D79" i="11"/>
  <c r="E79" i="28"/>
  <c r="E80" i="27"/>
  <c r="E80" i="26"/>
  <c r="E81" i="25"/>
  <c r="E80" i="24"/>
  <c r="E80" i="23"/>
  <c r="H79" i="11"/>
  <c r="I79" i="28"/>
  <c r="I80" i="27"/>
  <c r="I80" i="26"/>
  <c r="I81" i="25"/>
  <c r="I80" i="24"/>
  <c r="I80" i="23"/>
  <c r="E80" i="11"/>
  <c r="F80" i="28"/>
  <c r="F81" i="27"/>
  <c r="F81" i="26"/>
  <c r="F82" i="25"/>
  <c r="F81" i="24"/>
  <c r="F81" i="23"/>
  <c r="J80" i="28"/>
  <c r="J81" i="27"/>
  <c r="J81" i="26"/>
  <c r="J82" i="25"/>
  <c r="J81" i="24"/>
  <c r="J81" i="23"/>
  <c r="G83" i="20"/>
  <c r="G81" i="28"/>
  <c r="G82" i="27"/>
  <c r="G82" i="26"/>
  <c r="G83" i="25"/>
  <c r="G82" i="24"/>
  <c r="G82" i="23"/>
  <c r="H85" i="28"/>
  <c r="H86" i="27"/>
  <c r="H86" i="26"/>
  <c r="H87" i="25"/>
  <c r="H86" i="24"/>
  <c r="H86" i="23"/>
  <c r="D86" i="11"/>
  <c r="E86" i="28"/>
  <c r="E87" i="27"/>
  <c r="E87" i="26"/>
  <c r="E88" i="25"/>
  <c r="E87" i="24"/>
  <c r="E87" i="23"/>
  <c r="H86" i="11"/>
  <c r="I86" i="28"/>
  <c r="I87" i="27"/>
  <c r="I87" i="26"/>
  <c r="I88" i="25"/>
  <c r="I87" i="24"/>
  <c r="I87" i="23"/>
  <c r="F87" i="28"/>
  <c r="F88" i="27"/>
  <c r="F88" i="26"/>
  <c r="F88" i="24"/>
  <c r="F89" i="25"/>
  <c r="F88" i="23"/>
  <c r="J87" i="28"/>
  <c r="J88" i="27"/>
  <c r="J88" i="26"/>
  <c r="J88" i="24"/>
  <c r="J89" i="25"/>
  <c r="J88" i="23"/>
  <c r="G88" i="28"/>
  <c r="G89" i="27"/>
  <c r="G89" i="26"/>
  <c r="G90" i="25"/>
  <c r="G89" i="24"/>
  <c r="G89" i="23"/>
  <c r="H89" i="28"/>
  <c r="H90" i="27"/>
  <c r="H90" i="26"/>
  <c r="H91" i="25"/>
  <c r="H90" i="24"/>
  <c r="H90" i="23"/>
  <c r="E93" i="20"/>
  <c r="E91" i="28"/>
  <c r="E92" i="27"/>
  <c r="E92" i="26"/>
  <c r="E92" i="24"/>
  <c r="E93" i="25"/>
  <c r="E92" i="23"/>
  <c r="I91" i="28"/>
  <c r="I92" i="27"/>
  <c r="I92" i="26"/>
  <c r="I92" i="24"/>
  <c r="I93" i="25"/>
  <c r="I92" i="23"/>
  <c r="E92" i="11"/>
  <c r="F92" i="28"/>
  <c r="F93" i="27"/>
  <c r="F93" i="26"/>
  <c r="F94" i="25"/>
  <c r="F93" i="24"/>
  <c r="F93" i="23"/>
  <c r="J92" i="28"/>
  <c r="J93" i="26"/>
  <c r="J93" i="27"/>
  <c r="J94" i="25"/>
  <c r="J93" i="24"/>
  <c r="J93" i="23"/>
  <c r="F93" i="11"/>
  <c r="G93" i="28"/>
  <c r="G94" i="27"/>
  <c r="G94" i="26"/>
  <c r="G95" i="25"/>
  <c r="G94" i="24"/>
  <c r="G94" i="23"/>
  <c r="H94" i="28"/>
  <c r="H95" i="27"/>
  <c r="H95" i="26"/>
  <c r="H96" i="25"/>
  <c r="H95" i="24"/>
  <c r="H95" i="23"/>
  <c r="E95" i="28"/>
  <c r="E96" i="27"/>
  <c r="E96" i="26"/>
  <c r="E97" i="25"/>
  <c r="E96" i="24"/>
  <c r="E96" i="23"/>
  <c r="I95" i="28"/>
  <c r="I96" i="27"/>
  <c r="I96" i="26"/>
  <c r="I97" i="25"/>
  <c r="I96" i="24"/>
  <c r="I96" i="23"/>
  <c r="E96" i="28"/>
  <c r="E97" i="27"/>
  <c r="E97" i="26"/>
  <c r="E98" i="25"/>
  <c r="E97" i="24"/>
  <c r="E97" i="23"/>
  <c r="I96" i="28"/>
  <c r="I97" i="27"/>
  <c r="I97" i="26"/>
  <c r="I98" i="25"/>
  <c r="I97" i="24"/>
  <c r="I97" i="23"/>
  <c r="F101" i="28"/>
  <c r="F102" i="27"/>
  <c r="F102" i="26"/>
  <c r="F103" i="25"/>
  <c r="F102" i="24"/>
  <c r="F102" i="23"/>
  <c r="J101" i="28"/>
  <c r="J102" i="27"/>
  <c r="J102" i="26"/>
  <c r="J103" i="25"/>
  <c r="J102" i="24"/>
  <c r="J102" i="23"/>
  <c r="G102" i="28"/>
  <c r="G103" i="27"/>
  <c r="G103" i="26"/>
  <c r="G104" i="25"/>
  <c r="G103" i="24"/>
  <c r="G103" i="23"/>
  <c r="H103" i="28"/>
  <c r="H104" i="27"/>
  <c r="H104" i="26"/>
  <c r="H105" i="25"/>
  <c r="H104" i="24"/>
  <c r="H104" i="23"/>
  <c r="E104" i="28"/>
  <c r="E105" i="27"/>
  <c r="E105" i="26"/>
  <c r="E106" i="25"/>
  <c r="E105" i="24"/>
  <c r="E105" i="23"/>
  <c r="I104" i="28"/>
  <c r="I105" i="27"/>
  <c r="I105" i="26"/>
  <c r="I106" i="25"/>
  <c r="I105" i="24"/>
  <c r="I105" i="23"/>
  <c r="F105" i="28"/>
  <c r="F106" i="27"/>
  <c r="F107" i="25"/>
  <c r="F106" i="26"/>
  <c r="F106" i="24"/>
  <c r="F106" i="23"/>
  <c r="J105" i="28"/>
  <c r="J106" i="27"/>
  <c r="J106" i="26"/>
  <c r="J107" i="25"/>
  <c r="J106" i="24"/>
  <c r="J106" i="23"/>
  <c r="G107" i="28"/>
  <c r="G108" i="27"/>
  <c r="G108" i="26"/>
  <c r="G109" i="25"/>
  <c r="G108" i="24"/>
  <c r="G108" i="23"/>
  <c r="E110" i="20"/>
  <c r="E108" i="28"/>
  <c r="E109" i="27"/>
  <c r="E109" i="26"/>
  <c r="E110" i="25"/>
  <c r="E109" i="24"/>
  <c r="E109" i="23"/>
  <c r="I108" i="28"/>
  <c r="I109" i="27"/>
  <c r="I109" i="26"/>
  <c r="I110" i="25"/>
  <c r="I109" i="24"/>
  <c r="I109" i="23"/>
  <c r="G109" i="28"/>
  <c r="G110" i="27"/>
  <c r="G110" i="26"/>
  <c r="G111" i="25"/>
  <c r="G110" i="24"/>
  <c r="G110" i="23"/>
  <c r="E110" i="28"/>
  <c r="E111" i="27"/>
  <c r="E111" i="26"/>
  <c r="E112" i="25"/>
  <c r="E111" i="24"/>
  <c r="E111" i="23"/>
  <c r="I110" i="28"/>
  <c r="I111" i="27"/>
  <c r="I111" i="26"/>
  <c r="I112" i="25"/>
  <c r="I111" i="24"/>
  <c r="I111" i="23"/>
  <c r="G111" i="28"/>
  <c r="G112" i="27"/>
  <c r="G112" i="26"/>
  <c r="G113" i="25"/>
  <c r="G112" i="24"/>
  <c r="G112" i="23"/>
  <c r="E113" i="28"/>
  <c r="E114" i="27"/>
  <c r="E114" i="26"/>
  <c r="E115" i="25"/>
  <c r="E114" i="24"/>
  <c r="E114" i="23"/>
  <c r="I113" i="28"/>
  <c r="I114" i="27"/>
  <c r="I114" i="26"/>
  <c r="I115" i="25"/>
  <c r="I114" i="24"/>
  <c r="I114" i="23"/>
  <c r="E114" i="11"/>
  <c r="F114" i="28"/>
  <c r="F115" i="27"/>
  <c r="F116" i="25"/>
  <c r="F115" i="26"/>
  <c r="F115" i="24"/>
  <c r="F115" i="23"/>
  <c r="J114" i="28"/>
  <c r="J115" i="27"/>
  <c r="J115" i="26"/>
  <c r="J116" i="25"/>
  <c r="J115" i="24"/>
  <c r="J115" i="23"/>
  <c r="F115" i="11"/>
  <c r="G115" i="28"/>
  <c r="G116" i="27"/>
  <c r="G116" i="26"/>
  <c r="G117" i="25"/>
  <c r="G116" i="24"/>
  <c r="G116" i="23"/>
  <c r="H116" i="28"/>
  <c r="H117" i="27"/>
  <c r="H117" i="26"/>
  <c r="H118" i="25"/>
  <c r="H117" i="24"/>
  <c r="H117" i="23"/>
  <c r="E117" i="28"/>
  <c r="E118" i="27"/>
  <c r="E118" i="26"/>
  <c r="E119" i="25"/>
  <c r="E118" i="24"/>
  <c r="E118" i="23"/>
  <c r="I117" i="28"/>
  <c r="I118" i="27"/>
  <c r="I118" i="26"/>
  <c r="I119" i="25"/>
  <c r="I118" i="24"/>
  <c r="I118" i="23"/>
  <c r="F120" i="28"/>
  <c r="F121" i="26"/>
  <c r="F122" i="25"/>
  <c r="F121" i="27"/>
  <c r="F121" i="24"/>
  <c r="F121" i="23"/>
  <c r="J120" i="28"/>
  <c r="J121" i="27"/>
  <c r="J121" i="26"/>
  <c r="J122" i="25"/>
  <c r="J121" i="24"/>
  <c r="J121" i="23"/>
  <c r="G121" i="28"/>
  <c r="G122" i="27"/>
  <c r="G122" i="26"/>
  <c r="G123" i="25"/>
  <c r="G122" i="24"/>
  <c r="G122" i="23"/>
  <c r="H122" i="28"/>
  <c r="H123" i="27"/>
  <c r="H123" i="26"/>
  <c r="H124" i="25"/>
  <c r="H123" i="24"/>
  <c r="H123" i="23"/>
  <c r="E126" i="28"/>
  <c r="E127" i="27"/>
  <c r="E127" i="26"/>
  <c r="E128" i="25"/>
  <c r="E127" i="24"/>
  <c r="E127" i="23"/>
  <c r="I126" i="28"/>
  <c r="I127" i="27"/>
  <c r="I127" i="26"/>
  <c r="I128" i="25"/>
  <c r="I127" i="24"/>
  <c r="I127" i="23"/>
  <c r="F127" i="28"/>
  <c r="F128" i="27"/>
  <c r="F128" i="26"/>
  <c r="F129" i="25"/>
  <c r="F128" i="24"/>
  <c r="F128" i="23"/>
  <c r="J127" i="28"/>
  <c r="J128" i="27"/>
  <c r="J128" i="26"/>
  <c r="J129" i="25"/>
  <c r="J128" i="24"/>
  <c r="J128" i="23"/>
  <c r="F123" i="28"/>
  <c r="F124" i="27"/>
  <c r="F124" i="26"/>
  <c r="F125" i="25"/>
  <c r="F124" i="24"/>
  <c r="F124" i="23"/>
  <c r="J123" i="28"/>
  <c r="J124" i="27"/>
  <c r="J124" i="26"/>
  <c r="J125" i="25"/>
  <c r="J124" i="24"/>
  <c r="J124" i="23"/>
  <c r="E124" i="11"/>
  <c r="F124" i="28"/>
  <c r="F125" i="26"/>
  <c r="F125" i="27"/>
  <c r="F126" i="25"/>
  <c r="F125" i="24"/>
  <c r="F125" i="23"/>
  <c r="I124" i="11"/>
  <c r="J124" i="28"/>
  <c r="J125" i="26"/>
  <c r="J125" i="27"/>
  <c r="J126" i="25"/>
  <c r="J125" i="24"/>
  <c r="J125" i="23"/>
  <c r="F125" i="28"/>
  <c r="F126" i="27"/>
  <c r="F126" i="26"/>
  <c r="F127" i="25"/>
  <c r="F126" i="24"/>
  <c r="F126" i="23"/>
  <c r="J125" i="28"/>
  <c r="J126" i="26"/>
  <c r="J126" i="27"/>
  <c r="J127" i="25"/>
  <c r="J126" i="24"/>
  <c r="J126" i="23"/>
  <c r="G134" i="28"/>
  <c r="G135" i="27"/>
  <c r="G135" i="26"/>
  <c r="G136" i="25"/>
  <c r="G135" i="24"/>
  <c r="G135" i="23"/>
  <c r="H135" i="28"/>
  <c r="H136" i="27"/>
  <c r="H136" i="26"/>
  <c r="H137" i="25"/>
  <c r="H136" i="24"/>
  <c r="H136" i="23"/>
  <c r="E136" i="28"/>
  <c r="E137" i="27"/>
  <c r="E137" i="26"/>
  <c r="E138" i="25"/>
  <c r="E137" i="24"/>
  <c r="E137" i="23"/>
  <c r="I136" i="28"/>
  <c r="I137" i="27"/>
  <c r="I137" i="26"/>
  <c r="I138" i="25"/>
  <c r="I137" i="24"/>
  <c r="I137" i="23"/>
  <c r="F137" i="28"/>
  <c r="F138" i="27"/>
  <c r="F138" i="26"/>
  <c r="F139" i="25"/>
  <c r="F138" i="24"/>
  <c r="F138" i="23"/>
  <c r="J137" i="28"/>
  <c r="J138" i="27"/>
  <c r="J138" i="26"/>
  <c r="J139" i="25"/>
  <c r="J138" i="24"/>
  <c r="J138" i="23"/>
  <c r="G138" i="28"/>
  <c r="G139" i="27"/>
  <c r="G139" i="26"/>
  <c r="G140" i="25"/>
  <c r="G139" i="24"/>
  <c r="G139" i="23"/>
  <c r="F147" i="28"/>
  <c r="F148" i="27"/>
  <c r="F148" i="26"/>
  <c r="F149" i="25"/>
  <c r="F148" i="24"/>
  <c r="F148" i="23"/>
  <c r="J147" i="28"/>
  <c r="J148" i="27"/>
  <c r="J148" i="26"/>
  <c r="J149" i="25"/>
  <c r="J148" i="24"/>
  <c r="J148" i="23"/>
  <c r="F148" i="11"/>
  <c r="G148" i="28"/>
  <c r="G149" i="27"/>
  <c r="G150" i="25"/>
  <c r="G149" i="24"/>
  <c r="G149" i="26"/>
  <c r="G149" i="23"/>
  <c r="H150" i="28"/>
  <c r="H151" i="27"/>
  <c r="H152" i="25"/>
  <c r="H151" i="26"/>
  <c r="H151" i="24"/>
  <c r="H151" i="23"/>
  <c r="E151" i="28"/>
  <c r="E152" i="27"/>
  <c r="E152" i="26"/>
  <c r="E153" i="25"/>
  <c r="E152" i="24"/>
  <c r="E152" i="23"/>
  <c r="I151" i="28"/>
  <c r="I152" i="27"/>
  <c r="I153" i="25"/>
  <c r="I152" i="26"/>
  <c r="I152" i="24"/>
  <c r="I152" i="23"/>
  <c r="E149" i="28"/>
  <c r="E150" i="27"/>
  <c r="E150" i="26"/>
  <c r="E151" i="25"/>
  <c r="E150" i="24"/>
  <c r="E150" i="23"/>
  <c r="I151" i="20"/>
  <c r="I149" i="28"/>
  <c r="I150" i="27"/>
  <c r="I150" i="26"/>
  <c r="I151" i="25"/>
  <c r="I150" i="24"/>
  <c r="I150" i="23"/>
  <c r="F153" i="28"/>
  <c r="F154" i="26"/>
  <c r="F154" i="27"/>
  <c r="F155" i="25"/>
  <c r="F154" i="24"/>
  <c r="F154" i="23"/>
  <c r="J153" i="28"/>
  <c r="J154" i="26"/>
  <c r="J154" i="27"/>
  <c r="J155" i="25"/>
  <c r="J154" i="24"/>
  <c r="J154" i="23"/>
  <c r="G156" i="20"/>
  <c r="G154" i="28"/>
  <c r="G155" i="27"/>
  <c r="G155" i="26"/>
  <c r="G156" i="25"/>
  <c r="G155" i="24"/>
  <c r="G155" i="23"/>
  <c r="H156" i="28"/>
  <c r="H157" i="27"/>
  <c r="H157" i="26"/>
  <c r="H158" i="25"/>
  <c r="H157" i="24"/>
  <c r="H157" i="23"/>
  <c r="E159" i="20"/>
  <c r="E157" i="28"/>
  <c r="E158" i="27"/>
  <c r="E158" i="26"/>
  <c r="E159" i="25"/>
  <c r="E158" i="24"/>
  <c r="E158" i="23"/>
  <c r="I157" i="28"/>
  <c r="I158" i="27"/>
  <c r="I158" i="26"/>
  <c r="I159" i="25"/>
  <c r="I158" i="24"/>
  <c r="I158" i="23"/>
  <c r="E155" i="28"/>
  <c r="E156" i="27"/>
  <c r="E156" i="26"/>
  <c r="E157" i="25"/>
  <c r="E156" i="24"/>
  <c r="E156" i="23"/>
  <c r="I155" i="28"/>
  <c r="I156" i="27"/>
  <c r="I156" i="26"/>
  <c r="I157" i="25"/>
  <c r="I156" i="24"/>
  <c r="I156" i="23"/>
  <c r="F160" i="28"/>
  <c r="F161" i="27"/>
  <c r="F161" i="26"/>
  <c r="F162" i="25"/>
  <c r="F161" i="24"/>
  <c r="F161" i="23"/>
  <c r="J160" i="28"/>
  <c r="J161" i="26"/>
  <c r="J162" i="25"/>
  <c r="J161" i="27"/>
  <c r="J161" i="24"/>
  <c r="J161" i="23"/>
  <c r="F161" i="11"/>
  <c r="G161" i="28"/>
  <c r="G162" i="27"/>
  <c r="G163" i="25"/>
  <c r="G162" i="26"/>
  <c r="G162" i="24"/>
  <c r="G162" i="23"/>
  <c r="H162" i="28"/>
  <c r="H163" i="27"/>
  <c r="H163" i="26"/>
  <c r="H164" i="25"/>
  <c r="H163" i="24"/>
  <c r="H163" i="23"/>
  <c r="E163" i="28"/>
  <c r="E164" i="27"/>
  <c r="E164" i="26"/>
  <c r="E165" i="25"/>
  <c r="E164" i="24"/>
  <c r="E164" i="23"/>
  <c r="I163" i="28"/>
  <c r="I164" i="27"/>
  <c r="I164" i="26"/>
  <c r="I165" i="25"/>
  <c r="I164" i="24"/>
  <c r="I164" i="23"/>
  <c r="F164" i="28"/>
  <c r="F165" i="27"/>
  <c r="F165" i="26"/>
  <c r="F166" i="25"/>
  <c r="F165" i="24"/>
  <c r="F165" i="23"/>
  <c r="J166" i="20"/>
  <c r="J164" i="28"/>
  <c r="J165" i="26"/>
  <c r="J165" i="27"/>
  <c r="J166" i="25"/>
  <c r="J165" i="24"/>
  <c r="J165" i="23"/>
  <c r="G172" i="28"/>
  <c r="G173" i="27"/>
  <c r="G173" i="26"/>
  <c r="G173" i="24"/>
  <c r="G174" i="25"/>
  <c r="G173" i="23"/>
  <c r="H173" i="28"/>
  <c r="H174" i="27"/>
  <c r="H174" i="26"/>
  <c r="H175" i="25"/>
  <c r="H174" i="24"/>
  <c r="H174" i="23"/>
  <c r="E176" i="20"/>
  <c r="E174" i="28"/>
  <c r="E175" i="27"/>
  <c r="E175" i="26"/>
  <c r="E176" i="25"/>
  <c r="E175" i="24"/>
  <c r="E175" i="23"/>
  <c r="I174" i="28"/>
  <c r="I175" i="27"/>
  <c r="I176" i="25"/>
  <c r="I175" i="26"/>
  <c r="I175" i="24"/>
  <c r="I175" i="23"/>
  <c r="F177" i="20"/>
  <c r="F175" i="28"/>
  <c r="F176" i="27"/>
  <c r="F176" i="26"/>
  <c r="F176" i="24"/>
  <c r="F177" i="25"/>
  <c r="F176" i="23"/>
  <c r="J175" i="28"/>
  <c r="J176" i="26"/>
  <c r="J176" i="24"/>
  <c r="J176" i="27"/>
  <c r="J177" i="25"/>
  <c r="J176" i="23"/>
  <c r="G178" i="20"/>
  <c r="G176" i="28"/>
  <c r="G177" i="27"/>
  <c r="G177" i="26"/>
  <c r="G178" i="25"/>
  <c r="G177" i="24"/>
  <c r="G177" i="23"/>
  <c r="H177" i="28"/>
  <c r="H178" i="27"/>
  <c r="H178" i="26"/>
  <c r="H178" i="24"/>
  <c r="H179" i="25"/>
  <c r="H178" i="23"/>
  <c r="D178" i="11"/>
  <c r="E178" i="28"/>
  <c r="E179" i="27"/>
  <c r="E179" i="26"/>
  <c r="E179" i="24"/>
  <c r="E180" i="25"/>
  <c r="E179" i="23"/>
  <c r="I178" i="28"/>
  <c r="I179" i="27"/>
  <c r="I179" i="26"/>
  <c r="I179" i="24"/>
  <c r="I180" i="25"/>
  <c r="I179" i="23"/>
  <c r="F179" i="28"/>
  <c r="F180" i="27"/>
  <c r="F180" i="26"/>
  <c r="F181" i="25"/>
  <c r="F180" i="24"/>
  <c r="F180" i="23"/>
  <c r="J179" i="28"/>
  <c r="J180" i="26"/>
  <c r="J180" i="27"/>
  <c r="J181" i="25"/>
  <c r="J180" i="24"/>
  <c r="J180" i="23"/>
  <c r="H61" i="20"/>
  <c r="H59" i="28"/>
  <c r="H60" i="27"/>
  <c r="H60" i="26"/>
  <c r="H61" i="25"/>
  <c r="H60" i="24"/>
  <c r="H60" i="23"/>
  <c r="H58" i="28"/>
  <c r="H59" i="27"/>
  <c r="H59" i="26"/>
  <c r="H60" i="25"/>
  <c r="H59" i="24"/>
  <c r="H59" i="23"/>
  <c r="H59" i="20"/>
  <c r="H57" i="28"/>
  <c r="H58" i="27"/>
  <c r="H58" i="24"/>
  <c r="H58" i="26"/>
  <c r="H59" i="25"/>
  <c r="H58" i="23"/>
  <c r="G78" i="11"/>
  <c r="H79" i="23"/>
  <c r="H81" i="20"/>
  <c r="H80" i="23"/>
  <c r="D10" i="20"/>
  <c r="D9" i="23"/>
  <c r="E10" i="20"/>
  <c r="E9" i="23"/>
  <c r="F11" i="20"/>
  <c r="F10" i="23"/>
  <c r="H13" i="20"/>
  <c r="H12" i="23"/>
  <c r="E14" i="20"/>
  <c r="E13" i="23"/>
  <c r="F16" i="20"/>
  <c r="F15" i="23"/>
  <c r="F17" i="20"/>
  <c r="F16" i="23"/>
  <c r="D31" i="20"/>
  <c r="D30" i="23"/>
  <c r="C9" i="11"/>
  <c r="D10" i="23"/>
  <c r="D13" i="20"/>
  <c r="D12" i="23"/>
  <c r="C18" i="11"/>
  <c r="D19" i="23"/>
  <c r="C21" i="11"/>
  <c r="D22" i="23"/>
  <c r="D32" i="20"/>
  <c r="D31" i="23"/>
  <c r="D21" i="20"/>
  <c r="F10" i="20"/>
  <c r="F9" i="23"/>
  <c r="J10" i="20"/>
  <c r="J9" i="23"/>
  <c r="G11" i="20"/>
  <c r="G10" i="23"/>
  <c r="E13" i="20"/>
  <c r="E12" i="23"/>
  <c r="F14" i="20"/>
  <c r="F13" i="23"/>
  <c r="J14" i="20"/>
  <c r="J13" i="23"/>
  <c r="G16" i="20"/>
  <c r="G15" i="23"/>
  <c r="G17" i="20"/>
  <c r="G16" i="23"/>
  <c r="H18" i="20"/>
  <c r="H17" i="23"/>
  <c r="E19" i="20"/>
  <c r="E18" i="23"/>
  <c r="E19" i="11"/>
  <c r="F20" i="23"/>
  <c r="E20" i="11"/>
  <c r="F21" i="23"/>
  <c r="G25" i="20"/>
  <c r="G24" i="23"/>
  <c r="H26" i="20"/>
  <c r="H25" i="23"/>
  <c r="E27" i="20"/>
  <c r="E26" i="23"/>
  <c r="F28" i="20"/>
  <c r="F27" i="23"/>
  <c r="J28" i="20"/>
  <c r="J27" i="23"/>
  <c r="G29" i="20"/>
  <c r="G28" i="23"/>
  <c r="E31" i="20"/>
  <c r="E30" i="23"/>
  <c r="D29" i="20"/>
  <c r="D28" i="23"/>
  <c r="J11" i="20"/>
  <c r="J10" i="23"/>
  <c r="F24" i="20"/>
  <c r="F23" i="23"/>
  <c r="F25" i="20"/>
  <c r="F24" i="23"/>
  <c r="H30" i="20"/>
  <c r="H29" i="23"/>
  <c r="C10" i="11"/>
  <c r="D11" i="23"/>
  <c r="C13" i="11"/>
  <c r="D14" i="23"/>
  <c r="C28" i="11"/>
  <c r="D29" i="23"/>
  <c r="C24" i="11"/>
  <c r="D25" i="23"/>
  <c r="D10" i="11"/>
  <c r="E11" i="23"/>
  <c r="H15" i="20"/>
  <c r="H14" i="23"/>
  <c r="C15" i="11"/>
  <c r="D16" i="23"/>
  <c r="E18" i="20"/>
  <c r="E17" i="23"/>
  <c r="F19" i="20"/>
  <c r="F18" i="23"/>
  <c r="G21" i="20"/>
  <c r="G20" i="23"/>
  <c r="H23" i="20"/>
  <c r="H22" i="23"/>
  <c r="H24" i="20"/>
  <c r="H23" i="23"/>
  <c r="H25" i="20"/>
  <c r="H24" i="23"/>
  <c r="E26" i="20"/>
  <c r="E25" i="23"/>
  <c r="F27" i="20"/>
  <c r="F26" i="23"/>
  <c r="J27" i="20"/>
  <c r="J26" i="23"/>
  <c r="J31" i="20"/>
  <c r="J30" i="23"/>
  <c r="G32" i="20"/>
  <c r="G31" i="23"/>
  <c r="D19" i="20"/>
  <c r="D18" i="23"/>
  <c r="G12" i="20"/>
  <c r="G11" i="23"/>
  <c r="J17" i="20"/>
  <c r="J16" i="23"/>
  <c r="D19" i="11"/>
  <c r="E20" i="23"/>
  <c r="E28" i="20"/>
  <c r="E27" i="23"/>
  <c r="I12" i="20"/>
  <c r="I11" i="23"/>
  <c r="G14" i="20"/>
  <c r="G13" i="23"/>
  <c r="C14" i="11"/>
  <c r="D15" i="23"/>
  <c r="H16" i="20"/>
  <c r="H15" i="23"/>
  <c r="I18" i="20"/>
  <c r="I17" i="23"/>
  <c r="J19" i="20"/>
  <c r="J18" i="23"/>
  <c r="G20" i="20"/>
  <c r="G19" i="23"/>
  <c r="F20" i="11"/>
  <c r="G21" i="23"/>
  <c r="D24" i="20"/>
  <c r="D23" i="23"/>
  <c r="C23" i="11"/>
  <c r="D24" i="23"/>
  <c r="I26" i="20"/>
  <c r="I25" i="23"/>
  <c r="C12" i="11"/>
  <c r="D13" i="23"/>
  <c r="C16" i="11"/>
  <c r="D17" i="23"/>
  <c r="D27" i="20"/>
  <c r="D26" i="23"/>
  <c r="I11" i="20"/>
  <c r="I10" i="23"/>
  <c r="E10" i="11"/>
  <c r="F11" i="23"/>
  <c r="J12" i="20"/>
  <c r="J11" i="23"/>
  <c r="G13" i="20"/>
  <c r="G12" i="23"/>
  <c r="E15" i="20"/>
  <c r="E14" i="23"/>
  <c r="I15" i="20"/>
  <c r="I14" i="23"/>
  <c r="E16" i="20"/>
  <c r="E15" i="23"/>
  <c r="D15" i="11"/>
  <c r="E16" i="23"/>
  <c r="G19" i="20"/>
  <c r="G18" i="23"/>
  <c r="H20" i="20"/>
  <c r="H19" i="23"/>
  <c r="H21" i="20"/>
  <c r="H20" i="23"/>
  <c r="D22" i="20"/>
  <c r="D21" i="23"/>
  <c r="H22" i="20"/>
  <c r="H21" i="23"/>
  <c r="E23" i="20"/>
  <c r="E22" i="23"/>
  <c r="I23" i="20"/>
  <c r="I22" i="23"/>
  <c r="E24" i="20"/>
  <c r="E23" i="23"/>
  <c r="I24" i="20"/>
  <c r="I23" i="23"/>
  <c r="D23" i="11"/>
  <c r="E24" i="23"/>
  <c r="C26" i="11"/>
  <c r="D27" i="23"/>
  <c r="C20" i="11"/>
  <c r="D28" i="20"/>
  <c r="C153" i="11"/>
  <c r="C22" i="11"/>
  <c r="C123" i="11"/>
  <c r="D72" i="20"/>
  <c r="H177" i="11"/>
  <c r="C64" i="11"/>
  <c r="C135" i="11"/>
  <c r="D14" i="20"/>
  <c r="D93" i="20"/>
  <c r="D123" i="20"/>
  <c r="D136" i="20"/>
  <c r="K11" i="20"/>
  <c r="J9" i="11"/>
  <c r="H12" i="20"/>
  <c r="G10" i="11"/>
  <c r="I13" i="20"/>
  <c r="H11" i="11"/>
  <c r="G15" i="20"/>
  <c r="F13" i="11"/>
  <c r="K15" i="20"/>
  <c r="J13" i="11"/>
  <c r="I19" i="20"/>
  <c r="H17" i="11"/>
  <c r="F20" i="20"/>
  <c r="E18" i="11"/>
  <c r="J20" i="20"/>
  <c r="I18" i="11"/>
  <c r="J21" i="20"/>
  <c r="I19" i="11"/>
  <c r="J22" i="20"/>
  <c r="I20" i="11"/>
  <c r="G23" i="20"/>
  <c r="F21" i="11"/>
  <c r="K23" i="20"/>
  <c r="J21" i="11"/>
  <c r="F22" i="11"/>
  <c r="G24" i="20"/>
  <c r="K24" i="20"/>
  <c r="J22" i="11"/>
  <c r="I27" i="20"/>
  <c r="H25" i="11"/>
  <c r="E30" i="20"/>
  <c r="D28" i="11"/>
  <c r="I30" i="20"/>
  <c r="H28" i="11"/>
  <c r="I31" i="20"/>
  <c r="H29" i="11"/>
  <c r="F32" i="20"/>
  <c r="E30" i="11"/>
  <c r="J32" i="20"/>
  <c r="I30" i="11"/>
  <c r="G34" i="20"/>
  <c r="F32" i="11"/>
  <c r="K34" i="20"/>
  <c r="J32" i="11"/>
  <c r="H35" i="20"/>
  <c r="G33" i="11"/>
  <c r="E36" i="20"/>
  <c r="D34" i="11"/>
  <c r="I36" i="20"/>
  <c r="H34" i="11"/>
  <c r="J37" i="20"/>
  <c r="I35" i="11"/>
  <c r="K38" i="20"/>
  <c r="J36" i="11"/>
  <c r="G38" i="11"/>
  <c r="H39" i="11"/>
  <c r="F41" i="11"/>
  <c r="D42" i="11"/>
  <c r="H42" i="11"/>
  <c r="J47" i="20"/>
  <c r="I45" i="11"/>
  <c r="H55" i="20"/>
  <c r="G53" i="11"/>
  <c r="I60" i="20"/>
  <c r="H58" i="11"/>
  <c r="H59" i="11"/>
  <c r="I61" i="20"/>
  <c r="H61" i="11"/>
  <c r="D64" i="11"/>
  <c r="H64" i="11"/>
  <c r="J69" i="20"/>
  <c r="I67" i="11"/>
  <c r="G70" i="20"/>
  <c r="F68" i="11"/>
  <c r="K70" i="20"/>
  <c r="J68" i="11"/>
  <c r="H72" i="20"/>
  <c r="G70" i="11"/>
  <c r="H77" i="20"/>
  <c r="G75" i="11"/>
  <c r="E78" i="20"/>
  <c r="D76" i="11"/>
  <c r="I78" i="20"/>
  <c r="H76" i="11"/>
  <c r="H82" i="20"/>
  <c r="G80" i="11"/>
  <c r="I83" i="20"/>
  <c r="H81" i="11"/>
  <c r="H89" i="20"/>
  <c r="G87" i="11"/>
  <c r="I90" i="20"/>
  <c r="H88" i="11"/>
  <c r="J91" i="20"/>
  <c r="I89" i="11"/>
  <c r="G93" i="20"/>
  <c r="F91" i="11"/>
  <c r="K93" i="20"/>
  <c r="J91" i="11"/>
  <c r="F96" i="20"/>
  <c r="E94" i="11"/>
  <c r="J96" i="20"/>
  <c r="I94" i="11"/>
  <c r="G97" i="20"/>
  <c r="F95" i="11"/>
  <c r="K97" i="20"/>
  <c r="J95" i="11"/>
  <c r="G98" i="20"/>
  <c r="F96" i="11"/>
  <c r="K98" i="20"/>
  <c r="J96" i="11"/>
  <c r="H103" i="20"/>
  <c r="G101" i="11"/>
  <c r="I104" i="20"/>
  <c r="H102" i="11"/>
  <c r="F104" i="11"/>
  <c r="G106" i="20"/>
  <c r="K106" i="20"/>
  <c r="J104" i="11"/>
  <c r="H107" i="20"/>
  <c r="G105" i="11"/>
  <c r="I109" i="20"/>
  <c r="H107" i="11"/>
  <c r="G110" i="20"/>
  <c r="F108" i="11"/>
  <c r="G112" i="20"/>
  <c r="F110" i="11"/>
  <c r="E113" i="20"/>
  <c r="D111" i="11"/>
  <c r="I113" i="20"/>
  <c r="H111" i="11"/>
  <c r="G115" i="20"/>
  <c r="F113" i="11"/>
  <c r="K115" i="20"/>
  <c r="J113" i="11"/>
  <c r="H116" i="20"/>
  <c r="G114" i="11"/>
  <c r="F118" i="20"/>
  <c r="E116" i="11"/>
  <c r="J118" i="20"/>
  <c r="I116" i="11"/>
  <c r="G119" i="20"/>
  <c r="F117" i="11"/>
  <c r="K119" i="20"/>
  <c r="J117" i="11"/>
  <c r="H122" i="20"/>
  <c r="G120" i="11"/>
  <c r="E123" i="20"/>
  <c r="D121" i="11"/>
  <c r="I123" i="20"/>
  <c r="H121" i="11"/>
  <c r="F124" i="20"/>
  <c r="E122" i="11"/>
  <c r="J124" i="20"/>
  <c r="I122" i="11"/>
  <c r="G128" i="20"/>
  <c r="F126" i="11"/>
  <c r="K128" i="20"/>
  <c r="J126" i="11"/>
  <c r="H129" i="20"/>
  <c r="G127" i="11"/>
  <c r="H126" i="20"/>
  <c r="G124" i="11"/>
  <c r="E136" i="20"/>
  <c r="D134" i="11"/>
  <c r="I136" i="20"/>
  <c r="H134" i="11"/>
  <c r="F137" i="20"/>
  <c r="E135" i="11"/>
  <c r="J137" i="20"/>
  <c r="I135" i="11"/>
  <c r="K138" i="20"/>
  <c r="J136" i="11"/>
  <c r="H149" i="20"/>
  <c r="G147" i="11"/>
  <c r="I150" i="20"/>
  <c r="H148" i="11"/>
  <c r="F152" i="20"/>
  <c r="E150" i="11"/>
  <c r="J152" i="20"/>
  <c r="I150" i="11"/>
  <c r="G153" i="20"/>
  <c r="F151" i="11"/>
  <c r="K153" i="20"/>
  <c r="J151" i="11"/>
  <c r="H155" i="20"/>
  <c r="G153" i="11"/>
  <c r="I156" i="20"/>
  <c r="H154" i="11"/>
  <c r="F158" i="20"/>
  <c r="E156" i="11"/>
  <c r="J158" i="20"/>
  <c r="I156" i="11"/>
  <c r="G159" i="20"/>
  <c r="F157" i="11"/>
  <c r="K159" i="20"/>
  <c r="J157" i="11"/>
  <c r="H162" i="20"/>
  <c r="G160" i="11"/>
  <c r="I163" i="20"/>
  <c r="H161" i="11"/>
  <c r="F164" i="20"/>
  <c r="E162" i="11"/>
  <c r="J164" i="20"/>
  <c r="I162" i="11"/>
  <c r="H166" i="20"/>
  <c r="G164" i="11"/>
  <c r="I174" i="20"/>
  <c r="H172" i="11"/>
  <c r="F175" i="20"/>
  <c r="E173" i="11"/>
  <c r="I173" i="11"/>
  <c r="J175" i="20"/>
  <c r="K176" i="20"/>
  <c r="J174" i="11"/>
  <c r="E178" i="20"/>
  <c r="D176" i="11"/>
  <c r="I178" i="20"/>
  <c r="H176" i="11"/>
  <c r="F179" i="20"/>
  <c r="E177" i="11"/>
  <c r="J179" i="20"/>
  <c r="I177" i="11"/>
  <c r="G180" i="20"/>
  <c r="F178" i="11"/>
  <c r="K180" i="20"/>
  <c r="J178" i="11"/>
  <c r="H181" i="20"/>
  <c r="G179" i="11"/>
  <c r="D8" i="11"/>
  <c r="H9" i="11"/>
  <c r="F11" i="11"/>
  <c r="I12" i="11"/>
  <c r="F14" i="11"/>
  <c r="I15" i="11"/>
  <c r="E17" i="11"/>
  <c r="F18" i="11"/>
  <c r="J19" i="11"/>
  <c r="G21" i="11"/>
  <c r="E23" i="11"/>
  <c r="G24" i="11"/>
  <c r="I25" i="11"/>
  <c r="F30" i="11"/>
  <c r="H33" i="11"/>
  <c r="E38" i="11"/>
  <c r="I40" i="11"/>
  <c r="I42" i="11"/>
  <c r="D49" i="11"/>
  <c r="I53" i="11"/>
  <c r="J58" i="11"/>
  <c r="G59" i="11"/>
  <c r="G68" i="11"/>
  <c r="G76" i="11"/>
  <c r="I85" i="11"/>
  <c r="C11" i="11"/>
  <c r="C67" i="11"/>
  <c r="D15" i="20"/>
  <c r="D30" i="20"/>
  <c r="D48" i="20"/>
  <c r="D77" i="20"/>
  <c r="D106" i="20"/>
  <c r="F8" i="11"/>
  <c r="G10" i="20"/>
  <c r="H11" i="20"/>
  <c r="G9" i="11"/>
  <c r="F13" i="20"/>
  <c r="E11" i="11"/>
  <c r="J13" i="20"/>
  <c r="I11" i="11"/>
  <c r="G15" i="11"/>
  <c r="H17" i="20"/>
  <c r="F26" i="11"/>
  <c r="G28" i="20"/>
  <c r="K28" i="20"/>
  <c r="J26" i="11"/>
  <c r="H29" i="20"/>
  <c r="G27" i="11"/>
  <c r="F30" i="20"/>
  <c r="E28" i="11"/>
  <c r="J30" i="20"/>
  <c r="I28" i="11"/>
  <c r="F31" i="20"/>
  <c r="E29" i="11"/>
  <c r="J36" i="20"/>
  <c r="I34" i="11"/>
  <c r="K37" i="20"/>
  <c r="J35" i="11"/>
  <c r="H38" i="11"/>
  <c r="E39" i="11"/>
  <c r="I39" i="11"/>
  <c r="F40" i="11"/>
  <c r="J40" i="11"/>
  <c r="H48" i="20"/>
  <c r="G46" i="11"/>
  <c r="E49" i="20"/>
  <c r="D47" i="11"/>
  <c r="I49" i="20"/>
  <c r="H47" i="11"/>
  <c r="F51" i="20"/>
  <c r="E49" i="11"/>
  <c r="J51" i="20"/>
  <c r="I49" i="11"/>
  <c r="K52" i="20"/>
  <c r="J50" i="11"/>
  <c r="H54" i="20"/>
  <c r="G52" i="11"/>
  <c r="I55" i="20"/>
  <c r="H53" i="11"/>
  <c r="J60" i="20"/>
  <c r="I58" i="11"/>
  <c r="J61" i="20"/>
  <c r="I59" i="11"/>
  <c r="G63" i="11"/>
  <c r="E64" i="11"/>
  <c r="I64" i="11"/>
  <c r="I71" i="20"/>
  <c r="H69" i="11"/>
  <c r="I72" i="20"/>
  <c r="H70" i="11"/>
  <c r="H76" i="20"/>
  <c r="G74" i="11"/>
  <c r="I77" i="20"/>
  <c r="H75" i="11"/>
  <c r="F78" i="20"/>
  <c r="E76" i="11"/>
  <c r="J78" i="20"/>
  <c r="I76" i="11"/>
  <c r="D80" i="11"/>
  <c r="E82" i="20"/>
  <c r="I82" i="20"/>
  <c r="H80" i="11"/>
  <c r="J83" i="20"/>
  <c r="I81" i="11"/>
  <c r="G87" i="20"/>
  <c r="F85" i="11"/>
  <c r="K87" i="20"/>
  <c r="J85" i="11"/>
  <c r="E89" i="20"/>
  <c r="D87" i="11"/>
  <c r="I89" i="20"/>
  <c r="H87" i="11"/>
  <c r="F90" i="20"/>
  <c r="E88" i="11"/>
  <c r="J90" i="20"/>
  <c r="I88" i="11"/>
  <c r="G91" i="20"/>
  <c r="F89" i="11"/>
  <c r="K91" i="20"/>
  <c r="J89" i="11"/>
  <c r="H93" i="20"/>
  <c r="G91" i="11"/>
  <c r="K96" i="20"/>
  <c r="J94" i="11"/>
  <c r="H97" i="20"/>
  <c r="G95" i="11"/>
  <c r="H98" i="20"/>
  <c r="G96" i="11"/>
  <c r="D101" i="11"/>
  <c r="E103" i="20"/>
  <c r="I103" i="20"/>
  <c r="H101" i="11"/>
  <c r="E102" i="11"/>
  <c r="F104" i="20"/>
  <c r="J104" i="20"/>
  <c r="I102" i="11"/>
  <c r="H106" i="20"/>
  <c r="G104" i="11"/>
  <c r="E107" i="20"/>
  <c r="D105" i="11"/>
  <c r="I107" i="20"/>
  <c r="H105" i="11"/>
  <c r="F109" i="20"/>
  <c r="E107" i="11"/>
  <c r="J109" i="20"/>
  <c r="I107" i="11"/>
  <c r="H110" i="20"/>
  <c r="G108" i="11"/>
  <c r="H112" i="20"/>
  <c r="G110" i="11"/>
  <c r="F113" i="20"/>
  <c r="E111" i="11"/>
  <c r="J113" i="20"/>
  <c r="I111" i="11"/>
  <c r="H115" i="20"/>
  <c r="G113" i="11"/>
  <c r="D114" i="11"/>
  <c r="E116" i="20"/>
  <c r="I116" i="20"/>
  <c r="H114" i="11"/>
  <c r="G118" i="20"/>
  <c r="F116" i="11"/>
  <c r="K118" i="20"/>
  <c r="J116" i="11"/>
  <c r="H119" i="20"/>
  <c r="G117" i="11"/>
  <c r="E122" i="20"/>
  <c r="I122" i="20"/>
  <c r="H120" i="11"/>
  <c r="F123" i="20"/>
  <c r="E121" i="11"/>
  <c r="J123" i="20"/>
  <c r="I121" i="11"/>
  <c r="G124" i="20"/>
  <c r="F122" i="11"/>
  <c r="K124" i="20"/>
  <c r="J122" i="11"/>
  <c r="H128" i="20"/>
  <c r="G126" i="11"/>
  <c r="I129" i="20"/>
  <c r="H127" i="11"/>
  <c r="F136" i="20"/>
  <c r="E134" i="11"/>
  <c r="J136" i="20"/>
  <c r="I134" i="11"/>
  <c r="G137" i="20"/>
  <c r="F135" i="11"/>
  <c r="K137" i="20"/>
  <c r="J135" i="11"/>
  <c r="G136" i="11"/>
  <c r="H138" i="20"/>
  <c r="I149" i="20"/>
  <c r="H147" i="11"/>
  <c r="E148" i="11"/>
  <c r="F150" i="20"/>
  <c r="J150" i="20"/>
  <c r="I148" i="11"/>
  <c r="G152" i="20"/>
  <c r="F150" i="11"/>
  <c r="K152" i="20"/>
  <c r="J150" i="11"/>
  <c r="H153" i="20"/>
  <c r="G151" i="11"/>
  <c r="I155" i="20"/>
  <c r="H153" i="11"/>
  <c r="E154" i="11"/>
  <c r="F156" i="20"/>
  <c r="J156" i="20"/>
  <c r="I154" i="11"/>
  <c r="G158" i="20"/>
  <c r="F156" i="11"/>
  <c r="K158" i="20"/>
  <c r="J156" i="11"/>
  <c r="H159" i="20"/>
  <c r="G157" i="11"/>
  <c r="I162" i="20"/>
  <c r="H160" i="11"/>
  <c r="E161" i="11"/>
  <c r="F163" i="20"/>
  <c r="J163" i="20"/>
  <c r="I161" i="11"/>
  <c r="G164" i="20"/>
  <c r="F162" i="11"/>
  <c r="K164" i="20"/>
  <c r="J162" i="11"/>
  <c r="E166" i="20"/>
  <c r="D164" i="11"/>
  <c r="I166" i="20"/>
  <c r="H164" i="11"/>
  <c r="F174" i="20"/>
  <c r="E172" i="11"/>
  <c r="J174" i="20"/>
  <c r="I172" i="11"/>
  <c r="G175" i="20"/>
  <c r="F173" i="11"/>
  <c r="K175" i="20"/>
  <c r="J173" i="11"/>
  <c r="H176" i="20"/>
  <c r="G174" i="11"/>
  <c r="F178" i="20"/>
  <c r="E176" i="11"/>
  <c r="J178" i="20"/>
  <c r="I176" i="11"/>
  <c r="G179" i="20"/>
  <c r="F177" i="11"/>
  <c r="K179" i="20"/>
  <c r="J177" i="11"/>
  <c r="H180" i="20"/>
  <c r="G178" i="11"/>
  <c r="E181" i="20"/>
  <c r="D179" i="11"/>
  <c r="I181" i="20"/>
  <c r="H179" i="11"/>
  <c r="E8" i="11"/>
  <c r="I9" i="11"/>
  <c r="G11" i="11"/>
  <c r="J12" i="11"/>
  <c r="G14" i="11"/>
  <c r="J15" i="11"/>
  <c r="F17" i="11"/>
  <c r="G18" i="11"/>
  <c r="G20" i="11"/>
  <c r="H21" i="11"/>
  <c r="G23" i="11"/>
  <c r="H24" i="11"/>
  <c r="G28" i="11"/>
  <c r="J30" i="11"/>
  <c r="G34" i="11"/>
  <c r="I38" i="11"/>
  <c r="G41" i="11"/>
  <c r="F46" i="11"/>
  <c r="H49" i="11"/>
  <c r="E61" i="11"/>
  <c r="F64" i="11"/>
  <c r="G69" i="11"/>
  <c r="I78" i="11"/>
  <c r="F87" i="11"/>
  <c r="C47" i="11"/>
  <c r="D12" i="20"/>
  <c r="D38" i="20"/>
  <c r="D83" i="20"/>
  <c r="D107" i="20"/>
  <c r="H10" i="20"/>
  <c r="G8" i="11"/>
  <c r="E11" i="20"/>
  <c r="D9" i="11"/>
  <c r="H14" i="20"/>
  <c r="G12" i="11"/>
  <c r="I16" i="20"/>
  <c r="H14" i="11"/>
  <c r="I17" i="20"/>
  <c r="H15" i="11"/>
  <c r="F18" i="20"/>
  <c r="E16" i="11"/>
  <c r="J18" i="20"/>
  <c r="I16" i="11"/>
  <c r="I25" i="20"/>
  <c r="H23" i="11"/>
  <c r="F26" i="20"/>
  <c r="E24" i="11"/>
  <c r="J26" i="20"/>
  <c r="I24" i="11"/>
  <c r="G27" i="20"/>
  <c r="F25" i="11"/>
  <c r="H28" i="20"/>
  <c r="G26" i="11"/>
  <c r="E29" i="20"/>
  <c r="D27" i="11"/>
  <c r="I29" i="20"/>
  <c r="H27" i="11"/>
  <c r="G30" i="20"/>
  <c r="F28" i="11"/>
  <c r="K30" i="20"/>
  <c r="J28" i="11"/>
  <c r="F29" i="11"/>
  <c r="G31" i="20"/>
  <c r="K31" i="20"/>
  <c r="J29" i="11"/>
  <c r="H32" i="20"/>
  <c r="G30" i="11"/>
  <c r="E34" i="20"/>
  <c r="D32" i="11"/>
  <c r="I34" i="20"/>
  <c r="H32" i="11"/>
  <c r="F35" i="20"/>
  <c r="E33" i="11"/>
  <c r="J35" i="20"/>
  <c r="I33" i="11"/>
  <c r="K36" i="20"/>
  <c r="J34" i="11"/>
  <c r="I38" i="20"/>
  <c r="H36" i="11"/>
  <c r="F39" i="11"/>
  <c r="J39" i="11"/>
  <c r="G40" i="11"/>
  <c r="D41" i="11"/>
  <c r="H41" i="11"/>
  <c r="F42" i="11"/>
  <c r="J42" i="11"/>
  <c r="E48" i="20"/>
  <c r="D46" i="11"/>
  <c r="I48" i="20"/>
  <c r="H46" i="11"/>
  <c r="F49" i="20"/>
  <c r="E47" i="11"/>
  <c r="J49" i="20"/>
  <c r="I47" i="11"/>
  <c r="G51" i="20"/>
  <c r="F49" i="11"/>
  <c r="K51" i="20"/>
  <c r="J49" i="11"/>
  <c r="I54" i="20"/>
  <c r="H52" i="11"/>
  <c r="F55" i="20"/>
  <c r="E53" i="11"/>
  <c r="K61" i="20"/>
  <c r="J59" i="11"/>
  <c r="F61" i="11"/>
  <c r="J61" i="11"/>
  <c r="H63" i="11"/>
  <c r="H69" i="20"/>
  <c r="G67" i="11"/>
  <c r="E70" i="20"/>
  <c r="D68" i="11"/>
  <c r="I70" i="20"/>
  <c r="H68" i="11"/>
  <c r="J71" i="20"/>
  <c r="I69" i="11"/>
  <c r="D74" i="11"/>
  <c r="E76" i="20"/>
  <c r="I76" i="20"/>
  <c r="H74" i="11"/>
  <c r="J77" i="20"/>
  <c r="I75" i="11"/>
  <c r="G78" i="20"/>
  <c r="F76" i="11"/>
  <c r="K78" i="20"/>
  <c r="J76" i="11"/>
  <c r="J82" i="20"/>
  <c r="I80" i="11"/>
  <c r="H87" i="20"/>
  <c r="G85" i="11"/>
  <c r="F89" i="20"/>
  <c r="E87" i="11"/>
  <c r="J89" i="20"/>
  <c r="I87" i="11"/>
  <c r="G90" i="20"/>
  <c r="F88" i="11"/>
  <c r="K90" i="20"/>
  <c r="J88" i="11"/>
  <c r="H91" i="20"/>
  <c r="G89" i="11"/>
  <c r="I93" i="20"/>
  <c r="H91" i="11"/>
  <c r="I92" i="11"/>
  <c r="J94" i="20"/>
  <c r="H96" i="20"/>
  <c r="G94" i="11"/>
  <c r="D95" i="11"/>
  <c r="E97" i="20"/>
  <c r="I97" i="20"/>
  <c r="H95" i="11"/>
  <c r="E98" i="20"/>
  <c r="D96" i="11"/>
  <c r="I98" i="20"/>
  <c r="H96" i="11"/>
  <c r="F103" i="20"/>
  <c r="E101" i="11"/>
  <c r="J103" i="20"/>
  <c r="I101" i="11"/>
  <c r="F102" i="11"/>
  <c r="G104" i="20"/>
  <c r="K104" i="20"/>
  <c r="J102" i="11"/>
  <c r="E106" i="20"/>
  <c r="D104" i="11"/>
  <c r="I106" i="20"/>
  <c r="H104" i="11"/>
  <c r="F107" i="20"/>
  <c r="E105" i="11"/>
  <c r="J107" i="20"/>
  <c r="I105" i="11"/>
  <c r="G109" i="20"/>
  <c r="F107" i="11"/>
  <c r="I110" i="20"/>
  <c r="H108" i="11"/>
  <c r="E112" i="20"/>
  <c r="D110" i="11"/>
  <c r="I112" i="20"/>
  <c r="H110" i="11"/>
  <c r="G113" i="20"/>
  <c r="F111" i="11"/>
  <c r="D113" i="11"/>
  <c r="E115" i="20"/>
  <c r="I115" i="20"/>
  <c r="H113" i="11"/>
  <c r="J116" i="20"/>
  <c r="I114" i="11"/>
  <c r="J115" i="11"/>
  <c r="K117" i="20"/>
  <c r="H118" i="20"/>
  <c r="G116" i="11"/>
  <c r="E119" i="20"/>
  <c r="D117" i="11"/>
  <c r="I119" i="20"/>
  <c r="H117" i="11"/>
  <c r="F122" i="20"/>
  <c r="E120" i="11"/>
  <c r="J122" i="20"/>
  <c r="I120" i="11"/>
  <c r="G123" i="20"/>
  <c r="F121" i="11"/>
  <c r="K123" i="20"/>
  <c r="J121" i="11"/>
  <c r="H124" i="20"/>
  <c r="G122" i="11"/>
  <c r="E128" i="20"/>
  <c r="D126" i="11"/>
  <c r="I128" i="20"/>
  <c r="H126" i="11"/>
  <c r="F129" i="20"/>
  <c r="E127" i="11"/>
  <c r="J129" i="20"/>
  <c r="I127" i="11"/>
  <c r="G136" i="20"/>
  <c r="F134" i="11"/>
  <c r="K136" i="20"/>
  <c r="J134" i="11"/>
  <c r="H137" i="20"/>
  <c r="G135" i="11"/>
  <c r="E138" i="20"/>
  <c r="D136" i="11"/>
  <c r="I138" i="20"/>
  <c r="H136" i="11"/>
  <c r="F149" i="20"/>
  <c r="E147" i="11"/>
  <c r="J149" i="20"/>
  <c r="I147" i="11"/>
  <c r="K150" i="20"/>
  <c r="J148" i="11"/>
  <c r="H152" i="20"/>
  <c r="G150" i="11"/>
  <c r="E153" i="20"/>
  <c r="D151" i="11"/>
  <c r="I153" i="20"/>
  <c r="H151" i="11"/>
  <c r="E151" i="20"/>
  <c r="D149" i="11"/>
  <c r="F155" i="20"/>
  <c r="E153" i="11"/>
  <c r="J155" i="20"/>
  <c r="I153" i="11"/>
  <c r="K156" i="20"/>
  <c r="J154" i="11"/>
  <c r="H158" i="20"/>
  <c r="G156" i="11"/>
  <c r="I159" i="20"/>
  <c r="H157" i="11"/>
  <c r="F162" i="20"/>
  <c r="E160" i="11"/>
  <c r="J162" i="20"/>
  <c r="I160" i="11"/>
  <c r="K163" i="20"/>
  <c r="J161" i="11"/>
  <c r="G162" i="11"/>
  <c r="H164" i="20"/>
  <c r="F166" i="20"/>
  <c r="E164" i="11"/>
  <c r="I8" i="11"/>
  <c r="H10" i="11"/>
  <c r="J11" i="11"/>
  <c r="G13" i="11"/>
  <c r="J14" i="11"/>
  <c r="G16" i="11"/>
  <c r="I17" i="11"/>
  <c r="J18" i="11"/>
  <c r="J20" i="11"/>
  <c r="G22" i="11"/>
  <c r="J23" i="11"/>
  <c r="D25" i="11"/>
  <c r="I26" i="11"/>
  <c r="D29" i="11"/>
  <c r="G32" i="11"/>
  <c r="G35" i="11"/>
  <c r="G39" i="11"/>
  <c r="J46" i="11"/>
  <c r="G51" i="11"/>
  <c r="I61" i="11"/>
  <c r="J64" i="11"/>
  <c r="E70" i="11"/>
  <c r="J74" i="11"/>
  <c r="E81" i="11"/>
  <c r="C63" i="11"/>
  <c r="C89" i="11"/>
  <c r="C162" i="11"/>
  <c r="D26" i="20"/>
  <c r="D51" i="20"/>
  <c r="D119" i="20"/>
  <c r="I10" i="20"/>
  <c r="H8" i="11"/>
  <c r="K12" i="20"/>
  <c r="J10" i="11"/>
  <c r="I14" i="20"/>
  <c r="H12" i="11"/>
  <c r="F15" i="20"/>
  <c r="E13" i="11"/>
  <c r="J15" i="20"/>
  <c r="I13" i="11"/>
  <c r="J16" i="20"/>
  <c r="I14" i="11"/>
  <c r="G18" i="20"/>
  <c r="F16" i="11"/>
  <c r="K18" i="20"/>
  <c r="J16" i="11"/>
  <c r="H19" i="20"/>
  <c r="G17" i="11"/>
  <c r="D18" i="11"/>
  <c r="E20" i="20"/>
  <c r="I20" i="20"/>
  <c r="H18" i="11"/>
  <c r="I21" i="20"/>
  <c r="H19" i="11"/>
  <c r="D20" i="11"/>
  <c r="E22" i="20"/>
  <c r="I22" i="20"/>
  <c r="H20" i="11"/>
  <c r="F23" i="20"/>
  <c r="E21" i="11"/>
  <c r="J23" i="20"/>
  <c r="I21" i="11"/>
  <c r="J24" i="20"/>
  <c r="I22" i="11"/>
  <c r="J25" i="20"/>
  <c r="I23" i="11"/>
  <c r="G26" i="20"/>
  <c r="F24" i="11"/>
  <c r="K26" i="20"/>
  <c r="J24" i="11"/>
  <c r="H27" i="20"/>
  <c r="G25" i="11"/>
  <c r="I28" i="20"/>
  <c r="H26" i="11"/>
  <c r="F29" i="20"/>
  <c r="E27" i="11"/>
  <c r="J29" i="20"/>
  <c r="I27" i="11"/>
  <c r="H31" i="20"/>
  <c r="G29" i="11"/>
  <c r="E32" i="20"/>
  <c r="D30" i="11"/>
  <c r="I32" i="20"/>
  <c r="H30" i="11"/>
  <c r="F34" i="20"/>
  <c r="E32" i="11"/>
  <c r="J34" i="20"/>
  <c r="I32" i="11"/>
  <c r="G35" i="20"/>
  <c r="F33" i="11"/>
  <c r="K35" i="20"/>
  <c r="J33" i="11"/>
  <c r="D35" i="11"/>
  <c r="E37" i="20"/>
  <c r="I37" i="20"/>
  <c r="H35" i="11"/>
  <c r="E36" i="11"/>
  <c r="F38" i="20"/>
  <c r="J38" i="20"/>
  <c r="I36" i="11"/>
  <c r="F38" i="11"/>
  <c r="J38" i="11"/>
  <c r="H40" i="11"/>
  <c r="E41" i="11"/>
  <c r="I41" i="11"/>
  <c r="G42" i="11"/>
  <c r="J48" i="20"/>
  <c r="I46" i="11"/>
  <c r="G49" i="20"/>
  <c r="F47" i="11"/>
  <c r="K49" i="20"/>
  <c r="J47" i="11"/>
  <c r="H51" i="20"/>
  <c r="G49" i="11"/>
  <c r="J54" i="20"/>
  <c r="I52" i="11"/>
  <c r="J53" i="11"/>
  <c r="K55" i="20"/>
  <c r="G58" i="11"/>
  <c r="H60" i="20"/>
  <c r="G61" i="11"/>
  <c r="E63" i="11"/>
  <c r="G64" i="11"/>
  <c r="I69" i="20"/>
  <c r="H67" i="11"/>
  <c r="F70" i="20"/>
  <c r="E68" i="11"/>
  <c r="J70" i="20"/>
  <c r="I68" i="11"/>
  <c r="K71" i="20"/>
  <c r="J69" i="11"/>
  <c r="G72" i="20"/>
  <c r="F70" i="11"/>
  <c r="K72" i="20"/>
  <c r="J70" i="11"/>
  <c r="J76" i="20"/>
  <c r="I74" i="11"/>
  <c r="F75" i="11"/>
  <c r="G77" i="20"/>
  <c r="H83" i="20"/>
  <c r="G81" i="11"/>
  <c r="I87" i="20"/>
  <c r="H85" i="11"/>
  <c r="K89" i="20"/>
  <c r="J87" i="11"/>
  <c r="H90" i="20"/>
  <c r="G88" i="11"/>
  <c r="I91" i="20"/>
  <c r="H89" i="11"/>
  <c r="F93" i="20"/>
  <c r="E91" i="11"/>
  <c r="J93" i="20"/>
  <c r="I91" i="11"/>
  <c r="I96" i="20"/>
  <c r="H94" i="11"/>
  <c r="J97" i="20"/>
  <c r="I95" i="11"/>
  <c r="F98" i="20"/>
  <c r="E96" i="11"/>
  <c r="I96" i="11"/>
  <c r="J98" i="20"/>
  <c r="G103" i="20"/>
  <c r="F101" i="11"/>
  <c r="K103" i="20"/>
  <c r="J101" i="11"/>
  <c r="H104" i="20"/>
  <c r="G102" i="11"/>
  <c r="E104" i="11"/>
  <c r="F106" i="20"/>
  <c r="J106" i="20"/>
  <c r="I104" i="11"/>
  <c r="G107" i="20"/>
  <c r="F105" i="11"/>
  <c r="K107" i="20"/>
  <c r="J105" i="11"/>
  <c r="H109" i="20"/>
  <c r="G107" i="11"/>
  <c r="J110" i="20"/>
  <c r="I108" i="11"/>
  <c r="F112" i="20"/>
  <c r="E110" i="11"/>
  <c r="J112" i="20"/>
  <c r="I110" i="11"/>
  <c r="H113" i="20"/>
  <c r="G111" i="11"/>
  <c r="F115" i="20"/>
  <c r="E113" i="11"/>
  <c r="J115" i="20"/>
  <c r="I113" i="11"/>
  <c r="G116" i="20"/>
  <c r="F114" i="11"/>
  <c r="J114" i="11"/>
  <c r="K116" i="20"/>
  <c r="E118" i="20"/>
  <c r="D116" i="11"/>
  <c r="I118" i="20"/>
  <c r="H116" i="11"/>
  <c r="F119" i="20"/>
  <c r="E117" i="11"/>
  <c r="J119" i="20"/>
  <c r="I117" i="11"/>
  <c r="G122" i="20"/>
  <c r="F120" i="11"/>
  <c r="K122" i="20"/>
  <c r="J120" i="11"/>
  <c r="H123" i="20"/>
  <c r="G121" i="11"/>
  <c r="D122" i="11"/>
  <c r="E124" i="20"/>
  <c r="I124" i="20"/>
  <c r="H122" i="11"/>
  <c r="F128" i="20"/>
  <c r="E126" i="11"/>
  <c r="J128" i="20"/>
  <c r="I126" i="11"/>
  <c r="G129" i="20"/>
  <c r="F127" i="11"/>
  <c r="J127" i="11"/>
  <c r="K129" i="20"/>
  <c r="H136" i="20"/>
  <c r="G134" i="11"/>
  <c r="E137" i="20"/>
  <c r="D135" i="11"/>
  <c r="I137" i="20"/>
  <c r="H135" i="11"/>
  <c r="E136" i="11"/>
  <c r="F138" i="20"/>
  <c r="J138" i="20"/>
  <c r="I136" i="11"/>
  <c r="H140" i="20"/>
  <c r="G138" i="11"/>
  <c r="G149" i="20"/>
  <c r="F147" i="11"/>
  <c r="K149" i="20"/>
  <c r="J147" i="11"/>
  <c r="H150" i="20"/>
  <c r="G148" i="11"/>
  <c r="E152" i="20"/>
  <c r="D150" i="11"/>
  <c r="I152" i="20"/>
  <c r="H150" i="11"/>
  <c r="F153" i="20"/>
  <c r="E151" i="11"/>
  <c r="J153" i="20"/>
  <c r="I151" i="11"/>
  <c r="G155" i="20"/>
  <c r="F153" i="11"/>
  <c r="K155" i="20"/>
  <c r="J153" i="11"/>
  <c r="H156" i="20"/>
  <c r="G154" i="11"/>
  <c r="E158" i="20"/>
  <c r="D156" i="11"/>
  <c r="I158" i="20"/>
  <c r="H156" i="11"/>
  <c r="F159" i="20"/>
  <c r="E157" i="11"/>
  <c r="J159" i="20"/>
  <c r="I157" i="11"/>
  <c r="G162" i="20"/>
  <c r="F160" i="11"/>
  <c r="K162" i="20"/>
  <c r="J160" i="11"/>
  <c r="H163" i="20"/>
  <c r="G161" i="11"/>
  <c r="E164" i="20"/>
  <c r="D162" i="11"/>
  <c r="I164" i="20"/>
  <c r="H162" i="11"/>
  <c r="J8" i="11"/>
  <c r="I10" i="11"/>
  <c r="E12" i="11"/>
  <c r="H13" i="11"/>
  <c r="E15" i="11"/>
  <c r="H16" i="11"/>
  <c r="J17" i="11"/>
  <c r="G19" i="11"/>
  <c r="D21" i="11"/>
  <c r="H22" i="11"/>
  <c r="D24" i="11"/>
  <c r="E25" i="11"/>
  <c r="F27" i="11"/>
  <c r="I29" i="11"/>
  <c r="D33" i="11"/>
  <c r="G36" i="11"/>
  <c r="E40" i="11"/>
  <c r="E42" i="11"/>
  <c r="G47" i="11"/>
  <c r="J52" i="11"/>
  <c r="I63" i="11"/>
  <c r="J67" i="11"/>
  <c r="I70" i="11"/>
  <c r="J75" i="11"/>
  <c r="E85" i="11"/>
  <c r="J176" i="11"/>
  <c r="G174" i="20"/>
  <c r="F172" i="11"/>
  <c r="K174" i="20"/>
  <c r="J172" i="11"/>
  <c r="H175" i="20"/>
  <c r="G173" i="11"/>
  <c r="I176" i="20"/>
  <c r="H174" i="11"/>
  <c r="J177" i="20"/>
  <c r="I175" i="11"/>
  <c r="H179" i="20"/>
  <c r="G177" i="11"/>
  <c r="I180" i="20"/>
  <c r="H178" i="11"/>
  <c r="F181" i="20"/>
  <c r="E179" i="11"/>
  <c r="J181" i="20"/>
  <c r="I179" i="11"/>
  <c r="G166" i="20"/>
  <c r="F164" i="11"/>
  <c r="K166" i="20"/>
  <c r="J164" i="11"/>
  <c r="H174" i="20"/>
  <c r="G172" i="11"/>
  <c r="I175" i="20"/>
  <c r="H173" i="11"/>
  <c r="J176" i="20"/>
  <c r="I174" i="11"/>
  <c r="H178" i="20"/>
  <c r="G176" i="11"/>
  <c r="F180" i="20"/>
  <c r="E178" i="11"/>
  <c r="J180" i="20"/>
  <c r="I178" i="11"/>
  <c r="G181" i="20"/>
  <c r="F179" i="11"/>
  <c r="K181" i="20"/>
  <c r="J179" i="11"/>
  <c r="I164" i="11"/>
  <c r="F176" i="11"/>
  <c r="D175" i="20"/>
  <c r="D173" i="11"/>
  <c r="D172" i="11"/>
  <c r="D160" i="11"/>
  <c r="D174" i="20"/>
  <c r="D162" i="20"/>
  <c r="E155" i="20"/>
  <c r="D147" i="11"/>
  <c r="C147" i="11"/>
  <c r="C120" i="11"/>
  <c r="D115" i="20"/>
  <c r="D107" i="11"/>
  <c r="D91" i="11"/>
  <c r="D85" i="11"/>
  <c r="C101" i="11"/>
  <c r="C107" i="11"/>
  <c r="D87" i="20"/>
  <c r="D70" i="11"/>
  <c r="C61" i="11"/>
  <c r="D39" i="11"/>
  <c r="D38" i="11"/>
  <c r="C40" i="11"/>
  <c r="C38" i="11"/>
  <c r="C33" i="11"/>
  <c r="C32" i="11"/>
  <c r="C27" i="11"/>
  <c r="D23" i="20"/>
  <c r="C177" i="11"/>
  <c r="D177" i="11"/>
  <c r="C178" i="11"/>
  <c r="E180" i="20"/>
  <c r="D159" i="20"/>
  <c r="D157" i="11"/>
  <c r="C151" i="11"/>
  <c r="C127" i="11"/>
  <c r="D127" i="11"/>
  <c r="D113" i="20"/>
  <c r="D98" i="20"/>
  <c r="C87" i="11"/>
  <c r="C76" i="11"/>
  <c r="C68" i="11"/>
  <c r="D20" i="20"/>
  <c r="D17" i="11"/>
  <c r="C17" i="11"/>
  <c r="D18" i="20"/>
  <c r="D16" i="11"/>
  <c r="D13" i="11"/>
  <c r="D11" i="11"/>
  <c r="D178" i="20"/>
  <c r="C164" i="11"/>
  <c r="D158" i="20"/>
  <c r="D152" i="20"/>
  <c r="C126" i="11"/>
  <c r="D118" i="20"/>
  <c r="D112" i="20"/>
  <c r="C95" i="11"/>
  <c r="F97" i="20"/>
  <c r="E91" i="20"/>
  <c r="F91" i="20"/>
  <c r="F81" i="11"/>
  <c r="F82" i="20"/>
  <c r="C80" i="11"/>
  <c r="G82" i="20"/>
  <c r="D81" i="11"/>
  <c r="D75" i="11"/>
  <c r="E75" i="11"/>
  <c r="D67" i="11"/>
  <c r="E67" i="11"/>
  <c r="F67" i="11"/>
  <c r="D63" i="11"/>
  <c r="D52" i="11"/>
  <c r="C52" i="11"/>
  <c r="E52" i="11"/>
  <c r="G54" i="20"/>
  <c r="E46" i="11"/>
  <c r="F35" i="11"/>
  <c r="C35" i="11"/>
  <c r="D36" i="11"/>
  <c r="F37" i="20"/>
  <c r="G38" i="20"/>
  <c r="F12" i="11"/>
  <c r="D12" i="11"/>
  <c r="E12" i="20"/>
  <c r="F10" i="11"/>
  <c r="F12" i="20"/>
  <c r="E9" i="11"/>
  <c r="D11" i="20"/>
  <c r="F9" i="11"/>
  <c r="C8" i="11"/>
  <c r="D174" i="11"/>
  <c r="E174" i="11"/>
  <c r="F174" i="11"/>
  <c r="D161" i="11"/>
  <c r="G163" i="20"/>
  <c r="F154" i="11"/>
  <c r="D154" i="11"/>
  <c r="G150" i="20"/>
  <c r="D148" i="11"/>
  <c r="G138" i="20"/>
  <c r="F116" i="20"/>
  <c r="F110" i="20"/>
  <c r="D108" i="11"/>
  <c r="D102" i="11"/>
  <c r="F94" i="11"/>
  <c r="D94" i="11"/>
  <c r="E90" i="20"/>
  <c r="F76" i="20"/>
  <c r="G76" i="20"/>
  <c r="D69" i="11"/>
  <c r="G71" i="20"/>
  <c r="E69" i="11"/>
  <c r="F53" i="11"/>
  <c r="D53" i="11"/>
  <c r="F36" i="20"/>
  <c r="G36" i="20"/>
  <c r="C29" i="11"/>
  <c r="D26" i="11"/>
  <c r="E26" i="11"/>
  <c r="D22" i="11"/>
  <c r="E22" i="11"/>
  <c r="F23" i="11"/>
  <c r="E25" i="20"/>
  <c r="E21" i="20"/>
  <c r="F22" i="20"/>
  <c r="F19" i="11"/>
  <c r="F21" i="20"/>
  <c r="G22" i="20"/>
  <c r="F15" i="11"/>
  <c r="E17" i="20"/>
  <c r="D14" i="11"/>
  <c r="E14" i="11"/>
  <c r="G151" i="20"/>
  <c r="G127" i="20"/>
  <c r="D93" i="11"/>
  <c r="E73" i="11"/>
  <c r="F66" i="11"/>
  <c r="J66" i="11"/>
  <c r="G62" i="11"/>
  <c r="D59" i="20"/>
  <c r="K59" i="20"/>
  <c r="K75" i="20"/>
  <c r="J73" i="11"/>
  <c r="E94" i="20"/>
  <c r="D92" i="11"/>
  <c r="J117" i="20"/>
  <c r="I115" i="11"/>
  <c r="H175" i="11"/>
  <c r="I177" i="20"/>
  <c r="J55" i="11"/>
  <c r="G57" i="11"/>
  <c r="H105" i="20"/>
  <c r="G103" i="11"/>
  <c r="F109" i="11"/>
  <c r="G111" i="20"/>
  <c r="E123" i="11"/>
  <c r="F125" i="20"/>
  <c r="I123" i="11"/>
  <c r="J125" i="20"/>
  <c r="F127" i="20"/>
  <c r="E125" i="11"/>
  <c r="J127" i="20"/>
  <c r="I125" i="11"/>
  <c r="E137" i="11"/>
  <c r="F139" i="20"/>
  <c r="I137" i="11"/>
  <c r="J139" i="20"/>
  <c r="F138" i="11"/>
  <c r="G140" i="20"/>
  <c r="J138" i="11"/>
  <c r="K140" i="20"/>
  <c r="D155" i="11"/>
  <c r="E157" i="20"/>
  <c r="H155" i="11"/>
  <c r="I157" i="20"/>
  <c r="E165" i="20"/>
  <c r="D163" i="11"/>
  <c r="I165" i="20"/>
  <c r="H163" i="11"/>
  <c r="J45" i="11"/>
  <c r="D51" i="11"/>
  <c r="H51" i="11"/>
  <c r="G55" i="11"/>
  <c r="D57" i="11"/>
  <c r="H57" i="11"/>
  <c r="D62" i="11"/>
  <c r="H62" i="11"/>
  <c r="G66" i="11"/>
  <c r="I73" i="11"/>
  <c r="G79" i="11"/>
  <c r="F86" i="11"/>
  <c r="H93" i="11"/>
  <c r="F103" i="11"/>
  <c r="D115" i="11"/>
  <c r="D125" i="11"/>
  <c r="H149" i="11"/>
  <c r="G53" i="20"/>
  <c r="H80" i="20"/>
  <c r="E88" i="20"/>
  <c r="G95" i="20"/>
  <c r="J111" i="20"/>
  <c r="I125" i="20"/>
  <c r="K127" i="20"/>
  <c r="E139" i="20"/>
  <c r="K151" i="20"/>
  <c r="G75" i="20"/>
  <c r="F73" i="11"/>
  <c r="F95" i="20"/>
  <c r="E93" i="11"/>
  <c r="I126" i="20"/>
  <c r="H124" i="11"/>
  <c r="D175" i="11"/>
  <c r="E177" i="20"/>
  <c r="F55" i="11"/>
  <c r="F111" i="20"/>
  <c r="E125" i="20"/>
  <c r="J140" i="20"/>
  <c r="D151" i="20"/>
  <c r="D73" i="11"/>
  <c r="E75" i="20"/>
  <c r="H73" i="11"/>
  <c r="I75" i="20"/>
  <c r="D78" i="11"/>
  <c r="E80" i="20"/>
  <c r="H78" i="11"/>
  <c r="I80" i="20"/>
  <c r="E79" i="11"/>
  <c r="F81" i="20"/>
  <c r="I79" i="11"/>
  <c r="J81" i="20"/>
  <c r="E86" i="11"/>
  <c r="F88" i="20"/>
  <c r="I86" i="11"/>
  <c r="J88" i="20"/>
  <c r="F92" i="11"/>
  <c r="G94" i="20"/>
  <c r="J92" i="11"/>
  <c r="K94" i="20"/>
  <c r="G93" i="11"/>
  <c r="H95" i="20"/>
  <c r="G115" i="11"/>
  <c r="H117" i="20"/>
  <c r="F124" i="11"/>
  <c r="G126" i="20"/>
  <c r="J124" i="11"/>
  <c r="K126" i="20"/>
  <c r="F151" i="20"/>
  <c r="E149" i="11"/>
  <c r="J151" i="20"/>
  <c r="I149" i="11"/>
  <c r="G177" i="20"/>
  <c r="F175" i="11"/>
  <c r="K177" i="20"/>
  <c r="J175" i="11"/>
  <c r="E45" i="11"/>
  <c r="E51" i="11"/>
  <c r="I51" i="11"/>
  <c r="D55" i="11"/>
  <c r="H55" i="11"/>
  <c r="E57" i="11"/>
  <c r="I57" i="11"/>
  <c r="E62" i="11"/>
  <c r="I62" i="11"/>
  <c r="D66" i="11"/>
  <c r="H66" i="11"/>
  <c r="J86" i="11"/>
  <c r="J103" i="11"/>
  <c r="H115" i="11"/>
  <c r="F123" i="11"/>
  <c r="H125" i="11"/>
  <c r="F137" i="11"/>
  <c r="E155" i="11"/>
  <c r="K53" i="20"/>
  <c r="F68" i="20"/>
  <c r="E81" i="20"/>
  <c r="I88" i="20"/>
  <c r="K95" i="20"/>
  <c r="E105" i="20"/>
  <c r="F126" i="20"/>
  <c r="I139" i="20"/>
  <c r="H157" i="20"/>
  <c r="F165" i="20"/>
  <c r="G80" i="20"/>
  <c r="F78" i="11"/>
  <c r="H88" i="20"/>
  <c r="G86" i="11"/>
  <c r="I94" i="20"/>
  <c r="H92" i="11"/>
  <c r="J95" i="20"/>
  <c r="I93" i="11"/>
  <c r="F117" i="20"/>
  <c r="E115" i="11"/>
  <c r="E126" i="20"/>
  <c r="D124" i="11"/>
  <c r="G149" i="11"/>
  <c r="H151" i="20"/>
  <c r="F79" i="11"/>
  <c r="G81" i="20"/>
  <c r="E103" i="11"/>
  <c r="F105" i="20"/>
  <c r="I103" i="11"/>
  <c r="J105" i="20"/>
  <c r="E111" i="20"/>
  <c r="D109" i="11"/>
  <c r="I111" i="20"/>
  <c r="H109" i="11"/>
  <c r="H125" i="20"/>
  <c r="G123" i="11"/>
  <c r="G125" i="11"/>
  <c r="H127" i="20"/>
  <c r="H139" i="20"/>
  <c r="G137" i="11"/>
  <c r="E140" i="20"/>
  <c r="D138" i="11"/>
  <c r="I140" i="20"/>
  <c r="H138" i="11"/>
  <c r="G157" i="20"/>
  <c r="F155" i="11"/>
  <c r="K157" i="20"/>
  <c r="J155" i="11"/>
  <c r="F163" i="11"/>
  <c r="G165" i="20"/>
  <c r="J163" i="11"/>
  <c r="K165" i="20"/>
  <c r="F45" i="11"/>
  <c r="F50" i="11"/>
  <c r="F57" i="11"/>
  <c r="J62" i="11"/>
  <c r="I66" i="11"/>
  <c r="E78" i="11"/>
  <c r="G92" i="11"/>
  <c r="G109" i="11"/>
  <c r="J123" i="11"/>
  <c r="J137" i="11"/>
  <c r="I155" i="11"/>
  <c r="G163" i="11"/>
  <c r="E175" i="11"/>
  <c r="H47" i="20"/>
  <c r="H75" i="20"/>
  <c r="I81" i="20"/>
  <c r="F94" i="20"/>
  <c r="I105" i="20"/>
  <c r="G117" i="20"/>
  <c r="J126" i="20"/>
  <c r="F140" i="20"/>
  <c r="J165" i="20"/>
  <c r="H177" i="20"/>
  <c r="F52" i="20"/>
  <c r="G50" i="11"/>
  <c r="J52" i="20"/>
  <c r="D50" i="11"/>
  <c r="H50" i="11"/>
  <c r="D45" i="11"/>
  <c r="H45" i="11"/>
  <c r="C66" i="11"/>
  <c r="D16" i="20"/>
  <c r="K33" i="7"/>
  <c r="W45" i="7"/>
  <c r="K72" i="7"/>
  <c r="L72" i="7"/>
  <c r="M72" i="7"/>
  <c r="N72" i="7"/>
  <c r="O72" i="7"/>
  <c r="P72" i="7"/>
  <c r="Y72" i="7" s="1"/>
  <c r="X72" i="7"/>
  <c r="L65" i="7"/>
  <c r="M65" i="7"/>
  <c r="N65" i="7"/>
  <c r="O65" i="7"/>
  <c r="P65" i="7"/>
  <c r="Y65" i="7" s="1"/>
  <c r="X65" i="7"/>
  <c r="AK181" i="2"/>
  <c r="AI181" i="2"/>
  <c r="CG181" i="10" s="1"/>
  <c r="AH181" i="2"/>
  <c r="AG181" i="2"/>
  <c r="AD180" i="23" s="1"/>
  <c r="AG180" i="23" s="1"/>
  <c r="AK176" i="2"/>
  <c r="CH176" i="10" s="1"/>
  <c r="AI176" i="2"/>
  <c r="AH176" i="2"/>
  <c r="AG176" i="2"/>
  <c r="AD175" i="23" s="1"/>
  <c r="AG175" i="23" s="1"/>
  <c r="D176" i="2"/>
  <c r="B133" i="40" s="1"/>
  <c r="B134" i="74" s="1"/>
  <c r="B134" i="77" s="1"/>
  <c r="D181" i="2"/>
  <c r="B138" i="40" s="1"/>
  <c r="B139" i="74" s="1"/>
  <c r="B139" i="77" s="1"/>
  <c r="A72" i="6"/>
  <c r="A71" i="6"/>
  <c r="A68" i="6"/>
  <c r="AI163" i="2"/>
  <c r="CG162" i="10" s="1"/>
  <c r="AH163" i="2"/>
  <c r="AG163" i="2"/>
  <c r="AD162" i="23" s="1"/>
  <c r="AG162" i="23" s="1"/>
  <c r="D163" i="2"/>
  <c r="B125" i="40" s="1"/>
  <c r="B126" i="74" s="1"/>
  <c r="B126" i="77" s="1"/>
  <c r="A64" i="6"/>
  <c r="AI156" i="2"/>
  <c r="AH156" i="2"/>
  <c r="AG156" i="2"/>
  <c r="AD155" i="23" s="1"/>
  <c r="AG155" i="23" s="1"/>
  <c r="D156" i="2"/>
  <c r="B120" i="40" s="1"/>
  <c r="B121" i="74" s="1"/>
  <c r="B121" i="77" s="1"/>
  <c r="A61" i="6"/>
  <c r="AK150" i="2"/>
  <c r="AI150" i="2"/>
  <c r="AH150" i="2"/>
  <c r="AG150" i="2"/>
  <c r="AD149" i="23" s="1"/>
  <c r="AG149" i="23" s="1"/>
  <c r="D150" i="2"/>
  <c r="B115" i="40" s="1"/>
  <c r="B116" i="74" s="1"/>
  <c r="B116" i="77" s="1"/>
  <c r="A59" i="6"/>
  <c r="L58" i="6"/>
  <c r="M58" i="6"/>
  <c r="N58" i="6"/>
  <c r="O58" i="6"/>
  <c r="P58" i="6"/>
  <c r="J60" i="77" l="1"/>
  <c r="L60" i="74"/>
  <c r="G59" i="77"/>
  <c r="I59" i="74"/>
  <c r="P60" i="77"/>
  <c r="R60" i="74"/>
  <c r="S59" i="77"/>
  <c r="U59" i="74"/>
  <c r="J59" i="77"/>
  <c r="L59" i="74"/>
  <c r="G60" i="77"/>
  <c r="I60" i="74"/>
  <c r="B14" i="77"/>
  <c r="M14" i="74"/>
  <c r="B9" i="77"/>
  <c r="M9" i="74"/>
  <c r="B19" i="77"/>
  <c r="M19" i="74"/>
  <c r="B23" i="77"/>
  <c r="M23" i="74"/>
  <c r="B17" i="77"/>
  <c r="M17" i="74"/>
  <c r="M15" i="74"/>
  <c r="M10" i="74"/>
  <c r="M20" i="74"/>
  <c r="M21" i="74"/>
  <c r="M16" i="74"/>
  <c r="M6" i="74"/>
  <c r="M8" i="74"/>
  <c r="M11" i="74"/>
  <c r="M13" i="74"/>
  <c r="M5" i="74"/>
  <c r="M12" i="74"/>
  <c r="M4" i="74"/>
  <c r="M7" i="74"/>
  <c r="R115" i="74"/>
  <c r="P115" i="77"/>
  <c r="L32" i="74"/>
  <c r="J32" i="77"/>
  <c r="O26" i="74"/>
  <c r="L54" i="74"/>
  <c r="J54" i="77"/>
  <c r="R137" i="74"/>
  <c r="P137" i="77"/>
  <c r="L86" i="74"/>
  <c r="J86" i="77"/>
  <c r="R129" i="74"/>
  <c r="P129" i="77"/>
  <c r="R37" i="74"/>
  <c r="P37" i="77"/>
  <c r="L48" i="74"/>
  <c r="J48" i="77"/>
  <c r="I34" i="74"/>
  <c r="G34" i="77"/>
  <c r="R123" i="74"/>
  <c r="P123" i="77"/>
  <c r="R117" i="74"/>
  <c r="P117" i="77"/>
  <c r="O38" i="74"/>
  <c r="M38" i="77"/>
  <c r="R132" i="74"/>
  <c r="P132" i="77"/>
  <c r="I120" i="74"/>
  <c r="G120" i="77"/>
  <c r="L87" i="74"/>
  <c r="J87" i="77"/>
  <c r="I39" i="74"/>
  <c r="G39" i="77"/>
  <c r="I33" i="74"/>
  <c r="G33" i="77"/>
  <c r="R27" i="74"/>
  <c r="P27" i="77"/>
  <c r="R124" i="74"/>
  <c r="P124" i="77"/>
  <c r="L51" i="74"/>
  <c r="J51" i="77"/>
  <c r="R118" i="74"/>
  <c r="P118" i="77"/>
  <c r="L136" i="74"/>
  <c r="J136" i="77"/>
  <c r="L85" i="74"/>
  <c r="J85" i="77"/>
  <c r="L80" i="74"/>
  <c r="J80" i="77"/>
  <c r="R50" i="74"/>
  <c r="P50" i="77"/>
  <c r="L42" i="74"/>
  <c r="J42" i="77"/>
  <c r="I75" i="74"/>
  <c r="G75" i="77"/>
  <c r="I77" i="74"/>
  <c r="G77" i="77"/>
  <c r="R77" i="74"/>
  <c r="P77" i="77"/>
  <c r="I32" i="74"/>
  <c r="G32" i="77"/>
  <c r="I35" i="74"/>
  <c r="G35" i="77"/>
  <c r="O31" i="74"/>
  <c r="M31" i="77"/>
  <c r="L137" i="74"/>
  <c r="J137" i="77"/>
  <c r="I86" i="74"/>
  <c r="G86" i="77"/>
  <c r="I74" i="74"/>
  <c r="G74" i="77"/>
  <c r="R74" i="74"/>
  <c r="P74" i="77"/>
  <c r="I48" i="74"/>
  <c r="G48" i="77"/>
  <c r="R81" i="74"/>
  <c r="P81" i="77"/>
  <c r="L38" i="74"/>
  <c r="J38" i="77"/>
  <c r="I56" i="74"/>
  <c r="G56" i="77"/>
  <c r="O87" i="74"/>
  <c r="M87" i="77"/>
  <c r="O33" i="74"/>
  <c r="M33" i="77"/>
  <c r="I27" i="74"/>
  <c r="G27" i="77"/>
  <c r="L27" i="74"/>
  <c r="J27" i="77"/>
  <c r="L124" i="74"/>
  <c r="J124" i="77"/>
  <c r="L67" i="74"/>
  <c r="J67" i="77"/>
  <c r="R51" i="74"/>
  <c r="P51" i="77"/>
  <c r="I118" i="74"/>
  <c r="G118" i="77"/>
  <c r="R136" i="74"/>
  <c r="P136" i="77"/>
  <c r="L90" i="74"/>
  <c r="J90" i="77"/>
  <c r="I80" i="74"/>
  <c r="G80" i="77"/>
  <c r="L50" i="74"/>
  <c r="J50" i="77"/>
  <c r="I42" i="74"/>
  <c r="G42" i="77"/>
  <c r="L127" i="74"/>
  <c r="J127" i="77"/>
  <c r="B24" i="77"/>
  <c r="L119" i="74"/>
  <c r="J119" i="77"/>
  <c r="I31" i="74"/>
  <c r="G31" i="77"/>
  <c r="R86" i="74"/>
  <c r="P86" i="77"/>
  <c r="I38" i="74"/>
  <c r="G38" i="77"/>
  <c r="L75" i="74"/>
  <c r="J75" i="77"/>
  <c r="B15" i="77"/>
  <c r="B10" i="77"/>
  <c r="L115" i="74"/>
  <c r="J115" i="77"/>
  <c r="O77" i="74"/>
  <c r="M77" i="77"/>
  <c r="L65" i="74"/>
  <c r="J65" i="77"/>
  <c r="R32" i="74"/>
  <c r="P32" i="77"/>
  <c r="R26" i="74"/>
  <c r="P26" i="77"/>
  <c r="L26" i="74"/>
  <c r="J26" i="77"/>
  <c r="I119" i="74"/>
  <c r="G119" i="77"/>
  <c r="R54" i="74"/>
  <c r="P54" i="77"/>
  <c r="B6" i="77"/>
  <c r="I44" i="74"/>
  <c r="G44" i="77"/>
  <c r="R35" i="74"/>
  <c r="P35" i="77"/>
  <c r="O35" i="74"/>
  <c r="M35" i="77"/>
  <c r="R31" i="74"/>
  <c r="P31" i="77"/>
  <c r="B20" i="77"/>
  <c r="I137" i="74"/>
  <c r="G137" i="77"/>
  <c r="R91" i="74"/>
  <c r="P91" i="77"/>
  <c r="L129" i="74"/>
  <c r="J129" i="77"/>
  <c r="O37" i="74"/>
  <c r="M37" i="77"/>
  <c r="L37" i="74"/>
  <c r="J37" i="77"/>
  <c r="R52" i="74"/>
  <c r="P52" i="77"/>
  <c r="R48" i="74"/>
  <c r="P48" i="77"/>
  <c r="L125" i="74"/>
  <c r="J125" i="77"/>
  <c r="R125" i="74"/>
  <c r="P125" i="77"/>
  <c r="O34" i="74"/>
  <c r="M34" i="77"/>
  <c r="O34" i="77" s="1"/>
  <c r="L34" i="74"/>
  <c r="J34" i="77"/>
  <c r="L34" i="77" s="1"/>
  <c r="I123" i="74"/>
  <c r="G123" i="77"/>
  <c r="I117" i="74"/>
  <c r="G117" i="77"/>
  <c r="I81" i="74"/>
  <c r="G81" i="77"/>
  <c r="L81" i="74"/>
  <c r="J81" i="77"/>
  <c r="R38" i="74"/>
  <c r="P38" i="77"/>
  <c r="I53" i="74"/>
  <c r="G53" i="77"/>
  <c r="R53" i="74"/>
  <c r="P53" i="77"/>
  <c r="R56" i="74"/>
  <c r="P56" i="77"/>
  <c r="B21" i="77"/>
  <c r="I132" i="74"/>
  <c r="G132" i="77"/>
  <c r="L120" i="74"/>
  <c r="J120" i="77"/>
  <c r="R87" i="74"/>
  <c r="P87" i="77"/>
  <c r="L39" i="74"/>
  <c r="J39" i="77"/>
  <c r="L33" i="74"/>
  <c r="J33" i="77"/>
  <c r="R33" i="74"/>
  <c r="P33" i="77"/>
  <c r="B16" i="77"/>
  <c r="I124" i="74"/>
  <c r="G124" i="77"/>
  <c r="R67" i="74"/>
  <c r="P67" i="77"/>
  <c r="I51" i="74"/>
  <c r="G51" i="77"/>
  <c r="B11" i="77"/>
  <c r="L118" i="74"/>
  <c r="J118" i="77"/>
  <c r="B8" i="77"/>
  <c r="I136" i="74"/>
  <c r="G136" i="77"/>
  <c r="I90" i="74"/>
  <c r="G90" i="77"/>
  <c r="I85" i="74"/>
  <c r="G85" i="77"/>
  <c r="O80" i="74"/>
  <c r="M80" i="77"/>
  <c r="U42" i="74"/>
  <c r="S42" i="77"/>
  <c r="B7" i="77"/>
  <c r="R127" i="74"/>
  <c r="P127" i="77"/>
  <c r="B4" i="77"/>
  <c r="I54" i="74"/>
  <c r="G54" i="77"/>
  <c r="I91" i="74"/>
  <c r="G91" i="77"/>
  <c r="I52" i="74"/>
  <c r="G52" i="77"/>
  <c r="R75" i="74"/>
  <c r="P75" i="77"/>
  <c r="I115" i="74"/>
  <c r="G115" i="77"/>
  <c r="L77" i="74"/>
  <c r="J77" i="77"/>
  <c r="R65" i="74"/>
  <c r="P65" i="77"/>
  <c r="I65" i="74"/>
  <c r="G65" i="77"/>
  <c r="O32" i="74"/>
  <c r="M32" i="77"/>
  <c r="I26" i="74"/>
  <c r="G26" i="77"/>
  <c r="O119" i="74"/>
  <c r="M119" i="77"/>
  <c r="L44" i="74"/>
  <c r="J44" i="77"/>
  <c r="U44" i="74"/>
  <c r="S44" i="77"/>
  <c r="L35" i="74"/>
  <c r="J35" i="77"/>
  <c r="L31" i="74"/>
  <c r="J31" i="77"/>
  <c r="L91" i="74"/>
  <c r="J91" i="77"/>
  <c r="O91" i="74"/>
  <c r="M91" i="77"/>
  <c r="I129" i="74"/>
  <c r="G129" i="77"/>
  <c r="L74" i="74"/>
  <c r="J74" i="77"/>
  <c r="I37" i="74"/>
  <c r="G37" i="77"/>
  <c r="L52" i="74"/>
  <c r="J52" i="77"/>
  <c r="I125" i="74"/>
  <c r="G125" i="77"/>
  <c r="R34" i="74"/>
  <c r="P34" i="77"/>
  <c r="R34" i="77" s="1"/>
  <c r="L123" i="74"/>
  <c r="J123" i="77"/>
  <c r="L117" i="74"/>
  <c r="J117" i="77"/>
  <c r="O81" i="74"/>
  <c r="M81" i="77"/>
  <c r="L53" i="74"/>
  <c r="J53" i="77"/>
  <c r="L56" i="74"/>
  <c r="J56" i="77"/>
  <c r="L132" i="74"/>
  <c r="J132" i="77"/>
  <c r="R120" i="74"/>
  <c r="P120" i="77"/>
  <c r="I87" i="74"/>
  <c r="G87" i="77"/>
  <c r="U39" i="74"/>
  <c r="S39" i="77"/>
  <c r="O27" i="74"/>
  <c r="I67" i="74"/>
  <c r="G67" i="77"/>
  <c r="O90" i="74"/>
  <c r="M90" i="77"/>
  <c r="R90" i="74"/>
  <c r="P90" i="77"/>
  <c r="R85" i="74"/>
  <c r="P85" i="77"/>
  <c r="R80" i="74"/>
  <c r="P80" i="77"/>
  <c r="I50" i="74"/>
  <c r="G50" i="77"/>
  <c r="I127" i="74"/>
  <c r="G127" i="77"/>
  <c r="J17" i="74"/>
  <c r="J139" i="74"/>
  <c r="V139" i="74"/>
  <c r="V139" i="77" s="1"/>
  <c r="X139" i="77" s="1"/>
  <c r="S139" i="74"/>
  <c r="S139" i="77" s="1"/>
  <c r="U139" i="77" s="1"/>
  <c r="M139" i="74"/>
  <c r="M139" i="77" s="1"/>
  <c r="O139" i="77" s="1"/>
  <c r="P139" i="74"/>
  <c r="G139" i="74"/>
  <c r="P134" i="74"/>
  <c r="M134" i="74"/>
  <c r="M134" i="77" s="1"/>
  <c r="O134" i="77" s="1"/>
  <c r="S134" i="74"/>
  <c r="S134" i="77" s="1"/>
  <c r="U134" i="77" s="1"/>
  <c r="J134" i="74"/>
  <c r="G134" i="74"/>
  <c r="V134" i="74"/>
  <c r="V134" i="77" s="1"/>
  <c r="X134" i="77" s="1"/>
  <c r="G116" i="74"/>
  <c r="P116" i="74"/>
  <c r="S116" i="74"/>
  <c r="S116" i="77" s="1"/>
  <c r="U116" i="77" s="1"/>
  <c r="V116" i="74"/>
  <c r="V116" i="77" s="1"/>
  <c r="X116" i="77" s="1"/>
  <c r="M116" i="74"/>
  <c r="M116" i="77" s="1"/>
  <c r="O116" i="77" s="1"/>
  <c r="J116" i="74"/>
  <c r="E137" i="41"/>
  <c r="D138" i="74"/>
  <c r="D138" i="77" s="1"/>
  <c r="F122" i="41"/>
  <c r="E123" i="74"/>
  <c r="E123" i="77" s="1"/>
  <c r="F119" i="41"/>
  <c r="E120" i="74"/>
  <c r="E120" i="77" s="1"/>
  <c r="F117" i="41"/>
  <c r="E118" i="74"/>
  <c r="E118" i="77" s="1"/>
  <c r="F114" i="41"/>
  <c r="E115" i="74"/>
  <c r="E115" i="77" s="1"/>
  <c r="F89" i="41"/>
  <c r="E90" i="74"/>
  <c r="E90" i="77" s="1"/>
  <c r="F87" i="41"/>
  <c r="E88" i="74"/>
  <c r="E88" i="77" s="1"/>
  <c r="F85" i="41"/>
  <c r="E86" i="74"/>
  <c r="E86" i="77" s="1"/>
  <c r="F83" i="41"/>
  <c r="E84" i="74"/>
  <c r="E84" i="77" s="1"/>
  <c r="F81" i="41"/>
  <c r="E82" i="74"/>
  <c r="E82" i="77" s="1"/>
  <c r="F79" i="41"/>
  <c r="E80" i="74"/>
  <c r="E80" i="77" s="1"/>
  <c r="B77" i="41"/>
  <c r="C78" i="74"/>
  <c r="C78" i="77" s="1"/>
  <c r="E72" i="41"/>
  <c r="D73" i="74"/>
  <c r="D73" i="77" s="1"/>
  <c r="E65" i="41"/>
  <c r="D66" i="74"/>
  <c r="D66" i="77" s="1"/>
  <c r="E61" i="41"/>
  <c r="D62" i="74"/>
  <c r="D62" i="77" s="1"/>
  <c r="F57" i="41"/>
  <c r="E58" i="74"/>
  <c r="E58" i="77" s="1"/>
  <c r="F55" i="41"/>
  <c r="E56" i="74"/>
  <c r="E56" i="77" s="1"/>
  <c r="F52" i="41"/>
  <c r="E53" i="74"/>
  <c r="E53" i="77" s="1"/>
  <c r="F38" i="41"/>
  <c r="E39" i="74"/>
  <c r="E39" i="77" s="1"/>
  <c r="B36" i="41"/>
  <c r="C37" i="74"/>
  <c r="C37" i="77" s="1"/>
  <c r="E28" i="41"/>
  <c r="D29" i="74"/>
  <c r="D29" i="77" s="1"/>
  <c r="E26" i="41"/>
  <c r="D27" i="74"/>
  <c r="D27" i="77" s="1"/>
  <c r="F22" i="41"/>
  <c r="E23" i="74"/>
  <c r="E23" i="77" s="1"/>
  <c r="F20" i="41"/>
  <c r="E21" i="74"/>
  <c r="E21" i="77" s="1"/>
  <c r="B18" i="41"/>
  <c r="C19" i="74"/>
  <c r="C19" i="77" s="1"/>
  <c r="B14" i="41"/>
  <c r="C15" i="74"/>
  <c r="C15" i="77" s="1"/>
  <c r="B12" i="41"/>
  <c r="C13" i="74"/>
  <c r="C13" i="77" s="1"/>
  <c r="E10" i="41"/>
  <c r="D11" i="74"/>
  <c r="D11" i="77" s="1"/>
  <c r="B8" i="41"/>
  <c r="C9" i="74"/>
  <c r="C9" i="77" s="1"/>
  <c r="F4" i="41"/>
  <c r="E5" i="74"/>
  <c r="E5" i="77" s="1"/>
  <c r="B2" i="41"/>
  <c r="C3" i="74"/>
  <c r="C3" i="77" s="1"/>
  <c r="E131" i="41"/>
  <c r="D132" i="74"/>
  <c r="D132" i="77" s="1"/>
  <c r="F126" i="41"/>
  <c r="E127" i="74"/>
  <c r="E127" i="77" s="1"/>
  <c r="F124" i="41"/>
  <c r="E125" i="74"/>
  <c r="E125" i="77" s="1"/>
  <c r="B123" i="41"/>
  <c r="C124" i="74"/>
  <c r="C124" i="77" s="1"/>
  <c r="B120" i="41"/>
  <c r="C121" i="74"/>
  <c r="C121" i="77" s="1"/>
  <c r="E116" i="41"/>
  <c r="D117" i="74"/>
  <c r="D117" i="77" s="1"/>
  <c r="B115" i="41"/>
  <c r="C116" i="74"/>
  <c r="C116" i="77" s="1"/>
  <c r="B90" i="41"/>
  <c r="C91" i="74"/>
  <c r="C91" i="77" s="1"/>
  <c r="B88" i="41"/>
  <c r="C89" i="74"/>
  <c r="C89" i="77" s="1"/>
  <c r="B86" i="41"/>
  <c r="C87" i="74"/>
  <c r="C87" i="77" s="1"/>
  <c r="B84" i="41"/>
  <c r="C85" i="74"/>
  <c r="C85" i="77" s="1"/>
  <c r="B82" i="41"/>
  <c r="C83" i="74"/>
  <c r="C83" i="77" s="1"/>
  <c r="B80" i="41"/>
  <c r="C81" i="74"/>
  <c r="C81" i="77" s="1"/>
  <c r="E78" i="41"/>
  <c r="D79" i="74"/>
  <c r="D79" i="77" s="1"/>
  <c r="E76" i="41"/>
  <c r="D77" i="74"/>
  <c r="D77" i="77" s="1"/>
  <c r="E70" i="41"/>
  <c r="D71" i="74"/>
  <c r="D71" i="77" s="1"/>
  <c r="F67" i="41"/>
  <c r="E68" i="74"/>
  <c r="E68" i="77" s="1"/>
  <c r="F58" i="41"/>
  <c r="E59" i="74"/>
  <c r="E59" i="77" s="1"/>
  <c r="F53" i="41"/>
  <c r="E54" i="74"/>
  <c r="E54" i="77" s="1"/>
  <c r="E51" i="41"/>
  <c r="D52" i="74"/>
  <c r="D52" i="77" s="1"/>
  <c r="F42" i="41"/>
  <c r="E43" i="74"/>
  <c r="E43" i="77" s="1"/>
  <c r="E40" i="41"/>
  <c r="D41" i="74"/>
  <c r="D41" i="77" s="1"/>
  <c r="B37" i="41"/>
  <c r="C38" i="74"/>
  <c r="C38" i="77" s="1"/>
  <c r="E24" i="41"/>
  <c r="D25" i="74"/>
  <c r="D25" i="77" s="1"/>
  <c r="F18" i="41"/>
  <c r="E19" i="74"/>
  <c r="E19" i="77" s="1"/>
  <c r="E16" i="41"/>
  <c r="D17" i="74"/>
  <c r="D17" i="77" s="1"/>
  <c r="F14" i="41"/>
  <c r="E15" i="74"/>
  <c r="E15" i="77" s="1"/>
  <c r="F12" i="41"/>
  <c r="E13" i="74"/>
  <c r="E13" i="77" s="1"/>
  <c r="B10" i="41"/>
  <c r="C11" i="74"/>
  <c r="C11" i="77" s="1"/>
  <c r="F8" i="41"/>
  <c r="E9" i="74"/>
  <c r="E9" i="77" s="1"/>
  <c r="E6" i="41"/>
  <c r="D7" i="74"/>
  <c r="D7" i="77" s="1"/>
  <c r="E138" i="41"/>
  <c r="D139" i="74"/>
  <c r="D139" i="77" s="1"/>
  <c r="V122" i="74"/>
  <c r="V122" i="77" s="1"/>
  <c r="X122" i="77" s="1"/>
  <c r="P122" i="74"/>
  <c r="S122" i="74"/>
  <c r="S122" i="77" s="1"/>
  <c r="U122" i="77" s="1"/>
  <c r="M122" i="74"/>
  <c r="M122" i="77" s="1"/>
  <c r="O122" i="77" s="1"/>
  <c r="J122" i="74"/>
  <c r="G122" i="74"/>
  <c r="E122" i="41"/>
  <c r="D123" i="74"/>
  <c r="D123" i="77" s="1"/>
  <c r="E119" i="41"/>
  <c r="D120" i="74"/>
  <c r="D120" i="77" s="1"/>
  <c r="F115" i="41"/>
  <c r="E116" i="74"/>
  <c r="E116" i="77" s="1"/>
  <c r="F90" i="41"/>
  <c r="E91" i="74"/>
  <c r="E91" i="77" s="1"/>
  <c r="F88" i="41"/>
  <c r="E89" i="74"/>
  <c r="E89" i="77" s="1"/>
  <c r="F86" i="41"/>
  <c r="E87" i="74"/>
  <c r="E87" i="77" s="1"/>
  <c r="F84" i="41"/>
  <c r="E85" i="74"/>
  <c r="E85" i="77" s="1"/>
  <c r="F82" i="41"/>
  <c r="E83" i="74"/>
  <c r="E83" i="77" s="1"/>
  <c r="F80" i="41"/>
  <c r="E81" i="74"/>
  <c r="E81" i="77" s="1"/>
  <c r="B78" i="41"/>
  <c r="C79" i="74"/>
  <c r="C79" i="77" s="1"/>
  <c r="B76" i="41"/>
  <c r="C77" i="74"/>
  <c r="C77" i="77" s="1"/>
  <c r="E73" i="41"/>
  <c r="D74" i="74"/>
  <c r="D74" i="77" s="1"/>
  <c r="F65" i="41"/>
  <c r="E66" i="74"/>
  <c r="E66" i="77" s="1"/>
  <c r="F56" i="41"/>
  <c r="E57" i="74"/>
  <c r="E57" i="77" s="1"/>
  <c r="B46" i="41"/>
  <c r="C47" i="74"/>
  <c r="C47" i="77" s="1"/>
  <c r="B44" i="41"/>
  <c r="C45" i="74"/>
  <c r="C45" i="77" s="1"/>
  <c r="E41" i="41"/>
  <c r="D42" i="74"/>
  <c r="D42" i="77" s="1"/>
  <c r="F39" i="41"/>
  <c r="E40" i="74"/>
  <c r="E40" i="77" s="1"/>
  <c r="F37" i="41"/>
  <c r="E38" i="74"/>
  <c r="E38" i="77" s="1"/>
  <c r="E29" i="41"/>
  <c r="D30" i="74"/>
  <c r="D30" i="77" s="1"/>
  <c r="E27" i="41"/>
  <c r="D28" i="74"/>
  <c r="D28" i="77" s="1"/>
  <c r="E25" i="41"/>
  <c r="D26" i="74"/>
  <c r="D26" i="77" s="1"/>
  <c r="F21" i="41"/>
  <c r="E22" i="74"/>
  <c r="E22" i="77" s="1"/>
  <c r="B19" i="41"/>
  <c r="C20" i="74"/>
  <c r="C20" i="77" s="1"/>
  <c r="E17" i="41"/>
  <c r="D18" i="74"/>
  <c r="D18" i="77" s="1"/>
  <c r="F15" i="41"/>
  <c r="E16" i="74"/>
  <c r="E16" i="77" s="1"/>
  <c r="E11" i="41"/>
  <c r="D12" i="74"/>
  <c r="D12" i="77" s="1"/>
  <c r="E7" i="41"/>
  <c r="D8" i="74"/>
  <c r="D8" i="77" s="1"/>
  <c r="F5" i="41"/>
  <c r="E6" i="74"/>
  <c r="E6" i="77" s="1"/>
  <c r="F3" i="41"/>
  <c r="E4" i="74"/>
  <c r="E4" i="77" s="1"/>
  <c r="S30" i="74"/>
  <c r="S30" i="77" s="1"/>
  <c r="U30" i="77" s="1"/>
  <c r="M30" i="74"/>
  <c r="M30" i="77" s="1"/>
  <c r="J30" i="74"/>
  <c r="V30" i="74"/>
  <c r="V30" i="77" s="1"/>
  <c r="X30" i="77" s="1"/>
  <c r="P30" i="74"/>
  <c r="G30" i="74"/>
  <c r="F131" i="41"/>
  <c r="E132" i="74"/>
  <c r="E132" i="77" s="1"/>
  <c r="E126" i="41"/>
  <c r="D127" i="74"/>
  <c r="D127" i="77" s="1"/>
  <c r="E124" i="41"/>
  <c r="D125" i="74"/>
  <c r="D125" i="77" s="1"/>
  <c r="F116" i="41"/>
  <c r="E117" i="74"/>
  <c r="E117" i="77" s="1"/>
  <c r="F78" i="41"/>
  <c r="E79" i="74"/>
  <c r="E79" i="77" s="1"/>
  <c r="F76" i="41"/>
  <c r="E77" i="74"/>
  <c r="E77" i="77" s="1"/>
  <c r="F70" i="41"/>
  <c r="E71" i="74"/>
  <c r="E71" i="77" s="1"/>
  <c r="E67" i="41"/>
  <c r="D68" i="74"/>
  <c r="D68" i="77" s="1"/>
  <c r="F54" i="41"/>
  <c r="E55" i="74"/>
  <c r="E55" i="77" s="1"/>
  <c r="F51" i="41"/>
  <c r="E52" i="74"/>
  <c r="E52" i="77" s="1"/>
  <c r="F40" i="41"/>
  <c r="E41" i="74"/>
  <c r="E41" i="77" s="1"/>
  <c r="B29" i="41"/>
  <c r="C30" i="74"/>
  <c r="C30" i="77" s="1"/>
  <c r="B27" i="41"/>
  <c r="C28" i="74"/>
  <c r="C28" i="77" s="1"/>
  <c r="B25" i="41"/>
  <c r="C26" i="74"/>
  <c r="C26" i="77" s="1"/>
  <c r="E23" i="41"/>
  <c r="D24" i="74"/>
  <c r="D24" i="77" s="1"/>
  <c r="F19" i="41"/>
  <c r="E20" i="74"/>
  <c r="E20" i="77" s="1"/>
  <c r="B17" i="41"/>
  <c r="C18" i="74"/>
  <c r="C18" i="77" s="1"/>
  <c r="F16" i="41"/>
  <c r="E17" i="74"/>
  <c r="E17" i="77" s="1"/>
  <c r="E14" i="41"/>
  <c r="D15" i="74"/>
  <c r="D15" i="77" s="1"/>
  <c r="E12" i="41"/>
  <c r="D13" i="74"/>
  <c r="D13" i="77" s="1"/>
  <c r="E8" i="41"/>
  <c r="D9" i="74"/>
  <c r="D9" i="77" s="1"/>
  <c r="F6" i="41"/>
  <c r="E7" i="74"/>
  <c r="E7" i="77" s="1"/>
  <c r="B4" i="41"/>
  <c r="C5" i="74"/>
  <c r="C5" i="77" s="1"/>
  <c r="E2" i="41"/>
  <c r="D3" i="74"/>
  <c r="D3" i="77" s="1"/>
  <c r="V24" i="74"/>
  <c r="V24" i="77" s="1"/>
  <c r="X24" i="77" s="1"/>
  <c r="S24" i="74"/>
  <c r="S24" i="77" s="1"/>
  <c r="U24" i="77" s="1"/>
  <c r="P24" i="74"/>
  <c r="V14" i="74"/>
  <c r="V14" i="77" s="1"/>
  <c r="X14" i="77" s="1"/>
  <c r="P14" i="74"/>
  <c r="S14" i="74"/>
  <c r="S14" i="77" s="1"/>
  <c r="U14" i="77" s="1"/>
  <c r="P9" i="74"/>
  <c r="V9" i="74"/>
  <c r="V9" i="77" s="1"/>
  <c r="X9" i="77" s="1"/>
  <c r="S9" i="74"/>
  <c r="S9" i="77" s="1"/>
  <c r="U9" i="77" s="1"/>
  <c r="P12" i="74"/>
  <c r="S12" i="74"/>
  <c r="S12" i="77" s="1"/>
  <c r="U12" i="77" s="1"/>
  <c r="V12" i="74"/>
  <c r="V12" i="77" s="1"/>
  <c r="X12" i="77" s="1"/>
  <c r="V13" i="74"/>
  <c r="V13" i="77" s="1"/>
  <c r="X13" i="77" s="1"/>
  <c r="S13" i="74"/>
  <c r="S13" i="77" s="1"/>
  <c r="U13" i="77" s="1"/>
  <c r="P5" i="74"/>
  <c r="V5" i="74"/>
  <c r="V5" i="77" s="1"/>
  <c r="X5" i="77" s="1"/>
  <c r="S5" i="74"/>
  <c r="S5" i="77" s="1"/>
  <c r="U5" i="77" s="1"/>
  <c r="P70" i="74"/>
  <c r="V70" i="74"/>
  <c r="M70" i="74"/>
  <c r="M70" i="77" s="1"/>
  <c r="O70" i="77" s="1"/>
  <c r="J70" i="74"/>
  <c r="G70" i="74"/>
  <c r="S70" i="74"/>
  <c r="S70" i="77" s="1"/>
  <c r="U70" i="77" s="1"/>
  <c r="S19" i="74"/>
  <c r="S19" i="77" s="1"/>
  <c r="U19" i="77" s="1"/>
  <c r="V19" i="74"/>
  <c r="V19" i="77" s="1"/>
  <c r="X19" i="77" s="1"/>
  <c r="P19" i="74"/>
  <c r="V23" i="74"/>
  <c r="V23" i="77" s="1"/>
  <c r="X23" i="77" s="1"/>
  <c r="S23" i="74"/>
  <c r="S23" i="77" s="1"/>
  <c r="U23" i="77" s="1"/>
  <c r="S17" i="74"/>
  <c r="S17" i="77" s="1"/>
  <c r="U17" i="77" s="1"/>
  <c r="P17" i="74"/>
  <c r="V17" i="74"/>
  <c r="V17" i="77" s="1"/>
  <c r="X17" i="77" s="1"/>
  <c r="G17" i="74"/>
  <c r="B41" i="41"/>
  <c r="C42" i="74"/>
  <c r="C42" i="77" s="1"/>
  <c r="B57" i="41"/>
  <c r="C58" i="74"/>
  <c r="C58" i="77" s="1"/>
  <c r="B59" i="41"/>
  <c r="C60" i="74"/>
  <c r="C60" i="77" s="1"/>
  <c r="B66" i="41"/>
  <c r="C67" i="74"/>
  <c r="C67" i="77" s="1"/>
  <c r="B67" i="41"/>
  <c r="C68" i="74"/>
  <c r="C68" i="77" s="1"/>
  <c r="B55" i="41"/>
  <c r="C56" i="74"/>
  <c r="C56" i="77" s="1"/>
  <c r="B52" i="41"/>
  <c r="C53" i="74"/>
  <c r="C53" i="77" s="1"/>
  <c r="B51" i="41"/>
  <c r="C52" i="74"/>
  <c r="C52" i="77" s="1"/>
  <c r="B137" i="41"/>
  <c r="C138" i="74"/>
  <c r="C138" i="77" s="1"/>
  <c r="B134" i="41"/>
  <c r="C135" i="74"/>
  <c r="C135" i="77" s="1"/>
  <c r="B72" i="41"/>
  <c r="C73" i="74"/>
  <c r="C73" i="77" s="1"/>
  <c r="B71" i="41"/>
  <c r="C72" i="74"/>
  <c r="C72" i="77" s="1"/>
  <c r="J126" i="74"/>
  <c r="S126" i="74"/>
  <c r="S126" i="77" s="1"/>
  <c r="U126" i="77" s="1"/>
  <c r="P126" i="74"/>
  <c r="M126" i="74"/>
  <c r="M126" i="77" s="1"/>
  <c r="O126" i="77" s="1"/>
  <c r="G126" i="74"/>
  <c r="V126" i="74"/>
  <c r="V126" i="77" s="1"/>
  <c r="X126" i="77" s="1"/>
  <c r="F138" i="41"/>
  <c r="E139" i="74"/>
  <c r="E139" i="77" s="1"/>
  <c r="B126" i="41"/>
  <c r="C127" i="74"/>
  <c r="C127" i="77" s="1"/>
  <c r="B124" i="41"/>
  <c r="C125" i="74"/>
  <c r="C125" i="77" s="1"/>
  <c r="E123" i="41"/>
  <c r="D124" i="74"/>
  <c r="D124" i="77" s="1"/>
  <c r="E120" i="41"/>
  <c r="D121" i="74"/>
  <c r="D121" i="77" s="1"/>
  <c r="E115" i="41"/>
  <c r="D116" i="74"/>
  <c r="D116" i="77" s="1"/>
  <c r="E90" i="41"/>
  <c r="D91" i="74"/>
  <c r="D91" i="77" s="1"/>
  <c r="E88" i="41"/>
  <c r="D89" i="74"/>
  <c r="D89" i="77" s="1"/>
  <c r="E86" i="41"/>
  <c r="D87" i="74"/>
  <c r="D87" i="77" s="1"/>
  <c r="E84" i="41"/>
  <c r="D85" i="74"/>
  <c r="D85" i="77" s="1"/>
  <c r="E82" i="41"/>
  <c r="D83" i="74"/>
  <c r="D83" i="77" s="1"/>
  <c r="E80" i="41"/>
  <c r="D81" i="74"/>
  <c r="D81" i="77" s="1"/>
  <c r="F73" i="41"/>
  <c r="E74" i="74"/>
  <c r="E74" i="77" s="1"/>
  <c r="E59" i="41"/>
  <c r="D60" i="74"/>
  <c r="D60" i="77" s="1"/>
  <c r="F41" i="41"/>
  <c r="E42" i="74"/>
  <c r="E42" i="77" s="1"/>
  <c r="E39" i="41"/>
  <c r="D40" i="74"/>
  <c r="D40" i="77" s="1"/>
  <c r="E37" i="41"/>
  <c r="D38" i="74"/>
  <c r="D38" i="77" s="1"/>
  <c r="F29" i="41"/>
  <c r="E30" i="74"/>
  <c r="E30" i="77" s="1"/>
  <c r="F27" i="41"/>
  <c r="E28" i="74"/>
  <c r="E28" i="77" s="1"/>
  <c r="F25" i="41"/>
  <c r="E26" i="74"/>
  <c r="E26" i="77" s="1"/>
  <c r="B23" i="41"/>
  <c r="C24" i="74"/>
  <c r="C24" i="77" s="1"/>
  <c r="E21" i="41"/>
  <c r="D22" i="74"/>
  <c r="D22" i="77" s="1"/>
  <c r="F17" i="41"/>
  <c r="E18" i="74"/>
  <c r="E18" i="77" s="1"/>
  <c r="E15" i="41"/>
  <c r="D16" i="74"/>
  <c r="D16" i="77" s="1"/>
  <c r="B13" i="41"/>
  <c r="C14" i="74"/>
  <c r="C14" i="77" s="1"/>
  <c r="F11" i="41"/>
  <c r="E12" i="74"/>
  <c r="E12" i="77" s="1"/>
  <c r="B9" i="41"/>
  <c r="C10" i="74"/>
  <c r="C10" i="77" s="1"/>
  <c r="F7" i="41"/>
  <c r="E8" i="74"/>
  <c r="E8" i="77" s="1"/>
  <c r="E5" i="41"/>
  <c r="D6" i="74"/>
  <c r="D6" i="77" s="1"/>
  <c r="E3" i="41"/>
  <c r="D4" i="74"/>
  <c r="D4" i="77" s="1"/>
  <c r="D21" i="41"/>
  <c r="B22" i="74"/>
  <c r="M22" i="74" s="1"/>
  <c r="F134" i="41"/>
  <c r="E135" i="74"/>
  <c r="E135" i="77" s="1"/>
  <c r="E127" i="41"/>
  <c r="D128" i="74"/>
  <c r="D128" i="77" s="1"/>
  <c r="E125" i="41"/>
  <c r="D126" i="74"/>
  <c r="D126" i="77" s="1"/>
  <c r="E121" i="41"/>
  <c r="D122" i="74"/>
  <c r="D122" i="77" s="1"/>
  <c r="F77" i="41"/>
  <c r="E78" i="74"/>
  <c r="E78" i="77" s="1"/>
  <c r="F74" i="41"/>
  <c r="E75" i="74"/>
  <c r="E75" i="77" s="1"/>
  <c r="F71" i="41"/>
  <c r="E72" i="74"/>
  <c r="E72" i="77" s="1"/>
  <c r="E68" i="41"/>
  <c r="D69" i="74"/>
  <c r="D69" i="77" s="1"/>
  <c r="E66" i="41"/>
  <c r="D67" i="74"/>
  <c r="D67" i="77" s="1"/>
  <c r="E54" i="41"/>
  <c r="D55" i="74"/>
  <c r="D55" i="77" s="1"/>
  <c r="F36" i="41"/>
  <c r="E37" i="74"/>
  <c r="E37" i="77" s="1"/>
  <c r="B28" i="41"/>
  <c r="C29" i="74"/>
  <c r="C29" i="77" s="1"/>
  <c r="F23" i="41"/>
  <c r="E24" i="74"/>
  <c r="E24" i="77" s="1"/>
  <c r="B21" i="41"/>
  <c r="C22" i="74"/>
  <c r="C22" i="77" s="1"/>
  <c r="E19" i="41"/>
  <c r="D20" i="74"/>
  <c r="D20" i="77" s="1"/>
  <c r="B15" i="41"/>
  <c r="C16" i="74"/>
  <c r="C16" i="77" s="1"/>
  <c r="F13" i="41"/>
  <c r="E14" i="74"/>
  <c r="E14" i="77" s="1"/>
  <c r="F9" i="41"/>
  <c r="E10" i="74"/>
  <c r="E10" i="77" s="1"/>
  <c r="B5" i="41"/>
  <c r="C6" i="74"/>
  <c r="C6" i="77" s="1"/>
  <c r="B3" i="41"/>
  <c r="C4" i="74"/>
  <c r="C4" i="77" s="1"/>
  <c r="P62" i="74"/>
  <c r="P62" i="77" s="1"/>
  <c r="J62" i="74"/>
  <c r="J62" i="77" s="1"/>
  <c r="G62" i="74"/>
  <c r="G62" i="77" s="1"/>
  <c r="V62" i="74"/>
  <c r="V62" i="77" s="1"/>
  <c r="X62" i="77" s="1"/>
  <c r="M62" i="74"/>
  <c r="M62" i="77" s="1"/>
  <c r="O62" i="77" s="1"/>
  <c r="S62" i="74"/>
  <c r="S62" i="77" s="1"/>
  <c r="U62" i="77" s="1"/>
  <c r="D2" i="41"/>
  <c r="B3" i="74"/>
  <c r="M3" i="74" s="1"/>
  <c r="F137" i="41"/>
  <c r="E138" i="74"/>
  <c r="E138" i="77" s="1"/>
  <c r="B127" i="41"/>
  <c r="C128" i="74"/>
  <c r="C128" i="77" s="1"/>
  <c r="B125" i="41"/>
  <c r="C126" i="74"/>
  <c r="C126" i="77" s="1"/>
  <c r="B121" i="41"/>
  <c r="C122" i="74"/>
  <c r="C122" i="77" s="1"/>
  <c r="F123" i="41"/>
  <c r="E124" i="74"/>
  <c r="E124" i="77" s="1"/>
  <c r="F120" i="41"/>
  <c r="E121" i="74"/>
  <c r="E121" i="77" s="1"/>
  <c r="B116" i="41"/>
  <c r="C117" i="74"/>
  <c r="C117" i="77" s="1"/>
  <c r="E117" i="41"/>
  <c r="D118" i="74"/>
  <c r="D118" i="77" s="1"/>
  <c r="E114" i="41"/>
  <c r="D115" i="74"/>
  <c r="D115" i="77" s="1"/>
  <c r="E89" i="41"/>
  <c r="D90" i="74"/>
  <c r="D90" i="77" s="1"/>
  <c r="E87" i="41"/>
  <c r="D88" i="74"/>
  <c r="D88" i="77" s="1"/>
  <c r="E85" i="41"/>
  <c r="D86" i="74"/>
  <c r="D86" i="77" s="1"/>
  <c r="E83" i="41"/>
  <c r="D84" i="74"/>
  <c r="D84" i="77" s="1"/>
  <c r="E81" i="41"/>
  <c r="D82" i="74"/>
  <c r="D82" i="77" s="1"/>
  <c r="E79" i="41"/>
  <c r="D80" i="74"/>
  <c r="D80" i="77" s="1"/>
  <c r="F72" i="41"/>
  <c r="E73" i="74"/>
  <c r="E73" i="77" s="1"/>
  <c r="F61" i="41"/>
  <c r="E62" i="74"/>
  <c r="E62" i="77" s="1"/>
  <c r="F59" i="41"/>
  <c r="E60" i="74"/>
  <c r="E60" i="77" s="1"/>
  <c r="E57" i="41"/>
  <c r="D58" i="74"/>
  <c r="D58" i="77" s="1"/>
  <c r="E55" i="41"/>
  <c r="D56" i="74"/>
  <c r="D56" i="77" s="1"/>
  <c r="E52" i="41"/>
  <c r="D53" i="74"/>
  <c r="D53" i="77" s="1"/>
  <c r="B45" i="41"/>
  <c r="C46" i="74"/>
  <c r="C46" i="77" s="1"/>
  <c r="M41" i="74"/>
  <c r="M41" i="77" s="1"/>
  <c r="O41" i="77" s="1"/>
  <c r="P41" i="74"/>
  <c r="P41" i="77" s="1"/>
  <c r="R41" i="77" s="1"/>
  <c r="G41" i="74"/>
  <c r="S41" i="74"/>
  <c r="V41" i="74"/>
  <c r="V41" i="77" s="1"/>
  <c r="X41" i="77" s="1"/>
  <c r="J41" i="74"/>
  <c r="E38" i="41"/>
  <c r="D39" i="74"/>
  <c r="D39" i="77" s="1"/>
  <c r="F28" i="41"/>
  <c r="E29" i="74"/>
  <c r="E29" i="77" s="1"/>
  <c r="F26" i="41"/>
  <c r="E27" i="74"/>
  <c r="E27" i="77" s="1"/>
  <c r="B24" i="41"/>
  <c r="C25" i="74"/>
  <c r="C25" i="77" s="1"/>
  <c r="E22" i="41"/>
  <c r="D23" i="74"/>
  <c r="D23" i="77" s="1"/>
  <c r="E20" i="41"/>
  <c r="D21" i="74"/>
  <c r="D21" i="77" s="1"/>
  <c r="B16" i="41"/>
  <c r="C17" i="74"/>
  <c r="C17" i="77" s="1"/>
  <c r="F10" i="41"/>
  <c r="E11" i="74"/>
  <c r="E11" i="77" s="1"/>
  <c r="B6" i="41"/>
  <c r="C7" i="74"/>
  <c r="C7" i="77" s="1"/>
  <c r="E4" i="41"/>
  <c r="D5" i="74"/>
  <c r="D5" i="77" s="1"/>
  <c r="E134" i="41"/>
  <c r="D135" i="74"/>
  <c r="D135" i="77" s="1"/>
  <c r="F127" i="41"/>
  <c r="E128" i="74"/>
  <c r="E128" i="77" s="1"/>
  <c r="F125" i="41"/>
  <c r="E126" i="74"/>
  <c r="E126" i="77" s="1"/>
  <c r="F121" i="41"/>
  <c r="E122" i="74"/>
  <c r="E122" i="77" s="1"/>
  <c r="B122" i="41"/>
  <c r="C123" i="74"/>
  <c r="C123" i="77" s="1"/>
  <c r="B117" i="41"/>
  <c r="C118" i="74"/>
  <c r="C118" i="77" s="1"/>
  <c r="B114" i="41"/>
  <c r="C115" i="74"/>
  <c r="C115" i="77" s="1"/>
  <c r="B89" i="41"/>
  <c r="C90" i="74"/>
  <c r="C90" i="77" s="1"/>
  <c r="B87" i="41"/>
  <c r="C88" i="74"/>
  <c r="C88" i="77" s="1"/>
  <c r="B85" i="41"/>
  <c r="C86" i="74"/>
  <c r="C86" i="77" s="1"/>
  <c r="B83" i="41"/>
  <c r="C84" i="74"/>
  <c r="C84" i="77" s="1"/>
  <c r="B81" i="41"/>
  <c r="C82" i="74"/>
  <c r="C82" i="77" s="1"/>
  <c r="B79" i="41"/>
  <c r="C80" i="74"/>
  <c r="C80" i="77" s="1"/>
  <c r="E77" i="41"/>
  <c r="D78" i="74"/>
  <c r="D78" i="77" s="1"/>
  <c r="E74" i="41"/>
  <c r="D75" i="74"/>
  <c r="D75" i="77" s="1"/>
  <c r="E71" i="41"/>
  <c r="D72" i="74"/>
  <c r="D72" i="77" s="1"/>
  <c r="F68" i="41"/>
  <c r="E69" i="74"/>
  <c r="E69" i="77" s="1"/>
  <c r="F66" i="41"/>
  <c r="E67" i="74"/>
  <c r="E67" i="77" s="1"/>
  <c r="E58" i="41"/>
  <c r="D59" i="74"/>
  <c r="D59" i="77" s="1"/>
  <c r="E53" i="41"/>
  <c r="D54" i="74"/>
  <c r="D54" i="77" s="1"/>
  <c r="E42" i="41"/>
  <c r="D43" i="74"/>
  <c r="D43" i="77" s="1"/>
  <c r="E36" i="41"/>
  <c r="D37" i="74"/>
  <c r="D37" i="77" s="1"/>
  <c r="F24" i="41"/>
  <c r="E25" i="74"/>
  <c r="E25" i="77" s="1"/>
  <c r="B22" i="41"/>
  <c r="C23" i="74"/>
  <c r="C23" i="77" s="1"/>
  <c r="B20" i="41"/>
  <c r="C21" i="74"/>
  <c r="C21" i="77" s="1"/>
  <c r="E18" i="41"/>
  <c r="D19" i="74"/>
  <c r="D19" i="77" s="1"/>
  <c r="D17" i="41"/>
  <c r="B18" i="74"/>
  <c r="M18" i="74" s="1"/>
  <c r="E13" i="41"/>
  <c r="D14" i="74"/>
  <c r="D14" i="77" s="1"/>
  <c r="B11" i="41"/>
  <c r="C12" i="74"/>
  <c r="C12" i="77" s="1"/>
  <c r="E9" i="41"/>
  <c r="D10" i="74"/>
  <c r="D10" i="77" s="1"/>
  <c r="B7" i="41"/>
  <c r="C8" i="74"/>
  <c r="C8" i="77" s="1"/>
  <c r="D24" i="41"/>
  <c r="B25" i="74"/>
  <c r="M25" i="74" s="1"/>
  <c r="V15" i="74"/>
  <c r="V15" i="77" s="1"/>
  <c r="X15" i="77" s="1"/>
  <c r="P15" i="74"/>
  <c r="S15" i="74"/>
  <c r="S15" i="77" s="1"/>
  <c r="U15" i="77" s="1"/>
  <c r="P10" i="74"/>
  <c r="V10" i="74"/>
  <c r="V10" i="77" s="1"/>
  <c r="X10" i="77" s="1"/>
  <c r="S10" i="74"/>
  <c r="S10" i="77" s="1"/>
  <c r="U10" i="77" s="1"/>
  <c r="V6" i="74"/>
  <c r="V6" i="77" s="1"/>
  <c r="X6" i="77" s="1"/>
  <c r="S6" i="74"/>
  <c r="S6" i="77" s="1"/>
  <c r="U6" i="77" s="1"/>
  <c r="V20" i="74"/>
  <c r="V20" i="77" s="1"/>
  <c r="X20" i="77" s="1"/>
  <c r="S20" i="74"/>
  <c r="S20" i="77" s="1"/>
  <c r="U20" i="77" s="1"/>
  <c r="S21" i="74"/>
  <c r="S21" i="77" s="1"/>
  <c r="U21" i="77" s="1"/>
  <c r="P21" i="74"/>
  <c r="V21" i="74"/>
  <c r="V21" i="77" s="1"/>
  <c r="X21" i="77" s="1"/>
  <c r="P82" i="74"/>
  <c r="M82" i="74"/>
  <c r="M82" i="77" s="1"/>
  <c r="O82" i="77" s="1"/>
  <c r="G82" i="74"/>
  <c r="J82" i="74"/>
  <c r="V82" i="74"/>
  <c r="V82" i="77" s="1"/>
  <c r="X82" i="77" s="1"/>
  <c r="S82" i="74"/>
  <c r="S82" i="77" s="1"/>
  <c r="U82" i="77" s="1"/>
  <c r="P16" i="74"/>
  <c r="S16" i="74"/>
  <c r="S16" i="77" s="1"/>
  <c r="U16" i="77" s="1"/>
  <c r="V16" i="74"/>
  <c r="V16" i="77" s="1"/>
  <c r="X16" i="77" s="1"/>
  <c r="V11" i="74"/>
  <c r="V11" i="77" s="1"/>
  <c r="X11" i="77" s="1"/>
  <c r="S11" i="74"/>
  <c r="S11" i="77" s="1"/>
  <c r="U11" i="77" s="1"/>
  <c r="S8" i="74"/>
  <c r="S8" i="77" s="1"/>
  <c r="U8" i="77" s="1"/>
  <c r="V8" i="74"/>
  <c r="V8" i="77" s="1"/>
  <c r="X8" i="77" s="1"/>
  <c r="P8" i="74"/>
  <c r="V7" i="74"/>
  <c r="V7" i="77" s="1"/>
  <c r="X7" i="77" s="1"/>
  <c r="P7" i="74"/>
  <c r="S7" i="74"/>
  <c r="S7" i="77" s="1"/>
  <c r="U7" i="77" s="1"/>
  <c r="S4" i="74"/>
  <c r="S4" i="77" s="1"/>
  <c r="U4" i="77" s="1"/>
  <c r="V4" i="74"/>
  <c r="V4" i="77" s="1"/>
  <c r="X4" i="77" s="1"/>
  <c r="P4" i="74"/>
  <c r="V121" i="74"/>
  <c r="V121" i="77" s="1"/>
  <c r="X121" i="77" s="1"/>
  <c r="G121" i="74"/>
  <c r="M121" i="74"/>
  <c r="M121" i="77" s="1"/>
  <c r="O121" i="77" s="1"/>
  <c r="S121" i="74"/>
  <c r="S121" i="77" s="1"/>
  <c r="U121" i="77" s="1"/>
  <c r="J121" i="74"/>
  <c r="P121" i="74"/>
  <c r="B42" i="41"/>
  <c r="C43" i="74"/>
  <c r="C43" i="77" s="1"/>
  <c r="B40" i="41"/>
  <c r="C41" i="74"/>
  <c r="C41" i="77" s="1"/>
  <c r="B56" i="41"/>
  <c r="C57" i="74"/>
  <c r="C57" i="77" s="1"/>
  <c r="B58" i="41"/>
  <c r="C59" i="74"/>
  <c r="C59" i="77" s="1"/>
  <c r="B61" i="41"/>
  <c r="C62" i="74"/>
  <c r="C62" i="77" s="1"/>
  <c r="B68" i="41"/>
  <c r="C69" i="74"/>
  <c r="C69" i="77" s="1"/>
  <c r="B65" i="41"/>
  <c r="C66" i="74"/>
  <c r="C66" i="77" s="1"/>
  <c r="B53" i="41"/>
  <c r="C54" i="74"/>
  <c r="C54" i="77" s="1"/>
  <c r="B54" i="41"/>
  <c r="C55" i="74"/>
  <c r="C55" i="77" s="1"/>
  <c r="B131" i="41"/>
  <c r="C132" i="74"/>
  <c r="C132" i="77" s="1"/>
  <c r="B138" i="41"/>
  <c r="C139" i="74"/>
  <c r="C139" i="77" s="1"/>
  <c r="B74" i="41"/>
  <c r="C75" i="74"/>
  <c r="C75" i="77" s="1"/>
  <c r="B70" i="41"/>
  <c r="C71" i="74"/>
  <c r="C71" i="77" s="1"/>
  <c r="B73" i="41"/>
  <c r="C74" i="74"/>
  <c r="C74" i="77" s="1"/>
  <c r="B119" i="41"/>
  <c r="C120" i="74"/>
  <c r="C120" i="77" s="1"/>
  <c r="E56" i="41"/>
  <c r="D57" i="74"/>
  <c r="D57" i="77" s="1"/>
  <c r="D133" i="41"/>
  <c r="H133" i="40"/>
  <c r="I74" i="41"/>
  <c r="K74" i="41" s="1"/>
  <c r="M74" i="40"/>
  <c r="K74" i="40"/>
  <c r="I76" i="41"/>
  <c r="K76" i="41" s="1"/>
  <c r="M76" i="40"/>
  <c r="K76" i="40"/>
  <c r="I31" i="41"/>
  <c r="K31" i="41" s="1"/>
  <c r="M31" i="40"/>
  <c r="K31" i="40"/>
  <c r="I137" i="41"/>
  <c r="K137" i="40"/>
  <c r="I135" i="41"/>
  <c r="K135" i="41" s="1"/>
  <c r="M135" i="40"/>
  <c r="K135" i="40"/>
  <c r="I84" i="41"/>
  <c r="K84" i="41" s="1"/>
  <c r="M84" i="40"/>
  <c r="K84" i="40"/>
  <c r="I58" i="41"/>
  <c r="K58" i="41" s="1"/>
  <c r="K58" i="40"/>
  <c r="F2" i="41"/>
  <c r="D146" i="40"/>
  <c r="D147" i="40"/>
  <c r="E147" i="40"/>
  <c r="E141" i="40"/>
  <c r="E146" i="40"/>
  <c r="F147" i="40"/>
  <c r="F141" i="40"/>
  <c r="F145" i="40"/>
  <c r="F146" i="40"/>
  <c r="F144" i="40"/>
  <c r="F143" i="40"/>
  <c r="F142" i="40"/>
  <c r="I136" i="41"/>
  <c r="K136" i="41" s="1"/>
  <c r="M136" i="40"/>
  <c r="K136" i="40"/>
  <c r="I85" i="41"/>
  <c r="K85" i="41" s="1"/>
  <c r="M85" i="40"/>
  <c r="K85" i="40"/>
  <c r="I36" i="41"/>
  <c r="K36" i="41" s="1"/>
  <c r="M36" i="40"/>
  <c r="K36" i="40"/>
  <c r="D121" i="41"/>
  <c r="H121" i="40"/>
  <c r="I116" i="41"/>
  <c r="K116" i="41" s="1"/>
  <c r="M116" i="40"/>
  <c r="K116" i="40"/>
  <c r="I51" i="41"/>
  <c r="K51" i="41" s="1"/>
  <c r="M51" i="40"/>
  <c r="K51" i="40"/>
  <c r="I132" i="41"/>
  <c r="K132" i="40"/>
  <c r="I33" i="41"/>
  <c r="K33" i="41" s="1"/>
  <c r="N33" i="40"/>
  <c r="M33" i="40"/>
  <c r="K33" i="40"/>
  <c r="I80" i="41"/>
  <c r="K80" i="41" s="1"/>
  <c r="M80" i="40"/>
  <c r="K80" i="40"/>
  <c r="I122" i="41"/>
  <c r="K122" i="41" s="1"/>
  <c r="M122" i="40"/>
  <c r="K122" i="40"/>
  <c r="D29" i="41"/>
  <c r="H29" i="40"/>
  <c r="I119" i="41"/>
  <c r="K119" i="41" s="1"/>
  <c r="M119" i="40"/>
  <c r="K119" i="40"/>
  <c r="I38" i="41"/>
  <c r="K38" i="41" s="1"/>
  <c r="M38" i="40"/>
  <c r="K38" i="40"/>
  <c r="I123" i="41"/>
  <c r="K123" i="41" s="1"/>
  <c r="M123" i="40"/>
  <c r="K123" i="40"/>
  <c r="I66" i="41"/>
  <c r="K66" i="41" s="1"/>
  <c r="M66" i="40"/>
  <c r="K66" i="40"/>
  <c r="D125" i="41"/>
  <c r="H125" i="40"/>
  <c r="D115" i="41"/>
  <c r="H115" i="40"/>
  <c r="F172" i="40" s="1"/>
  <c r="I114" i="41"/>
  <c r="K114" i="41" s="1"/>
  <c r="M114" i="40"/>
  <c r="K114" i="40"/>
  <c r="I64" i="41"/>
  <c r="K64" i="41" s="1"/>
  <c r="M64" i="40"/>
  <c r="K64" i="40"/>
  <c r="I118" i="41"/>
  <c r="K118" i="41" s="1"/>
  <c r="M118" i="40"/>
  <c r="K118" i="40"/>
  <c r="I89" i="41"/>
  <c r="K89" i="41" s="1"/>
  <c r="M89" i="40"/>
  <c r="K89" i="40"/>
  <c r="I79" i="41"/>
  <c r="K79" i="41" s="1"/>
  <c r="M79" i="40"/>
  <c r="K79" i="40"/>
  <c r="I41" i="41"/>
  <c r="K41" i="41" s="1"/>
  <c r="M41" i="40"/>
  <c r="K41" i="40"/>
  <c r="I43" i="41"/>
  <c r="K43" i="41" s="1"/>
  <c r="M43" i="40"/>
  <c r="K43" i="40"/>
  <c r="I30" i="41"/>
  <c r="K30" i="41" s="1"/>
  <c r="M30" i="40"/>
  <c r="K30" i="40"/>
  <c r="I90" i="41"/>
  <c r="K90" i="41" s="1"/>
  <c r="M90" i="40"/>
  <c r="K90" i="40"/>
  <c r="I128" i="41"/>
  <c r="K128" i="41" s="1"/>
  <c r="M128" i="40"/>
  <c r="K128" i="40"/>
  <c r="D61" i="41"/>
  <c r="H61" i="40"/>
  <c r="I47" i="41"/>
  <c r="K47" i="41" s="1"/>
  <c r="M47" i="40"/>
  <c r="K47" i="40"/>
  <c r="D40" i="41"/>
  <c r="H40" i="40"/>
  <c r="I124" i="41"/>
  <c r="K124" i="41" s="1"/>
  <c r="M124" i="40"/>
  <c r="K124" i="40"/>
  <c r="I126" i="41"/>
  <c r="K126" i="41" s="1"/>
  <c r="M126" i="40"/>
  <c r="K126" i="40"/>
  <c r="I37" i="41"/>
  <c r="K37" i="41" s="1"/>
  <c r="M37" i="40"/>
  <c r="K37" i="40"/>
  <c r="I52" i="41"/>
  <c r="K52" i="41" s="1"/>
  <c r="M52" i="40"/>
  <c r="K52" i="40"/>
  <c r="I117" i="41"/>
  <c r="K117" i="41" s="1"/>
  <c r="M117" i="40"/>
  <c r="K117" i="40"/>
  <c r="I55" i="41"/>
  <c r="K55" i="41" s="1"/>
  <c r="M55" i="40"/>
  <c r="K55" i="40"/>
  <c r="I131" i="41"/>
  <c r="K131" i="41" s="1"/>
  <c r="M131" i="40"/>
  <c r="K131" i="40"/>
  <c r="I86" i="41"/>
  <c r="K86" i="41" s="1"/>
  <c r="M86" i="40"/>
  <c r="K86" i="40"/>
  <c r="I50" i="41"/>
  <c r="K50" i="41" s="1"/>
  <c r="M50" i="40"/>
  <c r="K50" i="40"/>
  <c r="D120" i="41"/>
  <c r="H120" i="40"/>
  <c r="D138" i="41"/>
  <c r="H138" i="40"/>
  <c r="M53" i="40"/>
  <c r="M25" i="40"/>
  <c r="M49" i="40"/>
  <c r="M26" i="40"/>
  <c r="M32" i="40"/>
  <c r="CK81" i="10"/>
  <c r="CL81" i="10" s="1"/>
  <c r="I25" i="41"/>
  <c r="K25" i="41" s="1"/>
  <c r="K25" i="40"/>
  <c r="F170" i="40"/>
  <c r="F158" i="40"/>
  <c r="F156" i="40"/>
  <c r="F175" i="40"/>
  <c r="F169" i="40"/>
  <c r="F171" i="40"/>
  <c r="F159" i="40"/>
  <c r="I26" i="41"/>
  <c r="K26" i="41" s="1"/>
  <c r="K26" i="40"/>
  <c r="I81" i="41"/>
  <c r="K81" i="41" s="1"/>
  <c r="K81" i="40"/>
  <c r="I34" i="41"/>
  <c r="K34" i="41" s="1"/>
  <c r="K34" i="40"/>
  <c r="F155" i="40"/>
  <c r="I32" i="41"/>
  <c r="K32" i="41" s="1"/>
  <c r="K32" i="40"/>
  <c r="I49" i="41"/>
  <c r="K49" i="41" s="1"/>
  <c r="K49" i="40"/>
  <c r="I73" i="41"/>
  <c r="K73" i="41" s="1"/>
  <c r="K73" i="40"/>
  <c r="I69" i="41"/>
  <c r="K69" i="41" s="1"/>
  <c r="K69" i="40"/>
  <c r="F161" i="40"/>
  <c r="I53" i="41"/>
  <c r="K53" i="41" s="1"/>
  <c r="K53" i="40"/>
  <c r="I59" i="41"/>
  <c r="K59" i="41" s="1"/>
  <c r="K59" i="40"/>
  <c r="I68" i="41"/>
  <c r="K68" i="40"/>
  <c r="AB159" i="25"/>
  <c r="AA159" i="25"/>
  <c r="AB119" i="25"/>
  <c r="AA119" i="25"/>
  <c r="AB60" i="25"/>
  <c r="AA60" i="25"/>
  <c r="AB20" i="25"/>
  <c r="AA20" i="25"/>
  <c r="AB158" i="25"/>
  <c r="AA158" i="25"/>
  <c r="AB118" i="25"/>
  <c r="AA118" i="25"/>
  <c r="AB164" i="25"/>
  <c r="AA164" i="25"/>
  <c r="AB162" i="25"/>
  <c r="AA162" i="25"/>
  <c r="AB109" i="25"/>
  <c r="AA109" i="25"/>
  <c r="AB93" i="25"/>
  <c r="AA93" i="25"/>
  <c r="AB19" i="25"/>
  <c r="AA19" i="25"/>
  <c r="AB83" i="25"/>
  <c r="AA83" i="25"/>
  <c r="AB48" i="25"/>
  <c r="AA48" i="25"/>
  <c r="AB179" i="25"/>
  <c r="AA179" i="25"/>
  <c r="AB166" i="25"/>
  <c r="AA166" i="25"/>
  <c r="AB115" i="25"/>
  <c r="AA115" i="25"/>
  <c r="AB87" i="25"/>
  <c r="AA87" i="25"/>
  <c r="AB40" i="25"/>
  <c r="AA40" i="25"/>
  <c r="AB89" i="25"/>
  <c r="AA89" i="25"/>
  <c r="AB15" i="25"/>
  <c r="AA15" i="25"/>
  <c r="AB54" i="25"/>
  <c r="AA54" i="25"/>
  <c r="AB153" i="25"/>
  <c r="AA153" i="25"/>
  <c r="AB38" i="25"/>
  <c r="AA38" i="25"/>
  <c r="AB18" i="25"/>
  <c r="AA18" i="25"/>
  <c r="AB175" i="25"/>
  <c r="AA175" i="25"/>
  <c r="AB23" i="25"/>
  <c r="AA23" i="25"/>
  <c r="AB78" i="25"/>
  <c r="AA78" i="25"/>
  <c r="AB66" i="25"/>
  <c r="AA66" i="25"/>
  <c r="AB49" i="25"/>
  <c r="AA49" i="25"/>
  <c r="AB113" i="25"/>
  <c r="AA113" i="25"/>
  <c r="B38" i="41"/>
  <c r="AB103" i="25"/>
  <c r="AA103" i="25"/>
  <c r="AB44" i="25"/>
  <c r="AA44" i="25"/>
  <c r="AB43" i="25"/>
  <c r="AA43" i="25"/>
  <c r="AB152" i="25"/>
  <c r="AA152" i="25"/>
  <c r="AB26" i="25"/>
  <c r="AA26" i="25"/>
  <c r="AB107" i="25"/>
  <c r="AA107" i="25"/>
  <c r="AB53" i="25"/>
  <c r="AA53" i="25"/>
  <c r="AB13" i="25"/>
  <c r="AA13" i="25"/>
  <c r="AB178" i="25"/>
  <c r="AA178" i="25"/>
  <c r="AB106" i="25"/>
  <c r="AA106" i="25"/>
  <c r="AB91" i="25"/>
  <c r="AA91" i="25"/>
  <c r="AB37" i="25"/>
  <c r="AA37" i="25"/>
  <c r="AB34" i="25"/>
  <c r="AA34" i="25"/>
  <c r="AB82" i="25"/>
  <c r="AA82" i="25"/>
  <c r="AB77" i="25"/>
  <c r="AA77" i="25"/>
  <c r="AB97" i="25"/>
  <c r="AA97" i="25"/>
  <c r="AB10" i="25"/>
  <c r="AA10" i="25"/>
  <c r="AB12" i="25"/>
  <c r="AA12" i="25"/>
  <c r="AB155" i="25"/>
  <c r="AA155" i="25"/>
  <c r="AB72" i="25"/>
  <c r="AA72" i="25"/>
  <c r="AB42" i="25"/>
  <c r="AA42" i="25"/>
  <c r="AB41" i="25"/>
  <c r="AA41" i="25"/>
  <c r="AB27" i="25"/>
  <c r="AA27" i="25"/>
  <c r="AB30" i="25"/>
  <c r="AA30" i="25"/>
  <c r="AB69" i="25"/>
  <c r="AA69" i="25"/>
  <c r="AB14" i="25"/>
  <c r="AA14" i="25"/>
  <c r="AB29" i="25"/>
  <c r="AA29" i="25"/>
  <c r="AB180" i="25"/>
  <c r="AA180" i="25"/>
  <c r="AB65" i="25"/>
  <c r="AA65" i="25"/>
  <c r="AB112" i="25"/>
  <c r="AA112" i="25"/>
  <c r="AB11" i="25"/>
  <c r="AA11" i="25"/>
  <c r="AB174" i="25"/>
  <c r="AA174" i="25"/>
  <c r="AB149" i="25"/>
  <c r="AA149" i="25"/>
  <c r="AB51" i="25"/>
  <c r="AA51" i="25"/>
  <c r="AB35" i="25"/>
  <c r="AA35" i="25"/>
  <c r="AB32" i="25"/>
  <c r="AA32" i="25"/>
  <c r="AB47" i="25"/>
  <c r="AA47" i="25"/>
  <c r="AB98" i="25"/>
  <c r="AA98" i="25"/>
  <c r="AA65" i="10"/>
  <c r="B39" i="41"/>
  <c r="E169" i="40"/>
  <c r="G168" i="40"/>
  <c r="G156" i="40"/>
  <c r="G155" i="40"/>
  <c r="G154" i="40"/>
  <c r="G173" i="40"/>
  <c r="G172" i="40"/>
  <c r="G160" i="40"/>
  <c r="G171" i="40"/>
  <c r="G170" i="40"/>
  <c r="G166" i="40"/>
  <c r="G162" i="40"/>
  <c r="E170" i="40"/>
  <c r="H153" i="40"/>
  <c r="G158" i="40"/>
  <c r="G157" i="40"/>
  <c r="G176" i="40"/>
  <c r="G174" i="40"/>
  <c r="G161" i="40"/>
  <c r="G167" i="40"/>
  <c r="G165" i="40"/>
  <c r="G159" i="40"/>
  <c r="G169" i="40"/>
  <c r="E171" i="40"/>
  <c r="G175" i="40"/>
  <c r="G163" i="40"/>
  <c r="H162" i="40"/>
  <c r="H163" i="40"/>
  <c r="H169" i="40"/>
  <c r="H154" i="40"/>
  <c r="H171" i="40"/>
  <c r="G164" i="40"/>
  <c r="H176" i="40"/>
  <c r="H174" i="40"/>
  <c r="H175" i="40"/>
  <c r="H173" i="40"/>
  <c r="H166" i="40"/>
  <c r="H159" i="40"/>
  <c r="H164" i="40"/>
  <c r="H158" i="40"/>
  <c r="H170" i="40"/>
  <c r="H155" i="40"/>
  <c r="H160" i="40"/>
  <c r="H167" i="40"/>
  <c r="H165" i="40"/>
  <c r="H157" i="40"/>
  <c r="H168" i="40"/>
  <c r="H156" i="40"/>
  <c r="H161" i="40"/>
  <c r="H172" i="40"/>
  <c r="AU9" i="20"/>
  <c r="AS9" i="20"/>
  <c r="AT9" i="20"/>
  <c r="AY9" i="20"/>
  <c r="Z9" i="20"/>
  <c r="AW9" i="20"/>
  <c r="AX9" i="20"/>
  <c r="AD9" i="20"/>
  <c r="AA9" i="20"/>
  <c r="AC9" i="20"/>
  <c r="Y9" i="20"/>
  <c r="AV9" i="20"/>
  <c r="AE9" i="20"/>
  <c r="AB9" i="20"/>
  <c r="E105" i="21"/>
  <c r="U59" i="10"/>
  <c r="CH181" i="10"/>
  <c r="AT181" i="2"/>
  <c r="AV181" i="2" s="1"/>
  <c r="CM178" i="10"/>
  <c r="S178" i="10" s="1"/>
  <c r="AT176" i="2"/>
  <c r="AV176" i="2" s="1"/>
  <c r="CG176" i="10"/>
  <c r="CM176" i="10"/>
  <c r="S176" i="10" s="1"/>
  <c r="U65" i="10"/>
  <c r="AF43" i="10"/>
  <c r="AG65" i="10"/>
  <c r="AG61" i="10" s="1"/>
  <c r="Z41" i="10"/>
  <c r="DD176" i="20"/>
  <c r="DC176" i="20"/>
  <c r="DF176" i="20"/>
  <c r="DE176" i="20"/>
  <c r="DG176" i="20"/>
  <c r="DA176" i="20"/>
  <c r="DB176" i="20"/>
  <c r="DF181" i="20"/>
  <c r="DB181" i="20"/>
  <c r="DE181" i="20"/>
  <c r="DA181" i="20"/>
  <c r="DD181" i="20"/>
  <c r="DG181" i="20"/>
  <c r="DC181" i="20"/>
  <c r="DA9" i="20"/>
  <c r="DG150" i="20"/>
  <c r="DE150" i="20"/>
  <c r="DA150" i="20"/>
  <c r="DC150" i="20"/>
  <c r="DF150" i="20"/>
  <c r="DD150" i="20"/>
  <c r="DB150" i="20"/>
  <c r="AF41" i="10"/>
  <c r="CJ181" i="20"/>
  <c r="BS181" i="20"/>
  <c r="BO181" i="20"/>
  <c r="AX181" i="20"/>
  <c r="AT181" i="20"/>
  <c r="AC181" i="20"/>
  <c r="Y181" i="20"/>
  <c r="CK181" i="20"/>
  <c r="BP181" i="20"/>
  <c r="AD181" i="20"/>
  <c r="CM181" i="20"/>
  <c r="CI181" i="20"/>
  <c r="BR181" i="20"/>
  <c r="BN181" i="20"/>
  <c r="AW181" i="20"/>
  <c r="AS181" i="20"/>
  <c r="AB181" i="20"/>
  <c r="AY181" i="20"/>
  <c r="Z181" i="20"/>
  <c r="CL181" i="20"/>
  <c r="CH181" i="20"/>
  <c r="BQ181" i="20"/>
  <c r="BM181" i="20"/>
  <c r="AV181" i="20"/>
  <c r="AE181" i="20"/>
  <c r="AA181" i="20"/>
  <c r="CG181" i="20"/>
  <c r="AU181" i="20"/>
  <c r="CM150" i="20"/>
  <c r="CI150" i="20"/>
  <c r="CL150" i="20"/>
  <c r="CH150" i="20"/>
  <c r="CJ150" i="20"/>
  <c r="CK150" i="20"/>
  <c r="CG150" i="20"/>
  <c r="CK176" i="20"/>
  <c r="CG176" i="20"/>
  <c r="BS176" i="20"/>
  <c r="BO176" i="20"/>
  <c r="AW176" i="20"/>
  <c r="AS176" i="20"/>
  <c r="AE176" i="20"/>
  <c r="AA176" i="20"/>
  <c r="CJ176" i="20"/>
  <c r="BR176" i="20"/>
  <c r="BN176" i="20"/>
  <c r="AV176" i="20"/>
  <c r="AD176" i="20"/>
  <c r="Z176" i="20"/>
  <c r="CM176" i="20"/>
  <c r="CI176" i="20"/>
  <c r="BQ176" i="20"/>
  <c r="BM176" i="20"/>
  <c r="AY176" i="20"/>
  <c r="AU176" i="20"/>
  <c r="AC176" i="20"/>
  <c r="Y176" i="20"/>
  <c r="CL176" i="20"/>
  <c r="CH176" i="20"/>
  <c r="BP176" i="20"/>
  <c r="AX176" i="20"/>
  <c r="AT176" i="20"/>
  <c r="AB176" i="20"/>
  <c r="AT46" i="20"/>
  <c r="M58" i="2"/>
  <c r="U118" i="24"/>
  <c r="U86" i="24"/>
  <c r="U114" i="24"/>
  <c r="U88" i="24"/>
  <c r="U65" i="24"/>
  <c r="U117" i="24"/>
  <c r="U92" i="24"/>
  <c r="T92" i="24" s="1"/>
  <c r="AY150" i="20"/>
  <c r="AY141" i="20" s="1"/>
  <c r="AU150" i="20"/>
  <c r="AU141" i="20" s="1"/>
  <c r="AC150" i="20"/>
  <c r="Y150" i="20"/>
  <c r="AX150" i="20"/>
  <c r="AX141" i="20" s="1"/>
  <c r="AT150" i="20"/>
  <c r="AT141" i="20" s="1"/>
  <c r="AB150" i="20"/>
  <c r="AW150" i="20"/>
  <c r="AW141" i="20" s="1"/>
  <c r="AS150" i="20"/>
  <c r="AS141" i="20" s="1"/>
  <c r="AE150" i="20"/>
  <c r="AA150" i="20"/>
  <c r="AD150" i="20"/>
  <c r="AV150" i="20"/>
  <c r="AV141" i="20" s="1"/>
  <c r="Z150" i="20"/>
  <c r="R149" i="24"/>
  <c r="R175" i="24"/>
  <c r="U175" i="24" s="1"/>
  <c r="S30" i="38"/>
  <c r="S54" i="38"/>
  <c r="S14" i="38"/>
  <c r="S26" i="38"/>
  <c r="S51" i="38"/>
  <c r="S27" i="38"/>
  <c r="S13" i="38"/>
  <c r="CH9" i="20"/>
  <c r="CJ9" i="20"/>
  <c r="S65" i="38"/>
  <c r="B162" i="10"/>
  <c r="C169" i="38"/>
  <c r="S15" i="38"/>
  <c r="S53" i="38"/>
  <c r="CL9" i="20"/>
  <c r="S19" i="38"/>
  <c r="B155" i="10"/>
  <c r="C162" i="38"/>
  <c r="R162" i="24"/>
  <c r="U162" i="24" s="1"/>
  <c r="R180" i="24"/>
  <c r="U180" i="24" s="1"/>
  <c r="B149" i="10"/>
  <c r="C156" i="38"/>
  <c r="R155" i="24"/>
  <c r="B181" i="10"/>
  <c r="C187" i="38"/>
  <c r="B176" i="10"/>
  <c r="C182" i="38"/>
  <c r="S10" i="38"/>
  <c r="S12" i="38"/>
  <c r="CG9" i="20"/>
  <c r="CI9" i="20"/>
  <c r="S23" i="38"/>
  <c r="S11" i="38"/>
  <c r="S18" i="38"/>
  <c r="S60" i="38"/>
  <c r="S29" i="38"/>
  <c r="S20" i="38"/>
  <c r="CK9" i="20"/>
  <c r="CM9" i="20"/>
  <c r="S32" i="38"/>
  <c r="DG9" i="20"/>
  <c r="DB9" i="20"/>
  <c r="DD9" i="20"/>
  <c r="DE9" i="20"/>
  <c r="DF9" i="20"/>
  <c r="DC9" i="20"/>
  <c r="Y39" i="20"/>
  <c r="AP39" i="2"/>
  <c r="AB39" i="20"/>
  <c r="AS39" i="20"/>
  <c r="AU39" i="20"/>
  <c r="AC39" i="20"/>
  <c r="AW39" i="20"/>
  <c r="AA39" i="20"/>
  <c r="AX39" i="20"/>
  <c r="AV39" i="20"/>
  <c r="Z39" i="20"/>
  <c r="AY39" i="20"/>
  <c r="AE39" i="20"/>
  <c r="AD39" i="20"/>
  <c r="AT39" i="20"/>
  <c r="R162" i="26"/>
  <c r="R155" i="26"/>
  <c r="V155" i="26" s="1"/>
  <c r="R149" i="26"/>
  <c r="BR150" i="20"/>
  <c r="BN150" i="20"/>
  <c r="BS150" i="20"/>
  <c r="BQ150" i="20"/>
  <c r="BM150" i="20"/>
  <c r="BP150" i="20"/>
  <c r="BO150" i="20"/>
  <c r="R175" i="26"/>
  <c r="R180" i="26"/>
  <c r="AN150" i="2"/>
  <c r="AP150" i="2"/>
  <c r="AL150" i="2"/>
  <c r="AO150" i="2"/>
  <c r="W150" i="25"/>
  <c r="AJ150" i="2"/>
  <c r="AJ163" i="2"/>
  <c r="AP163" i="2"/>
  <c r="AL163" i="2"/>
  <c r="AO163" i="2"/>
  <c r="AM163" i="2"/>
  <c r="W163" i="25"/>
  <c r="AF149" i="23"/>
  <c r="AJ156" i="2"/>
  <c r="AM156" i="2"/>
  <c r="AP156" i="2"/>
  <c r="AO156" i="2"/>
  <c r="AN156" i="2"/>
  <c r="W156" i="25"/>
  <c r="D174" i="28"/>
  <c r="D175" i="27"/>
  <c r="D175" i="26"/>
  <c r="D176" i="25"/>
  <c r="D175" i="24"/>
  <c r="D175" i="23"/>
  <c r="D154" i="28"/>
  <c r="D155" i="27"/>
  <c r="D155" i="26"/>
  <c r="D156" i="25"/>
  <c r="D155" i="24"/>
  <c r="D155" i="23"/>
  <c r="AF175" i="23"/>
  <c r="AF155" i="23"/>
  <c r="D148" i="28"/>
  <c r="D149" i="27"/>
  <c r="D149" i="26"/>
  <c r="D150" i="25"/>
  <c r="D149" i="24"/>
  <c r="D149" i="23"/>
  <c r="D161" i="28"/>
  <c r="D162" i="27"/>
  <c r="D162" i="26"/>
  <c r="D163" i="25"/>
  <c r="D162" i="24"/>
  <c r="D162" i="23"/>
  <c r="D179" i="28"/>
  <c r="D180" i="27"/>
  <c r="D180" i="26"/>
  <c r="D180" i="24"/>
  <c r="D181" i="25"/>
  <c r="D180" i="23"/>
  <c r="AJ176" i="2"/>
  <c r="AP176" i="2"/>
  <c r="AL176" i="2"/>
  <c r="AO176" i="2"/>
  <c r="AN176" i="2"/>
  <c r="W176" i="25"/>
  <c r="AP181" i="2"/>
  <c r="AL181" i="2"/>
  <c r="AO181" i="2"/>
  <c r="AM181" i="2"/>
  <c r="W181" i="25"/>
  <c r="AJ181" i="2"/>
  <c r="AL9" i="2"/>
  <c r="D4" i="19" s="1"/>
  <c r="H4" i="19"/>
  <c r="AP9" i="2"/>
  <c r="G4" i="19"/>
  <c r="AO9" i="2"/>
  <c r="D181" i="20"/>
  <c r="C179" i="11"/>
  <c r="C174" i="11"/>
  <c r="D176" i="20"/>
  <c r="D163" i="20"/>
  <c r="C161" i="11"/>
  <c r="D156" i="20"/>
  <c r="C154" i="11"/>
  <c r="C148" i="11"/>
  <c r="D150" i="20"/>
  <c r="AK116" i="2"/>
  <c r="CH115" i="10" s="1"/>
  <c r="AI116" i="2"/>
  <c r="AH116" i="2"/>
  <c r="AG116" i="2"/>
  <c r="AD115" i="23" s="1"/>
  <c r="AG115" i="23" s="1"/>
  <c r="A48" i="6"/>
  <c r="AI110" i="2"/>
  <c r="AH110" i="2"/>
  <c r="AG110" i="2"/>
  <c r="AD109" i="23" s="1"/>
  <c r="AG109" i="23" s="1"/>
  <c r="D110" i="2"/>
  <c r="B82" i="40" s="1"/>
  <c r="B83" i="74" s="1"/>
  <c r="B83" i="77" s="1"/>
  <c r="A46" i="6"/>
  <c r="AK104" i="2"/>
  <c r="CH103" i="10" s="1"/>
  <c r="AI104" i="2"/>
  <c r="CG103" i="10" s="1"/>
  <c r="AH104" i="2"/>
  <c r="AG104" i="2"/>
  <c r="AD103" i="23" s="1"/>
  <c r="AG103" i="23" s="1"/>
  <c r="D104" i="2"/>
  <c r="B77" i="40" s="1"/>
  <c r="B78" i="74" s="1"/>
  <c r="B78" i="77" s="1"/>
  <c r="A44" i="6"/>
  <c r="AK96" i="2"/>
  <c r="CH95" i="10" s="1"/>
  <c r="AI96" i="2"/>
  <c r="CG95" i="10" s="1"/>
  <c r="AH96" i="2"/>
  <c r="AG96" i="2"/>
  <c r="AD95" i="23" s="1"/>
  <c r="AG95" i="23" s="1"/>
  <c r="D96" i="2"/>
  <c r="B72" i="40" s="1"/>
  <c r="B73" i="74" s="1"/>
  <c r="B73" i="77" s="1"/>
  <c r="A40" i="6"/>
  <c r="AK90" i="2"/>
  <c r="CH89" i="10" s="1"/>
  <c r="AH90" i="2"/>
  <c r="AG90" i="2"/>
  <c r="AD89" i="23" s="1"/>
  <c r="AG89" i="23" s="1"/>
  <c r="A38" i="6"/>
  <c r="P35" i="6"/>
  <c r="O35" i="6"/>
  <c r="N35" i="6"/>
  <c r="M35" i="6"/>
  <c r="L35" i="6"/>
  <c r="K35" i="6"/>
  <c r="AK76" i="2"/>
  <c r="AI76" i="2"/>
  <c r="CG75" i="10" s="1"/>
  <c r="CI75" i="10" s="1"/>
  <c r="AH76" i="2"/>
  <c r="AG76" i="2"/>
  <c r="AD75" i="23" s="1"/>
  <c r="AG75" i="23" s="1"/>
  <c r="D76" i="2"/>
  <c r="B57" i="40" s="1"/>
  <c r="B58" i="74" s="1"/>
  <c r="B58" i="77" s="1"/>
  <c r="A34" i="6"/>
  <c r="AD70" i="23"/>
  <c r="AG70" i="23" s="1"/>
  <c r="A31" i="6"/>
  <c r="P28" i="6"/>
  <c r="O28" i="6"/>
  <c r="N28" i="6"/>
  <c r="M28" i="6"/>
  <c r="L28" i="6"/>
  <c r="K28" i="6"/>
  <c r="AI55" i="2"/>
  <c r="CG54" i="10" s="1"/>
  <c r="AH55" i="2"/>
  <c r="AG55" i="2"/>
  <c r="AD54" i="23" s="1"/>
  <c r="AG54" i="23" s="1"/>
  <c r="D55" i="2"/>
  <c r="B42" i="40" s="1"/>
  <c r="B43" i="74" s="1"/>
  <c r="B43" i="77" s="1"/>
  <c r="A23" i="6"/>
  <c r="P20" i="6"/>
  <c r="O20" i="6"/>
  <c r="N20" i="6"/>
  <c r="M20" i="6"/>
  <c r="L20" i="6"/>
  <c r="K20" i="6"/>
  <c r="AK36" i="2"/>
  <c r="R35" i="26" s="1"/>
  <c r="AI36" i="2"/>
  <c r="CG35" i="10" s="1"/>
  <c r="AH36" i="2"/>
  <c r="AG36" i="2"/>
  <c r="AD35" i="23" s="1"/>
  <c r="AG35" i="23" s="1"/>
  <c r="D36" i="2"/>
  <c r="B27" i="40" s="1"/>
  <c r="B28" i="74" s="1"/>
  <c r="B28" i="77" s="1"/>
  <c r="A17" i="6"/>
  <c r="K48" i="6"/>
  <c r="L63" i="6"/>
  <c r="M63" i="6"/>
  <c r="N63" i="6"/>
  <c r="O63" i="6"/>
  <c r="P63" i="6"/>
  <c r="Y63" i="6" s="1"/>
  <c r="X63" i="6"/>
  <c r="A15" i="6"/>
  <c r="A14" i="6"/>
  <c r="A13" i="6"/>
  <c r="A12" i="6"/>
  <c r="A11" i="6"/>
  <c r="A10" i="6"/>
  <c r="A9" i="6"/>
  <c r="A8" i="6"/>
  <c r="R4" i="74" l="1"/>
  <c r="P4" i="77"/>
  <c r="R4" i="77" s="1"/>
  <c r="R7" i="74"/>
  <c r="P7" i="77"/>
  <c r="R7" i="77" s="1"/>
  <c r="L82" i="74"/>
  <c r="J82" i="77"/>
  <c r="I41" i="74"/>
  <c r="G41" i="77"/>
  <c r="R126" i="74"/>
  <c r="P126" i="77"/>
  <c r="I17" i="74"/>
  <c r="G17" i="77"/>
  <c r="I30" i="74"/>
  <c r="G30" i="77"/>
  <c r="O30" i="74"/>
  <c r="R16" i="74"/>
  <c r="P16" i="77"/>
  <c r="R16" i="77" s="1"/>
  <c r="I82" i="74"/>
  <c r="G82" i="77"/>
  <c r="R21" i="74"/>
  <c r="P21" i="77"/>
  <c r="R21" i="77" s="1"/>
  <c r="R10" i="74"/>
  <c r="P10" i="77"/>
  <c r="R10" i="77" s="1"/>
  <c r="B25" i="77"/>
  <c r="L41" i="74"/>
  <c r="J41" i="77"/>
  <c r="X70" i="74"/>
  <c r="V70" i="77"/>
  <c r="X70" i="77" s="1"/>
  <c r="R5" i="74"/>
  <c r="P5" i="77"/>
  <c r="R5" i="77" s="1"/>
  <c r="R9" i="74"/>
  <c r="P9" i="77"/>
  <c r="R9" i="77" s="1"/>
  <c r="R24" i="74"/>
  <c r="P24" i="77"/>
  <c r="R24" i="77" s="1"/>
  <c r="R30" i="74"/>
  <c r="P30" i="77"/>
  <c r="I134" i="74"/>
  <c r="G134" i="77"/>
  <c r="R134" i="74"/>
  <c r="P134" i="77"/>
  <c r="L17" i="74"/>
  <c r="J17" i="77"/>
  <c r="R121" i="74"/>
  <c r="P121" i="77"/>
  <c r="I121" i="74"/>
  <c r="G121" i="77"/>
  <c r="R8" i="74"/>
  <c r="P8" i="77"/>
  <c r="R8" i="77" s="1"/>
  <c r="I126" i="74"/>
  <c r="G126" i="77"/>
  <c r="L126" i="74"/>
  <c r="J126" i="77"/>
  <c r="R17" i="74"/>
  <c r="P17" i="77"/>
  <c r="R17" i="77" s="1"/>
  <c r="R19" i="74"/>
  <c r="P19" i="77"/>
  <c r="R19" i="77" s="1"/>
  <c r="I70" i="74"/>
  <c r="G70" i="77"/>
  <c r="R70" i="74"/>
  <c r="P70" i="77"/>
  <c r="R12" i="74"/>
  <c r="P12" i="77"/>
  <c r="R12" i="77" s="1"/>
  <c r="I122" i="74"/>
  <c r="G122" i="77"/>
  <c r="R122" i="74"/>
  <c r="P122" i="77"/>
  <c r="L116" i="74"/>
  <c r="J116" i="77"/>
  <c r="R116" i="74"/>
  <c r="P116" i="77"/>
  <c r="L134" i="74"/>
  <c r="J134" i="77"/>
  <c r="I139" i="74"/>
  <c r="G139" i="77"/>
  <c r="L121" i="74"/>
  <c r="J121" i="77"/>
  <c r="R82" i="74"/>
  <c r="P82" i="77"/>
  <c r="R15" i="74"/>
  <c r="P15" i="77"/>
  <c r="R15" i="77" s="1"/>
  <c r="B18" i="77"/>
  <c r="U41" i="74"/>
  <c r="S41" i="77"/>
  <c r="B3" i="77"/>
  <c r="B22" i="77"/>
  <c r="O17" i="74"/>
  <c r="M17" i="77"/>
  <c r="O17" i="77" s="1"/>
  <c r="L70" i="74"/>
  <c r="J70" i="77"/>
  <c r="R14" i="74"/>
  <c r="P14" i="77"/>
  <c r="R14" i="77" s="1"/>
  <c r="L30" i="74"/>
  <c r="J30" i="77"/>
  <c r="L122" i="74"/>
  <c r="J122" i="77"/>
  <c r="I116" i="74"/>
  <c r="G116" i="77"/>
  <c r="R139" i="74"/>
  <c r="P139" i="77"/>
  <c r="L139" i="74"/>
  <c r="J139" i="77"/>
  <c r="S25" i="74"/>
  <c r="S25" i="77" s="1"/>
  <c r="U25" i="77" s="1"/>
  <c r="P25" i="74"/>
  <c r="P25" i="77" s="1"/>
  <c r="R25" i="77" s="1"/>
  <c r="V25" i="74"/>
  <c r="V25" i="77" s="1"/>
  <c r="X25" i="77" s="1"/>
  <c r="G58" i="74"/>
  <c r="G58" i="77" s="1"/>
  <c r="V58" i="74"/>
  <c r="V58" i="77" s="1"/>
  <c r="X58" i="77" s="1"/>
  <c r="P58" i="74"/>
  <c r="P58" i="77" s="1"/>
  <c r="S58" i="74"/>
  <c r="S58" i="77" s="1"/>
  <c r="M58" i="74"/>
  <c r="M58" i="77" s="1"/>
  <c r="O58" i="77" s="1"/>
  <c r="J58" i="74"/>
  <c r="J58" i="77" s="1"/>
  <c r="V83" i="74"/>
  <c r="V83" i="77" s="1"/>
  <c r="X83" i="77" s="1"/>
  <c r="J83" i="74"/>
  <c r="P83" i="74"/>
  <c r="M83" i="74"/>
  <c r="M83" i="77" s="1"/>
  <c r="O83" i="77" s="1"/>
  <c r="G83" i="74"/>
  <c r="S83" i="74"/>
  <c r="S83" i="77" s="1"/>
  <c r="U83" i="77" s="1"/>
  <c r="M78" i="74"/>
  <c r="G78" i="74"/>
  <c r="P78" i="74"/>
  <c r="S78" i="74"/>
  <c r="S78" i="77" s="1"/>
  <c r="U78" i="77" s="1"/>
  <c r="J78" i="74"/>
  <c r="V78" i="74"/>
  <c r="V78" i="77" s="1"/>
  <c r="X78" i="77" s="1"/>
  <c r="S28" i="74"/>
  <c r="S28" i="77" s="1"/>
  <c r="U28" i="77" s="1"/>
  <c r="G28" i="74"/>
  <c r="G28" i="77" s="1"/>
  <c r="J28" i="74"/>
  <c r="J28" i="77" s="1"/>
  <c r="P28" i="74"/>
  <c r="P28" i="77" s="1"/>
  <c r="M28" i="74"/>
  <c r="M28" i="77" s="1"/>
  <c r="V28" i="74"/>
  <c r="V28" i="77" s="1"/>
  <c r="X28" i="77" s="1"/>
  <c r="G43" i="74"/>
  <c r="P43" i="74"/>
  <c r="P43" i="77" s="1"/>
  <c r="R43" i="77" s="1"/>
  <c r="V43" i="74"/>
  <c r="V43" i="77" s="1"/>
  <c r="X43" i="77" s="1"/>
  <c r="S43" i="74"/>
  <c r="J43" i="74"/>
  <c r="M43" i="74"/>
  <c r="M43" i="77" s="1"/>
  <c r="O43" i="77" s="1"/>
  <c r="M73" i="74"/>
  <c r="M73" i="77" s="1"/>
  <c r="O73" i="77" s="1"/>
  <c r="V73" i="74"/>
  <c r="V73" i="77" s="1"/>
  <c r="X73" i="77" s="1"/>
  <c r="P73" i="74"/>
  <c r="J73" i="74"/>
  <c r="S73" i="74"/>
  <c r="S73" i="77" s="1"/>
  <c r="U73" i="77" s="1"/>
  <c r="G73" i="74"/>
  <c r="V18" i="74"/>
  <c r="V18" i="77" s="1"/>
  <c r="X18" i="77" s="1"/>
  <c r="P18" i="74"/>
  <c r="S18" i="74"/>
  <c r="S18" i="77" s="1"/>
  <c r="U18" i="77" s="1"/>
  <c r="S3" i="74"/>
  <c r="S3" i="77" s="1"/>
  <c r="U3" i="77" s="1"/>
  <c r="P3" i="74"/>
  <c r="P3" i="77" s="1"/>
  <c r="R3" i="77" s="1"/>
  <c r="V3" i="74"/>
  <c r="V3" i="77" s="1"/>
  <c r="X3" i="77" s="1"/>
  <c r="S22" i="74"/>
  <c r="S22" i="77" s="1"/>
  <c r="U22" i="77" s="1"/>
  <c r="V22" i="74"/>
  <c r="V22" i="77" s="1"/>
  <c r="X22" i="77" s="1"/>
  <c r="F173" i="40"/>
  <c r="I173" i="40" s="1"/>
  <c r="I120" i="41"/>
  <c r="K120" i="41" s="1"/>
  <c r="M120" i="40"/>
  <c r="K120" i="40"/>
  <c r="I61" i="41"/>
  <c r="K61" i="40"/>
  <c r="I125" i="41"/>
  <c r="K125" i="41" s="1"/>
  <c r="M125" i="40"/>
  <c r="K125" i="40"/>
  <c r="I29" i="41"/>
  <c r="K29" i="41" s="1"/>
  <c r="M29" i="40"/>
  <c r="K29" i="40"/>
  <c r="F149" i="40"/>
  <c r="D77" i="41"/>
  <c r="H77" i="40"/>
  <c r="D27" i="41"/>
  <c r="H27" i="40"/>
  <c r="D42" i="41"/>
  <c r="H42" i="40"/>
  <c r="M95" i="10"/>
  <c r="N95" i="10"/>
  <c r="I138" i="41"/>
  <c r="K138" i="41" s="1"/>
  <c r="M138" i="40"/>
  <c r="K138" i="40"/>
  <c r="I40" i="41"/>
  <c r="K40" i="41" s="1"/>
  <c r="M40" i="40"/>
  <c r="K40" i="40"/>
  <c r="I115" i="41"/>
  <c r="K115" i="41" s="1"/>
  <c r="C160" i="41" s="1"/>
  <c r="M115" i="40"/>
  <c r="K115" i="40"/>
  <c r="I121" i="41"/>
  <c r="K121" i="41" s="1"/>
  <c r="M121" i="40"/>
  <c r="K121" i="40"/>
  <c r="I133" i="41"/>
  <c r="K133" i="41" s="1"/>
  <c r="M133" i="40"/>
  <c r="K133" i="40"/>
  <c r="D57" i="41"/>
  <c r="H57" i="40"/>
  <c r="CP95" i="10"/>
  <c r="AA95" i="10"/>
  <c r="U95" i="10"/>
  <c r="D82" i="41"/>
  <c r="H82" i="40"/>
  <c r="D72" i="41"/>
  <c r="H72" i="40"/>
  <c r="AB181" i="25"/>
  <c r="AA181" i="25"/>
  <c r="AB176" i="25"/>
  <c r="AA176" i="25"/>
  <c r="AB150" i="25"/>
  <c r="AA150" i="25"/>
  <c r="AB163" i="25"/>
  <c r="AA163" i="25"/>
  <c r="AB156" i="25"/>
  <c r="AA156" i="25"/>
  <c r="D163" i="41"/>
  <c r="D162" i="41"/>
  <c r="D161" i="41"/>
  <c r="J170" i="40"/>
  <c r="I170" i="40"/>
  <c r="I156" i="40"/>
  <c r="J169" i="40"/>
  <c r="I169" i="40"/>
  <c r="I175" i="40"/>
  <c r="I171" i="40"/>
  <c r="J171" i="40"/>
  <c r="I161" i="40"/>
  <c r="I158" i="40"/>
  <c r="I172" i="40"/>
  <c r="I155" i="40"/>
  <c r="I159" i="40"/>
  <c r="D151" i="41"/>
  <c r="C146" i="41"/>
  <c r="C162" i="41"/>
  <c r="C168" i="41"/>
  <c r="C151" i="41"/>
  <c r="C161" i="41"/>
  <c r="C153" i="41"/>
  <c r="C152" i="41"/>
  <c r="C163" i="41"/>
  <c r="C148" i="41"/>
  <c r="C158" i="41"/>
  <c r="C150" i="41"/>
  <c r="C149" i="41"/>
  <c r="C157" i="41"/>
  <c r="U54" i="10"/>
  <c r="CN54" i="10"/>
  <c r="DG90" i="20"/>
  <c r="DE90" i="20"/>
  <c r="DA90" i="20"/>
  <c r="DD90" i="20"/>
  <c r="DC90" i="20"/>
  <c r="DB90" i="20"/>
  <c r="DF90" i="20"/>
  <c r="DC104" i="20"/>
  <c r="DG104" i="20"/>
  <c r="DF104" i="20"/>
  <c r="DB104" i="20"/>
  <c r="DE104" i="20"/>
  <c r="DA104" i="20"/>
  <c r="DD104" i="20"/>
  <c r="DG36" i="20"/>
  <c r="DF36" i="20"/>
  <c r="DB36" i="20"/>
  <c r="DC36" i="20"/>
  <c r="DE36" i="20"/>
  <c r="DA36" i="20"/>
  <c r="DD36" i="20"/>
  <c r="DG116" i="20"/>
  <c r="DE116" i="20"/>
  <c r="DA116" i="20"/>
  <c r="DC116" i="20"/>
  <c r="DF116" i="20"/>
  <c r="DB116" i="20"/>
  <c r="DD116" i="20"/>
  <c r="CH75" i="10"/>
  <c r="CJ75" i="10" s="1"/>
  <c r="DF76" i="20"/>
  <c r="DB76" i="20"/>
  <c r="DE76" i="20"/>
  <c r="DD76" i="20"/>
  <c r="DC76" i="20"/>
  <c r="DA76" i="20"/>
  <c r="DG76" i="20"/>
  <c r="DD96" i="20"/>
  <c r="DC96" i="20"/>
  <c r="DE96" i="20"/>
  <c r="DG96" i="20"/>
  <c r="DF96" i="20"/>
  <c r="DB96" i="20"/>
  <c r="DA96" i="20"/>
  <c r="CK36" i="20"/>
  <c r="CG36" i="20"/>
  <c r="CH36" i="20"/>
  <c r="CJ36" i="20"/>
  <c r="CM36" i="20"/>
  <c r="CI36" i="20"/>
  <c r="CL36" i="20"/>
  <c r="CK96" i="20"/>
  <c r="CG96" i="20"/>
  <c r="CL96" i="20"/>
  <c r="CJ96" i="20"/>
  <c r="CH96" i="20"/>
  <c r="CM96" i="20"/>
  <c r="CI96" i="20"/>
  <c r="BS96" i="20"/>
  <c r="BO96" i="20"/>
  <c r="AX96" i="20"/>
  <c r="AT96" i="20"/>
  <c r="AC96" i="20"/>
  <c r="Y96" i="20"/>
  <c r="AD96" i="20"/>
  <c r="BR96" i="20"/>
  <c r="BN96" i="20"/>
  <c r="AW96" i="20"/>
  <c r="AS96" i="20"/>
  <c r="AB96" i="20"/>
  <c r="BP96" i="20"/>
  <c r="AY96" i="20"/>
  <c r="Z96" i="20"/>
  <c r="BQ96" i="20"/>
  <c r="BM96" i="20"/>
  <c r="AV96" i="20"/>
  <c r="AE96" i="20"/>
  <c r="AA96" i="20"/>
  <c r="AU96" i="20"/>
  <c r="CL90" i="20"/>
  <c r="CH90" i="20"/>
  <c r="CK90" i="20"/>
  <c r="CG90" i="20"/>
  <c r="CM90" i="20"/>
  <c r="CJ90" i="20"/>
  <c r="CI90" i="20"/>
  <c r="BP90" i="20"/>
  <c r="AY90" i="20"/>
  <c r="AU90" i="20"/>
  <c r="AD90" i="20"/>
  <c r="Z90" i="20"/>
  <c r="BM90" i="20"/>
  <c r="AE90" i="20"/>
  <c r="BS90" i="20"/>
  <c r="BO90" i="20"/>
  <c r="AX90" i="20"/>
  <c r="AT90" i="20"/>
  <c r="AC90" i="20"/>
  <c r="Y90" i="20"/>
  <c r="AV90" i="20"/>
  <c r="BR90" i="20"/>
  <c r="BN90" i="20"/>
  <c r="AW90" i="20"/>
  <c r="AS90" i="20"/>
  <c r="AB90" i="20"/>
  <c r="BQ90" i="20"/>
  <c r="AA90" i="20"/>
  <c r="CM116" i="20"/>
  <c r="CI116" i="20"/>
  <c r="BO116" i="20"/>
  <c r="BS116" i="20"/>
  <c r="BN116" i="20"/>
  <c r="CL116" i="20"/>
  <c r="CH116" i="20"/>
  <c r="BP116" i="20"/>
  <c r="CJ116" i="20"/>
  <c r="BR116" i="20"/>
  <c r="CK116" i="20"/>
  <c r="CG116" i="20"/>
  <c r="BM116" i="20"/>
  <c r="BQ116" i="20"/>
  <c r="CM76" i="20"/>
  <c r="CI76" i="20"/>
  <c r="CJ76" i="20"/>
  <c r="CL76" i="20"/>
  <c r="CH76" i="20"/>
  <c r="CK76" i="20"/>
  <c r="CG76" i="20"/>
  <c r="BQ76" i="20"/>
  <c r="BM76" i="20"/>
  <c r="AV76" i="20"/>
  <c r="AE76" i="20"/>
  <c r="AA76" i="20"/>
  <c r="BN76" i="20"/>
  <c r="AB76" i="20"/>
  <c r="BP76" i="20"/>
  <c r="AY76" i="20"/>
  <c r="AU76" i="20"/>
  <c r="AD76" i="20"/>
  <c r="Z76" i="20"/>
  <c r="BR76" i="20"/>
  <c r="AS76" i="20"/>
  <c r="BS76" i="20"/>
  <c r="BO76" i="20"/>
  <c r="AX76" i="20"/>
  <c r="AT76" i="20"/>
  <c r="AC76" i="20"/>
  <c r="Y76" i="20"/>
  <c r="AW76" i="20"/>
  <c r="CJ104" i="20"/>
  <c r="BS104" i="20"/>
  <c r="BO104" i="20"/>
  <c r="AX104" i="20"/>
  <c r="AT104" i="20"/>
  <c r="AC104" i="20"/>
  <c r="Y104" i="20"/>
  <c r="CG104" i="20"/>
  <c r="AY104" i="20"/>
  <c r="Z104" i="20"/>
  <c r="CM104" i="20"/>
  <c r="CI104" i="20"/>
  <c r="BR104" i="20"/>
  <c r="BN104" i="20"/>
  <c r="AW104" i="20"/>
  <c r="AS104" i="20"/>
  <c r="AB104" i="20"/>
  <c r="BP104" i="20"/>
  <c r="AD104" i="20"/>
  <c r="CL104" i="20"/>
  <c r="CH104" i="20"/>
  <c r="BQ104" i="20"/>
  <c r="BM104" i="20"/>
  <c r="AV104" i="20"/>
  <c r="AE104" i="20"/>
  <c r="AA104" i="20"/>
  <c r="CK104" i="20"/>
  <c r="AU104" i="20"/>
  <c r="BS55" i="20"/>
  <c r="BO55" i="20"/>
  <c r="AY55" i="20"/>
  <c r="AU55" i="20"/>
  <c r="AE55" i="20"/>
  <c r="AA55" i="20"/>
  <c r="BR55" i="20"/>
  <c r="BN55" i="20"/>
  <c r="AX55" i="20"/>
  <c r="AT55" i="20"/>
  <c r="AD55" i="20"/>
  <c r="Z55" i="20"/>
  <c r="BP55" i="20"/>
  <c r="AV55" i="20"/>
  <c r="BQ55" i="20"/>
  <c r="BM55" i="20"/>
  <c r="AW55" i="20"/>
  <c r="AS55" i="20"/>
  <c r="AC55" i="20"/>
  <c r="Y55" i="20"/>
  <c r="AB55" i="20"/>
  <c r="AC36" i="20"/>
  <c r="Y36" i="20"/>
  <c r="AX36" i="20"/>
  <c r="AT36" i="20"/>
  <c r="BS36" i="20"/>
  <c r="BO36" i="20"/>
  <c r="AB36" i="20"/>
  <c r="AW36" i="20"/>
  <c r="AS36" i="20"/>
  <c r="BR36" i="20"/>
  <c r="BN36" i="20"/>
  <c r="AD36" i="20"/>
  <c r="AU36" i="20"/>
  <c r="BP36" i="20"/>
  <c r="AE36" i="20"/>
  <c r="AA36" i="20"/>
  <c r="AV36" i="20"/>
  <c r="BQ36" i="20"/>
  <c r="BM36" i="20"/>
  <c r="Z36" i="20"/>
  <c r="AY36" i="20"/>
  <c r="U155" i="24"/>
  <c r="U149" i="24"/>
  <c r="AW116" i="20"/>
  <c r="AS116" i="20"/>
  <c r="AC116" i="20"/>
  <c r="Y116" i="20"/>
  <c r="Z116" i="20"/>
  <c r="AV116" i="20"/>
  <c r="AB116" i="20"/>
  <c r="AT116" i="20"/>
  <c r="AY116" i="20"/>
  <c r="AU116" i="20"/>
  <c r="AE116" i="20"/>
  <c r="AA116" i="20"/>
  <c r="AX116" i="20"/>
  <c r="AD116" i="20"/>
  <c r="B109" i="10"/>
  <c r="C110" i="38"/>
  <c r="R35" i="24"/>
  <c r="U35" i="24" s="1"/>
  <c r="R54" i="24"/>
  <c r="U54" i="24" s="1"/>
  <c r="R70" i="24"/>
  <c r="U70" i="24" s="1"/>
  <c r="B75" i="10"/>
  <c r="C76" i="38"/>
  <c r="B89" i="10"/>
  <c r="C90" i="38"/>
  <c r="R115" i="24"/>
  <c r="B123" i="10"/>
  <c r="R103" i="24"/>
  <c r="B35" i="10"/>
  <c r="C36" i="38"/>
  <c r="B54" i="10"/>
  <c r="C55" i="38"/>
  <c r="B70" i="10"/>
  <c r="C71" i="38"/>
  <c r="R75" i="24"/>
  <c r="U75" i="24" s="1"/>
  <c r="R89" i="24"/>
  <c r="B137" i="10"/>
  <c r="C138" i="38"/>
  <c r="B95" i="10"/>
  <c r="C96" i="38"/>
  <c r="R95" i="24"/>
  <c r="U95" i="24" s="1"/>
  <c r="B103" i="10"/>
  <c r="C104" i="38"/>
  <c r="R109" i="24"/>
  <c r="R75" i="26"/>
  <c r="R89" i="26"/>
  <c r="R103" i="26"/>
  <c r="R115" i="26"/>
  <c r="R95" i="26"/>
  <c r="R54" i="26"/>
  <c r="R70" i="26"/>
  <c r="D88" i="28"/>
  <c r="D89" i="27"/>
  <c r="D89" i="26"/>
  <c r="D89" i="24"/>
  <c r="D90" i="25"/>
  <c r="D89" i="23"/>
  <c r="AJ55" i="2"/>
  <c r="AP55" i="2"/>
  <c r="AL55" i="2"/>
  <c r="AO55" i="2"/>
  <c r="W55" i="25"/>
  <c r="AJ71" i="2"/>
  <c r="AO71" i="2"/>
  <c r="AL71" i="2"/>
  <c r="AP71" i="2"/>
  <c r="W71" i="25"/>
  <c r="AF89" i="23"/>
  <c r="AJ96" i="2"/>
  <c r="AP96" i="2"/>
  <c r="AL96" i="2"/>
  <c r="AO96" i="2"/>
  <c r="W96" i="25"/>
  <c r="AF103" i="23"/>
  <c r="AJ110" i="2"/>
  <c r="AO110" i="2"/>
  <c r="AP110" i="2"/>
  <c r="AL110" i="2"/>
  <c r="W110" i="25"/>
  <c r="AJ36" i="2"/>
  <c r="AP36" i="2"/>
  <c r="AL36" i="2"/>
  <c r="AM36" i="2"/>
  <c r="W36" i="25"/>
  <c r="D34" i="28"/>
  <c r="D35" i="27"/>
  <c r="D35" i="26"/>
  <c r="D35" i="24"/>
  <c r="D36" i="25"/>
  <c r="D35" i="23"/>
  <c r="D53" i="28"/>
  <c r="D54" i="27"/>
  <c r="D54" i="26"/>
  <c r="D55" i="25"/>
  <c r="D54" i="24"/>
  <c r="D54" i="23"/>
  <c r="D69" i="28"/>
  <c r="D70" i="27"/>
  <c r="D70" i="26"/>
  <c r="D70" i="24"/>
  <c r="D71" i="25"/>
  <c r="D70" i="23"/>
  <c r="D94" i="28"/>
  <c r="D95" i="27"/>
  <c r="D95" i="26"/>
  <c r="D96" i="25"/>
  <c r="D95" i="24"/>
  <c r="D95" i="23"/>
  <c r="D108" i="28"/>
  <c r="D109" i="27"/>
  <c r="D109" i="26"/>
  <c r="D110" i="25"/>
  <c r="D109" i="24"/>
  <c r="D109" i="23"/>
  <c r="D122" i="28"/>
  <c r="D123" i="27"/>
  <c r="D123" i="26"/>
  <c r="D124" i="25"/>
  <c r="D123" i="24"/>
  <c r="D123" i="23"/>
  <c r="D74" i="28"/>
  <c r="D75" i="27"/>
  <c r="D75" i="26"/>
  <c r="D76" i="25"/>
  <c r="D75" i="24"/>
  <c r="D75" i="23"/>
  <c r="D102" i="28"/>
  <c r="D103" i="27"/>
  <c r="D103" i="26"/>
  <c r="D104" i="25"/>
  <c r="D103" i="24"/>
  <c r="D103" i="23"/>
  <c r="D136" i="28"/>
  <c r="D137" i="27"/>
  <c r="D137" i="26"/>
  <c r="D138" i="25"/>
  <c r="D137" i="24"/>
  <c r="D137" i="23"/>
  <c r="AF54" i="23"/>
  <c r="AF70" i="23"/>
  <c r="AP76" i="2"/>
  <c r="AL76" i="2"/>
  <c r="AM76" i="2"/>
  <c r="W76" i="25"/>
  <c r="AJ76" i="2"/>
  <c r="AJ90" i="2"/>
  <c r="AP90" i="2"/>
  <c r="AL90" i="2"/>
  <c r="AO90" i="2"/>
  <c r="W90" i="25"/>
  <c r="AF95" i="23"/>
  <c r="AJ104" i="2"/>
  <c r="AP104" i="2"/>
  <c r="AL104" i="2"/>
  <c r="AO104" i="2"/>
  <c r="W104" i="25"/>
  <c r="AF109" i="23"/>
  <c r="AM116" i="2"/>
  <c r="AP116" i="2"/>
  <c r="AO116" i="2"/>
  <c r="AL116" i="2"/>
  <c r="W116" i="25"/>
  <c r="AJ116" i="2"/>
  <c r="D138" i="20"/>
  <c r="C136" i="11"/>
  <c r="C122" i="11"/>
  <c r="D124" i="20"/>
  <c r="C108" i="11"/>
  <c r="D110" i="20"/>
  <c r="D104" i="20"/>
  <c r="C102" i="11"/>
  <c r="D96" i="20"/>
  <c r="C94" i="11"/>
  <c r="D90" i="20"/>
  <c r="C88" i="11"/>
  <c r="D76" i="20"/>
  <c r="C74" i="11"/>
  <c r="D71" i="20"/>
  <c r="C69" i="11"/>
  <c r="D55" i="20"/>
  <c r="C53" i="11"/>
  <c r="C34" i="11"/>
  <c r="D36" i="20"/>
  <c r="AK177" i="2"/>
  <c r="CH177" i="10" s="1"/>
  <c r="AI177" i="2"/>
  <c r="CG177" i="10" s="1"/>
  <c r="AH177" i="2"/>
  <c r="AG177" i="2"/>
  <c r="AD176" i="23" s="1"/>
  <c r="AG176" i="23" s="1"/>
  <c r="D177" i="2"/>
  <c r="B134" i="40" s="1"/>
  <c r="B135" i="74" s="1"/>
  <c r="B135" i="77" s="1"/>
  <c r="A75" i="3"/>
  <c r="A72" i="3"/>
  <c r="AK165" i="2"/>
  <c r="CH164" i="10" s="1"/>
  <c r="AI165" i="2"/>
  <c r="CG164" i="10" s="1"/>
  <c r="AH165" i="2"/>
  <c r="AG165" i="2"/>
  <c r="AD164" i="23" s="1"/>
  <c r="AG164" i="23" s="1"/>
  <c r="D165" i="2"/>
  <c r="B127" i="40" s="1"/>
  <c r="B128" i="74" s="1"/>
  <c r="B128" i="77" s="1"/>
  <c r="AI157" i="2"/>
  <c r="CG156" i="10" s="1"/>
  <c r="CM156" i="10" s="1"/>
  <c r="AH157" i="2"/>
  <c r="AG157" i="2"/>
  <c r="AD156" i="23" s="1"/>
  <c r="AG156" i="23" s="1"/>
  <c r="AI151" i="2"/>
  <c r="AH151" i="2"/>
  <c r="AG151" i="2"/>
  <c r="AD150" i="23" s="1"/>
  <c r="AG150" i="23" s="1"/>
  <c r="AK117" i="2"/>
  <c r="CH116" i="10" s="1"/>
  <c r="AI117" i="2"/>
  <c r="AH117" i="2"/>
  <c r="AG117" i="2"/>
  <c r="AD116" i="23" s="1"/>
  <c r="AG116" i="23" s="1"/>
  <c r="AK111" i="2"/>
  <c r="CH110" i="10" s="1"/>
  <c r="AI111" i="2"/>
  <c r="AH111" i="2"/>
  <c r="AG111" i="2"/>
  <c r="AD110" i="23" s="1"/>
  <c r="AG110" i="23" s="1"/>
  <c r="D117" i="2"/>
  <c r="B88" i="40" s="1"/>
  <c r="B89" i="74" s="1"/>
  <c r="B89" i="77" s="1"/>
  <c r="D111" i="2"/>
  <c r="B83" i="40" s="1"/>
  <c r="B84" i="74" s="1"/>
  <c r="B84" i="77" s="1"/>
  <c r="X73" i="3"/>
  <c r="X70" i="3"/>
  <c r="AK105" i="2"/>
  <c r="CH104" i="10" s="1"/>
  <c r="AI105" i="2"/>
  <c r="CG104" i="10" s="1"/>
  <c r="AH105" i="2"/>
  <c r="AG105" i="2"/>
  <c r="AD104" i="23" s="1"/>
  <c r="AG104" i="23" s="1"/>
  <c r="D105" i="2"/>
  <c r="B78" i="40" s="1"/>
  <c r="B79" i="74" s="1"/>
  <c r="B79" i="77" s="1"/>
  <c r="AK95" i="2"/>
  <c r="CH94" i="10" s="1"/>
  <c r="AI95" i="2"/>
  <c r="CG94" i="10" s="1"/>
  <c r="AH95" i="2"/>
  <c r="AG95" i="2"/>
  <c r="AD94" i="23" s="1"/>
  <c r="AG94" i="23" s="1"/>
  <c r="AK94" i="2"/>
  <c r="CH93" i="10" s="1"/>
  <c r="AI94" i="2"/>
  <c r="CG93" i="10" s="1"/>
  <c r="AH94" i="2"/>
  <c r="AG94" i="2"/>
  <c r="AD93" i="23" s="1"/>
  <c r="AG93" i="23" s="1"/>
  <c r="D95" i="2"/>
  <c r="B71" i="40" s="1"/>
  <c r="B72" i="74" s="1"/>
  <c r="B72" i="77" s="1"/>
  <c r="D94" i="2"/>
  <c r="B70" i="40" s="1"/>
  <c r="B71" i="74" s="1"/>
  <c r="B71" i="77" s="1"/>
  <c r="AK88" i="2"/>
  <c r="CH87" i="10" s="1"/>
  <c r="AI88" i="2"/>
  <c r="CG87" i="10" s="1"/>
  <c r="AH88" i="2"/>
  <c r="AG88" i="2"/>
  <c r="AD87" i="23" s="1"/>
  <c r="AG87" i="23" s="1"/>
  <c r="D88" i="2"/>
  <c r="B65" i="40" s="1"/>
  <c r="B66" i="74" s="1"/>
  <c r="B66" i="77" s="1"/>
  <c r="A33" i="3"/>
  <c r="AK81" i="2"/>
  <c r="AI81" i="2"/>
  <c r="CG80" i="10" s="1"/>
  <c r="AH81" i="2"/>
  <c r="AG81" i="2"/>
  <c r="AD80" i="23" s="1"/>
  <c r="AG80" i="23" s="1"/>
  <c r="AK80" i="2"/>
  <c r="AI80" i="2"/>
  <c r="CG79" i="10" s="1"/>
  <c r="CJ79" i="10" s="1"/>
  <c r="AH80" i="2"/>
  <c r="AG80" i="2"/>
  <c r="AD79" i="23" s="1"/>
  <c r="AG79" i="23" s="1"/>
  <c r="D81" i="2"/>
  <c r="C81" i="38" s="1"/>
  <c r="D80" i="2"/>
  <c r="B60" i="40" s="1"/>
  <c r="B61" i="74" s="1"/>
  <c r="B61" i="77" s="1"/>
  <c r="A31" i="3"/>
  <c r="AK75" i="2"/>
  <c r="AI75" i="2"/>
  <c r="CG74" i="10" s="1"/>
  <c r="CI74" i="10" s="1"/>
  <c r="AH75" i="2"/>
  <c r="AG75" i="2"/>
  <c r="AD74" i="23" s="1"/>
  <c r="AG74" i="23" s="1"/>
  <c r="D75" i="2"/>
  <c r="B56" i="40" s="1"/>
  <c r="B57" i="74" s="1"/>
  <c r="B57" i="77" s="1"/>
  <c r="N27" i="3"/>
  <c r="O27" i="3"/>
  <c r="P27" i="3"/>
  <c r="Q27" i="3"/>
  <c r="AK68" i="2"/>
  <c r="AI68" i="2"/>
  <c r="CG67" i="10" s="1"/>
  <c r="AH68" i="2"/>
  <c r="AG68" i="2"/>
  <c r="AD67" i="23" s="1"/>
  <c r="AG67" i="23" s="1"/>
  <c r="AK64" i="2"/>
  <c r="AI64" i="2"/>
  <c r="CG63" i="10" s="1"/>
  <c r="AH64" i="2"/>
  <c r="AG64" i="2"/>
  <c r="AD63" i="23" s="1"/>
  <c r="AG63" i="23" s="1"/>
  <c r="D64" i="2"/>
  <c r="B48" i="40" s="1"/>
  <c r="B49" i="74" s="1"/>
  <c r="B49" i="77" s="1"/>
  <c r="AK59" i="2"/>
  <c r="AI59" i="2"/>
  <c r="CG58" i="10" s="1"/>
  <c r="AH59" i="2"/>
  <c r="AG59" i="2"/>
  <c r="AD58" i="23" s="1"/>
  <c r="AG58" i="23" s="1"/>
  <c r="AK57" i="2"/>
  <c r="AI57" i="2"/>
  <c r="CG56" i="10" s="1"/>
  <c r="AH57" i="2"/>
  <c r="AG57" i="2"/>
  <c r="AD56" i="23" s="1"/>
  <c r="AG56" i="23" s="1"/>
  <c r="D52" i="2"/>
  <c r="B39" i="40" s="1"/>
  <c r="B40" i="74" s="1"/>
  <c r="B40" i="77" s="1"/>
  <c r="D47" i="2"/>
  <c r="M19" i="3"/>
  <c r="N19" i="3"/>
  <c r="O19" i="3"/>
  <c r="P19" i="3"/>
  <c r="Q19" i="3"/>
  <c r="R78" i="74" l="1"/>
  <c r="P78" i="77"/>
  <c r="I83" i="74"/>
  <c r="G83" i="77"/>
  <c r="R18" i="74"/>
  <c r="P18" i="77"/>
  <c r="R18" i="77" s="1"/>
  <c r="L73" i="74"/>
  <c r="J73" i="77"/>
  <c r="I78" i="74"/>
  <c r="G78" i="77"/>
  <c r="R3" i="74"/>
  <c r="R73" i="74"/>
  <c r="P73" i="77"/>
  <c r="L43" i="74"/>
  <c r="J43" i="77"/>
  <c r="I43" i="74"/>
  <c r="G43" i="77"/>
  <c r="L78" i="74"/>
  <c r="J78" i="77"/>
  <c r="O78" i="74"/>
  <c r="M78" i="77"/>
  <c r="R83" i="74"/>
  <c r="P83" i="77"/>
  <c r="I73" i="74"/>
  <c r="G73" i="77"/>
  <c r="U43" i="74"/>
  <c r="S43" i="77"/>
  <c r="L83" i="74"/>
  <c r="J83" i="77"/>
  <c r="V49" i="74"/>
  <c r="P49" i="74"/>
  <c r="G49" i="74"/>
  <c r="S49" i="74"/>
  <c r="S49" i="77" s="1"/>
  <c r="U49" i="77" s="1"/>
  <c r="M49" i="74"/>
  <c r="M49" i="77" s="1"/>
  <c r="J49" i="74"/>
  <c r="J128" i="74"/>
  <c r="M128" i="74"/>
  <c r="M128" i="77" s="1"/>
  <c r="O128" i="77" s="1"/>
  <c r="S128" i="74"/>
  <c r="S128" i="77" s="1"/>
  <c r="U128" i="77" s="1"/>
  <c r="V128" i="74"/>
  <c r="V128" i="77" s="1"/>
  <c r="X128" i="77" s="1"/>
  <c r="G128" i="74"/>
  <c r="P128" i="74"/>
  <c r="V79" i="74"/>
  <c r="V79" i="77" s="1"/>
  <c r="X79" i="77" s="1"/>
  <c r="M79" i="74"/>
  <c r="P79" i="74"/>
  <c r="G79" i="74"/>
  <c r="J79" i="74"/>
  <c r="S79" i="74"/>
  <c r="S79" i="77" s="1"/>
  <c r="U79" i="77" s="1"/>
  <c r="J89" i="74"/>
  <c r="S89" i="74"/>
  <c r="S89" i="77" s="1"/>
  <c r="U89" i="77" s="1"/>
  <c r="P89" i="74"/>
  <c r="V89" i="74"/>
  <c r="V89" i="77" s="1"/>
  <c r="X89" i="77" s="1"/>
  <c r="M89" i="74"/>
  <c r="G89" i="74"/>
  <c r="J72" i="74"/>
  <c r="G72" i="74"/>
  <c r="M72" i="74"/>
  <c r="M72" i="77" s="1"/>
  <c r="O72" i="77" s="1"/>
  <c r="P72" i="74"/>
  <c r="V72" i="74"/>
  <c r="V72" i="77" s="1"/>
  <c r="X72" i="77" s="1"/>
  <c r="S72" i="74"/>
  <c r="S72" i="77" s="1"/>
  <c r="U72" i="77" s="1"/>
  <c r="P84" i="74"/>
  <c r="V84" i="74"/>
  <c r="V84" i="77" s="1"/>
  <c r="X84" i="77" s="1"/>
  <c r="J84" i="74"/>
  <c r="S84" i="74"/>
  <c r="S84" i="77" s="1"/>
  <c r="U84" i="77" s="1"/>
  <c r="G84" i="74"/>
  <c r="M84" i="74"/>
  <c r="M84" i="77" s="1"/>
  <c r="O84" i="77" s="1"/>
  <c r="V66" i="74"/>
  <c r="V66" i="77" s="1"/>
  <c r="X66" i="77" s="1"/>
  <c r="S66" i="74"/>
  <c r="S66" i="77" s="1"/>
  <c r="U66" i="77" s="1"/>
  <c r="G66" i="74"/>
  <c r="J66" i="74"/>
  <c r="P66" i="74"/>
  <c r="M66" i="74"/>
  <c r="M66" i="77" s="1"/>
  <c r="O66" i="77" s="1"/>
  <c r="V40" i="74"/>
  <c r="V40" i="77" s="1"/>
  <c r="X40" i="77" s="1"/>
  <c r="M40" i="74"/>
  <c r="M40" i="77" s="1"/>
  <c r="O40" i="77" s="1"/>
  <c r="S40" i="74"/>
  <c r="G40" i="74"/>
  <c r="P40" i="74"/>
  <c r="P40" i="77" s="1"/>
  <c r="R40" i="77" s="1"/>
  <c r="J40" i="74"/>
  <c r="V61" i="74"/>
  <c r="V61" i="77" s="1"/>
  <c r="X61" i="77" s="1"/>
  <c r="J61" i="74"/>
  <c r="J61" i="77" s="1"/>
  <c r="M61" i="74"/>
  <c r="M61" i="77" s="1"/>
  <c r="O61" i="77" s="1"/>
  <c r="S61" i="74"/>
  <c r="S61" i="77" s="1"/>
  <c r="U61" i="77" s="1"/>
  <c r="G61" i="74"/>
  <c r="G61" i="77" s="1"/>
  <c r="P61" i="74"/>
  <c r="P61" i="77" s="1"/>
  <c r="S71" i="74"/>
  <c r="S71" i="77" s="1"/>
  <c r="U71" i="77" s="1"/>
  <c r="P71" i="74"/>
  <c r="M71" i="74"/>
  <c r="M71" i="77" s="1"/>
  <c r="O71" i="77" s="1"/>
  <c r="G71" i="74"/>
  <c r="J71" i="74"/>
  <c r="V71" i="74"/>
  <c r="V71" i="77" s="1"/>
  <c r="X71" i="77" s="1"/>
  <c r="V135" i="74"/>
  <c r="V135" i="77" s="1"/>
  <c r="X135" i="77" s="1"/>
  <c r="J135" i="74"/>
  <c r="M135" i="74"/>
  <c r="M135" i="77" s="1"/>
  <c r="O135" i="77" s="1"/>
  <c r="P135" i="74"/>
  <c r="S135" i="74"/>
  <c r="S135" i="77" s="1"/>
  <c r="U135" i="77" s="1"/>
  <c r="G135" i="74"/>
  <c r="V57" i="74"/>
  <c r="V57" i="77" s="1"/>
  <c r="X57" i="77" s="1"/>
  <c r="S57" i="74"/>
  <c r="S57" i="77" s="1"/>
  <c r="U57" i="77" s="1"/>
  <c r="P57" i="74"/>
  <c r="P57" i="77" s="1"/>
  <c r="M57" i="74"/>
  <c r="M57" i="77" s="1"/>
  <c r="O57" i="77" s="1"/>
  <c r="G57" i="74"/>
  <c r="G57" i="77" s="1"/>
  <c r="J57" i="74"/>
  <c r="J57" i="77" s="1"/>
  <c r="C159" i="41"/>
  <c r="D39" i="41"/>
  <c r="H39" i="40"/>
  <c r="D48" i="41"/>
  <c r="H48" i="40"/>
  <c r="D56" i="41"/>
  <c r="H56" i="40"/>
  <c r="D78" i="41"/>
  <c r="H78" i="40"/>
  <c r="F166" i="40" s="1"/>
  <c r="I166" i="40" s="1"/>
  <c r="D65" i="41"/>
  <c r="H65" i="40"/>
  <c r="I27" i="41"/>
  <c r="K27" i="40"/>
  <c r="F154" i="40"/>
  <c r="I154" i="40" s="1"/>
  <c r="D60" i="41"/>
  <c r="H60" i="40"/>
  <c r="I82" i="41"/>
  <c r="K82" i="41" s="1"/>
  <c r="M82" i="40"/>
  <c r="K82" i="40"/>
  <c r="D134" i="41"/>
  <c r="H134" i="40"/>
  <c r="CP93" i="10"/>
  <c r="U93" i="10"/>
  <c r="AA93" i="10"/>
  <c r="CP94" i="10"/>
  <c r="AA94" i="10"/>
  <c r="U94" i="10"/>
  <c r="D83" i="41"/>
  <c r="H83" i="40"/>
  <c r="F167" i="40" s="1"/>
  <c r="I167" i="40" s="1"/>
  <c r="D127" i="41"/>
  <c r="H127" i="40"/>
  <c r="I57" i="41"/>
  <c r="K57" i="40"/>
  <c r="I42" i="41"/>
  <c r="K42" i="41" s="1"/>
  <c r="M42" i="40"/>
  <c r="K42" i="40"/>
  <c r="I77" i="41"/>
  <c r="K77" i="41" s="1"/>
  <c r="M77" i="40"/>
  <c r="K77" i="40"/>
  <c r="M72" i="40"/>
  <c r="D71" i="41"/>
  <c r="H71" i="40"/>
  <c r="D70" i="41"/>
  <c r="H70" i="40"/>
  <c r="D88" i="41"/>
  <c r="H88" i="40"/>
  <c r="I72" i="41"/>
  <c r="K72" i="41" s="1"/>
  <c r="K72" i="40"/>
  <c r="AB116" i="25"/>
  <c r="AA116" i="25"/>
  <c r="AB90" i="25"/>
  <c r="AA90" i="25"/>
  <c r="AB110" i="25"/>
  <c r="AA110" i="25"/>
  <c r="AB71" i="25"/>
  <c r="AA71" i="25"/>
  <c r="AB36" i="25"/>
  <c r="AA36" i="25"/>
  <c r="AB55" i="25"/>
  <c r="AA55" i="25"/>
  <c r="AB104" i="25"/>
  <c r="AA104" i="25"/>
  <c r="AB76" i="25"/>
  <c r="AA76" i="25"/>
  <c r="AB96" i="25"/>
  <c r="AA96" i="25"/>
  <c r="Y54" i="10"/>
  <c r="AE54" i="10"/>
  <c r="CM177" i="10"/>
  <c r="S177" i="10" s="1"/>
  <c r="S54" i="10"/>
  <c r="U89" i="24"/>
  <c r="AT177" i="2"/>
  <c r="AV177" i="2" s="1"/>
  <c r="CH56" i="10"/>
  <c r="DG57" i="20"/>
  <c r="DF57" i="20"/>
  <c r="DB57" i="20"/>
  <c r="DE57" i="20"/>
  <c r="DC57" i="20"/>
  <c r="DA57" i="20"/>
  <c r="DD57" i="20"/>
  <c r="CH58" i="10"/>
  <c r="U58" i="10" s="1"/>
  <c r="DG59" i="20"/>
  <c r="DD59" i="20"/>
  <c r="DE59" i="20"/>
  <c r="DF59" i="20"/>
  <c r="DC59" i="20"/>
  <c r="DB59" i="20"/>
  <c r="DA59" i="20"/>
  <c r="DF177" i="20"/>
  <c r="DF173" i="20" s="1"/>
  <c r="DB177" i="20"/>
  <c r="DB173" i="20" s="1"/>
  <c r="DG177" i="20"/>
  <c r="DG173" i="20" s="1"/>
  <c r="DE177" i="20"/>
  <c r="DE173" i="20" s="1"/>
  <c r="DA177" i="20"/>
  <c r="DA173" i="20" s="1"/>
  <c r="DD177" i="20"/>
  <c r="DD173" i="20" s="1"/>
  <c r="DC177" i="20"/>
  <c r="DC173" i="20" s="1"/>
  <c r="CH63" i="10"/>
  <c r="U63" i="10" s="1"/>
  <c r="DG64" i="20"/>
  <c r="DD64" i="20"/>
  <c r="DB64" i="20"/>
  <c r="DE64" i="20"/>
  <c r="DC64" i="20"/>
  <c r="DF64" i="20"/>
  <c r="DA64" i="20"/>
  <c r="CH67" i="10"/>
  <c r="CN56" i="10" s="1"/>
  <c r="DG68" i="20"/>
  <c r="DC68" i="20"/>
  <c r="DF68" i="20"/>
  <c r="DB68" i="20"/>
  <c r="DD68" i="20"/>
  <c r="DA68" i="20"/>
  <c r="DE68" i="20"/>
  <c r="CH79" i="10"/>
  <c r="CK79" i="10" s="1"/>
  <c r="CL79" i="10" s="1"/>
  <c r="DG80" i="20"/>
  <c r="DC80" i="20"/>
  <c r="DF80" i="20"/>
  <c r="DB80" i="20"/>
  <c r="DE80" i="20"/>
  <c r="DD80" i="20"/>
  <c r="DA80" i="20"/>
  <c r="CH80" i="10"/>
  <c r="DE81" i="20"/>
  <c r="DA81" i="20"/>
  <c r="DD81" i="20"/>
  <c r="DF81" i="20"/>
  <c r="DG81" i="20"/>
  <c r="DB81" i="20"/>
  <c r="DC81" i="20"/>
  <c r="DG94" i="20"/>
  <c r="DE94" i="20"/>
  <c r="DA94" i="20"/>
  <c r="DD94" i="20"/>
  <c r="DF94" i="20"/>
  <c r="DC94" i="20"/>
  <c r="DB94" i="20"/>
  <c r="DG95" i="20"/>
  <c r="DC95" i="20"/>
  <c r="DF95" i="20"/>
  <c r="DB95" i="20"/>
  <c r="DE95" i="20"/>
  <c r="DD95" i="20"/>
  <c r="DA95" i="20"/>
  <c r="DF165" i="20"/>
  <c r="DB165" i="20"/>
  <c r="DE165" i="20"/>
  <c r="DA165" i="20"/>
  <c r="DD165" i="20"/>
  <c r="DG165" i="20"/>
  <c r="DC165" i="20"/>
  <c r="DE88" i="20"/>
  <c r="DA88" i="20"/>
  <c r="DD88" i="20"/>
  <c r="DF88" i="20"/>
  <c r="DB88" i="20"/>
  <c r="DG88" i="20"/>
  <c r="DC88" i="20"/>
  <c r="CH74" i="10"/>
  <c r="CJ74" i="10" s="1"/>
  <c r="DG75" i="20"/>
  <c r="DC75" i="20"/>
  <c r="DF75" i="20"/>
  <c r="DB75" i="20"/>
  <c r="DA75" i="20"/>
  <c r="DE75" i="20"/>
  <c r="DD75" i="20"/>
  <c r="DC105" i="20"/>
  <c r="DE105" i="20"/>
  <c r="DD105" i="20"/>
  <c r="DF105" i="20"/>
  <c r="DB105" i="20"/>
  <c r="DG105" i="20"/>
  <c r="DA105" i="20"/>
  <c r="DE111" i="20"/>
  <c r="DA111" i="20"/>
  <c r="DG111" i="20"/>
  <c r="DD111" i="20"/>
  <c r="DC111" i="20"/>
  <c r="DF111" i="20"/>
  <c r="DB111" i="20"/>
  <c r="DC117" i="20"/>
  <c r="DE117" i="20"/>
  <c r="DG117" i="20"/>
  <c r="DF117" i="20"/>
  <c r="DB117" i="20"/>
  <c r="DA117" i="20"/>
  <c r="DD117" i="20"/>
  <c r="R74" i="10"/>
  <c r="U79" i="10"/>
  <c r="T79" i="10"/>
  <c r="S79" i="10"/>
  <c r="Q74" i="10"/>
  <c r="V79" i="10"/>
  <c r="Q79" i="10"/>
  <c r="R79" i="10"/>
  <c r="CK88" i="20"/>
  <c r="CG88" i="20"/>
  <c r="CJ88" i="20"/>
  <c r="CM88" i="20"/>
  <c r="CI88" i="20"/>
  <c r="CH88" i="20"/>
  <c r="CL88" i="20"/>
  <c r="BR88" i="20"/>
  <c r="BN88" i="20"/>
  <c r="AX88" i="20"/>
  <c r="AT88" i="20"/>
  <c r="AD88" i="20"/>
  <c r="Z88" i="20"/>
  <c r="BO88" i="20"/>
  <c r="AE88" i="20"/>
  <c r="BQ88" i="20"/>
  <c r="BM88" i="20"/>
  <c r="AW88" i="20"/>
  <c r="AS88" i="20"/>
  <c r="AC88" i="20"/>
  <c r="Y88" i="20"/>
  <c r="Y86" i="20" s="1"/>
  <c r="AY88" i="20"/>
  <c r="BP88" i="20"/>
  <c r="AV88" i="20"/>
  <c r="AB88" i="20"/>
  <c r="BS88" i="20"/>
  <c r="AU88" i="20"/>
  <c r="AA88" i="20"/>
  <c r="CJ177" i="20"/>
  <c r="CJ173" i="20" s="1"/>
  <c r="BQ177" i="20"/>
  <c r="BQ173" i="20" s="1"/>
  <c r="BM177" i="20"/>
  <c r="BM173" i="20" s="1"/>
  <c r="AX177" i="20"/>
  <c r="AX173" i="20" s="1"/>
  <c r="AT177" i="20"/>
  <c r="AT173" i="20" s="1"/>
  <c r="AE177" i="20"/>
  <c r="AE173" i="20" s="1"/>
  <c r="AA177" i="20"/>
  <c r="AA173" i="20" s="1"/>
  <c r="CM177" i="20"/>
  <c r="CM173" i="20" s="1"/>
  <c r="CI177" i="20"/>
  <c r="CI173" i="20" s="1"/>
  <c r="BP177" i="20"/>
  <c r="BP173" i="20" s="1"/>
  <c r="AW177" i="20"/>
  <c r="AW173" i="20" s="1"/>
  <c r="AS177" i="20"/>
  <c r="AS173" i="20" s="1"/>
  <c r="AD177" i="20"/>
  <c r="AD173" i="20" s="1"/>
  <c r="Z177" i="20"/>
  <c r="Z173" i="20" s="1"/>
  <c r="CL177" i="20"/>
  <c r="CL173" i="20" s="1"/>
  <c r="CH177" i="20"/>
  <c r="CH173" i="20" s="1"/>
  <c r="BS177" i="20"/>
  <c r="BS173" i="20" s="1"/>
  <c r="BO177" i="20"/>
  <c r="BO173" i="20" s="1"/>
  <c r="AV177" i="20"/>
  <c r="AV173" i="20" s="1"/>
  <c r="AC177" i="20"/>
  <c r="AC173" i="20" s="1"/>
  <c r="Y177" i="20"/>
  <c r="Y173" i="20" s="1"/>
  <c r="CK177" i="20"/>
  <c r="CK173" i="20" s="1"/>
  <c r="BR177" i="20"/>
  <c r="BR173" i="20" s="1"/>
  <c r="AY177" i="20"/>
  <c r="AY173" i="20" s="1"/>
  <c r="AB177" i="20"/>
  <c r="AB173" i="20" s="1"/>
  <c r="CG177" i="20"/>
  <c r="CG173" i="20" s="1"/>
  <c r="BN177" i="20"/>
  <c r="BN173" i="20" s="1"/>
  <c r="AU177" i="20"/>
  <c r="AU173" i="20" s="1"/>
  <c r="CM57" i="20"/>
  <c r="CI57" i="20"/>
  <c r="CL57" i="20"/>
  <c r="CH57" i="20"/>
  <c r="CK57" i="20"/>
  <c r="CG57" i="20"/>
  <c r="CJ57" i="20"/>
  <c r="CJ59" i="20"/>
  <c r="CM59" i="20"/>
  <c r="CI59" i="20"/>
  <c r="CL59" i="20"/>
  <c r="CH59" i="20"/>
  <c r="CK59" i="20"/>
  <c r="CG59" i="20"/>
  <c r="BR59" i="20"/>
  <c r="BN59" i="20"/>
  <c r="AY59" i="20"/>
  <c r="AU59" i="20"/>
  <c r="AB59" i="20"/>
  <c r="BO59" i="20"/>
  <c r="AC59" i="20"/>
  <c r="BQ59" i="20"/>
  <c r="BM59" i="20"/>
  <c r="AX59" i="20"/>
  <c r="AT59" i="20"/>
  <c r="AE59" i="20"/>
  <c r="AA59" i="20"/>
  <c r="AV59" i="20"/>
  <c r="BP59" i="20"/>
  <c r="AW59" i="20"/>
  <c r="AS59" i="20"/>
  <c r="AD59" i="20"/>
  <c r="Z59" i="20"/>
  <c r="BS59" i="20"/>
  <c r="Y59" i="20"/>
  <c r="CL165" i="20"/>
  <c r="CH165" i="20"/>
  <c r="BS165" i="20"/>
  <c r="BS161" i="20" s="1"/>
  <c r="BO165" i="20"/>
  <c r="BO161" i="20" s="1"/>
  <c r="AX165" i="20"/>
  <c r="AX161" i="20" s="1"/>
  <c r="AT165" i="20"/>
  <c r="AT161" i="20" s="1"/>
  <c r="AC165" i="20"/>
  <c r="AC161" i="20" s="1"/>
  <c r="Y165" i="20"/>
  <c r="Y161" i="20" s="1"/>
  <c r="CK165" i="20"/>
  <c r="CG165" i="20"/>
  <c r="BR165" i="20"/>
  <c r="BR161" i="20" s="1"/>
  <c r="BN165" i="20"/>
  <c r="BN161" i="20" s="1"/>
  <c r="AW165" i="20"/>
  <c r="AW161" i="20" s="1"/>
  <c r="AS165" i="20"/>
  <c r="AS161" i="20" s="1"/>
  <c r="AB165" i="20"/>
  <c r="AB161" i="20" s="1"/>
  <c r="CJ165" i="20"/>
  <c r="BQ165" i="20"/>
  <c r="BQ161" i="20" s="1"/>
  <c r="BM165" i="20"/>
  <c r="BM161" i="20" s="1"/>
  <c r="AV165" i="20"/>
  <c r="AV161" i="20" s="1"/>
  <c r="AE165" i="20"/>
  <c r="AE161" i="20" s="1"/>
  <c r="AA165" i="20"/>
  <c r="AA161" i="20" s="1"/>
  <c r="CI165" i="20"/>
  <c r="Z165" i="20"/>
  <c r="Z161" i="20" s="1"/>
  <c r="CM165" i="20"/>
  <c r="AD165" i="20"/>
  <c r="AD161" i="20" s="1"/>
  <c r="AY165" i="20"/>
  <c r="AY161" i="20" s="1"/>
  <c r="BP165" i="20"/>
  <c r="BP161" i="20" s="1"/>
  <c r="AU165" i="20"/>
  <c r="AU161" i="20" s="1"/>
  <c r="CK64" i="20"/>
  <c r="CG64" i="20"/>
  <c r="BP64" i="20"/>
  <c r="AY64" i="20"/>
  <c r="AU64" i="20"/>
  <c r="AD64" i="20"/>
  <c r="Z64" i="20"/>
  <c r="CH64" i="20"/>
  <c r="AV64" i="20"/>
  <c r="CJ64" i="20"/>
  <c r="BS64" i="20"/>
  <c r="BO64" i="20"/>
  <c r="AX64" i="20"/>
  <c r="AT64" i="20"/>
  <c r="AC64" i="20"/>
  <c r="Y64" i="20"/>
  <c r="CL64" i="20"/>
  <c r="BQ64" i="20"/>
  <c r="AE64" i="20"/>
  <c r="CM64" i="20"/>
  <c r="CI64" i="20"/>
  <c r="BR64" i="20"/>
  <c r="BN64" i="20"/>
  <c r="AW64" i="20"/>
  <c r="AS64" i="20"/>
  <c r="AB64" i="20"/>
  <c r="BM64" i="20"/>
  <c r="AA64" i="20"/>
  <c r="CL68" i="20"/>
  <c r="CH68" i="20"/>
  <c r="CK68" i="20"/>
  <c r="CG68" i="20"/>
  <c r="CJ68" i="20"/>
  <c r="CM68" i="20"/>
  <c r="CI68" i="20"/>
  <c r="BR68" i="20"/>
  <c r="BN68" i="20"/>
  <c r="AX68" i="20"/>
  <c r="AT68" i="20"/>
  <c r="AD68" i="20"/>
  <c r="Z68" i="20"/>
  <c r="AY68" i="20"/>
  <c r="AE68" i="20"/>
  <c r="BQ68" i="20"/>
  <c r="BM68" i="20"/>
  <c r="AW68" i="20"/>
  <c r="AS68" i="20"/>
  <c r="AC68" i="20"/>
  <c r="Y68" i="20"/>
  <c r="BS68" i="20"/>
  <c r="BP68" i="20"/>
  <c r="AV68" i="20"/>
  <c r="AB68" i="20"/>
  <c r="BO68" i="20"/>
  <c r="AU68" i="20"/>
  <c r="AA68" i="20"/>
  <c r="CK80" i="20"/>
  <c r="CG80" i="20"/>
  <c r="CJ80" i="20"/>
  <c r="CM80" i="20"/>
  <c r="CI80" i="20"/>
  <c r="CL80" i="20"/>
  <c r="CH80" i="20"/>
  <c r="BS80" i="20"/>
  <c r="BO80" i="20"/>
  <c r="AW80" i="20"/>
  <c r="AS80" i="20"/>
  <c r="AE80" i="20"/>
  <c r="AA80" i="20"/>
  <c r="AT80" i="20"/>
  <c r="AB80" i="20"/>
  <c r="BR80" i="20"/>
  <c r="BN80" i="20"/>
  <c r="AV80" i="20"/>
  <c r="AD80" i="20"/>
  <c r="Z80" i="20"/>
  <c r="BQ80" i="20"/>
  <c r="BM80" i="20"/>
  <c r="AY80" i="20"/>
  <c r="AU80" i="20"/>
  <c r="AC80" i="20"/>
  <c r="Y80" i="20"/>
  <c r="BP80" i="20"/>
  <c r="AX80" i="20"/>
  <c r="CL81" i="20"/>
  <c r="CH81" i="20"/>
  <c r="CK81" i="20"/>
  <c r="CG81" i="20"/>
  <c r="CJ81" i="20"/>
  <c r="CM81" i="20"/>
  <c r="CI81" i="20"/>
  <c r="BP81" i="20"/>
  <c r="AX81" i="20"/>
  <c r="AT81" i="20"/>
  <c r="AB81" i="20"/>
  <c r="BQ81" i="20"/>
  <c r="AY81" i="20"/>
  <c r="BS81" i="20"/>
  <c r="BO81" i="20"/>
  <c r="AW81" i="20"/>
  <c r="AS81" i="20"/>
  <c r="AE81" i="20"/>
  <c r="AA81" i="20"/>
  <c r="BM81" i="20"/>
  <c r="AU81" i="20"/>
  <c r="Y81" i="20"/>
  <c r="BR81" i="20"/>
  <c r="BN81" i="20"/>
  <c r="AV81" i="20"/>
  <c r="AD81" i="20"/>
  <c r="Z81" i="20"/>
  <c r="AC81" i="20"/>
  <c r="CJ94" i="20"/>
  <c r="CM94" i="20"/>
  <c r="CI94" i="20"/>
  <c r="CL94" i="20"/>
  <c r="CH94" i="20"/>
  <c r="CK94" i="20"/>
  <c r="CG94" i="20"/>
  <c r="BP94" i="20"/>
  <c r="AY94" i="20"/>
  <c r="AU94" i="20"/>
  <c r="AD94" i="20"/>
  <c r="Z94" i="20"/>
  <c r="BM94" i="20"/>
  <c r="BS94" i="20"/>
  <c r="BO94" i="20"/>
  <c r="AX94" i="20"/>
  <c r="AT94" i="20"/>
  <c r="AC94" i="20"/>
  <c r="Y94" i="20"/>
  <c r="BQ94" i="20"/>
  <c r="AV94" i="20"/>
  <c r="AA94" i="20"/>
  <c r="BR94" i="20"/>
  <c r="BN94" i="20"/>
  <c r="AW94" i="20"/>
  <c r="AS94" i="20"/>
  <c r="AB94" i="20"/>
  <c r="AE94" i="20"/>
  <c r="CK95" i="20"/>
  <c r="CG95" i="20"/>
  <c r="CJ95" i="20"/>
  <c r="CM95" i="20"/>
  <c r="CI95" i="20"/>
  <c r="CL95" i="20"/>
  <c r="CH95" i="20"/>
  <c r="BQ95" i="20"/>
  <c r="BM95" i="20"/>
  <c r="AV95" i="20"/>
  <c r="AE95" i="20"/>
  <c r="AA95" i="20"/>
  <c r="BN95" i="20"/>
  <c r="AW95" i="20"/>
  <c r="AB95" i="20"/>
  <c r="BP95" i="20"/>
  <c r="AY95" i="20"/>
  <c r="AU95" i="20"/>
  <c r="AD95" i="20"/>
  <c r="Z95" i="20"/>
  <c r="BS95" i="20"/>
  <c r="BO95" i="20"/>
  <c r="AX95" i="20"/>
  <c r="AT95" i="20"/>
  <c r="AC95" i="20"/>
  <c r="Y95" i="20"/>
  <c r="BR95" i="20"/>
  <c r="AS95" i="20"/>
  <c r="CM75" i="20"/>
  <c r="CI75" i="20"/>
  <c r="CL75" i="20"/>
  <c r="CH75" i="20"/>
  <c r="CK75" i="20"/>
  <c r="CG75" i="20"/>
  <c r="CJ75" i="20"/>
  <c r="BP75" i="20"/>
  <c r="AW75" i="20"/>
  <c r="AS75" i="20"/>
  <c r="AD75" i="20"/>
  <c r="Z75" i="20"/>
  <c r="BQ75" i="20"/>
  <c r="AT75" i="20"/>
  <c r="AA75" i="20"/>
  <c r="BS75" i="20"/>
  <c r="BO75" i="20"/>
  <c r="AV75" i="20"/>
  <c r="AC75" i="20"/>
  <c r="Y75" i="20"/>
  <c r="BM75" i="20"/>
  <c r="BR75" i="20"/>
  <c r="BN75" i="20"/>
  <c r="AY75" i="20"/>
  <c r="AU75" i="20"/>
  <c r="AB75" i="20"/>
  <c r="AX75" i="20"/>
  <c r="AE75" i="20"/>
  <c r="CM105" i="20"/>
  <c r="CI105" i="20"/>
  <c r="CL105" i="20"/>
  <c r="CH105" i="20"/>
  <c r="CK105" i="20"/>
  <c r="CG105" i="20"/>
  <c r="BP105" i="20"/>
  <c r="AV105" i="20"/>
  <c r="AB105" i="20"/>
  <c r="BS105" i="20"/>
  <c r="AY105" i="20"/>
  <c r="AE105" i="20"/>
  <c r="BQ105" i="20"/>
  <c r="AS105" i="20"/>
  <c r="AC105" i="20"/>
  <c r="BO105" i="20"/>
  <c r="AU105" i="20"/>
  <c r="AA105" i="20"/>
  <c r="AW105" i="20"/>
  <c r="Y105" i="20"/>
  <c r="CJ105" i="20"/>
  <c r="BR105" i="20"/>
  <c r="BN105" i="20"/>
  <c r="AX105" i="20"/>
  <c r="AT105" i="20"/>
  <c r="AD105" i="20"/>
  <c r="Z105" i="20"/>
  <c r="BM105" i="20"/>
  <c r="CL111" i="20"/>
  <c r="CH111" i="20"/>
  <c r="CK111" i="20"/>
  <c r="CG111" i="20"/>
  <c r="CJ111" i="20"/>
  <c r="CI111" i="20"/>
  <c r="AB111" i="20"/>
  <c r="AV111" i="20"/>
  <c r="AC111" i="20"/>
  <c r="AS111" i="20"/>
  <c r="AE111" i="20"/>
  <c r="Y111" i="20"/>
  <c r="AW111" i="20"/>
  <c r="AU111" i="20"/>
  <c r="Z111" i="20"/>
  <c r="AD111" i="20"/>
  <c r="AT111" i="20"/>
  <c r="AX111" i="20"/>
  <c r="CM111" i="20"/>
  <c r="AA111" i="20"/>
  <c r="AY111" i="20"/>
  <c r="CL117" i="20"/>
  <c r="CH117" i="20"/>
  <c r="CK117" i="20"/>
  <c r="CG117" i="20"/>
  <c r="CJ117" i="20"/>
  <c r="BP117" i="20"/>
  <c r="BM117" i="20"/>
  <c r="BQ117" i="20"/>
  <c r="BO117" i="20"/>
  <c r="CM117" i="20"/>
  <c r="BN117" i="20"/>
  <c r="BR117" i="20"/>
  <c r="CI117" i="20"/>
  <c r="BS117" i="20"/>
  <c r="BR57" i="20"/>
  <c r="BN57" i="20"/>
  <c r="AW57" i="20"/>
  <c r="AS57" i="20"/>
  <c r="AB57" i="20"/>
  <c r="BS57" i="20"/>
  <c r="AC57" i="20"/>
  <c r="BQ57" i="20"/>
  <c r="BM57" i="20"/>
  <c r="AV57" i="20"/>
  <c r="AE57" i="20"/>
  <c r="AA57" i="20"/>
  <c r="BO57" i="20"/>
  <c r="BP57" i="20"/>
  <c r="AY57" i="20"/>
  <c r="AU57" i="20"/>
  <c r="AD57" i="20"/>
  <c r="Z57" i="20"/>
  <c r="AX57" i="20"/>
  <c r="AT57" i="20"/>
  <c r="Y57" i="20"/>
  <c r="U109" i="24"/>
  <c r="U103" i="24"/>
  <c r="U115" i="24"/>
  <c r="BS111" i="20"/>
  <c r="BO111" i="20"/>
  <c r="BR111" i="20"/>
  <c r="BN111" i="20"/>
  <c r="BQ111" i="20"/>
  <c r="BM111" i="20"/>
  <c r="BP111" i="20"/>
  <c r="AV117" i="20"/>
  <c r="AE117" i="20"/>
  <c r="AA117" i="20"/>
  <c r="AC117" i="20"/>
  <c r="AW117" i="20"/>
  <c r="AY117" i="20"/>
  <c r="AU117" i="20"/>
  <c r="AD117" i="20"/>
  <c r="Z117" i="20"/>
  <c r="AX117" i="20"/>
  <c r="AT117" i="20"/>
  <c r="Y117" i="20"/>
  <c r="AS117" i="20"/>
  <c r="AB117" i="20"/>
  <c r="R56" i="24"/>
  <c r="U56" i="24" s="1"/>
  <c r="R94" i="24"/>
  <c r="U94" i="24" s="1"/>
  <c r="R116" i="24"/>
  <c r="B51" i="10"/>
  <c r="C52" i="38"/>
  <c r="R58" i="24"/>
  <c r="U58" i="24" s="1"/>
  <c r="B63" i="10"/>
  <c r="C64" i="38"/>
  <c r="D64" i="20"/>
  <c r="B93" i="10"/>
  <c r="C94" i="38"/>
  <c r="B110" i="10"/>
  <c r="C111" i="38"/>
  <c r="B139" i="10"/>
  <c r="C140" i="38"/>
  <c r="C144" i="38"/>
  <c r="R150" i="24"/>
  <c r="U150" i="24" s="1"/>
  <c r="R156" i="24"/>
  <c r="B164" i="10"/>
  <c r="C171" i="38"/>
  <c r="B74" i="10"/>
  <c r="C75" i="38"/>
  <c r="R87" i="24"/>
  <c r="U87" i="24" s="1"/>
  <c r="C143" i="38"/>
  <c r="B177" i="10"/>
  <c r="C183" i="38"/>
  <c r="B46" i="10"/>
  <c r="C47" i="38"/>
  <c r="R74" i="24"/>
  <c r="U74" i="24" s="1"/>
  <c r="B87" i="10"/>
  <c r="C88" i="38"/>
  <c r="R104" i="24"/>
  <c r="U104" i="24" s="1"/>
  <c r="C141" i="38"/>
  <c r="S55" i="38"/>
  <c r="B80" i="10"/>
  <c r="B104" i="10"/>
  <c r="C105" i="38"/>
  <c r="R110" i="24"/>
  <c r="B138" i="10"/>
  <c r="C139" i="38"/>
  <c r="R79" i="24"/>
  <c r="U79" i="24" s="1"/>
  <c r="R80" i="24"/>
  <c r="U80" i="24" s="1"/>
  <c r="B94" i="10"/>
  <c r="C95" i="38"/>
  <c r="B116" i="10"/>
  <c r="C117" i="38"/>
  <c r="R176" i="24"/>
  <c r="U176" i="24" s="1"/>
  <c r="R63" i="24"/>
  <c r="U63" i="24" s="1"/>
  <c r="B79" i="10"/>
  <c r="C80" i="38"/>
  <c r="C142" i="38"/>
  <c r="R164" i="24"/>
  <c r="U164" i="24" s="1"/>
  <c r="R67" i="24"/>
  <c r="U67" i="24" s="1"/>
  <c r="R93" i="24"/>
  <c r="U93" i="24" s="1"/>
  <c r="AF104" i="23"/>
  <c r="R56" i="26"/>
  <c r="R67" i="26"/>
  <c r="R87" i="26"/>
  <c r="R93" i="26"/>
  <c r="R94" i="26"/>
  <c r="R110" i="26"/>
  <c r="R116" i="26"/>
  <c r="R164" i="26"/>
  <c r="R58" i="26"/>
  <c r="R150" i="26"/>
  <c r="CJ141" i="20"/>
  <c r="CM141" i="20"/>
  <c r="CI141" i="20"/>
  <c r="CL141" i="20"/>
  <c r="CH141" i="20"/>
  <c r="BS151" i="20"/>
  <c r="BO151" i="20"/>
  <c r="CG141" i="20"/>
  <c r="BR151" i="20"/>
  <c r="BN151" i="20"/>
  <c r="BP151" i="20"/>
  <c r="CK141" i="20"/>
  <c r="BQ151" i="20"/>
  <c r="BM151" i="20"/>
  <c r="R156" i="26"/>
  <c r="R63" i="26"/>
  <c r="R74" i="26"/>
  <c r="R80" i="26"/>
  <c r="V80" i="26" s="1"/>
  <c r="R104" i="26"/>
  <c r="R176" i="26"/>
  <c r="AF80" i="23"/>
  <c r="AJ88" i="2"/>
  <c r="AO88" i="2"/>
  <c r="AN88" i="2"/>
  <c r="AP88" i="2"/>
  <c r="AL88" i="2"/>
  <c r="W88" i="25"/>
  <c r="D92" i="28"/>
  <c r="D93" i="27"/>
  <c r="D93" i="26"/>
  <c r="D94" i="25"/>
  <c r="D93" i="24"/>
  <c r="D93" i="23"/>
  <c r="AJ94" i="2"/>
  <c r="AN94" i="2"/>
  <c r="AP94" i="2"/>
  <c r="AO94" i="2"/>
  <c r="AL94" i="2"/>
  <c r="W94" i="25"/>
  <c r="AM95" i="2"/>
  <c r="AP95" i="2"/>
  <c r="AL95" i="2"/>
  <c r="AO95" i="2"/>
  <c r="W95" i="25"/>
  <c r="AJ95" i="2"/>
  <c r="D109" i="28"/>
  <c r="D110" i="27"/>
  <c r="D110" i="26"/>
  <c r="D111" i="25"/>
  <c r="D110" i="24"/>
  <c r="D110" i="23"/>
  <c r="AJ111" i="2"/>
  <c r="AL111" i="2"/>
  <c r="AO111" i="2"/>
  <c r="AP111" i="2"/>
  <c r="W111" i="25"/>
  <c r="AM117" i="2"/>
  <c r="AM114" i="2" s="1"/>
  <c r="E21" i="19" s="1"/>
  <c r="AP117" i="2"/>
  <c r="AP114" i="2" s="1"/>
  <c r="H21" i="19" s="1"/>
  <c r="AL117" i="2"/>
  <c r="AL114" i="2" s="1"/>
  <c r="D21" i="19" s="1"/>
  <c r="AO117" i="2"/>
  <c r="AO114" i="2" s="1"/>
  <c r="G21" i="19" s="1"/>
  <c r="W117" i="25"/>
  <c r="AJ117" i="2"/>
  <c r="D138" i="28"/>
  <c r="D139" i="27"/>
  <c r="D139" i="26"/>
  <c r="D140" i="25"/>
  <c r="D139" i="24"/>
  <c r="D139" i="23"/>
  <c r="D163" i="28"/>
  <c r="D164" i="27"/>
  <c r="D164" i="26"/>
  <c r="D165" i="25"/>
  <c r="D164" i="24"/>
  <c r="D164" i="23"/>
  <c r="AF176" i="23"/>
  <c r="D50" i="28"/>
  <c r="D51" i="27"/>
  <c r="D51" i="26"/>
  <c r="D52" i="25"/>
  <c r="D51" i="24"/>
  <c r="D51" i="23"/>
  <c r="D45" i="28"/>
  <c r="D46" i="27"/>
  <c r="D46" i="26"/>
  <c r="D47" i="25"/>
  <c r="D46" i="24"/>
  <c r="D46" i="23"/>
  <c r="AF63" i="23"/>
  <c r="D93" i="28"/>
  <c r="D94" i="27"/>
  <c r="D94" i="26"/>
  <c r="D95" i="25"/>
  <c r="D94" i="24"/>
  <c r="D94" i="23"/>
  <c r="AP151" i="2"/>
  <c r="AL151" i="2"/>
  <c r="AN151" i="2"/>
  <c r="AO151" i="2"/>
  <c r="W151" i="25"/>
  <c r="AJ151" i="2"/>
  <c r="AJ157" i="2"/>
  <c r="AP157" i="2"/>
  <c r="AO157" i="2"/>
  <c r="AM157" i="2"/>
  <c r="AN157" i="2"/>
  <c r="W157" i="25"/>
  <c r="AJ57" i="2"/>
  <c r="AP57" i="2"/>
  <c r="AO57" i="2"/>
  <c r="W57" i="25"/>
  <c r="AJ59" i="2"/>
  <c r="AO59" i="2"/>
  <c r="AN59" i="2"/>
  <c r="AP59" i="2"/>
  <c r="AL59" i="2"/>
  <c r="W59" i="25"/>
  <c r="D86" i="28"/>
  <c r="D87" i="27"/>
  <c r="D87" i="26"/>
  <c r="D88" i="25"/>
  <c r="D87" i="24"/>
  <c r="D87" i="23"/>
  <c r="AF56" i="23"/>
  <c r="AF67" i="23"/>
  <c r="AJ75" i="2"/>
  <c r="AP75" i="2"/>
  <c r="AL75" i="2"/>
  <c r="AM75" i="2"/>
  <c r="W75" i="25"/>
  <c r="D78" i="28"/>
  <c r="D79" i="27"/>
  <c r="D79" i="26"/>
  <c r="D80" i="25"/>
  <c r="D79" i="24"/>
  <c r="D79" i="23"/>
  <c r="AP80" i="2"/>
  <c r="H15" i="19" s="1"/>
  <c r="AL80" i="2"/>
  <c r="AM80" i="2"/>
  <c r="E15" i="19" s="1"/>
  <c r="W80" i="25"/>
  <c r="AJ80" i="2"/>
  <c r="AJ81" i="2"/>
  <c r="AO81" i="2"/>
  <c r="AN81" i="2"/>
  <c r="AL81" i="2"/>
  <c r="AP81" i="2"/>
  <c r="W81" i="25"/>
  <c r="AF87" i="23"/>
  <c r="AF93" i="23"/>
  <c r="AF94" i="23"/>
  <c r="AJ105" i="2"/>
  <c r="AO105" i="2"/>
  <c r="AL105" i="2"/>
  <c r="AP105" i="2"/>
  <c r="W105" i="25"/>
  <c r="AF110" i="23"/>
  <c r="AP177" i="2"/>
  <c r="AP173" i="2" s="1"/>
  <c r="AL177" i="2"/>
  <c r="AL173" i="2" s="1"/>
  <c r="AO177" i="2"/>
  <c r="AN177" i="2"/>
  <c r="W177" i="25"/>
  <c r="AJ177" i="2"/>
  <c r="D62" i="28"/>
  <c r="D63" i="27"/>
  <c r="D63" i="26"/>
  <c r="D64" i="25"/>
  <c r="D63" i="24"/>
  <c r="D63" i="23"/>
  <c r="AM68" i="2"/>
  <c r="AP68" i="2"/>
  <c r="AO68" i="2"/>
  <c r="AL68" i="2"/>
  <c r="W68" i="25"/>
  <c r="AJ68" i="2"/>
  <c r="AF58" i="23"/>
  <c r="AP64" i="2"/>
  <c r="AO64" i="2"/>
  <c r="AN64" i="2"/>
  <c r="AL64" i="2"/>
  <c r="W64" i="25"/>
  <c r="AJ64" i="2"/>
  <c r="D73" i="28"/>
  <c r="D74" i="27"/>
  <c r="D74" i="26"/>
  <c r="D75" i="25"/>
  <c r="D74" i="24"/>
  <c r="D74" i="23"/>
  <c r="D79" i="28"/>
  <c r="D80" i="27"/>
  <c r="D80" i="26"/>
  <c r="D81" i="25"/>
  <c r="D80" i="24"/>
  <c r="D80" i="23"/>
  <c r="R79" i="26"/>
  <c r="D103" i="28"/>
  <c r="D104" i="27"/>
  <c r="D104" i="26"/>
  <c r="D105" i="25"/>
  <c r="D104" i="24"/>
  <c r="D104" i="23"/>
  <c r="D137" i="28"/>
  <c r="D138" i="27"/>
  <c r="D138" i="26"/>
  <c r="D139" i="25"/>
  <c r="D138" i="24"/>
  <c r="D138" i="23"/>
  <c r="AF150" i="23"/>
  <c r="AF156" i="23"/>
  <c r="AM165" i="2"/>
  <c r="AO165" i="2"/>
  <c r="AL165" i="2"/>
  <c r="AL161" i="2" s="1"/>
  <c r="AP165" i="2"/>
  <c r="W165" i="25"/>
  <c r="AJ165" i="2"/>
  <c r="D175" i="28"/>
  <c r="D176" i="27"/>
  <c r="D176" i="26"/>
  <c r="D176" i="24"/>
  <c r="D177" i="25"/>
  <c r="D176" i="23"/>
  <c r="D115" i="28"/>
  <c r="D116" i="26"/>
  <c r="D117" i="25"/>
  <c r="D116" i="24"/>
  <c r="D116" i="27"/>
  <c r="D116" i="23"/>
  <c r="C62" i="11"/>
  <c r="C92" i="11"/>
  <c r="D94" i="20"/>
  <c r="C109" i="11"/>
  <c r="D111" i="20"/>
  <c r="C138" i="11"/>
  <c r="D140" i="20"/>
  <c r="C163" i="11"/>
  <c r="D165" i="20"/>
  <c r="D88" i="20"/>
  <c r="C86" i="11"/>
  <c r="C93" i="11"/>
  <c r="D95" i="20"/>
  <c r="C115" i="11"/>
  <c r="D117" i="20"/>
  <c r="D80" i="20"/>
  <c r="C78" i="11"/>
  <c r="D75" i="20"/>
  <c r="C73" i="11"/>
  <c r="D81" i="20"/>
  <c r="C79" i="11"/>
  <c r="D105" i="20"/>
  <c r="C103" i="11"/>
  <c r="D139" i="20"/>
  <c r="C137" i="11"/>
  <c r="D177" i="20"/>
  <c r="C175" i="11"/>
  <c r="D52" i="20"/>
  <c r="C50" i="11"/>
  <c r="D47" i="20"/>
  <c r="C45" i="11"/>
  <c r="I135" i="74" l="1"/>
  <c r="G135" i="77"/>
  <c r="L135" i="74"/>
  <c r="J135" i="77"/>
  <c r="I71" i="74"/>
  <c r="G71" i="77"/>
  <c r="I40" i="74"/>
  <c r="G40" i="77"/>
  <c r="I72" i="74"/>
  <c r="G72" i="77"/>
  <c r="O79" i="74"/>
  <c r="M79" i="77"/>
  <c r="L49" i="74"/>
  <c r="J49" i="77"/>
  <c r="R49" i="74"/>
  <c r="P49" i="77"/>
  <c r="U40" i="74"/>
  <c r="S40" i="77"/>
  <c r="R66" i="74"/>
  <c r="P66" i="77"/>
  <c r="L84" i="74"/>
  <c r="J84" i="77"/>
  <c r="L72" i="74"/>
  <c r="J72" i="77"/>
  <c r="R89" i="74"/>
  <c r="P89" i="77"/>
  <c r="L79" i="74"/>
  <c r="J79" i="77"/>
  <c r="X49" i="74"/>
  <c r="V49" i="77"/>
  <c r="X49" i="77" s="1"/>
  <c r="R135" i="74"/>
  <c r="P135" i="77"/>
  <c r="R71" i="74"/>
  <c r="P71" i="77"/>
  <c r="L40" i="74"/>
  <c r="J40" i="77"/>
  <c r="L66" i="74"/>
  <c r="J66" i="77"/>
  <c r="R72" i="74"/>
  <c r="P72" i="77"/>
  <c r="I89" i="74"/>
  <c r="G89" i="77"/>
  <c r="I79" i="74"/>
  <c r="G79" i="77"/>
  <c r="R128" i="74"/>
  <c r="P128" i="77"/>
  <c r="L71" i="74"/>
  <c r="J71" i="77"/>
  <c r="I66" i="74"/>
  <c r="G66" i="77"/>
  <c r="I84" i="74"/>
  <c r="G84" i="77"/>
  <c r="R84" i="74"/>
  <c r="P84" i="77"/>
  <c r="O89" i="74"/>
  <c r="M89" i="77"/>
  <c r="L89" i="74"/>
  <c r="J89" i="77"/>
  <c r="R79" i="74"/>
  <c r="P79" i="77"/>
  <c r="I128" i="74"/>
  <c r="G128" i="77"/>
  <c r="L128" i="74"/>
  <c r="J128" i="77"/>
  <c r="I49" i="74"/>
  <c r="G49" i="77"/>
  <c r="I127" i="41"/>
  <c r="K127" i="41" s="1"/>
  <c r="C167" i="41" s="1"/>
  <c r="M127" i="40"/>
  <c r="K127" i="40"/>
  <c r="F174" i="40"/>
  <c r="I174" i="40" s="1"/>
  <c r="I78" i="41"/>
  <c r="K78" i="41" s="1"/>
  <c r="C165" i="41" s="1"/>
  <c r="M78" i="40"/>
  <c r="K78" i="40"/>
  <c r="I48" i="41"/>
  <c r="K48" i="41" s="1"/>
  <c r="C156" i="41" s="1"/>
  <c r="M48" i="40"/>
  <c r="K48" i="40"/>
  <c r="F160" i="40"/>
  <c r="I160" i="40" s="1"/>
  <c r="I60" i="41"/>
  <c r="K60" i="40"/>
  <c r="F163" i="40"/>
  <c r="I163" i="40" s="1"/>
  <c r="I83" i="41"/>
  <c r="K83" i="41" s="1"/>
  <c r="C166" i="41" s="1"/>
  <c r="M83" i="40"/>
  <c r="K83" i="40"/>
  <c r="I134" i="41"/>
  <c r="K134" i="41" s="1"/>
  <c r="C154" i="41" s="1"/>
  <c r="M134" i="40"/>
  <c r="K134" i="40"/>
  <c r="F176" i="40"/>
  <c r="I176" i="40" s="1"/>
  <c r="I65" i="41"/>
  <c r="K65" i="41" s="1"/>
  <c r="C147" i="41" s="1"/>
  <c r="M65" i="40"/>
  <c r="K65" i="40"/>
  <c r="F164" i="40"/>
  <c r="I164" i="40" s="1"/>
  <c r="I56" i="41"/>
  <c r="K56" i="40"/>
  <c r="F162" i="40"/>
  <c r="I162" i="40" s="1"/>
  <c r="I39" i="41"/>
  <c r="K39" i="41" s="1"/>
  <c r="M39" i="40"/>
  <c r="K39" i="40"/>
  <c r="F157" i="40"/>
  <c r="I157" i="40" s="1"/>
  <c r="M88" i="40"/>
  <c r="M71" i="40"/>
  <c r="F165" i="40"/>
  <c r="I165" i="40" s="1"/>
  <c r="M70" i="40"/>
  <c r="I70" i="41"/>
  <c r="K70" i="41" s="1"/>
  <c r="K70" i="40"/>
  <c r="I71" i="41"/>
  <c r="K71" i="41" s="1"/>
  <c r="K71" i="40"/>
  <c r="F168" i="40"/>
  <c r="I168" i="40" s="1"/>
  <c r="I88" i="41"/>
  <c r="K88" i="41" s="1"/>
  <c r="C164" i="41" s="1"/>
  <c r="D141" i="40"/>
  <c r="K88" i="40"/>
  <c r="AB75" i="25"/>
  <c r="AA75" i="25"/>
  <c r="AB117" i="25"/>
  <c r="AA117" i="25"/>
  <c r="AB165" i="25"/>
  <c r="AA165" i="25"/>
  <c r="AB68" i="25"/>
  <c r="AA68" i="25"/>
  <c r="AB177" i="25"/>
  <c r="AA177" i="25"/>
  <c r="AB59" i="25"/>
  <c r="AA59" i="25"/>
  <c r="AB111" i="25"/>
  <c r="AA111" i="25"/>
  <c r="AB95" i="25"/>
  <c r="AA95" i="25"/>
  <c r="AB64" i="25"/>
  <c r="AA64" i="25"/>
  <c r="AB80" i="25"/>
  <c r="AA80" i="25"/>
  <c r="AB151" i="25"/>
  <c r="AA151" i="25"/>
  <c r="AB94" i="25"/>
  <c r="AA94" i="25"/>
  <c r="AB88" i="25"/>
  <c r="AA88" i="25"/>
  <c r="AB105" i="25"/>
  <c r="AA105" i="25"/>
  <c r="AB81" i="25"/>
  <c r="AA81" i="25"/>
  <c r="AB57" i="25"/>
  <c r="AA57" i="25"/>
  <c r="AB157" i="25"/>
  <c r="AA157" i="25"/>
  <c r="AA58" i="10"/>
  <c r="AS79" i="20"/>
  <c r="E22" i="21" s="1"/>
  <c r="AY79" i="20"/>
  <c r="K22" i="21" s="1"/>
  <c r="CI79" i="10"/>
  <c r="AU79" i="20"/>
  <c r="G22" i="21" s="1"/>
  <c r="BM79" i="20"/>
  <c r="E35" i="21" s="1"/>
  <c r="AV79" i="20"/>
  <c r="H22" i="21" s="1"/>
  <c r="AW79" i="20"/>
  <c r="I22" i="21" s="1"/>
  <c r="AC79" i="20"/>
  <c r="AA79" i="20"/>
  <c r="Y79" i="20"/>
  <c r="Z79" i="20"/>
  <c r="AE79" i="20"/>
  <c r="AT79" i="20"/>
  <c r="F22" i="21" s="1"/>
  <c r="AD79" i="20"/>
  <c r="AB79" i="20"/>
  <c r="BQ79" i="20"/>
  <c r="I35" i="21" s="1"/>
  <c r="BN79" i="20"/>
  <c r="F35" i="21" s="1"/>
  <c r="BO79" i="20"/>
  <c r="G35" i="21" s="1"/>
  <c r="BR79" i="20"/>
  <c r="J35" i="21" s="1"/>
  <c r="BS79" i="20"/>
  <c r="K35" i="21" s="1"/>
  <c r="BP79" i="20"/>
  <c r="H35" i="21" s="1"/>
  <c r="AO92" i="2"/>
  <c r="AE92" i="20"/>
  <c r="AW92" i="20"/>
  <c r="AV92" i="20"/>
  <c r="AT92" i="20"/>
  <c r="BM92" i="20"/>
  <c r="AY92" i="20"/>
  <c r="CH92" i="20"/>
  <c r="CJ92" i="20"/>
  <c r="AX79" i="20"/>
  <c r="J22" i="21" s="1"/>
  <c r="BN92" i="20"/>
  <c r="BQ92" i="20"/>
  <c r="AX92" i="20"/>
  <c r="Z92" i="20"/>
  <c r="BP92" i="20"/>
  <c r="CL92" i="20"/>
  <c r="AB92" i="20"/>
  <c r="BR92" i="20"/>
  <c r="Y92" i="20"/>
  <c r="BO92" i="20"/>
  <c r="AD92" i="20"/>
  <c r="CG92" i="20"/>
  <c r="CI92" i="20"/>
  <c r="AS92" i="20"/>
  <c r="AA92" i="20"/>
  <c r="AC92" i="20"/>
  <c r="BS92" i="20"/>
  <c r="AU92" i="20"/>
  <c r="CK92" i="20"/>
  <c r="CM92" i="20"/>
  <c r="AP92" i="2"/>
  <c r="AL92" i="2"/>
  <c r="AV67" i="20"/>
  <c r="H7" i="21" s="1"/>
  <c r="AU67" i="20"/>
  <c r="G7" i="21" s="1"/>
  <c r="AS67" i="20"/>
  <c r="E7" i="21"/>
  <c r="F7" i="21"/>
  <c r="AT67" i="20"/>
  <c r="AW67" i="20"/>
  <c r="I7" i="21" s="1"/>
  <c r="AY67" i="20"/>
  <c r="K7" i="21" s="1"/>
  <c r="AX67" i="20"/>
  <c r="J7" i="21" s="1"/>
  <c r="U156" i="24"/>
  <c r="U110" i="24"/>
  <c r="U116" i="24"/>
  <c r="AO161" i="2"/>
  <c r="G27" i="19"/>
  <c r="S64" i="38"/>
  <c r="S59" i="38"/>
  <c r="AP161" i="2"/>
  <c r="H27" i="19"/>
  <c r="S88" i="38"/>
  <c r="Y170" i="20"/>
  <c r="Z170" i="20"/>
  <c r="AA170" i="20"/>
  <c r="AB170" i="20"/>
  <c r="AC170" i="20"/>
  <c r="AD170" i="20"/>
  <c r="AE170" i="20"/>
  <c r="Y58" i="20"/>
  <c r="Z58" i="20"/>
  <c r="AA58" i="20"/>
  <c r="AB58" i="20"/>
  <c r="AC58" i="20"/>
  <c r="AD58" i="20"/>
  <c r="AE58" i="20"/>
  <c r="Y56" i="20"/>
  <c r="Z56" i="20"/>
  <c r="AA56" i="20"/>
  <c r="AB56" i="20"/>
  <c r="AC56" i="20"/>
  <c r="AD56" i="20"/>
  <c r="AE56" i="20"/>
  <c r="AS56" i="20"/>
  <c r="AT56" i="20"/>
  <c r="AU56" i="20"/>
  <c r="AV56" i="20"/>
  <c r="AW56" i="20"/>
  <c r="AX56" i="20"/>
  <c r="AY56" i="20"/>
  <c r="AE33" i="20"/>
  <c r="K46" i="21" s="1"/>
  <c r="AD33" i="20"/>
  <c r="J46" i="21" s="1"/>
  <c r="AC33" i="20"/>
  <c r="I46" i="21" s="1"/>
  <c r="Z33" i="20"/>
  <c r="F46" i="21" s="1"/>
  <c r="Y33" i="20"/>
  <c r="E46" i="21" l="1"/>
  <c r="C155" i="41"/>
  <c r="E88" i="21"/>
  <c r="F88" i="21" s="1"/>
  <c r="G88" i="21" s="1"/>
  <c r="H88" i="21" s="1"/>
  <c r="I88" i="21" s="1"/>
  <c r="J88" i="21" s="1"/>
  <c r="K88" i="21" s="1"/>
  <c r="L35" i="21"/>
  <c r="L88" i="21" s="1"/>
  <c r="E75" i="21"/>
  <c r="F75" i="21" s="1"/>
  <c r="G75" i="21" s="1"/>
  <c r="H75" i="21" s="1"/>
  <c r="I75" i="21" s="1"/>
  <c r="J75" i="21" s="1"/>
  <c r="K75" i="21" s="1"/>
  <c r="L22" i="21"/>
  <c r="L75" i="21" s="1"/>
  <c r="E60" i="21"/>
  <c r="F60" i="21" s="1"/>
  <c r="G60" i="21" s="1"/>
  <c r="H60" i="21" s="1"/>
  <c r="I60" i="21" s="1"/>
  <c r="J60" i="21" s="1"/>
  <c r="K60" i="21" s="1"/>
  <c r="L7" i="21"/>
  <c r="L60" i="21" s="1"/>
  <c r="X181" i="2" l="1"/>
  <c r="W139" i="77" s="1"/>
  <c r="U181" i="2"/>
  <c r="T139" i="77" s="1"/>
  <c r="R181" i="2"/>
  <c r="N139" i="77" s="1"/>
  <c r="O181" i="2"/>
  <c r="Q139" i="77" s="1"/>
  <c r="R139" i="77" s="1"/>
  <c r="L181" i="2"/>
  <c r="AA181" i="2"/>
  <c r="P70" i="6"/>
  <c r="O70" i="6"/>
  <c r="N70" i="6"/>
  <c r="M70" i="6"/>
  <c r="L70" i="6"/>
  <c r="K70" i="6"/>
  <c r="Q179" i="28" l="1"/>
  <c r="U179" i="28" s="1"/>
  <c r="L180" i="24"/>
  <c r="V179" i="28"/>
  <c r="Z179" i="28" s="1"/>
  <c r="M180" i="24"/>
  <c r="AK179" i="28"/>
  <c r="AO179" i="28" s="1"/>
  <c r="G138" i="40"/>
  <c r="K139" i="77" s="1"/>
  <c r="P180" i="24"/>
  <c r="AA179" i="28"/>
  <c r="AE179" i="28" s="1"/>
  <c r="N180" i="24"/>
  <c r="K179" i="28"/>
  <c r="P179" i="28" s="1"/>
  <c r="K180" i="24"/>
  <c r="AF179" i="28"/>
  <c r="AJ179" i="28" s="1"/>
  <c r="O180" i="24"/>
  <c r="Q180" i="23"/>
  <c r="M181" i="25"/>
  <c r="Z180" i="23"/>
  <c r="P181" i="25"/>
  <c r="S181" i="25" s="1"/>
  <c r="S173" i="25" s="1"/>
  <c r="AE181" i="2"/>
  <c r="T180" i="23"/>
  <c r="N181" i="25"/>
  <c r="N180" i="23"/>
  <c r="L181" i="25"/>
  <c r="Q181" i="2"/>
  <c r="K180" i="23"/>
  <c r="K181" i="25"/>
  <c r="N181" i="2"/>
  <c r="W180" i="23"/>
  <c r="O181" i="25"/>
  <c r="N187" i="38"/>
  <c r="K187" i="38"/>
  <c r="S180" i="27"/>
  <c r="U180" i="27" s="1"/>
  <c r="L187" i="38"/>
  <c r="W180" i="27"/>
  <c r="Y180" i="27" s="1"/>
  <c r="M187" i="38"/>
  <c r="AS181" i="10"/>
  <c r="CN181" i="10" s="1"/>
  <c r="O187" i="38"/>
  <c r="AI181" i="10"/>
  <c r="J187" i="38"/>
  <c r="AQ181" i="10"/>
  <c r="AA181" i="10" s="1"/>
  <c r="AA180" i="27"/>
  <c r="AK181" i="10"/>
  <c r="CL181" i="10" s="1"/>
  <c r="O180" i="27"/>
  <c r="AM181" i="10"/>
  <c r="AO181" i="10"/>
  <c r="AF181" i="10" s="1"/>
  <c r="AE180" i="27"/>
  <c r="AN181" i="2"/>
  <c r="AN173" i="2" s="1"/>
  <c r="K180" i="27"/>
  <c r="V179" i="11"/>
  <c r="W179" i="11"/>
  <c r="O155" i="2"/>
  <c r="Q120" i="77" s="1"/>
  <c r="R120" i="77" s="1"/>
  <c r="R155" i="2"/>
  <c r="N120" i="77" s="1"/>
  <c r="U155" i="2"/>
  <c r="T120" i="77" s="1"/>
  <c r="X155" i="2"/>
  <c r="W120" i="77" s="1"/>
  <c r="AA155" i="2"/>
  <c r="O156" i="2"/>
  <c r="Q121" i="77" s="1"/>
  <c r="R121" i="77" s="1"/>
  <c r="R156" i="2"/>
  <c r="N121" i="77" s="1"/>
  <c r="U156" i="2"/>
  <c r="T121" i="77" s="1"/>
  <c r="X156" i="2"/>
  <c r="W121" i="77" s="1"/>
  <c r="AA156" i="2"/>
  <c r="O157" i="2"/>
  <c r="Q122" i="77" s="1"/>
  <c r="R122" i="77" s="1"/>
  <c r="R157" i="2"/>
  <c r="N122" i="77" s="1"/>
  <c r="U157" i="2"/>
  <c r="T122" i="77" s="1"/>
  <c r="X157" i="2"/>
  <c r="W122" i="77" s="1"/>
  <c r="AA157" i="2"/>
  <c r="O158" i="2"/>
  <c r="Q123" i="77" s="1"/>
  <c r="R123" i="77" s="1"/>
  <c r="R158" i="2"/>
  <c r="N123" i="77" s="1"/>
  <c r="U158" i="2"/>
  <c r="T123" i="77" s="1"/>
  <c r="X158" i="2"/>
  <c r="W123" i="77" s="1"/>
  <c r="AA158" i="2"/>
  <c r="O159" i="2"/>
  <c r="Q124" i="77" s="1"/>
  <c r="R124" i="77" s="1"/>
  <c r="R159" i="2"/>
  <c r="N124" i="77" s="1"/>
  <c r="U159" i="2"/>
  <c r="T124" i="77" s="1"/>
  <c r="X159" i="2"/>
  <c r="W124" i="77" s="1"/>
  <c r="AA159" i="2"/>
  <c r="O59" i="2"/>
  <c r="Q45" i="77" s="1"/>
  <c r="R45" i="77" s="1"/>
  <c r="R59" i="2"/>
  <c r="N45" i="77" s="1"/>
  <c r="U59" i="2"/>
  <c r="T45" i="77" s="1"/>
  <c r="X59" i="2"/>
  <c r="W45" i="77" s="1"/>
  <c r="AA59" i="2"/>
  <c r="R60" i="2"/>
  <c r="N46" i="77" s="1"/>
  <c r="U60" i="2"/>
  <c r="T46" i="77" s="1"/>
  <c r="X60" i="2"/>
  <c r="W46" i="77" s="1"/>
  <c r="AA60" i="2"/>
  <c r="R61" i="2"/>
  <c r="N47" i="77" s="1"/>
  <c r="U61" i="2"/>
  <c r="T47" i="77" s="1"/>
  <c r="X61" i="2"/>
  <c r="AA61" i="2"/>
  <c r="O51" i="2"/>
  <c r="Q39" i="77" s="1"/>
  <c r="R51" i="2"/>
  <c r="N39" i="77" s="1"/>
  <c r="U51" i="2"/>
  <c r="T39" i="77" s="1"/>
  <c r="U39" i="77" s="1"/>
  <c r="X51" i="2"/>
  <c r="W39" i="77" s="1"/>
  <c r="AA51" i="2"/>
  <c r="O52" i="2"/>
  <c r="Q40" i="77" s="1"/>
  <c r="R52" i="2"/>
  <c r="N40" i="77" s="1"/>
  <c r="U52" i="2"/>
  <c r="T40" i="77" s="1"/>
  <c r="U40" i="77" s="1"/>
  <c r="X52" i="2"/>
  <c r="W40" i="77" s="1"/>
  <c r="AA52" i="2"/>
  <c r="O53" i="2"/>
  <c r="Q41" i="77" s="1"/>
  <c r="R53" i="2"/>
  <c r="N41" i="77" s="1"/>
  <c r="U53" i="2"/>
  <c r="T41" i="77" s="1"/>
  <c r="U41" i="77" s="1"/>
  <c r="X53" i="2"/>
  <c r="W41" i="77" s="1"/>
  <c r="AA53" i="2"/>
  <c r="O54" i="2"/>
  <c r="Q42" i="77" s="1"/>
  <c r="R54" i="2"/>
  <c r="N42" i="77" s="1"/>
  <c r="U54" i="2"/>
  <c r="T42" i="77" s="1"/>
  <c r="X54" i="2"/>
  <c r="W42" i="77" s="1"/>
  <c r="AA54" i="2"/>
  <c r="L53" i="9"/>
  <c r="L48" i="8"/>
  <c r="L47" i="8" s="1"/>
  <c r="K51" i="7"/>
  <c r="L44" i="3"/>
  <c r="W60" i="23" l="1"/>
  <c r="W47" i="77"/>
  <c r="U42" i="77"/>
  <c r="H139" i="77"/>
  <c r="I139" i="77" s="1"/>
  <c r="L139" i="77"/>
  <c r="V59" i="28"/>
  <c r="Z59" i="28" s="1"/>
  <c r="Q60" i="23"/>
  <c r="G46" i="40"/>
  <c r="K47" i="77" s="1"/>
  <c r="Z60" i="23"/>
  <c r="AA59" i="28"/>
  <c r="AE59" i="28" s="1"/>
  <c r="T60" i="23"/>
  <c r="V52" i="28"/>
  <c r="Z52" i="28" s="1"/>
  <c r="M53" i="24"/>
  <c r="AA51" i="28"/>
  <c r="AE51" i="28" s="1"/>
  <c r="N52" i="24"/>
  <c r="AF50" i="28"/>
  <c r="AJ50" i="28" s="1"/>
  <c r="O51" i="24"/>
  <c r="AK49" i="28"/>
  <c r="G38" i="40"/>
  <c r="K39" i="77" s="1"/>
  <c r="P50" i="24"/>
  <c r="Q49" i="28"/>
  <c r="U49" i="28" s="1"/>
  <c r="L50" i="24"/>
  <c r="V58" i="28"/>
  <c r="Z58" i="28" s="1"/>
  <c r="M59" i="24"/>
  <c r="V57" i="28"/>
  <c r="M58" i="24"/>
  <c r="AA157" i="28"/>
  <c r="AE157" i="28" s="1"/>
  <c r="N158" i="24"/>
  <c r="AF156" i="28"/>
  <c r="AJ156" i="28" s="1"/>
  <c r="O157" i="24"/>
  <c r="AK155" i="28"/>
  <c r="AO155" i="28" s="1"/>
  <c r="G121" i="40"/>
  <c r="K122" i="77" s="1"/>
  <c r="P156" i="24"/>
  <c r="Q155" i="28"/>
  <c r="U155" i="28" s="1"/>
  <c r="L156" i="24"/>
  <c r="V154" i="28"/>
  <c r="Z154" i="28" s="1"/>
  <c r="M155" i="24"/>
  <c r="AA153" i="28"/>
  <c r="N154" i="24"/>
  <c r="Q52" i="28"/>
  <c r="U52" i="28" s="1"/>
  <c r="L53" i="24"/>
  <c r="V51" i="28"/>
  <c r="Z51" i="28" s="1"/>
  <c r="M52" i="24"/>
  <c r="AF49" i="28"/>
  <c r="AJ49" i="28" s="1"/>
  <c r="O50" i="24"/>
  <c r="AK58" i="28"/>
  <c r="AO58" i="28" s="1"/>
  <c r="G45" i="40"/>
  <c r="K46" i="77" s="1"/>
  <c r="P59" i="24"/>
  <c r="AK57" i="28"/>
  <c r="G44" i="40"/>
  <c r="K45" i="77" s="1"/>
  <c r="L45" i="77" s="1"/>
  <c r="P58" i="24"/>
  <c r="Q57" i="28"/>
  <c r="U57" i="28" s="1"/>
  <c r="L58" i="24"/>
  <c r="V157" i="28"/>
  <c r="Z157" i="28" s="1"/>
  <c r="M158" i="24"/>
  <c r="AA156" i="28"/>
  <c r="AE156" i="28" s="1"/>
  <c r="N157" i="24"/>
  <c r="AF155" i="28"/>
  <c r="AJ155" i="28" s="1"/>
  <c r="O156" i="24"/>
  <c r="V153" i="28"/>
  <c r="M154" i="24"/>
  <c r="AF52" i="28"/>
  <c r="AJ52" i="28" s="1"/>
  <c r="O53" i="24"/>
  <c r="AK51" i="28"/>
  <c r="AO51" i="28" s="1"/>
  <c r="G40" i="40"/>
  <c r="K41" i="77" s="1"/>
  <c r="L41" i="77" s="1"/>
  <c r="P52" i="24"/>
  <c r="Q51" i="28"/>
  <c r="U51" i="28" s="1"/>
  <c r="L52" i="24"/>
  <c r="V50" i="28"/>
  <c r="Z50" i="28" s="1"/>
  <c r="M51" i="24"/>
  <c r="AA49" i="28"/>
  <c r="N50" i="24"/>
  <c r="AF58" i="28"/>
  <c r="AJ58" i="28" s="1"/>
  <c r="O59" i="24"/>
  <c r="AF57" i="28"/>
  <c r="AJ57" i="28" s="1"/>
  <c r="O58" i="24"/>
  <c r="AK157" i="28"/>
  <c r="AO157" i="28" s="1"/>
  <c r="G123" i="40"/>
  <c r="K124" i="77" s="1"/>
  <c r="P158" i="24"/>
  <c r="Q157" i="28"/>
  <c r="U157" i="28" s="1"/>
  <c r="L158" i="24"/>
  <c r="V156" i="28"/>
  <c r="Z156" i="28" s="1"/>
  <c r="M157" i="24"/>
  <c r="AA155" i="28"/>
  <c r="AE155" i="28" s="1"/>
  <c r="N156" i="24"/>
  <c r="AF154" i="28"/>
  <c r="O155" i="24"/>
  <c r="AK153" i="28"/>
  <c r="G119" i="40"/>
  <c r="K120" i="77" s="1"/>
  <c r="P154" i="24"/>
  <c r="Q153" i="28"/>
  <c r="U153" i="28" s="1"/>
  <c r="L154" i="24"/>
  <c r="O138" i="40"/>
  <c r="L138" i="40"/>
  <c r="N138" i="40"/>
  <c r="AF51" i="28"/>
  <c r="AJ51" i="28" s="1"/>
  <c r="O52" i="24"/>
  <c r="Q50" i="28"/>
  <c r="U50" i="28" s="1"/>
  <c r="L51" i="24"/>
  <c r="V49" i="28"/>
  <c r="M50" i="24"/>
  <c r="AA58" i="28"/>
  <c r="AE58" i="28" s="1"/>
  <c r="N59" i="24"/>
  <c r="AA57" i="28"/>
  <c r="N58" i="24"/>
  <c r="AF157" i="28"/>
  <c r="AJ157" i="28" s="1"/>
  <c r="O158" i="24"/>
  <c r="AK156" i="28"/>
  <c r="AO156" i="28" s="1"/>
  <c r="G122" i="40"/>
  <c r="K123" i="77" s="1"/>
  <c r="P157" i="24"/>
  <c r="Q156" i="28"/>
  <c r="U156" i="28" s="1"/>
  <c r="L157" i="24"/>
  <c r="V155" i="28"/>
  <c r="Z155" i="28" s="1"/>
  <c r="M156" i="24"/>
  <c r="AA154" i="28"/>
  <c r="AE154" i="28" s="1"/>
  <c r="N155" i="24"/>
  <c r="AF153" i="28"/>
  <c r="AJ153" i="28" s="1"/>
  <c r="O154" i="24"/>
  <c r="Q154" i="28"/>
  <c r="U154" i="28" s="1"/>
  <c r="L155" i="24"/>
  <c r="AK154" i="28"/>
  <c r="AO154" i="28" s="1"/>
  <c r="P155" i="24"/>
  <c r="G120" i="40"/>
  <c r="K121" i="77" s="1"/>
  <c r="L121" i="77" s="1"/>
  <c r="AA52" i="28"/>
  <c r="AE52" i="28" s="1"/>
  <c r="N53" i="24"/>
  <c r="AK52" i="28"/>
  <c r="AO52" i="28" s="1"/>
  <c r="P53" i="24"/>
  <c r="G41" i="40"/>
  <c r="AA50" i="28"/>
  <c r="N51" i="24"/>
  <c r="AK50" i="28"/>
  <c r="AO50" i="28" s="1"/>
  <c r="P51" i="24"/>
  <c r="G39" i="40"/>
  <c r="K40" i="77" s="1"/>
  <c r="AO61" i="2"/>
  <c r="AK59" i="28"/>
  <c r="AO59" i="28" s="1"/>
  <c r="AO153" i="28"/>
  <c r="AO49" i="28"/>
  <c r="AJ154" i="28"/>
  <c r="Q152" i="28"/>
  <c r="Z49" i="28"/>
  <c r="Z153" i="28"/>
  <c r="N61" i="38"/>
  <c r="AF59" i="28"/>
  <c r="AJ59" i="28" s="1"/>
  <c r="Z57" i="28"/>
  <c r="AE153" i="28"/>
  <c r="M180" i="27"/>
  <c r="N180" i="27"/>
  <c r="Q180" i="27"/>
  <c r="R180" i="27"/>
  <c r="AG180" i="27"/>
  <c r="AH180" i="27"/>
  <c r="W181" i="10"/>
  <c r="CK181" i="10"/>
  <c r="M181" i="10"/>
  <c r="CM181" i="10"/>
  <c r="AL181" i="10"/>
  <c r="D181" i="10"/>
  <c r="R181" i="10"/>
  <c r="N54" i="38"/>
  <c r="W53" i="23"/>
  <c r="O54" i="25"/>
  <c r="O53" i="38"/>
  <c r="Z52" i="23"/>
  <c r="P53" i="25"/>
  <c r="R53" i="25" s="1"/>
  <c r="K53" i="38"/>
  <c r="N52" i="23"/>
  <c r="L53" i="25"/>
  <c r="Q51" i="23"/>
  <c r="M52" i="25"/>
  <c r="M51" i="38"/>
  <c r="T50" i="23"/>
  <c r="N51" i="25"/>
  <c r="N60" i="38"/>
  <c r="W59" i="23"/>
  <c r="O60" i="25"/>
  <c r="N59" i="38"/>
  <c r="W58" i="23"/>
  <c r="O59" i="25"/>
  <c r="T158" i="23"/>
  <c r="N159" i="25"/>
  <c r="N164" i="38"/>
  <c r="W157" i="23"/>
  <c r="O158" i="25"/>
  <c r="O163" i="38"/>
  <c r="Z156" i="23"/>
  <c r="P157" i="25"/>
  <c r="Q157" i="25" s="1"/>
  <c r="N156" i="23"/>
  <c r="L157" i="25"/>
  <c r="Q155" i="23"/>
  <c r="M156" i="25"/>
  <c r="T154" i="23"/>
  <c r="N155" i="25"/>
  <c r="M54" i="38"/>
  <c r="T53" i="23"/>
  <c r="N54" i="25"/>
  <c r="N53" i="38"/>
  <c r="W52" i="23"/>
  <c r="O53" i="25"/>
  <c r="O52" i="38"/>
  <c r="Z51" i="23"/>
  <c r="P52" i="25"/>
  <c r="Q52" i="25" s="1"/>
  <c r="Q50" i="25" s="1"/>
  <c r="G9" i="30" s="1"/>
  <c r="K52" i="38"/>
  <c r="N51" i="23"/>
  <c r="L52" i="25"/>
  <c r="Q50" i="23"/>
  <c r="M51" i="25"/>
  <c r="T59" i="23"/>
  <c r="N60" i="25"/>
  <c r="T58" i="23"/>
  <c r="N59" i="25"/>
  <c r="Q158" i="23"/>
  <c r="M159" i="25"/>
  <c r="T157" i="23"/>
  <c r="N158" i="25"/>
  <c r="N163" i="38"/>
  <c r="W156" i="23"/>
  <c r="O157" i="25"/>
  <c r="O162" i="38"/>
  <c r="Z155" i="23"/>
  <c r="P156" i="25"/>
  <c r="Q156" i="25" s="1"/>
  <c r="N155" i="23"/>
  <c r="L156" i="25"/>
  <c r="Q154" i="23"/>
  <c r="M155" i="25"/>
  <c r="Q53" i="23"/>
  <c r="M54" i="25"/>
  <c r="M53" i="38"/>
  <c r="T52" i="23"/>
  <c r="N53" i="25"/>
  <c r="N52" i="38"/>
  <c r="W51" i="23"/>
  <c r="O52" i="25"/>
  <c r="O51" i="38"/>
  <c r="Z50" i="23"/>
  <c r="P51" i="25"/>
  <c r="R51" i="25" s="1"/>
  <c r="K51" i="38"/>
  <c r="N50" i="23"/>
  <c r="L51" i="25"/>
  <c r="Q59" i="23"/>
  <c r="M60" i="25"/>
  <c r="Q58" i="23"/>
  <c r="M59" i="25"/>
  <c r="O165" i="38"/>
  <c r="Z158" i="23"/>
  <c r="P159" i="25"/>
  <c r="Q159" i="25" s="1"/>
  <c r="N158" i="23"/>
  <c r="L159" i="25"/>
  <c r="Q157" i="23"/>
  <c r="M158" i="25"/>
  <c r="T156" i="23"/>
  <c r="N157" i="25"/>
  <c r="N162" i="38"/>
  <c r="W155" i="23"/>
  <c r="O156" i="25"/>
  <c r="O161" i="38"/>
  <c r="Z154" i="23"/>
  <c r="P155" i="25"/>
  <c r="Q155" i="25" s="1"/>
  <c r="N154" i="23"/>
  <c r="L155" i="25"/>
  <c r="O54" i="38"/>
  <c r="Z53" i="23"/>
  <c r="P54" i="25"/>
  <c r="R54" i="25" s="1"/>
  <c r="K54" i="38"/>
  <c r="N53" i="23"/>
  <c r="L54" i="25"/>
  <c r="Q52" i="23"/>
  <c r="M53" i="25"/>
  <c r="M52" i="38"/>
  <c r="T51" i="23"/>
  <c r="N52" i="25"/>
  <c r="N51" i="38"/>
  <c r="W50" i="23"/>
  <c r="O51" i="25"/>
  <c r="O60" i="38"/>
  <c r="Z59" i="23"/>
  <c r="P60" i="25"/>
  <c r="R60" i="25" s="1"/>
  <c r="O59" i="38"/>
  <c r="Z58" i="23"/>
  <c r="P59" i="25"/>
  <c r="R59" i="25" s="1"/>
  <c r="N58" i="23"/>
  <c r="L59" i="25"/>
  <c r="N165" i="38"/>
  <c r="W158" i="23"/>
  <c r="O159" i="25"/>
  <c r="O164" i="38"/>
  <c r="Z157" i="23"/>
  <c r="P158" i="25"/>
  <c r="Q158" i="25" s="1"/>
  <c r="N157" i="23"/>
  <c r="L158" i="25"/>
  <c r="Q156" i="23"/>
  <c r="M157" i="25"/>
  <c r="T155" i="23"/>
  <c r="N156" i="25"/>
  <c r="N161" i="38"/>
  <c r="W154" i="23"/>
  <c r="O155" i="25"/>
  <c r="AH181" i="10"/>
  <c r="AB181" i="10"/>
  <c r="Q181" i="10"/>
  <c r="AC181" i="10"/>
  <c r="V181" i="10"/>
  <c r="S50" i="27"/>
  <c r="U50" i="27" s="1"/>
  <c r="L51" i="38"/>
  <c r="W59" i="27"/>
  <c r="Y59" i="27" s="1"/>
  <c r="M60" i="38"/>
  <c r="S154" i="27"/>
  <c r="U154" i="27" s="1"/>
  <c r="L161" i="38"/>
  <c r="S53" i="27"/>
  <c r="U53" i="27" s="1"/>
  <c r="L54" i="38"/>
  <c r="S60" i="27"/>
  <c r="U60" i="27" s="1"/>
  <c r="L61" i="38"/>
  <c r="S59" i="27"/>
  <c r="U59" i="27" s="1"/>
  <c r="L60" i="38"/>
  <c r="S58" i="27"/>
  <c r="U58" i="27" s="1"/>
  <c r="L59" i="38"/>
  <c r="O158" i="27"/>
  <c r="R158" i="27" s="1"/>
  <c r="K165" i="38"/>
  <c r="S157" i="27"/>
  <c r="U157" i="27" s="1"/>
  <c r="L164" i="38"/>
  <c r="W156" i="27"/>
  <c r="Y156" i="27" s="1"/>
  <c r="M163" i="38"/>
  <c r="O154" i="27"/>
  <c r="R154" i="27" s="1"/>
  <c r="K161" i="38"/>
  <c r="E181" i="10"/>
  <c r="K181" i="10" s="1"/>
  <c r="AJ181" i="10" s="1"/>
  <c r="C181" i="10"/>
  <c r="W60" i="27"/>
  <c r="Y60" i="27" s="1"/>
  <c r="M61" i="38"/>
  <c r="S158" i="27"/>
  <c r="U158" i="27" s="1"/>
  <c r="L165" i="38"/>
  <c r="S52" i="27"/>
  <c r="U52" i="27" s="1"/>
  <c r="L53" i="38"/>
  <c r="AS60" i="10"/>
  <c r="O61" i="38"/>
  <c r="O58" i="27"/>
  <c r="R58" i="27" s="1"/>
  <c r="K59" i="38"/>
  <c r="O157" i="27"/>
  <c r="R157" i="27" s="1"/>
  <c r="K164" i="38"/>
  <c r="S156" i="27"/>
  <c r="U156" i="27" s="1"/>
  <c r="L163" i="38"/>
  <c r="W155" i="27"/>
  <c r="Y155" i="27" s="1"/>
  <c r="M162" i="38"/>
  <c r="W58" i="27"/>
  <c r="Y58" i="27" s="1"/>
  <c r="M59" i="38"/>
  <c r="W157" i="27"/>
  <c r="Y157" i="27" s="1"/>
  <c r="M164" i="38"/>
  <c r="O155" i="27"/>
  <c r="R155" i="27" s="1"/>
  <c r="K162" i="38"/>
  <c r="S51" i="27"/>
  <c r="U51" i="27" s="1"/>
  <c r="L52" i="38"/>
  <c r="W158" i="27"/>
  <c r="Y158" i="27" s="1"/>
  <c r="M165" i="38"/>
  <c r="O156" i="27"/>
  <c r="R156" i="27" s="1"/>
  <c r="K163" i="38"/>
  <c r="S155" i="27"/>
  <c r="U155" i="27" s="1"/>
  <c r="L162" i="38"/>
  <c r="W154" i="27"/>
  <c r="Y154" i="27" s="1"/>
  <c r="M161" i="38"/>
  <c r="AG181" i="10"/>
  <c r="O181" i="10"/>
  <c r="U181" i="10"/>
  <c r="S181" i="10"/>
  <c r="W51" i="27"/>
  <c r="W50" i="27"/>
  <c r="Z50" i="27" s="1"/>
  <c r="W53" i="27"/>
  <c r="Z53" i="27" s="1"/>
  <c r="W52" i="27"/>
  <c r="Y52" i="27" s="1"/>
  <c r="AQ53" i="10"/>
  <c r="AA53" i="27"/>
  <c r="AQ60" i="10"/>
  <c r="AA60" i="27"/>
  <c r="AQ59" i="10"/>
  <c r="AA59" i="27"/>
  <c r="AQ58" i="10"/>
  <c r="AA58" i="27"/>
  <c r="AQ157" i="10"/>
  <c r="AA157" i="27"/>
  <c r="AQ52" i="10"/>
  <c r="AA52" i="27"/>
  <c r="AQ156" i="10"/>
  <c r="AA156" i="27"/>
  <c r="AQ51" i="10"/>
  <c r="AA51" i="27"/>
  <c r="AQ155" i="10"/>
  <c r="AA155" i="27"/>
  <c r="AQ50" i="10"/>
  <c r="I49" i="10" s="1"/>
  <c r="AA50" i="27"/>
  <c r="AQ158" i="10"/>
  <c r="AA158" i="27"/>
  <c r="AQ154" i="10"/>
  <c r="AA154" i="27"/>
  <c r="Z181" i="10"/>
  <c r="AE181" i="10"/>
  <c r="X181" i="10"/>
  <c r="T181" i="10"/>
  <c r="AK52" i="10"/>
  <c r="O52" i="27"/>
  <c r="Q52" i="27" s="1"/>
  <c r="AM51" i="10"/>
  <c r="AK51" i="10"/>
  <c r="O51" i="27"/>
  <c r="Q51" i="27" s="1"/>
  <c r="AM50" i="10"/>
  <c r="AO60" i="10"/>
  <c r="AO59" i="10"/>
  <c r="AP59" i="10" s="1"/>
  <c r="AO58" i="10"/>
  <c r="AP58" i="10" s="1"/>
  <c r="AM158" i="10"/>
  <c r="AO157" i="10"/>
  <c r="AM154" i="10"/>
  <c r="N181" i="10"/>
  <c r="Y181" i="10"/>
  <c r="AD181" i="10"/>
  <c r="AM53" i="10"/>
  <c r="AK50" i="10"/>
  <c r="O50" i="27"/>
  <c r="Q50" i="27" s="1"/>
  <c r="AM60" i="10"/>
  <c r="AM59" i="10"/>
  <c r="AN59" i="10" s="1"/>
  <c r="AM58" i="10"/>
  <c r="AN58" i="10" s="1"/>
  <c r="AM157" i="10"/>
  <c r="AO156" i="10"/>
  <c r="AK53" i="10"/>
  <c r="O53" i="27"/>
  <c r="Q53" i="27" s="1"/>
  <c r="AM52" i="10"/>
  <c r="AM156" i="10"/>
  <c r="AO155" i="10"/>
  <c r="AO158" i="10"/>
  <c r="AM155" i="10"/>
  <c r="AO154" i="10"/>
  <c r="AC180" i="27"/>
  <c r="Q157" i="2"/>
  <c r="AK156" i="10"/>
  <c r="AL156" i="10" s="1"/>
  <c r="CL156" i="10" s="1"/>
  <c r="W54" i="2"/>
  <c r="AO53" i="10"/>
  <c r="AP53" i="10" s="1"/>
  <c r="CO53" i="10" s="1"/>
  <c r="AE52" i="2"/>
  <c r="AS51" i="10"/>
  <c r="AE156" i="2"/>
  <c r="AS155" i="10"/>
  <c r="Q156" i="2"/>
  <c r="AK155" i="10"/>
  <c r="AL155" i="10" s="1"/>
  <c r="CL155" i="10" s="1"/>
  <c r="W53" i="2"/>
  <c r="AO52" i="10"/>
  <c r="AP52" i="10" s="1"/>
  <c r="AE51" i="2"/>
  <c r="AS50" i="10"/>
  <c r="AT50" i="10" s="1"/>
  <c r="AE159" i="2"/>
  <c r="AS158" i="10"/>
  <c r="AT158" i="10" s="1"/>
  <c r="CN158" i="10" s="1"/>
  <c r="Q159" i="2"/>
  <c r="AK158" i="10"/>
  <c r="AL158" i="10" s="1"/>
  <c r="CL158" i="10" s="1"/>
  <c r="AE155" i="2"/>
  <c r="AS154" i="10"/>
  <c r="CN154" i="10" s="1"/>
  <c r="Q155" i="2"/>
  <c r="AK154" i="10"/>
  <c r="AL154" i="10" s="1"/>
  <c r="CL154" i="10" s="1"/>
  <c r="AE53" i="2"/>
  <c r="AS52" i="10"/>
  <c r="AT52" i="10" s="1"/>
  <c r="W51" i="2"/>
  <c r="AO50" i="10"/>
  <c r="AP50" i="10" s="1"/>
  <c r="AE157" i="2"/>
  <c r="AS156" i="10"/>
  <c r="AT156" i="10" s="1"/>
  <c r="CN156" i="10" s="1"/>
  <c r="AE54" i="2"/>
  <c r="AS53" i="10"/>
  <c r="AO51" i="10"/>
  <c r="AP51" i="10" s="1"/>
  <c r="AE60" i="2"/>
  <c r="AS59" i="10"/>
  <c r="AT59" i="10" s="1"/>
  <c r="AE59" i="2"/>
  <c r="AS58" i="10"/>
  <c r="AT58" i="10" s="1"/>
  <c r="Q59" i="2"/>
  <c r="AK58" i="10"/>
  <c r="AL58" i="10" s="1"/>
  <c r="AE158" i="2"/>
  <c r="AS157" i="10"/>
  <c r="AT157" i="10" s="1"/>
  <c r="Q158" i="2"/>
  <c r="AK157" i="10"/>
  <c r="AL157" i="10" s="1"/>
  <c r="CL157" i="10" s="1"/>
  <c r="AN61" i="2"/>
  <c r="AE60" i="27"/>
  <c r="AG60" i="27" s="1"/>
  <c r="AE58" i="27"/>
  <c r="AM59" i="2"/>
  <c r="AE157" i="27"/>
  <c r="AL158" i="2"/>
  <c r="AE52" i="27"/>
  <c r="AM53" i="2"/>
  <c r="AE156" i="27"/>
  <c r="AL157" i="2"/>
  <c r="AE53" i="27"/>
  <c r="AM54" i="2"/>
  <c r="AE59" i="27"/>
  <c r="AM60" i="2"/>
  <c r="AM52" i="2"/>
  <c r="AE51" i="27"/>
  <c r="AE155" i="27"/>
  <c r="AL156" i="2"/>
  <c r="AE50" i="27"/>
  <c r="AM51" i="2"/>
  <c r="AE158" i="27"/>
  <c r="AL159" i="2"/>
  <c r="AE154" i="27"/>
  <c r="AL155" i="2"/>
  <c r="L46" i="40" l="1"/>
  <c r="N46" i="40"/>
  <c r="AA56" i="28"/>
  <c r="O41" i="40"/>
  <c r="K42" i="77"/>
  <c r="L46" i="77"/>
  <c r="H124" i="77"/>
  <c r="I124" i="77" s="1"/>
  <c r="L124" i="77"/>
  <c r="H122" i="77"/>
  <c r="I122" i="77" s="1"/>
  <c r="L122" i="77"/>
  <c r="L47" i="77"/>
  <c r="H40" i="77"/>
  <c r="I40" i="77" s="1"/>
  <c r="L40" i="77"/>
  <c r="H123" i="77"/>
  <c r="I123" i="77" s="1"/>
  <c r="L123" i="77"/>
  <c r="H120" i="77"/>
  <c r="I120" i="77" s="1"/>
  <c r="L120" i="77"/>
  <c r="H39" i="77"/>
  <c r="I39" i="77" s="1"/>
  <c r="L39" i="77"/>
  <c r="H41" i="77"/>
  <c r="I41" i="77" s="1"/>
  <c r="AE57" i="28"/>
  <c r="AE56" i="28" s="1"/>
  <c r="H121" i="77"/>
  <c r="I121" i="77" s="1"/>
  <c r="H45" i="77"/>
  <c r="I45" i="77" s="1"/>
  <c r="U152" i="28"/>
  <c r="AK56" i="28"/>
  <c r="AO57" i="28"/>
  <c r="AO56" i="28" s="1"/>
  <c r="V152" i="28"/>
  <c r="AF152" i="28"/>
  <c r="Z56" i="28"/>
  <c r="V56" i="28"/>
  <c r="AA152" i="28"/>
  <c r="AK152" i="28"/>
  <c r="AE152" i="28"/>
  <c r="Z152" i="28"/>
  <c r="AJ152" i="28"/>
  <c r="O39" i="40"/>
  <c r="N39" i="40"/>
  <c r="O122" i="40"/>
  <c r="L122" i="40"/>
  <c r="N122" i="40"/>
  <c r="O119" i="40"/>
  <c r="L119" i="40"/>
  <c r="N119" i="40"/>
  <c r="O40" i="40"/>
  <c r="L40" i="40"/>
  <c r="N40" i="40"/>
  <c r="O38" i="40"/>
  <c r="L38" i="40"/>
  <c r="N38" i="40"/>
  <c r="N45" i="40"/>
  <c r="O45" i="40"/>
  <c r="L45" i="40"/>
  <c r="C147" i="40"/>
  <c r="O123" i="40"/>
  <c r="L123" i="40"/>
  <c r="N123" i="40"/>
  <c r="N44" i="40"/>
  <c r="O44" i="40"/>
  <c r="L44" i="40"/>
  <c r="E159" i="40"/>
  <c r="O121" i="40"/>
  <c r="L121" i="40"/>
  <c r="N121" i="40"/>
  <c r="AO152" i="28"/>
  <c r="N120" i="40"/>
  <c r="O120" i="40"/>
  <c r="L120" i="40"/>
  <c r="E173" i="40"/>
  <c r="N41" i="40"/>
  <c r="L41" i="40"/>
  <c r="L39" i="40"/>
  <c r="Z57" i="23"/>
  <c r="W57" i="23"/>
  <c r="AJ56" i="28"/>
  <c r="AF56" i="28"/>
  <c r="R156" i="10"/>
  <c r="X156" i="10"/>
  <c r="R60" i="27"/>
  <c r="P60" i="23"/>
  <c r="V156" i="10"/>
  <c r="AB156" i="10"/>
  <c r="V157" i="10"/>
  <c r="R157" i="10" s="1"/>
  <c r="Q157" i="10" s="1"/>
  <c r="CQ157" i="10" s="1"/>
  <c r="CN157" i="10"/>
  <c r="AN60" i="10"/>
  <c r="Y60" i="10" s="1"/>
  <c r="CN60" i="10"/>
  <c r="AP60" i="10"/>
  <c r="Z60" i="10" s="1"/>
  <c r="CO60" i="10"/>
  <c r="AT60" i="10"/>
  <c r="CP60" i="10"/>
  <c r="T153" i="23"/>
  <c r="T57" i="23"/>
  <c r="Z153" i="23"/>
  <c r="N153" i="23"/>
  <c r="Q57" i="23"/>
  <c r="W153" i="23"/>
  <c r="Q153" i="23"/>
  <c r="P57" i="24"/>
  <c r="M58" i="25"/>
  <c r="CI181" i="10"/>
  <c r="T53" i="10"/>
  <c r="AF53" i="10"/>
  <c r="Z53" i="10"/>
  <c r="CQ181" i="10"/>
  <c r="AT181" i="10"/>
  <c r="CR181" i="10"/>
  <c r="Y59" i="10"/>
  <c r="S59" i="10"/>
  <c r="T59" i="10"/>
  <c r="Z59" i="10"/>
  <c r="R58" i="10"/>
  <c r="X58" i="10"/>
  <c r="Y58" i="10"/>
  <c r="S58" i="10"/>
  <c r="AB58" i="10"/>
  <c r="V58" i="10"/>
  <c r="AE60" i="10"/>
  <c r="AB59" i="10"/>
  <c r="V59" i="10"/>
  <c r="T58" i="10"/>
  <c r="Z58" i="10"/>
  <c r="V52" i="10"/>
  <c r="AB52" i="10"/>
  <c r="T50" i="10"/>
  <c r="AF50" i="10"/>
  <c r="Z50" i="10"/>
  <c r="V50" i="10"/>
  <c r="AH50" i="10"/>
  <c r="AB50" i="10"/>
  <c r="T52" i="10"/>
  <c r="Z52" i="10"/>
  <c r="Z51" i="10"/>
  <c r="AF51" i="10"/>
  <c r="T51" i="10"/>
  <c r="Q158" i="27"/>
  <c r="Q157" i="27"/>
  <c r="Q155" i="27"/>
  <c r="Q154" i="27"/>
  <c r="Q58" i="27"/>
  <c r="R154" i="10"/>
  <c r="X154" i="10"/>
  <c r="AT154" i="10"/>
  <c r="V158" i="10"/>
  <c r="AB158" i="10"/>
  <c r="X158" i="10" s="1"/>
  <c r="W158" i="10" s="1"/>
  <c r="AT155" i="10"/>
  <c r="CN155" i="10" s="1"/>
  <c r="O154" i="25"/>
  <c r="N58" i="25"/>
  <c r="O57" i="24"/>
  <c r="L153" i="24"/>
  <c r="M154" i="25"/>
  <c r="N153" i="24"/>
  <c r="AT53" i="10"/>
  <c r="CP53" i="10" s="1"/>
  <c r="AT51" i="10"/>
  <c r="O153" i="24"/>
  <c r="M57" i="24"/>
  <c r="M153" i="24"/>
  <c r="L154" i="25"/>
  <c r="N57" i="24"/>
  <c r="P58" i="25"/>
  <c r="P153" i="24"/>
  <c r="N154" i="25"/>
  <c r="O58" i="25"/>
  <c r="P154" i="25"/>
  <c r="Q156" i="27"/>
  <c r="R153" i="27"/>
  <c r="Y53" i="27"/>
  <c r="H153" i="10"/>
  <c r="I153" i="10"/>
  <c r="Z52" i="27"/>
  <c r="F49" i="10"/>
  <c r="AE58" i="2"/>
  <c r="Z11" i="30" s="1"/>
  <c r="G49" i="10"/>
  <c r="P61" i="2"/>
  <c r="P58" i="2" s="1"/>
  <c r="AG158" i="27"/>
  <c r="AH158" i="27"/>
  <c r="Z52" i="2"/>
  <c r="AC158" i="27"/>
  <c r="AC157" i="27"/>
  <c r="Z53" i="2"/>
  <c r="AG52" i="27"/>
  <c r="AH52" i="27"/>
  <c r="AG157" i="27"/>
  <c r="AH157" i="27"/>
  <c r="AG154" i="27"/>
  <c r="AH154" i="27"/>
  <c r="AG155" i="27"/>
  <c r="AH155" i="27"/>
  <c r="AG59" i="27"/>
  <c r="AH59" i="27"/>
  <c r="AG53" i="27"/>
  <c r="AH53" i="27"/>
  <c r="Z54" i="2"/>
  <c r="AE154" i="2"/>
  <c r="Z26" i="30" s="1"/>
  <c r="Q154" i="2"/>
  <c r="AC155" i="27"/>
  <c r="AG50" i="27"/>
  <c r="AH50" i="27"/>
  <c r="AC154" i="27"/>
  <c r="AC156" i="27"/>
  <c r="AG51" i="27"/>
  <c r="AH51" i="27"/>
  <c r="Z51" i="2"/>
  <c r="AG156" i="27"/>
  <c r="AH156" i="27"/>
  <c r="AG58" i="27"/>
  <c r="AH58" i="27"/>
  <c r="AS57" i="10"/>
  <c r="H49" i="10"/>
  <c r="AS153" i="10"/>
  <c r="AH153" i="10"/>
  <c r="AC58" i="27"/>
  <c r="Z59" i="2"/>
  <c r="AC59" i="27"/>
  <c r="Z60" i="2"/>
  <c r="AC60" i="27"/>
  <c r="Z61" i="2"/>
  <c r="Q154" i="25"/>
  <c r="U153" i="27"/>
  <c r="Y153" i="27"/>
  <c r="U57" i="27"/>
  <c r="P57" i="27"/>
  <c r="Y57" i="27"/>
  <c r="R58" i="25"/>
  <c r="CI135" i="20"/>
  <c r="CJ135" i="20"/>
  <c r="CM135" i="20"/>
  <c r="CL135" i="20"/>
  <c r="CK135" i="20"/>
  <c r="CH135" i="20"/>
  <c r="CG135" i="20"/>
  <c r="L42" i="77" l="1"/>
  <c r="H42" i="77"/>
  <c r="I42" i="77" s="1"/>
  <c r="J11" i="30"/>
  <c r="M11" i="30" s="1"/>
  <c r="P11" i="30" s="1"/>
  <c r="S11" i="30" s="1"/>
  <c r="V11" i="30" s="1"/>
  <c r="G26" i="30"/>
  <c r="J26" i="30" s="1"/>
  <c r="M26" i="30" s="1"/>
  <c r="P26" i="30" s="1"/>
  <c r="S26" i="30" s="1"/>
  <c r="V26" i="30" s="1"/>
  <c r="J159" i="40"/>
  <c r="D153" i="41"/>
  <c r="D159" i="41"/>
  <c r="J173" i="40"/>
  <c r="CR156" i="10"/>
  <c r="CS156" i="10" s="1"/>
  <c r="CR157" i="10"/>
  <c r="AF60" i="10"/>
  <c r="M60" i="23"/>
  <c r="M57" i="23" s="1"/>
  <c r="P57" i="23"/>
  <c r="AH60" i="10"/>
  <c r="AH57" i="10" s="1"/>
  <c r="AB60" i="10"/>
  <c r="R158" i="10"/>
  <c r="Q158" i="10" s="1"/>
  <c r="CQ158" i="10" s="1"/>
  <c r="CR158" i="10"/>
  <c r="AB53" i="10"/>
  <c r="AH53" i="10"/>
  <c r="V53" i="10"/>
  <c r="CR50" i="10"/>
  <c r="CR52" i="10"/>
  <c r="CI58" i="10"/>
  <c r="CJ58" i="10" s="1"/>
  <c r="CI59" i="10"/>
  <c r="CJ59" i="10" s="1"/>
  <c r="AB51" i="10"/>
  <c r="V51" i="10"/>
  <c r="AH51" i="10"/>
  <c r="CI52" i="10"/>
  <c r="CJ52" i="10" s="1"/>
  <c r="Q153" i="27"/>
  <c r="V155" i="10"/>
  <c r="AB155" i="10"/>
  <c r="X155" i="10" s="1"/>
  <c r="W155" i="10" s="1"/>
  <c r="AB154" i="10"/>
  <c r="V154" i="10"/>
  <c r="O57" i="10"/>
  <c r="M57" i="10"/>
  <c r="CI158" i="10"/>
  <c r="CJ158" i="10" s="1"/>
  <c r="G153" i="10"/>
  <c r="Q61" i="2"/>
  <c r="N57" i="10"/>
  <c r="AG57" i="27"/>
  <c r="AG153" i="27"/>
  <c r="AC153" i="27"/>
  <c r="AH57" i="27"/>
  <c r="L11" i="19" s="1"/>
  <c r="AH153" i="27"/>
  <c r="F153" i="10"/>
  <c r="Z58" i="2"/>
  <c r="J41" i="21"/>
  <c r="I41" i="21"/>
  <c r="H41" i="21"/>
  <c r="G41" i="21"/>
  <c r="E41" i="21"/>
  <c r="K20" i="21"/>
  <c r="J20" i="21"/>
  <c r="I20" i="21"/>
  <c r="H20" i="21"/>
  <c r="G20" i="21"/>
  <c r="E20" i="21"/>
  <c r="K19" i="21"/>
  <c r="J19" i="21"/>
  <c r="I19" i="21"/>
  <c r="H19" i="21"/>
  <c r="E19" i="21"/>
  <c r="J18" i="21"/>
  <c r="I18" i="21"/>
  <c r="H18" i="21"/>
  <c r="G18" i="21"/>
  <c r="E18" i="21"/>
  <c r="J52" i="21"/>
  <c r="I52" i="21"/>
  <c r="H52" i="21"/>
  <c r="K18" i="21"/>
  <c r="K38" i="21"/>
  <c r="J38" i="21"/>
  <c r="I38" i="21"/>
  <c r="H38" i="21"/>
  <c r="F38" i="21"/>
  <c r="E38" i="21"/>
  <c r="K31" i="21"/>
  <c r="J31" i="21"/>
  <c r="I31" i="21"/>
  <c r="H31" i="21"/>
  <c r="G31" i="21"/>
  <c r="F31" i="21"/>
  <c r="E31" i="21"/>
  <c r="K51" i="21"/>
  <c r="J51" i="21"/>
  <c r="I51" i="21"/>
  <c r="H51" i="21"/>
  <c r="G51" i="21"/>
  <c r="F51" i="21"/>
  <c r="E51" i="21"/>
  <c r="K50" i="21"/>
  <c r="J50" i="21"/>
  <c r="I50" i="21"/>
  <c r="H50" i="21"/>
  <c r="G50" i="21"/>
  <c r="F50" i="21"/>
  <c r="E50" i="21"/>
  <c r="AE154" i="20"/>
  <c r="K44" i="21" s="1"/>
  <c r="AD154" i="20"/>
  <c r="J44" i="21" s="1"/>
  <c r="AC154" i="20"/>
  <c r="I44" i="21" s="1"/>
  <c r="AB154" i="20"/>
  <c r="H44" i="21" s="1"/>
  <c r="AA154" i="20"/>
  <c r="G44" i="21" s="1"/>
  <c r="AE148" i="20"/>
  <c r="AD148" i="20"/>
  <c r="AC148" i="20"/>
  <c r="Z148" i="20"/>
  <c r="Y148" i="20"/>
  <c r="AY135" i="20"/>
  <c r="K25" i="21" s="1"/>
  <c r="AX135" i="20"/>
  <c r="J25" i="21" s="1"/>
  <c r="AW135" i="20"/>
  <c r="I25" i="21" s="1"/>
  <c r="AV135" i="20"/>
  <c r="H25" i="21" s="1"/>
  <c r="AU135" i="20"/>
  <c r="G25" i="21" s="1"/>
  <c r="AT135" i="20"/>
  <c r="F25" i="21" s="1"/>
  <c r="AS135" i="20"/>
  <c r="E25" i="21" s="1"/>
  <c r="AE135" i="20"/>
  <c r="K48" i="21" s="1"/>
  <c r="AD135" i="20"/>
  <c r="J48" i="21" s="1"/>
  <c r="AC135" i="20"/>
  <c r="I48" i="21" s="1"/>
  <c r="AB135" i="20"/>
  <c r="H48" i="21" s="1"/>
  <c r="AA135" i="20"/>
  <c r="G48" i="21" s="1"/>
  <c r="Z135" i="20"/>
  <c r="F48" i="21" s="1"/>
  <c r="Y135" i="20"/>
  <c r="E48" i="21" s="1"/>
  <c r="BS121" i="20"/>
  <c r="BR121" i="20"/>
  <c r="BQ121" i="20"/>
  <c r="BP121" i="20"/>
  <c r="BO121" i="20"/>
  <c r="BN121" i="20"/>
  <c r="BM121" i="20"/>
  <c r="K10" i="21"/>
  <c r="J10" i="21"/>
  <c r="H10" i="21"/>
  <c r="F10" i="21"/>
  <c r="E10" i="21"/>
  <c r="K23" i="21"/>
  <c r="J23" i="21"/>
  <c r="I23" i="21"/>
  <c r="H23" i="21"/>
  <c r="F23" i="21"/>
  <c r="E23" i="21"/>
  <c r="K42" i="21"/>
  <c r="J42" i="21"/>
  <c r="I42" i="21"/>
  <c r="H42" i="21"/>
  <c r="F42" i="21"/>
  <c r="E42" i="21"/>
  <c r="K8" i="21"/>
  <c r="J8" i="21"/>
  <c r="I8" i="21"/>
  <c r="H8" i="21"/>
  <c r="F8" i="21"/>
  <c r="E8" i="21"/>
  <c r="G23" i="21"/>
  <c r="AY86" i="20"/>
  <c r="K33" i="21" s="1"/>
  <c r="AX86" i="20"/>
  <c r="J33" i="21" s="1"/>
  <c r="AW86" i="20"/>
  <c r="I33" i="21" s="1"/>
  <c r="AV86" i="20"/>
  <c r="H33" i="21" s="1"/>
  <c r="AU86" i="20"/>
  <c r="G33" i="21" s="1"/>
  <c r="AS86" i="20"/>
  <c r="E33" i="21" s="1"/>
  <c r="AE86" i="20"/>
  <c r="K32" i="21" s="1"/>
  <c r="AD86" i="20"/>
  <c r="J32" i="21" s="1"/>
  <c r="AC86" i="20"/>
  <c r="I32" i="21" s="1"/>
  <c r="AB86" i="20"/>
  <c r="H32" i="21" s="1"/>
  <c r="E32" i="21"/>
  <c r="K34" i="21"/>
  <c r="J34" i="21"/>
  <c r="I34" i="21"/>
  <c r="G34" i="21"/>
  <c r="AE74" i="20"/>
  <c r="K36" i="21" s="1"/>
  <c r="AD74" i="20"/>
  <c r="J36" i="21" s="1"/>
  <c r="AC74" i="20"/>
  <c r="I36" i="21" s="1"/>
  <c r="Z74" i="20"/>
  <c r="F36" i="21" s="1"/>
  <c r="Y74" i="20"/>
  <c r="E36" i="21" s="1"/>
  <c r="AE67" i="20"/>
  <c r="K40" i="21" s="1"/>
  <c r="AD67" i="20"/>
  <c r="J40" i="21" s="1"/>
  <c r="AC67" i="20"/>
  <c r="I40" i="21" s="1"/>
  <c r="Z67" i="20"/>
  <c r="F40" i="21" s="1"/>
  <c r="Y67" i="20"/>
  <c r="E40" i="21" s="1"/>
  <c r="AY62" i="20"/>
  <c r="AX62" i="20"/>
  <c r="AW62" i="20"/>
  <c r="AV62" i="20"/>
  <c r="AU62" i="20"/>
  <c r="AT62" i="20"/>
  <c r="AS62" i="20"/>
  <c r="AE62" i="20"/>
  <c r="K21" i="21" s="1"/>
  <c r="AD62" i="20"/>
  <c r="J21" i="21" s="1"/>
  <c r="AC62" i="20"/>
  <c r="I21" i="21" s="1"/>
  <c r="Y62" i="20"/>
  <c r="E21" i="21" s="1"/>
  <c r="K30" i="21"/>
  <c r="J30" i="21"/>
  <c r="I30" i="21"/>
  <c r="H30" i="21"/>
  <c r="E30" i="21"/>
  <c r="K13" i="21"/>
  <c r="J13" i="21"/>
  <c r="I13" i="21"/>
  <c r="H13" i="21"/>
  <c r="G13" i="21"/>
  <c r="E13" i="21"/>
  <c r="K37" i="21"/>
  <c r="J37" i="21"/>
  <c r="I37" i="21"/>
  <c r="H37" i="21"/>
  <c r="G37" i="21"/>
  <c r="E37" i="21"/>
  <c r="DG50" i="20"/>
  <c r="K39" i="21" s="1"/>
  <c r="DF50" i="20"/>
  <c r="J39" i="21" s="1"/>
  <c r="DE50" i="20"/>
  <c r="I39" i="21" s="1"/>
  <c r="DD50" i="20"/>
  <c r="H39" i="21" s="1"/>
  <c r="DA50" i="20"/>
  <c r="E39" i="21" s="1"/>
  <c r="CM50" i="20"/>
  <c r="K17" i="21" s="1"/>
  <c r="CL50" i="20"/>
  <c r="J17" i="21" s="1"/>
  <c r="CK50" i="20"/>
  <c r="I17" i="21" s="1"/>
  <c r="CJ50" i="20"/>
  <c r="H17" i="21" s="1"/>
  <c r="CH50" i="20"/>
  <c r="F17" i="21" s="1"/>
  <c r="CG50" i="20"/>
  <c r="E17" i="21" s="1"/>
  <c r="BS50" i="20"/>
  <c r="K16" i="21" s="1"/>
  <c r="BR50" i="20"/>
  <c r="J16" i="21" s="1"/>
  <c r="BQ50" i="20"/>
  <c r="I16" i="21" s="1"/>
  <c r="BP50" i="20"/>
  <c r="H16" i="21" s="1"/>
  <c r="BN50" i="20"/>
  <c r="F16" i="21" s="1"/>
  <c r="BM50" i="20"/>
  <c r="E16" i="21" s="1"/>
  <c r="AY50" i="20"/>
  <c r="K15" i="21" s="1"/>
  <c r="AX50" i="20"/>
  <c r="J15" i="21" s="1"/>
  <c r="AW50" i="20"/>
  <c r="I15" i="21" s="1"/>
  <c r="AV50" i="20"/>
  <c r="H15" i="21" s="1"/>
  <c r="AS50" i="20"/>
  <c r="E15" i="21" s="1"/>
  <c r="BS46" i="20"/>
  <c r="BR46" i="20"/>
  <c r="BQ46" i="20"/>
  <c r="BP46" i="20"/>
  <c r="BO46" i="20"/>
  <c r="BN46" i="20"/>
  <c r="BM46" i="20"/>
  <c r="DB50" i="20"/>
  <c r="F39" i="21" s="1"/>
  <c r="AE50" i="20"/>
  <c r="K14" i="21" s="1"/>
  <c r="AD50" i="20"/>
  <c r="J14" i="21" s="1"/>
  <c r="AC50" i="20"/>
  <c r="I14" i="21" s="1"/>
  <c r="AB50" i="20"/>
  <c r="H14" i="21" s="1"/>
  <c r="Z50" i="20"/>
  <c r="F14" i="21" s="1"/>
  <c r="Y50" i="20"/>
  <c r="E14" i="21" s="1"/>
  <c r="AY46" i="20"/>
  <c r="K12" i="21" s="1"/>
  <c r="AX46" i="20"/>
  <c r="J12" i="21" s="1"/>
  <c r="AW46" i="20"/>
  <c r="I12" i="21" s="1"/>
  <c r="AV46" i="20"/>
  <c r="H12" i="21" s="1"/>
  <c r="AU46" i="20"/>
  <c r="G12" i="21" s="1"/>
  <c r="AS46" i="20"/>
  <c r="E12" i="21" s="1"/>
  <c r="AE46" i="20"/>
  <c r="AD46" i="20"/>
  <c r="AC46" i="20"/>
  <c r="AB46" i="20"/>
  <c r="H11" i="21" s="1"/>
  <c r="AA46" i="20"/>
  <c r="L31" i="21" l="1"/>
  <c r="L84" i="21" s="1"/>
  <c r="CI60" i="10"/>
  <c r="CJ60" i="10" s="1"/>
  <c r="L48" i="21"/>
  <c r="E78" i="21"/>
  <c r="L25" i="21"/>
  <c r="L78" i="21" s="1"/>
  <c r="L51" i="21"/>
  <c r="L104" i="21" s="1"/>
  <c r="L50" i="21"/>
  <c r="L103" i="21" s="1"/>
  <c r="L23" i="21"/>
  <c r="L76" i="21" s="1"/>
  <c r="CI53" i="10"/>
  <c r="R155" i="10"/>
  <c r="Q155" i="10" s="1"/>
  <c r="CQ155" i="10" s="1"/>
  <c r="CR155" i="10"/>
  <c r="CR154" i="10"/>
  <c r="CR53" i="10"/>
  <c r="CR51" i="10"/>
  <c r="CI51" i="10"/>
  <c r="CJ51" i="10" s="1"/>
  <c r="F78" i="21"/>
  <c r="G78" i="21" s="1"/>
  <c r="H78" i="21" s="1"/>
  <c r="I78" i="21" s="1"/>
  <c r="J78" i="21" s="1"/>
  <c r="K78" i="21" s="1"/>
  <c r="CI155" i="10"/>
  <c r="CJ155" i="10" s="1"/>
  <c r="I43" i="21"/>
  <c r="J43" i="21"/>
  <c r="E43" i="21"/>
  <c r="K43" i="21"/>
  <c r="F43" i="21"/>
  <c r="F41" i="21"/>
  <c r="K41" i="21"/>
  <c r="AS33" i="20"/>
  <c r="E47" i="21" s="1"/>
  <c r="AT33" i="20"/>
  <c r="F47" i="21" s="1"/>
  <c r="AX33" i="20"/>
  <c r="J47" i="21" s="1"/>
  <c r="AY33" i="20"/>
  <c r="K47" i="21" s="1"/>
  <c r="I10" i="21"/>
  <c r="G10" i="21"/>
  <c r="J11" i="21"/>
  <c r="F12" i="21"/>
  <c r="L12" i="21" s="1"/>
  <c r="L65" i="21" s="1"/>
  <c r="K11" i="21"/>
  <c r="DC50" i="20"/>
  <c r="G39" i="21" s="1"/>
  <c r="L39" i="21" s="1"/>
  <c r="L92" i="21" s="1"/>
  <c r="G42" i="21"/>
  <c r="L42" i="21" s="1"/>
  <c r="L95" i="21" s="1"/>
  <c r="BS9" i="20"/>
  <c r="K6" i="21" s="1"/>
  <c r="BR9" i="20"/>
  <c r="J6" i="21" s="1"/>
  <c r="BQ9" i="20"/>
  <c r="I6" i="21" s="1"/>
  <c r="BP9" i="20"/>
  <c r="H6" i="21" s="1"/>
  <c r="BO9" i="20"/>
  <c r="G6" i="21" s="1"/>
  <c r="BN9" i="20"/>
  <c r="F6" i="21" s="1"/>
  <c r="BM9" i="20"/>
  <c r="E6" i="21" s="1"/>
  <c r="K5" i="21"/>
  <c r="J5" i="21"/>
  <c r="I5" i="21"/>
  <c r="H5" i="21"/>
  <c r="G5" i="21"/>
  <c r="F5" i="21"/>
  <c r="E5" i="21"/>
  <c r="K4" i="21"/>
  <c r="J4" i="21"/>
  <c r="I4" i="21"/>
  <c r="H4" i="21"/>
  <c r="F4" i="21"/>
  <c r="E4" i="21"/>
  <c r="C104" i="21"/>
  <c r="D104" i="21" s="1"/>
  <c r="C103" i="21"/>
  <c r="D103" i="21" s="1"/>
  <c r="C101" i="21"/>
  <c r="D101" i="21" s="1"/>
  <c r="E101" i="21" s="1"/>
  <c r="F101" i="21" s="1"/>
  <c r="G101" i="21" s="1"/>
  <c r="C100" i="21"/>
  <c r="D100" i="21" s="1"/>
  <c r="C99" i="21"/>
  <c r="D99" i="21" s="1"/>
  <c r="C97" i="21"/>
  <c r="D97" i="21" s="1"/>
  <c r="C96" i="21"/>
  <c r="D96" i="21" s="1"/>
  <c r="C95" i="21"/>
  <c r="D95" i="21" s="1"/>
  <c r="C94" i="21"/>
  <c r="D94" i="21" s="1"/>
  <c r="E94" i="21" s="1"/>
  <c r="C93" i="21"/>
  <c r="D93" i="21" s="1"/>
  <c r="C92" i="21"/>
  <c r="D92" i="21" s="1"/>
  <c r="E92" i="21" s="1"/>
  <c r="C91" i="21"/>
  <c r="D91" i="21" s="1"/>
  <c r="C90" i="21"/>
  <c r="D90" i="21" s="1"/>
  <c r="E90" i="21" s="1"/>
  <c r="C89" i="21"/>
  <c r="D89" i="21" s="1"/>
  <c r="C87" i="21"/>
  <c r="D87" i="21" s="1"/>
  <c r="C86" i="21"/>
  <c r="D86" i="21" s="1"/>
  <c r="C85" i="21"/>
  <c r="D85" i="21" s="1"/>
  <c r="E85" i="21" s="1"/>
  <c r="C84" i="21"/>
  <c r="D84" i="21" s="1"/>
  <c r="C83" i="21"/>
  <c r="D83" i="21" s="1"/>
  <c r="C81" i="21"/>
  <c r="D81" i="21" s="1"/>
  <c r="C80" i="21"/>
  <c r="D80" i="21" s="1"/>
  <c r="C79" i="21"/>
  <c r="D79" i="21" s="1"/>
  <c r="C76" i="21"/>
  <c r="D76" i="21" s="1"/>
  <c r="E76" i="21" s="1"/>
  <c r="C74" i="21"/>
  <c r="D74" i="21" s="1"/>
  <c r="C73" i="21"/>
  <c r="D73" i="21" s="1"/>
  <c r="C72" i="21"/>
  <c r="D72" i="21" s="1"/>
  <c r="C71" i="21"/>
  <c r="D71" i="21" s="1"/>
  <c r="C70" i="21"/>
  <c r="D70" i="21" s="1"/>
  <c r="C69" i="21"/>
  <c r="D69" i="21" s="1"/>
  <c r="C68" i="21"/>
  <c r="D68" i="21" s="1"/>
  <c r="C67" i="21"/>
  <c r="D67" i="21" s="1"/>
  <c r="C66" i="21"/>
  <c r="D66" i="21" s="1"/>
  <c r="C65" i="21"/>
  <c r="D65" i="21" s="1"/>
  <c r="C64" i="21"/>
  <c r="D64" i="21" s="1"/>
  <c r="C63" i="21"/>
  <c r="D63" i="21" s="1"/>
  <c r="E63" i="21" s="1"/>
  <c r="F63" i="21" s="1"/>
  <c r="C62" i="21"/>
  <c r="D62" i="21" s="1"/>
  <c r="C61" i="21"/>
  <c r="D61" i="21" s="1"/>
  <c r="E61" i="21" s="1"/>
  <c r="C59" i="21"/>
  <c r="D59" i="21" s="1"/>
  <c r="C58" i="21"/>
  <c r="D58" i="21" s="1"/>
  <c r="C57" i="21"/>
  <c r="D57" i="21" s="1"/>
  <c r="G52" i="21"/>
  <c r="K52" i="21"/>
  <c r="G38" i="21"/>
  <c r="L38" i="21" s="1"/>
  <c r="L91" i="21" s="1"/>
  <c r="Z154" i="20"/>
  <c r="F44" i="21" s="1"/>
  <c r="AA148" i="20"/>
  <c r="AA86" i="20"/>
  <c r="G32" i="21" s="1"/>
  <c r="E34" i="21"/>
  <c r="F34" i="21"/>
  <c r="AB74" i="20"/>
  <c r="H36" i="21" s="1"/>
  <c r="AB67" i="20"/>
  <c r="H40" i="21" s="1"/>
  <c r="AB62" i="20"/>
  <c r="H21" i="21" s="1"/>
  <c r="AA62" i="20"/>
  <c r="G21" i="21" s="1"/>
  <c r="F30" i="21"/>
  <c r="F13" i="21"/>
  <c r="L13" i="21" s="1"/>
  <c r="L66" i="21" s="1"/>
  <c r="F37" i="21"/>
  <c r="L37" i="21" s="1"/>
  <c r="L90" i="21" s="1"/>
  <c r="AU50" i="20"/>
  <c r="G15" i="21" s="1"/>
  <c r="AT50" i="20"/>
  <c r="F15" i="21" s="1"/>
  <c r="Z46" i="20"/>
  <c r="Y46" i="20"/>
  <c r="E11" i="21" s="1"/>
  <c r="G11" i="21"/>
  <c r="H101" i="21" l="1"/>
  <c r="I101" i="21" s="1"/>
  <c r="J101" i="21" s="1"/>
  <c r="K101" i="21" s="1"/>
  <c r="L10" i="21"/>
  <c r="L63" i="21" s="1"/>
  <c r="L6" i="21"/>
  <c r="L59" i="21" s="1"/>
  <c r="L41" i="21"/>
  <c r="L94" i="21" s="1"/>
  <c r="L15" i="21"/>
  <c r="L68" i="21" s="1"/>
  <c r="L5" i="21"/>
  <c r="L58" i="21" s="1"/>
  <c r="G43" i="21"/>
  <c r="F19" i="21"/>
  <c r="G19" i="21"/>
  <c r="F20" i="21"/>
  <c r="L20" i="21" s="1"/>
  <c r="L73" i="21" s="1"/>
  <c r="AW33" i="20"/>
  <c r="I47" i="21" s="1"/>
  <c r="AA33" i="20"/>
  <c r="AB33" i="20"/>
  <c r="H46" i="21" s="1"/>
  <c r="AV33" i="20"/>
  <c r="H47" i="21" s="1"/>
  <c r="G63" i="21"/>
  <c r="H63" i="21" s="1"/>
  <c r="I63" i="21" s="1"/>
  <c r="J63" i="21" s="1"/>
  <c r="K63" i="21" s="1"/>
  <c r="E103" i="21"/>
  <c r="F103" i="21" s="1"/>
  <c r="G103" i="21" s="1"/>
  <c r="H103" i="21" s="1"/>
  <c r="I103" i="21" s="1"/>
  <c r="J103" i="21" s="1"/>
  <c r="K103" i="21" s="1"/>
  <c r="F18" i="21"/>
  <c r="L18" i="21" s="1"/>
  <c r="L71" i="21" s="1"/>
  <c r="F11" i="21"/>
  <c r="E71" i="21"/>
  <c r="CI50" i="20"/>
  <c r="G17" i="21" s="1"/>
  <c r="L17" i="21" s="1"/>
  <c r="L70" i="21" s="1"/>
  <c r="Z62" i="20"/>
  <c r="F21" i="21" s="1"/>
  <c r="L21" i="21" s="1"/>
  <c r="L74" i="21" s="1"/>
  <c r="G30" i="21"/>
  <c r="L30" i="21" s="1"/>
  <c r="L83" i="21" s="1"/>
  <c r="AA67" i="20"/>
  <c r="G40" i="21" s="1"/>
  <c r="L40" i="21" s="1"/>
  <c r="L93" i="21" s="1"/>
  <c r="AA74" i="20"/>
  <c r="G36" i="21" s="1"/>
  <c r="L36" i="21" s="1"/>
  <c r="L89" i="21" s="1"/>
  <c r="AB148" i="20"/>
  <c r="AT86" i="20"/>
  <c r="F33" i="21" s="1"/>
  <c r="L33" i="21" s="1"/>
  <c r="L86" i="21" s="1"/>
  <c r="Y154" i="20"/>
  <c r="E44" i="21" s="1"/>
  <c r="F52" i="21"/>
  <c r="L52" i="21" s="1"/>
  <c r="I11" i="21"/>
  <c r="H34" i="21"/>
  <c r="L34" i="21" s="1"/>
  <c r="L87" i="21" s="1"/>
  <c r="Z86" i="20"/>
  <c r="F32" i="21" s="1"/>
  <c r="AA50" i="20"/>
  <c r="G14" i="21" s="1"/>
  <c r="L14" i="21" s="1"/>
  <c r="L67" i="21" s="1"/>
  <c r="BO50" i="20"/>
  <c r="G16" i="21" s="1"/>
  <c r="L16" i="21" s="1"/>
  <c r="L69" i="21" s="1"/>
  <c r="G8" i="21"/>
  <c r="L8" i="21" s="1"/>
  <c r="L61" i="21" s="1"/>
  <c r="E68" i="21"/>
  <c r="F68" i="21" s="1"/>
  <c r="G68" i="21" s="1"/>
  <c r="H68" i="21" s="1"/>
  <c r="I68" i="21" s="1"/>
  <c r="J68" i="21" s="1"/>
  <c r="K68" i="21" s="1"/>
  <c r="E73" i="21"/>
  <c r="E96" i="21"/>
  <c r="F96" i="21" s="1"/>
  <c r="E66" i="21"/>
  <c r="F66" i="21" s="1"/>
  <c r="G66" i="21" s="1"/>
  <c r="H66" i="21" s="1"/>
  <c r="I66" i="21" s="1"/>
  <c r="J66" i="21" s="1"/>
  <c r="K66" i="21" s="1"/>
  <c r="E83" i="21"/>
  <c r="F83" i="21" s="1"/>
  <c r="E64" i="21"/>
  <c r="F61" i="21"/>
  <c r="E89" i="21"/>
  <c r="F89" i="21" s="1"/>
  <c r="E65" i="21"/>
  <c r="F65" i="21" s="1"/>
  <c r="G65" i="21" s="1"/>
  <c r="H65" i="21" s="1"/>
  <c r="I65" i="21" s="1"/>
  <c r="J65" i="21" s="1"/>
  <c r="K65" i="21" s="1"/>
  <c r="E67" i="21"/>
  <c r="F67" i="21" s="1"/>
  <c r="E69" i="21"/>
  <c r="F69" i="21" s="1"/>
  <c r="F76" i="21"/>
  <c r="G76" i="21" s="1"/>
  <c r="H76" i="21" s="1"/>
  <c r="I76" i="21" s="1"/>
  <c r="J76" i="21" s="1"/>
  <c r="K76" i="21" s="1"/>
  <c r="E87" i="21"/>
  <c r="F87" i="21" s="1"/>
  <c r="G87" i="21" s="1"/>
  <c r="F90" i="21"/>
  <c r="G90" i="21" s="1"/>
  <c r="H90" i="21" s="1"/>
  <c r="I90" i="21" s="1"/>
  <c r="J90" i="21" s="1"/>
  <c r="K90" i="21" s="1"/>
  <c r="F94" i="21"/>
  <c r="G94" i="21" s="1"/>
  <c r="H94" i="21" s="1"/>
  <c r="I94" i="21" s="1"/>
  <c r="J94" i="21" s="1"/>
  <c r="K94" i="21" s="1"/>
  <c r="E99" i="21"/>
  <c r="F99" i="21" s="1"/>
  <c r="E59" i="21"/>
  <c r="F59" i="21" s="1"/>
  <c r="G59" i="21" s="1"/>
  <c r="H59" i="21" s="1"/>
  <c r="I59" i="21" s="1"/>
  <c r="J59" i="21" s="1"/>
  <c r="K59" i="21" s="1"/>
  <c r="E58" i="21"/>
  <c r="F58" i="21" s="1"/>
  <c r="G58" i="21" s="1"/>
  <c r="H58" i="21" s="1"/>
  <c r="I58" i="21" s="1"/>
  <c r="J58" i="21" s="1"/>
  <c r="K58" i="21" s="1"/>
  <c r="E57" i="21"/>
  <c r="F57" i="21" s="1"/>
  <c r="E70" i="21"/>
  <c r="F70" i="21" s="1"/>
  <c r="E86" i="21"/>
  <c r="E95" i="21"/>
  <c r="F95" i="21" s="1"/>
  <c r="G95" i="21" s="1"/>
  <c r="H95" i="21" s="1"/>
  <c r="I95" i="21" s="1"/>
  <c r="J95" i="21" s="1"/>
  <c r="K95" i="21" s="1"/>
  <c r="F92" i="21"/>
  <c r="G92" i="21" s="1"/>
  <c r="H92" i="21" s="1"/>
  <c r="I92" i="21" s="1"/>
  <c r="J92" i="21" s="1"/>
  <c r="K92" i="21" s="1"/>
  <c r="E74" i="21"/>
  <c r="E84" i="21"/>
  <c r="F84" i="21" s="1"/>
  <c r="G84" i="21" s="1"/>
  <c r="H84" i="21" s="1"/>
  <c r="I84" i="21" s="1"/>
  <c r="J84" i="21" s="1"/>
  <c r="K84" i="21" s="1"/>
  <c r="E93" i="21"/>
  <c r="F93" i="21" s="1"/>
  <c r="E72" i="21"/>
  <c r="E91" i="21"/>
  <c r="F91" i="21" s="1"/>
  <c r="G91" i="21" s="1"/>
  <c r="H91" i="21" s="1"/>
  <c r="I91" i="21" s="1"/>
  <c r="J91" i="21" s="1"/>
  <c r="K91" i="21" s="1"/>
  <c r="E100" i="21"/>
  <c r="F100" i="21" s="1"/>
  <c r="E104" i="21"/>
  <c r="F104" i="21" s="1"/>
  <c r="G104" i="21" s="1"/>
  <c r="H104" i="21" s="1"/>
  <c r="I104" i="21" s="1"/>
  <c r="J104" i="21" s="1"/>
  <c r="K104" i="21" s="1"/>
  <c r="G46" i="21" l="1"/>
  <c r="L46" i="21" s="1"/>
  <c r="L99" i="21" s="1"/>
  <c r="G96" i="21"/>
  <c r="L11" i="21"/>
  <c r="L64" i="21" s="1"/>
  <c r="F105" i="21"/>
  <c r="G105" i="21" s="1"/>
  <c r="H105" i="21" s="1"/>
  <c r="I105" i="21" s="1"/>
  <c r="J105" i="21" s="1"/>
  <c r="K105" i="21" s="1"/>
  <c r="L105" i="21"/>
  <c r="L19" i="21"/>
  <c r="L72" i="21" s="1"/>
  <c r="F85" i="21"/>
  <c r="G85" i="21" s="1"/>
  <c r="H85" i="21" s="1"/>
  <c r="I85" i="21" s="1"/>
  <c r="J85" i="21" s="1"/>
  <c r="K85" i="21" s="1"/>
  <c r="L32" i="21"/>
  <c r="L85" i="21" s="1"/>
  <c r="E97" i="21"/>
  <c r="F97" i="21" s="1"/>
  <c r="G97" i="21" s="1"/>
  <c r="H97" i="21" s="1"/>
  <c r="I97" i="21" s="1"/>
  <c r="J97" i="21" s="1"/>
  <c r="K97" i="21" s="1"/>
  <c r="L44" i="21"/>
  <c r="L97" i="21" s="1"/>
  <c r="G67" i="21"/>
  <c r="H67" i="21" s="1"/>
  <c r="I67" i="21" s="1"/>
  <c r="J67" i="21" s="1"/>
  <c r="K67" i="21" s="1"/>
  <c r="H43" i="21"/>
  <c r="F86" i="21"/>
  <c r="G86" i="21" s="1"/>
  <c r="H86" i="21" s="1"/>
  <c r="I86" i="21" s="1"/>
  <c r="J86" i="21" s="1"/>
  <c r="K86" i="21" s="1"/>
  <c r="F73" i="21"/>
  <c r="G73" i="21" s="1"/>
  <c r="H73" i="21" s="1"/>
  <c r="I73" i="21" s="1"/>
  <c r="J73" i="21" s="1"/>
  <c r="K73" i="21" s="1"/>
  <c r="AU33" i="20"/>
  <c r="G93" i="21"/>
  <c r="H93" i="21" s="1"/>
  <c r="I93" i="21" s="1"/>
  <c r="J93" i="21" s="1"/>
  <c r="K93" i="21" s="1"/>
  <c r="H87" i="21"/>
  <c r="I87" i="21" s="1"/>
  <c r="J87" i="21" s="1"/>
  <c r="K87" i="21" s="1"/>
  <c r="G70" i="21"/>
  <c r="H70" i="21" s="1"/>
  <c r="I70" i="21" s="1"/>
  <c r="J70" i="21" s="1"/>
  <c r="K70" i="21" s="1"/>
  <c r="G89" i="21"/>
  <c r="H89" i="21" s="1"/>
  <c r="I89" i="21" s="1"/>
  <c r="J89" i="21" s="1"/>
  <c r="K89" i="21" s="1"/>
  <c r="G99" i="21"/>
  <c r="H99" i="21" s="1"/>
  <c r="I99" i="21" s="1"/>
  <c r="J99" i="21" s="1"/>
  <c r="K99" i="21" s="1"/>
  <c r="F74" i="21"/>
  <c r="G74" i="21" s="1"/>
  <c r="H74" i="21" s="1"/>
  <c r="I74" i="21" s="1"/>
  <c r="J74" i="21" s="1"/>
  <c r="K74" i="21" s="1"/>
  <c r="G83" i="21"/>
  <c r="H83" i="21" s="1"/>
  <c r="I83" i="21" s="1"/>
  <c r="J83" i="21" s="1"/>
  <c r="K83" i="21" s="1"/>
  <c r="F71" i="21"/>
  <c r="G71" i="21" s="1"/>
  <c r="H71" i="21" s="1"/>
  <c r="I71" i="21" s="1"/>
  <c r="J71" i="21" s="1"/>
  <c r="K71" i="21" s="1"/>
  <c r="F72" i="21"/>
  <c r="G72" i="21" s="1"/>
  <c r="H72" i="21" s="1"/>
  <c r="I72" i="21" s="1"/>
  <c r="J72" i="21" s="1"/>
  <c r="K72" i="21" s="1"/>
  <c r="G69" i="21"/>
  <c r="H69" i="21" s="1"/>
  <c r="I69" i="21" s="1"/>
  <c r="J69" i="21" s="1"/>
  <c r="K69" i="21" s="1"/>
  <c r="F64" i="21"/>
  <c r="G64" i="21" s="1"/>
  <c r="H64" i="21" s="1"/>
  <c r="I64" i="21" s="1"/>
  <c r="J64" i="21" s="1"/>
  <c r="K64" i="21" s="1"/>
  <c r="G61" i="21"/>
  <c r="H61" i="21" s="1"/>
  <c r="I61" i="21" s="1"/>
  <c r="J61" i="21" s="1"/>
  <c r="K61" i="21" s="1"/>
  <c r="H96" i="21" l="1"/>
  <c r="I96" i="21" s="1"/>
  <c r="J96" i="21" s="1"/>
  <c r="K96" i="21" s="1"/>
  <c r="L43" i="21"/>
  <c r="L96" i="21" s="1"/>
  <c r="G47" i="21"/>
  <c r="G100" i="21" l="1"/>
  <c r="H100" i="21" s="1"/>
  <c r="I100" i="21" s="1"/>
  <c r="J100" i="21" s="1"/>
  <c r="K100" i="21" s="1"/>
  <c r="L47" i="21"/>
  <c r="L100" i="21" s="1"/>
  <c r="C4" i="19"/>
  <c r="X32" i="2" l="1"/>
  <c r="U32" i="2"/>
  <c r="T25" i="77" s="1"/>
  <c r="V30" i="28"/>
  <c r="Z30" i="28" s="1"/>
  <c r="X31" i="2"/>
  <c r="W24" i="77" s="1"/>
  <c r="U31" i="2"/>
  <c r="X30" i="2"/>
  <c r="U30" i="2"/>
  <c r="T23" i="77" s="1"/>
  <c r="X29" i="2"/>
  <c r="U29" i="2"/>
  <c r="T22" i="77" s="1"/>
  <c r="X28" i="2"/>
  <c r="U28" i="2"/>
  <c r="T21" i="77" s="1"/>
  <c r="M27" i="24"/>
  <c r="L27" i="24"/>
  <c r="X27" i="2"/>
  <c r="U27" i="2"/>
  <c r="T20" i="77" s="1"/>
  <c r="X26" i="2"/>
  <c r="U26" i="2"/>
  <c r="T19" i="77" s="1"/>
  <c r="X25" i="2"/>
  <c r="U25" i="2"/>
  <c r="T18" i="77" s="1"/>
  <c r="X24" i="2"/>
  <c r="U24" i="2"/>
  <c r="T17" i="77" s="1"/>
  <c r="K12" i="6"/>
  <c r="X23" i="2"/>
  <c r="U23" i="2"/>
  <c r="T16" i="77" s="1"/>
  <c r="P7" i="9"/>
  <c r="O7" i="9"/>
  <c r="N7" i="9"/>
  <c r="X22" i="2"/>
  <c r="U22" i="2"/>
  <c r="T15" i="77" s="1"/>
  <c r="X21" i="2"/>
  <c r="U21" i="2"/>
  <c r="T14" i="77" s="1"/>
  <c r="M20" i="24"/>
  <c r="L20" i="24"/>
  <c r="O7" i="6"/>
  <c r="M7" i="6"/>
  <c r="L7" i="6"/>
  <c r="X20" i="2"/>
  <c r="U20" i="2"/>
  <c r="T13" i="77" s="1"/>
  <c r="X19" i="2"/>
  <c r="U19" i="2"/>
  <c r="T12" i="77" s="1"/>
  <c r="X18" i="2"/>
  <c r="U18" i="2"/>
  <c r="T11" i="77" s="1"/>
  <c r="X17" i="2"/>
  <c r="U17" i="2"/>
  <c r="T10" i="77" s="1"/>
  <c r="X16" i="2"/>
  <c r="M15" i="24"/>
  <c r="L15" i="24"/>
  <c r="X15" i="2"/>
  <c r="U15" i="2"/>
  <c r="T8" i="77" s="1"/>
  <c r="X13" i="2"/>
  <c r="U13" i="2"/>
  <c r="T6" i="77" s="1"/>
  <c r="X14" i="2"/>
  <c r="U14" i="2"/>
  <c r="T7" i="77" s="1"/>
  <c r="X12" i="2"/>
  <c r="U12" i="2"/>
  <c r="T5" i="77" s="1"/>
  <c r="X11" i="2"/>
  <c r="U11" i="2"/>
  <c r="T4" i="77" s="1"/>
  <c r="M10" i="24"/>
  <c r="X10" i="2"/>
  <c r="U10" i="2"/>
  <c r="T3" i="77" s="1"/>
  <c r="M9" i="24"/>
  <c r="O13" i="24" l="1"/>
  <c r="W7" i="77"/>
  <c r="O19" i="24"/>
  <c r="W13" i="77"/>
  <c r="O9" i="24"/>
  <c r="W3" i="77"/>
  <c r="O10" i="24"/>
  <c r="W4" i="77"/>
  <c r="O11" i="24"/>
  <c r="W5" i="77"/>
  <c r="O14" i="24"/>
  <c r="W8" i="77"/>
  <c r="O18" i="24"/>
  <c r="W12" i="77"/>
  <c r="O12" i="24"/>
  <c r="W6" i="77"/>
  <c r="O17" i="24"/>
  <c r="W11" i="77"/>
  <c r="AF30" i="28"/>
  <c r="AJ30" i="28" s="1"/>
  <c r="W25" i="77"/>
  <c r="O16" i="24"/>
  <c r="W10" i="77"/>
  <c r="O24" i="25"/>
  <c r="W17" i="77"/>
  <c r="O29" i="24"/>
  <c r="W23" i="77"/>
  <c r="O15" i="24"/>
  <c r="W9" i="77"/>
  <c r="O21" i="24"/>
  <c r="W15" i="77"/>
  <c r="O22" i="24"/>
  <c r="W16" i="77"/>
  <c r="O26" i="24"/>
  <c r="W20" i="77"/>
  <c r="O28" i="24"/>
  <c r="W22" i="77"/>
  <c r="O20" i="24"/>
  <c r="W14" i="77"/>
  <c r="O25" i="24"/>
  <c r="W19" i="77"/>
  <c r="O27" i="24"/>
  <c r="W21" i="77"/>
  <c r="T24" i="77"/>
  <c r="O24" i="24"/>
  <c r="W18" i="77"/>
  <c r="N22" i="24"/>
  <c r="N26" i="24"/>
  <c r="N20" i="24"/>
  <c r="N25" i="24"/>
  <c r="N27" i="24"/>
  <c r="N28" i="24"/>
  <c r="N24" i="24"/>
  <c r="AA30" i="28"/>
  <c r="AE30" i="28" s="1"/>
  <c r="N21" i="24"/>
  <c r="N16" i="24"/>
  <c r="N24" i="25"/>
  <c r="L24" i="2"/>
  <c r="N19" i="24"/>
  <c r="N14" i="24"/>
  <c r="N18" i="24"/>
  <c r="N12" i="24"/>
  <c r="N17" i="24"/>
  <c r="N29" i="24"/>
  <c r="N9" i="24"/>
  <c r="N10" i="24"/>
  <c r="N11" i="24"/>
  <c r="N13" i="24"/>
  <c r="M24" i="25"/>
  <c r="T24" i="2"/>
  <c r="P24" i="25"/>
  <c r="S24" i="25" s="1"/>
  <c r="AE24" i="2"/>
  <c r="Q8" i="28"/>
  <c r="U8" i="28" s="1"/>
  <c r="L9" i="24"/>
  <c r="Q9" i="28"/>
  <c r="U9" i="28" s="1"/>
  <c r="L10" i="24"/>
  <c r="V10" i="28"/>
  <c r="Z10" i="28" s="1"/>
  <c r="M11" i="24"/>
  <c r="Q12" i="28"/>
  <c r="U12" i="28" s="1"/>
  <c r="L13" i="24"/>
  <c r="Q13" i="28"/>
  <c r="U13" i="28" s="1"/>
  <c r="L14" i="24"/>
  <c r="Q15" i="28"/>
  <c r="U15" i="28" s="1"/>
  <c r="L16" i="24"/>
  <c r="V17" i="28"/>
  <c r="Z17" i="28" s="1"/>
  <c r="M18" i="24"/>
  <c r="Q22" i="28"/>
  <c r="U22" i="28" s="1"/>
  <c r="L23" i="24"/>
  <c r="Q24" i="28"/>
  <c r="U24" i="28" s="1"/>
  <c r="L25" i="24"/>
  <c r="AA29" i="28"/>
  <c r="AE29" i="28" s="1"/>
  <c r="N30" i="24"/>
  <c r="N31" i="25"/>
  <c r="V12" i="28"/>
  <c r="Z12" i="28" s="1"/>
  <c r="M13" i="24"/>
  <c r="V13" i="28"/>
  <c r="Z13" i="28" s="1"/>
  <c r="M14" i="24"/>
  <c r="V15" i="28"/>
  <c r="Z15" i="28" s="1"/>
  <c r="M16" i="24"/>
  <c r="V22" i="28"/>
  <c r="Z22" i="28" s="1"/>
  <c r="M23" i="24"/>
  <c r="Q23" i="28"/>
  <c r="U23" i="28" s="1"/>
  <c r="L24" i="24"/>
  <c r="V24" i="28"/>
  <c r="Z24" i="28" s="1"/>
  <c r="M25" i="24"/>
  <c r="V28" i="28"/>
  <c r="Z28" i="28" s="1"/>
  <c r="M29" i="24"/>
  <c r="AF29" i="28"/>
  <c r="AJ29" i="28" s="1"/>
  <c r="O30" i="24"/>
  <c r="O31" i="25"/>
  <c r="V18" i="28"/>
  <c r="Z18" i="28" s="1"/>
  <c r="M19" i="24"/>
  <c r="Q20" i="28"/>
  <c r="U20" i="28" s="1"/>
  <c r="L21" i="24"/>
  <c r="Q21" i="28"/>
  <c r="U21" i="28" s="1"/>
  <c r="L22" i="24"/>
  <c r="AA22" i="28"/>
  <c r="AE22" i="28" s="1"/>
  <c r="N23" i="24"/>
  <c r="V23" i="28"/>
  <c r="Z23" i="28" s="1"/>
  <c r="M24" i="24"/>
  <c r="Q29" i="28"/>
  <c r="U29" i="28" s="1"/>
  <c r="L30" i="24"/>
  <c r="L31" i="25"/>
  <c r="Q31" i="2"/>
  <c r="Q10" i="28"/>
  <c r="U10" i="28" s="1"/>
  <c r="L11" i="24"/>
  <c r="V11" i="28"/>
  <c r="Z11" i="28" s="1"/>
  <c r="M12" i="24"/>
  <c r="V16" i="28"/>
  <c r="Z16" i="28" s="1"/>
  <c r="M17" i="24"/>
  <c r="Q17" i="28"/>
  <c r="U17" i="28" s="1"/>
  <c r="L18" i="24"/>
  <c r="V20" i="28"/>
  <c r="Z20" i="28" s="1"/>
  <c r="M21" i="24"/>
  <c r="V21" i="28"/>
  <c r="Z21" i="28" s="1"/>
  <c r="M22" i="24"/>
  <c r="AK22" i="28"/>
  <c r="AO22" i="28" s="1"/>
  <c r="P23" i="24"/>
  <c r="G16" i="40"/>
  <c r="AF22" i="28"/>
  <c r="AJ22" i="28" s="1"/>
  <c r="O23" i="24"/>
  <c r="V25" i="28"/>
  <c r="Z25" i="28" s="1"/>
  <c r="M26" i="24"/>
  <c r="V27" i="28"/>
  <c r="Z27" i="28" s="1"/>
  <c r="M28" i="24"/>
  <c r="V29" i="28"/>
  <c r="Z29" i="28" s="1"/>
  <c r="M30" i="24"/>
  <c r="M31" i="25"/>
  <c r="AF19" i="28"/>
  <c r="AJ19" i="28" s="1"/>
  <c r="O21" i="25"/>
  <c r="Q26" i="28"/>
  <c r="U26" i="28" s="1"/>
  <c r="L28" i="25"/>
  <c r="Q28" i="2"/>
  <c r="AF14" i="28"/>
  <c r="AJ14" i="28" s="1"/>
  <c r="O16" i="25"/>
  <c r="Q19" i="28"/>
  <c r="U19" i="28" s="1"/>
  <c r="L21" i="25"/>
  <c r="Q21" i="2"/>
  <c r="V26" i="28"/>
  <c r="Z26" i="28" s="1"/>
  <c r="M28" i="25"/>
  <c r="Q14" i="28"/>
  <c r="U14" i="28" s="1"/>
  <c r="L16" i="25"/>
  <c r="Q16" i="2"/>
  <c r="V19" i="28"/>
  <c r="Z19" i="28" s="1"/>
  <c r="M21" i="25"/>
  <c r="AA26" i="28"/>
  <c r="AE26" i="28" s="1"/>
  <c r="N28" i="25"/>
  <c r="V14" i="28"/>
  <c r="Z14" i="28" s="1"/>
  <c r="M16" i="25"/>
  <c r="AA19" i="28"/>
  <c r="AE19" i="28" s="1"/>
  <c r="N21" i="25"/>
  <c r="AF26" i="28"/>
  <c r="AJ26" i="28" s="1"/>
  <c r="O28" i="25"/>
  <c r="Q30" i="28"/>
  <c r="U30" i="28" s="1"/>
  <c r="R9" i="2"/>
  <c r="V8" i="28"/>
  <c r="N13" i="25"/>
  <c r="AA11" i="28"/>
  <c r="AE11" i="28" s="1"/>
  <c r="N10" i="25"/>
  <c r="AA8" i="28"/>
  <c r="M11" i="25"/>
  <c r="V9" i="28"/>
  <c r="N12" i="25"/>
  <c r="AA10" i="28"/>
  <c r="AE10" i="28" s="1"/>
  <c r="O13" i="25"/>
  <c r="AF11" i="28"/>
  <c r="AJ11" i="28" s="1"/>
  <c r="O18" i="25"/>
  <c r="AF16" i="28"/>
  <c r="AJ16" i="28" s="1"/>
  <c r="N19" i="25"/>
  <c r="AA17" i="28"/>
  <c r="AE17" i="28" s="1"/>
  <c r="O22" i="25"/>
  <c r="AF20" i="28"/>
  <c r="AJ20" i="28" s="1"/>
  <c r="O23" i="25"/>
  <c r="AF21" i="28"/>
  <c r="AJ21" i="28" s="1"/>
  <c r="O27" i="25"/>
  <c r="AF25" i="28"/>
  <c r="AJ25" i="28" s="1"/>
  <c r="O29" i="25"/>
  <c r="AF27" i="28"/>
  <c r="AJ27" i="28" s="1"/>
  <c r="N18" i="25"/>
  <c r="AA16" i="28"/>
  <c r="AE16" i="28" s="1"/>
  <c r="N27" i="25"/>
  <c r="AA25" i="28"/>
  <c r="AE25" i="28" s="1"/>
  <c r="N29" i="25"/>
  <c r="AA27" i="28"/>
  <c r="AE27" i="28" s="1"/>
  <c r="O10" i="25"/>
  <c r="AF8" i="28"/>
  <c r="O12" i="25"/>
  <c r="AF10" i="28"/>
  <c r="AJ10" i="28" s="1"/>
  <c r="N14" i="25"/>
  <c r="AA12" i="28"/>
  <c r="AE12" i="28" s="1"/>
  <c r="N15" i="25"/>
  <c r="AA13" i="28"/>
  <c r="AE13" i="28" s="1"/>
  <c r="N17" i="25"/>
  <c r="AA15" i="28"/>
  <c r="AE15" i="28" s="1"/>
  <c r="O19" i="25"/>
  <c r="AF17" i="28"/>
  <c r="AJ17" i="28" s="1"/>
  <c r="N26" i="25"/>
  <c r="AA24" i="28"/>
  <c r="AE24" i="28" s="1"/>
  <c r="N30" i="25"/>
  <c r="AA28" i="28"/>
  <c r="AE28" i="28" s="1"/>
  <c r="O20" i="25"/>
  <c r="AF18" i="28"/>
  <c r="AJ18" i="28" s="1"/>
  <c r="N22" i="25"/>
  <c r="AA20" i="28"/>
  <c r="AE20" i="28" s="1"/>
  <c r="N23" i="25"/>
  <c r="AA21" i="28"/>
  <c r="AE21" i="28" s="1"/>
  <c r="O25" i="25"/>
  <c r="AF23" i="28"/>
  <c r="AJ23" i="28" s="1"/>
  <c r="N11" i="25"/>
  <c r="AA9" i="28"/>
  <c r="AE9" i="28" s="1"/>
  <c r="O11" i="25"/>
  <c r="AF9" i="28"/>
  <c r="AJ9" i="28" s="1"/>
  <c r="O14" i="25"/>
  <c r="AF12" i="28"/>
  <c r="AJ12" i="28" s="1"/>
  <c r="O15" i="25"/>
  <c r="AF13" i="28"/>
  <c r="AJ13" i="28" s="1"/>
  <c r="O17" i="25"/>
  <c r="AF15" i="28"/>
  <c r="AJ15" i="28" s="1"/>
  <c r="N20" i="25"/>
  <c r="AA18" i="28"/>
  <c r="AE18" i="28" s="1"/>
  <c r="N25" i="25"/>
  <c r="AA23" i="28"/>
  <c r="AE23" i="28" s="1"/>
  <c r="O26" i="25"/>
  <c r="AF24" i="28"/>
  <c r="AJ24" i="28" s="1"/>
  <c r="O30" i="25"/>
  <c r="AF28" i="28"/>
  <c r="AJ28" i="28" s="1"/>
  <c r="M15" i="25"/>
  <c r="M19" i="25"/>
  <c r="M20" i="25"/>
  <c r="L15" i="25"/>
  <c r="Q15" i="2"/>
  <c r="M18" i="25"/>
  <c r="L19" i="25"/>
  <c r="Q19" i="2"/>
  <c r="L14" i="25"/>
  <c r="Q14" i="2"/>
  <c r="M14" i="25"/>
  <c r="L25" i="25"/>
  <c r="Q25" i="2"/>
  <c r="L22" i="25"/>
  <c r="Q22" i="2"/>
  <c r="M25" i="25"/>
  <c r="L10" i="25"/>
  <c r="Q10" i="2"/>
  <c r="M10" i="25"/>
  <c r="L11" i="25"/>
  <c r="Q11" i="2"/>
  <c r="M13" i="25"/>
  <c r="M22" i="25"/>
  <c r="L12" i="25"/>
  <c r="Q12" i="2"/>
  <c r="M12" i="25"/>
  <c r="L23" i="25"/>
  <c r="Q23" i="2"/>
  <c r="M23" i="25"/>
  <c r="M27" i="25"/>
  <c r="M29" i="25"/>
  <c r="L26" i="25"/>
  <c r="Q26" i="2"/>
  <c r="L17" i="25"/>
  <c r="Q17" i="2"/>
  <c r="M17" i="25"/>
  <c r="M26" i="25"/>
  <c r="M30" i="25"/>
  <c r="T9" i="23"/>
  <c r="Q10" i="23"/>
  <c r="T11" i="23"/>
  <c r="K14" i="38"/>
  <c r="N13" i="23"/>
  <c r="T12" i="23"/>
  <c r="K15" i="38"/>
  <c r="N14" i="23"/>
  <c r="K17" i="38"/>
  <c r="N16" i="23"/>
  <c r="T17" i="23"/>
  <c r="Q18" i="23"/>
  <c r="N20" i="38"/>
  <c r="W19" i="23"/>
  <c r="N21" i="38"/>
  <c r="W20" i="23"/>
  <c r="T21" i="23"/>
  <c r="T22" i="23"/>
  <c r="K24" i="38"/>
  <c r="N23" i="23"/>
  <c r="N25" i="38"/>
  <c r="W24" i="23"/>
  <c r="K26" i="38"/>
  <c r="N25" i="23"/>
  <c r="T26" i="23"/>
  <c r="K28" i="38"/>
  <c r="N27" i="23"/>
  <c r="T28" i="23"/>
  <c r="T30" i="23"/>
  <c r="N31" i="23"/>
  <c r="N10" i="38"/>
  <c r="W9" i="23"/>
  <c r="T10" i="23"/>
  <c r="N12" i="38"/>
  <c r="W11" i="23"/>
  <c r="Q13" i="23"/>
  <c r="N13" i="38"/>
  <c r="W12" i="23"/>
  <c r="Q14" i="23"/>
  <c r="N16" i="38"/>
  <c r="W15" i="23"/>
  <c r="Q16" i="23"/>
  <c r="N18" i="38"/>
  <c r="W17" i="23"/>
  <c r="T18" i="23"/>
  <c r="K21" i="38"/>
  <c r="N20" i="23"/>
  <c r="N22" i="38"/>
  <c r="W21" i="23"/>
  <c r="N23" i="38"/>
  <c r="W22" i="23"/>
  <c r="Q23" i="23"/>
  <c r="K25" i="38"/>
  <c r="N24" i="23"/>
  <c r="Q25" i="23"/>
  <c r="N27" i="38"/>
  <c r="W26" i="23"/>
  <c r="Q27" i="23"/>
  <c r="N29" i="38"/>
  <c r="W28" i="23"/>
  <c r="Q29" i="23"/>
  <c r="N31" i="38"/>
  <c r="W30" i="23"/>
  <c r="Q31" i="23"/>
  <c r="K10" i="38"/>
  <c r="N9" i="23"/>
  <c r="N11" i="38"/>
  <c r="W10" i="23"/>
  <c r="K12" i="38"/>
  <c r="N11" i="23"/>
  <c r="T13" i="23"/>
  <c r="T14" i="23"/>
  <c r="K16" i="38"/>
  <c r="N15" i="23"/>
  <c r="T16" i="23"/>
  <c r="N19" i="38"/>
  <c r="W18" i="23"/>
  <c r="Q19" i="23"/>
  <c r="Q20" i="23"/>
  <c r="K22" i="38"/>
  <c r="N21" i="23"/>
  <c r="K23" i="38"/>
  <c r="N22" i="23"/>
  <c r="T23" i="23"/>
  <c r="Q24" i="23"/>
  <c r="T25" i="23"/>
  <c r="T27" i="23"/>
  <c r="T29" i="23"/>
  <c r="K31" i="38"/>
  <c r="N30" i="23"/>
  <c r="T31" i="23"/>
  <c r="Q9" i="23"/>
  <c r="K11" i="38"/>
  <c r="N10" i="23"/>
  <c r="Q11" i="23"/>
  <c r="N14" i="38"/>
  <c r="W13" i="23"/>
  <c r="Q12" i="23"/>
  <c r="N15" i="38"/>
  <c r="W14" i="23"/>
  <c r="Q15" i="23"/>
  <c r="N17" i="38"/>
  <c r="W16" i="23"/>
  <c r="Q17" i="23"/>
  <c r="K19" i="38"/>
  <c r="N18" i="23"/>
  <c r="T19" i="23"/>
  <c r="T20" i="23"/>
  <c r="Q21" i="23"/>
  <c r="Q22" i="23"/>
  <c r="O24" i="38"/>
  <c r="Z23" i="23"/>
  <c r="N24" i="38"/>
  <c r="W23" i="23"/>
  <c r="T24" i="23"/>
  <c r="N26" i="38"/>
  <c r="W25" i="23"/>
  <c r="Q26" i="23"/>
  <c r="N28" i="38"/>
  <c r="W27" i="23"/>
  <c r="Q28" i="23"/>
  <c r="N30" i="38"/>
  <c r="W29" i="23"/>
  <c r="Q30" i="23"/>
  <c r="W31" i="23"/>
  <c r="W9" i="27"/>
  <c r="Y9" i="27" s="1"/>
  <c r="M10" i="38"/>
  <c r="S10" i="27"/>
  <c r="L11" i="38"/>
  <c r="W11" i="27"/>
  <c r="Y11" i="27" s="1"/>
  <c r="M12" i="38"/>
  <c r="W12" i="27"/>
  <c r="Y12" i="27" s="1"/>
  <c r="M13" i="38"/>
  <c r="W17" i="27"/>
  <c r="Y17" i="27" s="1"/>
  <c r="M18" i="38"/>
  <c r="S18" i="27"/>
  <c r="L19" i="38"/>
  <c r="W21" i="27"/>
  <c r="Y21" i="27" s="1"/>
  <c r="M22" i="38"/>
  <c r="W22" i="27"/>
  <c r="Y22" i="27" s="1"/>
  <c r="M23" i="38"/>
  <c r="W26" i="27"/>
  <c r="Y26" i="27" s="1"/>
  <c r="M27" i="38"/>
  <c r="W28" i="27"/>
  <c r="Y28" i="27" s="1"/>
  <c r="M29" i="38"/>
  <c r="W30" i="27"/>
  <c r="Y30" i="27" s="1"/>
  <c r="M31" i="38"/>
  <c r="O31" i="27"/>
  <c r="Q31" i="27" s="1"/>
  <c r="K32" i="38"/>
  <c r="W10" i="27"/>
  <c r="Y10" i="27" s="1"/>
  <c r="M11" i="38"/>
  <c r="S13" i="27"/>
  <c r="L14" i="38"/>
  <c r="S14" i="27"/>
  <c r="L15" i="38"/>
  <c r="S16" i="27"/>
  <c r="L17" i="38"/>
  <c r="W18" i="27"/>
  <c r="Y18" i="27" s="1"/>
  <c r="M19" i="38"/>
  <c r="S23" i="27"/>
  <c r="V23" i="27" s="1"/>
  <c r="L24" i="38"/>
  <c r="S25" i="27"/>
  <c r="L26" i="38"/>
  <c r="S27" i="27"/>
  <c r="L28" i="38"/>
  <c r="S29" i="27"/>
  <c r="L30" i="38"/>
  <c r="S31" i="27"/>
  <c r="U31" i="27" s="1"/>
  <c r="L32" i="38"/>
  <c r="W13" i="27"/>
  <c r="Y13" i="27" s="1"/>
  <c r="M14" i="38"/>
  <c r="W14" i="27"/>
  <c r="Y14" i="27" s="1"/>
  <c r="M15" i="38"/>
  <c r="W16" i="27"/>
  <c r="Y16" i="27" s="1"/>
  <c r="M17" i="38"/>
  <c r="S19" i="27"/>
  <c r="L20" i="38"/>
  <c r="S20" i="27"/>
  <c r="L21" i="38"/>
  <c r="W23" i="27"/>
  <c r="Y23" i="27" s="1"/>
  <c r="M24" i="38"/>
  <c r="S24" i="27"/>
  <c r="L25" i="38"/>
  <c r="W25" i="27"/>
  <c r="Y25" i="27" s="1"/>
  <c r="M26" i="38"/>
  <c r="W27" i="27"/>
  <c r="Y27" i="27" s="1"/>
  <c r="M28" i="38"/>
  <c r="W29" i="27"/>
  <c r="Y29" i="27" s="1"/>
  <c r="M30" i="38"/>
  <c r="W31" i="27"/>
  <c r="Y31" i="27" s="1"/>
  <c r="M32" i="38"/>
  <c r="S9" i="27"/>
  <c r="L10" i="38"/>
  <c r="S11" i="27"/>
  <c r="L12" i="38"/>
  <c r="S12" i="27"/>
  <c r="L13" i="38"/>
  <c r="S15" i="27"/>
  <c r="L16" i="38"/>
  <c r="S17" i="27"/>
  <c r="L18" i="38"/>
  <c r="W19" i="27"/>
  <c r="Y19" i="27" s="1"/>
  <c r="M20" i="38"/>
  <c r="W20" i="27"/>
  <c r="Y20" i="27" s="1"/>
  <c r="M21" i="38"/>
  <c r="S21" i="27"/>
  <c r="L22" i="38"/>
  <c r="S22" i="27"/>
  <c r="L23" i="38"/>
  <c r="W24" i="27"/>
  <c r="Y24" i="27" s="1"/>
  <c r="M25" i="38"/>
  <c r="S26" i="27"/>
  <c r="L27" i="38"/>
  <c r="S28" i="27"/>
  <c r="L29" i="38"/>
  <c r="S30" i="27"/>
  <c r="L31" i="38"/>
  <c r="AA31" i="27"/>
  <c r="N32" i="38"/>
  <c r="AS23" i="10"/>
  <c r="AT23" i="10" s="1"/>
  <c r="V23" i="10" s="1"/>
  <c r="CR23" i="10" s="1"/>
  <c r="AN24" i="2"/>
  <c r="AQ14" i="10"/>
  <c r="AR14" i="10" s="1"/>
  <c r="AA14" i="27"/>
  <c r="AQ19" i="10"/>
  <c r="AR19" i="10" s="1"/>
  <c r="AA19" i="27"/>
  <c r="AQ20" i="10"/>
  <c r="AR20" i="10" s="1"/>
  <c r="U20" i="10" s="1"/>
  <c r="AA20" i="27"/>
  <c r="AQ24" i="10"/>
  <c r="AR24" i="10" s="1"/>
  <c r="U24" i="10" s="1"/>
  <c r="AA24" i="27"/>
  <c r="AQ9" i="10"/>
  <c r="AR9" i="10" s="1"/>
  <c r="U9" i="10" s="1"/>
  <c r="AA9" i="27"/>
  <c r="AQ17" i="10"/>
  <c r="AR17" i="10" s="1"/>
  <c r="AA17" i="27"/>
  <c r="AQ21" i="10"/>
  <c r="AR21" i="10" s="1"/>
  <c r="AA21" i="27"/>
  <c r="AQ22" i="10"/>
  <c r="AR22" i="10" s="1"/>
  <c r="U22" i="10" s="1"/>
  <c r="AA22" i="27"/>
  <c r="AQ26" i="10"/>
  <c r="AR26" i="10" s="1"/>
  <c r="U26" i="10" s="1"/>
  <c r="AA26" i="27"/>
  <c r="AQ28" i="10"/>
  <c r="AR28" i="10" s="1"/>
  <c r="U28" i="10" s="1"/>
  <c r="AA28" i="27"/>
  <c r="AQ30" i="10"/>
  <c r="AR30" i="10" s="1"/>
  <c r="U30" i="10" s="1"/>
  <c r="AA30" i="27"/>
  <c r="AQ11" i="10"/>
  <c r="AR11" i="10" s="1"/>
  <c r="U11" i="10" s="1"/>
  <c r="AA11" i="27"/>
  <c r="AQ12" i="10"/>
  <c r="AR12" i="10" s="1"/>
  <c r="U12" i="10" s="1"/>
  <c r="AA12" i="27"/>
  <c r="AQ15" i="10"/>
  <c r="AR15" i="10" s="1"/>
  <c r="AA15" i="27"/>
  <c r="AQ10" i="10"/>
  <c r="AR10" i="10" s="1"/>
  <c r="U10" i="10" s="1"/>
  <c r="AA10" i="27"/>
  <c r="AQ18" i="10"/>
  <c r="AR18" i="10" s="1"/>
  <c r="AA18" i="27"/>
  <c r="AQ13" i="10"/>
  <c r="AR13" i="10" s="1"/>
  <c r="U13" i="10" s="1"/>
  <c r="AA13" i="27"/>
  <c r="AQ16" i="10"/>
  <c r="AR16" i="10" s="1"/>
  <c r="U16" i="10" s="1"/>
  <c r="AA16" i="27"/>
  <c r="AQ23" i="10"/>
  <c r="AR23" i="10" s="1"/>
  <c r="U23" i="10" s="1"/>
  <c r="AA23" i="27"/>
  <c r="AQ25" i="10"/>
  <c r="AR25" i="10" s="1"/>
  <c r="U25" i="10" s="1"/>
  <c r="AA25" i="27"/>
  <c r="AQ27" i="10"/>
  <c r="AR27" i="10" s="1"/>
  <c r="U27" i="10" s="1"/>
  <c r="AA27" i="27"/>
  <c r="AQ29" i="10"/>
  <c r="AR29" i="10" s="1"/>
  <c r="U29" i="10" s="1"/>
  <c r="AA29" i="27"/>
  <c r="AM11" i="10"/>
  <c r="AN11" i="10" s="1"/>
  <c r="S11" i="10" s="1"/>
  <c r="AO9" i="10"/>
  <c r="AP9" i="10" s="1"/>
  <c r="T9" i="10" s="1"/>
  <c r="AM10" i="10"/>
  <c r="AN10" i="10" s="1"/>
  <c r="S10" i="10" s="1"/>
  <c r="AO11" i="10"/>
  <c r="AP11" i="10" s="1"/>
  <c r="T11" i="10" s="1"/>
  <c r="AK13" i="10"/>
  <c r="AL13" i="10" s="1"/>
  <c r="R13" i="10" s="1"/>
  <c r="O13" i="27"/>
  <c r="AO12" i="10"/>
  <c r="AP12" i="10" s="1"/>
  <c r="T12" i="10" s="1"/>
  <c r="AK14" i="10"/>
  <c r="O14" i="27"/>
  <c r="AK16" i="10"/>
  <c r="AL16" i="10" s="1"/>
  <c r="R16" i="10" s="1"/>
  <c r="O16" i="27"/>
  <c r="AO17" i="10"/>
  <c r="AP17" i="10" s="1"/>
  <c r="AM18" i="10"/>
  <c r="AO21" i="10"/>
  <c r="AP21" i="10" s="1"/>
  <c r="AO22" i="10"/>
  <c r="AP22" i="10" s="1"/>
  <c r="T22" i="10" s="1"/>
  <c r="AK23" i="10"/>
  <c r="AL23" i="10" s="1"/>
  <c r="R23" i="10" s="1"/>
  <c r="O23" i="27"/>
  <c r="AK25" i="10"/>
  <c r="AL25" i="10" s="1"/>
  <c r="R25" i="10" s="1"/>
  <c r="O25" i="27"/>
  <c r="AO26" i="10"/>
  <c r="AP26" i="10" s="1"/>
  <c r="T26" i="10" s="1"/>
  <c r="AK27" i="10"/>
  <c r="AL27" i="10" s="1"/>
  <c r="R27" i="10" s="1"/>
  <c r="O27" i="27"/>
  <c r="AO28" i="10"/>
  <c r="AP28" i="10" s="1"/>
  <c r="T28" i="10" s="1"/>
  <c r="AO30" i="10"/>
  <c r="AP30" i="10" s="1"/>
  <c r="T30" i="10" s="1"/>
  <c r="AO18" i="10"/>
  <c r="AP18" i="10" s="1"/>
  <c r="AK20" i="10"/>
  <c r="AL20" i="10" s="1"/>
  <c r="R20" i="10" s="1"/>
  <c r="O20" i="27"/>
  <c r="AM23" i="10"/>
  <c r="AN23" i="10" s="1"/>
  <c r="S23" i="10" s="1"/>
  <c r="AK24" i="10"/>
  <c r="AL24" i="10" s="1"/>
  <c r="R24" i="10" s="1"/>
  <c r="O24" i="27"/>
  <c r="AM25" i="10"/>
  <c r="AN25" i="10" s="1"/>
  <c r="S25" i="10" s="1"/>
  <c r="AM27" i="10"/>
  <c r="AN27" i="10" s="1"/>
  <c r="S27" i="10" s="1"/>
  <c r="AM29" i="10"/>
  <c r="AN29" i="10" s="1"/>
  <c r="S29" i="10" s="1"/>
  <c r="AO10" i="10"/>
  <c r="AP10" i="10" s="1"/>
  <c r="T10" i="10" s="1"/>
  <c r="AM13" i="10"/>
  <c r="AN13" i="10" s="1"/>
  <c r="S13" i="10" s="1"/>
  <c r="AM14" i="10"/>
  <c r="AM16" i="10"/>
  <c r="AN16" i="10" s="1"/>
  <c r="S16" i="10" s="1"/>
  <c r="AK9" i="10"/>
  <c r="AL9" i="10" s="1"/>
  <c r="R9" i="10" s="1"/>
  <c r="O9" i="27"/>
  <c r="AK11" i="10"/>
  <c r="AL11" i="10" s="1"/>
  <c r="R11" i="10" s="1"/>
  <c r="O11" i="27"/>
  <c r="AO13" i="10"/>
  <c r="AP13" i="10" s="1"/>
  <c r="T13" i="10" s="1"/>
  <c r="AO14" i="10"/>
  <c r="AP14" i="10" s="1"/>
  <c r="AK15" i="10"/>
  <c r="O15" i="27"/>
  <c r="AO16" i="10"/>
  <c r="AP16" i="10" s="1"/>
  <c r="T16" i="10" s="1"/>
  <c r="AM19" i="10"/>
  <c r="AM20" i="10"/>
  <c r="AN20" i="10" s="1"/>
  <c r="S20" i="10" s="1"/>
  <c r="AK21" i="10"/>
  <c r="O21" i="27"/>
  <c r="AK22" i="10"/>
  <c r="AL22" i="10" s="1"/>
  <c r="R22" i="10" s="1"/>
  <c r="O22" i="27"/>
  <c r="AO23" i="10"/>
  <c r="AP23" i="10" s="1"/>
  <c r="T23" i="10" s="1"/>
  <c r="AM24" i="10"/>
  <c r="AN24" i="10" s="1"/>
  <c r="S24" i="10" s="1"/>
  <c r="AO25" i="10"/>
  <c r="AP25" i="10" s="1"/>
  <c r="T25" i="10" s="1"/>
  <c r="AO27" i="10"/>
  <c r="AP27" i="10" s="1"/>
  <c r="T27" i="10" s="1"/>
  <c r="AO29" i="10"/>
  <c r="AP29" i="10" s="1"/>
  <c r="T29" i="10" s="1"/>
  <c r="AK30" i="10"/>
  <c r="AL30" i="10" s="1"/>
  <c r="R30" i="10" s="1"/>
  <c r="O30" i="27"/>
  <c r="AM9" i="10"/>
  <c r="AN9" i="10" s="1"/>
  <c r="S9" i="10" s="1"/>
  <c r="AK10" i="10"/>
  <c r="AL10" i="10" s="1"/>
  <c r="R10" i="10" s="1"/>
  <c r="O10" i="27"/>
  <c r="AM12" i="10"/>
  <c r="AM15" i="10"/>
  <c r="AM17" i="10"/>
  <c r="AK18" i="10"/>
  <c r="O18" i="27"/>
  <c r="AO19" i="10"/>
  <c r="AP19" i="10" s="1"/>
  <c r="AO20" i="10"/>
  <c r="AP20" i="10" s="1"/>
  <c r="T20" i="10" s="1"/>
  <c r="AM21" i="10"/>
  <c r="AM22" i="10"/>
  <c r="AN22" i="10" s="1"/>
  <c r="S22" i="10" s="1"/>
  <c r="AO24" i="10"/>
  <c r="AP24" i="10" s="1"/>
  <c r="T24" i="10" s="1"/>
  <c r="AM26" i="10"/>
  <c r="AN26" i="10" s="1"/>
  <c r="S26" i="10" s="1"/>
  <c r="AM28" i="10"/>
  <c r="AN28" i="10" s="1"/>
  <c r="S28" i="10" s="1"/>
  <c r="AM30" i="10"/>
  <c r="AN30" i="10" s="1"/>
  <c r="S30" i="10" s="1"/>
  <c r="AM10" i="2"/>
  <c r="AM13" i="2"/>
  <c r="AM16" i="2"/>
  <c r="AM18" i="2"/>
  <c r="AM20" i="2"/>
  <c r="AM23" i="2"/>
  <c r="AM25" i="2"/>
  <c r="AM27" i="2"/>
  <c r="AM29" i="2"/>
  <c r="AM31" i="2"/>
  <c r="AM12" i="2"/>
  <c r="AM22" i="2"/>
  <c r="AM21" i="2"/>
  <c r="AM11" i="2"/>
  <c r="AM14" i="2"/>
  <c r="AM15" i="2"/>
  <c r="AM17" i="2"/>
  <c r="AM19" i="2"/>
  <c r="AM24" i="2"/>
  <c r="AE23" i="27"/>
  <c r="AM26" i="2"/>
  <c r="AM28" i="2"/>
  <c r="AM30" i="2"/>
  <c r="AM32" i="2"/>
  <c r="W22" i="11"/>
  <c r="O16" i="40" l="1"/>
  <c r="K17" i="77"/>
  <c r="L17" i="77" s="1"/>
  <c r="N16" i="40"/>
  <c r="L16" i="40"/>
  <c r="AG23" i="27"/>
  <c r="AH23" i="27"/>
  <c r="Q30" i="27"/>
  <c r="R30" i="27"/>
  <c r="Q23" i="27"/>
  <c r="R23" i="27"/>
  <c r="Q15" i="27"/>
  <c r="R15" i="27"/>
  <c r="Q20" i="27"/>
  <c r="R20" i="27"/>
  <c r="U15" i="27"/>
  <c r="Q27" i="27"/>
  <c r="R27" i="27"/>
  <c r="U23" i="27"/>
  <c r="AL23" i="27"/>
  <c r="AF7" i="28"/>
  <c r="V7" i="28"/>
  <c r="AJ8" i="28"/>
  <c r="AJ7" i="28" s="1"/>
  <c r="AE8" i="28"/>
  <c r="Z8" i="28"/>
  <c r="Q14" i="27"/>
  <c r="R14" i="27"/>
  <c r="Q18" i="27"/>
  <c r="R18" i="27"/>
  <c r="Q13" i="27"/>
  <c r="R13" i="27"/>
  <c r="Q9" i="27"/>
  <c r="R9" i="27"/>
  <c r="Q10" i="27"/>
  <c r="R10" i="27"/>
  <c r="Q21" i="27"/>
  <c r="R21" i="27"/>
  <c r="Q24" i="27"/>
  <c r="R24" i="27"/>
  <c r="Q11" i="27"/>
  <c r="R11" i="27"/>
  <c r="Q22" i="27"/>
  <c r="R22" i="27"/>
  <c r="AN12" i="10"/>
  <c r="S12" i="10"/>
  <c r="AN19" i="10"/>
  <c r="S19" i="10"/>
  <c r="AL14" i="10"/>
  <c r="R14" i="10"/>
  <c r="AN14" i="10"/>
  <c r="S14" i="10"/>
  <c r="AN21" i="10"/>
  <c r="S21" i="10"/>
  <c r="AL18" i="10"/>
  <c r="R18" i="10"/>
  <c r="AN15" i="10"/>
  <c r="S15" i="10"/>
  <c r="AL15" i="10"/>
  <c r="R15" i="10"/>
  <c r="AN17" i="10"/>
  <c r="S17" i="10"/>
  <c r="AL21" i="10"/>
  <c r="R21" i="10"/>
  <c r="AN18" i="10"/>
  <c r="S18" i="10"/>
  <c r="Q25" i="27"/>
  <c r="R25" i="27"/>
  <c r="Q16" i="27"/>
  <c r="R16" i="27"/>
  <c r="R17" i="25"/>
  <c r="N9" i="38"/>
  <c r="Y28" i="10"/>
  <c r="AA28" i="10"/>
  <c r="Z28" i="10"/>
  <c r="Y26" i="10"/>
  <c r="Z26" i="10"/>
  <c r="AA26" i="10"/>
  <c r="Y22" i="10"/>
  <c r="Z25" i="10"/>
  <c r="X22" i="10"/>
  <c r="Y25" i="10"/>
  <c r="Z22" i="10"/>
  <c r="X25" i="10"/>
  <c r="AA25" i="10"/>
  <c r="AA22" i="10"/>
  <c r="L9" i="38"/>
  <c r="AC10" i="27"/>
  <c r="Z11" i="2"/>
  <c r="AC20" i="27"/>
  <c r="Z21" i="2"/>
  <c r="AC28" i="27"/>
  <c r="Z29" i="2"/>
  <c r="AC26" i="27"/>
  <c r="Z27" i="2"/>
  <c r="AC17" i="27"/>
  <c r="Z18" i="2"/>
  <c r="AC15" i="27"/>
  <c r="Z16" i="2"/>
  <c r="AC25" i="27"/>
  <c r="Z26" i="2"/>
  <c r="AC23" i="27"/>
  <c r="Z24" i="2"/>
  <c r="AC27" i="27"/>
  <c r="Z28" i="2"/>
  <c r="AC18" i="27"/>
  <c r="Z19" i="2"/>
  <c r="AC19" i="27"/>
  <c r="Z20" i="2"/>
  <c r="AC30" i="27"/>
  <c r="Z31" i="2"/>
  <c r="AC9" i="27"/>
  <c r="Z10" i="2"/>
  <c r="AC31" i="27"/>
  <c r="Z32" i="2"/>
  <c r="AC29" i="27"/>
  <c r="Z30" i="2"/>
  <c r="AC16" i="27"/>
  <c r="Z17" i="2"/>
  <c r="AC14" i="27"/>
  <c r="Z15" i="2"/>
  <c r="AC13" i="27"/>
  <c r="Z14" i="2"/>
  <c r="AC24" i="27"/>
  <c r="Z25" i="2"/>
  <c r="AC21" i="27"/>
  <c r="Z22" i="2"/>
  <c r="AC22" i="27"/>
  <c r="Z23" i="2"/>
  <c r="AC12" i="27"/>
  <c r="Z13" i="2"/>
  <c r="AC11" i="27"/>
  <c r="Z12" i="2"/>
  <c r="Q8" i="23"/>
  <c r="W8" i="23"/>
  <c r="O9" i="25"/>
  <c r="M8" i="24"/>
  <c r="M9" i="25"/>
  <c r="O8" i="24"/>
  <c r="AM9" i="2"/>
  <c r="E4" i="19" s="1"/>
  <c r="G4" i="21"/>
  <c r="H29" i="19"/>
  <c r="F29" i="19"/>
  <c r="D29" i="19"/>
  <c r="AP170" i="2"/>
  <c r="H28" i="19" s="1"/>
  <c r="AO170" i="2"/>
  <c r="G28" i="19" s="1"/>
  <c r="AN170" i="2"/>
  <c r="F28" i="19" s="1"/>
  <c r="AL170" i="2"/>
  <c r="D28" i="19" s="1"/>
  <c r="D27" i="19"/>
  <c r="AP154" i="2"/>
  <c r="H26" i="19" s="1"/>
  <c r="AO154" i="2"/>
  <c r="G26" i="19" s="1"/>
  <c r="AN154" i="2"/>
  <c r="F26" i="19" s="1"/>
  <c r="AM154" i="2"/>
  <c r="E26" i="19" s="1"/>
  <c r="AP148" i="2"/>
  <c r="H25" i="19" s="1"/>
  <c r="AO148" i="2"/>
  <c r="G25" i="19" s="1"/>
  <c r="AN148" i="2"/>
  <c r="F25" i="19" s="1"/>
  <c r="AL148" i="2"/>
  <c r="D25" i="19" s="1"/>
  <c r="AP108" i="2"/>
  <c r="H20" i="19" s="1"/>
  <c r="AO108" i="2"/>
  <c r="G20" i="19" s="1"/>
  <c r="AL108" i="2"/>
  <c r="D20" i="19" s="1"/>
  <c r="AP102" i="2"/>
  <c r="H19" i="19" s="1"/>
  <c r="AO102" i="2"/>
  <c r="G19" i="19" s="1"/>
  <c r="AL102" i="2"/>
  <c r="D19" i="19" s="1"/>
  <c r="H18" i="19"/>
  <c r="G18" i="19"/>
  <c r="D18" i="19"/>
  <c r="AP86" i="2"/>
  <c r="H17" i="19" s="1"/>
  <c r="AL86" i="2"/>
  <c r="D17" i="19" s="1"/>
  <c r="H16" i="19"/>
  <c r="G16" i="19"/>
  <c r="F16" i="19"/>
  <c r="D16" i="19"/>
  <c r="D15" i="19"/>
  <c r="AP74" i="2"/>
  <c r="H14" i="19" s="1"/>
  <c r="AL74" i="2"/>
  <c r="D14" i="19" s="1"/>
  <c r="AP67" i="2"/>
  <c r="H13" i="19" s="1"/>
  <c r="AO67" i="2"/>
  <c r="G13" i="19" s="1"/>
  <c r="AL67" i="2"/>
  <c r="D13" i="19" s="1"/>
  <c r="AP62" i="2"/>
  <c r="H12" i="19" s="1"/>
  <c r="AO62" i="2"/>
  <c r="G12" i="19" s="1"/>
  <c r="AL62" i="2"/>
  <c r="D12" i="19" s="1"/>
  <c r="AP58" i="2"/>
  <c r="H11" i="19" s="1"/>
  <c r="AO58" i="2"/>
  <c r="G11" i="19" s="1"/>
  <c r="AL58" i="2"/>
  <c r="D11" i="19" s="1"/>
  <c r="AP56" i="2"/>
  <c r="H10" i="19" s="1"/>
  <c r="AO56" i="2"/>
  <c r="G10" i="19" s="1"/>
  <c r="AP50" i="2"/>
  <c r="H9" i="19" s="1"/>
  <c r="AO50" i="2"/>
  <c r="G9" i="19" s="1"/>
  <c r="AL50" i="2"/>
  <c r="D9" i="19" s="1"/>
  <c r="H7" i="19"/>
  <c r="G7" i="19"/>
  <c r="F7" i="19"/>
  <c r="E7" i="19"/>
  <c r="H8" i="19"/>
  <c r="G8" i="19"/>
  <c r="F8" i="19"/>
  <c r="E8" i="19"/>
  <c r="AP46" i="2"/>
  <c r="AO46" i="2"/>
  <c r="AN46" i="2"/>
  <c r="AM46" i="2"/>
  <c r="AP33" i="2"/>
  <c r="H5" i="19" s="1"/>
  <c r="AL33" i="2"/>
  <c r="D5" i="19" s="1"/>
  <c r="H6" i="19"/>
  <c r="H17" i="77" l="1"/>
  <c r="I17" i="77" s="1"/>
  <c r="N24" i="2"/>
  <c r="K23" i="24"/>
  <c r="AI23" i="10"/>
  <c r="AJ23" i="10" s="1"/>
  <c r="Q23" i="10" s="1"/>
  <c r="CQ23" i="10" s="1"/>
  <c r="K24" i="25"/>
  <c r="K22" i="28"/>
  <c r="P22" i="28" s="1"/>
  <c r="K23" i="23"/>
  <c r="K23" i="27"/>
  <c r="J24" i="38"/>
  <c r="V22" i="11"/>
  <c r="G57" i="21"/>
  <c r="H57" i="21" s="1"/>
  <c r="I57" i="21" s="1"/>
  <c r="J57" i="21" s="1"/>
  <c r="K57" i="21" s="1"/>
  <c r="L4" i="21"/>
  <c r="L57" i="21" s="1"/>
  <c r="AH8" i="10"/>
  <c r="CI23" i="10"/>
  <c r="CJ23" i="10" s="1"/>
  <c r="AC8" i="27"/>
  <c r="Z9" i="2"/>
  <c r="AP23" i="27" l="1"/>
  <c r="M23" i="27"/>
  <c r="N23" i="27"/>
  <c r="L40" i="8"/>
  <c r="W33" i="6"/>
  <c r="AK122" i="10" l="1"/>
  <c r="CS122" i="10" s="1"/>
  <c r="O122" i="27"/>
  <c r="Q122" i="27" s="1"/>
  <c r="AK125" i="10"/>
  <c r="CS125" i="10" s="1"/>
  <c r="O125" i="27"/>
  <c r="Q125" i="27" s="1"/>
  <c r="O151" i="2"/>
  <c r="Q117" i="77" s="1"/>
  <c r="R117" i="77" s="1"/>
  <c r="Q149" i="28" l="1"/>
  <c r="U149" i="28" s="1"/>
  <c r="L150" i="24"/>
  <c r="AD122" i="10"/>
  <c r="X122" i="10"/>
  <c r="X125" i="10"/>
  <c r="AD125" i="10"/>
  <c r="N150" i="23"/>
  <c r="L151" i="25"/>
  <c r="O150" i="27"/>
  <c r="R150" i="27" s="1"/>
  <c r="K157" i="38"/>
  <c r="Q151" i="2"/>
  <c r="AK150" i="10"/>
  <c r="AL150" i="10" s="1"/>
  <c r="AA180" i="2"/>
  <c r="X180" i="2"/>
  <c r="U180" i="2"/>
  <c r="R180" i="2"/>
  <c r="O180" i="2"/>
  <c r="L71" i="8"/>
  <c r="P69" i="8"/>
  <c r="O69" i="8"/>
  <c r="N69" i="8"/>
  <c r="Q69" i="8"/>
  <c r="M69" i="8"/>
  <c r="N138" i="77" l="1"/>
  <c r="M179" i="24"/>
  <c r="T138" i="77"/>
  <c r="N179" i="24"/>
  <c r="AF178" i="28"/>
  <c r="AJ178" i="28" s="1"/>
  <c r="W138" i="77"/>
  <c r="O179" i="24"/>
  <c r="Q178" i="28"/>
  <c r="U178" i="28" s="1"/>
  <c r="Q138" i="77"/>
  <c r="R138" i="77" s="1"/>
  <c r="L179" i="24"/>
  <c r="G137" i="40"/>
  <c r="K138" i="77" s="1"/>
  <c r="P179" i="24"/>
  <c r="Z179" i="23"/>
  <c r="AK178" i="28"/>
  <c r="AO178" i="28" s="1"/>
  <c r="T179" i="23"/>
  <c r="AA178" i="28"/>
  <c r="AE178" i="28" s="1"/>
  <c r="Q179" i="23"/>
  <c r="V178" i="28"/>
  <c r="Z178" i="28" s="1"/>
  <c r="K186" i="38"/>
  <c r="N179" i="23"/>
  <c r="N186" i="38"/>
  <c r="W179" i="23"/>
  <c r="X150" i="10"/>
  <c r="R150" i="10"/>
  <c r="Q150" i="27"/>
  <c r="W179" i="27"/>
  <c r="Y179" i="27" s="1"/>
  <c r="M186" i="38"/>
  <c r="S179" i="27"/>
  <c r="U179" i="27" s="1"/>
  <c r="L186" i="38"/>
  <c r="AS180" i="10"/>
  <c r="O186" i="38"/>
  <c r="AQ180" i="10"/>
  <c r="AG180" i="10" s="1"/>
  <c r="AG173" i="10" s="1"/>
  <c r="AA179" i="27"/>
  <c r="AK180" i="10"/>
  <c r="CL180" i="10" s="1"/>
  <c r="O179" i="27"/>
  <c r="Q179" i="27" s="1"/>
  <c r="AM180" i="10"/>
  <c r="CM180" i="10" s="1"/>
  <c r="AO180" i="10"/>
  <c r="T180" i="10" s="1"/>
  <c r="AE179" i="27"/>
  <c r="AG179" i="27" s="1"/>
  <c r="AO180" i="2"/>
  <c r="L180" i="2"/>
  <c r="K179" i="24" s="1"/>
  <c r="W178" i="11"/>
  <c r="L25" i="3"/>
  <c r="L24" i="3" s="1"/>
  <c r="N137" i="40" l="1"/>
  <c r="H138" i="77"/>
  <c r="I138" i="77" s="1"/>
  <c r="L138" i="77"/>
  <c r="L137" i="40"/>
  <c r="K179" i="23"/>
  <c r="K178" i="28"/>
  <c r="P178" i="28" s="1"/>
  <c r="V180" i="10"/>
  <c r="CN180" i="10"/>
  <c r="D180" i="10"/>
  <c r="AL180" i="10"/>
  <c r="AB180" i="10"/>
  <c r="AH180" i="10"/>
  <c r="AI180" i="10"/>
  <c r="J186" i="38"/>
  <c r="AF180" i="10"/>
  <c r="AF173" i="10" s="1"/>
  <c r="U180" i="10"/>
  <c r="M180" i="10"/>
  <c r="AA180" i="10"/>
  <c r="O180" i="10"/>
  <c r="Y180" i="10"/>
  <c r="S180" i="10"/>
  <c r="R180" i="10"/>
  <c r="X180" i="10"/>
  <c r="N180" i="10"/>
  <c r="Z180" i="10"/>
  <c r="AE180" i="10"/>
  <c r="AD180" i="10"/>
  <c r="AC179" i="27"/>
  <c r="V178" i="11"/>
  <c r="K179" i="27"/>
  <c r="M179" i="27" s="1"/>
  <c r="AT180" i="10" l="1"/>
  <c r="CI180" i="10"/>
  <c r="CR180" i="10"/>
  <c r="AC180" i="10"/>
  <c r="CK180" i="10"/>
  <c r="W180" i="10"/>
  <c r="Q180" i="10"/>
  <c r="E180" i="10"/>
  <c r="K180" i="10" s="1"/>
  <c r="AJ180" i="10" s="1"/>
  <c r="C180" i="10"/>
  <c r="G3" i="13"/>
  <c r="W49" i="11"/>
  <c r="CQ180" i="10" l="1"/>
  <c r="O75" i="2" l="1"/>
  <c r="M27" i="3"/>
  <c r="O23" i="7"/>
  <c r="N23" i="7"/>
  <c r="M23" i="7"/>
  <c r="P23" i="7"/>
  <c r="P29" i="9"/>
  <c r="O29" i="9"/>
  <c r="N29" i="9"/>
  <c r="L30" i="9"/>
  <c r="Q29" i="9"/>
  <c r="M32" i="9"/>
  <c r="L32" i="9" s="1"/>
  <c r="M31" i="9"/>
  <c r="L31" i="9" s="1"/>
  <c r="P24" i="8"/>
  <c r="O24" i="8"/>
  <c r="N24" i="8"/>
  <c r="Q24" i="8"/>
  <c r="M27" i="8"/>
  <c r="L27" i="8" s="1"/>
  <c r="L26" i="7"/>
  <c r="L25" i="7"/>
  <c r="Q73" i="28" l="1"/>
  <c r="U73" i="28" s="1"/>
  <c r="Q57" i="77"/>
  <c r="R57" i="77" s="1"/>
  <c r="M24" i="8"/>
  <c r="K75" i="38"/>
  <c r="N74" i="23"/>
  <c r="AK74" i="10"/>
  <c r="CM74" i="10" s="1"/>
  <c r="O74" i="27"/>
  <c r="Q74" i="27" s="1"/>
  <c r="L29" i="9"/>
  <c r="M29" i="9"/>
  <c r="O61" i="2"/>
  <c r="L23" i="7"/>
  <c r="O60" i="2"/>
  <c r="Q46" i="77" s="1"/>
  <c r="K26" i="7"/>
  <c r="L61" i="2" s="1"/>
  <c r="W57" i="11"/>
  <c r="F29" i="12" s="1"/>
  <c r="W58" i="11"/>
  <c r="W59" i="11"/>
  <c r="AN58" i="2"/>
  <c r="F11" i="19" s="1"/>
  <c r="AA175" i="2"/>
  <c r="X175" i="2"/>
  <c r="W133" i="77" s="1"/>
  <c r="U175" i="2"/>
  <c r="R175" i="2"/>
  <c r="O175" i="2"/>
  <c r="Q133" i="77" s="1"/>
  <c r="R133" i="77" s="1"/>
  <c r="N60" i="23" l="1"/>
  <c r="Q47" i="77"/>
  <c r="M174" i="24"/>
  <c r="N133" i="77"/>
  <c r="N174" i="24"/>
  <c r="T133" i="77"/>
  <c r="R46" i="77"/>
  <c r="H46" i="77"/>
  <c r="I46" i="77" s="1"/>
  <c r="Q173" i="28"/>
  <c r="U173" i="28" s="1"/>
  <c r="L174" i="24"/>
  <c r="G132" i="40"/>
  <c r="K133" i="77" s="1"/>
  <c r="P174" i="24"/>
  <c r="AF173" i="28"/>
  <c r="AJ173" i="28" s="1"/>
  <c r="O174" i="24"/>
  <c r="K59" i="28"/>
  <c r="P59" i="28" s="1"/>
  <c r="K60" i="23"/>
  <c r="Q58" i="28"/>
  <c r="U58" i="28" s="1"/>
  <c r="L59" i="24"/>
  <c r="L57" i="24" s="1"/>
  <c r="Z174" i="23"/>
  <c r="AK173" i="28"/>
  <c r="AO173" i="28" s="1"/>
  <c r="T174" i="23"/>
  <c r="AA173" i="28"/>
  <c r="AE173" i="28" s="1"/>
  <c r="Q174" i="23"/>
  <c r="V173" i="28"/>
  <c r="Z173" i="28" s="1"/>
  <c r="K61" i="38"/>
  <c r="Q59" i="28"/>
  <c r="U59" i="28" s="1"/>
  <c r="N181" i="38"/>
  <c r="W174" i="23"/>
  <c r="K181" i="38"/>
  <c r="N174" i="23"/>
  <c r="X74" i="10"/>
  <c r="AD74" i="10"/>
  <c r="AL74" i="10"/>
  <c r="N59" i="23"/>
  <c r="N57" i="23" s="1"/>
  <c r="L60" i="25"/>
  <c r="L58" i="25" s="1"/>
  <c r="S174" i="27"/>
  <c r="U174" i="27" s="1"/>
  <c r="L181" i="38"/>
  <c r="AI60" i="10"/>
  <c r="J61" i="38"/>
  <c r="W174" i="27"/>
  <c r="Y174" i="27" s="1"/>
  <c r="M181" i="38"/>
  <c r="O59" i="27"/>
  <c r="R59" i="27" s="1"/>
  <c r="R57" i="27" s="1"/>
  <c r="K60" i="38"/>
  <c r="AS175" i="10"/>
  <c r="CN175" i="10" s="1"/>
  <c r="O181" i="38"/>
  <c r="AQ175" i="10"/>
  <c r="AA174" i="27"/>
  <c r="AO175" i="10"/>
  <c r="AK175" i="10"/>
  <c r="O174" i="27"/>
  <c r="Q174" i="27" s="1"/>
  <c r="AK60" i="10"/>
  <c r="O60" i="27"/>
  <c r="Q60" i="27" s="1"/>
  <c r="AM175" i="10"/>
  <c r="CM175" i="10" s="1"/>
  <c r="Q60" i="2"/>
  <c r="Q58" i="2" s="1"/>
  <c r="AK59" i="10"/>
  <c r="AL59" i="10" s="1"/>
  <c r="AE174" i="27"/>
  <c r="AG174" i="27" s="1"/>
  <c r="AO175" i="2"/>
  <c r="V59" i="11"/>
  <c r="K60" i="27"/>
  <c r="M60" i="27" s="1"/>
  <c r="AM58" i="2"/>
  <c r="E11" i="19" s="1"/>
  <c r="W173" i="11"/>
  <c r="X70" i="6"/>
  <c r="L175" i="2"/>
  <c r="K174" i="24" s="1"/>
  <c r="N132" i="40" l="1"/>
  <c r="H133" i="77"/>
  <c r="I133" i="77" s="1"/>
  <c r="L133" i="77"/>
  <c r="R47" i="77"/>
  <c r="H47" i="77"/>
  <c r="I47" i="77" s="1"/>
  <c r="L132" i="40"/>
  <c r="K174" i="23"/>
  <c r="K173" i="28"/>
  <c r="Q56" i="28"/>
  <c r="U56" i="28"/>
  <c r="AL60" i="10"/>
  <c r="CM60" i="10"/>
  <c r="AJ60" i="10"/>
  <c r="CL60" i="10"/>
  <c r="AH175" i="10"/>
  <c r="AH173" i="10" s="1"/>
  <c r="AB175" i="10"/>
  <c r="AL175" i="10"/>
  <c r="CL175" i="10"/>
  <c r="AE175" i="10"/>
  <c r="AE173" i="10" s="1"/>
  <c r="Y175" i="10"/>
  <c r="AO173" i="2"/>
  <c r="G29" i="19" s="1"/>
  <c r="X59" i="10"/>
  <c r="R59" i="10"/>
  <c r="D175" i="10"/>
  <c r="D173" i="10" s="1"/>
  <c r="AT175" i="10"/>
  <c r="I176" i="10"/>
  <c r="I173" i="10" s="1"/>
  <c r="Q59" i="27"/>
  <c r="Q57" i="27" s="1"/>
  <c r="H176" i="10"/>
  <c r="H173" i="10" s="1"/>
  <c r="AI175" i="10"/>
  <c r="CK175" i="10" s="1"/>
  <c r="J181" i="38"/>
  <c r="G176" i="10"/>
  <c r="G173" i="10" s="1"/>
  <c r="F176" i="10"/>
  <c r="AC174" i="27"/>
  <c r="K174" i="27"/>
  <c r="M174" i="27" s="1"/>
  <c r="V173" i="11"/>
  <c r="O94" i="2"/>
  <c r="Q71" i="77" s="1"/>
  <c r="R71" i="77" l="1"/>
  <c r="Q92" i="28"/>
  <c r="L93" i="24"/>
  <c r="P173" i="28"/>
  <c r="AC60" i="10"/>
  <c r="W60" i="10"/>
  <c r="AD60" i="10"/>
  <c r="X60" i="10"/>
  <c r="CR60" i="10"/>
  <c r="F173" i="10"/>
  <c r="L176" i="10"/>
  <c r="AC175" i="10"/>
  <c r="AC173" i="10" s="1"/>
  <c r="W175" i="10"/>
  <c r="CI175" i="10"/>
  <c r="X175" i="10"/>
  <c r="AD175" i="10"/>
  <c r="AD173" i="10" s="1"/>
  <c r="E175" i="10"/>
  <c r="K175" i="10" s="1"/>
  <c r="N93" i="23"/>
  <c r="L94" i="25"/>
  <c r="L57" i="10"/>
  <c r="O93" i="27"/>
  <c r="K94" i="38"/>
  <c r="C175" i="10"/>
  <c r="C173" i="10" s="1"/>
  <c r="AK93" i="10"/>
  <c r="CM93" i="10" s="1"/>
  <c r="R93" i="10" s="1"/>
  <c r="W52" i="11"/>
  <c r="AR173" i="2"/>
  <c r="AA174" i="2"/>
  <c r="P173" i="24" s="1"/>
  <c r="AA176" i="2"/>
  <c r="AA177" i="2"/>
  <c r="AA178" i="2"/>
  <c r="AA179" i="2"/>
  <c r="AK175" i="28" l="1"/>
  <c r="AO175" i="28" s="1"/>
  <c r="G134" i="40"/>
  <c r="K135" i="77" s="1"/>
  <c r="P176" i="24"/>
  <c r="AK174" i="28"/>
  <c r="AO174" i="28" s="1"/>
  <c r="G133" i="40"/>
  <c r="K134" i="77" s="1"/>
  <c r="P175" i="24"/>
  <c r="AK177" i="28"/>
  <c r="AO177" i="28" s="1"/>
  <c r="G136" i="40"/>
  <c r="K137" i="77" s="1"/>
  <c r="P178" i="24"/>
  <c r="G135" i="40"/>
  <c r="K136" i="77" s="1"/>
  <c r="P177" i="24"/>
  <c r="AK172" i="28"/>
  <c r="AO172" i="28" s="1"/>
  <c r="G131" i="40"/>
  <c r="K132" i="77" s="1"/>
  <c r="L132" i="77" s="1"/>
  <c r="AK176" i="28"/>
  <c r="AO176" i="28" s="1"/>
  <c r="AA173" i="2"/>
  <c r="CR175" i="10"/>
  <c r="AJ175" i="10"/>
  <c r="E173" i="10"/>
  <c r="O185" i="38"/>
  <c r="Z178" i="23"/>
  <c r="P179" i="25"/>
  <c r="R179" i="25" s="1"/>
  <c r="O180" i="38"/>
  <c r="Z173" i="23"/>
  <c r="P174" i="25"/>
  <c r="R174" i="25" s="1"/>
  <c r="O183" i="38"/>
  <c r="Z176" i="23"/>
  <c r="P177" i="25"/>
  <c r="R177" i="25" s="1"/>
  <c r="O184" i="38"/>
  <c r="Z177" i="23"/>
  <c r="P178" i="25"/>
  <c r="R178" i="25" s="1"/>
  <c r="O182" i="38"/>
  <c r="Z175" i="23"/>
  <c r="P176" i="25"/>
  <c r="R176" i="25" s="1"/>
  <c r="AL93" i="10"/>
  <c r="AS176" i="10"/>
  <c r="AE176" i="2"/>
  <c r="AE177" i="2"/>
  <c r="AS177" i="10"/>
  <c r="AE179" i="2"/>
  <c r="AS179" i="10"/>
  <c r="AE174" i="2"/>
  <c r="AS174" i="10"/>
  <c r="AE178" i="2"/>
  <c r="AS178" i="10"/>
  <c r="AT178" i="10" s="1"/>
  <c r="CN178" i="10" s="1"/>
  <c r="V178" i="10" s="1"/>
  <c r="AE177" i="27"/>
  <c r="AM178" i="2"/>
  <c r="AE176" i="27"/>
  <c r="AM177" i="2"/>
  <c r="AE175" i="27"/>
  <c r="AM176" i="2"/>
  <c r="AE178" i="27"/>
  <c r="AM179" i="2"/>
  <c r="AE173" i="27"/>
  <c r="AM174" i="2"/>
  <c r="W172" i="11"/>
  <c r="F28" i="12" s="1"/>
  <c r="W174" i="11"/>
  <c r="W177" i="11"/>
  <c r="W176" i="11"/>
  <c r="W175" i="11"/>
  <c r="L137" i="77" l="1"/>
  <c r="L136" i="77"/>
  <c r="L135" i="77"/>
  <c r="L134" i="77"/>
  <c r="O136" i="40"/>
  <c r="L136" i="40"/>
  <c r="N136" i="40"/>
  <c r="O135" i="40"/>
  <c r="L135" i="40"/>
  <c r="N135" i="40"/>
  <c r="O134" i="40"/>
  <c r="L134" i="40"/>
  <c r="N134" i="40"/>
  <c r="O131" i="40"/>
  <c r="N131" i="40"/>
  <c r="O133" i="40"/>
  <c r="L133" i="40"/>
  <c r="N133" i="40"/>
  <c r="L131" i="40"/>
  <c r="E176" i="40"/>
  <c r="AO171" i="28"/>
  <c r="AO170" i="28" s="1"/>
  <c r="AK171" i="28"/>
  <c r="AK170" i="28" s="1"/>
  <c r="Z172" i="23"/>
  <c r="Z171" i="23" s="1"/>
  <c r="AT176" i="10"/>
  <c r="CN176" i="10" s="1"/>
  <c r="V176" i="10" s="1"/>
  <c r="CI176" i="10" s="1"/>
  <c r="AM173" i="2"/>
  <c r="E29" i="19" s="1"/>
  <c r="CQ175" i="10"/>
  <c r="AT174" i="10"/>
  <c r="AS173" i="10"/>
  <c r="AS172" i="10" s="1"/>
  <c r="X93" i="10"/>
  <c r="AB178" i="10"/>
  <c r="CI178" i="10" s="1"/>
  <c r="P172" i="24"/>
  <c r="P171" i="24" s="1"/>
  <c r="P173" i="25"/>
  <c r="P172" i="25" s="1"/>
  <c r="AB177" i="10"/>
  <c r="AG175" i="27"/>
  <c r="AH175" i="27"/>
  <c r="AE173" i="2"/>
  <c r="Z29" i="30" s="1"/>
  <c r="AG173" i="27"/>
  <c r="AH173" i="27"/>
  <c r="AG178" i="27"/>
  <c r="AH178" i="27"/>
  <c r="AG176" i="27"/>
  <c r="AH176" i="27"/>
  <c r="AG177" i="27"/>
  <c r="AH177" i="27"/>
  <c r="R173" i="25"/>
  <c r="W171" i="11"/>
  <c r="J29" i="30" l="1"/>
  <c r="M29" i="30" s="1"/>
  <c r="P29" i="30" s="1"/>
  <c r="S29" i="30" s="1"/>
  <c r="V29" i="30" s="1"/>
  <c r="D154" i="41"/>
  <c r="J176" i="40"/>
  <c r="AB174" i="10"/>
  <c r="CN174" i="10"/>
  <c r="CR178" i="10"/>
  <c r="V174" i="10"/>
  <c r="CR176" i="10"/>
  <c r="AT177" i="10"/>
  <c r="CN177" i="10" s="1"/>
  <c r="V177" i="10" s="1"/>
  <c r="CI177" i="10" s="1"/>
  <c r="AG172" i="27"/>
  <c r="AG171" i="27" s="1"/>
  <c r="AH172" i="27"/>
  <c r="AH172" i="10"/>
  <c r="CI174" i="10" l="1"/>
  <c r="CR177" i="10"/>
  <c r="CR174" i="10"/>
  <c r="S127" i="27"/>
  <c r="U127" i="27" s="1"/>
  <c r="AI127" i="10"/>
  <c r="W127" i="27"/>
  <c r="Y127" i="27" s="1"/>
  <c r="AS127" i="10"/>
  <c r="CM127" i="10" s="1"/>
  <c r="AH171" i="27"/>
  <c r="AQ127" i="10"/>
  <c r="AA127" i="27"/>
  <c r="AK127" i="10"/>
  <c r="CS127" i="10" s="1"/>
  <c r="O127" i="27"/>
  <c r="Q127" i="27" s="1"/>
  <c r="AO127" i="10"/>
  <c r="CT127" i="10" s="1"/>
  <c r="AM127" i="10"/>
  <c r="CR127" i="10" s="1"/>
  <c r="W126" i="11"/>
  <c r="AE127" i="27"/>
  <c r="AG127" i="27" s="1"/>
  <c r="V126" i="11"/>
  <c r="K127" i="27"/>
  <c r="M127" i="27" s="1"/>
  <c r="L18" i="9"/>
  <c r="K44" i="6"/>
  <c r="K40" i="6"/>
  <c r="K27" i="6"/>
  <c r="K17" i="6"/>
  <c r="L16" i="3"/>
  <c r="L52" i="2" s="1"/>
  <c r="K50" i="28" l="1"/>
  <c r="K51" i="24"/>
  <c r="AD127" i="10"/>
  <c r="X127" i="10"/>
  <c r="AE127" i="10"/>
  <c r="Y127" i="10"/>
  <c r="AB127" i="10"/>
  <c r="AH127" i="10"/>
  <c r="AF127" i="10"/>
  <c r="Z127" i="10"/>
  <c r="J52" i="38"/>
  <c r="K51" i="23"/>
  <c r="K52" i="25"/>
  <c r="AC127" i="27"/>
  <c r="AI51" i="10"/>
  <c r="AJ51" i="10" s="1"/>
  <c r="K51" i="27"/>
  <c r="O88" i="2"/>
  <c r="Q66" i="77" s="1"/>
  <c r="R66" i="77" s="1"/>
  <c r="AA94" i="2"/>
  <c r="AK92" i="28" l="1"/>
  <c r="AO92" i="28" s="1"/>
  <c r="G70" i="40"/>
  <c r="K71" i="77" s="1"/>
  <c r="P93" i="24"/>
  <c r="Q86" i="28"/>
  <c r="U86" i="28" s="1"/>
  <c r="L87" i="24"/>
  <c r="AC127" i="10"/>
  <c r="W127" i="10"/>
  <c r="AC51" i="10"/>
  <c r="Q51" i="10"/>
  <c r="W51" i="10"/>
  <c r="O94" i="38"/>
  <c r="Z93" i="23"/>
  <c r="P94" i="25"/>
  <c r="R94" i="25" s="1"/>
  <c r="N87" i="23"/>
  <c r="L88" i="25"/>
  <c r="O87" i="27"/>
  <c r="R87" i="27" s="1"/>
  <c r="K88" i="38"/>
  <c r="Q88" i="2"/>
  <c r="AK87" i="10"/>
  <c r="CK87" i="10" s="1"/>
  <c r="AE94" i="2"/>
  <c r="AS93" i="10"/>
  <c r="AE93" i="27"/>
  <c r="AM94" i="2"/>
  <c r="W92" i="11"/>
  <c r="F10" i="12" s="1"/>
  <c r="K20" i="7"/>
  <c r="L54" i="2" s="1"/>
  <c r="L71" i="77" l="1"/>
  <c r="O70" i="40"/>
  <c r="L70" i="40"/>
  <c r="N70" i="40"/>
  <c r="K52" i="28"/>
  <c r="P52" i="28" s="1"/>
  <c r="K53" i="24"/>
  <c r="Q87" i="27"/>
  <c r="CQ51" i="10"/>
  <c r="AL87" i="10"/>
  <c r="R87" i="10"/>
  <c r="J54" i="38"/>
  <c r="K53" i="23"/>
  <c r="K54" i="25"/>
  <c r="AT93" i="10"/>
  <c r="CO93" i="10" s="1"/>
  <c r="V93" i="10" s="1"/>
  <c r="AG93" i="27"/>
  <c r="AH93" i="27"/>
  <c r="AI53" i="10"/>
  <c r="AJ53" i="10" s="1"/>
  <c r="CN53" i="10" s="1"/>
  <c r="N54" i="2"/>
  <c r="K53" i="27"/>
  <c r="N53" i="27" s="1"/>
  <c r="K23" i="6"/>
  <c r="AC53" i="10" l="1"/>
  <c r="W53" i="10"/>
  <c r="Q53" i="10"/>
  <c r="AB93" i="10"/>
  <c r="CI93" i="10" s="1"/>
  <c r="CJ93" i="10" s="1"/>
  <c r="M53" i="27"/>
  <c r="L26" i="9"/>
  <c r="L51" i="2" s="1"/>
  <c r="K49" i="28" l="1"/>
  <c r="K50" i="24"/>
  <c r="CQ53" i="10"/>
  <c r="J51" i="38"/>
  <c r="K50" i="23"/>
  <c r="K51" i="25"/>
  <c r="AI50" i="10"/>
  <c r="AJ50" i="10" s="1"/>
  <c r="N51" i="2"/>
  <c r="K50" i="27"/>
  <c r="N50" i="27" s="1"/>
  <c r="E171" i="10"/>
  <c r="J171" i="10"/>
  <c r="K171" i="10"/>
  <c r="P171" i="10"/>
  <c r="Q171" i="10"/>
  <c r="AC50" i="10" l="1"/>
  <c r="W50" i="10"/>
  <c r="Q50" i="10"/>
  <c r="M50" i="27"/>
  <c r="M17" i="3"/>
  <c r="AQ62" i="2"/>
  <c r="AA41" i="2"/>
  <c r="X41" i="2"/>
  <c r="W32" i="77" s="1"/>
  <c r="U41" i="2"/>
  <c r="T32" i="77" s="1"/>
  <c r="R41" i="2"/>
  <c r="N32" i="77" s="1"/>
  <c r="O32" i="77" s="1"/>
  <c r="O41" i="2"/>
  <c r="Q32" i="77" s="1"/>
  <c r="R32" i="77" s="1"/>
  <c r="L41" i="2"/>
  <c r="AF39" i="28" l="1"/>
  <c r="AJ39" i="28" s="1"/>
  <c r="O40" i="24"/>
  <c r="Q39" i="28"/>
  <c r="U39" i="28" s="1"/>
  <c r="L40" i="24"/>
  <c r="AK39" i="28"/>
  <c r="AO39" i="28" s="1"/>
  <c r="G31" i="40"/>
  <c r="K32" i="77" s="1"/>
  <c r="P40" i="24"/>
  <c r="K39" i="28"/>
  <c r="P39" i="28" s="1"/>
  <c r="K40" i="24"/>
  <c r="V39" i="28"/>
  <c r="Z39" i="28" s="1"/>
  <c r="M40" i="24"/>
  <c r="AA39" i="28"/>
  <c r="AE39" i="28" s="1"/>
  <c r="N40" i="24"/>
  <c r="CQ50" i="10"/>
  <c r="J41" i="38"/>
  <c r="K40" i="23"/>
  <c r="K41" i="25"/>
  <c r="N41" i="38"/>
  <c r="W40" i="23"/>
  <c r="O41" i="25"/>
  <c r="K41" i="38"/>
  <c r="N40" i="23"/>
  <c r="L41" i="25"/>
  <c r="O41" i="38"/>
  <c r="Z40" i="23"/>
  <c r="P41" i="25"/>
  <c r="R41" i="25" s="1"/>
  <c r="R39" i="25" s="1"/>
  <c r="L41" i="38"/>
  <c r="Q40" i="23"/>
  <c r="M41" i="25"/>
  <c r="T40" i="23"/>
  <c r="N41" i="25"/>
  <c r="W40" i="27"/>
  <c r="Y40" i="27" s="1"/>
  <c r="M41" i="38"/>
  <c r="O40" i="27"/>
  <c r="R40" i="27" s="1"/>
  <c r="AI40" i="10"/>
  <c r="N41" i="2"/>
  <c r="AQ40" i="10"/>
  <c r="AA40" i="27"/>
  <c r="S40" i="27"/>
  <c r="V40" i="27" s="1"/>
  <c r="AO40" i="10"/>
  <c r="AK40" i="10"/>
  <c r="AL40" i="10" s="1"/>
  <c r="Q41" i="2"/>
  <c r="AM40" i="10"/>
  <c r="AN40" i="10" s="1"/>
  <c r="T41" i="2"/>
  <c r="AE41" i="2"/>
  <c r="AS40" i="10"/>
  <c r="AT40" i="10" s="1"/>
  <c r="K40" i="27"/>
  <c r="N40" i="27" s="1"/>
  <c r="AE40" i="27"/>
  <c r="AM41" i="2"/>
  <c r="W39" i="11"/>
  <c r="V39" i="11"/>
  <c r="H32" i="77" l="1"/>
  <c r="I32" i="77" s="1"/>
  <c r="L32" i="77"/>
  <c r="O31" i="40"/>
  <c r="L31" i="40"/>
  <c r="N31" i="40"/>
  <c r="Q40" i="27"/>
  <c r="U40" i="27"/>
  <c r="AB40" i="10"/>
  <c r="V40" i="10"/>
  <c r="Y40" i="10"/>
  <c r="S40" i="10"/>
  <c r="X40" i="10"/>
  <c r="R40" i="10"/>
  <c r="AJ40" i="10"/>
  <c r="Z40" i="10"/>
  <c r="T40" i="10"/>
  <c r="AA40" i="10"/>
  <c r="U40" i="10"/>
  <c r="M40" i="27"/>
  <c r="AG40" i="27"/>
  <c r="AH40" i="27"/>
  <c r="AC40" i="27"/>
  <c r="Z41" i="2"/>
  <c r="L21" i="8"/>
  <c r="L53" i="2" s="1"/>
  <c r="L25" i="8"/>
  <c r="L24" i="8" s="1"/>
  <c r="L34" i="8"/>
  <c r="L36" i="8"/>
  <c r="L44" i="8"/>
  <c r="L46" i="8"/>
  <c r="L45" i="8" s="1"/>
  <c r="L70" i="8"/>
  <c r="L69" i="8" s="1"/>
  <c r="L63" i="8"/>
  <c r="L60" i="8"/>
  <c r="L159" i="2" s="1"/>
  <c r="K64" i="6"/>
  <c r="K63" i="6" s="1"/>
  <c r="L58" i="8"/>
  <c r="K61" i="6"/>
  <c r="L156" i="2" s="1"/>
  <c r="K59" i="6"/>
  <c r="K58" i="6" s="1"/>
  <c r="K157" i="28" l="1"/>
  <c r="P157" i="28" s="1"/>
  <c r="K158" i="24"/>
  <c r="K51" i="28"/>
  <c r="P51" i="28" s="1"/>
  <c r="K52" i="24"/>
  <c r="K154" i="28"/>
  <c r="P154" i="28" s="1"/>
  <c r="K155" i="24"/>
  <c r="CI40" i="10"/>
  <c r="CJ40" i="10" s="1"/>
  <c r="J165" i="38"/>
  <c r="K158" i="23"/>
  <c r="K159" i="25"/>
  <c r="J162" i="38"/>
  <c r="K155" i="23"/>
  <c r="K156" i="25"/>
  <c r="J53" i="38"/>
  <c r="K52" i="23"/>
  <c r="K53" i="25"/>
  <c r="W40" i="10"/>
  <c r="Q40" i="10"/>
  <c r="AI158" i="10"/>
  <c r="AJ158" i="10" s="1"/>
  <c r="CK158" i="10" s="1"/>
  <c r="N159" i="2"/>
  <c r="AI155" i="10"/>
  <c r="AJ155" i="10" s="1"/>
  <c r="CK155" i="10" s="1"/>
  <c r="N156" i="2"/>
  <c r="AI52" i="10"/>
  <c r="AJ52" i="10" s="1"/>
  <c r="N53" i="2"/>
  <c r="K158" i="27"/>
  <c r="N158" i="27" s="1"/>
  <c r="K155" i="27"/>
  <c r="N155" i="27" s="1"/>
  <c r="K52" i="27"/>
  <c r="N52" i="27" s="1"/>
  <c r="W52" i="10" l="1"/>
  <c r="Q52" i="10"/>
  <c r="M155" i="27"/>
  <c r="M158" i="27"/>
  <c r="M52" i="27"/>
  <c r="V52" i="11"/>
  <c r="V51" i="11"/>
  <c r="E6" i="12" s="1"/>
  <c r="Q15" i="3"/>
  <c r="Z15" i="3" s="1"/>
  <c r="P15" i="3"/>
  <c r="O15" i="3"/>
  <c r="N15" i="3"/>
  <c r="M15" i="3"/>
  <c r="L15" i="3"/>
  <c r="Y15" i="3"/>
  <c r="Q25" i="9"/>
  <c r="P25" i="9"/>
  <c r="O25" i="9"/>
  <c r="N25" i="9"/>
  <c r="M25" i="9"/>
  <c r="L25" i="9"/>
  <c r="CQ52" i="10" l="1"/>
  <c r="W51" i="11"/>
  <c r="F6" i="12" s="1"/>
  <c r="K46" i="6" l="1"/>
  <c r="O16" i="6" l="1"/>
  <c r="N16" i="6"/>
  <c r="M16" i="6"/>
  <c r="L16" i="6"/>
  <c r="P16" i="6"/>
  <c r="X179" i="2"/>
  <c r="W137" i="77" s="1"/>
  <c r="U179" i="2"/>
  <c r="T137" i="77" s="1"/>
  <c r="R179" i="2"/>
  <c r="N137" i="77" s="1"/>
  <c r="O179" i="2"/>
  <c r="Q137" i="77" s="1"/>
  <c r="R137" i="77" s="1"/>
  <c r="L179" i="2"/>
  <c r="X178" i="2"/>
  <c r="U178" i="2"/>
  <c r="R178" i="2"/>
  <c r="O178" i="2"/>
  <c r="X177" i="2"/>
  <c r="W135" i="77" s="1"/>
  <c r="U177" i="2"/>
  <c r="T135" i="77" s="1"/>
  <c r="R177" i="2"/>
  <c r="N135" i="77" s="1"/>
  <c r="O177" i="2"/>
  <c r="Q135" i="77" s="1"/>
  <c r="R135" i="77" s="1"/>
  <c r="X176" i="2"/>
  <c r="W134" i="77" s="1"/>
  <c r="U176" i="2"/>
  <c r="T134" i="77" s="1"/>
  <c r="R176" i="2"/>
  <c r="N134" i="77" s="1"/>
  <c r="O176" i="2"/>
  <c r="Q134" i="77" s="1"/>
  <c r="R134" i="77" s="1"/>
  <c r="X174" i="2"/>
  <c r="U174" i="2"/>
  <c r="T132" i="77" s="1"/>
  <c r="R174" i="2"/>
  <c r="N132" i="77" s="1"/>
  <c r="O174" i="2"/>
  <c r="Q132" i="77" s="1"/>
  <c r="X171" i="2"/>
  <c r="W131" i="77" s="1"/>
  <c r="U171" i="2"/>
  <c r="R171" i="2"/>
  <c r="N131" i="77" s="1"/>
  <c r="X166" i="2"/>
  <c r="W129" i="77" s="1"/>
  <c r="U166" i="2"/>
  <c r="T129" i="77" s="1"/>
  <c r="R166" i="2"/>
  <c r="N129" i="77" s="1"/>
  <c r="O166" i="2"/>
  <c r="X165" i="2"/>
  <c r="W128" i="77" s="1"/>
  <c r="U165" i="2"/>
  <c r="T128" i="77" s="1"/>
  <c r="R165" i="2"/>
  <c r="N128" i="77" s="1"/>
  <c r="O165" i="2"/>
  <c r="X164" i="2"/>
  <c r="W127" i="77" s="1"/>
  <c r="U164" i="2"/>
  <c r="R164" i="2"/>
  <c r="O164" i="2"/>
  <c r="L164" i="2"/>
  <c r="X163" i="2"/>
  <c r="W126" i="77" s="1"/>
  <c r="U163" i="2"/>
  <c r="T126" i="77" s="1"/>
  <c r="R163" i="2"/>
  <c r="N126" i="77" s="1"/>
  <c r="O163" i="2"/>
  <c r="X162" i="2"/>
  <c r="U162" i="2"/>
  <c r="T125" i="77" s="1"/>
  <c r="R162" i="2"/>
  <c r="N125" i="77" s="1"/>
  <c r="O162" i="2"/>
  <c r="Q125" i="77" s="1"/>
  <c r="R125" i="77" s="1"/>
  <c r="X153" i="2"/>
  <c r="W119" i="77" s="1"/>
  <c r="U153" i="2"/>
  <c r="T119" i="77" s="1"/>
  <c r="R153" i="2"/>
  <c r="N119" i="77" s="1"/>
  <c r="O119" i="77" s="1"/>
  <c r="O153" i="2"/>
  <c r="Q119" i="77" s="1"/>
  <c r="L153" i="2"/>
  <c r="X152" i="2"/>
  <c r="W118" i="77" s="1"/>
  <c r="U152" i="2"/>
  <c r="T118" i="77" s="1"/>
  <c r="R152" i="2"/>
  <c r="N118" i="77" s="1"/>
  <c r="O152" i="2"/>
  <c r="Q118" i="77" s="1"/>
  <c r="R118" i="77" s="1"/>
  <c r="X151" i="2"/>
  <c r="W117" i="77" s="1"/>
  <c r="U151" i="2"/>
  <c r="T117" i="77" s="1"/>
  <c r="R151" i="2"/>
  <c r="N117" i="77" s="1"/>
  <c r="X150" i="2"/>
  <c r="W116" i="77" s="1"/>
  <c r="U150" i="2"/>
  <c r="T116" i="77" s="1"/>
  <c r="R150" i="2"/>
  <c r="N116" i="77" s="1"/>
  <c r="O150" i="2"/>
  <c r="Q116" i="77" s="1"/>
  <c r="R116" i="77" s="1"/>
  <c r="X149" i="2"/>
  <c r="W115" i="77" s="1"/>
  <c r="U149" i="2"/>
  <c r="T115" i="77" s="1"/>
  <c r="R149" i="2"/>
  <c r="N115" i="77" s="1"/>
  <c r="O149" i="2"/>
  <c r="Q115" i="77" s="1"/>
  <c r="R115" i="77" s="1"/>
  <c r="N146" i="38"/>
  <c r="K146" i="38"/>
  <c r="N145" i="38"/>
  <c r="K145" i="38"/>
  <c r="N144" i="38"/>
  <c r="K144" i="38"/>
  <c r="N143" i="38"/>
  <c r="K143" i="38"/>
  <c r="N142" i="38"/>
  <c r="K142" i="38"/>
  <c r="N141" i="38"/>
  <c r="K141" i="38"/>
  <c r="N140" i="38"/>
  <c r="K140" i="38"/>
  <c r="N139" i="38"/>
  <c r="K139" i="38"/>
  <c r="N138" i="38"/>
  <c r="K138" i="38"/>
  <c r="N137" i="38"/>
  <c r="K137" i="38"/>
  <c r="N136" i="38"/>
  <c r="K136" i="38"/>
  <c r="N122" i="38"/>
  <c r="K122" i="38"/>
  <c r="X119" i="2"/>
  <c r="W91" i="77" s="1"/>
  <c r="U119" i="2"/>
  <c r="R119" i="2"/>
  <c r="N91" i="77" s="1"/>
  <c r="O91" i="77" s="1"/>
  <c r="O119" i="2"/>
  <c r="Q91" i="77" s="1"/>
  <c r="R91" i="77" s="1"/>
  <c r="L119" i="2"/>
  <c r="X118" i="2"/>
  <c r="W90" i="77" s="1"/>
  <c r="U118" i="2"/>
  <c r="R118" i="2"/>
  <c r="N90" i="77" s="1"/>
  <c r="O90" i="77" s="1"/>
  <c r="O118" i="2"/>
  <c r="X117" i="2"/>
  <c r="W89" i="77" s="1"/>
  <c r="U117" i="2"/>
  <c r="R117" i="2"/>
  <c r="N89" i="77" s="1"/>
  <c r="O89" i="77" s="1"/>
  <c r="O117" i="2"/>
  <c r="X116" i="2"/>
  <c r="U116" i="2"/>
  <c r="R116" i="2"/>
  <c r="N88" i="77" s="1"/>
  <c r="O88" i="77" s="1"/>
  <c r="O116" i="2"/>
  <c r="Q88" i="77" s="1"/>
  <c r="R88" i="77" s="1"/>
  <c r="X115" i="2"/>
  <c r="U115" i="2"/>
  <c r="R115" i="2"/>
  <c r="N87" i="77" s="1"/>
  <c r="O87" i="77" s="1"/>
  <c r="O115" i="2"/>
  <c r="Q87" i="77" s="1"/>
  <c r="R87" i="77" s="1"/>
  <c r="X113" i="2"/>
  <c r="U113" i="2"/>
  <c r="R113" i="2"/>
  <c r="O113" i="2"/>
  <c r="Q86" i="77" s="1"/>
  <c r="R86" i="77" s="1"/>
  <c r="L113" i="2"/>
  <c r="X112" i="2"/>
  <c r="U112" i="2"/>
  <c r="R112" i="2"/>
  <c r="O112" i="2"/>
  <c r="Q85" i="77" s="1"/>
  <c r="R85" i="77" s="1"/>
  <c r="X111" i="2"/>
  <c r="U111" i="2"/>
  <c r="R111" i="2"/>
  <c r="O111" i="2"/>
  <c r="Q84" i="77" s="1"/>
  <c r="R84" i="77" s="1"/>
  <c r="X110" i="2"/>
  <c r="U110" i="2"/>
  <c r="R110" i="2"/>
  <c r="O110" i="2"/>
  <c r="Q83" i="77" s="1"/>
  <c r="R83" i="77" s="1"/>
  <c r="L110" i="2"/>
  <c r="X109" i="2"/>
  <c r="U109" i="2"/>
  <c r="R109" i="2"/>
  <c r="O109" i="2"/>
  <c r="Q82" i="77" s="1"/>
  <c r="R82" i="77" s="1"/>
  <c r="X107" i="2"/>
  <c r="U107" i="2"/>
  <c r="R107" i="2"/>
  <c r="N81" i="77" s="1"/>
  <c r="O81" i="77" s="1"/>
  <c r="O107" i="2"/>
  <c r="Q81" i="77" s="1"/>
  <c r="R81" i="77" s="1"/>
  <c r="L107" i="2"/>
  <c r="X106" i="2"/>
  <c r="U106" i="2"/>
  <c r="R106" i="2"/>
  <c r="N80" i="77" s="1"/>
  <c r="O80" i="77" s="1"/>
  <c r="O106" i="2"/>
  <c r="Q80" i="77" s="1"/>
  <c r="R80" i="77" s="1"/>
  <c r="X105" i="2"/>
  <c r="U105" i="2"/>
  <c r="R105" i="2"/>
  <c r="N79" i="77" s="1"/>
  <c r="O79" i="77" s="1"/>
  <c r="O105" i="2"/>
  <c r="Q79" i="77" s="1"/>
  <c r="R79" i="77" s="1"/>
  <c r="X104" i="2"/>
  <c r="U104" i="2"/>
  <c r="R104" i="2"/>
  <c r="N78" i="77" s="1"/>
  <c r="O78" i="77" s="1"/>
  <c r="O104" i="2"/>
  <c r="X103" i="2"/>
  <c r="U103" i="2"/>
  <c r="R103" i="2"/>
  <c r="N77" i="77" s="1"/>
  <c r="O77" i="77" s="1"/>
  <c r="O103" i="2"/>
  <c r="Q77" i="77" s="1"/>
  <c r="R77" i="77" s="1"/>
  <c r="X98" i="2"/>
  <c r="W75" i="77" s="1"/>
  <c r="U98" i="2"/>
  <c r="T75" i="77" s="1"/>
  <c r="R98" i="2"/>
  <c r="N75" i="77" s="1"/>
  <c r="O98" i="2"/>
  <c r="Q75" i="77" s="1"/>
  <c r="R75" i="77" s="1"/>
  <c r="X97" i="2"/>
  <c r="W74" i="77" s="1"/>
  <c r="U97" i="2"/>
  <c r="R97" i="2"/>
  <c r="O97" i="2"/>
  <c r="Q74" i="77" s="1"/>
  <c r="R74" i="77" s="1"/>
  <c r="X96" i="2"/>
  <c r="U96" i="2"/>
  <c r="R96" i="2"/>
  <c r="O96" i="2"/>
  <c r="X95" i="2"/>
  <c r="W72" i="77" s="1"/>
  <c r="U95" i="2"/>
  <c r="R95" i="2"/>
  <c r="O95" i="2"/>
  <c r="X94" i="2"/>
  <c r="W71" i="77" s="1"/>
  <c r="U94" i="2"/>
  <c r="T71" i="77" s="1"/>
  <c r="R94" i="2"/>
  <c r="N71" i="77" s="1"/>
  <c r="X93" i="2"/>
  <c r="W70" i="77" s="1"/>
  <c r="U93" i="2"/>
  <c r="T70" i="77" s="1"/>
  <c r="R93" i="2"/>
  <c r="N70" i="77" s="1"/>
  <c r="O93" i="2"/>
  <c r="Q70" i="77" s="1"/>
  <c r="R70" i="77" s="1"/>
  <c r="X91" i="2"/>
  <c r="U91" i="2"/>
  <c r="T69" i="77" s="1"/>
  <c r="R91" i="2"/>
  <c r="N69" i="77" s="1"/>
  <c r="O91" i="2"/>
  <c r="Q69" i="77" s="1"/>
  <c r="R69" i="77" s="1"/>
  <c r="X90" i="2"/>
  <c r="W68" i="77" s="1"/>
  <c r="U90" i="2"/>
  <c r="T68" i="77" s="1"/>
  <c r="R90" i="2"/>
  <c r="N68" i="77" s="1"/>
  <c r="O90" i="2"/>
  <c r="Q68" i="77" s="1"/>
  <c r="R68" i="77" s="1"/>
  <c r="X89" i="2"/>
  <c r="W67" i="77" s="1"/>
  <c r="U89" i="2"/>
  <c r="R89" i="2"/>
  <c r="O89" i="2"/>
  <c r="X88" i="2"/>
  <c r="W66" i="77" s="1"/>
  <c r="U88" i="2"/>
  <c r="T66" i="77" s="1"/>
  <c r="R88" i="2"/>
  <c r="N66" i="77" s="1"/>
  <c r="X87" i="2"/>
  <c r="W65" i="77" s="1"/>
  <c r="U87" i="2"/>
  <c r="R87" i="2"/>
  <c r="O87" i="2"/>
  <c r="Q65" i="77" s="1"/>
  <c r="R65" i="77" s="1"/>
  <c r="X83" i="2"/>
  <c r="O82" i="24" s="1"/>
  <c r="U83" i="2"/>
  <c r="N82" i="24" s="1"/>
  <c r="R83" i="2"/>
  <c r="O83" i="2"/>
  <c r="L82" i="24" s="1"/>
  <c r="X82" i="2"/>
  <c r="U82" i="2"/>
  <c r="R82" i="2"/>
  <c r="O82" i="2"/>
  <c r="X81" i="2"/>
  <c r="O80" i="24" s="1"/>
  <c r="R81" i="2"/>
  <c r="O81" i="2"/>
  <c r="L80" i="24" s="1"/>
  <c r="X80" i="2"/>
  <c r="W61" i="77" s="1"/>
  <c r="U80" i="2"/>
  <c r="T61" i="77" s="1"/>
  <c r="R80" i="2"/>
  <c r="N61" i="77" s="1"/>
  <c r="O80" i="2"/>
  <c r="Q61" i="77" s="1"/>
  <c r="R61" i="77" s="1"/>
  <c r="X78" i="2"/>
  <c r="U78" i="2"/>
  <c r="T60" i="77" s="1"/>
  <c r="R78" i="2"/>
  <c r="N60" i="77" s="1"/>
  <c r="O78" i="2"/>
  <c r="L78" i="2"/>
  <c r="X77" i="2"/>
  <c r="U77" i="2"/>
  <c r="T59" i="77" s="1"/>
  <c r="U59" i="77" s="1"/>
  <c r="R77" i="2"/>
  <c r="N59" i="77" s="1"/>
  <c r="O77" i="2"/>
  <c r="X76" i="2"/>
  <c r="U76" i="2"/>
  <c r="T58" i="77" s="1"/>
  <c r="R76" i="2"/>
  <c r="N58" i="77" s="1"/>
  <c r="O76" i="2"/>
  <c r="X75" i="2"/>
  <c r="U75" i="2"/>
  <c r="T57" i="77" s="1"/>
  <c r="R75" i="2"/>
  <c r="N57" i="77" s="1"/>
  <c r="X72" i="2"/>
  <c r="W56" i="77" s="1"/>
  <c r="U72" i="2"/>
  <c r="R72" i="2"/>
  <c r="O72" i="2"/>
  <c r="Q56" i="77" s="1"/>
  <c r="R56" i="77" s="1"/>
  <c r="X71" i="2"/>
  <c r="W55" i="77" s="1"/>
  <c r="U71" i="2"/>
  <c r="T55" i="77" s="1"/>
  <c r="R71" i="2"/>
  <c r="N55" i="77" s="1"/>
  <c r="O71" i="2"/>
  <c r="Q55" i="77" s="1"/>
  <c r="R55" i="77" s="1"/>
  <c r="X70" i="2"/>
  <c r="W54" i="77" s="1"/>
  <c r="U70" i="2"/>
  <c r="T54" i="77" s="1"/>
  <c r="R70" i="2"/>
  <c r="N54" i="77" s="1"/>
  <c r="O70" i="2"/>
  <c r="Q54" i="77" s="1"/>
  <c r="R54" i="77" s="1"/>
  <c r="X69" i="2"/>
  <c r="W53" i="77" s="1"/>
  <c r="U69" i="2"/>
  <c r="T53" i="77" s="1"/>
  <c r="R69" i="2"/>
  <c r="N53" i="77" s="1"/>
  <c r="O69" i="2"/>
  <c r="Q53" i="77" s="1"/>
  <c r="R53" i="77" s="1"/>
  <c r="X68" i="2"/>
  <c r="W52" i="77" s="1"/>
  <c r="U68" i="2"/>
  <c r="T52" i="77" s="1"/>
  <c r="R68" i="2"/>
  <c r="O68" i="2"/>
  <c r="Q52" i="77" s="1"/>
  <c r="R52" i="77" s="1"/>
  <c r="X66" i="2"/>
  <c r="W51" i="77" s="1"/>
  <c r="U66" i="2"/>
  <c r="R66" i="2"/>
  <c r="O66" i="2"/>
  <c r="X65" i="2"/>
  <c r="W50" i="77" s="1"/>
  <c r="U65" i="2"/>
  <c r="T50" i="77" s="1"/>
  <c r="R65" i="2"/>
  <c r="N50" i="77" s="1"/>
  <c r="O65" i="2"/>
  <c r="Q50" i="77" s="1"/>
  <c r="R50" i="77" s="1"/>
  <c r="X64" i="2"/>
  <c r="W49" i="77" s="1"/>
  <c r="U64" i="2"/>
  <c r="T49" i="77" s="1"/>
  <c r="R64" i="2"/>
  <c r="N49" i="77" s="1"/>
  <c r="O49" i="77" s="1"/>
  <c r="O64" i="2"/>
  <c r="Q49" i="77" s="1"/>
  <c r="R49" i="77" s="1"/>
  <c r="X63" i="2"/>
  <c r="W48" i="77" s="1"/>
  <c r="U63" i="2"/>
  <c r="T48" i="77" s="1"/>
  <c r="R63" i="2"/>
  <c r="N48" i="77" s="1"/>
  <c r="O63" i="2"/>
  <c r="Q48" i="77" s="1"/>
  <c r="R48" i="77" s="1"/>
  <c r="X57" i="2"/>
  <c r="W44" i="77" s="1"/>
  <c r="U57" i="2"/>
  <c r="T44" i="77" s="1"/>
  <c r="U44" i="77" s="1"/>
  <c r="R57" i="2"/>
  <c r="N44" i="77" s="1"/>
  <c r="O57" i="2"/>
  <c r="Q44" i="77" s="1"/>
  <c r="X49" i="2"/>
  <c r="W38" i="77" s="1"/>
  <c r="U49" i="2"/>
  <c r="T38" i="77" s="1"/>
  <c r="R49" i="2"/>
  <c r="N38" i="77" s="1"/>
  <c r="O38" i="77" s="1"/>
  <c r="O49" i="2"/>
  <c r="Q38" i="77" s="1"/>
  <c r="R38" i="77" s="1"/>
  <c r="X48" i="2"/>
  <c r="W37" i="77" s="1"/>
  <c r="U48" i="2"/>
  <c r="T37" i="77" s="1"/>
  <c r="R48" i="2"/>
  <c r="N37" i="77" s="1"/>
  <c r="O37" i="77" s="1"/>
  <c r="O48" i="2"/>
  <c r="Q37" i="77" s="1"/>
  <c r="R37" i="77" s="1"/>
  <c r="X47" i="2"/>
  <c r="O46" i="24" s="1"/>
  <c r="U47" i="2"/>
  <c r="N46" i="24" s="1"/>
  <c r="R47" i="2"/>
  <c r="M46" i="24" s="1"/>
  <c r="O47" i="2"/>
  <c r="L46" i="24" s="1"/>
  <c r="X44" i="2"/>
  <c r="W35" i="77" s="1"/>
  <c r="U44" i="2"/>
  <c r="R44" i="2"/>
  <c r="N35" i="77" s="1"/>
  <c r="O35" i="77" s="1"/>
  <c r="O44" i="2"/>
  <c r="Q35" i="77" s="1"/>
  <c r="R35" i="77" s="1"/>
  <c r="X43" i="2"/>
  <c r="U43" i="2"/>
  <c r="X42" i="2"/>
  <c r="U42" i="2"/>
  <c r="R42" i="2"/>
  <c r="N33" i="77" s="1"/>
  <c r="O33" i="77" s="1"/>
  <c r="O42" i="2"/>
  <c r="Q33" i="77" s="1"/>
  <c r="R33" i="77" s="1"/>
  <c r="X40" i="2"/>
  <c r="W31" i="77" s="1"/>
  <c r="U40" i="2"/>
  <c r="T31" i="77" s="1"/>
  <c r="R40" i="2"/>
  <c r="N31" i="77" s="1"/>
  <c r="O31" i="77" s="1"/>
  <c r="O40" i="2"/>
  <c r="Q31" i="77" s="1"/>
  <c r="R31" i="77" s="1"/>
  <c r="X38" i="2"/>
  <c r="W30" i="77" s="1"/>
  <c r="U38" i="2"/>
  <c r="T30" i="77" s="1"/>
  <c r="R38" i="2"/>
  <c r="N30" i="77" s="1"/>
  <c r="O30" i="77" s="1"/>
  <c r="O38" i="2"/>
  <c r="Q30" i="77" s="1"/>
  <c r="R30" i="77" s="1"/>
  <c r="X37" i="2"/>
  <c r="W29" i="77" s="1"/>
  <c r="U37" i="2"/>
  <c r="R37" i="2"/>
  <c r="O37" i="2"/>
  <c r="X36" i="2"/>
  <c r="U36" i="2"/>
  <c r="T35" i="23" s="1"/>
  <c r="R36" i="2"/>
  <c r="Q35" i="23" s="1"/>
  <c r="O36" i="2"/>
  <c r="X35" i="2"/>
  <c r="W27" i="77" s="1"/>
  <c r="U35" i="2"/>
  <c r="R35" i="2"/>
  <c r="N27" i="77" s="1"/>
  <c r="O27" i="77" s="1"/>
  <c r="O35" i="2"/>
  <c r="Q27" i="77" s="1"/>
  <c r="R27" i="77" s="1"/>
  <c r="X34" i="2"/>
  <c r="U34" i="2"/>
  <c r="R34" i="2"/>
  <c r="O34" i="2"/>
  <c r="Q66" i="8"/>
  <c r="P66" i="8"/>
  <c r="O66" i="8"/>
  <c r="N66" i="8"/>
  <c r="Q73" i="9"/>
  <c r="P73" i="9"/>
  <c r="O73" i="9"/>
  <c r="N73" i="9"/>
  <c r="H137" i="77" l="1"/>
  <c r="I137" i="77" s="1"/>
  <c r="H71" i="77"/>
  <c r="I71" i="77" s="1"/>
  <c r="M33" i="24"/>
  <c r="N26" i="77"/>
  <c r="O26" i="77" s="1"/>
  <c r="M36" i="24"/>
  <c r="N29" i="77"/>
  <c r="O29" i="77" s="1"/>
  <c r="O42" i="24"/>
  <c r="W34" i="77"/>
  <c r="L76" i="24"/>
  <c r="Q59" i="77"/>
  <c r="O77" i="24"/>
  <c r="W60" i="77"/>
  <c r="Q80" i="28"/>
  <c r="U80" i="28" s="1"/>
  <c r="Q62" i="77"/>
  <c r="R62" i="77" s="1"/>
  <c r="M88" i="24"/>
  <c r="N67" i="77"/>
  <c r="N94" i="24"/>
  <c r="T72" i="77"/>
  <c r="N97" i="25"/>
  <c r="T74" i="77"/>
  <c r="N102" i="24"/>
  <c r="T77" i="77"/>
  <c r="N104" i="24"/>
  <c r="T79" i="77"/>
  <c r="N105" i="24"/>
  <c r="T80" i="77"/>
  <c r="M108" i="24"/>
  <c r="N82" i="77"/>
  <c r="O112" i="24"/>
  <c r="W86" i="77"/>
  <c r="O114" i="24"/>
  <c r="W87" i="77"/>
  <c r="N118" i="24"/>
  <c r="T91" i="77"/>
  <c r="M163" i="24"/>
  <c r="N127" i="77"/>
  <c r="N177" i="24"/>
  <c r="T136" i="77"/>
  <c r="N33" i="24"/>
  <c r="T26" i="77"/>
  <c r="N34" i="24"/>
  <c r="T27" i="77"/>
  <c r="N36" i="24"/>
  <c r="T29" i="77"/>
  <c r="N41" i="24"/>
  <c r="T33" i="77"/>
  <c r="L65" i="24"/>
  <c r="Q51" i="77"/>
  <c r="R51" i="77" s="1"/>
  <c r="L77" i="24"/>
  <c r="Q60" i="77"/>
  <c r="R60" i="77" s="1"/>
  <c r="V80" i="28"/>
  <c r="Z80" i="28" s="1"/>
  <c r="N63" i="77"/>
  <c r="H63" i="77" s="1"/>
  <c r="I63" i="77" s="1"/>
  <c r="M82" i="24"/>
  <c r="N64" i="77"/>
  <c r="H64" i="77" s="1"/>
  <c r="I64" i="77" s="1"/>
  <c r="M86" i="24"/>
  <c r="N65" i="77"/>
  <c r="N88" i="24"/>
  <c r="T67" i="77"/>
  <c r="O102" i="24"/>
  <c r="W77" i="77"/>
  <c r="O104" i="24"/>
  <c r="W79" i="77"/>
  <c r="O105" i="24"/>
  <c r="W80" i="77"/>
  <c r="N106" i="24"/>
  <c r="T81" i="77"/>
  <c r="N108" i="24"/>
  <c r="T82" i="77"/>
  <c r="M110" i="24"/>
  <c r="N84" i="77"/>
  <c r="M111" i="24"/>
  <c r="N85" i="77"/>
  <c r="L116" i="24"/>
  <c r="Q89" i="77"/>
  <c r="R89" i="77" s="1"/>
  <c r="L117" i="24"/>
  <c r="Q90" i="77"/>
  <c r="R90" i="77" s="1"/>
  <c r="O161" i="24"/>
  <c r="W125" i="77"/>
  <c r="N163" i="24"/>
  <c r="T127" i="77"/>
  <c r="O173" i="24"/>
  <c r="W132" i="77"/>
  <c r="O177" i="24"/>
  <c r="W136" i="77"/>
  <c r="O33" i="24"/>
  <c r="W26" i="77"/>
  <c r="W28" i="77"/>
  <c r="W35" i="23"/>
  <c r="O41" i="24"/>
  <c r="W33" i="77"/>
  <c r="M65" i="24"/>
  <c r="N51" i="77"/>
  <c r="M67" i="24"/>
  <c r="N52" i="77"/>
  <c r="M71" i="24"/>
  <c r="N56" i="77"/>
  <c r="M80" i="24"/>
  <c r="N62" i="77"/>
  <c r="AA80" i="28"/>
  <c r="AE80" i="28" s="1"/>
  <c r="T62" i="77"/>
  <c r="N86" i="24"/>
  <c r="T65" i="77"/>
  <c r="AF89" i="28"/>
  <c r="AJ89" i="28" s="1"/>
  <c r="W69" i="77"/>
  <c r="L94" i="24"/>
  <c r="Q72" i="77"/>
  <c r="R72" i="77" s="1"/>
  <c r="O106" i="24"/>
  <c r="W81" i="77"/>
  <c r="O108" i="24"/>
  <c r="W82" i="77"/>
  <c r="N110" i="24"/>
  <c r="T84" i="77"/>
  <c r="N111" i="24"/>
  <c r="T85" i="77"/>
  <c r="M112" i="24"/>
  <c r="N86" i="77"/>
  <c r="H132" i="77"/>
  <c r="I132" i="77" s="1"/>
  <c r="R132" i="77"/>
  <c r="L177" i="24"/>
  <c r="Q136" i="77"/>
  <c r="R136" i="77" s="1"/>
  <c r="L33" i="24"/>
  <c r="Q26" i="77"/>
  <c r="R26" i="77" s="1"/>
  <c r="Q28" i="77"/>
  <c r="R28" i="77" s="1"/>
  <c r="N35" i="23"/>
  <c r="L36" i="24"/>
  <c r="Q29" i="77"/>
  <c r="R29" i="77" s="1"/>
  <c r="N42" i="24"/>
  <c r="T34" i="77"/>
  <c r="H34" i="77" s="1"/>
  <c r="I34" i="77" s="1"/>
  <c r="N44" i="25"/>
  <c r="T35" i="77"/>
  <c r="N65" i="24"/>
  <c r="T51" i="77"/>
  <c r="N71" i="24"/>
  <c r="T56" i="77"/>
  <c r="AF73" i="28"/>
  <c r="W57" i="77"/>
  <c r="O76" i="24"/>
  <c r="W59" i="77"/>
  <c r="AF80" i="28"/>
  <c r="W62" i="77"/>
  <c r="L88" i="24"/>
  <c r="Q67" i="77"/>
  <c r="R67" i="77" s="1"/>
  <c r="M94" i="24"/>
  <c r="N72" i="77"/>
  <c r="M97" i="25"/>
  <c r="N74" i="77"/>
  <c r="O110" i="24"/>
  <c r="W84" i="77"/>
  <c r="O111" i="24"/>
  <c r="W85" i="77"/>
  <c r="N112" i="24"/>
  <c r="T86" i="77"/>
  <c r="N114" i="24"/>
  <c r="T87" i="77"/>
  <c r="N116" i="24"/>
  <c r="T89" i="77"/>
  <c r="N117" i="24"/>
  <c r="T90" i="77"/>
  <c r="L163" i="24"/>
  <c r="Q127" i="77"/>
  <c r="R127" i="77" s="1"/>
  <c r="L164" i="24"/>
  <c r="Q128" i="77"/>
  <c r="R128" i="77" s="1"/>
  <c r="L165" i="24"/>
  <c r="Q129" i="77"/>
  <c r="R129" i="77" s="1"/>
  <c r="H135" i="77"/>
  <c r="I135" i="77" s="1"/>
  <c r="M177" i="24"/>
  <c r="N136" i="77"/>
  <c r="O115" i="24"/>
  <c r="W88" i="77"/>
  <c r="N170" i="24"/>
  <c r="T131" i="77"/>
  <c r="U131" i="77" s="1"/>
  <c r="AA34" i="28"/>
  <c r="AE34" i="28" s="1"/>
  <c r="T28" i="77"/>
  <c r="O95" i="24"/>
  <c r="W73" i="77"/>
  <c r="O103" i="24"/>
  <c r="W78" i="77"/>
  <c r="M109" i="24"/>
  <c r="N83" i="77"/>
  <c r="L95" i="24"/>
  <c r="Q73" i="77"/>
  <c r="R73" i="77" s="1"/>
  <c r="L103" i="24"/>
  <c r="Q78" i="77"/>
  <c r="R78" i="77" s="1"/>
  <c r="N109" i="24"/>
  <c r="T83" i="77"/>
  <c r="L162" i="24"/>
  <c r="Q126" i="77"/>
  <c r="R126" i="77" s="1"/>
  <c r="V34" i="28"/>
  <c r="N28" i="77"/>
  <c r="O28" i="77" s="1"/>
  <c r="N95" i="24"/>
  <c r="T73" i="77"/>
  <c r="N103" i="24"/>
  <c r="T78" i="77"/>
  <c r="AF74" i="28"/>
  <c r="AJ74" i="28" s="1"/>
  <c r="W58" i="77"/>
  <c r="M95" i="24"/>
  <c r="N73" i="77"/>
  <c r="O109" i="24"/>
  <c r="W83" i="77"/>
  <c r="N115" i="24"/>
  <c r="T88" i="77"/>
  <c r="H134" i="77"/>
  <c r="I134" i="77" s="1"/>
  <c r="Q74" i="28"/>
  <c r="U74" i="28" s="1"/>
  <c r="Q58" i="77"/>
  <c r="R58" i="77" s="1"/>
  <c r="U58" i="77"/>
  <c r="AF78" i="28"/>
  <c r="AJ78" i="28" s="1"/>
  <c r="W79" i="23"/>
  <c r="L43" i="24"/>
  <c r="L44" i="25"/>
  <c r="Q44" i="2"/>
  <c r="Q78" i="28"/>
  <c r="N79" i="23"/>
  <c r="M44" i="25"/>
  <c r="T44" i="2"/>
  <c r="V78" i="28"/>
  <c r="Q79" i="23"/>
  <c r="O43" i="24"/>
  <c r="O44" i="25"/>
  <c r="AA78" i="28"/>
  <c r="T79" i="23"/>
  <c r="O96" i="24"/>
  <c r="O97" i="25"/>
  <c r="L96" i="24"/>
  <c r="L97" i="25"/>
  <c r="Q97" i="2"/>
  <c r="V33" i="28"/>
  <c r="Z33" i="28" s="1"/>
  <c r="M34" i="24"/>
  <c r="V36" i="28"/>
  <c r="Z36" i="28" s="1"/>
  <c r="M37" i="24"/>
  <c r="V38" i="28"/>
  <c r="M39" i="24"/>
  <c r="V40" i="28"/>
  <c r="Z40" i="28" s="1"/>
  <c r="M41" i="24"/>
  <c r="AF46" i="28"/>
  <c r="AJ46" i="28" s="1"/>
  <c r="O47" i="24"/>
  <c r="AF47" i="28"/>
  <c r="AJ47" i="28" s="1"/>
  <c r="O48" i="24"/>
  <c r="AF55" i="28"/>
  <c r="O56" i="24"/>
  <c r="O55" i="24" s="1"/>
  <c r="AF61" i="28"/>
  <c r="AJ61" i="28" s="1"/>
  <c r="O62" i="24"/>
  <c r="AF62" i="28"/>
  <c r="AJ62" i="28" s="1"/>
  <c r="O63" i="24"/>
  <c r="AF63" i="28"/>
  <c r="AJ63" i="28" s="1"/>
  <c r="O64" i="24"/>
  <c r="AF64" i="28"/>
  <c r="AJ64" i="28" s="1"/>
  <c r="O65" i="24"/>
  <c r="AF66" i="28"/>
  <c r="AJ66" i="28" s="1"/>
  <c r="O67" i="24"/>
  <c r="AF67" i="28"/>
  <c r="AJ67" i="28" s="1"/>
  <c r="O68" i="24"/>
  <c r="AF68" i="28"/>
  <c r="AJ68" i="28" s="1"/>
  <c r="O69" i="24"/>
  <c r="O70" i="24"/>
  <c r="O71" i="25"/>
  <c r="AF70" i="28"/>
  <c r="AJ70" i="28" s="1"/>
  <c r="O71" i="24"/>
  <c r="K76" i="28"/>
  <c r="P76" i="28" s="1"/>
  <c r="K77" i="24"/>
  <c r="V86" i="28"/>
  <c r="Z86" i="28" s="1"/>
  <c r="M87" i="24"/>
  <c r="V88" i="28"/>
  <c r="Z88" i="28" s="1"/>
  <c r="M89" i="24"/>
  <c r="V91" i="28"/>
  <c r="M92" i="24"/>
  <c r="AA92" i="28"/>
  <c r="AE92" i="28" s="1"/>
  <c r="N93" i="24"/>
  <c r="AA95" i="28"/>
  <c r="AE95" i="28" s="1"/>
  <c r="N96" i="24"/>
  <c r="AA96" i="28"/>
  <c r="AE96" i="28" s="1"/>
  <c r="N97" i="24"/>
  <c r="V105" i="28"/>
  <c r="Z105" i="28" s="1"/>
  <c r="M106" i="24"/>
  <c r="Q108" i="28"/>
  <c r="U108" i="28" s="1"/>
  <c r="L109" i="24"/>
  <c r="Q109" i="28"/>
  <c r="U109" i="28" s="1"/>
  <c r="L110" i="24"/>
  <c r="Q110" i="28"/>
  <c r="U110" i="28" s="1"/>
  <c r="L111" i="24"/>
  <c r="K111" i="28"/>
  <c r="P111" i="28" s="1"/>
  <c r="K112" i="24"/>
  <c r="AF115" i="28"/>
  <c r="AJ115" i="28" s="1"/>
  <c r="O116" i="24"/>
  <c r="AF116" i="28"/>
  <c r="AJ116" i="28" s="1"/>
  <c r="O117" i="24"/>
  <c r="AA147" i="28"/>
  <c r="N148" i="24"/>
  <c r="AA148" i="28"/>
  <c r="AE148" i="28" s="1"/>
  <c r="N149" i="24"/>
  <c r="AF149" i="28"/>
  <c r="AJ149" i="28" s="1"/>
  <c r="O150" i="24"/>
  <c r="AF150" i="28"/>
  <c r="AJ150" i="28" s="1"/>
  <c r="O151" i="24"/>
  <c r="AA151" i="28"/>
  <c r="AE151" i="28" s="1"/>
  <c r="N152" i="24"/>
  <c r="AA160" i="28"/>
  <c r="AE160" i="28" s="1"/>
  <c r="N161" i="24"/>
  <c r="AA161" i="28"/>
  <c r="AE161" i="28" s="1"/>
  <c r="N162" i="24"/>
  <c r="V163" i="28"/>
  <c r="Z163" i="28" s="1"/>
  <c r="M164" i="24"/>
  <c r="V164" i="28"/>
  <c r="Z164" i="28" s="1"/>
  <c r="M165" i="24"/>
  <c r="AA172" i="28"/>
  <c r="AE172" i="28" s="1"/>
  <c r="N173" i="24"/>
  <c r="AA174" i="28"/>
  <c r="AE174" i="28" s="1"/>
  <c r="N175" i="24"/>
  <c r="AA175" i="28"/>
  <c r="AE175" i="28" s="1"/>
  <c r="N176" i="24"/>
  <c r="V177" i="28"/>
  <c r="Z177" i="28" s="1"/>
  <c r="M178" i="24"/>
  <c r="AA36" i="28"/>
  <c r="AE36" i="28" s="1"/>
  <c r="N37" i="24"/>
  <c r="AA38" i="28"/>
  <c r="N39" i="24"/>
  <c r="Q46" i="28"/>
  <c r="U46" i="28" s="1"/>
  <c r="L47" i="24"/>
  <c r="Q47" i="28"/>
  <c r="U47" i="28" s="1"/>
  <c r="L48" i="24"/>
  <c r="Q55" i="28"/>
  <c r="Q54" i="28" s="1"/>
  <c r="L56" i="24"/>
  <c r="L55" i="24" s="1"/>
  <c r="Q61" i="28"/>
  <c r="L62" i="24"/>
  <c r="Q62" i="28"/>
  <c r="U62" i="28" s="1"/>
  <c r="L63" i="24"/>
  <c r="Q63" i="28"/>
  <c r="U63" i="28" s="1"/>
  <c r="L64" i="24"/>
  <c r="Q66" i="28"/>
  <c r="U66" i="28" s="1"/>
  <c r="L67" i="24"/>
  <c r="Q67" i="28"/>
  <c r="U67" i="28" s="1"/>
  <c r="L68" i="24"/>
  <c r="Q68" i="28"/>
  <c r="U68" i="28" s="1"/>
  <c r="L69" i="24"/>
  <c r="Q70" i="28"/>
  <c r="U70" i="28" s="1"/>
  <c r="L71" i="24"/>
  <c r="V75" i="28"/>
  <c r="Z75" i="28" s="1"/>
  <c r="M76" i="24"/>
  <c r="AA86" i="28"/>
  <c r="AE86" i="28" s="1"/>
  <c r="N87" i="24"/>
  <c r="AA88" i="28"/>
  <c r="AE88" i="28" s="1"/>
  <c r="N89" i="24"/>
  <c r="AA91" i="28"/>
  <c r="N92" i="24"/>
  <c r="AF92" i="28"/>
  <c r="AJ92" i="28" s="1"/>
  <c r="O93" i="24"/>
  <c r="O95" i="25"/>
  <c r="O94" i="24"/>
  <c r="AF96" i="28"/>
  <c r="AJ96" i="28" s="1"/>
  <c r="O97" i="24"/>
  <c r="Q111" i="28"/>
  <c r="U111" i="28" s="1"/>
  <c r="L112" i="24"/>
  <c r="Q113" i="28"/>
  <c r="U113" i="28" s="1"/>
  <c r="L114" i="24"/>
  <c r="Q114" i="28"/>
  <c r="U114" i="28" s="1"/>
  <c r="L115" i="24"/>
  <c r="K117" i="28"/>
  <c r="P117" i="28" s="1"/>
  <c r="K118" i="24"/>
  <c r="AF117" i="28"/>
  <c r="AJ117" i="28" s="1"/>
  <c r="O118" i="24"/>
  <c r="AF147" i="28"/>
  <c r="AJ147" i="28" s="1"/>
  <c r="O148" i="24"/>
  <c r="AF148" i="28"/>
  <c r="O149" i="24"/>
  <c r="Q150" i="28"/>
  <c r="U150" i="28" s="1"/>
  <c r="L151" i="24"/>
  <c r="K151" i="28"/>
  <c r="P151" i="28" s="1"/>
  <c r="K152" i="24"/>
  <c r="AF151" i="28"/>
  <c r="AJ151" i="28" s="1"/>
  <c r="O152" i="24"/>
  <c r="AF161" i="28"/>
  <c r="AJ161" i="28" s="1"/>
  <c r="O162" i="24"/>
  <c r="AA163" i="28"/>
  <c r="AE163" i="28" s="1"/>
  <c r="N164" i="24"/>
  <c r="AA164" i="28"/>
  <c r="AE164" i="28" s="1"/>
  <c r="N165" i="24"/>
  <c r="AF169" i="28"/>
  <c r="AF168" i="28" s="1"/>
  <c r="AF167" i="28" s="1"/>
  <c r="O170" i="24"/>
  <c r="O169" i="24" s="1"/>
  <c r="O168" i="24" s="1"/>
  <c r="AF174" i="28"/>
  <c r="AJ174" i="28" s="1"/>
  <c r="O175" i="24"/>
  <c r="AF175" i="28"/>
  <c r="AJ175" i="28" s="1"/>
  <c r="O176" i="24"/>
  <c r="AA177" i="28"/>
  <c r="AE177" i="28" s="1"/>
  <c r="N178" i="24"/>
  <c r="AF33" i="28"/>
  <c r="AJ33" i="28" s="1"/>
  <c r="O34" i="24"/>
  <c r="AF35" i="28"/>
  <c r="AJ35" i="28" s="1"/>
  <c r="O36" i="24"/>
  <c r="AF36" i="28"/>
  <c r="AJ36" i="28" s="1"/>
  <c r="O37" i="24"/>
  <c r="AF38" i="28"/>
  <c r="AJ38" i="28" s="1"/>
  <c r="O39" i="24"/>
  <c r="V42" i="28"/>
  <c r="Z42" i="28" s="1"/>
  <c r="M43" i="24"/>
  <c r="V46" i="28"/>
  <c r="Z46" i="28" s="1"/>
  <c r="M47" i="24"/>
  <c r="V47" i="28"/>
  <c r="Z47" i="28" s="1"/>
  <c r="M48" i="24"/>
  <c r="V55" i="28"/>
  <c r="M56" i="24"/>
  <c r="M55" i="24" s="1"/>
  <c r="V61" i="28"/>
  <c r="M62" i="24"/>
  <c r="V62" i="28"/>
  <c r="Z62" i="28" s="1"/>
  <c r="M63" i="24"/>
  <c r="V63" i="28"/>
  <c r="Z63" i="28" s="1"/>
  <c r="M64" i="24"/>
  <c r="V67" i="28"/>
  <c r="Z67" i="28" s="1"/>
  <c r="M68" i="24"/>
  <c r="V68" i="28"/>
  <c r="Z68" i="28" s="1"/>
  <c r="M69" i="24"/>
  <c r="V69" i="28"/>
  <c r="Z69" i="28" s="1"/>
  <c r="M70" i="24"/>
  <c r="M71" i="25"/>
  <c r="AA75" i="28"/>
  <c r="AE75" i="28" s="1"/>
  <c r="N76" i="24"/>
  <c r="V76" i="28"/>
  <c r="Z76" i="28" s="1"/>
  <c r="M77" i="24"/>
  <c r="AF86" i="28"/>
  <c r="AJ86" i="28" s="1"/>
  <c r="O87" i="24"/>
  <c r="AF87" i="28"/>
  <c r="AJ87" i="28" s="1"/>
  <c r="O88" i="24"/>
  <c r="AF88" i="28"/>
  <c r="AJ88" i="28" s="1"/>
  <c r="O89" i="24"/>
  <c r="AF91" i="28"/>
  <c r="AJ91" i="28" s="1"/>
  <c r="O92" i="24"/>
  <c r="Q96" i="28"/>
  <c r="U96" i="28" s="1"/>
  <c r="L97" i="24"/>
  <c r="Q101" i="28"/>
  <c r="U101" i="28" s="1"/>
  <c r="L102" i="24"/>
  <c r="Q103" i="28"/>
  <c r="U103" i="28" s="1"/>
  <c r="L104" i="24"/>
  <c r="Q104" i="28"/>
  <c r="U104" i="28" s="1"/>
  <c r="L105" i="24"/>
  <c r="K105" i="28"/>
  <c r="P105" i="28" s="1"/>
  <c r="K106" i="24"/>
  <c r="V113" i="28"/>
  <c r="Z113" i="28" s="1"/>
  <c r="M114" i="24"/>
  <c r="V114" i="28"/>
  <c r="Z114" i="28" s="1"/>
  <c r="M115" i="24"/>
  <c r="V115" i="28"/>
  <c r="Z115" i="28" s="1"/>
  <c r="M116" i="24"/>
  <c r="V116" i="28"/>
  <c r="Z116" i="28" s="1"/>
  <c r="M117" i="24"/>
  <c r="Q117" i="28"/>
  <c r="U117" i="28" s="1"/>
  <c r="L118" i="24"/>
  <c r="Q147" i="28"/>
  <c r="U147" i="28" s="1"/>
  <c r="L148" i="24"/>
  <c r="Q148" i="28"/>
  <c r="U148" i="28" s="1"/>
  <c r="L149" i="24"/>
  <c r="V149" i="28"/>
  <c r="Z149" i="28" s="1"/>
  <c r="M150" i="24"/>
  <c r="V150" i="28"/>
  <c r="Z150" i="28" s="1"/>
  <c r="M151" i="24"/>
  <c r="Q151" i="28"/>
  <c r="U151" i="28" s="1"/>
  <c r="L152" i="24"/>
  <c r="Q160" i="28"/>
  <c r="L161" i="24"/>
  <c r="K162" i="28"/>
  <c r="P162" i="28" s="1"/>
  <c r="K163" i="24"/>
  <c r="AF162" i="28"/>
  <c r="O163" i="24"/>
  <c r="AF163" i="28"/>
  <c r="AJ163" i="28" s="1"/>
  <c r="O164" i="24"/>
  <c r="AF164" i="28"/>
  <c r="AJ164" i="28" s="1"/>
  <c r="O165" i="24"/>
  <c r="Q172" i="28"/>
  <c r="U172" i="28" s="1"/>
  <c r="L173" i="24"/>
  <c r="Q174" i="28"/>
  <c r="U174" i="28" s="1"/>
  <c r="L175" i="24"/>
  <c r="Q175" i="28"/>
  <c r="U175" i="28" s="1"/>
  <c r="L176" i="24"/>
  <c r="K177" i="28"/>
  <c r="P177" i="28" s="1"/>
  <c r="K178" i="24"/>
  <c r="AF177" i="28"/>
  <c r="AJ177" i="28" s="1"/>
  <c r="O178" i="24"/>
  <c r="Q33" i="28"/>
  <c r="U33" i="28" s="1"/>
  <c r="L34" i="24"/>
  <c r="Q36" i="28"/>
  <c r="U36" i="28" s="1"/>
  <c r="L37" i="24"/>
  <c r="Q38" i="28"/>
  <c r="L39" i="24"/>
  <c r="Q40" i="28"/>
  <c r="U40" i="28" s="1"/>
  <c r="L41" i="24"/>
  <c r="AA42" i="28"/>
  <c r="AE42" i="28" s="1"/>
  <c r="N43" i="24"/>
  <c r="AA46" i="28"/>
  <c r="AE46" i="28" s="1"/>
  <c r="N47" i="24"/>
  <c r="AA47" i="28"/>
  <c r="AE47" i="28" s="1"/>
  <c r="N48" i="24"/>
  <c r="AA61" i="28"/>
  <c r="AE61" i="28" s="1"/>
  <c r="N62" i="24"/>
  <c r="AA62" i="28"/>
  <c r="AE62" i="28" s="1"/>
  <c r="N63" i="24"/>
  <c r="AA63" i="28"/>
  <c r="AE63" i="28" s="1"/>
  <c r="N64" i="24"/>
  <c r="AA66" i="28"/>
  <c r="AE66" i="28" s="1"/>
  <c r="N67" i="24"/>
  <c r="AA67" i="28"/>
  <c r="AE67" i="28" s="1"/>
  <c r="N68" i="24"/>
  <c r="AA68" i="28"/>
  <c r="AE68" i="28" s="1"/>
  <c r="N69" i="24"/>
  <c r="AA69" i="28"/>
  <c r="AE69" i="28" s="1"/>
  <c r="N70" i="24"/>
  <c r="N71" i="25"/>
  <c r="AA76" i="28"/>
  <c r="AE76" i="28" s="1"/>
  <c r="N77" i="24"/>
  <c r="AF85" i="28"/>
  <c r="AJ85" i="28" s="1"/>
  <c r="O86" i="24"/>
  <c r="Q88" i="28"/>
  <c r="U88" i="28" s="1"/>
  <c r="L89" i="24"/>
  <c r="Q91" i="28"/>
  <c r="U91" i="28" s="1"/>
  <c r="L92" i="24"/>
  <c r="V92" i="28"/>
  <c r="Z92" i="28" s="1"/>
  <c r="M93" i="24"/>
  <c r="V95" i="28"/>
  <c r="Z95" i="28" s="1"/>
  <c r="M96" i="24"/>
  <c r="V96" i="28"/>
  <c r="Z96" i="28" s="1"/>
  <c r="M97" i="24"/>
  <c r="V101" i="28"/>
  <c r="Z101" i="28" s="1"/>
  <c r="M102" i="24"/>
  <c r="V102" i="28"/>
  <c r="Z102" i="28" s="1"/>
  <c r="M103" i="24"/>
  <c r="V103" i="28"/>
  <c r="Z103" i="28" s="1"/>
  <c r="M104" i="24"/>
  <c r="V104" i="28"/>
  <c r="Z104" i="28" s="1"/>
  <c r="M105" i="24"/>
  <c r="Q105" i="28"/>
  <c r="U105" i="28" s="1"/>
  <c r="L106" i="24"/>
  <c r="Q107" i="28"/>
  <c r="U107" i="28" s="1"/>
  <c r="U106" i="28" s="1"/>
  <c r="L108" i="24"/>
  <c r="K108" i="28"/>
  <c r="P108" i="28" s="1"/>
  <c r="K109" i="24"/>
  <c r="V117" i="28"/>
  <c r="Z117" i="28" s="1"/>
  <c r="M118" i="24"/>
  <c r="V147" i="28"/>
  <c r="Z147" i="28" s="1"/>
  <c r="M148" i="24"/>
  <c r="V148" i="28"/>
  <c r="Z148" i="28" s="1"/>
  <c r="M149" i="24"/>
  <c r="AA149" i="28"/>
  <c r="AE149" i="28" s="1"/>
  <c r="N150" i="24"/>
  <c r="AA150" i="28"/>
  <c r="AE150" i="28" s="1"/>
  <c r="N151" i="24"/>
  <c r="V151" i="28"/>
  <c r="Z151" i="28" s="1"/>
  <c r="M152" i="24"/>
  <c r="V160" i="28"/>
  <c r="Z160" i="28" s="1"/>
  <c r="M161" i="24"/>
  <c r="V161" i="28"/>
  <c r="Z161" i="28" s="1"/>
  <c r="M162" i="24"/>
  <c r="V169" i="28"/>
  <c r="V168" i="28" s="1"/>
  <c r="V167" i="28" s="1"/>
  <c r="M170" i="24"/>
  <c r="M169" i="24" s="1"/>
  <c r="M168" i="24" s="1"/>
  <c r="V172" i="28"/>
  <c r="Z172" i="28" s="1"/>
  <c r="M173" i="24"/>
  <c r="V174" i="28"/>
  <c r="Z174" i="28" s="1"/>
  <c r="M175" i="24"/>
  <c r="V175" i="28"/>
  <c r="Z175" i="28" s="1"/>
  <c r="M176" i="24"/>
  <c r="Q177" i="28"/>
  <c r="U177" i="28" s="1"/>
  <c r="L178" i="24"/>
  <c r="Q85" i="28"/>
  <c r="L86" i="24"/>
  <c r="L70" i="24"/>
  <c r="L71" i="25"/>
  <c r="Q71" i="2"/>
  <c r="AA55" i="28"/>
  <c r="AE55" i="28" s="1"/>
  <c r="AE54" i="28" s="1"/>
  <c r="N56" i="24"/>
  <c r="N55" i="24" s="1"/>
  <c r="AA93" i="28"/>
  <c r="AE93" i="28" s="1"/>
  <c r="N95" i="25"/>
  <c r="AA169" i="28"/>
  <c r="AE169" i="28" s="1"/>
  <c r="AE168" i="28" s="1"/>
  <c r="AE167" i="28" s="1"/>
  <c r="W171" i="2"/>
  <c r="W170" i="2" s="1"/>
  <c r="L95" i="25"/>
  <c r="Q95" i="2"/>
  <c r="V93" i="28"/>
  <c r="Z93" i="28" s="1"/>
  <c r="M95" i="25"/>
  <c r="Z38" i="28"/>
  <c r="AF42" i="28"/>
  <c r="AJ42" i="28" s="1"/>
  <c r="AF60" i="28"/>
  <c r="U85" i="28"/>
  <c r="Q90" i="23"/>
  <c r="V89" i="28"/>
  <c r="Z89" i="28" s="1"/>
  <c r="N103" i="25"/>
  <c r="AA101" i="28"/>
  <c r="N104" i="25"/>
  <c r="AA102" i="28"/>
  <c r="AE102" i="28" s="1"/>
  <c r="M109" i="25"/>
  <c r="V107" i="28"/>
  <c r="O115" i="25"/>
  <c r="AF113" i="28"/>
  <c r="AJ113" i="28" s="1"/>
  <c r="N119" i="25"/>
  <c r="AA117" i="28"/>
  <c r="AE117" i="28" s="1"/>
  <c r="AE147" i="28"/>
  <c r="M164" i="25"/>
  <c r="V162" i="28"/>
  <c r="Z162" i="28" s="1"/>
  <c r="AA176" i="28"/>
  <c r="AE176" i="28" s="1"/>
  <c r="AE38" i="28"/>
  <c r="N42" i="25"/>
  <c r="AA40" i="28"/>
  <c r="AE40" i="28" s="1"/>
  <c r="Q42" i="28"/>
  <c r="U42" i="28" s="1"/>
  <c r="Q45" i="28"/>
  <c r="U61" i="28"/>
  <c r="Q66" i="2"/>
  <c r="Q64" i="28"/>
  <c r="U64" i="28" s="1"/>
  <c r="Q69" i="28"/>
  <c r="U69" i="28" s="1"/>
  <c r="Q74" i="23"/>
  <c r="V73" i="28"/>
  <c r="Q75" i="23"/>
  <c r="V74" i="28"/>
  <c r="Z74" i="28" s="1"/>
  <c r="Q76" i="28"/>
  <c r="U76" i="28" s="1"/>
  <c r="U78" i="28"/>
  <c r="K81" i="38"/>
  <c r="Q79" i="28"/>
  <c r="U79" i="28" s="1"/>
  <c r="V81" i="28"/>
  <c r="Z81" i="28" s="1"/>
  <c r="M87" i="25"/>
  <c r="V85" i="28"/>
  <c r="N89" i="25"/>
  <c r="AA87" i="28"/>
  <c r="AE87" i="28" s="1"/>
  <c r="T90" i="23"/>
  <c r="AA89" i="28"/>
  <c r="AE89" i="28" s="1"/>
  <c r="AE91" i="28"/>
  <c r="AF93" i="28"/>
  <c r="AJ93" i="28" s="1"/>
  <c r="AF94" i="28"/>
  <c r="AJ94" i="28" s="1"/>
  <c r="O96" i="25"/>
  <c r="AF95" i="28"/>
  <c r="AJ95" i="28" s="1"/>
  <c r="O103" i="25"/>
  <c r="AF101" i="28"/>
  <c r="AJ101" i="28" s="1"/>
  <c r="O104" i="25"/>
  <c r="AF102" i="28"/>
  <c r="O105" i="25"/>
  <c r="AF103" i="28"/>
  <c r="AJ103" i="28" s="1"/>
  <c r="O106" i="25"/>
  <c r="AF104" i="28"/>
  <c r="AJ104" i="28" s="1"/>
  <c r="N107" i="25"/>
  <c r="AA105" i="28"/>
  <c r="AE105" i="28" s="1"/>
  <c r="N109" i="25"/>
  <c r="AA107" i="28"/>
  <c r="M110" i="25"/>
  <c r="V108" i="28"/>
  <c r="Z108" i="28" s="1"/>
  <c r="M111" i="25"/>
  <c r="V109" i="28"/>
  <c r="Z109" i="28" s="1"/>
  <c r="M112" i="25"/>
  <c r="V110" i="28"/>
  <c r="Z110" i="28" s="1"/>
  <c r="Q117" i="2"/>
  <c r="Q115" i="28"/>
  <c r="U115" i="28" s="1"/>
  <c r="Q118" i="2"/>
  <c r="Q116" i="28"/>
  <c r="U116" i="28" s="1"/>
  <c r="AJ148" i="28"/>
  <c r="O162" i="25"/>
  <c r="AF160" i="28"/>
  <c r="AJ160" i="28" s="1"/>
  <c r="N164" i="25"/>
  <c r="AA162" i="28"/>
  <c r="AE162" i="28" s="1"/>
  <c r="X173" i="2"/>
  <c r="AF172" i="28"/>
  <c r="AF176" i="28"/>
  <c r="AJ176" i="28" s="1"/>
  <c r="O43" i="25"/>
  <c r="AF41" i="28"/>
  <c r="AJ41" i="28" s="1"/>
  <c r="AF69" i="28"/>
  <c r="AJ69" i="28" s="1"/>
  <c r="Q75" i="28"/>
  <c r="U75" i="28" s="1"/>
  <c r="AF76" i="28"/>
  <c r="AJ76" i="28" s="1"/>
  <c r="Q81" i="28"/>
  <c r="U81" i="28" s="1"/>
  <c r="M89" i="25"/>
  <c r="V87" i="28"/>
  <c r="Z87" i="28" s="1"/>
  <c r="Z91" i="28"/>
  <c r="AA94" i="28"/>
  <c r="AE94" i="28" s="1"/>
  <c r="N96" i="25"/>
  <c r="N105" i="25"/>
  <c r="AA103" i="28"/>
  <c r="AE103" i="28" s="1"/>
  <c r="N106" i="25"/>
  <c r="AA104" i="28"/>
  <c r="AE104" i="28" s="1"/>
  <c r="O113" i="25"/>
  <c r="AF111" i="28"/>
  <c r="AJ111" i="28" s="1"/>
  <c r="O116" i="25"/>
  <c r="AF114" i="28"/>
  <c r="O42" i="25"/>
  <c r="AF40" i="28"/>
  <c r="V45" i="28"/>
  <c r="V54" i="28"/>
  <c r="Z55" i="28"/>
  <c r="Z54" i="28" s="1"/>
  <c r="Z61" i="28"/>
  <c r="M66" i="25"/>
  <c r="V64" i="28"/>
  <c r="Z64" i="28" s="1"/>
  <c r="Q67" i="23"/>
  <c r="V66" i="28"/>
  <c r="M72" i="25"/>
  <c r="V70" i="28"/>
  <c r="Z70" i="28" s="1"/>
  <c r="T74" i="23"/>
  <c r="AA73" i="28"/>
  <c r="T75" i="23"/>
  <c r="AA74" i="28"/>
  <c r="AE74" i="28" s="1"/>
  <c r="Z78" i="28"/>
  <c r="L81" i="38"/>
  <c r="V79" i="28"/>
  <c r="Z79" i="28" s="1"/>
  <c r="AA81" i="28"/>
  <c r="AE81" i="28" s="1"/>
  <c r="N87" i="25"/>
  <c r="AA85" i="28"/>
  <c r="Q93" i="28"/>
  <c r="U93" i="28" s="1"/>
  <c r="Q94" i="28"/>
  <c r="U94" i="28" s="1"/>
  <c r="L96" i="25"/>
  <c r="Q96" i="2"/>
  <c r="Q95" i="28"/>
  <c r="U95" i="28" s="1"/>
  <c r="N103" i="23"/>
  <c r="Q102" i="28"/>
  <c r="U102" i="28" s="1"/>
  <c r="O107" i="25"/>
  <c r="AF105" i="28"/>
  <c r="AJ105" i="28" s="1"/>
  <c r="O109" i="25"/>
  <c r="AF107" i="28"/>
  <c r="N110" i="25"/>
  <c r="AA108" i="28"/>
  <c r="AE108" i="28" s="1"/>
  <c r="N111" i="25"/>
  <c r="AA109" i="28"/>
  <c r="AE109" i="28" s="1"/>
  <c r="N112" i="25"/>
  <c r="AA110" i="28"/>
  <c r="AE110" i="28" s="1"/>
  <c r="M113" i="25"/>
  <c r="V111" i="28"/>
  <c r="Z111" i="28" s="1"/>
  <c r="U160" i="28"/>
  <c r="Q163" i="2"/>
  <c r="O162" i="27"/>
  <c r="Q161" i="28"/>
  <c r="U161" i="28" s="1"/>
  <c r="AJ162" i="28"/>
  <c r="Q176" i="28"/>
  <c r="U176" i="28" s="1"/>
  <c r="AF45" i="28"/>
  <c r="AF54" i="28"/>
  <c r="AJ55" i="28"/>
  <c r="AJ54" i="28" s="1"/>
  <c r="U38" i="28"/>
  <c r="N43" i="25"/>
  <c r="AA41" i="28"/>
  <c r="AE41" i="28" s="1"/>
  <c r="AA45" i="28"/>
  <c r="AA54" i="28"/>
  <c r="N66" i="25"/>
  <c r="AA64" i="28"/>
  <c r="AE64" i="28" s="1"/>
  <c r="N72" i="25"/>
  <c r="AA70" i="28"/>
  <c r="AE70" i="28" s="1"/>
  <c r="AJ73" i="28"/>
  <c r="AF75" i="28"/>
  <c r="AJ75" i="28" s="1"/>
  <c r="AE78" i="28"/>
  <c r="N81" i="38"/>
  <c r="AF79" i="28"/>
  <c r="AJ79" i="28" s="1"/>
  <c r="AJ80" i="28"/>
  <c r="AF81" i="28"/>
  <c r="AJ81" i="28" s="1"/>
  <c r="Q89" i="2"/>
  <c r="Q87" i="28"/>
  <c r="U87" i="28" s="1"/>
  <c r="N90" i="23"/>
  <c r="Q89" i="28"/>
  <c r="U89" i="28" s="1"/>
  <c r="V94" i="28"/>
  <c r="Z94" i="28" s="1"/>
  <c r="M96" i="25"/>
  <c r="Q106" i="28"/>
  <c r="O110" i="25"/>
  <c r="AF108" i="28"/>
  <c r="AJ108" i="28" s="1"/>
  <c r="O111" i="25"/>
  <c r="AF109" i="28"/>
  <c r="AJ109" i="28" s="1"/>
  <c r="O112" i="25"/>
  <c r="AF110" i="28"/>
  <c r="AJ110" i="28" s="1"/>
  <c r="N113" i="25"/>
  <c r="AA111" i="28"/>
  <c r="AE111" i="28" s="1"/>
  <c r="N115" i="25"/>
  <c r="AA113" i="28"/>
  <c r="N116" i="25"/>
  <c r="AA114" i="28"/>
  <c r="AE114" i="28" s="1"/>
  <c r="N117" i="25"/>
  <c r="AA115" i="28"/>
  <c r="AE115" i="28" s="1"/>
  <c r="N118" i="25"/>
  <c r="AA116" i="28"/>
  <c r="AE116" i="28" s="1"/>
  <c r="Q164" i="2"/>
  <c r="Q162" i="28"/>
  <c r="U162" i="28" s="1"/>
  <c r="Q165" i="2"/>
  <c r="Q163" i="28"/>
  <c r="U163" i="28" s="1"/>
  <c r="Q166" i="2"/>
  <c r="Q164" i="28"/>
  <c r="U164" i="28" s="1"/>
  <c r="V176" i="28"/>
  <c r="Z176" i="28" s="1"/>
  <c r="Q33" i="23"/>
  <c r="V32" i="28"/>
  <c r="T33" i="23"/>
  <c r="AA32" i="28"/>
  <c r="N35" i="25"/>
  <c r="AA33" i="28"/>
  <c r="T36" i="23"/>
  <c r="AA35" i="28"/>
  <c r="AE35" i="28" s="1"/>
  <c r="Z34" i="28"/>
  <c r="Q36" i="23"/>
  <c r="V35" i="28"/>
  <c r="Z35" i="28" s="1"/>
  <c r="W33" i="23"/>
  <c r="AF32" i="28"/>
  <c r="N36" i="38"/>
  <c r="AF34" i="28"/>
  <c r="AJ34" i="28" s="1"/>
  <c r="Q43" i="23"/>
  <c r="N33" i="23"/>
  <c r="Q32" i="28"/>
  <c r="K36" i="38"/>
  <c r="Q34" i="28"/>
  <c r="U34" i="28" s="1"/>
  <c r="N36" i="23"/>
  <c r="Q35" i="28"/>
  <c r="U35" i="28" s="1"/>
  <c r="T43" i="23"/>
  <c r="K82" i="38"/>
  <c r="N81" i="23"/>
  <c r="T94" i="23"/>
  <c r="K44" i="38"/>
  <c r="N43" i="23"/>
  <c r="L72" i="25"/>
  <c r="Q72" i="2"/>
  <c r="Q76" i="23"/>
  <c r="L82" i="38"/>
  <c r="Q81" i="23"/>
  <c r="L83" i="38"/>
  <c r="O72" i="25"/>
  <c r="K77" i="23"/>
  <c r="O37" i="25"/>
  <c r="W36" i="23"/>
  <c r="W37" i="23"/>
  <c r="O38" i="25"/>
  <c r="T76" i="23"/>
  <c r="Q77" i="23"/>
  <c r="M82" i="38"/>
  <c r="T81" i="23"/>
  <c r="M83" i="38"/>
  <c r="Q37" i="23"/>
  <c r="M38" i="25"/>
  <c r="T38" i="2"/>
  <c r="N44" i="38"/>
  <c r="W43" i="23"/>
  <c r="K83" i="38"/>
  <c r="T37" i="23"/>
  <c r="N38" i="25"/>
  <c r="N37" i="23"/>
  <c r="L38" i="25"/>
  <c r="Q38" i="2"/>
  <c r="T77" i="23"/>
  <c r="N82" i="38"/>
  <c r="W81" i="23"/>
  <c r="N83" i="38"/>
  <c r="Q94" i="23"/>
  <c r="L42" i="25"/>
  <c r="Q42" i="2"/>
  <c r="Q96" i="23"/>
  <c r="M42" i="25"/>
  <c r="T42" i="2"/>
  <c r="T96" i="23"/>
  <c r="L37" i="25"/>
  <c r="Q37" i="2"/>
  <c r="N37" i="25"/>
  <c r="M37" i="25"/>
  <c r="T37" i="2"/>
  <c r="K107" i="25"/>
  <c r="N107" i="2"/>
  <c r="K164" i="25"/>
  <c r="N164" i="2"/>
  <c r="K119" i="25"/>
  <c r="N119" i="2"/>
  <c r="L105" i="25"/>
  <c r="Q105" i="2"/>
  <c r="M115" i="25"/>
  <c r="T115" i="2"/>
  <c r="M116" i="25"/>
  <c r="T116" i="2"/>
  <c r="M117" i="25"/>
  <c r="T117" i="2"/>
  <c r="M118" i="25"/>
  <c r="T118" i="2"/>
  <c r="O118" i="27"/>
  <c r="R118" i="27" s="1"/>
  <c r="Q119" i="2"/>
  <c r="M105" i="25"/>
  <c r="T105" i="2"/>
  <c r="M119" i="25"/>
  <c r="T119" i="2"/>
  <c r="L115" i="25"/>
  <c r="Q115" i="2"/>
  <c r="L116" i="25"/>
  <c r="Q116" i="2"/>
  <c r="N34" i="38"/>
  <c r="O34" i="25"/>
  <c r="O35" i="25"/>
  <c r="N37" i="38"/>
  <c r="N42" i="38"/>
  <c r="W41" i="23"/>
  <c r="M68" i="25"/>
  <c r="Q69" i="23"/>
  <c r="M70" i="25"/>
  <c r="Q71" i="23"/>
  <c r="Q165" i="23"/>
  <c r="M166" i="25"/>
  <c r="K34" i="38"/>
  <c r="L34" i="25"/>
  <c r="Q34" i="2"/>
  <c r="L35" i="25"/>
  <c r="Q35" i="2"/>
  <c r="K42" i="38"/>
  <c r="N41" i="23"/>
  <c r="T67" i="23"/>
  <c r="N68" i="25"/>
  <c r="T69" i="23"/>
  <c r="N70" i="25"/>
  <c r="T71" i="23"/>
  <c r="Q95" i="23"/>
  <c r="Q97" i="23"/>
  <c r="M98" i="25"/>
  <c r="O163" i="25"/>
  <c r="T164" i="23"/>
  <c r="N165" i="25"/>
  <c r="T165" i="23"/>
  <c r="N166" i="25"/>
  <c r="M34" i="25"/>
  <c r="T34" i="2"/>
  <c r="M35" i="25"/>
  <c r="T35" i="2"/>
  <c r="Q41" i="23"/>
  <c r="O66" i="25"/>
  <c r="O68" i="25"/>
  <c r="O69" i="25"/>
  <c r="O70" i="25"/>
  <c r="L87" i="25"/>
  <c r="Q87" i="2"/>
  <c r="Q89" i="23"/>
  <c r="M90" i="25"/>
  <c r="T95" i="23"/>
  <c r="T97" i="23"/>
  <c r="N98" i="25"/>
  <c r="M107" i="25"/>
  <c r="T107" i="2"/>
  <c r="O117" i="25"/>
  <c r="O118" i="25"/>
  <c r="L163" i="25"/>
  <c r="W163" i="23"/>
  <c r="O164" i="25"/>
  <c r="O165" i="25"/>
  <c r="O166" i="25"/>
  <c r="N38" i="38"/>
  <c r="Q68" i="23"/>
  <c r="M69" i="25"/>
  <c r="Q70" i="23"/>
  <c r="O90" i="25"/>
  <c r="L98" i="25"/>
  <c r="Q98" i="2"/>
  <c r="L119" i="25"/>
  <c r="T162" i="23"/>
  <c r="N163" i="25"/>
  <c r="Q164" i="23"/>
  <c r="M165" i="25"/>
  <c r="K37" i="38"/>
  <c r="K38" i="38"/>
  <c r="T68" i="23"/>
  <c r="N69" i="25"/>
  <c r="T70" i="23"/>
  <c r="O87" i="25"/>
  <c r="L90" i="25"/>
  <c r="Q90" i="2"/>
  <c r="L107" i="25"/>
  <c r="Q107" i="2"/>
  <c r="N34" i="25"/>
  <c r="T41" i="23"/>
  <c r="L66" i="25"/>
  <c r="L68" i="25"/>
  <c r="Q68" i="2"/>
  <c r="L69" i="25"/>
  <c r="Q69" i="2"/>
  <c r="L70" i="25"/>
  <c r="Q70" i="2"/>
  <c r="T89" i="23"/>
  <c r="N90" i="25"/>
  <c r="O98" i="25"/>
  <c r="L117" i="25"/>
  <c r="L118" i="25"/>
  <c r="O119" i="25"/>
  <c r="Q162" i="23"/>
  <c r="M163" i="25"/>
  <c r="N163" i="23"/>
  <c r="L164" i="25"/>
  <c r="L165" i="25"/>
  <c r="L166" i="25"/>
  <c r="U173" i="2"/>
  <c r="R173" i="2"/>
  <c r="O173" i="2"/>
  <c r="R79" i="2"/>
  <c r="U79" i="2"/>
  <c r="N80" i="38"/>
  <c r="X79" i="2"/>
  <c r="K80" i="38"/>
  <c r="O79" i="2"/>
  <c r="L109" i="25"/>
  <c r="Q109" i="2"/>
  <c r="K110" i="25"/>
  <c r="N110" i="2"/>
  <c r="L110" i="25"/>
  <c r="Q110" i="2"/>
  <c r="L111" i="25"/>
  <c r="Q111" i="2"/>
  <c r="L112" i="25"/>
  <c r="Q112" i="2"/>
  <c r="X92" i="2"/>
  <c r="L103" i="25"/>
  <c r="Q103" i="2"/>
  <c r="M103" i="25"/>
  <c r="T103" i="2"/>
  <c r="M104" i="25"/>
  <c r="T104" i="2"/>
  <c r="L43" i="25"/>
  <c r="Q43" i="2"/>
  <c r="L104" i="25"/>
  <c r="Q104" i="2"/>
  <c r="M43" i="25"/>
  <c r="T43" i="2"/>
  <c r="L162" i="25"/>
  <c r="Q162" i="2"/>
  <c r="R92" i="2"/>
  <c r="O92" i="2"/>
  <c r="U92" i="2"/>
  <c r="N162" i="25"/>
  <c r="O89" i="25"/>
  <c r="L89" i="25"/>
  <c r="M162" i="25"/>
  <c r="K113" i="25"/>
  <c r="N113" i="2"/>
  <c r="K163" i="23"/>
  <c r="K118" i="23"/>
  <c r="L106" i="25"/>
  <c r="Q106" i="2"/>
  <c r="Q115" i="23"/>
  <c r="M106" i="25"/>
  <c r="T106" i="2"/>
  <c r="T114" i="23"/>
  <c r="T115" i="23"/>
  <c r="T116" i="23"/>
  <c r="T117" i="23"/>
  <c r="Q118" i="23"/>
  <c r="N169" i="38"/>
  <c r="W162" i="23"/>
  <c r="T163" i="23"/>
  <c r="T65" i="23"/>
  <c r="Q114" i="23"/>
  <c r="N115" i="38"/>
  <c r="W114" i="23"/>
  <c r="N116" i="38"/>
  <c r="W115" i="23"/>
  <c r="T118" i="23"/>
  <c r="K169" i="38"/>
  <c r="N162" i="23"/>
  <c r="N171" i="38"/>
  <c r="W164" i="23"/>
  <c r="T86" i="23"/>
  <c r="Q116" i="23"/>
  <c r="Q117" i="23"/>
  <c r="Q163" i="23"/>
  <c r="Q65" i="23"/>
  <c r="Q86" i="23"/>
  <c r="K115" i="38"/>
  <c r="N114" i="23"/>
  <c r="K116" i="38"/>
  <c r="N115" i="23"/>
  <c r="K171" i="38"/>
  <c r="N164" i="23"/>
  <c r="W161" i="23"/>
  <c r="Q88" i="23"/>
  <c r="N161" i="23"/>
  <c r="N170" i="38"/>
  <c r="T34" i="23"/>
  <c r="Q34" i="23"/>
  <c r="T88" i="23"/>
  <c r="L113" i="25"/>
  <c r="Q113" i="2"/>
  <c r="K170" i="38"/>
  <c r="T39" i="23"/>
  <c r="N40" i="25"/>
  <c r="T42" i="23"/>
  <c r="T47" i="23"/>
  <c r="N48" i="25"/>
  <c r="T48" i="23"/>
  <c r="N49" i="25"/>
  <c r="M57" i="38"/>
  <c r="T56" i="23"/>
  <c r="T55" i="23" s="1"/>
  <c r="N57" i="25"/>
  <c r="N56" i="25" s="1"/>
  <c r="T62" i="23"/>
  <c r="N63" i="25"/>
  <c r="T63" i="23"/>
  <c r="N64" i="25"/>
  <c r="T64" i="23"/>
  <c r="N65" i="25"/>
  <c r="N75" i="38"/>
  <c r="W74" i="23"/>
  <c r="N76" i="38"/>
  <c r="W75" i="23"/>
  <c r="N77" i="38"/>
  <c r="W76" i="23"/>
  <c r="T80" i="23"/>
  <c r="N81" i="25"/>
  <c r="T82" i="23"/>
  <c r="N83" i="25"/>
  <c r="N88" i="38"/>
  <c r="W87" i="23"/>
  <c r="O88" i="25"/>
  <c r="N89" i="38"/>
  <c r="W88" i="23"/>
  <c r="N90" i="38"/>
  <c r="W89" i="23"/>
  <c r="N91" i="38"/>
  <c r="W90" i="23"/>
  <c r="W92" i="23"/>
  <c r="O93" i="25"/>
  <c r="K95" i="38"/>
  <c r="N94" i="23"/>
  <c r="K96" i="38"/>
  <c r="N95" i="23"/>
  <c r="K97" i="38"/>
  <c r="N96" i="23"/>
  <c r="K98" i="38"/>
  <c r="N97" i="23"/>
  <c r="K103" i="38"/>
  <c r="N102" i="23"/>
  <c r="K104" i="38"/>
  <c r="K105" i="38"/>
  <c r="N104" i="23"/>
  <c r="K106" i="38"/>
  <c r="N105" i="23"/>
  <c r="K106" i="23"/>
  <c r="N107" i="38"/>
  <c r="W106" i="23"/>
  <c r="N109" i="38"/>
  <c r="W108" i="23"/>
  <c r="T109" i="23"/>
  <c r="T110" i="23"/>
  <c r="T111" i="23"/>
  <c r="Q112" i="23"/>
  <c r="K119" i="38"/>
  <c r="N118" i="23"/>
  <c r="T148" i="23"/>
  <c r="N149" i="25"/>
  <c r="T149" i="23"/>
  <c r="N150" i="25"/>
  <c r="N157" i="38"/>
  <c r="W150" i="23"/>
  <c r="O151" i="25"/>
  <c r="N158" i="38"/>
  <c r="W151" i="23"/>
  <c r="O152" i="25"/>
  <c r="T152" i="23"/>
  <c r="N153" i="25"/>
  <c r="M168" i="38"/>
  <c r="T161" i="23"/>
  <c r="T170" i="23"/>
  <c r="T169" i="23" s="1"/>
  <c r="T168" i="23" s="1"/>
  <c r="N171" i="25"/>
  <c r="N170" i="25" s="1"/>
  <c r="N169" i="25" s="1"/>
  <c r="N169" i="24"/>
  <c r="N168" i="24" s="1"/>
  <c r="T173" i="23"/>
  <c r="N174" i="25"/>
  <c r="T175" i="23"/>
  <c r="N176" i="25"/>
  <c r="T176" i="23"/>
  <c r="N177" i="25"/>
  <c r="T177" i="23"/>
  <c r="N178" i="25"/>
  <c r="Q178" i="23"/>
  <c r="M179" i="25"/>
  <c r="N35" i="38"/>
  <c r="W34" i="23"/>
  <c r="W39" i="23"/>
  <c r="O40" i="25"/>
  <c r="N43" i="38"/>
  <c r="W42" i="23"/>
  <c r="N48" i="38"/>
  <c r="W47" i="23"/>
  <c r="O48" i="25"/>
  <c r="N49" i="38"/>
  <c r="W48" i="23"/>
  <c r="O49" i="25"/>
  <c r="N57" i="38"/>
  <c r="W56" i="23"/>
  <c r="W55" i="23" s="1"/>
  <c r="O57" i="25"/>
  <c r="O56" i="25" s="1"/>
  <c r="N63" i="38"/>
  <c r="W62" i="23"/>
  <c r="O63" i="25"/>
  <c r="N64" i="38"/>
  <c r="W63" i="23"/>
  <c r="O64" i="25"/>
  <c r="N65" i="38"/>
  <c r="W64" i="23"/>
  <c r="O65" i="25"/>
  <c r="N66" i="38"/>
  <c r="W65" i="23"/>
  <c r="N68" i="38"/>
  <c r="W67" i="23"/>
  <c r="N69" i="38"/>
  <c r="W68" i="23"/>
  <c r="N70" i="38"/>
  <c r="W69" i="23"/>
  <c r="N71" i="38"/>
  <c r="W70" i="23"/>
  <c r="N72" i="38"/>
  <c r="W71" i="23"/>
  <c r="K76" i="38"/>
  <c r="N75" i="23"/>
  <c r="K77" i="38"/>
  <c r="N76" i="23"/>
  <c r="N78" i="38"/>
  <c r="W77" i="23"/>
  <c r="W80" i="23"/>
  <c r="O81" i="25"/>
  <c r="W82" i="23"/>
  <c r="O83" i="25"/>
  <c r="N87" i="38"/>
  <c r="W86" i="23"/>
  <c r="K89" i="38"/>
  <c r="N88" i="23"/>
  <c r="K90" i="38"/>
  <c r="N89" i="23"/>
  <c r="N92" i="23"/>
  <c r="L93" i="25"/>
  <c r="Q93" i="23"/>
  <c r="M94" i="25"/>
  <c r="Q102" i="23"/>
  <c r="Q103" i="23"/>
  <c r="Q104" i="23"/>
  <c r="Q105" i="23"/>
  <c r="K107" i="38"/>
  <c r="N106" i="23"/>
  <c r="K109" i="38"/>
  <c r="N108" i="23"/>
  <c r="K109" i="23"/>
  <c r="N110" i="38"/>
  <c r="W109" i="23"/>
  <c r="N111" i="38"/>
  <c r="W110" i="23"/>
  <c r="N112" i="38"/>
  <c r="W111" i="23"/>
  <c r="T112" i="23"/>
  <c r="N155" i="38"/>
  <c r="W148" i="23"/>
  <c r="O149" i="25"/>
  <c r="N156" i="38"/>
  <c r="W149" i="23"/>
  <c r="O150" i="25"/>
  <c r="N151" i="23"/>
  <c r="L152" i="25"/>
  <c r="J159" i="38"/>
  <c r="K152" i="23"/>
  <c r="K153" i="25"/>
  <c r="N159" i="38"/>
  <c r="W152" i="23"/>
  <c r="O153" i="25"/>
  <c r="N177" i="38"/>
  <c r="W170" i="23"/>
  <c r="W169" i="23" s="1"/>
  <c r="W168" i="23" s="1"/>
  <c r="O171" i="25"/>
  <c r="O170" i="25" s="1"/>
  <c r="O169" i="25" s="1"/>
  <c r="N180" i="38"/>
  <c r="W173" i="23"/>
  <c r="O174" i="25"/>
  <c r="N182" i="38"/>
  <c r="W175" i="23"/>
  <c r="O176" i="25"/>
  <c r="N183" i="38"/>
  <c r="W176" i="23"/>
  <c r="O177" i="25"/>
  <c r="N184" i="38"/>
  <c r="W177" i="23"/>
  <c r="O178" i="25"/>
  <c r="T178" i="23"/>
  <c r="N179" i="25"/>
  <c r="K35" i="38"/>
  <c r="N34" i="23"/>
  <c r="N39" i="23"/>
  <c r="L40" i="25"/>
  <c r="K43" i="38"/>
  <c r="N42" i="23"/>
  <c r="N47" i="23"/>
  <c r="L48" i="25"/>
  <c r="N48" i="23"/>
  <c r="L49" i="25"/>
  <c r="K57" i="38"/>
  <c r="N56" i="23"/>
  <c r="N55" i="23" s="1"/>
  <c r="L57" i="25"/>
  <c r="L56" i="25" s="1"/>
  <c r="N62" i="23"/>
  <c r="L63" i="25"/>
  <c r="N63" i="23"/>
  <c r="L64" i="25"/>
  <c r="N64" i="23"/>
  <c r="L65" i="25"/>
  <c r="K66" i="38"/>
  <c r="N65" i="23"/>
  <c r="K68" i="38"/>
  <c r="N67" i="23"/>
  <c r="K69" i="38"/>
  <c r="N68" i="23"/>
  <c r="K70" i="38"/>
  <c r="N69" i="23"/>
  <c r="K71" i="38"/>
  <c r="N70" i="23"/>
  <c r="K72" i="38"/>
  <c r="N71" i="23"/>
  <c r="K78" i="38"/>
  <c r="N77" i="23"/>
  <c r="N80" i="23"/>
  <c r="L81" i="25"/>
  <c r="N82" i="23"/>
  <c r="L83" i="25"/>
  <c r="K87" i="38"/>
  <c r="N86" i="23"/>
  <c r="Q87" i="23"/>
  <c r="M88" i="25"/>
  <c r="Q92" i="23"/>
  <c r="M93" i="25"/>
  <c r="T93" i="23"/>
  <c r="N94" i="25"/>
  <c r="T102" i="23"/>
  <c r="T103" i="23"/>
  <c r="T104" i="23"/>
  <c r="T105" i="23"/>
  <c r="Q106" i="23"/>
  <c r="Q108" i="23"/>
  <c r="K110" i="38"/>
  <c r="N109" i="23"/>
  <c r="K111" i="38"/>
  <c r="N110" i="23"/>
  <c r="K112" i="38"/>
  <c r="N111" i="23"/>
  <c r="K112" i="23"/>
  <c r="N113" i="38"/>
  <c r="W112" i="23"/>
  <c r="N117" i="38"/>
  <c r="W116" i="23"/>
  <c r="N118" i="38"/>
  <c r="W117" i="23"/>
  <c r="N148" i="23"/>
  <c r="L149" i="25"/>
  <c r="N149" i="23"/>
  <c r="L150" i="25"/>
  <c r="Q150" i="23"/>
  <c r="M151" i="25"/>
  <c r="Q151" i="23"/>
  <c r="M152" i="25"/>
  <c r="K159" i="38"/>
  <c r="N152" i="23"/>
  <c r="L153" i="25"/>
  <c r="N172" i="38"/>
  <c r="W165" i="23"/>
  <c r="N173" i="23"/>
  <c r="L174" i="25"/>
  <c r="N175" i="23"/>
  <c r="L176" i="25"/>
  <c r="N176" i="23"/>
  <c r="L177" i="25"/>
  <c r="N177" i="23"/>
  <c r="L178" i="25"/>
  <c r="J185" i="38"/>
  <c r="K178" i="23"/>
  <c r="K179" i="25"/>
  <c r="N185" i="38"/>
  <c r="W178" i="23"/>
  <c r="O179" i="25"/>
  <c r="Q39" i="23"/>
  <c r="M40" i="25"/>
  <c r="Q42" i="23"/>
  <c r="L48" i="38"/>
  <c r="Q47" i="23"/>
  <c r="M48" i="25"/>
  <c r="L49" i="38"/>
  <c r="Q48" i="23"/>
  <c r="M49" i="25"/>
  <c r="Q56" i="23"/>
  <c r="Q55" i="23" s="1"/>
  <c r="M57" i="25"/>
  <c r="M56" i="25" s="1"/>
  <c r="Q62" i="23"/>
  <c r="M63" i="25"/>
  <c r="L64" i="38"/>
  <c r="Q63" i="23"/>
  <c r="M64" i="25"/>
  <c r="Q64" i="23"/>
  <c r="M65" i="25"/>
  <c r="Q80" i="23"/>
  <c r="M81" i="25"/>
  <c r="Q82" i="23"/>
  <c r="M83" i="25"/>
  <c r="T87" i="23"/>
  <c r="N88" i="25"/>
  <c r="T92" i="23"/>
  <c r="N93" i="25"/>
  <c r="N94" i="38"/>
  <c r="W93" i="23"/>
  <c r="O94" i="25"/>
  <c r="N95" i="38"/>
  <c r="W94" i="23"/>
  <c r="N96" i="38"/>
  <c r="W95" i="23"/>
  <c r="N97" i="38"/>
  <c r="W96" i="23"/>
  <c r="N98" i="38"/>
  <c r="W97" i="23"/>
  <c r="N103" i="38"/>
  <c r="W102" i="23"/>
  <c r="N104" i="38"/>
  <c r="W103" i="23"/>
  <c r="N105" i="38"/>
  <c r="W104" i="23"/>
  <c r="N106" i="38"/>
  <c r="W105" i="23"/>
  <c r="T106" i="23"/>
  <c r="T108" i="23"/>
  <c r="Q109" i="23"/>
  <c r="Q110" i="23"/>
  <c r="Q111" i="23"/>
  <c r="K113" i="38"/>
  <c r="N112" i="23"/>
  <c r="K117" i="38"/>
  <c r="N116" i="23"/>
  <c r="K118" i="38"/>
  <c r="N117" i="23"/>
  <c r="N119" i="38"/>
  <c r="W118" i="23"/>
  <c r="Q148" i="23"/>
  <c r="M149" i="25"/>
  <c r="Q149" i="23"/>
  <c r="M150" i="25"/>
  <c r="T150" i="23"/>
  <c r="N151" i="25"/>
  <c r="T151" i="23"/>
  <c r="N152" i="25"/>
  <c r="L159" i="38"/>
  <c r="Q152" i="23"/>
  <c r="M153" i="25"/>
  <c r="L168" i="38"/>
  <c r="Q161" i="23"/>
  <c r="K172" i="38"/>
  <c r="N165" i="23"/>
  <c r="L177" i="38"/>
  <c r="Q170" i="23"/>
  <c r="Q169" i="23" s="1"/>
  <c r="Q168" i="23" s="1"/>
  <c r="M171" i="25"/>
  <c r="M170" i="25" s="1"/>
  <c r="M169" i="25" s="1"/>
  <c r="Q173" i="23"/>
  <c r="M174" i="25"/>
  <c r="Q175" i="23"/>
  <c r="M176" i="25"/>
  <c r="Q176" i="23"/>
  <c r="M177" i="25"/>
  <c r="Q177" i="23"/>
  <c r="M178" i="25"/>
  <c r="N178" i="23"/>
  <c r="L179" i="25"/>
  <c r="L47" i="38"/>
  <c r="Q46" i="23"/>
  <c r="M47" i="25"/>
  <c r="T46" i="23"/>
  <c r="N47" i="25"/>
  <c r="N47" i="38"/>
  <c r="W46" i="23"/>
  <c r="O47" i="25"/>
  <c r="N46" i="23"/>
  <c r="L47" i="25"/>
  <c r="S34" i="27"/>
  <c r="L35" i="38"/>
  <c r="S35" i="27"/>
  <c r="U35" i="27" s="1"/>
  <c r="L36" i="38"/>
  <c r="S37" i="27"/>
  <c r="L38" i="38"/>
  <c r="S41" i="27"/>
  <c r="L42" i="38"/>
  <c r="S43" i="27"/>
  <c r="L44" i="38"/>
  <c r="S64" i="27"/>
  <c r="U64" i="27" s="1"/>
  <c r="L65" i="38"/>
  <c r="S68" i="27"/>
  <c r="U68" i="27" s="1"/>
  <c r="L69" i="38"/>
  <c r="S69" i="27"/>
  <c r="U69" i="27" s="1"/>
  <c r="L70" i="38"/>
  <c r="W75" i="27"/>
  <c r="Y75" i="27" s="1"/>
  <c r="M76" i="38"/>
  <c r="S77" i="27"/>
  <c r="U77" i="27" s="1"/>
  <c r="L78" i="38"/>
  <c r="S80" i="27"/>
  <c r="U80" i="27" s="1"/>
  <c r="S82" i="27"/>
  <c r="U82" i="27" s="1"/>
  <c r="W87" i="27"/>
  <c r="Y87" i="27" s="1"/>
  <c r="M88" i="38"/>
  <c r="W89" i="27"/>
  <c r="Y89" i="27" s="1"/>
  <c r="M90" i="38"/>
  <c r="W106" i="27"/>
  <c r="Y106" i="27" s="1"/>
  <c r="M107" i="38"/>
  <c r="S109" i="27"/>
  <c r="U109" i="27" s="1"/>
  <c r="L110" i="38"/>
  <c r="W137" i="27"/>
  <c r="Y137" i="27" s="1"/>
  <c r="M138" i="38"/>
  <c r="W139" i="27"/>
  <c r="Y139" i="27" s="1"/>
  <c r="M140" i="38"/>
  <c r="M142" i="38"/>
  <c r="M144" i="38"/>
  <c r="W148" i="27"/>
  <c r="Y148" i="27" s="1"/>
  <c r="M155" i="38"/>
  <c r="S163" i="27"/>
  <c r="U163" i="27" s="1"/>
  <c r="L170" i="38"/>
  <c r="S164" i="27"/>
  <c r="U164" i="27" s="1"/>
  <c r="L171" i="38"/>
  <c r="S165" i="27"/>
  <c r="U165" i="27" s="1"/>
  <c r="L172" i="38"/>
  <c r="W173" i="27"/>
  <c r="Y173" i="27" s="1"/>
  <c r="M180" i="38"/>
  <c r="W175" i="27"/>
  <c r="Y175" i="27" s="1"/>
  <c r="M182" i="38"/>
  <c r="S178" i="27"/>
  <c r="U178" i="27" s="1"/>
  <c r="L185" i="38"/>
  <c r="W34" i="27"/>
  <c r="Y34" i="27" s="1"/>
  <c r="M35" i="38"/>
  <c r="W36" i="27"/>
  <c r="Y36" i="27" s="1"/>
  <c r="M37" i="38"/>
  <c r="M40" i="38"/>
  <c r="U39" i="2"/>
  <c r="M39" i="38" s="1"/>
  <c r="W42" i="27"/>
  <c r="Y42" i="27" s="1"/>
  <c r="M43" i="38"/>
  <c r="W43" i="27"/>
  <c r="Y43" i="27" s="1"/>
  <c r="M44" i="38"/>
  <c r="W47" i="27"/>
  <c r="M48" i="38"/>
  <c r="W48" i="27"/>
  <c r="M49" i="38"/>
  <c r="W62" i="27"/>
  <c r="Y62" i="27" s="1"/>
  <c r="M63" i="38"/>
  <c r="W64" i="27"/>
  <c r="Y64" i="27" s="1"/>
  <c r="M65" i="38"/>
  <c r="W67" i="27"/>
  <c r="Y67" i="27" s="1"/>
  <c r="M68" i="38"/>
  <c r="W69" i="27"/>
  <c r="Y69" i="27" s="1"/>
  <c r="M70" i="38"/>
  <c r="W71" i="27"/>
  <c r="Y71" i="27" s="1"/>
  <c r="M72" i="38"/>
  <c r="W79" i="27"/>
  <c r="M80" i="38"/>
  <c r="W81" i="27"/>
  <c r="Y81" i="27" s="1"/>
  <c r="W86" i="27"/>
  <c r="Y86" i="27" s="1"/>
  <c r="M87" i="38"/>
  <c r="AA92" i="27"/>
  <c r="AD92" i="27" s="1"/>
  <c r="AD91" i="27" s="1"/>
  <c r="N93" i="38"/>
  <c r="W109" i="27"/>
  <c r="Y109" i="27" s="1"/>
  <c r="M110" i="38"/>
  <c r="W110" i="27"/>
  <c r="Y110" i="27" s="1"/>
  <c r="M111" i="38"/>
  <c r="S112" i="27"/>
  <c r="U112" i="27" s="1"/>
  <c r="L113" i="38"/>
  <c r="S115" i="27"/>
  <c r="L116" i="38"/>
  <c r="S117" i="27"/>
  <c r="L118" i="38"/>
  <c r="S122" i="27"/>
  <c r="S125" i="27"/>
  <c r="U125" i="27" s="1"/>
  <c r="S126" i="27"/>
  <c r="N40" i="38"/>
  <c r="X39" i="2"/>
  <c r="N39" i="38" s="1"/>
  <c r="AI77" i="10"/>
  <c r="CL77" i="10" s="1"/>
  <c r="J78" i="38"/>
  <c r="K91" i="38"/>
  <c r="AK90" i="10"/>
  <c r="CK90" i="10" s="1"/>
  <c r="O92" i="27"/>
  <c r="R92" i="27" s="1"/>
  <c r="K93" i="38"/>
  <c r="S93" i="27"/>
  <c r="U93" i="27" s="1"/>
  <c r="L94" i="38"/>
  <c r="S94" i="27"/>
  <c r="U94" i="27" s="1"/>
  <c r="L95" i="38"/>
  <c r="S95" i="27"/>
  <c r="U95" i="27" s="1"/>
  <c r="L96" i="38"/>
  <c r="S96" i="27"/>
  <c r="U96" i="27" s="1"/>
  <c r="L97" i="38"/>
  <c r="S97" i="27"/>
  <c r="U97" i="27" s="1"/>
  <c r="L98" i="38"/>
  <c r="S102" i="27"/>
  <c r="V102" i="27" s="1"/>
  <c r="L103" i="38"/>
  <c r="S103" i="27"/>
  <c r="L104" i="38"/>
  <c r="S104" i="27"/>
  <c r="L105" i="38"/>
  <c r="S105" i="27"/>
  <c r="V105" i="27" s="1"/>
  <c r="L106" i="38"/>
  <c r="AI109" i="10"/>
  <c r="J110" i="38"/>
  <c r="W112" i="27"/>
  <c r="Y112" i="27" s="1"/>
  <c r="M113" i="38"/>
  <c r="W114" i="27"/>
  <c r="Y114" i="27" s="1"/>
  <c r="M115" i="38"/>
  <c r="W115" i="27"/>
  <c r="Y115" i="27" s="1"/>
  <c r="M116" i="38"/>
  <c r="W116" i="27"/>
  <c r="Y116" i="27" s="1"/>
  <c r="M117" i="38"/>
  <c r="W117" i="27"/>
  <c r="Y117" i="27" s="1"/>
  <c r="M118" i="38"/>
  <c r="S118" i="27"/>
  <c r="V118" i="27" s="1"/>
  <c r="L119" i="38"/>
  <c r="S121" i="27"/>
  <c r="U121" i="27" s="1"/>
  <c r="L122" i="38"/>
  <c r="W122" i="27"/>
  <c r="Y122" i="27" s="1"/>
  <c r="S123" i="27"/>
  <c r="S124" i="27"/>
  <c r="W125" i="27"/>
  <c r="Y125" i="27" s="1"/>
  <c r="W126" i="27"/>
  <c r="S128" i="27"/>
  <c r="U128" i="27" s="1"/>
  <c r="S135" i="27"/>
  <c r="L136" i="38"/>
  <c r="S136" i="27"/>
  <c r="L137" i="38"/>
  <c r="O148" i="27"/>
  <c r="R148" i="27" s="1"/>
  <c r="K155" i="38"/>
  <c r="O149" i="27"/>
  <c r="R149" i="27" s="1"/>
  <c r="K156" i="38"/>
  <c r="S150" i="27"/>
  <c r="U150" i="27" s="1"/>
  <c r="L157" i="38"/>
  <c r="S151" i="27"/>
  <c r="U151" i="27" s="1"/>
  <c r="L158" i="38"/>
  <c r="O161" i="2"/>
  <c r="K167" i="38" s="1"/>
  <c r="K168" i="38"/>
  <c r="AI163" i="10"/>
  <c r="CK163" i="10" s="1"/>
  <c r="J170" i="38"/>
  <c r="O173" i="27"/>
  <c r="R173" i="27" s="1"/>
  <c r="K180" i="38"/>
  <c r="Q176" i="2"/>
  <c r="K182" i="38"/>
  <c r="O176" i="27"/>
  <c r="R176" i="27" s="1"/>
  <c r="K183" i="38"/>
  <c r="O177" i="27"/>
  <c r="R177" i="27" s="1"/>
  <c r="K184" i="38"/>
  <c r="S33" i="27"/>
  <c r="L34" i="38"/>
  <c r="S36" i="27"/>
  <c r="L37" i="38"/>
  <c r="L40" i="38"/>
  <c r="R39" i="2"/>
  <c r="L39" i="38" s="1"/>
  <c r="S42" i="27"/>
  <c r="L43" i="38"/>
  <c r="S56" i="27"/>
  <c r="U56" i="27" s="1"/>
  <c r="U55" i="27" s="1"/>
  <c r="L57" i="38"/>
  <c r="S62" i="27"/>
  <c r="U62" i="27" s="1"/>
  <c r="L63" i="38"/>
  <c r="S65" i="27"/>
  <c r="U65" i="27" s="1"/>
  <c r="L66" i="38"/>
  <c r="S67" i="27"/>
  <c r="U67" i="27" s="1"/>
  <c r="L68" i="38"/>
  <c r="S70" i="27"/>
  <c r="U70" i="27" s="1"/>
  <c r="L71" i="38"/>
  <c r="S71" i="27"/>
  <c r="U71" i="27" s="1"/>
  <c r="L72" i="38"/>
  <c r="W74" i="27"/>
  <c r="Y74" i="27" s="1"/>
  <c r="M75" i="38"/>
  <c r="W76" i="27"/>
  <c r="Y76" i="27" s="1"/>
  <c r="M77" i="38"/>
  <c r="S79" i="27"/>
  <c r="U79" i="27" s="1"/>
  <c r="L80" i="38"/>
  <c r="S81" i="27"/>
  <c r="U81" i="27" s="1"/>
  <c r="S86" i="27"/>
  <c r="U86" i="27" s="1"/>
  <c r="L87" i="38"/>
  <c r="W88" i="27"/>
  <c r="Y88" i="27" s="1"/>
  <c r="M89" i="38"/>
  <c r="W90" i="27"/>
  <c r="Y90" i="27" s="1"/>
  <c r="M91" i="38"/>
  <c r="W92" i="27"/>
  <c r="Y92" i="27" s="1"/>
  <c r="M93" i="38"/>
  <c r="W108" i="27"/>
  <c r="Y108" i="27" s="1"/>
  <c r="M109" i="38"/>
  <c r="S110" i="27"/>
  <c r="U110" i="27" s="1"/>
  <c r="L111" i="38"/>
  <c r="S111" i="27"/>
  <c r="U111" i="27" s="1"/>
  <c r="L112" i="38"/>
  <c r="AI118" i="10"/>
  <c r="CK118" i="10" s="1"/>
  <c r="J119" i="38"/>
  <c r="AI123" i="10"/>
  <c r="AI128" i="10"/>
  <c r="W138" i="27"/>
  <c r="Y138" i="27" s="1"/>
  <c r="M139" i="38"/>
  <c r="M141" i="38"/>
  <c r="M143" i="38"/>
  <c r="M145" i="38"/>
  <c r="M146" i="38"/>
  <c r="W149" i="27"/>
  <c r="Y149" i="27" s="1"/>
  <c r="M156" i="38"/>
  <c r="W152" i="27"/>
  <c r="Y152" i="27" s="1"/>
  <c r="M159" i="38"/>
  <c r="W162" i="27"/>
  <c r="Y162" i="27" s="1"/>
  <c r="M169" i="38"/>
  <c r="W170" i="27"/>
  <c r="M177" i="38"/>
  <c r="W176" i="27"/>
  <c r="Y176" i="27" s="1"/>
  <c r="M183" i="38"/>
  <c r="W177" i="27"/>
  <c r="Y177" i="27" s="1"/>
  <c r="M184" i="38"/>
  <c r="W33" i="27"/>
  <c r="Y33" i="27" s="1"/>
  <c r="M34" i="38"/>
  <c r="W35" i="27"/>
  <c r="Y35" i="27" s="1"/>
  <c r="M36" i="38"/>
  <c r="W37" i="27"/>
  <c r="Y37" i="27" s="1"/>
  <c r="M38" i="38"/>
  <c r="W41" i="27"/>
  <c r="Y41" i="27" s="1"/>
  <c r="M42" i="38"/>
  <c r="W46" i="27"/>
  <c r="Y46" i="27" s="1"/>
  <c r="Y45" i="27" s="1"/>
  <c r="M47" i="38"/>
  <c r="W63" i="27"/>
  <c r="Y63" i="27" s="1"/>
  <c r="M64" i="38"/>
  <c r="W65" i="27"/>
  <c r="Y65" i="27" s="1"/>
  <c r="M66" i="38"/>
  <c r="W68" i="27"/>
  <c r="Y68" i="27" s="1"/>
  <c r="M69" i="38"/>
  <c r="W70" i="27"/>
  <c r="Y70" i="27" s="1"/>
  <c r="M71" i="38"/>
  <c r="W77" i="27"/>
  <c r="Y77" i="27" s="1"/>
  <c r="M78" i="38"/>
  <c r="W80" i="27"/>
  <c r="Y80" i="27" s="1"/>
  <c r="W82" i="27"/>
  <c r="Y82" i="27" s="1"/>
  <c r="AI106" i="10"/>
  <c r="CK106" i="10" s="1"/>
  <c r="J107" i="38"/>
  <c r="W111" i="27"/>
  <c r="Y111" i="27" s="1"/>
  <c r="M112" i="38"/>
  <c r="S114" i="27"/>
  <c r="L115" i="38"/>
  <c r="S116" i="27"/>
  <c r="V116" i="27" s="1"/>
  <c r="L117" i="38"/>
  <c r="J138" i="38"/>
  <c r="O151" i="27"/>
  <c r="R151" i="27" s="1"/>
  <c r="K158" i="38"/>
  <c r="X161" i="2"/>
  <c r="N167" i="38" s="1"/>
  <c r="N168" i="38"/>
  <c r="W163" i="27"/>
  <c r="Y163" i="27" s="1"/>
  <c r="M170" i="38"/>
  <c r="W164" i="27"/>
  <c r="Y164" i="27" s="1"/>
  <c r="M171" i="38"/>
  <c r="W165" i="27"/>
  <c r="Y165" i="27" s="1"/>
  <c r="M172" i="38"/>
  <c r="W178" i="27"/>
  <c r="Y178" i="27" s="1"/>
  <c r="M185" i="38"/>
  <c r="K40" i="38"/>
  <c r="O39" i="2"/>
  <c r="K39" i="38" s="1"/>
  <c r="O46" i="27"/>
  <c r="R46" i="27" s="1"/>
  <c r="K47" i="38"/>
  <c r="O47" i="27"/>
  <c r="R47" i="27" s="1"/>
  <c r="K48" i="38"/>
  <c r="O48" i="27"/>
  <c r="R48" i="27" s="1"/>
  <c r="K49" i="38"/>
  <c r="O62" i="27"/>
  <c r="R62" i="27" s="1"/>
  <c r="K63" i="38"/>
  <c r="O63" i="27"/>
  <c r="R63" i="27" s="1"/>
  <c r="K64" i="38"/>
  <c r="O64" i="27"/>
  <c r="R64" i="27" s="1"/>
  <c r="K65" i="38"/>
  <c r="S74" i="27"/>
  <c r="U74" i="27" s="1"/>
  <c r="L75" i="38"/>
  <c r="S75" i="27"/>
  <c r="U75" i="27" s="1"/>
  <c r="L76" i="38"/>
  <c r="S76" i="27"/>
  <c r="U76" i="27" s="1"/>
  <c r="L77" i="38"/>
  <c r="O80" i="27"/>
  <c r="O82" i="27"/>
  <c r="S87" i="27"/>
  <c r="U87" i="27" s="1"/>
  <c r="L88" i="38"/>
  <c r="S88" i="27"/>
  <c r="U88" i="27" s="1"/>
  <c r="L89" i="38"/>
  <c r="S89" i="27"/>
  <c r="U89" i="27" s="1"/>
  <c r="L90" i="38"/>
  <c r="S90" i="27"/>
  <c r="U90" i="27" s="1"/>
  <c r="L91" i="38"/>
  <c r="S92" i="27"/>
  <c r="U92" i="27" s="1"/>
  <c r="L93" i="38"/>
  <c r="W93" i="27"/>
  <c r="Y93" i="27" s="1"/>
  <c r="M94" i="38"/>
  <c r="W94" i="27"/>
  <c r="Y94" i="27" s="1"/>
  <c r="M95" i="38"/>
  <c r="W95" i="27"/>
  <c r="Y95" i="27" s="1"/>
  <c r="M96" i="38"/>
  <c r="W96" i="27"/>
  <c r="Y96" i="27" s="1"/>
  <c r="M97" i="38"/>
  <c r="W97" i="27"/>
  <c r="Y97" i="27" s="1"/>
  <c r="M98" i="38"/>
  <c r="W102" i="27"/>
  <c r="Y102" i="27" s="1"/>
  <c r="M103" i="38"/>
  <c r="W103" i="27"/>
  <c r="Y103" i="27" s="1"/>
  <c r="M104" i="38"/>
  <c r="W104" i="27"/>
  <c r="Y104" i="27" s="1"/>
  <c r="M105" i="38"/>
  <c r="W105" i="27"/>
  <c r="Y105" i="27" s="1"/>
  <c r="M106" i="38"/>
  <c r="S106" i="27"/>
  <c r="L107" i="38"/>
  <c r="S108" i="27"/>
  <c r="U108" i="27" s="1"/>
  <c r="L109" i="38"/>
  <c r="AI112" i="10"/>
  <c r="CK112" i="10" s="1"/>
  <c r="J113" i="38"/>
  <c r="W118" i="27"/>
  <c r="Y118" i="27" s="1"/>
  <c r="M119" i="38"/>
  <c r="W121" i="27"/>
  <c r="Y121" i="27" s="1"/>
  <c r="M122" i="38"/>
  <c r="W123" i="27"/>
  <c r="W124" i="27"/>
  <c r="W128" i="27"/>
  <c r="Y128" i="27" s="1"/>
  <c r="W135" i="27"/>
  <c r="Y135" i="27" s="1"/>
  <c r="M136" i="38"/>
  <c r="W136" i="27"/>
  <c r="Y136" i="27" s="1"/>
  <c r="M137" i="38"/>
  <c r="S137" i="27"/>
  <c r="L138" i="38"/>
  <c r="S138" i="27"/>
  <c r="L139" i="38"/>
  <c r="S139" i="27"/>
  <c r="L140" i="38"/>
  <c r="L141" i="38"/>
  <c r="L142" i="38"/>
  <c r="L143" i="38"/>
  <c r="L144" i="38"/>
  <c r="L145" i="38"/>
  <c r="L146" i="38"/>
  <c r="S148" i="27"/>
  <c r="U148" i="27" s="1"/>
  <c r="L155" i="38"/>
  <c r="S149" i="27"/>
  <c r="U149" i="27" s="1"/>
  <c r="L156" i="38"/>
  <c r="W150" i="27"/>
  <c r="Y150" i="27" s="1"/>
  <c r="M157" i="38"/>
  <c r="W151" i="27"/>
  <c r="Y151" i="27" s="1"/>
  <c r="M158" i="38"/>
  <c r="S162" i="27"/>
  <c r="U162" i="27" s="1"/>
  <c r="L169" i="38"/>
  <c r="S173" i="27"/>
  <c r="U173" i="27" s="1"/>
  <c r="L180" i="38"/>
  <c r="S175" i="27"/>
  <c r="U175" i="27" s="1"/>
  <c r="L182" i="38"/>
  <c r="S176" i="27"/>
  <c r="U176" i="27" s="1"/>
  <c r="L183" i="38"/>
  <c r="S177" i="27"/>
  <c r="U177" i="27" s="1"/>
  <c r="L184" i="38"/>
  <c r="O178" i="27"/>
  <c r="R178" i="27" s="1"/>
  <c r="K185" i="38"/>
  <c r="S170" i="27"/>
  <c r="U170" i="27" s="1"/>
  <c r="U169" i="27" s="1"/>
  <c r="U168" i="27" s="1"/>
  <c r="W161" i="27"/>
  <c r="Y161" i="27" s="1"/>
  <c r="U161" i="2"/>
  <c r="M167" i="38" s="1"/>
  <c r="S161" i="27"/>
  <c r="U161" i="27" s="1"/>
  <c r="R161" i="2"/>
  <c r="L167" i="38" s="1"/>
  <c r="W39" i="27"/>
  <c r="Y39" i="27" s="1"/>
  <c r="O39" i="27"/>
  <c r="R39" i="27" s="1"/>
  <c r="W56" i="27"/>
  <c r="Z56" i="27" s="1"/>
  <c r="Z55" i="27" s="1"/>
  <c r="AQ93" i="10"/>
  <c r="AA93" i="27"/>
  <c r="AQ94" i="10"/>
  <c r="AA94" i="27"/>
  <c r="AQ95" i="10"/>
  <c r="AG95" i="10" s="1"/>
  <c r="AA95" i="27"/>
  <c r="AQ96" i="10"/>
  <c r="AA96" i="27"/>
  <c r="AQ97" i="10"/>
  <c r="AA97" i="27"/>
  <c r="AQ102" i="10"/>
  <c r="AA102" i="27"/>
  <c r="AQ103" i="10"/>
  <c r="AA103" i="27"/>
  <c r="AQ104" i="10"/>
  <c r="AA104" i="27"/>
  <c r="AQ105" i="10"/>
  <c r="AA105" i="27"/>
  <c r="AQ118" i="10"/>
  <c r="AA118" i="27"/>
  <c r="AQ121" i="10"/>
  <c r="AA121" i="27"/>
  <c r="AQ123" i="10"/>
  <c r="AA123" i="27"/>
  <c r="AQ124" i="10"/>
  <c r="AA124" i="27"/>
  <c r="AQ128" i="10"/>
  <c r="AA128" i="27"/>
  <c r="AQ135" i="10"/>
  <c r="U140" i="10" s="1"/>
  <c r="AA135" i="27"/>
  <c r="AQ136" i="10"/>
  <c r="AA136" i="27"/>
  <c r="AQ150" i="10"/>
  <c r="AR150" i="10" s="1"/>
  <c r="AA150" i="27"/>
  <c r="AQ151" i="10"/>
  <c r="AR151" i="10" s="1"/>
  <c r="AA151" i="27"/>
  <c r="AQ74" i="10"/>
  <c r="AA74" i="27"/>
  <c r="AQ75" i="10"/>
  <c r="U75" i="10" s="1"/>
  <c r="AA75" i="27"/>
  <c r="AQ76" i="10"/>
  <c r="AA76" i="27"/>
  <c r="AQ87" i="10"/>
  <c r="AA87" i="27"/>
  <c r="AQ88" i="10"/>
  <c r="AA88" i="27"/>
  <c r="AQ89" i="10"/>
  <c r="AA89" i="27"/>
  <c r="AQ90" i="10"/>
  <c r="AA90" i="27"/>
  <c r="AQ106" i="10"/>
  <c r="AA106" i="27"/>
  <c r="AQ108" i="10"/>
  <c r="AA108" i="27"/>
  <c r="AQ137" i="10"/>
  <c r="AA137" i="27"/>
  <c r="AQ138" i="10"/>
  <c r="AA138" i="27"/>
  <c r="AQ139" i="10"/>
  <c r="AA139" i="27"/>
  <c r="AQ148" i="10"/>
  <c r="AR148" i="10" s="1"/>
  <c r="AA148" i="27"/>
  <c r="AQ149" i="10"/>
  <c r="AR149" i="10" s="1"/>
  <c r="AA149" i="27"/>
  <c r="AQ152" i="10"/>
  <c r="AR152" i="10" s="1"/>
  <c r="AA152" i="27"/>
  <c r="AQ161" i="10"/>
  <c r="AA161" i="27"/>
  <c r="AQ162" i="10"/>
  <c r="I162" i="10" s="1"/>
  <c r="AA162" i="27"/>
  <c r="AQ170" i="10"/>
  <c r="AA170" i="27"/>
  <c r="AQ174" i="10"/>
  <c r="AA173" i="27"/>
  <c r="AQ176" i="10"/>
  <c r="AA175" i="27"/>
  <c r="AQ177" i="10"/>
  <c r="AA176" i="27"/>
  <c r="AQ178" i="10"/>
  <c r="AA177" i="27"/>
  <c r="AQ33" i="10"/>
  <c r="AA33" i="27"/>
  <c r="AQ34" i="10"/>
  <c r="AA34" i="27"/>
  <c r="AQ35" i="10"/>
  <c r="AA35" i="27"/>
  <c r="AQ36" i="10"/>
  <c r="AA36" i="27"/>
  <c r="AQ37" i="10"/>
  <c r="AA37" i="27"/>
  <c r="AQ39" i="10"/>
  <c r="AA39" i="27"/>
  <c r="AQ41" i="10"/>
  <c r="AA41" i="27"/>
  <c r="AQ42" i="10"/>
  <c r="AA42" i="27"/>
  <c r="AQ43" i="10"/>
  <c r="AA43" i="27"/>
  <c r="AQ46" i="10"/>
  <c r="AA46" i="27"/>
  <c r="AQ47" i="10"/>
  <c r="AA47" i="27"/>
  <c r="AQ48" i="10"/>
  <c r="AA48" i="27"/>
  <c r="AQ56" i="10"/>
  <c r="AA56" i="27"/>
  <c r="AQ62" i="10"/>
  <c r="AA62" i="27"/>
  <c r="AQ63" i="10"/>
  <c r="AA63" i="27"/>
  <c r="AD63" i="27" s="1"/>
  <c r="AD61" i="27" s="1"/>
  <c r="AD7" i="27" s="1"/>
  <c r="AQ64" i="10"/>
  <c r="AA64" i="27"/>
  <c r="AQ65" i="10"/>
  <c r="AA65" i="27"/>
  <c r="AQ67" i="10"/>
  <c r="AA67" i="27"/>
  <c r="AQ68" i="10"/>
  <c r="U68" i="10" s="1"/>
  <c r="AA68" i="27"/>
  <c r="AQ69" i="10"/>
  <c r="AA69" i="27"/>
  <c r="AQ70" i="10"/>
  <c r="AA70" i="27"/>
  <c r="AQ71" i="10"/>
  <c r="AA71" i="27"/>
  <c r="AQ77" i="10"/>
  <c r="AA77" i="27"/>
  <c r="AQ79" i="10"/>
  <c r="AA79" i="27"/>
  <c r="AQ80" i="10"/>
  <c r="AA80" i="27"/>
  <c r="AQ81" i="10"/>
  <c r="AA81" i="27"/>
  <c r="AQ82" i="10"/>
  <c r="AA82" i="27"/>
  <c r="AQ86" i="10"/>
  <c r="AA86" i="27"/>
  <c r="AQ109" i="10"/>
  <c r="AA109" i="27"/>
  <c r="AQ110" i="10"/>
  <c r="AA110" i="27"/>
  <c r="AQ111" i="10"/>
  <c r="AA111" i="27"/>
  <c r="AQ163" i="10"/>
  <c r="I163" i="10" s="1"/>
  <c r="AA163" i="27"/>
  <c r="AQ164" i="10"/>
  <c r="I164" i="10" s="1"/>
  <c r="AA164" i="27"/>
  <c r="AQ165" i="10"/>
  <c r="AA165" i="27"/>
  <c r="AQ179" i="10"/>
  <c r="AA178" i="27"/>
  <c r="AQ112" i="10"/>
  <c r="AA112" i="27"/>
  <c r="AQ114" i="10"/>
  <c r="AA114" i="27"/>
  <c r="AQ115" i="10"/>
  <c r="AA115" i="27"/>
  <c r="AQ116" i="10"/>
  <c r="AA116" i="27"/>
  <c r="AQ117" i="10"/>
  <c r="AA117" i="27"/>
  <c r="AQ122" i="10"/>
  <c r="AA122" i="27"/>
  <c r="AD122" i="27" s="1"/>
  <c r="AD120" i="27" s="1"/>
  <c r="AQ125" i="10"/>
  <c r="AA125" i="27"/>
  <c r="AQ126" i="10"/>
  <c r="AA126" i="27"/>
  <c r="S46" i="27"/>
  <c r="V46" i="27" s="1"/>
  <c r="S47" i="27"/>
  <c r="V47" i="27" s="1"/>
  <c r="S48" i="27"/>
  <c r="V48" i="27" s="1"/>
  <c r="S63" i="27"/>
  <c r="S39" i="27"/>
  <c r="V39" i="27" s="1"/>
  <c r="S152" i="27"/>
  <c r="V152" i="27" s="1"/>
  <c r="V147" i="27" s="1"/>
  <c r="V146" i="27" s="1"/>
  <c r="AM41" i="10"/>
  <c r="AM42" i="10"/>
  <c r="CP42" i="10" s="1"/>
  <c r="AM43" i="10"/>
  <c r="AM56" i="10"/>
  <c r="AM62" i="10"/>
  <c r="AM64" i="10"/>
  <c r="CN64" i="10" s="1"/>
  <c r="AM65" i="10"/>
  <c r="AN65" i="10" s="1"/>
  <c r="AM67" i="10"/>
  <c r="AM68" i="10"/>
  <c r="CN68" i="10" s="1"/>
  <c r="S68" i="10" s="1"/>
  <c r="AM69" i="10"/>
  <c r="CN69" i="10" s="1"/>
  <c r="AM70" i="10"/>
  <c r="CN70" i="10" s="1"/>
  <c r="AM71" i="10"/>
  <c r="CN71" i="10" s="1"/>
  <c r="AE71" i="10" s="1"/>
  <c r="AO74" i="10"/>
  <c r="AO75" i="10"/>
  <c r="AO76" i="10"/>
  <c r="AM77" i="10"/>
  <c r="AM79" i="10"/>
  <c r="AM80" i="10"/>
  <c r="AM81" i="10"/>
  <c r="AM82" i="10"/>
  <c r="AM86" i="10"/>
  <c r="AO87" i="10"/>
  <c r="AP87" i="10" s="1"/>
  <c r="AO88" i="10"/>
  <c r="AP88" i="10" s="1"/>
  <c r="AO89" i="10"/>
  <c r="AP89" i="10" s="1"/>
  <c r="AO90" i="10"/>
  <c r="AP90" i="10" s="1"/>
  <c r="AO92" i="10"/>
  <c r="AO106" i="10"/>
  <c r="AO108" i="10"/>
  <c r="AM109" i="10"/>
  <c r="AM110" i="10"/>
  <c r="AM111" i="10"/>
  <c r="AK112" i="10"/>
  <c r="CL112" i="10" s="1"/>
  <c r="O112" i="27"/>
  <c r="AK114" i="10"/>
  <c r="O114" i="27"/>
  <c r="AK115" i="10"/>
  <c r="CL115" i="10" s="1"/>
  <c r="O115" i="27"/>
  <c r="AK116" i="10"/>
  <c r="CL116" i="10" s="1"/>
  <c r="O116" i="27"/>
  <c r="AK117" i="10"/>
  <c r="CL117" i="10" s="1"/>
  <c r="O117" i="27"/>
  <c r="AK126" i="10"/>
  <c r="CS126" i="10" s="1"/>
  <c r="O126" i="27"/>
  <c r="Q126" i="27" s="1"/>
  <c r="AO137" i="10"/>
  <c r="CT137" i="10" s="1"/>
  <c r="AO138" i="10"/>
  <c r="AO139" i="10"/>
  <c r="AO148" i="10"/>
  <c r="AP148" i="10" s="1"/>
  <c r="AO149" i="10"/>
  <c r="AP149" i="10" s="1"/>
  <c r="AO152" i="10"/>
  <c r="AP152" i="10" s="1"/>
  <c r="AO161" i="10"/>
  <c r="AO162" i="10"/>
  <c r="AM163" i="10"/>
  <c r="CM163" i="10" s="1"/>
  <c r="AM164" i="10"/>
  <c r="CM164" i="10" s="1"/>
  <c r="AM165" i="10"/>
  <c r="AO170" i="10"/>
  <c r="AF170" i="10" s="1"/>
  <c r="AO174" i="10"/>
  <c r="AO176" i="10"/>
  <c r="AO177" i="10"/>
  <c r="AO178" i="10"/>
  <c r="AM179" i="10"/>
  <c r="AM33" i="10"/>
  <c r="AM34" i="10"/>
  <c r="AM35" i="10"/>
  <c r="CN35" i="10" s="1"/>
  <c r="AM36" i="10"/>
  <c r="AM37" i="10"/>
  <c r="CN37" i="10" s="1"/>
  <c r="AO33" i="10"/>
  <c r="AO34" i="10"/>
  <c r="AO35" i="10"/>
  <c r="AO36" i="10"/>
  <c r="AO37" i="10"/>
  <c r="AO39" i="10"/>
  <c r="AO41" i="10"/>
  <c r="T41" i="10" s="1"/>
  <c r="AO42" i="10"/>
  <c r="AO43" i="10"/>
  <c r="AO46" i="10"/>
  <c r="AO47" i="10"/>
  <c r="AO48" i="10"/>
  <c r="AO62" i="10"/>
  <c r="AO63" i="10"/>
  <c r="AO64" i="10"/>
  <c r="AO65" i="10"/>
  <c r="AP65" i="10" s="1"/>
  <c r="AO67" i="10"/>
  <c r="AP67" i="10" s="1"/>
  <c r="AO68" i="10"/>
  <c r="AO69" i="10"/>
  <c r="AO70" i="10"/>
  <c r="AO71" i="10"/>
  <c r="AO77" i="10"/>
  <c r="AO79" i="10"/>
  <c r="AO80" i="10"/>
  <c r="AO81" i="10"/>
  <c r="AO82" i="10"/>
  <c r="AO86" i="10"/>
  <c r="AP86" i="10" s="1"/>
  <c r="AK94" i="10"/>
  <c r="O94" i="27"/>
  <c r="AK95" i="10"/>
  <c r="CM95" i="10" s="1"/>
  <c r="O95" i="27"/>
  <c r="AK96" i="10"/>
  <c r="AL96" i="10" s="1"/>
  <c r="O96" i="27"/>
  <c r="AK97" i="10"/>
  <c r="AL97" i="10" s="1"/>
  <c r="O97" i="27"/>
  <c r="AK102" i="10"/>
  <c r="CL102" i="10" s="1"/>
  <c r="O102" i="27"/>
  <c r="AK103" i="10"/>
  <c r="CL103" i="10" s="1"/>
  <c r="O103" i="27"/>
  <c r="AK104" i="10"/>
  <c r="CL104" i="10" s="1"/>
  <c r="O104" i="27"/>
  <c r="AK105" i="10"/>
  <c r="O105" i="27"/>
  <c r="R105" i="27" s="1"/>
  <c r="AO109" i="10"/>
  <c r="AO110" i="10"/>
  <c r="AO111" i="10"/>
  <c r="AM112" i="10"/>
  <c r="AM114" i="10"/>
  <c r="AM115" i="10"/>
  <c r="CM115" i="10" s="1"/>
  <c r="AM116" i="10"/>
  <c r="CM116" i="10" s="1"/>
  <c r="AM117" i="10"/>
  <c r="CM117" i="10" s="1"/>
  <c r="AK118" i="10"/>
  <c r="CL118" i="10" s="1"/>
  <c r="X118" i="10" s="1"/>
  <c r="AK121" i="10"/>
  <c r="O121" i="27"/>
  <c r="Q121" i="27" s="1"/>
  <c r="AM122" i="10"/>
  <c r="CR122" i="10" s="1"/>
  <c r="AK123" i="10"/>
  <c r="CS123" i="10" s="1"/>
  <c r="O123" i="27"/>
  <c r="Q123" i="27" s="1"/>
  <c r="AK124" i="10"/>
  <c r="CS124" i="10" s="1"/>
  <c r="O124" i="27"/>
  <c r="Q124" i="27" s="1"/>
  <c r="AM125" i="10"/>
  <c r="CR125" i="10" s="1"/>
  <c r="AM126" i="10"/>
  <c r="CR126" i="10" s="1"/>
  <c r="AK128" i="10"/>
  <c r="CS128" i="10" s="1"/>
  <c r="O128" i="27"/>
  <c r="Q128" i="27" s="1"/>
  <c r="AK135" i="10"/>
  <c r="R140" i="10" s="1"/>
  <c r="R119" i="10" s="1"/>
  <c r="O135" i="27"/>
  <c r="AK136" i="10"/>
  <c r="O136" i="27"/>
  <c r="AO163" i="10"/>
  <c r="AO164" i="10"/>
  <c r="AO165" i="10"/>
  <c r="AO179" i="10"/>
  <c r="AK75" i="10"/>
  <c r="CM75" i="10" s="1"/>
  <c r="O75" i="27"/>
  <c r="Q75" i="27" s="1"/>
  <c r="AK76" i="10"/>
  <c r="O76" i="27"/>
  <c r="Q76" i="27" s="1"/>
  <c r="AK88" i="10"/>
  <c r="O88" i="27"/>
  <c r="AK89" i="10"/>
  <c r="O89" i="27"/>
  <c r="O90" i="27"/>
  <c r="Q90" i="27" s="1"/>
  <c r="AM93" i="10"/>
  <c r="AM94" i="10"/>
  <c r="AM95" i="10"/>
  <c r="AM96" i="10"/>
  <c r="AN96" i="10" s="1"/>
  <c r="S96" i="10" s="1"/>
  <c r="AM97" i="10"/>
  <c r="AN97" i="10" s="1"/>
  <c r="S97" i="10" s="1"/>
  <c r="AM102" i="10"/>
  <c r="CM102" i="10" s="1"/>
  <c r="AM103" i="10"/>
  <c r="CM103" i="10" s="1"/>
  <c r="AM104" i="10"/>
  <c r="CM104" i="10" s="1"/>
  <c r="AM105" i="10"/>
  <c r="AK106" i="10"/>
  <c r="CL106" i="10" s="1"/>
  <c r="O106" i="27"/>
  <c r="AK108" i="10"/>
  <c r="O108" i="27"/>
  <c r="AO112" i="10"/>
  <c r="AO114" i="10"/>
  <c r="AO115" i="10"/>
  <c r="AO116" i="10"/>
  <c r="AO117" i="10"/>
  <c r="AM118" i="10"/>
  <c r="CM118" i="10" s="1"/>
  <c r="AM121" i="10"/>
  <c r="AO122" i="10"/>
  <c r="AM123" i="10"/>
  <c r="CR123" i="10" s="1"/>
  <c r="AM124" i="10"/>
  <c r="CR124" i="10" s="1"/>
  <c r="AO125" i="10"/>
  <c r="AO126" i="10"/>
  <c r="AM128" i="10"/>
  <c r="CR128" i="10" s="1"/>
  <c r="AM135" i="10"/>
  <c r="S140" i="10" s="1"/>
  <c r="S119" i="10" s="1"/>
  <c r="AM136" i="10"/>
  <c r="AK137" i="10"/>
  <c r="O137" i="27"/>
  <c r="AK138" i="10"/>
  <c r="O138" i="27"/>
  <c r="AK139" i="10"/>
  <c r="O139" i="27"/>
  <c r="AM150" i="10"/>
  <c r="AN150" i="10" s="1"/>
  <c r="AM151" i="10"/>
  <c r="AN151" i="10" s="1"/>
  <c r="AK152" i="10"/>
  <c r="AL152" i="10" s="1"/>
  <c r="O152" i="27"/>
  <c r="Q152" i="27" s="1"/>
  <c r="AK161" i="10"/>
  <c r="O161" i="27"/>
  <c r="AK162" i="10"/>
  <c r="AK176" i="10"/>
  <c r="O175" i="27"/>
  <c r="R175" i="27" s="1"/>
  <c r="AK33" i="10"/>
  <c r="O33" i="27"/>
  <c r="AK34" i="10"/>
  <c r="O34" i="27"/>
  <c r="AK35" i="10"/>
  <c r="CM35" i="10" s="1"/>
  <c r="O35" i="27"/>
  <c r="Q35" i="27" s="1"/>
  <c r="AK36" i="10"/>
  <c r="O36" i="27"/>
  <c r="AK37" i="10"/>
  <c r="CM37" i="10" s="1"/>
  <c r="O37" i="27"/>
  <c r="AK41" i="10"/>
  <c r="O41" i="27"/>
  <c r="AK42" i="10"/>
  <c r="CO42" i="10" s="1"/>
  <c r="O42" i="27"/>
  <c r="AK43" i="10"/>
  <c r="O43" i="27"/>
  <c r="AK56" i="10"/>
  <c r="O56" i="27"/>
  <c r="Q56" i="27" s="1"/>
  <c r="Q55" i="27" s="1"/>
  <c r="AK65" i="10"/>
  <c r="AL65" i="10" s="1"/>
  <c r="CM65" i="10" s="1"/>
  <c r="O65" i="27"/>
  <c r="AK67" i="10"/>
  <c r="O67" i="27"/>
  <c r="AK68" i="10"/>
  <c r="CM68" i="10" s="1"/>
  <c r="R68" i="10" s="1"/>
  <c r="O68" i="27"/>
  <c r="AK69" i="10"/>
  <c r="CM69" i="10" s="1"/>
  <c r="O69" i="27"/>
  <c r="AK70" i="10"/>
  <c r="CM70" i="10" s="1"/>
  <c r="O70" i="27"/>
  <c r="AK71" i="10"/>
  <c r="CM71" i="10" s="1"/>
  <c r="O71" i="27"/>
  <c r="AM74" i="10"/>
  <c r="AM75" i="10"/>
  <c r="AM76" i="10"/>
  <c r="AK77" i="10"/>
  <c r="CM77" i="10" s="1"/>
  <c r="O77" i="27"/>
  <c r="Q77" i="27" s="1"/>
  <c r="AK79" i="10"/>
  <c r="CR79" i="10" s="1"/>
  <c r="O79" i="27"/>
  <c r="AK81" i="10"/>
  <c r="CR81" i="10" s="1"/>
  <c r="O81" i="27"/>
  <c r="Q81" i="27" s="1"/>
  <c r="AK86" i="10"/>
  <c r="CM86" i="10" s="1"/>
  <c r="O86" i="27"/>
  <c r="AM87" i="10"/>
  <c r="AN87" i="10" s="1"/>
  <c r="AM88" i="10"/>
  <c r="AN88" i="10" s="1"/>
  <c r="AM89" i="10"/>
  <c r="AN89" i="10" s="1"/>
  <c r="AM90" i="10"/>
  <c r="AM92" i="10"/>
  <c r="AO93" i="10"/>
  <c r="AO94" i="10"/>
  <c r="AP94" i="10" s="1"/>
  <c r="AO95" i="10"/>
  <c r="AO96" i="10"/>
  <c r="AP96" i="10" s="1"/>
  <c r="AO97" i="10"/>
  <c r="AP97" i="10" s="1"/>
  <c r="AO102" i="10"/>
  <c r="AO103" i="10"/>
  <c r="AO104" i="10"/>
  <c r="AO105" i="10"/>
  <c r="AM106" i="10"/>
  <c r="CM106" i="10" s="1"/>
  <c r="AM108" i="10"/>
  <c r="AK109" i="10"/>
  <c r="O109" i="27"/>
  <c r="AK110" i="10"/>
  <c r="CL110" i="10" s="1"/>
  <c r="O110" i="27"/>
  <c r="AK111" i="10"/>
  <c r="O111" i="27"/>
  <c r="AO118" i="10"/>
  <c r="AO121" i="10"/>
  <c r="AO123" i="10"/>
  <c r="CT123" i="10" s="1"/>
  <c r="AO124" i="10"/>
  <c r="CT124" i="10" s="1"/>
  <c r="AO128" i="10"/>
  <c r="CT128" i="10" s="1"/>
  <c r="AO135" i="10"/>
  <c r="AO136" i="10"/>
  <c r="CT136" i="10" s="1"/>
  <c r="AM137" i="10"/>
  <c r="AM138" i="10"/>
  <c r="AM139" i="10"/>
  <c r="AM148" i="10"/>
  <c r="AN148" i="10" s="1"/>
  <c r="AM149" i="10"/>
  <c r="AN149" i="10" s="1"/>
  <c r="AO150" i="10"/>
  <c r="AP150" i="10" s="1"/>
  <c r="AO151" i="10"/>
  <c r="AP151" i="10" s="1"/>
  <c r="AM161" i="10"/>
  <c r="AM162" i="10"/>
  <c r="AK163" i="10"/>
  <c r="CL163" i="10" s="1"/>
  <c r="O163" i="27"/>
  <c r="AK164" i="10"/>
  <c r="CL164" i="10" s="1"/>
  <c r="O164" i="27"/>
  <c r="AK165" i="10"/>
  <c r="O165" i="27"/>
  <c r="AM170" i="10"/>
  <c r="AM174" i="10"/>
  <c r="AM176" i="10"/>
  <c r="AM177" i="10"/>
  <c r="AM178" i="10"/>
  <c r="AK80" i="10"/>
  <c r="R80" i="10" s="1"/>
  <c r="T40" i="2"/>
  <c r="AM39" i="10"/>
  <c r="S39" i="10" s="1"/>
  <c r="T47" i="2"/>
  <c r="AM46" i="10"/>
  <c r="S46" i="10" s="1"/>
  <c r="T48" i="2"/>
  <c r="AM47" i="10"/>
  <c r="T49" i="2"/>
  <c r="AM48" i="10"/>
  <c r="T64" i="2"/>
  <c r="T62" i="2" s="1"/>
  <c r="AM63" i="10"/>
  <c r="W57" i="2"/>
  <c r="W56" i="2" s="1"/>
  <c r="AO56" i="10"/>
  <c r="Z93" i="2"/>
  <c r="Z92" i="2" s="1"/>
  <c r="AQ92" i="10"/>
  <c r="Q152" i="2"/>
  <c r="AK151" i="10"/>
  <c r="AL151" i="10" s="1"/>
  <c r="AI152" i="10"/>
  <c r="AJ152" i="10" s="1"/>
  <c r="N153" i="2"/>
  <c r="Q93" i="2"/>
  <c r="AK92" i="10"/>
  <c r="CM92" i="10" s="1"/>
  <c r="Q149" i="2"/>
  <c r="AK148" i="10"/>
  <c r="AL148" i="10" s="1"/>
  <c r="Q150" i="2"/>
  <c r="AK149" i="10"/>
  <c r="AL149" i="10" s="1"/>
  <c r="Q174" i="2"/>
  <c r="AK174" i="10"/>
  <c r="AL174" i="10" s="1"/>
  <c r="CL174" i="10" s="1"/>
  <c r="Q177" i="2"/>
  <c r="AK177" i="10"/>
  <c r="Q178" i="2"/>
  <c r="AK178" i="10"/>
  <c r="AL178" i="10" s="1"/>
  <c r="CL178" i="10" s="1"/>
  <c r="R178" i="10" s="1"/>
  <c r="AI179" i="10"/>
  <c r="AJ179" i="10" s="1"/>
  <c r="CK179" i="10" s="1"/>
  <c r="N179" i="2"/>
  <c r="Q40" i="2"/>
  <c r="AK39" i="10"/>
  <c r="R39" i="10" s="1"/>
  <c r="Q47" i="2"/>
  <c r="AK46" i="10"/>
  <c r="R46" i="10" s="1"/>
  <c r="Q48" i="2"/>
  <c r="AK47" i="10"/>
  <c r="Q49" i="2"/>
  <c r="AK48" i="10"/>
  <c r="Q63" i="2"/>
  <c r="AK62" i="10"/>
  <c r="AL62" i="10" s="1"/>
  <c r="CM62" i="10" s="1"/>
  <c r="Q64" i="2"/>
  <c r="AK63" i="10"/>
  <c r="AL63" i="10" s="1"/>
  <c r="R63" i="10" s="1"/>
  <c r="Q65" i="2"/>
  <c r="AK64" i="10"/>
  <c r="AL64" i="10" s="1"/>
  <c r="CM64" i="10" s="1"/>
  <c r="AK82" i="10"/>
  <c r="T153" i="2"/>
  <c r="T148" i="2" s="1"/>
  <c r="AM152" i="10"/>
  <c r="AN152" i="10" s="1"/>
  <c r="Q179" i="2"/>
  <c r="AK179" i="10"/>
  <c r="AL179" i="10" s="1"/>
  <c r="CL179" i="10" s="1"/>
  <c r="V105" i="11"/>
  <c r="K106" i="27"/>
  <c r="V136" i="11"/>
  <c r="K137" i="27"/>
  <c r="V151" i="11"/>
  <c r="K152" i="27"/>
  <c r="N152" i="27" s="1"/>
  <c r="V122" i="11"/>
  <c r="K123" i="27"/>
  <c r="V76" i="11"/>
  <c r="K77" i="27"/>
  <c r="M77" i="27" s="1"/>
  <c r="V108" i="11"/>
  <c r="K109" i="27"/>
  <c r="V162" i="11"/>
  <c r="K163" i="27"/>
  <c r="K178" i="27"/>
  <c r="N178" i="27" s="1"/>
  <c r="V127" i="11"/>
  <c r="K128" i="27"/>
  <c r="M128" i="27" s="1"/>
  <c r="R73" i="27"/>
  <c r="V111" i="11"/>
  <c r="K112" i="27"/>
  <c r="V117" i="11"/>
  <c r="K118" i="27"/>
  <c r="M121" i="38"/>
  <c r="K121" i="38"/>
  <c r="N121" i="38"/>
  <c r="L121" i="38"/>
  <c r="X9" i="2"/>
  <c r="AA8" i="27" s="1"/>
  <c r="V157" i="11"/>
  <c r="V177" i="11"/>
  <c r="AJ146" i="28" l="1"/>
  <c r="AJ145" i="28" s="1"/>
  <c r="H136" i="77"/>
  <c r="I136" i="77" s="1"/>
  <c r="U55" i="28"/>
  <c r="U54" i="28" s="1"/>
  <c r="V37" i="28"/>
  <c r="M123" i="27"/>
  <c r="N123" i="27"/>
  <c r="Y123" i="27"/>
  <c r="Z123" i="27"/>
  <c r="U122" i="27"/>
  <c r="V122" i="27"/>
  <c r="U123" i="27"/>
  <c r="V123" i="27"/>
  <c r="Y126" i="27"/>
  <c r="Z126" i="27"/>
  <c r="U126" i="27"/>
  <c r="V126" i="27"/>
  <c r="Z37" i="28"/>
  <c r="Z169" i="28"/>
  <c r="Z168" i="28" s="1"/>
  <c r="Z167" i="28" s="1"/>
  <c r="AF146" i="28"/>
  <c r="AF145" i="28" s="1"/>
  <c r="AJ169" i="28"/>
  <c r="AJ168" i="28" s="1"/>
  <c r="AJ167" i="28" s="1"/>
  <c r="AJ60" i="28"/>
  <c r="AA168" i="28"/>
  <c r="AA167" i="28" s="1"/>
  <c r="V100" i="28"/>
  <c r="AE146" i="28"/>
  <c r="AE145" i="28" s="1"/>
  <c r="V112" i="28"/>
  <c r="AA146" i="28"/>
  <c r="AA145" i="28" s="1"/>
  <c r="V146" i="28"/>
  <c r="V145" i="28" s="1"/>
  <c r="AF65" i="28"/>
  <c r="Q146" i="28"/>
  <c r="Q145" i="28" s="1"/>
  <c r="Q43" i="27"/>
  <c r="R43" i="27"/>
  <c r="U124" i="27"/>
  <c r="V124" i="27"/>
  <c r="AF84" i="28"/>
  <c r="Y124" i="27"/>
  <c r="Z124" i="27"/>
  <c r="Q96" i="27"/>
  <c r="R96" i="27"/>
  <c r="U43" i="27"/>
  <c r="V43" i="27"/>
  <c r="Z100" i="28"/>
  <c r="AJ84" i="28"/>
  <c r="Z112" i="28"/>
  <c r="Z146" i="28"/>
  <c r="Z145" i="28" s="1"/>
  <c r="U146" i="28"/>
  <c r="U145" i="28" s="1"/>
  <c r="X70" i="10"/>
  <c r="AD70" i="10"/>
  <c r="R70" i="10"/>
  <c r="AF159" i="28"/>
  <c r="AF158" i="28" s="1"/>
  <c r="Q70" i="27"/>
  <c r="R70" i="27"/>
  <c r="U37" i="28"/>
  <c r="M108" i="25"/>
  <c r="Q37" i="28"/>
  <c r="Q94" i="27"/>
  <c r="R94" i="27"/>
  <c r="R62" i="10"/>
  <c r="X62" i="10"/>
  <c r="AD69" i="10"/>
  <c r="R69" i="10"/>
  <c r="R37" i="10"/>
  <c r="X37" i="10"/>
  <c r="AL94" i="10"/>
  <c r="CM94" i="10"/>
  <c r="S37" i="10"/>
  <c r="Y37" i="10"/>
  <c r="AN86" i="10"/>
  <c r="CN86" i="10"/>
  <c r="Y170" i="27"/>
  <c r="Y169" i="27" s="1"/>
  <c r="Y168" i="27" s="1"/>
  <c r="Z170" i="27"/>
  <c r="Z169" i="27" s="1"/>
  <c r="Z168" i="27" s="1"/>
  <c r="Z167" i="27" s="1"/>
  <c r="X86" i="10"/>
  <c r="R86" i="10"/>
  <c r="AD86" i="10"/>
  <c r="R92" i="10"/>
  <c r="AD92" i="10"/>
  <c r="X92" i="10"/>
  <c r="X65" i="10"/>
  <c r="R65" i="10"/>
  <c r="CN65" i="10"/>
  <c r="CO65" i="10"/>
  <c r="X69" i="10"/>
  <c r="X95" i="10"/>
  <c r="R95" i="10"/>
  <c r="O73" i="24"/>
  <c r="AJ65" i="28"/>
  <c r="Z159" i="28"/>
  <c r="Z158" i="28" s="1"/>
  <c r="R64" i="10"/>
  <c r="X64" i="10"/>
  <c r="AP64" i="10"/>
  <c r="T64" i="10" s="1"/>
  <c r="CO64" i="10"/>
  <c r="U65" i="28"/>
  <c r="V171" i="28"/>
  <c r="V170" i="28" s="1"/>
  <c r="V166" i="28" s="1"/>
  <c r="Q65" i="28"/>
  <c r="Q60" i="28"/>
  <c r="AA77" i="28"/>
  <c r="AJ77" i="28"/>
  <c r="Q171" i="28"/>
  <c r="Q170" i="28" s="1"/>
  <c r="Q166" i="28" s="1"/>
  <c r="AE77" i="28"/>
  <c r="AA65" i="28"/>
  <c r="AA60" i="28"/>
  <c r="V159" i="28"/>
  <c r="V158" i="28" s="1"/>
  <c r="AJ90" i="28"/>
  <c r="AA159" i="28"/>
  <c r="AA158" i="28" s="1"/>
  <c r="L73" i="24"/>
  <c r="L92" i="25"/>
  <c r="O39" i="25"/>
  <c r="O108" i="25"/>
  <c r="AJ72" i="28"/>
  <c r="N108" i="25"/>
  <c r="N39" i="25"/>
  <c r="AA171" i="28"/>
  <c r="AA170" i="28" s="1"/>
  <c r="V90" i="28"/>
  <c r="Z171" i="28"/>
  <c r="Z170" i="28" s="1"/>
  <c r="Q72" i="28"/>
  <c r="Q161" i="2"/>
  <c r="AF31" i="28"/>
  <c r="AA90" i="28"/>
  <c r="Q77" i="28"/>
  <c r="AA37" i="28"/>
  <c r="N114" i="25"/>
  <c r="AE65" i="28"/>
  <c r="AE60" i="28"/>
  <c r="U60" i="28"/>
  <c r="Z32" i="28"/>
  <c r="Z31" i="28" s="1"/>
  <c r="V31" i="28"/>
  <c r="AA112" i="28"/>
  <c r="AE113" i="28"/>
  <c r="AE112" i="28" s="1"/>
  <c r="AF106" i="28"/>
  <c r="AJ107" i="28"/>
  <c r="AJ106" i="28" s="1"/>
  <c r="AA84" i="28"/>
  <c r="AE85" i="28"/>
  <c r="AE84" i="28" s="1"/>
  <c r="AF37" i="28"/>
  <c r="AJ40" i="28"/>
  <c r="AJ37" i="28" s="1"/>
  <c r="U112" i="28"/>
  <c r="AA106" i="28"/>
  <c r="AE107" i="28"/>
  <c r="AE106" i="28" s="1"/>
  <c r="AF100" i="28"/>
  <c r="AJ102" i="28"/>
  <c r="AJ100" i="28" s="1"/>
  <c r="Q84" i="28"/>
  <c r="T73" i="23"/>
  <c r="Q90" i="28"/>
  <c r="AA44" i="28"/>
  <c r="AE45" i="28"/>
  <c r="AE44" i="28" s="1"/>
  <c r="AF90" i="28"/>
  <c r="AF112" i="28"/>
  <c r="AJ114" i="28"/>
  <c r="AJ112" i="28" s="1"/>
  <c r="AF171" i="28"/>
  <c r="AF170" i="28" s="1"/>
  <c r="AF166" i="28" s="1"/>
  <c r="AJ172" i="28"/>
  <c r="AJ171" i="28" s="1"/>
  <c r="AJ170" i="28" s="1"/>
  <c r="Q112" i="28"/>
  <c r="V84" i="28"/>
  <c r="Z85" i="28"/>
  <c r="Z84" i="28" s="1"/>
  <c r="V72" i="28"/>
  <c r="Z73" i="28"/>
  <c r="Z72" i="28" s="1"/>
  <c r="Q44" i="28"/>
  <c r="U45" i="28"/>
  <c r="U44" i="28" s="1"/>
  <c r="AE32" i="28"/>
  <c r="AA31" i="28"/>
  <c r="AF77" i="28"/>
  <c r="AF72" i="28"/>
  <c r="U159" i="28"/>
  <c r="U158" i="28" s="1"/>
  <c r="U100" i="28"/>
  <c r="Z77" i="28"/>
  <c r="AA72" i="28"/>
  <c r="AE73" i="28"/>
  <c r="AE72" i="28" s="1"/>
  <c r="V65" i="28"/>
  <c r="Z66" i="28"/>
  <c r="Z65" i="28" s="1"/>
  <c r="Z60" i="28"/>
  <c r="V44" i="28"/>
  <c r="Z45" i="28"/>
  <c r="Z44" i="28" s="1"/>
  <c r="U72" i="28"/>
  <c r="Q31" i="28"/>
  <c r="AF44" i="28"/>
  <c r="AJ45" i="28"/>
  <c r="AJ44" i="28" s="1"/>
  <c r="U171" i="28"/>
  <c r="U170" i="28" s="1"/>
  <c r="U166" i="28" s="1"/>
  <c r="Q159" i="28"/>
  <c r="Q158" i="28" s="1"/>
  <c r="Q100" i="28"/>
  <c r="V77" i="28"/>
  <c r="V60" i="28"/>
  <c r="AE159" i="28"/>
  <c r="AE158" i="28" s="1"/>
  <c r="Z90" i="28"/>
  <c r="AJ159" i="28"/>
  <c r="AJ158" i="28" s="1"/>
  <c r="AE90" i="28"/>
  <c r="U77" i="28"/>
  <c r="AE37" i="28"/>
  <c r="AE171" i="28"/>
  <c r="AE170" i="28" s="1"/>
  <c r="AE166" i="28" s="1"/>
  <c r="V106" i="28"/>
  <c r="Z107" i="28"/>
  <c r="Z106" i="28" s="1"/>
  <c r="AA100" i="28"/>
  <c r="AE101" i="28"/>
  <c r="AE100" i="28" s="1"/>
  <c r="U84" i="28"/>
  <c r="Q73" i="23"/>
  <c r="Q95" i="27"/>
  <c r="R95" i="27"/>
  <c r="U32" i="28"/>
  <c r="U31" i="28" s="1"/>
  <c r="Q32" i="23"/>
  <c r="AJ32" i="28"/>
  <c r="AJ31" i="28" s="1"/>
  <c r="AE33" i="28"/>
  <c r="M91" i="24"/>
  <c r="M86" i="25"/>
  <c r="T32" i="23"/>
  <c r="W32" i="23"/>
  <c r="N86" i="25"/>
  <c r="M73" i="24"/>
  <c r="Q37" i="27"/>
  <c r="R37" i="27"/>
  <c r="AE35" i="10"/>
  <c r="Y35" i="10"/>
  <c r="N32" i="23"/>
  <c r="N73" i="24"/>
  <c r="X35" i="10"/>
  <c r="AD35" i="10"/>
  <c r="U37" i="27"/>
  <c r="V37" i="27"/>
  <c r="Q78" i="23"/>
  <c r="W85" i="23"/>
  <c r="W91" i="23"/>
  <c r="W160" i="23"/>
  <c r="W159" i="23" s="1"/>
  <c r="Q160" i="23"/>
  <c r="Q159" i="23" s="1"/>
  <c r="N147" i="23"/>
  <c r="N146" i="23" s="1"/>
  <c r="Q91" i="23"/>
  <c r="N85" i="23"/>
  <c r="N160" i="23"/>
  <c r="N159" i="23" s="1"/>
  <c r="W147" i="23"/>
  <c r="W146" i="23" s="1"/>
  <c r="Q101" i="23"/>
  <c r="T147" i="23"/>
  <c r="T146" i="23" s="1"/>
  <c r="N101" i="23"/>
  <c r="Q172" i="23"/>
  <c r="Q171" i="23" s="1"/>
  <c r="Q167" i="23" s="1"/>
  <c r="Q147" i="23"/>
  <c r="Q146" i="23" s="1"/>
  <c r="N107" i="23"/>
  <c r="T107" i="23"/>
  <c r="N172" i="23"/>
  <c r="N171" i="23" s="1"/>
  <c r="N167" i="23" s="1"/>
  <c r="T101" i="23"/>
  <c r="N61" i="23"/>
  <c r="W172" i="23"/>
  <c r="W171" i="23" s="1"/>
  <c r="W167" i="23" s="1"/>
  <c r="T172" i="23"/>
  <c r="T171" i="23" s="1"/>
  <c r="T167" i="23" s="1"/>
  <c r="T160" i="23"/>
  <c r="T159" i="23" s="1"/>
  <c r="Q85" i="23"/>
  <c r="Q107" i="23"/>
  <c r="W107" i="23"/>
  <c r="T85" i="23"/>
  <c r="W101" i="23"/>
  <c r="T91" i="23"/>
  <c r="N91" i="23"/>
  <c r="N113" i="23"/>
  <c r="W113" i="23"/>
  <c r="Q113" i="23"/>
  <c r="T113" i="23"/>
  <c r="W73" i="23"/>
  <c r="Q61" i="23"/>
  <c r="N66" i="23"/>
  <c r="N73" i="23"/>
  <c r="W61" i="23"/>
  <c r="T66" i="23"/>
  <c r="N78" i="23"/>
  <c r="T61" i="23"/>
  <c r="Q66" i="23"/>
  <c r="W78" i="23"/>
  <c r="W66" i="23"/>
  <c r="T78" i="23"/>
  <c r="U137" i="27"/>
  <c r="V137" i="27"/>
  <c r="M137" i="27"/>
  <c r="N137" i="27"/>
  <c r="Q71" i="27"/>
  <c r="R71" i="27"/>
  <c r="Q137" i="27"/>
  <c r="R137" i="27"/>
  <c r="AL86" i="10"/>
  <c r="AL88" i="10"/>
  <c r="R88" i="10" s="1"/>
  <c r="CK88" i="10"/>
  <c r="X90" i="10"/>
  <c r="AD90" i="10"/>
  <c r="AL89" i="10"/>
  <c r="CK89" i="10"/>
  <c r="Q41" i="27"/>
  <c r="R41" i="27"/>
  <c r="U41" i="27"/>
  <c r="V41" i="27"/>
  <c r="M92" i="25"/>
  <c r="M39" i="25"/>
  <c r="L39" i="25"/>
  <c r="U36" i="27"/>
  <c r="V36" i="27"/>
  <c r="N33" i="25"/>
  <c r="L91" i="24"/>
  <c r="Q36" i="27"/>
  <c r="R36" i="27"/>
  <c r="Q118" i="27"/>
  <c r="L114" i="25"/>
  <c r="L161" i="25"/>
  <c r="L160" i="25" s="1"/>
  <c r="Q118" i="10"/>
  <c r="W118" i="10"/>
  <c r="W163" i="10"/>
  <c r="AC163" i="10"/>
  <c r="Q163" i="10"/>
  <c r="Q112" i="10"/>
  <c r="W112" i="10"/>
  <c r="U116" i="27"/>
  <c r="Q65" i="27"/>
  <c r="R65" i="27"/>
  <c r="R61" i="27" s="1"/>
  <c r="Q164" i="27"/>
  <c r="R164" i="27"/>
  <c r="M33" i="25"/>
  <c r="U118" i="27"/>
  <c r="Q165" i="27"/>
  <c r="R165" i="27"/>
  <c r="L85" i="24"/>
  <c r="M163" i="27"/>
  <c r="N163" i="27"/>
  <c r="M118" i="27"/>
  <c r="N118" i="27"/>
  <c r="M114" i="25"/>
  <c r="Q136" i="27"/>
  <c r="R136" i="27"/>
  <c r="Q117" i="27"/>
  <c r="R117" i="27"/>
  <c r="Q115" i="27"/>
  <c r="R115" i="27"/>
  <c r="U139" i="27"/>
  <c r="V139" i="27"/>
  <c r="T33" i="2"/>
  <c r="O33" i="25"/>
  <c r="Q162" i="27"/>
  <c r="R162" i="27"/>
  <c r="Q139" i="27"/>
  <c r="R139" i="27"/>
  <c r="U114" i="27"/>
  <c r="V114" i="27"/>
  <c r="U136" i="27"/>
  <c r="V136" i="27"/>
  <c r="U117" i="27"/>
  <c r="V117" i="27"/>
  <c r="Q163" i="27"/>
  <c r="R163" i="27"/>
  <c r="Q135" i="27"/>
  <c r="R135" i="27"/>
  <c r="Q116" i="27"/>
  <c r="R116" i="27"/>
  <c r="Q114" i="27"/>
  <c r="R114" i="27"/>
  <c r="U138" i="27"/>
  <c r="V138" i="27"/>
  <c r="Q114" i="2"/>
  <c r="T114" i="2"/>
  <c r="Q138" i="27"/>
  <c r="R138" i="27"/>
  <c r="Q104" i="27"/>
  <c r="R104" i="27"/>
  <c r="U135" i="27"/>
  <c r="V135" i="27"/>
  <c r="U104" i="27"/>
  <c r="V104" i="27"/>
  <c r="U115" i="27"/>
  <c r="V115" i="27"/>
  <c r="M106" i="27"/>
  <c r="N106" i="27"/>
  <c r="O114" i="25"/>
  <c r="O161" i="25"/>
  <c r="O160" i="25" s="1"/>
  <c r="M67" i="25"/>
  <c r="Q106" i="27"/>
  <c r="R106" i="27"/>
  <c r="Q89" i="27"/>
  <c r="R89" i="27"/>
  <c r="U33" i="27"/>
  <c r="V33" i="27"/>
  <c r="O66" i="24"/>
  <c r="AD164" i="10"/>
  <c r="X164" i="10"/>
  <c r="R164" i="10"/>
  <c r="M161" i="10"/>
  <c r="CM161" i="10"/>
  <c r="Q69" i="27"/>
  <c r="R69" i="27"/>
  <c r="Q67" i="27"/>
  <c r="R67" i="27"/>
  <c r="Q33" i="27"/>
  <c r="R33" i="27"/>
  <c r="Y117" i="10"/>
  <c r="S117" i="10"/>
  <c r="CR117" i="10"/>
  <c r="CM112" i="10"/>
  <c r="CR112" i="10" s="1"/>
  <c r="Q97" i="27"/>
  <c r="R97" i="27"/>
  <c r="AE164" i="10"/>
  <c r="Y164" i="10"/>
  <c r="S164" i="10"/>
  <c r="U106" i="27"/>
  <c r="V106" i="27"/>
  <c r="M161" i="25"/>
  <c r="M160" i="25" s="1"/>
  <c r="Q86" i="2"/>
  <c r="O67" i="25"/>
  <c r="L33" i="25"/>
  <c r="Y118" i="10"/>
  <c r="CR118" i="10"/>
  <c r="U34" i="27"/>
  <c r="V34" i="27"/>
  <c r="O85" i="24"/>
  <c r="Q67" i="2"/>
  <c r="L66" i="24"/>
  <c r="N66" i="24"/>
  <c r="M162" i="10"/>
  <c r="CM162" i="10"/>
  <c r="F161" i="10"/>
  <c r="CL161" i="10"/>
  <c r="G165" i="10"/>
  <c r="CM165" i="10"/>
  <c r="X116" i="10"/>
  <c r="R116" i="10"/>
  <c r="CM110" i="10"/>
  <c r="Q86" i="27"/>
  <c r="R86" i="27"/>
  <c r="L162" i="10"/>
  <c r="CL162" i="10"/>
  <c r="Q88" i="27"/>
  <c r="R88" i="27"/>
  <c r="AK120" i="10"/>
  <c r="AK119" i="10" s="1"/>
  <c r="S116" i="10"/>
  <c r="Y116" i="10"/>
  <c r="CR116" i="10"/>
  <c r="AE163" i="10"/>
  <c r="Y163" i="10"/>
  <c r="S163" i="10"/>
  <c r="R115" i="10"/>
  <c r="AD115" i="10"/>
  <c r="X115" i="10"/>
  <c r="R112" i="10"/>
  <c r="X112" i="10"/>
  <c r="Q176" i="27"/>
  <c r="L165" i="10"/>
  <c r="CL165" i="10"/>
  <c r="X163" i="10"/>
  <c r="R163" i="10"/>
  <c r="AD163" i="10"/>
  <c r="R110" i="10"/>
  <c r="X110" i="10"/>
  <c r="Q68" i="27"/>
  <c r="R68" i="27"/>
  <c r="Q34" i="27"/>
  <c r="R34" i="27"/>
  <c r="AE115" i="10"/>
  <c r="Y115" i="10"/>
  <c r="S115" i="10"/>
  <c r="CR115" i="10"/>
  <c r="L86" i="25"/>
  <c r="N161" i="25"/>
  <c r="N160" i="25" s="1"/>
  <c r="L67" i="25"/>
  <c r="N67" i="25"/>
  <c r="Q33" i="2"/>
  <c r="M66" i="24"/>
  <c r="X117" i="10"/>
  <c r="R117" i="10"/>
  <c r="R42" i="10"/>
  <c r="X42" i="10"/>
  <c r="X103" i="10"/>
  <c r="R103" i="10"/>
  <c r="Y106" i="10"/>
  <c r="S106" i="10"/>
  <c r="Y104" i="10"/>
  <c r="S104" i="10"/>
  <c r="S42" i="10"/>
  <c r="Y42" i="10"/>
  <c r="X71" i="10"/>
  <c r="R71" i="10"/>
  <c r="AD71" i="10"/>
  <c r="AL67" i="10"/>
  <c r="CM67" i="10"/>
  <c r="AN67" i="10"/>
  <c r="CN67" i="10"/>
  <c r="Q106" i="10"/>
  <c r="W106" i="10"/>
  <c r="Y103" i="10"/>
  <c r="S103" i="10"/>
  <c r="X104" i="10"/>
  <c r="R104" i="10"/>
  <c r="X102" i="10"/>
  <c r="R102" i="10"/>
  <c r="X106" i="10"/>
  <c r="R106" i="10"/>
  <c r="S102" i="10"/>
  <c r="Y102" i="10"/>
  <c r="AM120" i="10"/>
  <c r="AM119" i="10" s="1"/>
  <c r="CT121" i="10"/>
  <c r="AO120" i="10"/>
  <c r="AO119" i="10" s="1"/>
  <c r="Q173" i="27"/>
  <c r="Q92" i="27"/>
  <c r="Q148" i="27"/>
  <c r="U102" i="27"/>
  <c r="X174" i="10"/>
  <c r="W174" i="10" s="1"/>
  <c r="R174" i="10"/>
  <c r="Q174" i="10" s="1"/>
  <c r="X77" i="10"/>
  <c r="R77" i="10"/>
  <c r="AD77" i="10"/>
  <c r="X75" i="10"/>
  <c r="AD75" i="10"/>
  <c r="W77" i="10"/>
  <c r="Q77" i="10"/>
  <c r="AC77" i="10"/>
  <c r="AF128" i="10"/>
  <c r="Z128" i="10"/>
  <c r="X79" i="10"/>
  <c r="AD79" i="10"/>
  <c r="AD123" i="10"/>
  <c r="X123" i="10"/>
  <c r="AF124" i="10"/>
  <c r="Z124" i="10"/>
  <c r="AE124" i="10"/>
  <c r="Y124" i="10"/>
  <c r="Y122" i="10"/>
  <c r="AE122" i="10"/>
  <c r="AD126" i="10"/>
  <c r="X126" i="10"/>
  <c r="AF123" i="10"/>
  <c r="Z123" i="10"/>
  <c r="AD81" i="10"/>
  <c r="X81" i="10"/>
  <c r="AE128" i="10"/>
  <c r="Y128" i="10"/>
  <c r="AE123" i="10"/>
  <c r="Y123" i="10"/>
  <c r="X128" i="10"/>
  <c r="AD128" i="10"/>
  <c r="AD124" i="10"/>
  <c r="X124" i="10"/>
  <c r="AE125" i="10"/>
  <c r="Y125" i="10"/>
  <c r="T140" i="10"/>
  <c r="T119" i="10" s="1"/>
  <c r="CT135" i="10"/>
  <c r="CT122" i="10"/>
  <c r="AF122" i="10"/>
  <c r="AE126" i="10"/>
  <c r="Y126" i="10"/>
  <c r="CT125" i="10"/>
  <c r="CT126" i="10"/>
  <c r="CR121" i="10"/>
  <c r="AQ120" i="10"/>
  <c r="AQ119" i="10" s="1"/>
  <c r="AF121" i="10"/>
  <c r="CS121" i="10"/>
  <c r="U78" i="27"/>
  <c r="N45" i="24"/>
  <c r="N85" i="24"/>
  <c r="AK91" i="10"/>
  <c r="N79" i="25"/>
  <c r="O79" i="25"/>
  <c r="AA78" i="27"/>
  <c r="Q108" i="2"/>
  <c r="T102" i="2"/>
  <c r="Q102" i="2"/>
  <c r="L108" i="25"/>
  <c r="S78" i="27"/>
  <c r="Y79" i="27"/>
  <c r="Y78" i="27" s="1"/>
  <c r="W78" i="27"/>
  <c r="Q39" i="2"/>
  <c r="T39" i="2"/>
  <c r="Q79" i="27"/>
  <c r="O78" i="27"/>
  <c r="M79" i="25"/>
  <c r="O78" i="24"/>
  <c r="N78" i="24"/>
  <c r="L79" i="25"/>
  <c r="M78" i="24"/>
  <c r="L78" i="24"/>
  <c r="Q149" i="27"/>
  <c r="U105" i="27"/>
  <c r="M160" i="24"/>
  <c r="M159" i="24" s="1"/>
  <c r="AM91" i="10"/>
  <c r="AR92" i="10"/>
  <c r="AQ91" i="10"/>
  <c r="AO91" i="10"/>
  <c r="Q110" i="27"/>
  <c r="R110" i="27"/>
  <c r="AN76" i="10"/>
  <c r="Y76" i="10"/>
  <c r="Q108" i="27"/>
  <c r="R108" i="27"/>
  <c r="T70" i="10"/>
  <c r="AF70" i="10"/>
  <c r="G79" i="10"/>
  <c r="AP74" i="10"/>
  <c r="Z74" i="10"/>
  <c r="Y41" i="10"/>
  <c r="AE41" i="10"/>
  <c r="S41" i="10"/>
  <c r="U77" i="10"/>
  <c r="AG70" i="10"/>
  <c r="U70" i="10"/>
  <c r="AA43" i="10"/>
  <c r="AG43" i="10"/>
  <c r="U43" i="10"/>
  <c r="AA41" i="10"/>
  <c r="AG41" i="10"/>
  <c r="U41" i="10"/>
  <c r="AA76" i="10"/>
  <c r="U76" i="10"/>
  <c r="AA74" i="10"/>
  <c r="AN48" i="10"/>
  <c r="AN75" i="10"/>
  <c r="S75" i="10"/>
  <c r="AL75" i="10"/>
  <c r="R75" i="10"/>
  <c r="AP77" i="10"/>
  <c r="T77" i="10"/>
  <c r="Z43" i="10"/>
  <c r="T43" i="10"/>
  <c r="N47" i="10"/>
  <c r="T47" i="10" s="1"/>
  <c r="N46" i="10"/>
  <c r="T46" i="10" s="1"/>
  <c r="N48" i="10"/>
  <c r="T48" i="10" s="1"/>
  <c r="AN77" i="10"/>
  <c r="Y70" i="10"/>
  <c r="Y71" i="10"/>
  <c r="M109" i="27"/>
  <c r="N109" i="27"/>
  <c r="Q111" i="27"/>
  <c r="R111" i="27"/>
  <c r="Q109" i="27"/>
  <c r="R109" i="27"/>
  <c r="AN74" i="10"/>
  <c r="Y74" i="10"/>
  <c r="AD43" i="10"/>
  <c r="X43" i="10"/>
  <c r="R43" i="10"/>
  <c r="X41" i="10"/>
  <c r="AD41" i="10"/>
  <c r="R41" i="10"/>
  <c r="T81" i="10"/>
  <c r="S81" i="10"/>
  <c r="AP76" i="10"/>
  <c r="T76" i="10"/>
  <c r="Z76" i="10"/>
  <c r="S70" i="10"/>
  <c r="AE70" i="10"/>
  <c r="AE43" i="10"/>
  <c r="Y43" i="10"/>
  <c r="S43" i="10"/>
  <c r="U81" i="10"/>
  <c r="I79" i="10"/>
  <c r="U71" i="10"/>
  <c r="AA70" i="10"/>
  <c r="AG71" i="10"/>
  <c r="AA71" i="10"/>
  <c r="O46" i="10"/>
  <c r="U46" i="10" s="1"/>
  <c r="O48" i="10"/>
  <c r="U48" i="10" s="1"/>
  <c r="O47" i="10"/>
  <c r="U47" i="10" s="1"/>
  <c r="AN47" i="10"/>
  <c r="CN47" i="10" s="1"/>
  <c r="R81" i="10"/>
  <c r="AL77" i="10"/>
  <c r="AL76" i="10"/>
  <c r="R76" i="10"/>
  <c r="X76" i="10"/>
  <c r="T71" i="10"/>
  <c r="Z70" i="10"/>
  <c r="AF71" i="10"/>
  <c r="Z71" i="10"/>
  <c r="AP75" i="10"/>
  <c r="T75" i="10"/>
  <c r="AJ77" i="10"/>
  <c r="AF65" i="10"/>
  <c r="AF61" i="10" s="1"/>
  <c r="T65" i="10"/>
  <c r="Z65" i="10"/>
  <c r="Z61" i="10" s="1"/>
  <c r="AD65" i="10"/>
  <c r="AD61" i="10" s="1"/>
  <c r="AE65" i="10"/>
  <c r="AE61" i="10" s="1"/>
  <c r="U42" i="27"/>
  <c r="V42" i="27"/>
  <c r="U103" i="27"/>
  <c r="V103" i="27"/>
  <c r="Q102" i="27"/>
  <c r="R102" i="27"/>
  <c r="Q42" i="27"/>
  <c r="R42" i="27"/>
  <c r="Q103" i="27"/>
  <c r="R103" i="27"/>
  <c r="Q161" i="27"/>
  <c r="R161" i="27"/>
  <c r="O92" i="25"/>
  <c r="O91" i="24"/>
  <c r="N91" i="24"/>
  <c r="N92" i="25"/>
  <c r="N160" i="24"/>
  <c r="N159" i="24" s="1"/>
  <c r="O86" i="25"/>
  <c r="Q177" i="27"/>
  <c r="Q105" i="27"/>
  <c r="Q151" i="27"/>
  <c r="L113" i="24"/>
  <c r="O113" i="24"/>
  <c r="N45" i="23"/>
  <c r="Q178" i="27"/>
  <c r="R172" i="27"/>
  <c r="R171" i="27" s="1"/>
  <c r="R167" i="27" s="1"/>
  <c r="R147" i="27"/>
  <c r="R146" i="27" s="1"/>
  <c r="R140" i="27" s="1"/>
  <c r="W152" i="10"/>
  <c r="Q152" i="10"/>
  <c r="Q47" i="27"/>
  <c r="AP81" i="10"/>
  <c r="Q64" i="27"/>
  <c r="M46" i="25"/>
  <c r="M112" i="27"/>
  <c r="N112" i="27"/>
  <c r="Q62" i="27"/>
  <c r="Q39" i="27"/>
  <c r="H163" i="10"/>
  <c r="Q45" i="23"/>
  <c r="M113" i="24"/>
  <c r="N113" i="24"/>
  <c r="AP82" i="10"/>
  <c r="M45" i="24"/>
  <c r="O45" i="24"/>
  <c r="T97" i="10"/>
  <c r="Z97" i="10"/>
  <c r="N93" i="10"/>
  <c r="N94" i="10"/>
  <c r="Q48" i="27"/>
  <c r="R179" i="10"/>
  <c r="X179" i="10"/>
  <c r="R149" i="10"/>
  <c r="X149" i="10"/>
  <c r="T150" i="10"/>
  <c r="Z150" i="10"/>
  <c r="T96" i="10"/>
  <c r="Z96" i="10"/>
  <c r="M93" i="10"/>
  <c r="AN93" i="10" s="1"/>
  <c r="S93" i="10" s="1"/>
  <c r="M94" i="10"/>
  <c r="AN94" i="10" s="1"/>
  <c r="S94" i="10" s="1"/>
  <c r="X97" i="10"/>
  <c r="R97" i="10"/>
  <c r="AL95" i="10"/>
  <c r="AD95" i="10"/>
  <c r="U149" i="10"/>
  <c r="AA149" i="10"/>
  <c r="S150" i="10"/>
  <c r="Y150" i="10"/>
  <c r="T148" i="10"/>
  <c r="Z148" i="10"/>
  <c r="Q63" i="27"/>
  <c r="R151" i="10"/>
  <c r="X151" i="10"/>
  <c r="Y149" i="10"/>
  <c r="S149" i="10"/>
  <c r="AP95" i="10"/>
  <c r="AF95" i="10"/>
  <c r="AF91" i="10" s="1"/>
  <c r="X152" i="10"/>
  <c r="R152" i="10"/>
  <c r="T152" i="10"/>
  <c r="Z152" i="10"/>
  <c r="AA150" i="10"/>
  <c r="U150" i="10"/>
  <c r="L46" i="25"/>
  <c r="N46" i="25"/>
  <c r="L160" i="24"/>
  <c r="L159" i="24" s="1"/>
  <c r="O160" i="24"/>
  <c r="O159" i="24" s="1"/>
  <c r="Z151" i="10"/>
  <c r="T151" i="10"/>
  <c r="U151" i="10"/>
  <c r="AA151" i="10"/>
  <c r="Q46" i="27"/>
  <c r="S152" i="10"/>
  <c r="Y152" i="10"/>
  <c r="X178" i="10"/>
  <c r="W178" i="10" s="1"/>
  <c r="X148" i="10"/>
  <c r="R148" i="10"/>
  <c r="S148" i="10"/>
  <c r="Y148" i="10"/>
  <c r="T94" i="10"/>
  <c r="Z94" i="10"/>
  <c r="Y151" i="10"/>
  <c r="S151" i="10"/>
  <c r="AN95" i="10"/>
  <c r="AE95" i="10"/>
  <c r="AE91" i="10" s="1"/>
  <c r="X96" i="10"/>
  <c r="R96" i="10"/>
  <c r="Z149" i="10"/>
  <c r="T149" i="10"/>
  <c r="Q112" i="27"/>
  <c r="R112" i="27"/>
  <c r="AA152" i="10"/>
  <c r="U152" i="10"/>
  <c r="AA148" i="10"/>
  <c r="U148" i="10"/>
  <c r="W45" i="23"/>
  <c r="T45" i="23"/>
  <c r="M85" i="24"/>
  <c r="N107" i="24"/>
  <c r="L45" i="24"/>
  <c r="AN71" i="10"/>
  <c r="S71" i="10"/>
  <c r="T69" i="10"/>
  <c r="Z69" i="10"/>
  <c r="Y69" i="10"/>
  <c r="S69" i="10"/>
  <c r="AA69" i="10"/>
  <c r="U69" i="10"/>
  <c r="I165" i="10"/>
  <c r="AP68" i="10"/>
  <c r="T68" i="10"/>
  <c r="AN68" i="10"/>
  <c r="AL68" i="10"/>
  <c r="V140" i="27"/>
  <c r="O46" i="25"/>
  <c r="R45" i="27"/>
  <c r="O163" i="10"/>
  <c r="I161" i="10"/>
  <c r="U39" i="27"/>
  <c r="M38" i="24"/>
  <c r="F163" i="10"/>
  <c r="Q175" i="27"/>
  <c r="M164" i="10"/>
  <c r="O148" i="25"/>
  <c r="O147" i="25" s="1"/>
  <c r="L147" i="24"/>
  <c r="L146" i="24" s="1"/>
  <c r="L140" i="24" s="1"/>
  <c r="M61" i="24"/>
  <c r="N61" i="24"/>
  <c r="Y85" i="27"/>
  <c r="AF136" i="10"/>
  <c r="Z136" i="10"/>
  <c r="T136" i="10"/>
  <c r="AN90" i="10"/>
  <c r="AL71" i="10"/>
  <c r="AE136" i="10"/>
  <c r="S136" i="10"/>
  <c r="Y136" i="10"/>
  <c r="Y80" i="10"/>
  <c r="AN70" i="10"/>
  <c r="M172" i="24"/>
  <c r="M171" i="24" s="1"/>
  <c r="M167" i="24" s="1"/>
  <c r="M147" i="24"/>
  <c r="M146" i="24" s="1"/>
  <c r="M140" i="24" s="1"/>
  <c r="M62" i="25"/>
  <c r="L173" i="25"/>
  <c r="L172" i="25" s="1"/>
  <c r="L168" i="25" s="1"/>
  <c r="L148" i="25"/>
  <c r="L147" i="25" s="1"/>
  <c r="N148" i="25"/>
  <c r="N147" i="25" s="1"/>
  <c r="Y138" i="10"/>
  <c r="AE138" i="10"/>
  <c r="S138" i="10"/>
  <c r="Z135" i="10"/>
  <c r="T135" i="10"/>
  <c r="AF135" i="10"/>
  <c r="AL79" i="10"/>
  <c r="X138" i="10"/>
  <c r="AD138" i="10"/>
  <c r="R138" i="10"/>
  <c r="AE135" i="10"/>
  <c r="Y135" i="10"/>
  <c r="S135" i="10"/>
  <c r="AD135" i="10"/>
  <c r="X135" i="10"/>
  <c r="R135" i="10"/>
  <c r="AP62" i="10"/>
  <c r="AN64" i="10"/>
  <c r="S64" i="10" s="1"/>
  <c r="U138" i="10"/>
  <c r="AA138" i="10"/>
  <c r="AG138" i="10"/>
  <c r="U135" i="10"/>
  <c r="AG135" i="10"/>
  <c r="AA135" i="10"/>
  <c r="M173" i="25"/>
  <c r="M172" i="25" s="1"/>
  <c r="M168" i="25" s="1"/>
  <c r="M148" i="25"/>
  <c r="M147" i="25" s="1"/>
  <c r="Q38" i="23"/>
  <c r="N101" i="24"/>
  <c r="L61" i="24"/>
  <c r="L38" i="24"/>
  <c r="O172" i="24"/>
  <c r="O171" i="24" s="1"/>
  <c r="O167" i="24" s="1"/>
  <c r="O147" i="24"/>
  <c r="O146" i="24" s="1"/>
  <c r="O140" i="24" s="1"/>
  <c r="O38" i="24"/>
  <c r="N147" i="24"/>
  <c r="N146" i="24" s="1"/>
  <c r="N140" i="24" s="1"/>
  <c r="N38" i="24"/>
  <c r="Y137" i="10"/>
  <c r="S137" i="10"/>
  <c r="AE137" i="10"/>
  <c r="AF138" i="10"/>
  <c r="T138" i="10"/>
  <c r="Z138" i="10"/>
  <c r="AN82" i="10"/>
  <c r="AN62" i="10"/>
  <c r="AL90" i="10"/>
  <c r="L62" i="25"/>
  <c r="O173" i="25"/>
  <c r="O172" i="25" s="1"/>
  <c r="O168" i="25" s="1"/>
  <c r="L107" i="24"/>
  <c r="M101" i="24"/>
  <c r="O61" i="24"/>
  <c r="N172" i="24"/>
  <c r="N171" i="24" s="1"/>
  <c r="N167" i="24" s="1"/>
  <c r="O107" i="24"/>
  <c r="AN63" i="10"/>
  <c r="S63" i="10" s="1"/>
  <c r="X137" i="10"/>
  <c r="R137" i="10"/>
  <c r="AD137" i="10"/>
  <c r="AD136" i="10"/>
  <c r="R136" i="10"/>
  <c r="X136" i="10"/>
  <c r="AF80" i="10"/>
  <c r="AP80" i="10"/>
  <c r="AP71" i="10"/>
  <c r="AF137" i="10"/>
  <c r="T137" i="10"/>
  <c r="Z137" i="10"/>
  <c r="AG137" i="10"/>
  <c r="AA137" i="10"/>
  <c r="U137" i="10"/>
  <c r="U136" i="10"/>
  <c r="AA136" i="10"/>
  <c r="AG136" i="10"/>
  <c r="O101" i="24"/>
  <c r="L172" i="24"/>
  <c r="L171" i="24" s="1"/>
  <c r="L167" i="24" s="1"/>
  <c r="M107" i="24"/>
  <c r="N38" i="23"/>
  <c r="O62" i="25"/>
  <c r="W38" i="23"/>
  <c r="N173" i="25"/>
  <c r="N172" i="25" s="1"/>
  <c r="N168" i="25" s="1"/>
  <c r="L101" i="24"/>
  <c r="N62" i="25"/>
  <c r="T38" i="23"/>
  <c r="AE139" i="10"/>
  <c r="Y139" i="10"/>
  <c r="S139" i="10"/>
  <c r="AF139" i="10"/>
  <c r="Z139" i="10"/>
  <c r="T139" i="10"/>
  <c r="R139" i="10"/>
  <c r="AD139" i="10"/>
  <c r="X139" i="10"/>
  <c r="AG139" i="10"/>
  <c r="AA139" i="10"/>
  <c r="U139" i="10"/>
  <c r="AL47" i="10"/>
  <c r="CM47" i="10" s="1"/>
  <c r="AL48" i="10"/>
  <c r="F165" i="10"/>
  <c r="AL81" i="10"/>
  <c r="L163" i="10"/>
  <c r="N165" i="10"/>
  <c r="F79" i="10"/>
  <c r="U82" i="10"/>
  <c r="U80" i="10"/>
  <c r="AP70" i="10"/>
  <c r="AA82" i="10"/>
  <c r="I56" i="10"/>
  <c r="O162" i="10"/>
  <c r="S82" i="10"/>
  <c r="T103" i="10"/>
  <c r="Z103" i="10"/>
  <c r="AD33" i="10"/>
  <c r="R33" i="10"/>
  <c r="X33" i="10"/>
  <c r="AA116" i="10"/>
  <c r="U116" i="10"/>
  <c r="U103" i="10"/>
  <c r="AA103" i="10"/>
  <c r="U48" i="27"/>
  <c r="O164" i="10"/>
  <c r="I82" i="10"/>
  <c r="AG80" i="10"/>
  <c r="T80" i="10"/>
  <c r="N162" i="10"/>
  <c r="U121" i="10"/>
  <c r="Y82" i="10"/>
  <c r="T118" i="10"/>
  <c r="Z118" i="10"/>
  <c r="AD110" i="10"/>
  <c r="AF102" i="10"/>
  <c r="T102" i="10"/>
  <c r="Z102" i="10"/>
  <c r="AF115" i="10"/>
  <c r="T115" i="10"/>
  <c r="Z115" i="10"/>
  <c r="AE104" i="10"/>
  <c r="Z33" i="10"/>
  <c r="AF33" i="10"/>
  <c r="T33" i="10"/>
  <c r="Y34" i="10"/>
  <c r="AE34" i="10"/>
  <c r="S34" i="10"/>
  <c r="L112" i="10"/>
  <c r="K112" i="10"/>
  <c r="Z116" i="10"/>
  <c r="T116" i="10"/>
  <c r="M112" i="10"/>
  <c r="Z42" i="10"/>
  <c r="T42" i="10"/>
  <c r="AG35" i="10"/>
  <c r="AA35" i="10"/>
  <c r="U85" i="27"/>
  <c r="AG82" i="10"/>
  <c r="AA80" i="10"/>
  <c r="O56" i="10"/>
  <c r="O55" i="10" s="1"/>
  <c r="Z80" i="10"/>
  <c r="X36" i="10"/>
  <c r="R36" i="10"/>
  <c r="X34" i="10"/>
  <c r="AD34" i="10"/>
  <c r="R34" i="10"/>
  <c r="S118" i="10"/>
  <c r="AF110" i="10"/>
  <c r="T110" i="10"/>
  <c r="Z110" i="10"/>
  <c r="T36" i="10"/>
  <c r="Z36" i="10"/>
  <c r="Y33" i="10"/>
  <c r="S33" i="10"/>
  <c r="AE33" i="10"/>
  <c r="AA117" i="10"/>
  <c r="U117" i="10"/>
  <c r="AA115" i="10"/>
  <c r="U115" i="10"/>
  <c r="AG115" i="10"/>
  <c r="O112" i="10"/>
  <c r="AG110" i="10"/>
  <c r="U110" i="10"/>
  <c r="AA110" i="10"/>
  <c r="U42" i="10"/>
  <c r="AA42" i="10"/>
  <c r="I39" i="10"/>
  <c r="U36" i="10"/>
  <c r="AA36" i="10"/>
  <c r="AG34" i="10"/>
  <c r="U34" i="10"/>
  <c r="AA34" i="10"/>
  <c r="AA106" i="10"/>
  <c r="U106" i="10"/>
  <c r="U118" i="10"/>
  <c r="AA118" i="10"/>
  <c r="AG104" i="10"/>
  <c r="AA104" i="10"/>
  <c r="U104" i="10"/>
  <c r="AG102" i="10"/>
  <c r="U102" i="10"/>
  <c r="AA102" i="10"/>
  <c r="Z34" i="10"/>
  <c r="AF34" i="10"/>
  <c r="T34" i="10"/>
  <c r="AG33" i="10"/>
  <c r="U33" i="10"/>
  <c r="AA33" i="10"/>
  <c r="I80" i="10"/>
  <c r="H80" i="10"/>
  <c r="H162" i="10"/>
  <c r="AE82" i="10"/>
  <c r="AF104" i="10"/>
  <c r="Z104" i="10"/>
  <c r="T104" i="10"/>
  <c r="Z117" i="10"/>
  <c r="T117" i="10"/>
  <c r="N112" i="10"/>
  <c r="AE102" i="10"/>
  <c r="R118" i="10"/>
  <c r="AD104" i="10"/>
  <c r="AD102" i="10"/>
  <c r="H39" i="10"/>
  <c r="AF35" i="10"/>
  <c r="Z35" i="10"/>
  <c r="Y36" i="10"/>
  <c r="S36" i="10"/>
  <c r="AE110" i="10"/>
  <c r="Z106" i="10"/>
  <c r="T106" i="10"/>
  <c r="S172" i="27"/>
  <c r="L179" i="38"/>
  <c r="Y177" i="10"/>
  <c r="M177" i="10"/>
  <c r="X68" i="10"/>
  <c r="AP69" i="10"/>
  <c r="AQ61" i="10"/>
  <c r="I61" i="10"/>
  <c r="O169" i="10"/>
  <c r="O168" i="10" s="1"/>
  <c r="S120" i="27"/>
  <c r="O172" i="27"/>
  <c r="K179" i="38"/>
  <c r="U46" i="27"/>
  <c r="AK61" i="10"/>
  <c r="F61" i="10"/>
  <c r="AL92" i="10"/>
  <c r="I81" i="10"/>
  <c r="N163" i="10"/>
  <c r="AG161" i="10"/>
  <c r="AE80" i="10"/>
  <c r="M176" i="10"/>
  <c r="M92" i="10"/>
  <c r="Z68" i="10"/>
  <c r="T89" i="10"/>
  <c r="M66" i="10"/>
  <c r="N176" i="10"/>
  <c r="U89" i="10"/>
  <c r="U85" i="10" s="1"/>
  <c r="AA120" i="27"/>
  <c r="W172" i="27"/>
  <c r="M179" i="38"/>
  <c r="O165" i="10"/>
  <c r="AG170" i="10"/>
  <c r="O161" i="10"/>
  <c r="S76" i="10"/>
  <c r="AL69" i="10"/>
  <c r="AK66" i="10"/>
  <c r="H45" i="10"/>
  <c r="N169" i="10"/>
  <c r="N168" i="10" s="1"/>
  <c r="Z88" i="10"/>
  <c r="S77" i="10"/>
  <c r="AF74" i="10"/>
  <c r="T74" i="10"/>
  <c r="Y68" i="10"/>
  <c r="AM61" i="10"/>
  <c r="G61" i="10"/>
  <c r="AA68" i="10"/>
  <c r="AA61" i="10"/>
  <c r="AP63" i="10"/>
  <c r="T63" i="10" s="1"/>
  <c r="AA177" i="10"/>
  <c r="O177" i="10"/>
  <c r="AA88" i="10"/>
  <c r="AG74" i="10"/>
  <c r="U74" i="10"/>
  <c r="AP93" i="10"/>
  <c r="W120" i="27"/>
  <c r="Y88" i="10"/>
  <c r="AE74" i="10"/>
  <c r="S74" i="10"/>
  <c r="AL176" i="10"/>
  <c r="CL176" i="10" s="1"/>
  <c r="R176" i="10" s="1"/>
  <c r="AO61" i="10"/>
  <c r="H61" i="10"/>
  <c r="AQ66" i="10"/>
  <c r="AG67" i="10"/>
  <c r="U67" i="10"/>
  <c r="AA67" i="10"/>
  <c r="O176" i="10"/>
  <c r="O120" i="27"/>
  <c r="AA172" i="27"/>
  <c r="N179" i="38"/>
  <c r="X177" i="10"/>
  <c r="AL177" i="10"/>
  <c r="CL177" i="10" s="1"/>
  <c r="R177" i="10" s="1"/>
  <c r="M169" i="10"/>
  <c r="M168" i="10" s="1"/>
  <c r="S89" i="10"/>
  <c r="Z67" i="10"/>
  <c r="AO66" i="10"/>
  <c r="AF67" i="10"/>
  <c r="T67" i="10"/>
  <c r="Z177" i="10"/>
  <c r="N177" i="10"/>
  <c r="N92" i="10"/>
  <c r="AE67" i="10"/>
  <c r="S67" i="10"/>
  <c r="Y67" i="10"/>
  <c r="AM66" i="10"/>
  <c r="AD80" i="10"/>
  <c r="F164" i="10"/>
  <c r="AK160" i="10"/>
  <c r="AQ160" i="10"/>
  <c r="AO160" i="10"/>
  <c r="AM160" i="10"/>
  <c r="AN79" i="10"/>
  <c r="F56" i="10"/>
  <c r="G82" i="10"/>
  <c r="H81" i="10"/>
  <c r="F80" i="10"/>
  <c r="L56" i="10"/>
  <c r="AL56" i="10" s="1"/>
  <c r="CM56" i="10" s="1"/>
  <c r="H165" i="10"/>
  <c r="AF38" i="10"/>
  <c r="G163" i="10"/>
  <c r="G162" i="10"/>
  <c r="X80" i="10"/>
  <c r="F162" i="10"/>
  <c r="AE172" i="10"/>
  <c r="AL80" i="10"/>
  <c r="AF82" i="10"/>
  <c r="H82" i="10"/>
  <c r="Z82" i="10"/>
  <c r="T82" i="10"/>
  <c r="U152" i="27"/>
  <c r="U147" i="27" s="1"/>
  <c r="U146" i="27" s="1"/>
  <c r="U140" i="27" s="1"/>
  <c r="Y56" i="27"/>
  <c r="Y55" i="27" s="1"/>
  <c r="AL70" i="10"/>
  <c r="AK38" i="10"/>
  <c r="L32" i="10"/>
  <c r="AD161" i="10"/>
  <c r="M165" i="10"/>
  <c r="AN81" i="10"/>
  <c r="G56" i="10"/>
  <c r="U47" i="27"/>
  <c r="L73" i="10"/>
  <c r="N164" i="10"/>
  <c r="H164" i="10"/>
  <c r="H79" i="10"/>
  <c r="H161" i="10"/>
  <c r="AF161" i="10"/>
  <c r="M56" i="10"/>
  <c r="M55" i="10" s="1"/>
  <c r="AQ38" i="10"/>
  <c r="G164" i="10"/>
  <c r="S80" i="10"/>
  <c r="AM38" i="10"/>
  <c r="AO38" i="10"/>
  <c r="G80" i="10"/>
  <c r="V45" i="27"/>
  <c r="U63" i="27"/>
  <c r="U61" i="27" s="1"/>
  <c r="V63" i="27"/>
  <c r="V61" i="27" s="1"/>
  <c r="L161" i="10"/>
  <c r="M163" i="10"/>
  <c r="N161" i="10"/>
  <c r="AE170" i="10"/>
  <c r="L164" i="10"/>
  <c r="AE161" i="10"/>
  <c r="G161" i="10"/>
  <c r="F81" i="10"/>
  <c r="G81" i="10"/>
  <c r="M152" i="27"/>
  <c r="M178" i="27"/>
  <c r="V73" i="27"/>
  <c r="V72" i="27" s="1"/>
  <c r="AC117" i="27"/>
  <c r="AC112" i="27"/>
  <c r="AC150" i="27"/>
  <c r="AC102" i="27"/>
  <c r="AC165" i="27"/>
  <c r="AC110" i="27"/>
  <c r="AC82" i="27"/>
  <c r="AC77" i="27"/>
  <c r="AC69" i="27"/>
  <c r="Z49" i="2"/>
  <c r="AC128" i="27"/>
  <c r="AC94" i="27"/>
  <c r="AC173" i="27"/>
  <c r="AC148" i="27"/>
  <c r="AC138" i="27"/>
  <c r="AC88" i="27"/>
  <c r="AC76" i="27"/>
  <c r="Q148" i="2"/>
  <c r="AC126" i="27"/>
  <c r="AC122" i="27"/>
  <c r="AC116" i="27"/>
  <c r="AC96" i="27"/>
  <c r="AC164" i="27"/>
  <c r="AC109" i="27"/>
  <c r="AC81" i="27"/>
  <c r="AC68" i="27"/>
  <c r="Z48" i="2"/>
  <c r="AC151" i="27"/>
  <c r="AC118" i="27"/>
  <c r="AC104" i="27"/>
  <c r="AC177" i="27"/>
  <c r="AC170" i="27"/>
  <c r="AC169" i="27" s="1"/>
  <c r="AC168" i="27" s="1"/>
  <c r="AC162" i="27"/>
  <c r="AC137" i="27"/>
  <c r="AC108" i="27"/>
  <c r="AC92" i="27"/>
  <c r="AC87" i="27"/>
  <c r="AC75" i="27"/>
  <c r="AC125" i="27"/>
  <c r="AC115" i="27"/>
  <c r="AC123" i="27"/>
  <c r="AC95" i="27"/>
  <c r="AC178" i="27"/>
  <c r="AC163" i="27"/>
  <c r="AC80" i="27"/>
  <c r="AC71" i="27"/>
  <c r="AC67" i="27"/>
  <c r="AC124" i="27"/>
  <c r="AC103" i="27"/>
  <c r="AC176" i="27"/>
  <c r="AC161" i="27"/>
  <c r="AC106" i="27"/>
  <c r="AC90" i="27"/>
  <c r="AC74" i="27"/>
  <c r="AC114" i="27"/>
  <c r="AC135" i="27"/>
  <c r="AC121" i="27"/>
  <c r="AC105" i="27"/>
  <c r="AC93" i="27"/>
  <c r="AC111" i="27"/>
  <c r="AC86" i="27"/>
  <c r="AC79" i="27"/>
  <c r="AC70" i="27"/>
  <c r="AC136" i="27"/>
  <c r="AC97" i="27"/>
  <c r="AC175" i="27"/>
  <c r="AC152" i="27"/>
  <c r="AC149" i="27"/>
  <c r="AC139" i="27"/>
  <c r="AC89" i="27"/>
  <c r="O73" i="10"/>
  <c r="H56" i="10"/>
  <c r="AP56" i="10" s="1"/>
  <c r="CO56" i="10" s="1"/>
  <c r="N55" i="10"/>
  <c r="M73" i="10"/>
  <c r="AL82" i="10"/>
  <c r="AD82" i="10"/>
  <c r="X82" i="10"/>
  <c r="F82" i="10"/>
  <c r="R82" i="10"/>
  <c r="Q46" i="2"/>
  <c r="I172" i="10"/>
  <c r="N32" i="10"/>
  <c r="AF172" i="10"/>
  <c r="T46" i="2"/>
  <c r="Q62" i="2"/>
  <c r="AG172" i="10"/>
  <c r="O113" i="10"/>
  <c r="O32" i="10"/>
  <c r="N73" i="10"/>
  <c r="AC65" i="27"/>
  <c r="Z66" i="2"/>
  <c r="AC56" i="27"/>
  <c r="AC55" i="27" s="1"/>
  <c r="Z57" i="2"/>
  <c r="Z56" i="2" s="1"/>
  <c r="AC43" i="27"/>
  <c r="Z44" i="2"/>
  <c r="AC37" i="27"/>
  <c r="Z38" i="2"/>
  <c r="AC33" i="27"/>
  <c r="Z34" i="2"/>
  <c r="AC64" i="27"/>
  <c r="Z65" i="2"/>
  <c r="AC42" i="27"/>
  <c r="Z43" i="2"/>
  <c r="AC36" i="27"/>
  <c r="Z37" i="2"/>
  <c r="AC63" i="27"/>
  <c r="Z64" i="2"/>
  <c r="AC41" i="27"/>
  <c r="Z42" i="2"/>
  <c r="AC35" i="27"/>
  <c r="Z36" i="2"/>
  <c r="AC62" i="27"/>
  <c r="Z63" i="2"/>
  <c r="AC46" i="27"/>
  <c r="AC45" i="27" s="1"/>
  <c r="Z47" i="2"/>
  <c r="AC39" i="27"/>
  <c r="Z40" i="2"/>
  <c r="AC34" i="27"/>
  <c r="Z35" i="2"/>
  <c r="Y66" i="27"/>
  <c r="Y134" i="27"/>
  <c r="Q120" i="27"/>
  <c r="Y61" i="27"/>
  <c r="U66" i="27"/>
  <c r="Y113" i="27"/>
  <c r="U91" i="27"/>
  <c r="Y32" i="27"/>
  <c r="Y91" i="27"/>
  <c r="Q73" i="27"/>
  <c r="Y107" i="27"/>
  <c r="U172" i="27"/>
  <c r="U171" i="27" s="1"/>
  <c r="U167" i="27" s="1"/>
  <c r="U160" i="27"/>
  <c r="U159" i="27" s="1"/>
  <c r="U107" i="27"/>
  <c r="Y101" i="27"/>
  <c r="Y38" i="27"/>
  <c r="Y172" i="27"/>
  <c r="Y171" i="27" s="1"/>
  <c r="Y160" i="27"/>
  <c r="Y159" i="27" s="1"/>
  <c r="Y147" i="27"/>
  <c r="Y146" i="27" s="1"/>
  <c r="Y140" i="27" s="1"/>
  <c r="S8" i="27"/>
  <c r="L176" i="2"/>
  <c r="AA166" i="28" l="1"/>
  <c r="Y120" i="27"/>
  <c r="Y119" i="27" s="1"/>
  <c r="Z120" i="27"/>
  <c r="U120" i="27"/>
  <c r="AJ166" i="28"/>
  <c r="V120" i="27"/>
  <c r="Z166" i="28"/>
  <c r="V99" i="28"/>
  <c r="V98" i="28" s="1"/>
  <c r="AD91" i="10"/>
  <c r="Z99" i="28"/>
  <c r="Z98" i="28" s="1"/>
  <c r="K174" i="28"/>
  <c r="P174" i="28" s="1"/>
  <c r="K175" i="24"/>
  <c r="X61" i="10"/>
  <c r="Y167" i="27"/>
  <c r="AF71" i="28"/>
  <c r="S95" i="10"/>
  <c r="CN95" i="10"/>
  <c r="S65" i="10"/>
  <c r="Y65" i="10"/>
  <c r="R94" i="10"/>
  <c r="X94" i="10"/>
  <c r="CO62" i="10"/>
  <c r="CN62" i="10"/>
  <c r="CM48" i="10"/>
  <c r="R48" i="10"/>
  <c r="Y47" i="10"/>
  <c r="S47" i="10"/>
  <c r="S48" i="10"/>
  <c r="CN48" i="10"/>
  <c r="X47" i="10"/>
  <c r="R47" i="10"/>
  <c r="AR91" i="10"/>
  <c r="CN92" i="10"/>
  <c r="AJ71" i="28"/>
  <c r="X88" i="10"/>
  <c r="Q71" i="28"/>
  <c r="AE99" i="28"/>
  <c r="AE98" i="28" s="1"/>
  <c r="AJ99" i="28"/>
  <c r="AJ98" i="28" s="1"/>
  <c r="AA71" i="28"/>
  <c r="R38" i="27"/>
  <c r="AA99" i="28"/>
  <c r="AA98" i="28" s="1"/>
  <c r="Q99" i="28"/>
  <c r="Q98" i="28" s="1"/>
  <c r="U99" i="28"/>
  <c r="U98" i="28" s="1"/>
  <c r="V71" i="28"/>
  <c r="AE71" i="28"/>
  <c r="AE31" i="28"/>
  <c r="Z71" i="28"/>
  <c r="AF99" i="28"/>
  <c r="AF98" i="28" s="1"/>
  <c r="M73" i="25"/>
  <c r="R113" i="27"/>
  <c r="Q72" i="23"/>
  <c r="W72" i="23"/>
  <c r="N100" i="23"/>
  <c r="N99" i="23" s="1"/>
  <c r="Q100" i="23"/>
  <c r="Q99" i="23" s="1"/>
  <c r="W100" i="23"/>
  <c r="W99" i="23" s="1"/>
  <c r="T100" i="23"/>
  <c r="T99" i="23" s="1"/>
  <c r="T72" i="23"/>
  <c r="N72" i="23"/>
  <c r="Z56" i="10"/>
  <c r="AF56" i="10"/>
  <c r="T56" i="10"/>
  <c r="R89" i="10"/>
  <c r="R85" i="10" s="1"/>
  <c r="X89" i="10"/>
  <c r="V38" i="27"/>
  <c r="R134" i="27"/>
  <c r="L72" i="24"/>
  <c r="Q113" i="27"/>
  <c r="Q134" i="27"/>
  <c r="Q119" i="27" s="1"/>
  <c r="U134" i="27"/>
  <c r="U113" i="27"/>
  <c r="L73" i="25"/>
  <c r="U38" i="27"/>
  <c r="U32" i="27"/>
  <c r="Q160" i="27"/>
  <c r="Q159" i="27" s="1"/>
  <c r="Q32" i="27"/>
  <c r="V113" i="27"/>
  <c r="V134" i="27"/>
  <c r="R160" i="27"/>
  <c r="R159" i="27" s="1"/>
  <c r="V101" i="27"/>
  <c r="Q66" i="27"/>
  <c r="Q85" i="27"/>
  <c r="R85" i="27"/>
  <c r="Y110" i="10"/>
  <c r="S110" i="10"/>
  <c r="R32" i="27"/>
  <c r="S161" i="10"/>
  <c r="Y161" i="10"/>
  <c r="V32" i="27"/>
  <c r="AD165" i="10"/>
  <c r="R165" i="10"/>
  <c r="X165" i="10"/>
  <c r="CR110" i="10"/>
  <c r="S162" i="10"/>
  <c r="AE162" i="10"/>
  <c r="Y162" i="10"/>
  <c r="X161" i="10"/>
  <c r="R161" i="10"/>
  <c r="S112" i="10"/>
  <c r="Y112" i="10"/>
  <c r="AD162" i="10"/>
  <c r="X162" i="10"/>
  <c r="R162" i="10"/>
  <c r="S165" i="10"/>
  <c r="AE165" i="10"/>
  <c r="Y165" i="10"/>
  <c r="R66" i="27"/>
  <c r="X67" i="10"/>
  <c r="R67" i="10"/>
  <c r="AD67" i="10"/>
  <c r="U120" i="10"/>
  <c r="U119" i="10" s="1"/>
  <c r="M173" i="10"/>
  <c r="M172" i="10" s="1"/>
  <c r="M167" i="10" s="1"/>
  <c r="Y173" i="10"/>
  <c r="Y172" i="10" s="1"/>
  <c r="CQ77" i="10"/>
  <c r="U101" i="27"/>
  <c r="Q147" i="27"/>
  <c r="Q146" i="27" s="1"/>
  <c r="Q140" i="27" s="1"/>
  <c r="N173" i="10"/>
  <c r="N172" i="10" s="1"/>
  <c r="N167" i="10" s="1"/>
  <c r="U173" i="10"/>
  <c r="U172" i="10" s="1"/>
  <c r="AL91" i="10"/>
  <c r="AA173" i="10"/>
  <c r="AA172" i="10" s="1"/>
  <c r="L173" i="10"/>
  <c r="L172" i="10" s="1"/>
  <c r="L167" i="10" s="1"/>
  <c r="T173" i="10"/>
  <c r="T172" i="10" s="1"/>
  <c r="R173" i="10"/>
  <c r="R172" i="10" s="1"/>
  <c r="O173" i="10"/>
  <c r="O172" i="10" s="1"/>
  <c r="O167" i="10" s="1"/>
  <c r="Z173" i="10"/>
  <c r="Z172" i="10" s="1"/>
  <c r="S173" i="10"/>
  <c r="S172" i="10" s="1"/>
  <c r="AC128" i="10"/>
  <c r="Q38" i="27"/>
  <c r="AF126" i="10"/>
  <c r="Z126" i="10"/>
  <c r="W128" i="10"/>
  <c r="Q107" i="27"/>
  <c r="AF125" i="10"/>
  <c r="Z125" i="10"/>
  <c r="AE121" i="10"/>
  <c r="Y121" i="10"/>
  <c r="AD121" i="10"/>
  <c r="X121" i="10"/>
  <c r="Q101" i="27"/>
  <c r="AC78" i="27"/>
  <c r="R107" i="27"/>
  <c r="AN92" i="10"/>
  <c r="AN91" i="10" s="1"/>
  <c r="M91" i="10"/>
  <c r="AP92" i="10"/>
  <c r="AP91" i="10" s="1"/>
  <c r="N91" i="10"/>
  <c r="AA38" i="10"/>
  <c r="Q172" i="27"/>
  <c r="Q171" i="27" s="1"/>
  <c r="Q167" i="27" s="1"/>
  <c r="R101" i="27"/>
  <c r="S85" i="10"/>
  <c r="O100" i="24"/>
  <c r="N100" i="24"/>
  <c r="Q45" i="27"/>
  <c r="L100" i="24"/>
  <c r="Q61" i="27"/>
  <c r="O78" i="10"/>
  <c r="I160" i="10"/>
  <c r="U45" i="27"/>
  <c r="N73" i="25"/>
  <c r="N72" i="24"/>
  <c r="Z95" i="10"/>
  <c r="T95" i="10"/>
  <c r="M72" i="24"/>
  <c r="O73" i="25"/>
  <c r="T93" i="10"/>
  <c r="Z93" i="10"/>
  <c r="AN80" i="10"/>
  <c r="T85" i="10"/>
  <c r="O160" i="10"/>
  <c r="O159" i="10" s="1"/>
  <c r="M100" i="24"/>
  <c r="J182" i="38"/>
  <c r="K175" i="23"/>
  <c r="K176" i="25"/>
  <c r="AP79" i="10"/>
  <c r="L55" i="10"/>
  <c r="O72" i="24"/>
  <c r="AN69" i="10"/>
  <c r="O134" i="10"/>
  <c r="O61" i="10"/>
  <c r="AG38" i="10"/>
  <c r="O66" i="10"/>
  <c r="AG66" i="10"/>
  <c r="N61" i="10"/>
  <c r="N66" i="10"/>
  <c r="O38" i="10"/>
  <c r="O147" i="10"/>
  <c r="AG160" i="10"/>
  <c r="X38" i="10"/>
  <c r="M78" i="10"/>
  <c r="U160" i="10"/>
  <c r="M85" i="10"/>
  <c r="U38" i="10"/>
  <c r="N78" i="10"/>
  <c r="AF66" i="10"/>
  <c r="AC85" i="27"/>
  <c r="N45" i="10"/>
  <c r="N38" i="10"/>
  <c r="M147" i="10"/>
  <c r="AA160" i="10"/>
  <c r="S66" i="10"/>
  <c r="N85" i="10"/>
  <c r="R61" i="10"/>
  <c r="Z38" i="10"/>
  <c r="H160" i="10"/>
  <c r="L85" i="10"/>
  <c r="O45" i="10"/>
  <c r="L113" i="10"/>
  <c r="O85" i="10"/>
  <c r="L66" i="10"/>
  <c r="G160" i="10"/>
  <c r="U61" i="10"/>
  <c r="AF160" i="10"/>
  <c r="M160" i="10"/>
  <c r="M159" i="10" s="1"/>
  <c r="T38" i="10"/>
  <c r="AE66" i="10"/>
  <c r="Z66" i="10"/>
  <c r="AA66" i="10"/>
  <c r="U73" i="27"/>
  <c r="U72" i="27" s="1"/>
  <c r="Z39" i="2"/>
  <c r="L160" i="10"/>
  <c r="L159" i="10" s="1"/>
  <c r="T160" i="10"/>
  <c r="T66" i="10"/>
  <c r="U66" i="10"/>
  <c r="T61" i="10"/>
  <c r="I45" i="10"/>
  <c r="G45" i="10"/>
  <c r="N160" i="10"/>
  <c r="N159" i="10" s="1"/>
  <c r="M113" i="10"/>
  <c r="Y66" i="10"/>
  <c r="F45" i="10"/>
  <c r="H172" i="10"/>
  <c r="N113" i="10"/>
  <c r="F160" i="10"/>
  <c r="F159" i="10" s="1"/>
  <c r="M134" i="10"/>
  <c r="M119" i="10" s="1"/>
  <c r="L134" i="10"/>
  <c r="Z160" i="10"/>
  <c r="AE38" i="10"/>
  <c r="G172" i="10"/>
  <c r="N134" i="10"/>
  <c r="M32" i="10"/>
  <c r="AD38" i="10"/>
  <c r="Y38" i="10"/>
  <c r="F134" i="10"/>
  <c r="N147" i="10"/>
  <c r="Z46" i="2"/>
  <c r="AB45" i="27" s="1"/>
  <c r="AB7" i="27" s="1"/>
  <c r="AB6" i="27" s="1"/>
  <c r="AB182" i="27" s="1"/>
  <c r="R38" i="10"/>
  <c r="M61" i="10"/>
  <c r="S38" i="10"/>
  <c r="M38" i="10"/>
  <c r="L38" i="10"/>
  <c r="AI176" i="10"/>
  <c r="N176" i="2"/>
  <c r="Z73" i="27"/>
  <c r="Z72" i="27" s="1"/>
  <c r="AC38" i="27"/>
  <c r="AC120" i="27"/>
  <c r="AC160" i="27"/>
  <c r="AC159" i="27" s="1"/>
  <c r="AC61" i="27"/>
  <c r="AC101" i="27"/>
  <c r="AC32" i="27"/>
  <c r="AC66" i="27"/>
  <c r="AC172" i="27"/>
  <c r="AC171" i="27" s="1"/>
  <c r="AC167" i="27" s="1"/>
  <c r="AC107" i="27"/>
  <c r="AC113" i="27"/>
  <c r="AC147" i="27"/>
  <c r="AC146" i="27" s="1"/>
  <c r="AC140" i="27" s="1"/>
  <c r="AC91" i="27"/>
  <c r="AC134" i="27"/>
  <c r="AD172" i="10"/>
  <c r="AU158" i="10"/>
  <c r="L147" i="10"/>
  <c r="L45" i="10"/>
  <c r="M45" i="10"/>
  <c r="F147" i="10"/>
  <c r="F146" i="10" s="1"/>
  <c r="F172" i="10"/>
  <c r="F167" i="10" s="1"/>
  <c r="L61" i="10"/>
  <c r="Z62" i="2"/>
  <c r="Z33" i="2"/>
  <c r="V174" i="11"/>
  <c r="K175" i="27"/>
  <c r="Y100" i="27"/>
  <c r="L98" i="2"/>
  <c r="U119" i="27" l="1"/>
  <c r="K96" i="28"/>
  <c r="P96" i="28" s="1"/>
  <c r="K97" i="24"/>
  <c r="S62" i="10"/>
  <c r="S61" i="10" s="1"/>
  <c r="Y62" i="10"/>
  <c r="Y61" i="10" s="1"/>
  <c r="U92" i="10"/>
  <c r="U91" i="10" s="1"/>
  <c r="AG92" i="10"/>
  <c r="AG91" i="10" s="1"/>
  <c r="AA92" i="10"/>
  <c r="AA91" i="10" s="1"/>
  <c r="Q100" i="27"/>
  <c r="Q99" i="27" s="1"/>
  <c r="U100" i="27"/>
  <c r="AD160" i="10"/>
  <c r="K97" i="23"/>
  <c r="K98" i="25"/>
  <c r="N98" i="2"/>
  <c r="S92" i="10"/>
  <c r="S91" i="10" s="1"/>
  <c r="V100" i="27"/>
  <c r="AE160" i="10"/>
  <c r="S160" i="10"/>
  <c r="Y160" i="10"/>
  <c r="X160" i="10"/>
  <c r="R160" i="10"/>
  <c r="Y92" i="10"/>
  <c r="Z92" i="10"/>
  <c r="Z91" i="10" s="1"/>
  <c r="R100" i="27"/>
  <c r="Y97" i="10"/>
  <c r="Y94" i="10"/>
  <c r="Y96" i="10"/>
  <c r="Y95" i="10"/>
  <c r="Y93" i="10"/>
  <c r="T92" i="10"/>
  <c r="T91" i="10" s="1"/>
  <c r="X91" i="10"/>
  <c r="R91" i="10"/>
  <c r="O72" i="10"/>
  <c r="O119" i="10"/>
  <c r="F119" i="10"/>
  <c r="N119" i="10"/>
  <c r="L119" i="10"/>
  <c r="M72" i="10"/>
  <c r="N72" i="10"/>
  <c r="L72" i="10"/>
  <c r="AJ176" i="10"/>
  <c r="CK176" i="10" s="1"/>
  <c r="Q176" i="10" s="1"/>
  <c r="AI97" i="10"/>
  <c r="AJ97" i="10" s="1"/>
  <c r="J98" i="38"/>
  <c r="M175" i="27"/>
  <c r="N175" i="27"/>
  <c r="Y99" i="27"/>
  <c r="AC7" i="27"/>
  <c r="AC119" i="27"/>
  <c r="Y73" i="27"/>
  <c r="Y72" i="27" s="1"/>
  <c r="AC100" i="27"/>
  <c r="V96" i="11"/>
  <c r="K97" i="27"/>
  <c r="Y53" i="8"/>
  <c r="AA119" i="2"/>
  <c r="AA113" i="2"/>
  <c r="P112" i="24" s="1"/>
  <c r="AA107" i="2"/>
  <c r="AA98" i="2"/>
  <c r="AA78" i="2"/>
  <c r="U99" i="27" l="1"/>
  <c r="AK96" i="28"/>
  <c r="AO96" i="28" s="1"/>
  <c r="G74" i="40"/>
  <c r="K75" i="77" s="1"/>
  <c r="P97" i="24"/>
  <c r="AK105" i="28"/>
  <c r="AO105" i="28" s="1"/>
  <c r="G80" i="40"/>
  <c r="K81" i="77" s="1"/>
  <c r="P106" i="24"/>
  <c r="G90" i="40"/>
  <c r="K91" i="77" s="1"/>
  <c r="P118" i="24"/>
  <c r="G59" i="40"/>
  <c r="K60" i="77" s="1"/>
  <c r="P77" i="24"/>
  <c r="AK111" i="28"/>
  <c r="AO111" i="28" s="1"/>
  <c r="G85" i="40"/>
  <c r="K86" i="77" s="1"/>
  <c r="AK76" i="28"/>
  <c r="AO76" i="28" s="1"/>
  <c r="P119" i="25"/>
  <c r="S119" i="25" s="1"/>
  <c r="AK117" i="28"/>
  <c r="AO117" i="28" s="1"/>
  <c r="Z97" i="23"/>
  <c r="P98" i="25"/>
  <c r="S98" i="25" s="1"/>
  <c r="AE98" i="2"/>
  <c r="P107" i="25"/>
  <c r="S107" i="25" s="1"/>
  <c r="AE107" i="2"/>
  <c r="AN107" i="2"/>
  <c r="M97" i="27"/>
  <c r="N97" i="27"/>
  <c r="CQ176" i="10"/>
  <c r="Y91" i="10"/>
  <c r="AE119" i="2"/>
  <c r="W97" i="10"/>
  <c r="Q97" i="10"/>
  <c r="P113" i="25"/>
  <c r="AE113" i="2"/>
  <c r="Z112" i="23"/>
  <c r="O78" i="38"/>
  <c r="Z77" i="23"/>
  <c r="O119" i="38"/>
  <c r="Z118" i="23"/>
  <c r="Z106" i="23"/>
  <c r="AS106" i="10"/>
  <c r="CN106" i="10" s="1"/>
  <c r="O107" i="38"/>
  <c r="O146" i="38"/>
  <c r="AS112" i="10"/>
  <c r="CN112" i="10" s="1"/>
  <c r="O113" i="38"/>
  <c r="AS97" i="10"/>
  <c r="AT97" i="10" s="1"/>
  <c r="O98" i="38"/>
  <c r="AS77" i="10"/>
  <c r="CN77" i="10" s="1"/>
  <c r="AN78" i="2"/>
  <c r="AC99" i="27"/>
  <c r="AN119" i="2"/>
  <c r="AS118" i="10"/>
  <c r="CN118" i="10" s="1"/>
  <c r="AB118" i="10" s="1"/>
  <c r="AE77" i="27"/>
  <c r="AG77" i="27" s="1"/>
  <c r="AM78" i="2"/>
  <c r="AE106" i="27"/>
  <c r="AM107" i="2"/>
  <c r="AE97" i="27"/>
  <c r="AN98" i="2"/>
  <c r="W111" i="11"/>
  <c r="AE112" i="27"/>
  <c r="AM113" i="2"/>
  <c r="W127" i="11"/>
  <c r="AE128" i="27"/>
  <c r="AG128" i="27" s="1"/>
  <c r="AE118" i="27"/>
  <c r="W117" i="11"/>
  <c r="W105" i="11"/>
  <c r="W76" i="11"/>
  <c r="W96" i="11"/>
  <c r="W157" i="11"/>
  <c r="L91" i="77" l="1"/>
  <c r="H91" i="77"/>
  <c r="I91" i="77" s="1"/>
  <c r="H75" i="77"/>
  <c r="I75" i="77" s="1"/>
  <c r="L75" i="77"/>
  <c r="H60" i="77"/>
  <c r="I60" i="77" s="1"/>
  <c r="L60" i="77"/>
  <c r="L81" i="77"/>
  <c r="H81" i="77"/>
  <c r="I81" i="77" s="1"/>
  <c r="H86" i="77"/>
  <c r="I86" i="77" s="1"/>
  <c r="L86" i="77"/>
  <c r="O85" i="40"/>
  <c r="N85" i="40"/>
  <c r="O90" i="40"/>
  <c r="L90" i="40"/>
  <c r="N90" i="40"/>
  <c r="O74" i="40"/>
  <c r="L74" i="40"/>
  <c r="N74" i="40"/>
  <c r="L59" i="40"/>
  <c r="N59" i="40"/>
  <c r="O80" i="40"/>
  <c r="L80" i="40"/>
  <c r="N80" i="40"/>
  <c r="CK97" i="10"/>
  <c r="L85" i="40"/>
  <c r="V112" i="10"/>
  <c r="AB112" i="10"/>
  <c r="AG106" i="27"/>
  <c r="AH106" i="27"/>
  <c r="AG97" i="27"/>
  <c r="AH97" i="27"/>
  <c r="V106" i="10"/>
  <c r="AB106" i="10"/>
  <c r="AB77" i="10"/>
  <c r="V77" i="10"/>
  <c r="AH77" i="10"/>
  <c r="AT77" i="10"/>
  <c r="AG118" i="27"/>
  <c r="AH118" i="27"/>
  <c r="AB97" i="10"/>
  <c r="V97" i="10"/>
  <c r="AG112" i="27"/>
  <c r="AH112" i="27"/>
  <c r="R113" i="25"/>
  <c r="V118" i="10"/>
  <c r="P112" i="10"/>
  <c r="J146" i="38"/>
  <c r="AD73" i="27"/>
  <c r="AD72" i="27" s="1"/>
  <c r="AD6" i="27" s="1"/>
  <c r="AC73" i="27"/>
  <c r="AC72" i="27" s="1"/>
  <c r="AC6" i="27" s="1"/>
  <c r="CI112" i="10" l="1"/>
  <c r="CR77" i="10"/>
  <c r="CI97" i="10"/>
  <c r="CI118" i="10"/>
  <c r="CI106" i="10"/>
  <c r="AU77" i="10"/>
  <c r="AV158" i="10"/>
  <c r="L23" i="3"/>
  <c r="L64" i="2" s="1"/>
  <c r="K42" i="7"/>
  <c r="L77" i="2"/>
  <c r="K28" i="7"/>
  <c r="L65" i="2" s="1"/>
  <c r="K18" i="7"/>
  <c r="L48" i="2" s="1"/>
  <c r="K14" i="7"/>
  <c r="L38" i="2" s="1"/>
  <c r="K13" i="7"/>
  <c r="L37" i="2" s="1"/>
  <c r="K62" i="28" l="1"/>
  <c r="P62" i="28" s="1"/>
  <c r="K63" i="24"/>
  <c r="K63" i="28"/>
  <c r="P63" i="28" s="1"/>
  <c r="K64" i="24"/>
  <c r="K46" i="28"/>
  <c r="P46" i="28" s="1"/>
  <c r="K47" i="24"/>
  <c r="K35" i="28"/>
  <c r="P35" i="28" s="1"/>
  <c r="K36" i="24"/>
  <c r="K75" i="28"/>
  <c r="P75" i="28" s="1"/>
  <c r="K76" i="24"/>
  <c r="K73" i="24" s="1"/>
  <c r="K36" i="28"/>
  <c r="P36" i="28" s="1"/>
  <c r="K37" i="24"/>
  <c r="K37" i="23"/>
  <c r="K38" i="25"/>
  <c r="N38" i="2"/>
  <c r="K36" i="23"/>
  <c r="K37" i="25"/>
  <c r="N37" i="2"/>
  <c r="K76" i="23"/>
  <c r="L97" i="2"/>
  <c r="K41" i="7"/>
  <c r="J65" i="38"/>
  <c r="K64" i="23"/>
  <c r="K65" i="25"/>
  <c r="J48" i="38"/>
  <c r="K47" i="23"/>
  <c r="K48" i="25"/>
  <c r="J64" i="38"/>
  <c r="K63" i="23"/>
  <c r="K64" i="25"/>
  <c r="AI139" i="10"/>
  <c r="J140" i="38"/>
  <c r="AI36" i="10"/>
  <c r="J37" i="38"/>
  <c r="AI76" i="10"/>
  <c r="J77" i="38"/>
  <c r="AI125" i="10"/>
  <c r="J141" i="38"/>
  <c r="J144" i="38"/>
  <c r="AI37" i="10"/>
  <c r="CL37" i="10" s="1"/>
  <c r="J38" i="38"/>
  <c r="AI126" i="10"/>
  <c r="J142" i="38"/>
  <c r="AI124" i="10"/>
  <c r="AI138" i="10"/>
  <c r="J139" i="38"/>
  <c r="J143" i="38"/>
  <c r="AI47" i="10"/>
  <c r="N48" i="2"/>
  <c r="AI63" i="10"/>
  <c r="AJ63" i="10" s="1"/>
  <c r="Q63" i="10" s="1"/>
  <c r="N64" i="2"/>
  <c r="AI64" i="10"/>
  <c r="AJ64" i="10" s="1"/>
  <c r="CL64" i="10" s="1"/>
  <c r="N65" i="2"/>
  <c r="V63" i="11"/>
  <c r="K64" i="27"/>
  <c r="N64" i="27" s="1"/>
  <c r="V123" i="11"/>
  <c r="K124" i="27"/>
  <c r="V138" i="11"/>
  <c r="K139" i="27"/>
  <c r="V46" i="11"/>
  <c r="K47" i="27"/>
  <c r="N47" i="27" s="1"/>
  <c r="V137" i="11"/>
  <c r="K138" i="27"/>
  <c r="V35" i="11"/>
  <c r="K36" i="27"/>
  <c r="V75" i="11"/>
  <c r="K76" i="27"/>
  <c r="M76" i="27" s="1"/>
  <c r="V124" i="11"/>
  <c r="K125" i="27"/>
  <c r="M125" i="27" s="1"/>
  <c r="V62" i="11"/>
  <c r="K63" i="27"/>
  <c r="N63" i="27" s="1"/>
  <c r="V36" i="11"/>
  <c r="K37" i="27"/>
  <c r="V95" i="11"/>
  <c r="V125" i="11"/>
  <c r="K126" i="27"/>
  <c r="AA171" i="2"/>
  <c r="P67" i="6"/>
  <c r="O67" i="6"/>
  <c r="N67" i="6"/>
  <c r="M67" i="6"/>
  <c r="M126" i="27" l="1"/>
  <c r="N126" i="27"/>
  <c r="K97" i="25"/>
  <c r="N97" i="2"/>
  <c r="M124" i="27"/>
  <c r="N124" i="27"/>
  <c r="AK169" i="28"/>
  <c r="AK168" i="28" s="1"/>
  <c r="AK167" i="28" s="1"/>
  <c r="AK166" i="28" s="1"/>
  <c r="G130" i="40"/>
  <c r="K131" i="77" s="1"/>
  <c r="P170" i="24"/>
  <c r="P169" i="24" s="1"/>
  <c r="P168" i="24" s="1"/>
  <c r="P167" i="24" s="1"/>
  <c r="K95" i="28"/>
  <c r="P95" i="28" s="1"/>
  <c r="K96" i="24"/>
  <c r="W64" i="10"/>
  <c r="Q64" i="10"/>
  <c r="Q37" i="10"/>
  <c r="W37" i="10"/>
  <c r="CT37" i="10"/>
  <c r="CU37" i="10" s="1"/>
  <c r="M37" i="27"/>
  <c r="N37" i="27"/>
  <c r="K96" i="23"/>
  <c r="M36" i="27"/>
  <c r="N36" i="27"/>
  <c r="M138" i="27"/>
  <c r="N138" i="27"/>
  <c r="M139" i="27"/>
  <c r="N139" i="27"/>
  <c r="K96" i="27"/>
  <c r="J97" i="38"/>
  <c r="AI96" i="10"/>
  <c r="AJ96" i="10" s="1"/>
  <c r="AJ76" i="10"/>
  <c r="W76" i="10" s="1"/>
  <c r="Q76" i="10"/>
  <c r="Q138" i="10"/>
  <c r="W138" i="10"/>
  <c r="AC138" i="10"/>
  <c r="Z170" i="23"/>
  <c r="Z169" i="23" s="1"/>
  <c r="Z168" i="23" s="1"/>
  <c r="Z167" i="23" s="1"/>
  <c r="P171" i="25"/>
  <c r="P170" i="25" s="1"/>
  <c r="P169" i="25" s="1"/>
  <c r="P168" i="25" s="1"/>
  <c r="AC139" i="10"/>
  <c r="W139" i="10"/>
  <c r="Q139" i="10"/>
  <c r="AJ47" i="10"/>
  <c r="CL47" i="10" s="1"/>
  <c r="Q36" i="10"/>
  <c r="W36" i="10"/>
  <c r="L171" i="2"/>
  <c r="O177" i="38"/>
  <c r="M47" i="27"/>
  <c r="M64" i="27"/>
  <c r="M63" i="27"/>
  <c r="AS170" i="10"/>
  <c r="AT170" i="10" s="1"/>
  <c r="CN170" i="10" s="1"/>
  <c r="AE171" i="2"/>
  <c r="AE170" i="2" s="1"/>
  <c r="Z28" i="30" s="1"/>
  <c r="AM171" i="2"/>
  <c r="AM170" i="2" s="1"/>
  <c r="E28" i="19" s="1"/>
  <c r="AE170" i="27"/>
  <c r="W169" i="11"/>
  <c r="M66" i="8"/>
  <c r="L73" i="9"/>
  <c r="M73" i="9"/>
  <c r="K24" i="7"/>
  <c r="L131" i="77" l="1"/>
  <c r="AO169" i="28"/>
  <c r="AO168" i="28" s="1"/>
  <c r="AO167" i="28" s="1"/>
  <c r="AO166" i="28" s="1"/>
  <c r="M96" i="27"/>
  <c r="N96" i="27"/>
  <c r="N130" i="40"/>
  <c r="O130" i="40"/>
  <c r="L130" i="40"/>
  <c r="E175" i="40"/>
  <c r="C146" i="40"/>
  <c r="K169" i="28"/>
  <c r="K168" i="28" s="1"/>
  <c r="K167" i="28" s="1"/>
  <c r="K170" i="24"/>
  <c r="K169" i="24" s="1"/>
  <c r="K168" i="24" s="1"/>
  <c r="CQ64" i="10"/>
  <c r="Q47" i="10"/>
  <c r="W47" i="10"/>
  <c r="W96" i="10"/>
  <c r="Q96" i="10"/>
  <c r="W168" i="11"/>
  <c r="F4" i="12"/>
  <c r="CQ76" i="10"/>
  <c r="CQ37" i="10"/>
  <c r="CQ36" i="10"/>
  <c r="R171" i="25"/>
  <c r="R170" i="25" s="1"/>
  <c r="AB170" i="10"/>
  <c r="V170" i="10"/>
  <c r="J177" i="38"/>
  <c r="K170" i="23"/>
  <c r="K169" i="23" s="1"/>
  <c r="K168" i="23" s="1"/>
  <c r="K171" i="25"/>
  <c r="K170" i="25" s="1"/>
  <c r="K169" i="25" s="1"/>
  <c r="AS169" i="10"/>
  <c r="AS168" i="10" s="1"/>
  <c r="AS167" i="10" s="1"/>
  <c r="AH170" i="10"/>
  <c r="AH169" i="10" s="1"/>
  <c r="AH168" i="10" s="1"/>
  <c r="AH167" i="10" s="1"/>
  <c r="AG170" i="27"/>
  <c r="AH170" i="27"/>
  <c r="AH169" i="27" s="1"/>
  <c r="AH168" i="27" s="1"/>
  <c r="AH167" i="27" s="1"/>
  <c r="AI170" i="10"/>
  <c r="AJ170" i="10" s="1"/>
  <c r="CK170" i="10" s="1"/>
  <c r="N171" i="2"/>
  <c r="N170" i="2" s="1"/>
  <c r="K170" i="27"/>
  <c r="N170" i="27" s="1"/>
  <c r="N169" i="27" s="1"/>
  <c r="N168" i="27" s="1"/>
  <c r="V169" i="11"/>
  <c r="E4" i="12" s="1"/>
  <c r="K25" i="7"/>
  <c r="L60" i="2" s="1"/>
  <c r="L66" i="8"/>
  <c r="J28" i="30" l="1"/>
  <c r="M28" i="30" s="1"/>
  <c r="P28" i="30" s="1"/>
  <c r="S28" i="30" s="1"/>
  <c r="V28" i="30" s="1"/>
  <c r="D150" i="41"/>
  <c r="J175" i="40"/>
  <c r="K58" i="28"/>
  <c r="P58" i="28" s="1"/>
  <c r="K59" i="24"/>
  <c r="CK96" i="10"/>
  <c r="W170" i="10"/>
  <c r="Q170" i="10"/>
  <c r="CI170" i="10"/>
  <c r="J60" i="38"/>
  <c r="K59" i="23"/>
  <c r="K60" i="25"/>
  <c r="AI169" i="10"/>
  <c r="AI168" i="10" s="1"/>
  <c r="M170" i="27"/>
  <c r="M169" i="27" s="1"/>
  <c r="M168" i="27" s="1"/>
  <c r="AG169" i="27"/>
  <c r="AG168" i="27" s="1"/>
  <c r="AG167" i="27" s="1"/>
  <c r="AI59" i="10"/>
  <c r="AJ59" i="10" s="1"/>
  <c r="N60" i="2"/>
  <c r="K59" i="27"/>
  <c r="N59" i="27" s="1"/>
  <c r="V168" i="11"/>
  <c r="K23" i="7"/>
  <c r="V58" i="11"/>
  <c r="N17" i="3"/>
  <c r="O17" i="3"/>
  <c r="P17" i="3"/>
  <c r="Q17" i="3"/>
  <c r="AA57" i="2"/>
  <c r="L18" i="3"/>
  <c r="L57" i="2" s="1"/>
  <c r="AA83" i="2"/>
  <c r="P82" i="24" s="1"/>
  <c r="Y34" i="7"/>
  <c r="K36" i="7"/>
  <c r="L83" i="2" s="1"/>
  <c r="K82" i="24" s="1"/>
  <c r="K35" i="7"/>
  <c r="AK55" i="28" l="1"/>
  <c r="P56" i="24"/>
  <c r="P55" i="24" s="1"/>
  <c r="G43" i="40"/>
  <c r="K44" i="77" s="1"/>
  <c r="K55" i="28"/>
  <c r="P55" i="28" s="1"/>
  <c r="P54" i="28" s="1"/>
  <c r="K56" i="24"/>
  <c r="K55" i="24" s="1"/>
  <c r="K81" i="28"/>
  <c r="P81" i="28" s="1"/>
  <c r="AK81" i="28"/>
  <c r="AO81" i="28" s="1"/>
  <c r="K54" i="28"/>
  <c r="AK54" i="28"/>
  <c r="AO55" i="28"/>
  <c r="AO54" i="28" s="1"/>
  <c r="O83" i="38"/>
  <c r="J83" i="38"/>
  <c r="K34" i="7"/>
  <c r="Q59" i="10"/>
  <c r="W59" i="10"/>
  <c r="K82" i="23"/>
  <c r="K83" i="25"/>
  <c r="O57" i="38"/>
  <c r="Z56" i="23"/>
  <c r="Z55" i="23" s="1"/>
  <c r="P57" i="25"/>
  <c r="P56" i="25" s="1"/>
  <c r="Z82" i="23"/>
  <c r="P83" i="25"/>
  <c r="R83" i="25" s="1"/>
  <c r="J57" i="38"/>
  <c r="K56" i="23"/>
  <c r="K55" i="23" s="1"/>
  <c r="K57" i="25"/>
  <c r="K56" i="25" s="1"/>
  <c r="AN56" i="2"/>
  <c r="F10" i="19" s="1"/>
  <c r="AM57" i="2"/>
  <c r="AM56" i="2" s="1"/>
  <c r="E10" i="19" s="1"/>
  <c r="M59" i="27"/>
  <c r="AI82" i="10"/>
  <c r="AE57" i="2"/>
  <c r="AE56" i="2" s="1"/>
  <c r="Z10" i="30" s="1"/>
  <c r="AS56" i="10"/>
  <c r="D56" i="10" s="1"/>
  <c r="D55" i="10" s="1"/>
  <c r="C10" i="19" s="1"/>
  <c r="C43" i="19" s="1"/>
  <c r="C10" i="30" s="1"/>
  <c r="E10" i="30" s="1"/>
  <c r="AE83" i="2"/>
  <c r="AS82" i="10"/>
  <c r="AI56" i="10"/>
  <c r="N57" i="2"/>
  <c r="N56" i="2" s="1"/>
  <c r="V55" i="11"/>
  <c r="K56" i="27"/>
  <c r="N56" i="27" s="1"/>
  <c r="N55" i="27" s="1"/>
  <c r="V81" i="11"/>
  <c r="K82" i="27"/>
  <c r="AE56" i="27"/>
  <c r="AL57" i="2"/>
  <c r="AL56" i="2" s="1"/>
  <c r="D10" i="19" s="1"/>
  <c r="AE82" i="27"/>
  <c r="AM83" i="2"/>
  <c r="W81" i="11"/>
  <c r="W55" i="11"/>
  <c r="F7" i="12" s="1"/>
  <c r="L82" i="2"/>
  <c r="K80" i="28" s="1"/>
  <c r="P80" i="28" s="1"/>
  <c r="K40" i="7"/>
  <c r="L91" i="2" s="1"/>
  <c r="H44" i="77" l="1"/>
  <c r="I44" i="77" s="1"/>
  <c r="L44" i="77"/>
  <c r="O43" i="40"/>
  <c r="N43" i="40"/>
  <c r="L43" i="40"/>
  <c r="E158" i="40"/>
  <c r="K90" i="23"/>
  <c r="K89" i="28"/>
  <c r="P89" i="28" s="1"/>
  <c r="V54" i="11"/>
  <c r="E7" i="12"/>
  <c r="J82" i="38"/>
  <c r="K81" i="23"/>
  <c r="R57" i="25"/>
  <c r="R56" i="25" s="1"/>
  <c r="AH82" i="10"/>
  <c r="AC82" i="10"/>
  <c r="AI55" i="10"/>
  <c r="AI90" i="10"/>
  <c r="CJ90" i="10" s="1"/>
  <c r="J91" i="38"/>
  <c r="AI81" i="10"/>
  <c r="D82" i="10"/>
  <c r="M56" i="27"/>
  <c r="M55" i="27" s="1"/>
  <c r="AG82" i="27"/>
  <c r="AH82" i="27"/>
  <c r="AG56" i="27"/>
  <c r="AG55" i="27" s="1"/>
  <c r="AH56" i="27"/>
  <c r="AH55" i="27" s="1"/>
  <c r="AS55" i="10"/>
  <c r="V80" i="11"/>
  <c r="K81" i="27"/>
  <c r="M81" i="27" s="1"/>
  <c r="V89" i="11"/>
  <c r="K90" i="27"/>
  <c r="M90" i="27" s="1"/>
  <c r="D43" i="19"/>
  <c r="AB82" i="10"/>
  <c r="W82" i="10"/>
  <c r="V82" i="10"/>
  <c r="C82" i="10"/>
  <c r="J56" i="10"/>
  <c r="E82" i="10"/>
  <c r="AJ82" i="10"/>
  <c r="Q82" i="10"/>
  <c r="J82" i="10"/>
  <c r="AT82" i="10"/>
  <c r="C56" i="10"/>
  <c r="C55" i="10" s="1"/>
  <c r="E56" i="10"/>
  <c r="L15" i="9"/>
  <c r="L35" i="2" s="1"/>
  <c r="L14" i="9"/>
  <c r="L21" i="9"/>
  <c r="L44" i="2" s="1"/>
  <c r="L20" i="9"/>
  <c r="L43" i="2" s="1"/>
  <c r="L19" i="9"/>
  <c r="L42" i="2" s="1"/>
  <c r="L17" i="9"/>
  <c r="L34" i="9"/>
  <c r="L63" i="2" s="1"/>
  <c r="L36" i="9"/>
  <c r="L72" i="2" s="1"/>
  <c r="L43" i="9"/>
  <c r="L45" i="9"/>
  <c r="L93" i="2" s="1"/>
  <c r="L49" i="9"/>
  <c r="L103" i="2" s="1"/>
  <c r="L51" i="9"/>
  <c r="L115" i="2"/>
  <c r="L65" i="9"/>
  <c r="L67" i="9"/>
  <c r="L155" i="2" s="1"/>
  <c r="L70" i="9"/>
  <c r="L162" i="2" s="1"/>
  <c r="L76" i="9"/>
  <c r="U41" i="9"/>
  <c r="T41" i="9"/>
  <c r="K76" i="7"/>
  <c r="K69" i="7"/>
  <c r="L166" i="2" s="1"/>
  <c r="K66" i="7"/>
  <c r="K64" i="7"/>
  <c r="L152" i="2" s="1"/>
  <c r="K151" i="24" s="1"/>
  <c r="K47" i="7"/>
  <c r="L106" i="2" s="1"/>
  <c r="K49" i="7"/>
  <c r="L112" i="2" s="1"/>
  <c r="L118" i="2"/>
  <c r="L75" i="3"/>
  <c r="L177" i="2" s="1"/>
  <c r="L42" i="3"/>
  <c r="L111" i="2" s="1"/>
  <c r="L36" i="3"/>
  <c r="L95" i="2" s="1"/>
  <c r="L47" i="2"/>
  <c r="K46" i="24" s="1"/>
  <c r="V50" i="11"/>
  <c r="L163" i="2"/>
  <c r="L150" i="2"/>
  <c r="K149" i="24" s="1"/>
  <c r="K34" i="6"/>
  <c r="L76" i="2" s="1"/>
  <c r="K31" i="6"/>
  <c r="L71" i="2" s="1"/>
  <c r="K43" i="24" l="1"/>
  <c r="K44" i="25"/>
  <c r="N44" i="2"/>
  <c r="J10" i="30"/>
  <c r="M10" i="30" s="1"/>
  <c r="P10" i="30" s="1"/>
  <c r="S10" i="30" s="1"/>
  <c r="V10" i="30" s="1"/>
  <c r="K153" i="28"/>
  <c r="K154" i="24"/>
  <c r="K61" i="28"/>
  <c r="P61" i="28" s="1"/>
  <c r="K62" i="24"/>
  <c r="K116" i="28"/>
  <c r="P116" i="28" s="1"/>
  <c r="K117" i="24"/>
  <c r="K91" i="28"/>
  <c r="K92" i="24"/>
  <c r="K110" i="28"/>
  <c r="P110" i="28" s="1"/>
  <c r="K111" i="24"/>
  <c r="K164" i="28"/>
  <c r="P164" i="28" s="1"/>
  <c r="K165" i="24"/>
  <c r="K113" i="28"/>
  <c r="P113" i="28" s="1"/>
  <c r="K114" i="24"/>
  <c r="K40" i="28"/>
  <c r="P40" i="28" s="1"/>
  <c r="K41" i="24"/>
  <c r="K33" i="28"/>
  <c r="P33" i="28" s="1"/>
  <c r="K34" i="24"/>
  <c r="K175" i="28"/>
  <c r="P175" i="28" s="1"/>
  <c r="K176" i="24"/>
  <c r="K101" i="28"/>
  <c r="P101" i="28" s="1"/>
  <c r="K102" i="24"/>
  <c r="K161" i="28"/>
  <c r="P161" i="28" s="1"/>
  <c r="K162" i="24"/>
  <c r="K109" i="28"/>
  <c r="P109" i="28" s="1"/>
  <c r="K110" i="24"/>
  <c r="K104" i="28"/>
  <c r="P104" i="28" s="1"/>
  <c r="K105" i="24"/>
  <c r="K160" i="28"/>
  <c r="K161" i="24"/>
  <c r="K70" i="28"/>
  <c r="P70" i="28" s="1"/>
  <c r="K71" i="24"/>
  <c r="K41" i="28"/>
  <c r="P41" i="28" s="1"/>
  <c r="K42" i="24"/>
  <c r="K85" i="28"/>
  <c r="P85" i="28" s="1"/>
  <c r="K86" i="24"/>
  <c r="K93" i="28"/>
  <c r="P93" i="28" s="1"/>
  <c r="K94" i="24"/>
  <c r="K95" i="25"/>
  <c r="N95" i="2"/>
  <c r="K69" i="28"/>
  <c r="P69" i="28" s="1"/>
  <c r="K70" i="24"/>
  <c r="K71" i="25"/>
  <c r="N71" i="2"/>
  <c r="D149" i="41"/>
  <c r="J158" i="40"/>
  <c r="P91" i="28"/>
  <c r="K149" i="23"/>
  <c r="K148" i="28"/>
  <c r="P148" i="28" s="1"/>
  <c r="K75" i="23"/>
  <c r="K74" i="28"/>
  <c r="P74" i="28" s="1"/>
  <c r="K45" i="28"/>
  <c r="K151" i="23"/>
  <c r="K150" i="28"/>
  <c r="K43" i="23"/>
  <c r="K42" i="28"/>
  <c r="P42" i="28" s="1"/>
  <c r="K72" i="25"/>
  <c r="N72" i="2"/>
  <c r="K94" i="23"/>
  <c r="K42" i="25"/>
  <c r="N42" i="2"/>
  <c r="W90" i="10"/>
  <c r="AC90" i="10"/>
  <c r="K165" i="23"/>
  <c r="K166" i="25"/>
  <c r="N166" i="2"/>
  <c r="N167" i="2"/>
  <c r="K115" i="25"/>
  <c r="N115" i="2"/>
  <c r="K87" i="25"/>
  <c r="N87" i="2"/>
  <c r="K41" i="23"/>
  <c r="K35" i="25"/>
  <c r="N35" i="2"/>
  <c r="K162" i="23"/>
  <c r="K163" i="25"/>
  <c r="N163" i="2"/>
  <c r="K71" i="23"/>
  <c r="K118" i="25"/>
  <c r="N118" i="2"/>
  <c r="K70" i="23"/>
  <c r="L178" i="2"/>
  <c r="K177" i="24" s="1"/>
  <c r="K75" i="7"/>
  <c r="AJ56" i="10"/>
  <c r="L109" i="2"/>
  <c r="K108" i="24" s="1"/>
  <c r="L50" i="9"/>
  <c r="K43" i="25"/>
  <c r="N43" i="2"/>
  <c r="Q81" i="10"/>
  <c r="K111" i="25"/>
  <c r="N111" i="2"/>
  <c r="K112" i="25"/>
  <c r="N112" i="2"/>
  <c r="K103" i="25"/>
  <c r="N103" i="2"/>
  <c r="K162" i="25"/>
  <c r="N162" i="2"/>
  <c r="K34" i="23"/>
  <c r="K117" i="23"/>
  <c r="K106" i="25"/>
  <c r="N106" i="2"/>
  <c r="K161" i="23"/>
  <c r="K114" i="23"/>
  <c r="K86" i="23"/>
  <c r="L174" i="2"/>
  <c r="L40" i="2"/>
  <c r="K39" i="24" s="1"/>
  <c r="L16" i="9"/>
  <c r="J156" i="38"/>
  <c r="K150" i="25"/>
  <c r="K110" i="23"/>
  <c r="K111" i="23"/>
  <c r="K102" i="23"/>
  <c r="K42" i="23"/>
  <c r="J93" i="38"/>
  <c r="K92" i="23"/>
  <c r="K93" i="25"/>
  <c r="J63" i="38"/>
  <c r="K62" i="23"/>
  <c r="K63" i="25"/>
  <c r="K105" i="23"/>
  <c r="J183" i="38"/>
  <c r="K176" i="23"/>
  <c r="K177" i="25"/>
  <c r="J158" i="38"/>
  <c r="K152" i="25"/>
  <c r="J161" i="38"/>
  <c r="K154" i="23"/>
  <c r="K155" i="25"/>
  <c r="AJ90" i="10"/>
  <c r="AT56" i="10"/>
  <c r="CP56" i="10" s="1"/>
  <c r="J47" i="38"/>
  <c r="K46" i="23"/>
  <c r="K47" i="25"/>
  <c r="AI70" i="10"/>
  <c r="CL70" i="10" s="1"/>
  <c r="J71" i="38"/>
  <c r="AI114" i="10"/>
  <c r="J115" i="38"/>
  <c r="AI161" i="10"/>
  <c r="CK161" i="10" s="1"/>
  <c r="J168" i="38"/>
  <c r="AI135" i="10"/>
  <c r="Q140" i="10" s="1"/>
  <c r="I36" i="1" s="1"/>
  <c r="Q36" i="1" s="1"/>
  <c r="S36" i="1" s="1"/>
  <c r="J136" i="38"/>
  <c r="AI41" i="10"/>
  <c r="J42" i="38"/>
  <c r="AI34" i="10"/>
  <c r="J35" i="38"/>
  <c r="AI105" i="10"/>
  <c r="J106" i="38"/>
  <c r="J137" i="38"/>
  <c r="AI86" i="10"/>
  <c r="J87" i="38"/>
  <c r="AI94" i="10"/>
  <c r="AJ94" i="10" s="1"/>
  <c r="CL94" i="10" s="1"/>
  <c r="J95" i="38"/>
  <c r="AI117" i="10"/>
  <c r="CK117" i="10" s="1"/>
  <c r="J118" i="38"/>
  <c r="AI122" i="10"/>
  <c r="AI102" i="10"/>
  <c r="CK102" i="10" s="1"/>
  <c r="J103" i="38"/>
  <c r="AI71" i="10"/>
  <c r="CL71" i="10" s="1"/>
  <c r="J72" i="38"/>
  <c r="AI42" i="10"/>
  <c r="CN42" i="10" s="1"/>
  <c r="J43" i="38"/>
  <c r="AI165" i="10"/>
  <c r="CK165" i="10" s="1"/>
  <c r="J172" i="38"/>
  <c r="AI75" i="10"/>
  <c r="CL75" i="10" s="1"/>
  <c r="J76" i="38"/>
  <c r="J145" i="38"/>
  <c r="AI162" i="10"/>
  <c r="CK162" i="10" s="1"/>
  <c r="J169" i="38"/>
  <c r="AI110" i="10"/>
  <c r="CK110" i="10" s="1"/>
  <c r="J111" i="38"/>
  <c r="AI111" i="10"/>
  <c r="J112" i="38"/>
  <c r="AI121" i="10"/>
  <c r="J122" i="38"/>
  <c r="AI43" i="10"/>
  <c r="J44" i="38"/>
  <c r="L165" i="2"/>
  <c r="AI177" i="10"/>
  <c r="N177" i="2"/>
  <c r="AI149" i="10"/>
  <c r="AJ149" i="10" s="1"/>
  <c r="N150" i="2"/>
  <c r="AI151" i="10"/>
  <c r="AJ151" i="10" s="1"/>
  <c r="N152" i="2"/>
  <c r="AI154" i="10"/>
  <c r="AJ154" i="10" s="1"/>
  <c r="CK154" i="10" s="1"/>
  <c r="N155" i="2"/>
  <c r="AI46" i="10"/>
  <c r="Q46" i="10" s="1"/>
  <c r="N47" i="2"/>
  <c r="AI92" i="10"/>
  <c r="N93" i="2"/>
  <c r="AI62" i="10"/>
  <c r="AJ62" i="10" s="1"/>
  <c r="CL62" i="10" s="1"/>
  <c r="N63" i="2"/>
  <c r="V69" i="11"/>
  <c r="K70" i="27"/>
  <c r="V74" i="11"/>
  <c r="K75" i="27"/>
  <c r="M75" i="27" s="1"/>
  <c r="V45" i="11"/>
  <c r="E23" i="12" s="1"/>
  <c r="K46" i="27"/>
  <c r="N46" i="27" s="1"/>
  <c r="K176" i="27"/>
  <c r="N176" i="27" s="1"/>
  <c r="V160" i="11"/>
  <c r="K161" i="27"/>
  <c r="V134" i="11"/>
  <c r="K135" i="27"/>
  <c r="N73" i="27"/>
  <c r="V40" i="11"/>
  <c r="K41" i="27"/>
  <c r="V33" i="11"/>
  <c r="K34" i="27"/>
  <c r="V164" i="11"/>
  <c r="K165" i="27"/>
  <c r="V85" i="11"/>
  <c r="K86" i="27"/>
  <c r="V148" i="11"/>
  <c r="K149" i="27"/>
  <c r="N149" i="27" s="1"/>
  <c r="V93" i="11"/>
  <c r="K94" i="27"/>
  <c r="V150" i="11"/>
  <c r="K151" i="27"/>
  <c r="N151" i="27" s="1"/>
  <c r="K154" i="27"/>
  <c r="N154" i="27" s="1"/>
  <c r="V121" i="11"/>
  <c r="K122" i="27"/>
  <c r="V101" i="11"/>
  <c r="K102" i="27"/>
  <c r="V70" i="11"/>
  <c r="K71" i="27"/>
  <c r="V41" i="11"/>
  <c r="E20" i="12" s="1"/>
  <c r="K42" i="27"/>
  <c r="V104" i="11"/>
  <c r="K105" i="27"/>
  <c r="V135" i="11"/>
  <c r="K136" i="27"/>
  <c r="V161" i="11"/>
  <c r="K162" i="27"/>
  <c r="V109" i="11"/>
  <c r="K110" i="27"/>
  <c r="V110" i="11"/>
  <c r="K111" i="27"/>
  <c r="K121" i="27"/>
  <c r="M121" i="27" s="1"/>
  <c r="V91" i="11"/>
  <c r="K92" i="27"/>
  <c r="V61" i="11"/>
  <c r="K62" i="27"/>
  <c r="N62" i="27" s="1"/>
  <c r="V42" i="11"/>
  <c r="E27" i="12" s="1"/>
  <c r="K43" i="27"/>
  <c r="E43" i="19"/>
  <c r="F43" i="19" s="1"/>
  <c r="F10" i="30"/>
  <c r="H10" i="30" s="1"/>
  <c r="V113" i="11"/>
  <c r="K114" i="27"/>
  <c r="V116" i="11"/>
  <c r="K117" i="27"/>
  <c r="L34" i="2"/>
  <c r="K33" i="24" s="1"/>
  <c r="L13" i="9"/>
  <c r="L149" i="2"/>
  <c r="K148" i="24" s="1"/>
  <c r="L64" i="9"/>
  <c r="K65" i="7"/>
  <c r="L158" i="2"/>
  <c r="V175" i="11"/>
  <c r="V120" i="11"/>
  <c r="J121" i="38"/>
  <c r="L135" i="2"/>
  <c r="V153" i="11"/>
  <c r="V154" i="11"/>
  <c r="E17" i="12" s="1"/>
  <c r="V49" i="11"/>
  <c r="L17" i="3"/>
  <c r="M122" i="27" l="1"/>
  <c r="M120" i="27" s="1"/>
  <c r="N122" i="27"/>
  <c r="N120" i="27" s="1"/>
  <c r="M43" i="27"/>
  <c r="N43" i="27"/>
  <c r="K156" i="28"/>
  <c r="P156" i="28" s="1"/>
  <c r="K157" i="24"/>
  <c r="W70" i="10"/>
  <c r="AC70" i="10"/>
  <c r="Q70" i="10"/>
  <c r="K163" i="28"/>
  <c r="P163" i="28" s="1"/>
  <c r="K164" i="24"/>
  <c r="K172" i="28"/>
  <c r="K173" i="24"/>
  <c r="M70" i="27"/>
  <c r="N70" i="27"/>
  <c r="M94" i="27"/>
  <c r="N94" i="27"/>
  <c r="Q94" i="10"/>
  <c r="W94" i="10"/>
  <c r="Q62" i="10"/>
  <c r="W62" i="10"/>
  <c r="K148" i="23"/>
  <c r="K147" i="28"/>
  <c r="K38" i="28"/>
  <c r="P150" i="28"/>
  <c r="J184" i="38"/>
  <c r="K176" i="28"/>
  <c r="P176" i="28" s="1"/>
  <c r="P134" i="28"/>
  <c r="P133" i="28" s="1"/>
  <c r="P118" i="28" s="1"/>
  <c r="AR133" i="28"/>
  <c r="K33" i="23"/>
  <c r="K32" i="28"/>
  <c r="K107" i="24"/>
  <c r="K107" i="28"/>
  <c r="P45" i="28"/>
  <c r="N178" i="2"/>
  <c r="K178" i="25"/>
  <c r="K177" i="27"/>
  <c r="N177" i="27" s="1"/>
  <c r="AI178" i="10"/>
  <c r="AJ178" i="10" s="1"/>
  <c r="CK178" i="10" s="1"/>
  <c r="Q178" i="10" s="1"/>
  <c r="CQ178" i="10" s="1"/>
  <c r="K177" i="23"/>
  <c r="K108" i="23"/>
  <c r="K107" i="23" s="1"/>
  <c r="E31" i="12"/>
  <c r="V176" i="11"/>
  <c r="M71" i="27"/>
  <c r="N71" i="27"/>
  <c r="AH56" i="10"/>
  <c r="AH55" i="10" s="1"/>
  <c r="AB56" i="10"/>
  <c r="V56" i="10"/>
  <c r="M41" i="27"/>
  <c r="N41" i="27"/>
  <c r="W162" i="10"/>
  <c r="AC162" i="10"/>
  <c r="Q162" i="10"/>
  <c r="K34" i="25"/>
  <c r="K33" i="25" s="1"/>
  <c r="N34" i="2"/>
  <c r="N33" i="2" s="1"/>
  <c r="W165" i="10"/>
  <c r="AC165" i="10"/>
  <c r="Q165" i="10"/>
  <c r="K165" i="25"/>
  <c r="K161" i="25" s="1"/>
  <c r="K160" i="25" s="1"/>
  <c r="K160" i="24"/>
  <c r="K159" i="24" s="1"/>
  <c r="N165" i="2"/>
  <c r="N161" i="2" s="1"/>
  <c r="Q110" i="10"/>
  <c r="W110" i="10"/>
  <c r="Q161" i="10"/>
  <c r="W161" i="10"/>
  <c r="M165" i="27"/>
  <c r="N165" i="27"/>
  <c r="M162" i="27"/>
  <c r="N162" i="27"/>
  <c r="M136" i="27"/>
  <c r="N136" i="27"/>
  <c r="M117" i="27"/>
  <c r="N117" i="27"/>
  <c r="M135" i="27"/>
  <c r="N135" i="27"/>
  <c r="M114" i="27"/>
  <c r="N114" i="27"/>
  <c r="M86" i="27"/>
  <c r="N86" i="27"/>
  <c r="M34" i="27"/>
  <c r="N34" i="27"/>
  <c r="CL56" i="10"/>
  <c r="W117" i="10"/>
  <c r="Q117" i="10"/>
  <c r="W71" i="10"/>
  <c r="Q71" i="10"/>
  <c r="AC71" i="10"/>
  <c r="Q42" i="10"/>
  <c r="W42" i="10"/>
  <c r="Q102" i="10"/>
  <c r="W102" i="10"/>
  <c r="AI120" i="10"/>
  <c r="K108" i="27"/>
  <c r="M108" i="27" s="1"/>
  <c r="J109" i="38"/>
  <c r="V107" i="11"/>
  <c r="AI108" i="10"/>
  <c r="W75" i="10"/>
  <c r="AC75" i="10"/>
  <c r="K172" i="24"/>
  <c r="K171" i="24" s="1"/>
  <c r="K167" i="24" s="1"/>
  <c r="L173" i="2"/>
  <c r="M111" i="27"/>
  <c r="N111" i="27"/>
  <c r="AC41" i="10"/>
  <c r="W41" i="10"/>
  <c r="Q41" i="10"/>
  <c r="AJ75" i="10"/>
  <c r="Q75" i="10"/>
  <c r="M110" i="27"/>
  <c r="N110" i="27"/>
  <c r="AC43" i="10"/>
  <c r="W43" i="10"/>
  <c r="Q43" i="10"/>
  <c r="K109" i="25"/>
  <c r="K108" i="25" s="1"/>
  <c r="N109" i="2"/>
  <c r="N108" i="2" s="1"/>
  <c r="M42" i="27"/>
  <c r="N42" i="27"/>
  <c r="M102" i="27"/>
  <c r="N102" i="27"/>
  <c r="N174" i="2"/>
  <c r="V172" i="11"/>
  <c r="E28" i="12" s="1"/>
  <c r="K174" i="25"/>
  <c r="M161" i="27"/>
  <c r="N161" i="27"/>
  <c r="L39" i="2"/>
  <c r="J39" i="38" s="1"/>
  <c r="K40" i="25"/>
  <c r="K39" i="25" s="1"/>
  <c r="V38" i="11"/>
  <c r="V37" i="11" s="1"/>
  <c r="N40" i="2"/>
  <c r="N39" i="2" s="1"/>
  <c r="K39" i="23"/>
  <c r="K38" i="23" s="1"/>
  <c r="K39" i="27"/>
  <c r="N39" i="27" s="1"/>
  <c r="AI39" i="10"/>
  <c r="AI38" i="10" s="1"/>
  <c r="W149" i="10"/>
  <c r="Q149" i="10"/>
  <c r="W154" i="10"/>
  <c r="Q154" i="10"/>
  <c r="Q151" i="10"/>
  <c r="W151" i="10"/>
  <c r="J171" i="38"/>
  <c r="K164" i="23"/>
  <c r="K160" i="23" s="1"/>
  <c r="K159" i="23" s="1"/>
  <c r="M105" i="27"/>
  <c r="N105" i="27"/>
  <c r="AJ71" i="10"/>
  <c r="AI174" i="10"/>
  <c r="AJ174" i="10" s="1"/>
  <c r="CK174" i="10" s="1"/>
  <c r="K173" i="23"/>
  <c r="J180" i="38"/>
  <c r="K173" i="27"/>
  <c r="N173" i="27" s="1"/>
  <c r="J40" i="38"/>
  <c r="K38" i="24"/>
  <c r="J135" i="38"/>
  <c r="L120" i="2"/>
  <c r="AR118" i="28" s="1"/>
  <c r="AI134" i="10"/>
  <c r="K164" i="27"/>
  <c r="J164" i="38"/>
  <c r="K157" i="23"/>
  <c r="K158" i="25"/>
  <c r="AJ86" i="10"/>
  <c r="CL86" i="10" s="1"/>
  <c r="V163" i="11"/>
  <c r="E33" i="12" s="1"/>
  <c r="J155" i="38"/>
  <c r="K149" i="25"/>
  <c r="Q135" i="10"/>
  <c r="AC135" i="10"/>
  <c r="W135" i="10"/>
  <c r="O153" i="10"/>
  <c r="O146" i="10" s="1"/>
  <c r="N153" i="10"/>
  <c r="N146" i="10" s="1"/>
  <c r="M153" i="10"/>
  <c r="M146" i="10" s="1"/>
  <c r="AC102" i="10"/>
  <c r="AC110" i="10"/>
  <c r="AC34" i="10"/>
  <c r="Q34" i="10"/>
  <c r="W34" i="10"/>
  <c r="L161" i="2"/>
  <c r="AI164" i="10"/>
  <c r="AI33" i="10"/>
  <c r="J34" i="38"/>
  <c r="W177" i="10"/>
  <c r="AJ177" i="10"/>
  <c r="CK177" i="10" s="1"/>
  <c r="Q177" i="10" s="1"/>
  <c r="AJ92" i="10"/>
  <c r="CL92" i="10" s="1"/>
  <c r="M92" i="27"/>
  <c r="N92" i="27"/>
  <c r="M151" i="27"/>
  <c r="M149" i="27"/>
  <c r="M62" i="27"/>
  <c r="M154" i="27"/>
  <c r="M176" i="27"/>
  <c r="AI157" i="10"/>
  <c r="N158" i="2"/>
  <c r="AI148" i="10"/>
  <c r="AJ148" i="10" s="1"/>
  <c r="N149" i="2"/>
  <c r="K120" i="27"/>
  <c r="K134" i="27"/>
  <c r="V32" i="11"/>
  <c r="K33" i="27"/>
  <c r="K157" i="27"/>
  <c r="N157" i="27" s="1"/>
  <c r="V147" i="11"/>
  <c r="K148" i="27"/>
  <c r="N148" i="27" s="1"/>
  <c r="M46" i="27"/>
  <c r="G43" i="19"/>
  <c r="L10" i="30"/>
  <c r="N10" i="30" s="1"/>
  <c r="V156" i="11"/>
  <c r="V119" i="11"/>
  <c r="V133" i="11"/>
  <c r="L20" i="3"/>
  <c r="L19" i="3" s="1"/>
  <c r="L151" i="2"/>
  <c r="K150" i="24" s="1"/>
  <c r="L157" i="2"/>
  <c r="K159" i="28" l="1"/>
  <c r="K158" i="28" s="1"/>
  <c r="K155" i="28"/>
  <c r="K156" i="24"/>
  <c r="K153" i="24" s="1"/>
  <c r="K172" i="23"/>
  <c r="K171" i="23" s="1"/>
  <c r="K167" i="23" s="1"/>
  <c r="Q92" i="10"/>
  <c r="AC92" i="10"/>
  <c r="W92" i="10"/>
  <c r="AC86" i="10"/>
  <c r="Q86" i="10"/>
  <c r="W86" i="10"/>
  <c r="CK94" i="10"/>
  <c r="N134" i="27"/>
  <c r="M134" i="27"/>
  <c r="M119" i="27" s="1"/>
  <c r="P32" i="28"/>
  <c r="K171" i="28"/>
  <c r="K170" i="28" s="1"/>
  <c r="K166" i="28" s="1"/>
  <c r="K37" i="28"/>
  <c r="AR37" i="28" s="1"/>
  <c r="P38" i="28"/>
  <c r="P37" i="28" s="1"/>
  <c r="K150" i="23"/>
  <c r="K147" i="23" s="1"/>
  <c r="K149" i="28"/>
  <c r="K152" i="28"/>
  <c r="P155" i="28"/>
  <c r="AR159" i="28"/>
  <c r="K106" i="28"/>
  <c r="P107" i="28"/>
  <c r="P106" i="28" s="1"/>
  <c r="J179" i="38"/>
  <c r="P172" i="28"/>
  <c r="P171" i="28" s="1"/>
  <c r="P170" i="28" s="1"/>
  <c r="J167" i="38"/>
  <c r="P160" i="28"/>
  <c r="P159" i="28" s="1"/>
  <c r="P158" i="28" s="1"/>
  <c r="N172" i="27"/>
  <c r="N171" i="27" s="1"/>
  <c r="N167" i="27" s="1"/>
  <c r="M177" i="27"/>
  <c r="K173" i="25"/>
  <c r="K172" i="25" s="1"/>
  <c r="K168" i="25" s="1"/>
  <c r="V106" i="11"/>
  <c r="E16" i="12"/>
  <c r="Q56" i="10"/>
  <c r="AC56" i="10"/>
  <c r="W56" i="10"/>
  <c r="AI160" i="10"/>
  <c r="AI159" i="10" s="1"/>
  <c r="CK164" i="10"/>
  <c r="M164" i="27"/>
  <c r="M160" i="27" s="1"/>
  <c r="M159" i="27" s="1"/>
  <c r="N164" i="27"/>
  <c r="N160" i="27" s="1"/>
  <c r="N159" i="27" s="1"/>
  <c r="M33" i="27"/>
  <c r="N33" i="27"/>
  <c r="N32" i="27" s="1"/>
  <c r="N108" i="27"/>
  <c r="N107" i="27" s="1"/>
  <c r="AI119" i="10"/>
  <c r="M107" i="27"/>
  <c r="V171" i="11"/>
  <c r="K172" i="27"/>
  <c r="AI107" i="10"/>
  <c r="CR56" i="10"/>
  <c r="CR57" i="10" s="1"/>
  <c r="CQ34" i="10"/>
  <c r="CQ154" i="10"/>
  <c r="CQ75" i="10"/>
  <c r="K173" i="10"/>
  <c r="CQ177" i="10"/>
  <c r="AI173" i="10"/>
  <c r="AI172" i="10" s="1"/>
  <c r="AI167" i="10" s="1"/>
  <c r="N38" i="27"/>
  <c r="M173" i="27"/>
  <c r="M39" i="27"/>
  <c r="M38" i="27" s="1"/>
  <c r="Q148" i="10"/>
  <c r="W148" i="10"/>
  <c r="CI56" i="10"/>
  <c r="V159" i="11"/>
  <c r="J157" i="38"/>
  <c r="K151" i="25"/>
  <c r="K148" i="25" s="1"/>
  <c r="K147" i="24"/>
  <c r="J163" i="38"/>
  <c r="K156" i="23"/>
  <c r="K153" i="23" s="1"/>
  <c r="K146" i="23" s="1"/>
  <c r="K157" i="25"/>
  <c r="K154" i="25" s="1"/>
  <c r="X153" i="10"/>
  <c r="W33" i="10"/>
  <c r="AC33" i="10"/>
  <c r="Q33" i="10"/>
  <c r="AU154" i="10"/>
  <c r="M157" i="27"/>
  <c r="M148" i="27"/>
  <c r="AU155" i="10"/>
  <c r="AI156" i="10"/>
  <c r="AJ156" i="10" s="1"/>
  <c r="CK156" i="10" s="1"/>
  <c r="N157" i="2"/>
  <c r="N154" i="2" s="1"/>
  <c r="AI150" i="10"/>
  <c r="AJ150" i="10" s="1"/>
  <c r="N151" i="2"/>
  <c r="N148" i="2" s="1"/>
  <c r="AJ157" i="10"/>
  <c r="CK157" i="10" s="1"/>
  <c r="K156" i="27"/>
  <c r="N156" i="27" s="1"/>
  <c r="N153" i="27" s="1"/>
  <c r="V149" i="11"/>
  <c r="E19" i="12" s="1"/>
  <c r="K150" i="27"/>
  <c r="N150" i="27" s="1"/>
  <c r="N147" i="27" s="1"/>
  <c r="H43" i="19"/>
  <c r="R10" i="30" s="1"/>
  <c r="T10" i="30" s="1"/>
  <c r="O10" i="30"/>
  <c r="Q10" i="30" s="1"/>
  <c r="I10" i="30"/>
  <c r="K10" i="30" s="1"/>
  <c r="L59" i="2"/>
  <c r="V155" i="11"/>
  <c r="E18" i="12" s="1"/>
  <c r="L117" i="2"/>
  <c r="L68" i="2"/>
  <c r="P69" i="9"/>
  <c r="O69" i="9"/>
  <c r="N69" i="9"/>
  <c r="O66" i="9"/>
  <c r="N66" i="9"/>
  <c r="P66" i="9"/>
  <c r="P58" i="9"/>
  <c r="P54" i="9" s="1"/>
  <c r="O58" i="9"/>
  <c r="N58" i="9"/>
  <c r="N54" i="9" s="1"/>
  <c r="P52" i="9"/>
  <c r="O52" i="9"/>
  <c r="N52" i="9"/>
  <c r="P40" i="9"/>
  <c r="O40" i="9"/>
  <c r="N40" i="9"/>
  <c r="P33" i="9"/>
  <c r="O33" i="9"/>
  <c r="N33" i="9"/>
  <c r="P62" i="8"/>
  <c r="O62" i="8"/>
  <c r="N62" i="8"/>
  <c r="O57" i="8"/>
  <c r="N57" i="8"/>
  <c r="P57" i="8"/>
  <c r="P50" i="8"/>
  <c r="O50" i="8"/>
  <c r="N50" i="8"/>
  <c r="P43" i="8"/>
  <c r="O43" i="8"/>
  <c r="N43" i="8"/>
  <c r="P39" i="8"/>
  <c r="O39" i="8"/>
  <c r="N39" i="8"/>
  <c r="P37" i="8"/>
  <c r="O37" i="8"/>
  <c r="N37" i="8"/>
  <c r="P33" i="8"/>
  <c r="O33" i="8"/>
  <c r="N33" i="8"/>
  <c r="P28" i="8"/>
  <c r="O28" i="8"/>
  <c r="N28" i="8"/>
  <c r="P30" i="8"/>
  <c r="O30" i="8"/>
  <c r="N30" i="8"/>
  <c r="O68" i="7"/>
  <c r="N68" i="7"/>
  <c r="M68" i="7"/>
  <c r="O63" i="7"/>
  <c r="N63" i="7"/>
  <c r="M63" i="7"/>
  <c r="O58" i="7"/>
  <c r="N58" i="7"/>
  <c r="N52" i="7" s="1"/>
  <c r="M58" i="7"/>
  <c r="M52" i="7" s="1"/>
  <c r="N35" i="9"/>
  <c r="P35" i="9"/>
  <c r="O35" i="9"/>
  <c r="O50" i="7"/>
  <c r="N50" i="7"/>
  <c r="M50" i="7"/>
  <c r="O48" i="7"/>
  <c r="N48" i="7"/>
  <c r="M48" i="7"/>
  <c r="O46" i="7"/>
  <c r="N46" i="7"/>
  <c r="M46" i="7"/>
  <c r="P42" i="9"/>
  <c r="O42" i="9"/>
  <c r="N42" i="9"/>
  <c r="P44" i="9"/>
  <c r="O44" i="9"/>
  <c r="N44" i="9"/>
  <c r="O32" i="7"/>
  <c r="N32" i="7"/>
  <c r="M32" i="7"/>
  <c r="O27" i="7"/>
  <c r="N27" i="7"/>
  <c r="M27" i="7"/>
  <c r="O29" i="7"/>
  <c r="N29" i="7"/>
  <c r="M29" i="7"/>
  <c r="P48" i="9"/>
  <c r="O48" i="9"/>
  <c r="N48" i="9"/>
  <c r="O18" i="6"/>
  <c r="N18" i="6"/>
  <c r="M53" i="6"/>
  <c r="O53" i="6"/>
  <c r="N53" i="6"/>
  <c r="O60" i="6"/>
  <c r="N60" i="6"/>
  <c r="M60" i="6"/>
  <c r="O47" i="6"/>
  <c r="N47" i="6"/>
  <c r="M47" i="6"/>
  <c r="O45" i="6"/>
  <c r="N45" i="6"/>
  <c r="M45" i="6"/>
  <c r="O43" i="6"/>
  <c r="N43" i="6"/>
  <c r="M43" i="6"/>
  <c r="O39" i="6"/>
  <c r="N39" i="6"/>
  <c r="M39" i="6"/>
  <c r="O37" i="6"/>
  <c r="N37" i="6"/>
  <c r="M37" i="6"/>
  <c r="O33" i="6"/>
  <c r="N33" i="6"/>
  <c r="M33" i="6"/>
  <c r="O26" i="6"/>
  <c r="N26" i="6"/>
  <c r="M26" i="6"/>
  <c r="O22" i="6"/>
  <c r="X55" i="2" s="1"/>
  <c r="N22" i="6"/>
  <c r="U55" i="2" s="1"/>
  <c r="M22" i="6"/>
  <c r="R55" i="2" s="1"/>
  <c r="O30" i="6"/>
  <c r="N30" i="6"/>
  <c r="M30" i="6"/>
  <c r="L30" i="6"/>
  <c r="O54" i="24" l="1"/>
  <c r="W43" i="77"/>
  <c r="M54" i="24"/>
  <c r="M49" i="24" s="1"/>
  <c r="N43" i="77"/>
  <c r="N54" i="24"/>
  <c r="T43" i="77"/>
  <c r="U43" i="77" s="1"/>
  <c r="K57" i="28"/>
  <c r="P57" i="28" s="1"/>
  <c r="P56" i="28" s="1"/>
  <c r="K58" i="24"/>
  <c r="K57" i="24" s="1"/>
  <c r="K66" i="28"/>
  <c r="P66" i="28" s="1"/>
  <c r="K67" i="24"/>
  <c r="K115" i="28"/>
  <c r="P115" i="28" s="1"/>
  <c r="K116" i="24"/>
  <c r="CK92" i="10"/>
  <c r="M172" i="27"/>
  <c r="M171" i="27" s="1"/>
  <c r="M167" i="27" s="1"/>
  <c r="K56" i="28"/>
  <c r="P149" i="28"/>
  <c r="K146" i="28"/>
  <c r="AR171" i="28"/>
  <c r="M55" i="25"/>
  <c r="M50" i="25" s="1"/>
  <c r="M8" i="25" s="1"/>
  <c r="M7" i="25" s="1"/>
  <c r="V53" i="28"/>
  <c r="N55" i="25"/>
  <c r="N50" i="25" s="1"/>
  <c r="AA53" i="28"/>
  <c r="O55" i="25"/>
  <c r="O50" i="25" s="1"/>
  <c r="O8" i="25" s="1"/>
  <c r="O7" i="25" s="1"/>
  <c r="AF53" i="28"/>
  <c r="Q156" i="10"/>
  <c r="W156" i="10"/>
  <c r="W153" i="10" s="1"/>
  <c r="CQ56" i="10"/>
  <c r="K67" i="23"/>
  <c r="K68" i="25"/>
  <c r="N68" i="2"/>
  <c r="K117" i="25"/>
  <c r="N117" i="2"/>
  <c r="W164" i="10"/>
  <c r="AC164" i="10"/>
  <c r="Q164" i="10"/>
  <c r="CQ33" i="10"/>
  <c r="CQ174" i="10"/>
  <c r="O54" i="9"/>
  <c r="O52" i="7"/>
  <c r="W150" i="10"/>
  <c r="Q150" i="10"/>
  <c r="K116" i="23"/>
  <c r="K146" i="24"/>
  <c r="K140" i="24" s="1"/>
  <c r="K147" i="25"/>
  <c r="J59" i="38"/>
  <c r="K58" i="23"/>
  <c r="K57" i="23" s="1"/>
  <c r="K59" i="25"/>
  <c r="K58" i="25" s="1"/>
  <c r="AI153" i="10"/>
  <c r="AI147" i="10"/>
  <c r="M55" i="38"/>
  <c r="T54" i="23"/>
  <c r="N49" i="24"/>
  <c r="N55" i="38"/>
  <c r="W54" i="23"/>
  <c r="O49" i="24"/>
  <c r="Q54" i="23"/>
  <c r="V146" i="11"/>
  <c r="V139" i="11" s="1"/>
  <c r="S54" i="27"/>
  <c r="U54" i="27" s="1"/>
  <c r="U49" i="27" s="1"/>
  <c r="L55" i="38"/>
  <c r="AI116" i="10"/>
  <c r="CK116" i="10" s="1"/>
  <c r="J117" i="38"/>
  <c r="AI67" i="10"/>
  <c r="J68" i="38"/>
  <c r="N146" i="27"/>
  <c r="W54" i="27"/>
  <c r="Z54" i="27" s="1"/>
  <c r="AQ54" i="10"/>
  <c r="AA54" i="27"/>
  <c r="M150" i="27"/>
  <c r="M147" i="27" s="1"/>
  <c r="M156" i="27"/>
  <c r="M153" i="27" s="1"/>
  <c r="AM54" i="10"/>
  <c r="W55" i="2"/>
  <c r="AO54" i="10"/>
  <c r="AP54" i="10" s="1"/>
  <c r="CO54" i="10" s="1"/>
  <c r="AI58" i="10"/>
  <c r="AJ58" i="10" s="1"/>
  <c r="N59" i="2"/>
  <c r="N58" i="2" s="1"/>
  <c r="U50" i="2"/>
  <c r="V57" i="11"/>
  <c r="E29" i="12" s="1"/>
  <c r="K58" i="27"/>
  <c r="N58" i="27" s="1"/>
  <c r="N57" i="27" s="1"/>
  <c r="X50" i="2"/>
  <c r="R50" i="2"/>
  <c r="V66" i="11"/>
  <c r="K67" i="27"/>
  <c r="V115" i="11"/>
  <c r="K116" i="27"/>
  <c r="N45" i="7"/>
  <c r="O45" i="7"/>
  <c r="M45" i="7"/>
  <c r="V152" i="11"/>
  <c r="P37" i="9"/>
  <c r="O37" i="9"/>
  <c r="N37" i="9"/>
  <c r="P47" i="9"/>
  <c r="O47" i="9"/>
  <c r="N47" i="9"/>
  <c r="P63" i="9"/>
  <c r="O63" i="9"/>
  <c r="N63" i="9"/>
  <c r="P68" i="9"/>
  <c r="O68" i="9"/>
  <c r="N68" i="9"/>
  <c r="P72" i="9"/>
  <c r="O72" i="9"/>
  <c r="N72" i="9"/>
  <c r="P75" i="9"/>
  <c r="O75" i="9"/>
  <c r="N75" i="9"/>
  <c r="P7" i="8"/>
  <c r="O7" i="8"/>
  <c r="N7" i="8"/>
  <c r="P42" i="8"/>
  <c r="O42" i="8"/>
  <c r="N42" i="8"/>
  <c r="P49" i="8"/>
  <c r="O49" i="8"/>
  <c r="N49" i="8"/>
  <c r="P56" i="8"/>
  <c r="O56" i="8"/>
  <c r="N56" i="8"/>
  <c r="P61" i="8"/>
  <c r="O61" i="8"/>
  <c r="N61" i="8"/>
  <c r="P65" i="8"/>
  <c r="O65" i="8"/>
  <c r="N65" i="8"/>
  <c r="P68" i="8"/>
  <c r="O68" i="8"/>
  <c r="N68" i="8"/>
  <c r="O7" i="7"/>
  <c r="N7" i="7"/>
  <c r="M7" i="7"/>
  <c r="O62" i="7"/>
  <c r="N62" i="7"/>
  <c r="M62" i="7"/>
  <c r="O67" i="7"/>
  <c r="N67" i="7"/>
  <c r="M67" i="7"/>
  <c r="O71" i="7"/>
  <c r="N71" i="7"/>
  <c r="M71" i="7"/>
  <c r="O74" i="7"/>
  <c r="N74" i="7"/>
  <c r="M74" i="7"/>
  <c r="K145" i="28" l="1"/>
  <c r="AE53" i="28"/>
  <c r="AA48" i="28"/>
  <c r="AJ53" i="28"/>
  <c r="AJ48" i="28" s="1"/>
  <c r="AJ6" i="28" s="1"/>
  <c r="AJ5" i="28" s="1"/>
  <c r="AJ181" i="28" s="1"/>
  <c r="AF48" i="28"/>
  <c r="AF6" i="28" s="1"/>
  <c r="AF5" i="28" s="1"/>
  <c r="AF181" i="28" s="1"/>
  <c r="Z53" i="28"/>
  <c r="Z48" i="28" s="1"/>
  <c r="V48" i="28"/>
  <c r="V6" i="28" s="1"/>
  <c r="V5" i="28" s="1"/>
  <c r="CQ156" i="10"/>
  <c r="W49" i="23"/>
  <c r="W7" i="23" s="1"/>
  <c r="W6" i="23" s="1"/>
  <c r="W182" i="23" s="1"/>
  <c r="Q49" i="23"/>
  <c r="Q7" i="23" s="1"/>
  <c r="Q6" i="23" s="1"/>
  <c r="Q182" i="23" s="1"/>
  <c r="T49" i="23"/>
  <c r="Q116" i="10"/>
  <c r="W116" i="10"/>
  <c r="M116" i="27"/>
  <c r="N116" i="27"/>
  <c r="M67" i="27"/>
  <c r="N67" i="27"/>
  <c r="Z54" i="10"/>
  <c r="AF54" i="10"/>
  <c r="T54" i="10"/>
  <c r="AJ67" i="10"/>
  <c r="CL67" i="10"/>
  <c r="W58" i="10"/>
  <c r="Q58" i="10"/>
  <c r="N140" i="27"/>
  <c r="AU157" i="10"/>
  <c r="AI146" i="10"/>
  <c r="S49" i="27"/>
  <c r="L50" i="38"/>
  <c r="W49" i="27"/>
  <c r="M50" i="38"/>
  <c r="AI57" i="10"/>
  <c r="AA49" i="27"/>
  <c r="N50" i="38"/>
  <c r="Y54" i="27"/>
  <c r="O49" i="10"/>
  <c r="M146" i="27"/>
  <c r="M140" i="27" s="1"/>
  <c r="M49" i="10"/>
  <c r="M58" i="27"/>
  <c r="M57" i="27" s="1"/>
  <c r="Z55" i="2"/>
  <c r="Z50" i="2" s="1"/>
  <c r="N49" i="10"/>
  <c r="V56" i="11"/>
  <c r="O64" i="8"/>
  <c r="N64" i="8"/>
  <c r="P64" i="8"/>
  <c r="N71" i="9"/>
  <c r="P71" i="9"/>
  <c r="O71" i="9"/>
  <c r="N46" i="9"/>
  <c r="P46" i="9"/>
  <c r="O46" i="9"/>
  <c r="N41" i="8"/>
  <c r="P41" i="8"/>
  <c r="O41" i="8"/>
  <c r="O70" i="7"/>
  <c r="N70" i="7"/>
  <c r="M70" i="7"/>
  <c r="M44" i="7"/>
  <c r="O44" i="7"/>
  <c r="N44" i="7"/>
  <c r="L33" i="3"/>
  <c r="L88" i="2" s="1"/>
  <c r="K86" i="28" l="1"/>
  <c r="P86" i="28" s="1"/>
  <c r="K87" i="24"/>
  <c r="AG183" i="28"/>
  <c r="W67" i="10"/>
  <c r="Q67" i="10"/>
  <c r="AC67" i="10"/>
  <c r="AU156" i="10"/>
  <c r="J88" i="38"/>
  <c r="K87" i="23"/>
  <c r="K88" i="25"/>
  <c r="AI87" i="10"/>
  <c r="N88" i="2"/>
  <c r="V86" i="11"/>
  <c r="K87" i="27"/>
  <c r="N87" i="27" s="1"/>
  <c r="AA72" i="2"/>
  <c r="AK70" i="28" l="1"/>
  <c r="AO70" i="28" s="1"/>
  <c r="G55" i="40"/>
  <c r="K56" i="77" s="1"/>
  <c r="P71" i="24"/>
  <c r="P72" i="25"/>
  <c r="S72" i="25" s="1"/>
  <c r="AE72" i="2"/>
  <c r="AJ87" i="10"/>
  <c r="CJ87" i="10"/>
  <c r="CQ67" i="10"/>
  <c r="Z71" i="23"/>
  <c r="AS71" i="10"/>
  <c r="CO71" i="10" s="1"/>
  <c r="O72" i="38"/>
  <c r="M87" i="27"/>
  <c r="W70" i="11"/>
  <c r="AE71" i="27"/>
  <c r="AN72" i="2"/>
  <c r="AA153" i="2"/>
  <c r="P152" i="24" s="1"/>
  <c r="H56" i="77" l="1"/>
  <c r="I56" i="77" s="1"/>
  <c r="L56" i="77"/>
  <c r="O55" i="40"/>
  <c r="L55" i="40"/>
  <c r="N55" i="40"/>
  <c r="AK151" i="28"/>
  <c r="AO151" i="28" s="1"/>
  <c r="G118" i="40"/>
  <c r="K119" i="77" s="1"/>
  <c r="AG71" i="27"/>
  <c r="AH71" i="27"/>
  <c r="AB71" i="10"/>
  <c r="V71" i="10"/>
  <c r="AH71" i="10"/>
  <c r="AT71" i="10"/>
  <c r="O159" i="38"/>
  <c r="Z152" i="23"/>
  <c r="P153" i="25"/>
  <c r="R153" i="25" s="1"/>
  <c r="AE153" i="2"/>
  <c r="AS152" i="10"/>
  <c r="AT152" i="10" s="1"/>
  <c r="AE152" i="27"/>
  <c r="AM153" i="2"/>
  <c r="W151" i="11"/>
  <c r="AA166" i="2"/>
  <c r="AA152" i="2"/>
  <c r="AA118" i="2"/>
  <c r="AA112" i="2"/>
  <c r="AA106" i="2"/>
  <c r="AA97" i="2"/>
  <c r="AA91" i="2"/>
  <c r="AA77" i="2"/>
  <c r="AA38" i="2"/>
  <c r="AA37" i="2"/>
  <c r="P12" i="7"/>
  <c r="O12" i="7"/>
  <c r="N12" i="7"/>
  <c r="M12" i="7"/>
  <c r="L12" i="7"/>
  <c r="K12" i="7"/>
  <c r="H119" i="77" l="1"/>
  <c r="I119" i="77" s="1"/>
  <c r="L119" i="77"/>
  <c r="P97" i="25"/>
  <c r="S97" i="25" s="1"/>
  <c r="AE97" i="2"/>
  <c r="AK36" i="28"/>
  <c r="AO36" i="28" s="1"/>
  <c r="G29" i="40"/>
  <c r="K30" i="77" s="1"/>
  <c r="P37" i="24"/>
  <c r="AK164" i="28"/>
  <c r="AO164" i="28" s="1"/>
  <c r="G128" i="40"/>
  <c r="K129" i="77" s="1"/>
  <c r="P165" i="24"/>
  <c r="AK104" i="28"/>
  <c r="AO104" i="28" s="1"/>
  <c r="G79" i="40"/>
  <c r="K80" i="77" s="1"/>
  <c r="P105" i="24"/>
  <c r="G58" i="40"/>
  <c r="K59" i="77" s="1"/>
  <c r="P76" i="24"/>
  <c r="P73" i="24" s="1"/>
  <c r="AK110" i="28"/>
  <c r="AO110" i="28" s="1"/>
  <c r="G84" i="40"/>
  <c r="K85" i="77" s="1"/>
  <c r="P111" i="24"/>
  <c r="AK89" i="28"/>
  <c r="AO89" i="28" s="1"/>
  <c r="G68" i="40"/>
  <c r="K69" i="77" s="1"/>
  <c r="AK116" i="28"/>
  <c r="AO116" i="28" s="1"/>
  <c r="G89" i="40"/>
  <c r="K90" i="77" s="1"/>
  <c r="P117" i="24"/>
  <c r="AK35" i="28"/>
  <c r="AO35" i="28" s="1"/>
  <c r="G28" i="40"/>
  <c r="K29" i="77" s="1"/>
  <c r="P36" i="24"/>
  <c r="AK95" i="28"/>
  <c r="AO95" i="28" s="1"/>
  <c r="G73" i="40"/>
  <c r="P96" i="24"/>
  <c r="AK150" i="28"/>
  <c r="AO150" i="28" s="1"/>
  <c r="G117" i="40"/>
  <c r="K118" i="77" s="1"/>
  <c r="P151" i="24"/>
  <c r="O118" i="40"/>
  <c r="N118" i="40"/>
  <c r="L118" i="40"/>
  <c r="AK75" i="28"/>
  <c r="AO75" i="28" s="1"/>
  <c r="Z90" i="23"/>
  <c r="AO91" i="2"/>
  <c r="AO86" i="2" s="1"/>
  <c r="G17" i="19" s="1"/>
  <c r="Z36" i="23"/>
  <c r="P37" i="25"/>
  <c r="S37" i="25" s="1"/>
  <c r="AE37" i="2"/>
  <c r="Z96" i="23"/>
  <c r="Z37" i="23"/>
  <c r="P38" i="25"/>
  <c r="S38" i="25" s="1"/>
  <c r="AE38" i="2"/>
  <c r="P118" i="25"/>
  <c r="S118" i="25" s="1"/>
  <c r="AE118" i="2"/>
  <c r="Z165" i="23"/>
  <c r="P166" i="25"/>
  <c r="S166" i="25" s="1"/>
  <c r="AE166" i="2"/>
  <c r="CR71" i="10"/>
  <c r="P112" i="25"/>
  <c r="R112" i="25" s="1"/>
  <c r="AE112" i="2"/>
  <c r="P106" i="25"/>
  <c r="R106" i="25" s="1"/>
  <c r="R102" i="25" s="1"/>
  <c r="J19" i="30" s="1"/>
  <c r="AE106" i="2"/>
  <c r="AB152" i="10"/>
  <c r="V152" i="10"/>
  <c r="CI71" i="10"/>
  <c r="CJ71" i="10" s="1"/>
  <c r="O118" i="38"/>
  <c r="Z117" i="23"/>
  <c r="O158" i="38"/>
  <c r="Z151" i="23"/>
  <c r="P152" i="25"/>
  <c r="R152" i="25" s="1"/>
  <c r="Z105" i="23"/>
  <c r="O77" i="38"/>
  <c r="Z76" i="23"/>
  <c r="Z111" i="23"/>
  <c r="AS36" i="10"/>
  <c r="O37" i="38"/>
  <c r="AS111" i="10"/>
  <c r="O112" i="38"/>
  <c r="AS165" i="10"/>
  <c r="CN165" i="10" s="1"/>
  <c r="O172" i="38"/>
  <c r="AS37" i="10"/>
  <c r="O38" i="38"/>
  <c r="AS90" i="10"/>
  <c r="CL90" i="10" s="1"/>
  <c r="O91" i="38"/>
  <c r="AS105" i="10"/>
  <c r="O106" i="38"/>
  <c r="AS96" i="10"/>
  <c r="AT96" i="10" s="1"/>
  <c r="O97" i="38"/>
  <c r="O145" i="38"/>
  <c r="AS76" i="10"/>
  <c r="AN77" i="2"/>
  <c r="AG152" i="27"/>
  <c r="AH152" i="27"/>
  <c r="AE152" i="2"/>
  <c r="AS151" i="10"/>
  <c r="AT151" i="10" s="1"/>
  <c r="AN118" i="2"/>
  <c r="AS117" i="10"/>
  <c r="CN117" i="10" s="1"/>
  <c r="AE105" i="27"/>
  <c r="AM106" i="2"/>
  <c r="AE37" i="27"/>
  <c r="AN38" i="2"/>
  <c r="AE151" i="27"/>
  <c r="AM152" i="2"/>
  <c r="AE76" i="27"/>
  <c r="AG76" i="27" s="1"/>
  <c r="AM77" i="2"/>
  <c r="AE90" i="27"/>
  <c r="AG90" i="27" s="1"/>
  <c r="AN91" i="2"/>
  <c r="AE96" i="27"/>
  <c r="AN97" i="2"/>
  <c r="W110" i="11"/>
  <c r="AE111" i="27"/>
  <c r="AM112" i="2"/>
  <c r="AE36" i="27"/>
  <c r="AN37" i="2"/>
  <c r="AE165" i="27"/>
  <c r="AN166" i="2"/>
  <c r="AE117" i="27"/>
  <c r="W116" i="11"/>
  <c r="W36" i="11"/>
  <c r="W150" i="11"/>
  <c r="W89" i="11"/>
  <c r="W95" i="11"/>
  <c r="W75" i="11"/>
  <c r="W104" i="11"/>
  <c r="W164" i="11"/>
  <c r="W35" i="11"/>
  <c r="W156" i="11"/>
  <c r="K165" i="10"/>
  <c r="E165" i="10"/>
  <c r="AB171" i="10"/>
  <c r="V171" i="10"/>
  <c r="D171" i="10"/>
  <c r="C165" i="10"/>
  <c r="AC171" i="10"/>
  <c r="W171" i="10"/>
  <c r="C171" i="10"/>
  <c r="O73" i="40" l="1"/>
  <c r="K74" i="77"/>
  <c r="L69" i="77"/>
  <c r="H69" i="77"/>
  <c r="I69" i="77" s="1"/>
  <c r="H80" i="77"/>
  <c r="I80" i="77" s="1"/>
  <c r="L80" i="77"/>
  <c r="H118" i="77"/>
  <c r="I118" i="77" s="1"/>
  <c r="L118" i="77"/>
  <c r="H90" i="77"/>
  <c r="I90" i="77" s="1"/>
  <c r="L90" i="77"/>
  <c r="H59" i="77"/>
  <c r="I59" i="77" s="1"/>
  <c r="L59" i="77"/>
  <c r="H30" i="77"/>
  <c r="I30" i="77" s="1"/>
  <c r="L30" i="77"/>
  <c r="H29" i="77"/>
  <c r="I29" i="77" s="1"/>
  <c r="L29" i="77"/>
  <c r="L85" i="77"/>
  <c r="H85" i="77"/>
  <c r="I85" i="77" s="1"/>
  <c r="L129" i="77"/>
  <c r="H129" i="77"/>
  <c r="I129" i="77" s="1"/>
  <c r="AG96" i="27"/>
  <c r="AH96" i="27"/>
  <c r="L73" i="40"/>
  <c r="N73" i="40"/>
  <c r="L68" i="40"/>
  <c r="N68" i="40"/>
  <c r="O79" i="40"/>
  <c r="L79" i="40"/>
  <c r="N79" i="40"/>
  <c r="O117" i="40"/>
  <c r="L117" i="40"/>
  <c r="N117" i="40"/>
  <c r="O89" i="40"/>
  <c r="L89" i="40"/>
  <c r="N89" i="40"/>
  <c r="L58" i="40"/>
  <c r="N58" i="40"/>
  <c r="O29" i="40"/>
  <c r="L29" i="40"/>
  <c r="N29" i="40"/>
  <c r="O28" i="40"/>
  <c r="L28" i="40"/>
  <c r="N28" i="40"/>
  <c r="O84" i="40"/>
  <c r="L84" i="40"/>
  <c r="N84" i="40"/>
  <c r="O128" i="40"/>
  <c r="L128" i="40"/>
  <c r="N128" i="40"/>
  <c r="CP37" i="10"/>
  <c r="CO37" i="10"/>
  <c r="AG37" i="27"/>
  <c r="AH37" i="27"/>
  <c r="AB90" i="10"/>
  <c r="AH90" i="10"/>
  <c r="AG36" i="27"/>
  <c r="AH36" i="27"/>
  <c r="AB165" i="10"/>
  <c r="AH165" i="10"/>
  <c r="V165" i="10"/>
  <c r="V117" i="10"/>
  <c r="AB117" i="10"/>
  <c r="AG165" i="27"/>
  <c r="AH165" i="27"/>
  <c r="AG117" i="27"/>
  <c r="AH117" i="27"/>
  <c r="AG111" i="27"/>
  <c r="AH111" i="27"/>
  <c r="AT76" i="10"/>
  <c r="AB76" i="10" s="1"/>
  <c r="V76" i="10"/>
  <c r="AG105" i="27"/>
  <c r="AH105" i="27"/>
  <c r="AB96" i="10"/>
  <c r="V96" i="10"/>
  <c r="V151" i="10"/>
  <c r="AB151" i="10"/>
  <c r="AT90" i="10"/>
  <c r="CI152" i="10"/>
  <c r="V36" i="10"/>
  <c r="AB36" i="10"/>
  <c r="AG151" i="27"/>
  <c r="AH151" i="27"/>
  <c r="D165" i="10"/>
  <c r="C20" i="19"/>
  <c r="P165" i="10"/>
  <c r="J165" i="10"/>
  <c r="C21" i="19"/>
  <c r="L116" i="2"/>
  <c r="L104" i="2"/>
  <c r="AA96" i="2"/>
  <c r="L96" i="2"/>
  <c r="K95" i="24" s="1"/>
  <c r="AA95" i="2"/>
  <c r="L90" i="2"/>
  <c r="H74" i="77" l="1"/>
  <c r="I74" i="77" s="1"/>
  <c r="L74" i="77"/>
  <c r="K88" i="28"/>
  <c r="P88" i="28" s="1"/>
  <c r="K89" i="24"/>
  <c r="G72" i="40"/>
  <c r="K73" i="77" s="1"/>
  <c r="P95" i="24"/>
  <c r="K102" i="28"/>
  <c r="P102" i="28" s="1"/>
  <c r="K103" i="24"/>
  <c r="K114" i="28"/>
  <c r="K112" i="28" s="1"/>
  <c r="K115" i="24"/>
  <c r="K113" i="24" s="1"/>
  <c r="AK93" i="28"/>
  <c r="AO93" i="28" s="1"/>
  <c r="P94" i="24"/>
  <c r="G71" i="40"/>
  <c r="K72" i="77" s="1"/>
  <c r="P95" i="25"/>
  <c r="S95" i="25" s="1"/>
  <c r="AE95" i="2"/>
  <c r="AB37" i="10"/>
  <c r="V37" i="10"/>
  <c r="P114" i="28"/>
  <c r="P112" i="28" s="1"/>
  <c r="K94" i="28"/>
  <c r="P94" i="28" s="1"/>
  <c r="K96" i="25"/>
  <c r="N96" i="2"/>
  <c r="AK94" i="28"/>
  <c r="AO94" i="28" s="1"/>
  <c r="P96" i="25"/>
  <c r="S96" i="25" s="1"/>
  <c r="AE96" i="2"/>
  <c r="Z94" i="23"/>
  <c r="CI165" i="10"/>
  <c r="CI90" i="10"/>
  <c r="K116" i="25"/>
  <c r="K114" i="25" s="1"/>
  <c r="N116" i="2"/>
  <c r="N114" i="2" s="1"/>
  <c r="K95" i="23"/>
  <c r="K89" i="23"/>
  <c r="K90" i="25"/>
  <c r="N90" i="2"/>
  <c r="CR76" i="10"/>
  <c r="CR36" i="10"/>
  <c r="CI76" i="10"/>
  <c r="CJ76" i="10" s="1"/>
  <c r="K104" i="25"/>
  <c r="N104" i="2"/>
  <c r="CI96" i="10"/>
  <c r="K115" i="23"/>
  <c r="K113" i="23" s="1"/>
  <c r="O96" i="38"/>
  <c r="Z95" i="23"/>
  <c r="K103" i="23"/>
  <c r="L153" i="10"/>
  <c r="L146" i="10" s="1"/>
  <c r="CI117" i="10"/>
  <c r="CI36" i="10"/>
  <c r="CJ36" i="10" s="1"/>
  <c r="CI37" i="10"/>
  <c r="CJ37" i="10" s="1"/>
  <c r="CI151" i="10"/>
  <c r="AU76" i="10"/>
  <c r="AI103" i="10"/>
  <c r="CK103" i="10" s="1"/>
  <c r="J104" i="38"/>
  <c r="AS94" i="10"/>
  <c r="AT94" i="10" s="1"/>
  <c r="CO94" i="10" s="1"/>
  <c r="O95" i="38"/>
  <c r="AI115" i="10"/>
  <c r="CK115" i="10" s="1"/>
  <c r="J116" i="38"/>
  <c r="AI89" i="10"/>
  <c r="CJ89" i="10" s="1"/>
  <c r="J90" i="38"/>
  <c r="AI95" i="10"/>
  <c r="J96" i="38"/>
  <c r="AS95" i="10"/>
  <c r="AN96" i="2"/>
  <c r="V94" i="11"/>
  <c r="E34" i="12" s="1"/>
  <c r="K95" i="27"/>
  <c r="AE94" i="27"/>
  <c r="AN95" i="2"/>
  <c r="AE95" i="27"/>
  <c r="AM96" i="2"/>
  <c r="V88" i="11"/>
  <c r="K89" i="27"/>
  <c r="V102" i="11"/>
  <c r="K103" i="27"/>
  <c r="V114" i="11"/>
  <c r="K115" i="27"/>
  <c r="W94" i="11"/>
  <c r="W93" i="11"/>
  <c r="H72" i="77" l="1"/>
  <c r="I72" i="77" s="1"/>
  <c r="L72" i="77"/>
  <c r="L73" i="77"/>
  <c r="H73" i="77"/>
  <c r="I73" i="77" s="1"/>
  <c r="O72" i="40"/>
  <c r="L72" i="40"/>
  <c r="N72" i="40"/>
  <c r="O71" i="40"/>
  <c r="L71" i="40"/>
  <c r="N71" i="40"/>
  <c r="S92" i="25"/>
  <c r="AG94" i="27"/>
  <c r="AH94" i="27"/>
  <c r="CR37" i="10"/>
  <c r="AB94" i="10"/>
  <c r="V94" i="10"/>
  <c r="AG95" i="27"/>
  <c r="AH95" i="27"/>
  <c r="M95" i="27"/>
  <c r="N95" i="27"/>
  <c r="V112" i="11"/>
  <c r="E15" i="12"/>
  <c r="F34" i="12"/>
  <c r="W89" i="10"/>
  <c r="Q89" i="10"/>
  <c r="Q115" i="10"/>
  <c r="W115" i="10"/>
  <c r="AC115" i="10"/>
  <c r="M115" i="27"/>
  <c r="M113" i="27" s="1"/>
  <c r="N115" i="27"/>
  <c r="N113" i="27" s="1"/>
  <c r="M89" i="27"/>
  <c r="N89" i="27"/>
  <c r="Q103" i="10"/>
  <c r="W103" i="10"/>
  <c r="AN92" i="2"/>
  <c r="F18" i="19" s="1"/>
  <c r="M103" i="27"/>
  <c r="N103" i="27"/>
  <c r="AJ95" i="10"/>
  <c r="CL95" i="10" s="1"/>
  <c r="AC95" i="10"/>
  <c r="AC91" i="10" s="1"/>
  <c r="AT95" i="10"/>
  <c r="AH95" i="10"/>
  <c r="AJ89" i="10"/>
  <c r="AV157" i="10"/>
  <c r="CI157" i="10"/>
  <c r="CJ157" i="10" s="1"/>
  <c r="R153" i="10"/>
  <c r="AI113" i="10"/>
  <c r="K16" i="6"/>
  <c r="L36" i="2"/>
  <c r="Q74" i="3"/>
  <c r="Q73" i="3" s="1"/>
  <c r="Q69" i="3" s="1"/>
  <c r="P74" i="3"/>
  <c r="P73" i="3" s="1"/>
  <c r="P69" i="3" s="1"/>
  <c r="O74" i="3"/>
  <c r="O73" i="3" s="1"/>
  <c r="O69" i="3" s="1"/>
  <c r="N74" i="3"/>
  <c r="N73" i="3" s="1"/>
  <c r="N69" i="3" s="1"/>
  <c r="M74" i="3"/>
  <c r="M73" i="3" s="1"/>
  <c r="M69" i="3" s="1"/>
  <c r="L74" i="3"/>
  <c r="L73" i="3" s="1"/>
  <c r="L69" i="3" s="1"/>
  <c r="AA165" i="2"/>
  <c r="AA151" i="2"/>
  <c r="X60" i="3"/>
  <c r="Y61" i="3"/>
  <c r="Z61" i="3"/>
  <c r="Q45" i="3"/>
  <c r="P45" i="3"/>
  <c r="O45" i="3"/>
  <c r="N45" i="3"/>
  <c r="M45" i="3"/>
  <c r="L45" i="3"/>
  <c r="AA117" i="2"/>
  <c r="Q43" i="3"/>
  <c r="P43" i="3"/>
  <c r="O43" i="3"/>
  <c r="N43" i="3"/>
  <c r="M43" i="3"/>
  <c r="L43" i="3"/>
  <c r="AA111" i="2"/>
  <c r="Q41" i="3"/>
  <c r="P41" i="3"/>
  <c r="O41" i="3"/>
  <c r="N41" i="3"/>
  <c r="M41" i="3"/>
  <c r="L41" i="3"/>
  <c r="AA105" i="2"/>
  <c r="Q39" i="3"/>
  <c r="P39" i="3"/>
  <c r="O39" i="3"/>
  <c r="M39" i="3"/>
  <c r="Z19" i="3"/>
  <c r="Y19" i="3"/>
  <c r="K34" i="28" l="1"/>
  <c r="K35" i="23"/>
  <c r="K32" i="23" s="1"/>
  <c r="AK163" i="28"/>
  <c r="AO163" i="28" s="1"/>
  <c r="G127" i="40"/>
  <c r="K128" i="77" s="1"/>
  <c r="P164" i="24"/>
  <c r="AK115" i="28"/>
  <c r="AO115" i="28" s="1"/>
  <c r="G88" i="40"/>
  <c r="K89" i="77" s="1"/>
  <c r="P116" i="24"/>
  <c r="G83" i="40"/>
  <c r="K84" i="77" s="1"/>
  <c r="P110" i="24"/>
  <c r="AK103" i="28"/>
  <c r="AO103" i="28" s="1"/>
  <c r="G78" i="40"/>
  <c r="K79" i="77" s="1"/>
  <c r="P104" i="24"/>
  <c r="AK149" i="28"/>
  <c r="AO149" i="28" s="1"/>
  <c r="G116" i="40"/>
  <c r="K117" i="77" s="1"/>
  <c r="P150" i="24"/>
  <c r="CO95" i="10"/>
  <c r="Q95" i="10"/>
  <c r="W95" i="10"/>
  <c r="AN111" i="2"/>
  <c r="AK109" i="28"/>
  <c r="AO109" i="28" s="1"/>
  <c r="P34" i="28"/>
  <c r="P31" i="28" s="1"/>
  <c r="K31" i="28"/>
  <c r="P105" i="25"/>
  <c r="S105" i="25" s="1"/>
  <c r="AE105" i="2"/>
  <c r="AN105" i="2"/>
  <c r="Z164" i="23"/>
  <c r="P165" i="25"/>
  <c r="S165" i="25" s="1"/>
  <c r="AE165" i="2"/>
  <c r="P117" i="25"/>
  <c r="S117" i="25" s="1"/>
  <c r="AE117" i="2"/>
  <c r="P111" i="25"/>
  <c r="S111" i="25" s="1"/>
  <c r="AE111" i="2"/>
  <c r="CI94" i="10"/>
  <c r="CJ94" i="10" s="1"/>
  <c r="O117" i="38"/>
  <c r="Z116" i="23"/>
  <c r="Z110" i="23"/>
  <c r="O157" i="38"/>
  <c r="Z150" i="23"/>
  <c r="P151" i="25"/>
  <c r="R151" i="25" s="1"/>
  <c r="Z104" i="23"/>
  <c r="AS125" i="10"/>
  <c r="CM125" i="10" s="1"/>
  <c r="AS139" i="10"/>
  <c r="O140" i="38"/>
  <c r="O144" i="38"/>
  <c r="AS164" i="10"/>
  <c r="CN164" i="10" s="1"/>
  <c r="O171" i="38"/>
  <c r="AS124" i="10"/>
  <c r="CM124" i="10" s="1"/>
  <c r="O143" i="38"/>
  <c r="AS110" i="10"/>
  <c r="CN110" i="10" s="1"/>
  <c r="O111" i="38"/>
  <c r="AS126" i="10"/>
  <c r="CM126" i="10" s="1"/>
  <c r="O141" i="38"/>
  <c r="AI35" i="10"/>
  <c r="CL35" i="10" s="1"/>
  <c r="J36" i="38"/>
  <c r="AS138" i="10"/>
  <c r="O139" i="38"/>
  <c r="AS104" i="10"/>
  <c r="CN104" i="10" s="1"/>
  <c r="O105" i="38"/>
  <c r="O142" i="38"/>
  <c r="AN117" i="2"/>
  <c r="AS116" i="10"/>
  <c r="CN116" i="10" s="1"/>
  <c r="AE151" i="2"/>
  <c r="AS150" i="10"/>
  <c r="AT150" i="10" s="1"/>
  <c r="W123" i="11"/>
  <c r="AE124" i="27"/>
  <c r="W125" i="11"/>
  <c r="AE126" i="27"/>
  <c r="W109" i="11"/>
  <c r="AE110" i="27"/>
  <c r="AM111" i="2"/>
  <c r="W137" i="11"/>
  <c r="AN139" i="2"/>
  <c r="AE138" i="27"/>
  <c r="AE164" i="27"/>
  <c r="AN165" i="2"/>
  <c r="W138" i="11"/>
  <c r="AN140" i="2"/>
  <c r="AE139" i="27"/>
  <c r="AE150" i="27"/>
  <c r="AM151" i="2"/>
  <c r="AE104" i="27"/>
  <c r="AM105" i="2"/>
  <c r="W124" i="11"/>
  <c r="AE125" i="27"/>
  <c r="AG125" i="27" s="1"/>
  <c r="K35" i="27"/>
  <c r="M35" i="27" s="1"/>
  <c r="M32" i="27" s="1"/>
  <c r="AE116" i="27"/>
  <c r="W115" i="11"/>
  <c r="W149" i="11"/>
  <c r="W103" i="11"/>
  <c r="W163" i="11"/>
  <c r="V34" i="11"/>
  <c r="M38" i="3"/>
  <c r="W155" i="11"/>
  <c r="E164" i="10"/>
  <c r="K164" i="10"/>
  <c r="X48" i="3"/>
  <c r="Q38" i="3"/>
  <c r="P38" i="3"/>
  <c r="O38" i="3"/>
  <c r="C164" i="10"/>
  <c r="H79" i="77" l="1"/>
  <c r="I79" i="77" s="1"/>
  <c r="L79" i="77"/>
  <c r="L128" i="77"/>
  <c r="H128" i="77"/>
  <c r="I128" i="77" s="1"/>
  <c r="L117" i="77"/>
  <c r="H117" i="77"/>
  <c r="I117" i="77" s="1"/>
  <c r="L89" i="77"/>
  <c r="H89" i="77"/>
  <c r="I89" i="77" s="1"/>
  <c r="L84" i="77"/>
  <c r="H84" i="77"/>
  <c r="I84" i="77" s="1"/>
  <c r="AG126" i="27"/>
  <c r="AH126" i="27"/>
  <c r="AG124" i="27"/>
  <c r="AH124" i="27"/>
  <c r="O83" i="40"/>
  <c r="L83" i="40"/>
  <c r="N83" i="40"/>
  <c r="O78" i="40"/>
  <c r="L78" i="40"/>
  <c r="N78" i="40"/>
  <c r="O127" i="40"/>
  <c r="L127" i="40"/>
  <c r="N127" i="40"/>
  <c r="O116" i="40"/>
  <c r="L116" i="40"/>
  <c r="N116" i="40"/>
  <c r="O88" i="40"/>
  <c r="L88" i="40"/>
  <c r="N88" i="40"/>
  <c r="AB95" i="10"/>
  <c r="V95" i="10"/>
  <c r="CK95" i="10"/>
  <c r="W35" i="10"/>
  <c r="AC35" i="10"/>
  <c r="CT35" i="10"/>
  <c r="CU35" i="10" s="1"/>
  <c r="AB164" i="10"/>
  <c r="AH164" i="10"/>
  <c r="V164" i="10"/>
  <c r="V116" i="10"/>
  <c r="AB116" i="10"/>
  <c r="V110" i="10"/>
  <c r="AB110" i="10"/>
  <c r="AG164" i="27"/>
  <c r="AH164" i="27"/>
  <c r="AG116" i="27"/>
  <c r="AH116" i="27"/>
  <c r="AG139" i="27"/>
  <c r="AH139" i="27"/>
  <c r="AG104" i="27"/>
  <c r="AH104" i="27"/>
  <c r="AG138" i="27"/>
  <c r="AH138" i="27"/>
  <c r="V104" i="10"/>
  <c r="AB104" i="10"/>
  <c r="AB126" i="10"/>
  <c r="W126" i="10" s="1"/>
  <c r="AH126" i="10"/>
  <c r="AC126" i="10" s="1"/>
  <c r="AH125" i="10"/>
  <c r="AC125" i="10" s="1"/>
  <c r="AB125" i="10"/>
  <c r="W125" i="10" s="1"/>
  <c r="AB124" i="10"/>
  <c r="W124" i="10" s="1"/>
  <c r="AH124" i="10"/>
  <c r="AC124" i="10" s="1"/>
  <c r="AG110" i="27"/>
  <c r="AH110" i="27"/>
  <c r="AB150" i="10"/>
  <c r="V150" i="10"/>
  <c r="AB138" i="10"/>
  <c r="V138" i="10"/>
  <c r="AH138" i="10"/>
  <c r="AH139" i="10"/>
  <c r="V139" i="10"/>
  <c r="AB139" i="10"/>
  <c r="AH104" i="10"/>
  <c r="AI32" i="10"/>
  <c r="AH110" i="10"/>
  <c r="AG150" i="27"/>
  <c r="AH150" i="27"/>
  <c r="M37" i="3"/>
  <c r="Q37" i="3"/>
  <c r="V31" i="11"/>
  <c r="P37" i="3"/>
  <c r="CI156" i="10"/>
  <c r="CJ156" i="10" s="1"/>
  <c r="P164" i="10"/>
  <c r="J164" i="10"/>
  <c r="D164" i="10"/>
  <c r="O37" i="3"/>
  <c r="AA164" i="2"/>
  <c r="P163" i="24" s="1"/>
  <c r="AA163" i="2"/>
  <c r="AA162" i="2"/>
  <c r="AA150" i="2"/>
  <c r="AA149" i="2"/>
  <c r="AA116" i="2"/>
  <c r="AA115" i="2"/>
  <c r="AA110" i="2"/>
  <c r="AA109" i="2"/>
  <c r="AA104" i="2"/>
  <c r="AA103" i="2"/>
  <c r="AA93" i="2"/>
  <c r="AA90" i="2"/>
  <c r="AA89" i="2"/>
  <c r="AA88" i="2"/>
  <c r="AA87" i="2"/>
  <c r="AA82" i="2"/>
  <c r="AA81" i="2"/>
  <c r="P80" i="24" s="1"/>
  <c r="AA80" i="2"/>
  <c r="Z79" i="23" s="1"/>
  <c r="AA76" i="2"/>
  <c r="AA75" i="2"/>
  <c r="AA71" i="2"/>
  <c r="AA70" i="2"/>
  <c r="AA69" i="2"/>
  <c r="AA68" i="2"/>
  <c r="AA66" i="2"/>
  <c r="AA65" i="2"/>
  <c r="AA64" i="2"/>
  <c r="AA63" i="2"/>
  <c r="X56" i="2"/>
  <c r="U56" i="2"/>
  <c r="R56" i="2"/>
  <c r="O56" i="2"/>
  <c r="L69" i="2"/>
  <c r="AK64" i="28" l="1"/>
  <c r="AO64" i="28" s="1"/>
  <c r="G50" i="40"/>
  <c r="K51" i="77" s="1"/>
  <c r="P65" i="24"/>
  <c r="G77" i="40"/>
  <c r="K78" i="77" s="1"/>
  <c r="P103" i="24"/>
  <c r="AK114" i="28"/>
  <c r="AO114" i="28" s="1"/>
  <c r="G87" i="40"/>
  <c r="K88" i="77" s="1"/>
  <c r="P115" i="24"/>
  <c r="AK161" i="28"/>
  <c r="AO161" i="28" s="1"/>
  <c r="G125" i="40"/>
  <c r="K126" i="77" s="1"/>
  <c r="P162" i="24"/>
  <c r="K67" i="28"/>
  <c r="P67" i="28" s="1"/>
  <c r="K68" i="24"/>
  <c r="G47" i="40"/>
  <c r="K48" i="77" s="1"/>
  <c r="P62" i="24"/>
  <c r="G51" i="40"/>
  <c r="K52" i="77" s="1"/>
  <c r="P67" i="24"/>
  <c r="AK73" i="28"/>
  <c r="G56" i="40"/>
  <c r="AK80" i="28"/>
  <c r="AO80" i="28" s="1"/>
  <c r="G61" i="40"/>
  <c r="K62" i="77" s="1"/>
  <c r="AK88" i="28"/>
  <c r="AO88" i="28" s="1"/>
  <c r="G67" i="40"/>
  <c r="K68" i="77" s="1"/>
  <c r="P89" i="24"/>
  <c r="AK107" i="28"/>
  <c r="G81" i="40"/>
  <c r="K82" i="77" s="1"/>
  <c r="P108" i="24"/>
  <c r="AK147" i="28"/>
  <c r="AO147" i="28" s="1"/>
  <c r="G114" i="40"/>
  <c r="K115" i="77" s="1"/>
  <c r="P148" i="24"/>
  <c r="G48" i="40"/>
  <c r="K49" i="77" s="1"/>
  <c r="P63" i="24"/>
  <c r="AK67" i="28"/>
  <c r="AO67" i="28" s="1"/>
  <c r="G52" i="40"/>
  <c r="K53" i="77" s="1"/>
  <c r="P68" i="24"/>
  <c r="AK74" i="28"/>
  <c r="AO74" i="28" s="1"/>
  <c r="G57" i="40"/>
  <c r="K58" i="77" s="1"/>
  <c r="G69" i="40"/>
  <c r="K70" i="77" s="1"/>
  <c r="P92" i="24"/>
  <c r="P91" i="24" s="1"/>
  <c r="G82" i="40"/>
  <c r="K83" i="77" s="1"/>
  <c r="P109" i="24"/>
  <c r="AK148" i="28"/>
  <c r="AO148" i="28" s="1"/>
  <c r="G115" i="40"/>
  <c r="K116" i="77" s="1"/>
  <c r="P149" i="24"/>
  <c r="G49" i="40"/>
  <c r="K50" i="77" s="1"/>
  <c r="P64" i="24"/>
  <c r="AK68" i="28"/>
  <c r="AO68" i="28" s="1"/>
  <c r="G53" i="40"/>
  <c r="K54" i="77" s="1"/>
  <c r="P69" i="24"/>
  <c r="AK78" i="28"/>
  <c r="G60" i="40"/>
  <c r="K61" i="77" s="1"/>
  <c r="G76" i="40"/>
  <c r="K77" i="77" s="1"/>
  <c r="L77" i="77" s="1"/>
  <c r="P102" i="24"/>
  <c r="AK113" i="28"/>
  <c r="G86" i="40"/>
  <c r="K87" i="77" s="1"/>
  <c r="P114" i="24"/>
  <c r="AK160" i="28"/>
  <c r="AO160" i="28" s="1"/>
  <c r="G124" i="40"/>
  <c r="K125" i="77" s="1"/>
  <c r="P161" i="24"/>
  <c r="CI95" i="10"/>
  <c r="CJ95" i="10" s="1"/>
  <c r="AK87" i="28"/>
  <c r="AO87" i="28" s="1"/>
  <c r="P88" i="24"/>
  <c r="G66" i="40"/>
  <c r="K67" i="77" s="1"/>
  <c r="AK85" i="28"/>
  <c r="P86" i="24"/>
  <c r="G64" i="40"/>
  <c r="K65" i="77" s="1"/>
  <c r="AK86" i="28"/>
  <c r="AO86" i="28" s="1"/>
  <c r="P87" i="24"/>
  <c r="G65" i="40"/>
  <c r="K66" i="77" s="1"/>
  <c r="P70" i="24"/>
  <c r="G54" i="40"/>
  <c r="K55" i="77" s="1"/>
  <c r="P71" i="25"/>
  <c r="S71" i="25" s="1"/>
  <c r="AE71" i="2"/>
  <c r="AK162" i="28"/>
  <c r="G126" i="40"/>
  <c r="K127" i="77" s="1"/>
  <c r="AE63" i="2"/>
  <c r="AK61" i="28"/>
  <c r="Z67" i="23"/>
  <c r="AK66" i="28"/>
  <c r="AK72" i="28"/>
  <c r="AO73" i="28"/>
  <c r="AO107" i="28"/>
  <c r="AO162" i="28"/>
  <c r="AO159" i="28" s="1"/>
  <c r="AO158" i="28" s="1"/>
  <c r="AE64" i="2"/>
  <c r="AK62" i="28"/>
  <c r="AO62" i="28" s="1"/>
  <c r="AA92" i="2"/>
  <c r="AK91" i="28"/>
  <c r="AN110" i="2"/>
  <c r="AN108" i="2" s="1"/>
  <c r="F20" i="19" s="1"/>
  <c r="AK108" i="28"/>
  <c r="AO108" i="28" s="1"/>
  <c r="AE65" i="2"/>
  <c r="AK63" i="28"/>
  <c r="AO63" i="28" s="1"/>
  <c r="AO78" i="28"/>
  <c r="AN103" i="2"/>
  <c r="AK101" i="28"/>
  <c r="AK112" i="28"/>
  <c r="AO113" i="28"/>
  <c r="AK69" i="28"/>
  <c r="AO69" i="28" s="1"/>
  <c r="O81" i="38"/>
  <c r="AK79" i="28"/>
  <c r="AO79" i="28" s="1"/>
  <c r="AN104" i="2"/>
  <c r="AN102" i="2" s="1"/>
  <c r="F19" i="19" s="1"/>
  <c r="AK102" i="28"/>
  <c r="AO102" i="28" s="1"/>
  <c r="AO82" i="2"/>
  <c r="O82" i="38"/>
  <c r="Z81" i="23"/>
  <c r="CI164" i="10"/>
  <c r="P87" i="25"/>
  <c r="S87" i="25" s="1"/>
  <c r="AE87" i="2"/>
  <c r="Z69" i="23"/>
  <c r="P70" i="25"/>
  <c r="S70" i="25" s="1"/>
  <c r="AE70" i="2"/>
  <c r="P115" i="25"/>
  <c r="AE115" i="2"/>
  <c r="AE162" i="2"/>
  <c r="AN162" i="2"/>
  <c r="P116" i="25"/>
  <c r="S116" i="25" s="1"/>
  <c r="AE116" i="2"/>
  <c r="Z162" i="23"/>
  <c r="P163" i="25"/>
  <c r="S163" i="25" s="1"/>
  <c r="AE163" i="2"/>
  <c r="K68" i="23"/>
  <c r="K69" i="25"/>
  <c r="N69" i="2"/>
  <c r="AE66" i="2"/>
  <c r="P66" i="25"/>
  <c r="S66" i="25" s="1"/>
  <c r="S62" i="25" s="1"/>
  <c r="P89" i="25"/>
  <c r="S89" i="25" s="1"/>
  <c r="AE89" i="2"/>
  <c r="P68" i="25"/>
  <c r="AE68" i="2"/>
  <c r="P90" i="25"/>
  <c r="S90" i="25" s="1"/>
  <c r="AE90" i="2"/>
  <c r="P164" i="25"/>
  <c r="S164" i="25" s="1"/>
  <c r="AE164" i="2"/>
  <c r="CI110" i="10"/>
  <c r="Z68" i="23"/>
  <c r="P69" i="25"/>
  <c r="S69" i="25" s="1"/>
  <c r="AE69" i="2"/>
  <c r="D13" i="13"/>
  <c r="E13" i="13" s="1"/>
  <c r="CQ35" i="10"/>
  <c r="Z75" i="23"/>
  <c r="AO76" i="2"/>
  <c r="AO80" i="2"/>
  <c r="G15" i="19" s="1"/>
  <c r="AA79" i="2"/>
  <c r="P110" i="25"/>
  <c r="S110" i="25" s="1"/>
  <c r="S108" i="25" s="1"/>
  <c r="AE110" i="2"/>
  <c r="P109" i="25"/>
  <c r="R109" i="25" s="1"/>
  <c r="R108" i="25" s="1"/>
  <c r="J20" i="30" s="1"/>
  <c r="AE109" i="2"/>
  <c r="P103" i="25"/>
  <c r="S103" i="25" s="1"/>
  <c r="AE103" i="2"/>
  <c r="P104" i="25"/>
  <c r="S104" i="25" s="1"/>
  <c r="AE104" i="2"/>
  <c r="P162" i="25"/>
  <c r="Z74" i="23"/>
  <c r="AO75" i="2"/>
  <c r="Z65" i="23"/>
  <c r="O115" i="38"/>
  <c r="Z114" i="23"/>
  <c r="O116" i="38"/>
  <c r="Z115" i="23"/>
  <c r="Z163" i="23"/>
  <c r="Z86" i="23"/>
  <c r="Z88" i="23"/>
  <c r="O93" i="38"/>
  <c r="Z92" i="23"/>
  <c r="Z91" i="23" s="1"/>
  <c r="P93" i="25"/>
  <c r="P92" i="25" s="1"/>
  <c r="Z109" i="23"/>
  <c r="O168" i="38"/>
  <c r="Z161" i="23"/>
  <c r="O71" i="38"/>
  <c r="Z70" i="23"/>
  <c r="O88" i="38"/>
  <c r="Z87" i="23"/>
  <c r="P88" i="25"/>
  <c r="Z102" i="23"/>
  <c r="Z103" i="23"/>
  <c r="O155" i="38"/>
  <c r="Z148" i="23"/>
  <c r="P149" i="25"/>
  <c r="R149" i="25" s="1"/>
  <c r="O63" i="38"/>
  <c r="Z62" i="23"/>
  <c r="P63" i="25"/>
  <c r="R63" i="25" s="1"/>
  <c r="Z80" i="23"/>
  <c r="P81" i="25"/>
  <c r="P79" i="25" s="1"/>
  <c r="P78" i="24"/>
  <c r="O64" i="38"/>
  <c r="Z63" i="23"/>
  <c r="P64" i="25"/>
  <c r="R64" i="25" s="1"/>
  <c r="O90" i="38"/>
  <c r="Z89" i="23"/>
  <c r="Z108" i="23"/>
  <c r="O156" i="38"/>
  <c r="Z149" i="23"/>
  <c r="P150" i="25"/>
  <c r="R150" i="25" s="1"/>
  <c r="O65" i="38"/>
  <c r="Z64" i="23"/>
  <c r="P65" i="25"/>
  <c r="R65" i="25" s="1"/>
  <c r="CI116" i="10"/>
  <c r="CI150" i="10"/>
  <c r="CI104" i="10"/>
  <c r="W55" i="27"/>
  <c r="M56" i="38"/>
  <c r="AS69" i="10"/>
  <c r="CO69" i="10" s="1"/>
  <c r="O70" i="38"/>
  <c r="AS86" i="10"/>
  <c r="O87" i="38"/>
  <c r="AS109" i="10"/>
  <c r="O110" i="38"/>
  <c r="AS137" i="10"/>
  <c r="O138" i="38"/>
  <c r="AI68" i="10"/>
  <c r="CL68" i="10" s="1"/>
  <c r="Q68" i="10" s="1"/>
  <c r="J69" i="38"/>
  <c r="AS79" i="10"/>
  <c r="CM79" i="10" s="1"/>
  <c r="AH79" i="10" s="1"/>
  <c r="O80" i="38"/>
  <c r="AS88" i="10"/>
  <c r="O89" i="38"/>
  <c r="AS135" i="10"/>
  <c r="V140" i="10" s="1"/>
  <c r="O136" i="38"/>
  <c r="AS75" i="10"/>
  <c r="CN75" i="10" s="1"/>
  <c r="O76" i="38"/>
  <c r="AS122" i="10"/>
  <c r="CM122" i="10" s="1"/>
  <c r="AS162" i="10"/>
  <c r="CN162" i="10" s="1"/>
  <c r="O169" i="38"/>
  <c r="AA55" i="27"/>
  <c r="N56" i="38"/>
  <c r="AS65" i="10"/>
  <c r="AT65" i="10" s="1"/>
  <c r="CP65" i="10" s="1"/>
  <c r="O66" i="38"/>
  <c r="AS102" i="10"/>
  <c r="CN102" i="10" s="1"/>
  <c r="O103" i="38"/>
  <c r="AS123" i="10"/>
  <c r="CM123" i="10" s="1"/>
  <c r="AS163" i="10"/>
  <c r="CN163" i="10" s="1"/>
  <c r="O170" i="38"/>
  <c r="O55" i="27"/>
  <c r="K56" i="38"/>
  <c r="AS67" i="10"/>
  <c r="O68" i="38"/>
  <c r="AS103" i="10"/>
  <c r="CN103" i="10" s="1"/>
  <c r="O104" i="38"/>
  <c r="S55" i="27"/>
  <c r="L56" i="38"/>
  <c r="AS68" i="10"/>
  <c r="CO68" i="10" s="1"/>
  <c r="V68" i="10" s="1"/>
  <c r="O69" i="38"/>
  <c r="AS74" i="10"/>
  <c r="CN74" i="10" s="1"/>
  <c r="O75" i="38"/>
  <c r="AS81" i="10"/>
  <c r="CM81" i="10" s="1"/>
  <c r="AS108" i="10"/>
  <c r="O109" i="38"/>
  <c r="AS121" i="10"/>
  <c r="O122" i="38"/>
  <c r="AS136" i="10"/>
  <c r="O137" i="38"/>
  <c r="AS89" i="10"/>
  <c r="CL89" i="10" s="1"/>
  <c r="AN90" i="2"/>
  <c r="AS161" i="10"/>
  <c r="AA161" i="2"/>
  <c r="O167" i="38" s="1"/>
  <c r="AS80" i="10"/>
  <c r="V80" i="10" s="1"/>
  <c r="AE81" i="2"/>
  <c r="AV156" i="10"/>
  <c r="AE150" i="2"/>
  <c r="AS149" i="10"/>
  <c r="AT149" i="10" s="1"/>
  <c r="AS63" i="10"/>
  <c r="AT63" i="10" s="1"/>
  <c r="AN116" i="2"/>
  <c r="AS115" i="10"/>
  <c r="CN115" i="10" s="1"/>
  <c r="AS64" i="10"/>
  <c r="AT64" i="10" s="1"/>
  <c r="CP64" i="10" s="1"/>
  <c r="AE93" i="2"/>
  <c r="AE92" i="2" s="1"/>
  <c r="Z18" i="30" s="1"/>
  <c r="AS92" i="10"/>
  <c r="AS91" i="10" s="1"/>
  <c r="AS62" i="10"/>
  <c r="AT62" i="10" s="1"/>
  <c r="CP62" i="10" s="1"/>
  <c r="AS70" i="10"/>
  <c r="CO70" i="10" s="1"/>
  <c r="AN71" i="2"/>
  <c r="AE88" i="2"/>
  <c r="AS87" i="10"/>
  <c r="CL87" i="10" s="1"/>
  <c r="AN115" i="2"/>
  <c r="AS114" i="10"/>
  <c r="AE149" i="2"/>
  <c r="AS148" i="10"/>
  <c r="AT148" i="10" s="1"/>
  <c r="W68" i="11"/>
  <c r="AN70" i="2"/>
  <c r="AE69" i="27"/>
  <c r="AE92" i="27"/>
  <c r="AM93" i="2"/>
  <c r="W135" i="11"/>
  <c r="AN137" i="2"/>
  <c r="AE136" i="27"/>
  <c r="V67" i="11"/>
  <c r="K68" i="27"/>
  <c r="AE65" i="27"/>
  <c r="AN66" i="2"/>
  <c r="AN62" i="2" s="1"/>
  <c r="F12" i="19" s="1"/>
  <c r="W69" i="11"/>
  <c r="AE70" i="27"/>
  <c r="AM71" i="2"/>
  <c r="AE79" i="27"/>
  <c r="AN80" i="2"/>
  <c r="AE87" i="27"/>
  <c r="AM88" i="2"/>
  <c r="W108" i="11"/>
  <c r="AE109" i="27"/>
  <c r="AM110" i="2"/>
  <c r="W121" i="11"/>
  <c r="AE122" i="27"/>
  <c r="W136" i="11"/>
  <c r="AN138" i="2"/>
  <c r="AE137" i="27"/>
  <c r="AE162" i="27"/>
  <c r="AN163" i="2"/>
  <c r="AE64" i="27"/>
  <c r="AM65" i="2"/>
  <c r="AE86" i="27"/>
  <c r="AN87" i="2"/>
  <c r="AE121" i="27"/>
  <c r="AG121" i="27" s="1"/>
  <c r="W79" i="11"/>
  <c r="AE80" i="27"/>
  <c r="AM81" i="2"/>
  <c r="E16" i="19" s="1"/>
  <c r="AE88" i="27"/>
  <c r="AM89" i="2"/>
  <c r="AE102" i="27"/>
  <c r="AM103" i="2"/>
  <c r="W122" i="11"/>
  <c r="AE123" i="27"/>
  <c r="AE148" i="27"/>
  <c r="AM149" i="2"/>
  <c r="AE163" i="27"/>
  <c r="AN164" i="2"/>
  <c r="AE75" i="27"/>
  <c r="AG75" i="27" s="1"/>
  <c r="AN76" i="2"/>
  <c r="AE108" i="27"/>
  <c r="AM109" i="2"/>
  <c r="AE161" i="27"/>
  <c r="AM162" i="2"/>
  <c r="AM63" i="2"/>
  <c r="AE62" i="27"/>
  <c r="W66" i="11"/>
  <c r="AE67" i="27"/>
  <c r="AN68" i="2"/>
  <c r="AE63" i="27"/>
  <c r="AM64" i="2"/>
  <c r="AE68" i="27"/>
  <c r="AN69" i="2"/>
  <c r="AE74" i="27"/>
  <c r="AG74" i="27" s="1"/>
  <c r="AN75" i="2"/>
  <c r="AE81" i="27"/>
  <c r="AG81" i="27" s="1"/>
  <c r="AN82" i="2"/>
  <c r="AE89" i="27"/>
  <c r="AM90" i="2"/>
  <c r="AE103" i="27"/>
  <c r="AM104" i="2"/>
  <c r="W134" i="11"/>
  <c r="AN136" i="2"/>
  <c r="AE135" i="27"/>
  <c r="AE149" i="27"/>
  <c r="AM150" i="2"/>
  <c r="AE114" i="27"/>
  <c r="AE115" i="27"/>
  <c r="W67" i="11"/>
  <c r="O121" i="38"/>
  <c r="W78" i="11"/>
  <c r="W80" i="11"/>
  <c r="W114" i="11"/>
  <c r="W107" i="11"/>
  <c r="W101" i="11"/>
  <c r="W162" i="11"/>
  <c r="W64" i="11"/>
  <c r="W102" i="11"/>
  <c r="W61" i="11"/>
  <c r="W85" i="11"/>
  <c r="W91" i="11"/>
  <c r="W147" i="11"/>
  <c r="W160" i="11"/>
  <c r="W63" i="11"/>
  <c r="W74" i="11"/>
  <c r="W87" i="11"/>
  <c r="W153" i="11"/>
  <c r="F18" i="12" s="1"/>
  <c r="AL154" i="2"/>
  <c r="D26" i="19" s="1"/>
  <c r="W88" i="11"/>
  <c r="W62" i="11"/>
  <c r="W73" i="11"/>
  <c r="W86" i="11"/>
  <c r="W148" i="11"/>
  <c r="W161" i="11"/>
  <c r="D14" i="13"/>
  <c r="W113" i="11"/>
  <c r="W154" i="11"/>
  <c r="F17" i="12" s="1"/>
  <c r="W120" i="11"/>
  <c r="W50" i="11"/>
  <c r="AA56" i="2"/>
  <c r="O56" i="38" s="1"/>
  <c r="AK159" i="28" l="1"/>
  <c r="AK158" i="28" s="1"/>
  <c r="AG122" i="27"/>
  <c r="AH122" i="27"/>
  <c r="L127" i="77"/>
  <c r="H127" i="77"/>
  <c r="I127" i="77" s="1"/>
  <c r="L67" i="77"/>
  <c r="H67" i="77"/>
  <c r="I67" i="77" s="1"/>
  <c r="H87" i="77"/>
  <c r="I87" i="77" s="1"/>
  <c r="L87" i="77"/>
  <c r="L61" i="77"/>
  <c r="H61" i="77"/>
  <c r="I61" i="77" s="1"/>
  <c r="L49" i="77"/>
  <c r="H49" i="77"/>
  <c r="I49" i="77" s="1"/>
  <c r="N56" i="40"/>
  <c r="K57" i="77"/>
  <c r="AG123" i="27"/>
  <c r="AH123" i="27"/>
  <c r="L65" i="77"/>
  <c r="H65" i="77"/>
  <c r="I65" i="77" s="1"/>
  <c r="L125" i="77"/>
  <c r="H125" i="77"/>
  <c r="I125" i="77" s="1"/>
  <c r="H70" i="77"/>
  <c r="I70" i="77" s="1"/>
  <c r="L70" i="77"/>
  <c r="L53" i="77"/>
  <c r="H53" i="77"/>
  <c r="I53" i="77" s="1"/>
  <c r="L82" i="77"/>
  <c r="H82" i="77"/>
  <c r="I82" i="77" s="1"/>
  <c r="H48" i="77"/>
  <c r="I48" i="77" s="1"/>
  <c r="L48" i="77"/>
  <c r="H51" i="77"/>
  <c r="I51" i="77" s="1"/>
  <c r="L51" i="77"/>
  <c r="L66" i="77"/>
  <c r="H66" i="77"/>
  <c r="I66" i="77" s="1"/>
  <c r="H50" i="77"/>
  <c r="I50" i="77" s="1"/>
  <c r="L50" i="77"/>
  <c r="H115" i="77"/>
  <c r="I115" i="77" s="1"/>
  <c r="L115" i="77"/>
  <c r="H62" i="77"/>
  <c r="I62" i="77" s="1"/>
  <c r="L62" i="77"/>
  <c r="L54" i="77"/>
  <c r="H54" i="77"/>
  <c r="I54" i="77" s="1"/>
  <c r="H52" i="77"/>
  <c r="I52" i="77" s="1"/>
  <c r="L52" i="77"/>
  <c r="L83" i="77"/>
  <c r="H83" i="77"/>
  <c r="I83" i="77" s="1"/>
  <c r="L78" i="77"/>
  <c r="H78" i="77"/>
  <c r="I78" i="77" s="1"/>
  <c r="H55" i="77"/>
  <c r="I55" i="77" s="1"/>
  <c r="L55" i="77"/>
  <c r="L116" i="77"/>
  <c r="H116" i="77"/>
  <c r="I116" i="77" s="1"/>
  <c r="H68" i="77"/>
  <c r="I68" i="77" s="1"/>
  <c r="L68" i="77"/>
  <c r="L88" i="77"/>
  <c r="H88" i="77"/>
  <c r="I88" i="77" s="1"/>
  <c r="H126" i="77"/>
  <c r="I126" i="77" s="1"/>
  <c r="L126" i="77"/>
  <c r="L58" i="77"/>
  <c r="H58" i="77"/>
  <c r="I58" i="77" s="1"/>
  <c r="AK84" i="28"/>
  <c r="AO112" i="28"/>
  <c r="M20" i="30"/>
  <c r="P20" i="30" s="1"/>
  <c r="S20" i="30" s="1"/>
  <c r="AK146" i="28"/>
  <c r="AK145" i="28" s="1"/>
  <c r="AO85" i="28"/>
  <c r="AO146" i="28"/>
  <c r="AO145" i="28" s="1"/>
  <c r="AO72" i="28"/>
  <c r="O76" i="40"/>
  <c r="L76" i="40"/>
  <c r="N76" i="40"/>
  <c r="E166" i="40"/>
  <c r="O53" i="40"/>
  <c r="L53" i="40"/>
  <c r="N53" i="40"/>
  <c r="O82" i="40"/>
  <c r="L82" i="40"/>
  <c r="N82" i="40"/>
  <c r="O51" i="40"/>
  <c r="L51" i="40"/>
  <c r="N51" i="40"/>
  <c r="O77" i="40"/>
  <c r="L77" i="40"/>
  <c r="N77" i="40"/>
  <c r="AH70" i="10"/>
  <c r="AB70" i="10"/>
  <c r="V70" i="10"/>
  <c r="O126" i="40"/>
  <c r="N126" i="40"/>
  <c r="O86" i="40"/>
  <c r="L86" i="40"/>
  <c r="N86" i="40"/>
  <c r="E168" i="40"/>
  <c r="L60" i="40"/>
  <c r="E163" i="40"/>
  <c r="N60" i="40"/>
  <c r="O115" i="40"/>
  <c r="L115" i="40"/>
  <c r="N115" i="40"/>
  <c r="O48" i="40"/>
  <c r="L48" i="40"/>
  <c r="N48" i="40"/>
  <c r="N67" i="40"/>
  <c r="O67" i="40"/>
  <c r="L67" i="40"/>
  <c r="L56" i="40"/>
  <c r="E162" i="40"/>
  <c r="N87" i="40"/>
  <c r="O87" i="40"/>
  <c r="L87" i="40"/>
  <c r="O124" i="40"/>
  <c r="L124" i="40"/>
  <c r="N124" i="40"/>
  <c r="O69" i="40"/>
  <c r="L69" i="40"/>
  <c r="N69" i="40"/>
  <c r="E165" i="40"/>
  <c r="O52" i="40"/>
  <c r="L52" i="40"/>
  <c r="N52" i="40"/>
  <c r="O81" i="40"/>
  <c r="L81" i="40"/>
  <c r="N81" i="40"/>
  <c r="E167" i="40"/>
  <c r="O47" i="40"/>
  <c r="L47" i="40"/>
  <c r="E160" i="40"/>
  <c r="N47" i="40"/>
  <c r="O125" i="40"/>
  <c r="L125" i="40"/>
  <c r="N125" i="40"/>
  <c r="O50" i="40"/>
  <c r="L50" i="40"/>
  <c r="N50" i="40"/>
  <c r="O49" i="40"/>
  <c r="L49" i="40"/>
  <c r="N49" i="40"/>
  <c r="L57" i="40"/>
  <c r="N57" i="40"/>
  <c r="O114" i="40"/>
  <c r="L114" i="40"/>
  <c r="N114" i="40"/>
  <c r="E172" i="40"/>
  <c r="L61" i="40"/>
  <c r="N61" i="40"/>
  <c r="AO84" i="28"/>
  <c r="N66" i="40"/>
  <c r="O66" i="40"/>
  <c r="L66" i="40"/>
  <c r="N64" i="40"/>
  <c r="O64" i="40"/>
  <c r="L64" i="40"/>
  <c r="N65" i="40"/>
  <c r="O65" i="40"/>
  <c r="L65" i="40"/>
  <c r="E164" i="40"/>
  <c r="C141" i="40"/>
  <c r="L54" i="40"/>
  <c r="N54" i="40"/>
  <c r="O54" i="40"/>
  <c r="E161" i="40"/>
  <c r="AG70" i="27"/>
  <c r="AH70" i="27"/>
  <c r="F16" i="12"/>
  <c r="F14" i="12"/>
  <c r="F15" i="12"/>
  <c r="F30" i="12"/>
  <c r="F9" i="12"/>
  <c r="AB64" i="10"/>
  <c r="V64" i="10"/>
  <c r="V62" i="10"/>
  <c r="AB62" i="10"/>
  <c r="AH69" i="10"/>
  <c r="V69" i="10"/>
  <c r="AB65" i="10"/>
  <c r="V65" i="10"/>
  <c r="AB69" i="10"/>
  <c r="L126" i="40"/>
  <c r="E174" i="40"/>
  <c r="Z73" i="23"/>
  <c r="F19" i="12"/>
  <c r="AO77" i="28"/>
  <c r="AO106" i="28"/>
  <c r="AK65" i="28"/>
  <c r="AO66" i="28"/>
  <c r="AO65" i="28" s="1"/>
  <c r="AK77" i="28"/>
  <c r="AK106" i="28"/>
  <c r="AO101" i="28"/>
  <c r="AO100" i="28" s="1"/>
  <c r="AK100" i="28"/>
  <c r="AK90" i="28"/>
  <c r="AK71" i="28" s="1"/>
  <c r="AO91" i="28"/>
  <c r="AO90" i="28" s="1"/>
  <c r="AK60" i="28"/>
  <c r="AO61" i="28"/>
  <c r="AO60" i="28" s="1"/>
  <c r="F33" i="12"/>
  <c r="Z78" i="23"/>
  <c r="Z160" i="23"/>
  <c r="Z159" i="23" s="1"/>
  <c r="F31" i="12"/>
  <c r="F13" i="12"/>
  <c r="Z101" i="23"/>
  <c r="Z107" i="23"/>
  <c r="Z66" i="23"/>
  <c r="Z147" i="23"/>
  <c r="Z146" i="23" s="1"/>
  <c r="Z85" i="23"/>
  <c r="Z113" i="23"/>
  <c r="Z61" i="23"/>
  <c r="AS120" i="10"/>
  <c r="AG137" i="27"/>
  <c r="AH137" i="27"/>
  <c r="P66" i="24"/>
  <c r="P86" i="25"/>
  <c r="P73" i="25" s="1"/>
  <c r="V89" i="10"/>
  <c r="AB89" i="10"/>
  <c r="AT88" i="10"/>
  <c r="AB88" i="10" s="1"/>
  <c r="CL88" i="10"/>
  <c r="AE86" i="2"/>
  <c r="Z17" i="30" s="1"/>
  <c r="AB162" i="10"/>
  <c r="AH162" i="10"/>
  <c r="V162" i="10"/>
  <c r="P67" i="25"/>
  <c r="S68" i="25"/>
  <c r="S67" i="25" s="1"/>
  <c r="S86" i="25"/>
  <c r="P114" i="25"/>
  <c r="S115" i="25"/>
  <c r="S114" i="25" s="1"/>
  <c r="AB115" i="10"/>
  <c r="V115" i="10"/>
  <c r="AH115" i="10"/>
  <c r="AH113" i="10" s="1"/>
  <c r="AH161" i="10"/>
  <c r="CN161" i="10"/>
  <c r="AB163" i="10"/>
  <c r="V163" i="10"/>
  <c r="AH163" i="10"/>
  <c r="AE161" i="2"/>
  <c r="Z27" i="30" s="1"/>
  <c r="AE67" i="2"/>
  <c r="Z13" i="30" s="1"/>
  <c r="AE114" i="2"/>
  <c r="Z21" i="30" s="1"/>
  <c r="AG65" i="27"/>
  <c r="AH65" i="27"/>
  <c r="AG135" i="27"/>
  <c r="AH135" i="27"/>
  <c r="AG136" i="27"/>
  <c r="AH136" i="27"/>
  <c r="AG115" i="27"/>
  <c r="AH115" i="27"/>
  <c r="AG114" i="27"/>
  <c r="AH114" i="27"/>
  <c r="AG163" i="27"/>
  <c r="AH163" i="27"/>
  <c r="AG162" i="27"/>
  <c r="AH162" i="27"/>
  <c r="AG67" i="27"/>
  <c r="AH67" i="27"/>
  <c r="AG69" i="27"/>
  <c r="AH69" i="27"/>
  <c r="M68" i="27"/>
  <c r="N68" i="27"/>
  <c r="AG68" i="27"/>
  <c r="AH68" i="27"/>
  <c r="AG89" i="27"/>
  <c r="AH89" i="27"/>
  <c r="AG88" i="27"/>
  <c r="AH88" i="27"/>
  <c r="AG86" i="27"/>
  <c r="AH86" i="27"/>
  <c r="AT67" i="10"/>
  <c r="CO67" i="10"/>
  <c r="V102" i="10"/>
  <c r="AB102" i="10"/>
  <c r="X66" i="10"/>
  <c r="V103" i="10"/>
  <c r="AB103" i="10"/>
  <c r="AO74" i="2"/>
  <c r="G14" i="19" s="1"/>
  <c r="F15" i="19"/>
  <c r="AB74" i="10"/>
  <c r="AH74" i="10"/>
  <c r="AB75" i="10"/>
  <c r="AH75" i="10"/>
  <c r="S102" i="25"/>
  <c r="AH81" i="10"/>
  <c r="AC81" i="10" s="1"/>
  <c r="AB81" i="10"/>
  <c r="W81" i="10" s="1"/>
  <c r="AH123" i="10"/>
  <c r="AC123" i="10" s="1"/>
  <c r="AB123" i="10"/>
  <c r="W123" i="10" s="1"/>
  <c r="AB122" i="10"/>
  <c r="W122" i="10" s="1"/>
  <c r="AH122" i="10"/>
  <c r="AC122" i="10" s="1"/>
  <c r="AC79" i="10"/>
  <c r="AB79" i="10"/>
  <c r="W79" i="10" s="1"/>
  <c r="CM121" i="10"/>
  <c r="AS78" i="10"/>
  <c r="V20" i="30"/>
  <c r="P108" i="25"/>
  <c r="AG79" i="27"/>
  <c r="AE78" i="27"/>
  <c r="W77" i="11"/>
  <c r="AN86" i="2"/>
  <c r="F17" i="19" s="1"/>
  <c r="AE108" i="2"/>
  <c r="Z20" i="30" s="1"/>
  <c r="AG73" i="27"/>
  <c r="AG109" i="27"/>
  <c r="AH109" i="27"/>
  <c r="AG108" i="27"/>
  <c r="AH108" i="27"/>
  <c r="AT75" i="10"/>
  <c r="V75" i="10"/>
  <c r="Q80" i="10"/>
  <c r="Q78" i="10" s="1"/>
  <c r="AH65" i="10"/>
  <c r="AH61" i="10" s="1"/>
  <c r="V63" i="10"/>
  <c r="CI63" i="10" s="1"/>
  <c r="CJ63" i="10" s="1"/>
  <c r="AG103" i="27"/>
  <c r="AH103" i="27"/>
  <c r="AE102" i="2"/>
  <c r="Z19" i="30" s="1"/>
  <c r="AG102" i="27"/>
  <c r="AH102" i="27"/>
  <c r="AG161" i="27"/>
  <c r="AH161" i="27"/>
  <c r="AM92" i="2"/>
  <c r="E18" i="19" s="1"/>
  <c r="P160" i="24"/>
  <c r="P159" i="24" s="1"/>
  <c r="P161" i="25"/>
  <c r="P160" i="25" s="1"/>
  <c r="S162" i="25"/>
  <c r="S161" i="25" s="1"/>
  <c r="R93" i="25"/>
  <c r="R92" i="25" s="1"/>
  <c r="AE148" i="2"/>
  <c r="Z25" i="30" s="1"/>
  <c r="P85" i="24"/>
  <c r="P72" i="24" s="1"/>
  <c r="P113" i="24"/>
  <c r="V149" i="10"/>
  <c r="AB149" i="10"/>
  <c r="AB148" i="10"/>
  <c r="V148" i="10"/>
  <c r="R81" i="25"/>
  <c r="R88" i="25"/>
  <c r="R86" i="25" s="1"/>
  <c r="J17" i="30" s="1"/>
  <c r="AN135" i="2"/>
  <c r="F24" i="19" s="1"/>
  <c r="P107" i="24"/>
  <c r="AT68" i="10"/>
  <c r="AJ68" i="10"/>
  <c r="CQ71" i="10"/>
  <c r="J36" i="1"/>
  <c r="R36" i="1" s="1"/>
  <c r="T36" i="1" s="1"/>
  <c r="I23" i="19"/>
  <c r="P101" i="24"/>
  <c r="AM108" i="2"/>
  <c r="E20" i="19" s="1"/>
  <c r="I20" i="19" s="1"/>
  <c r="K20" i="19" s="1"/>
  <c r="CI141" i="10"/>
  <c r="CJ141" i="10" s="1"/>
  <c r="P61" i="24"/>
  <c r="P147" i="24"/>
  <c r="P146" i="24" s="1"/>
  <c r="P140" i="24" s="1"/>
  <c r="AH136" i="10"/>
  <c r="V136" i="10"/>
  <c r="AB136" i="10"/>
  <c r="AS73" i="10"/>
  <c r="AT74" i="10"/>
  <c r="AH135" i="10"/>
  <c r="AB135" i="10"/>
  <c r="V135" i="10"/>
  <c r="V137" i="10"/>
  <c r="AH137" i="10"/>
  <c r="AB137" i="10"/>
  <c r="AT86" i="10"/>
  <c r="CO86" i="10" s="1"/>
  <c r="P62" i="25"/>
  <c r="P148" i="25"/>
  <c r="P147" i="25" s="1"/>
  <c r="AH80" i="10"/>
  <c r="AT89" i="10"/>
  <c r="V87" i="10"/>
  <c r="AT87" i="10"/>
  <c r="AS107" i="10"/>
  <c r="AS101" i="10"/>
  <c r="AH102" i="10"/>
  <c r="AH101" i="10" s="1"/>
  <c r="AS134" i="10"/>
  <c r="AS160" i="10"/>
  <c r="AS159" i="10" s="1"/>
  <c r="AB68" i="10"/>
  <c r="W68" i="10"/>
  <c r="AT69" i="10"/>
  <c r="E27" i="19"/>
  <c r="AM161" i="2"/>
  <c r="AN161" i="2"/>
  <c r="F27" i="19"/>
  <c r="AT92" i="10"/>
  <c r="CO92" i="10" s="1"/>
  <c r="V74" i="10"/>
  <c r="AN74" i="2"/>
  <c r="F14" i="19" s="1"/>
  <c r="AG92" i="27"/>
  <c r="AG91" i="27" s="1"/>
  <c r="AH92" i="27"/>
  <c r="AH91" i="27" s="1"/>
  <c r="AG149" i="27"/>
  <c r="AH149" i="27"/>
  <c r="AG62" i="27"/>
  <c r="AH62" i="27"/>
  <c r="AG148" i="27"/>
  <c r="AH148" i="27"/>
  <c r="AG87" i="27"/>
  <c r="AH87" i="27"/>
  <c r="AE62" i="2"/>
  <c r="Z12" i="30" s="1"/>
  <c r="AG80" i="27"/>
  <c r="AH80" i="27"/>
  <c r="AH78" i="27" s="1"/>
  <c r="Z16" i="30"/>
  <c r="AE79" i="2"/>
  <c r="AG63" i="27"/>
  <c r="AH63" i="27"/>
  <c r="AG64" i="27"/>
  <c r="AH64" i="27"/>
  <c r="AN114" i="2"/>
  <c r="F21" i="19" s="1"/>
  <c r="I21" i="19" s="1"/>
  <c r="K21" i="19" s="1"/>
  <c r="AS66" i="10"/>
  <c r="AS113" i="10"/>
  <c r="AH147" i="10"/>
  <c r="AH146" i="10" s="1"/>
  <c r="AS147" i="10"/>
  <c r="AS146" i="10" s="1"/>
  <c r="AS61" i="10"/>
  <c r="AS85" i="10"/>
  <c r="W133" i="11"/>
  <c r="R62" i="25"/>
  <c r="AE120" i="27"/>
  <c r="AE55" i="27"/>
  <c r="R148" i="25"/>
  <c r="J25" i="30" s="1"/>
  <c r="M25" i="30" s="1"/>
  <c r="P25" i="30" s="1"/>
  <c r="S25" i="30" s="1"/>
  <c r="W112" i="11"/>
  <c r="D79" i="10"/>
  <c r="J79" i="10"/>
  <c r="AT79" i="10"/>
  <c r="W146" i="11"/>
  <c r="W139" i="11" s="1"/>
  <c r="AM86" i="2"/>
  <c r="E17" i="19" s="1"/>
  <c r="W159" i="11"/>
  <c r="AM62" i="2"/>
  <c r="E12" i="19" s="1"/>
  <c r="AM102" i="2"/>
  <c r="E19" i="19" s="1"/>
  <c r="AM148" i="2"/>
  <c r="E25" i="19" s="1"/>
  <c r="AM74" i="2"/>
  <c r="E14" i="19" s="1"/>
  <c r="AN67" i="2"/>
  <c r="F13" i="19" s="1"/>
  <c r="AM67" i="2"/>
  <c r="E13" i="19" s="1"/>
  <c r="E14" i="13"/>
  <c r="D8" i="13"/>
  <c r="E8" i="13" s="1"/>
  <c r="W119" i="11"/>
  <c r="W152" i="11"/>
  <c r="W106" i="11"/>
  <c r="J163" i="10"/>
  <c r="P163" i="10"/>
  <c r="K162" i="10"/>
  <c r="E162" i="10"/>
  <c r="J162" i="10"/>
  <c r="P162" i="10"/>
  <c r="E163" i="10"/>
  <c r="K163" i="10"/>
  <c r="CI154" i="10"/>
  <c r="CJ154" i="10" s="1"/>
  <c r="D163" i="10"/>
  <c r="C163" i="10"/>
  <c r="AA49" i="2"/>
  <c r="AA48" i="2"/>
  <c r="AG120" i="27" l="1"/>
  <c r="Z72" i="23"/>
  <c r="L57" i="77"/>
  <c r="H57" i="77"/>
  <c r="I57" i="77" s="1"/>
  <c r="AH120" i="27"/>
  <c r="J12" i="30"/>
  <c r="M12" i="30" s="1"/>
  <c r="P12" i="30" s="1"/>
  <c r="S12" i="30" s="1"/>
  <c r="V12" i="30" s="1"/>
  <c r="M27" i="30"/>
  <c r="P27" i="30" s="1"/>
  <c r="S27" i="30" s="1"/>
  <c r="V27" i="30" s="1"/>
  <c r="M17" i="30"/>
  <c r="P17" i="30" s="1"/>
  <c r="S17" i="30" s="1"/>
  <c r="M19" i="30"/>
  <c r="P19" i="30" s="1"/>
  <c r="S19" i="30" s="1"/>
  <c r="V19" i="30" s="1"/>
  <c r="M13" i="30"/>
  <c r="P13" i="30" s="1"/>
  <c r="S13" i="30" s="1"/>
  <c r="V13" i="30" s="1"/>
  <c r="J16" i="30"/>
  <c r="M16" i="30" s="1"/>
  <c r="P16" i="30" s="1"/>
  <c r="S16" i="30" s="1"/>
  <c r="V16" i="30" s="1"/>
  <c r="J18" i="30"/>
  <c r="M18" i="30" s="1"/>
  <c r="P18" i="30" s="1"/>
  <c r="S18" i="30" s="1"/>
  <c r="V18" i="30" s="1"/>
  <c r="M21" i="30"/>
  <c r="P21" i="30" s="1"/>
  <c r="S21" i="30" s="1"/>
  <c r="V21" i="30" s="1"/>
  <c r="D166" i="41"/>
  <c r="J167" i="40"/>
  <c r="J166" i="40"/>
  <c r="D165" i="41"/>
  <c r="AK46" i="28"/>
  <c r="AO46" i="28" s="1"/>
  <c r="G36" i="40"/>
  <c r="K37" i="77" s="1"/>
  <c r="P47" i="24"/>
  <c r="D160" i="41"/>
  <c r="J172" i="40"/>
  <c r="D156" i="41"/>
  <c r="J160" i="40"/>
  <c r="D148" i="41"/>
  <c r="J162" i="40"/>
  <c r="J163" i="40"/>
  <c r="D146" i="41"/>
  <c r="AK47" i="28"/>
  <c r="AO47" i="28" s="1"/>
  <c r="G37" i="40"/>
  <c r="K38" i="77" s="1"/>
  <c r="P48" i="24"/>
  <c r="D155" i="41"/>
  <c r="J165" i="40"/>
  <c r="D164" i="41"/>
  <c r="J168" i="40"/>
  <c r="J164" i="40"/>
  <c r="D147" i="41"/>
  <c r="D152" i="41"/>
  <c r="J161" i="40"/>
  <c r="CI64" i="10"/>
  <c r="CJ64" i="10" s="1"/>
  <c r="CI62" i="10"/>
  <c r="CJ62" i="10" s="1"/>
  <c r="CR62" i="10" s="1"/>
  <c r="CR64" i="10"/>
  <c r="AH86" i="10"/>
  <c r="AH85" i="10" s="1"/>
  <c r="AB86" i="10"/>
  <c r="V86" i="10"/>
  <c r="V92" i="10"/>
  <c r="V91" i="10" s="1"/>
  <c r="AH92" i="10"/>
  <c r="AH91" i="10" s="1"/>
  <c r="AB92" i="10"/>
  <c r="AK99" i="28"/>
  <c r="AK98" i="28" s="1"/>
  <c r="D167" i="41"/>
  <c r="J174" i="40"/>
  <c r="AH147" i="27"/>
  <c r="AH146" i="27" s="1"/>
  <c r="AH140" i="27" s="1"/>
  <c r="AO71" i="28"/>
  <c r="AO99" i="28"/>
  <c r="AO98" i="28" s="1"/>
  <c r="CS79" i="10"/>
  <c r="CI89" i="10"/>
  <c r="Z100" i="23"/>
  <c r="Z99" i="23" s="1"/>
  <c r="AG134" i="27"/>
  <c r="AG119" i="27" s="1"/>
  <c r="AH160" i="10"/>
  <c r="AH159" i="10" s="1"/>
  <c r="V88" i="10"/>
  <c r="CI88" i="10" s="1"/>
  <c r="V17" i="30"/>
  <c r="AH85" i="27"/>
  <c r="AH72" i="27" s="1"/>
  <c r="CI163" i="10"/>
  <c r="Q87" i="10"/>
  <c r="CI87" i="10"/>
  <c r="AG66" i="27"/>
  <c r="AG113" i="27"/>
  <c r="AG85" i="27"/>
  <c r="V161" i="10"/>
  <c r="AB161" i="10"/>
  <c r="CI162" i="10"/>
  <c r="AG160" i="27"/>
  <c r="AG159" i="27" s="1"/>
  <c r="AH113" i="27"/>
  <c r="L21" i="19" s="1"/>
  <c r="AH160" i="27"/>
  <c r="AH134" i="27"/>
  <c r="AH66" i="27"/>
  <c r="AB67" i="10"/>
  <c r="V67" i="10"/>
  <c r="AH67" i="10"/>
  <c r="AH66" i="10" s="1"/>
  <c r="AH107" i="27"/>
  <c r="L20" i="19" s="1"/>
  <c r="AH73" i="10"/>
  <c r="AG78" i="27"/>
  <c r="CR74" i="10"/>
  <c r="CR69" i="10"/>
  <c r="AG107" i="27"/>
  <c r="CR75" i="10"/>
  <c r="CQ68" i="10"/>
  <c r="CR68" i="10"/>
  <c r="AD66" i="10"/>
  <c r="CR70" i="10"/>
  <c r="CI137" i="10"/>
  <c r="CJ137" i="10" s="1"/>
  <c r="CI135" i="10"/>
  <c r="CJ135" i="10" s="1"/>
  <c r="AB121" i="10"/>
  <c r="AB120" i="10" s="1"/>
  <c r="AH121" i="10"/>
  <c r="AH120" i="10" s="1"/>
  <c r="CI136" i="10"/>
  <c r="CJ136" i="10" s="1"/>
  <c r="AH78" i="10"/>
  <c r="AG101" i="27"/>
  <c r="CI65" i="10"/>
  <c r="CJ65" i="10" s="1"/>
  <c r="I56" i="19"/>
  <c r="K23" i="19"/>
  <c r="AH101" i="27"/>
  <c r="AE141" i="2"/>
  <c r="CI103" i="10"/>
  <c r="AB91" i="10"/>
  <c r="P100" i="24"/>
  <c r="CI70" i="10"/>
  <c r="CJ70" i="10" s="1"/>
  <c r="AH134" i="10"/>
  <c r="V25" i="30"/>
  <c r="AS119" i="10"/>
  <c r="AG147" i="27"/>
  <c r="AG146" i="27" s="1"/>
  <c r="AG140" i="27" s="1"/>
  <c r="CI68" i="10"/>
  <c r="CJ68" i="10" s="1"/>
  <c r="O49" i="38"/>
  <c r="Z48" i="23"/>
  <c r="P49" i="25"/>
  <c r="Q49" i="25" s="1"/>
  <c r="O48" i="38"/>
  <c r="Z47" i="23"/>
  <c r="P48" i="25"/>
  <c r="Q48" i="25" s="1"/>
  <c r="CI69" i="10"/>
  <c r="CJ69" i="10" s="1"/>
  <c r="AS100" i="10"/>
  <c r="CI148" i="10"/>
  <c r="CI102" i="10"/>
  <c r="CI149" i="10"/>
  <c r="AU63" i="10"/>
  <c r="AU64" i="10"/>
  <c r="AU74" i="10"/>
  <c r="AU75" i="10"/>
  <c r="AU62" i="10"/>
  <c r="AU65" i="10"/>
  <c r="AS72" i="10"/>
  <c r="AV155" i="10"/>
  <c r="AG61" i="27"/>
  <c r="AV154" i="10"/>
  <c r="AH61" i="27"/>
  <c r="AU153" i="10"/>
  <c r="AE48" i="2"/>
  <c r="AS47" i="10"/>
  <c r="AE49" i="2"/>
  <c r="AS48" i="10"/>
  <c r="AE48" i="27"/>
  <c r="AL49" i="2"/>
  <c r="AE47" i="27"/>
  <c r="AL48" i="2"/>
  <c r="W47" i="11"/>
  <c r="W46" i="11"/>
  <c r="AA47" i="2"/>
  <c r="P46" i="24" s="1"/>
  <c r="AA44" i="2"/>
  <c r="AA42" i="2"/>
  <c r="AA40" i="2"/>
  <c r="AA36" i="2"/>
  <c r="AA35" i="2"/>
  <c r="AA34" i="2"/>
  <c r="L31" i="3"/>
  <c r="L81" i="2" s="1"/>
  <c r="K80" i="24" s="1"/>
  <c r="L30" i="3"/>
  <c r="L80" i="2" s="1"/>
  <c r="L28" i="3"/>
  <c r="H38" i="77" l="1"/>
  <c r="I38" i="77" s="1"/>
  <c r="L38" i="77"/>
  <c r="G27" i="40"/>
  <c r="K28" i="77" s="1"/>
  <c r="Z35" i="23"/>
  <c r="L37" i="77"/>
  <c r="H37" i="77"/>
  <c r="I37" i="77" s="1"/>
  <c r="N27" i="40"/>
  <c r="K78" i="28"/>
  <c r="K79" i="23"/>
  <c r="P44" i="25"/>
  <c r="S44" i="25" s="1"/>
  <c r="AE44" i="2"/>
  <c r="G7" i="30"/>
  <c r="J7" i="30" s="1"/>
  <c r="M7" i="30" s="1"/>
  <c r="P7" i="30" s="1"/>
  <c r="S7" i="30" s="1"/>
  <c r="AH159" i="27"/>
  <c r="AK40" i="28"/>
  <c r="AO40" i="28" s="1"/>
  <c r="G32" i="40"/>
  <c r="K33" i="77" s="1"/>
  <c r="P41" i="24"/>
  <c r="AK38" i="28"/>
  <c r="AO38" i="28" s="1"/>
  <c r="G30" i="40"/>
  <c r="K31" i="77" s="1"/>
  <c r="P39" i="24"/>
  <c r="G25" i="40"/>
  <c r="K26" i="77" s="1"/>
  <c r="P33" i="24"/>
  <c r="AK33" i="28"/>
  <c r="AO33" i="28" s="1"/>
  <c r="G26" i="40"/>
  <c r="P34" i="24"/>
  <c r="G34" i="40"/>
  <c r="P43" i="24"/>
  <c r="O36" i="40"/>
  <c r="L36" i="40"/>
  <c r="N36" i="40"/>
  <c r="E156" i="40"/>
  <c r="O37" i="40"/>
  <c r="L37" i="40"/>
  <c r="N37" i="40"/>
  <c r="L27" i="40"/>
  <c r="CI86" i="10"/>
  <c r="CJ86" i="10" s="1"/>
  <c r="Z33" i="23"/>
  <c r="AK32" i="28"/>
  <c r="Z43" i="23"/>
  <c r="AK42" i="28"/>
  <c r="AO42" i="28" s="1"/>
  <c r="P78" i="28"/>
  <c r="AO36" i="2"/>
  <c r="AO33" i="2" s="1"/>
  <c r="G5" i="19" s="1"/>
  <c r="AK34" i="28"/>
  <c r="AO34" i="28" s="1"/>
  <c r="AK45" i="28"/>
  <c r="J81" i="38"/>
  <c r="K79" i="28"/>
  <c r="P79" i="28" s="1"/>
  <c r="P42" i="25"/>
  <c r="S42" i="25" s="1"/>
  <c r="AE42" i="2"/>
  <c r="AH72" i="10"/>
  <c r="CI67" i="10"/>
  <c r="CJ67" i="10" s="1"/>
  <c r="CR67" i="10"/>
  <c r="AG72" i="27"/>
  <c r="AH100" i="27"/>
  <c r="P34" i="25"/>
  <c r="S34" i="25" s="1"/>
  <c r="AE34" i="2"/>
  <c r="O42" i="38"/>
  <c r="Z41" i="23"/>
  <c r="P35" i="25"/>
  <c r="S35" i="25" s="1"/>
  <c r="AE35" i="2"/>
  <c r="AG100" i="27"/>
  <c r="AG99" i="27" s="1"/>
  <c r="CQ70" i="10"/>
  <c r="R66" i="10"/>
  <c r="W121" i="10"/>
  <c r="W120" i="10" s="1"/>
  <c r="AC121" i="10"/>
  <c r="AC120" i="10" s="1"/>
  <c r="AH119" i="10"/>
  <c r="L79" i="2"/>
  <c r="AT48" i="10"/>
  <c r="AT47" i="10"/>
  <c r="CO47" i="10" s="1"/>
  <c r="L23" i="19"/>
  <c r="P43" i="25"/>
  <c r="S43" i="25" s="1"/>
  <c r="AE43" i="2"/>
  <c r="CI92" i="10"/>
  <c r="CJ92" i="10" s="1"/>
  <c r="Z34" i="23"/>
  <c r="AS99" i="10"/>
  <c r="K80" i="23"/>
  <c r="K78" i="23" s="1"/>
  <c r="K81" i="25"/>
  <c r="K79" i="25" s="1"/>
  <c r="K78" i="24"/>
  <c r="O40" i="38"/>
  <c r="Z39" i="23"/>
  <c r="P40" i="25"/>
  <c r="O43" i="38"/>
  <c r="Z42" i="23"/>
  <c r="O47" i="38"/>
  <c r="Z46" i="23"/>
  <c r="Z45" i="23" s="1"/>
  <c r="P45" i="24"/>
  <c r="P47" i="25"/>
  <c r="P46" i="25" s="1"/>
  <c r="AS35" i="10"/>
  <c r="CO35" i="10" s="1"/>
  <c r="O36" i="38"/>
  <c r="AS43" i="10"/>
  <c r="O44" i="38"/>
  <c r="AN44" i="2"/>
  <c r="AI79" i="10"/>
  <c r="J80" i="38"/>
  <c r="AS33" i="10"/>
  <c r="O34" i="38"/>
  <c r="AS34" i="10"/>
  <c r="O35" i="38"/>
  <c r="AA39" i="2"/>
  <c r="O39" i="38" s="1"/>
  <c r="AI80" i="10"/>
  <c r="AS41" i="10"/>
  <c r="AN42" i="2"/>
  <c r="AS42" i="10"/>
  <c r="CQ42" i="10" s="1"/>
  <c r="AM43" i="2"/>
  <c r="Z7" i="30"/>
  <c r="AG48" i="27"/>
  <c r="AH48" i="27"/>
  <c r="AG47" i="27"/>
  <c r="AH47" i="27"/>
  <c r="AH45" i="10"/>
  <c r="AE40" i="2"/>
  <c r="AS39" i="10"/>
  <c r="V39" i="10" s="1"/>
  <c r="Q39" i="10" s="1"/>
  <c r="AE47" i="2"/>
  <c r="AE46" i="2" s="1"/>
  <c r="AS46" i="10"/>
  <c r="V46" i="10" s="1"/>
  <c r="CI46" i="10" s="1"/>
  <c r="AV153" i="10"/>
  <c r="AE35" i="27"/>
  <c r="AG35" i="27" s="1"/>
  <c r="AN36" i="2"/>
  <c r="V7" i="30"/>
  <c r="Q46" i="25"/>
  <c r="V79" i="11"/>
  <c r="K80" i="27"/>
  <c r="AE39" i="27"/>
  <c r="AL40" i="2"/>
  <c r="AE46" i="27"/>
  <c r="AL47" i="2"/>
  <c r="D8" i="19" s="1"/>
  <c r="AE43" i="27"/>
  <c r="AO44" i="2"/>
  <c r="AE41" i="27"/>
  <c r="AO42" i="2"/>
  <c r="K79" i="27"/>
  <c r="AE33" i="27"/>
  <c r="AN34" i="2"/>
  <c r="AE34" i="27"/>
  <c r="AN35" i="2"/>
  <c r="AE42" i="27"/>
  <c r="AN43" i="2"/>
  <c r="D7" i="19"/>
  <c r="D6" i="13"/>
  <c r="E6" i="13" s="1"/>
  <c r="L75" i="2"/>
  <c r="K73" i="28" s="1"/>
  <c r="L27" i="3"/>
  <c r="V78" i="11"/>
  <c r="W42" i="11"/>
  <c r="F27" i="12" s="1"/>
  <c r="W38" i="11"/>
  <c r="W32" i="11"/>
  <c r="W40" i="11"/>
  <c r="W34" i="11"/>
  <c r="W33" i="11"/>
  <c r="AM33" i="2"/>
  <c r="E5" i="19" s="1"/>
  <c r="W41" i="11"/>
  <c r="F20" i="12" s="1"/>
  <c r="W45" i="11"/>
  <c r="J7" i="19"/>
  <c r="X65" i="3"/>
  <c r="D162" i="10"/>
  <c r="C162" i="10"/>
  <c r="AT70" i="10"/>
  <c r="AJ70" i="10"/>
  <c r="AA135" i="2"/>
  <c r="X135" i="2"/>
  <c r="X120" i="2" s="1"/>
  <c r="U135" i="2"/>
  <c r="U120" i="2" s="1"/>
  <c r="H92" i="77" s="1"/>
  <c r="I92" i="77" s="1"/>
  <c r="R135" i="2"/>
  <c r="R120" i="2" s="1"/>
  <c r="O135" i="2"/>
  <c r="O120" i="2" s="1"/>
  <c r="D20" i="13"/>
  <c r="E20" i="13" s="1"/>
  <c r="AA108" i="2"/>
  <c r="X108" i="2"/>
  <c r="U108" i="2"/>
  <c r="R108" i="2"/>
  <c r="O108" i="2"/>
  <c r="L108" i="2"/>
  <c r="AR106" i="28" s="1"/>
  <c r="AQ170" i="2"/>
  <c r="AQ161" i="2"/>
  <c r="AQ154" i="2"/>
  <c r="AQ148" i="2"/>
  <c r="AQ135" i="2"/>
  <c r="AQ114" i="2"/>
  <c r="AQ108" i="2"/>
  <c r="AQ102" i="2"/>
  <c r="AQ92" i="2"/>
  <c r="AQ94" i="2" s="1"/>
  <c r="AQ86" i="2"/>
  <c r="AQ74" i="2"/>
  <c r="AQ67" i="2"/>
  <c r="AQ58" i="2"/>
  <c r="AQ50" i="2"/>
  <c r="AQ46" i="2"/>
  <c r="AQ39" i="2"/>
  <c r="AQ9" i="2"/>
  <c r="AA33" i="2"/>
  <c r="X33" i="2"/>
  <c r="AA32" i="27" s="1"/>
  <c r="U33" i="2"/>
  <c r="W32" i="27" s="1"/>
  <c r="R33" i="2"/>
  <c r="S32" i="27" s="1"/>
  <c r="O33" i="2"/>
  <c r="O32" i="27" s="1"/>
  <c r="X69" i="6"/>
  <c r="L69" i="6"/>
  <c r="K69" i="6"/>
  <c r="W69" i="6"/>
  <c r="O69" i="6"/>
  <c r="N69" i="6"/>
  <c r="M69" i="6"/>
  <c r="X67" i="6"/>
  <c r="X66" i="6" s="1"/>
  <c r="W66" i="6"/>
  <c r="O66" i="6"/>
  <c r="N66" i="6"/>
  <c r="M66" i="6"/>
  <c r="X62" i="6"/>
  <c r="Y62" i="6"/>
  <c r="L62" i="6"/>
  <c r="K62" i="6"/>
  <c r="W62" i="6"/>
  <c r="O62" i="6"/>
  <c r="N62" i="6"/>
  <c r="M62" i="6"/>
  <c r="X60" i="6"/>
  <c r="P60" i="6"/>
  <c r="Y60" i="6" s="1"/>
  <c r="L60" i="6"/>
  <c r="K60" i="6"/>
  <c r="X58" i="6"/>
  <c r="Y58" i="6"/>
  <c r="W57" i="6"/>
  <c r="O57" i="6"/>
  <c r="N57" i="6"/>
  <c r="M57" i="6"/>
  <c r="X53" i="6"/>
  <c r="P53" i="6"/>
  <c r="Y53" i="6" s="1"/>
  <c r="L53" i="6"/>
  <c r="L49" i="6" s="1"/>
  <c r="K53" i="6"/>
  <c r="X50" i="6"/>
  <c r="P49" i="6"/>
  <c r="O49" i="6"/>
  <c r="N49" i="6"/>
  <c r="M49" i="6"/>
  <c r="W49" i="6"/>
  <c r="X47" i="6"/>
  <c r="P47" i="6"/>
  <c r="Y47" i="6" s="1"/>
  <c r="L47" i="6"/>
  <c r="K47" i="6"/>
  <c r="X45" i="6"/>
  <c r="P45" i="6"/>
  <c r="Y45" i="6" s="1"/>
  <c r="L45" i="6"/>
  <c r="K45" i="6"/>
  <c r="X43" i="6"/>
  <c r="P43" i="6"/>
  <c r="Y43" i="6" s="1"/>
  <c r="L43" i="6"/>
  <c r="K43" i="6"/>
  <c r="W42" i="6"/>
  <c r="O42" i="6"/>
  <c r="N42" i="6"/>
  <c r="M42" i="6"/>
  <c r="X39" i="6"/>
  <c r="P39" i="6"/>
  <c r="Y39" i="6" s="1"/>
  <c r="L39" i="6"/>
  <c r="K39" i="6"/>
  <c r="X37" i="6"/>
  <c r="P37" i="6"/>
  <c r="Y37" i="6" s="1"/>
  <c r="L37" i="6"/>
  <c r="K37" i="6"/>
  <c r="X35" i="6"/>
  <c r="Y35" i="6"/>
  <c r="O32" i="6"/>
  <c r="N32" i="6"/>
  <c r="M32" i="6"/>
  <c r="X33" i="6"/>
  <c r="P33" i="6"/>
  <c r="Y33" i="6" s="1"/>
  <c r="L33" i="6"/>
  <c r="K33" i="6"/>
  <c r="W32" i="6"/>
  <c r="X30" i="6"/>
  <c r="P30" i="6"/>
  <c r="Y30" i="6" s="1"/>
  <c r="K30" i="6"/>
  <c r="X28" i="6"/>
  <c r="Y28" i="6"/>
  <c r="X26" i="6"/>
  <c r="P26" i="6"/>
  <c r="Y26" i="6" s="1"/>
  <c r="L26" i="6"/>
  <c r="K26" i="6"/>
  <c r="X24" i="6"/>
  <c r="P24" i="6"/>
  <c r="Y24" i="6" s="1"/>
  <c r="O24" i="6"/>
  <c r="N24" i="6"/>
  <c r="M24" i="6"/>
  <c r="L24" i="6"/>
  <c r="K24" i="6"/>
  <c r="X22" i="6"/>
  <c r="P22" i="6"/>
  <c r="AA55" i="2" s="1"/>
  <c r="L22" i="6"/>
  <c r="O55" i="2" s="1"/>
  <c r="K22" i="6"/>
  <c r="L55" i="2" s="1"/>
  <c r="K54" i="24" s="1"/>
  <c r="X20" i="6"/>
  <c r="X18" i="6"/>
  <c r="P18" i="6"/>
  <c r="Y18" i="6" s="1"/>
  <c r="M18" i="6"/>
  <c r="L18" i="6"/>
  <c r="K18" i="6"/>
  <c r="X16" i="6"/>
  <c r="Y16" i="6"/>
  <c r="X7" i="6"/>
  <c r="W6" i="6"/>
  <c r="E154" i="40" l="1"/>
  <c r="J154" i="40" s="1"/>
  <c r="K27" i="77"/>
  <c r="H33" i="77"/>
  <c r="I33" i="77" s="1"/>
  <c r="L33" i="77"/>
  <c r="O34" i="40"/>
  <c r="K35" i="77"/>
  <c r="H26" i="77"/>
  <c r="I26" i="77" s="1"/>
  <c r="L26" i="77"/>
  <c r="L54" i="24"/>
  <c r="Q43" i="77"/>
  <c r="H28" i="77"/>
  <c r="I28" i="77" s="1"/>
  <c r="L28" i="77"/>
  <c r="L31" i="77"/>
  <c r="H31" i="77"/>
  <c r="I31" i="77" s="1"/>
  <c r="AG43" i="27"/>
  <c r="AH43" i="27"/>
  <c r="S39" i="25"/>
  <c r="L34" i="40"/>
  <c r="N34" i="40"/>
  <c r="Z32" i="23"/>
  <c r="O25" i="40"/>
  <c r="L25" i="40"/>
  <c r="N25" i="40"/>
  <c r="O26" i="40"/>
  <c r="L26" i="40"/>
  <c r="N26" i="40"/>
  <c r="O32" i="40"/>
  <c r="L32" i="40"/>
  <c r="N32" i="40"/>
  <c r="D157" i="41"/>
  <c r="J156" i="40"/>
  <c r="O30" i="40"/>
  <c r="L30" i="40"/>
  <c r="E155" i="40"/>
  <c r="N30" i="40"/>
  <c r="AK53" i="28"/>
  <c r="AO53" i="28" s="1"/>
  <c r="AO48" i="28" s="1"/>
  <c r="P54" i="24"/>
  <c r="P49" i="24" s="1"/>
  <c r="G42" i="40"/>
  <c r="K43" i="77" s="1"/>
  <c r="V47" i="10"/>
  <c r="AB47" i="10"/>
  <c r="V48" i="10"/>
  <c r="CO48" i="10"/>
  <c r="S33" i="25"/>
  <c r="P77" i="28"/>
  <c r="AO37" i="28"/>
  <c r="AK44" i="28"/>
  <c r="AO45" i="28"/>
  <c r="AO44" i="28" s="1"/>
  <c r="AK37" i="28"/>
  <c r="K77" i="28"/>
  <c r="AR77" i="28" s="1"/>
  <c r="AK31" i="28"/>
  <c r="AO32" i="28"/>
  <c r="AO31" i="28" s="1"/>
  <c r="K72" i="28"/>
  <c r="P73" i="28"/>
  <c r="P72" i="28" s="1"/>
  <c r="K55" i="25"/>
  <c r="K50" i="25" s="1"/>
  <c r="K53" i="28"/>
  <c r="L55" i="25"/>
  <c r="L50" i="25" s="1"/>
  <c r="Q53" i="28"/>
  <c r="L42" i="6"/>
  <c r="AB35" i="10"/>
  <c r="AH35" i="10"/>
  <c r="D5" i="13"/>
  <c r="E5" i="13" s="1"/>
  <c r="F23" i="12"/>
  <c r="F21" i="12"/>
  <c r="AG41" i="27"/>
  <c r="AH41" i="27"/>
  <c r="AE33" i="2"/>
  <c r="Z5" i="30" s="1"/>
  <c r="P55" i="25"/>
  <c r="S55" i="25" s="1"/>
  <c r="S50" i="25" s="1"/>
  <c r="AN55" i="2"/>
  <c r="AN50" i="2" s="1"/>
  <c r="F9" i="19" s="1"/>
  <c r="P33" i="25"/>
  <c r="AG33" i="27"/>
  <c r="AH33" i="27"/>
  <c r="AG34" i="27"/>
  <c r="AH34" i="27"/>
  <c r="V42" i="10"/>
  <c r="AB42" i="10"/>
  <c r="AI78" i="10"/>
  <c r="M79" i="27"/>
  <c r="K78" i="27"/>
  <c r="V77" i="11"/>
  <c r="K49" i="6"/>
  <c r="AB41" i="10"/>
  <c r="AH41" i="10"/>
  <c r="V41" i="10"/>
  <c r="AB43" i="10"/>
  <c r="AH43" i="10"/>
  <c r="V43" i="10"/>
  <c r="P39" i="25"/>
  <c r="AG42" i="27"/>
  <c r="AH42" i="27"/>
  <c r="Q40" i="25"/>
  <c r="Q39" i="25" s="1"/>
  <c r="O135" i="38"/>
  <c r="AA120" i="2"/>
  <c r="J108" i="38"/>
  <c r="P38" i="24"/>
  <c r="O108" i="38"/>
  <c r="J75" i="38"/>
  <c r="K74" i="23"/>
  <c r="K73" i="23" s="1"/>
  <c r="Z38" i="23"/>
  <c r="R47" i="25"/>
  <c r="AH33" i="10"/>
  <c r="V33" i="10"/>
  <c r="AB33" i="10"/>
  <c r="AB34" i="10"/>
  <c r="AH34" i="10"/>
  <c r="V34" i="10"/>
  <c r="CI115" i="10"/>
  <c r="K55" i="38"/>
  <c r="N54" i="23"/>
  <c r="L49" i="24"/>
  <c r="O55" i="38"/>
  <c r="Z54" i="23"/>
  <c r="Z49" i="23" s="1"/>
  <c r="J55" i="38"/>
  <c r="K54" i="23"/>
  <c r="K49" i="23" s="1"/>
  <c r="K49" i="24"/>
  <c r="W134" i="27"/>
  <c r="M135" i="38"/>
  <c r="S107" i="27"/>
  <c r="L108" i="38"/>
  <c r="AA134" i="27"/>
  <c r="N135" i="38"/>
  <c r="AS32" i="10"/>
  <c r="AS45" i="10"/>
  <c r="CJ46" i="10"/>
  <c r="W107" i="27"/>
  <c r="M108" i="38"/>
  <c r="O134" i="27"/>
  <c r="K135" i="38"/>
  <c r="O107" i="27"/>
  <c r="K108" i="38"/>
  <c r="AA107" i="27"/>
  <c r="N108" i="38"/>
  <c r="S134" i="27"/>
  <c r="L135" i="38"/>
  <c r="AE39" i="2"/>
  <c r="Z6" i="30" s="1"/>
  <c r="AO39" i="2"/>
  <c r="G6" i="19" s="1"/>
  <c r="AN39" i="2"/>
  <c r="F6" i="19" s="1"/>
  <c r="W37" i="11"/>
  <c r="AL39" i="2"/>
  <c r="D6" i="19" s="1"/>
  <c r="AM39" i="2"/>
  <c r="E6" i="19" s="1"/>
  <c r="AS38" i="10"/>
  <c r="AK54" i="10"/>
  <c r="O54" i="27"/>
  <c r="Q54" i="27" s="1"/>
  <c r="Q49" i="27" s="1"/>
  <c r="AG39" i="27"/>
  <c r="AH39" i="27"/>
  <c r="AG46" i="27"/>
  <c r="AG45" i="27" s="1"/>
  <c r="AH46" i="27"/>
  <c r="Z8" i="30"/>
  <c r="AI54" i="10"/>
  <c r="N55" i="2"/>
  <c r="AL46" i="2"/>
  <c r="V73" i="11"/>
  <c r="E9" i="12" s="1"/>
  <c r="AI74" i="10"/>
  <c r="CL74" i="10" s="1"/>
  <c r="AE55" i="2"/>
  <c r="AE50" i="2" s="1"/>
  <c r="Z9" i="30" s="1"/>
  <c r="AS54" i="10"/>
  <c r="AT54" i="10" s="1"/>
  <c r="CP54" i="10" s="1"/>
  <c r="K107" i="27"/>
  <c r="D18" i="13"/>
  <c r="E18" i="13" s="1"/>
  <c r="AE107" i="27"/>
  <c r="AA50" i="2"/>
  <c r="O50" i="38" s="1"/>
  <c r="AE54" i="27"/>
  <c r="R55" i="25"/>
  <c r="R50" i="25" s="1"/>
  <c r="J9" i="30" s="1"/>
  <c r="AM55" i="2"/>
  <c r="AM50" i="2" s="1"/>
  <c r="E9" i="19" s="1"/>
  <c r="L50" i="2"/>
  <c r="J50" i="38" s="1"/>
  <c r="K54" i="27"/>
  <c r="N54" i="27" s="1"/>
  <c r="D3" i="13"/>
  <c r="E3" i="13" s="1"/>
  <c r="AE32" i="27"/>
  <c r="K74" i="27"/>
  <c r="M74" i="27" s="1"/>
  <c r="M73" i="27" s="1"/>
  <c r="O50" i="2"/>
  <c r="D21" i="13"/>
  <c r="E21" i="13" s="1"/>
  <c r="AE134" i="27"/>
  <c r="X42" i="6"/>
  <c r="N65" i="6"/>
  <c r="X57" i="6"/>
  <c r="C79" i="10"/>
  <c r="E79" i="10"/>
  <c r="AJ79" i="10"/>
  <c r="Y42" i="6"/>
  <c r="W31" i="11"/>
  <c r="AN33" i="2"/>
  <c r="F5" i="19" s="1"/>
  <c r="W5" i="6"/>
  <c r="V53" i="11"/>
  <c r="E5" i="12" s="1"/>
  <c r="Y22" i="6"/>
  <c r="Y70" i="6"/>
  <c r="Y69" i="6" s="1"/>
  <c r="P69" i="6"/>
  <c r="Y57" i="6"/>
  <c r="K57" i="6"/>
  <c r="N41" i="6"/>
  <c r="W65" i="6"/>
  <c r="L32" i="6"/>
  <c r="O65" i="6"/>
  <c r="O6" i="6"/>
  <c r="O5" i="6" s="1"/>
  <c r="Y50" i="6"/>
  <c r="Y49" i="6" s="1"/>
  <c r="M6" i="6"/>
  <c r="M5" i="6" s="1"/>
  <c r="X6" i="6"/>
  <c r="X49" i="6"/>
  <c r="M65" i="6"/>
  <c r="L57" i="6"/>
  <c r="W41" i="6"/>
  <c r="K42" i="6"/>
  <c r="L6" i="6"/>
  <c r="M41" i="6"/>
  <c r="O41" i="6"/>
  <c r="P42" i="6"/>
  <c r="P32" i="6"/>
  <c r="K32" i="6"/>
  <c r="L33" i="2"/>
  <c r="AR31" i="28" s="1"/>
  <c r="X32" i="6"/>
  <c r="P57" i="6"/>
  <c r="P62" i="6"/>
  <c r="X65" i="6"/>
  <c r="Y32" i="6"/>
  <c r="D168" i="41" l="1"/>
  <c r="AK48" i="28"/>
  <c r="H35" i="77"/>
  <c r="I35" i="77" s="1"/>
  <c r="L35" i="77"/>
  <c r="L27" i="77"/>
  <c r="H27" i="77"/>
  <c r="I27" i="77" s="1"/>
  <c r="H43" i="77"/>
  <c r="I43" i="77" s="1"/>
  <c r="L43" i="77"/>
  <c r="R46" i="25"/>
  <c r="J8" i="30"/>
  <c r="M8" i="30" s="1"/>
  <c r="P8" i="30" s="1"/>
  <c r="S8" i="30" s="1"/>
  <c r="V8" i="30" s="1"/>
  <c r="G6" i="30"/>
  <c r="J6" i="30" s="1"/>
  <c r="M6" i="30" s="1"/>
  <c r="P6" i="30" s="1"/>
  <c r="S6" i="30" s="1"/>
  <c r="V6" i="30" s="1"/>
  <c r="M9" i="30"/>
  <c r="P9" i="30" s="1"/>
  <c r="S9" i="30" s="1"/>
  <c r="V9" i="30" s="1"/>
  <c r="M5" i="30"/>
  <c r="P5" i="30" s="1"/>
  <c r="S5" i="30" s="1"/>
  <c r="V5" i="30" s="1"/>
  <c r="D158" i="41"/>
  <c r="J155" i="40"/>
  <c r="N42" i="40"/>
  <c r="O42" i="40"/>
  <c r="L42" i="40"/>
  <c r="E157" i="40"/>
  <c r="J157" i="40" s="1"/>
  <c r="CI35" i="10"/>
  <c r="CJ35" i="10" s="1"/>
  <c r="CI47" i="10"/>
  <c r="CJ47" i="10" s="1"/>
  <c r="P53" i="28"/>
  <c r="K48" i="28"/>
  <c r="AR48" i="28" s="1"/>
  <c r="U53" i="28"/>
  <c r="U48" i="28" s="1"/>
  <c r="Q48" i="28"/>
  <c r="N49" i="23"/>
  <c r="P50" i="25"/>
  <c r="AH38" i="10"/>
  <c r="AG32" i="27"/>
  <c r="AH54" i="10"/>
  <c r="AB54" i="10"/>
  <c r="V54" i="10"/>
  <c r="AH32" i="27"/>
  <c r="CR35" i="10"/>
  <c r="CR34" i="10"/>
  <c r="W74" i="10"/>
  <c r="AC74" i="10"/>
  <c r="CR33" i="10"/>
  <c r="CI41" i="10"/>
  <c r="CJ41" i="10" s="1"/>
  <c r="AG38" i="27"/>
  <c r="AH38" i="27"/>
  <c r="AJ74" i="10"/>
  <c r="CI43" i="10"/>
  <c r="CJ43" i="10" s="1"/>
  <c r="AI49" i="10"/>
  <c r="AJ54" i="10"/>
  <c r="CL54" i="10" s="1"/>
  <c r="V72" i="11"/>
  <c r="AL54" i="10"/>
  <c r="CM54" i="10" s="1"/>
  <c r="AH32" i="10"/>
  <c r="AI73" i="10"/>
  <c r="O49" i="27"/>
  <c r="K50" i="38"/>
  <c r="L49" i="10"/>
  <c r="AH45" i="27"/>
  <c r="M54" i="27"/>
  <c r="AG54" i="27"/>
  <c r="AG49" i="27" s="1"/>
  <c r="AH54" i="27"/>
  <c r="AH49" i="27" s="1"/>
  <c r="AS49" i="10"/>
  <c r="K49" i="27"/>
  <c r="K32" i="27"/>
  <c r="AE49" i="27"/>
  <c r="X41" i="6"/>
  <c r="Y41" i="6"/>
  <c r="W53" i="11"/>
  <c r="F5" i="12" s="1"/>
  <c r="D7" i="13"/>
  <c r="V48" i="11"/>
  <c r="W54" i="11"/>
  <c r="W73" i="6"/>
  <c r="L5" i="6"/>
  <c r="X5" i="6"/>
  <c r="O73" i="6"/>
  <c r="M73" i="6"/>
  <c r="K41" i="6"/>
  <c r="L41" i="6"/>
  <c r="P41" i="6"/>
  <c r="O35" i="1"/>
  <c r="O34" i="1"/>
  <c r="O32" i="1"/>
  <c r="O31" i="1"/>
  <c r="O20" i="1"/>
  <c r="J11" i="19"/>
  <c r="O15" i="1"/>
  <c r="Z13" i="9"/>
  <c r="P6" i="9"/>
  <c r="P5" i="9" s="1"/>
  <c r="P79" i="9" s="1"/>
  <c r="O6" i="9"/>
  <c r="O5" i="9" s="1"/>
  <c r="O79" i="9" s="1"/>
  <c r="Y76" i="9"/>
  <c r="Y75" i="9" s="1"/>
  <c r="M75" i="9"/>
  <c r="L75" i="9"/>
  <c r="X75" i="9"/>
  <c r="Y73" i="9"/>
  <c r="Y72" i="9" s="1"/>
  <c r="M72" i="9"/>
  <c r="L72" i="9"/>
  <c r="X72" i="9"/>
  <c r="AR141" i="2" s="1"/>
  <c r="Y69" i="9"/>
  <c r="Y68" i="9" s="1"/>
  <c r="Q69" i="9"/>
  <c r="M69" i="9"/>
  <c r="M68" i="9" s="1"/>
  <c r="L69" i="9"/>
  <c r="L68" i="9" s="1"/>
  <c r="X68" i="9"/>
  <c r="Y66" i="9"/>
  <c r="Q66" i="9"/>
  <c r="Z66" i="9" s="1"/>
  <c r="M66" i="9"/>
  <c r="L66" i="9"/>
  <c r="L63" i="9" s="1"/>
  <c r="Y64" i="9"/>
  <c r="Y63" i="9" s="1"/>
  <c r="X63" i="9"/>
  <c r="Y58" i="9"/>
  <c r="Q58" i="9"/>
  <c r="M58" i="9"/>
  <c r="L58" i="9"/>
  <c r="L54" i="9" s="1"/>
  <c r="Y55" i="9"/>
  <c r="Y54" i="9" s="1"/>
  <c r="Q54" i="9"/>
  <c r="M54" i="9"/>
  <c r="X54" i="9"/>
  <c r="Y52" i="9"/>
  <c r="Q52" i="9"/>
  <c r="Z52" i="9" s="1"/>
  <c r="M52" i="9"/>
  <c r="L52" i="9"/>
  <c r="Y50" i="9"/>
  <c r="Z50" i="9"/>
  <c r="Y48" i="9"/>
  <c r="Q48" i="9"/>
  <c r="M48" i="9"/>
  <c r="L48" i="9"/>
  <c r="X47" i="9"/>
  <c r="Y44" i="9"/>
  <c r="Q44" i="9"/>
  <c r="Z44" i="9" s="1"/>
  <c r="M44" i="9"/>
  <c r="L44" i="9"/>
  <c r="Y42" i="9"/>
  <c r="Q42" i="9"/>
  <c r="Z42" i="9" s="1"/>
  <c r="M42" i="9"/>
  <c r="L42" i="9"/>
  <c r="Y40" i="9"/>
  <c r="Q40" i="9"/>
  <c r="Z40" i="9" s="1"/>
  <c r="M40" i="9"/>
  <c r="L40" i="9"/>
  <c r="Y38" i="9"/>
  <c r="Q38" i="9"/>
  <c r="M38" i="9"/>
  <c r="L38" i="9"/>
  <c r="X37" i="9"/>
  <c r="Y35" i="9"/>
  <c r="Q35" i="9"/>
  <c r="Z35" i="9" s="1"/>
  <c r="M35" i="9"/>
  <c r="L35" i="9"/>
  <c r="Y33" i="9"/>
  <c r="Q33" i="9"/>
  <c r="Z33" i="9" s="1"/>
  <c r="M33" i="9"/>
  <c r="L33" i="9"/>
  <c r="Y29" i="9"/>
  <c r="Z29" i="9"/>
  <c r="Y27" i="9"/>
  <c r="Y25" i="9"/>
  <c r="Z25" i="9"/>
  <c r="Y23" i="9"/>
  <c r="Y16" i="9"/>
  <c r="Y13" i="9"/>
  <c r="Y7" i="9"/>
  <c r="X6" i="9"/>
  <c r="W54" i="10" l="1"/>
  <c r="AC54" i="10"/>
  <c r="Q54" i="10"/>
  <c r="X54" i="10"/>
  <c r="AD54" i="10"/>
  <c r="R54" i="10"/>
  <c r="CQ74" i="10"/>
  <c r="L47" i="9"/>
  <c r="AH49" i="10"/>
  <c r="AH7" i="10" s="1"/>
  <c r="AH6" i="10" s="1"/>
  <c r="J31" i="19"/>
  <c r="Z16" i="9"/>
  <c r="X73" i="6"/>
  <c r="X71" i="9"/>
  <c r="Y47" i="9"/>
  <c r="Y46" i="9" s="1"/>
  <c r="E7" i="13"/>
  <c r="Y37" i="9"/>
  <c r="M37" i="9"/>
  <c r="P15" i="1"/>
  <c r="P35" i="1"/>
  <c r="P161" i="10"/>
  <c r="P160" i="10" s="1"/>
  <c r="J161" i="10"/>
  <c r="K161" i="10"/>
  <c r="E161" i="10"/>
  <c r="Y71" i="9"/>
  <c r="X46" i="9"/>
  <c r="L71" i="9"/>
  <c r="M47" i="9"/>
  <c r="M71" i="9"/>
  <c r="L46" i="9"/>
  <c r="Z58" i="9"/>
  <c r="P20" i="1"/>
  <c r="P30" i="1"/>
  <c r="P31" i="1"/>
  <c r="P32" i="1"/>
  <c r="P34" i="1"/>
  <c r="Z38" i="9"/>
  <c r="Z37" i="9" s="1"/>
  <c r="Q37" i="9"/>
  <c r="L37" i="9"/>
  <c r="Z73" i="9"/>
  <c r="Z72" i="9" s="1"/>
  <c r="Q72" i="9"/>
  <c r="Z76" i="9"/>
  <c r="Z75" i="9" s="1"/>
  <c r="Q75" i="9"/>
  <c r="N6" i="9"/>
  <c r="N5" i="9" s="1"/>
  <c r="N79" i="9" s="1"/>
  <c r="Z48" i="9"/>
  <c r="Z47" i="9" s="1"/>
  <c r="Q47" i="9"/>
  <c r="Z55" i="9"/>
  <c r="Z64" i="9"/>
  <c r="Z63" i="9" s="1"/>
  <c r="Q63" i="9"/>
  <c r="Z69" i="9"/>
  <c r="Z68" i="9" s="1"/>
  <c r="Q68" i="9"/>
  <c r="M63" i="9"/>
  <c r="X5" i="9"/>
  <c r="Y6" i="9"/>
  <c r="Y69" i="8"/>
  <c r="Y68" i="8" s="1"/>
  <c r="M68" i="8"/>
  <c r="L68" i="8"/>
  <c r="X68" i="8"/>
  <c r="Y66" i="8"/>
  <c r="Y65" i="8" s="1"/>
  <c r="M65" i="8"/>
  <c r="L65" i="8"/>
  <c r="X65" i="8"/>
  <c r="Y62" i="8"/>
  <c r="Q62" i="8"/>
  <c r="M62" i="8"/>
  <c r="M61" i="8" s="1"/>
  <c r="L62" i="8"/>
  <c r="L61" i="8" s="1"/>
  <c r="Y61" i="8"/>
  <c r="X61" i="8"/>
  <c r="Y59" i="8"/>
  <c r="Q59" i="8"/>
  <c r="Z59" i="8" s="1"/>
  <c r="M59" i="8"/>
  <c r="L59" i="8"/>
  <c r="Y57" i="8"/>
  <c r="Y56" i="8" s="1"/>
  <c r="Q57" i="8"/>
  <c r="M57" i="8"/>
  <c r="L57" i="8"/>
  <c r="L56" i="8" s="1"/>
  <c r="X56" i="8"/>
  <c r="Y52" i="8"/>
  <c r="Z52" i="8"/>
  <c r="Y50" i="8"/>
  <c r="Q50" i="8"/>
  <c r="M50" i="8"/>
  <c r="L50" i="8"/>
  <c r="L49" i="8" s="1"/>
  <c r="X49" i="8"/>
  <c r="Y47" i="8"/>
  <c r="Z47" i="8"/>
  <c r="Y45" i="8"/>
  <c r="Z45" i="8"/>
  <c r="Y43" i="8"/>
  <c r="Q43" i="8"/>
  <c r="M43" i="8"/>
  <c r="M42" i="8" s="1"/>
  <c r="L43" i="8"/>
  <c r="X42" i="8"/>
  <c r="Y39" i="8"/>
  <c r="Q39" i="8"/>
  <c r="Z39" i="8" s="1"/>
  <c r="M39" i="8"/>
  <c r="L39" i="8"/>
  <c r="L38" i="8"/>
  <c r="L89" i="2" s="1"/>
  <c r="Y37" i="8"/>
  <c r="Q37" i="8"/>
  <c r="Z37" i="8" s="1"/>
  <c r="M37" i="8"/>
  <c r="Y35" i="8"/>
  <c r="Q35" i="8"/>
  <c r="Z35" i="8" s="1"/>
  <c r="P35" i="8"/>
  <c r="P32" i="8" s="1"/>
  <c r="O35" i="8"/>
  <c r="O32" i="8" s="1"/>
  <c r="N35" i="8"/>
  <c r="N32" i="8" s="1"/>
  <c r="M35" i="8"/>
  <c r="L35" i="8"/>
  <c r="Y33" i="8"/>
  <c r="Q33" i="8"/>
  <c r="M33" i="8"/>
  <c r="L33" i="8"/>
  <c r="X32" i="8"/>
  <c r="L31" i="8"/>
  <c r="L70" i="2" s="1"/>
  <c r="Y30" i="8"/>
  <c r="Q30" i="8"/>
  <c r="Z30" i="8" s="1"/>
  <c r="M30" i="8"/>
  <c r="L66" i="2"/>
  <c r="Y28" i="8"/>
  <c r="Q28" i="8"/>
  <c r="Z28" i="8" s="1"/>
  <c r="M28" i="8"/>
  <c r="Y24" i="8"/>
  <c r="Z24" i="8"/>
  <c r="Y22" i="8"/>
  <c r="Q22" i="8"/>
  <c r="Z22" i="8" s="1"/>
  <c r="P22" i="8"/>
  <c r="O22" i="8"/>
  <c r="N22" i="8"/>
  <c r="M22" i="8"/>
  <c r="L22" i="8"/>
  <c r="Y20" i="8"/>
  <c r="Q20" i="8"/>
  <c r="Z20" i="8" s="1"/>
  <c r="P20" i="8"/>
  <c r="O20" i="8"/>
  <c r="M20" i="8"/>
  <c r="L20" i="8"/>
  <c r="L19" i="8"/>
  <c r="Y18" i="8"/>
  <c r="Q18" i="8"/>
  <c r="Z18" i="8" s="1"/>
  <c r="P18" i="8"/>
  <c r="O18" i="8"/>
  <c r="N18" i="8"/>
  <c r="M18" i="8"/>
  <c r="Y16" i="8"/>
  <c r="Q16" i="8"/>
  <c r="Z16" i="8" s="1"/>
  <c r="N16" i="8"/>
  <c r="M16" i="8"/>
  <c r="L16" i="8"/>
  <c r="Y14" i="8"/>
  <c r="Q14" i="8"/>
  <c r="Z14" i="8" s="1"/>
  <c r="Y7" i="8"/>
  <c r="X6" i="8"/>
  <c r="K64" i="28" l="1"/>
  <c r="K65" i="24"/>
  <c r="K61" i="24" s="1"/>
  <c r="K68" i="28"/>
  <c r="P68" i="28" s="1"/>
  <c r="P65" i="28" s="1"/>
  <c r="K69" i="24"/>
  <c r="K66" i="24" s="1"/>
  <c r="K87" i="28"/>
  <c r="K84" i="28" s="1"/>
  <c r="K88" i="24"/>
  <c r="K85" i="24" s="1"/>
  <c r="P64" i="28"/>
  <c r="P60" i="28" s="1"/>
  <c r="K60" i="28"/>
  <c r="P87" i="28"/>
  <c r="P84" i="28" s="1"/>
  <c r="J160" i="10"/>
  <c r="J159" i="10" s="1"/>
  <c r="CI161" i="10"/>
  <c r="K66" i="25"/>
  <c r="K62" i="25" s="1"/>
  <c r="N66" i="2"/>
  <c r="N62" i="2" s="1"/>
  <c r="K69" i="23"/>
  <c r="K66" i="23" s="1"/>
  <c r="K70" i="25"/>
  <c r="K67" i="25" s="1"/>
  <c r="N70" i="2"/>
  <c r="N67" i="2" s="1"/>
  <c r="K89" i="25"/>
  <c r="K86" i="25" s="1"/>
  <c r="N89" i="2"/>
  <c r="N86" i="2" s="1"/>
  <c r="CQ54" i="10"/>
  <c r="K65" i="23"/>
  <c r="K61" i="23" s="1"/>
  <c r="K88" i="23"/>
  <c r="K85" i="23" s="1"/>
  <c r="M49" i="8"/>
  <c r="N18" i="1"/>
  <c r="E160" i="10"/>
  <c r="E159" i="10" s="1"/>
  <c r="K160" i="10"/>
  <c r="K159" i="10" s="1"/>
  <c r="AI65" i="10"/>
  <c r="AJ65" i="10" s="1"/>
  <c r="CL65" i="10" s="1"/>
  <c r="J66" i="38"/>
  <c r="AI69" i="10"/>
  <c r="J70" i="38"/>
  <c r="AI88" i="10"/>
  <c r="J89" i="38"/>
  <c r="Q160" i="10"/>
  <c r="Q159" i="10" s="1"/>
  <c r="V68" i="11"/>
  <c r="K69" i="27"/>
  <c r="K88" i="27"/>
  <c r="V64" i="11"/>
  <c r="K65" i="27"/>
  <c r="L64" i="8"/>
  <c r="Y49" i="8"/>
  <c r="Y5" i="9"/>
  <c r="Y79" i="9" s="1"/>
  <c r="X79" i="9"/>
  <c r="E172" i="10"/>
  <c r="K172" i="10"/>
  <c r="V87" i="11"/>
  <c r="E13" i="12" s="1"/>
  <c r="P159" i="10"/>
  <c r="X64" i="8"/>
  <c r="L42" i="8"/>
  <c r="L41" i="8" s="1"/>
  <c r="L37" i="8"/>
  <c r="L32" i="8" s="1"/>
  <c r="X5" i="8"/>
  <c r="Z54" i="9"/>
  <c r="Z46" i="9" s="1"/>
  <c r="L30" i="8"/>
  <c r="M46" i="9"/>
  <c r="Y42" i="8"/>
  <c r="X41" i="8"/>
  <c r="M56" i="8"/>
  <c r="P6" i="8"/>
  <c r="P5" i="8" s="1"/>
  <c r="P72" i="8" s="1"/>
  <c r="L28" i="8"/>
  <c r="N6" i="8"/>
  <c r="N5" i="8" s="1"/>
  <c r="N72" i="8" s="1"/>
  <c r="L18" i="8"/>
  <c r="L49" i="2"/>
  <c r="P21" i="1"/>
  <c r="P19" i="1"/>
  <c r="Y64" i="8"/>
  <c r="O6" i="8"/>
  <c r="O5" i="8" s="1"/>
  <c r="O72" i="8" s="1"/>
  <c r="M64" i="8"/>
  <c r="Q46" i="9"/>
  <c r="Z71" i="9"/>
  <c r="Y6" i="8"/>
  <c r="Y32" i="8"/>
  <c r="Q71" i="9"/>
  <c r="M32" i="8"/>
  <c r="Z33" i="8"/>
  <c r="Z32" i="8" s="1"/>
  <c r="Q32" i="8"/>
  <c r="Z43" i="8"/>
  <c r="Z42" i="8" s="1"/>
  <c r="Q42" i="8"/>
  <c r="Z50" i="8"/>
  <c r="Z49" i="8" s="1"/>
  <c r="Q49" i="8"/>
  <c r="Z57" i="8"/>
  <c r="Z56" i="8" s="1"/>
  <c r="Q56" i="8"/>
  <c r="Z62" i="8"/>
  <c r="Z61" i="8" s="1"/>
  <c r="Q61" i="8"/>
  <c r="Z66" i="8"/>
  <c r="Z65" i="8" s="1"/>
  <c r="Q65" i="8"/>
  <c r="Z69" i="8"/>
  <c r="Z68" i="8" s="1"/>
  <c r="Q68" i="8"/>
  <c r="X75" i="7"/>
  <c r="X74" i="7" s="1"/>
  <c r="L74" i="7"/>
  <c r="K74" i="7"/>
  <c r="W74" i="7"/>
  <c r="X71" i="7"/>
  <c r="L71" i="7"/>
  <c r="K71" i="7"/>
  <c r="W71" i="7"/>
  <c r="X68" i="7"/>
  <c r="X67" i="7" s="1"/>
  <c r="P68" i="7"/>
  <c r="L68" i="7"/>
  <c r="L67" i="7" s="1"/>
  <c r="K68" i="7"/>
  <c r="K67" i="7" s="1"/>
  <c r="W67" i="7"/>
  <c r="X63" i="7"/>
  <c r="X62" i="7" s="1"/>
  <c r="P63" i="7"/>
  <c r="L63" i="7"/>
  <c r="L62" i="7" s="1"/>
  <c r="K63" i="7"/>
  <c r="W62" i="7"/>
  <c r="X58" i="7"/>
  <c r="P58" i="7"/>
  <c r="Y58" i="7" s="1"/>
  <c r="L58" i="7"/>
  <c r="L52" i="7" s="1"/>
  <c r="K58" i="7"/>
  <c r="K52" i="7" s="1"/>
  <c r="X53" i="7"/>
  <c r="P52" i="7"/>
  <c r="W52" i="7"/>
  <c r="X50" i="7"/>
  <c r="P50" i="7"/>
  <c r="Y50" i="7" s="1"/>
  <c r="L50" i="7"/>
  <c r="K50" i="7"/>
  <c r="X48" i="7"/>
  <c r="P48" i="7"/>
  <c r="Y48" i="7" s="1"/>
  <c r="L48" i="7"/>
  <c r="K48" i="7"/>
  <c r="X46" i="7"/>
  <c r="X45" i="7" s="1"/>
  <c r="P46" i="7"/>
  <c r="L46" i="7"/>
  <c r="K46" i="7"/>
  <c r="X41" i="7"/>
  <c r="Y41" i="7"/>
  <c r="X39" i="7"/>
  <c r="P39" i="7"/>
  <c r="Y39" i="7" s="1"/>
  <c r="L39" i="7"/>
  <c r="K39" i="7"/>
  <c r="X34" i="7"/>
  <c r="O31" i="7"/>
  <c r="N31" i="7"/>
  <c r="M31" i="7"/>
  <c r="X32" i="7"/>
  <c r="P32" i="7"/>
  <c r="L32" i="7"/>
  <c r="K32" i="7"/>
  <c r="W31" i="7"/>
  <c r="X29" i="7"/>
  <c r="P29" i="7"/>
  <c r="Y29" i="7" s="1"/>
  <c r="L29" i="7"/>
  <c r="K29" i="7"/>
  <c r="X27" i="7"/>
  <c r="P27" i="7"/>
  <c r="Y27" i="7" s="1"/>
  <c r="L27" i="7"/>
  <c r="K27" i="7"/>
  <c r="X23" i="7"/>
  <c r="Y23" i="7"/>
  <c r="X21" i="7"/>
  <c r="P21" i="7"/>
  <c r="Y21" i="7" s="1"/>
  <c r="O21" i="7"/>
  <c r="N21" i="7"/>
  <c r="M21" i="7"/>
  <c r="L21" i="7"/>
  <c r="K21" i="7"/>
  <c r="X19" i="7"/>
  <c r="P19" i="7"/>
  <c r="Y19" i="7" s="1"/>
  <c r="O19" i="7"/>
  <c r="N19" i="7"/>
  <c r="L19" i="7"/>
  <c r="K19" i="7"/>
  <c r="X17" i="7"/>
  <c r="P17" i="7"/>
  <c r="O17" i="7"/>
  <c r="N17" i="7"/>
  <c r="M17" i="7"/>
  <c r="L17" i="7"/>
  <c r="K17" i="7"/>
  <c r="X15" i="7"/>
  <c r="P15" i="7"/>
  <c r="Y15" i="7" s="1"/>
  <c r="M15" i="7"/>
  <c r="L15" i="7"/>
  <c r="K15" i="7"/>
  <c r="X12" i="7"/>
  <c r="Y12" i="7"/>
  <c r="X7" i="7"/>
  <c r="L7" i="7"/>
  <c r="W6" i="7"/>
  <c r="K65" i="28" l="1"/>
  <c r="K47" i="28"/>
  <c r="K44" i="28" s="1"/>
  <c r="K48" i="24"/>
  <c r="K45" i="24" s="1"/>
  <c r="W65" i="10"/>
  <c r="Q65" i="10"/>
  <c r="P47" i="28"/>
  <c r="P44" i="28" s="1"/>
  <c r="V65" i="11"/>
  <c r="E30" i="12"/>
  <c r="AJ88" i="10"/>
  <c r="W88" i="10" s="1"/>
  <c r="CJ88" i="10"/>
  <c r="M65" i="27"/>
  <c r="M61" i="27" s="1"/>
  <c r="N65" i="27"/>
  <c r="N61" i="27" s="1"/>
  <c r="M88" i="27"/>
  <c r="M85" i="27" s="1"/>
  <c r="N88" i="27"/>
  <c r="N85" i="27" s="1"/>
  <c r="M69" i="27"/>
  <c r="M66" i="27" s="1"/>
  <c r="N69" i="27"/>
  <c r="N66" i="27" s="1"/>
  <c r="K45" i="7"/>
  <c r="CI54" i="10"/>
  <c r="CR54" i="10"/>
  <c r="M41" i="8"/>
  <c r="AC65" i="10"/>
  <c r="J49" i="38"/>
  <c r="K48" i="23"/>
  <c r="K45" i="23" s="1"/>
  <c r="K49" i="25"/>
  <c r="K46" i="25" s="1"/>
  <c r="AI66" i="10"/>
  <c r="AJ69" i="10"/>
  <c r="CL69" i="10" s="1"/>
  <c r="AI85" i="10"/>
  <c r="AI61" i="10"/>
  <c r="AI48" i="10"/>
  <c r="N49" i="2"/>
  <c r="N46" i="2" s="1"/>
  <c r="V60" i="11"/>
  <c r="V47" i="11"/>
  <c r="E21" i="12" s="1"/>
  <c r="K48" i="27"/>
  <c r="N48" i="27" s="1"/>
  <c r="N45" i="27" s="1"/>
  <c r="L45" i="7"/>
  <c r="Y41" i="8"/>
  <c r="P45" i="7"/>
  <c r="X52" i="7"/>
  <c r="X44" i="7" s="1"/>
  <c r="X72" i="8"/>
  <c r="V84" i="11"/>
  <c r="L31" i="7"/>
  <c r="W5" i="7"/>
  <c r="X70" i="7"/>
  <c r="L70" i="7"/>
  <c r="K62" i="7"/>
  <c r="X6" i="7"/>
  <c r="W44" i="7"/>
  <c r="Y5" i="8"/>
  <c r="M6" i="7"/>
  <c r="M5" i="7" s="1"/>
  <c r="M78" i="7" s="1"/>
  <c r="W70" i="7"/>
  <c r="K70" i="7"/>
  <c r="Q41" i="8"/>
  <c r="N6" i="7"/>
  <c r="N5" i="7" s="1"/>
  <c r="N78" i="7" s="1"/>
  <c r="K31" i="7"/>
  <c r="Y32" i="7"/>
  <c r="Y31" i="7" s="1"/>
  <c r="P31" i="7"/>
  <c r="L6" i="7"/>
  <c r="X31" i="7"/>
  <c r="Y46" i="7"/>
  <c r="Y45" i="7" s="1"/>
  <c r="Y53" i="7"/>
  <c r="Y52" i="7" s="1"/>
  <c r="Y63" i="7"/>
  <c r="Y62" i="7" s="1"/>
  <c r="P62" i="7"/>
  <c r="Y68" i="7"/>
  <c r="Y67" i="7" s="1"/>
  <c r="P67" i="7"/>
  <c r="Y71" i="7"/>
  <c r="P71" i="7"/>
  <c r="Y75" i="7"/>
  <c r="Y74" i="7" s="1"/>
  <c r="P74" i="7"/>
  <c r="O6" i="7"/>
  <c r="O5" i="7" s="1"/>
  <c r="O78" i="7" s="1"/>
  <c r="Y17" i="7"/>
  <c r="Q64" i="8"/>
  <c r="Z64" i="8"/>
  <c r="Z41" i="8"/>
  <c r="D19" i="1"/>
  <c r="L56" i="2"/>
  <c r="L35" i="3"/>
  <c r="AC69" i="10" l="1"/>
  <c r="Q69" i="10"/>
  <c r="W69" i="10"/>
  <c r="J56" i="38"/>
  <c r="AR54" i="28"/>
  <c r="Q88" i="10"/>
  <c r="CJ54" i="10"/>
  <c r="AJ48" i="10"/>
  <c r="AI45" i="10"/>
  <c r="M48" i="27"/>
  <c r="M45" i="27" s="1"/>
  <c r="V44" i="11"/>
  <c r="K55" i="27"/>
  <c r="L44" i="7"/>
  <c r="Y72" i="8"/>
  <c r="L5" i="7"/>
  <c r="X5" i="7"/>
  <c r="X78" i="7" s="1"/>
  <c r="K44" i="7"/>
  <c r="W78" i="7"/>
  <c r="L34" i="3"/>
  <c r="L94" i="2"/>
  <c r="K93" i="24" s="1"/>
  <c r="P55" i="10"/>
  <c r="AB55" i="10"/>
  <c r="J55" i="10"/>
  <c r="V55" i="10"/>
  <c r="P70" i="7"/>
  <c r="P44" i="7"/>
  <c r="Y70" i="7"/>
  <c r="Y44" i="7"/>
  <c r="O26" i="1"/>
  <c r="AT81" i="10"/>
  <c r="J81" i="10"/>
  <c r="D81" i="10"/>
  <c r="C15" i="19" s="1"/>
  <c r="C48" i="19" s="1"/>
  <c r="C15" i="30" s="1"/>
  <c r="E15" i="30" s="1"/>
  <c r="AC80" i="10"/>
  <c r="AC78" i="10" s="1"/>
  <c r="AB80" i="10"/>
  <c r="W80" i="10"/>
  <c r="AT80" i="10"/>
  <c r="AJ80" i="10"/>
  <c r="J80" i="10"/>
  <c r="E80" i="10"/>
  <c r="D80" i="10"/>
  <c r="C16" i="19" s="1"/>
  <c r="C49" i="19" s="1"/>
  <c r="C80" i="10"/>
  <c r="P25" i="1"/>
  <c r="O24" i="1"/>
  <c r="P17" i="1"/>
  <c r="W48" i="11"/>
  <c r="Q32" i="3"/>
  <c r="P32" i="3"/>
  <c r="O32" i="3"/>
  <c r="N32" i="3"/>
  <c r="L32" i="3"/>
  <c r="Q34" i="3"/>
  <c r="P34" i="3"/>
  <c r="O34" i="3"/>
  <c r="N34" i="3"/>
  <c r="M34" i="3"/>
  <c r="Q29" i="3"/>
  <c r="Z29" i="3" s="1"/>
  <c r="P29" i="3"/>
  <c r="O29" i="3"/>
  <c r="N29" i="3"/>
  <c r="M29" i="3"/>
  <c r="L29" i="3"/>
  <c r="Q13" i="3"/>
  <c r="P13" i="3"/>
  <c r="P11" i="3" s="1"/>
  <c r="O13" i="3"/>
  <c r="O11" i="3" s="1"/>
  <c r="N13" i="3"/>
  <c r="M13" i="3"/>
  <c r="L13" i="3"/>
  <c r="CQ69" i="10" l="1"/>
  <c r="CL48" i="10"/>
  <c r="Q48" i="10"/>
  <c r="Q45" i="10" s="1"/>
  <c r="I17" i="1" s="1"/>
  <c r="L92" i="2"/>
  <c r="J92" i="38" s="1"/>
  <c r="K92" i="28"/>
  <c r="K90" i="28" s="1"/>
  <c r="N26" i="3"/>
  <c r="AB78" i="10"/>
  <c r="V81" i="10"/>
  <c r="V78" i="10" s="1"/>
  <c r="J94" i="38"/>
  <c r="K93" i="23"/>
  <c r="K91" i="23" s="1"/>
  <c r="K94" i="25"/>
  <c r="O17" i="1"/>
  <c r="AI93" i="10"/>
  <c r="AI91" i="10" s="1"/>
  <c r="C7" i="19"/>
  <c r="C40" i="19" s="1"/>
  <c r="D40" i="19" s="1"/>
  <c r="E40" i="19" s="1"/>
  <c r="F40" i="19" s="1"/>
  <c r="K45" i="10"/>
  <c r="G17" i="1" s="1"/>
  <c r="D49" i="19"/>
  <c r="E49" i="19" s="1"/>
  <c r="F49" i="19" s="1"/>
  <c r="C16" i="30"/>
  <c r="E16" i="30" s="1"/>
  <c r="W45" i="10"/>
  <c r="K17" i="1" s="1"/>
  <c r="K93" i="27"/>
  <c r="L78" i="7"/>
  <c r="E45" i="10"/>
  <c r="E17" i="1" s="1"/>
  <c r="AC45" i="10"/>
  <c r="M17" i="1" s="1"/>
  <c r="L26" i="3"/>
  <c r="P26" i="3"/>
  <c r="O26" i="3"/>
  <c r="M26" i="3"/>
  <c r="Q26" i="3"/>
  <c r="I16" i="19"/>
  <c r="K16" i="19" s="1"/>
  <c r="L16" i="19" s="1"/>
  <c r="L19" i="1"/>
  <c r="P26" i="1"/>
  <c r="N19" i="1"/>
  <c r="H19" i="1"/>
  <c r="J19" i="1"/>
  <c r="D45" i="10"/>
  <c r="D17" i="1" s="1"/>
  <c r="C8" i="19"/>
  <c r="C41" i="19" s="1"/>
  <c r="F19" i="1"/>
  <c r="V92" i="11"/>
  <c r="E10" i="12" s="1"/>
  <c r="P45" i="10"/>
  <c r="H17" i="1" s="1"/>
  <c r="J45" i="10"/>
  <c r="F17" i="1" s="1"/>
  <c r="C45" i="10"/>
  <c r="C17" i="1" s="1"/>
  <c r="N17" i="1"/>
  <c r="J66" i="10"/>
  <c r="V66" i="10"/>
  <c r="P24" i="1"/>
  <c r="P22" i="1"/>
  <c r="P27" i="1"/>
  <c r="O19" i="1"/>
  <c r="C19" i="1"/>
  <c r="V45" i="10"/>
  <c r="J17" i="1" s="1"/>
  <c r="D66" i="10"/>
  <c r="P66" i="10"/>
  <c r="AB66" i="10"/>
  <c r="AC66" i="10"/>
  <c r="M22" i="1" s="1"/>
  <c r="O21" i="1"/>
  <c r="O22" i="1"/>
  <c r="O25" i="1"/>
  <c r="C81" i="10"/>
  <c r="C78" i="10" s="1"/>
  <c r="E81" i="10"/>
  <c r="AJ81" i="10"/>
  <c r="W78" i="10" s="1"/>
  <c r="Q22" i="3"/>
  <c r="Z22" i="3" s="1"/>
  <c r="P22" i="3"/>
  <c r="O22" i="3"/>
  <c r="N22" i="3"/>
  <c r="M22" i="3"/>
  <c r="L22" i="3"/>
  <c r="L6" i="3" s="1"/>
  <c r="Z7" i="3"/>
  <c r="Z11" i="3"/>
  <c r="Z9" i="3"/>
  <c r="Z74" i="3"/>
  <c r="Z73" i="3" s="1"/>
  <c r="Z71" i="3"/>
  <c r="Z70" i="3" s="1"/>
  <c r="Z66" i="3"/>
  <c r="Z65" i="3" s="1"/>
  <c r="Z63" i="3"/>
  <c r="Z60" i="3" s="1"/>
  <c r="Z51" i="3"/>
  <c r="Z46" i="3"/>
  <c r="Z43" i="3"/>
  <c r="Z41" i="3"/>
  <c r="Z39" i="3"/>
  <c r="Z34" i="3"/>
  <c r="Z32" i="3"/>
  <c r="Z13" i="3"/>
  <c r="Z17" i="3"/>
  <c r="Z27" i="3"/>
  <c r="Q24" i="3"/>
  <c r="Z24" i="3" s="1"/>
  <c r="P24" i="3"/>
  <c r="O24" i="3"/>
  <c r="N24" i="3"/>
  <c r="M24" i="3"/>
  <c r="CP48" i="10" l="1"/>
  <c r="CQ48" i="10" s="1"/>
  <c r="CI48" i="10" s="1"/>
  <c r="CJ48" i="10" s="1"/>
  <c r="AB45" i="10"/>
  <c r="L17" i="1" s="1"/>
  <c r="R17" i="1" s="1"/>
  <c r="T17" i="1" s="1"/>
  <c r="AR90" i="28"/>
  <c r="K71" i="28"/>
  <c r="Q17" i="1"/>
  <c r="S17" i="1" s="1"/>
  <c r="R19" i="1"/>
  <c r="T19" i="1" s="1"/>
  <c r="K91" i="24"/>
  <c r="K72" i="24" s="1"/>
  <c r="K92" i="25"/>
  <c r="K73" i="25" s="1"/>
  <c r="M6" i="3"/>
  <c r="M5" i="3" s="1"/>
  <c r="M76" i="3" s="1"/>
  <c r="N6" i="3"/>
  <c r="N5" i="3" s="1"/>
  <c r="O6" i="3"/>
  <c r="O5" i="3" s="1"/>
  <c r="O76" i="3" s="1"/>
  <c r="P6" i="3"/>
  <c r="P5" i="3" s="1"/>
  <c r="P76" i="3" s="1"/>
  <c r="K72" i="23"/>
  <c r="Q6" i="3"/>
  <c r="Q5" i="3" s="1"/>
  <c r="Q76" i="3" s="1"/>
  <c r="L5" i="3"/>
  <c r="AI72" i="10"/>
  <c r="AJ93" i="10"/>
  <c r="I7" i="19"/>
  <c r="C7" i="30"/>
  <c r="E7" i="30" s="1"/>
  <c r="F7" i="30"/>
  <c r="H7" i="30" s="1"/>
  <c r="D41" i="19"/>
  <c r="F8" i="30" s="1"/>
  <c r="H8" i="30" s="1"/>
  <c r="C8" i="30"/>
  <c r="E8" i="30" s="1"/>
  <c r="F16" i="30"/>
  <c r="H16" i="30" s="1"/>
  <c r="K91" i="27"/>
  <c r="G40" i="19"/>
  <c r="L7" i="30"/>
  <c r="N7" i="30" s="1"/>
  <c r="G49" i="19"/>
  <c r="L16" i="30"/>
  <c r="N16" i="30" s="1"/>
  <c r="I49" i="19"/>
  <c r="U16" i="30" s="1"/>
  <c r="L22" i="1"/>
  <c r="H22" i="1"/>
  <c r="I10" i="19"/>
  <c r="K10" i="19" s="1"/>
  <c r="L10" i="19" s="1"/>
  <c r="D22" i="1"/>
  <c r="C13" i="19"/>
  <c r="C46" i="19" s="1"/>
  <c r="J22" i="1"/>
  <c r="V90" i="11"/>
  <c r="N22" i="1"/>
  <c r="F22" i="1"/>
  <c r="I8" i="19"/>
  <c r="K8" i="19" s="1"/>
  <c r="L8" i="19" s="1"/>
  <c r="K55" i="10"/>
  <c r="G19" i="1" s="1"/>
  <c r="W55" i="10"/>
  <c r="K19" i="1" s="1"/>
  <c r="AC55" i="10"/>
  <c r="M19" i="1" s="1"/>
  <c r="E55" i="10"/>
  <c r="E19" i="1" s="1"/>
  <c r="Q55" i="10"/>
  <c r="I19" i="1" s="1"/>
  <c r="Z69" i="3"/>
  <c r="Z45" i="3"/>
  <c r="Z38" i="3"/>
  <c r="Z6" i="3"/>
  <c r="Z26" i="3"/>
  <c r="W66" i="10"/>
  <c r="K22" i="1" s="1"/>
  <c r="K66" i="10"/>
  <c r="G22" i="1" s="1"/>
  <c r="C66" i="10"/>
  <c r="C22" i="1" s="1"/>
  <c r="Q66" i="10"/>
  <c r="I22" i="1" s="1"/>
  <c r="E66" i="10"/>
  <c r="E22" i="1" s="1"/>
  <c r="AC170" i="10"/>
  <c r="CJ170" i="10" s="1"/>
  <c r="AC161" i="10"/>
  <c r="AC160" i="10" s="1"/>
  <c r="AB160" i="10"/>
  <c r="W160" i="10"/>
  <c r="V160" i="10"/>
  <c r="D161" i="10"/>
  <c r="C161" i="10"/>
  <c r="C160" i="10" s="1"/>
  <c r="AB153" i="10"/>
  <c r="K39" i="1"/>
  <c r="V153" i="10"/>
  <c r="P153" i="10"/>
  <c r="K153" i="10"/>
  <c r="G39" i="1" s="1"/>
  <c r="J153" i="10"/>
  <c r="D153" i="10"/>
  <c r="C153" i="10"/>
  <c r="C39" i="1" s="1"/>
  <c r="AC147" i="10"/>
  <c r="AB147" i="10"/>
  <c r="W147" i="10"/>
  <c r="V147" i="10"/>
  <c r="Q147" i="10"/>
  <c r="P147" i="10"/>
  <c r="K147" i="10"/>
  <c r="J147" i="10"/>
  <c r="E147" i="10"/>
  <c r="D147" i="10"/>
  <c r="C25" i="19" s="1"/>
  <c r="C58" i="19" s="1"/>
  <c r="C147" i="10"/>
  <c r="O39" i="1"/>
  <c r="AC153" i="10"/>
  <c r="M39" i="1" s="1"/>
  <c r="Q153" i="10"/>
  <c r="I39" i="1" s="1"/>
  <c r="E153" i="10"/>
  <c r="E39" i="1" s="1"/>
  <c r="N33" i="1"/>
  <c r="P33" i="1"/>
  <c r="O33" i="1"/>
  <c r="AC113" i="10"/>
  <c r="M32" i="1" s="1"/>
  <c r="P113" i="10"/>
  <c r="K113" i="10"/>
  <c r="G32" i="1" s="1"/>
  <c r="J113" i="10"/>
  <c r="E113" i="10"/>
  <c r="E32" i="1" s="1"/>
  <c r="D113" i="10"/>
  <c r="C113" i="10"/>
  <c r="C32" i="1" s="1"/>
  <c r="E107" i="10"/>
  <c r="E31" i="1" s="1"/>
  <c r="D107" i="10"/>
  <c r="C107" i="10"/>
  <c r="C31" i="1" s="1"/>
  <c r="P29" i="1"/>
  <c r="J101" i="10"/>
  <c r="D101" i="10"/>
  <c r="C19" i="19" s="1"/>
  <c r="M27" i="1"/>
  <c r="AC85" i="10"/>
  <c r="M26" i="1" s="1"/>
  <c r="AB85" i="10"/>
  <c r="W85" i="10"/>
  <c r="K26" i="1" s="1"/>
  <c r="V85" i="10"/>
  <c r="Q85" i="10"/>
  <c r="I26" i="1" s="1"/>
  <c r="P85" i="10"/>
  <c r="K85" i="10"/>
  <c r="G26" i="1" s="1"/>
  <c r="J85" i="10"/>
  <c r="E85" i="10"/>
  <c r="E26" i="1" s="1"/>
  <c r="D85" i="10"/>
  <c r="C85" i="10"/>
  <c r="C26" i="1" s="1"/>
  <c r="M25" i="1"/>
  <c r="K25" i="1"/>
  <c r="I25" i="1"/>
  <c r="G25" i="1"/>
  <c r="E78" i="10"/>
  <c r="E25" i="1" s="1"/>
  <c r="C25" i="1"/>
  <c r="AC73" i="10"/>
  <c r="M24" i="1" s="1"/>
  <c r="AB73" i="10"/>
  <c r="W73" i="10"/>
  <c r="K24" i="1" s="1"/>
  <c r="V73" i="10"/>
  <c r="Q73" i="10"/>
  <c r="I24" i="1" s="1"/>
  <c r="P73" i="10"/>
  <c r="K73" i="10"/>
  <c r="G24" i="1" s="1"/>
  <c r="J73" i="10"/>
  <c r="E73" i="10"/>
  <c r="E24" i="1" s="1"/>
  <c r="D73" i="10"/>
  <c r="C73" i="10"/>
  <c r="C24" i="1" s="1"/>
  <c r="P23" i="1"/>
  <c r="AC61" i="10"/>
  <c r="M21" i="1" s="1"/>
  <c r="AB61" i="10"/>
  <c r="W61" i="10"/>
  <c r="K21" i="1" s="1"/>
  <c r="V61" i="10"/>
  <c r="Q61" i="10"/>
  <c r="I21" i="1" s="1"/>
  <c r="P61" i="10"/>
  <c r="K61" i="10"/>
  <c r="G21" i="1" s="1"/>
  <c r="J61" i="10"/>
  <c r="E61" i="10"/>
  <c r="E21" i="1" s="1"/>
  <c r="D61" i="10"/>
  <c r="C61" i="10"/>
  <c r="C21" i="1" s="1"/>
  <c r="AB57" i="10"/>
  <c r="W57" i="10"/>
  <c r="K20" i="1" s="1"/>
  <c r="V57" i="10"/>
  <c r="Q57" i="10"/>
  <c r="I20" i="1" s="1"/>
  <c r="P57" i="10"/>
  <c r="K57" i="10"/>
  <c r="G20" i="1" s="1"/>
  <c r="J57" i="10"/>
  <c r="E57" i="10"/>
  <c r="E20" i="1" s="1"/>
  <c r="D57" i="10"/>
  <c r="C11" i="19" s="1"/>
  <c r="C44" i="19" s="1"/>
  <c r="C57" i="10"/>
  <c r="C20" i="1" s="1"/>
  <c r="AC49" i="10"/>
  <c r="M18" i="1" s="1"/>
  <c r="AB49" i="10"/>
  <c r="W49" i="10"/>
  <c r="K18" i="1" s="1"/>
  <c r="V49" i="10"/>
  <c r="Q49" i="10"/>
  <c r="I18" i="1" s="1"/>
  <c r="P49" i="10"/>
  <c r="K49" i="10"/>
  <c r="G18" i="1" s="1"/>
  <c r="E49" i="10"/>
  <c r="E18" i="1" s="1"/>
  <c r="C49" i="10"/>
  <c r="C18" i="1" s="1"/>
  <c r="O18" i="1"/>
  <c r="CI42" i="10"/>
  <c r="CJ42" i="10" s="1"/>
  <c r="CI39" i="10"/>
  <c r="CJ39" i="10" s="1"/>
  <c r="O16" i="1"/>
  <c r="CI34" i="10"/>
  <c r="CJ34" i="10" s="1"/>
  <c r="CI33" i="10"/>
  <c r="CJ33" i="10" s="1"/>
  <c r="C8" i="10"/>
  <c r="C14" i="1" s="1"/>
  <c r="X172" i="2"/>
  <c r="U172" i="2"/>
  <c r="R172" i="2"/>
  <c r="O172" i="2"/>
  <c r="L172" i="2"/>
  <c r="X170" i="2"/>
  <c r="U170" i="2"/>
  <c r="R170" i="2"/>
  <c r="AA160" i="27"/>
  <c r="W160" i="27"/>
  <c r="S160" i="27"/>
  <c r="O160" i="27"/>
  <c r="AA154" i="2"/>
  <c r="O160" i="38" s="1"/>
  <c r="X154" i="2"/>
  <c r="U154" i="2"/>
  <c r="R154" i="2"/>
  <c r="O154" i="2"/>
  <c r="L154" i="2"/>
  <c r="AR152" i="28" s="1"/>
  <c r="AA148" i="2"/>
  <c r="O154" i="38" s="1"/>
  <c r="X148" i="2"/>
  <c r="U148" i="2"/>
  <c r="R148" i="2"/>
  <c r="O148" i="2"/>
  <c r="L148" i="2"/>
  <c r="AR146" i="28" s="1"/>
  <c r="O120" i="38"/>
  <c r="J120" i="38"/>
  <c r="AA114" i="2"/>
  <c r="O114" i="38" s="1"/>
  <c r="X114" i="2"/>
  <c r="U114" i="2"/>
  <c r="R114" i="2"/>
  <c r="O114" i="2"/>
  <c r="L114" i="2"/>
  <c r="AA102" i="2"/>
  <c r="O102" i="38" s="1"/>
  <c r="X102" i="2"/>
  <c r="U102" i="2"/>
  <c r="O102" i="2"/>
  <c r="O92" i="38"/>
  <c r="AA86" i="2"/>
  <c r="X86" i="2"/>
  <c r="AA85" i="27" s="1"/>
  <c r="U86" i="2"/>
  <c r="W85" i="27" s="1"/>
  <c r="R86" i="2"/>
  <c r="S85" i="27" s="1"/>
  <c r="O86" i="2"/>
  <c r="O85" i="27" s="1"/>
  <c r="L86" i="2"/>
  <c r="AR84" i="28" s="1"/>
  <c r="O79" i="38"/>
  <c r="J79" i="38"/>
  <c r="AA74" i="2"/>
  <c r="O74" i="38" s="1"/>
  <c r="X74" i="2"/>
  <c r="U74" i="2"/>
  <c r="R74" i="2"/>
  <c r="O74" i="2"/>
  <c r="L74" i="2"/>
  <c r="AA67" i="2"/>
  <c r="O67" i="38" s="1"/>
  <c r="X67" i="2"/>
  <c r="U67" i="2"/>
  <c r="R67" i="2"/>
  <c r="O67" i="2"/>
  <c r="L67" i="2"/>
  <c r="AA62" i="2"/>
  <c r="O62" i="38" s="1"/>
  <c r="X62" i="2"/>
  <c r="U62" i="2"/>
  <c r="R62" i="2"/>
  <c r="O62" i="2"/>
  <c r="L62" i="2"/>
  <c r="AA58" i="2"/>
  <c r="O58" i="38" s="1"/>
  <c r="X58" i="2"/>
  <c r="U58" i="2"/>
  <c r="R58" i="2"/>
  <c r="O58" i="2"/>
  <c r="L58" i="2"/>
  <c r="AS56" i="2"/>
  <c r="AA38" i="27"/>
  <c r="W38" i="27"/>
  <c r="AA46" i="2"/>
  <c r="O46" i="38" s="1"/>
  <c r="X46" i="2"/>
  <c r="U46" i="2"/>
  <c r="R46" i="2"/>
  <c r="O46" i="2"/>
  <c r="L46" i="2"/>
  <c r="S38" i="27"/>
  <c r="O38" i="27"/>
  <c r="AR172" i="2"/>
  <c r="AR170" i="2"/>
  <c r="AR169" i="2" s="1"/>
  <c r="AR161" i="2"/>
  <c r="AR160" i="2" s="1"/>
  <c r="AR154" i="2"/>
  <c r="AR148" i="2"/>
  <c r="AR135" i="2"/>
  <c r="AR121" i="2"/>
  <c r="AR114" i="2"/>
  <c r="AS108" i="2"/>
  <c r="AR102" i="2"/>
  <c r="AR92" i="2"/>
  <c r="AR86" i="2"/>
  <c r="AR79" i="2"/>
  <c r="AR74" i="2"/>
  <c r="AS50" i="2"/>
  <c r="AS33" i="2"/>
  <c r="AQ169" i="2"/>
  <c r="AR108" i="2"/>
  <c r="AQ73" i="2"/>
  <c r="AR67" i="2"/>
  <c r="AR62" i="2"/>
  <c r="AR58" i="2"/>
  <c r="AR56" i="2"/>
  <c r="AR50" i="2"/>
  <c r="AR39" i="2"/>
  <c r="AR9" i="2"/>
  <c r="Y74" i="3"/>
  <c r="Y73" i="3" s="1"/>
  <c r="Y71" i="3"/>
  <c r="Y70" i="3" s="1"/>
  <c r="Y66" i="3"/>
  <c r="Y65" i="3" s="1"/>
  <c r="Y63" i="3"/>
  <c r="Y60" i="3" s="1"/>
  <c r="Y51" i="3"/>
  <c r="Y46" i="3"/>
  <c r="Y43" i="3"/>
  <c r="Y41" i="3"/>
  <c r="Y39" i="3"/>
  <c r="Y34" i="3"/>
  <c r="Y32" i="3"/>
  <c r="Y29" i="3"/>
  <c r="Y27" i="3"/>
  <c r="Y24" i="3"/>
  <c r="Y22" i="3"/>
  <c r="Y17" i="3"/>
  <c r="Y13" i="3"/>
  <c r="Y11" i="3"/>
  <c r="Y9" i="3"/>
  <c r="Y7" i="3"/>
  <c r="X45" i="3"/>
  <c r="X38" i="3"/>
  <c r="X26" i="3"/>
  <c r="X6" i="3"/>
  <c r="AJ91" i="10" l="1"/>
  <c r="CL93" i="10"/>
  <c r="Q93" i="10" s="1"/>
  <c r="J67" i="38"/>
  <c r="AR65" i="28"/>
  <c r="J114" i="38"/>
  <c r="AR112" i="28"/>
  <c r="J62" i="38"/>
  <c r="AR60" i="28"/>
  <c r="J74" i="38"/>
  <c r="AR72" i="28"/>
  <c r="J46" i="38"/>
  <c r="AR44" i="28"/>
  <c r="J58" i="38"/>
  <c r="AR56" i="28"/>
  <c r="J178" i="38"/>
  <c r="AR170" i="28"/>
  <c r="J160" i="38"/>
  <c r="P153" i="28"/>
  <c r="P152" i="28" s="1"/>
  <c r="J154" i="38"/>
  <c r="P147" i="28"/>
  <c r="P146" i="28" s="1"/>
  <c r="Q18" i="1"/>
  <c r="S18" i="1" s="1"/>
  <c r="Q21" i="1"/>
  <c r="S21" i="1" s="1"/>
  <c r="Q26" i="1"/>
  <c r="S26" i="1" s="1"/>
  <c r="Q19" i="1"/>
  <c r="S19" i="1" s="1"/>
  <c r="Q24" i="1"/>
  <c r="S24" i="1" s="1"/>
  <c r="Q39" i="1"/>
  <c r="S39" i="1" s="1"/>
  <c r="Q22" i="1"/>
  <c r="S22" i="1" s="1"/>
  <c r="R22" i="1"/>
  <c r="T22" i="1" s="1"/>
  <c r="Q25" i="1"/>
  <c r="S25" i="1" s="1"/>
  <c r="E41" i="19"/>
  <c r="F41" i="19" s="1"/>
  <c r="G41" i="19" s="1"/>
  <c r="W93" i="10"/>
  <c r="W91" i="10" s="1"/>
  <c r="K27" i="1" s="1"/>
  <c r="O86" i="38"/>
  <c r="AE85" i="27"/>
  <c r="J86" i="38"/>
  <c r="K85" i="27"/>
  <c r="J49" i="10"/>
  <c r="F18" i="1" s="1"/>
  <c r="CI50" i="10"/>
  <c r="CJ50" i="10" s="1"/>
  <c r="J107" i="10"/>
  <c r="F31" i="1" s="1"/>
  <c r="O27" i="1"/>
  <c r="S61" i="27"/>
  <c r="L62" i="38"/>
  <c r="AA66" i="27"/>
  <c r="N67" i="38"/>
  <c r="N79" i="38"/>
  <c r="O91" i="27"/>
  <c r="K92" i="38"/>
  <c r="O119" i="27"/>
  <c r="R119" i="27" s="1"/>
  <c r="R99" i="27" s="1"/>
  <c r="K120" i="38"/>
  <c r="W147" i="27"/>
  <c r="M154" i="38"/>
  <c r="S45" i="27"/>
  <c r="L46" i="38"/>
  <c r="O57" i="27"/>
  <c r="K58" i="38"/>
  <c r="W61" i="27"/>
  <c r="M62" i="38"/>
  <c r="O66" i="27"/>
  <c r="K67" i="38"/>
  <c r="W73" i="27"/>
  <c r="M74" i="38"/>
  <c r="M86" i="38"/>
  <c r="O101" i="27"/>
  <c r="K102" i="38"/>
  <c r="AA113" i="27"/>
  <c r="N114" i="38"/>
  <c r="S119" i="27"/>
  <c r="V119" i="27" s="1"/>
  <c r="V99" i="27" s="1"/>
  <c r="L120" i="38"/>
  <c r="AA147" i="27"/>
  <c r="N154" i="38"/>
  <c r="S169" i="27"/>
  <c r="L176" i="38"/>
  <c r="O171" i="27"/>
  <c r="K178" i="38"/>
  <c r="W45" i="27"/>
  <c r="M46" i="38"/>
  <c r="S57" i="27"/>
  <c r="L58" i="38"/>
  <c r="AA61" i="27"/>
  <c r="N62" i="38"/>
  <c r="S66" i="27"/>
  <c r="L67" i="38"/>
  <c r="AA73" i="27"/>
  <c r="N74" i="38"/>
  <c r="L79" i="38"/>
  <c r="N86" i="38"/>
  <c r="W91" i="27"/>
  <c r="M92" i="38"/>
  <c r="W101" i="27"/>
  <c r="M102" i="38"/>
  <c r="O113" i="27"/>
  <c r="K114" i="38"/>
  <c r="W119" i="27"/>
  <c r="Z119" i="27" s="1"/>
  <c r="Z99" i="27" s="1"/>
  <c r="M120" i="38"/>
  <c r="O147" i="27"/>
  <c r="K154" i="38"/>
  <c r="W153" i="27"/>
  <c r="M160" i="38"/>
  <c r="W169" i="27"/>
  <c r="M176" i="38"/>
  <c r="S171" i="27"/>
  <c r="L178" i="38"/>
  <c r="O45" i="27"/>
  <c r="K46" i="38"/>
  <c r="AA57" i="27"/>
  <c r="N58" i="38"/>
  <c r="S73" i="27"/>
  <c r="L74" i="38"/>
  <c r="L86" i="38"/>
  <c r="W113" i="27"/>
  <c r="M114" i="38"/>
  <c r="O153" i="27"/>
  <c r="K160" i="38"/>
  <c r="AA171" i="27"/>
  <c r="N178" i="38"/>
  <c r="K79" i="38"/>
  <c r="S91" i="27"/>
  <c r="L92" i="38"/>
  <c r="S153" i="27"/>
  <c r="L160" i="38"/>
  <c r="D160" i="10"/>
  <c r="C27" i="19" s="1"/>
  <c r="AA45" i="27"/>
  <c r="N46" i="38"/>
  <c r="W57" i="27"/>
  <c r="M58" i="38"/>
  <c r="O61" i="27"/>
  <c r="K62" i="38"/>
  <c r="W66" i="27"/>
  <c r="M67" i="38"/>
  <c r="O73" i="27"/>
  <c r="K74" i="38"/>
  <c r="M79" i="38"/>
  <c r="K86" i="38"/>
  <c r="AA91" i="27"/>
  <c r="N92" i="38"/>
  <c r="AA101" i="27"/>
  <c r="N102" i="38"/>
  <c r="S113" i="27"/>
  <c r="L114" i="38"/>
  <c r="AA119" i="27"/>
  <c r="AD119" i="27" s="1"/>
  <c r="AD99" i="27" s="1"/>
  <c r="AD182" i="27" s="1"/>
  <c r="N120" i="38"/>
  <c r="S147" i="27"/>
  <c r="L154" i="38"/>
  <c r="AA153" i="27"/>
  <c r="N160" i="38"/>
  <c r="AA169" i="27"/>
  <c r="N176" i="38"/>
  <c r="W171" i="27"/>
  <c r="M178" i="38"/>
  <c r="AC38" i="10"/>
  <c r="M16" i="1" s="1"/>
  <c r="K38" i="10"/>
  <c r="G16" i="1" s="1"/>
  <c r="P38" i="10"/>
  <c r="H16" i="1" s="1"/>
  <c r="AB38" i="10"/>
  <c r="L16" i="1" s="1"/>
  <c r="V38" i="10"/>
  <c r="J16" i="1" s="1"/>
  <c r="Q38" i="10"/>
  <c r="I16" i="1" s="1"/>
  <c r="I40" i="19"/>
  <c r="U7" i="30" s="1"/>
  <c r="W7" i="30" s="1"/>
  <c r="K7" i="19"/>
  <c r="L7" i="19" s="1"/>
  <c r="J134" i="10"/>
  <c r="F35" i="1" s="1"/>
  <c r="V134" i="10"/>
  <c r="J38" i="10"/>
  <c r="F16" i="1" s="1"/>
  <c r="C134" i="10"/>
  <c r="C35" i="1" s="1"/>
  <c r="W134" i="10"/>
  <c r="K35" i="1" s="1"/>
  <c r="D134" i="10"/>
  <c r="D35" i="1" s="1"/>
  <c r="P134" i="10"/>
  <c r="H35" i="1" s="1"/>
  <c r="AB134" i="10"/>
  <c r="L35" i="1" s="1"/>
  <c r="Q134" i="10"/>
  <c r="I35" i="1" s="1"/>
  <c r="AC134" i="10"/>
  <c r="M35" i="1" s="1"/>
  <c r="D10" i="13"/>
  <c r="E10" i="13" s="1"/>
  <c r="AE61" i="27"/>
  <c r="D12" i="13"/>
  <c r="E12" i="13" s="1"/>
  <c r="AE73" i="27"/>
  <c r="K119" i="27"/>
  <c r="N119" i="27" s="1"/>
  <c r="K153" i="27"/>
  <c r="R169" i="2"/>
  <c r="D46" i="19"/>
  <c r="F13" i="30" s="1"/>
  <c r="H13" i="30" s="1"/>
  <c r="C13" i="30"/>
  <c r="E13" i="30" s="1"/>
  <c r="AE45" i="27"/>
  <c r="K57" i="27"/>
  <c r="K66" i="27"/>
  <c r="AE91" i="27"/>
  <c r="D17" i="13"/>
  <c r="E17" i="13" s="1"/>
  <c r="AE101" i="27"/>
  <c r="P102" i="25"/>
  <c r="P101" i="25" s="1"/>
  <c r="P100" i="25" s="1"/>
  <c r="AE119" i="27"/>
  <c r="AH119" i="27" s="1"/>
  <c r="AH99" i="27" s="1"/>
  <c r="D23" i="13"/>
  <c r="E23" i="13" s="1"/>
  <c r="AE153" i="27"/>
  <c r="U160" i="2"/>
  <c r="U169" i="2"/>
  <c r="D44" i="19"/>
  <c r="E44" i="19" s="1"/>
  <c r="F44" i="19" s="1"/>
  <c r="C11" i="30"/>
  <c r="E11" i="30" s="1"/>
  <c r="K45" i="27"/>
  <c r="R160" i="2"/>
  <c r="D9" i="13"/>
  <c r="E9" i="13" s="1"/>
  <c r="AE57" i="27"/>
  <c r="D11" i="13"/>
  <c r="E11" i="13" s="1"/>
  <c r="AE66" i="27"/>
  <c r="L102" i="25"/>
  <c r="L101" i="25" s="1"/>
  <c r="L100" i="25" s="1"/>
  <c r="K147" i="27"/>
  <c r="L160" i="2"/>
  <c r="K160" i="27"/>
  <c r="X160" i="2"/>
  <c r="X169" i="2"/>
  <c r="N175" i="38" s="1"/>
  <c r="K38" i="27"/>
  <c r="O102" i="25"/>
  <c r="O101" i="25" s="1"/>
  <c r="O100" i="25" s="1"/>
  <c r="O183" i="25" s="1"/>
  <c r="D4" i="13"/>
  <c r="E4" i="13" s="1"/>
  <c r="AE38" i="27"/>
  <c r="K61" i="27"/>
  <c r="K73" i="27"/>
  <c r="N102" i="25"/>
  <c r="N101" i="25" s="1"/>
  <c r="N100" i="25" s="1"/>
  <c r="D22" i="13"/>
  <c r="E22" i="13" s="1"/>
  <c r="AE147" i="27"/>
  <c r="AE160" i="27"/>
  <c r="K171" i="27"/>
  <c r="D58" i="19"/>
  <c r="F25" i="30" s="1"/>
  <c r="H25" i="30" s="1"/>
  <c r="C25" i="30"/>
  <c r="E25" i="30" s="1"/>
  <c r="H40" i="19"/>
  <c r="R7" i="30" s="1"/>
  <c r="T7" i="30" s="1"/>
  <c r="O7" i="30"/>
  <c r="Q7" i="30" s="1"/>
  <c r="I7" i="30"/>
  <c r="K7" i="30" s="1"/>
  <c r="Y16" i="30"/>
  <c r="AA16" i="30" s="1"/>
  <c r="W16" i="30"/>
  <c r="H49" i="19"/>
  <c r="R16" i="30" s="1"/>
  <c r="T16" i="30" s="1"/>
  <c r="I16" i="30"/>
  <c r="K16" i="30" s="1"/>
  <c r="O16" i="30"/>
  <c r="Q16" i="30" s="1"/>
  <c r="K113" i="27"/>
  <c r="D19" i="13"/>
  <c r="E19" i="13" s="1"/>
  <c r="AE113" i="27"/>
  <c r="E134" i="10"/>
  <c r="E35" i="1" s="1"/>
  <c r="I41" i="19"/>
  <c r="U8" i="30" s="1"/>
  <c r="I43" i="19"/>
  <c r="U10" i="30" s="1"/>
  <c r="AA160" i="2"/>
  <c r="O166" i="38" s="1"/>
  <c r="D24" i="13"/>
  <c r="E24" i="13" s="1"/>
  <c r="W90" i="11"/>
  <c r="D16" i="13"/>
  <c r="E16" i="13" s="1"/>
  <c r="W84" i="11"/>
  <c r="D15" i="13"/>
  <c r="E15" i="13" s="1"/>
  <c r="C29" i="19"/>
  <c r="C62" i="19" s="1"/>
  <c r="D39" i="1"/>
  <c r="C26" i="19"/>
  <c r="C59" i="19" s="1"/>
  <c r="D38" i="10"/>
  <c r="J78" i="10"/>
  <c r="F25" i="1" s="1"/>
  <c r="J25" i="1"/>
  <c r="N25" i="1"/>
  <c r="N39" i="1"/>
  <c r="D78" i="10"/>
  <c r="D25" i="1" s="1"/>
  <c r="D48" i="19"/>
  <c r="H25" i="1"/>
  <c r="L25" i="1"/>
  <c r="N26" i="1"/>
  <c r="J24" i="1"/>
  <c r="N24" i="1"/>
  <c r="F26" i="1"/>
  <c r="I13" i="19"/>
  <c r="K13" i="19" s="1"/>
  <c r="L13" i="19" s="1"/>
  <c r="D21" i="1"/>
  <c r="C12" i="19"/>
  <c r="C45" i="19" s="1"/>
  <c r="H21" i="1"/>
  <c r="L21" i="1"/>
  <c r="F32" i="1"/>
  <c r="N32" i="1"/>
  <c r="N34" i="1"/>
  <c r="N35" i="1"/>
  <c r="F24" i="1"/>
  <c r="D24" i="1"/>
  <c r="C14" i="19"/>
  <c r="C47" i="19" s="1"/>
  <c r="H24" i="1"/>
  <c r="L24" i="1"/>
  <c r="D26" i="1"/>
  <c r="C17" i="19"/>
  <c r="C50" i="19" s="1"/>
  <c r="H26" i="1"/>
  <c r="L26" i="1"/>
  <c r="D30" i="1"/>
  <c r="C52" i="19"/>
  <c r="J26" i="1"/>
  <c r="F30" i="1"/>
  <c r="N30" i="1"/>
  <c r="F21" i="1"/>
  <c r="J21" i="1"/>
  <c r="N21" i="1"/>
  <c r="D31" i="1"/>
  <c r="C53" i="19"/>
  <c r="D32" i="1"/>
  <c r="C54" i="19"/>
  <c r="C21" i="30" s="1"/>
  <c r="E21" i="30" s="1"/>
  <c r="H32" i="1"/>
  <c r="L18" i="1"/>
  <c r="D49" i="10"/>
  <c r="N16" i="1"/>
  <c r="L39" i="1"/>
  <c r="J39" i="1"/>
  <c r="H39" i="1"/>
  <c r="F39" i="1"/>
  <c r="I25" i="19"/>
  <c r="K25" i="19" s="1"/>
  <c r="L25" i="19" s="1"/>
  <c r="F27" i="1"/>
  <c r="D27" i="1"/>
  <c r="C18" i="19"/>
  <c r="C51" i="19" s="1"/>
  <c r="L27" i="1"/>
  <c r="H27" i="1"/>
  <c r="I11" i="19"/>
  <c r="K11" i="19" s="1"/>
  <c r="H18" i="1"/>
  <c r="J18" i="1"/>
  <c r="N27" i="1"/>
  <c r="AS62" i="2"/>
  <c r="W60" i="11"/>
  <c r="AS39" i="2"/>
  <c r="AS46" i="2"/>
  <c r="W44" i="11"/>
  <c r="AS58" i="2"/>
  <c r="W56" i="11"/>
  <c r="AS67" i="2"/>
  <c r="W65" i="11"/>
  <c r="AS79" i="2"/>
  <c r="O23" i="1"/>
  <c r="G27" i="1"/>
  <c r="K8" i="10"/>
  <c r="G14" i="1" s="1"/>
  <c r="C27" i="1"/>
  <c r="E27" i="1"/>
  <c r="K134" i="10"/>
  <c r="G35" i="1" s="1"/>
  <c r="C38" i="10"/>
  <c r="C16" i="1" s="1"/>
  <c r="E38" i="10"/>
  <c r="E16" i="1" s="1"/>
  <c r="F20" i="1"/>
  <c r="J20" i="1"/>
  <c r="N20" i="1"/>
  <c r="D20" i="1"/>
  <c r="H20" i="1"/>
  <c r="L20" i="1"/>
  <c r="L147" i="2"/>
  <c r="AR145" i="28" s="1"/>
  <c r="U101" i="2"/>
  <c r="AA147" i="2"/>
  <c r="AA101" i="2"/>
  <c r="O101" i="38" s="1"/>
  <c r="X101" i="2"/>
  <c r="AC72" i="10"/>
  <c r="M23" i="1" s="1"/>
  <c r="AC8" i="10"/>
  <c r="M14" i="1" s="1"/>
  <c r="O147" i="2"/>
  <c r="O160" i="2"/>
  <c r="P16" i="1"/>
  <c r="P18" i="1"/>
  <c r="P39" i="1"/>
  <c r="X73" i="2"/>
  <c r="R73" i="2"/>
  <c r="O73" i="2"/>
  <c r="U73" i="2"/>
  <c r="AA73" i="2"/>
  <c r="O73" i="38" s="1"/>
  <c r="D146" i="10"/>
  <c r="D37" i="1" s="1"/>
  <c r="D38" i="1"/>
  <c r="J146" i="10"/>
  <c r="F37" i="1" s="1"/>
  <c r="F38" i="1"/>
  <c r="P146" i="10"/>
  <c r="H38" i="1"/>
  <c r="V146" i="10"/>
  <c r="J38" i="1"/>
  <c r="AB146" i="10"/>
  <c r="L38" i="1"/>
  <c r="N37" i="1"/>
  <c r="N38" i="1"/>
  <c r="P37" i="1"/>
  <c r="P38" i="1"/>
  <c r="F40" i="1"/>
  <c r="F41" i="1"/>
  <c r="H40" i="1"/>
  <c r="H41" i="1"/>
  <c r="V159" i="10"/>
  <c r="J40" i="1" s="1"/>
  <c r="J41" i="1"/>
  <c r="AB159" i="10"/>
  <c r="L40" i="1" s="1"/>
  <c r="L41" i="1"/>
  <c r="N40" i="1"/>
  <c r="N41" i="1"/>
  <c r="P40" i="1"/>
  <c r="P41" i="1"/>
  <c r="N45" i="1"/>
  <c r="N46" i="1"/>
  <c r="P45" i="1"/>
  <c r="P46" i="1"/>
  <c r="C146" i="10"/>
  <c r="C37" i="1" s="1"/>
  <c r="C38" i="1"/>
  <c r="E146" i="10"/>
  <c r="E37" i="1" s="1"/>
  <c r="E38" i="1"/>
  <c r="K146" i="10"/>
  <c r="G38" i="1"/>
  <c r="Q146" i="10"/>
  <c r="I38" i="1"/>
  <c r="W146" i="10"/>
  <c r="K38" i="1"/>
  <c r="AC146" i="10"/>
  <c r="M37" i="1" s="1"/>
  <c r="M38" i="1"/>
  <c r="O37" i="1"/>
  <c r="O38" i="1"/>
  <c r="C159" i="10"/>
  <c r="C40" i="1" s="1"/>
  <c r="C41" i="1"/>
  <c r="E40" i="1"/>
  <c r="E41" i="1"/>
  <c r="G40" i="1"/>
  <c r="G41" i="1"/>
  <c r="I40" i="1"/>
  <c r="I41" i="1"/>
  <c r="W159" i="10"/>
  <c r="K40" i="1" s="1"/>
  <c r="K41" i="1"/>
  <c r="AC159" i="10"/>
  <c r="M40" i="1" s="1"/>
  <c r="M41" i="1"/>
  <c r="O40" i="1"/>
  <c r="O41" i="1"/>
  <c r="C172" i="10"/>
  <c r="C45" i="1" s="1"/>
  <c r="C46" i="1"/>
  <c r="E45" i="1"/>
  <c r="E46" i="1"/>
  <c r="G45" i="1"/>
  <c r="G46" i="1"/>
  <c r="AC172" i="10"/>
  <c r="M45" i="1" s="1"/>
  <c r="M46" i="1"/>
  <c r="O45" i="1"/>
  <c r="O46" i="1"/>
  <c r="X69" i="3"/>
  <c r="D100" i="10"/>
  <c r="D29" i="1" s="1"/>
  <c r="O101" i="2"/>
  <c r="D32" i="10"/>
  <c r="D15" i="1" s="1"/>
  <c r="J32" i="10"/>
  <c r="F15" i="1" s="1"/>
  <c r="P32" i="10"/>
  <c r="H15" i="1" s="1"/>
  <c r="V32" i="10"/>
  <c r="AB32" i="10"/>
  <c r="C32" i="10"/>
  <c r="C15" i="1" s="1"/>
  <c r="E32" i="10"/>
  <c r="E15" i="1" s="1"/>
  <c r="K32" i="10"/>
  <c r="G15" i="1" s="1"/>
  <c r="Q32" i="10"/>
  <c r="I15" i="1" s="1"/>
  <c r="W32" i="10"/>
  <c r="AC32" i="10"/>
  <c r="D8" i="10"/>
  <c r="C37" i="19" s="1"/>
  <c r="C4" i="30" s="1"/>
  <c r="E4" i="30" s="1"/>
  <c r="J8" i="10"/>
  <c r="P8" i="10"/>
  <c r="E8" i="10"/>
  <c r="L73" i="2"/>
  <c r="J73" i="38" s="1"/>
  <c r="Z37" i="3"/>
  <c r="X37" i="3"/>
  <c r="X5" i="3"/>
  <c r="Z5" i="3"/>
  <c r="U147" i="2"/>
  <c r="R147" i="2"/>
  <c r="X147" i="2"/>
  <c r="R8" i="2"/>
  <c r="X8" i="2"/>
  <c r="AR33" i="2"/>
  <c r="AR46" i="2"/>
  <c r="AS135" i="2"/>
  <c r="AS154" i="2"/>
  <c r="AS121" i="2"/>
  <c r="AS148" i="2"/>
  <c r="AS161" i="2"/>
  <c r="AS160" i="2" s="1"/>
  <c r="AS74" i="2"/>
  <c r="AS92" i="2"/>
  <c r="AS114" i="2"/>
  <c r="AS86" i="2"/>
  <c r="AS102" i="2"/>
  <c r="AQ172" i="2"/>
  <c r="AQ168" i="2" s="1"/>
  <c r="AR168" i="2"/>
  <c r="AQ160" i="2"/>
  <c r="AR120" i="2"/>
  <c r="AQ120" i="2"/>
  <c r="AQ101" i="2"/>
  <c r="AR101" i="2"/>
  <c r="AR73" i="2"/>
  <c r="AQ8" i="2"/>
  <c r="AQ7" i="2" s="1"/>
  <c r="Y69" i="3"/>
  <c r="Y45" i="3"/>
  <c r="Y38" i="3"/>
  <c r="Y26" i="3"/>
  <c r="Y6" i="3"/>
  <c r="P145" i="28" l="1"/>
  <c r="CK93" i="10"/>
  <c r="J166" i="38"/>
  <c r="AR158" i="28"/>
  <c r="AR71" i="28"/>
  <c r="R24" i="1"/>
  <c r="T24" i="1" s="1"/>
  <c r="R21" i="1"/>
  <c r="T21" i="1" s="1"/>
  <c r="Q41" i="1"/>
  <c r="S41" i="1" s="1"/>
  <c r="R38" i="1"/>
  <c r="T38" i="1" s="1"/>
  <c r="R39" i="1"/>
  <c r="T39" i="1" s="1"/>
  <c r="R26" i="1"/>
  <c r="T26" i="1" s="1"/>
  <c r="Q40" i="1"/>
  <c r="S40" i="1" s="1"/>
  <c r="Q35" i="1"/>
  <c r="S35" i="1" s="1"/>
  <c r="Q38" i="1"/>
  <c r="S38" i="1" s="1"/>
  <c r="R20" i="1"/>
  <c r="T20" i="1" s="1"/>
  <c r="R25" i="1"/>
  <c r="T25" i="1" s="1"/>
  <c r="J100" i="10"/>
  <c r="F29" i="1" s="1"/>
  <c r="L8" i="30"/>
  <c r="N8" i="30" s="1"/>
  <c r="W119" i="10"/>
  <c r="K33" i="1" s="1"/>
  <c r="Q91" i="10"/>
  <c r="I27" i="1" s="1"/>
  <c r="Q27" i="1" s="1"/>
  <c r="S27" i="1" s="1"/>
  <c r="Q119" i="10"/>
  <c r="I33" i="1" s="1"/>
  <c r="AB119" i="10"/>
  <c r="L33" i="1" s="1"/>
  <c r="K34" i="1"/>
  <c r="G34" i="1"/>
  <c r="K119" i="10"/>
  <c r="G33" i="1" s="1"/>
  <c r="C34" i="1"/>
  <c r="C119" i="10"/>
  <c r="C33" i="1" s="1"/>
  <c r="V119" i="10"/>
  <c r="J33" i="1" s="1"/>
  <c r="M34" i="1"/>
  <c r="AC119" i="10"/>
  <c r="M33" i="1" s="1"/>
  <c r="J119" i="10"/>
  <c r="F33" i="1" s="1"/>
  <c r="E34" i="1"/>
  <c r="E119" i="10"/>
  <c r="E33" i="1" s="1"/>
  <c r="P119" i="10"/>
  <c r="H33" i="1" s="1"/>
  <c r="C55" i="19"/>
  <c r="C22" i="30" s="1"/>
  <c r="E22" i="30" s="1"/>
  <c r="D119" i="10"/>
  <c r="D33" i="1" s="1"/>
  <c r="I37" i="1"/>
  <c r="L37" i="1"/>
  <c r="H37" i="1"/>
  <c r="K37" i="1"/>
  <c r="G37" i="1"/>
  <c r="J37" i="1"/>
  <c r="O153" i="38"/>
  <c r="AS141" i="2"/>
  <c r="J153" i="38"/>
  <c r="H34" i="1"/>
  <c r="D41" i="1"/>
  <c r="R41" i="1" s="1"/>
  <c r="T41" i="1" s="1"/>
  <c r="C60" i="19"/>
  <c r="I27" i="19"/>
  <c r="W146" i="27"/>
  <c r="M153" i="38"/>
  <c r="S168" i="27"/>
  <c r="L175" i="38"/>
  <c r="AA7" i="27"/>
  <c r="N8" i="38"/>
  <c r="O100" i="27"/>
  <c r="K101" i="38"/>
  <c r="O72" i="27"/>
  <c r="K73" i="38"/>
  <c r="C6" i="19"/>
  <c r="C39" i="19" s="1"/>
  <c r="C6" i="30" s="1"/>
  <c r="E6" i="30" s="1"/>
  <c r="D16" i="1"/>
  <c r="R16" i="1" s="1"/>
  <c r="T16" i="1" s="1"/>
  <c r="W168" i="27"/>
  <c r="M175" i="38"/>
  <c r="S146" i="27"/>
  <c r="L153" i="38"/>
  <c r="AA72" i="27"/>
  <c r="N73" i="38"/>
  <c r="O159" i="27"/>
  <c r="K166" i="38"/>
  <c r="W100" i="27"/>
  <c r="M101" i="38"/>
  <c r="AA159" i="27"/>
  <c r="N166" i="38"/>
  <c r="D159" i="10"/>
  <c r="D40" i="1" s="1"/>
  <c r="R40" i="1" s="1"/>
  <c r="T40" i="1" s="1"/>
  <c r="D34" i="1"/>
  <c r="W72" i="27"/>
  <c r="M73" i="38"/>
  <c r="O146" i="27"/>
  <c r="K153" i="38"/>
  <c r="AA100" i="27"/>
  <c r="N101" i="38"/>
  <c r="S159" i="27"/>
  <c r="L166" i="38"/>
  <c r="S7" i="27"/>
  <c r="L8" i="38"/>
  <c r="AA146" i="27"/>
  <c r="N153" i="38"/>
  <c r="R168" i="2"/>
  <c r="S72" i="27"/>
  <c r="L73" i="38"/>
  <c r="J35" i="1"/>
  <c r="R35" i="1" s="1"/>
  <c r="T35" i="1" s="1"/>
  <c r="W159" i="27"/>
  <c r="M166" i="38"/>
  <c r="U168" i="2"/>
  <c r="F34" i="1"/>
  <c r="Y7" i="30"/>
  <c r="AA7" i="30" s="1"/>
  <c r="X168" i="2"/>
  <c r="AA168" i="27"/>
  <c r="C57" i="19"/>
  <c r="C24" i="30" s="1"/>
  <c r="E24" i="30" s="1"/>
  <c r="F11" i="30"/>
  <c r="H11" i="30" s="1"/>
  <c r="J34" i="1"/>
  <c r="E46" i="19"/>
  <c r="F46" i="19" s="1"/>
  <c r="G46" i="19" s="1"/>
  <c r="D59" i="19"/>
  <c r="E59" i="19" s="1"/>
  <c r="F59" i="19" s="1"/>
  <c r="C26" i="30"/>
  <c r="E26" i="30" s="1"/>
  <c r="L34" i="1"/>
  <c r="E58" i="19"/>
  <c r="F58" i="19" s="1"/>
  <c r="G58" i="19" s="1"/>
  <c r="K72" i="27"/>
  <c r="K146" i="27"/>
  <c r="D50" i="19"/>
  <c r="E50" i="19" s="1"/>
  <c r="F50" i="19" s="1"/>
  <c r="C17" i="30"/>
  <c r="E17" i="30" s="1"/>
  <c r="D47" i="19"/>
  <c r="E47" i="19" s="1"/>
  <c r="F47" i="19" s="1"/>
  <c r="C14" i="30"/>
  <c r="E14" i="30" s="1"/>
  <c r="D45" i="19"/>
  <c r="F12" i="30" s="1"/>
  <c r="H12" i="30" s="1"/>
  <c r="C12" i="30"/>
  <c r="E12" i="30" s="1"/>
  <c r="D62" i="19"/>
  <c r="F29" i="30" s="1"/>
  <c r="H29" i="30" s="1"/>
  <c r="C29" i="30"/>
  <c r="E29" i="30" s="1"/>
  <c r="AE159" i="27"/>
  <c r="K159" i="27"/>
  <c r="W72" i="11"/>
  <c r="AE72" i="27"/>
  <c r="AE146" i="27"/>
  <c r="D51" i="19"/>
  <c r="F18" i="30" s="1"/>
  <c r="H18" i="30" s="1"/>
  <c r="C18" i="30"/>
  <c r="E18" i="30" s="1"/>
  <c r="G44" i="19"/>
  <c r="L11" i="30"/>
  <c r="N11" i="30" s="1"/>
  <c r="Y10" i="30"/>
  <c r="AA10" i="30" s="1"/>
  <c r="W10" i="30"/>
  <c r="H41" i="19"/>
  <c r="R8" i="30" s="1"/>
  <c r="T8" i="30" s="1"/>
  <c r="O8" i="30"/>
  <c r="Q8" i="30" s="1"/>
  <c r="I8" i="30"/>
  <c r="K8" i="30" s="1"/>
  <c r="Y8" i="30"/>
  <c r="AA8" i="30" s="1"/>
  <c r="W8" i="30"/>
  <c r="E48" i="19"/>
  <c r="F48" i="19" s="1"/>
  <c r="F15" i="30"/>
  <c r="H15" i="30" s="1"/>
  <c r="D52" i="19"/>
  <c r="C19" i="30"/>
  <c r="E19" i="30" s="1"/>
  <c r="D53" i="19"/>
  <c r="C20" i="30"/>
  <c r="E20" i="30" s="1"/>
  <c r="AE100" i="27"/>
  <c r="X76" i="3"/>
  <c r="Z76" i="3"/>
  <c r="W72" i="10"/>
  <c r="K23" i="1" s="1"/>
  <c r="D172" i="10"/>
  <c r="D45" i="1" s="1"/>
  <c r="D54" i="19"/>
  <c r="D46" i="1"/>
  <c r="D37" i="19"/>
  <c r="I44" i="19"/>
  <c r="U11" i="30" s="1"/>
  <c r="I46" i="19"/>
  <c r="U13" i="30" s="1"/>
  <c r="I58" i="19"/>
  <c r="U25" i="30" s="1"/>
  <c r="V72" i="10"/>
  <c r="J23" i="1" s="1"/>
  <c r="P72" i="10"/>
  <c r="D72" i="10"/>
  <c r="D23" i="1" s="1"/>
  <c r="AB72" i="10"/>
  <c r="L23" i="1" s="1"/>
  <c r="J72" i="10"/>
  <c r="F23" i="1" s="1"/>
  <c r="N23" i="1"/>
  <c r="N14" i="1"/>
  <c r="I15" i="19"/>
  <c r="K15" i="19" s="1"/>
  <c r="L15" i="19" s="1"/>
  <c r="I19" i="19"/>
  <c r="K19" i="19" s="1"/>
  <c r="L19" i="19" s="1"/>
  <c r="I14" i="19"/>
  <c r="K14" i="19" s="1"/>
  <c r="L14" i="19" s="1"/>
  <c r="I17" i="19"/>
  <c r="K17" i="19" s="1"/>
  <c r="L17" i="19" s="1"/>
  <c r="I12" i="19"/>
  <c r="K12" i="19" s="1"/>
  <c r="L12" i="19" s="1"/>
  <c r="D18" i="1"/>
  <c r="R18" i="1" s="1"/>
  <c r="T18" i="1" s="1"/>
  <c r="C9" i="19"/>
  <c r="C5" i="19"/>
  <c r="C38" i="19" s="1"/>
  <c r="I26" i="19"/>
  <c r="K26" i="19" s="1"/>
  <c r="L26" i="19" s="1"/>
  <c r="J27" i="1"/>
  <c r="R27" i="1" s="1"/>
  <c r="T27" i="1" s="1"/>
  <c r="K72" i="10"/>
  <c r="G23" i="1" s="1"/>
  <c r="C72" i="10"/>
  <c r="C23" i="1" s="1"/>
  <c r="E72" i="10"/>
  <c r="E23" i="1" s="1"/>
  <c r="I34" i="1"/>
  <c r="U100" i="2"/>
  <c r="H77" i="77" s="1"/>
  <c r="I77" i="77" s="1"/>
  <c r="X7" i="2"/>
  <c r="P28" i="1"/>
  <c r="AA100" i="2"/>
  <c r="O100" i="38" s="1"/>
  <c r="R7" i="2"/>
  <c r="K7" i="10"/>
  <c r="X100" i="2"/>
  <c r="O100" i="2"/>
  <c r="K15" i="1"/>
  <c r="C7" i="10"/>
  <c r="C13" i="1" s="1"/>
  <c r="L15" i="1"/>
  <c r="M15" i="1"/>
  <c r="N15" i="1"/>
  <c r="J15" i="1"/>
  <c r="E7" i="10"/>
  <c r="E14" i="1"/>
  <c r="J7" i="10"/>
  <c r="F14" i="1"/>
  <c r="P7" i="10"/>
  <c r="H14" i="1"/>
  <c r="D7" i="10"/>
  <c r="D14" i="1"/>
  <c r="AR8" i="2"/>
  <c r="AR7" i="2" s="1"/>
  <c r="AS147" i="2"/>
  <c r="AS101" i="2"/>
  <c r="AS120" i="2"/>
  <c r="AS73" i="2"/>
  <c r="AR100" i="2"/>
  <c r="AQ100" i="2"/>
  <c r="Y37" i="3"/>
  <c r="Y5" i="3"/>
  <c r="K27" i="19" l="1"/>
  <c r="L27" i="19" s="1"/>
  <c r="R37" i="1"/>
  <c r="T37" i="1" s="1"/>
  <c r="Q15" i="1"/>
  <c r="S15" i="1" s="1"/>
  <c r="Q33" i="1"/>
  <c r="S33" i="1" s="1"/>
  <c r="R15" i="1"/>
  <c r="T15" i="1" s="1"/>
  <c r="R33" i="1"/>
  <c r="T33" i="1" s="1"/>
  <c r="Q37" i="1"/>
  <c r="S37" i="1" s="1"/>
  <c r="R34" i="1"/>
  <c r="T34" i="1" s="1"/>
  <c r="Q34" i="1"/>
  <c r="S34" i="1" s="1"/>
  <c r="Q72" i="10"/>
  <c r="I23" i="1" s="1"/>
  <c r="Q23" i="1" s="1"/>
  <c r="S23" i="1" s="1"/>
  <c r="D55" i="19"/>
  <c r="F22" i="30" s="1"/>
  <c r="H22" i="30" s="1"/>
  <c r="Y76" i="3"/>
  <c r="J99" i="10"/>
  <c r="F28" i="1" s="1"/>
  <c r="I60" i="19"/>
  <c r="U27" i="30" s="1"/>
  <c r="W27" i="30" s="1"/>
  <c r="I6" i="19"/>
  <c r="K6" i="19" s="1"/>
  <c r="L6" i="19" s="1"/>
  <c r="D39" i="19"/>
  <c r="E39" i="19" s="1"/>
  <c r="F39" i="19" s="1"/>
  <c r="L6" i="30" s="1"/>
  <c r="N6" i="30" s="1"/>
  <c r="L13" i="30"/>
  <c r="N13" i="30" s="1"/>
  <c r="AA6" i="27"/>
  <c r="N7" i="38"/>
  <c r="S6" i="27"/>
  <c r="L7" i="38"/>
  <c r="S167" i="27"/>
  <c r="L174" i="38"/>
  <c r="D99" i="10"/>
  <c r="D28" i="1" s="1"/>
  <c r="W99" i="27"/>
  <c r="M100" i="38"/>
  <c r="AA167" i="27"/>
  <c r="N174" i="38"/>
  <c r="O99" i="27"/>
  <c r="K100" i="38"/>
  <c r="AA99" i="27"/>
  <c r="N100" i="38"/>
  <c r="W167" i="27"/>
  <c r="M174" i="38"/>
  <c r="D60" i="19"/>
  <c r="C27" i="30"/>
  <c r="E27" i="30" s="1"/>
  <c r="D57" i="19"/>
  <c r="F24" i="30" s="1"/>
  <c r="H24" i="30" s="1"/>
  <c r="E62" i="19"/>
  <c r="F62" i="19" s="1"/>
  <c r="L29" i="30" s="1"/>
  <c r="N29" i="30" s="1"/>
  <c r="I24" i="19"/>
  <c r="K24" i="19" s="1"/>
  <c r="L24" i="19" s="1"/>
  <c r="L25" i="30"/>
  <c r="N25" i="30" s="1"/>
  <c r="F14" i="30"/>
  <c r="H14" i="30" s="1"/>
  <c r="E51" i="19"/>
  <c r="F51" i="19" s="1"/>
  <c r="G51" i="19" s="1"/>
  <c r="F26" i="30"/>
  <c r="H26" i="30" s="1"/>
  <c r="E45" i="19"/>
  <c r="F45" i="19" s="1"/>
  <c r="G45" i="19" s="1"/>
  <c r="F17" i="30"/>
  <c r="H17" i="30" s="1"/>
  <c r="O99" i="24"/>
  <c r="N99" i="24"/>
  <c r="D38" i="19"/>
  <c r="E38" i="19" s="1"/>
  <c r="F38" i="19" s="1"/>
  <c r="C5" i="30"/>
  <c r="E5" i="30" s="1"/>
  <c r="G59" i="19"/>
  <c r="L26" i="30"/>
  <c r="N26" i="30" s="1"/>
  <c r="Y25" i="30"/>
  <c r="AA25" i="30" s="1"/>
  <c r="W25" i="30"/>
  <c r="H58" i="19"/>
  <c r="R25" i="30" s="1"/>
  <c r="T25" i="30" s="1"/>
  <c r="O25" i="30"/>
  <c r="Q25" i="30" s="1"/>
  <c r="I25" i="30"/>
  <c r="K25" i="30" s="1"/>
  <c r="G47" i="19"/>
  <c r="L14" i="30"/>
  <c r="N14" i="30" s="1"/>
  <c r="Y13" i="30"/>
  <c r="AA13" i="30" s="1"/>
  <c r="W13" i="30"/>
  <c r="H46" i="19"/>
  <c r="R13" i="30" s="1"/>
  <c r="T13" i="30" s="1"/>
  <c r="O13" i="30"/>
  <c r="Q13" i="30" s="1"/>
  <c r="I13" i="30"/>
  <c r="K13" i="30" s="1"/>
  <c r="Y11" i="30"/>
  <c r="AA11" i="30" s="1"/>
  <c r="W11" i="30"/>
  <c r="H44" i="19"/>
  <c r="R11" i="30" s="1"/>
  <c r="T11" i="30" s="1"/>
  <c r="I11" i="30"/>
  <c r="K11" i="30" s="1"/>
  <c r="O11" i="30"/>
  <c r="Q11" i="30" s="1"/>
  <c r="E37" i="19"/>
  <c r="F4" i="30"/>
  <c r="H4" i="30" s="1"/>
  <c r="G50" i="19"/>
  <c r="L17" i="30"/>
  <c r="N17" i="30" s="1"/>
  <c r="G48" i="19"/>
  <c r="L15" i="30"/>
  <c r="N15" i="30" s="1"/>
  <c r="E52" i="19"/>
  <c r="F52" i="19" s="1"/>
  <c r="F19" i="30"/>
  <c r="H19" i="30" s="1"/>
  <c r="E53" i="19"/>
  <c r="F53" i="19" s="1"/>
  <c r="F20" i="30"/>
  <c r="H20" i="30" s="1"/>
  <c r="L99" i="24"/>
  <c r="W100" i="11"/>
  <c r="AE99" i="27"/>
  <c r="P99" i="24"/>
  <c r="E54" i="19"/>
  <c r="F54" i="19" s="1"/>
  <c r="F21" i="30"/>
  <c r="H21" i="30" s="1"/>
  <c r="H23" i="1"/>
  <c r="R23" i="1" s="1"/>
  <c r="T23" i="1" s="1"/>
  <c r="I22" i="19"/>
  <c r="I9" i="19"/>
  <c r="K9" i="19" s="1"/>
  <c r="L9" i="19" s="1"/>
  <c r="C42" i="19"/>
  <c r="I50" i="19"/>
  <c r="U17" i="30" s="1"/>
  <c r="I47" i="19"/>
  <c r="U14" i="30" s="1"/>
  <c r="I52" i="19"/>
  <c r="U19" i="30" s="1"/>
  <c r="I59" i="19"/>
  <c r="U26" i="30" s="1"/>
  <c r="I45" i="19"/>
  <c r="U12" i="30" s="1"/>
  <c r="I48" i="19"/>
  <c r="U15" i="30" s="1"/>
  <c r="I53" i="19"/>
  <c r="U20" i="30" s="1"/>
  <c r="I54" i="19"/>
  <c r="U21" i="30" s="1"/>
  <c r="I29" i="19"/>
  <c r="K29" i="19" s="1"/>
  <c r="L29" i="19" s="1"/>
  <c r="I5" i="19"/>
  <c r="K5" i="19" s="1"/>
  <c r="L5" i="19" s="1"/>
  <c r="I18" i="19"/>
  <c r="K18" i="19" s="1"/>
  <c r="L18" i="19" s="1"/>
  <c r="K6" i="10"/>
  <c r="G12" i="1" s="1"/>
  <c r="X183" i="2"/>
  <c r="AF183" i="28" s="1"/>
  <c r="G13" i="1"/>
  <c r="C6" i="10"/>
  <c r="C12" i="1" s="1"/>
  <c r="N12" i="1"/>
  <c r="N13" i="1"/>
  <c r="P6" i="10"/>
  <c r="H12" i="1" s="1"/>
  <c r="H13" i="1"/>
  <c r="J6" i="10"/>
  <c r="F12" i="1" s="1"/>
  <c r="F13" i="1"/>
  <c r="E6" i="10"/>
  <c r="E12" i="1" s="1"/>
  <c r="E13" i="1"/>
  <c r="D6" i="10"/>
  <c r="D12" i="1" s="1"/>
  <c r="D13" i="1"/>
  <c r="AS100" i="2"/>
  <c r="N39" i="3"/>
  <c r="N38" i="3" s="1"/>
  <c r="N37" i="3" s="1"/>
  <c r="N76" i="3" s="1"/>
  <c r="R102" i="2"/>
  <c r="L40" i="3"/>
  <c r="G39" i="19" l="1"/>
  <c r="O6" i="30" s="1"/>
  <c r="Q6" i="30" s="1"/>
  <c r="E55" i="19"/>
  <c r="F55" i="19" s="1"/>
  <c r="F23" i="30"/>
  <c r="H23" i="30" s="1"/>
  <c r="Y27" i="30"/>
  <c r="AA27" i="30" s="1"/>
  <c r="F6" i="30"/>
  <c r="H6" i="30" s="1"/>
  <c r="AA182" i="27"/>
  <c r="I39" i="19"/>
  <c r="U6" i="30" s="1"/>
  <c r="E57" i="19"/>
  <c r="F57" i="19" s="1"/>
  <c r="L24" i="30" s="1"/>
  <c r="N24" i="30" s="1"/>
  <c r="S101" i="27"/>
  <c r="L102" i="38"/>
  <c r="E60" i="19"/>
  <c r="F60" i="19" s="1"/>
  <c r="F27" i="30"/>
  <c r="H27" i="30" s="1"/>
  <c r="G62" i="19"/>
  <c r="I29" i="30" s="1"/>
  <c r="K29" i="30" s="1"/>
  <c r="I57" i="19"/>
  <c r="U24" i="30" s="1"/>
  <c r="W24" i="30" s="1"/>
  <c r="L12" i="30"/>
  <c r="N12" i="30" s="1"/>
  <c r="I55" i="19"/>
  <c r="K22" i="19"/>
  <c r="L22" i="19" s="1"/>
  <c r="L18" i="30"/>
  <c r="N18" i="30" s="1"/>
  <c r="F5" i="30"/>
  <c r="H5" i="30" s="1"/>
  <c r="M102" i="25"/>
  <c r="M101" i="25" s="1"/>
  <c r="M100" i="25" s="1"/>
  <c r="M183" i="25" s="1"/>
  <c r="D42" i="19"/>
  <c r="E42" i="19" s="1"/>
  <c r="F42" i="19" s="1"/>
  <c r="C9" i="30"/>
  <c r="E9" i="30" s="1"/>
  <c r="Y26" i="30"/>
  <c r="AA26" i="30" s="1"/>
  <c r="W26" i="30"/>
  <c r="H59" i="19"/>
  <c r="R26" i="30" s="1"/>
  <c r="T26" i="30" s="1"/>
  <c r="O26" i="30"/>
  <c r="Q26" i="30" s="1"/>
  <c r="I26" i="30"/>
  <c r="K26" i="30" s="1"/>
  <c r="Y14" i="30"/>
  <c r="AA14" i="30" s="1"/>
  <c r="W14" i="30"/>
  <c r="H47" i="19"/>
  <c r="R14" i="30" s="1"/>
  <c r="T14" i="30" s="1"/>
  <c r="O14" i="30"/>
  <c r="Q14" i="30" s="1"/>
  <c r="I14" i="30"/>
  <c r="K14" i="30" s="1"/>
  <c r="Y12" i="30"/>
  <c r="AA12" i="30" s="1"/>
  <c r="W12" i="30"/>
  <c r="H45" i="19"/>
  <c r="R12" i="30" s="1"/>
  <c r="T12" i="30" s="1"/>
  <c r="O12" i="30"/>
  <c r="Q12" i="30" s="1"/>
  <c r="I12" i="30"/>
  <c r="K12" i="30" s="1"/>
  <c r="G38" i="19"/>
  <c r="L5" i="30"/>
  <c r="N5" i="30" s="1"/>
  <c r="Y15" i="30"/>
  <c r="AA15" i="30" s="1"/>
  <c r="W15" i="30"/>
  <c r="Y17" i="30"/>
  <c r="AA17" i="30" s="1"/>
  <c r="W17" i="30"/>
  <c r="H50" i="19"/>
  <c r="R17" i="30" s="1"/>
  <c r="T17" i="30" s="1"/>
  <c r="O17" i="30"/>
  <c r="Q17" i="30" s="1"/>
  <c r="I17" i="30"/>
  <c r="K17" i="30" s="1"/>
  <c r="H51" i="19"/>
  <c r="R18" i="30" s="1"/>
  <c r="T18" i="30" s="1"/>
  <c r="O18" i="30"/>
  <c r="Q18" i="30" s="1"/>
  <c r="I18" i="30"/>
  <c r="K18" i="30" s="1"/>
  <c r="H48" i="19"/>
  <c r="R15" i="30" s="1"/>
  <c r="T15" i="30" s="1"/>
  <c r="I15" i="30"/>
  <c r="K15" i="30" s="1"/>
  <c r="O15" i="30"/>
  <c r="Q15" i="30" s="1"/>
  <c r="Y19" i="30"/>
  <c r="AA19" i="30" s="1"/>
  <c r="W19" i="30"/>
  <c r="G52" i="19"/>
  <c r="L19" i="30"/>
  <c r="N19" i="30" s="1"/>
  <c r="Y20" i="30"/>
  <c r="AA20" i="30" s="1"/>
  <c r="W20" i="30"/>
  <c r="G53" i="19"/>
  <c r="L20" i="30"/>
  <c r="N20" i="30" s="1"/>
  <c r="G54" i="19"/>
  <c r="L21" i="30"/>
  <c r="N21" i="30" s="1"/>
  <c r="Y21" i="30"/>
  <c r="AA21" i="30" s="1"/>
  <c r="W21" i="30"/>
  <c r="I62" i="19"/>
  <c r="U29" i="30" s="1"/>
  <c r="I38" i="19"/>
  <c r="I51" i="19"/>
  <c r="U18" i="30" s="1"/>
  <c r="I42" i="19"/>
  <c r="U9" i="30" s="1"/>
  <c r="L39" i="3"/>
  <c r="L38" i="3" s="1"/>
  <c r="L37" i="3" s="1"/>
  <c r="L76" i="3" s="1"/>
  <c r="L105" i="2"/>
  <c r="R101" i="2"/>
  <c r="H39" i="19" l="1"/>
  <c r="R6" i="30" s="1"/>
  <c r="T6" i="30" s="1"/>
  <c r="K103" i="28"/>
  <c r="P103" i="28" s="1"/>
  <c r="P100" i="28" s="1"/>
  <c r="P99" i="28" s="1"/>
  <c r="P98" i="28" s="1"/>
  <c r="K104" i="24"/>
  <c r="K101" i="24" s="1"/>
  <c r="K100" i="24" s="1"/>
  <c r="K99" i="24" s="1"/>
  <c r="K100" i="28"/>
  <c r="AB183" i="27"/>
  <c r="Y182" i="2" s="1"/>
  <c r="Z182" i="2" s="1"/>
  <c r="AA183" i="27"/>
  <c r="K105" i="25"/>
  <c r="N105" i="2"/>
  <c r="N102" i="2" s="1"/>
  <c r="I6" i="30"/>
  <c r="K6" i="30" s="1"/>
  <c r="U22" i="30"/>
  <c r="Y22" i="30" s="1"/>
  <c r="AA22" i="30" s="1"/>
  <c r="U23" i="30"/>
  <c r="L22" i="30"/>
  <c r="N22" i="30" s="1"/>
  <c r="L23" i="30"/>
  <c r="N23" i="30" s="1"/>
  <c r="G55" i="19"/>
  <c r="K104" i="23"/>
  <c r="K101" i="23" s="1"/>
  <c r="Y24" i="30"/>
  <c r="AA24" i="30" s="1"/>
  <c r="G57" i="19"/>
  <c r="H57" i="19" s="1"/>
  <c r="R24" i="30" s="1"/>
  <c r="T24" i="30" s="1"/>
  <c r="H62" i="19"/>
  <c r="R29" i="30" s="1"/>
  <c r="T29" i="30" s="1"/>
  <c r="O29" i="30"/>
  <c r="Q29" i="30" s="1"/>
  <c r="AI104" i="10"/>
  <c r="CK104" i="10" s="1"/>
  <c r="J105" i="38"/>
  <c r="G60" i="19"/>
  <c r="L27" i="30"/>
  <c r="N27" i="30" s="1"/>
  <c r="S100" i="27"/>
  <c r="L101" i="38"/>
  <c r="F9" i="30"/>
  <c r="H9" i="30" s="1"/>
  <c r="K104" i="27"/>
  <c r="Y29" i="30"/>
  <c r="AA29" i="30" s="1"/>
  <c r="W29" i="30"/>
  <c r="G42" i="19"/>
  <c r="L9" i="30"/>
  <c r="N9" i="30" s="1"/>
  <c r="Y9" i="30"/>
  <c r="AA9" i="30" s="1"/>
  <c r="W9" i="30"/>
  <c r="W6" i="30"/>
  <c r="Y6" i="30"/>
  <c r="AA6" i="30" s="1"/>
  <c r="U5" i="30"/>
  <c r="H38" i="19"/>
  <c r="R5" i="30" s="1"/>
  <c r="T5" i="30" s="1"/>
  <c r="O5" i="30"/>
  <c r="Q5" i="30" s="1"/>
  <c r="I5" i="30"/>
  <c r="K5" i="30" s="1"/>
  <c r="W18" i="30"/>
  <c r="Y18" i="30"/>
  <c r="AA18" i="30" s="1"/>
  <c r="H52" i="19"/>
  <c r="R19" i="30" s="1"/>
  <c r="T19" i="30" s="1"/>
  <c r="O19" i="30"/>
  <c r="Q19" i="30" s="1"/>
  <c r="I19" i="30"/>
  <c r="K19" i="30" s="1"/>
  <c r="H53" i="19"/>
  <c r="R20" i="30" s="1"/>
  <c r="T20" i="30" s="1"/>
  <c r="O20" i="30"/>
  <c r="Q20" i="30" s="1"/>
  <c r="I20" i="30"/>
  <c r="K20" i="30" s="1"/>
  <c r="H54" i="19"/>
  <c r="R21" i="30" s="1"/>
  <c r="T21" i="30" s="1"/>
  <c r="I21" i="30"/>
  <c r="K21" i="30" s="1"/>
  <c r="O21" i="30"/>
  <c r="Q21" i="30" s="1"/>
  <c r="V103" i="11"/>
  <c r="E14" i="12" s="1"/>
  <c r="L102" i="2"/>
  <c r="J102" i="38" s="1"/>
  <c r="R100" i="2"/>
  <c r="J39" i="19" l="1"/>
  <c r="AR100" i="28"/>
  <c r="K99" i="28"/>
  <c r="M104" i="27"/>
  <c r="M101" i="27" s="1"/>
  <c r="M100" i="27" s="1"/>
  <c r="M99" i="27" s="1"/>
  <c r="N104" i="27"/>
  <c r="N101" i="27" s="1"/>
  <c r="N100" i="27" s="1"/>
  <c r="N99" i="27" s="1"/>
  <c r="Q104" i="10"/>
  <c r="W104" i="10"/>
  <c r="K100" i="23"/>
  <c r="W22" i="30"/>
  <c r="I22" i="30"/>
  <c r="K22" i="30" s="1"/>
  <c r="O23" i="30"/>
  <c r="Q23" i="30" s="1"/>
  <c r="I23" i="30"/>
  <c r="K23" i="30" s="1"/>
  <c r="O22" i="30"/>
  <c r="Q22" i="30" s="1"/>
  <c r="H55" i="19"/>
  <c r="I24" i="30"/>
  <c r="K24" i="30" s="1"/>
  <c r="O24" i="30"/>
  <c r="Q24" i="30" s="1"/>
  <c r="AI101" i="10"/>
  <c r="AI100" i="10" s="1"/>
  <c r="AI99" i="10" s="1"/>
  <c r="AC104" i="10"/>
  <c r="AC101" i="10" s="1"/>
  <c r="S99" i="27"/>
  <c r="S182" i="27" s="1"/>
  <c r="L100" i="38"/>
  <c r="I27" i="30"/>
  <c r="K27" i="30" s="1"/>
  <c r="O27" i="30"/>
  <c r="Q27" i="30" s="1"/>
  <c r="H60" i="19"/>
  <c r="R27" i="30" s="1"/>
  <c r="T27" i="30" s="1"/>
  <c r="L101" i="2"/>
  <c r="L100" i="2" s="1"/>
  <c r="J100" i="38" s="1"/>
  <c r="K101" i="27"/>
  <c r="K102" i="25"/>
  <c r="K101" i="25" s="1"/>
  <c r="K100" i="25" s="1"/>
  <c r="H42" i="19"/>
  <c r="R9" i="30" s="1"/>
  <c r="T9" i="30" s="1"/>
  <c r="O9" i="30"/>
  <c r="Q9" i="30" s="1"/>
  <c r="I9" i="30"/>
  <c r="K9" i="30" s="1"/>
  <c r="W5" i="30"/>
  <c r="Y5" i="30"/>
  <c r="AA5" i="30" s="1"/>
  <c r="J38" i="19"/>
  <c r="M99" i="24"/>
  <c r="V100" i="11"/>
  <c r="R183" i="2"/>
  <c r="C101" i="10"/>
  <c r="E101" i="10"/>
  <c r="Y67" i="6"/>
  <c r="Y66" i="6" s="1"/>
  <c r="Y65" i="6" s="1"/>
  <c r="K98" i="28" l="1"/>
  <c r="AR98" i="28" s="1"/>
  <c r="AR99" i="28"/>
  <c r="S183" i="27"/>
  <c r="R22" i="30"/>
  <c r="T22" i="30" s="1"/>
  <c r="R23" i="30"/>
  <c r="T23" i="30" s="1"/>
  <c r="J101" i="38"/>
  <c r="K100" i="27"/>
  <c r="K99" i="27"/>
  <c r="P169" i="10"/>
  <c r="J169" i="10"/>
  <c r="L67" i="6"/>
  <c r="L66" i="6" s="1"/>
  <c r="L65" i="6" s="1"/>
  <c r="L73" i="6" s="1"/>
  <c r="O170" i="2"/>
  <c r="Q131" i="77" s="1"/>
  <c r="H131" i="77" s="1"/>
  <c r="I131" i="77" s="1"/>
  <c r="E100" i="10"/>
  <c r="E30" i="1"/>
  <c r="C100" i="10"/>
  <c r="C30" i="1"/>
  <c r="M30" i="1"/>
  <c r="O30" i="1"/>
  <c r="AA170" i="2"/>
  <c r="O176" i="38" s="1"/>
  <c r="H31" i="19"/>
  <c r="D169" i="10"/>
  <c r="V169" i="10"/>
  <c r="AB169" i="10"/>
  <c r="G31" i="19" s="1"/>
  <c r="P66" i="6"/>
  <c r="P65" i="6" s="1"/>
  <c r="O169" i="27" l="1"/>
  <c r="K176" i="38"/>
  <c r="AE169" i="27"/>
  <c r="AA169" i="2"/>
  <c r="O175" i="38" s="1"/>
  <c r="D25" i="13"/>
  <c r="D168" i="10"/>
  <c r="D167" i="10" s="1"/>
  <c r="C28" i="19"/>
  <c r="J168" i="10"/>
  <c r="P168" i="10"/>
  <c r="AS170" i="2"/>
  <c r="AS169" i="2" s="1"/>
  <c r="K67" i="6"/>
  <c r="K66" i="6" s="1"/>
  <c r="K65" i="6" s="1"/>
  <c r="O169" i="2"/>
  <c r="H44" i="1"/>
  <c r="AB168" i="10"/>
  <c r="L44" i="1"/>
  <c r="P44" i="1"/>
  <c r="N44" i="1"/>
  <c r="O28" i="1"/>
  <c r="O29" i="1"/>
  <c r="C99" i="10"/>
  <c r="C28" i="1" s="1"/>
  <c r="C29" i="1"/>
  <c r="E99" i="10"/>
  <c r="E28" i="1" s="1"/>
  <c r="E29" i="1"/>
  <c r="F44" i="1"/>
  <c r="V168" i="10"/>
  <c r="J44" i="1"/>
  <c r="R44" i="1" l="1"/>
  <c r="T44" i="1" s="1"/>
  <c r="O168" i="27"/>
  <c r="K175" i="38"/>
  <c r="AE168" i="27"/>
  <c r="E25" i="13"/>
  <c r="C31" i="19"/>
  <c r="C61" i="19"/>
  <c r="C28" i="30" s="1"/>
  <c r="E28" i="30" s="1"/>
  <c r="D43" i="1"/>
  <c r="D31" i="19"/>
  <c r="I28" i="19"/>
  <c r="K28" i="19" s="1"/>
  <c r="E31" i="19"/>
  <c r="L170" i="2"/>
  <c r="AR168" i="28" s="1"/>
  <c r="O168" i="2"/>
  <c r="D186" i="10"/>
  <c r="D50" i="1" s="1"/>
  <c r="D42" i="1"/>
  <c r="J43" i="1"/>
  <c r="F43" i="1"/>
  <c r="N43" i="1"/>
  <c r="P43" i="1"/>
  <c r="L43" i="1"/>
  <c r="H43" i="1"/>
  <c r="J176" i="38" l="1"/>
  <c r="P169" i="28"/>
  <c r="P168" i="28" s="1"/>
  <c r="P167" i="28" s="1"/>
  <c r="P166" i="28" s="1"/>
  <c r="R43" i="1"/>
  <c r="T43" i="1" s="1"/>
  <c r="O167" i="27"/>
  <c r="K174" i="38"/>
  <c r="L28" i="19"/>
  <c r="L169" i="2"/>
  <c r="K169" i="27"/>
  <c r="I61" i="19"/>
  <c r="D61" i="19"/>
  <c r="F28" i="30" s="1"/>
  <c r="H28" i="30" s="1"/>
  <c r="C64" i="19"/>
  <c r="E169" i="10"/>
  <c r="E168" i="10" s="1"/>
  <c r="E167" i="10" s="1"/>
  <c r="Q169" i="10"/>
  <c r="Q168" i="10" s="1"/>
  <c r="K169" i="10"/>
  <c r="K168" i="10" s="1"/>
  <c r="K167" i="10" s="1"/>
  <c r="W169" i="10"/>
  <c r="AC169" i="10"/>
  <c r="C169" i="10"/>
  <c r="C168" i="10" s="1"/>
  <c r="P42" i="1"/>
  <c r="N42" i="1"/>
  <c r="J175" i="38" l="1"/>
  <c r="AR167" i="28"/>
  <c r="L168" i="2"/>
  <c r="K168" i="27"/>
  <c r="U28" i="30"/>
  <c r="E61" i="19"/>
  <c r="F61" i="19" s="1"/>
  <c r="D64" i="19"/>
  <c r="AC168" i="10"/>
  <c r="M44" i="1"/>
  <c r="I44" i="1"/>
  <c r="W168" i="10"/>
  <c r="K44" i="1"/>
  <c r="C167" i="10"/>
  <c r="C43" i="1"/>
  <c r="G44" i="1"/>
  <c r="E44" i="1"/>
  <c r="O44" i="1"/>
  <c r="J174" i="38" l="1"/>
  <c r="AR166" i="28"/>
  <c r="Q44" i="1"/>
  <c r="S44" i="1" s="1"/>
  <c r="K167" i="27"/>
  <c r="Y28" i="30"/>
  <c r="AA28" i="30" s="1"/>
  <c r="W28" i="30"/>
  <c r="G61" i="19"/>
  <c r="L28" i="30"/>
  <c r="N28" i="30" s="1"/>
  <c r="E64" i="19"/>
  <c r="E43" i="1"/>
  <c r="C186" i="10"/>
  <c r="C50" i="1" s="1"/>
  <c r="C42" i="1"/>
  <c r="I43" i="1"/>
  <c r="O43" i="1"/>
  <c r="G43" i="1"/>
  <c r="K43" i="1"/>
  <c r="AC167" i="10"/>
  <c r="M43" i="1"/>
  <c r="Q43" i="1" l="1"/>
  <c r="S43" i="1" s="1"/>
  <c r="H61" i="19"/>
  <c r="O28" i="30"/>
  <c r="Q28" i="30" s="1"/>
  <c r="I28" i="30"/>
  <c r="K28" i="30" s="1"/>
  <c r="O42" i="1"/>
  <c r="M42" i="1"/>
  <c r="G42" i="1"/>
  <c r="E186" i="10"/>
  <c r="E50" i="1" s="1"/>
  <c r="E42" i="1"/>
  <c r="L101" i="21"/>
  <c r="AE49" i="28"/>
  <c r="Y50" i="27"/>
  <c r="R28" i="30" l="1"/>
  <c r="T28" i="30" s="1"/>
  <c r="L181" i="28" l="1"/>
  <c r="P49" i="28"/>
  <c r="AB181" i="28" l="1"/>
  <c r="D115" i="27"/>
  <c r="C114" i="11"/>
  <c r="B115" i="10"/>
  <c r="D116" i="25"/>
  <c r="D114" i="28"/>
  <c r="D115" i="23"/>
  <c r="D115" i="24"/>
  <c r="D116" i="20"/>
  <c r="D115" i="26"/>
  <c r="M52" i="2"/>
  <c r="N52" i="2" s="1"/>
  <c r="N50" i="2" s="1"/>
  <c r="N51" i="27"/>
  <c r="N49" i="27" s="1"/>
  <c r="P50" i="28"/>
  <c r="P48" i="28" s="1"/>
  <c r="L49" i="27"/>
  <c r="M51" i="27"/>
  <c r="M49" i="27" s="1"/>
  <c r="Y51" i="27"/>
  <c r="Y49" i="27" s="1"/>
  <c r="AE50" i="28" l="1"/>
  <c r="AE48" i="28" s="1"/>
  <c r="Z51" i="27"/>
  <c r="Z49" i="27" s="1"/>
  <c r="Z7" i="27" s="1"/>
  <c r="Z6" i="27" s="1"/>
  <c r="Z182" i="27" s="1"/>
  <c r="V52" i="2"/>
  <c r="M50" i="2"/>
  <c r="X49" i="27"/>
  <c r="X7" i="27" l="1"/>
  <c r="W52" i="2"/>
  <c r="W50" i="2" s="1"/>
  <c r="V50" i="2"/>
  <c r="X6" i="27" l="1"/>
  <c r="X182" i="27" l="1"/>
  <c r="B142" i="38" l="1"/>
  <c r="B144" i="38"/>
  <c r="B146" i="38"/>
  <c r="B141" i="38"/>
  <c r="B143" i="38"/>
  <c r="B145" i="38"/>
  <c r="K119" i="23" l="1"/>
  <c r="K99" i="23" s="1"/>
  <c r="AC57" i="10"/>
  <c r="AC7" i="10" s="1"/>
  <c r="M13" i="1" s="1"/>
  <c r="M20" i="1" l="1"/>
  <c r="Q20" i="1" s="1"/>
  <c r="S20" i="1" s="1"/>
  <c r="AC6" i="10"/>
  <c r="M12" i="1" l="1"/>
  <c r="O179" i="38"/>
  <c r="AE172" i="27"/>
  <c r="D26" i="13"/>
  <c r="AA172" i="2"/>
  <c r="AE171" i="27" s="1"/>
  <c r="AS173" i="2"/>
  <c r="AS172" i="2" s="1"/>
  <c r="AS168" i="2" s="1"/>
  <c r="AA168" i="2" l="1"/>
  <c r="AE167" i="27" s="1"/>
  <c r="E26" i="13"/>
  <c r="O178" i="38"/>
  <c r="O174" i="38" l="1"/>
  <c r="J173" i="10"/>
  <c r="F46" i="1" s="1"/>
  <c r="AT179" i="10" l="1"/>
  <c r="V179" i="10" s="1"/>
  <c r="J172" i="10"/>
  <c r="P173" i="10"/>
  <c r="AB179" i="10" l="1"/>
  <c r="W179" i="10" s="1"/>
  <c r="CN179" i="10"/>
  <c r="V173" i="10"/>
  <c r="Q179" i="10"/>
  <c r="F45" i="1"/>
  <c r="J167" i="10"/>
  <c r="H46" i="1"/>
  <c r="P172" i="10"/>
  <c r="CR179" i="10" l="1"/>
  <c r="CI179" i="10"/>
  <c r="J186" i="10"/>
  <c r="F50" i="1" s="1"/>
  <c r="F42" i="1"/>
  <c r="CQ179" i="10"/>
  <c r="Q173" i="10"/>
  <c r="P167" i="10"/>
  <c r="H45" i="1"/>
  <c r="J46" i="1"/>
  <c r="V172" i="10"/>
  <c r="V167" i="10" l="1"/>
  <c r="J45" i="1"/>
  <c r="Q172" i="10"/>
  <c r="I46" i="1"/>
  <c r="H42" i="1"/>
  <c r="Q167" i="10" l="1"/>
  <c r="I45" i="1"/>
  <c r="J42" i="1"/>
  <c r="I42" i="1" l="1"/>
  <c r="CT42" i="10"/>
  <c r="CU42" i="10" s="1"/>
  <c r="W38" i="10"/>
  <c r="K16" i="1" l="1"/>
  <c r="Q16" i="1" s="1"/>
  <c r="S16" i="1" s="1"/>
  <c r="AK106" i="2"/>
  <c r="DC106" i="20" s="1"/>
  <c r="BQ106" i="20" l="1"/>
  <c r="AX106" i="20"/>
  <c r="AX102" i="20" s="1"/>
  <c r="Y106" i="20"/>
  <c r="Y102" i="20" s="1"/>
  <c r="AS106" i="20"/>
  <c r="AS102" i="20" s="1"/>
  <c r="AU106" i="20"/>
  <c r="AU102" i="20" s="1"/>
  <c r="AW106" i="20"/>
  <c r="AW102" i="20" s="1"/>
  <c r="AV106" i="20"/>
  <c r="AV102" i="20" s="1"/>
  <c r="AA106" i="20"/>
  <c r="AA102" i="20" s="1"/>
  <c r="G27" i="21" s="1"/>
  <c r="CH105" i="10"/>
  <c r="Z105" i="10" s="1"/>
  <c r="AE106" i="20"/>
  <c r="AE102" i="20" s="1"/>
  <c r="K27" i="21" s="1"/>
  <c r="BS106" i="20"/>
  <c r="AT106" i="20"/>
  <c r="AT102" i="20" s="1"/>
  <c r="AY106" i="20"/>
  <c r="AY102" i="20" s="1"/>
  <c r="R105" i="26"/>
  <c r="CM106" i="20"/>
  <c r="BO106" i="20"/>
  <c r="BR106" i="20"/>
  <c r="CI106" i="20"/>
  <c r="BN106" i="20"/>
  <c r="DF106" i="20"/>
  <c r="DE106" i="20"/>
  <c r="CG106" i="20"/>
  <c r="DA106" i="20"/>
  <c r="AB106" i="20"/>
  <c r="AB102" i="20" s="1"/>
  <c r="H27" i="21" s="1"/>
  <c r="N105" i="10"/>
  <c r="N101" i="10" s="1"/>
  <c r="Z106" i="20"/>
  <c r="Z102" i="20" s="1"/>
  <c r="F27" i="21" s="1"/>
  <c r="CJ106" i="20"/>
  <c r="CK106" i="20"/>
  <c r="BP106" i="20"/>
  <c r="CL106" i="20"/>
  <c r="BM106" i="20"/>
  <c r="AD106" i="20"/>
  <c r="AD102" i="20" s="1"/>
  <c r="J27" i="21" s="1"/>
  <c r="AC106" i="20"/>
  <c r="AC102" i="20" s="1"/>
  <c r="I27" i="21" s="1"/>
  <c r="CH106" i="20"/>
  <c r="DG106" i="20"/>
  <c r="DD106" i="20"/>
  <c r="DB106" i="20"/>
  <c r="E27" i="21" l="1"/>
  <c r="E80" i="21" s="1"/>
  <c r="F80" i="21" s="1"/>
  <c r="G80" i="21" s="1"/>
  <c r="H80" i="21" s="1"/>
  <c r="I80" i="21" s="1"/>
  <c r="J80" i="21" s="1"/>
  <c r="K80" i="21" s="1"/>
  <c r="K105" i="10"/>
  <c r="K101" i="10" s="1"/>
  <c r="G30" i="1" s="1"/>
  <c r="O105" i="10"/>
  <c r="O101" i="10" s="1"/>
  <c r="P105" i="10"/>
  <c r="P101" i="10" s="1"/>
  <c r="L105" i="10"/>
  <c r="L101" i="10" s="1"/>
  <c r="U105" i="10"/>
  <c r="T105" i="10"/>
  <c r="AA105" i="10"/>
  <c r="CK105" i="10"/>
  <c r="Q105" i="10" s="1"/>
  <c r="Q101" i="10" s="1"/>
  <c r="I30" i="1" s="1"/>
  <c r="CM105" i="10"/>
  <c r="S105" i="10" s="1"/>
  <c r="CL105" i="10"/>
  <c r="R105" i="10" s="1"/>
  <c r="M105" i="10"/>
  <c r="M101" i="10" s="1"/>
  <c r="CN105" i="10"/>
  <c r="V105" i="10" s="1"/>
  <c r="V101" i="10" s="1"/>
  <c r="J30" i="1" s="1"/>
  <c r="O111" i="10"/>
  <c r="O107" i="10" s="1"/>
  <c r="N111" i="10"/>
  <c r="N107" i="10" s="1"/>
  <c r="N100" i="10" s="1"/>
  <c r="N99" i="10" s="1"/>
  <c r="M111" i="10"/>
  <c r="M107" i="10" s="1"/>
  <c r="L111" i="10"/>
  <c r="L107" i="10" s="1"/>
  <c r="K111" i="10"/>
  <c r="K107" i="10" s="1"/>
  <c r="G31" i="1" s="1"/>
  <c r="P111" i="10"/>
  <c r="W105" i="10"/>
  <c r="W101" i="10" s="1"/>
  <c r="K30" i="1" s="1"/>
  <c r="L27" i="21" l="1"/>
  <c r="L80" i="21" s="1"/>
  <c r="O100" i="10"/>
  <c r="O99" i="10" s="1"/>
  <c r="L100" i="10"/>
  <c r="L99" i="10" s="1"/>
  <c r="Y105" i="10"/>
  <c r="M100" i="10"/>
  <c r="M99" i="10" s="1"/>
  <c r="AB105" i="10"/>
  <c r="AB101" i="10" s="1"/>
  <c r="L30" i="1" s="1"/>
  <c r="X105" i="10"/>
  <c r="P107" i="10"/>
  <c r="H31" i="1" s="1"/>
  <c r="K100" i="10"/>
  <c r="G29" i="1" s="1"/>
  <c r="H30" i="1"/>
  <c r="Q30" i="1"/>
  <c r="S30" i="1" s="1"/>
  <c r="R30" i="1" l="1"/>
  <c r="T30" i="1" s="1"/>
  <c r="CI105" i="10"/>
  <c r="P100" i="10"/>
  <c r="H29" i="1" s="1"/>
  <c r="K99" i="10"/>
  <c r="G28" i="1" s="1"/>
  <c r="P99" i="10" l="1"/>
  <c r="H28" i="1" s="1"/>
  <c r="K186" i="10"/>
  <c r="G50" i="1" s="1"/>
  <c r="AK109" i="2"/>
  <c r="P186" i="10" l="1"/>
  <c r="H50" i="1" s="1"/>
  <c r="CK109" i="20"/>
  <c r="CH108" i="10"/>
  <c r="Y109" i="20"/>
  <c r="AC109" i="20"/>
  <c r="AS109" i="20"/>
  <c r="BM109" i="20"/>
  <c r="DA109" i="20"/>
  <c r="DF109" i="20"/>
  <c r="BR109" i="20"/>
  <c r="DG109" i="20"/>
  <c r="R108" i="26"/>
  <c r="AX109" i="20"/>
  <c r="AV109" i="20"/>
  <c r="CM109" i="20"/>
  <c r="CI109" i="20"/>
  <c r="CJ109" i="20"/>
  <c r="BS109" i="20"/>
  <c r="BO109" i="20"/>
  <c r="BP109" i="20"/>
  <c r="AU109" i="20"/>
  <c r="AW109" i="20"/>
  <c r="AB109" i="20"/>
  <c r="AE109" i="20"/>
  <c r="BQ109" i="20"/>
  <c r="CL109" i="20"/>
  <c r="DE109" i="20"/>
  <c r="CG109" i="20"/>
  <c r="DD109" i="20"/>
  <c r="AD109" i="20"/>
  <c r="AT109" i="20"/>
  <c r="Z109" i="20"/>
  <c r="AA109" i="20"/>
  <c r="AY109" i="20"/>
  <c r="BN109" i="20"/>
  <c r="DC109" i="20"/>
  <c r="DB109" i="20"/>
  <c r="CH109" i="20"/>
  <c r="AK110" i="2"/>
  <c r="CH109" i="10" s="1"/>
  <c r="AE109" i="10" s="1"/>
  <c r="T109" i="10" l="1"/>
  <c r="AG109" i="10"/>
  <c r="AD109" i="10"/>
  <c r="AH109" i="10"/>
  <c r="AF109" i="10"/>
  <c r="AC109" i="10"/>
  <c r="Z109" i="10"/>
  <c r="CL109" i="10"/>
  <c r="CM109" i="10"/>
  <c r="CK109" i="10"/>
  <c r="CN109" i="10"/>
  <c r="AA109" i="10"/>
  <c r="U109" i="10"/>
  <c r="CL108" i="10"/>
  <c r="CM108" i="10"/>
  <c r="CK108" i="10"/>
  <c r="CN108" i="10"/>
  <c r="AG108" i="10"/>
  <c r="AH108" i="10"/>
  <c r="AA108" i="10"/>
  <c r="AC108" i="10"/>
  <c r="Z108" i="10"/>
  <c r="AF108" i="10"/>
  <c r="AD108" i="10"/>
  <c r="AE108" i="10"/>
  <c r="CJ110" i="20"/>
  <c r="CM110" i="20"/>
  <c r="CK110" i="20"/>
  <c r="BM110" i="20"/>
  <c r="DE110" i="20"/>
  <c r="R109" i="26"/>
  <c r="AC110" i="20"/>
  <c r="Z110" i="20"/>
  <c r="Y110" i="20"/>
  <c r="BO110" i="20"/>
  <c r="CL110" i="20"/>
  <c r="DD110" i="20"/>
  <c r="DG110" i="20"/>
  <c r="BQ110" i="20"/>
  <c r="AY110" i="20"/>
  <c r="AV110" i="20"/>
  <c r="AT110" i="20"/>
  <c r="AD110" i="20"/>
  <c r="AS110" i="20"/>
  <c r="AW110" i="20"/>
  <c r="CH110" i="20"/>
  <c r="BS110" i="20"/>
  <c r="CG110" i="20"/>
  <c r="DB110" i="20"/>
  <c r="DA110" i="20"/>
  <c r="AX110" i="20"/>
  <c r="AA110" i="20"/>
  <c r="AU110" i="20"/>
  <c r="DF110" i="20"/>
  <c r="BN110" i="20"/>
  <c r="DC110" i="20"/>
  <c r="CI110" i="20"/>
  <c r="BR110" i="20"/>
  <c r="BP110" i="20"/>
  <c r="AE110" i="20"/>
  <c r="AB110" i="20"/>
  <c r="AH107" i="10" l="1"/>
  <c r="N31" i="1" s="1"/>
  <c r="W108" i="10"/>
  <c r="Q108" i="10"/>
  <c r="X109" i="10"/>
  <c r="R109" i="10"/>
  <c r="CR108" i="10"/>
  <c r="Y108" i="10"/>
  <c r="S108" i="10"/>
  <c r="AB109" i="10"/>
  <c r="V109" i="10"/>
  <c r="X108" i="10"/>
  <c r="R108" i="10"/>
  <c r="W109" i="10"/>
  <c r="Q109" i="10"/>
  <c r="V108" i="10"/>
  <c r="AB108" i="10"/>
  <c r="Y109" i="10"/>
  <c r="S109" i="10"/>
  <c r="CR109" i="10"/>
  <c r="AC107" i="10"/>
  <c r="CI109" i="10" l="1"/>
  <c r="CI108" i="10"/>
  <c r="AH100" i="10"/>
  <c r="AB107" i="10"/>
  <c r="L31" i="1" s="1"/>
  <c r="W107" i="10"/>
  <c r="K31" i="1" s="1"/>
  <c r="M31" i="1"/>
  <c r="AC100" i="10"/>
  <c r="AK112" i="2"/>
  <c r="AH99" i="10" l="1"/>
  <c r="N29" i="1"/>
  <c r="AC99" i="10"/>
  <c r="M29" i="1"/>
  <c r="DB112" i="20"/>
  <c r="CH111" i="10"/>
  <c r="Y112" i="20"/>
  <c r="AB112" i="20"/>
  <c r="AA112" i="20"/>
  <c r="Z112" i="20"/>
  <c r="BM112" i="20"/>
  <c r="BR112" i="20"/>
  <c r="DD112" i="20"/>
  <c r="DC112" i="20"/>
  <c r="CG112" i="20"/>
  <c r="AU112" i="20"/>
  <c r="AS112" i="20"/>
  <c r="AW112" i="20"/>
  <c r="AE112" i="20"/>
  <c r="AC112" i="20"/>
  <c r="DE112" i="20"/>
  <c r="DF112" i="20"/>
  <c r="CI112" i="20"/>
  <c r="BO112" i="20"/>
  <c r="DG112" i="20"/>
  <c r="AV112" i="20"/>
  <c r="R111" i="26"/>
  <c r="AY112" i="20"/>
  <c r="AT112" i="20"/>
  <c r="BN112" i="20"/>
  <c r="CL112" i="20"/>
  <c r="DA112" i="20"/>
  <c r="CH112" i="20"/>
  <c r="BQ112" i="20"/>
  <c r="AD112" i="20"/>
  <c r="AX112" i="20"/>
  <c r="CM112" i="20"/>
  <c r="BS112" i="20"/>
  <c r="CJ112" i="20"/>
  <c r="CK112" i="20"/>
  <c r="BP112" i="20"/>
  <c r="T112" i="10"/>
  <c r="U112" i="10"/>
  <c r="DF113" i="20"/>
  <c r="AH186" i="10" l="1"/>
  <c r="N50" i="1" s="1"/>
  <c r="N28" i="1"/>
  <c r="CL111" i="10"/>
  <c r="R111" i="10" s="1"/>
  <c r="CM111" i="10"/>
  <c r="CK111" i="10"/>
  <c r="Q111" i="10" s="1"/>
  <c r="Q107" i="10" s="1"/>
  <c r="I31" i="1" s="1"/>
  <c r="Q31" i="1" s="1"/>
  <c r="S31" i="1" s="1"/>
  <c r="CN111" i="10"/>
  <c r="V111" i="10" s="1"/>
  <c r="U111" i="10"/>
  <c r="T111" i="10"/>
  <c r="M28" i="1"/>
  <c r="AC186" i="10"/>
  <c r="M50" i="1" s="1"/>
  <c r="AX113" i="20"/>
  <c r="AX108" i="20" s="1"/>
  <c r="AV113" i="20"/>
  <c r="AV108" i="20" s="1"/>
  <c r="BN113" i="20"/>
  <c r="DA113" i="20"/>
  <c r="DE113" i="20"/>
  <c r="DD113" i="20"/>
  <c r="CI113" i="20"/>
  <c r="CL113" i="20"/>
  <c r="R112" i="26"/>
  <c r="BO113" i="20"/>
  <c r="CJ113" i="20"/>
  <c r="BR113" i="20"/>
  <c r="BQ113" i="20"/>
  <c r="BP113" i="20"/>
  <c r="AC113" i="20"/>
  <c r="AC108" i="20" s="1"/>
  <c r="I28" i="21" s="1"/>
  <c r="Y113" i="20"/>
  <c r="Y108" i="20" s="1"/>
  <c r="AB113" i="20"/>
  <c r="AB108" i="20" s="1"/>
  <c r="H28" i="21" s="1"/>
  <c r="AW113" i="20"/>
  <c r="AW108" i="20" s="1"/>
  <c r="AU113" i="20"/>
  <c r="AU108" i="20" s="1"/>
  <c r="Z113" i="20"/>
  <c r="Z108" i="20" s="1"/>
  <c r="F28" i="21" s="1"/>
  <c r="BS113" i="20"/>
  <c r="CH113" i="20"/>
  <c r="BM113" i="20"/>
  <c r="DC113" i="20"/>
  <c r="CK113" i="20"/>
  <c r="AS113" i="20"/>
  <c r="AS108" i="20" s="1"/>
  <c r="AT113" i="20"/>
  <c r="AT108" i="20" s="1"/>
  <c r="AD113" i="20"/>
  <c r="AD108" i="20" s="1"/>
  <c r="J28" i="21" s="1"/>
  <c r="AA113" i="20"/>
  <c r="AA108" i="20" s="1"/>
  <c r="G28" i="21" s="1"/>
  <c r="AY113" i="20"/>
  <c r="AY108" i="20" s="1"/>
  <c r="AE113" i="20"/>
  <c r="AE108" i="20" s="1"/>
  <c r="K28" i="21" s="1"/>
  <c r="DB113" i="20"/>
  <c r="DG113" i="20"/>
  <c r="CG113" i="20"/>
  <c r="CM113" i="20"/>
  <c r="E28" i="21" l="1"/>
  <c r="L28" i="21" s="1"/>
  <c r="L81" i="21" s="1"/>
  <c r="CI111" i="10"/>
  <c r="V107" i="10"/>
  <c r="J31" i="1" s="1"/>
  <c r="R31" i="1" s="1"/>
  <c r="T31" i="1" s="1"/>
  <c r="S111" i="10"/>
  <c r="CR111" i="10"/>
  <c r="AK115" i="2"/>
  <c r="E81" i="21" l="1"/>
  <c r="F81" i="21" s="1"/>
  <c r="G81" i="21" s="1"/>
  <c r="H81" i="21" s="1"/>
  <c r="I81" i="21" s="1"/>
  <c r="J81" i="21" s="1"/>
  <c r="K81" i="21" s="1"/>
  <c r="DB115" i="20"/>
  <c r="CH114" i="10"/>
  <c r="AU115" i="20"/>
  <c r="AU114" i="20" s="1"/>
  <c r="G9" i="21" s="1"/>
  <c r="AW115" i="20"/>
  <c r="AW114" i="20" s="1"/>
  <c r="I9" i="21" s="1"/>
  <c r="BR115" i="20"/>
  <c r="BR114" i="20" s="1"/>
  <c r="J29" i="21" s="1"/>
  <c r="R114" i="26"/>
  <c r="BQ115" i="20"/>
  <c r="BQ114" i="20" s="1"/>
  <c r="I29" i="21" s="1"/>
  <c r="AT115" i="20"/>
  <c r="AT114" i="20" s="1"/>
  <c r="F9" i="21" s="1"/>
  <c r="AD115" i="20"/>
  <c r="AD114" i="20" s="1"/>
  <c r="J26" i="21" s="1"/>
  <c r="CI115" i="20"/>
  <c r="CI114" i="20" s="1"/>
  <c r="G49" i="21" s="1"/>
  <c r="DC115" i="20"/>
  <c r="DF115" i="20"/>
  <c r="BO115" i="20"/>
  <c r="BO114" i="20" s="1"/>
  <c r="G29" i="21" s="1"/>
  <c r="BN115" i="20"/>
  <c r="BN114" i="20" s="1"/>
  <c r="F29" i="21" s="1"/>
  <c r="Z115" i="20"/>
  <c r="Z114" i="20" s="1"/>
  <c r="F26" i="21" s="1"/>
  <c r="DE115" i="20"/>
  <c r="DA115" i="20"/>
  <c r="AV115" i="20"/>
  <c r="AV114" i="20" s="1"/>
  <c r="H9" i="21" s="1"/>
  <c r="Y115" i="20"/>
  <c r="Y114" i="20" s="1"/>
  <c r="CK115" i="20"/>
  <c r="CK114" i="20" s="1"/>
  <c r="I49" i="21" s="1"/>
  <c r="CJ115" i="20"/>
  <c r="CJ114" i="20" s="1"/>
  <c r="H49" i="21" s="1"/>
  <c r="AY115" i="20"/>
  <c r="AY114" i="20" s="1"/>
  <c r="K9" i="21" s="1"/>
  <c r="AA115" i="20"/>
  <c r="AA114" i="20" s="1"/>
  <c r="G26" i="21" s="1"/>
  <c r="BP115" i="20"/>
  <c r="BP114" i="20" s="1"/>
  <c r="H29" i="21" s="1"/>
  <c r="BS115" i="20"/>
  <c r="BS114" i="20" s="1"/>
  <c r="K29" i="21" s="1"/>
  <c r="DD115" i="20"/>
  <c r="DG115" i="20"/>
  <c r="AS115" i="20"/>
  <c r="AS114" i="20" s="1"/>
  <c r="E9" i="21" s="1"/>
  <c r="BM115" i="20"/>
  <c r="BM114" i="20" s="1"/>
  <c r="E29" i="21" s="1"/>
  <c r="CG115" i="20"/>
  <c r="CG114" i="20" s="1"/>
  <c r="E49" i="21" s="1"/>
  <c r="AB115" i="20"/>
  <c r="AB114" i="20" s="1"/>
  <c r="H26" i="21" s="1"/>
  <c r="CH115" i="20"/>
  <c r="CH114" i="20" s="1"/>
  <c r="F49" i="21" s="1"/>
  <c r="AX115" i="20"/>
  <c r="AX114" i="20" s="1"/>
  <c r="J9" i="21" s="1"/>
  <c r="AC115" i="20"/>
  <c r="AC114" i="20" s="1"/>
  <c r="CL115" i="20"/>
  <c r="CL114" i="20" s="1"/>
  <c r="J49" i="21" s="1"/>
  <c r="AE115" i="20"/>
  <c r="AE114" i="20" s="1"/>
  <c r="K26" i="21" s="1"/>
  <c r="CM115" i="20"/>
  <c r="CM114" i="20" s="1"/>
  <c r="K49" i="21" s="1"/>
  <c r="E26" i="21" l="1"/>
  <c r="E79" i="21" s="1"/>
  <c r="F79" i="21" s="1"/>
  <c r="G79" i="21" s="1"/>
  <c r="H79" i="21" s="1"/>
  <c r="I26" i="21"/>
  <c r="E62" i="21"/>
  <c r="F62" i="21" s="1"/>
  <c r="G62" i="21" s="1"/>
  <c r="H62" i="21" s="1"/>
  <c r="I62" i="21" s="1"/>
  <c r="J62" i="21" s="1"/>
  <c r="K62" i="21" s="1"/>
  <c r="L9" i="21"/>
  <c r="L62" i="21" s="1"/>
  <c r="E102" i="21"/>
  <c r="F102" i="21" s="1"/>
  <c r="G102" i="21" s="1"/>
  <c r="H102" i="21" s="1"/>
  <c r="I102" i="21" s="1"/>
  <c r="J102" i="21" s="1"/>
  <c r="K102" i="21" s="1"/>
  <c r="L49" i="21"/>
  <c r="L102" i="21" s="1"/>
  <c r="E82" i="21"/>
  <c r="F82" i="21" s="1"/>
  <c r="G82" i="21" s="1"/>
  <c r="H82" i="21" s="1"/>
  <c r="I82" i="21" s="1"/>
  <c r="J82" i="21" s="1"/>
  <c r="K82" i="21" s="1"/>
  <c r="L29" i="21"/>
  <c r="L82" i="21" s="1"/>
  <c r="CM114" i="10"/>
  <c r="Y114" i="10" s="1"/>
  <c r="CL114" i="10"/>
  <c r="R114" i="10" s="1"/>
  <c r="CK114" i="10"/>
  <c r="Q114" i="10" s="1"/>
  <c r="Q113" i="10" s="1"/>
  <c r="CN114" i="10"/>
  <c r="V114" i="10" s="1"/>
  <c r="Z114" i="10"/>
  <c r="T114" i="10"/>
  <c r="U114" i="10"/>
  <c r="AA114" i="10"/>
  <c r="I79" i="21" l="1"/>
  <c r="J79" i="21" s="1"/>
  <c r="K79" i="21" s="1"/>
  <c r="L26" i="21"/>
  <c r="L79" i="21" s="1"/>
  <c r="W114" i="10"/>
  <c r="W113" i="10" s="1"/>
  <c r="V113" i="10"/>
  <c r="I32" i="1"/>
  <c r="Q100" i="10"/>
  <c r="CR114" i="10"/>
  <c r="S114" i="10"/>
  <c r="X114" i="10"/>
  <c r="AB114" i="10"/>
  <c r="AB113" i="10" s="1"/>
  <c r="I29" i="1" l="1"/>
  <c r="Q99" i="10"/>
  <c r="W100" i="10"/>
  <c r="K32" i="1"/>
  <c r="Q32" i="1" s="1"/>
  <c r="S32" i="1" s="1"/>
  <c r="L32" i="1"/>
  <c r="AB100" i="10"/>
  <c r="J32" i="1"/>
  <c r="V100" i="10"/>
  <c r="CI114" i="10"/>
  <c r="X173" i="10"/>
  <c r="X172" i="10" s="1"/>
  <c r="AB173" i="10"/>
  <c r="AV183" i="10" s="1"/>
  <c r="CR182" i="10"/>
  <c r="CQ182" i="10"/>
  <c r="R32" i="1" l="1"/>
  <c r="T32" i="1" s="1"/>
  <c r="J29" i="1"/>
  <c r="V99" i="10"/>
  <c r="AB99" i="10"/>
  <c r="L28" i="1" s="1"/>
  <c r="L29" i="1"/>
  <c r="W99" i="10"/>
  <c r="K28" i="1" s="1"/>
  <c r="K29" i="1"/>
  <c r="Q29" i="1" s="1"/>
  <c r="S29" i="1" s="1"/>
  <c r="I28" i="1"/>
  <c r="L46" i="1"/>
  <c r="R46" i="1" s="1"/>
  <c r="T46" i="1" s="1"/>
  <c r="W173" i="10"/>
  <c r="AB172" i="10"/>
  <c r="Q28" i="1" l="1"/>
  <c r="S28" i="1" s="1"/>
  <c r="R29" i="1"/>
  <c r="T29" i="1" s="1"/>
  <c r="J28" i="1"/>
  <c r="R28" i="1" s="1"/>
  <c r="T28" i="1" s="1"/>
  <c r="L45" i="1"/>
  <c r="R45" i="1" s="1"/>
  <c r="T45" i="1" s="1"/>
  <c r="AB167" i="10"/>
  <c r="K46" i="1"/>
  <c r="Q46" i="1" s="1"/>
  <c r="S46" i="1" s="1"/>
  <c r="W172" i="10"/>
  <c r="W167" i="10" l="1"/>
  <c r="K45" i="1"/>
  <c r="Q45" i="1" s="1"/>
  <c r="S45" i="1" s="1"/>
  <c r="L42" i="1"/>
  <c r="R42" i="1" s="1"/>
  <c r="T42" i="1" s="1"/>
  <c r="K42" i="1" l="1"/>
  <c r="Q42" i="1" s="1"/>
  <c r="S42" i="1" s="1"/>
  <c r="P33" i="20"/>
  <c r="O33" i="20"/>
  <c r="N33" i="20"/>
  <c r="S33" i="20"/>
  <c r="R33" i="20"/>
  <c r="Q33" i="20"/>
  <c r="T33" i="20"/>
  <c r="U33" i="20" l="1"/>
  <c r="Z9" i="28"/>
  <c r="Z7" i="28" s="1"/>
  <c r="Z6" i="28" s="1"/>
  <c r="Z5" i="28" s="1"/>
  <c r="V181" i="28" l="1"/>
  <c r="Z181" i="28"/>
  <c r="P94" i="2"/>
  <c r="Q94" i="2" s="1"/>
  <c r="Q92" i="2" s="1"/>
  <c r="N93" i="27"/>
  <c r="N91" i="27" s="1"/>
  <c r="P93" i="23"/>
  <c r="M93" i="23" s="1"/>
  <c r="M91" i="23" s="1"/>
  <c r="M94" i="2"/>
  <c r="N94" i="2" s="1"/>
  <c r="N92" i="2" s="1"/>
  <c r="Q93" i="27"/>
  <c r="Q91" i="27" s="1"/>
  <c r="U92" i="28"/>
  <c r="U90" i="28" s="1"/>
  <c r="U71" i="28" s="1"/>
  <c r="P92" i="28"/>
  <c r="M93" i="27"/>
  <c r="M91" i="27" s="1"/>
  <c r="P91" i="27"/>
  <c r="L91" i="27"/>
  <c r="P90" i="28" l="1"/>
  <c r="P71" i="28" s="1"/>
  <c r="V183" i="28"/>
  <c r="W183" i="28"/>
  <c r="P91" i="23"/>
  <c r="M92" i="2"/>
  <c r="P92" i="2"/>
  <c r="R93" i="27"/>
  <c r="R91" i="27" s="1"/>
  <c r="K32" i="24" l="1"/>
  <c r="P32" i="24"/>
  <c r="L32" i="24"/>
  <c r="O32" i="24"/>
  <c r="O7" i="24" s="1"/>
  <c r="O6" i="24" s="1"/>
  <c r="O181" i="24" s="1"/>
  <c r="N32" i="24"/>
  <c r="M32" i="24"/>
  <c r="M7" i="24" s="1"/>
  <c r="M6" i="24" s="1"/>
  <c r="M181" i="24" s="1"/>
  <c r="W81" i="20"/>
  <c r="M82" i="27"/>
  <c r="N82" i="27"/>
  <c r="M81" i="2"/>
  <c r="N81" i="2" s="1"/>
  <c r="M83" i="2"/>
  <c r="M80" i="27"/>
  <c r="L78" i="27"/>
  <c r="P82" i="23"/>
  <c r="M82" i="23" s="1"/>
  <c r="P81" i="2"/>
  <c r="N80" i="27"/>
  <c r="M78" i="27" l="1"/>
  <c r="M72" i="27" s="1"/>
  <c r="N78" i="27"/>
  <c r="N72" i="27" s="1"/>
  <c r="L72" i="27"/>
  <c r="P83" i="2"/>
  <c r="Q83" i="2" s="1"/>
  <c r="M79" i="2"/>
  <c r="Q81" i="2"/>
  <c r="R82" i="27"/>
  <c r="Q80" i="27"/>
  <c r="P80" i="23"/>
  <c r="Q82" i="27"/>
  <c r="P78" i="27"/>
  <c r="R80" i="27"/>
  <c r="N83" i="2"/>
  <c r="N79" i="2" s="1"/>
  <c r="P72" i="27" l="1"/>
  <c r="P79" i="2"/>
  <c r="Q79" i="2"/>
  <c r="R78" i="27"/>
  <c r="R72" i="27" s="1"/>
  <c r="P78" i="23"/>
  <c r="P72" i="23" s="1"/>
  <c r="M80" i="23"/>
  <c r="M78" i="23" s="1"/>
  <c r="M72" i="23" s="1"/>
  <c r="Q78" i="27"/>
  <c r="Q72" i="27" s="1"/>
  <c r="T173" i="26" l="1"/>
  <c r="X173" i="26"/>
  <c r="O173" i="26"/>
  <c r="N173" i="26"/>
  <c r="N131" i="41"/>
  <c r="P173" i="26"/>
  <c r="M173" i="26"/>
  <c r="K173" i="26"/>
  <c r="L173" i="26"/>
  <c r="T102" i="26"/>
  <c r="M102" i="26" l="1"/>
  <c r="L102" i="26"/>
  <c r="K102" i="26"/>
  <c r="N76" i="41"/>
  <c r="X102" i="26"/>
  <c r="O102" i="26"/>
  <c r="N102" i="26"/>
  <c r="P102" i="26"/>
  <c r="T52" i="26" l="1"/>
  <c r="N52" i="26"/>
  <c r="K52" i="26"/>
  <c r="O52" i="26"/>
  <c r="M52" i="26"/>
  <c r="P52" i="26"/>
  <c r="N40" i="41"/>
  <c r="X52" i="26"/>
  <c r="L52" i="26"/>
  <c r="T92" i="26" l="1"/>
  <c r="N69" i="41"/>
  <c r="K92" i="26"/>
  <c r="X92" i="26"/>
  <c r="L92" i="26"/>
  <c r="N92" i="26"/>
  <c r="O92" i="26"/>
  <c r="P92" i="26"/>
  <c r="M92" i="26"/>
  <c r="T132" i="26"/>
  <c r="T111" i="26"/>
  <c r="T80" i="26"/>
  <c r="T179" i="26"/>
  <c r="T77" i="26"/>
  <c r="T164" i="26"/>
  <c r="T94" i="26"/>
  <c r="U134" i="26"/>
  <c r="T134" i="26" s="1"/>
  <c r="T104" i="26"/>
  <c r="U140" i="26"/>
  <c r="T140" i="26" s="1"/>
  <c r="T96" i="26"/>
  <c r="T162" i="26"/>
  <c r="T180" i="26"/>
  <c r="T128" i="26"/>
  <c r="T116" i="26"/>
  <c r="T42" i="26"/>
  <c r="T157" i="26"/>
  <c r="T89" i="26"/>
  <c r="T69" i="26"/>
  <c r="T75" i="26"/>
  <c r="T56" i="26"/>
  <c r="T81" i="26"/>
  <c r="T39" i="26"/>
  <c r="T110" i="26"/>
  <c r="T122" i="26"/>
  <c r="P33" i="26"/>
  <c r="T154" i="26"/>
  <c r="T58" i="26"/>
  <c r="T50" i="26"/>
  <c r="T46" i="26"/>
  <c r="T114" i="26"/>
  <c r="T86" i="26"/>
  <c r="T174" i="26"/>
  <c r="T67" i="26"/>
  <c r="T170" i="26"/>
  <c r="T9" i="26"/>
  <c r="T103" i="26"/>
  <c r="P170" i="26" l="1"/>
  <c r="P169" i="26" s="1"/>
  <c r="P168" i="26" s="1"/>
  <c r="P174" i="26"/>
  <c r="O58" i="26"/>
  <c r="T79" i="26"/>
  <c r="M70" i="26"/>
  <c r="T70" i="26"/>
  <c r="N161" i="26"/>
  <c r="T161" i="26"/>
  <c r="T60" i="26"/>
  <c r="T129" i="26"/>
  <c r="T139" i="26"/>
  <c r="T41" i="26"/>
  <c r="K115" i="26"/>
  <c r="T115" i="26"/>
  <c r="T136" i="26"/>
  <c r="T82" i="26"/>
  <c r="T124" i="26"/>
  <c r="T65" i="26"/>
  <c r="T117" i="26"/>
  <c r="T125" i="26"/>
  <c r="T68" i="26"/>
  <c r="T74" i="26"/>
  <c r="K121" i="26"/>
  <c r="T121" i="26"/>
  <c r="T177" i="26"/>
  <c r="T158" i="26"/>
  <c r="T48" i="26"/>
  <c r="T152" i="26"/>
  <c r="T145" i="26"/>
  <c r="T133" i="26"/>
  <c r="T93" i="26"/>
  <c r="T40" i="26"/>
  <c r="T141" i="26"/>
  <c r="L33" i="26"/>
  <c r="T123" i="26"/>
  <c r="T97" i="26"/>
  <c r="T126" i="26"/>
  <c r="T127" i="26"/>
  <c r="T137" i="26"/>
  <c r="L118" i="26"/>
  <c r="T118" i="26"/>
  <c r="T176" i="26"/>
  <c r="T166" i="26"/>
  <c r="T53" i="26"/>
  <c r="T87" i="26"/>
  <c r="K63" i="26"/>
  <c r="T63" i="26"/>
  <c r="M112" i="26"/>
  <c r="T112" i="26"/>
  <c r="T178" i="26"/>
  <c r="T43" i="26"/>
  <c r="T163" i="26"/>
  <c r="P150" i="26"/>
  <c r="T150" i="26"/>
  <c r="T151" i="26"/>
  <c r="T44" i="26"/>
  <c r="T144" i="26"/>
  <c r="K108" i="26"/>
  <c r="T108" i="26"/>
  <c r="T142" i="26"/>
  <c r="T47" i="26"/>
  <c r="T106" i="26"/>
  <c r="T181" i="26"/>
  <c r="M148" i="26"/>
  <c r="T148" i="26"/>
  <c r="P74" i="26"/>
  <c r="T156" i="26"/>
  <c r="T62" i="26"/>
  <c r="T135" i="26"/>
  <c r="T88" i="26"/>
  <c r="K109" i="26"/>
  <c r="T109" i="26"/>
  <c r="T64" i="26"/>
  <c r="M149" i="26"/>
  <c r="T149" i="26"/>
  <c r="T98" i="26"/>
  <c r="T165" i="26"/>
  <c r="T105" i="26"/>
  <c r="T84" i="26"/>
  <c r="T130" i="26"/>
  <c r="T143" i="26"/>
  <c r="T83" i="26"/>
  <c r="K54" i="26"/>
  <c r="T54" i="26"/>
  <c r="N155" i="26"/>
  <c r="T155" i="26"/>
  <c r="T131" i="26"/>
  <c r="M95" i="26"/>
  <c r="T95" i="26"/>
  <c r="T51" i="26"/>
  <c r="T59" i="26"/>
  <c r="N76" i="26"/>
  <c r="T76" i="26"/>
  <c r="T90" i="26"/>
  <c r="T138" i="26"/>
  <c r="K175" i="26"/>
  <c r="T175" i="26"/>
  <c r="O9" i="26"/>
  <c r="O86" i="26"/>
  <c r="M50" i="26"/>
  <c r="O39" i="26"/>
  <c r="K9" i="26"/>
  <c r="K157" i="26"/>
  <c r="N42" i="26"/>
  <c r="N116" i="26"/>
  <c r="L128" i="26"/>
  <c r="P22" i="26"/>
  <c r="K96" i="26"/>
  <c r="X140" i="26"/>
  <c r="V140" i="26"/>
  <c r="M94" i="26"/>
  <c r="N77" i="26"/>
  <c r="X179" i="26"/>
  <c r="P111" i="26"/>
  <c r="P132" i="26"/>
  <c r="M111" i="26"/>
  <c r="M87" i="26"/>
  <c r="X150" i="26"/>
  <c r="O63" i="26"/>
  <c r="P176" i="26"/>
  <c r="X95" i="26"/>
  <c r="O149" i="26"/>
  <c r="K106" i="26"/>
  <c r="O177" i="26"/>
  <c r="N119" i="41"/>
  <c r="M74" i="26"/>
  <c r="P114" i="26"/>
  <c r="N44" i="41"/>
  <c r="L93" i="26"/>
  <c r="L135" i="26"/>
  <c r="N56" i="26"/>
  <c r="N55" i="26" s="1"/>
  <c r="L79" i="26"/>
  <c r="L69" i="26"/>
  <c r="L89" i="26"/>
  <c r="O35" i="26"/>
  <c r="M104" i="26"/>
  <c r="N164" i="26"/>
  <c r="P80" i="26"/>
  <c r="X111" i="26"/>
  <c r="X94" i="26"/>
  <c r="N70" i="26"/>
  <c r="M175" i="26"/>
  <c r="N34" i="41"/>
  <c r="M64" i="26"/>
  <c r="P14" i="26"/>
  <c r="L148" i="26"/>
  <c r="M121" i="26"/>
  <c r="L122" i="26"/>
  <c r="O161" i="26"/>
  <c r="X149" i="26"/>
  <c r="M115" i="26"/>
  <c r="N57" i="41"/>
  <c r="O33" i="26"/>
  <c r="L63" i="26"/>
  <c r="P112" i="26"/>
  <c r="X162" i="26"/>
  <c r="X134" i="26"/>
  <c r="V134" i="26"/>
  <c r="K150" i="26"/>
  <c r="K112" i="26"/>
  <c r="K116" i="26"/>
  <c r="X79" i="26"/>
  <c r="N67" i="41"/>
  <c r="N54" i="41"/>
  <c r="N87" i="41"/>
  <c r="O162" i="26"/>
  <c r="P21" i="26"/>
  <c r="N108" i="26"/>
  <c r="L86" i="26"/>
  <c r="X103" i="26"/>
  <c r="M103" i="26"/>
  <c r="M170" i="26"/>
  <c r="M169" i="26" s="1"/>
  <c r="M168" i="26" s="1"/>
  <c r="O174" i="26"/>
  <c r="M46" i="26"/>
  <c r="O154" i="26"/>
  <c r="M141" i="26"/>
  <c r="O141" i="26"/>
  <c r="P109" i="26"/>
  <c r="X110" i="26"/>
  <c r="P39" i="26"/>
  <c r="M81" i="26"/>
  <c r="N74" i="26"/>
  <c r="N118" i="26"/>
  <c r="N134" i="41"/>
  <c r="P54" i="26"/>
  <c r="X155" i="26"/>
  <c r="N72" i="41"/>
  <c r="N58" i="41"/>
  <c r="L175" i="26"/>
  <c r="K12" i="26"/>
  <c r="O112" i="26"/>
  <c r="N105" i="26"/>
  <c r="N71" i="41"/>
  <c r="X116" i="26"/>
  <c r="X156" i="26"/>
  <c r="P89" i="26"/>
  <c r="O54" i="26"/>
  <c r="O95" i="26"/>
  <c r="N125" i="41"/>
  <c r="K163" i="26"/>
  <c r="N151" i="26"/>
  <c r="P77" i="26"/>
  <c r="X26" i="26"/>
  <c r="L26" i="26"/>
  <c r="N26" i="26"/>
  <c r="P26" i="26"/>
  <c r="M26" i="26"/>
  <c r="K26" i="26"/>
  <c r="N19" i="41"/>
  <c r="O26" i="26"/>
  <c r="L37" i="26"/>
  <c r="X37" i="26"/>
  <c r="M37" i="26"/>
  <c r="O37" i="26"/>
  <c r="N37" i="26"/>
  <c r="K37" i="26"/>
  <c r="P37" i="26"/>
  <c r="N29" i="41"/>
  <c r="X68" i="26"/>
  <c r="K68" i="26"/>
  <c r="L68" i="26"/>
  <c r="P68" i="26"/>
  <c r="N68" i="26"/>
  <c r="O68" i="26"/>
  <c r="N52" i="41"/>
  <c r="M68" i="26"/>
  <c r="N138" i="41"/>
  <c r="L103" i="26"/>
  <c r="O148" i="26"/>
  <c r="L74" i="26"/>
  <c r="N56" i="41"/>
  <c r="X74" i="26"/>
  <c r="O103" i="26"/>
  <c r="P9" i="26"/>
  <c r="K67" i="26"/>
  <c r="P86" i="26"/>
  <c r="L170" i="26"/>
  <c r="L169" i="26" s="1"/>
  <c r="L168" i="26" s="1"/>
  <c r="O40" i="26"/>
  <c r="M40" i="26"/>
  <c r="X40" i="26"/>
  <c r="N31" i="41"/>
  <c r="L40" i="26"/>
  <c r="K40" i="26"/>
  <c r="P40" i="26"/>
  <c r="L9" i="26"/>
  <c r="O114" i="26"/>
  <c r="O170" i="26"/>
  <c r="O169" i="26" s="1"/>
  <c r="O168" i="26" s="1"/>
  <c r="K103" i="26"/>
  <c r="P148" i="26"/>
  <c r="N109" i="41"/>
  <c r="P141" i="26"/>
  <c r="L141" i="26"/>
  <c r="X141" i="26"/>
  <c r="K141" i="26"/>
  <c r="N141" i="26"/>
  <c r="K74" i="26"/>
  <c r="L121" i="26"/>
  <c r="N86" i="26"/>
  <c r="P50" i="26"/>
  <c r="K154" i="26"/>
  <c r="P106" i="26"/>
  <c r="N106" i="26"/>
  <c r="L106" i="26"/>
  <c r="M106" i="26"/>
  <c r="X106" i="26"/>
  <c r="N80" i="41"/>
  <c r="O106" i="26"/>
  <c r="X48" i="26"/>
  <c r="N37" i="41"/>
  <c r="N48" i="26"/>
  <c r="P48" i="26"/>
  <c r="K48" i="26"/>
  <c r="M48" i="26"/>
  <c r="O48" i="26"/>
  <c r="X20" i="26"/>
  <c r="M20" i="26"/>
  <c r="N20" i="26"/>
  <c r="N13" i="41"/>
  <c r="L20" i="26"/>
  <c r="P20" i="26"/>
  <c r="K20" i="26"/>
  <c r="O20" i="26"/>
  <c r="O152" i="26"/>
  <c r="K152" i="26"/>
  <c r="N152" i="26"/>
  <c r="N118" i="41"/>
  <c r="P152" i="26"/>
  <c r="X152" i="26"/>
  <c r="L152" i="26"/>
  <c r="M152" i="26"/>
  <c r="K174" i="26"/>
  <c r="P56" i="26"/>
  <c r="P55" i="26" s="1"/>
  <c r="M53" i="26"/>
  <c r="N53" i="26"/>
  <c r="N41" i="41"/>
  <c r="K53" i="26"/>
  <c r="X53" i="26"/>
  <c r="L53" i="26"/>
  <c r="P53" i="26"/>
  <c r="O53" i="26"/>
  <c r="N87" i="26"/>
  <c r="K87" i="26"/>
  <c r="N65" i="41"/>
  <c r="O87" i="26"/>
  <c r="X87" i="26"/>
  <c r="M110" i="26"/>
  <c r="L87" i="26"/>
  <c r="M80" i="26"/>
  <c r="P121" i="26"/>
  <c r="M133" i="26"/>
  <c r="X133" i="26"/>
  <c r="P133" i="26"/>
  <c r="N103" i="41"/>
  <c r="K133" i="26"/>
  <c r="O133" i="26"/>
  <c r="N133" i="26"/>
  <c r="L133" i="26"/>
  <c r="X62" i="26"/>
  <c r="M62" i="26"/>
  <c r="N47" i="41"/>
  <c r="O62" i="26"/>
  <c r="N62" i="26"/>
  <c r="K62" i="26"/>
  <c r="P62" i="26"/>
  <c r="K126" i="26"/>
  <c r="L126" i="26"/>
  <c r="O126" i="26"/>
  <c r="N96" i="41"/>
  <c r="X126" i="26"/>
  <c r="P126" i="26"/>
  <c r="N126" i="26"/>
  <c r="M126" i="26"/>
  <c r="P65" i="26"/>
  <c r="N65" i="26"/>
  <c r="K65" i="26"/>
  <c r="X65" i="26"/>
  <c r="L65" i="26"/>
  <c r="N50" i="41"/>
  <c r="O65" i="26"/>
  <c r="M65" i="26"/>
  <c r="L35" i="26"/>
  <c r="M35" i="26"/>
  <c r="K35" i="26"/>
  <c r="P35" i="26"/>
  <c r="N35" i="26"/>
  <c r="N27" i="41"/>
  <c r="X35" i="26"/>
  <c r="O104" i="26"/>
  <c r="N104" i="26"/>
  <c r="N78" i="41"/>
  <c r="X104" i="26"/>
  <c r="L104" i="26"/>
  <c r="P104" i="26"/>
  <c r="P17" i="26"/>
  <c r="M17" i="26"/>
  <c r="O17" i="26"/>
  <c r="K17" i="26"/>
  <c r="X17" i="26"/>
  <c r="N17" i="26"/>
  <c r="L17" i="26"/>
  <c r="N10" i="41"/>
  <c r="X125" i="26"/>
  <c r="K125" i="26"/>
  <c r="L125" i="26"/>
  <c r="P125" i="26"/>
  <c r="O125" i="26"/>
  <c r="N125" i="26"/>
  <c r="N95" i="41"/>
  <c r="M125" i="26"/>
  <c r="N77" i="41"/>
  <c r="P103" i="26"/>
  <c r="N67" i="26"/>
  <c r="P67" i="26"/>
  <c r="X67" i="26"/>
  <c r="N51" i="41"/>
  <c r="N64" i="41"/>
  <c r="X86" i="26"/>
  <c r="M86" i="26"/>
  <c r="K86" i="26"/>
  <c r="K156" i="26"/>
  <c r="L156" i="26"/>
  <c r="O156" i="26"/>
  <c r="M156" i="26"/>
  <c r="P156" i="26"/>
  <c r="N121" i="41"/>
  <c r="N174" i="26"/>
  <c r="X46" i="26"/>
  <c r="K46" i="26"/>
  <c r="P46" i="26"/>
  <c r="N46" i="26"/>
  <c r="L46" i="26"/>
  <c r="O74" i="26"/>
  <c r="N81" i="41"/>
  <c r="P58" i="26"/>
  <c r="M58" i="26"/>
  <c r="X58" i="26"/>
  <c r="K58" i="26"/>
  <c r="N70" i="41"/>
  <c r="P93" i="26"/>
  <c r="M93" i="26"/>
  <c r="O93" i="26"/>
  <c r="K93" i="26"/>
  <c r="X93" i="26"/>
  <c r="L58" i="26"/>
  <c r="O46" i="26"/>
  <c r="L108" i="26"/>
  <c r="L123" i="26"/>
  <c r="N123" i="26"/>
  <c r="P123" i="26"/>
  <c r="X123" i="26"/>
  <c r="N93" i="41"/>
  <c r="M123" i="26"/>
  <c r="O123" i="26"/>
  <c r="K123" i="26"/>
  <c r="M122" i="26"/>
  <c r="X122" i="26"/>
  <c r="N92" i="41"/>
  <c r="N122" i="26"/>
  <c r="K122" i="26"/>
  <c r="O122" i="26"/>
  <c r="P122" i="26"/>
  <c r="X97" i="26"/>
  <c r="N74" i="41"/>
  <c r="K97" i="26"/>
  <c r="O97" i="26"/>
  <c r="L97" i="26"/>
  <c r="P97" i="26"/>
  <c r="M97" i="26"/>
  <c r="N97" i="26"/>
  <c r="X161" i="26"/>
  <c r="N124" i="41"/>
  <c r="L161" i="26"/>
  <c r="K161" i="26"/>
  <c r="M161" i="26"/>
  <c r="L50" i="26"/>
  <c r="L25" i="26"/>
  <c r="P25" i="26"/>
  <c r="M25" i="26"/>
  <c r="O25" i="26"/>
  <c r="X25" i="26"/>
  <c r="N25" i="26"/>
  <c r="N18" i="41"/>
  <c r="K25" i="26"/>
  <c r="M165" i="26"/>
  <c r="L165" i="26"/>
  <c r="O165" i="26"/>
  <c r="X165" i="26"/>
  <c r="P165" i="26"/>
  <c r="N128" i="41"/>
  <c r="K165" i="26"/>
  <c r="L105" i="26"/>
  <c r="K105" i="26"/>
  <c r="X105" i="26"/>
  <c r="O105" i="26"/>
  <c r="P105" i="26"/>
  <c r="N79" i="41"/>
  <c r="M105" i="26"/>
  <c r="P108" i="26"/>
  <c r="K75" i="26"/>
  <c r="M75" i="26"/>
  <c r="X75" i="26"/>
  <c r="L75" i="26"/>
  <c r="P75" i="26"/>
  <c r="O75" i="26"/>
  <c r="L62" i="26"/>
  <c r="L67" i="26"/>
  <c r="M67" i="26"/>
  <c r="N136" i="26"/>
  <c r="N105" i="41"/>
  <c r="M136" i="26"/>
  <c r="L136" i="26"/>
  <c r="O136" i="26"/>
  <c r="X136" i="26"/>
  <c r="P136" i="26"/>
  <c r="K136" i="26"/>
  <c r="L82" i="26"/>
  <c r="X82" i="26"/>
  <c r="P82" i="26"/>
  <c r="O82" i="26"/>
  <c r="M82" i="26"/>
  <c r="N82" i="26"/>
  <c r="M157" i="26"/>
  <c r="X157" i="26"/>
  <c r="O157" i="26"/>
  <c r="L157" i="26"/>
  <c r="N122" i="41"/>
  <c r="P157" i="26"/>
  <c r="N157" i="26"/>
  <c r="P13" i="26"/>
  <c r="N13" i="26"/>
  <c r="K13" i="26"/>
  <c r="O13" i="26"/>
  <c r="M13" i="26"/>
  <c r="L13" i="26"/>
  <c r="N6" i="41"/>
  <c r="X13" i="26"/>
  <c r="X108" i="26"/>
  <c r="N93" i="26"/>
  <c r="O67" i="26"/>
  <c r="N75" i="26"/>
  <c r="N40" i="26"/>
  <c r="N165" i="26"/>
  <c r="K114" i="26"/>
  <c r="N86" i="41"/>
  <c r="L114" i="26"/>
  <c r="N114" i="26"/>
  <c r="X114" i="26"/>
  <c r="O19" i="26"/>
  <c r="M19" i="26"/>
  <c r="X19" i="26"/>
  <c r="N19" i="26"/>
  <c r="N12" i="41"/>
  <c r="P19" i="26"/>
  <c r="K19" i="26"/>
  <c r="L19" i="26"/>
  <c r="L124" i="26"/>
  <c r="N94" i="41"/>
  <c r="N124" i="26"/>
  <c r="O124" i="26"/>
  <c r="X124" i="26"/>
  <c r="K124" i="26"/>
  <c r="M124" i="26"/>
  <c r="P124" i="26"/>
  <c r="X180" i="26"/>
  <c r="K180" i="26"/>
  <c r="L180" i="26"/>
  <c r="O180" i="26"/>
  <c r="P180" i="26"/>
  <c r="M180" i="26"/>
  <c r="N180" i="26"/>
  <c r="X31" i="26"/>
  <c r="P31" i="26"/>
  <c r="N24" i="41"/>
  <c r="K31" i="26"/>
  <c r="L31" i="26"/>
  <c r="O31" i="26"/>
  <c r="N31" i="26"/>
  <c r="M31" i="26"/>
  <c r="N117" i="26"/>
  <c r="K117" i="26"/>
  <c r="M117" i="26"/>
  <c r="L117" i="26"/>
  <c r="P117" i="26"/>
  <c r="N89" i="41"/>
  <c r="O117" i="26"/>
  <c r="X117" i="26"/>
  <c r="K164" i="26"/>
  <c r="M164" i="26"/>
  <c r="O164" i="26"/>
  <c r="N127" i="41"/>
  <c r="X164" i="26"/>
  <c r="L164" i="26"/>
  <c r="X80" i="26"/>
  <c r="O80" i="26"/>
  <c r="L80" i="26"/>
  <c r="N80" i="26"/>
  <c r="K80" i="26"/>
  <c r="N2" i="41"/>
  <c r="X9" i="26"/>
  <c r="W9" i="26"/>
  <c r="N114" i="41"/>
  <c r="X148" i="26"/>
  <c r="N148" i="26"/>
  <c r="N103" i="26"/>
  <c r="X170" i="26"/>
  <c r="N130" i="41"/>
  <c r="N170" i="26"/>
  <c r="N169" i="26" s="1"/>
  <c r="N168" i="26" s="1"/>
  <c r="K170" i="26"/>
  <c r="K169" i="26" s="1"/>
  <c r="K168" i="26" s="1"/>
  <c r="N132" i="41"/>
  <c r="X174" i="26"/>
  <c r="M174" i="26"/>
  <c r="L174" i="26"/>
  <c r="L144" i="26"/>
  <c r="N112" i="41"/>
  <c r="X144" i="26"/>
  <c r="P144" i="26"/>
  <c r="N144" i="26"/>
  <c r="M144" i="26"/>
  <c r="K144" i="26"/>
  <c r="O144" i="26"/>
  <c r="M114" i="26"/>
  <c r="N91" i="41"/>
  <c r="X121" i="26"/>
  <c r="O121" i="26"/>
  <c r="N121" i="26"/>
  <c r="M9" i="26"/>
  <c r="N9" i="26"/>
  <c r="N38" i="41"/>
  <c r="N50" i="26"/>
  <c r="X50" i="26"/>
  <c r="K50" i="26"/>
  <c r="K148" i="26"/>
  <c r="O79" i="26"/>
  <c r="N79" i="26"/>
  <c r="P79" i="26"/>
  <c r="M79" i="26"/>
  <c r="N60" i="41"/>
  <c r="K79" i="26"/>
  <c r="X154" i="26"/>
  <c r="M154" i="26"/>
  <c r="P154" i="26"/>
  <c r="L154" i="26"/>
  <c r="N154" i="26"/>
  <c r="N104" i="41"/>
  <c r="N135" i="26"/>
  <c r="X135" i="26"/>
  <c r="P135" i="26"/>
  <c r="M135" i="26"/>
  <c r="M108" i="26"/>
  <c r="M88" i="26"/>
  <c r="L88" i="26"/>
  <c r="N66" i="41"/>
  <c r="K88" i="26"/>
  <c r="N88" i="26"/>
  <c r="O88" i="26"/>
  <c r="X88" i="26"/>
  <c r="P88" i="26"/>
  <c r="O109" i="26"/>
  <c r="N109" i="26"/>
  <c r="L109" i="26"/>
  <c r="M109" i="26"/>
  <c r="N82" i="41"/>
  <c r="X109" i="26"/>
  <c r="N64" i="26"/>
  <c r="P64" i="26"/>
  <c r="K64" i="26"/>
  <c r="O64" i="26"/>
  <c r="N49" i="41"/>
  <c r="L64" i="26"/>
  <c r="X64" i="26"/>
  <c r="N83" i="41"/>
  <c r="L110" i="26"/>
  <c r="P110" i="26"/>
  <c r="O110" i="26"/>
  <c r="K110" i="26"/>
  <c r="N110" i="26"/>
  <c r="L60" i="26"/>
  <c r="M60" i="26"/>
  <c r="P60" i="26"/>
  <c r="N60" i="26"/>
  <c r="X60" i="26"/>
  <c r="O60" i="26"/>
  <c r="K60" i="26"/>
  <c r="N46" i="41"/>
  <c r="O50" i="26"/>
  <c r="N43" i="41"/>
  <c r="O56" i="26"/>
  <c r="O55" i="26" s="1"/>
  <c r="K56" i="26"/>
  <c r="K55" i="26" s="1"/>
  <c r="X56" i="26"/>
  <c r="M56" i="26"/>
  <c r="M55" i="26" s="1"/>
  <c r="M34" i="26"/>
  <c r="X34" i="26"/>
  <c r="O34" i="26"/>
  <c r="P34" i="26"/>
  <c r="N34" i="26"/>
  <c r="L34" i="26"/>
  <c r="N26" i="41"/>
  <c r="K34" i="26"/>
  <c r="K158" i="26"/>
  <c r="M158" i="26"/>
  <c r="L158" i="26"/>
  <c r="N158" i="26"/>
  <c r="P158" i="26"/>
  <c r="X158" i="26"/>
  <c r="N123" i="41"/>
  <c r="O158" i="26"/>
  <c r="P47" i="26"/>
  <c r="N47" i="26"/>
  <c r="N36" i="41"/>
  <c r="K47" i="26"/>
  <c r="X47" i="26"/>
  <c r="L47" i="26"/>
  <c r="M47" i="26"/>
  <c r="O47" i="26"/>
  <c r="N58" i="26"/>
  <c r="N28" i="26"/>
  <c r="M28" i="26"/>
  <c r="P28" i="26"/>
  <c r="L28" i="26"/>
  <c r="K28" i="26"/>
  <c r="X28" i="26"/>
  <c r="N21" i="41"/>
  <c r="O108" i="26"/>
  <c r="K135" i="26"/>
  <c r="O135" i="26"/>
  <c r="L56" i="26"/>
  <c r="L55" i="26" s="1"/>
  <c r="P161" i="26"/>
  <c r="P87" i="26"/>
  <c r="P164" i="26"/>
  <c r="N156" i="26"/>
  <c r="K104" i="26"/>
  <c r="L48" i="26"/>
  <c r="K82" i="26"/>
  <c r="O28" i="26"/>
  <c r="N136" i="41"/>
  <c r="K178" i="26"/>
  <c r="N178" i="26"/>
  <c r="X178" i="26"/>
  <c r="P178" i="26"/>
  <c r="M178" i="26"/>
  <c r="L178" i="26"/>
  <c r="O178" i="26"/>
  <c r="N43" i="26"/>
  <c r="L43" i="26"/>
  <c r="K43" i="26"/>
  <c r="M43" i="26"/>
  <c r="P43" i="26"/>
  <c r="L163" i="26"/>
  <c r="N126" i="41"/>
  <c r="N163" i="26"/>
  <c r="M163" i="26"/>
  <c r="O163" i="26"/>
  <c r="X163" i="26"/>
  <c r="K29" i="26"/>
  <c r="P29" i="26"/>
  <c r="N29" i="26"/>
  <c r="N22" i="41"/>
  <c r="M29" i="26"/>
  <c r="O29" i="26"/>
  <c r="L29" i="26"/>
  <c r="X29" i="26"/>
  <c r="M151" i="26"/>
  <c r="X151" i="26"/>
  <c r="O151" i="26"/>
  <c r="K151" i="26"/>
  <c r="N117" i="41"/>
  <c r="L151" i="26"/>
  <c r="X44" i="26"/>
  <c r="P44" i="26"/>
  <c r="O44" i="26"/>
  <c r="N35" i="41"/>
  <c r="K44" i="26"/>
  <c r="M44" i="26"/>
  <c r="L44" i="26"/>
  <c r="N44" i="26"/>
  <c r="N28" i="41"/>
  <c r="K36" i="26"/>
  <c r="L36" i="26"/>
  <c r="O36" i="26"/>
  <c r="M36" i="26"/>
  <c r="P36" i="26"/>
  <c r="X36" i="26"/>
  <c r="N36" i="26"/>
  <c r="N112" i="26"/>
  <c r="L112" i="26"/>
  <c r="O111" i="26"/>
  <c r="L111" i="26"/>
  <c r="N111" i="26"/>
  <c r="L94" i="26"/>
  <c r="N94" i="26"/>
  <c r="N150" i="26"/>
  <c r="O150" i="26"/>
  <c r="P116" i="26"/>
  <c r="O116" i="26"/>
  <c r="P63" i="26"/>
  <c r="K176" i="26"/>
  <c r="L176" i="26"/>
  <c r="N176" i="26"/>
  <c r="X89" i="26"/>
  <c r="O89" i="26"/>
  <c r="X70" i="26"/>
  <c r="L70" i="26"/>
  <c r="N42" i="41"/>
  <c r="X54" i="26"/>
  <c r="P115" i="26"/>
  <c r="K95" i="26"/>
  <c r="P162" i="26"/>
  <c r="N162" i="26"/>
  <c r="P149" i="26"/>
  <c r="N149" i="26"/>
  <c r="K155" i="26"/>
  <c r="P155" i="26"/>
  <c r="X175" i="26"/>
  <c r="N133" i="41"/>
  <c r="P163" i="26"/>
  <c r="L81" i="26"/>
  <c r="P179" i="26"/>
  <c r="O43" i="26"/>
  <c r="P151" i="26"/>
  <c r="K118" i="26"/>
  <c r="L177" i="26"/>
  <c r="X177" i="26"/>
  <c r="M177" i="26"/>
  <c r="N177" i="26"/>
  <c r="P177" i="26"/>
  <c r="K177" i="26"/>
  <c r="K142" i="26"/>
  <c r="L142" i="26"/>
  <c r="O142" i="26"/>
  <c r="X142" i="26"/>
  <c r="M142" i="26"/>
  <c r="N110" i="41"/>
  <c r="N142" i="26"/>
  <c r="P142" i="26"/>
  <c r="P71" i="26"/>
  <c r="N55" i="41"/>
  <c r="M71" i="26"/>
  <c r="X71" i="26"/>
  <c r="O71" i="26"/>
  <c r="K71" i="26"/>
  <c r="L71" i="26"/>
  <c r="X98" i="26"/>
  <c r="M98" i="26"/>
  <c r="P98" i="26"/>
  <c r="N98" i="26"/>
  <c r="O98" i="26"/>
  <c r="L98" i="26"/>
  <c r="N75" i="41"/>
  <c r="K98" i="26"/>
  <c r="L129" i="26"/>
  <c r="X129" i="26"/>
  <c r="K129" i="26"/>
  <c r="N99" i="41"/>
  <c r="N129" i="26"/>
  <c r="O129" i="26"/>
  <c r="P129" i="26"/>
  <c r="M129" i="26"/>
  <c r="X139" i="26"/>
  <c r="O139" i="26"/>
  <c r="M139" i="26"/>
  <c r="N139" i="26"/>
  <c r="N108" i="41"/>
  <c r="K139" i="26"/>
  <c r="P139" i="26"/>
  <c r="L41" i="26"/>
  <c r="M41" i="26"/>
  <c r="O41" i="26"/>
  <c r="X41" i="26"/>
  <c r="N41" i="26"/>
  <c r="N32" i="41"/>
  <c r="P23" i="26"/>
  <c r="K23" i="26"/>
  <c r="X23" i="26"/>
  <c r="N23" i="26"/>
  <c r="M23" i="26"/>
  <c r="N16" i="41"/>
  <c r="L23" i="26"/>
  <c r="O23" i="26"/>
  <c r="N14" i="41"/>
  <c r="K21" i="26"/>
  <c r="X21" i="26"/>
  <c r="O21" i="26"/>
  <c r="L21" i="26"/>
  <c r="M21" i="26"/>
  <c r="N21" i="26"/>
  <c r="X69" i="26"/>
  <c r="P69" i="26"/>
  <c r="O69" i="26"/>
  <c r="N69" i="26"/>
  <c r="N53" i="41"/>
  <c r="K69" i="26"/>
  <c r="M69" i="26"/>
  <c r="P166" i="26"/>
  <c r="L166" i="26"/>
  <c r="N166" i="26"/>
  <c r="N129" i="41"/>
  <c r="M166" i="26"/>
  <c r="K166" i="26"/>
  <c r="O166" i="26"/>
  <c r="X14" i="26"/>
  <c r="K14" i="26"/>
  <c r="N7" i="41"/>
  <c r="N14" i="26"/>
  <c r="M14" i="26"/>
  <c r="O14" i="26"/>
  <c r="L14" i="26"/>
  <c r="M39" i="26"/>
  <c r="N17" i="41"/>
  <c r="N24" i="26"/>
  <c r="X24" i="26"/>
  <c r="O24" i="26"/>
  <c r="M24" i="26"/>
  <c r="K24" i="26"/>
  <c r="L24" i="26"/>
  <c r="P24" i="26"/>
  <c r="N111" i="41"/>
  <c r="X143" i="26"/>
  <c r="N143" i="26"/>
  <c r="L143" i="26"/>
  <c r="O143" i="26"/>
  <c r="P143" i="26"/>
  <c r="K143" i="26"/>
  <c r="M143" i="26"/>
  <c r="K83" i="26"/>
  <c r="N83" i="26"/>
  <c r="P83" i="26"/>
  <c r="M83" i="26"/>
  <c r="L83" i="26"/>
  <c r="O83" i="26"/>
  <c r="X83" i="26"/>
  <c r="N62" i="41"/>
  <c r="M131" i="26"/>
  <c r="N101" i="41"/>
  <c r="X131" i="26"/>
  <c r="O131" i="26"/>
  <c r="L131" i="26"/>
  <c r="P131" i="26"/>
  <c r="N131" i="26"/>
  <c r="K131" i="26"/>
  <c r="P51" i="26"/>
  <c r="O51" i="26"/>
  <c r="N51" i="26"/>
  <c r="K51" i="26"/>
  <c r="L51" i="26"/>
  <c r="X51" i="26"/>
  <c r="M51" i="26"/>
  <c r="P16" i="26"/>
  <c r="N16" i="26"/>
  <c r="L16" i="26"/>
  <c r="N9" i="41"/>
  <c r="O16" i="26"/>
  <c r="K16" i="26"/>
  <c r="M16" i="26"/>
  <c r="X16" i="26"/>
  <c r="K59" i="26"/>
  <c r="O59" i="26"/>
  <c r="N59" i="26"/>
  <c r="X59" i="26"/>
  <c r="L59" i="26"/>
  <c r="P59" i="26"/>
  <c r="N45" i="41"/>
  <c r="M59" i="26"/>
  <c r="M76" i="26"/>
  <c r="L76" i="26"/>
  <c r="X76" i="26"/>
  <c r="O76" i="26"/>
  <c r="P76" i="26"/>
  <c r="N90" i="26"/>
  <c r="M90" i="26"/>
  <c r="O90" i="26"/>
  <c r="P90" i="26"/>
  <c r="N68" i="41"/>
  <c r="X90" i="26"/>
  <c r="M138" i="26"/>
  <c r="L138" i="26"/>
  <c r="X138" i="26"/>
  <c r="N107" i="41"/>
  <c r="P138" i="26"/>
  <c r="O138" i="26"/>
  <c r="K138" i="26"/>
  <c r="N138" i="26"/>
  <c r="P12" i="26"/>
  <c r="O12" i="26"/>
  <c r="L12" i="26"/>
  <c r="X12" i="26"/>
  <c r="N5" i="41"/>
  <c r="M12" i="26"/>
  <c r="N12" i="26"/>
  <c r="X112" i="26"/>
  <c r="N84" i="41"/>
  <c r="P94" i="26"/>
  <c r="O94" i="26"/>
  <c r="M150" i="26"/>
  <c r="N116" i="41"/>
  <c r="L116" i="26"/>
  <c r="N88" i="41"/>
  <c r="M63" i="26"/>
  <c r="N63" i="26"/>
  <c r="X176" i="26"/>
  <c r="M176" i="26"/>
  <c r="K89" i="26"/>
  <c r="M89" i="26"/>
  <c r="O70" i="26"/>
  <c r="K70" i="26"/>
  <c r="M54" i="26"/>
  <c r="N54" i="26"/>
  <c r="O115" i="26"/>
  <c r="L115" i="26"/>
  <c r="N95" i="26"/>
  <c r="P95" i="26"/>
  <c r="M162" i="26"/>
  <c r="K149" i="26"/>
  <c r="N115" i="41"/>
  <c r="L149" i="26"/>
  <c r="L155" i="26"/>
  <c r="M155" i="26"/>
  <c r="O175" i="26"/>
  <c r="N175" i="26"/>
  <c r="K90" i="26"/>
  <c r="K76" i="26"/>
  <c r="K41" i="26"/>
  <c r="N71" i="26"/>
  <c r="L139" i="26"/>
  <c r="N25" i="41"/>
  <c r="X33" i="26"/>
  <c r="M33" i="26"/>
  <c r="M18" i="26"/>
  <c r="O18" i="26"/>
  <c r="N11" i="41"/>
  <c r="P18" i="26"/>
  <c r="X18" i="26"/>
  <c r="L18" i="26"/>
  <c r="N18" i="26"/>
  <c r="K18" i="26"/>
  <c r="N10" i="26"/>
  <c r="X10" i="26"/>
  <c r="K10" i="26"/>
  <c r="N3" i="41"/>
  <c r="O10" i="26"/>
  <c r="L10" i="26"/>
  <c r="P10" i="26"/>
  <c r="M10" i="26"/>
  <c r="K39" i="26"/>
  <c r="N30" i="41"/>
  <c r="N39" i="26"/>
  <c r="N81" i="26"/>
  <c r="K81" i="26"/>
  <c r="X81" i="26"/>
  <c r="N61" i="41"/>
  <c r="O81" i="26"/>
  <c r="P81" i="26"/>
  <c r="K33" i="26"/>
  <c r="O127" i="26"/>
  <c r="P127" i="26"/>
  <c r="N127" i="26"/>
  <c r="L127" i="26"/>
  <c r="K127" i="26"/>
  <c r="X127" i="26"/>
  <c r="N97" i="41"/>
  <c r="M127" i="26"/>
  <c r="N106" i="41"/>
  <c r="M137" i="26"/>
  <c r="K137" i="26"/>
  <c r="X137" i="26"/>
  <c r="L137" i="26"/>
  <c r="N137" i="26"/>
  <c r="P137" i="26"/>
  <c r="O137" i="26"/>
  <c r="X118" i="26"/>
  <c r="N90" i="41"/>
  <c r="M118" i="26"/>
  <c r="P118" i="26"/>
  <c r="O118" i="26"/>
  <c r="O11" i="26"/>
  <c r="M11" i="26"/>
  <c r="P11" i="26"/>
  <c r="X11" i="26"/>
  <c r="L11" i="26"/>
  <c r="N11" i="26"/>
  <c r="K11" i="26"/>
  <c r="N4" i="41"/>
  <c r="L39" i="26"/>
  <c r="P84" i="26"/>
  <c r="X84" i="26"/>
  <c r="M84" i="26"/>
  <c r="N63" i="41"/>
  <c r="L84" i="26"/>
  <c r="N84" i="26"/>
  <c r="K84" i="26"/>
  <c r="O84" i="26"/>
  <c r="N100" i="41"/>
  <c r="L130" i="26"/>
  <c r="P130" i="26"/>
  <c r="X130" i="26"/>
  <c r="N130" i="26"/>
  <c r="K130" i="26"/>
  <c r="O130" i="26"/>
  <c r="M130" i="26"/>
  <c r="M27" i="26"/>
  <c r="P27" i="26"/>
  <c r="N20" i="41"/>
  <c r="L27" i="26"/>
  <c r="X27" i="26"/>
  <c r="K27" i="26"/>
  <c r="N27" i="26"/>
  <c r="O27" i="26"/>
  <c r="X42" i="26"/>
  <c r="N33" i="41"/>
  <c r="P42" i="26"/>
  <c r="O42" i="26"/>
  <c r="M42" i="26"/>
  <c r="L42" i="26"/>
  <c r="P181" i="26"/>
  <c r="L181" i="26"/>
  <c r="M181" i="26"/>
  <c r="X181" i="26"/>
  <c r="O181" i="26"/>
  <c r="K181" i="26"/>
  <c r="N181" i="26"/>
  <c r="N139" i="41"/>
  <c r="N128" i="26"/>
  <c r="N98" i="41"/>
  <c r="P128" i="26"/>
  <c r="O128" i="26"/>
  <c r="K128" i="26"/>
  <c r="M128" i="26"/>
  <c r="X128" i="26"/>
  <c r="O22" i="26"/>
  <c r="X22" i="26"/>
  <c r="N22" i="26"/>
  <c r="K22" i="26"/>
  <c r="N15" i="41"/>
  <c r="M22" i="26"/>
  <c r="L22" i="26"/>
  <c r="M96" i="26"/>
  <c r="P96" i="26"/>
  <c r="X96" i="26"/>
  <c r="N96" i="26"/>
  <c r="N73" i="41"/>
  <c r="O96" i="26"/>
  <c r="L96" i="26"/>
  <c r="P15" i="26"/>
  <c r="O15" i="26"/>
  <c r="X15" i="26"/>
  <c r="L15" i="26"/>
  <c r="M15" i="26"/>
  <c r="N8" i="41"/>
  <c r="K15" i="26"/>
  <c r="N15" i="26"/>
  <c r="O145" i="26"/>
  <c r="L145" i="26"/>
  <c r="N113" i="41"/>
  <c r="X145" i="26"/>
  <c r="N145" i="26"/>
  <c r="K145" i="26"/>
  <c r="P145" i="26"/>
  <c r="M145" i="26"/>
  <c r="L30" i="26"/>
  <c r="N23" i="41"/>
  <c r="M30" i="26"/>
  <c r="K30" i="26"/>
  <c r="O30" i="26"/>
  <c r="X30" i="26"/>
  <c r="P30" i="26"/>
  <c r="N30" i="26"/>
  <c r="X77" i="26"/>
  <c r="L77" i="26"/>
  <c r="O77" i="26"/>
  <c r="N59" i="41"/>
  <c r="M77" i="26"/>
  <c r="K77" i="26"/>
  <c r="L179" i="26"/>
  <c r="N137" i="41"/>
  <c r="M179" i="26"/>
  <c r="N179" i="26"/>
  <c r="K179" i="26"/>
  <c r="O179" i="26"/>
  <c r="N102" i="41"/>
  <c r="N132" i="26"/>
  <c r="X132" i="26"/>
  <c r="K132" i="26"/>
  <c r="O132" i="26"/>
  <c r="M132" i="26"/>
  <c r="L132" i="26"/>
  <c r="N33" i="26"/>
  <c r="N85" i="41"/>
  <c r="K111" i="26"/>
  <c r="K94" i="26"/>
  <c r="L150" i="26"/>
  <c r="M116" i="26"/>
  <c r="N48" i="41"/>
  <c r="X63" i="26"/>
  <c r="O176" i="26"/>
  <c r="N89" i="26"/>
  <c r="P70" i="26"/>
  <c r="L54" i="26"/>
  <c r="X115" i="26"/>
  <c r="N115" i="26"/>
  <c r="L95" i="26"/>
  <c r="L162" i="26"/>
  <c r="K162" i="26"/>
  <c r="N120" i="41"/>
  <c r="O155" i="26"/>
  <c r="P175" i="26"/>
  <c r="L90" i="26"/>
  <c r="X43" i="26"/>
  <c r="K42" i="26"/>
  <c r="X39" i="26"/>
  <c r="P41" i="26"/>
  <c r="N135" i="41"/>
  <c r="N39" i="41"/>
  <c r="X166" i="26"/>
  <c r="O57" i="26" l="1"/>
  <c r="O153" i="26"/>
  <c r="N73" i="26"/>
  <c r="N101" i="26"/>
  <c r="M101" i="26"/>
  <c r="M147" i="26"/>
  <c r="M73" i="26"/>
  <c r="P91" i="26"/>
  <c r="L32" i="26"/>
  <c r="M45" i="26"/>
  <c r="M49" i="26"/>
  <c r="O32" i="26"/>
  <c r="K107" i="26"/>
  <c r="N113" i="26"/>
  <c r="L134" i="26"/>
  <c r="M66" i="26"/>
  <c r="P73" i="26"/>
  <c r="P61" i="26"/>
  <c r="O140" i="26"/>
  <c r="O160" i="26"/>
  <c r="O159" i="26" s="1"/>
  <c r="L78" i="26"/>
  <c r="K38" i="26"/>
  <c r="O8" i="26"/>
  <c r="L147" i="26"/>
  <c r="K8" i="26"/>
  <c r="O38" i="26"/>
  <c r="M140" i="26"/>
  <c r="P172" i="26"/>
  <c r="P171" i="26" s="1"/>
  <c r="P167" i="26" s="1"/>
  <c r="P160" i="26"/>
  <c r="P159" i="26" s="1"/>
  <c r="N107" i="26"/>
  <c r="M107" i="26"/>
  <c r="L153" i="26"/>
  <c r="K147" i="26"/>
  <c r="N120" i="26"/>
  <c r="K120" i="26"/>
  <c r="M120" i="26"/>
  <c r="O85" i="26"/>
  <c r="O172" i="26"/>
  <c r="O171" i="26" s="1"/>
  <c r="N160" i="26"/>
  <c r="N159" i="26" s="1"/>
  <c r="P113" i="26"/>
  <c r="N57" i="26"/>
  <c r="M134" i="26"/>
  <c r="N134" i="26"/>
  <c r="N45" i="26"/>
  <c r="L85" i="26"/>
  <c r="K140" i="26"/>
  <c r="K66" i="26"/>
  <c r="O66" i="26"/>
  <c r="M160" i="26"/>
  <c r="M159" i="26" s="1"/>
  <c r="K57" i="26"/>
  <c r="P66" i="26"/>
  <c r="P32" i="26"/>
  <c r="P153" i="26"/>
  <c r="K78" i="26"/>
  <c r="N78" i="26"/>
  <c r="K49" i="26"/>
  <c r="O120" i="26"/>
  <c r="M113" i="26"/>
  <c r="L113" i="26"/>
  <c r="N91" i="26"/>
  <c r="L66" i="26"/>
  <c r="K160" i="26"/>
  <c r="K159" i="26" s="1"/>
  <c r="L107" i="26"/>
  <c r="P45" i="26"/>
  <c r="N172" i="26"/>
  <c r="N171" i="26" s="1"/>
  <c r="N167" i="26" s="1"/>
  <c r="K85" i="26"/>
  <c r="N66" i="26"/>
  <c r="K61" i="26"/>
  <c r="P120" i="26"/>
  <c r="K172" i="26"/>
  <c r="K171" i="26" s="1"/>
  <c r="K167" i="26" s="1"/>
  <c r="P49" i="26"/>
  <c r="K73" i="26"/>
  <c r="P147" i="26"/>
  <c r="L8" i="26"/>
  <c r="P8" i="26"/>
  <c r="L73" i="26"/>
  <c r="O107" i="26"/>
  <c r="P78" i="26"/>
  <c r="M91" i="26"/>
  <c r="L120" i="26"/>
  <c r="O113" i="26"/>
  <c r="L91" i="26"/>
  <c r="N38" i="26"/>
  <c r="M38" i="26"/>
  <c r="O134" i="26"/>
  <c r="M153" i="26"/>
  <c r="M146" i="26" s="1"/>
  <c r="O78" i="26"/>
  <c r="N8" i="26"/>
  <c r="N147" i="26"/>
  <c r="C10" i="31"/>
  <c r="D10" i="31" s="1"/>
  <c r="E6" i="31"/>
  <c r="F6" i="31" s="1"/>
  <c r="E28" i="31"/>
  <c r="F28" i="31" s="1"/>
  <c r="C7" i="31"/>
  <c r="D7" i="31" s="1"/>
  <c r="E33" i="31"/>
  <c r="F33" i="31" s="1"/>
  <c r="E34" i="31"/>
  <c r="F34" i="31" s="1"/>
  <c r="E35" i="31"/>
  <c r="F35" i="31" s="1"/>
  <c r="C12" i="31"/>
  <c r="D12" i="31" s="1"/>
  <c r="C5" i="31"/>
  <c r="D5" i="31" s="1"/>
  <c r="C33" i="31"/>
  <c r="D33" i="31" s="1"/>
  <c r="C13" i="31"/>
  <c r="D13" i="31" s="1"/>
  <c r="C35" i="31"/>
  <c r="D35" i="31" s="1"/>
  <c r="E31" i="31"/>
  <c r="F31" i="31" s="1"/>
  <c r="E30" i="31"/>
  <c r="F30" i="31" s="1"/>
  <c r="E16" i="31"/>
  <c r="F16" i="31" s="1"/>
  <c r="C30" i="31"/>
  <c r="D30" i="31" s="1"/>
  <c r="E19" i="31"/>
  <c r="F19" i="31" s="1"/>
  <c r="E4" i="31"/>
  <c r="F4" i="31" s="1"/>
  <c r="C14" i="31"/>
  <c r="D14" i="31" s="1"/>
  <c r="E14" i="31"/>
  <c r="F14" i="31" s="1"/>
  <c r="E17" i="31"/>
  <c r="F17" i="31" s="1"/>
  <c r="E27" i="31"/>
  <c r="F27" i="31" s="1"/>
  <c r="E26" i="31"/>
  <c r="F26" i="31" s="1"/>
  <c r="E9" i="31"/>
  <c r="F9" i="31" s="1"/>
  <c r="C6" i="31"/>
  <c r="D6" i="31" s="1"/>
  <c r="E36" i="31"/>
  <c r="F36" i="31" s="1"/>
  <c r="E10" i="31"/>
  <c r="F10" i="31" s="1"/>
  <c r="E13" i="31"/>
  <c r="F13" i="31" s="1"/>
  <c r="E29" i="31"/>
  <c r="F29" i="31" s="1"/>
  <c r="E23" i="31"/>
  <c r="F23" i="31" s="1"/>
  <c r="E22" i="31"/>
  <c r="F22" i="31" s="1"/>
  <c r="C19" i="31"/>
  <c r="D19" i="31" s="1"/>
  <c r="C8" i="31"/>
  <c r="D8" i="31" s="1"/>
  <c r="C9" i="31"/>
  <c r="D9" i="31" s="1"/>
  <c r="C24" i="31"/>
  <c r="D24" i="31" s="1"/>
  <c r="C28" i="31"/>
  <c r="D28" i="31" s="1"/>
  <c r="C29" i="31"/>
  <c r="D29" i="31" s="1"/>
  <c r="C26" i="31"/>
  <c r="D26" i="31" s="1"/>
  <c r="C36" i="31"/>
  <c r="D36" i="31" s="1"/>
  <c r="E21" i="31"/>
  <c r="F21" i="31" s="1"/>
  <c r="E15" i="31"/>
  <c r="F15" i="31" s="1"/>
  <c r="E24" i="31"/>
  <c r="F24" i="31" s="1"/>
  <c r="E20" i="31"/>
  <c r="F20" i="31" s="1"/>
  <c r="C16" i="31"/>
  <c r="D16" i="31" s="1"/>
  <c r="C21" i="31"/>
  <c r="D21" i="31" s="1"/>
  <c r="C25" i="31"/>
  <c r="D25" i="31" s="1"/>
  <c r="C15" i="31"/>
  <c r="D15" i="31" s="1"/>
  <c r="E12" i="31"/>
  <c r="F12" i="31" s="1"/>
  <c r="C34" i="31"/>
  <c r="D34" i="31" s="1"/>
  <c r="C31" i="31"/>
  <c r="D31" i="31" s="1"/>
  <c r="E8" i="31"/>
  <c r="F8" i="31" s="1"/>
  <c r="E25" i="31"/>
  <c r="F25" i="31" s="1"/>
  <c r="E5" i="31"/>
  <c r="F5" i="31" s="1"/>
  <c r="C23" i="31"/>
  <c r="D23" i="31" s="1"/>
  <c r="E7" i="31"/>
  <c r="F7" i="31" s="1"/>
  <c r="C22" i="31"/>
  <c r="D22" i="31" s="1"/>
  <c r="C27" i="31"/>
  <c r="D27" i="31" s="1"/>
  <c r="C4" i="31"/>
  <c r="D4" i="31" s="1"/>
  <c r="C20" i="31"/>
  <c r="D20" i="31" s="1"/>
  <c r="E11" i="31"/>
  <c r="F11" i="31" s="1"/>
  <c r="C17" i="31"/>
  <c r="D17" i="31" s="1"/>
  <c r="E32" i="31"/>
  <c r="F32" i="31" s="1"/>
  <c r="C18" i="31"/>
  <c r="D18" i="31" s="1"/>
  <c r="C32" i="31"/>
  <c r="D32" i="31" s="1"/>
  <c r="E18" i="31"/>
  <c r="F18" i="31" s="1"/>
  <c r="C11" i="31"/>
  <c r="D11" i="31" s="1"/>
  <c r="L61" i="26"/>
  <c r="P107" i="26"/>
  <c r="L160" i="26"/>
  <c r="L159" i="26" s="1"/>
  <c r="O45" i="26"/>
  <c r="K91" i="26"/>
  <c r="M57" i="26"/>
  <c r="O73" i="26"/>
  <c r="K45" i="26"/>
  <c r="M85" i="26"/>
  <c r="P101" i="26"/>
  <c r="N61" i="26"/>
  <c r="M61" i="26"/>
  <c r="N85" i="26"/>
  <c r="L140" i="26"/>
  <c r="K101" i="26"/>
  <c r="P38" i="26"/>
  <c r="O101" i="26"/>
  <c r="O147" i="26"/>
  <c r="O146" i="26" s="1"/>
  <c r="M172" i="26"/>
  <c r="M171" i="26" s="1"/>
  <c r="M167" i="26" s="1"/>
  <c r="K153" i="26"/>
  <c r="K32" i="26"/>
  <c r="N32" i="26"/>
  <c r="L38" i="26"/>
  <c r="M32" i="26"/>
  <c r="K134" i="26"/>
  <c r="O49" i="26"/>
  <c r="P134" i="26"/>
  <c r="N153" i="26"/>
  <c r="M78" i="26"/>
  <c r="N49" i="26"/>
  <c r="M8" i="26"/>
  <c r="L172" i="26"/>
  <c r="L171" i="26" s="1"/>
  <c r="L167" i="26" s="1"/>
  <c r="K113" i="26"/>
  <c r="L49" i="26"/>
  <c r="L57" i="26"/>
  <c r="O91" i="26"/>
  <c r="P57" i="26"/>
  <c r="L45" i="26"/>
  <c r="O61" i="26"/>
  <c r="N140" i="26"/>
  <c r="P140" i="26"/>
  <c r="O167" i="26"/>
  <c r="P85" i="26"/>
  <c r="L101" i="26"/>
  <c r="E38" i="31" l="1"/>
  <c r="N100" i="26"/>
  <c r="P100" i="26"/>
  <c r="M119" i="26"/>
  <c r="N119" i="26"/>
  <c r="M72" i="26"/>
  <c r="K119" i="26"/>
  <c r="L100" i="26"/>
  <c r="K146" i="26"/>
  <c r="O100" i="26"/>
  <c r="M100" i="26"/>
  <c r="K7" i="26"/>
  <c r="P72" i="26"/>
  <c r="N72" i="26"/>
  <c r="P146" i="26"/>
  <c r="L72" i="26"/>
  <c r="L146" i="26"/>
  <c r="O7" i="26"/>
  <c r="K72" i="26"/>
  <c r="P7" i="26"/>
  <c r="K100" i="26"/>
  <c r="O72" i="26"/>
  <c r="M7" i="26"/>
  <c r="N146" i="26"/>
  <c r="L7" i="26"/>
  <c r="O119" i="26"/>
  <c r="O99" i="26" s="1"/>
  <c r="N7" i="26"/>
  <c r="L119" i="26"/>
  <c r="P119" i="26"/>
  <c r="O6" i="26" l="1"/>
  <c r="M6" i="26"/>
  <c r="M99" i="26"/>
  <c r="N99" i="26"/>
  <c r="L6" i="26"/>
  <c r="K99" i="26"/>
  <c r="L99" i="26"/>
  <c r="K6" i="26"/>
  <c r="P99" i="26"/>
  <c r="N6" i="26"/>
  <c r="P6" i="26"/>
  <c r="N6" i="74"/>
  <c r="G20" i="70"/>
  <c r="K10" i="73" s="1"/>
  <c r="M6" i="77" s="1"/>
  <c r="O6" i="77" s="1"/>
  <c r="G21" i="70"/>
  <c r="K24" i="73" s="1"/>
  <c r="M20" i="77" s="1"/>
  <c r="O20" i="77" s="1"/>
  <c r="N20" i="74"/>
  <c r="G25" i="70"/>
  <c r="K29" i="73" s="1"/>
  <c r="M25" i="77" s="1"/>
  <c r="O25" i="77" s="1"/>
  <c r="G15" i="70"/>
  <c r="K27" i="73" s="1"/>
  <c r="M23" i="77" s="1"/>
  <c r="O23" i="77" s="1"/>
  <c r="G14" i="70"/>
  <c r="K9" i="73" s="1"/>
  <c r="M5" i="77" s="1"/>
  <c r="O5" i="77" s="1"/>
  <c r="F14" i="70"/>
  <c r="H24" i="70"/>
  <c r="P26" i="73" s="1"/>
  <c r="H15" i="70"/>
  <c r="P27" i="73" s="1"/>
  <c r="F9" i="70"/>
  <c r="G9" i="70"/>
  <c r="K19" i="73" s="1"/>
  <c r="M15" i="77" s="1"/>
  <c r="O15" i="77" s="1"/>
  <c r="F21" i="70"/>
  <c r="H21" i="70"/>
  <c r="P24" i="73" s="1"/>
  <c r="F25" i="70"/>
  <c r="G18" i="70"/>
  <c r="K15" i="73" s="1"/>
  <c r="M11" i="77" s="1"/>
  <c r="O11" i="77" s="1"/>
  <c r="G16" i="70"/>
  <c r="K17" i="73" s="1"/>
  <c r="M13" i="77" s="1"/>
  <c r="O13" i="77" s="1"/>
  <c r="G7" i="70"/>
  <c r="K13" i="73" s="1"/>
  <c r="M9" i="77" s="1"/>
  <c r="O9" i="77" s="1"/>
  <c r="G13" i="70"/>
  <c r="K11" i="73" s="1"/>
  <c r="M7" i="77" s="1"/>
  <c r="O7" i="77" s="1"/>
  <c r="F17" i="70"/>
  <c r="G17" i="70"/>
  <c r="K12" i="73" s="1"/>
  <c r="M8" i="77" s="1"/>
  <c r="O8" i="77" s="1"/>
  <c r="F23" i="70"/>
  <c r="G23" i="70"/>
  <c r="N16" i="74" s="1"/>
  <c r="F7" i="70"/>
  <c r="J13" i="73" s="1"/>
  <c r="F24" i="70"/>
  <c r="G24" i="70"/>
  <c r="K26" i="73" s="1"/>
  <c r="M22" i="77" s="1"/>
  <c r="O22" i="77" s="1"/>
  <c r="F22" i="70"/>
  <c r="G22" i="70"/>
  <c r="K23" i="73" s="1"/>
  <c r="M19" i="77" s="1"/>
  <c r="O19" i="77" s="1"/>
  <c r="F13" i="70"/>
  <c r="F16" i="70"/>
  <c r="H16" i="70"/>
  <c r="P17" i="73" s="1"/>
  <c r="F15" i="70"/>
  <c r="F18" i="70"/>
  <c r="H18" i="70"/>
  <c r="P15" i="73" s="1"/>
  <c r="F12" i="70"/>
  <c r="G12" i="70"/>
  <c r="K8" i="73" s="1"/>
  <c r="M4" i="77" s="1"/>
  <c r="O4" i="77" s="1"/>
  <c r="F10" i="70"/>
  <c r="G10" i="70"/>
  <c r="K22" i="73" s="1"/>
  <c r="M18" i="77" s="1"/>
  <c r="O18" i="77" s="1"/>
  <c r="F8" i="70"/>
  <c r="G8" i="70"/>
  <c r="K18" i="73" s="1"/>
  <c r="M14" i="77" s="1"/>
  <c r="O14" i="77" s="1"/>
  <c r="F5" i="70"/>
  <c r="G5" i="70"/>
  <c r="K25" i="73" s="1"/>
  <c r="M21" i="77" s="1"/>
  <c r="O21" i="77" s="1"/>
  <c r="F6" i="70"/>
  <c r="G6" i="70"/>
  <c r="K14" i="73" s="1"/>
  <c r="M10" i="77" s="1"/>
  <c r="O10" i="77" s="1"/>
  <c r="F19" i="70"/>
  <c r="G19" i="70"/>
  <c r="K16" i="73" s="1"/>
  <c r="M12" i="77" s="1"/>
  <c r="O12" i="77" s="1"/>
  <c r="F20" i="70"/>
  <c r="H20" i="70"/>
  <c r="P10" i="73" s="1"/>
  <c r="F11" i="70"/>
  <c r="G11" i="70"/>
  <c r="K7" i="73" s="1"/>
  <c r="M3" i="77" s="1"/>
  <c r="O3" i="77" s="1"/>
  <c r="P22" i="74" l="1"/>
  <c r="P22" i="77" s="1"/>
  <c r="P28" i="27"/>
  <c r="O29" i="2"/>
  <c r="P12" i="27"/>
  <c r="O13" i="2"/>
  <c r="P13" i="74"/>
  <c r="P13" i="77" s="1"/>
  <c r="P19" i="27"/>
  <c r="O20" i="2"/>
  <c r="P11" i="74"/>
  <c r="P11" i="77" s="1"/>
  <c r="P17" i="27"/>
  <c r="O18" i="2"/>
  <c r="P20" i="74"/>
  <c r="P20" i="77" s="1"/>
  <c r="P26" i="27"/>
  <c r="Q20" i="74" s="1"/>
  <c r="O27" i="2"/>
  <c r="P23" i="74"/>
  <c r="P23" i="77" s="1"/>
  <c r="P29" i="27"/>
  <c r="Q23" i="74" s="1"/>
  <c r="O30" i="2"/>
  <c r="I25" i="70"/>
  <c r="N22" i="74"/>
  <c r="O22" i="74" s="1"/>
  <c r="N7" i="74"/>
  <c r="O7" i="74" s="1"/>
  <c r="U24" i="27"/>
  <c r="P12" i="23"/>
  <c r="N21" i="74"/>
  <c r="O21" i="74" s="1"/>
  <c r="N3" i="74"/>
  <c r="O3" i="74" s="1"/>
  <c r="N10" i="74"/>
  <c r="O10" i="74" s="1"/>
  <c r="Q11" i="74"/>
  <c r="N19" i="74"/>
  <c r="O19" i="74" s="1"/>
  <c r="N5" i="74"/>
  <c r="O5" i="74" s="1"/>
  <c r="N13" i="73"/>
  <c r="H13" i="73"/>
  <c r="G9" i="74" s="1"/>
  <c r="G9" i="77" s="1"/>
  <c r="O6" i="74"/>
  <c r="O20" i="74"/>
  <c r="P30" i="73"/>
  <c r="P6" i="74"/>
  <c r="P6" i="77" s="1"/>
  <c r="Q6" i="74"/>
  <c r="S30" i="2"/>
  <c r="T30" i="2" s="1"/>
  <c r="N23" i="74"/>
  <c r="O23" i="74" s="1"/>
  <c r="S20" i="2"/>
  <c r="T20" i="2" s="1"/>
  <c r="N13" i="74"/>
  <c r="O13" i="74" s="1"/>
  <c r="I6" i="70"/>
  <c r="J14" i="73"/>
  <c r="H8" i="40"/>
  <c r="V22" i="27"/>
  <c r="U22" i="27"/>
  <c r="S22" i="23"/>
  <c r="S23" i="2"/>
  <c r="T23" i="2" s="1"/>
  <c r="I24" i="70"/>
  <c r="J26" i="73"/>
  <c r="V13" i="27"/>
  <c r="U13" i="27"/>
  <c r="I21" i="70"/>
  <c r="J24" i="73"/>
  <c r="J19" i="73"/>
  <c r="I9" i="70"/>
  <c r="S12" i="2"/>
  <c r="T12" i="2" s="1"/>
  <c r="U29" i="27"/>
  <c r="V29" i="27"/>
  <c r="S29" i="23"/>
  <c r="S14" i="2"/>
  <c r="T14" i="2" s="1"/>
  <c r="I11" i="70"/>
  <c r="J22" i="73"/>
  <c r="I10" i="70"/>
  <c r="J10" i="73"/>
  <c r="I20" i="70"/>
  <c r="I19" i="70"/>
  <c r="J16" i="73"/>
  <c r="N14" i="74"/>
  <c r="O14" i="74" s="1"/>
  <c r="J8" i="73"/>
  <c r="I12" i="70"/>
  <c r="Q13" i="74"/>
  <c r="R13" i="74" s="1"/>
  <c r="I22" i="70"/>
  <c r="J23" i="73"/>
  <c r="I23" i="70"/>
  <c r="J20" i="73"/>
  <c r="N8" i="74"/>
  <c r="O8" i="74" s="1"/>
  <c r="P13" i="2"/>
  <c r="J29" i="73"/>
  <c r="J25" i="73"/>
  <c r="I5" i="70"/>
  <c r="V24" i="27"/>
  <c r="J15" i="73"/>
  <c r="I18" i="70"/>
  <c r="I15" i="70"/>
  <c r="J27" i="73"/>
  <c r="U28" i="27"/>
  <c r="I7" i="70"/>
  <c r="V19" i="27"/>
  <c r="U19" i="27"/>
  <c r="S19" i="23"/>
  <c r="N9" i="74"/>
  <c r="O9" i="74" s="1"/>
  <c r="N15" i="74"/>
  <c r="O15" i="74" s="1"/>
  <c r="J9" i="73"/>
  <c r="I14" i="70"/>
  <c r="S29" i="2"/>
  <c r="T29" i="2" s="1"/>
  <c r="K20" i="73"/>
  <c r="S13" i="23"/>
  <c r="N12" i="74"/>
  <c r="O12" i="74" s="1"/>
  <c r="S16" i="23"/>
  <c r="J18" i="73"/>
  <c r="I8" i="70"/>
  <c r="N4" i="74"/>
  <c r="O4" i="74" s="1"/>
  <c r="J17" i="73"/>
  <c r="I16" i="70"/>
  <c r="I13" i="70"/>
  <c r="J11" i="73"/>
  <c r="J12" i="73"/>
  <c r="I17" i="70"/>
  <c r="J7" i="73"/>
  <c r="N11" i="74"/>
  <c r="O11" i="74" s="1"/>
  <c r="V26" i="27"/>
  <c r="S26" i="23"/>
  <c r="U26" i="27"/>
  <c r="S27" i="2"/>
  <c r="T27" i="2" s="1"/>
  <c r="V12" i="27"/>
  <c r="U12" i="27"/>
  <c r="S12" i="23"/>
  <c r="S13" i="2"/>
  <c r="T13" i="2" s="1"/>
  <c r="R23" i="74" l="1"/>
  <c r="R11" i="74"/>
  <c r="R20" i="74"/>
  <c r="M8" i="8"/>
  <c r="Q6" i="77"/>
  <c r="Q11" i="28"/>
  <c r="L12" i="24"/>
  <c r="L13" i="25"/>
  <c r="K13" i="38"/>
  <c r="AK12" i="10"/>
  <c r="O9" i="2"/>
  <c r="N12" i="23"/>
  <c r="O12" i="27"/>
  <c r="Q12" i="27" s="1"/>
  <c r="M13" i="8"/>
  <c r="Q23" i="77"/>
  <c r="N29" i="23"/>
  <c r="O29" i="27"/>
  <c r="Q28" i="28"/>
  <c r="U28" i="28" s="1"/>
  <c r="L29" i="24"/>
  <c r="L30" i="25"/>
  <c r="K30" i="38"/>
  <c r="AK29" i="10"/>
  <c r="AL29" i="10" s="1"/>
  <c r="R29" i="10" s="1"/>
  <c r="AF15" i="27"/>
  <c r="K9" i="74" s="1"/>
  <c r="AA16" i="2"/>
  <c r="J9" i="74"/>
  <c r="J9" i="77" s="1"/>
  <c r="R6" i="77"/>
  <c r="R23" i="77"/>
  <c r="M12" i="8"/>
  <c r="Q13" i="77"/>
  <c r="R13" i="77" s="1"/>
  <c r="O19" i="27"/>
  <c r="Q18" i="28"/>
  <c r="U18" i="28" s="1"/>
  <c r="K20" i="38"/>
  <c r="L19" i="24"/>
  <c r="L20" i="25"/>
  <c r="N19" i="23"/>
  <c r="AK19" i="10"/>
  <c r="Q22" i="77"/>
  <c r="R22" i="77" s="1"/>
  <c r="M11" i="9"/>
  <c r="L28" i="24"/>
  <c r="L29" i="25"/>
  <c r="K29" i="38"/>
  <c r="AK28" i="10"/>
  <c r="Q27" i="28"/>
  <c r="U27" i="28" s="1"/>
  <c r="N28" i="23"/>
  <c r="O28" i="27"/>
  <c r="Q28" i="27" s="1"/>
  <c r="Q20" i="77"/>
  <c r="R20" i="77" s="1"/>
  <c r="M10" i="9"/>
  <c r="L27" i="25"/>
  <c r="N26" i="23"/>
  <c r="O26" i="27"/>
  <c r="Q25" i="28"/>
  <c r="U25" i="28" s="1"/>
  <c r="L26" i="24"/>
  <c r="K27" i="38"/>
  <c r="AK26" i="10"/>
  <c r="M10" i="8"/>
  <c r="Q11" i="77"/>
  <c r="R11" i="77" s="1"/>
  <c r="K18" i="38"/>
  <c r="AK17" i="10"/>
  <c r="N17" i="23"/>
  <c r="O17" i="27"/>
  <c r="R17" i="27" s="1"/>
  <c r="Q16" i="28"/>
  <c r="U16" i="28" s="1"/>
  <c r="L17" i="24"/>
  <c r="L18" i="25"/>
  <c r="Q22" i="74"/>
  <c r="R22" i="74" s="1"/>
  <c r="P28" i="23"/>
  <c r="P29" i="2"/>
  <c r="Q29" i="2" s="1"/>
  <c r="O16" i="74"/>
  <c r="M16" i="77"/>
  <c r="O16" i="77" s="1"/>
  <c r="U25" i="27"/>
  <c r="S26" i="2"/>
  <c r="T26" i="2" s="1"/>
  <c r="V27" i="27"/>
  <c r="S25" i="23"/>
  <c r="V25" i="27"/>
  <c r="S28" i="2"/>
  <c r="T28" i="2" s="1"/>
  <c r="S28" i="23"/>
  <c r="S27" i="23"/>
  <c r="V28" i="27"/>
  <c r="U27" i="27"/>
  <c r="N18" i="74"/>
  <c r="O18" i="74" s="1"/>
  <c r="S17" i="2"/>
  <c r="T17" i="2" s="1"/>
  <c r="V16" i="27"/>
  <c r="S24" i="23"/>
  <c r="S25" i="2"/>
  <c r="T25" i="2" s="1"/>
  <c r="U16" i="27"/>
  <c r="P18" i="2"/>
  <c r="Q18" i="2" s="1"/>
  <c r="R12" i="27"/>
  <c r="P17" i="23"/>
  <c r="U11" i="27"/>
  <c r="S10" i="2"/>
  <c r="T10" i="2" s="1"/>
  <c r="V11" i="27"/>
  <c r="S9" i="23"/>
  <c r="S11" i="23"/>
  <c r="V9" i="27"/>
  <c r="U9" i="27"/>
  <c r="N18" i="73"/>
  <c r="H18" i="73"/>
  <c r="G14" i="74" s="1"/>
  <c r="G14" i="77" s="1"/>
  <c r="H27" i="73"/>
  <c r="G23" i="74" s="1"/>
  <c r="G23" i="77" s="1"/>
  <c r="N27" i="73"/>
  <c r="N16" i="73"/>
  <c r="H16" i="73"/>
  <c r="G12" i="74" s="1"/>
  <c r="G12" i="77" s="1"/>
  <c r="N9" i="73"/>
  <c r="H9" i="73"/>
  <c r="G5" i="74" s="1"/>
  <c r="G5" i="77" s="1"/>
  <c r="N23" i="73"/>
  <c r="H23" i="73"/>
  <c r="G19" i="74" s="1"/>
  <c r="G19" i="77" s="1"/>
  <c r="N22" i="73"/>
  <c r="H22" i="73"/>
  <c r="G18" i="74" s="1"/>
  <c r="G18" i="77" s="1"/>
  <c r="N14" i="73"/>
  <c r="H14" i="73"/>
  <c r="N17" i="73"/>
  <c r="H17" i="73"/>
  <c r="G13" i="74" s="1"/>
  <c r="G13" i="77" s="1"/>
  <c r="H24" i="73"/>
  <c r="N24" i="73"/>
  <c r="N11" i="73"/>
  <c r="H11" i="73"/>
  <c r="G7" i="74" s="1"/>
  <c r="H7" i="73"/>
  <c r="G3" i="74" s="1"/>
  <c r="N7" i="73"/>
  <c r="H12" i="73"/>
  <c r="G8" i="74" s="1"/>
  <c r="G8" i="77" s="1"/>
  <c r="N12" i="73"/>
  <c r="N25" i="73"/>
  <c r="H25" i="73"/>
  <c r="G21" i="74" s="1"/>
  <c r="G21" i="77" s="1"/>
  <c r="H20" i="73"/>
  <c r="G16" i="74" s="1"/>
  <c r="G16" i="77" s="1"/>
  <c r="N20" i="73"/>
  <c r="N8" i="73"/>
  <c r="H8" i="73"/>
  <c r="G4" i="74" s="1"/>
  <c r="G4" i="77" s="1"/>
  <c r="N26" i="73"/>
  <c r="H26" i="73"/>
  <c r="G22" i="74" s="1"/>
  <c r="G22" i="77" s="1"/>
  <c r="N15" i="73"/>
  <c r="H15" i="73"/>
  <c r="G11" i="74" s="1"/>
  <c r="G11" i="77" s="1"/>
  <c r="H29" i="73"/>
  <c r="G25" i="74" s="1"/>
  <c r="G25" i="77" s="1"/>
  <c r="N29" i="73"/>
  <c r="N10" i="73"/>
  <c r="H10" i="73"/>
  <c r="G6" i="74" s="1"/>
  <c r="G6" i="77" s="1"/>
  <c r="H19" i="73"/>
  <c r="G15" i="74" s="1"/>
  <c r="G15" i="77" s="1"/>
  <c r="N19" i="73"/>
  <c r="R6" i="74"/>
  <c r="S16" i="2"/>
  <c r="T16" i="2" s="1"/>
  <c r="S15" i="23"/>
  <c r="H24" i="40"/>
  <c r="R19" i="27"/>
  <c r="Q19" i="27"/>
  <c r="P20" i="2"/>
  <c r="Q20" i="2" s="1"/>
  <c r="P19" i="23"/>
  <c r="V20" i="27"/>
  <c r="U20" i="27"/>
  <c r="S20" i="23"/>
  <c r="S21" i="2"/>
  <c r="T21" i="2" s="1"/>
  <c r="H5" i="40"/>
  <c r="H21" i="40"/>
  <c r="I8" i="41"/>
  <c r="K8" i="40"/>
  <c r="V10" i="27"/>
  <c r="U10" i="27"/>
  <c r="S11" i="2"/>
  <c r="T11" i="2" s="1"/>
  <c r="S10" i="23"/>
  <c r="V21" i="27"/>
  <c r="U21" i="27"/>
  <c r="S22" i="2"/>
  <c r="T22" i="2" s="1"/>
  <c r="S21" i="23"/>
  <c r="Q26" i="27"/>
  <c r="R26" i="27"/>
  <c r="P26" i="23"/>
  <c r="P27" i="2"/>
  <c r="Q27" i="2" s="1"/>
  <c r="H20" i="40"/>
  <c r="Q13" i="2"/>
  <c r="H11" i="40"/>
  <c r="H14" i="40"/>
  <c r="V18" i="27"/>
  <c r="U18" i="27"/>
  <c r="S18" i="23"/>
  <c r="S19" i="2"/>
  <c r="T19" i="2" s="1"/>
  <c r="S17" i="23"/>
  <c r="U17" i="27"/>
  <c r="V17" i="27"/>
  <c r="S18" i="2"/>
  <c r="T18" i="2" s="1"/>
  <c r="H6" i="40"/>
  <c r="H13" i="40"/>
  <c r="U14" i="27"/>
  <c r="V14" i="27"/>
  <c r="S14" i="23"/>
  <c r="S15" i="2"/>
  <c r="T15" i="2" s="1"/>
  <c r="H18" i="40"/>
  <c r="H17" i="40"/>
  <c r="H19" i="40"/>
  <c r="G20" i="74"/>
  <c r="G20" i="77" s="1"/>
  <c r="Q29" i="27"/>
  <c r="R29" i="27"/>
  <c r="P30" i="2"/>
  <c r="Q30" i="2" s="1"/>
  <c r="P29" i="23"/>
  <c r="H12" i="40"/>
  <c r="H10" i="40"/>
  <c r="H2" i="40"/>
  <c r="H7" i="40"/>
  <c r="P8" i="27"/>
  <c r="P7" i="27" s="1"/>
  <c r="P6" i="27" s="1"/>
  <c r="P182" i="27" s="1"/>
  <c r="H4" i="40"/>
  <c r="H22" i="40"/>
  <c r="H15" i="40"/>
  <c r="H3" i="40"/>
  <c r="H9" i="40"/>
  <c r="G10" i="74"/>
  <c r="G10" i="77" s="1"/>
  <c r="AB15" i="23" l="1"/>
  <c r="L15" i="27"/>
  <c r="H9" i="74" s="1"/>
  <c r="I9" i="74" s="1"/>
  <c r="AD16" i="2"/>
  <c r="AE16" i="2" s="1"/>
  <c r="I8" i="40"/>
  <c r="L9" i="74"/>
  <c r="Q17" i="27"/>
  <c r="R28" i="27"/>
  <c r="AF28" i="27"/>
  <c r="AA29" i="2"/>
  <c r="J22" i="74"/>
  <c r="J22" i="77" s="1"/>
  <c r="AF22" i="27"/>
  <c r="AA23" i="2"/>
  <c r="J16" i="74"/>
  <c r="J16" i="77" s="1"/>
  <c r="AF16" i="27"/>
  <c r="AA17" i="2"/>
  <c r="J10" i="74"/>
  <c r="J10" i="77" s="1"/>
  <c r="AL17" i="10"/>
  <c r="R17" i="10"/>
  <c r="AL26" i="10"/>
  <c r="R26" i="10" s="1"/>
  <c r="X26" i="10"/>
  <c r="M7" i="9"/>
  <c r="M6" i="9" s="1"/>
  <c r="M5" i="9" s="1"/>
  <c r="M79" i="9" s="1"/>
  <c r="AL19" i="10"/>
  <c r="R19" i="10"/>
  <c r="P8" i="6"/>
  <c r="P16" i="25"/>
  <c r="S16" i="25" s="1"/>
  <c r="AS15" i="10"/>
  <c r="AK14" i="28"/>
  <c r="AO14" i="28" s="1"/>
  <c r="O16" i="38"/>
  <c r="AN16" i="2"/>
  <c r="AE15" i="27"/>
  <c r="P15" i="24"/>
  <c r="Z15" i="23"/>
  <c r="G8" i="40"/>
  <c r="O8" i="40" s="1"/>
  <c r="W14" i="11"/>
  <c r="AL12" i="10"/>
  <c r="R12" i="10"/>
  <c r="U11" i="28"/>
  <c r="U7" i="28" s="1"/>
  <c r="U6" i="28" s="1"/>
  <c r="U5" i="28" s="1"/>
  <c r="U181" i="28" s="1"/>
  <c r="Q7" i="28"/>
  <c r="Q6" i="28" s="1"/>
  <c r="Q5" i="28" s="1"/>
  <c r="Q181" i="28" s="1"/>
  <c r="AF14" i="27"/>
  <c r="AA15" i="2"/>
  <c r="J8" i="74"/>
  <c r="J8" i="77" s="1"/>
  <c r="AF21" i="27"/>
  <c r="AA22" i="2"/>
  <c r="J15" i="74"/>
  <c r="J15" i="77" s="1"/>
  <c r="AF12" i="27"/>
  <c r="AA13" i="2"/>
  <c r="J6" i="74"/>
  <c r="J6" i="77" s="1"/>
  <c r="AF17" i="27"/>
  <c r="AA18" i="2"/>
  <c r="J11" i="74"/>
  <c r="J11" i="77" s="1"/>
  <c r="AF26" i="27"/>
  <c r="AA27" i="2"/>
  <c r="J20" i="74"/>
  <c r="J20" i="77" s="1"/>
  <c r="AF19" i="27"/>
  <c r="AA20" i="2"/>
  <c r="J13" i="74"/>
  <c r="J13" i="77" s="1"/>
  <c r="AF11" i="27"/>
  <c r="AA12" i="2"/>
  <c r="J5" i="74"/>
  <c r="J5" i="77" s="1"/>
  <c r="AF29" i="27"/>
  <c r="AA30" i="2"/>
  <c r="J23" i="74"/>
  <c r="J23" i="77" s="1"/>
  <c r="AF20" i="27"/>
  <c r="AA21" i="2"/>
  <c r="J14" i="74"/>
  <c r="J14" i="77" s="1"/>
  <c r="AL28" i="10"/>
  <c r="R28" i="10" s="1"/>
  <c r="X28" i="10"/>
  <c r="N8" i="23"/>
  <c r="N7" i="23" s="1"/>
  <c r="N6" i="23" s="1"/>
  <c r="N182" i="23" s="1"/>
  <c r="K9" i="38"/>
  <c r="AA32" i="2"/>
  <c r="J25" i="74"/>
  <c r="J25" i="77" s="1"/>
  <c r="AF10" i="27"/>
  <c r="AA11" i="2"/>
  <c r="J4" i="74"/>
  <c r="J4" i="77" s="1"/>
  <c r="AF25" i="27"/>
  <c r="AA26" i="2"/>
  <c r="J19" i="74"/>
  <c r="J19" i="77" s="1"/>
  <c r="L9" i="25"/>
  <c r="L8" i="25" s="1"/>
  <c r="L7" i="25" s="1"/>
  <c r="L183" i="25" s="1"/>
  <c r="M7" i="8"/>
  <c r="M6" i="8" s="1"/>
  <c r="M5" i="8" s="1"/>
  <c r="M72" i="8" s="1"/>
  <c r="AF27" i="27"/>
  <c r="AA28" i="2"/>
  <c r="J21" i="74"/>
  <c r="J21" i="77" s="1"/>
  <c r="AF9" i="27"/>
  <c r="AA10" i="2"/>
  <c r="J3" i="74"/>
  <c r="J3" i="77" s="1"/>
  <c r="AF13" i="27"/>
  <c r="AA14" i="2"/>
  <c r="J7" i="74"/>
  <c r="J7" i="77" s="1"/>
  <c r="AF24" i="27"/>
  <c r="AA25" i="2"/>
  <c r="J18" i="74"/>
  <c r="J18" i="77" s="1"/>
  <c r="AF18" i="27"/>
  <c r="AA19" i="2"/>
  <c r="J12" i="74"/>
  <c r="J12" i="77" s="1"/>
  <c r="O8" i="27"/>
  <c r="O8" i="2"/>
  <c r="L8" i="24"/>
  <c r="L7" i="24" s="1"/>
  <c r="L6" i="24" s="1"/>
  <c r="L181" i="24" s="1"/>
  <c r="G7" i="77"/>
  <c r="G3" i="77"/>
  <c r="U8" i="27"/>
  <c r="U7" i="27" s="1"/>
  <c r="U6" i="27" s="1"/>
  <c r="Q8" i="27"/>
  <c r="Q7" i="27" s="1"/>
  <c r="Q6" i="27" s="1"/>
  <c r="R8" i="27"/>
  <c r="R7" i="27" s="1"/>
  <c r="R6" i="27" s="1"/>
  <c r="R182" i="27" s="1"/>
  <c r="V8" i="27"/>
  <c r="V7" i="27" s="1"/>
  <c r="V6" i="27" s="1"/>
  <c r="V182" i="27" s="1"/>
  <c r="M15" i="23"/>
  <c r="K2" i="40"/>
  <c r="D143" i="40"/>
  <c r="I2" i="41"/>
  <c r="I22" i="41"/>
  <c r="K22" i="40"/>
  <c r="P8" i="23"/>
  <c r="P7" i="23" s="1"/>
  <c r="P6" i="23" s="1"/>
  <c r="P182" i="23" s="1"/>
  <c r="D145" i="40"/>
  <c r="I15" i="41"/>
  <c r="K15" i="40"/>
  <c r="K4" i="40"/>
  <c r="I4" i="41"/>
  <c r="I10" i="41"/>
  <c r="K10" i="40"/>
  <c r="I12" i="41"/>
  <c r="K12" i="40"/>
  <c r="K17" i="40"/>
  <c r="I17" i="41"/>
  <c r="I11" i="41"/>
  <c r="K11" i="40"/>
  <c r="K20" i="40"/>
  <c r="I20" i="41"/>
  <c r="W16" i="20"/>
  <c r="M16" i="2"/>
  <c r="Q9" i="2"/>
  <c r="I21" i="41"/>
  <c r="K21" i="40"/>
  <c r="D144" i="40"/>
  <c r="I5" i="41"/>
  <c r="K5" i="40"/>
  <c r="K6" i="40"/>
  <c r="I6" i="41"/>
  <c r="I9" i="41"/>
  <c r="K9" i="40"/>
  <c r="I3" i="41"/>
  <c r="K3" i="40"/>
  <c r="K7" i="40"/>
  <c r="I7" i="41"/>
  <c r="K18" i="40"/>
  <c r="I18" i="41"/>
  <c r="K19" i="40"/>
  <c r="I19" i="41"/>
  <c r="I13" i="41"/>
  <c r="K13" i="40"/>
  <c r="K14" i="40"/>
  <c r="I14" i="41"/>
  <c r="P9" i="2"/>
  <c r="J8" i="41"/>
  <c r="M8" i="40"/>
  <c r="I24" i="41"/>
  <c r="K24" i="40"/>
  <c r="K12" i="74" l="1"/>
  <c r="L12" i="74" s="1"/>
  <c r="L18" i="27"/>
  <c r="I11" i="40"/>
  <c r="AB18" i="23"/>
  <c r="M18" i="23" s="1"/>
  <c r="AD19" i="2"/>
  <c r="AE19" i="2" s="1"/>
  <c r="P8" i="7"/>
  <c r="Z9" i="23"/>
  <c r="AS9" i="10"/>
  <c r="AE9" i="27"/>
  <c r="W8" i="11"/>
  <c r="L10" i="2"/>
  <c r="O10" i="38"/>
  <c r="P9" i="24"/>
  <c r="AN10" i="2"/>
  <c r="G2" i="40"/>
  <c r="AK8" i="28"/>
  <c r="P10" i="25"/>
  <c r="K21" i="74"/>
  <c r="L21" i="74" s="1"/>
  <c r="I20" i="40"/>
  <c r="AB27" i="23"/>
  <c r="M27" i="23" s="1"/>
  <c r="AD28" i="2"/>
  <c r="AE28" i="2" s="1"/>
  <c r="L27" i="27"/>
  <c r="AL27" i="27"/>
  <c r="K4" i="74"/>
  <c r="L4" i="74" s="1"/>
  <c r="I3" i="40"/>
  <c r="AD11" i="2"/>
  <c r="AE11" i="2" s="1"/>
  <c r="L10" i="27"/>
  <c r="AB10" i="23"/>
  <c r="M10" i="23" s="1"/>
  <c r="Q13" i="8"/>
  <c r="L13" i="8" s="1"/>
  <c r="O30" i="38"/>
  <c r="AK28" i="28"/>
  <c r="AO28" i="28" s="1"/>
  <c r="Z29" i="23"/>
  <c r="W28" i="11"/>
  <c r="P29" i="24"/>
  <c r="AS29" i="10"/>
  <c r="AT29" i="10" s="1"/>
  <c r="V29" i="10" s="1"/>
  <c r="AE29" i="27"/>
  <c r="AG29" i="27" s="1"/>
  <c r="G22" i="40"/>
  <c r="P30" i="25"/>
  <c r="AN30" i="2"/>
  <c r="L30" i="2"/>
  <c r="K5" i="74"/>
  <c r="L5" i="74" s="1"/>
  <c r="AB11" i="23"/>
  <c r="M11" i="23" s="1"/>
  <c r="AD12" i="2"/>
  <c r="AE12" i="2" s="1"/>
  <c r="I4" i="40"/>
  <c r="L11" i="27"/>
  <c r="AB19" i="23"/>
  <c r="M19" i="23" s="1"/>
  <c r="K13" i="74"/>
  <c r="L13" i="74" s="1"/>
  <c r="AD20" i="2"/>
  <c r="AE20" i="2" s="1"/>
  <c r="I12" i="40"/>
  <c r="L19" i="27"/>
  <c r="AB17" i="23"/>
  <c r="M17" i="23" s="1"/>
  <c r="AD18" i="2"/>
  <c r="AE18" i="2" s="1"/>
  <c r="K11" i="74"/>
  <c r="L11" i="74" s="1"/>
  <c r="I10" i="40"/>
  <c r="L17" i="27"/>
  <c r="P9" i="6"/>
  <c r="K9" i="6" s="1"/>
  <c r="P16" i="24"/>
  <c r="P17" i="25"/>
  <c r="S17" i="25" s="1"/>
  <c r="L17" i="2"/>
  <c r="G9" i="40"/>
  <c r="O17" i="38"/>
  <c r="AE16" i="27"/>
  <c r="Z16" i="23"/>
  <c r="AS16" i="10"/>
  <c r="AT16" i="10" s="1"/>
  <c r="V16" i="10" s="1"/>
  <c r="AK15" i="28"/>
  <c r="AO15" i="28" s="1"/>
  <c r="AN17" i="2"/>
  <c r="W15" i="11"/>
  <c r="Q8" i="9"/>
  <c r="P22" i="24"/>
  <c r="P23" i="25"/>
  <c r="S23" i="25" s="1"/>
  <c r="G15" i="40"/>
  <c r="O23" i="38"/>
  <c r="Z22" i="23"/>
  <c r="AS22" i="10"/>
  <c r="AE22" i="27"/>
  <c r="L23" i="2"/>
  <c r="AK21" i="28"/>
  <c r="AO21" i="28" s="1"/>
  <c r="AN23" i="2"/>
  <c r="W21" i="11"/>
  <c r="K22" i="74"/>
  <c r="L22" i="74" s="1"/>
  <c r="AD29" i="2"/>
  <c r="AE29" i="2" s="1"/>
  <c r="AB28" i="23"/>
  <c r="M28" i="23" s="1"/>
  <c r="I21" i="40"/>
  <c r="L28" i="27"/>
  <c r="G6" i="40"/>
  <c r="AK12" i="28"/>
  <c r="AO12" i="28" s="1"/>
  <c r="P11" i="7"/>
  <c r="K11" i="7" s="1"/>
  <c r="P13" i="24"/>
  <c r="O14" i="38"/>
  <c r="P14" i="25"/>
  <c r="S14" i="25" s="1"/>
  <c r="Z13" i="23"/>
  <c r="AN14" i="2"/>
  <c r="AE13" i="27"/>
  <c r="W12" i="11"/>
  <c r="L14" i="2"/>
  <c r="AS13" i="10"/>
  <c r="AT13" i="10" s="1"/>
  <c r="V13" i="10" s="1"/>
  <c r="K3" i="74"/>
  <c r="L3" i="74" s="1"/>
  <c r="AD10" i="2"/>
  <c r="AE10" i="2" s="1"/>
  <c r="AB9" i="23"/>
  <c r="M9" i="23" s="1"/>
  <c r="L9" i="27"/>
  <c r="I2" i="40"/>
  <c r="AH9" i="27"/>
  <c r="P10" i="6"/>
  <c r="K10" i="6" s="1"/>
  <c r="P21" i="25"/>
  <c r="S21" i="25" s="1"/>
  <c r="Z20" i="23"/>
  <c r="AS20" i="10"/>
  <c r="AT20" i="10" s="1"/>
  <c r="V20" i="10" s="1"/>
  <c r="W19" i="11"/>
  <c r="AK19" i="28"/>
  <c r="AO19" i="28" s="1"/>
  <c r="AN21" i="2"/>
  <c r="AE20" i="27"/>
  <c r="AG20" i="27" s="1"/>
  <c r="P20" i="24"/>
  <c r="L21" i="2"/>
  <c r="G13" i="40"/>
  <c r="O21" i="38"/>
  <c r="K23" i="74"/>
  <c r="L23" i="74" s="1"/>
  <c r="AD30" i="2"/>
  <c r="AE30" i="2" s="1"/>
  <c r="AL29" i="27"/>
  <c r="AB29" i="23"/>
  <c r="M29" i="23" s="1"/>
  <c r="I22" i="40"/>
  <c r="L29" i="27"/>
  <c r="P11" i="6"/>
  <c r="K11" i="6" s="1"/>
  <c r="AK20" i="28"/>
  <c r="AO20" i="28" s="1"/>
  <c r="O22" i="38"/>
  <c r="P21" i="24"/>
  <c r="P22" i="25"/>
  <c r="S22" i="25" s="1"/>
  <c r="Z21" i="23"/>
  <c r="W20" i="11"/>
  <c r="G14" i="40"/>
  <c r="AS21" i="10"/>
  <c r="L22" i="2"/>
  <c r="AN22" i="2"/>
  <c r="AE21" i="27"/>
  <c r="AG21" i="27" s="1"/>
  <c r="Q9" i="8"/>
  <c r="L9" i="8" s="1"/>
  <c r="AK13" i="28"/>
  <c r="AO13" i="28" s="1"/>
  <c r="AS14" i="10"/>
  <c r="P14" i="24"/>
  <c r="Z14" i="23"/>
  <c r="O15" i="38"/>
  <c r="W13" i="11"/>
  <c r="G7" i="40"/>
  <c r="P15" i="25"/>
  <c r="S15" i="25" s="1"/>
  <c r="AN15" i="2"/>
  <c r="AE14" i="27"/>
  <c r="AH14" i="27" s="1"/>
  <c r="L15" i="2"/>
  <c r="K10" i="74"/>
  <c r="L10" i="74" s="1"/>
  <c r="I9" i="40"/>
  <c r="L16" i="27"/>
  <c r="AH16" i="27"/>
  <c r="AD17" i="2"/>
  <c r="AE17" i="2" s="1"/>
  <c r="AB16" i="23"/>
  <c r="M16" i="23" s="1"/>
  <c r="I15" i="40"/>
  <c r="L22" i="27"/>
  <c r="AB22" i="23"/>
  <c r="M22" i="23" s="1"/>
  <c r="K16" i="74"/>
  <c r="L16" i="74" s="1"/>
  <c r="AD23" i="2"/>
  <c r="AE23" i="2" s="1"/>
  <c r="AH22" i="27"/>
  <c r="K8" i="38"/>
  <c r="O7" i="27"/>
  <c r="O7" i="2"/>
  <c r="P13" i="6"/>
  <c r="K13" i="6" s="1"/>
  <c r="G17" i="40"/>
  <c r="O25" i="38"/>
  <c r="AS24" i="10"/>
  <c r="AT24" i="10" s="1"/>
  <c r="V24" i="10" s="1"/>
  <c r="P25" i="25"/>
  <c r="S25" i="25" s="1"/>
  <c r="Z24" i="23"/>
  <c r="AN25" i="2"/>
  <c r="AE24" i="27"/>
  <c r="AG24" i="27" s="1"/>
  <c r="W23" i="11"/>
  <c r="AK23" i="28"/>
  <c r="AO23" i="28" s="1"/>
  <c r="L25" i="2"/>
  <c r="P24" i="24"/>
  <c r="AD14" i="2"/>
  <c r="AE14" i="2" s="1"/>
  <c r="AH13" i="27"/>
  <c r="L13" i="27"/>
  <c r="K7" i="74"/>
  <c r="L7" i="74" s="1"/>
  <c r="AB13" i="23"/>
  <c r="M13" i="23" s="1"/>
  <c r="I6" i="40"/>
  <c r="Q9" i="9"/>
  <c r="L9" i="9" s="1"/>
  <c r="G18" i="40"/>
  <c r="L26" i="2"/>
  <c r="AK24" i="28"/>
  <c r="AO24" i="28" s="1"/>
  <c r="P26" i="25"/>
  <c r="O26" i="38"/>
  <c r="AS25" i="10"/>
  <c r="AE25" i="27"/>
  <c r="P25" i="24"/>
  <c r="Z25" i="23"/>
  <c r="AN26" i="2"/>
  <c r="W24" i="11"/>
  <c r="Q12" i="9"/>
  <c r="L12" i="9" s="1"/>
  <c r="G24" i="40"/>
  <c r="L32" i="2"/>
  <c r="Z31" i="23"/>
  <c r="O32" i="38"/>
  <c r="AE31" i="27"/>
  <c r="AG31" i="27" s="1"/>
  <c r="AK30" i="28"/>
  <c r="AO30" i="28" s="1"/>
  <c r="AN32" i="2"/>
  <c r="W30" i="11"/>
  <c r="AH20" i="27"/>
  <c r="AD21" i="2"/>
  <c r="AE21" i="2" s="1"/>
  <c r="AB20" i="23"/>
  <c r="M20" i="23" s="1"/>
  <c r="K14" i="74"/>
  <c r="L14" i="74" s="1"/>
  <c r="I13" i="40"/>
  <c r="L20" i="27"/>
  <c r="AL20" i="27"/>
  <c r="Q10" i="9"/>
  <c r="L10" i="9" s="1"/>
  <c r="P26" i="24"/>
  <c r="Z26" i="23"/>
  <c r="G19" i="40"/>
  <c r="P27" i="25"/>
  <c r="S27" i="25" s="1"/>
  <c r="AS26" i="10"/>
  <c r="AE26" i="27"/>
  <c r="W25" i="11"/>
  <c r="AK25" i="28"/>
  <c r="AO25" i="28" s="1"/>
  <c r="O27" i="38"/>
  <c r="AN27" i="2"/>
  <c r="L27" i="2"/>
  <c r="Q8" i="8"/>
  <c r="AK11" i="28"/>
  <c r="AO11" i="28" s="1"/>
  <c r="P13" i="25"/>
  <c r="S13" i="25" s="1"/>
  <c r="O13" i="38"/>
  <c r="P12" i="24"/>
  <c r="Z12" i="23"/>
  <c r="AN13" i="2"/>
  <c r="G5" i="40"/>
  <c r="AE12" i="27"/>
  <c r="AS12" i="10"/>
  <c r="W11" i="11"/>
  <c r="L13" i="2"/>
  <c r="K15" i="74"/>
  <c r="L15" i="74" s="1"/>
  <c r="AB21" i="23"/>
  <c r="M21" i="23" s="1"/>
  <c r="I14" i="40"/>
  <c r="AD22" i="2"/>
  <c r="AE22" i="2" s="1"/>
  <c r="AH21" i="27"/>
  <c r="L21" i="27"/>
  <c r="AL21" i="27"/>
  <c r="I7" i="40"/>
  <c r="AB14" i="23"/>
  <c r="M14" i="23" s="1"/>
  <c r="K8" i="74"/>
  <c r="L8" i="74" s="1"/>
  <c r="AD15" i="2"/>
  <c r="AE15" i="2" s="1"/>
  <c r="L14" i="27"/>
  <c r="R183" i="28"/>
  <c r="AL15" i="27"/>
  <c r="AG15" i="27"/>
  <c r="AH15" i="27"/>
  <c r="AT15" i="10"/>
  <c r="V15" i="10"/>
  <c r="Q11" i="8"/>
  <c r="L11" i="8" s="1"/>
  <c r="G11" i="40"/>
  <c r="Z18" i="23"/>
  <c r="O19" i="38"/>
  <c r="L19" i="2"/>
  <c r="AN19" i="2"/>
  <c r="W17" i="11"/>
  <c r="AK17" i="28"/>
  <c r="AO17" i="28" s="1"/>
  <c r="P19" i="25"/>
  <c r="S19" i="25" s="1"/>
  <c r="AE18" i="27"/>
  <c r="P18" i="24"/>
  <c r="AS18" i="10"/>
  <c r="I17" i="40"/>
  <c r="K18" i="74"/>
  <c r="L18" i="74" s="1"/>
  <c r="AB24" i="23"/>
  <c r="M24" i="23" s="1"/>
  <c r="AD25" i="2"/>
  <c r="AE25" i="2" s="1"/>
  <c r="AL24" i="27"/>
  <c r="L24" i="27"/>
  <c r="P14" i="6"/>
  <c r="K14" i="6" s="1"/>
  <c r="P27" i="24"/>
  <c r="Z27" i="23"/>
  <c r="AS27" i="10"/>
  <c r="AT27" i="10" s="1"/>
  <c r="V27" i="10" s="1"/>
  <c r="W26" i="11"/>
  <c r="G20" i="40"/>
  <c r="AN28" i="2"/>
  <c r="AE27" i="27"/>
  <c r="AG27" i="27" s="1"/>
  <c r="P28" i="25"/>
  <c r="S28" i="25" s="1"/>
  <c r="L28" i="2"/>
  <c r="AK26" i="28"/>
  <c r="AO26" i="28" s="1"/>
  <c r="O28" i="38"/>
  <c r="K19" i="74"/>
  <c r="L19" i="74" s="1"/>
  <c r="AD26" i="2"/>
  <c r="AE26" i="2" s="1"/>
  <c r="AB25" i="23"/>
  <c r="M25" i="23" s="1"/>
  <c r="AH25" i="27"/>
  <c r="L25" i="27"/>
  <c r="I18" i="40"/>
  <c r="P9" i="7"/>
  <c r="K9" i="7" s="1"/>
  <c r="AK9" i="28"/>
  <c r="AO9" i="28" s="1"/>
  <c r="P11" i="25"/>
  <c r="S11" i="25" s="1"/>
  <c r="AN11" i="2"/>
  <c r="P10" i="24"/>
  <c r="W9" i="11"/>
  <c r="G3" i="40"/>
  <c r="AS10" i="10"/>
  <c r="AT10" i="10" s="1"/>
  <c r="V10" i="10" s="1"/>
  <c r="AE10" i="27"/>
  <c r="L11" i="2"/>
  <c r="Z10" i="23"/>
  <c r="O11" i="38"/>
  <c r="P10" i="7"/>
  <c r="K10" i="7" s="1"/>
  <c r="P11" i="24"/>
  <c r="Z11" i="23"/>
  <c r="O12" i="38"/>
  <c r="L12" i="2"/>
  <c r="G4" i="40"/>
  <c r="AN12" i="2"/>
  <c r="P12" i="25"/>
  <c r="S12" i="25" s="1"/>
  <c r="W10" i="11"/>
  <c r="AK10" i="28"/>
  <c r="AO10" i="28" s="1"/>
  <c r="AS11" i="10"/>
  <c r="AT11" i="10" s="1"/>
  <c r="V11" i="10" s="1"/>
  <c r="AE11" i="27"/>
  <c r="Q12" i="8"/>
  <c r="L12" i="8" s="1"/>
  <c r="AK18" i="28"/>
  <c r="AO18" i="28" s="1"/>
  <c r="P20" i="25"/>
  <c r="S20" i="25" s="1"/>
  <c r="Z19" i="23"/>
  <c r="O20" i="38"/>
  <c r="AE19" i="27"/>
  <c r="P19" i="24"/>
  <c r="AN20" i="2"/>
  <c r="G12" i="40"/>
  <c r="W18" i="11"/>
  <c r="F24" i="12" s="1"/>
  <c r="AS19" i="10"/>
  <c r="L20" i="2"/>
  <c r="K20" i="74"/>
  <c r="L20" i="74" s="1"/>
  <c r="AH26" i="27"/>
  <c r="I19" i="40"/>
  <c r="AB26" i="23"/>
  <c r="M26" i="23" s="1"/>
  <c r="AD27" i="2"/>
  <c r="AE27" i="2" s="1"/>
  <c r="L26" i="27"/>
  <c r="Q10" i="8"/>
  <c r="L10" i="8" s="1"/>
  <c r="P17" i="24"/>
  <c r="AN18" i="2"/>
  <c r="G10" i="40"/>
  <c r="P18" i="25"/>
  <c r="S18" i="25" s="1"/>
  <c r="Z17" i="23"/>
  <c r="AS17" i="10"/>
  <c r="AE17" i="27"/>
  <c r="AH17" i="27" s="1"/>
  <c r="W16" i="11"/>
  <c r="F26" i="12" s="1"/>
  <c r="AK16" i="28"/>
  <c r="AO16" i="28" s="1"/>
  <c r="O18" i="38"/>
  <c r="L18" i="2"/>
  <c r="AH12" i="27"/>
  <c r="AD13" i="2"/>
  <c r="AE13" i="2" s="1"/>
  <c r="L12" i="27"/>
  <c r="AB12" i="23"/>
  <c r="M12" i="23" s="1"/>
  <c r="K6" i="74"/>
  <c r="L6" i="74" s="1"/>
  <c r="I5" i="40"/>
  <c r="K9" i="77"/>
  <c r="L9" i="77" s="1"/>
  <c r="L8" i="40"/>
  <c r="N8" i="40"/>
  <c r="Q11" i="9"/>
  <c r="L11" i="9" s="1"/>
  <c r="G21" i="40"/>
  <c r="O29" i="38"/>
  <c r="AS28" i="10"/>
  <c r="AE28" i="27"/>
  <c r="AH28" i="27" s="1"/>
  <c r="Z28" i="23"/>
  <c r="AN29" i="2"/>
  <c r="AK27" i="28"/>
  <c r="AO27" i="28" s="1"/>
  <c r="W27" i="11"/>
  <c r="P28" i="24"/>
  <c r="P29" i="25"/>
  <c r="S29" i="25" s="1"/>
  <c r="L29" i="2"/>
  <c r="L8" i="41"/>
  <c r="U8" i="41"/>
  <c r="K8" i="41"/>
  <c r="J28" i="73"/>
  <c r="G4" i="70"/>
  <c r="K28" i="73" s="1"/>
  <c r="AH24" i="27" l="1"/>
  <c r="AH29" i="27"/>
  <c r="F25" i="12"/>
  <c r="K25" i="28"/>
  <c r="P25" i="28" s="1"/>
  <c r="K26" i="23"/>
  <c r="K26" i="24"/>
  <c r="K26" i="27"/>
  <c r="N26" i="27" s="1"/>
  <c r="J27" i="38"/>
  <c r="K27" i="25"/>
  <c r="V25" i="11"/>
  <c r="AI26" i="10"/>
  <c r="K20" i="77"/>
  <c r="L19" i="40"/>
  <c r="N19" i="40"/>
  <c r="O13" i="40"/>
  <c r="J13" i="41"/>
  <c r="M13" i="40"/>
  <c r="K25" i="77"/>
  <c r="L24" i="40"/>
  <c r="N24" i="40"/>
  <c r="AT25" i="10"/>
  <c r="V25" i="10" s="1"/>
  <c r="AB25" i="10"/>
  <c r="CR25" i="10" s="1"/>
  <c r="K26" i="25"/>
  <c r="K24" i="28"/>
  <c r="P24" i="28" s="1"/>
  <c r="K25" i="23"/>
  <c r="AI25" i="10"/>
  <c r="K25" i="27"/>
  <c r="K25" i="24"/>
  <c r="V24" i="11"/>
  <c r="J26" i="38"/>
  <c r="M9" i="40"/>
  <c r="O9" i="40"/>
  <c r="J9" i="41"/>
  <c r="AL14" i="27"/>
  <c r="AG14" i="27"/>
  <c r="AT14" i="10"/>
  <c r="V14" i="10"/>
  <c r="H23" i="74"/>
  <c r="I23" i="74" s="1"/>
  <c r="W30" i="20"/>
  <c r="M30" i="2"/>
  <c r="N30" i="2" s="1"/>
  <c r="K14" i="77"/>
  <c r="L13" i="40"/>
  <c r="N13" i="40"/>
  <c r="AT22" i="10"/>
  <c r="V22" i="10" s="1"/>
  <c r="CI22" i="10" s="1"/>
  <c r="CJ22" i="10" s="1"/>
  <c r="AB22" i="10"/>
  <c r="AL16" i="27"/>
  <c r="AG16" i="27"/>
  <c r="H13" i="74"/>
  <c r="I13" i="74" s="1"/>
  <c r="M20" i="2"/>
  <c r="N20" i="2" s="1"/>
  <c r="W20" i="20"/>
  <c r="O4" i="40"/>
  <c r="J4" i="41"/>
  <c r="M4" i="40"/>
  <c r="AI29" i="10"/>
  <c r="AJ29" i="10" s="1"/>
  <c r="Q29" i="10" s="1"/>
  <c r="CQ29" i="10" s="1"/>
  <c r="K30" i="25"/>
  <c r="K29" i="27"/>
  <c r="K29" i="23"/>
  <c r="K28" i="28"/>
  <c r="P28" i="28" s="1"/>
  <c r="K29" i="24"/>
  <c r="J30" i="38"/>
  <c r="V28" i="11"/>
  <c r="E143" i="40"/>
  <c r="J3" i="41"/>
  <c r="O3" i="40"/>
  <c r="M3" i="40"/>
  <c r="H21" i="74"/>
  <c r="I21" i="74" s="1"/>
  <c r="W28" i="20"/>
  <c r="M28" i="2"/>
  <c r="N28" i="2" s="1"/>
  <c r="K9" i="23"/>
  <c r="J10" i="38"/>
  <c r="K10" i="25"/>
  <c r="V8" i="11"/>
  <c r="K9" i="24"/>
  <c r="AI9" i="10"/>
  <c r="AJ9" i="10" s="1"/>
  <c r="Q9" i="10" s="1"/>
  <c r="K8" i="28"/>
  <c r="P8" i="28" s="1"/>
  <c r="K9" i="27"/>
  <c r="AL19" i="27"/>
  <c r="AG19" i="27"/>
  <c r="K5" i="77"/>
  <c r="L4" i="40"/>
  <c r="N4" i="40"/>
  <c r="K10" i="23"/>
  <c r="J11" i="38"/>
  <c r="K11" i="25"/>
  <c r="K10" i="27"/>
  <c r="AI10" i="10"/>
  <c r="AJ10" i="10" s="1"/>
  <c r="Q10" i="10" s="1"/>
  <c r="CQ10" i="10" s="1"/>
  <c r="K10" i="24"/>
  <c r="K9" i="28"/>
  <c r="P9" i="28" s="1"/>
  <c r="V9" i="11"/>
  <c r="AT18" i="10"/>
  <c r="V18" i="10"/>
  <c r="M14" i="40"/>
  <c r="J14" i="41"/>
  <c r="O14" i="40"/>
  <c r="K27" i="28"/>
  <c r="P27" i="28" s="1"/>
  <c r="V27" i="11"/>
  <c r="J29" i="38"/>
  <c r="K28" i="23"/>
  <c r="K28" i="27"/>
  <c r="K29" i="25"/>
  <c r="K28" i="24"/>
  <c r="AI28" i="10"/>
  <c r="AT28" i="10"/>
  <c r="V28" i="10" s="1"/>
  <c r="AB28" i="10"/>
  <c r="H6" i="74"/>
  <c r="I6" i="74" s="1"/>
  <c r="M13" i="2"/>
  <c r="N13" i="2" s="1"/>
  <c r="W13" i="20"/>
  <c r="AT17" i="10"/>
  <c r="V17" i="10"/>
  <c r="K13" i="77"/>
  <c r="L12" i="40"/>
  <c r="N12" i="40"/>
  <c r="K12" i="25"/>
  <c r="J12" i="38"/>
  <c r="AI11" i="10"/>
  <c r="AJ11" i="10" s="1"/>
  <c r="Q11" i="10" s="1"/>
  <c r="CQ11" i="10" s="1"/>
  <c r="K11" i="24"/>
  <c r="V10" i="11"/>
  <c r="K11" i="23"/>
  <c r="K10" i="28"/>
  <c r="P10" i="28" s="1"/>
  <c r="K11" i="27"/>
  <c r="AL10" i="27"/>
  <c r="AG10" i="27"/>
  <c r="H18" i="74"/>
  <c r="I18" i="74" s="1"/>
  <c r="M25" i="2"/>
  <c r="N25" i="2" s="1"/>
  <c r="W25" i="20"/>
  <c r="H15" i="74"/>
  <c r="I15" i="74" s="1"/>
  <c r="W22" i="20"/>
  <c r="M22" i="2"/>
  <c r="N22" i="2" s="1"/>
  <c r="AT12" i="10"/>
  <c r="V12" i="10"/>
  <c r="AL26" i="27"/>
  <c r="AG26" i="27"/>
  <c r="K19" i="77"/>
  <c r="L18" i="40"/>
  <c r="N18" i="40"/>
  <c r="CR24" i="10"/>
  <c r="CI24" i="10"/>
  <c r="CJ24" i="10" s="1"/>
  <c r="K21" i="27"/>
  <c r="K22" i="25"/>
  <c r="K21" i="24"/>
  <c r="J22" i="38"/>
  <c r="V20" i="11"/>
  <c r="K21" i="23"/>
  <c r="K20" i="28"/>
  <c r="P20" i="28" s="1"/>
  <c r="AI21" i="10"/>
  <c r="AJ21" i="10" s="1"/>
  <c r="O22" i="40"/>
  <c r="J22" i="41"/>
  <c r="M22" i="40"/>
  <c r="K21" i="25"/>
  <c r="K20" i="23"/>
  <c r="AI20" i="10"/>
  <c r="AJ20" i="10" s="1"/>
  <c r="Q20" i="10" s="1"/>
  <c r="CQ20" i="10" s="1"/>
  <c r="J21" i="38"/>
  <c r="K20" i="27"/>
  <c r="K19" i="28"/>
  <c r="P19" i="28" s="1"/>
  <c r="V19" i="11"/>
  <c r="K20" i="24"/>
  <c r="O2" i="40"/>
  <c r="J2" i="41"/>
  <c r="M2" i="40"/>
  <c r="AL13" i="27"/>
  <c r="AG13" i="27"/>
  <c r="L6" i="40"/>
  <c r="K7" i="77"/>
  <c r="N6" i="40"/>
  <c r="H22" i="74"/>
  <c r="I22" i="74" s="1"/>
  <c r="M29" i="2"/>
  <c r="N29" i="2" s="1"/>
  <c r="N28" i="27"/>
  <c r="W29" i="20"/>
  <c r="J12" i="41"/>
  <c r="O12" i="40"/>
  <c r="M12" i="40"/>
  <c r="CR29" i="10"/>
  <c r="CI29" i="10"/>
  <c r="CJ29" i="10" s="1"/>
  <c r="H4" i="74"/>
  <c r="I4" i="74" s="1"/>
  <c r="W11" i="20"/>
  <c r="M11" i="2"/>
  <c r="N11" i="2" s="1"/>
  <c r="S10" i="25"/>
  <c r="K8" i="7"/>
  <c r="K7" i="7" s="1"/>
  <c r="K6" i="7" s="1"/>
  <c r="K5" i="7" s="1"/>
  <c r="K78" i="7" s="1"/>
  <c r="P7" i="7"/>
  <c r="J11" i="41"/>
  <c r="O11" i="40"/>
  <c r="M11" i="40"/>
  <c r="K22" i="77"/>
  <c r="L21" i="40"/>
  <c r="N21" i="40"/>
  <c r="AL28" i="27"/>
  <c r="AG28" i="27"/>
  <c r="K17" i="27"/>
  <c r="K18" i="25"/>
  <c r="AI17" i="10"/>
  <c r="AJ17" i="10" s="1"/>
  <c r="J18" i="38"/>
  <c r="V16" i="11"/>
  <c r="K17" i="24"/>
  <c r="K16" i="28"/>
  <c r="P16" i="28" s="1"/>
  <c r="K17" i="23"/>
  <c r="AL17" i="27"/>
  <c r="AG17" i="27"/>
  <c r="K11" i="77"/>
  <c r="L10" i="40"/>
  <c r="N10" i="40"/>
  <c r="H20" i="74"/>
  <c r="I20" i="74" s="1"/>
  <c r="W27" i="20"/>
  <c r="M27" i="2"/>
  <c r="N27" i="2" s="1"/>
  <c r="CR27" i="10"/>
  <c r="CI27" i="10"/>
  <c r="CJ27" i="10" s="1"/>
  <c r="O5" i="40"/>
  <c r="M5" i="40"/>
  <c r="E144" i="40"/>
  <c r="J5" i="41"/>
  <c r="K20" i="25"/>
  <c r="K18" i="28"/>
  <c r="P18" i="28" s="1"/>
  <c r="V18" i="11"/>
  <c r="E24" i="12" s="1"/>
  <c r="AI19" i="10"/>
  <c r="AJ19" i="10" s="1"/>
  <c r="J20" i="38"/>
  <c r="K19" i="27"/>
  <c r="K19" i="23"/>
  <c r="K19" i="24"/>
  <c r="AL11" i="27"/>
  <c r="AG11" i="27"/>
  <c r="CR10" i="10"/>
  <c r="CI10" i="10"/>
  <c r="CJ10" i="10" s="1"/>
  <c r="O18" i="40"/>
  <c r="M18" i="40"/>
  <c r="J18" i="41"/>
  <c r="K26" i="28"/>
  <c r="P26" i="28" s="1"/>
  <c r="K27" i="23"/>
  <c r="K27" i="27"/>
  <c r="V26" i="11"/>
  <c r="J28" i="38"/>
  <c r="K28" i="25"/>
  <c r="K27" i="24"/>
  <c r="AI27" i="10"/>
  <c r="AJ27" i="10" s="1"/>
  <c r="Q27" i="10" s="1"/>
  <c r="CQ27" i="10" s="1"/>
  <c r="K21" i="77"/>
  <c r="L20" i="40"/>
  <c r="N20" i="40"/>
  <c r="AL18" i="27"/>
  <c r="AG18" i="27"/>
  <c r="K12" i="77"/>
  <c r="L11" i="40"/>
  <c r="N11" i="40"/>
  <c r="H8" i="74"/>
  <c r="I8" i="74" s="1"/>
  <c r="M15" i="2"/>
  <c r="N15" i="2" s="1"/>
  <c r="W15" i="20"/>
  <c r="AL12" i="27"/>
  <c r="AG12" i="27"/>
  <c r="Q7" i="8"/>
  <c r="L8" i="8"/>
  <c r="L7" i="8" s="1"/>
  <c r="L6" i="8" s="1"/>
  <c r="L5" i="8" s="1"/>
  <c r="L72" i="8" s="1"/>
  <c r="AT26" i="10"/>
  <c r="V26" i="10" s="1"/>
  <c r="CI26" i="10" s="1"/>
  <c r="CJ26" i="10" s="1"/>
  <c r="AB26" i="10"/>
  <c r="R26" i="25"/>
  <c r="S26" i="25"/>
  <c r="H7" i="74"/>
  <c r="I7" i="74" s="1"/>
  <c r="W14" i="20"/>
  <c r="M14" i="2"/>
  <c r="N14" i="2" s="1"/>
  <c r="K25" i="25"/>
  <c r="K23" i="28"/>
  <c r="P23" i="28" s="1"/>
  <c r="V23" i="11"/>
  <c r="J25" i="38"/>
  <c r="K24" i="23"/>
  <c r="K24" i="27"/>
  <c r="AI24" i="10"/>
  <c r="AJ24" i="10" s="1"/>
  <c r="Q24" i="10" s="1"/>
  <c r="CQ24" i="10" s="1"/>
  <c r="K24" i="24"/>
  <c r="O6" i="27"/>
  <c r="O182" i="27" s="1"/>
  <c r="K7" i="38"/>
  <c r="O183" i="2"/>
  <c r="Q183" i="28" s="1"/>
  <c r="H16" i="74"/>
  <c r="I16" i="74" s="1"/>
  <c r="M23" i="2"/>
  <c r="N23" i="2" s="1"/>
  <c r="W23" i="20"/>
  <c r="AT21" i="10"/>
  <c r="V21" i="10"/>
  <c r="H3" i="74"/>
  <c r="I3" i="74" s="1"/>
  <c r="W10" i="20"/>
  <c r="M10" i="2"/>
  <c r="N10" i="2" s="1"/>
  <c r="CR13" i="10"/>
  <c r="CI13" i="10"/>
  <c r="CJ13" i="10" s="1"/>
  <c r="M21" i="40"/>
  <c r="J21" i="41"/>
  <c r="O21" i="40"/>
  <c r="K22" i="24"/>
  <c r="AI22" i="10"/>
  <c r="K22" i="23"/>
  <c r="K22" i="27"/>
  <c r="J23" i="38"/>
  <c r="V21" i="11"/>
  <c r="K23" i="25"/>
  <c r="K21" i="28"/>
  <c r="P21" i="28" s="1"/>
  <c r="L8" i="9"/>
  <c r="L7" i="9" s="1"/>
  <c r="L6" i="9" s="1"/>
  <c r="L5" i="9" s="1"/>
  <c r="L79" i="9" s="1"/>
  <c r="Q7" i="9"/>
  <c r="CR16" i="10"/>
  <c r="CI16" i="10"/>
  <c r="CJ16" i="10" s="1"/>
  <c r="K10" i="77"/>
  <c r="L9" i="40"/>
  <c r="N9" i="40"/>
  <c r="H11" i="74"/>
  <c r="I11" i="74" s="1"/>
  <c r="W18" i="20"/>
  <c r="M18" i="2"/>
  <c r="N18" i="2" s="1"/>
  <c r="AH19" i="27"/>
  <c r="H5" i="74"/>
  <c r="I5" i="74" s="1"/>
  <c r="M12" i="2"/>
  <c r="N12" i="2" s="1"/>
  <c r="W12" i="20"/>
  <c r="R30" i="25"/>
  <c r="S30" i="25"/>
  <c r="AH27" i="27"/>
  <c r="AO8" i="28"/>
  <c r="AL9" i="27"/>
  <c r="AG9" i="27"/>
  <c r="H12" i="74"/>
  <c r="I12" i="74" s="1"/>
  <c r="W19" i="20"/>
  <c r="M19" i="2"/>
  <c r="N19" i="2" s="1"/>
  <c r="J19" i="41"/>
  <c r="M19" i="40"/>
  <c r="O19" i="40"/>
  <c r="AT19" i="10"/>
  <c r="V19" i="10"/>
  <c r="CR11" i="10"/>
  <c r="CI11" i="10"/>
  <c r="CJ11" i="10" s="1"/>
  <c r="K4" i="77"/>
  <c r="L3" i="40"/>
  <c r="N3" i="40"/>
  <c r="H19" i="74"/>
  <c r="I19" i="74" s="1"/>
  <c r="M26" i="2"/>
  <c r="N26" i="2" s="1"/>
  <c r="W26" i="20"/>
  <c r="O17" i="40"/>
  <c r="J17" i="41"/>
  <c r="M17" i="40"/>
  <c r="K19" i="25"/>
  <c r="V17" i="11"/>
  <c r="AI18" i="10"/>
  <c r="AJ18" i="10" s="1"/>
  <c r="K17" i="28"/>
  <c r="P17" i="28" s="1"/>
  <c r="K18" i="23"/>
  <c r="K18" i="24"/>
  <c r="J19" i="38"/>
  <c r="K18" i="27"/>
  <c r="CR15" i="10"/>
  <c r="Q15" i="10"/>
  <c r="CQ15" i="10" s="1"/>
  <c r="CI15" i="10"/>
  <c r="CJ15" i="10" s="1"/>
  <c r="J7" i="41"/>
  <c r="O7" i="40"/>
  <c r="M7" i="40"/>
  <c r="V11" i="11"/>
  <c r="K13" i="25"/>
  <c r="K12" i="24"/>
  <c r="K12" i="23"/>
  <c r="K12" i="27"/>
  <c r="K11" i="28"/>
  <c r="P11" i="28" s="1"/>
  <c r="AI12" i="10"/>
  <c r="AJ12" i="10" s="1"/>
  <c r="J13" i="38"/>
  <c r="K6" i="77"/>
  <c r="L5" i="40"/>
  <c r="C144" i="40"/>
  <c r="N5" i="40"/>
  <c r="H14" i="74"/>
  <c r="I14" i="74" s="1"/>
  <c r="W21" i="20"/>
  <c r="M21" i="2"/>
  <c r="N21" i="2" s="1"/>
  <c r="K30" i="28"/>
  <c r="P30" i="28" s="1"/>
  <c r="K31" i="27"/>
  <c r="M31" i="27" s="1"/>
  <c r="K31" i="23"/>
  <c r="V30" i="11"/>
  <c r="J32" i="38"/>
  <c r="AL25" i="27"/>
  <c r="AG25" i="27"/>
  <c r="J6" i="41"/>
  <c r="O6" i="40"/>
  <c r="M6" i="40"/>
  <c r="K18" i="77"/>
  <c r="L17" i="40"/>
  <c r="N17" i="40"/>
  <c r="M15" i="40"/>
  <c r="J15" i="41"/>
  <c r="E145" i="40"/>
  <c r="O15" i="40"/>
  <c r="H10" i="74"/>
  <c r="I10" i="74" s="1"/>
  <c r="M17" i="2"/>
  <c r="N17" i="2" s="1"/>
  <c r="W17" i="20"/>
  <c r="K13" i="28"/>
  <c r="P13" i="28" s="1"/>
  <c r="J15" i="38"/>
  <c r="AI14" i="10"/>
  <c r="AJ14" i="10" s="1"/>
  <c r="K14" i="27"/>
  <c r="K14" i="24"/>
  <c r="K15" i="25"/>
  <c r="K14" i="23"/>
  <c r="V13" i="11"/>
  <c r="K8" i="77"/>
  <c r="L7" i="40"/>
  <c r="N7" i="40"/>
  <c r="K15" i="77"/>
  <c r="L14" i="40"/>
  <c r="N14" i="40"/>
  <c r="CR20" i="10"/>
  <c r="CI20" i="10"/>
  <c r="CJ20" i="10" s="1"/>
  <c r="K12" i="28"/>
  <c r="P12" i="28" s="1"/>
  <c r="K13" i="24"/>
  <c r="K13" i="23"/>
  <c r="K14" i="25"/>
  <c r="J14" i="38"/>
  <c r="AI13" i="10"/>
  <c r="AJ13" i="10" s="1"/>
  <c r="Q13" i="10" s="1"/>
  <c r="CQ13" i="10" s="1"/>
  <c r="K13" i="27"/>
  <c r="N13" i="27" s="1"/>
  <c r="V12" i="11"/>
  <c r="AL22" i="27"/>
  <c r="AG22" i="27"/>
  <c r="K16" i="77"/>
  <c r="L15" i="40"/>
  <c r="C145" i="40"/>
  <c r="N15" i="40"/>
  <c r="J17" i="38"/>
  <c r="K17" i="25"/>
  <c r="K15" i="28"/>
  <c r="P15" i="28" s="1"/>
  <c r="V15" i="11"/>
  <c r="AI16" i="10"/>
  <c r="AJ16" i="10" s="1"/>
  <c r="Q16" i="10" s="1"/>
  <c r="CQ16" i="10" s="1"/>
  <c r="K16" i="27"/>
  <c r="K16" i="23"/>
  <c r="K16" i="24"/>
  <c r="O10" i="40"/>
  <c r="J10" i="41"/>
  <c r="M10" i="40"/>
  <c r="AH11" i="27"/>
  <c r="K23" i="77"/>
  <c r="L22" i="40"/>
  <c r="N22" i="40"/>
  <c r="AH10" i="27"/>
  <c r="O20" i="40"/>
  <c r="M20" i="40"/>
  <c r="J20" i="41"/>
  <c r="K3" i="77"/>
  <c r="L2" i="40"/>
  <c r="C143" i="40"/>
  <c r="N2" i="40"/>
  <c r="AT9" i="10"/>
  <c r="V9" i="10" s="1"/>
  <c r="AH18" i="27"/>
  <c r="CQ9" i="10"/>
  <c r="H28" i="73"/>
  <c r="N28" i="73"/>
  <c r="K30" i="73"/>
  <c r="M24" i="77"/>
  <c r="O24" i="77" s="1"/>
  <c r="I4" i="70"/>
  <c r="J30" i="73"/>
  <c r="N24" i="74"/>
  <c r="H23" i="40"/>
  <c r="I23" i="41" s="1"/>
  <c r="CR28" i="10" l="1"/>
  <c r="CI25" i="10"/>
  <c r="CJ25" i="10" s="1"/>
  <c r="CR9" i="10"/>
  <c r="CI9" i="10"/>
  <c r="CJ9" i="10" s="1"/>
  <c r="H7" i="77"/>
  <c r="I7" i="77" s="1"/>
  <c r="L7" i="77"/>
  <c r="U22" i="41"/>
  <c r="L22" i="41"/>
  <c r="K22" i="41"/>
  <c r="AP11" i="27"/>
  <c r="M11" i="27"/>
  <c r="AP25" i="27"/>
  <c r="N25" i="27"/>
  <c r="M25" i="27"/>
  <c r="AJ26" i="10"/>
  <c r="Q26" i="10" s="1"/>
  <c r="W26" i="10"/>
  <c r="AP26" i="27"/>
  <c r="M26" i="27"/>
  <c r="L15" i="77"/>
  <c r="H15" i="77"/>
  <c r="I15" i="77" s="1"/>
  <c r="CR19" i="10"/>
  <c r="CI19" i="10"/>
  <c r="CJ19" i="10" s="1"/>
  <c r="Q19" i="10"/>
  <c r="CQ19" i="10" s="1"/>
  <c r="U19" i="41"/>
  <c r="K19" i="41"/>
  <c r="L19" i="41"/>
  <c r="K21" i="41"/>
  <c r="L21" i="41"/>
  <c r="U21" i="41"/>
  <c r="AP27" i="27"/>
  <c r="N27" i="27"/>
  <c r="M27" i="27"/>
  <c r="AP19" i="27"/>
  <c r="M19" i="27"/>
  <c r="N19" i="27"/>
  <c r="E26" i="12"/>
  <c r="AP17" i="27"/>
  <c r="M17" i="27"/>
  <c r="N17" i="27"/>
  <c r="L11" i="41"/>
  <c r="U11" i="41"/>
  <c r="K11" i="41"/>
  <c r="L2" i="41"/>
  <c r="K2" i="41"/>
  <c r="U2" i="41"/>
  <c r="AP21" i="27"/>
  <c r="M21" i="27"/>
  <c r="CR12" i="10"/>
  <c r="CI12" i="10"/>
  <c r="CJ12" i="10" s="1"/>
  <c r="Q12" i="10"/>
  <c r="CQ12" i="10" s="1"/>
  <c r="CI28" i="10"/>
  <c r="CJ28" i="10" s="1"/>
  <c r="AP28" i="27"/>
  <c r="M28" i="27"/>
  <c r="CR18" i="10"/>
  <c r="Q18" i="10"/>
  <c r="CQ18" i="10" s="1"/>
  <c r="CI18" i="10"/>
  <c r="CJ18" i="10" s="1"/>
  <c r="H5" i="77"/>
  <c r="I5" i="77" s="1"/>
  <c r="L5" i="77"/>
  <c r="M9" i="27"/>
  <c r="N9" i="27"/>
  <c r="AP9" i="27"/>
  <c r="CR22" i="10"/>
  <c r="AB8" i="10"/>
  <c r="L14" i="77"/>
  <c r="H14" i="77"/>
  <c r="I14" i="77" s="1"/>
  <c r="W25" i="10"/>
  <c r="AJ25" i="10"/>
  <c r="Q25" i="10" s="1"/>
  <c r="H25" i="77"/>
  <c r="I25" i="77" s="1"/>
  <c r="L25" i="77"/>
  <c r="AP22" i="27"/>
  <c r="M22" i="27"/>
  <c r="CR21" i="10"/>
  <c r="Q21" i="10"/>
  <c r="CQ21" i="10" s="1"/>
  <c r="CI21" i="10"/>
  <c r="CJ21" i="10" s="1"/>
  <c r="K18" i="41"/>
  <c r="L18" i="41"/>
  <c r="U18" i="41"/>
  <c r="N33" i="73"/>
  <c r="AF30" i="27"/>
  <c r="AA31" i="2"/>
  <c r="J24" i="74"/>
  <c r="J24" i="77" s="1"/>
  <c r="L23" i="77"/>
  <c r="H23" i="77"/>
  <c r="I23" i="77" s="1"/>
  <c r="AP16" i="27"/>
  <c r="N16" i="27"/>
  <c r="M16" i="27"/>
  <c r="AP14" i="27"/>
  <c r="M14" i="27"/>
  <c r="N14" i="27"/>
  <c r="U6" i="41"/>
  <c r="L6" i="41"/>
  <c r="K6" i="41"/>
  <c r="H3" i="77"/>
  <c r="I3" i="77" s="1"/>
  <c r="L3" i="77"/>
  <c r="L16" i="77"/>
  <c r="H16" i="77"/>
  <c r="I16" i="77" s="1"/>
  <c r="AP13" i="27"/>
  <c r="M13" i="27"/>
  <c r="L15" i="41"/>
  <c r="U15" i="41"/>
  <c r="K15" i="41"/>
  <c r="L18" i="77"/>
  <c r="H18" i="77"/>
  <c r="I18" i="77" s="1"/>
  <c r="U7" i="41"/>
  <c r="L7" i="41"/>
  <c r="K7" i="41"/>
  <c r="AP18" i="27"/>
  <c r="N18" i="27"/>
  <c r="M18" i="27"/>
  <c r="H4" i="77"/>
  <c r="I4" i="77" s="1"/>
  <c r="L4" i="77"/>
  <c r="Z7" i="9"/>
  <c r="Z6" i="9"/>
  <c r="Q6" i="9"/>
  <c r="AJ22" i="10"/>
  <c r="Q22" i="10" s="1"/>
  <c r="W22" i="10"/>
  <c r="N22" i="27"/>
  <c r="R9" i="25"/>
  <c r="J4" i="30" s="1"/>
  <c r="Z7" i="8"/>
  <c r="Z6" i="8" s="1"/>
  <c r="Z5" i="8" s="1"/>
  <c r="Z72" i="8" s="1"/>
  <c r="Q6" i="8"/>
  <c r="Q5" i="8" s="1"/>
  <c r="Q72" i="8" s="1"/>
  <c r="H12" i="77"/>
  <c r="I12" i="77" s="1"/>
  <c r="L12" i="77"/>
  <c r="L22" i="77"/>
  <c r="H22" i="77"/>
  <c r="I22" i="77" s="1"/>
  <c r="Y7" i="7"/>
  <c r="Y6" i="7" s="1"/>
  <c r="Y5" i="7" s="1"/>
  <c r="Y78" i="7" s="1"/>
  <c r="P6" i="7"/>
  <c r="P5" i="7" s="1"/>
  <c r="P78" i="7" s="1"/>
  <c r="L12" i="41"/>
  <c r="U12" i="41"/>
  <c r="K12" i="41"/>
  <c r="AP20" i="27"/>
  <c r="N20" i="27"/>
  <c r="M20" i="27"/>
  <c r="L19" i="77"/>
  <c r="H19" i="77"/>
  <c r="I19" i="77" s="1"/>
  <c r="H13" i="77"/>
  <c r="I13" i="77" s="1"/>
  <c r="L13" i="77"/>
  <c r="AJ28" i="10"/>
  <c r="Q28" i="10" s="1"/>
  <c r="W28" i="10"/>
  <c r="AP29" i="27"/>
  <c r="M29" i="27"/>
  <c r="U4" i="41"/>
  <c r="L4" i="41"/>
  <c r="K4" i="41"/>
  <c r="Q14" i="10"/>
  <c r="CQ14" i="10" s="1"/>
  <c r="CR14" i="10"/>
  <c r="CI14" i="10"/>
  <c r="CJ14" i="10" s="1"/>
  <c r="L9" i="41"/>
  <c r="K9" i="41"/>
  <c r="U9" i="41"/>
  <c r="L10" i="41"/>
  <c r="U10" i="41"/>
  <c r="K10" i="41"/>
  <c r="H8" i="77"/>
  <c r="I8" i="77" s="1"/>
  <c r="L8" i="77"/>
  <c r="O183" i="27"/>
  <c r="P183" i="27"/>
  <c r="P182" i="2" s="1"/>
  <c r="K20" i="41"/>
  <c r="U20" i="41"/>
  <c r="L20" i="41"/>
  <c r="H6" i="77"/>
  <c r="I6" i="77" s="1"/>
  <c r="L6" i="77"/>
  <c r="AP12" i="27"/>
  <c r="N12" i="27"/>
  <c r="M12" i="27"/>
  <c r="E25" i="12"/>
  <c r="L17" i="41"/>
  <c r="U17" i="41"/>
  <c r="K17" i="41"/>
  <c r="N11" i="27"/>
  <c r="L10" i="77"/>
  <c r="H10" i="77"/>
  <c r="I10" i="77" s="1"/>
  <c r="AP24" i="27"/>
  <c r="M24" i="27"/>
  <c r="N24" i="27"/>
  <c r="CR26" i="10"/>
  <c r="L21" i="77"/>
  <c r="H21" i="77"/>
  <c r="I21" i="77" s="1"/>
  <c r="L5" i="41"/>
  <c r="K5" i="41"/>
  <c r="U5" i="41"/>
  <c r="H11" i="77"/>
  <c r="I11" i="77" s="1"/>
  <c r="L11" i="77"/>
  <c r="N21" i="27"/>
  <c r="CR17" i="10"/>
  <c r="CI17" i="10"/>
  <c r="CJ17" i="10" s="1"/>
  <c r="Q17" i="10"/>
  <c r="CQ17" i="10" s="1"/>
  <c r="U14" i="41"/>
  <c r="K14" i="41"/>
  <c r="L14" i="41"/>
  <c r="AP10" i="27"/>
  <c r="N10" i="27"/>
  <c r="M10" i="27"/>
  <c r="K3" i="41"/>
  <c r="U3" i="41"/>
  <c r="L3" i="41"/>
  <c r="N29" i="27"/>
  <c r="U13" i="41"/>
  <c r="L13" i="41"/>
  <c r="K13" i="41"/>
  <c r="L20" i="77"/>
  <c r="H20" i="77"/>
  <c r="I20" i="77" s="1"/>
  <c r="D142" i="40"/>
  <c r="D149" i="40" s="1"/>
  <c r="L33" i="73"/>
  <c r="O24" i="74"/>
  <c r="K23" i="40"/>
  <c r="S30" i="23"/>
  <c r="T8" i="27"/>
  <c r="T7" i="27" s="1"/>
  <c r="T6" i="27" s="1"/>
  <c r="T182" i="27" s="1"/>
  <c r="T183" i="27" s="1"/>
  <c r="S182" i="2" s="1"/>
  <c r="T182" i="2" s="1"/>
  <c r="T173" i="2" s="1"/>
  <c r="V30" i="27"/>
  <c r="S31" i="2"/>
  <c r="T31" i="2" s="1"/>
  <c r="U30" i="27"/>
  <c r="H30" i="73"/>
  <c r="G24" i="74"/>
  <c r="G24" i="77" s="1"/>
  <c r="F153" i="40"/>
  <c r="I153" i="40" s="1"/>
  <c r="CQ26" i="10" l="1"/>
  <c r="CQ22" i="10"/>
  <c r="CQ25" i="10"/>
  <c r="W8" i="10"/>
  <c r="P15" i="6"/>
  <c r="P30" i="24"/>
  <c r="P8" i="24" s="1"/>
  <c r="P7" i="24" s="1"/>
  <c r="P6" i="24" s="1"/>
  <c r="P181" i="24" s="1"/>
  <c r="G23" i="40"/>
  <c r="O31" i="38"/>
  <c r="O9" i="38" s="1"/>
  <c r="L31" i="2"/>
  <c r="P31" i="25"/>
  <c r="Z30" i="23"/>
  <c r="Z8" i="23" s="1"/>
  <c r="Z7" i="23" s="1"/>
  <c r="Z6" i="23" s="1"/>
  <c r="Z182" i="23" s="1"/>
  <c r="AS30" i="10"/>
  <c r="AK29" i="28"/>
  <c r="AN31" i="2"/>
  <c r="AN9" i="2" s="1"/>
  <c r="AE30" i="27"/>
  <c r="W29" i="11"/>
  <c r="F11" i="12" s="1"/>
  <c r="F36" i="12" s="1"/>
  <c r="AA9" i="2"/>
  <c r="CQ28" i="10"/>
  <c r="Z5" i="9"/>
  <c r="Z79" i="9" s="1"/>
  <c r="Q5" i="9"/>
  <c r="Q79" i="9" s="1"/>
  <c r="L14" i="1"/>
  <c r="AB7" i="10"/>
  <c r="AB30" i="23"/>
  <c r="AB8" i="23" s="1"/>
  <c r="AB7" i="23" s="1"/>
  <c r="AB6" i="23" s="1"/>
  <c r="AB182" i="23" s="1"/>
  <c r="AD31" i="2"/>
  <c r="AF8" i="27"/>
  <c r="AF7" i="27" s="1"/>
  <c r="AF6" i="27" s="1"/>
  <c r="AF182" i="27" s="1"/>
  <c r="K24" i="74"/>
  <c r="L24" i="74" s="1"/>
  <c r="AH30" i="27"/>
  <c r="AH8" i="27" s="1"/>
  <c r="I23" i="40"/>
  <c r="L30" i="27"/>
  <c r="H24" i="74" s="1"/>
  <c r="AM30" i="27"/>
  <c r="AO30" i="27" s="1"/>
  <c r="AO31" i="27" s="1"/>
  <c r="AR31" i="27" s="1"/>
  <c r="P173" i="2"/>
  <c r="Q182" i="2"/>
  <c r="Q173" i="2" s="1"/>
  <c r="S9" i="2"/>
  <c r="M31" i="2"/>
  <c r="M9" i="2" s="1"/>
  <c r="T9" i="2"/>
  <c r="L8" i="27"/>
  <c r="L7" i="27" s="1"/>
  <c r="L6" i="27" s="1"/>
  <c r="L182" i="27" s="1"/>
  <c r="S8" i="23"/>
  <c r="S7" i="23" s="1"/>
  <c r="S6" i="23" s="1"/>
  <c r="S182" i="23" s="1"/>
  <c r="S173" i="2"/>
  <c r="I24" i="74"/>
  <c r="AN30" i="27" l="1"/>
  <c r="W31" i="20"/>
  <c r="M30" i="23"/>
  <c r="M8" i="23" s="1"/>
  <c r="M7" i="23" s="1"/>
  <c r="M6" i="23" s="1"/>
  <c r="L13" i="1"/>
  <c r="AB6" i="10"/>
  <c r="AL30" i="27"/>
  <c r="AG30" i="27"/>
  <c r="AG8" i="27" s="1"/>
  <c r="AG7" i="27" s="1"/>
  <c r="AG6" i="27" s="1"/>
  <c r="K24" i="77"/>
  <c r="L23" i="40"/>
  <c r="C142" i="40"/>
  <c r="C149" i="40" s="1"/>
  <c r="E153" i="40"/>
  <c r="N23" i="40"/>
  <c r="S31" i="25"/>
  <c r="S9" i="25" s="1"/>
  <c r="M4" i="30" s="1"/>
  <c r="P4" i="30" s="1"/>
  <c r="S4" i="30" s="1"/>
  <c r="V4" i="30" s="1"/>
  <c r="P9" i="25"/>
  <c r="P8" i="25" s="1"/>
  <c r="P7" i="25" s="1"/>
  <c r="P183" i="25" s="1"/>
  <c r="AH7" i="27"/>
  <c r="AH6" i="27" s="1"/>
  <c r="AH182" i="27" s="1"/>
  <c r="O23" i="40"/>
  <c r="M23" i="40"/>
  <c r="E142" i="40"/>
  <c r="E149" i="40" s="1"/>
  <c r="J23" i="41"/>
  <c r="G153" i="40"/>
  <c r="AD9" i="2"/>
  <c r="AE31" i="2"/>
  <c r="AE9" i="2" s="1"/>
  <c r="Z4" i="30" s="1"/>
  <c r="W8" i="27"/>
  <c r="W7" i="11"/>
  <c r="D2" i="13"/>
  <c r="AE8" i="27"/>
  <c r="AS9" i="2"/>
  <c r="AA8" i="2"/>
  <c r="AO29" i="28"/>
  <c r="AO7" i="28" s="1"/>
  <c r="AO6" i="28" s="1"/>
  <c r="AO5" i="28" s="1"/>
  <c r="AO181" i="28" s="1"/>
  <c r="AK7" i="28"/>
  <c r="AK6" i="28" s="1"/>
  <c r="AK5" i="28" s="1"/>
  <c r="AK181" i="28" s="1"/>
  <c r="K15" i="6"/>
  <c r="P7" i="6"/>
  <c r="AT30" i="10"/>
  <c r="V30" i="10" s="1"/>
  <c r="AS8" i="10"/>
  <c r="K14" i="1"/>
  <c r="W7" i="10"/>
  <c r="H49" i="32"/>
  <c r="I49" i="32" s="1"/>
  <c r="H28" i="32"/>
  <c r="I28" i="32" s="1"/>
  <c r="H43" i="32"/>
  <c r="I43" i="32" s="1"/>
  <c r="H18" i="32"/>
  <c r="I18" i="32" s="1"/>
  <c r="H36" i="32"/>
  <c r="I36" i="32" s="1"/>
  <c r="H45" i="32"/>
  <c r="I45" i="32" s="1"/>
  <c r="H39" i="32"/>
  <c r="I39" i="32" s="1"/>
  <c r="H4" i="32"/>
  <c r="I4" i="32" s="1"/>
  <c r="H38" i="32"/>
  <c r="I38" i="32" s="1"/>
  <c r="H6" i="32"/>
  <c r="I6" i="32" s="1"/>
  <c r="H51" i="32"/>
  <c r="I51" i="32" s="1"/>
  <c r="H37" i="32"/>
  <c r="I37" i="32" s="1"/>
  <c r="H32" i="32"/>
  <c r="I32" i="32" s="1"/>
  <c r="H15" i="32"/>
  <c r="I15" i="32" s="1"/>
  <c r="H24" i="32"/>
  <c r="I24" i="32" s="1"/>
  <c r="H41" i="32"/>
  <c r="I41" i="32" s="1"/>
  <c r="H14" i="32"/>
  <c r="I14" i="32" s="1"/>
  <c r="H21" i="32"/>
  <c r="I21" i="32" s="1"/>
  <c r="H42" i="32"/>
  <c r="I42" i="32" s="1"/>
  <c r="H44" i="32"/>
  <c r="I44" i="32" s="1"/>
  <c r="H5" i="32"/>
  <c r="I5" i="32" s="1"/>
  <c r="H46" i="32"/>
  <c r="I46" i="32" s="1"/>
  <c r="H35" i="32"/>
  <c r="I35" i="32" s="1"/>
  <c r="H7" i="32"/>
  <c r="I7" i="32" s="1"/>
  <c r="H40" i="32"/>
  <c r="I40" i="32" s="1"/>
  <c r="H30" i="32"/>
  <c r="I30" i="32" s="1"/>
  <c r="H47" i="32"/>
  <c r="I47" i="32" s="1"/>
  <c r="H12" i="32"/>
  <c r="I12" i="32" s="1"/>
  <c r="H16" i="32"/>
  <c r="I16" i="32" s="1"/>
  <c r="H9" i="32"/>
  <c r="I9" i="32" s="1"/>
  <c r="H13" i="32"/>
  <c r="I13" i="32" s="1"/>
  <c r="H11" i="32"/>
  <c r="I11" i="32" s="1"/>
  <c r="H29" i="32"/>
  <c r="I29" i="32" s="1"/>
  <c r="H20" i="32"/>
  <c r="I20" i="32" s="1"/>
  <c r="H48" i="32"/>
  <c r="I48" i="32" s="1"/>
  <c r="H23" i="32"/>
  <c r="I23" i="32" s="1"/>
  <c r="H17" i="32"/>
  <c r="I17" i="32" s="1"/>
  <c r="H8" i="32"/>
  <c r="I8" i="32" s="1"/>
  <c r="H27" i="32"/>
  <c r="I27" i="32" s="1"/>
  <c r="H10" i="32"/>
  <c r="I10" i="32" s="1"/>
  <c r="H34" i="32"/>
  <c r="I34" i="32" s="1"/>
  <c r="H33" i="32"/>
  <c r="I33" i="32" s="1"/>
  <c r="H31" i="32"/>
  <c r="I31" i="32" s="1"/>
  <c r="H26" i="32"/>
  <c r="I26" i="32" s="1"/>
  <c r="H50" i="32"/>
  <c r="I50" i="32" s="1"/>
  <c r="H22" i="32"/>
  <c r="I22" i="32" s="1"/>
  <c r="H25" i="32"/>
  <c r="I25" i="32" s="1"/>
  <c r="H19" i="32"/>
  <c r="I19" i="32" s="1"/>
  <c r="N31" i="2"/>
  <c r="K29" i="28"/>
  <c r="J31" i="38"/>
  <c r="K30" i="24"/>
  <c r="K30" i="27"/>
  <c r="K31" i="25"/>
  <c r="K30" i="23"/>
  <c r="AI30" i="10"/>
  <c r="V29" i="11"/>
  <c r="F4" i="19" l="1"/>
  <c r="AS8" i="2"/>
  <c r="AS7" i="2" s="1"/>
  <c r="K23" i="41"/>
  <c r="C145" i="41" s="1"/>
  <c r="L23" i="41"/>
  <c r="U23" i="41"/>
  <c r="L12" i="1"/>
  <c r="AB186" i="10"/>
  <c r="L50" i="1" s="1"/>
  <c r="AS7" i="10"/>
  <c r="P14" i="1"/>
  <c r="AL183" i="28"/>
  <c r="L24" i="77"/>
  <c r="H24" i="77"/>
  <c r="I24" i="77" s="1"/>
  <c r="CR30" i="10"/>
  <c r="CI30" i="10"/>
  <c r="CJ30" i="10" s="1"/>
  <c r="V8" i="10"/>
  <c r="E2" i="13"/>
  <c r="D27" i="13"/>
  <c r="J153" i="40"/>
  <c r="D145" i="41"/>
  <c r="W6" i="10"/>
  <c r="K13" i="1"/>
  <c r="P6" i="6"/>
  <c r="P5" i="6" s="1"/>
  <c r="P73" i="6" s="1"/>
  <c r="Y7" i="6"/>
  <c r="Y6" i="6" s="1"/>
  <c r="Y5" i="6" s="1"/>
  <c r="Y73" i="6" s="1"/>
  <c r="O8" i="38"/>
  <c r="AA7" i="2"/>
  <c r="AE7" i="27"/>
  <c r="J49" i="32"/>
  <c r="K49" i="32" s="1"/>
  <c r="J43" i="32"/>
  <c r="K43" i="32" s="1"/>
  <c r="J6" i="32"/>
  <c r="K6" i="32" s="1"/>
  <c r="J39" i="32"/>
  <c r="K39" i="32" s="1"/>
  <c r="J28" i="32"/>
  <c r="K28" i="32" s="1"/>
  <c r="J41" i="32"/>
  <c r="K41" i="32" s="1"/>
  <c r="J30" i="32"/>
  <c r="K30" i="32" s="1"/>
  <c r="J38" i="32"/>
  <c r="K38" i="32" s="1"/>
  <c r="J36" i="32"/>
  <c r="K36" i="32" s="1"/>
  <c r="J21" i="32"/>
  <c r="K21" i="32" s="1"/>
  <c r="J20" i="32"/>
  <c r="K20" i="32" s="1"/>
  <c r="J11" i="32"/>
  <c r="K11" i="32" s="1"/>
  <c r="J7" i="32"/>
  <c r="K7" i="32" s="1"/>
  <c r="J44" i="32"/>
  <c r="K44" i="32" s="1"/>
  <c r="J15" i="32"/>
  <c r="K15" i="32" s="1"/>
  <c r="J45" i="32"/>
  <c r="K45" i="32" s="1"/>
  <c r="J12" i="32"/>
  <c r="K12" i="32" s="1"/>
  <c r="J4" i="32"/>
  <c r="K4" i="32" s="1"/>
  <c r="J18" i="32"/>
  <c r="K18" i="32" s="1"/>
  <c r="J40" i="32"/>
  <c r="K40" i="32" s="1"/>
  <c r="J32" i="32"/>
  <c r="K32" i="32" s="1"/>
  <c r="J48" i="32"/>
  <c r="J31" i="32"/>
  <c r="K31" i="32" s="1"/>
  <c r="J42" i="32"/>
  <c r="K42" i="32" s="1"/>
  <c r="J34" i="32"/>
  <c r="J8" i="32"/>
  <c r="J13" i="32"/>
  <c r="J33" i="32"/>
  <c r="J27" i="32"/>
  <c r="J47" i="32"/>
  <c r="J10" i="32"/>
  <c r="J22" i="32"/>
  <c r="J35" i="32"/>
  <c r="J29" i="32"/>
  <c r="J25" i="32"/>
  <c r="J5" i="32"/>
  <c r="J24" i="32"/>
  <c r="J9" i="32"/>
  <c r="J17" i="32"/>
  <c r="J26" i="32"/>
  <c r="J14" i="32"/>
  <c r="J37" i="32"/>
  <c r="J16" i="32"/>
  <c r="J46" i="32"/>
  <c r="J19" i="32"/>
  <c r="J23" i="32"/>
  <c r="J51" i="32"/>
  <c r="J50" i="32"/>
  <c r="AJ30" i="10"/>
  <c r="Q30" i="10" s="1"/>
  <c r="P29" i="28"/>
  <c r="AP30" i="27"/>
  <c r="M30" i="27"/>
  <c r="N30" i="27"/>
  <c r="AS6" i="10" l="1"/>
  <c r="P13" i="1"/>
  <c r="O7" i="38"/>
  <c r="AE6" i="27"/>
  <c r="AE182" i="27" s="1"/>
  <c r="AU6" i="10"/>
  <c r="AA183" i="2"/>
  <c r="K12" i="1"/>
  <c r="W186" i="10"/>
  <c r="K50" i="1" s="1"/>
  <c r="V7" i="10"/>
  <c r="J14" i="1"/>
  <c r="R14" i="1" s="1"/>
  <c r="I4" i="19"/>
  <c r="F37" i="19"/>
  <c r="F31" i="19"/>
  <c r="I31" i="19" s="1"/>
  <c r="L49" i="32"/>
  <c r="M49" i="32" s="1"/>
  <c r="L43" i="32"/>
  <c r="M43" i="32" s="1"/>
  <c r="L11" i="32"/>
  <c r="N11" i="32" s="1"/>
  <c r="L39" i="32"/>
  <c r="M39" i="32" s="1"/>
  <c r="L15" i="32"/>
  <c r="M15" i="32" s="1"/>
  <c r="L28" i="32"/>
  <c r="N28" i="32" s="1"/>
  <c r="L45" i="32"/>
  <c r="N45" i="32" s="1"/>
  <c r="L6" i="32"/>
  <c r="M6" i="32" s="1"/>
  <c r="L20" i="32"/>
  <c r="M20" i="32" s="1"/>
  <c r="L42" i="32"/>
  <c r="M42" i="32" s="1"/>
  <c r="L41" i="32"/>
  <c r="M41" i="32" s="1"/>
  <c r="L38" i="32"/>
  <c r="M38" i="32" s="1"/>
  <c r="L7" i="32"/>
  <c r="M7" i="32" s="1"/>
  <c r="L44" i="32"/>
  <c r="M44" i="32" s="1"/>
  <c r="L36" i="32"/>
  <c r="M36" i="32" s="1"/>
  <c r="L30" i="32"/>
  <c r="L40" i="32"/>
  <c r="M40" i="32" s="1"/>
  <c r="L21" i="32"/>
  <c r="M21" i="32" s="1"/>
  <c r="L12" i="32"/>
  <c r="M12" i="32" s="1"/>
  <c r="L32" i="32"/>
  <c r="M32" i="32" s="1"/>
  <c r="L4" i="32"/>
  <c r="M4" i="32" s="1"/>
  <c r="L31" i="32"/>
  <c r="M31" i="32" s="1"/>
  <c r="L18" i="32"/>
  <c r="M18" i="32" s="1"/>
  <c r="K48" i="32"/>
  <c r="L48" i="32"/>
  <c r="K50" i="32"/>
  <c r="L50" i="32"/>
  <c r="K51" i="32"/>
  <c r="L51" i="32"/>
  <c r="K19" i="32"/>
  <c r="L19" i="32"/>
  <c r="K24" i="32"/>
  <c r="L24" i="32"/>
  <c r="K29" i="32"/>
  <c r="L29" i="32"/>
  <c r="K22" i="32"/>
  <c r="L22" i="32"/>
  <c r="K13" i="32"/>
  <c r="L13" i="32"/>
  <c r="K46" i="32"/>
  <c r="L46" i="32"/>
  <c r="K26" i="32"/>
  <c r="L26" i="32"/>
  <c r="K17" i="32"/>
  <c r="L17" i="32"/>
  <c r="K47" i="32"/>
  <c r="L47" i="32"/>
  <c r="K33" i="32"/>
  <c r="L33" i="32"/>
  <c r="K16" i="32"/>
  <c r="L16" i="32"/>
  <c r="K14" i="32"/>
  <c r="L14" i="32"/>
  <c r="K5" i="32"/>
  <c r="L5" i="32"/>
  <c r="K35" i="32"/>
  <c r="L35" i="32"/>
  <c r="K10" i="32"/>
  <c r="L10" i="32"/>
  <c r="K8" i="32"/>
  <c r="L8" i="32"/>
  <c r="K23" i="32"/>
  <c r="L23" i="32"/>
  <c r="K37" i="32"/>
  <c r="L37" i="32"/>
  <c r="K9" i="32"/>
  <c r="L9" i="32"/>
  <c r="K25" i="32"/>
  <c r="L25" i="32"/>
  <c r="K27" i="32"/>
  <c r="L27" i="32"/>
  <c r="K34" i="32"/>
  <c r="L34" i="32"/>
  <c r="CQ30" i="10"/>
  <c r="Q8" i="10"/>
  <c r="K4" i="19" l="1"/>
  <c r="I37" i="19"/>
  <c r="AE183" i="27"/>
  <c r="AF183" i="27"/>
  <c r="AD182" i="2" s="1"/>
  <c r="AE182" i="2" s="1"/>
  <c r="J13" i="1"/>
  <c r="R13" i="1" s="1"/>
  <c r="V6" i="10"/>
  <c r="AK183" i="28"/>
  <c r="G37" i="19"/>
  <c r="L4" i="30"/>
  <c r="N4" i="30" s="1"/>
  <c r="F64" i="19"/>
  <c r="AS186" i="10"/>
  <c r="P50" i="1" s="1"/>
  <c r="P12" i="1"/>
  <c r="N49" i="32"/>
  <c r="O49" i="32" s="1"/>
  <c r="N39" i="32"/>
  <c r="O39" i="32" s="1"/>
  <c r="N43" i="32"/>
  <c r="O43" i="32" s="1"/>
  <c r="M11" i="32"/>
  <c r="M28" i="32"/>
  <c r="N6" i="32"/>
  <c r="O6" i="32" s="1"/>
  <c r="N15" i="32"/>
  <c r="O15" i="32" s="1"/>
  <c r="M45" i="32"/>
  <c r="N20" i="32"/>
  <c r="P20" i="32" s="1"/>
  <c r="N42" i="32"/>
  <c r="P42" i="32" s="1"/>
  <c r="N12" i="32"/>
  <c r="O12" i="32" s="1"/>
  <c r="N38" i="32"/>
  <c r="O38" i="32" s="1"/>
  <c r="N41" i="32"/>
  <c r="P41" i="32" s="1"/>
  <c r="N7" i="32"/>
  <c r="O7" i="32" s="1"/>
  <c r="N31" i="32"/>
  <c r="P31" i="32" s="1"/>
  <c r="N44" i="32"/>
  <c r="O44" i="32" s="1"/>
  <c r="N36" i="32"/>
  <c r="O36" i="32" s="1"/>
  <c r="N40" i="32"/>
  <c r="O40" i="32" s="1"/>
  <c r="M30" i="32"/>
  <c r="N30" i="32"/>
  <c r="N21" i="32"/>
  <c r="N32" i="32"/>
  <c r="O32" i="32" s="1"/>
  <c r="N4" i="32"/>
  <c r="O4" i="32" s="1"/>
  <c r="N18" i="32"/>
  <c r="O18" i="32" s="1"/>
  <c r="M48" i="32"/>
  <c r="N48" i="32"/>
  <c r="M27" i="32"/>
  <c r="N27" i="32"/>
  <c r="M9" i="32"/>
  <c r="N9" i="32"/>
  <c r="M23" i="32"/>
  <c r="N23" i="32"/>
  <c r="M10" i="32"/>
  <c r="N10" i="32"/>
  <c r="M26" i="32"/>
  <c r="N26" i="32"/>
  <c r="M22" i="32"/>
  <c r="N22" i="32"/>
  <c r="O11" i="32"/>
  <c r="P11" i="32"/>
  <c r="M51" i="32"/>
  <c r="N51" i="32"/>
  <c r="M34" i="32"/>
  <c r="N34" i="32"/>
  <c r="O28" i="32"/>
  <c r="P28" i="32"/>
  <c r="M5" i="32"/>
  <c r="N5" i="32"/>
  <c r="M16" i="32"/>
  <c r="N16" i="32"/>
  <c r="M33" i="32"/>
  <c r="N33" i="32"/>
  <c r="M46" i="32"/>
  <c r="N46" i="32"/>
  <c r="M24" i="32"/>
  <c r="N24" i="32"/>
  <c r="M19" i="32"/>
  <c r="N19" i="32"/>
  <c r="M8" i="32"/>
  <c r="N8" i="32"/>
  <c r="M14" i="32"/>
  <c r="N14" i="32"/>
  <c r="M17" i="32"/>
  <c r="N17" i="32"/>
  <c r="M50" i="32"/>
  <c r="N50" i="32"/>
  <c r="M25" i="32"/>
  <c r="N25" i="32"/>
  <c r="M37" i="32"/>
  <c r="N37" i="32"/>
  <c r="M35" i="32"/>
  <c r="N35" i="32"/>
  <c r="M47" i="32"/>
  <c r="N47" i="32"/>
  <c r="M13" i="32"/>
  <c r="N13" i="32"/>
  <c r="M29" i="32"/>
  <c r="N29" i="32"/>
  <c r="P45" i="32"/>
  <c r="O45" i="32"/>
  <c r="I14" i="1"/>
  <c r="Q14" i="1" s="1"/>
  <c r="Q7" i="10"/>
  <c r="J12" i="1" l="1"/>
  <c r="V186" i="10"/>
  <c r="J50" i="1" s="1"/>
  <c r="R50" i="1" s="1"/>
  <c r="T50" i="1" s="1"/>
  <c r="U4" i="30"/>
  <c r="I64" i="19"/>
  <c r="H37" i="19"/>
  <c r="O4" i="30"/>
  <c r="Q4" i="30" s="1"/>
  <c r="I4" i="30"/>
  <c r="K4" i="30" s="1"/>
  <c r="G64" i="19"/>
  <c r="K31" i="19"/>
  <c r="L4" i="19"/>
  <c r="L31" i="19" s="1"/>
  <c r="P49" i="32"/>
  <c r="Q49" i="32" s="1"/>
  <c r="P43" i="32"/>
  <c r="Q43" i="32" s="1"/>
  <c r="P39" i="32"/>
  <c r="Q39" i="32" s="1"/>
  <c r="O20" i="32"/>
  <c r="O42" i="32"/>
  <c r="P6" i="32"/>
  <c r="R6" i="32" s="1"/>
  <c r="P15" i="32"/>
  <c r="R15" i="32" s="1"/>
  <c r="S15" i="32" s="1"/>
  <c r="O41" i="32"/>
  <c r="P12" i="32"/>
  <c r="Q12" i="32" s="1"/>
  <c r="P4" i="32"/>
  <c r="Q4" i="32" s="1"/>
  <c r="P38" i="32"/>
  <c r="Q38" i="32" s="1"/>
  <c r="P36" i="32"/>
  <c r="Q36" i="32" s="1"/>
  <c r="P44" i="32"/>
  <c r="R44" i="32" s="1"/>
  <c r="P7" i="32"/>
  <c r="Q7" i="32" s="1"/>
  <c r="O31" i="32"/>
  <c r="P40" i="32"/>
  <c r="Q40" i="32" s="1"/>
  <c r="P32" i="32"/>
  <c r="R32" i="32" s="1"/>
  <c r="O30" i="32"/>
  <c r="P30" i="32"/>
  <c r="O21" i="32"/>
  <c r="P21" i="32"/>
  <c r="P18" i="32"/>
  <c r="Q18" i="32" s="1"/>
  <c r="O48" i="32"/>
  <c r="P48" i="32"/>
  <c r="O29" i="32"/>
  <c r="P29" i="32"/>
  <c r="O37" i="32"/>
  <c r="P37" i="32"/>
  <c r="O8" i="32"/>
  <c r="P8" i="32"/>
  <c r="O25" i="32"/>
  <c r="P25" i="32"/>
  <c r="O19" i="32"/>
  <c r="P19" i="32"/>
  <c r="O16" i="32"/>
  <c r="P16" i="32"/>
  <c r="Q28" i="32"/>
  <c r="R28" i="32"/>
  <c r="O51" i="32"/>
  <c r="P51" i="32"/>
  <c r="O26" i="32"/>
  <c r="P26" i="32"/>
  <c r="O9" i="32"/>
  <c r="P9" i="32"/>
  <c r="O47" i="32"/>
  <c r="P47" i="32"/>
  <c r="Q20" i="32"/>
  <c r="R20" i="32"/>
  <c r="O13" i="32"/>
  <c r="P13" i="32"/>
  <c r="O35" i="32"/>
  <c r="P35" i="32"/>
  <c r="O50" i="32"/>
  <c r="P50" i="32"/>
  <c r="O17" i="32"/>
  <c r="P17" i="32"/>
  <c r="O22" i="32"/>
  <c r="P22" i="32"/>
  <c r="Q42" i="32"/>
  <c r="R42" i="32"/>
  <c r="O10" i="32"/>
  <c r="P10" i="32"/>
  <c r="O14" i="32"/>
  <c r="P14" i="32"/>
  <c r="O24" i="32"/>
  <c r="P24" i="32"/>
  <c r="O46" i="32"/>
  <c r="P46" i="32"/>
  <c r="Q11" i="32"/>
  <c r="R11" i="32"/>
  <c r="Q31" i="32"/>
  <c r="R31" i="32"/>
  <c r="O23" i="32"/>
  <c r="P23" i="32"/>
  <c r="O27" i="32"/>
  <c r="P27" i="32"/>
  <c r="O33" i="32"/>
  <c r="P33" i="32"/>
  <c r="O5" i="32"/>
  <c r="P5" i="32"/>
  <c r="Q41" i="32"/>
  <c r="R41" i="32"/>
  <c r="O34" i="32"/>
  <c r="P34" i="32"/>
  <c r="Q45" i="32"/>
  <c r="R45" i="32"/>
  <c r="I13" i="1"/>
  <c r="Q13" i="1" s="1"/>
  <c r="Q6" i="10"/>
  <c r="R49" i="32" l="1"/>
  <c r="S49" i="32" s="1"/>
  <c r="Y4" i="30"/>
  <c r="AA4" i="30" s="1"/>
  <c r="W4" i="30"/>
  <c r="R4" i="30"/>
  <c r="T4" i="30" s="1"/>
  <c r="H64" i="19"/>
  <c r="R43" i="32"/>
  <c r="S43" i="32" s="1"/>
  <c r="R39" i="32"/>
  <c r="S39" i="32" s="1"/>
  <c r="Q15" i="32"/>
  <c r="Q6" i="32"/>
  <c r="T15" i="32"/>
  <c r="U15" i="32" s="1"/>
  <c r="R12" i="32"/>
  <c r="S12" i="32" s="1"/>
  <c r="R38" i="32"/>
  <c r="S38" i="32" s="1"/>
  <c r="R4" i="32"/>
  <c r="S4" i="32" s="1"/>
  <c r="Q32" i="32"/>
  <c r="R36" i="32"/>
  <c r="S36" i="32" s="1"/>
  <c r="Q44" i="32"/>
  <c r="R40" i="32"/>
  <c r="S40" i="32" s="1"/>
  <c r="R7" i="32"/>
  <c r="S7" i="32" s="1"/>
  <c r="Q30" i="32"/>
  <c r="R30" i="32"/>
  <c r="Q21" i="32"/>
  <c r="R21" i="32"/>
  <c r="R18" i="32"/>
  <c r="S18" i="32" s="1"/>
  <c r="Q48" i="32"/>
  <c r="R48" i="32"/>
  <c r="Q34" i="32"/>
  <c r="R34" i="32"/>
  <c r="Q27" i="32"/>
  <c r="R27" i="32"/>
  <c r="Q14" i="32"/>
  <c r="R14" i="32"/>
  <c r="S6" i="32"/>
  <c r="T6" i="32"/>
  <c r="U6" i="32" s="1"/>
  <c r="Q35" i="32"/>
  <c r="R35" i="32"/>
  <c r="S44" i="32"/>
  <c r="T44" i="32"/>
  <c r="U44" i="32" s="1"/>
  <c r="Q51" i="32"/>
  <c r="R51" i="32"/>
  <c r="Q19" i="32"/>
  <c r="R19" i="32"/>
  <c r="S32" i="32"/>
  <c r="T32" i="32"/>
  <c r="U32" i="32" s="1"/>
  <c r="Q37" i="32"/>
  <c r="R37" i="32"/>
  <c r="S41" i="32"/>
  <c r="T41" i="32"/>
  <c r="U41" i="32" s="1"/>
  <c r="Q5" i="32"/>
  <c r="R5" i="32"/>
  <c r="S31" i="32"/>
  <c r="T31" i="32"/>
  <c r="U31" i="32" s="1"/>
  <c r="Q46" i="32"/>
  <c r="R46" i="32"/>
  <c r="S42" i="32"/>
  <c r="T42" i="32"/>
  <c r="U42" i="32" s="1"/>
  <c r="Q17" i="32"/>
  <c r="R17" i="32"/>
  <c r="Q9" i="32"/>
  <c r="R9" i="32"/>
  <c r="Q16" i="32"/>
  <c r="R16" i="32"/>
  <c r="Q8" i="32"/>
  <c r="R8" i="32"/>
  <c r="T45" i="32"/>
  <c r="U45" i="32" s="1"/>
  <c r="S45" i="32"/>
  <c r="Q23" i="32"/>
  <c r="R23" i="32"/>
  <c r="S11" i="32"/>
  <c r="T11" i="32"/>
  <c r="U11" i="32" s="1"/>
  <c r="Q22" i="32"/>
  <c r="R22" i="32"/>
  <c r="Q13" i="32"/>
  <c r="R13" i="32"/>
  <c r="Q47" i="32"/>
  <c r="R47" i="32"/>
  <c r="S28" i="32"/>
  <c r="T28" i="32"/>
  <c r="U28" i="32" s="1"/>
  <c r="Q29" i="32"/>
  <c r="R29" i="32"/>
  <c r="Q33" i="32"/>
  <c r="R33" i="32"/>
  <c r="Q24" i="32"/>
  <c r="R24" i="32"/>
  <c r="Q10" i="32"/>
  <c r="R10" i="32"/>
  <c r="Q50" i="32"/>
  <c r="R50" i="32"/>
  <c r="S20" i="32"/>
  <c r="T20" i="32"/>
  <c r="U20" i="32" s="1"/>
  <c r="Q26" i="32"/>
  <c r="R26" i="32"/>
  <c r="Q25" i="32"/>
  <c r="R25" i="32"/>
  <c r="I12" i="1"/>
  <c r="Q186" i="10"/>
  <c r="I50" i="1" s="1"/>
  <c r="Q50" i="1" s="1"/>
  <c r="N7" i="6"/>
  <c r="N6" i="6" s="1"/>
  <c r="N5" i="6" s="1"/>
  <c r="N73" i="6" s="1"/>
  <c r="M75" i="6" s="1"/>
  <c r="K8" i="6"/>
  <c r="K7" i="6" s="1"/>
  <c r="K6" i="6" s="1"/>
  <c r="K5" i="6" s="1"/>
  <c r="K73" i="6" s="1"/>
  <c r="U16" i="2"/>
  <c r="T9" i="77" s="1"/>
  <c r="H9" i="77" s="1"/>
  <c r="I9" i="77" s="1"/>
  <c r="T39" i="32" l="1"/>
  <c r="U39" i="32" s="1"/>
  <c r="T49" i="32"/>
  <c r="U49" i="32" s="1"/>
  <c r="T12" i="32"/>
  <c r="U12" i="32" s="1"/>
  <c r="T43" i="32"/>
  <c r="U43" i="32" s="1"/>
  <c r="T4" i="32"/>
  <c r="U4" i="32" s="1"/>
  <c r="T38" i="32"/>
  <c r="U38" i="32" s="1"/>
  <c r="T40" i="32"/>
  <c r="U40" i="32" s="1"/>
  <c r="T36" i="32"/>
  <c r="U36" i="32" s="1"/>
  <c r="M16" i="38"/>
  <c r="M9" i="38" s="1"/>
  <c r="L16" i="2"/>
  <c r="K15" i="27" s="1"/>
  <c r="AA14" i="28"/>
  <c r="AA7" i="28" s="1"/>
  <c r="AA6" i="28" s="1"/>
  <c r="AA5" i="28" s="1"/>
  <c r="AA181" i="28" s="1"/>
  <c r="T7" i="32"/>
  <c r="U7" i="32" s="1"/>
  <c r="S30" i="32"/>
  <c r="T30" i="32"/>
  <c r="U30" i="32" s="1"/>
  <c r="S21" i="32"/>
  <c r="T21" i="32"/>
  <c r="U21" i="32" s="1"/>
  <c r="T18" i="32"/>
  <c r="U18" i="32" s="1"/>
  <c r="S48" i="32"/>
  <c r="T48" i="32"/>
  <c r="U48" i="32" s="1"/>
  <c r="S25" i="32"/>
  <c r="T25" i="32"/>
  <c r="U25" i="32" s="1"/>
  <c r="S24" i="32"/>
  <c r="T24" i="32"/>
  <c r="U24" i="32" s="1"/>
  <c r="S23" i="32"/>
  <c r="T23" i="32"/>
  <c r="U23" i="32" s="1"/>
  <c r="S16" i="32"/>
  <c r="T16" i="32"/>
  <c r="U16" i="32" s="1"/>
  <c r="S46" i="32"/>
  <c r="T46" i="32"/>
  <c r="U46" i="32" s="1"/>
  <c r="S5" i="32"/>
  <c r="T5" i="32"/>
  <c r="U5" i="32" s="1"/>
  <c r="S19" i="32"/>
  <c r="T19" i="32"/>
  <c r="U19" i="32" s="1"/>
  <c r="S27" i="32"/>
  <c r="T27" i="32"/>
  <c r="U27" i="32" s="1"/>
  <c r="S33" i="32"/>
  <c r="T33" i="32"/>
  <c r="U33" i="32" s="1"/>
  <c r="S47" i="32"/>
  <c r="T47" i="32"/>
  <c r="U47" i="32" s="1"/>
  <c r="S8" i="32"/>
  <c r="T8" i="32"/>
  <c r="U8" i="32" s="1"/>
  <c r="S17" i="32"/>
  <c r="T17" i="32"/>
  <c r="U17" i="32" s="1"/>
  <c r="S37" i="32"/>
  <c r="T37" i="32"/>
  <c r="U37" i="32" s="1"/>
  <c r="S50" i="32"/>
  <c r="T50" i="32"/>
  <c r="U50" i="32" s="1"/>
  <c r="S22" i="32"/>
  <c r="T22" i="32"/>
  <c r="U22" i="32" s="1"/>
  <c r="S51" i="32"/>
  <c r="T51" i="32"/>
  <c r="U51" i="32" s="1"/>
  <c r="S14" i="32"/>
  <c r="T14" i="32"/>
  <c r="U14" i="32" s="1"/>
  <c r="S34" i="32"/>
  <c r="T34" i="32"/>
  <c r="U34" i="32" s="1"/>
  <c r="S26" i="32"/>
  <c r="T26" i="32"/>
  <c r="U26" i="32" s="1"/>
  <c r="S10" i="32"/>
  <c r="T10" i="32"/>
  <c r="U10" i="32" s="1"/>
  <c r="S29" i="32"/>
  <c r="T29" i="32"/>
  <c r="U29" i="32" s="1"/>
  <c r="S13" i="32"/>
  <c r="T13" i="32"/>
  <c r="U13" i="32" s="1"/>
  <c r="S9" i="32"/>
  <c r="T9" i="32"/>
  <c r="U9" i="32" s="1"/>
  <c r="S35" i="32"/>
  <c r="T35" i="32"/>
  <c r="U35" i="32" s="1"/>
  <c r="L9" i="2"/>
  <c r="V7" i="11" s="1"/>
  <c r="AB183" i="28"/>
  <c r="AP15" i="27"/>
  <c r="M15" i="27"/>
  <c r="M8" i="27" s="1"/>
  <c r="M7" i="27" s="1"/>
  <c r="M6" i="27" s="1"/>
  <c r="M182" i="27" s="1"/>
  <c r="N15" i="27"/>
  <c r="N8" i="27" s="1"/>
  <c r="N7" i="27" s="1"/>
  <c r="N6" i="27" s="1"/>
  <c r="N182" i="27" s="1"/>
  <c r="K14" i="28"/>
  <c r="N15" i="24"/>
  <c r="N8" i="24" s="1"/>
  <c r="N7" i="24" s="1"/>
  <c r="N6" i="24" s="1"/>
  <c r="N181" i="24" s="1"/>
  <c r="N16" i="25"/>
  <c r="N9" i="25" s="1"/>
  <c r="N8" i="25" s="1"/>
  <c r="N7" i="25" s="1"/>
  <c r="N183" i="25" s="1"/>
  <c r="AE14" i="28"/>
  <c r="AE7" i="28" s="1"/>
  <c r="AE6" i="28" s="1"/>
  <c r="AE5" i="28" s="1"/>
  <c r="AE181" i="28" s="1"/>
  <c r="K15" i="23"/>
  <c r="K8" i="23" s="1"/>
  <c r="K7" i="23" s="1"/>
  <c r="K6" i="23" s="1"/>
  <c r="K182" i="23" s="1"/>
  <c r="N16" i="2"/>
  <c r="N9" i="2" s="1"/>
  <c r="W15" i="27"/>
  <c r="Y15" i="27" s="1"/>
  <c r="Y8" i="27" s="1"/>
  <c r="Y7" i="27" s="1"/>
  <c r="Y6" i="27" s="1"/>
  <c r="J16" i="38"/>
  <c r="J9" i="38" s="1"/>
  <c r="V14" i="11"/>
  <c r="E11" i="12" s="1"/>
  <c r="E36" i="12" s="1"/>
  <c r="K16" i="25"/>
  <c r="K9" i="25" s="1"/>
  <c r="K8" i="25" s="1"/>
  <c r="K7" i="25" s="1"/>
  <c r="K183" i="25" s="1"/>
  <c r="U9" i="2"/>
  <c r="U8" i="2" s="1"/>
  <c r="K15" i="24"/>
  <c r="K8" i="24" s="1"/>
  <c r="K7" i="24" s="1"/>
  <c r="K6" i="24" s="1"/>
  <c r="K181" i="24" s="1"/>
  <c r="AI15" i="10"/>
  <c r="AO15" i="10"/>
  <c r="AP15" i="10" s="1"/>
  <c r="T15" i="23"/>
  <c r="T8" i="23" s="1"/>
  <c r="T7" i="23" s="1"/>
  <c r="T6" i="23" s="1"/>
  <c r="T182" i="23" s="1"/>
  <c r="K8" i="27" l="1"/>
  <c r="L8" i="2"/>
  <c r="J8" i="38" s="1"/>
  <c r="P14" i="28"/>
  <c r="P7" i="28" s="1"/>
  <c r="P6" i="28" s="1"/>
  <c r="P5" i="28" s="1"/>
  <c r="P181" i="28" s="1"/>
  <c r="K7" i="28"/>
  <c r="AJ15" i="10"/>
  <c r="AI8" i="10"/>
  <c r="M8" i="38"/>
  <c r="W7" i="27"/>
  <c r="U7" i="2"/>
  <c r="L7" i="2" l="1"/>
  <c r="J7" i="38" s="1"/>
  <c r="K7" i="27"/>
  <c r="AI7" i="10"/>
  <c r="O14" i="1"/>
  <c r="W6" i="27"/>
  <c r="W182" i="27" s="1"/>
  <c r="U183" i="2"/>
  <c r="M7" i="38"/>
  <c r="K6" i="27"/>
  <c r="K182" i="27" s="1"/>
  <c r="L183" i="2"/>
  <c r="K6" i="28"/>
  <c r="AR7" i="28"/>
  <c r="AL183" i="2" l="1"/>
  <c r="AA183" i="28"/>
  <c r="W183" i="27"/>
  <c r="X183" i="27"/>
  <c r="V182" i="2" s="1"/>
  <c r="K183" i="27"/>
  <c r="L183" i="27"/>
  <c r="M182" i="2" s="1"/>
  <c r="AR6" i="28"/>
  <c r="K5" i="28"/>
  <c r="O13" i="1"/>
  <c r="AI6" i="10"/>
  <c r="V173" i="2" l="1"/>
  <c r="W182" i="2"/>
  <c r="W173" i="2" s="1"/>
  <c r="K181" i="28"/>
  <c r="AR5" i="28"/>
  <c r="AI186" i="10"/>
  <c r="O50" i="1" s="1"/>
  <c r="S50" i="1" s="1"/>
  <c r="O12" i="1"/>
  <c r="N182" i="2"/>
  <c r="N173" i="2" s="1"/>
  <c r="M173" i="2"/>
  <c r="L183" i="28" l="1"/>
  <c r="K183" i="28"/>
</calcChain>
</file>

<file path=xl/sharedStrings.xml><?xml version="1.0" encoding="utf-8"?>
<sst xmlns="http://schemas.openxmlformats.org/spreadsheetml/2006/main" count="31557" uniqueCount="4507">
  <si>
    <t>2015 m.</t>
  </si>
  <si>
    <t>2016 m.</t>
  </si>
  <si>
    <t>2017 m.</t>
  </si>
  <si>
    <t>2018 m.</t>
  </si>
  <si>
    <t>2019 m.</t>
  </si>
  <si>
    <t>2020 m.</t>
  </si>
  <si>
    <t>Iš viso 2014-2020 m. (be rezervinių projektų)</t>
  </si>
  <si>
    <t>Nr.</t>
  </si>
  <si>
    <t>Lėšų poreikis:</t>
  </si>
  <si>
    <t>Iš viso</t>
  </si>
  <si>
    <t>ES lėšos</t>
  </si>
  <si>
    <t>1.1.</t>
  </si>
  <si>
    <t>1.1.1.</t>
  </si>
  <si>
    <t xml:space="preserve">1.1.1.1 </t>
  </si>
  <si>
    <t>1.1.1.2</t>
  </si>
  <si>
    <t xml:space="preserve">1.1.1.3 </t>
  </si>
  <si>
    <t>1.1.1.4</t>
  </si>
  <si>
    <t>1.1.1.5.</t>
  </si>
  <si>
    <t>1.1.1.6.</t>
  </si>
  <si>
    <t>1.1.1.7.</t>
  </si>
  <si>
    <t>1.1.1.8.</t>
  </si>
  <si>
    <t>1.1.1.9.</t>
  </si>
  <si>
    <t>1.1.2.</t>
  </si>
  <si>
    <t>1.1.2.1.</t>
  </si>
  <si>
    <t>1.1.2.2.</t>
  </si>
  <si>
    <t>1.1.2.3.</t>
  </si>
  <si>
    <t>1.1.2.4.</t>
  </si>
  <si>
    <t>2.1.</t>
  </si>
  <si>
    <t>2.1.1.</t>
  </si>
  <si>
    <t>2.1.1.1.</t>
  </si>
  <si>
    <t>2.1.1.2.</t>
  </si>
  <si>
    <t>2.1.1.3.</t>
  </si>
  <si>
    <t>2.1.2.</t>
  </si>
  <si>
    <t>2.1.2.1</t>
  </si>
  <si>
    <t>2.1.2.2</t>
  </si>
  <si>
    <t>2.1.3.</t>
  </si>
  <si>
    <t>2.1.3.1</t>
  </si>
  <si>
    <t>2.1.3.2</t>
  </si>
  <si>
    <t>2.1.4.</t>
  </si>
  <si>
    <t>2.1.4.1.</t>
  </si>
  <si>
    <t>3.1.</t>
  </si>
  <si>
    <t>3.1.1.</t>
  </si>
  <si>
    <t>3.1.1.1</t>
  </si>
  <si>
    <t>3.1.2.</t>
  </si>
  <si>
    <t>3.1.2.1.</t>
  </si>
  <si>
    <t>Iš viso planui įgyvendinti:</t>
  </si>
  <si>
    <t>Požymiai</t>
  </si>
  <si>
    <t>Lėšų poreikis ir finansavimo šaltiniai (Lt)</t>
  </si>
  <si>
    <t>Projekto etapai</t>
  </si>
  <si>
    <t>Projektas</t>
  </si>
  <si>
    <t>Pareiškėjas</t>
  </si>
  <si>
    <t>Ministerija</t>
  </si>
  <si>
    <t>Įgyvendinimo teritorija</t>
  </si>
  <si>
    <t>Veiksmų programos įgyvendinimo plano priemonė arba  Kaimo plėtros programos priemonė (Nr.)</t>
  </si>
  <si>
    <t>R/V*</t>
  </si>
  <si>
    <t>ITI**</t>
  </si>
  <si>
    <t>rez.***</t>
  </si>
  <si>
    <t>Iš viso:</t>
  </si>
  <si>
    <t>Savivaldybės biudžetas</t>
  </si>
  <si>
    <t>Valstybės biudžetas</t>
  </si>
  <si>
    <t>Privačios lėšos</t>
  </si>
  <si>
    <t>Kitos viešosios lėšos</t>
  </si>
  <si>
    <t>Įtraukimas į sąrašą (metai/mėnuo)</t>
  </si>
  <si>
    <t>Paraiškos pateikimas įgyvendinančiajai institucijai (metai/mėnuo)</t>
  </si>
  <si>
    <t>Finansavimo sutarties sudarymas (metai/mėnuo)</t>
  </si>
  <si>
    <t>Projekto užbaigimas (metai)</t>
  </si>
  <si>
    <t>-</t>
  </si>
  <si>
    <t>1.1.1.1</t>
  </si>
  <si>
    <t>1.1.1.1.1</t>
  </si>
  <si>
    <t>1.1.1.2.1</t>
  </si>
  <si>
    <t>1.1.1.3</t>
  </si>
  <si>
    <t>1.1.1.3.1</t>
  </si>
  <si>
    <t>1.1.1.4.1</t>
  </si>
  <si>
    <t>2 lentelė. Projektams įgyvendinti reikalingų lėšų poreikis, finansavimo šaltiniai ir pagrindinių projektų įgyvendinimo etapų terminai.</t>
  </si>
  <si>
    <t>Lietuvos Respublikos žemės ūkio ministerija</t>
  </si>
  <si>
    <t>Lietuvos Respublikos vidaus reikalų ministerija</t>
  </si>
  <si>
    <t>1.1.1.5</t>
  </si>
  <si>
    <t>Lietuvos Respublikos aplinkos ministerija</t>
  </si>
  <si>
    <t>1.1.1.5.1</t>
  </si>
  <si>
    <t>1.1.1.6</t>
  </si>
  <si>
    <t>1.1.1.6.1</t>
  </si>
  <si>
    <t>1.1.1.7</t>
  </si>
  <si>
    <t>Lietuvos Respublikos ūkio ministerija</t>
  </si>
  <si>
    <t>1.1.1.7.1</t>
  </si>
  <si>
    <t>1.1.1.8</t>
  </si>
  <si>
    <t>1.1.1.8.1</t>
  </si>
  <si>
    <t>1.1.1.9</t>
  </si>
  <si>
    <t>1.1.1.9.1</t>
  </si>
  <si>
    <t>1.1.2.1</t>
  </si>
  <si>
    <t>1.1.2.1.1</t>
  </si>
  <si>
    <t>1.1.2.2</t>
  </si>
  <si>
    <t>1.1.2.2.1</t>
  </si>
  <si>
    <t>1.1.2.3</t>
  </si>
  <si>
    <t>1.1.2.3.1</t>
  </si>
  <si>
    <t>1.1.2.4</t>
  </si>
  <si>
    <t>1.1.2.4.1</t>
  </si>
  <si>
    <t>2.1.1.1</t>
  </si>
  <si>
    <t>Lietuvos Respublikos švietimo ir mokslo ministerija</t>
  </si>
  <si>
    <t>2.1.1.1.1</t>
  </si>
  <si>
    <t>2.1.1.2</t>
  </si>
  <si>
    <t>2.1.1.2.1</t>
  </si>
  <si>
    <t>2.1.1.3</t>
  </si>
  <si>
    <t>2.1.1.3.1</t>
  </si>
  <si>
    <t>Lietuvos Respublikos Sveikatos apsaugos ministerija</t>
  </si>
  <si>
    <t>2.1.2.1.1</t>
  </si>
  <si>
    <t>2.1.2.1.2</t>
  </si>
  <si>
    <t>Lietuvos Respublikos socialinės apsaugos ir darbo ministerija</t>
  </si>
  <si>
    <t>2.1.3.1.1</t>
  </si>
  <si>
    <t>2.1.3.1.2</t>
  </si>
  <si>
    <t>2.1.4.1</t>
  </si>
  <si>
    <t>2.1.4.1.1</t>
  </si>
  <si>
    <t>05.2.1-APVA-R-008 „Komunalinių atliekų tvarkymo infrastruktūros plėtra“</t>
  </si>
  <si>
    <t>3.1.1.1.1</t>
  </si>
  <si>
    <t>3.1.2.1</t>
  </si>
  <si>
    <t>3.1.2.1.1</t>
  </si>
  <si>
    <t>Lietuvos Respublikos susisiekimo ministerija</t>
  </si>
  <si>
    <t>Lietuvos Respublikos kultūros ministerija</t>
  </si>
  <si>
    <t>savivaldybės ES lėšų limitas</t>
  </si>
  <si>
    <t>savivaldybės ES lėšų limitas + 20 proc.</t>
  </si>
  <si>
    <t>R</t>
  </si>
  <si>
    <t>1.1.1.1.2</t>
  </si>
  <si>
    <t>1.1.1.1.3</t>
  </si>
  <si>
    <t>savivaldybės ES lėšų limito likutis</t>
  </si>
  <si>
    <t>1.1.1.2.2</t>
  </si>
  <si>
    <t>Matuizų kaimo viešosios infrastruktūros atnaujinimas ir pritaikymas bendruomenės poreikiams</t>
  </si>
  <si>
    <t>Senosios Varėnos kaimo viešosios infrastruktūros atnaujinimas ir pritaikymas bendruomenės poreikiams</t>
  </si>
  <si>
    <t>1.1.1.3.2</t>
  </si>
  <si>
    <t>1.1.1.3.3</t>
  </si>
  <si>
    <t>1.1.1.3.4</t>
  </si>
  <si>
    <t>1.1.1.5.2.</t>
  </si>
  <si>
    <t>1.1.1.5.3</t>
  </si>
  <si>
    <t>1.1.1.5.4.</t>
  </si>
  <si>
    <t>1.1.1.5.5.</t>
  </si>
  <si>
    <t>Savivaldybes jungiančių turizmo trasų ir turizmo maršrutų informacinės infrastruktūros plėtra</t>
  </si>
  <si>
    <t>Kultūros įstaigų infrastruktūros modernizavimas Varėnos mieste</t>
  </si>
  <si>
    <t>04.5.1-TID-R-518</t>
  </si>
  <si>
    <t>09.1.3-CPVA-R-724</t>
  </si>
  <si>
    <t>2.1.1.2.2</t>
  </si>
  <si>
    <t>Varėnos "Pasakos" vaikų lopšelio-darželio pastato modernizavimas</t>
  </si>
  <si>
    <t>09.13.CPVA-R-725</t>
  </si>
  <si>
    <t>09.1.3-CPVA-R-705</t>
  </si>
  <si>
    <t>06.2.1-TID-R-511</t>
  </si>
  <si>
    <t>05.4.1-LVPA-R-831</t>
  </si>
  <si>
    <t>07.1.1-CPVA-R-305</t>
  </si>
  <si>
    <t>05.3.2-APVA-R-014</t>
  </si>
  <si>
    <t>07.1.1-CPVA-R-905</t>
  </si>
  <si>
    <t>8.2.1-CPVA-R-908</t>
  </si>
  <si>
    <t>04.5.1.-TID-R-514</t>
  </si>
  <si>
    <t>04.5.1-TID-R-516</t>
  </si>
  <si>
    <t>2.1.2.2.1</t>
  </si>
  <si>
    <t>Pirminės asmens sveikatos priežiūros veiklos efektyvumo didinimas Varėnos rajono savivaldybėje</t>
  </si>
  <si>
    <t>VšĮ Varėnos pirminės sveikatos priežiūros centras</t>
  </si>
  <si>
    <t>2.1.2.2.2</t>
  </si>
  <si>
    <t>08.1.3-CPVA-R-609</t>
  </si>
  <si>
    <t>08.1.2-CPVA-R-407</t>
  </si>
  <si>
    <t>08.1.1-CPVA·R-408</t>
  </si>
  <si>
    <t>10.1.3- ESFA-R-921</t>
  </si>
  <si>
    <t>Regionos ES lėšų limitas</t>
  </si>
  <si>
    <t>Regiono ES lėšų limitas + 20 proc.</t>
  </si>
  <si>
    <t>2.1.3.2.1</t>
  </si>
  <si>
    <t>Amatų centro „Menų kalvė“ Druskininkuose įkūrimas</t>
  </si>
  <si>
    <t>Lazdijų rajono savivaldybės administracija</t>
  </si>
  <si>
    <t>V</t>
  </si>
  <si>
    <t>1.1.2.2.2</t>
  </si>
  <si>
    <t>1.1.2.2.3</t>
  </si>
  <si>
    <t>1.1.1.4.2</t>
  </si>
  <si>
    <t>1.1.1.4.3</t>
  </si>
  <si>
    <t>ITI</t>
  </si>
  <si>
    <t>1.1.1.8.2</t>
  </si>
  <si>
    <t>1.1.2.1.2</t>
  </si>
  <si>
    <t>1.1.2.2.4</t>
  </si>
  <si>
    <t>1.1.1.8.3</t>
  </si>
  <si>
    <t>1.1.2.3.2</t>
  </si>
  <si>
    <t>1.1.2.3.3</t>
  </si>
  <si>
    <t>Regiono ES lėšų limito likutis</t>
  </si>
  <si>
    <t>1.1.1.8.4</t>
  </si>
  <si>
    <t>1.1.1.9.2</t>
  </si>
  <si>
    <t>1.1.1.9.3</t>
  </si>
  <si>
    <t>07.1.1-CPVA-V-902</t>
  </si>
  <si>
    <t>05.1.1-APVA-R-007</t>
  </si>
  <si>
    <t>1.1.2.4.2</t>
  </si>
  <si>
    <t xml:space="preserve">Druskininkų savivaldybės administracija  </t>
  </si>
  <si>
    <t>05.4.1-CPVA-R-302</t>
  </si>
  <si>
    <t>Kompleksinė Miklusėnų gyvenvietės plėtra</t>
  </si>
  <si>
    <t>Alytaus rajono savivaldybės administracija</t>
  </si>
  <si>
    <t>Alytaus regionas</t>
  </si>
  <si>
    <t>Alytaus rajono bendrojo ugdymo įstaigų aprūpinimas gamtos, technologijų, menų ir kitų mokslų laboratorijų įranga</t>
  </si>
  <si>
    <t>Alytaus r. ikimokyklinio ir priešmokyklinio ugdymo prieinamumo didinimas įkuriant ir atnaujinant edukacines erdves</t>
  </si>
  <si>
    <t>Būsto prieinamumo pažeidžiamoms gyventojų grupėms didinimas Alytaus rajone</t>
  </si>
  <si>
    <t>Alytaus regiono atliekų tvarkymo centras</t>
  </si>
  <si>
    <t>05.2.1-APVA-R-008</t>
  </si>
  <si>
    <t>Bešeimininkių apleistų pastatų ir įrenginių tvarkymas Alytaus rajono savivaldybėje</t>
  </si>
  <si>
    <t>05.5.1-APVA-R-019</t>
  </si>
  <si>
    <t>1.1.1.2.3</t>
  </si>
  <si>
    <t>1.1.1.7.2</t>
  </si>
  <si>
    <t>1.1.1.9.4</t>
  </si>
  <si>
    <t>1.1.2.1.3</t>
  </si>
  <si>
    <t>1.1.2.3.4</t>
  </si>
  <si>
    <t>2.1.1.2.3</t>
  </si>
  <si>
    <t>2.1.1.1.2</t>
  </si>
  <si>
    <t>2.1.1.2.4</t>
  </si>
  <si>
    <t>2.1.1.3.2</t>
  </si>
  <si>
    <t>2.1.2.1.3</t>
  </si>
  <si>
    <t>2.1.2.1.4</t>
  </si>
  <si>
    <t>2.1.2.1.5</t>
  </si>
  <si>
    <t>2.1.2.1.6</t>
  </si>
  <si>
    <t>2.1.2.1.7</t>
  </si>
  <si>
    <t>2.1.2.2.3</t>
  </si>
  <si>
    <t>2.1.3.2.2</t>
  </si>
  <si>
    <t>2.1.4.1.2</t>
  </si>
  <si>
    <t>3.1.2.1.2</t>
  </si>
  <si>
    <t>2.1.4.1.3</t>
  </si>
  <si>
    <t>1.1.1.7.3</t>
  </si>
  <si>
    <t>1.1.2.4.3.</t>
  </si>
  <si>
    <t>1.1.2.4.4</t>
  </si>
  <si>
    <t>Alytaus muzikos mokyklos pastato modernizavimas ir ugdymo aplinkos gerinimas</t>
  </si>
  <si>
    <t>2.1.2.1.8</t>
  </si>
  <si>
    <t>Socialinių paslaugų plėtra Alytaus mieste</t>
  </si>
  <si>
    <t>2.1.3.1.3</t>
  </si>
  <si>
    <t>Socialinio būsto plėtra Alytaus mieste</t>
  </si>
  <si>
    <t>2.1.4.1.4</t>
  </si>
  <si>
    <t>3.1.2.1.3</t>
  </si>
  <si>
    <t>2.1.1.1.3</t>
  </si>
  <si>
    <t>2.1.1.2.5</t>
  </si>
  <si>
    <t>2.1.1.3.3</t>
  </si>
  <si>
    <t>1.1.1.2.4</t>
  </si>
  <si>
    <t>1.1.1.2.5</t>
  </si>
  <si>
    <t>UAB "Druskininkų vandenys"</t>
  </si>
  <si>
    <t>1.1.2.1.4</t>
  </si>
  <si>
    <t>1.1.2.3.5</t>
  </si>
  <si>
    <t>M. K. Čiurlionio gatvės atkarpos Druskininkų m. rekonstrukcija</t>
  </si>
  <si>
    <t>Modernių ir saugių erdvių sukūrimas bendrojo ugdymo mokyklose Druskininkų sav.</t>
  </si>
  <si>
    <t>2.1.1.1.4</t>
  </si>
  <si>
    <t>Druskininkų M. K. Čiurlionio meno mokyklos infrastruktūros tobulinimas</t>
  </si>
  <si>
    <t>Pirminės asmens sveikatos priežiūros kokybės ir prieinamumo gerinimas Druskininkų savivaldybėje</t>
  </si>
  <si>
    <t>Druskininkų savivaldybės administracija</t>
  </si>
  <si>
    <t>2.1.3.1.4</t>
  </si>
  <si>
    <t>Socialinio būsto fondo plėtra Druskininkų savivaldybėje</t>
  </si>
  <si>
    <t>2.1.3.2.4</t>
  </si>
  <si>
    <t>Paslaugų teikimo ir asmenų aptarnavimo kokybės gerinimas Druskininkų savivaldybėje</t>
  </si>
  <si>
    <t>2.1.4.1.5</t>
  </si>
  <si>
    <t>Lazdijų rajono savivaldybė</t>
  </si>
  <si>
    <t>2.1.3.1.5</t>
  </si>
  <si>
    <t>1.1.1.9.5</t>
  </si>
  <si>
    <t>1.1.2.4.5</t>
  </si>
  <si>
    <t>1.1.2.4.6</t>
  </si>
  <si>
    <t>2.1.1.3.4</t>
  </si>
  <si>
    <t>3.1.2.1.4</t>
  </si>
  <si>
    <t>Veiksmų programos įgyvendinimo plano priemonė (Nr.)</t>
  </si>
  <si>
    <t>Veiksmų programos įgyvendinimo plano priemonės pavadinimas</t>
  </si>
  <si>
    <t>Kaimo gyvenamųjų vietovių (turinčių iki 1 tūkst. gyventojų) atnaujinimas</t>
  </si>
  <si>
    <t>Pereinamojo laikotarpio teritorijų vystymas. I</t>
  </si>
  <si>
    <t>Pereinamojo laikotarpio teritorijų vystymas. II</t>
  </si>
  <si>
    <t>Paviršinių nuotekų sistemų tvarkymas</t>
  </si>
  <si>
    <t>Modernizuoti savivaldybių kultūros infrastruktūrą</t>
  </si>
  <si>
    <t>Aktualizuoti savivaldybių kultūros paveldo objektus</t>
  </si>
  <si>
    <t>Vietinio susisiekimo viešojo transporto priemonių parko atnaujinimas</t>
  </si>
  <si>
    <t>Darnaus judumo priemonių diegimas</t>
  </si>
  <si>
    <t>Pėsčiųjų ir dviračių takų rekonstrukcija ir plėtra</t>
  </si>
  <si>
    <t>Neformaliojo švietimo infrastruktūros tobulinimas</t>
  </si>
  <si>
    <t>Ikimokyklinio ir priešmokyklinio ugdymo prieinamumo didinimas</t>
  </si>
  <si>
    <t>Pirminės asmens ir visuomenės sveikatos priežiūros veiklos efektyvumo didinimas</t>
  </si>
  <si>
    <t>Socialinių paslaugų  infrastruktūros  plėtra</t>
  </si>
  <si>
    <t>Socialinio būsto fondo plėtra</t>
  </si>
  <si>
    <t>Paslaugų teikimo ir asmenų aptarnavimo kokybės gerinimas savivaldybėse</t>
  </si>
  <si>
    <t>Komunalinių atliekų tvarkymo infrastruktūros plėtra</t>
  </si>
  <si>
    <t>Kraštovaizdžio apsauga</t>
  </si>
  <si>
    <t>07.1.1-CPVA-R-903</t>
  </si>
  <si>
    <t>Darnaus judumo plano Druskininkuose parengimas</t>
  </si>
  <si>
    <t>04.5.1-TID-V-513</t>
  </si>
  <si>
    <t>Alytaus regiono turizmo informacinės infrastruktūros plėtra</t>
  </si>
  <si>
    <t>1.1.1.1.4</t>
  </si>
  <si>
    <t>Paslaugų teikimo ir asmenų aptarnavimo kokybės gerinimas Varėnos rajono savivaldybėje</t>
  </si>
  <si>
    <t>Darnaus judumo sistemų kūrimas</t>
  </si>
  <si>
    <t>Lėšų poreikis ir finansavimo šaltiniai (EUR)</t>
  </si>
  <si>
    <r>
      <t xml:space="preserve">Priemonė: </t>
    </r>
    <r>
      <rPr>
        <sz val="10"/>
        <rFont val="Times New Roman"/>
        <family val="1"/>
      </rPr>
      <t xml:space="preserve">   Komunalinių atliekų tvarkymo infrastruktūros plėtra</t>
    </r>
  </si>
  <si>
    <t>Varėnos rajono savivaldybės visuomenės sveikatos biuras</t>
  </si>
  <si>
    <t>Socialinio būsto plėtra Varėnos rajone</t>
  </si>
  <si>
    <t>Geriamojo vandens tiekimo ir nuotekų tvarkymo sistemų renovavimas ir plėtra Lazdijų rajono savivaldybėje</t>
  </si>
  <si>
    <t>Modernių ir saugių erdvių sukūrimas bendrojo ugdymo įstaigose Lazdijų rajono savivaldybėje</t>
  </si>
  <si>
    <t>Neformaliojo švietimo įstaigų Lazdijų rajono savivaldybėje infrastruktūros tobulinimas</t>
  </si>
  <si>
    <t>Socialinio būsto fondo plėtra Lazdijų rajono savivaldybėje</t>
  </si>
  <si>
    <t>Varėnos rajono savivaldybės administracija</t>
  </si>
  <si>
    <t>2.1.1.1.5</t>
  </si>
  <si>
    <t>2.1.1.3.5</t>
  </si>
  <si>
    <t>2.1.3.2.5</t>
  </si>
  <si>
    <t>3.1.2.1.5</t>
  </si>
  <si>
    <t>3.1.2.1.6</t>
  </si>
  <si>
    <t>2.1.2.2.4.</t>
  </si>
  <si>
    <t>2.1.2.2.5</t>
  </si>
  <si>
    <t>Kraštovaizdžio formavimas Lazdijų rajono savivaldybėje</t>
  </si>
  <si>
    <t>1.1.1.1.5</t>
  </si>
  <si>
    <t>Vietinių kelių vystymas</t>
  </si>
  <si>
    <t>Geriamojo vandens tiekimo ir nuotekų tvarkymo sistemų renovavimas ir plėtra Varėnos rajone</t>
  </si>
  <si>
    <t>UAB „Varėnos vandenys“</t>
  </si>
  <si>
    <t>UAB “Dzūkijos vandenys“</t>
  </si>
  <si>
    <t>UAB „Lazdijų vanduo“</t>
  </si>
  <si>
    <t>Vandens tiekimo ir nuotekų šalinimo infrastruktūros renovavimas ir plėtra Druskininkų savivaldybėje</t>
  </si>
  <si>
    <t>SĮ „Simno komunalininkas“</t>
  </si>
  <si>
    <t>Lazdijų miesto kompleksinė infrastruktūros plėtra, III etapas</t>
  </si>
  <si>
    <t>Varėnos miesto centrinės dalies modernizavimas ir pritaikymas visuomenės poreikiams (I etapas)</t>
  </si>
  <si>
    <t>1.1.1.3.5</t>
  </si>
  <si>
    <t>Varėnos miesto centrinės dalies modernizavimas ir pritaikymas visuomenės poreikiams (II etapas)</t>
  </si>
  <si>
    <t>Vandens tiekimo ir nuotekų tvarkymo infrastruktūros plėtra Alytaus rajone (Krokialaukyje)</t>
  </si>
  <si>
    <t>Paviršinių nuotekų sistemų tvarkymas Alytaus mieste</t>
  </si>
  <si>
    <t>Kraštovaizdžio formavimas ir tvarkymas Varėnos r. savivaldybėje (I etapas)</t>
  </si>
  <si>
    <t>Kraštovaizdžio formavimas ir tvarkymas Varėnos r. savivaldybėje (II etapas)</t>
  </si>
  <si>
    <t>Komunalinių atliekų tvarkymo sistemos plėtra Alytaus regione</t>
  </si>
  <si>
    <t xml:space="preserve">Alytaus miesto savivaldybės administracija </t>
  </si>
  <si>
    <t xml:space="preserve">Lazdijų, Varėnos rajonų ir Druskininkų savivaldybės </t>
  </si>
  <si>
    <t>Socialinių paslaugų infrastruktūros plėtra Varėnos rajono savivaldybėje</t>
  </si>
  <si>
    <t>Psichosocialinės pagalbos centro įkūrimas</t>
  </si>
  <si>
    <t>Socialinių paslaugų infrastruktūros plėtra Druskininkų savivaldybėje</t>
  </si>
  <si>
    <t>Socialinių paslaugų infrastruktūros modernizavimas ir plėtra VšĮ Kapčiamiesčio globos namuose</t>
  </si>
  <si>
    <t>VšĮ Kapčiamiesčio globos namai</t>
  </si>
  <si>
    <t>Buvusios pramoninės teritorijos Pramonės g. 1 Alytuje, pritaikymas verslo vystymui ir plėtrai.</t>
  </si>
  <si>
    <t>VšĮ Alytaus kultūros ir komunikacijos centro pastato Alytuje, Pramonės g. 1B, rekonstravimas</t>
  </si>
  <si>
    <t>Pastato rekonstrukcija ir pritaikymas kultūrinėms, muziejinėms ir edukacinėms reikmėms</t>
  </si>
  <si>
    <t>Lazdijų miesto Seinų ir Lazdijos gatvių bei vietinės reikšmės kelio nuo Janonio gatvės iki Lazdijų hipodromo rekonstravimas</t>
  </si>
  <si>
    <t>Dviračių ir pėsčiųjų takų plėtra Lazdijų miesto Turistų gatvėje iki sodų bendrijos „Baltasis“ Lazdijų seniūnijoje</t>
  </si>
  <si>
    <t>3 lentelė. Projektams priskirtos veiklų grupės.</t>
  </si>
  <si>
    <t>R/V</t>
  </si>
  <si>
    <t>rez.</t>
  </si>
  <si>
    <t>Kodas*</t>
  </si>
  <si>
    <t>Pagrindinė veiklų grupė (pavadinimas)</t>
  </si>
  <si>
    <t>Kodas (I)</t>
  </si>
  <si>
    <t>Susijusi veiklų grupė (I) (pavadinimas)</t>
  </si>
  <si>
    <t>Kodas (II)</t>
  </si>
  <si>
    <t>Susijusi veiklų grupė (II) (pavadinimas)</t>
  </si>
  <si>
    <t>Kodas (III)</t>
  </si>
  <si>
    <t>Kiekis</t>
  </si>
  <si>
    <t>Viso</t>
  </si>
  <si>
    <t>ES parama</t>
  </si>
  <si>
    <t>Kitos viešosios infrastruktūros modernizavimas (viešosios erdvės): gyvenamosios paskirties teritorijos</t>
  </si>
  <si>
    <t>Kitos viešosios infrastruktūros modernizavimas (viešosios erdvės): visuomeninės, komercinės ir bendro naudojimo paskirties teritorijos</t>
  </si>
  <si>
    <t>Kitos viešosios infrastruktūros modernizavimas (pastatai ir statiniai): bendruomenės, nevyriausybinių organizacijų veiklai pritaikomi pastatai</t>
  </si>
  <si>
    <t>Kitos viešosios infrastruktūros modernizavimas (viešosios erdvės): rekreacinės teritorijos ir gamtinis karkasas</t>
  </si>
  <si>
    <t>Viešoji verslui skirta infrastruktūra (pramoniniai parkai, pramonės zonos ir pan.)</t>
  </si>
  <si>
    <t>Kitos viešosios infrastruktūros modernizavimas (viešosios erdvės): pramoninių, buvusių karinių, inžinerinių ir pan. objektų teritorijų pritaikymas ar konversija</t>
  </si>
  <si>
    <t>Vandentvarka (esamų geriamo vandens ir nuotekų tinklų modernizavimas)</t>
  </si>
  <si>
    <t>Vandentvarka (naujų tinklų įrengimas)</t>
  </si>
  <si>
    <t>Lietaus nuotekų sistemų modernizavimas ir plėtra</t>
  </si>
  <si>
    <t xml:space="preserve">Varėnos rajono savivaldybės administracija </t>
  </si>
  <si>
    <t>Viešoji turizmo infrastruktūra</t>
  </si>
  <si>
    <t>Kitos viešosios infrastruktūros modernizavimas (pastatai ir statiniai): kultūros objektai</t>
  </si>
  <si>
    <t>Alytaus miesto savivaldybės administracija</t>
  </si>
  <si>
    <t>Viešųjų pastatų energinio efektyvumo didinimas</t>
  </si>
  <si>
    <t>Kultūros paveldo objektų sutvarkymas ir pritaikymas</t>
  </si>
  <si>
    <t>Viešojo transporto priemonių įsigijimas</t>
  </si>
  <si>
    <t>Vietinės reikšmės keliai ir gatvės (rekonstrukcija)</t>
  </si>
  <si>
    <t>Viešojo transporto infrastruktūra</t>
  </si>
  <si>
    <t>Darnaus judumo priemonės miestuose (pėsčiųjų ir dviračių takų infrastruktūra, Park and Ride, Bike and Ride aikštelės, elektromobilių įkrovimo stotelių įrengimas ir kita)</t>
  </si>
  <si>
    <t>Pėsčiųjų ir dviračių takai (ne miesto vietovėse)</t>
  </si>
  <si>
    <t>Vietinės reikšmės keliai ir gatvės (statyba)</t>
  </si>
  <si>
    <t>Kita (nepriskirta kitoms grupėms)</t>
  </si>
  <si>
    <t>Bendrojo lavinimo mokyklų modernizavimas</t>
  </si>
  <si>
    <t>Neformaliojo švietimo įstaigų modernizavimas</t>
  </si>
  <si>
    <t>Ikimokyklinio ar priešmokyklinio ugdymo įstaigų modernizavimas</t>
  </si>
  <si>
    <t>Kitos viešosios infrastruktūros modernizavimas (pastatai ir statiniai): sveikatinimo ir sporto objektai</t>
  </si>
  <si>
    <t>Sveikatos paslaugų plėtra (ne infrastruktūra)</t>
  </si>
  <si>
    <t>Socialinių paslaugų plėtra (ne infrastruktūra)</t>
  </si>
  <si>
    <t>Socialinio būsto įsigijimas</t>
  </si>
  <si>
    <t>Socialinio būsto infrastruktūra (nauja statyba arba pritaikymas)</t>
  </si>
  <si>
    <t>Viešojo valdymo tobulinimas</t>
  </si>
  <si>
    <t>Atliekų tvarkymas (mažinimo, rūšiavimo ir perdirbimo skatinimo priemonės)</t>
  </si>
  <si>
    <t>Kraštovaizdžio tvarkymas (kraštovaizdžio etalonai, pažeistos teritorijos ir pan.)</t>
  </si>
  <si>
    <t>Kodas</t>
  </si>
  <si>
    <t>Pavadinimas</t>
  </si>
  <si>
    <t>Projektų, kuriems priskirta veiklų grupė skaičius</t>
  </si>
  <si>
    <t>Projektų, kuriems veiklų grupė priskirta kaip pagrindinė, skaičius</t>
  </si>
  <si>
    <t>Atsinaujinančių energijos šaltinių diegimas</t>
  </si>
  <si>
    <t>Limitas</t>
  </si>
  <si>
    <t>Likutis</t>
  </si>
  <si>
    <t>Kaimo gyvenamųjų vietovių atnaujinimas</t>
  </si>
  <si>
    <t>Miestų kompleksinė plėtra</t>
  </si>
  <si>
    <t>Geriamojo vandens tiekimo ir nuotekų tvarkymo sistemų renovavimas ir plėtra, įmonių valdymo tobulinimas</t>
  </si>
  <si>
    <t>Mokyklų tinklo efektyvumo didinimas</t>
  </si>
  <si>
    <t>Kurnėnų Lauryno Radziukyno mokyklos pritaikymas kultūrinėms ir turistinėms reikmėms</t>
  </si>
  <si>
    <t>Bešeimininkių apleistų pastatų Druskininkų savivaldybės teritorijoje likvidavimas</t>
  </si>
  <si>
    <t>3.1.2.1.7</t>
  </si>
  <si>
    <t>Pėsčiųjų ir dviračių takų plėtra Simno seniūnijoje</t>
  </si>
  <si>
    <t>P.S.364</t>
  </si>
  <si>
    <t>P.S.365</t>
  </si>
  <si>
    <t>Atnaujinti ir pritaikyti naujai paskirčiai pastatai ir statiniai kaimo vietovėse (vietovėse nuo 1 iki 6 tūkst. gyv. išskyrus savivaldybių centrus), m2</t>
  </si>
  <si>
    <t>Leipalingio viešosios erdvės pritaikymas bendruomenės poreikiams</t>
  </si>
  <si>
    <t>Viečiūnų viešosios erdvės pritaikymas bendruomenės poreikiams</t>
  </si>
  <si>
    <t>Darnaus judumo priemonių diegimas Alytaus mieste</t>
  </si>
  <si>
    <t>Geriamojo vandens ir nuotekų tvarkymo sistemų renovavimas Alytaus mieste</t>
  </si>
  <si>
    <t>Alytaus miesto bendrojo plano korektūra zonuojant kraštovaizdžio struktūrą, nustatant reglamentus ir principus</t>
  </si>
  <si>
    <t>Mažosios dailės galerijos, M.K.Čiurlionio g. 37, Druskininkai, modernizavimas ir pritaikymas kultūros poreikiams</t>
  </si>
  <si>
    <t xml:space="preserve">Finansavimo sutarties sudarymas (metai/mėnuo) </t>
  </si>
  <si>
    <t>Paslaugų ir asmenų aptarnavimo kokybės gerinimas Alytaus rajono savivaldybėje</t>
  </si>
  <si>
    <t>Lazdijų rajono savivaldybės administracijos ir jos viešojo valdymo institucijų teikiamų paslaugų procesų tobulinimas</t>
  </si>
  <si>
    <t>1.1.1.1.6</t>
  </si>
  <si>
    <t>1.1.1.1.7</t>
  </si>
  <si>
    <t>1.1.1.1.8</t>
  </si>
  <si>
    <t>1.1.1.1.9</t>
  </si>
  <si>
    <t>1.1.1.1.10</t>
  </si>
  <si>
    <t>1.1.1.1.11</t>
  </si>
  <si>
    <t>1.1.1.1.12</t>
  </si>
  <si>
    <t>1.1.1.1.13</t>
  </si>
  <si>
    <t>1.1.1.1.14</t>
  </si>
  <si>
    <t>1.1.1.1.15</t>
  </si>
  <si>
    <t>1.1.1.1.16</t>
  </si>
  <si>
    <t>1.1.1.1.17</t>
  </si>
  <si>
    <t>1.1.1.1.18</t>
  </si>
  <si>
    <t>1.1.1.1.19</t>
  </si>
  <si>
    <t>1.1.1.1.20</t>
  </si>
  <si>
    <t>1.1.1.1.21</t>
  </si>
  <si>
    <t>1.1.1.1.22</t>
  </si>
  <si>
    <t>1.1.1.1.23</t>
  </si>
  <si>
    <t xml:space="preserve">Druskininkų savivaldybės Viečiūnų seniūnijos Ilgio ir Raigardo seniūnaitijų kelių būklės gerinimas  </t>
  </si>
  <si>
    <t>Druskininkų savivaldybės Viečiūnų seniūnijos Ratnyčėlės seniūnaitijos kelių būklės gerinimas</t>
  </si>
  <si>
    <t>Druskininkų savivaldybės Leipalingio seniūnijos Klonio seniūnaitijos kelių būklės gerinimas</t>
  </si>
  <si>
    <t>Rudaminos laisvalaikio salės pritaikymas bendruomenės poreikiams ir liaudies amatų plėtrai</t>
  </si>
  <si>
    <t>Druskininkų savivaldybės Leipalingio seniūnijos Bilso seniūnaitijos kelių būklės gerinimas</t>
  </si>
  <si>
    <t>Lazdijų rajono kaimų patrauklumo didinimas atnaujinant bibliotekas</t>
  </si>
  <si>
    <t>Alytaus rajono Miroslavo kaimo multifunkcinės sporto aikštės įrengimas ir gatvių bei šaligatvių rekonstrukcija</t>
  </si>
  <si>
    <t>Alytaus rajono Luksnėnų kaimo multifunkcinės sporto aikštės įrengimas ir gatvių rekonstrukcija</t>
  </si>
  <si>
    <t>Krikštonių laisvalaikio salės pritaikymas bendruomenės poreikiams</t>
  </si>
  <si>
    <t>Kučiūnų laisvalaikio salės pritaikymas bendruomenės poreikiams</t>
  </si>
  <si>
    <t>Laisvalaikio infrastruktūros sukūrimas Lazdijų rajono kaimo gyvenamosiose vietovėse</t>
  </si>
  <si>
    <t>Alytaus rajono Butrimonių miestelio šaligatvių kapitalinis remontas ir gyvenvietės apšvietimo įrengimas</t>
  </si>
  <si>
    <t>Alytaus rajono Genių kaimo sporto aikštės įrengimas ir gatvių rekonstrukcija</t>
  </si>
  <si>
    <t>Varėnos r. Dargužių kaimo Liepų gatvės ir viešosios erdvės įrengimas</t>
  </si>
  <si>
    <t>Alytaus rajono Vaisodžių kaimo sporto aikštės įrengimas ir gatvių apšvietimo atnaujinimas bei plėtra</t>
  </si>
  <si>
    <t>Alytaus rajono Talokių kaimo sporto aikštės įrengimas ir Plytinės gatvės apšvietimas</t>
  </si>
  <si>
    <t>Varėnos r. Rudnios kaimo Pušyno gatvės įrengimas</t>
  </si>
  <si>
    <t>Varėnos kultūros centro Žilinų filialo pastato atnaujinimas ir pritaikymas bendruomenės poreikiams</t>
  </si>
  <si>
    <t>Alytaus rajono Pivašiūnų kaimo šaligatvių, laiptų kapitalinis remontas ir gyvenvietės apšvietimo įrengimas</t>
  </si>
  <si>
    <t>Pastato, esančio Pušelės g. 11, Naujųjų Valkininkų k., Varėnos r., atnaujinimas ir pritaikymas bendruomenės poreikiams</t>
  </si>
  <si>
    <t>Kaimo gyvenamųjų vietovių Lazdijų rajono savivaldybėje patrauklumo gerinimas</t>
  </si>
  <si>
    <t>Alytaus rajono Makniūnų kaimo šaligatvių atnaujinimas ir plėtra</t>
  </si>
  <si>
    <t>Varėnos r. Vazgirdonių kaimo Klevų gatvės įrengimas</t>
  </si>
  <si>
    <t>Viešoji įstaiga Lazdijų kultūros centras</t>
  </si>
  <si>
    <t xml:space="preserve">Biudžetinė įstaiga Lazdijų rajono savivaldybės viešoji biblioteka </t>
  </si>
  <si>
    <t xml:space="preserve">Viešoji įstaiga Lazdijų kultūros centras </t>
  </si>
  <si>
    <t xml:space="preserve">Pagrindinės paslaugos ir kaimų atnaujinimas kaimo vietovėse </t>
  </si>
  <si>
    <t>Kodas (I)*</t>
  </si>
  <si>
    <t>Siekiama reikšmė (I)</t>
  </si>
  <si>
    <t>Produkto vertinimo kriterijus (II)</t>
  </si>
  <si>
    <t>Siekiama reikšmė (II)</t>
  </si>
  <si>
    <t>Produkto vertinimo kriterijus (III)</t>
  </si>
  <si>
    <t>Siekiama reikšmė (III)</t>
  </si>
  <si>
    <t>Kodas (IV)</t>
  </si>
  <si>
    <t>Produkto vertinimo kriterijus (IV)</t>
  </si>
  <si>
    <t>Siekiama reikšmė (IV)</t>
  </si>
  <si>
    <t>(pavadinimas)</t>
  </si>
  <si>
    <t>KP.1</t>
  </si>
  <si>
    <t>Veiksmų, kuriais remiamos investicijos į mažos apimties infrastruktūrą, skaičius (planuojamų sutvarkyti objektų skaičius)</t>
  </si>
  <si>
    <t>KP.3</t>
  </si>
  <si>
    <t>Gyventojų, kurie naudojasi geresnėmis paslaugomis/infrastruktūra, skaičius (gyventojų skaičius (kaimo vietovėje, kurioje planuojama sutvarkyti objektą (-us))</t>
  </si>
  <si>
    <t>KP.4</t>
  </si>
  <si>
    <t xml:space="preserve">Regioninio planavimo būdu įgyvendintų mažos apimties infrastruktūros projektų skaičius (regioninių projektų skaičius) </t>
  </si>
  <si>
    <t>Naujos atviros erdvės vietovėse nuo 1 iki 6 tūkst. gyv. (išskyrus savivaldybių centrus) m2</t>
  </si>
  <si>
    <t>Atnaujinti ir pritaikyti naujai paskirčiai pastatai ir statiniai kaimo vietovėse m2</t>
  </si>
  <si>
    <t>Naujos atviros erdvės vietovėse nuo 1 iki 6 tūkst. gyv. (išskyrus savivaldybių centrus)</t>
  </si>
  <si>
    <t xml:space="preserve">Sukurtos arba atnaujintos atviros erdvės miestų vietovėse, m2 </t>
  </si>
  <si>
    <t>Sukurtos arba atnaujintos atviros erdvės miestų vietovėse m2</t>
  </si>
  <si>
    <t>P.B.238</t>
  </si>
  <si>
    <t>Sukurtos arba atnaujintos atviros erdvės miestų vietovėse, m²</t>
  </si>
  <si>
    <t>P.B.239</t>
  </si>
  <si>
    <t>Pastatyti arba atnaujinti viešieji arba komerciniai pastatai miestų vietovėse,  m2</t>
  </si>
  <si>
    <t>„Sukurtos arba atnaujintos atviros erdvės miestų vietovėse“  m2</t>
  </si>
  <si>
    <t>P.N.050</t>
  </si>
  <si>
    <t>Gyventojai, kuriems teikiamos vandens tiekimo paslaugos naujai pastatytais geriamojo vandens tiekimo tinklais (skaičius)</t>
  </si>
  <si>
    <t>P.N.053</t>
  </si>
  <si>
    <t>Gyventojai, kuriems teikiamos paslaugos naujai pastatytais nuotekų surinkimo tinklais (GE)</t>
  </si>
  <si>
    <t>P.N.054</t>
  </si>
  <si>
    <t>Gyventojai, kuriems teikiamos nuotekų valymo paslaugos naujai pastatytais ir (arba) rekonstruotais nuotekų valymo įrenginiais (GE)</t>
  </si>
  <si>
    <t>P.S.333</t>
  </si>
  <si>
    <t>Rekonstruotų vandens tiekimo ir nuotekų surinkimo tinklų ilgis, km</t>
  </si>
  <si>
    <t>P.N.051</t>
  </si>
  <si>
    <t>Gyventojai, kuriems teikiamos vandens tiekimo paslaugos iš naujai pastatytų ir (arba) rekonstruotų geriamojo vandens gerinimo įrenginių (skaičius)</t>
  </si>
  <si>
    <t>Gyventojai, kuriems teikiamos vandens tiekimo paslaugos naujai pastatytais geriamojo vandens tiekimo tinklais</t>
  </si>
  <si>
    <t>Gyventojai, kuriems teikiamos paslaugos naujai pastatytais nuotekų surinkimo tinklais</t>
  </si>
  <si>
    <t>Gyventojai, kuriems teikiamos nuotekų valymo paslaugos naujai pastatytais ir (arba) rekonstruotais nuotekų valymo įrenginiais</t>
  </si>
  <si>
    <t>P.S.328</t>
  </si>
  <si>
    <t>Lietaus nuotėkio plotas, iš kurio surenkamam paviršiniam (lietaus) vandeniui tvarkyti, įrengta ir (ar) rekonstruota infrastruktūra, ha</t>
  </si>
  <si>
    <t>P.N.028</t>
  </si>
  <si>
    <t>Inventorizuota neapskaityto paviršinių nuotekų nuotakyno dalis, proc.</t>
  </si>
  <si>
    <t>P.N.817</t>
  </si>
  <si>
    <t>Įrengti ženklinimo infrastruktūros objektai</t>
  </si>
  <si>
    <t>P.N.304</t>
  </si>
  <si>
    <t xml:space="preserve">„Modernizuoti kultūros infrastruktūros objektai, vnt.  </t>
  </si>
  <si>
    <t>P.S.335</t>
  </si>
  <si>
    <t>Sutvarkyti, įrengti ir pritaikyti lankymui gamtos ir kultūros paveldo objektai ir teritorijos</t>
  </si>
  <si>
    <t>„Sutvarkyti, įrengti ir pritaikyti lankymui gamtos ir kultūros paveldo objektai ir teritorijos“</t>
  </si>
  <si>
    <t>P.S.325</t>
  </si>
  <si>
    <t>Įsigytos naujos ekologiškos viešojo transporto priemonės</t>
  </si>
  <si>
    <t xml:space="preserve">Įsigytos naujos ekologiškos viešojo transporto priemonės </t>
  </si>
  <si>
    <t>P.S.323</t>
  </si>
  <si>
    <t>Įgyvendintos darnaus judumo priemonės</t>
  </si>
  <si>
    <t>P.S.321</t>
  </si>
  <si>
    <t>Įrengtų naujų pėsčiųjų/dviračių takų ir/ar trasų ilgis, km</t>
  </si>
  <si>
    <t>Įrengtų naujų pėsčiųjų/dviračių takų ir/ar trasų ilgis,  km</t>
  </si>
  <si>
    <t>P.S.322</t>
  </si>
  <si>
    <t>„Rekonstruotų dviračių ir / ar pėsčiųjų takų ir / ar trasų ilgis“</t>
  </si>
  <si>
    <t>P.B.214</t>
  </si>
  <si>
    <t>Bendras rekonstruotų arba atnaujintų kelių ilgis, km</t>
  </si>
  <si>
    <t>P.S.342</t>
  </si>
  <si>
    <t>Įdiegtos saugų eismą gerinančios ir aplinkosaugos priemonės</t>
  </si>
  <si>
    <t>P.N.508</t>
  </si>
  <si>
    <t>Bendras naujai nutiestų kelių ilgis, km</t>
  </si>
  <si>
    <t xml:space="preserve">P.N.722 </t>
  </si>
  <si>
    <t xml:space="preserve">Pagal veiksmų programą ERPF lėšomis atnaujintos bendrojo ugdymo mokyklos </t>
  </si>
  <si>
    <t>P.B.235</t>
  </si>
  <si>
    <t>Investicijas gavusios vaikų priežiūros arba švietimo infrastruktūros pajėgumas</t>
  </si>
  <si>
    <t xml:space="preserve">P.N.723 </t>
  </si>
  <si>
    <t>Pagal veiksmų programą ERPF lėšomis atnaujintos neformaliojo įstaigos</t>
  </si>
  <si>
    <t>P.N.717</t>
  </si>
  <si>
    <t xml:space="preserve">Pagal veiksmų programą ERPF lėšomis atnaujintos ikimokyklinio ugdymo mokyklos </t>
  </si>
  <si>
    <t>P.B.236</t>
  </si>
  <si>
    <t>Gyventojai, turintys galimybę pasinaudoti pagerintomis sveikatos priežiūros paslaugomis</t>
  </si>
  <si>
    <t>„Gyventojai, turintys galimybę pasinaudoti pagerintomis sveikatos priežiūros paslaugomis“</t>
  </si>
  <si>
    <t>P.S.361</t>
  </si>
  <si>
    <t>Investicijas gavę socialinių paslaugų infrastruktūros objektai</t>
  </si>
  <si>
    <t>Investicijas gavę socialinių paslaugų infrastruktūros objektai,skaičius</t>
  </si>
  <si>
    <t>P.S.362</t>
  </si>
  <si>
    <t>Naujai įrengti ar įsigyti socialiniai būstai (Skaičius)</t>
  </si>
  <si>
    <t>P.S.415</t>
  </si>
  <si>
    <t>Viešojo valdymo institucijos, veiksmų programos lėšomis įgyvendinusios paslaugų ir aptarnavimo kokybės gerinimo priemones, Skč.</t>
  </si>
  <si>
    <t>P.S.416</t>
  </si>
  <si>
    <t>Viešojo valdymo institucijų darbuotojai, kurie dalyvavo pagal programą ESF lėšomis vykdytose veiklose, skirtose stiprinti teikiamų paslaugų ir (ar) aptarnavimo kokybės gerinimui reikalingas kompetencijas</t>
  </si>
  <si>
    <t>P.N. 910</t>
  </si>
  <si>
    <t>Parengtos piliečių chartijos</t>
  </si>
  <si>
    <t xml:space="preserve">Viešojo valdymo institucijos, pagal programą  ESF lėšomis įgyvendinusios paslaugų ir (ar) aptarnavimo kokybei gerinti skirtas priemones </t>
  </si>
  <si>
    <t>P.S.329</t>
  </si>
  <si>
    <t>Sukurti /pagerinti atskiro komunalinių atliekų surinkimo pajėgumai, tonos/metai</t>
  </si>
  <si>
    <t>R.N.091</t>
  </si>
  <si>
    <t>Teritorijų, kuriose įgyvendintos kraštovaizdžio formavimo priemonės, plotas, Ha</t>
  </si>
  <si>
    <t>P.N.093</t>
  </si>
  <si>
    <t>P.N.094</t>
  </si>
  <si>
    <t>Rekultivuotos atvirais kasiniais pažeistos žemės, skaičius</t>
  </si>
  <si>
    <t>P.S.338</t>
  </si>
  <si>
    <t>Išsaugoti, sutvarkyti ar atkurti įvairaus teritorinio lygmens kraštovaizdžio arealai</t>
  </si>
  <si>
    <t>P.N.092</t>
  </si>
  <si>
    <t>Kraštovaizdžio ir (ar) gamtinio karkaso formavimo aspektais pakeisti ar pakoreguoti savivaldybių ar jų dalių bendrieji planai, skaičius</t>
  </si>
  <si>
    <t>Teritorijų, kuriose įgyvendintos kraštovaizdžio formavimopriemonės, plotas , ha</t>
  </si>
  <si>
    <t>Kraštovaizdžio ir (ar) gamtinio karkaso formavimo aspektais pakeisti ar pakoreguoti savivaldybių ar jų dalių bendrieji planai</t>
  </si>
  <si>
    <t>Produkto vertinimo kriterijus (pavadinimas)</t>
  </si>
  <si>
    <t>Siekiama reikšmė (projektams priskirtų kriterijų reikšmių suma)</t>
  </si>
  <si>
    <t>Gyventojai, turintys galimybę pasinaudoti pagerintomis sveikatos priežiūros paslaugomis, asmenys</t>
  </si>
  <si>
    <t>Sukurtos arba atnaujintos atviros erdvės miestų vietovėse, m2</t>
  </si>
  <si>
    <t>Inventorizuota neapskaityto paviršinių nuotekų nuotakyno dalis, proc</t>
  </si>
  <si>
    <t>Gyventojų, kuriems teikiamos vandens tiekimo paslaugos naujai pastatytais geriamojo vandens tiekimo tinklais, skaičius</t>
  </si>
  <si>
    <t>Gyventojų, kuriems teikiamos vandens tiekimo paslaugos iš naujai pastatytų ir (arba) rekonstruotų geriamojo vandens gerinimo įrenginių, skaičius</t>
  </si>
  <si>
    <t>Gyventojų, kuriems teikiamos vandens tiekimo paslaugos naujai pastatytais nuotekų surinkimo tinklais, skaičius</t>
  </si>
  <si>
    <t>Gyventojų, kuriems teikiamos nuotekų valymo paslaugos naujai pastatytais ir (arba) rekonstruotais nuotekų valymo įrenginiais, skaičius</t>
  </si>
  <si>
    <t>Likviduoti kraštovaizdį darkantys bešeimininkiai apleisti statiniai ir įrenginiai, skaičius</t>
  </si>
  <si>
    <t>Modernizuoti kultūros infrastruktūros objektai, vnt.</t>
  </si>
  <si>
    <t>Pagal veiksmų programą ERPF lėšomis atnaujintos ikimokyklinio ugdymo mokyklos, vnt.</t>
  </si>
  <si>
    <t>P.N.722</t>
  </si>
  <si>
    <t>Pagal veiksmų programą ERPF lėšomis atnaujintos bendrojo ugdymo mokyklos, vnt.</t>
  </si>
  <si>
    <t>P.N.723</t>
  </si>
  <si>
    <t>Pagal veiksmų programą ERPF lėšomis atnaujintos neformaliojo įstaigos, vnt.</t>
  </si>
  <si>
    <t xml:space="preserve">P.N.817  </t>
  </si>
  <si>
    <t>Įrengtų ar rekonstruotų dviračių ir/ar pėsčiųjų takų ir/ar trasų ilgis, km</t>
  </si>
  <si>
    <t>Rekonstruotų dviračių ir / ar pėsčiųjų takų ir / ar trasų ilgis, km</t>
  </si>
  <si>
    <t>Įgyvendintos darnaus judumo priemonės, vnt.</t>
  </si>
  <si>
    <t>Įsigytos naujos ekologiškos viešojo transporto priemonės, vnt.</t>
  </si>
  <si>
    <t>Sukurti/pagerinti atskiro komunalinių atliekų surinkimo pajėgumai, tonos/metai</t>
  </si>
  <si>
    <t>Rekonstruotų vandens tiekimo ir nuotekų  surinkimo tinklų ilgis, km</t>
  </si>
  <si>
    <t>Išsaugoti, sutvarkyti ar atkurti įvairaus teritorinio lygmens kraštovaizdžio arealai, skaičius</t>
  </si>
  <si>
    <t>Investicijas gavę socialinių paslaugų infrastruktūros objektai, vnt.</t>
  </si>
  <si>
    <t>Naujai įrengti ar įsigyti socialiniai būstai, skaičius</t>
  </si>
  <si>
    <t>Viešojo valdymo institucijos, pagal programą  ESF lėšomis įgyvendinusios paslaugų ir (ar) aptarnavimo kokybei gerinti skirtas priemones, skaičius</t>
  </si>
  <si>
    <t>Viešojo valdymo institucijų darbuotojai, kurie dalyvavo pagal programą ESF lėšomis vykdytose veiklose, skirtose stiprinti teikiamų paslaugų ir (ar) aptarnavimo kokybės gerinimui reikalingas kompetencijas, vnt.</t>
  </si>
  <si>
    <t>Teritorijų, kuriose įgyvendintos kraštovaizdžio formavimo priemonės, plotas, ha</t>
  </si>
  <si>
    <t>Bendras rekonstruotų arba atnaujintų kelių ilgis (km)</t>
  </si>
  <si>
    <t>Sukurtos arba atnaujintos atviros erdvės miestų vietovėse</t>
  </si>
  <si>
    <t>Gyventojai, kuriems teikiamos vandens tiekimo paslaugos naujai pastatytais geriamojo vandens tiekimo tinklais(skaičius)</t>
  </si>
  <si>
    <t>Gyventojai, kuriems teikiamos vandens tiekimo paslaugos naujai pastatytais nuotekų surinkimo tinklais</t>
  </si>
  <si>
    <t>Likviduoti kraštovaizdį darkantys bešeimininkiai apleisti statiniai ir įrenginiai (Skaičius)</t>
  </si>
  <si>
    <t>Modernizuoti kultūros infrastruktūros objektai (vnt.)</t>
  </si>
  <si>
    <t>Pagal veiksmų programą ERPF lėšomis atnaujintos ikimokyklinio ugdymo mokyklos (vnt.)</t>
  </si>
  <si>
    <t>Pagal veiksmų programą ERPF lėšomis atnaujintos bendrojo ugdymo mokyklos  (vnt.)</t>
  </si>
  <si>
    <t>Pagal veiksmų programą ERPF lėšomis atnaujintos neformaliojo įstaigos (vnt.)</t>
  </si>
  <si>
    <t>Įrengtų ar rekonstruotų dviračių ir/ar pėsčiųjų takų ir/ar trasų ilgis (km)</t>
  </si>
  <si>
    <t>Įgyvendintos darnaus judumo priemonės (vnt.)</t>
  </si>
  <si>
    <t>Įsigytos naujos ekologiškos viešojo transporto priemonės (vnt.)</t>
  </si>
  <si>
    <t>Sukurti/pagerinti atskiro komunalinių atliekų surinkimo pajėgumai (tonos/metai)</t>
  </si>
  <si>
    <t>Rekonstruotų vandens tiekimo ir nuotekų  surinkimo tinklų ilgis (km)</t>
  </si>
  <si>
    <t>Išsaugoti, sutvarkyti ar atkurti įvairaus teritorinio lygmens kraštovaizdžio arealai (skaičius)</t>
  </si>
  <si>
    <t>Investicijas gavę socialinių paslaugų infrastruktūros objektai (vnt.)</t>
  </si>
  <si>
    <t>Atnaujinti ir pritaikyti naujai paskirčiai pastatai ir statiniai kaimo vietovėse (vietovėse nuo 1 iki 6 tūkst. gyv. išskyrus savivaldybių centrus) (m2)</t>
  </si>
  <si>
    <t>Viešojo valdymo institucijos, pagal programą  ESF lėšomis įgyvendinusios paslaugų ir (ar) aptarnavimo kokybei gerinti skirtas priemones, Skaičius</t>
  </si>
  <si>
    <t>Viešojo valdymo institucijų darbuotojai, kurie dalyvavo pagal programą ESF lėšomis vykdytose veiklose, skirtose stiprinti teikiamų paslaugų ir (ar) aptarnavimo kokybės gerinimui reikalingas kompetencijas (vnt.)</t>
  </si>
  <si>
    <t xml:space="preserve">P.N.817 </t>
  </si>
  <si>
    <t>P.N.743</t>
  </si>
  <si>
    <t>Pagal veiksmų     programą ERPF lėšomis atnaujintos ikimokyklinio ir/ar priešmokyklinio ugdymo grupės</t>
  </si>
  <si>
    <r>
      <t>Naujos atviros erdvės (vietovėse nuo 1 iki 6 tūkst. gyv. išskyrus savivaldybių centrus), m</t>
    </r>
    <r>
      <rPr>
        <vertAlign val="superscript"/>
        <sz val="11"/>
        <rFont val="Calibri"/>
        <family val="1"/>
        <charset val="186"/>
        <scheme val="minor"/>
      </rPr>
      <t>2</t>
    </r>
  </si>
  <si>
    <r>
      <t>Naujos atviros erdvės (vietovėse nuo 1 iki 6 tūkst. gyv. išskyrus savivaldybių centrus) (m</t>
    </r>
    <r>
      <rPr>
        <vertAlign val="superscript"/>
        <sz val="12"/>
        <rFont val="Times New Roman"/>
        <family val="1"/>
        <charset val="186"/>
      </rPr>
      <t>2</t>
    </r>
    <r>
      <rPr>
        <sz val="12"/>
        <rFont val="Times New Roman"/>
        <family val="1"/>
        <charset val="186"/>
      </rPr>
      <t>)</t>
    </r>
  </si>
  <si>
    <r>
      <rPr>
        <b/>
        <u/>
        <sz val="14"/>
        <rFont val="Times New Roman"/>
        <family val="1"/>
        <charset val="186"/>
      </rPr>
      <t xml:space="preserve">Tikslas: </t>
    </r>
    <r>
      <rPr>
        <b/>
        <sz val="14"/>
        <rFont val="Times New Roman"/>
        <family val="1"/>
      </rPr>
      <t xml:space="preserve">
Didinti ūkinės veiklos įvairovę ir pagerinti sąlygas investicijų pritraukimui, mažinant geografinių sąlygų ir demografinių procesų sukeliamus gyvenimo kokybės netolygumus</t>
    </r>
  </si>
  <si>
    <r>
      <rPr>
        <b/>
        <u/>
        <sz val="12"/>
        <rFont val="Times New Roman"/>
        <family val="1"/>
        <charset val="186"/>
      </rPr>
      <t>Uždavinys:</t>
    </r>
    <r>
      <rPr>
        <b/>
        <sz val="12"/>
        <rFont val="Times New Roman"/>
        <family val="1"/>
      </rPr>
      <t xml:space="preserve"> 
Sudaryti sąlygas darbo vietų kūrimui, kuriant ir atnaujinant viešąją ir ekoinžinerinę  infrastruktūrą,  gamtos, kultūros paveldo objektus ir kultūros įstaigas</t>
    </r>
  </si>
  <si>
    <r>
      <t xml:space="preserve">Priemonė:
</t>
    </r>
    <r>
      <rPr>
        <b/>
        <sz val="9"/>
        <rFont val="Times New Roman"/>
        <family val="1"/>
        <charset val="186"/>
      </rPr>
      <t>Kaimo gyvenamųjų vietovių (turinčių iki 1 tūkst. gyventojų) atnaujinimas</t>
    </r>
  </si>
  <si>
    <r>
      <t xml:space="preserve">Priemonė:
</t>
    </r>
    <r>
      <rPr>
        <b/>
        <sz val="9"/>
        <rFont val="Times New Roman"/>
        <family val="1"/>
        <charset val="186"/>
      </rPr>
      <t>Kaimo gyvenamųjų vietovių (turinčių 1-6 tūkst. gyventojų) atnaujinimas ir plėtra</t>
    </r>
  </si>
  <si>
    <r>
      <rPr>
        <b/>
        <u/>
        <sz val="9"/>
        <rFont val="Times New Roman"/>
        <family val="1"/>
        <charset val="186"/>
      </rPr>
      <t>Priemonė:</t>
    </r>
    <r>
      <rPr>
        <b/>
        <sz val="9"/>
        <rFont val="Times New Roman"/>
        <family val="1"/>
        <charset val="186"/>
      </rPr>
      <t xml:space="preserve">
Komunalinių atliekų tvarkymo infrastruktūros plėtra</t>
    </r>
  </si>
  <si>
    <r>
      <rPr>
        <b/>
        <u/>
        <sz val="14"/>
        <rFont val="Times New Roman"/>
        <family val="1"/>
        <charset val="186"/>
      </rPr>
      <t xml:space="preserve">Tikslas: </t>
    </r>
    <r>
      <rPr>
        <b/>
        <sz val="14"/>
        <rFont val="Times New Roman"/>
        <family val="1"/>
        <charset val="186"/>
      </rPr>
      <t xml:space="preserve">
Darniai tvarkyti ir vystyti regiono teritoriją</t>
    </r>
  </si>
  <si>
    <r>
      <rPr>
        <b/>
        <u/>
        <sz val="12"/>
        <rFont val="Times New Roman"/>
        <family val="1"/>
        <charset val="186"/>
      </rPr>
      <t>Uždavinys:</t>
    </r>
    <r>
      <rPr>
        <b/>
        <sz val="12"/>
        <rFont val="Times New Roman"/>
        <family val="1"/>
        <charset val="186"/>
      </rPr>
      <t xml:space="preserve">
Sumažinti sąvartynuose šalinamų komunalinių atliekų kiekį</t>
    </r>
  </si>
  <si>
    <r>
      <rPr>
        <b/>
        <u/>
        <sz val="12"/>
        <rFont val="Times New Roman"/>
        <family val="1"/>
        <charset val="186"/>
      </rPr>
      <t>Uždavinys:</t>
    </r>
    <r>
      <rPr>
        <b/>
        <sz val="12"/>
        <rFont val="Times New Roman"/>
        <family val="1"/>
        <charset val="186"/>
      </rPr>
      <t xml:space="preserve">
Kraštovaizdžio apsauga, planavimas ir tvarkymas</t>
    </r>
  </si>
  <si>
    <r>
      <rPr>
        <b/>
        <u/>
        <sz val="9"/>
        <rFont val="Times New Roman"/>
        <family val="1"/>
        <charset val="186"/>
      </rPr>
      <t>Priemonė:</t>
    </r>
    <r>
      <rPr>
        <b/>
        <sz val="9"/>
        <rFont val="Times New Roman"/>
        <family val="1"/>
        <charset val="186"/>
      </rPr>
      <t xml:space="preserve">
Kraštovaizdžio apsauga/plėtra</t>
    </r>
  </si>
  <si>
    <t>3.1.2.1.8</t>
  </si>
  <si>
    <t>Bešeimininkių apleistų pastatų ir įrenginių tvarkymas Alytaus rajono savivaldybėje (II etapas)</t>
  </si>
  <si>
    <t xml:space="preserve">sutartis </t>
  </si>
  <si>
    <r>
      <t xml:space="preserve">Priemonė:
</t>
    </r>
    <r>
      <rPr>
        <b/>
        <sz val="9"/>
        <rFont val="Times New Roman"/>
        <family val="1"/>
        <charset val="186"/>
      </rPr>
      <t>Varėnos miesto kompleksinė plėtra</t>
    </r>
  </si>
  <si>
    <r>
      <t xml:space="preserve">Priemonė:
</t>
    </r>
    <r>
      <rPr>
        <b/>
        <sz val="9"/>
        <rFont val="Times New Roman"/>
        <family val="1"/>
        <charset val="186"/>
      </rPr>
      <t xml:space="preserve">Alytaus, Druskininkų ir Lazdijų miestų kompleksinė plėtra
</t>
    </r>
  </si>
  <si>
    <r>
      <rPr>
        <b/>
        <u/>
        <sz val="9"/>
        <rFont val="Times New Roman"/>
        <family val="1"/>
        <charset val="186"/>
      </rPr>
      <t>Priemonė:</t>
    </r>
    <r>
      <rPr>
        <b/>
        <sz val="9"/>
        <rFont val="Times New Roman"/>
        <family val="1"/>
        <charset val="186"/>
      </rPr>
      <t xml:space="preserve">
Geriamojo vandens tiekimo ir nuotekų tvarkymo sistemų renovavimas ir plėtra, įmonių valdymo tobulinimas </t>
    </r>
  </si>
  <si>
    <r>
      <t xml:space="preserve">Priemonė:
</t>
    </r>
    <r>
      <rPr>
        <b/>
        <sz val="9"/>
        <rFont val="Times New Roman"/>
        <family val="1"/>
        <charset val="186"/>
      </rPr>
      <t>Paviršinių nuotekų sistemų tvarkymas</t>
    </r>
  </si>
  <si>
    <r>
      <rPr>
        <b/>
        <u/>
        <sz val="9"/>
        <rFont val="Times New Roman"/>
        <family val="1"/>
        <charset val="186"/>
      </rPr>
      <t xml:space="preserve">Priemonė:
</t>
    </r>
    <r>
      <rPr>
        <b/>
        <sz val="9"/>
        <rFont val="Times New Roman"/>
        <family val="1"/>
        <charset val="186"/>
      </rPr>
      <t>Savivaldybes jungiančių turizmo trasų ir turizmo maršrutų informacinės infrastruktūros plėtra</t>
    </r>
  </si>
  <si>
    <r>
      <rPr>
        <b/>
        <u/>
        <sz val="9"/>
        <rFont val="Times New Roman"/>
        <family val="1"/>
        <charset val="186"/>
      </rPr>
      <t>Priemonė:</t>
    </r>
    <r>
      <rPr>
        <b/>
        <sz val="9"/>
        <rFont val="Times New Roman"/>
        <family val="1"/>
        <charset val="186"/>
      </rPr>
      <t xml:space="preserve">
Modernizuoti savivaldybių kultūros infrastruktūrą</t>
    </r>
  </si>
  <si>
    <r>
      <t xml:space="preserve">Priemonė:
</t>
    </r>
    <r>
      <rPr>
        <b/>
        <sz val="9"/>
        <rFont val="Times New Roman"/>
        <family val="1"/>
        <charset val="186"/>
      </rPr>
      <t>Aktualizuoti savivaldybių kultūros paveldo objektu</t>
    </r>
    <r>
      <rPr>
        <b/>
        <u/>
        <sz val="9"/>
        <rFont val="Times New Roman"/>
        <family val="1"/>
        <charset val="186"/>
      </rPr>
      <t>s</t>
    </r>
  </si>
  <si>
    <r>
      <rPr>
        <b/>
        <u/>
        <sz val="12"/>
        <rFont val="Times New Roman"/>
        <family val="1"/>
        <charset val="186"/>
      </rPr>
      <t>Uždavinys:</t>
    </r>
    <r>
      <rPr>
        <b/>
        <sz val="12"/>
        <rFont val="Times New Roman"/>
        <family val="1"/>
        <charset val="186"/>
      </rPr>
      <t xml:space="preserve">
Pagerinti darbo jėgos judėjimo galimybes gerinant susisiekimo sistemas</t>
    </r>
  </si>
  <si>
    <r>
      <rPr>
        <b/>
        <u/>
        <sz val="9"/>
        <rFont val="Times New Roman"/>
        <family val="1"/>
        <charset val="186"/>
      </rPr>
      <t xml:space="preserve">Priemonė:
</t>
    </r>
    <r>
      <rPr>
        <b/>
        <sz val="9"/>
        <rFont val="Times New Roman"/>
        <family val="1"/>
        <charset val="186"/>
      </rPr>
      <t>Vietinio susisiekimo viešojo transporto priemonių parko atnaujinimas</t>
    </r>
  </si>
  <si>
    <r>
      <t xml:space="preserve">Priemonė:
</t>
    </r>
    <r>
      <rPr>
        <b/>
        <sz val="9"/>
        <rFont val="Times New Roman"/>
        <family val="1"/>
        <charset val="186"/>
      </rPr>
      <t>Darnaus judumo priemonių diegimas</t>
    </r>
  </si>
  <si>
    <r>
      <t xml:space="preserve">Priemonė:
</t>
    </r>
    <r>
      <rPr>
        <b/>
        <sz val="9"/>
        <rFont val="Times New Roman"/>
        <family val="1"/>
        <charset val="186"/>
      </rPr>
      <t>Pėsčiųjų ir dviračių takų rekonstrukcija ir plėtra</t>
    </r>
  </si>
  <si>
    <r>
      <t xml:space="preserve">Priemonė:
</t>
    </r>
    <r>
      <rPr>
        <b/>
        <sz val="9"/>
        <rFont val="Times New Roman"/>
        <family val="1"/>
        <charset val="186"/>
      </rPr>
      <t>Vietinių kelių techninių parametrų ir eismo saugos gerinimas</t>
    </r>
  </si>
  <si>
    <r>
      <t xml:space="preserve">Tikslas:
</t>
    </r>
    <r>
      <rPr>
        <b/>
        <sz val="14"/>
        <rFont val="Times New Roman"/>
        <family val="1"/>
        <charset val="186"/>
      </rPr>
      <t>Gerinti viešųjų  paslaugų kokybę ir prieinamumą</t>
    </r>
  </si>
  <si>
    <r>
      <t xml:space="preserve">Uždavinys:
</t>
    </r>
    <r>
      <rPr>
        <b/>
        <sz val="12"/>
        <rFont val="Times New Roman"/>
        <family val="1"/>
        <charset val="186"/>
      </rPr>
      <t xml:space="preserve">Bendrojo ugdymo ir neformaliojo švietimo įstaigų (ypač vykdančių ikimokyklinio ir priešmokyklinio ugdymo programas) tinklo veiklos efektyvumo didinimas </t>
    </r>
  </si>
  <si>
    <r>
      <t xml:space="preserve">Priemonė:
</t>
    </r>
    <r>
      <rPr>
        <b/>
        <sz val="9"/>
        <rFont val="Times New Roman"/>
        <family val="1"/>
        <charset val="186"/>
      </rPr>
      <t>Mokyklų tinklo efektyvumo didinimas</t>
    </r>
  </si>
  <si>
    <r>
      <t xml:space="preserve">Priemonė:
</t>
    </r>
    <r>
      <rPr>
        <b/>
        <sz val="9"/>
        <rFont val="Times New Roman"/>
        <family val="1"/>
        <charset val="186"/>
      </rPr>
      <t>Neformaliojo švietimo infrastruktūros tobulinimas</t>
    </r>
  </si>
  <si>
    <r>
      <t xml:space="preserve">Uždavinys:
</t>
    </r>
    <r>
      <rPr>
        <b/>
        <sz val="12"/>
        <rFont val="Times New Roman"/>
        <family val="1"/>
        <charset val="186"/>
      </rPr>
      <t>Sveikatos netolygumų sumažinimas, gerinant sveikatos priežiūros kokybę ir prieinamumą tikslinėms gyventojų grupėms ir sveiko senėjimo skatinimas</t>
    </r>
  </si>
  <si>
    <r>
      <t xml:space="preserve">Priemonė:
</t>
    </r>
    <r>
      <rPr>
        <b/>
        <sz val="9"/>
        <rFont val="Times New Roman"/>
        <family val="1"/>
        <charset val="186"/>
      </rPr>
      <t>Pirminės asmens ir visuomenės sveikatos priežiūros veiklos efektyvumo didinimas gerinant jų infrastruktūrą</t>
    </r>
  </si>
  <si>
    <r>
      <t xml:space="preserve">Priemonė:
</t>
    </r>
    <r>
      <rPr>
        <b/>
        <sz val="9"/>
        <rFont val="Times New Roman"/>
        <family val="1"/>
        <charset val="186"/>
      </rPr>
      <t>Socialinių paslaugų infrastruktūros plėtra</t>
    </r>
  </si>
  <si>
    <r>
      <t xml:space="preserve">Priemonė:
</t>
    </r>
    <r>
      <rPr>
        <b/>
        <sz val="9"/>
        <rFont val="Times New Roman"/>
        <family val="1"/>
        <charset val="186"/>
      </rPr>
      <t>Socialinio būsto fondo plėtra</t>
    </r>
  </si>
  <si>
    <r>
      <t xml:space="preserve">Uždavinys:
</t>
    </r>
    <r>
      <rPr>
        <b/>
        <sz val="12"/>
        <rFont val="Times New Roman"/>
        <family val="1"/>
        <charset val="186"/>
      </rPr>
      <t>Visuomenei teikiamų paslaugų kokybės, didinant jų atitikimo visuomenės poreikiams pagerinimas</t>
    </r>
  </si>
  <si>
    <r>
      <t xml:space="preserve">Priemonė:
</t>
    </r>
    <r>
      <rPr>
        <b/>
        <sz val="9"/>
        <rFont val="Times New Roman"/>
        <family val="1"/>
        <charset val="186"/>
      </rPr>
      <t>Paslaugų teikimo ir asmenų aptarnavimo kokybės gerinimas savivaldybėse</t>
    </r>
  </si>
  <si>
    <r>
      <t xml:space="preserve">Uždavinys:
</t>
    </r>
    <r>
      <rPr>
        <b/>
        <sz val="12"/>
        <rFont val="Times New Roman"/>
        <family val="1"/>
        <charset val="186"/>
      </rPr>
      <t>Socialinio būsto ir socialinių paslaugų prieinamumo pažeidžiamiausioms gyventojų grupėms padidinimas</t>
    </r>
  </si>
  <si>
    <r>
      <rPr>
        <b/>
        <u/>
        <sz val="10"/>
        <rFont val="Times New Roman"/>
        <family val="1"/>
        <charset val="186"/>
      </rPr>
      <t>Priemonė:</t>
    </r>
    <r>
      <rPr>
        <b/>
        <sz val="10"/>
        <rFont val="Times New Roman"/>
        <family val="1"/>
        <charset val="186"/>
      </rPr>
      <t xml:space="preserve">
Geriamojo vandens tiekimo ir nuotekų tvarkymo sistemų renovavimas ir plėtra, įmonių valdymo tobulinimas </t>
    </r>
  </si>
  <si>
    <t>Ekologiškų transporto priemonių įsigijimas Druskininkų savivaldybėje</t>
  </si>
  <si>
    <t xml:space="preserve"> -</t>
  </si>
  <si>
    <t>Buvusios sinagogos pastato Kauno g. 9A Alytuje rekonstravimas ir aplinkinės teritorijos sutvarkymas</t>
  </si>
  <si>
    <t>Alytaus miesto darnaus judumo plano parengimas</t>
  </si>
  <si>
    <t>Dviračių trasų infrastruktūros įrengimas nuo Putinų g. žiedo Pramonės gatvėje, Alytaus mieste</t>
  </si>
  <si>
    <t>Modernių ir saugių erdvių kūrimas Dzūkijos pagrindinėje mokykloje, Alytuje</t>
  </si>
  <si>
    <t>Alytaus r. meno ir sporto mokyklos edukacinių erdvių įkūrimas ir atnaujinimas</t>
  </si>
  <si>
    <t>„Turizmo trasų ir maršrutų informacinės infrastruktūros plėtra  Lazdijų, Varėnos rajonų ir Druskininkų savivaldybėse“</t>
  </si>
  <si>
    <t>„Turizmo trasų ir maršrutų informacinės infrastruktūros plėtra  Lazdijų, Varėnos rajonų ir Druskininkų savivaldybėse II etapas“</t>
  </si>
  <si>
    <t>VšĮ „Lazdijų sporto centras“</t>
  </si>
  <si>
    <t>Ikimokyklinio ir priešmokyklinio ugdymo įstaigų Lazdijų rajono savivaldybėje modernizavimas</t>
  </si>
  <si>
    <t>Karloniškės ežero ir jo prieigų sutvarkymas ir pritaikymas aktyviam poilsiui</t>
  </si>
  <si>
    <t>Vinco Krėvės-Mickevičiaus memorialinio muziejaus atnaujinimas</t>
  </si>
  <si>
    <t>Dviračių ir pėsčiųjų takų įrengimas Varėnos miesto J. Basanavičiaus ir Žiedo gatvėse</t>
  </si>
  <si>
    <t>Varėnos r. Merkinės Vinco Krėvės gimnazijos laisvų patalpų pritaikymas ikimokyklinio ir priešmokyklinio ugdymo grupėms įrengti</t>
  </si>
  <si>
    <t xml:space="preserve"> „Kaimo gyvenamųjų vietovių atnaujinimas“  </t>
  </si>
  <si>
    <t xml:space="preserve"> „Miestų kompleksinė plėtra“</t>
  </si>
  <si>
    <t xml:space="preserve"> „Pereinamojo laikotarpio tikslinių teritorijų vystymas. II“</t>
  </si>
  <si>
    <t>07.1.1-CPVA-V-903</t>
  </si>
  <si>
    <t xml:space="preserve"> „Pereinamojo laikotarpio teritorijų vystymas. I“</t>
  </si>
  <si>
    <t xml:space="preserve"> „Geriamojo vandens tiekimo ir nuotekų tvarkymo sistemų renovavimas ir plėtra, įmonių valdymo tobulinimas“</t>
  </si>
  <si>
    <t xml:space="preserve"> „Paviršinių nuotekų sistemų tvarkymas“</t>
  </si>
  <si>
    <t xml:space="preserve"> „Savivaldybes jungiančių turizmo trasų ir turizmo maršrutų informacinės infrastruktūros plėtra“</t>
  </si>
  <si>
    <t xml:space="preserve">  „Modernizuoti savivaldybių kultūros infrastruktūrą“</t>
  </si>
  <si>
    <t xml:space="preserve">  „Aktualizuoti savivaldybių kultūros paveldo objektus“</t>
  </si>
  <si>
    <t>"Vietinio susisiekimo viešojo transporto priemonių parko atnaujinimas" (išskyrus penkis didžiuosius miestus)</t>
  </si>
  <si>
    <t xml:space="preserve">04.5.1-TID-R-518 </t>
  </si>
  <si>
    <t xml:space="preserve"> "Darnaus judumo priemonių diegimas"</t>
  </si>
  <si>
    <t>„Darnaus judrumo sistemų kūrimas“</t>
  </si>
  <si>
    <t xml:space="preserve"> Pėsčiųjų ir dviračių takų rekonstrukcija ir plėtra</t>
  </si>
  <si>
    <t xml:space="preserve">06.2.1-TID-R-511 </t>
  </si>
  <si>
    <t xml:space="preserve">
„Vietinių kelių techninių parametrų ir eismo saugos gerinimas"</t>
  </si>
  <si>
    <t xml:space="preserve"> „Mokyklų tinklo efektyvumo didinimas“</t>
  </si>
  <si>
    <t xml:space="preserve">09.1.3-CPVA-R-724 </t>
  </si>
  <si>
    <t xml:space="preserve"> „Neformaliojo švietimo infrastruktūros tobulinimas“</t>
  </si>
  <si>
    <t xml:space="preserve"> „Ikimokyklinio ir priešmokyklinio ugdymo prieinamumo didinimas"</t>
  </si>
  <si>
    <t xml:space="preserve"> ,,Pirminės asmens ir visuomenės sveikatos priežiūros veiklos efektyvumo didinimas“</t>
  </si>
  <si>
    <t xml:space="preserve">08.1.2-CPVA-R-407 </t>
  </si>
  <si>
    <t xml:space="preserve"> „Socialinio būsto fondo plėtra"</t>
  </si>
  <si>
    <t xml:space="preserve"> „Paslaugų teikimo ir asmenų aptarnavimo kokybės gerinimas savivaldybėse“</t>
  </si>
  <si>
    <t xml:space="preserve"> „Komunalinių atliekų tvarkymo infrastruktūros plėtra“</t>
  </si>
  <si>
    <t xml:space="preserve"> „Kraštovaizdžio apsauga“</t>
  </si>
  <si>
    <t>Metai</t>
  </si>
  <si>
    <t>Projektų, kuriems veiklų grupė priskirta kaip pagrindinė, lėšų poreikis, EUR (iš viso)</t>
  </si>
  <si>
    <r>
      <t>Darnaus judumo priemonės miestuose (pėsčiųjų ir dviračių takų infrastruktūra, </t>
    </r>
    <r>
      <rPr>
        <i/>
        <sz val="12"/>
        <rFont val="Times New Roman"/>
        <family val="1"/>
      </rPr>
      <t>Park and Ride</t>
    </r>
    <r>
      <rPr>
        <sz val="12"/>
        <rFont val="Times New Roman"/>
        <family val="1"/>
      </rPr>
      <t>, </t>
    </r>
    <r>
      <rPr>
        <i/>
        <sz val="12"/>
        <rFont val="Times New Roman"/>
        <family val="1"/>
      </rPr>
      <t>Bike and Ride</t>
    </r>
    <r>
      <rPr>
        <sz val="12"/>
        <rFont val="Times New Roman"/>
        <family val="1"/>
      </rPr>
      <t> aikštelės, elektromobilių įkrovimo stotelių įrengimas ir kita)</t>
    </r>
  </si>
  <si>
    <t>Suplanuota (be rezervinių)</t>
  </si>
  <si>
    <t>Projektų įtraukimas į regiono arba valstybės projektų sąrašus</t>
  </si>
  <si>
    <t>Veiksmų programos įgyvendinimo plano arba Kaimo plėtros programos priemonė (Nr.)</t>
  </si>
  <si>
    <t>R/V**</t>
  </si>
  <si>
    <t>ITI***</t>
  </si>
  <si>
    <t> </t>
  </si>
  <si>
    <t>1.1.1</t>
  </si>
  <si>
    <t>Uždavinys: 
Sudaryti sąlygas darbo vietų kūrimui, kuriant ir atnaujinant viešąją ir ekoinžinerinę  infrastruktūrą,  gamtos, kultūros paveldo objektus ir kultūros įstaigas</t>
  </si>
  <si>
    <t> metai</t>
  </si>
  <si>
    <t>metai</t>
  </si>
  <si>
    <t xml:space="preserve">Finansavimo sutarties sudarymas  </t>
  </si>
  <si>
    <t>++</t>
  </si>
  <si>
    <t xml:space="preserve">Vėlavimas </t>
  </si>
  <si>
    <t>(menesiais)</t>
  </si>
  <si>
    <t>Faktiškai įvykdyta (metai,mėnuo, diena)</t>
  </si>
  <si>
    <t>07.1.1-CPVA-V-902-01-0008</t>
  </si>
  <si>
    <t>Projekto kodas</t>
  </si>
  <si>
    <t>Projektų paraiškų pateikimas įgyvendinančiajai institucijai</t>
  </si>
  <si>
    <t>3  lentelė. Pagrindinių projektų įgyvendinimo etapų terminai – projektų paraiškų pateikimas įgyvendinančiajai institucijai*.</t>
  </si>
  <si>
    <t>Projektų finansavimo sutarčių sudarymas</t>
  </si>
  <si>
    <t>5 lentelė. Pagrindinių projektų įgyvendinimo etapų terminai – projektų užbaigimas*.</t>
  </si>
  <si>
    <t>Projektų užbaigimas</t>
  </si>
  <si>
    <t>6 lentelė. Planui įgyvendinti skirti asignavimai*.</t>
  </si>
  <si>
    <t>Planuota</t>
  </si>
  <si>
    <t>Skirta**</t>
  </si>
  <si>
    <t>05.3.2-APVA-R-014-11-0001</t>
  </si>
  <si>
    <t>05.3.2-APVA-R-014-11-0002</t>
  </si>
  <si>
    <t>05.3.2-APVA-R-014-11-0005</t>
  </si>
  <si>
    <t>05.3.2-APVA-R-014-11-0004</t>
  </si>
  <si>
    <t>05.3.2-APVA-R-014-11-0003</t>
  </si>
  <si>
    <t>05.1.1-APVA-R-007-11-0001</t>
  </si>
  <si>
    <t>05.4.1-LVPA-R-821-11-0001</t>
  </si>
  <si>
    <t>05.4.1-LVPA-R-821-11-0002</t>
  </si>
  <si>
    <t>07.1.1-CPVA-R-905-11-0001</t>
  </si>
  <si>
    <t>07.1.1-CPVA-R-905-11-0002</t>
  </si>
  <si>
    <t>07.1.1-CPVA-R-903-11-0001</t>
  </si>
  <si>
    <t>07.1.1-CPVA-R-903-11-0002</t>
  </si>
  <si>
    <t>07.1.1-CPVA-R-305-11-0001</t>
  </si>
  <si>
    <t>07.1.1-CPVA-R-305-11-0002</t>
  </si>
  <si>
    <t>07.1.1-CPVA-R-305-11-0003</t>
  </si>
  <si>
    <t>04.5.1-TID-V-513-01-0006</t>
  </si>
  <si>
    <t>04.5.1-TID-V-513-01-0015</t>
  </si>
  <si>
    <t>04.5.1-TID-R-516-11-0001</t>
  </si>
  <si>
    <t>06.2.1-TID-R-511-11-0001</t>
  </si>
  <si>
    <t>06.2.1-TID-R-511-11-0002</t>
  </si>
  <si>
    <t>08.1.1-CPVA-R-407-11-0002</t>
  </si>
  <si>
    <t>08.1.1-CPVA-R-407-11-0001</t>
  </si>
  <si>
    <t>08.1.1-CPVA-R-407-11-0003</t>
  </si>
  <si>
    <t>08.1.1-CPVA-R-407-11-0004</t>
  </si>
  <si>
    <t>08.1.1-CPVA-R-407-11-0005</t>
  </si>
  <si>
    <t>08.1.2-CPVA-R-408-11-0001</t>
  </si>
  <si>
    <t>08.1.2-CPVA-R-408-11-0002</t>
  </si>
  <si>
    <t>08.1.2-CPVA-R-408-11-0003</t>
  </si>
  <si>
    <t>08.1.2-CPVA-R-408-11-0004</t>
  </si>
  <si>
    <t>08.1.2-CPVA-R-408-11-0005</t>
  </si>
  <si>
    <t>05.2.1-APVA-R-008-11-0001</t>
  </si>
  <si>
    <t>05.5.1-APVA-R-019-11-0001</t>
  </si>
  <si>
    <t>05.5.1-APVA-R-019-11-0002</t>
  </si>
  <si>
    <t>05.5.1-APVA-R-019-11-0003</t>
  </si>
  <si>
    <t>05.5.1-APVA-R-019-11-0004</t>
  </si>
  <si>
    <t>05.5.1-APVA-R-019-11-0005</t>
  </si>
  <si>
    <t>1 lentelė. Efekto ir rezultato vertinimo kriterijų pasiekimas.</t>
  </si>
  <si>
    <t>Metai:</t>
  </si>
  <si>
    <t>Vertinimo kriterijaus pavadinimas</t>
  </si>
  <si>
    <t>Nuokrypio intervalai</t>
  </si>
  <si>
    <t>Faktinė reikšmė:</t>
  </si>
  <si>
    <t xml:space="preserve">7 lentelė. Planui įgyvendinti panaudoti asignavimai*.
</t>
  </si>
  <si>
    <t>9 lentelė. Baigti projektai pagal pagrindinę veiklų grupę (kaupiamuoju būdu, nuo plano įgyvendinimo pradžios).</t>
  </si>
  <si>
    <t>Projektų, kuriems veiklų grupė priskirta kaip pagrindinė, panaudotas finansavimas (iš viso)</t>
  </si>
  <si>
    <t>Vertinimo kriterijaus pavadinimas ir matavimo vienetai</t>
  </si>
  <si>
    <t>Pagrindinės paslaugos ir kaimų atnaujinimas kaimo vietovėse </t>
  </si>
  <si>
    <t>2015 planuota</t>
  </si>
  <si>
    <t>2015 skirtumas</t>
  </si>
  <si>
    <t>2016 planuota</t>
  </si>
  <si>
    <t>2017 planuota</t>
  </si>
  <si>
    <t>2018 planuota</t>
  </si>
  <si>
    <t>2019 planuota</t>
  </si>
  <si>
    <t>2020 planuota</t>
  </si>
  <si>
    <t>Iš viso planuota</t>
  </si>
  <si>
    <t>2016 skirtumas</t>
  </si>
  <si>
    <t>2017 skirumas</t>
  </si>
  <si>
    <t>2018 skirtumas</t>
  </si>
  <si>
    <t>2019 skirumas</t>
  </si>
  <si>
    <t>2020 skirtumas</t>
  </si>
  <si>
    <t>Sutarčių sumos pamečiui</t>
  </si>
  <si>
    <t>Skirtumas Iš viso nuo planuoto</t>
  </si>
  <si>
    <t>Regiono limitas</t>
  </si>
  <si>
    <t>05.4.1-LVPA-R-821</t>
  </si>
  <si>
    <t>Limito likutis nuo suplanuotų</t>
  </si>
  <si>
    <t>Limito likutis nuo sutarčių</t>
  </si>
  <si>
    <t>Viso limito likutis</t>
  </si>
  <si>
    <t>Kitos viešosios lėšos sutarties suma</t>
  </si>
  <si>
    <t>Kitos viešosios lėšos Likutis</t>
  </si>
  <si>
    <t>Privačios lėšos sutarties suma</t>
  </si>
  <si>
    <t>Privačios lėšos Likutis</t>
  </si>
  <si>
    <t>Valstybės biudžetas sutarties suma</t>
  </si>
  <si>
    <t>Valstybės biudžetas Likutis</t>
  </si>
  <si>
    <t>Savivaldybės biudžetas sutarties suma</t>
  </si>
  <si>
    <t>Savivaldybės biudžetas Likutis</t>
  </si>
  <si>
    <t>Iš viso: sutarties suma</t>
  </si>
  <si>
    <t>Iš viso: Likutis</t>
  </si>
  <si>
    <t>ES lėšos sutarties suma</t>
  </si>
  <si>
    <t>ES lėšos Likutis nuo sutarties</t>
  </si>
  <si>
    <t>Pasiektos reikšmės</t>
  </si>
  <si>
    <t>Regioninio planavimo būdu įgyvendintų mažos apimties infrastruktūros projektų skaičius (regioninių projektų skaičius)</t>
  </si>
  <si>
    <t>P.N.910</t>
  </si>
  <si>
    <t>Naujos atviros erdvės (vietovėse nuo 1 iki 6 tūkst. gyv. išskyrus savivaldybių centrus), m2</t>
  </si>
  <si>
    <t>R.N.403</t>
  </si>
  <si>
    <t>Tikslinių grupių asmenys, gavę tiesioginės naudos iš investicijų į socialinių paslaugų infrastruktūrą</t>
  </si>
  <si>
    <t>P.S.380</t>
  </si>
  <si>
    <t>Pagal veiksmų programą ERPF lėšomis sukurtos naujos ikimokyklinio ir priešmokyklinio ugdymo vietos</t>
  </si>
  <si>
    <t>skirtumas tarp plano sumos ir pasirašytos sutarties</t>
  </si>
  <si>
    <t>ES paramos likutis dėl kurių nepasirašytos sutartys</t>
  </si>
  <si>
    <t xml:space="preserve">ES paramos limitas </t>
  </si>
  <si>
    <r>
      <t xml:space="preserve">Es paramos likutis bendras </t>
    </r>
    <r>
      <rPr>
        <b/>
        <sz val="10"/>
        <rFont val="Times New Roman"/>
        <family val="1"/>
        <charset val="186"/>
      </rPr>
      <t>(nesuplanuotas ir po sutarčių pasirašymo)</t>
    </r>
  </si>
  <si>
    <t>„Vietinių kelių vystymas"</t>
  </si>
  <si>
    <t>09.1.3-CPVA-R-725-11-0001</t>
  </si>
  <si>
    <r>
      <t xml:space="preserve">Es paramos likutis nesuplanuotas </t>
    </r>
    <r>
      <rPr>
        <sz val="10"/>
        <rFont val="Times New Roman"/>
        <family val="1"/>
        <charset val="186"/>
      </rPr>
      <t>(be rezervinių)</t>
    </r>
  </si>
  <si>
    <t>P.N.507</t>
  </si>
  <si>
    <t xml:space="preserve">Parengti darnaus judumo mieste planai (Skaičius) </t>
  </si>
  <si>
    <t>1.1.1.3.6</t>
  </si>
  <si>
    <t>2.1.4.1.6</t>
  </si>
  <si>
    <t>Druskininkų sav. Viečiūnų progimnazijos ikimokyklinio ugdymo skyriaus „Linelis“ ugdymo prieinamumo didinimas</t>
  </si>
  <si>
    <t>Siekiama reikšmė sutartis(I)</t>
  </si>
  <si>
    <t>Siekiama reikšmė sutartis (II)</t>
  </si>
  <si>
    <t>Siekiama reikšmė sutartis (III)</t>
  </si>
  <si>
    <t>Siekiama reikšmė sutartis (IV)</t>
  </si>
  <si>
    <t>Siekiama reikšmė sutartis (V)</t>
  </si>
  <si>
    <t>skirtumas (sutartis-planas) sutartis(I)</t>
  </si>
  <si>
    <t>skirtumas (sutartis-planas) sutartis(V)</t>
  </si>
  <si>
    <t>09.1.3-CPVA-R-724-11-0004</t>
  </si>
  <si>
    <t>09.1.3-CPVA-R-725-11-0002</t>
  </si>
  <si>
    <t>07.1.1-CPVA-R-905-11-0003</t>
  </si>
  <si>
    <t>09.1.3-CPVA-R-724-11-0005</t>
  </si>
  <si>
    <t>09.1.3-CPVA-R-725-11-0003</t>
  </si>
  <si>
    <t>09.1.3-CPVA-R-725-11-0004</t>
  </si>
  <si>
    <t>09.1.3-CPVA-R-725-11-0005</t>
  </si>
  <si>
    <t>Tikslas: 
Didinti ūkinės veiklos įvairovę ir pagerinti sąlygas investicijų pritraukimui, mažinant geografinių sąlygų ir demografinių procesų sukeliamus gyvenimo kokybės netolygumus</t>
  </si>
  <si>
    <r>
      <rPr>
        <b/>
        <u/>
        <sz val="10"/>
        <rFont val="Times New Roman"/>
        <family val="1"/>
        <charset val="186"/>
      </rPr>
      <t>Priemonė:</t>
    </r>
    <r>
      <rPr>
        <b/>
        <sz val="10"/>
        <rFont val="Times New Roman"/>
        <family val="1"/>
        <charset val="186"/>
      </rPr>
      <t xml:space="preserve">
Komunalinių atliekų tvarkymo infrastruktūros plėtra</t>
    </r>
  </si>
  <si>
    <r>
      <rPr>
        <b/>
        <u/>
        <sz val="10"/>
        <rFont val="Times New Roman"/>
        <family val="1"/>
        <charset val="186"/>
      </rPr>
      <t>Priemonė:</t>
    </r>
    <r>
      <rPr>
        <b/>
        <sz val="10"/>
        <rFont val="Times New Roman"/>
        <family val="1"/>
        <charset val="186"/>
      </rPr>
      <t xml:space="preserve">
Kraštovaizdžio apsauga/plėtra</t>
    </r>
  </si>
  <si>
    <r>
      <t xml:space="preserve">Priemonė:
</t>
    </r>
    <r>
      <rPr>
        <b/>
        <sz val="10"/>
        <rFont val="Times New Roman"/>
        <family val="1"/>
        <charset val="186"/>
      </rPr>
      <t>Paslaugų teikimo ir asmenų aptarnavimo kokybės gerinimas savivaldybėse</t>
    </r>
  </si>
  <si>
    <r>
      <t xml:space="preserve">Priemonė:
</t>
    </r>
    <r>
      <rPr>
        <b/>
        <sz val="10"/>
        <rFont val="Times New Roman"/>
        <family val="1"/>
        <charset val="186"/>
      </rPr>
      <t>Socialinio būsto fondo plėtra</t>
    </r>
  </si>
  <si>
    <r>
      <t xml:space="preserve">Priemonė:
</t>
    </r>
    <r>
      <rPr>
        <b/>
        <sz val="10"/>
        <rFont val="Times New Roman"/>
        <family val="1"/>
        <charset val="186"/>
      </rPr>
      <t>Pirminės asmens ir visuomenės sveikatos priežiūros veiklos efektyvumo didinimas gerinant jų infrastruktūrą</t>
    </r>
  </si>
  <si>
    <r>
      <t xml:space="preserve">Priemonė:
</t>
    </r>
    <r>
      <rPr>
        <b/>
        <sz val="10"/>
        <rFont val="Times New Roman"/>
        <family val="1"/>
        <charset val="186"/>
      </rPr>
      <t>Neformaliojo švietimo infrastruktūros tobulinimas</t>
    </r>
  </si>
  <si>
    <r>
      <t xml:space="preserve">Priemonė:
</t>
    </r>
    <r>
      <rPr>
        <b/>
        <sz val="10"/>
        <rFont val="Times New Roman"/>
        <family val="1"/>
        <charset val="186"/>
      </rPr>
      <t>Mokyklų tinklo efektyvumo didinimas</t>
    </r>
  </si>
  <si>
    <r>
      <t xml:space="preserve">Priemonė:
</t>
    </r>
    <r>
      <rPr>
        <b/>
        <sz val="10"/>
        <rFont val="Times New Roman"/>
        <family val="1"/>
        <charset val="186"/>
      </rPr>
      <t>Pėsčiųjų ir dviračių takų rekonstrukcija ir plėtra</t>
    </r>
  </si>
  <si>
    <r>
      <t xml:space="preserve">Priemonė:
</t>
    </r>
    <r>
      <rPr>
        <b/>
        <sz val="10"/>
        <rFont val="Times New Roman"/>
        <family val="1"/>
        <charset val="186"/>
      </rPr>
      <t>Darnaus judumo priemonių diegimas</t>
    </r>
  </si>
  <si>
    <r>
      <t xml:space="preserve">Priemonė:
</t>
    </r>
    <r>
      <rPr>
        <b/>
        <sz val="10"/>
        <rFont val="Times New Roman"/>
        <family val="1"/>
        <charset val="186"/>
      </rPr>
      <t>Aktualizuoti savivaldybių kultūros paveldo objektu</t>
    </r>
    <r>
      <rPr>
        <b/>
        <u/>
        <sz val="10"/>
        <rFont val="Times New Roman"/>
        <family val="1"/>
        <charset val="186"/>
      </rPr>
      <t>s</t>
    </r>
  </si>
  <si>
    <r>
      <rPr>
        <b/>
        <u/>
        <sz val="10"/>
        <rFont val="Times New Roman"/>
        <family val="1"/>
        <charset val="186"/>
      </rPr>
      <t>Priemonė:</t>
    </r>
    <r>
      <rPr>
        <b/>
        <sz val="10"/>
        <rFont val="Times New Roman"/>
        <family val="1"/>
        <charset val="186"/>
      </rPr>
      <t xml:space="preserve">
Modernizuoti savivaldybių kultūros infrastruktūrą</t>
    </r>
  </si>
  <si>
    <r>
      <t xml:space="preserve">Priemonė:
</t>
    </r>
    <r>
      <rPr>
        <b/>
        <sz val="10"/>
        <rFont val="Times New Roman"/>
        <family val="1"/>
        <charset val="186"/>
      </rPr>
      <t xml:space="preserve">Alytaus, Druskininkų ir Lazdijų miestų kompleksinė plėtra
</t>
    </r>
  </si>
  <si>
    <r>
      <t xml:space="preserve">Priemonė:
</t>
    </r>
    <r>
      <rPr>
        <b/>
        <sz val="10"/>
        <rFont val="Times New Roman"/>
        <family val="1"/>
        <charset val="186"/>
      </rPr>
      <t>Kaimo gyvenamųjų vietovių (turinčių iki 1 tūkst. gyventojų) atnaujinimas</t>
    </r>
  </si>
  <si>
    <r>
      <t xml:space="preserve">Priemonė:
</t>
    </r>
    <r>
      <rPr>
        <b/>
        <sz val="10"/>
        <rFont val="Times New Roman"/>
        <family val="1"/>
        <charset val="186"/>
      </rPr>
      <t>Kaimo gyvenamųjų vietovių (turinčių 1-6 tūkst. gyventojų) atnaujinimas ir plėtra</t>
    </r>
  </si>
  <si>
    <r>
      <t xml:space="preserve">Priemonė:
</t>
    </r>
    <r>
      <rPr>
        <b/>
        <sz val="10"/>
        <rFont val="Times New Roman"/>
        <family val="1"/>
        <charset val="186"/>
      </rPr>
      <t>Paviršinių nuotekų sistemų tvarkymas</t>
    </r>
  </si>
  <si>
    <r>
      <rPr>
        <b/>
        <u/>
        <sz val="10"/>
        <rFont val="Times New Roman"/>
        <family val="1"/>
        <charset val="186"/>
      </rPr>
      <t xml:space="preserve">Priemonė:
</t>
    </r>
    <r>
      <rPr>
        <b/>
        <sz val="10"/>
        <rFont val="Times New Roman"/>
        <family val="1"/>
        <charset val="186"/>
      </rPr>
      <t>Savivaldybes jungiančių turizmo trasų ir turizmo maršrutų informacinės infrastruktūros plėtra</t>
    </r>
  </si>
  <si>
    <r>
      <rPr>
        <b/>
        <u/>
        <sz val="10"/>
        <rFont val="Times New Roman"/>
        <family val="1"/>
        <charset val="186"/>
      </rPr>
      <t xml:space="preserve">Priemonė:
</t>
    </r>
    <r>
      <rPr>
        <b/>
        <sz val="10"/>
        <rFont val="Times New Roman"/>
        <family val="1"/>
        <charset val="186"/>
      </rPr>
      <t>Vietinio susisiekimo viešojo transporto priemonių parko atnaujinimas</t>
    </r>
  </si>
  <si>
    <r>
      <rPr>
        <b/>
        <u/>
        <sz val="12"/>
        <rFont val="Times New Roman"/>
        <family val="1"/>
        <charset val="186"/>
      </rPr>
      <t>Uždavinys:</t>
    </r>
    <r>
      <rPr>
        <b/>
        <sz val="12"/>
        <rFont val="Times New Roman"/>
        <family val="1"/>
        <charset val="186"/>
      </rPr>
      <t xml:space="preserve"> 
Sudaryti sąlygas darbo vietų kūrimui, kuriant ir atnaujinant viešąją ir ekoinžinerinę  infrastruktūrą,  gamtos, kultūros paveldo objektus ir kultūros įstaigas</t>
    </r>
  </si>
  <si>
    <t>Naujos atviros erdvės (vietovėse nuo 1 iki 6 tūkst. gyv. išskyrus savivaldybių centrus) (m2)</t>
  </si>
  <si>
    <t>Numatyti pasiekimo metai</t>
  </si>
  <si>
    <t xml:space="preserve">Produkto vertinimo kriterijus (I) </t>
  </si>
  <si>
    <t xml:space="preserve">05.3.2-APVA-R-014 </t>
  </si>
  <si>
    <t xml:space="preserve">07.1.1-CPVA-R-905 </t>
  </si>
  <si>
    <t>Kodas (V)</t>
  </si>
  <si>
    <t>Produkto vertinimo kriterijus (V)</t>
  </si>
  <si>
    <t>Siekiama reikšmė (V)</t>
  </si>
  <si>
    <t xml:space="preserve">Patvirtinta </t>
  </si>
  <si>
    <t>Alytaus regiono plėtros tarybos</t>
  </si>
  <si>
    <t xml:space="preserve">2015 m. spalio 26 d. </t>
  </si>
  <si>
    <t>sprendimu Nr. 51/6S-34</t>
  </si>
  <si>
    <t>PRIEMONIŲ PLANAS</t>
  </si>
  <si>
    <t>4.</t>
  </si>
  <si>
    <t xml:space="preserve">5.1. VERTINIMO KRITERIJAI </t>
  </si>
  <si>
    <t>1 lentelė. Efekto vertinimo kriterijai.</t>
  </si>
  <si>
    <t>Prioritetai ir tikslai</t>
  </si>
  <si>
    <t>Pradinė reikšmė</t>
  </si>
  <si>
    <t>Siekiama reikšmė</t>
  </si>
  <si>
    <t>(2023 m.)</t>
  </si>
  <si>
    <t>Nuokrypio intervalų ribos ir įvertinimas*</t>
  </si>
  <si>
    <t>Prioritetas: KONKURENCINGA EKONOMIKA</t>
  </si>
  <si>
    <t>1.1-ef-1</t>
  </si>
  <si>
    <t>Tikslas: Didinti ūkinės veiklos įvairovę ir pagerinti sąlygas investicijų pritraukimui, mažinant geografinių sąlygų ir demografinių procesų sukeliamus gyvenimo kokybės netolygumus</t>
  </si>
  <si>
    <t>Prioritetas: DARNI BENDRUOMENĖ</t>
  </si>
  <si>
    <t>2.1-ef-1</t>
  </si>
  <si>
    <t>Tikslas: Gerinti viešųjų  paslaugų kokybę ir prieinamumą</t>
  </si>
  <si>
    <t>Vidutinis Alytaus apskrities savivaldybių indeksas palyginti su Lietuvos vidurkiu, proc.</t>
  </si>
  <si>
    <t>(2014 m.)</t>
  </si>
  <si>
    <t>100,0 proc.</t>
  </si>
  <si>
    <t>Prioritetas: SAUGI, ŠVARI IR PATOGI GYVENTI APLINKA</t>
  </si>
  <si>
    <t>3.1-ef-1</t>
  </si>
  <si>
    <t>Tikslas: Darniai tvarkyti ir vystyti regiono teritoriją</t>
  </si>
  <si>
    <t>96,2 proc.
(2014 m.)</t>
  </si>
  <si>
    <t>100,0 labai gerai
[99,9; 98,1] gerai
[98,0; 96,2] patenkinamai
&lt; 96,2 blogai</t>
  </si>
  <si>
    <t>2 lentelė. Rezultato vertinimo kriterijai.</t>
  </si>
  <si>
    <t>1.1.1-r-1</t>
  </si>
  <si>
    <t>Uždavinys: Sudaryti sąlygas darbo vietų kūrimui, kuriant ir atnaujinant viešąją ir ekoinžinerinę  infrastruktūrą,  gamtos, kultūros paveldo objektus ir kultūros įstaigas</t>
  </si>
  <si>
    <t>Pritrauktos papildomos materialinės investicijos į tikslines teritorijas, (tūkst. Eur)</t>
  </si>
  <si>
    <t>1.1.1-r-2</t>
  </si>
  <si>
    <t>Užimtųjų dalis tikslinėse teritorijose (proc.)</t>
  </si>
  <si>
    <t>54.5</t>
  </si>
  <si>
    <t>1.1.2-r-1</t>
  </si>
  <si>
    <t>Uždavinys: Pagerinti darbo jėgos judėjimo galimybes gerinant susisiekimo sistemas</t>
  </si>
  <si>
    <t>Keleivių apyvartos kelių transportu - Iš viso pagal reiso tipą- padidėjimas proc. (tūkst. keleivio km)</t>
  </si>
  <si>
    <t>1.1.2-r-2</t>
  </si>
  <si>
    <t>Žuvusiųjų ne TEN-T tinklo keliuose skaičius</t>
  </si>
  <si>
    <t>2.1.1-r-1</t>
  </si>
  <si>
    <t>Uždavinys: Bendrojo ugdymo ir neformaliojo švietimo įstaigų (ypač vykdančių ikimokyklinio ir priešmokyklinio ugdymo programas) tinklo veiklos efektyvumo didinimas</t>
  </si>
  <si>
    <t>Bendrojo ugdymo mokinių, kurie mokosi bent už 289 tūkst. eurų pagal veiksmų programą ERPF lėšomis atnaujintose įstaigose, dalis (proc.)</t>
  </si>
  <si>
    <t>= 0 blogai</t>
  </si>
  <si>
    <t>Neformaliojo ugdymo paslaugomis mokykloje ir kitur pasinaudojančių vaikų dalis (proc.)</t>
  </si>
  <si>
    <t>2.1.1-r-3</t>
  </si>
  <si>
    <t>1-6 metų vaikų, ugdomų pagal veiksmų programą ERPF lėšomis atnaujintose ikimokyklinio ir priešmokyklinio ugdymo įstaigose, dalis (proc.)</t>
  </si>
  <si>
    <t>2.1.2-r-1</t>
  </si>
  <si>
    <t>Uždavinys: Sveikatos netolygumų sumažinimas, gerinant sveikatos priežiūros kokybę ir prieinamumą tikslinėms gyventojų grupėms ir sveiko senėjimo skatinimas</t>
  </si>
  <si>
    <t>Apsilankymų pas gydytojus skaičiaus, tenkančio vienam gyventojui, skirtumas tarp miestų ir rajonų savivaldybių gyventojų (Apsilankymų skaičius, tenkantis 1 gyventojui)</t>
  </si>
  <si>
    <t>2.1.2-r-2</t>
  </si>
  <si>
    <t>Standartizuoto 0-64 m. amžiaus gyventojų mirtingumo sumažėjimas tikslinėse teritorijose dėl išorinių mirties priežasčių (Atvejų skaičius 100000 gyv.)</t>
  </si>
  <si>
    <t>2.1.3-r-1</t>
  </si>
  <si>
    <t>Uždavinys: Padidinti socialinio būsto ir socialinių paslaugų prieinamumą pažeidžiamiausioms gyventojų grupėms</t>
  </si>
  <si>
    <t>Tikslinių grupių asmenys, gavę tiesioginės naudos iš investicijų į socialinių paslaugų infrastruktūrą (Skaičius) (R.N.403)</t>
  </si>
  <si>
    <t>[28; 62) gerai</t>
  </si>
  <si>
    <t>[0; 28) patenkinamai</t>
  </si>
  <si>
    <t>2.1.3-r-2</t>
  </si>
  <si>
    <t>[25; 47] gerai</t>
  </si>
  <si>
    <t>[0; 25] patenkinamai</t>
  </si>
  <si>
    <t>2.1.3-r-3</t>
  </si>
  <si>
    <t>Asmenų (šeimų), kuriems išnuomotas savivaldybės socialinis būstas, dalis nuo visų socialinio būsto nuomos laukiančių asmenų (šeimų) (Procentai)</t>
  </si>
  <si>
    <t>[7; 14] gerai</t>
  </si>
  <si>
    <t>[0; 7) patenkinamai</t>
  </si>
  <si>
    <t>3.1.1-r-1</t>
  </si>
  <si>
    <t>Uždavinys. Kraštovaizdžio apsauga, planavimas ir tvarkymas</t>
  </si>
  <si>
    <t>Teritorijų, kuriose įgyvendintos kraštovaizdžio formavimo priemonės, plotas (ha)</t>
  </si>
  <si>
    <t>3.1.2-r-1</t>
  </si>
  <si>
    <t>Uždavinys. Sumažinti sąvartynuose šalinamų komunalinių atliekų kiekį</t>
  </si>
  <si>
    <t>Sąvartynuose šalinamų komunalinių atliekų dalis (proc.)</t>
  </si>
  <si>
    <t>[45; 35] gerai</t>
  </si>
  <si>
    <t>[55; 45) patenkinamai</t>
  </si>
  <si>
    <t>&gt; 55 blogai</t>
  </si>
  <si>
    <t>3  lentelė. Efekto ir rezultato vertinimo kriterijų pasiekimo grafikas.</t>
  </si>
  <si>
    <t>a = 0</t>
  </si>
  <si>
    <t>a = 2039</t>
  </si>
  <si>
    <t>b = 1000</t>
  </si>
  <si>
    <t>c = 500</t>
  </si>
  <si>
    <t>a = 3000</t>
  </si>
  <si>
    <t>b = 2750</t>
  </si>
  <si>
    <t>c =2500</t>
  </si>
  <si>
    <t>a = 4000</t>
  </si>
  <si>
    <t>b = 87,2</t>
  </si>
  <si>
    <t>c = 2700</t>
  </si>
  <si>
    <t>a = 6000</t>
  </si>
  <si>
    <t>b = 5500</t>
  </si>
  <si>
    <t>c = 5000</t>
  </si>
  <si>
    <t>a = 9000</t>
  </si>
  <si>
    <t>b = 8000</t>
  </si>
  <si>
    <t>c = 7000</t>
  </si>
  <si>
    <t>a = 9394</t>
  </si>
  <si>
    <t>b = 9000</t>
  </si>
  <si>
    <t>c = 8000</t>
  </si>
  <si>
    <t>a = 45</t>
  </si>
  <si>
    <t>b = 40</t>
  </si>
  <si>
    <t>c = 35</t>
  </si>
  <si>
    <t>a = 46</t>
  </si>
  <si>
    <t>b = 41</t>
  </si>
  <si>
    <t>c = 36</t>
  </si>
  <si>
    <t>a = 47</t>
  </si>
  <si>
    <t>b = 42</t>
  </si>
  <si>
    <t>c = 37</t>
  </si>
  <si>
    <t>a = 48</t>
  </si>
  <si>
    <t>b = 43.5</t>
  </si>
  <si>
    <t>c = 38</t>
  </si>
  <si>
    <t>a = 49</t>
  </si>
  <si>
    <t>b = 44.5</t>
  </si>
  <si>
    <t>c =39</t>
  </si>
  <si>
    <t>a = 50</t>
  </si>
  <si>
    <t>b = 45</t>
  </si>
  <si>
    <t>c = 40</t>
  </si>
  <si>
    <t>a = 51.5</t>
  </si>
  <si>
    <t>b = 46</t>
  </si>
  <si>
    <t>c = 41</t>
  </si>
  <si>
    <t>a = 52</t>
  </si>
  <si>
    <t>b = 47</t>
  </si>
  <si>
    <t>c = 42</t>
  </si>
  <si>
    <t>a = 54.5</t>
  </si>
  <si>
    <t>b = 48</t>
  </si>
  <si>
    <t>c = 43</t>
  </si>
  <si>
    <t>a = 1</t>
  </si>
  <si>
    <t>b = 0</t>
  </si>
  <si>
    <t>a = 2</t>
  </si>
  <si>
    <t>b = 1</t>
  </si>
  <si>
    <t>c =0</t>
  </si>
  <si>
    <t>a = 3</t>
  </si>
  <si>
    <t>b = 2</t>
  </si>
  <si>
    <t>c =1</t>
  </si>
  <si>
    <t>a = 5</t>
  </si>
  <si>
    <t>b = 3</t>
  </si>
  <si>
    <t>c =2</t>
  </si>
  <si>
    <t>a = 7</t>
  </si>
  <si>
    <t>b = 4</t>
  </si>
  <si>
    <t>c =3</t>
  </si>
  <si>
    <t>a = 9</t>
  </si>
  <si>
    <t>b = 6</t>
  </si>
  <si>
    <t>c =4</t>
  </si>
  <si>
    <t>a = 10</t>
  </si>
  <si>
    <t>b = 7</t>
  </si>
  <si>
    <t>c =5</t>
  </si>
  <si>
    <t>b = 12</t>
  </si>
  <si>
    <t>c = 13</t>
  </si>
  <si>
    <t>b = 11</t>
  </si>
  <si>
    <t>b = 10</t>
  </si>
  <si>
    <t>a = 8</t>
  </si>
  <si>
    <t>b = 9</t>
  </si>
  <si>
    <t>c = 10</t>
  </si>
  <si>
    <t>a = 6</t>
  </si>
  <si>
    <t>c = 8</t>
  </si>
  <si>
    <t>b = 5</t>
  </si>
  <si>
    <t>c = 6</t>
  </si>
  <si>
    <t>c = 5</t>
  </si>
  <si>
    <t>a = 96,2</t>
  </si>
  <si>
    <t>b = 96</t>
  </si>
  <si>
    <t>c = 95.5</t>
  </si>
  <si>
    <t>a = 96.5</t>
  </si>
  <si>
    <t>b = 96.2</t>
  </si>
  <si>
    <t>c = 95.6</t>
  </si>
  <si>
    <t>a = 97</t>
  </si>
  <si>
    <t>b = 96.3</t>
  </si>
  <si>
    <t>c = 95.8</t>
  </si>
  <si>
    <t>a = 97.5</t>
  </si>
  <si>
    <t>b = 96.5</t>
  </si>
  <si>
    <t>c = 96</t>
  </si>
  <si>
    <t>a = 98</t>
  </si>
  <si>
    <t>b = 96.7</t>
  </si>
  <si>
    <t>c =96.2</t>
  </si>
  <si>
    <t>a = 98.5</t>
  </si>
  <si>
    <t>b = 96.9</t>
  </si>
  <si>
    <t>c = 96.4</t>
  </si>
  <si>
    <t>a = 99</t>
  </si>
  <si>
    <t>b = 97.5</t>
  </si>
  <si>
    <t>c = 96.6</t>
  </si>
  <si>
    <t>a = 99.5</t>
  </si>
  <si>
    <t>b = 98.3</t>
  </si>
  <si>
    <t>c = 96.8</t>
  </si>
  <si>
    <t>a = 100</t>
  </si>
  <si>
    <t>b = 98.5</t>
  </si>
  <si>
    <t>c = 97</t>
  </si>
  <si>
    <t>c = 0</t>
  </si>
  <si>
    <t>2.1.1-r-2</t>
  </si>
  <si>
    <t>c = 19</t>
  </si>
  <si>
    <t>b = 25</t>
  </si>
  <si>
    <t>c = 28</t>
  </si>
  <si>
    <t>b = 32</t>
  </si>
  <si>
    <t>a = 19</t>
  </si>
  <si>
    <t>a = 15</t>
  </si>
  <si>
    <t>a = 12</t>
  </si>
  <si>
    <t>c =  6</t>
  </si>
  <si>
    <t>a = 38</t>
  </si>
  <si>
    <t>a = 51</t>
  </si>
  <si>
    <t>a = 62</t>
  </si>
  <si>
    <t xml:space="preserve">b = 47 </t>
  </si>
  <si>
    <t xml:space="preserve">a = 30 </t>
  </si>
  <si>
    <t xml:space="preserve">b = 20 </t>
  </si>
  <si>
    <t xml:space="preserve">a = 40 </t>
  </si>
  <si>
    <t xml:space="preserve">b = 25 </t>
  </si>
  <si>
    <t xml:space="preserve">c = 15 </t>
  </si>
  <si>
    <t xml:space="preserve">b = 35  </t>
  </si>
  <si>
    <t xml:space="preserve">c = 25 </t>
  </si>
  <si>
    <t>Asmenų (šeimų), kuriems išnuomotas savivaldybės socialinis būstas, dalis nuo visų socialinio būsto nuomos laukiančių asmenų (šeimų) (procentai)</t>
  </si>
  <si>
    <t>a = 3.9</t>
  </si>
  <si>
    <t>c=1</t>
  </si>
  <si>
    <t>c = 3.9</t>
  </si>
  <si>
    <t>c = 4</t>
  </si>
  <si>
    <t>b = 8</t>
  </si>
  <si>
    <t>a = 14</t>
  </si>
  <si>
    <t>PRIORITETAS 1: KONKURENCINGA EKONOMIKA</t>
  </si>
  <si>
    <t>Eil. Nr.</t>
  </si>
  <si>
    <t>Vertinimo kriterijaus apskaičiavimo formulė arba tyrimo pavadinimas</t>
  </si>
  <si>
    <t>Vertinimo kriterijaus reikšmei apskaičiuoti arba tyrimui atlikti naudojami duomenys (kintamieji)</t>
  </si>
  <si>
    <t>Duomenis pateikiančios institucijos</t>
  </si>
  <si>
    <t>Duomenų gavimo šaltiniai</t>
  </si>
  <si>
    <t>Vertinimo kriterijaus reikšmę apskaičiuojanti institucija</t>
  </si>
  <si>
    <t>Vertinimo kriterijaus reikšmės apskaičiavimo periodiškumas</t>
  </si>
  <si>
    <t>1.</t>
  </si>
  <si>
    <t>Statistikos departamentas prie LRV</t>
  </si>
  <si>
    <t>Tinklalapis: http://osp.stat.gov.lt/</t>
  </si>
  <si>
    <t>Regioninės plėtros departamento prie VRM Alytaus apskrities skyrius</t>
  </si>
  <si>
    <t xml:space="preserve">2. </t>
  </si>
  <si>
    <t>Skaičiuojamas Lietuvos Respublikos vidaus reikalų ministerijai kas dvejus metus atliekant tyrimą, remiantis Lietuvos statistikos departamento teikiama informacija apie visų ūkio subjektų investicijas per praėjusius dvejus kalendorinius metus. Detali tyrimo metodika bus pateikta tyrimo ataskaitoje.</t>
  </si>
  <si>
    <t>Lietuvos Respublikos vidaus reikalų ministerija, Lietuvos statistikos departamentas</t>
  </si>
  <si>
    <t>Pirminiai šaltiniai:</t>
  </si>
  <si>
    <t xml:space="preserve">Lietuvos Respublikos vidaus reikalų ministerijos kas dvejus metus atliekamo tyrimo ataskaita. </t>
  </si>
  <si>
    <t>2014–2020 metų Europos Sąjungos struktūrinių fondų posistemis (SFMIS2014).</t>
  </si>
  <si>
    <t xml:space="preserve">Du kartus per laikotarpį </t>
  </si>
  <si>
    <t xml:space="preserve">Skaičiuojamas Lietuvos Respublikos vidaus reikalų ministerijai kas dvejus metus atliekant tyrimą. Detali tyrimo metodika bus pateikta tyrimo ataskaitoje.  </t>
  </si>
  <si>
    <t>Lietuvos Respublikos vidaus reikalų ministerija.</t>
  </si>
  <si>
    <t xml:space="preserve">Lietuvos Respublikos vidaus reikalų ministerijos kas dvejus metus atliekamo </t>
  </si>
  <si>
    <t xml:space="preserve">tyrimo (apklausos) ataskaita. </t>
  </si>
  <si>
    <t>Pasiekta stebėsenos rodiklio reikšmė nustatoma, kai pasibaigus dvejiems kalendoriniams metams nuo bazinių metų (2014 m.) Lietuvos Respublikos vidaus reikalų ministerija atlieka tyrimą (apklausą), kurio metu apskaičiuojama pasiekta stebėsenos rodiklio reikšmė.</t>
  </si>
  <si>
    <t>(Keleivių apyvartos kelių transportu n-metais/ Keleivių apyvartos kelių transportu 2014 m.)*100</t>
  </si>
  <si>
    <t>Lietuvos statistikos departamentas, duomenys iš projektų</t>
  </si>
  <si>
    <t>5.</t>
  </si>
  <si>
    <t>Žuvusiųjų keliuose skaičius</t>
  </si>
  <si>
    <t>(Žuvusiųjų  keliuose skaičiaus n-metais/ Žuvusiųjų  keliuose skaičiaus 2014 m.)*100</t>
  </si>
  <si>
    <t>Lietuvos automobilių kelių direkcija</t>
  </si>
  <si>
    <t>http://www.lakd.lt/lt.php/eismo_saugumas/eismo_ivykiu_statistika/27</t>
  </si>
  <si>
    <t>PRIORITETAS 2: DARNI BENDRUOMENĖ</t>
  </si>
  <si>
    <t xml:space="preserve">(Vidutinis Alytaus apskrities savivaldybių indeksas/ vidutinis Lietuvos savivaldybių indeksas) * 100 </t>
  </si>
  <si>
    <t>Savivaldybės indeksas</t>
  </si>
  <si>
    <t>Lietuvos laisvosios rinkos institutas</t>
  </si>
  <si>
    <t xml:space="preserve">Tinklalapis: www.llri.lt </t>
  </si>
  <si>
    <t>Skaičiuojamas įgyvendinant projektų  veiklas atnaujintų bendrojo ugdymo įstaigų mokinių skaičių dalijant iš bendro bendrojo ugdymo mokinių skaičiaus apskrityje ir dauginant iš 100 proc.</t>
  </si>
  <si>
    <t xml:space="preserve">Projektų vykdytojas </t>
  </si>
  <si>
    <t xml:space="preserve">Pirminiai šaltiniai: </t>
  </si>
  <si>
    <t xml:space="preserve">projektų (atnaujintų įstaigų mokinių sąrašas, kurį projekto veiklų įgyvendinimo pabaigoje projekto vykdytojas teikia įgyvendinančiajai institucijai, o ši apibendrintą sąrašą teikia Lietuvos Respublikos švietimo ir mokslo ministerijai) duomenys, </t>
  </si>
  <si>
    <t>Švietimo valdymo informacinė sistema (duomenys apie bendrą bendrojo ugdymo įstaigų mokinių skaičių Lietuvoje).</t>
  </si>
  <si>
    <t xml:space="preserve">Antriniai šaltiniai: </t>
  </si>
  <si>
    <t xml:space="preserve">metinės veiksmų programos įgyvendinimo ataskaitos, </t>
  </si>
  <si>
    <t>3.</t>
  </si>
  <si>
    <t>Skaičiuojamas įgyvendinant projektų  veiklas atnaujintų neformaliojo ugdymo įstaigų mokinių skaičių dalijant iš bendro neformaliojo ugdymo mokinių skaičiaus apskrityje ir dauginant iš 100 proc.</t>
  </si>
  <si>
    <t xml:space="preserve">projektų vykdytojas teikia įgyvendinančiajai institucijai, o ši apibendrintą sąrašą teikia Lietuvos Respublikos švietimo ir mokslo ministerijai duomenys, </t>
  </si>
  <si>
    <t>Skaičiuojamas įgyvendinant projektų  veiklas atnaujintų 1-6 metų vaikų ugdymo įstaigų mokinių skaičių dalijant iš bendro 1-6 metų vaikų ugdymo mokinių skaičiaus apskrityje ir dauginant iš 100 proc.</t>
  </si>
  <si>
    <t>Higienos instituto Sveikatos informacijos centras</t>
  </si>
  <si>
    <t xml:space="preserve">Metai </t>
  </si>
  <si>
    <t>6.</t>
  </si>
  <si>
    <t>7.</t>
  </si>
  <si>
    <t>projekto vykdytojas</t>
  </si>
  <si>
    <t>8.</t>
  </si>
  <si>
    <t xml:space="preserve">Skaičiuojama asmenų (šeimų), kuriems nuo programavimo laikotarpio pradžios iki ataskaitinių metų pabaigos buvo išnuomotas savivaldybės socialinis būstas, dalis (procentais) nuo visų socialinio būsto nuomos laukiančių asmenų (šeimų) skaičiaus šalyje 2012 m. </t>
  </si>
  <si>
    <t>Lietuvos statistikos departamentas</t>
  </si>
  <si>
    <t>Prioritetas 3: SAUGI, ŠVARI IR PATOGI GYVENTI APLINKA</t>
  </si>
  <si>
    <t>Aplinkos ministerija</t>
  </si>
  <si>
    <t>9 lentelė. Visuomenės informavimo apie plano įgyvendinimą priemonės.</t>
  </si>
  <si>
    <t>Informacijos pobūdis</t>
  </si>
  <si>
    <t>Skelbimo periodiškumas</t>
  </si>
  <si>
    <t>Paskelbimo šaltinis</t>
  </si>
  <si>
    <t>Lėšų poreikis ir finansavimo šaltiniai</t>
  </si>
  <si>
    <t>Skelbimas internete</t>
  </si>
  <si>
    <t>Pranešimas spaudai</t>
  </si>
  <si>
    <t>Užsakomasis straipsnis</t>
  </si>
  <si>
    <t>Televizijos laida</t>
  </si>
  <si>
    <t>Radijo pranešimas</t>
  </si>
  <si>
    <t>Seminaras, konferencija</t>
  </si>
  <si>
    <t>Kita (nurodyti)</t>
  </si>
  <si>
    <t>Plano įgyvendinimo ataskaita</t>
  </si>
  <si>
    <t>Vieną kartą per metus</t>
  </si>
  <si>
    <t>X</t>
  </si>
  <si>
    <t>Periodinė apžvalga</t>
  </si>
  <si>
    <t>Informacinis pranešimas apie plano įgyvendinimą</t>
  </si>
  <si>
    <t>Informacinis pranešimas apie pradėtą/ įgyvendinimą/ įgyvendintą projektą</t>
  </si>
  <si>
    <t>Vieną kartą per mėnesį</t>
  </si>
  <si>
    <t>Investicijas gavusiose įstaigose esančios vietos socialinių paslaugų gavėjams (Skaičius) (R.N.404)</t>
  </si>
  <si>
    <t>0
(2014 m.)</t>
  </si>
  <si>
    <t>10.1.3-ESFA-R-920</t>
  </si>
  <si>
    <t>Projekto pradžia</t>
  </si>
  <si>
    <t>Projekto pabaiga</t>
  </si>
  <si>
    <t>Projektinių pasiūlymų pateikimas RPD prie VRM Alytaus skyriui</t>
  </si>
  <si>
    <t>Projektinių pasiūlymų pateikimas (metai/mėnuo/diena)</t>
  </si>
  <si>
    <t>Vėlavimas(-)
Anksčiau (+)</t>
  </si>
  <si>
    <t>Kvietime projektinių pasiūlymų pateikimas (metai/mėnuo/diena)</t>
  </si>
  <si>
    <t>Kvietime nurodytas projektinių pasiūlymų pateikimas (metai/mėnuo/diena)</t>
  </si>
  <si>
    <t>Kvietime planuota (metai,mėnuo, diena)</t>
  </si>
  <si>
    <t> (dienomis)</t>
  </si>
  <si>
    <r>
      <rPr>
        <b/>
        <u/>
        <sz val="10"/>
        <rFont val="Times New Roman"/>
        <family val="1"/>
        <charset val="186"/>
      </rPr>
      <t>Priemonė:</t>
    </r>
    <r>
      <rPr>
        <b/>
        <sz val="10"/>
        <rFont val="Times New Roman"/>
        <family val="1"/>
        <charset val="186"/>
      </rPr>
      <t xml:space="preserve">
Ikimokyklinio ir priešmokyklinio ugdymo prieinamumo didinimas</t>
    </r>
  </si>
  <si>
    <t>4 lentelė. Pagrindinių projektų įgyvendinimo etapų terminai – projektų finansavimo sutarčių sudarymas*.</t>
  </si>
  <si>
    <t>–</t>
  </si>
  <si>
    <r>
      <t xml:space="preserve">Įvertinimas </t>
    </r>
    <r>
      <rPr>
        <i/>
        <sz val="11"/>
        <color rgb="FF000000"/>
        <rFont val="Times New Roman"/>
        <family val="1"/>
        <charset val="186"/>
      </rPr>
      <t>(labai gerai, gerai, patenkinamai, blogai)</t>
    </r>
  </si>
  <si>
    <t>Pritrauktos papildomos materialinės investicijos į tikslines teritorijas, (tūkst. EUR)</t>
  </si>
  <si>
    <t> -</t>
  </si>
  <si>
    <r>
      <t>labai gerai</t>
    </r>
    <r>
      <rPr>
        <b/>
        <sz val="12"/>
        <color rgb="FF000000"/>
        <rFont val="Times New Roman"/>
        <family val="1"/>
        <charset val="186"/>
      </rPr>
      <t> </t>
    </r>
  </si>
  <si>
    <t>Tikslinių grupių asmenys, gavę tiesioginės naudos iš investicijų į socialinių paslaugų infrastruktūrą (skaičius)</t>
  </si>
  <si>
    <r>
      <rPr>
        <b/>
        <u/>
        <sz val="12"/>
        <rFont val="Times New Roman"/>
        <family val="1"/>
        <charset val="186"/>
      </rPr>
      <t>Tikslas</t>
    </r>
    <r>
      <rPr>
        <b/>
        <sz val="12"/>
        <rFont val="Times New Roman"/>
        <family val="1"/>
      </rPr>
      <t xml:space="preserve">
DIDINTI ŪKINĖS VEIKLOS ĮVAIROVĘ IR PAGERINTI SĄLYGAS INVESTICIJŲ PRITRAUKIMUI, MAŽINANT GEOGRAFINIŲ SĄLYGŲ IR DEMOGRAFINIŲ PROCESŲ SUKELIAMUS GYVENIMO KOKYBĖS NETOLYGUMUS</t>
    </r>
  </si>
  <si>
    <r>
      <rPr>
        <b/>
        <u/>
        <sz val="11"/>
        <rFont val="Times New Roman"/>
        <family val="1"/>
        <charset val="186"/>
      </rPr>
      <t>Uždavinys</t>
    </r>
    <r>
      <rPr>
        <b/>
        <sz val="11"/>
        <rFont val="Times New Roman"/>
        <family val="1"/>
        <charset val="186"/>
      </rPr>
      <t xml:space="preserve">
Sudaryti sąlygas darbo vietų kūrimui, kuriant ir atnaujinant viešąją ir ekoinžinerinę  infrastruktūrą,  gamtos, kultūros paveldo objektus ir kultūros įstaigas</t>
    </r>
  </si>
  <si>
    <r>
      <rPr>
        <u/>
        <sz val="10"/>
        <rFont val="Times New Roman"/>
        <family val="1"/>
        <charset val="186"/>
      </rPr>
      <t>Priemonė</t>
    </r>
    <r>
      <rPr>
        <sz val="10"/>
        <rFont val="Times New Roman"/>
        <family val="1"/>
      </rPr>
      <t xml:space="preserve">
Kaimo gyvenamųjų vietovių (turinčių iki 1 tūkst. gyventojų) atnaujinimas</t>
    </r>
  </si>
  <si>
    <r>
      <rPr>
        <u/>
        <sz val="10"/>
        <rFont val="Times New Roman"/>
        <family val="1"/>
        <charset val="186"/>
      </rPr>
      <t>Priemonė</t>
    </r>
    <r>
      <rPr>
        <sz val="10"/>
        <rFont val="Times New Roman"/>
        <family val="1"/>
      </rPr>
      <t xml:space="preserve">
Kaimo gyvenamųjų vietovių (turinčių 1-6 tūkst. gyventojų) atnaujinimas ir plėtra</t>
    </r>
  </si>
  <si>
    <r>
      <rPr>
        <u/>
        <sz val="10"/>
        <rFont val="Times New Roman"/>
        <family val="1"/>
        <charset val="186"/>
      </rPr>
      <t>Priemonė</t>
    </r>
    <r>
      <rPr>
        <sz val="10"/>
        <rFont val="Times New Roman"/>
        <family val="1"/>
      </rPr>
      <t xml:space="preserve">
Varėnos miesto kompleksinė plėtra</t>
    </r>
  </si>
  <si>
    <r>
      <rPr>
        <u/>
        <sz val="10"/>
        <rFont val="Times New Roman"/>
        <family val="1"/>
        <charset val="186"/>
      </rPr>
      <t>Priemonė</t>
    </r>
    <r>
      <rPr>
        <sz val="10"/>
        <rFont val="Times New Roman"/>
        <family val="1"/>
      </rPr>
      <t xml:space="preserve">
Alytaus, Druskininkų ir Lazdijų miestų kompleksinė plėtra</t>
    </r>
  </si>
  <si>
    <r>
      <rPr>
        <u/>
        <sz val="10"/>
        <rFont val="Times New Roman"/>
        <family val="1"/>
        <charset val="186"/>
      </rPr>
      <t>Priemonė</t>
    </r>
    <r>
      <rPr>
        <sz val="10"/>
        <rFont val="Times New Roman"/>
        <family val="1"/>
      </rPr>
      <t xml:space="preserve">
Geriamojo vandens tiekimo ir nuotekų tvarkymo sistemų renovavimas ir plėtra, įmonių valdymo tobulinimas</t>
    </r>
  </si>
  <si>
    <r>
      <rPr>
        <u/>
        <sz val="10"/>
        <rFont val="Times New Roman"/>
        <family val="1"/>
        <charset val="186"/>
      </rPr>
      <t>Priemonė</t>
    </r>
    <r>
      <rPr>
        <sz val="10"/>
        <rFont val="Times New Roman"/>
        <family val="1"/>
      </rPr>
      <t xml:space="preserve">
Paviršinių nuotekų sistemų tvarkymas</t>
    </r>
  </si>
  <si>
    <r>
      <rPr>
        <u/>
        <sz val="10"/>
        <rFont val="Times New Roman"/>
        <family val="1"/>
        <charset val="186"/>
      </rPr>
      <t>Priemonė</t>
    </r>
    <r>
      <rPr>
        <sz val="10"/>
        <rFont val="Times New Roman"/>
        <family val="1"/>
      </rPr>
      <t xml:space="preserve">
Savivaldybes jungiančių turizmo trasų ir turizmo maršrutų informacinės infrastruktūros plėtra</t>
    </r>
  </si>
  <si>
    <r>
      <rPr>
        <u/>
        <sz val="10"/>
        <rFont val="Times New Roman"/>
        <family val="1"/>
        <charset val="186"/>
      </rPr>
      <t>Priemonė</t>
    </r>
    <r>
      <rPr>
        <sz val="10"/>
        <rFont val="Times New Roman"/>
        <family val="1"/>
      </rPr>
      <t xml:space="preserve">
Modernizuoti savivaldybių kultūros infrastruktūrą</t>
    </r>
  </si>
  <si>
    <r>
      <rPr>
        <u/>
        <sz val="10"/>
        <rFont val="Times New Roman"/>
        <family val="1"/>
        <charset val="186"/>
      </rPr>
      <t>Priemonė</t>
    </r>
    <r>
      <rPr>
        <sz val="10"/>
        <rFont val="Times New Roman"/>
        <family val="1"/>
      </rPr>
      <t xml:space="preserve">
Aktualizuoti savivaldybių kultūros paveldo objektus</t>
    </r>
  </si>
  <si>
    <r>
      <rPr>
        <b/>
        <u/>
        <sz val="11"/>
        <rFont val="Times New Roman"/>
        <family val="1"/>
        <charset val="186"/>
      </rPr>
      <t>Uždavinys</t>
    </r>
    <r>
      <rPr>
        <b/>
        <sz val="11"/>
        <rFont val="Times New Roman"/>
        <family val="1"/>
      </rPr>
      <t xml:space="preserve">
Pagerinti darbo jėgos judėjimo galimybes gerinant susisiekimo sistemas</t>
    </r>
  </si>
  <si>
    <r>
      <rPr>
        <u/>
        <sz val="10"/>
        <rFont val="Times New Roman"/>
        <family val="1"/>
        <charset val="186"/>
      </rPr>
      <t>Priemonė</t>
    </r>
    <r>
      <rPr>
        <sz val="10"/>
        <rFont val="Times New Roman"/>
        <family val="1"/>
      </rPr>
      <t xml:space="preserve">
Vietinio susisiekimo viešojo transporto priemonių parko atnaujinimas</t>
    </r>
  </si>
  <si>
    <r>
      <rPr>
        <u/>
        <sz val="10"/>
        <rFont val="Times New Roman"/>
        <family val="1"/>
        <charset val="186"/>
      </rPr>
      <t>Priemonė</t>
    </r>
    <r>
      <rPr>
        <sz val="10"/>
        <rFont val="Times New Roman"/>
        <family val="1"/>
      </rPr>
      <t xml:space="preserve">
Darnaus judumo priemonių diegimas</t>
    </r>
  </si>
  <si>
    <r>
      <rPr>
        <u/>
        <sz val="10"/>
        <rFont val="Times New Roman"/>
        <family val="1"/>
        <charset val="186"/>
      </rPr>
      <t>Priemonė</t>
    </r>
    <r>
      <rPr>
        <sz val="10"/>
        <rFont val="Times New Roman"/>
        <family val="1"/>
      </rPr>
      <t xml:space="preserve">
Pėsčiųjų ir dviračių takų rekonstrukcija ir plėtra</t>
    </r>
  </si>
  <si>
    <r>
      <rPr>
        <u/>
        <sz val="10"/>
        <rFont val="Times New Roman"/>
        <family val="1"/>
        <charset val="186"/>
      </rPr>
      <t>Priemonė</t>
    </r>
    <r>
      <rPr>
        <sz val="10"/>
        <rFont val="Times New Roman"/>
        <family val="1"/>
      </rPr>
      <t xml:space="preserve">
Vietinių kelių techninių parametrų ir eismo saugos gerinimas</t>
    </r>
  </si>
  <si>
    <r>
      <rPr>
        <b/>
        <u/>
        <sz val="12"/>
        <rFont val="Times New Roman"/>
        <family val="1"/>
        <charset val="186"/>
      </rPr>
      <t>Tikslas</t>
    </r>
    <r>
      <rPr>
        <b/>
        <sz val="12"/>
        <rFont val="Times New Roman"/>
        <family val="1"/>
      </rPr>
      <t xml:space="preserve">
GERINTI VIEŠŲJŲ  PASLAUGŲ KOKYBĘ IR PRIEINAMUMĄ</t>
    </r>
  </si>
  <si>
    <r>
      <rPr>
        <b/>
        <u/>
        <sz val="11"/>
        <rFont val="Times New Roman"/>
        <family val="1"/>
        <charset val="186"/>
      </rPr>
      <t>Uždavinys</t>
    </r>
    <r>
      <rPr>
        <b/>
        <sz val="11"/>
        <rFont val="Times New Roman"/>
        <family val="1"/>
      </rPr>
      <t xml:space="preserve">
Bendrojo ugdymo ir neformaliojo švietimo įstaigų (ypač vykdančių ikimokyklinio ir priešmokyklinio ugdymo programas) tinklo veiklos efektyvumo didinimas</t>
    </r>
  </si>
  <si>
    <r>
      <rPr>
        <u/>
        <sz val="10"/>
        <rFont val="Times New Roman"/>
        <family val="1"/>
        <charset val="186"/>
      </rPr>
      <t>Priemonė</t>
    </r>
    <r>
      <rPr>
        <sz val="10"/>
        <rFont val="Times New Roman"/>
        <family val="1"/>
      </rPr>
      <t xml:space="preserve">
Mokyklų tinklo efektyvumo didinimas</t>
    </r>
  </si>
  <si>
    <r>
      <rPr>
        <u/>
        <sz val="10"/>
        <rFont val="Times New Roman"/>
        <family val="1"/>
        <charset val="186"/>
      </rPr>
      <t>Priemonė</t>
    </r>
    <r>
      <rPr>
        <sz val="10"/>
        <rFont val="Times New Roman"/>
        <family val="1"/>
      </rPr>
      <t xml:space="preserve">
Neformaliojo švietimo infrastruktūros tobulinimas</t>
    </r>
  </si>
  <si>
    <r>
      <rPr>
        <u/>
        <sz val="10"/>
        <rFont val="Times New Roman"/>
        <family val="1"/>
        <charset val="186"/>
      </rPr>
      <t>Priemonė</t>
    </r>
    <r>
      <rPr>
        <sz val="10"/>
        <rFont val="Times New Roman"/>
        <family val="1"/>
      </rPr>
      <t xml:space="preserve">
Ikimokyklinio ir priešmokyklinio ugdymo prieinamumo didinimas</t>
    </r>
  </si>
  <si>
    <r>
      <rPr>
        <b/>
        <u/>
        <sz val="11"/>
        <rFont val="Times New Roman"/>
        <family val="1"/>
        <charset val="186"/>
      </rPr>
      <t>Uždavinys</t>
    </r>
    <r>
      <rPr>
        <b/>
        <sz val="11"/>
        <rFont val="Times New Roman"/>
        <family val="1"/>
      </rPr>
      <t xml:space="preserve">
Sveikatos netolygumų sumažinimas, gerinant sveikatos priežiūros kokybę ir prieinamumą tikslinėms gyventojų grupėms ir sveiko senėjimo skatinimas </t>
    </r>
  </si>
  <si>
    <r>
      <rPr>
        <u/>
        <sz val="10"/>
        <rFont val="Times New Roman"/>
        <family val="1"/>
        <charset val="186"/>
      </rPr>
      <t>Priemonė</t>
    </r>
    <r>
      <rPr>
        <sz val="10"/>
        <rFont val="Times New Roman"/>
        <family val="1"/>
      </rPr>
      <t xml:space="preserve">
Pirminės asmens ir visuomenės sveikatos priežiūros veiklos efektyvumo didinimas gerinant jų infrastruktūrą </t>
    </r>
  </si>
  <si>
    <r>
      <rPr>
        <b/>
        <u/>
        <sz val="11"/>
        <rFont val="Times New Roman"/>
        <family val="1"/>
        <charset val="186"/>
      </rPr>
      <t>Uždavinys</t>
    </r>
    <r>
      <rPr>
        <b/>
        <sz val="11"/>
        <rFont val="Times New Roman"/>
        <family val="1"/>
      </rPr>
      <t xml:space="preserve">
Socialinio būsto ir socialinių paslaugų prieinamumo pažeidžiamiausioms gyventojų grupėms padidinimas</t>
    </r>
  </si>
  <si>
    <r>
      <rPr>
        <u/>
        <sz val="10"/>
        <rFont val="Times New Roman"/>
        <family val="1"/>
        <charset val="186"/>
      </rPr>
      <t>Priemonė</t>
    </r>
    <r>
      <rPr>
        <sz val="10"/>
        <rFont val="Times New Roman"/>
        <family val="1"/>
      </rPr>
      <t xml:space="preserve">
Socialinių paslaugų infrastruktūros plėtra</t>
    </r>
  </si>
  <si>
    <r>
      <rPr>
        <u/>
        <sz val="10"/>
        <rFont val="Times New Roman"/>
        <family val="1"/>
        <charset val="186"/>
      </rPr>
      <t>Priemonė</t>
    </r>
    <r>
      <rPr>
        <sz val="10"/>
        <rFont val="Times New Roman"/>
        <family val="1"/>
      </rPr>
      <t xml:space="preserve">
Socialinio būsto fondo plėtra</t>
    </r>
  </si>
  <si>
    <r>
      <rPr>
        <b/>
        <u/>
        <sz val="11"/>
        <rFont val="Times New Roman"/>
        <family val="1"/>
        <charset val="186"/>
      </rPr>
      <t>Uždavinys</t>
    </r>
    <r>
      <rPr>
        <b/>
        <sz val="11"/>
        <rFont val="Times New Roman"/>
        <family val="1"/>
      </rPr>
      <t xml:space="preserve">
Visuomenei teikiamų paslaugų kokybės, didinant jų atitikimo visuomenės poreikiams pagerinimas  </t>
    </r>
  </si>
  <si>
    <r>
      <rPr>
        <u/>
        <sz val="10"/>
        <rFont val="Times New Roman"/>
        <family val="1"/>
        <charset val="186"/>
      </rPr>
      <t>Priemonė</t>
    </r>
    <r>
      <rPr>
        <sz val="10"/>
        <rFont val="Times New Roman"/>
        <family val="1"/>
      </rPr>
      <t xml:space="preserve">
Paslaugų teikimo ir asmenų aptarnavimo kokybės gerinimas savivaldybėse</t>
    </r>
  </si>
  <si>
    <r>
      <rPr>
        <b/>
        <u/>
        <sz val="12"/>
        <rFont val="Times New Roman"/>
        <family val="1"/>
        <charset val="186"/>
      </rPr>
      <t>Tikslas</t>
    </r>
    <r>
      <rPr>
        <b/>
        <sz val="12"/>
        <rFont val="Times New Roman"/>
        <family val="1"/>
      </rPr>
      <t xml:space="preserve">
DARNIAI TVARKYTI IR VYSTYTI REGIONO TERITORIJĄ </t>
    </r>
  </si>
  <si>
    <r>
      <rPr>
        <b/>
        <u/>
        <sz val="11"/>
        <rFont val="Times New Roman"/>
        <family val="1"/>
        <charset val="186"/>
      </rPr>
      <t>Uždavinys</t>
    </r>
    <r>
      <rPr>
        <b/>
        <sz val="11"/>
        <rFont val="Times New Roman"/>
        <family val="1"/>
      </rPr>
      <t xml:space="preserve">
Sumažinti sąvartynuose šalinamų komunalinių atliekų kiekį</t>
    </r>
  </si>
  <si>
    <r>
      <rPr>
        <u/>
        <sz val="10"/>
        <rFont val="Times New Roman"/>
        <family val="1"/>
        <charset val="186"/>
      </rPr>
      <t>Priemonė</t>
    </r>
    <r>
      <rPr>
        <sz val="10"/>
        <rFont val="Times New Roman"/>
        <family val="1"/>
      </rPr>
      <t xml:space="preserve">
Komunalinių atliekų tvarkymo infrastruktūros plėtra</t>
    </r>
  </si>
  <si>
    <r>
      <rPr>
        <b/>
        <u/>
        <sz val="11"/>
        <rFont val="Times New Roman"/>
        <family val="1"/>
        <charset val="186"/>
      </rPr>
      <t>Uždavinys</t>
    </r>
    <r>
      <rPr>
        <b/>
        <sz val="11"/>
        <rFont val="Times New Roman"/>
        <family val="1"/>
      </rPr>
      <t xml:space="preserve">
Kraštovaizdžio apsauga, planavimas ir tvarkymas</t>
    </r>
  </si>
  <si>
    <r>
      <rPr>
        <u/>
        <sz val="10"/>
        <rFont val="Times New Roman"/>
        <family val="1"/>
        <charset val="186"/>
      </rPr>
      <t>Priemonė</t>
    </r>
    <r>
      <rPr>
        <sz val="10"/>
        <rFont val="Times New Roman"/>
        <family val="1"/>
      </rPr>
      <t xml:space="preserve">
Kraštovaizdžio apsauga</t>
    </r>
  </si>
  <si>
    <r>
      <t>Priemonė:</t>
    </r>
    <r>
      <rPr>
        <b/>
        <sz val="9"/>
        <rFont val="Times New Roman"/>
        <family val="1"/>
        <charset val="186"/>
      </rPr>
      <t xml:space="preserve">
Komunalinių atliekų tvarkymo infrastruktūros plėtra</t>
    </r>
  </si>
  <si>
    <r>
      <t>Priemonė:</t>
    </r>
    <r>
      <rPr>
        <b/>
        <sz val="9"/>
        <rFont val="Times New Roman"/>
        <family val="1"/>
        <charset val="186"/>
      </rPr>
      <t xml:space="preserve">
Kraštovaizdžio apsauga/plėtra</t>
    </r>
  </si>
  <si>
    <t>Mažais žingsneliais – sveikos gyvensenos link</t>
  </si>
  <si>
    <t>08.4.2-ESFA-R-630</t>
  </si>
  <si>
    <t>Sveikos gyvensenos skatinimas Alytaus rajone</t>
  </si>
  <si>
    <t>Alytaus rajono savivaldybės visuomenės sveikatos biuras</t>
  </si>
  <si>
    <t>Sveikos gyvensenos skatinimas Varėnos rajono savivaldybėje</t>
  </si>
  <si>
    <t>P.S.372</t>
  </si>
  <si>
    <t>Tikslinių grupių asmenys, kurie dalyvavo informavimo, švietimo ir mokymo renginiuose bei sveikatos raštingumą didinančiose veiklose</t>
  </si>
  <si>
    <t>P.N.671</t>
  </si>
  <si>
    <t>Modernizuoti savivaldybių visuomenės sveikatos biurai</t>
  </si>
  <si>
    <t xml:space="preserve"> "Sveikos gyvensenos skatinimas regioniniu lygiu“</t>
  </si>
  <si>
    <t>2.1.2.3</t>
  </si>
  <si>
    <t>2.1.2.3.1</t>
  </si>
  <si>
    <t>2.1.2.3.2</t>
  </si>
  <si>
    <t>2.1.2.3.3</t>
  </si>
  <si>
    <t>2.1.2.3.5</t>
  </si>
  <si>
    <t>Ambulatorinių sveikatos priežiūros paslaugų gerinimas tuberkulioze sergantiems asmenims</t>
  </si>
  <si>
    <t>08.4.2-ESFA-R-615</t>
  </si>
  <si>
    <t>VšĮ Alytaus rajono savivaldybės pirminės sveikatos priežiūros centras</t>
  </si>
  <si>
    <t>P.N.604</t>
  </si>
  <si>
    <t>Tuberkulioze sergantys pacientai, kuriems buvo suteiktos socialinės paramos priemonės (maisto talonų dalijimas) tuberkuliozės ambulatorinio gydymo metu</t>
  </si>
  <si>
    <t>Sveikos gyvensenos skatinimas Lazdijų rajono savivaldybėje</t>
  </si>
  <si>
    <t>Lazdijų rajono savivaldybės visuomenės sveikatos biuras</t>
  </si>
  <si>
    <t>Sveika bendruomenė – stipri visuomenė</t>
  </si>
  <si>
    <t>Druskininkų savivaldybės visuomenės sveikatos biuras</t>
  </si>
  <si>
    <t>Ambulatorinių sveikatos priežiūros paslaugų tuberkulioze sergantiems asmenims prieinamumo gerinimas Druskininkų savivaldybėje</t>
  </si>
  <si>
    <t>Druskininkų pirminės sveikatos priežiūros centras</t>
  </si>
  <si>
    <t>Sveikos gyvensenos skatinimas regioniniu lygiu</t>
  </si>
  <si>
    <t>Priemonių, gerinančių ambulatorinių sveikatos priežiūros paslaugų prieinamumą tuberkulioze sergantiems asmenims, įgyvendinimas</t>
  </si>
  <si>
    <t>Susijusi veiklų grupė (III) (pavadinimas)</t>
  </si>
  <si>
    <t>Susijusi veiklų grupė (IV) (pavadinimas)</t>
  </si>
  <si>
    <t>Ambulatorinių sveikatos priežiūros paslaugų prieinamumo gerinimas tuberkulioze sergantiems asmenims Varėnos rajono savivaldybėje</t>
  </si>
  <si>
    <t>Priemonių, gerinančių ambulatorinių sveikatos priežiūros paslaugų prieinamumą tuberkulioze sergantiems pacientams, įgyvendinimas</t>
  </si>
  <si>
    <t>08.2.1-CPVA-R-908-11-0001</t>
  </si>
  <si>
    <t>04.5.1-TID-R-516-11-0002</t>
  </si>
  <si>
    <t>10.1.3-ESFA-R-920-11-0001</t>
  </si>
  <si>
    <t>10.1.3-ESFA-R-920-11-0003</t>
  </si>
  <si>
    <r>
      <rPr>
        <b/>
        <u/>
        <sz val="10"/>
        <rFont val="Times New Roman"/>
        <family val="1"/>
        <charset val="186"/>
      </rPr>
      <t>Priemonė:</t>
    </r>
    <r>
      <rPr>
        <b/>
        <sz val="10"/>
        <rFont val="Times New Roman"/>
        <family val="1"/>
      </rPr>
      <t xml:space="preserve">
Varėnos miesto kompleksinė plėtra</t>
    </r>
  </si>
  <si>
    <r>
      <rPr>
        <b/>
        <sz val="11"/>
        <rFont val="Times New Roman"/>
        <family val="1"/>
        <charset val="186"/>
      </rPr>
      <t xml:space="preserve">                                                                                         5</t>
    </r>
    <r>
      <rPr>
        <b/>
        <sz val="12"/>
        <rFont val="Times New Roman"/>
        <family val="1"/>
        <charset val="186"/>
      </rPr>
      <t>.    PLANO ĮGYVENDINIMO STEBĖSENA</t>
    </r>
    <r>
      <rPr>
        <sz val="12"/>
        <rFont val="Times New Roman"/>
        <family val="1"/>
        <charset val="186"/>
      </rPr>
      <t xml:space="preserve">
             Už Alytaus regiono 2014–2020 m. plėtros plano įgyvendinimo koordinavimą ir stebėseną atsakingas Regioninės plėtros departamento prie Vidaus reikalų ministerijos Alytaus apskrities skyrius. Priemonių plane numatytų priemonių atsakingi vykdytojai yra Alytaus apskrities savivaldybių – Alytaus miesto, Alytaus rajono, Druskininkų, Lazdijų rajono ir Varėnos rajono – administracijos, savivaldybėms pavaldžios įstaigos, savivaldybių kontroliuojamos įmonės, viešosios įstaigos, vietos veiklos grupės, nevyriausybinės organizacijos, bendruomenės. Priemonių plane už priemonių įgyvendinimą atsakingos institucijos per 10 dienų pasibaigus metų ketvirčiui pateikia informaciją apie per ketvirtį pradėtus ir baigtus įgyvendinti valstybės planavimo būdu ES struktūrinių fondų ir valstybės biudžeto lėšomis finansuojamus bei pagal      Kaimo plėtros programą regionų planavimo būdu įgyvendinamus projektus ir kasmet iki vasario 1 d. pateikia ataskaitas apie  projektų įgyvendinimą per praėjusius metus bei informaciją apie atitinkamų rezultato ir produkto vertinimo kriterijų pasiekimą.
             Regioninės plėtros departamento prie Vidaus reikalų ministerijos Alytaus apskrities skyrius pagal Lietuvos Respublikos Vidaus reikalų ministro pavirtintą Regionų plėtros planų rengimo metodiką kiekvieną ketvirtį, per 15 dienų pasibaigus ketvirčiui, parengia nustatytos formos regiono plėtros plano įgyvendinimo stebėsenos duomenų suvestinę, kurią paskelbia interneto svetainėje www.lietuvosregionai.lt. Regioninės plėtros departamento prie Vidaus reikalų ministerijos Alytaus apskrities skyrius kasmet iki kovo 1 d. parengia ir Alytaus regiono plėtros tarybai bei Vidaus reikalų ministerijai pateikia regiono plėtros plano įgyvendinimo metų ataskaitą ir ją paskelbia interneto svetainėje www.lietuvosregionai.lt. Plano įgyvendinimo stebėsenos duomenų suvestinėje pateikiama informacija apie projektų įgyvendinimo etapus, projektams įgyvendinti skirtas ir panaudotas lėšas, pasiektas produkto vertinimo kriterijų reikšmes bei jų atitikimą plane suplanuotai informacijai. Regiono plėtros plano įgyvendinimo metų ataskaitą sudaro informacija apie veiksnių pokyčių įvertinimą, kasmetinių efekto, rezultato ir produkto vertinimo kriterijų įvertinimas pagal nustatytus leistinus nuokrypius, kurie yra pateikti vertinimo kriterijų pasiekimo grafike, uždavinių įgyvendinimui skirtas ir panaudotas finansavimas, veiksniai turėję įtakos plano priemonių įgyvendinimui, raidos tendencijos ir pasiūlymai dėl tolesnio Alytaus regiono plėtros plano įgyvendinimo ir tobulinimo.
             Vertinimo kriterijai yra trijų lygių: efekto, rezultato ir produkto. Efekto vertinimo kriterijumi vertinamas tikslo įgyvendinimas ir parodoma nauda, kurią gauna ne tik tiesioginiai naudos gavėjai, bet ir visa visuomenė, įgyvendinus prioritetą. Rezultato vertinimo kriterijumi vertinamas uždavinio įgyvendinimas ir parodoma nauda, kurią gauna tiesioginiai naudos gavėjai įgyvendinus uždavinį. Produkto vertinimo kriterijumi vertinamas uždaviniui priskirtų priemonių ir projektų įgyvendinimas, t. y. materialinis ar intelektinis produktas ir (ar) paslaugos, kurie atsiranda tikslingai naudojant finansinius ir kitus išteklius planui įgyvendinti.             </t>
    </r>
    <r>
      <rPr>
        <sz val="11"/>
        <rFont val="Times New Roman"/>
        <family val="1"/>
        <charset val="186"/>
      </rPr>
      <t xml:space="preserve">
</t>
    </r>
  </si>
  <si>
    <r>
      <t>Tikslas.</t>
    </r>
    <r>
      <rPr>
        <sz val="12"/>
        <rFont val="Times New Roman"/>
        <family val="1"/>
        <charset val="186"/>
      </rPr>
      <t xml:space="preserve"> </t>
    </r>
    <r>
      <rPr>
        <b/>
        <sz val="12"/>
        <rFont val="Times New Roman"/>
        <family val="1"/>
        <charset val="186"/>
      </rPr>
      <t>Darniai tvarkyti ir vystyti regiono teritoriją</t>
    </r>
  </si>
  <si>
    <t>20KI-KA-17-1-02616-PR001</t>
  </si>
  <si>
    <t>20KI-KA-17-1-02617-PR001</t>
  </si>
  <si>
    <t>20KI-KA-17-1-02622-PR001</t>
  </si>
  <si>
    <t>20KI-KA-17-1-02368-PR001</t>
  </si>
  <si>
    <t>20KI-KA-17-1-02619-PR001</t>
  </si>
  <si>
    <t>20KI-KA-17-1-02374-PR001</t>
  </si>
  <si>
    <t>20KI-KA-17-1-02437-PR001</t>
  </si>
  <si>
    <t>20KI-KA-17-1-02242-PR001</t>
  </si>
  <si>
    <t>20KI-KA-17-1-02372-PR001</t>
  </si>
  <si>
    <t>20KI-KA-17-1-02370-PR001</t>
  </si>
  <si>
    <t>20KI-KA-17-1-02354-PR001</t>
  </si>
  <si>
    <t>20KI-KA-17-1-02470-PR001</t>
  </si>
  <si>
    <t>20KI-KA-17-1-02438-PR001</t>
  </si>
  <si>
    <t>20KI-KA-17-1-01647-PR001</t>
  </si>
  <si>
    <t>20KI-KA-17-1-02469-PR001</t>
  </si>
  <si>
    <t>20KI-KA-17-1-02240-PR001</t>
  </si>
  <si>
    <t>20KI-KA-17-1-01639-PR001</t>
  </si>
  <si>
    <t>20KI-KA-17-1-01666-PR001</t>
  </si>
  <si>
    <t>20KI-KA-17-1-02648-PR001</t>
  </si>
  <si>
    <t>20KI-KA-17-1-01736-PR001</t>
  </si>
  <si>
    <t>20KI-KA-17-1-02364-PR001</t>
  </si>
  <si>
    <t>20KI-KA-17-1-02241-PR001</t>
  </si>
  <si>
    <t>07.1.1-CPVA-R-305-11-0004</t>
  </si>
  <si>
    <t>04.5.1-TID-R-516-11-0004</t>
  </si>
  <si>
    <t>09.1.3-CPVA-R-705-11-0001</t>
  </si>
  <si>
    <t>09.1.3-CPVA-R-705-11-0002</t>
  </si>
  <si>
    <t>09.1.3-CPVA-R-705-11-0003</t>
  </si>
  <si>
    <t>09.1.3-CPVA-R-705-11-0004</t>
  </si>
  <si>
    <t>09.1.3-CPVA-R-705-11-0005</t>
  </si>
  <si>
    <t xml:space="preserve">Unikalus numeris**** </t>
  </si>
  <si>
    <t>*R – regiono projektas, V – valstybės projektas, KT –projektas, atrinktas kitu atrankos būdu.</t>
  </si>
  <si>
    <t>** ITI – projektas, įgyvendinamas pagal integruotą teritorijų vystymo programą; RSP – regioninės svarbos projektas.</t>
  </si>
  <si>
    <t>*** rez. – rezervinis projektas.</t>
  </si>
  <si>
    <t xml:space="preserve">****Unikalus numeris sudaromas iš kodų, nurodytų šio priedo 2–4 punktuose, pvz., R02-9904-310000-1222 – regiono kodas (R02), ministerijos kodas – (9), priemonės kodo paskutiniai trys skaičiai – (904) (pagal ministerijų patvirtintų priemonių įgyvendinimo planus, išskyrus Žemės ūkio ministeriją, kurios atveju naudojami priemonės kodo pirmi trys simboliai (M raidė ir priemonės numeris Kaimo plėtros programoje). Kai nenumatoma naudoti Europos Sąjungos lėšų, visais atvejais vietoj priemonės kodo įrašoma – (000), pirmos veiklos kodas – (31), antros veiklos kodas – (00), trečios veiklos kodas – (00) ir bet koks keturženklis skaičius, kuris negali kartotis.                                                                                                                   </t>
  </si>
  <si>
    <t>R/V/KT *</t>
  </si>
  <si>
    <t>ITI, RSP **</t>
  </si>
  <si>
    <t>R01-ZM72-120000-1112</t>
  </si>
  <si>
    <t>R01-ZM72-120000-1117</t>
  </si>
  <si>
    <t>R01-ZM72-120000-1119</t>
  </si>
  <si>
    <t>R01-ZM72-340000-1118</t>
  </si>
  <si>
    <t>R01-ZM72-340200-1110</t>
  </si>
  <si>
    <t>R01-ZM72-120000-1101</t>
  </si>
  <si>
    <t>R01-ZM72-120000-1123</t>
  </si>
  <si>
    <t>R01-ZM72-120000-1102</t>
  </si>
  <si>
    <t>R01-ZM72-120000-1103</t>
  </si>
  <si>
    <t>R01-ZM72-330200-1104</t>
  </si>
  <si>
    <t>R01-ZM72-120000-1105</t>
  </si>
  <si>
    <t>R01-ZM72-330200-1106</t>
  </si>
  <si>
    <t>R01-ZM72-123200-1107</t>
  </si>
  <si>
    <t>R01-ZM72-123200-1108</t>
  </si>
  <si>
    <t>R01-ZM72-340000-1109</t>
  </si>
  <si>
    <t>R01-ZM72-320000-1111</t>
  </si>
  <si>
    <t>R01-ZM72-123200-1113</t>
  </si>
  <si>
    <t>R01-ZM72-123200-1115</t>
  </si>
  <si>
    <t>R01-ZM72-123200-1116</t>
  </si>
  <si>
    <t>R01-ZM72-122900-1114</t>
  </si>
  <si>
    <t>R01-ZM72-120000-1121</t>
  </si>
  <si>
    <t>R01-ZM72-120000-1122</t>
  </si>
  <si>
    <t>R01-ZM72-340000-1120</t>
  </si>
  <si>
    <t>R01-9908-293400-1121</t>
  </si>
  <si>
    <t>R01-9908-290000-1122</t>
  </si>
  <si>
    <t>R01-9908-290000-1124</t>
  </si>
  <si>
    <t>R01-9908-290000-1125</t>
  </si>
  <si>
    <t>R01-9905-290000-1131</t>
  </si>
  <si>
    <t>R01-9905-282900-1132</t>
  </si>
  <si>
    <t>R01-9905-292800-1133</t>
  </si>
  <si>
    <t>R01-9905-280000-1134</t>
  </si>
  <si>
    <t>R01-9905-362900-1135</t>
  </si>
  <si>
    <t>R01-9905-290000-1136</t>
  </si>
  <si>
    <t>R01-9902-310000-1141</t>
  </si>
  <si>
    <t>R01-9903-290000-1142</t>
  </si>
  <si>
    <t>R01-9903-290000-1143</t>
  </si>
  <si>
    <t>R01-0014-060700-1151</t>
  </si>
  <si>
    <t>R01-0014-060700-1154</t>
  </si>
  <si>
    <t>R01-0007-080000-1161</t>
  </si>
  <si>
    <t>R01-8821-420000-1171</t>
  </si>
  <si>
    <t>R01-8821-420000-1172</t>
  </si>
  <si>
    <t>R01-8821-420000-1173</t>
  </si>
  <si>
    <t>R01-3305-330000-1181</t>
  </si>
  <si>
    <t>R01-3305-330000-1182</t>
  </si>
  <si>
    <t>R01-3305-330000-1183</t>
  </si>
  <si>
    <t>R01-3305-330200-1184</t>
  </si>
  <si>
    <t>R01-3302-440000-1191</t>
  </si>
  <si>
    <t>R01-3302-440000-1192</t>
  </si>
  <si>
    <t>R01-3302-440000-1194</t>
  </si>
  <si>
    <t>R01-3302-440000-1195</t>
  </si>
  <si>
    <t>R01-3302-440200-1193</t>
  </si>
  <si>
    <t>R01-5518-100000-1211</t>
  </si>
  <si>
    <t>R01-5518-100000-1212</t>
  </si>
  <si>
    <t>R01-5518-100000-1213</t>
  </si>
  <si>
    <t>R01-5518-100000-1214</t>
  </si>
  <si>
    <t>R01-5514-190000-1222</t>
  </si>
  <si>
    <t>R01-5514-190000-1224</t>
  </si>
  <si>
    <t>R01-5516-190000-1231</t>
  </si>
  <si>
    <t>R01-5516-190000-1232</t>
  </si>
  <si>
    <t>R01-5516-190000-1233</t>
  </si>
  <si>
    <t>R01-5516-190000-1235</t>
  </si>
  <si>
    <t>R01-5511-120000-1241</t>
  </si>
  <si>
    <t>R01-5511-110000-1242</t>
  </si>
  <si>
    <t>R01-5511-500000-1243</t>
  </si>
  <si>
    <t>R01-5511-500000-1244</t>
  </si>
  <si>
    <t>R01-5511-120900-1245</t>
  </si>
  <si>
    <t>R01-5511-120000-1246</t>
  </si>
  <si>
    <t>R01-7724-220000-2111</t>
  </si>
  <si>
    <t>R01-7724-220000-2112</t>
  </si>
  <si>
    <t>R01-7724-220000-2113</t>
  </si>
  <si>
    <t>R01-7724-220000-2114</t>
  </si>
  <si>
    <t>R01-7724-220000-2115</t>
  </si>
  <si>
    <t>R01-7725-240000-2121</t>
  </si>
  <si>
    <t>R01-7725-240000-2122</t>
  </si>
  <si>
    <t>R01-7725-240000-2123</t>
  </si>
  <si>
    <t>R01-7725-240000-2124</t>
  </si>
  <si>
    <t>R01-7725-240000-2125</t>
  </si>
  <si>
    <t>R01-7705-230000-2131</t>
  </si>
  <si>
    <t>R01-7705-230000-2132</t>
  </si>
  <si>
    <t>R01-7705-230000-2133</t>
  </si>
  <si>
    <t>R01-7705-230000-2134</t>
  </si>
  <si>
    <t>R01-7705-230000-2135</t>
  </si>
  <si>
    <t>R01-6630-475000-2221</t>
  </si>
  <si>
    <t>R01-6630-470000-2222</t>
  </si>
  <si>
    <t>R01-6630-470000-2223</t>
  </si>
  <si>
    <t>R01-6630-470000-2224</t>
  </si>
  <si>
    <t>R01-6630-470000-2225</t>
  </si>
  <si>
    <t>R01-6615-475000-2231</t>
  </si>
  <si>
    <t>R01-6615-470000-2232</t>
  </si>
  <si>
    <t>R01-6615-470000-2233</t>
  </si>
  <si>
    <t>R01-6615-470000-2234</t>
  </si>
  <si>
    <t>R01-6615-470000-2235</t>
  </si>
  <si>
    <t>2.1.2.3.4</t>
  </si>
  <si>
    <t>R01-4407-270000-2311</t>
  </si>
  <si>
    <t>R01-4407-274800-2312</t>
  </si>
  <si>
    <t>R01-4407-270000-2313</t>
  </si>
  <si>
    <t>R01-4407-270000-2314</t>
  </si>
  <si>
    <t>R01-4407-270000-2315</t>
  </si>
  <si>
    <t>R01-4408-260000-2321</t>
  </si>
  <si>
    <t>R01-4408-250000-2322</t>
  </si>
  <si>
    <t>R01-4408-260000-2323</t>
  </si>
  <si>
    <t>R01-4408-260000-2324</t>
  </si>
  <si>
    <t>R01-4408-252600-2325</t>
  </si>
  <si>
    <t>R01-9920-490000-2411</t>
  </si>
  <si>
    <t>R01-9920-490000-2412</t>
  </si>
  <si>
    <t>R01-9920-490000-2413</t>
  </si>
  <si>
    <t>R01-9920-490000-2414</t>
  </si>
  <si>
    <t>R01-9920-490000-2415</t>
  </si>
  <si>
    <t>R01-9920-490000-2416</t>
  </si>
  <si>
    <t>R01-0008-050000-3111</t>
  </si>
  <si>
    <t>R01-0019-380000-3211</t>
  </si>
  <si>
    <t>R01-0019-380000-3212</t>
  </si>
  <si>
    <t>R01-0019-380000-3213</t>
  </si>
  <si>
    <t>R01-0019-380000-3214</t>
  </si>
  <si>
    <t>R01-0019-380000-3215</t>
  </si>
  <si>
    <t>R01-0019-380000-3216</t>
  </si>
  <si>
    <t>R01-0019-380000-3218</t>
  </si>
  <si>
    <t xml:space="preserve">1 lentelė. </t>
  </si>
  <si>
    <t>Priemonės, joms įgyvendinti reikalingų lėšų poreikis ir finansavimo šaltiniai (paskirstyta pagal planuojamą sutarčių sudarymą)</t>
  </si>
  <si>
    <t>3 lentelė. Projektams priskirti produkto ir rezultato vertinimo kriterijai.</t>
  </si>
  <si>
    <t>4 lentelė. Numatomų sukurti produktų ir rezultatų (siektinų produkto ir rezultato vertinimo kriterijų reikšmių) suvestinė.</t>
  </si>
  <si>
    <t>5 lentelė. Lėšų paskirstymas pagal Veiksmų programos įgyvendinimo plano priemones ir Kaimo plėtros programos priemones (tūkst. Eur)  (numatomos sudaryti projektų finansavimo sutartys, pamečiui).</t>
  </si>
  <si>
    <t>6 lentelė. Lėšų paskirstymas pagal Veiksmų programos įgyvendinimo plano priemones ir Kaimo plėtros programos priemones (tūkst. Eur) (numatomos sudaryti projektų finansavimo sutartys, kaupiamuoju būdu).</t>
  </si>
  <si>
    <t>Veiksmų programos ir Kaimo plėtros programos priemonės pavadinimas</t>
  </si>
  <si>
    <t>Veiksmų programos įgyvendinimo plano ir Kaimo plėtros programos priemonė (Nr.)</t>
  </si>
  <si>
    <t>7 lentelė. Veiklų grupių suvestinė.</t>
  </si>
  <si>
    <r>
      <t xml:space="preserve">Produkto vertinimo kriterijus 
</t>
    </r>
    <r>
      <rPr>
        <sz val="12"/>
        <rFont val="Times New Roman"/>
        <family val="1"/>
        <charset val="186"/>
      </rPr>
      <t>(pavadinimas)</t>
    </r>
  </si>
  <si>
    <r>
      <t xml:space="preserve">Siekiama reikšmė </t>
    </r>
    <r>
      <rPr>
        <sz val="12"/>
        <rFont val="Times New Roman"/>
        <family val="1"/>
        <charset val="186"/>
      </rPr>
      <t>(projektams priskirtų kriterijų reikšmių suma)</t>
    </r>
  </si>
  <si>
    <t>4 lentelė. Siektinos produkto ir rezultato vertinimo kriterijų reikšmės atitinkamais metais.</t>
  </si>
  <si>
    <t>5 lentelė. Siektinos produkto ir rezultato vertinimo kriterijų reikšmės kaupiamuoju būdu (nuo plano įgyvendinimo pradžios).</t>
  </si>
  <si>
    <t>6 lentelė. Vertinimo kriterijų reikšmių apskaičiavimo metodai, dalyvaujančios institucijos ir duomenų šaltiniai.</t>
  </si>
  <si>
    <r>
      <t xml:space="preserve">Priemonė:
</t>
    </r>
    <r>
      <rPr>
        <b/>
        <sz val="9"/>
        <rFont val="Times New Roman"/>
        <family val="1"/>
        <charset val="186"/>
      </rPr>
      <t>Pirminės asmens ir visuomenės sveikatos priežiūros veiklos efektyvumo didinimas vykdant švietimo ir mokymo veiklas</t>
    </r>
  </si>
  <si>
    <t>P.B.209</t>
  </si>
  <si>
    <t>Numatomo apsilankymų remiamuose kultūros ir gamtos paveldo objektuose bei turistų traukos vietose skaičiaus padidėjimas (apsilankymai per metus)</t>
  </si>
  <si>
    <r>
      <rPr>
        <b/>
        <u/>
        <sz val="9"/>
        <rFont val="Times New Roman"/>
        <family val="1"/>
        <charset val="186"/>
      </rPr>
      <t>Priemonė:</t>
    </r>
    <r>
      <rPr>
        <b/>
        <sz val="9"/>
        <rFont val="Times New Roman"/>
        <family val="1"/>
        <charset val="186"/>
      </rPr>
      <t xml:space="preserve">
Ikimokyklinio ir priešmokyklinio ugdymo prieinamumo didinimas</t>
    </r>
  </si>
  <si>
    <r>
      <t xml:space="preserve">Tikslas: </t>
    </r>
    <r>
      <rPr>
        <b/>
        <sz val="14"/>
        <rFont val="Times New Roman"/>
        <family val="1"/>
      </rPr>
      <t xml:space="preserve">
Didinti ūkinės veiklos įvairovę ir pagerinti sąlygas investicijų pritraukimui, mažinant geografinių sąlygų ir demografinių procesų sukeliamus gyvenimo kokybės netolygumus</t>
    </r>
  </si>
  <si>
    <r>
      <t>Uždavinys:</t>
    </r>
    <r>
      <rPr>
        <b/>
        <sz val="12"/>
        <rFont val="Times New Roman"/>
        <family val="1"/>
      </rPr>
      <t xml:space="preserve"> 
Sudaryti sąlygas darbo vietų kūrimui, kuriant ir atnaujinant viešąją ir ekoinžinerinę  infrastruktūrą,  gamtos, kultūros paveldo objektus ir kultūros įstaigas</t>
    </r>
  </si>
  <si>
    <r>
      <t>Uždavinys:</t>
    </r>
    <r>
      <rPr>
        <b/>
        <sz val="12"/>
        <rFont val="Times New Roman"/>
        <family val="1"/>
        <charset val="186"/>
      </rPr>
      <t xml:space="preserve">
Pagerinti darbo jėgos judėjimo galimybes gerinant susisiekimo sistemas</t>
    </r>
  </si>
  <si>
    <r>
      <t xml:space="preserve">Tikslas: </t>
    </r>
    <r>
      <rPr>
        <b/>
        <sz val="14"/>
        <rFont val="Times New Roman"/>
        <family val="1"/>
        <charset val="186"/>
      </rPr>
      <t xml:space="preserve">
Darniai tvarkyti ir vystyti regiono teritoriją</t>
    </r>
  </si>
  <si>
    <r>
      <t>Uždavinys:</t>
    </r>
    <r>
      <rPr>
        <b/>
        <sz val="12"/>
        <rFont val="Times New Roman"/>
        <family val="1"/>
        <charset val="186"/>
      </rPr>
      <t xml:space="preserve">
Sumažinti sąvartynuose šalinamų komunalinių atliekų kiekį</t>
    </r>
  </si>
  <si>
    <r>
      <t>Uždavinys:</t>
    </r>
    <r>
      <rPr>
        <b/>
        <sz val="12"/>
        <rFont val="Times New Roman"/>
        <family val="1"/>
        <charset val="186"/>
      </rPr>
      <t xml:space="preserve">
Kraštovaizdžio apsauga, planavimas ir tvarkymas</t>
    </r>
  </si>
  <si>
    <t>Eismo saugumo priemonių diegimas Druskininkų savivaldybėje</t>
  </si>
  <si>
    <t>1.1.2.4.7</t>
  </si>
  <si>
    <t>R01-5511-120000-1247</t>
  </si>
  <si>
    <t xml:space="preserve">Planuota </t>
  </si>
  <si>
    <t xml:space="preserve">Faktiškai įvykdyta </t>
  </si>
  <si>
    <t>Sutartis sudaryta (Taip/Ne)</t>
  </si>
  <si>
    <t>SB</t>
  </si>
  <si>
    <t>VB</t>
  </si>
  <si>
    <t>PL</t>
  </si>
  <si>
    <t>KL</t>
  </si>
  <si>
    <t>04.5.1-TID-R-514</t>
  </si>
  <si>
    <t>R01-5514-190000-1221</t>
  </si>
  <si>
    <t xml:space="preserve">          Apie baigtą įgyvendinti uždavinį, taip pat apie pasikeitusias aplinkybes, dėl kurių iškyla grėsmė neįvykdyti plane nustatytų uždavinių ir dėl to nepasiekti suplanuotų rezultatų, už priemonių įgyvendinimą atsakingi vykdytojai raštu informuoja Regioninės plėtros departamento prie Vidaus reikalų ministerijos Alytaus apskrities skyrių, o šis per 5 darbo dienas raštu informuoja Vidaus reikalų ministeriją ir pristato šią informaciją artimiausiame Alytaus regiono plėtros tarybos posėdyje. 
          Alytaus regiono plėtros tarybai gali būti pateikiami pasiūlymai dėl Alytaus regiono 2014–2020 m. plėtros plano pakeitimo. Pasiūlymus dėl Alytaus regiono plėtros plano papildymų ar pakeitimų Regioninės plėtros departamento prie Vidaus reikalų ministerijos Alytaus apskrities skyriui gali pateikti Alytaus apskrities savivaldybių administracijų, valstybinių institucijų, nevyriausybinių organizacijų atstovai, taip pat kitų suinteresuotų grupių nariai, visuomenė. Pasiūlymai dėl Alytaus regiono plėtros plano keitimo, jei tai nustatyta Regionų plėtros planų rengimo metodikoje, prieš juos teikiant svarstyti Alytaus regiono plėtros tarybai, suderinami su ministerijomis, kitomis suinteresuotomis institucijomis bei ekonominiais ir socialiniais partneriais, su kurių veiklos sritimi yra susiję siūlomi pakeitimai. Alytaus regiono plėtros plano pakeitimus tvirtina Alytaus regiono plėtros taryba.</t>
  </si>
  <si>
    <t>Intelektinių transporto sistemų diegimas Druskininkuose</t>
  </si>
  <si>
    <t>1.1.2.2.5</t>
  </si>
  <si>
    <t>1.1.2.2.6</t>
  </si>
  <si>
    <t>R01-5514-190000-1225</t>
  </si>
  <si>
    <t>R01-5514-190000-1226</t>
  </si>
  <si>
    <t>R01-5514-191800-1223</t>
  </si>
  <si>
    <t>Intelektinės transporto sistemos</t>
  </si>
  <si>
    <t>P.S.324</t>
  </si>
  <si>
    <t>Įdiegtos intelektinės transporto sistemos</t>
  </si>
  <si>
    <t>Viešojo transporto organizavimo tobulinimas rekonstruojant Druskininkų miesto gatvių infrastruktūrą</t>
  </si>
  <si>
    <t>Vandens transporto infrastruktūros įrengimas skatinant kitų rūšių transportą</t>
  </si>
  <si>
    <t>VšĮ Alytaus poliklinika</t>
  </si>
  <si>
    <t>Sveikatos priežiūros paslaugų modernizavimas bei optimizavimas pirminės sveikatos priežiūros centre</t>
  </si>
  <si>
    <t xml:space="preserve">VšĮ Alytaus miesto savivaldybės pirminės sveikatos priežiūros centras </t>
  </si>
  <si>
    <t>UAB „MediCA klinika“ teikiamų pirminės asmens sveikatos priežiūros paslaugų efektyvumo didinimas Alytaus miesto savivaldybėje</t>
  </si>
  <si>
    <t>UAB „MediCA klinika“</t>
  </si>
  <si>
    <t>UAB "Pagalba ligoniui" teikiamų paslaugų efektyvumo didinimas</t>
  </si>
  <si>
    <t>UAB „Pagalba ligoniui“, Alytaus filialas</t>
  </si>
  <si>
    <t>2.1.2.1.9</t>
  </si>
  <si>
    <t>2.1.2.1.10</t>
  </si>
  <si>
    <t>2.1.2.1.11</t>
  </si>
  <si>
    <t>2.1.2.1.12</t>
  </si>
  <si>
    <t>Pirminės asmens sveikatos priežiūros veiklos efektyvumo didinimas Alytaus rajono savivaldybėje</t>
  </si>
  <si>
    <t>UAB „Disolis“</t>
  </si>
  <si>
    <t>VšĮ Druskininkų pirminės sveikatos priežiūros centras</t>
  </si>
  <si>
    <t>UAB „Druskininkų šeimos klinika“</t>
  </si>
  <si>
    <t>Irenos Stanislavos Kavaliauskienės įmonė</t>
  </si>
  <si>
    <t>UAB „Rasos Ambrazaitienės šeimos gydytojo kabinetas“</t>
  </si>
  <si>
    <t>Socialinių ir sveikatos paslaugų infrastruktūra</t>
  </si>
  <si>
    <t>47</t>
  </si>
  <si>
    <t>P.S.363</t>
  </si>
  <si>
    <t>Viešąsias sveikatos priežiūros paslaugas teikiančių asmens sveikatos priežiūros įstaigų, kuriose modernizuota paslaugų teikimo infrastruktūra, skaičius</t>
  </si>
  <si>
    <t>ES</t>
  </si>
  <si>
    <t>Privat</t>
  </si>
  <si>
    <t>Uždavinys:
Sveikatos netolygumų sumažinimas, gerinant sveikatos priežiūros kokybę ir prieinamumą tikslinėms gyventojų grupėms ir sveiko senėjimo skatinimas</t>
  </si>
  <si>
    <t>Priemonė:
Pirminės asmens ir visuomenės sveikatos priežiūros veiklos efektyvumo didinimas gerinant jų infrastruktūrą</t>
  </si>
  <si>
    <t>3.1.2.1.9</t>
  </si>
  <si>
    <t>R01-0019-380000-3219</t>
  </si>
  <si>
    <t>Etaloninio kraštovaizdžio formavimas Druskininkų savivaldybės pasienyje</t>
  </si>
  <si>
    <t>Kraštovaizdžio formavimas Lazdijų rajono savivaldybėje (II etapas)</t>
  </si>
  <si>
    <t>Druskininkų sav.</t>
  </si>
  <si>
    <t>R01-6609-274710-2220</t>
  </si>
  <si>
    <t>R01-6609-274710-2219</t>
  </si>
  <si>
    <t>UAB "Druskininkų šeimos klinika" asmens sveikatos priežiūros paslaugų prieinamumo ir efektyvumo didinimas</t>
  </si>
  <si>
    <t>R01-6609-104700-2218</t>
  </si>
  <si>
    <t>R01-6609-274700-2221</t>
  </si>
  <si>
    <t>R01-6609-274700-2213</t>
  </si>
  <si>
    <t>R01-6609-274710-2211</t>
  </si>
  <si>
    <t>R01-6609-274710-2212</t>
  </si>
  <si>
    <t>R01-6609-274710-2214</t>
  </si>
  <si>
    <t>R01-6609-274710-2215</t>
  </si>
  <si>
    <t>R01-6609-471000-2216</t>
  </si>
  <si>
    <t>R01-6609-274710-2222</t>
  </si>
  <si>
    <t>2.1.2.1.13</t>
  </si>
  <si>
    <t>Pirminės asmens sveikatos priežiūros veiklos efektyvumo didinimas N. Jarašienės personalinėje įmonėje</t>
  </si>
  <si>
    <t>Varėnos r. sav.</t>
  </si>
  <si>
    <t>N. Jarašienės personalinė įmonė</t>
  </si>
  <si>
    <t>Priemonė:
Ikimokyklinio ir priešmokyklinio ugdymo prieinamumo didinimas</t>
  </si>
  <si>
    <t>Priemonė:
Kaimo gyvenamųjų vietovių (turinčių iki 1 tūkst. gyventojų) atnaujinimas</t>
  </si>
  <si>
    <t>Priemonė:
Kaimo gyvenamųjų vietovių (turinčių 1-6 tūkst. gyventojų) atnaujinimas ir plėtra</t>
  </si>
  <si>
    <t>Priemonė:
Varėnos miesto kompleksinė plėtra</t>
  </si>
  <si>
    <t xml:space="preserve">Priemonė:
Alytaus, Druskininkų ir Lazdijų miestų kompleksinė plėtra
</t>
  </si>
  <si>
    <t>Tikslas: 
DIDINTI ŪKINĖS VEIKLOS ĮVAIROVĘ IR PAGERINTI SĄLYGAS INVESTICIJŲ PRITRAUKIMUI, MAŽINANT GEOGRAFINIŲ SĄLYGŲ IR DEMOGRAFINIŲ PROCESŲ SUKELIAMUS GYVENIMO KOKYBĖS NETOLYGUMUS</t>
  </si>
  <si>
    <t>Priemonė:
Paviršinių nuotekų sistemų tvarkymas</t>
  </si>
  <si>
    <t>Priemonė:
Modernizuoti savivaldybių kultūros infrastruktūrą</t>
  </si>
  <si>
    <t>Priemonė:
Aktualizuoti savivaldybių kultūros paveldo objektus</t>
  </si>
  <si>
    <t>Uždavinys:
Pagerinti darbo jėgos judėjimo galimybes gerinant susisiekimo sistemas</t>
  </si>
  <si>
    <t>Priemonė:
Vietinio susisiekimo viešojo transporto priemonių parko atnaujinimas</t>
  </si>
  <si>
    <t>Priemonė:
Darnaus judumo priemonių diegimas</t>
  </si>
  <si>
    <t>Priemonė:
Pėsčiųjų ir dviračių takų rekonstrukcija ir plėtra</t>
  </si>
  <si>
    <t>Priemonė:
Vietinių kelių techninių parametrų ir eismo saugos gerinimas</t>
  </si>
  <si>
    <t>Tikslas:
GERINTI VIEŠŲJŲ  PASLAUGŲ KOKYBĘ IR PRIEINAMUMĄ</t>
  </si>
  <si>
    <t xml:space="preserve">Uždavinys:
Bendrojo ugdymo ir neformaliojo švietimo įstaigų (ypač vykdančių ikimokyklinio ir priešmokyklinio ugdymo programas) tinklo veiklos efektyvumo didinimas </t>
  </si>
  <si>
    <t>Priemonė:
Mokyklų tinklo efektyvumo didinimas</t>
  </si>
  <si>
    <t>Priemonė:
Neformaliojo švietimo infrastruktūros tobulinimas</t>
  </si>
  <si>
    <t>Priemonė:
Sveikos gyvensenos skatinimas regioniniu lygiu</t>
  </si>
  <si>
    <t>Priemonė:
Priemonių, gerinančių ambulatorinių sveikatos priežiūros paslaugų prieinamumą tuberkulioze sergantiems pacientams, įgyvendinimas</t>
  </si>
  <si>
    <t>Uždavinys:
Socialinio būsto ir socialinių paslaugų prieinamumo pažeidžiamiausioms gyventojų grupėms padidinimas</t>
  </si>
  <si>
    <t>Priemonė:
Socialinių paslaugų infrastruktūros plėtra</t>
  </si>
  <si>
    <t>Priemonė:
Socialinio būsto fondo plėtra</t>
  </si>
  <si>
    <t>Uždavinys:
Visuomenei teikiamų paslaugų kokybės, didinant jų atitikimo visuomenės poreikiams pagerinimas</t>
  </si>
  <si>
    <t>Priemonė:
Paslaugų teikimo ir asmenų aptarnavimo kokybės gerinimas savivaldybėse</t>
  </si>
  <si>
    <t>Tikslas: 
DARNIAI TVARKYTI IR VYSTYTI REGIONO TERITORIJĄ</t>
  </si>
  <si>
    <t>Uždavinys:
Sumažinti sąvartynuose šalinamų komunalinių atliekų kiekį</t>
  </si>
  <si>
    <t>Priemonė:
Komunalinių atliekų tvarkymo infrastruktūros plėtra</t>
  </si>
  <si>
    <t>Uždavinys:
Kraštovaizdžio apsauga, planavimas ir tvarkymas</t>
  </si>
  <si>
    <t>Priemonė:
Kraštovaizdžio apsauga/plėtra</t>
  </si>
  <si>
    <t>R01-6609-470000-2223</t>
  </si>
  <si>
    <r>
      <t>R01-6609-2747</t>
    </r>
    <r>
      <rPr>
        <sz val="10"/>
        <rFont val="Times New Roman"/>
        <family val="1"/>
        <charset val="186"/>
      </rPr>
      <t>10</t>
    </r>
    <r>
      <rPr>
        <sz val="10"/>
        <rFont val="Times New Roman"/>
        <family val="1"/>
      </rPr>
      <t>-2217</t>
    </r>
  </si>
  <si>
    <t xml:space="preserve">a = 4
b =5
c = 7
</t>
  </si>
  <si>
    <t>a = 4
b =5
c = 6</t>
  </si>
  <si>
    <t xml:space="preserve">a = 3
b =4
c = 5
</t>
  </si>
  <si>
    <t>a = 3
b =4
c = 5</t>
  </si>
  <si>
    <t>a = 130
b =140
c = 150</t>
  </si>
  <si>
    <t>a = 120
b =130
b = 140</t>
  </si>
  <si>
    <t>a = 110
b =120
b = 130</t>
  </si>
  <si>
    <t>a = 100
b = 110
b = 120</t>
  </si>
  <si>
    <t>a = 82
b =95
b = 110</t>
  </si>
  <si>
    <t>a = 3
b = 2
c = 0</t>
  </si>
  <si>
    <t>a =6
b = 5
c = 3</t>
  </si>
  <si>
    <t>a = 9
b = 7
c = 6</t>
  </si>
  <si>
    <t>a = 12
b = 11
c = 9</t>
  </si>
  <si>
    <t>a = 14
b =13
c = 12</t>
  </si>
  <si>
    <t>a = 16
b = 15
c = 14</t>
  </si>
  <si>
    <t>a = 4
b = 2
c = 0</t>
  </si>
  <si>
    <t>a = 20
b = 10
c = 4</t>
  </si>
  <si>
    <t>a = 30
b = 20
c = 10</t>
  </si>
  <si>
    <t>a = 35
b = 30
c = 20</t>
  </si>
  <si>
    <t>a = 40 
b = 35
c = 30</t>
  </si>
  <si>
    <t>a = 44
b = 40
c = 35</t>
  </si>
  <si>
    <t>a = 30
b = 35
c = 40</t>
  </si>
  <si>
    <t>a = 30
b = 30
c = 35</t>
  </si>
  <si>
    <t>a = 28
b = 33
c = 38</t>
  </si>
  <si>
    <t>a = 27
b = 30
c = 33</t>
  </si>
  <si>
    <t>a = 26
b = 28
c = 30</t>
  </si>
  <si>
    <t>a = 25
b = 27
c = 29</t>
  </si>
  <si>
    <t>a = 24
b = 26
c = 28</t>
  </si>
  <si>
    <t>Apsilankymas pas gydytoją – paciento bendravimas su gydytoju ar su specialistu, turinčiu universitetinį medicinos išsilavinimą, tam tikru laiku ir tam tikroje vietoje:
1) ambulatorines sveikatos priežiūros paslaugas teikiančioje įstaigoje (ar jos padalinyje);
2) paciento namuose;
3) stacionarinės įstaigos priėmimo skyriuje;
4) greitosios medicininės pagalbos iškvietimo metu. Apsilankymais  pas gydytojus laikomi ir apsilankymai pas I, II ir III lygio gydytojus ar sveikatos priežiūros specialistus (pagal įstaigų išsidėstymą). Sveikatos priežiūros paslaugų lygiai apibrėžti Lietuvos Respublikos sveikatos sistemos įstatyme.
Miestų ir rajonų savivaldybės yra skirstomos taip, kaip nurodyta Higienos instituto Sveikatos informacijos centro sveikatos statistikos leidiniuose:
http://www.hi.lt/content/sveik_stat_leid.html</t>
  </si>
  <si>
    <t>48
(2014 m.)</t>
  </si>
  <si>
    <t>13
(2014 m.)</t>
  </si>
  <si>
    <t>0
(2014 m.</t>
  </si>
  <si>
    <t>Vietinio susisiekimo transporto priemonių įsigijimas</t>
  </si>
  <si>
    <t>Vieną kartą per ketvirtį 
(ketvirčio ataskaita)</t>
  </si>
  <si>
    <t>Tiesioginių užsienio investicijų, tenkančių vienam gyventojui, laikotarpio pabaigoje padidėjimas</t>
  </si>
  <si>
    <t>((Tiesioginės užsienio investicijos, tenkančios vienam gyventojui , laikotarpio pabaigoje n - metais / Tiesioginės užsienio investicijos, tenkančios vienam gyventojui , laikotarpio pabaigoje 2017 metais)*100) - 100) proc.</t>
  </si>
  <si>
    <t xml:space="preserve">Pirminiai šaltiniai:
Higienos instituto Sveikatos informacijos centro tvarkomi Lietuvos sveikatos statistikos duomenys.
Antriniai šaltiniai:
metinės veiksmų programos įgyvendinimo ataskaitos, 2014–2020 metų Europos Sąjungos struktūrinių fondų posistemis (SFMIS2014).
</t>
  </si>
  <si>
    <t xml:space="preserve">    Standartizuotas mirtingumo rodiklis – mirusiųjų skaičius 100 000 gyventojų pagal Europos standartą.
Išorinės mirties priežastys – ligos ir būklės, klasifikuojamos pagal V0–Y98 kodus, nurodytus Tarptautinės statistinės ligų ir sveikatos sutrikimų klasifikacijos dešimtajame pataisytame ir papildytame leidime „Sisteminis ligų sąrašas“ (Australijos modifikacija, TLK-10-AM).
Tikslinės teritorijos – savivaldybės, nurodytos Sveikatos netolygumų mažinimo Lietuvoje 2014–2023 m. veiksmų plano, patvirtinto Lietuvos Respublikos sveikatos apsaugos ministro 2014 m. liepos 16 d. įsakymu Nr. V-815 „Dėl Sveikatos netolygumų mažinimo Lietuvoje 2014–2023 m. veiksmų plano patvirtinimo“, 3 priede „Traumų ir nelaimingų atsitikimų profilaktikos, neįgalumo ir mirtingumo nuo išorinių priežasčių mažinimo krypties aprašas“.</t>
  </si>
  <si>
    <t>Tinklalapis: http://www.aratc.lt/</t>
  </si>
  <si>
    <t>(100 - (Sąvartynuose šalinamų komunalinių atliekų kiekis  n- metais/ Sąvartynuose šalinamų komunalinių atliekų kiekis 2014 m.)*100) proc.</t>
  </si>
  <si>
    <t>Skaičiuojamas nustatant 
per kalendorinius metus sąvartynuose pašalintų komunalinių atliekų kiekio ir visų per kalendorinius metus susidariusių komunalinių atliekų kiekio santykį</t>
  </si>
  <si>
    <t xml:space="preserve"> Sąvartynuose šalinamų komunalinių atliekų kiekio mažėjimas </t>
  </si>
  <si>
    <t xml:space="preserve"> Alytaus regiono atliekų tvarkymo centras</t>
  </si>
  <si>
    <t>http://www.am.lt/VI/index.php, Europos Sąjungos struktūrinių fondų posistemis (SFMIS2014)</t>
  </si>
  <si>
    <t>ha</t>
  </si>
  <si>
    <t>proc.</t>
  </si>
  <si>
    <t>Skaičiuojamas sumuojant unikalius tikslinių grupių asmenis, kurie per vienerių metų laikotarpį po projekto įgyvendinimo pabaigos: - pasinaudojo investicijas gavusių įstaigų (įstaigų padalinių) paslaugomis;   - dirbo tokiose įstaigose</t>
  </si>
  <si>
    <t>skaičius</t>
  </si>
  <si>
    <t>Apsilankymų skaičius, tenkantis 1 gyventojui</t>
  </si>
  <si>
    <t>tūkst. keleivio km</t>
  </si>
  <si>
    <t>tūkst. Eur</t>
  </si>
  <si>
    <t>Tiesioginių užsienio investicijų, tenkančių vienam gyventojui, laikotarpio pabaigoje padidėjimas, (proc.)</t>
  </si>
  <si>
    <t>a = 7
b = 5
c = 0</t>
  </si>
  <si>
    <t>a = 14
b = 10
c =7</t>
  </si>
  <si>
    <t>a = 21
b = 17
c = 14</t>
  </si>
  <si>
    <t>a = 28
b = 25
c = 21</t>
  </si>
  <si>
    <t>a = 35
b = 31
c = 28</t>
  </si>
  <si>
    <t>a = 42
b = 39
c = 35</t>
  </si>
  <si>
    <t>Žuvusiųjų ne TEN-T tinklo keliuose skaičius (asm.)</t>
  </si>
  <si>
    <t>a = 10
b = 14
c =17</t>
  </si>
  <si>
    <t>a = 7
b = 11
c = 14</t>
  </si>
  <si>
    <t>a = 4
b = 5
c = 7</t>
  </si>
  <si>
    <t>a = 3
b = 4
c = 5</t>
  </si>
  <si>
    <t>a = 20
b = 15
c = 0</t>
  </si>
  <si>
    <t>a = 48
b = 41
c = 35</t>
  </si>
  <si>
    <t>a = 20
b = 15
c = 10</t>
  </si>
  <si>
    <t>a = 31
b = 25
c = 20</t>
  </si>
  <si>
    <t>a = 38,4
b = 34
c = 31</t>
  </si>
  <si>
    <t>a = 35
b = 25
c = 20</t>
  </si>
  <si>
    <t>a = 40
b = 35
c = 25</t>
  </si>
  <si>
    <t>a = 46
b = 40
c = 35</t>
  </si>
  <si>
    <t>Sąvartynuose šalinamų komunalinių atliekų kiekio mažėjimas (proc.)</t>
  </si>
  <si>
    <t>0 proc.
(2016 m.)</t>
  </si>
  <si>
    <t>42 proc.</t>
  </si>
  <si>
    <t>≥ 42 labai gerai 
(42; 37] gerai 
[20; 37] patenkinamai 
&lt; 20 blogai</t>
  </si>
  <si>
    <t>Sąvartynuose šalinamų komunalinių atliekų kiekio mažėjimas (procentai nuo 2017 m. sąvartynuose pašalintų 19 125 t)</t>
  </si>
  <si>
    <t>0 proc.
(2017 m.)</t>
  </si>
  <si>
    <t>16 proc.</t>
  </si>
  <si>
    <t>≥16 labai gerai 
(16; 10] gerai 
(10; 5] patenkinamai 
&lt; 5 blogai</t>
  </si>
  <si>
    <t>≥ 9394 labai gerai
[4500; 9393] gerai
[1; 4499] patenkinamai
&lt; 1 blogai</t>
  </si>
  <si>
    <t>≥ 54.5 labai gerai
[51; 54.4] gerai
[48; 50] patenkinamai
&lt; 48 blogai</t>
  </si>
  <si>
    <t>≥ 10 labai gerai
[5; 10) gerai
[1; 5) patenkinamai
&lt; 1 blogai</t>
  </si>
  <si>
    <t>≤ 3 labai gerai
[8; 3) gerai
[13; 8) patenkinamai
&gt; 13 blogai</t>
  </si>
  <si>
    <t>≥ 48 labai gerai
[36; 48) gerai
(0; 36) patenkinamai
= 0 blogai</t>
  </si>
  <si>
    <t>≥ 38,4 labai gerai
[34; 38,4) gerai
[31,4; 34) patenkinamai
&lt; 31,4 blogai</t>
  </si>
  <si>
    <t>≥ 46 labai gerai
[25; 46) gerai
(0; 25) patenkinamai
= 0 blogai</t>
  </si>
  <si>
    <t>≤ 3 labai gerai 
(3; 5) gerai 
(5; 6] patenkinamai 
&gt; 6 blogai</t>
  </si>
  <si>
    <t>≤ 82 labai gerai
[110; 82) gerai
[130; 110) patenkinamai
&gt; 130 blogai</t>
  </si>
  <si>
    <t>≥ 44 labai gerai
[35; 44) gerai
(0; 35) patenkinamai
= 0 blogai</t>
  </si>
  <si>
    <t>4 
(2018 m. gruodžio 31 d.)</t>
  </si>
  <si>
    <t>≥62 labai gerai</t>
  </si>
  <si>
    <t>≥47 labai gerai</t>
  </si>
  <si>
    <t xml:space="preserve"> ≥14 labai gerai</t>
  </si>
  <si>
    <t>≤35 labai gerai</t>
  </si>
  <si>
    <t>130
(2018 m. gruodžio 31 d.)</t>
  </si>
  <si>
    <t>viso</t>
  </si>
  <si>
    <t>06.2.1-TID-R-511-11-0006</t>
  </si>
  <si>
    <t>06.2.1-TID-R-511-11-0004</t>
  </si>
  <si>
    <t>04.5.1-TID-R-516-11-0005</t>
  </si>
  <si>
    <t>05.4.1-CPVA-R-302-11-0001</t>
  </si>
  <si>
    <t>05.4.1-CPVA-R-302-11-0002</t>
  </si>
  <si>
    <t>05.4.1-CPVA-R-302-11-0004</t>
  </si>
  <si>
    <t>05.4.1-CPVA-R-302-11-0005</t>
  </si>
  <si>
    <t>05.4.1-CPVA-R-302-11-0003</t>
  </si>
  <si>
    <t>07.1.1-CPVA-R-905-11-0004</t>
  </si>
  <si>
    <t>08.2.1-CPVA-R-908-11-0002</t>
  </si>
  <si>
    <t>08.2.1-CPVA-R-908-11-0003</t>
  </si>
  <si>
    <t>08.2.1-CPVA-R-908-11-0004</t>
  </si>
  <si>
    <t>08.4.2-ESFA-R-630-11-0001</t>
  </si>
  <si>
    <t>08.4.2-ESFA-R-630-11-0002</t>
  </si>
  <si>
    <t>08.4.2-ESFA-R-630-11-0003</t>
  </si>
  <si>
    <t>08.4.2-ESFA-R-630-11-0004</t>
  </si>
  <si>
    <t>08.4.2-ESFA-R-630-11-0005</t>
  </si>
  <si>
    <t>08.4.2-ESFA-R-615-11-0001</t>
  </si>
  <si>
    <t>08.4.2-ESFA-R-615-11-0002</t>
  </si>
  <si>
    <t>08.4.2-ESFA-R-615-11-0003</t>
  </si>
  <si>
    <t>08.4.2-ESFA-R-615-11-0004</t>
  </si>
  <si>
    <t>10.1.3-ESFA-R-920-11-0005</t>
  </si>
  <si>
    <t>10.1.3-ESFA-R-920-11-0006</t>
  </si>
  <si>
    <t>10.1.3-ESFA-R-920-11-0007</t>
  </si>
  <si>
    <t>05.5.1-APVA-R-019-11-0006</t>
  </si>
  <si>
    <r>
      <t>5.2.</t>
    </r>
    <r>
      <rPr>
        <b/>
        <sz val="7"/>
        <rFont val="Times New Roman"/>
        <family val="1"/>
        <charset val="186"/>
      </rPr>
      <t xml:space="preserve">    </t>
    </r>
    <r>
      <rPr>
        <b/>
        <sz val="12"/>
        <rFont val="Times New Roman"/>
        <family val="1"/>
        <charset val="186"/>
      </rPr>
      <t>VERTINIMO KRITERIJŲ REIKŠMIŲ APSKAIČIAVIMO METODAI, DALYVAUJANČIOS INSTITUCIJOS IR DUOMENŲ ŠALTINIAI</t>
    </r>
  </si>
  <si>
    <r>
      <t>Antriniai šaltiniai:</t>
    </r>
    <r>
      <rPr>
        <sz val="12"/>
        <rFont val="Times New Roman"/>
        <family val="1"/>
        <charset val="186"/>
      </rPr>
      <t xml:space="preserve"> metinės veiksmų programos įgyvendinimo ataskaitos, </t>
    </r>
  </si>
  <si>
    <r>
      <rPr>
        <b/>
        <sz val="12"/>
        <rFont val="Times New Roman"/>
        <family val="1"/>
        <charset val="186"/>
      </rPr>
      <t>Pirminiai šaltiniai:</t>
    </r>
    <r>
      <rPr>
        <sz val="12"/>
        <rFont val="Times New Roman"/>
        <family val="1"/>
        <charset val="186"/>
      </rPr>
      <t xml:space="preserve">
Higienos instituto Sveikatos informacijos centro tvarkomi Lietuvos sveikatos statistikos duomenys."
</t>
    </r>
    <r>
      <rPr>
        <b/>
        <sz val="12"/>
        <rFont val="Times New Roman"/>
        <family val="1"/>
        <charset val="186"/>
      </rPr>
      <t>Antriniai šaltiniai:</t>
    </r>
    <r>
      <rPr>
        <sz val="12"/>
        <rFont val="Times New Roman"/>
        <family val="1"/>
        <charset val="186"/>
      </rPr>
      <t xml:space="preserve">
metinės veiksmų programos įgyvendinimo ataskaitos, 
2014–2020 metų Europos Sąjungos struktūrinių fondų posistemis (SFMIS2014).</t>
    </r>
  </si>
  <si>
    <r>
      <t>Pirminiai šaltiniai</t>
    </r>
    <r>
      <rPr>
        <sz val="12"/>
        <rFont val="Times New Roman"/>
        <family val="1"/>
        <charset val="186"/>
      </rPr>
      <t>: pažyma apie per metus socialines paslaugas gavusius asmenis ir įstaigoje (įstaigos padalinyje) dirbusius darbuotojus.</t>
    </r>
  </si>
  <si>
    <r>
      <t>Antriniai šaltiniai:</t>
    </r>
    <r>
      <rPr>
        <sz val="12"/>
        <rFont val="Times New Roman"/>
        <family val="1"/>
        <charset val="186"/>
      </rPr>
      <t xml:space="preserve"> ataskaitos po projekto finansavimo pabaigos</t>
    </r>
  </si>
  <si>
    <r>
      <t>Pirminiai šaltiniai</t>
    </r>
    <r>
      <rPr>
        <sz val="12"/>
        <rFont val="Times New Roman"/>
        <family val="1"/>
        <charset val="186"/>
      </rPr>
      <t xml:space="preserve">: Lietuvos statistikos departamento interneto svetainėje (http://www.stat.gov.lt) skelbiama informacija ir (arba) savivaldybių teikiami duomenys apie asmenų (šeimų), kuriems buvo išnuomotas savivaldybės socialinis būstas, skaičių šalyje pasibaigus kiekvieniems kalendoriniams metams. </t>
    </r>
  </si>
  <si>
    <r>
      <t>Antriniai šaltiniai</t>
    </r>
    <r>
      <rPr>
        <sz val="12"/>
        <rFont val="Times New Roman"/>
        <family val="1"/>
        <charset val="186"/>
      </rPr>
      <t>:</t>
    </r>
  </si>
  <si>
    <r>
      <rPr>
        <b/>
        <sz val="12"/>
        <rFont val="Times New Roman"/>
        <family val="1"/>
        <charset val="186"/>
      </rPr>
      <t>Pirminiai šaltiniai:</t>
    </r>
    <r>
      <rPr>
        <sz val="12"/>
        <rFont val="Times New Roman"/>
        <family val="1"/>
        <charset val="186"/>
      </rPr>
      <t xml:space="preserve">
Alytaus regiono atliekų tvarkymo centro metinė veiklos ataskaita
http://www.aratc.lt/aratc-veiklos-ataskaitos/metiniai-pranesimai "
</t>
    </r>
    <r>
      <rPr>
        <b/>
        <sz val="12"/>
        <rFont val="Times New Roman"/>
        <family val="1"/>
        <charset val="186"/>
      </rPr>
      <t>Antriniai šaltiniai:</t>
    </r>
    <r>
      <rPr>
        <sz val="12"/>
        <rFont val="Times New Roman"/>
        <family val="1"/>
        <charset val="186"/>
      </rPr>
      <t xml:space="preserve">
metinės veiksmų programos įgyvendinimo ataskaitos, 
2014–2020 metų Europos Sąjungos struktūrinių fondų posistemis (SFMIS2014).</t>
    </r>
  </si>
  <si>
    <r>
      <t>5.3.</t>
    </r>
    <r>
      <rPr>
        <b/>
        <sz val="7"/>
        <rFont val="Times New Roman"/>
        <family val="1"/>
        <charset val="186"/>
      </rPr>
      <t xml:space="preserve">                               </t>
    </r>
    <r>
      <rPr>
        <b/>
        <sz val="12"/>
        <rFont val="Times New Roman"/>
        <family val="1"/>
        <charset val="186"/>
      </rPr>
      <t>VISUOMENĖS INFORMAVIMO APIE PLANO ĮGYVENDINIMĄ PRIEMONĖS</t>
    </r>
  </si>
  <si>
    <t>08.4.2-ESFA-R-615-11-0005</t>
  </si>
  <si>
    <r>
      <t>a</t>
    </r>
    <r>
      <rPr>
        <sz val="11"/>
        <color rgb="FF000000"/>
        <rFont val="Times New Roman"/>
        <family val="1"/>
        <charset val="186"/>
      </rPr>
      <t xml:space="preserve"> </t>
    </r>
    <r>
      <rPr>
        <sz val="12"/>
        <color rgb="FF000000"/>
        <rFont val="Times New Roman"/>
        <family val="1"/>
        <charset val="186"/>
      </rPr>
      <t xml:space="preserve">&gt; [a;+∞) </t>
    </r>
    <r>
      <rPr>
        <sz val="11"/>
        <color rgb="FF000000"/>
        <rFont val="Times New Roman"/>
        <family val="1"/>
        <charset val="186"/>
      </rPr>
      <t>– labai gerai</t>
    </r>
  </si>
  <si>
    <r>
      <t>b</t>
    </r>
    <r>
      <rPr>
        <sz val="11"/>
        <color rgb="FF000000"/>
        <rFont val="Times New Roman"/>
        <family val="1"/>
        <charset val="186"/>
      </rPr>
      <t xml:space="preserve"> </t>
    </r>
    <r>
      <rPr>
        <sz val="12"/>
        <color rgb="FF000000"/>
        <rFont val="Times New Roman"/>
        <family val="1"/>
        <charset val="186"/>
      </rPr>
      <t xml:space="preserve">(a; b) </t>
    </r>
    <r>
      <rPr>
        <sz val="11"/>
        <color rgb="FF000000"/>
        <rFont val="Times New Roman"/>
        <family val="1"/>
        <charset val="186"/>
      </rPr>
      <t>– gerai</t>
    </r>
  </si>
  <si>
    <r>
      <t>c</t>
    </r>
    <r>
      <rPr>
        <sz val="12"/>
        <color rgb="FF000000"/>
        <rFont val="Times New Roman"/>
        <family val="1"/>
        <charset val="186"/>
      </rPr>
      <t>[b; c]  patenkinamai</t>
    </r>
  </si>
  <si>
    <t>[c;- ∞) - blogai</t>
  </si>
  <si>
    <t>a &gt; [a;+∞) – labai gerai
b (a; b) – gerai
c[b; c]  patenkinamai
[c;- ∞) - blogai</t>
  </si>
  <si>
    <t>a &gt; [a;-∞) – labai gerai
b (a; b) – gerai
c[b; c]  patenkinamai
[c;+∞) - blogai</t>
  </si>
  <si>
    <t>a = 12
b = 7
c = 0</t>
  </si>
  <si>
    <t>a = 19
b = 11
c =  6</t>
  </si>
  <si>
    <t>a = 38 
b = 25
c = 13</t>
  </si>
  <si>
    <t>a = 51
b = 32
c = 19</t>
  </si>
  <si>
    <t>a = 62
b = 47
c = 28</t>
  </si>
  <si>
    <t xml:space="preserve">Investicijas gavusiose įstaigose esančios vietos socialinių paslaugų gavėjams (Skaičius) </t>
  </si>
  <si>
    <t>a = 10
b = 5
c = 0</t>
  </si>
  <si>
    <t>a = 15
b = 9
c = 5</t>
  </si>
  <si>
    <t xml:space="preserve">a = 30
b = 20
c = 10  </t>
  </si>
  <si>
    <t xml:space="preserve">a = 47
b = 35
c = 25   </t>
  </si>
  <si>
    <t xml:space="preserve">a = 40
b = 25
c = 15   </t>
  </si>
  <si>
    <t>a = 3.9
b = 2
c=1</t>
  </si>
  <si>
    <t>a = 6
b = 4
c = 3.9</t>
  </si>
  <si>
    <t>a = 8
b = 6
c = 4</t>
  </si>
  <si>
    <t>a = 10
b = 8
c = 6</t>
  </si>
  <si>
    <t>a = 12
b = 10
c = 8</t>
  </si>
  <si>
    <t>a = 14
b = 12
c = 8</t>
  </si>
  <si>
    <t>Panaudota 
2017</t>
  </si>
  <si>
    <t>Panaudota
 2018</t>
  </si>
  <si>
    <t>Panaudota 
2018</t>
  </si>
  <si>
    <t>08.1.3-CPVA-R-609-11-0001</t>
  </si>
  <si>
    <t>06.2.1-TID-R-511-11-0008</t>
  </si>
  <si>
    <t>06.2.1-TID-R-511-11-0007</t>
  </si>
  <si>
    <t>04.5.1-TID-R-518-11-0001</t>
  </si>
  <si>
    <t>04.5.1-TID-R-518-11-0002</t>
  </si>
  <si>
    <t>ES lėšos
sąrašas</t>
  </si>
  <si>
    <t>Kitos viešosios lėšos
sąrašas</t>
  </si>
  <si>
    <t>Privačios lėšos
sąrašas</t>
  </si>
  <si>
    <t>Valstybės biudžetas
sąrašas</t>
  </si>
  <si>
    <t>Savivaldybės biudžetas
sąrašas</t>
  </si>
  <si>
    <t>Iš viso:
sąrašas</t>
  </si>
  <si>
    <t>Iš viso:
sutartis</t>
  </si>
  <si>
    <t>Savivaldybės biudžetas
sutartis</t>
  </si>
  <si>
    <t>Valstybės biudžetas
sutartis</t>
  </si>
  <si>
    <t>Privačios lėšos
sutartis</t>
  </si>
  <si>
    <t>Kitos viešosios lėšos
sutartis</t>
  </si>
  <si>
    <t>ES lėšos
sutartis</t>
  </si>
  <si>
    <t>R01-0014-060750-1152</t>
  </si>
  <si>
    <t>pasirinktos</t>
  </si>
  <si>
    <t>AMV</t>
  </si>
  <si>
    <t>EMV</t>
  </si>
  <si>
    <t>KMV</t>
  </si>
  <si>
    <t>SADMV</t>
  </si>
  <si>
    <t>SMV</t>
  </si>
  <si>
    <t>SAMV</t>
  </si>
  <si>
    <t>ŠMMV</t>
  </si>
  <si>
    <t>ŪMV</t>
  </si>
  <si>
    <t>VRMV</t>
  </si>
  <si>
    <t>ŽŪMV</t>
  </si>
  <si>
    <t>–V</t>
  </si>
  <si>
    <t>00</t>
  </si>
  <si>
    <t>01</t>
  </si>
  <si>
    <t>Aukštojo mokslo įstaigų modernizavimas</t>
  </si>
  <si>
    <t>Viešoji tyrimų ir inovacijų infrastruktūra</t>
  </si>
  <si>
    <t>02</t>
  </si>
  <si>
    <t>Profesinio ar suaugusiųjų mokymo įstaigų modernizavimas</t>
  </si>
  <si>
    <t>Viešosios infrastruktūros (išskyrus pastatus) energinio efektyvumo didinimas</t>
  </si>
  <si>
    <t>03</t>
  </si>
  <si>
    <t>Kompleksinių paveldo objektų sutvarkymas ir pritaikymas</t>
  </si>
  <si>
    <t>Gyvenamųjų namų energinio efektyvumo didinimas</t>
  </si>
  <si>
    <t>04</t>
  </si>
  <si>
    <t>Kita (nepriskirta kitoms grupėms) viešoji infrastruktūra ar paslaugos</t>
  </si>
  <si>
    <t>Viešosios turizmo paslaugos</t>
  </si>
  <si>
    <t>Valstybinės reikšmės keliai ir gatvės (statyba)</t>
  </si>
  <si>
    <t>05</t>
  </si>
  <si>
    <t>Privačių juridinių asmenų ir juridinio asmens statuso neturinčių organizacijų gamybos srities projektai</t>
  </si>
  <si>
    <t>Valstybinės reikšmės keliai ir gatvės (rekonstrukcija)</t>
  </si>
  <si>
    <t>06</t>
  </si>
  <si>
    <t>Privačių juridinių asmenų ir juridinio asmens statuso neturinčių organizacijų paslaugų srities projektai</t>
  </si>
  <si>
    <t>Gamtos paveldo objektų sutvarkymas ir pritaikymas</t>
  </si>
  <si>
    <t>07</t>
  </si>
  <si>
    <t>Daugiarūšio transporto plėtra</t>
  </si>
  <si>
    <t>08</t>
  </si>
  <si>
    <t>Oro uostų ir aerodromų infrastruktūra</t>
  </si>
  <si>
    <t>09</t>
  </si>
  <si>
    <t>Regioninė ir vietinė vandens transporto infrastruktūra</t>
  </si>
  <si>
    <t>10</t>
  </si>
  <si>
    <t>11</t>
  </si>
  <si>
    <t>Kitos viešosios infrastruktūros modernizavimas (konversija): pramoninių, buvusių karinių, inžinerinių ir pan. objektų ir teritorijų konversija</t>
  </si>
  <si>
    <t>12</t>
  </si>
  <si>
    <t>13</t>
  </si>
  <si>
    <t>14</t>
  </si>
  <si>
    <t>Oro kokybės gerinimas (gatvių valymo technikos įsigijimas, technologijų diegimas)</t>
  </si>
  <si>
    <t>15</t>
  </si>
  <si>
    <t>16</t>
  </si>
  <si>
    <t>Natura 2000 teritorijų tvarkymas ir pritaikymas</t>
  </si>
  <si>
    <t>17</t>
  </si>
  <si>
    <t>Užterštų teritorijų išvalymas</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</si>
  <si>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</si>
  <si>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</si>
  <si>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</si>
  <si>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</si>
  <si>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</si>
  <si>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</si>
  <si>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</si>
  <si>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</si>
  <si>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</si>
  <si>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</si>
  <si>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</si>
  <si>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</si>
  <si>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</si>
  <si>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</si>
  <si>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</si>
  <si>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</si>
  <si>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</si>
  <si>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</si>
  <si>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</si>
  <si>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</si>
  <si>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</si>
  <si>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</si>
  <si>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</si>
  <si>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</si>
  <si>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</si>
  <si>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</si>
  <si>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</si>
  <si>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</si>
  <si>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</si>
  <si>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48</t>
  </si>
  <si>
    <t>49</t>
  </si>
  <si>
    <t>50</t>
  </si>
  <si>
    <t>51</t>
  </si>
  <si>
    <t>52</t>
  </si>
  <si>
    <t>Min_veikla</t>
  </si>
  <si>
    <t>R01-5516-190000-1234</t>
  </si>
  <si>
    <t>R01-0019-283800-3217</t>
  </si>
  <si>
    <t>Projektų, kuriems veiklų grupė priskirta kaip pagrindinė, lėšų poreikis, EUR (ES parama)</t>
  </si>
  <si>
    <t>R01-0014-070650-1153</t>
  </si>
  <si>
    <t>R01-9908-290000-1123</t>
  </si>
  <si>
    <t>R01-0014-060750-1155</t>
  </si>
  <si>
    <t>Teikiamų paslaugų procesų tobulinimas ir asmenų aptarnavimo kokybės gerinimas Alytaus m. sav. administracijoje ir jai pavaldžiose įstaigose. II etapas</t>
  </si>
  <si>
    <t>Teikiamų paslaugų procesų tobulinimas ir asmenų aptarnavimo kokybės gerinimas Alytaus m. sav. administracijoje ir jai pavaldžiose įstaigose. I etapas</t>
  </si>
  <si>
    <t>Regionų plėtros planų rengimo</t>
  </si>
  <si>
    <t>metodikos</t>
  </si>
  <si>
    <t>6 priedas</t>
  </si>
  <si>
    <t xml:space="preserve">PLANO ĮGYVENDINIMO STEBĖSENOS DUOMENŲ SUVESTINĖ </t>
  </si>
  <si>
    <r>
      <t xml:space="preserve">Paskutinio duomenų atnaujinimo data: </t>
    </r>
    <r>
      <rPr>
        <b/>
        <i/>
        <sz val="12"/>
        <color theme="1"/>
        <rFont val="Times New Roman"/>
        <family val="1"/>
        <charset val="186"/>
      </rPr>
      <t>METAI, MĖNUO, DIENA</t>
    </r>
  </si>
  <si>
    <t>2 lentelė. Pagrindinių projektų įgyvendinimo etapų terminai – projektų įtraukimas į regiono arba valstybės projektų sąrašus*.</t>
  </si>
  <si>
    <t>* Pildoma projektams, kuriuos buvo numatyta įtraukti į regiono arba valstybės projektų sąrašus iki einamojo ketvirčio pabaigos.</t>
  </si>
  <si>
    <t>**R – regiono projektas, V – valstybės projektas, KT – projektas, atrinktas kitu atrankos būdu.</t>
  </si>
  <si>
    <t>*** ITI – projektas, įgyvendinamas pagal integruotą teritorijos (-ų) vystymo programą, RSP – regioninės svarbos projektas.</t>
  </si>
  <si>
    <t xml:space="preserve">**** Unikalus numeris sudaromas iš kodų, nurodytų šio priedo 2–4 punktuose, pvz., R02-9904-310000-1222 – regiono kodas (R02), ministerijos kodas – (9), priemonės kodo paskutiniai trys skaičiai – (904) (pagal ministerijų patvirtintų priemonių įgyvendinimo planus, išskyrus Žemės ūkio ministeriją, kurios atveju naudojami priemonės kodo pirmi trys simboliai (M raidė ir priemonės numeris Kaimo plėtros programoje). Kai nenumatoma naudoti Europos Sąjungos lėšų, visais atvejais vietoj priemonės kodo įrašoma – (000), pirmos veiklos kodas – (31), antros veiklos kodas – (00), trečios veiklos kodas – (00) ir bet koks keturženklis skaičius, kuris negali kartotis.                                                                                                                   </t>
  </si>
  <si>
    <t>Unikalus numeris****</t>
  </si>
  <si>
    <t>Pareiškėjas / projekto vykdytojas</t>
  </si>
  <si>
    <t>R/V/KT**</t>
  </si>
  <si>
    <t>ITI, RSP***</t>
  </si>
  <si>
    <t>Vėlavimas (mėnesiais)</t>
  </si>
  <si>
    <t>Faktiškai įvykdyta (metai, mėnuo)</t>
  </si>
  <si>
    <t>Planuota (metai, mėnuo)</t>
  </si>
  <si>
    <t>,</t>
  </si>
  <si>
    <t>Unikalus numeris</t>
  </si>
  <si>
    <t>Lėšų poreikis ir finansavimo šaltiniai (Eur)</t>
  </si>
  <si>
    <t>Kita tarptautinė finansinė parama</t>
  </si>
  <si>
    <t>* Pildoma projektams, kuriuos buvo numatyta užbaigti iki einamųjų metų pabaigos</t>
  </si>
  <si>
    <t>R/V/KT</t>
  </si>
  <si>
    <t>ITI, RSP</t>
  </si>
  <si>
    <t>*Pildoma projektams, kurių finansavimo sutartis buvo numatyta sudaryti iki einamojo ketvirčio pabaigos.</t>
  </si>
  <si>
    <t>** Pagal sudarytas projektų finansavimo sutartis.</t>
  </si>
  <si>
    <t>* Pildoma projektams, kurių finansavimo sutartis buvo numatyta sudaryti iki einamojo ketvirčio pabaigos.</t>
  </si>
  <si>
    <t>Panaudota</t>
  </si>
  <si>
    <t>* Pildoma projektams, kurių paraiškas buvo numatyta pateikti įgyvendinančiajai institucijai iki einamojo ketvirčio pabaigos.</t>
  </si>
  <si>
    <r>
      <t>*</t>
    </r>
    <r>
      <rPr>
        <sz val="12"/>
        <color theme="1"/>
        <rFont val="Times New Roman"/>
        <family val="1"/>
        <charset val="186"/>
      </rPr>
      <t xml:space="preserve"> Pildoma projektams, kurių finansavimo sutartis buvo numatyta sudaryti iki einamojo ketvirčio pabaigos.</t>
    </r>
  </si>
  <si>
    <t>8 lentelė. Lėšų paskirstymas pagal Veiksmų programos įgyvendinimo plano priemones ir Kaimo plėtros programos priemones (tūkst. Eur) (sudarytos projektų finansavimo sutartys, kaupiamuoju būdu).</t>
  </si>
  <si>
    <t xml:space="preserve">  10 lentelė. Pasiektos produkto ir rezultato vertinimo kriterijų reikšmės kaupiamuoju būdu (nuo plano įgyvendinimo pradžios).</t>
  </si>
  <si>
    <t xml:space="preserve">Pagrindinė veiklų grupė </t>
  </si>
  <si>
    <t xml:space="preserve">Projekto pavadinimas </t>
  </si>
  <si>
    <t>VP arba KPP priemonė (Nr.)</t>
  </si>
  <si>
    <t>ES lėšos RPP</t>
  </si>
  <si>
    <t>ES lėšos RPS</t>
  </si>
  <si>
    <t>ES lėšos sutartis</t>
  </si>
  <si>
    <t>Alytaus r. sav.</t>
  </si>
  <si>
    <t>Alytaus m. sav.</t>
  </si>
  <si>
    <t>Lazdijų r. sav.</t>
  </si>
  <si>
    <t>ES lėšos išmokėta</t>
  </si>
  <si>
    <t>Kodas (VI)</t>
  </si>
  <si>
    <t>Kodas (VII)</t>
  </si>
  <si>
    <t>Produkto vertinimo kriterijus (VI)</t>
  </si>
  <si>
    <t>Siekiama reikšmė (VI)</t>
  </si>
  <si>
    <t>Siekiama reikšmė sutartis (VI)</t>
  </si>
  <si>
    <t>Siekiama reikšmė sutartis (VII)</t>
  </si>
  <si>
    <t>skirtumas (sutartis-planas) sutartis(VII)</t>
  </si>
  <si>
    <t>P.B.218</t>
  </si>
  <si>
    <t>Papildomi gyventojai, kuriems teikiamos pagerintos vandens tiekimo paslaugos</t>
  </si>
  <si>
    <t>P.B.219</t>
  </si>
  <si>
    <t>Papildomi gyventojai, kuriems teikiamos pagerintos nuotekų tvarkymo paslaugos</t>
  </si>
  <si>
    <t>Siekiama reikšmė  (VII)</t>
  </si>
  <si>
    <t>Įgyvendinimo
 teritorija</t>
  </si>
  <si>
    <t>Projekto pavadinimas</t>
  </si>
  <si>
    <t>Pareiškėjo ar vykdytojo pavadinimas</t>
  </si>
  <si>
    <t>PP įvrtinimo data</t>
  </si>
  <si>
    <t>PP PVI numeris</t>
  </si>
  <si>
    <t>Apmokėta / grąžinta skirto finansavimo iš ES fondo lėšų suma</t>
  </si>
  <si>
    <t>Deklaruota skirto finansavimo suma iš ES fondo lėšų</t>
  </si>
  <si>
    <t>Įsisavintų lėšų dalis, (%)</t>
  </si>
  <si>
    <t>Galutinės ataskaitos būsena</t>
  </si>
  <si>
    <t>Projekto etapas (įgyvendinamas, baigtas)</t>
  </si>
  <si>
    <t>Pastabos/paaiškinimai</t>
  </si>
  <si>
    <t>Probleminis projektas</t>
  </si>
  <si>
    <t>Baigtas įgyvendinti</t>
  </si>
  <si>
    <t xml:space="preserve">  </t>
  </si>
  <si>
    <t>Priemonės kodas</t>
  </si>
  <si>
    <t>51PVI/6-7</t>
  </si>
  <si>
    <t>51PVI/6-8</t>
  </si>
  <si>
    <t>51PVI/6-9</t>
  </si>
  <si>
    <t>51PVI/6-10</t>
  </si>
  <si>
    <t>51PVI/6-11</t>
  </si>
  <si>
    <t>51PVI/6-12</t>
  </si>
  <si>
    <t>51PVI/6-13</t>
  </si>
  <si>
    <t>51PVI/6-14</t>
  </si>
  <si>
    <t>51PVI/6-15</t>
  </si>
  <si>
    <t>51PVI/6-16</t>
  </si>
  <si>
    <t>51PVI/6-17</t>
  </si>
  <si>
    <t>51PVI/6-18</t>
  </si>
  <si>
    <t>51PVI/6-19</t>
  </si>
  <si>
    <t>51PVI/6-21</t>
  </si>
  <si>
    <t>51PVI/6-22</t>
  </si>
  <si>
    <t>51PVI/6-23</t>
  </si>
  <si>
    <t>51PVI/6-24</t>
  </si>
  <si>
    <t>51PVI/6-25</t>
  </si>
  <si>
    <t>51PVI/6-27</t>
  </si>
  <si>
    <t>51PVI/6-28</t>
  </si>
  <si>
    <t>51PVI/6-29</t>
  </si>
  <si>
    <t>51PVI/6-30</t>
  </si>
  <si>
    <t>51PVI/6-31</t>
  </si>
  <si>
    <t>51/PVI/6-48</t>
  </si>
  <si>
    <t>51PVI/6-63</t>
  </si>
  <si>
    <t>51PVI/6-62</t>
  </si>
  <si>
    <t>51PVI/6-2</t>
  </si>
  <si>
    <t xml:space="preserve"> 51PVI/6-32</t>
  </si>
  <si>
    <t xml:space="preserve">51PVI/6-13 </t>
  </si>
  <si>
    <t>51PVI/6-40</t>
  </si>
  <si>
    <t>51PVI/6-39</t>
  </si>
  <si>
    <t>ES lėšos išmokėta nuo RPS lėšų proc.</t>
  </si>
  <si>
    <t>ES lėšos išmokėta nuo RPP lėšų proc.</t>
  </si>
  <si>
    <t xml:space="preserve"> 51PVI/6-6 </t>
  </si>
  <si>
    <t xml:space="preserve">51PVI/6-9 </t>
  </si>
  <si>
    <t xml:space="preserve"> 51PVI/6-12</t>
  </si>
  <si>
    <t>51/PVI/6-15</t>
  </si>
  <si>
    <t>51PVI/6-32</t>
  </si>
  <si>
    <t>51PVI/6-33</t>
  </si>
  <si>
    <t>51PVI/6-4</t>
  </si>
  <si>
    <t>51PVI/6-5</t>
  </si>
  <si>
    <t>51PVI/6-1</t>
  </si>
  <si>
    <t>51PVI/6-6</t>
  </si>
  <si>
    <t>51PVI/6-42</t>
  </si>
  <si>
    <t>51PVI/6-45</t>
  </si>
  <si>
    <t>51PVI/6-61</t>
  </si>
  <si>
    <t>51PVI/6-34</t>
  </si>
  <si>
    <t>51PVI/6-35</t>
  </si>
  <si>
    <t xml:space="preserve">51PVI/6-44 </t>
  </si>
  <si>
    <t>51PVI/6-41</t>
  </si>
  <si>
    <t>51PVI/6-44</t>
  </si>
  <si>
    <t>51PV/6-37</t>
  </si>
  <si>
    <t>51PVI/6-43</t>
  </si>
  <si>
    <t>51PV/6-35</t>
  </si>
  <si>
    <t xml:space="preserve"> 51PV/6-36</t>
  </si>
  <si>
    <t>51PV/6-38</t>
  </si>
  <si>
    <t>51PV/6-42</t>
  </si>
  <si>
    <t>51PVI/6-37</t>
  </si>
  <si>
    <t>51PVI/6-38</t>
  </si>
  <si>
    <t>51PVI/6-36</t>
  </si>
  <si>
    <t>51PVI/6-52</t>
  </si>
  <si>
    <t>51PVI/6-49</t>
  </si>
  <si>
    <t>51PVI/6-54</t>
  </si>
  <si>
    <t>51PVI/6-56</t>
  </si>
  <si>
    <t>51PVI/6-58</t>
  </si>
  <si>
    <t>51PVI/6-20</t>
  </si>
  <si>
    <t>51PVI/6-26</t>
  </si>
  <si>
    <t>51PVI/6-3</t>
  </si>
  <si>
    <t xml:space="preserve">51PVI/6-28 </t>
  </si>
  <si>
    <t xml:space="preserve">51PVI/6-25 </t>
  </si>
  <si>
    <t>51PVI/6-46</t>
  </si>
  <si>
    <t xml:space="preserve">51PVI/6-2 </t>
  </si>
  <si>
    <t>51PVI/6-51</t>
  </si>
  <si>
    <t>51PVI/6-53</t>
  </si>
  <si>
    <t>51PVI/6-57</t>
  </si>
  <si>
    <t>51PVI/6-60</t>
  </si>
  <si>
    <t>51PVI/6-59</t>
  </si>
  <si>
    <t>51VI/6-22</t>
  </si>
  <si>
    <t>51VI/6-17</t>
  </si>
  <si>
    <t>51VI/6-23</t>
  </si>
  <si>
    <t>51VI/6-33</t>
  </si>
  <si>
    <t>51PVI/38</t>
  </si>
  <si>
    <t>Projekto trukmė mėn.</t>
  </si>
  <si>
    <t>Sutartyje nustatyta projekto veiklų pabaigos data</t>
  </si>
  <si>
    <t>Įgyvendinimas</t>
  </si>
  <si>
    <t>Ramunė Vyšniauskaitė</t>
  </si>
  <si>
    <t>Egidijus Maculevičius</t>
  </si>
  <si>
    <t>Vytautas Jotautas</t>
  </si>
  <si>
    <t>Gintarė Jociunskaitė</t>
  </si>
  <si>
    <t>Už projektą atsakingas asmuo vardas, pavardė</t>
  </si>
  <si>
    <t>Irena Eimanavičienė</t>
  </si>
  <si>
    <t>Algirdas Kazanavičius</t>
  </si>
  <si>
    <t>Leonas Mackevičius</t>
  </si>
  <si>
    <t>Eremita Salickienė</t>
  </si>
  <si>
    <t>Eimantas Kirkliauskas</t>
  </si>
  <si>
    <t>Vidas Jakimavičius</t>
  </si>
  <si>
    <t>Justinas Šmulkštys</t>
  </si>
  <si>
    <t>Juozas Kalėda</t>
  </si>
  <si>
    <t>Indrė Adomynienė</t>
  </si>
  <si>
    <t>Jurgita Rudienė</t>
  </si>
  <si>
    <t>Ingrida Leskevičienė</t>
  </si>
  <si>
    <t>Dalia Balevičiūtė</t>
  </si>
  <si>
    <t>Mantas Sabaliauskas
Lazdijų rajono savivaldybės administracijos Architektūros ir aplinkosaugos skyriaus vyr. Specialistas</t>
  </si>
  <si>
    <t>Andrius Karlonas</t>
  </si>
  <si>
    <t>Eglė Čapkovskienė</t>
  </si>
  <si>
    <t>Regina Vasiliauskienė</t>
  </si>
  <si>
    <t>Ineta Dimšienė</t>
  </si>
  <si>
    <t>Virginijus Blažauskas</t>
  </si>
  <si>
    <t>Reda Kubiliūtė</t>
  </si>
  <si>
    <t>Vilmantas Pajada</t>
  </si>
  <si>
    <t>Algirdas Svirskas</t>
  </si>
  <si>
    <t>Rasa Nenartavičienė</t>
  </si>
  <si>
    <t>Paraiškos vertinimas</t>
  </si>
  <si>
    <t>Vaiva Žagunienė</t>
  </si>
  <si>
    <t>Danutė Mazaliauskienė</t>
  </si>
  <si>
    <t>Lina Janulevičienė
VšĮ Kapčiamiesčio globos namai Direktorė</t>
  </si>
  <si>
    <t xml:space="preserve">Dalia Burlinskienė
</t>
  </si>
  <si>
    <t>Ramunė Petuškaitė</t>
  </si>
  <si>
    <t>Irena Stanislava Kavaliauskienė</t>
  </si>
  <si>
    <t>Marius Jasaitis</t>
  </si>
  <si>
    <t>Gediminas Sargelis
Medicinos projektų vadovas</t>
  </si>
  <si>
    <t>Jūratė Patackaitė</t>
  </si>
  <si>
    <t>Giedrė Banienė
Direktorė</t>
  </si>
  <si>
    <t>Lina Džiaukštienė</t>
  </si>
  <si>
    <t>Eglė Matienė
Viešoji įstaiga Druskininkų pirminės sveikatos priežiūros centras
Direktoriaus pavaduotoja medicinai</t>
  </si>
  <si>
    <t>Irma Lukminienė</t>
  </si>
  <si>
    <t>Albinas Čelkonas</t>
  </si>
  <si>
    <t>Ramutė Kunigiškienė
Lazdijų rajono savivaldybės visuomenės sveikatos biuras
Direktorė</t>
  </si>
  <si>
    <t>Povilas Jagelavičius
Druskininkų savivaldybės visuomenės sveikatos biuras
 Visuomenės sveikatos specialistas</t>
  </si>
  <si>
    <t>Dalia Kitavičienė
Alytaus rajono savivaldybės visuomenės sveikatos biuras
Direktorė</t>
  </si>
  <si>
    <t>Astutė Žmuidinavičienė
Varėnos rajono savivaldybės visuomenės sveikatos biuras
Direktorė</t>
  </si>
  <si>
    <t>Asta Zablackienė</t>
  </si>
  <si>
    <t>Vaida Mikelionienė</t>
  </si>
  <si>
    <t>Dalius Mockevičius</t>
  </si>
  <si>
    <t>Kristina Kamičaitytė</t>
  </si>
  <si>
    <t>Darius Liaukevičius
Viešoji įstaiga Lazdijų sporto centras
Direktorius</t>
  </si>
  <si>
    <t>Marius Urvikis</t>
  </si>
  <si>
    <t>Žydrūnas Rutkauskas</t>
  </si>
  <si>
    <t xml:space="preserve">Nurodyti filtro parametrai: </t>
  </si>
  <si>
    <t>Projekto kodas:</t>
  </si>
  <si>
    <t>Projekto išlaidų suma pagal sutartį</t>
  </si>
  <si>
    <t>Bendra MP / G informacija</t>
  </si>
  <si>
    <t>Mokėjimai / grąžinimai</t>
  </si>
  <si>
    <t>Skiriamas finansavimas</t>
  </si>
  <si>
    <t>Pareiškėjo ir partnerio (-ių) lėšos</t>
  </si>
  <si>
    <t>Iš (į) valstybės iždo sąskaitos (ą) išmokėtas / grąžintas finansavimas, iš jų:</t>
  </si>
  <si>
    <t>Pripažinta deklaruotina EK suma, iš jų:</t>
  </si>
  <si>
    <t>Deklaruotina EK suma, atsižvelgus į pajamas (su institucijos koregavimo veiksmais), iš jų:</t>
  </si>
  <si>
    <t>Deklaruota EK suma pagal projektą (su institucijos koregavimo veiksmais), iš jų:</t>
  </si>
  <si>
    <t>TvI išimtos sumos išlaidų deklaracijose</t>
  </si>
  <si>
    <t>Pagal fiksuotuosius įkainius deklaruota EK suma</t>
  </si>
  <si>
    <t>Pagal fiksuotąsias sumas deklaruota EK suma</t>
  </si>
  <si>
    <t>Pagal fiksuotąsias normas deklaruota EK suma</t>
  </si>
  <si>
    <t>Į sąskaitas EK įtraukta suma pagal projektą (su institucijos koregavimo veiksmais), iš jų:</t>
  </si>
  <si>
    <t>Viešosios lėšos</t>
  </si>
  <si>
    <t>Įvertinta avanso</t>
  </si>
  <si>
    <t xml:space="preserve">Mokėjimo prašymo </t>
  </si>
  <si>
    <t>Pripažinta deklaruotina EK skiriamo finansavimo suma, iš jų:</t>
  </si>
  <si>
    <t>Pripažinta deklaruotina EK pareiškėjo ir partnerio (-ių) lėšų suma, iš jų:</t>
  </si>
  <si>
    <t>Deklaruotina EK skiriamo finansavimo suma, iš jų:</t>
  </si>
  <si>
    <t>Deklaruotina EK pareiškėjo ir partnerio (-ių) lėšų suma, atsižvelgus į pajamas, iš jų:</t>
  </si>
  <si>
    <t>Deklaruota EK skiriamo finansavimo suma, iš jų:</t>
  </si>
  <si>
    <t>Deklaruota EK pareiškėjo ir partnerio (-ių) lėšų suma, iš jų:</t>
  </si>
  <si>
    <t> Skiriamo finansavimo suma, iš jų:</t>
  </si>
  <si>
    <t>Pareiškėjo ir partnerio (-ių) lėšų suma, iš jų:</t>
  </si>
  <si>
    <t>Priemonė </t>
  </si>
  <si>
    <t xml:space="preserve">Projekto </t>
  </si>
  <si>
    <t xml:space="preserve">Projekto vykdytojo kodas ir </t>
  </si>
  <si>
    <t>Projekto būsena</t>
  </si>
  <si>
    <t xml:space="preserve">Projekto išlaidų </t>
  </si>
  <si>
    <t>ES fondų lėšos</t>
  </si>
  <si>
    <t xml:space="preserve">LR valstybės biudžeto </t>
  </si>
  <si>
    <t>Išmokama viešųjų išlaidų suma</t>
  </si>
  <si>
    <t>Viešosios lėšos:</t>
  </si>
  <si>
    <t>Deklaravimo EK data</t>
  </si>
  <si>
    <t xml:space="preserve">Deklaravimo EK </t>
  </si>
  <si>
    <t>pavadinimas</t>
  </si>
  <si>
    <t>suma pagal sutartį</t>
  </si>
  <si>
    <t>lėšos iš skiriamo finansavimo (BF)</t>
  </si>
  <si>
    <t>LR valstybės biudžeto lėšos</t>
  </si>
  <si>
    <t>Savivaldybės biudžeto lėšos</t>
  </si>
  <si>
    <t>Kiti viešųjų lėšų šaltiniai</t>
  </si>
  <si>
    <t>gavimo data</t>
  </si>
  <si>
    <t>tipas </t>
  </si>
  <si>
    <t>Iš viso: </t>
  </si>
  <si>
    <t>LR valstybės biudžeto lėšos iš skiriamo finansavimo (BF)</t>
  </si>
  <si>
    <t>Pripažinimo deklaruotinomis EK data</t>
  </si>
  <si>
    <t>LR VB lėšos</t>
  </si>
  <si>
    <t>LR VB lėšos, atsižvelgus į pajamas</t>
  </si>
  <si>
    <t>Savivaldybės biudžeto lėšos, atsižvelgus į pajamas</t>
  </si>
  <si>
    <t>Kiti viešųjų lėšų šaltiniai, atsižvelgus į pajamas</t>
  </si>
  <si>
    <t>data</t>
  </si>
  <si>
    <t>Sąskaitų EK pateikimo data</t>
  </si>
  <si>
    <t>Iš jų viešųjų išlaidų suma</t>
  </si>
  <si>
    <t>1</t>
  </si>
  <si>
    <t>5</t>
  </si>
  <si>
    <t>9</t>
  </si>
  <si>
    <t>60</t>
  </si>
  <si>
    <t>61</t>
  </si>
  <si>
    <t>63</t>
  </si>
  <si>
    <t>64</t>
  </si>
  <si>
    <t>65</t>
  </si>
  <si>
    <t>66</t>
  </si>
  <si>
    <t>67</t>
  </si>
  <si>
    <t>71</t>
  </si>
  <si>
    <t>72</t>
  </si>
  <si>
    <t>74</t>
  </si>
  <si>
    <t>75</t>
  </si>
  <si>
    <t>76</t>
  </si>
  <si>
    <t>77</t>
  </si>
  <si>
    <t>78</t>
  </si>
  <si>
    <t>79</t>
  </si>
  <si>
    <t>80</t>
  </si>
  <si>
    <t>81</t>
  </si>
  <si>
    <t>82</t>
  </si>
  <si>
    <t>83</t>
  </si>
  <si>
    <t>84</t>
  </si>
  <si>
    <t>85</t>
  </si>
  <si>
    <t>86</t>
  </si>
  <si>
    <t>87</t>
  </si>
  <si>
    <t>88</t>
  </si>
  <si>
    <t>89</t>
  </si>
  <si>
    <t>90</t>
  </si>
  <si>
    <t>94</t>
  </si>
  <si>
    <t>95</t>
  </si>
  <si>
    <t>97</t>
  </si>
  <si>
    <t>98</t>
  </si>
  <si>
    <t>99</t>
  </si>
  <si>
    <t>100</t>
  </si>
  <si>
    <t>430</t>
  </si>
  <si>
    <t>188773873, Varėnos rajono savivaldybės administracija</t>
  </si>
  <si>
    <t>Įgyvendinama sutartis</t>
  </si>
  <si>
    <t>Tarpinis mokėjimas</t>
  </si>
  <si>
    <t>MP002</t>
  </si>
  <si>
    <t>MPD3</t>
  </si>
  <si>
    <t>431</t>
  </si>
  <si>
    <t>MP003</t>
  </si>
  <si>
    <t>MPD2</t>
  </si>
  <si>
    <t>437</t>
  </si>
  <si>
    <t>188714992, Lazdijų rajono savivaldybės administracija</t>
  </si>
  <si>
    <t>438</t>
  </si>
  <si>
    <t>188706935, Alytaus miesto savivaldybės administracija</t>
  </si>
  <si>
    <t>6</t>
  </si>
  <si>
    <t>MP001</t>
  </si>
  <si>
    <t>7</t>
  </si>
  <si>
    <t>8</t>
  </si>
  <si>
    <t>Dviračių ir pėsčiųjų takų plėtra Lazdijų miesto Turistų gatvėje iki sodų bendrijos „Baltasis" Lazdijų seniūnijoje</t>
  </si>
  <si>
    <t>188718528, Alytaus rajono savivaldybės administracija</t>
  </si>
  <si>
    <t>149566841, Uždaroji akcinė bendrovė "Dzūkijos vandenys"</t>
  </si>
  <si>
    <t>MP004</t>
  </si>
  <si>
    <t>MP005</t>
  </si>
  <si>
    <t>MP006</t>
  </si>
  <si>
    <t>MP008</t>
  </si>
  <si>
    <t>MP009</t>
  </si>
  <si>
    <t>MP010</t>
  </si>
  <si>
    <t>Komunalinių atliekų tvarkymo infrastruktūros plėtra Alytaus regione</t>
  </si>
  <si>
    <t>250135860, UAB Alytaus regiono atliekų tvarkymo centras</t>
  </si>
  <si>
    <t>184626819, Uždaroji akcinė bendrovė "Varėnos vandenys"</t>
  </si>
  <si>
    <t>MP007</t>
  </si>
  <si>
    <t>53</t>
  </si>
  <si>
    <t>54</t>
  </si>
  <si>
    <t>55</t>
  </si>
  <si>
    <t>56</t>
  </si>
  <si>
    <t>57</t>
  </si>
  <si>
    <t>58</t>
  </si>
  <si>
    <t>59</t>
  </si>
  <si>
    <t>Avansas</t>
  </si>
  <si>
    <t>62</t>
  </si>
  <si>
    <t>68</t>
  </si>
  <si>
    <t>69</t>
  </si>
  <si>
    <t>70</t>
  </si>
  <si>
    <t>301500997, UAB "Druskininkų vandenys"</t>
  </si>
  <si>
    <t>73</t>
  </si>
  <si>
    <t>165171377, Uždaroji akcinė bendrovė "Lazdijų vanduo"</t>
  </si>
  <si>
    <t>153720195, Alytaus rajono savivaldybės įmonė "Simno komunalininkas"</t>
  </si>
  <si>
    <t>91</t>
  </si>
  <si>
    <t>92</t>
  </si>
  <si>
    <t>93</t>
  </si>
  <si>
    <t>Turizmo trasų ir maršrutų informacinės infrastruktūros plėtra Lazdijų, Varėnos rajonų ir Druskininkų savivaldybėse</t>
  </si>
  <si>
    <t>96</t>
  </si>
  <si>
    <t>188776264, Druskininkų savivaldybės administracija</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</si>
  <si>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</si>
  <si>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</si>
  <si>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</si>
  <si>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</si>
  <si>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</si>
  <si>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</si>
  <si>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</si>
  <si>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</si>
  <si>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</si>
  <si>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</si>
  <si>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</si>
  <si>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</si>
  <si>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</si>
  <si>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</si>
  <si>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</si>
  <si>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</si>
  <si>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</si>
  <si>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</si>
  <si>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</si>
  <si>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</si>
  <si>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</si>
  <si>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</si>
  <si>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</si>
  <si>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</si>
  <si>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</si>
  <si>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</si>
  <si>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Baigtas</t>
  </si>
  <si>
    <t>127</t>
  </si>
  <si>
    <t>128</t>
  </si>
  <si>
    <t>129</t>
  </si>
  <si>
    <t>130</t>
  </si>
  <si>
    <t>131</t>
  </si>
  <si>
    <t>132</t>
  </si>
  <si>
    <t>133</t>
  </si>
  <si>
    <t>Galutinis mokėjimas</t>
  </si>
  <si>
    <t>134</t>
  </si>
  <si>
    <t>135</t>
  </si>
  <si>
    <t>136</t>
  </si>
  <si>
    <t>137</t>
  </si>
  <si>
    <t>138</t>
  </si>
  <si>
    <t>139</t>
  </si>
  <si>
    <t>Perspektyvinės gatvės nuo Pramonės g. iki Naujosios g. Alytuje įrengimas</t>
  </si>
  <si>
    <t>140</t>
  </si>
  <si>
    <t>141</t>
  </si>
  <si>
    <t>142</t>
  </si>
  <si>
    <t>143</t>
  </si>
  <si>
    <t>144</t>
  </si>
  <si>
    <t>145</t>
  </si>
  <si>
    <t>146</t>
  </si>
  <si>
    <t>Varėnos miesto J. Basanavičiaus, Savanorių, M. K. Čiurlionio gatvių rekonstrukcija</t>
  </si>
  <si>
    <t>147</t>
  </si>
  <si>
    <t>148</t>
  </si>
  <si>
    <t>149</t>
  </si>
  <si>
    <t>150</t>
  </si>
  <si>
    <t>151</t>
  </si>
  <si>
    <t>152</t>
  </si>
  <si>
    <t>153</t>
  </si>
  <si>
    <t>154</t>
  </si>
  <si>
    <t>155</t>
  </si>
  <si>
    <t>156</t>
  </si>
  <si>
    <t>G01</t>
  </si>
  <si>
    <t>Grąžinimas</t>
  </si>
  <si>
    <t>157</t>
  </si>
  <si>
    <t>GD01</t>
  </si>
  <si>
    <t>158</t>
  </si>
  <si>
    <t>G02</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</si>
  <si>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</si>
  <si>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</si>
  <si>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</si>
  <si>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</si>
  <si>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</si>
  <si>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</si>
  <si>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</si>
  <si>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</si>
  <si>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</si>
  <si>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</si>
  <si>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</si>
  <si>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</si>
  <si>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</si>
  <si>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</si>
  <si>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</si>
  <si>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</si>
  <si>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</si>
  <si>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</si>
  <si>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</si>
  <si>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</si>
  <si>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</si>
  <si>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</si>
  <si>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</si>
  <si>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</si>
  <si>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</si>
  <si>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</si>
  <si>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</si>
  <si>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</si>
  <si>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</si>
  <si>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</si>
  <si>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</si>
  <si>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</si>
  <si>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</si>
  <si>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</si>
  <si>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</si>
  <si>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</si>
  <si>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</si>
  <si>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</si>
  <si>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</si>
  <si>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</si>
  <si>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</si>
  <si>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</si>
  <si>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</si>
  <si>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</si>
  <si>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</si>
  <si>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</si>
  <si>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</si>
  <si>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</si>
  <si>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</si>
  <si>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</si>
  <si>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</si>
  <si>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</si>
  <si>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</si>
  <si>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VšĮ Alytaus kultūros ir komunikacijos centro pastato Alytuje, Pramonės g. 1 B, rekonstravimas</t>
  </si>
  <si>
    <t>212</t>
  </si>
  <si>
    <t>213</t>
  </si>
  <si>
    <t>214</t>
  </si>
  <si>
    <t>215</t>
  </si>
  <si>
    <t>216</t>
  </si>
  <si>
    <t>217</t>
  </si>
  <si>
    <t>218</t>
  </si>
  <si>
    <t>219</t>
  </si>
  <si>
    <t>220</t>
  </si>
  <si>
    <t>221</t>
  </si>
  <si>
    <t>222</t>
  </si>
  <si>
    <t>223</t>
  </si>
  <si>
    <t>Druskininkų kultūros centro lauko scenos, Vilniaus al. 24, Druskininkai, modernizavimas ir pritaikymas kultūros poreikiams</t>
  </si>
  <si>
    <t>224</t>
  </si>
  <si>
    <t>225</t>
  </si>
  <si>
    <t>226</t>
  </si>
  <si>
    <t>227</t>
  </si>
  <si>
    <t>228</t>
  </si>
  <si>
    <t>229</t>
  </si>
  <si>
    <t>230</t>
  </si>
  <si>
    <t>231</t>
  </si>
  <si>
    <t>232</t>
  </si>
  <si>
    <t>233</t>
  </si>
  <si>
    <t>234</t>
  </si>
  <si>
    <t>235</t>
  </si>
  <si>
    <t>236</t>
  </si>
  <si>
    <t>237</t>
  </si>
  <si>
    <t>238</t>
  </si>
  <si>
    <t>08.1.1-CPVA-R-407</t>
  </si>
  <si>
    <t>239</t>
  </si>
  <si>
    <t>240</t>
  </si>
  <si>
    <t>241</t>
  </si>
  <si>
    <t>242</t>
  </si>
  <si>
    <t>243</t>
  </si>
  <si>
    <t>244</t>
  </si>
  <si>
    <t>245</t>
  </si>
  <si>
    <t>246</t>
  </si>
  <si>
    <t>190878283, VšĮ Kapčiamiesčio globos namai</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</si>
  <si>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</si>
  <si>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</si>
  <si>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</si>
  <si>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</si>
  <si>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</si>
  <si>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</si>
  <si>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</si>
  <si>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</si>
  <si>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</si>
  <si>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</si>
  <si>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</si>
  <si>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</si>
  <si>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</si>
  <si>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</si>
  <si>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</si>
  <si>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</si>
  <si>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</si>
  <si>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</si>
  <si>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</si>
  <si>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</si>
  <si>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</si>
  <si>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</si>
  <si>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</si>
  <si>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</si>
  <si>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08.1.2-CPVA-R-408</t>
  </si>
  <si>
    <t>271</t>
  </si>
  <si>
    <t>272</t>
  </si>
  <si>
    <t>273</t>
  </si>
  <si>
    <t>274</t>
  </si>
  <si>
    <t>275</t>
  </si>
  <si>
    <t>276</t>
  </si>
  <si>
    <t>277</t>
  </si>
  <si>
    <t>278</t>
  </si>
  <si>
    <t>279</t>
  </si>
  <si>
    <t>280</t>
  </si>
  <si>
    <t>MP011</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</si>
  <si>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</si>
  <si>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</si>
  <si>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</si>
  <si>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</si>
  <si>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</si>
  <si>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</si>
  <si>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</si>
  <si>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</si>
  <si>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</si>
  <si>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</si>
  <si>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</si>
  <si>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</si>
  <si>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</si>
  <si>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</si>
  <si>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</si>
  <si>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</si>
  <si>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</si>
  <si>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</si>
  <si>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</si>
  <si>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</si>
  <si>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</si>
  <si>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</si>
  <si>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</si>
  <si>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</si>
  <si>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</si>
  <si>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</si>
  <si>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</si>
  <si>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</si>
  <si>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</si>
  <si>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</si>
  <si>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</si>
  <si>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</si>
  <si>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MP012</t>
  </si>
  <si>
    <t>313</t>
  </si>
  <si>
    <t>MP013</t>
  </si>
  <si>
    <t>314</t>
  </si>
  <si>
    <t>MP014</t>
  </si>
  <si>
    <t>315</t>
  </si>
  <si>
    <t>MP015</t>
  </si>
  <si>
    <t>316</t>
  </si>
  <si>
    <t>317</t>
  </si>
  <si>
    <t>318</t>
  </si>
  <si>
    <t>08.2.1-CPVA-R-908</t>
  </si>
  <si>
    <t>319</t>
  </si>
  <si>
    <t>320</t>
  </si>
  <si>
    <t>321</t>
  </si>
  <si>
    <t>322</t>
  </si>
  <si>
    <t>323</t>
  </si>
  <si>
    <t>324</t>
  </si>
  <si>
    <t>325</t>
  </si>
  <si>
    <t>326</t>
  </si>
  <si>
    <t>08.4.1-ESFA-V-416</t>
  </si>
  <si>
    <t>327</t>
  </si>
  <si>
    <t>08.4.1-ESFA-V-416-11-0001</t>
  </si>
  <si>
    <t>Kompleksinių paslaugų šeimai teikimas Kalvarijos savivaldybėje</t>
  </si>
  <si>
    <t>188751268, Kalvarijos savivaldybės administracija</t>
  </si>
  <si>
    <t>328</t>
  </si>
  <si>
    <t>329</t>
  </si>
  <si>
    <t>330</t>
  </si>
  <si>
    <t>331</t>
  </si>
  <si>
    <t>332</t>
  </si>
  <si>
    <t>333</t>
  </si>
  <si>
    <t>334</t>
  </si>
  <si>
    <t>08.4.1-ESFA-V-416-11-0002</t>
  </si>
  <si>
    <t>Kauno bendruomeniniai šeimos namai</t>
  </si>
  <si>
    <t>188764867, Kauno miesto savivaldybės administracija</t>
  </si>
  <si>
    <t>335</t>
  </si>
  <si>
    <t>336</t>
  </si>
  <si>
    <t>337</t>
  </si>
  <si>
    <t>338</t>
  </si>
  <si>
    <t>339</t>
  </si>
  <si>
    <t>340</t>
  </si>
  <si>
    <t>341</t>
  </si>
  <si>
    <t>342</t>
  </si>
  <si>
    <t>343</t>
  </si>
  <si>
    <t>Mažais žingsneliais - sveikos gyvensenos link</t>
  </si>
  <si>
    <t>344</t>
  </si>
  <si>
    <t>345</t>
  </si>
  <si>
    <t>301592593, Lazdijų rajono savivaldybės visuomenės sveikatos biuras</t>
  </si>
  <si>
    <t>346</t>
  </si>
  <si>
    <t>347</t>
  </si>
  <si>
    <t>303259363, Druskininkų savivaldybės visuomenės sveikatos biuras</t>
  </si>
  <si>
    <t>348</t>
  </si>
  <si>
    <t>349</t>
  </si>
  <si>
    <t>Sveikos gyvensenos skatinimas Alytaus rajono savivaldybėje</t>
  </si>
  <si>
    <t>301785539, Alytaus rajono savivaldybės visuomenės sveikatos biuras</t>
  </si>
  <si>
    <t>350</t>
  </si>
  <si>
    <t>351</t>
  </si>
  <si>
    <t>352</t>
  </si>
  <si>
    <t>353</t>
  </si>
  <si>
    <t>08.6.1-ESFA-V-911</t>
  </si>
  <si>
    <t>354</t>
  </si>
  <si>
    <t>08.6.1-ESFA-V-911-11-0001</t>
  </si>
  <si>
    <t>Į pagalbą jaunam verslui Švenčionių mieste</t>
  </si>
  <si>
    <t>300529750, VšĮ "Regiono plėtros projektai"</t>
  </si>
  <si>
    <t>355</t>
  </si>
  <si>
    <t>356</t>
  </si>
  <si>
    <t>08.6.1-ESFA-V-911-11-0002</t>
  </si>
  <si>
    <t>Senyvo amžiaus žmonių socialinių įgūdžių ugdymas pasitelkiant informacines technologijas</t>
  </si>
  <si>
    <t>300044836, Švenčionių rajono švietimo pagalbos tarnyba</t>
  </si>
  <si>
    <t>357</t>
  </si>
  <si>
    <t>358</t>
  </si>
  <si>
    <t>08.6.1-ESFA-V-911-11-0003</t>
  </si>
  <si>
    <t>Jauno verslo subjektų didinimas Švenčionių mieste</t>
  </si>
  <si>
    <t>359</t>
  </si>
  <si>
    <t>360</t>
  </si>
  <si>
    <t>08.6.1-ESFA-V-911-11-0004</t>
  </si>
  <si>
    <t>„Sportas - sveikata“</t>
  </si>
  <si>
    <t>178995676, Jėgos sporto šakų klubas "Grifas"</t>
  </si>
  <si>
    <t>361</t>
  </si>
  <si>
    <t>362</t>
  </si>
  <si>
    <t>08.6.1-ESFA-V-911-11-0005</t>
  </si>
  <si>
    <t>Jauno verslo plėtra Švenčionių mieste</t>
  </si>
  <si>
    <t>178866090, Uždaroji akcinė bendrovė "Darėjas"</t>
  </si>
  <si>
    <t>363</t>
  </si>
  <si>
    <t>364</t>
  </si>
  <si>
    <t>08.6.1-ESFA-V-911-11-0008</t>
  </si>
  <si>
    <t>,,GYVENU KITAIP“</t>
  </si>
  <si>
    <t>303212602, Švenčionių socialinių paslaugų centras</t>
  </si>
  <si>
    <t>365</t>
  </si>
  <si>
    <t>366</t>
  </si>
  <si>
    <t>08.6.1-ESFA-V-911-11-0009</t>
  </si>
  <si>
    <t>Jauno verslo subjektų stiprinimas Švenčionių mieste</t>
  </si>
  <si>
    <t>278860590, K. Savicko įmonė "Keseda"</t>
  </si>
  <si>
    <t>367</t>
  </si>
  <si>
    <t>368</t>
  </si>
  <si>
    <t>369</t>
  </si>
  <si>
    <t>370</t>
  </si>
  <si>
    <t>371</t>
  </si>
  <si>
    <t>372</t>
  </si>
  <si>
    <t>Alytaus lopšelio-darželio „Girinukas“ ugdymo aplinkos modernizavimas</t>
  </si>
  <si>
    <t>373</t>
  </si>
  <si>
    <t>374</t>
  </si>
  <si>
    <t>375</t>
  </si>
  <si>
    <t>376</t>
  </si>
  <si>
    <t>377</t>
  </si>
  <si>
    <t>378</t>
  </si>
  <si>
    <t>379</t>
  </si>
  <si>
    <t>380</t>
  </si>
  <si>
    <t>09.1.3-CPVA-R-705-11-0006</t>
  </si>
  <si>
    <t>Druskininkų sav. Viečiūnų progimnazijos ikimokyklinio ugdymo skyriaus "Linelis" ugdymo prieinamumo didinimas</t>
  </si>
  <si>
    <t>381</t>
  </si>
  <si>
    <t>382</t>
  </si>
  <si>
    <t>383</t>
  </si>
  <si>
    <t>09.1.3-CPVA-R-724-11-0001</t>
  </si>
  <si>
    <t>384</t>
  </si>
  <si>
    <t>385</t>
  </si>
  <si>
    <t>386</t>
  </si>
  <si>
    <t>387</t>
  </si>
  <si>
    <t>09.1.3-CPVA-R-724-11-0002</t>
  </si>
  <si>
    <t>388</t>
  </si>
  <si>
    <t>389</t>
  </si>
  <si>
    <t>390</t>
  </si>
  <si>
    <t>391</t>
  </si>
  <si>
    <t>392</t>
  </si>
  <si>
    <t>393</t>
  </si>
  <si>
    <t>394</t>
  </si>
  <si>
    <t>395</t>
  </si>
  <si>
    <t>396</t>
  </si>
  <si>
    <t>397</t>
  </si>
  <si>
    <t>398</t>
  </si>
  <si>
    <t>399</t>
  </si>
  <si>
    <t>09.1.3-CPVA-R-725</t>
  </si>
  <si>
    <t>400</t>
  </si>
  <si>
    <t>190613858, Viešoji įstaiga Lazdijų sporto centras</t>
  </si>
  <si>
    <t>401</t>
  </si>
  <si>
    <t>402</t>
  </si>
  <si>
    <t>403</t>
  </si>
  <si>
    <t>404</t>
  </si>
  <si>
    <t>405</t>
  </si>
  <si>
    <t>406</t>
  </si>
  <si>
    <t>407</t>
  </si>
  <si>
    <t>408</t>
  </si>
  <si>
    <t>409</t>
  </si>
  <si>
    <t>410</t>
  </si>
  <si>
    <t>411</t>
  </si>
  <si>
    <t>412</t>
  </si>
  <si>
    <t>413</t>
  </si>
  <si>
    <t>414</t>
  </si>
  <si>
    <t>Varėnos moksleivių kūrybos centro pastato J.Basanavičiaus g. 38, Varėnoje, modernizavimas</t>
  </si>
  <si>
    <t>415</t>
  </si>
  <si>
    <t>416</t>
  </si>
  <si>
    <t>417</t>
  </si>
  <si>
    <t>418</t>
  </si>
  <si>
    <t>Alytaus muzikos mokyklos pastato modernizavimo ir ugdymo aplinkos gerinimas</t>
  </si>
  <si>
    <t>419</t>
  </si>
  <si>
    <t>420</t>
  </si>
  <si>
    <t>421</t>
  </si>
  <si>
    <t>422</t>
  </si>
  <si>
    <t>423</t>
  </si>
  <si>
    <t>424</t>
  </si>
  <si>
    <t>425</t>
  </si>
  <si>
    <t>426</t>
  </si>
  <si>
    <t>427</t>
  </si>
  <si>
    <t>428</t>
  </si>
  <si>
    <t>429</t>
  </si>
  <si>
    <t>432</t>
  </si>
  <si>
    <t>433</t>
  </si>
  <si>
    <t>434</t>
  </si>
  <si>
    <t>435</t>
  </si>
  <si>
    <t>436</t>
  </si>
  <si>
    <t>439</t>
  </si>
  <si>
    <t>440</t>
  </si>
  <si>
    <t>441</t>
  </si>
  <si>
    <t>442</t>
  </si>
  <si>
    <t>443</t>
  </si>
  <si>
    <t>444</t>
  </si>
  <si>
    <t>-11-</t>
  </si>
  <si>
    <t>Bendra informacija</t>
  </si>
  <si>
    <t>Prioritetas</t>
  </si>
  <si>
    <t>Investicinis prioritetas </t>
  </si>
  <si>
    <t>Uždavinys</t>
  </si>
  <si>
    <t>Tarpinė institucija</t>
  </si>
  <si>
    <t>Įgyvendinančioji institucija</t>
  </si>
  <si>
    <t>Fondas</t>
  </si>
  <si>
    <t>FM(ĮI), kai deklaruojamos finansinių priemonių išlaidos, išimtos sumos</t>
  </si>
  <si>
    <t>TVI išimtos sumos metinėse sąskaitose</t>
  </si>
  <si>
    <t>Metinės sąskaitos EK</t>
  </si>
  <si>
    <t>Apmokėtos išlaidos, kurioms taikomi apribojimai</t>
  </si>
  <si>
    <t>Nedeklaruotos EK FM(ĮI) išimtos sumos</t>
  </si>
  <si>
    <t>Sąskaitų pateikimo EK data</t>
  </si>
  <si>
    <t>Pagal sutartį numatytos</t>
  </si>
  <si>
    <t>Ataskaitiniai metai</t>
  </si>
  <si>
    <t>Apmokėta kryžminio finansavimo suma</t>
  </si>
  <si>
    <t>Išmokėta suma ne programos teritorijoje, bet ES</t>
  </si>
  <si>
    <t>Išmokėta suma už ES ribų </t>
  </si>
  <si>
    <t>Apmokėta nepiniginio įnašo suma</t>
  </si>
  <si>
    <t>Apmokėta žemės įsigyjimo išlaidų suma</t>
  </si>
  <si>
    <t>gauti grynosios pajamos</t>
  </si>
  <si>
    <t>2</t>
  </si>
  <si>
    <t>3</t>
  </si>
  <si>
    <t>4</t>
  </si>
  <si>
    <t>04.5</t>
  </si>
  <si>
    <t>04.5.1</t>
  </si>
  <si>
    <t>SM</t>
  </si>
  <si>
    <t>CPVA (TID)</t>
  </si>
  <si>
    <t>ERPF</t>
  </si>
  <si>
    <t>05.1</t>
  </si>
  <si>
    <t>05.1.1</t>
  </si>
  <si>
    <t>AM</t>
  </si>
  <si>
    <t>APVA</t>
  </si>
  <si>
    <t>SaF</t>
  </si>
  <si>
    <t>05.2</t>
  </si>
  <si>
    <t>05.2.1</t>
  </si>
  <si>
    <t>05.3</t>
  </si>
  <si>
    <t>05.3.2</t>
  </si>
  <si>
    <t>05.4</t>
  </si>
  <si>
    <t>05.4.1</t>
  </si>
  <si>
    <t>ŪM</t>
  </si>
  <si>
    <t>LVPA</t>
  </si>
  <si>
    <t>KM</t>
  </si>
  <si>
    <t>CPVA</t>
  </si>
  <si>
    <t>05.5</t>
  </si>
  <si>
    <t>05.5.1</t>
  </si>
  <si>
    <t>06.2</t>
  </si>
  <si>
    <t>06.2.1</t>
  </si>
  <si>
    <t>07.1</t>
  </si>
  <si>
    <t>07.1.1</t>
  </si>
  <si>
    <t>VRM</t>
  </si>
  <si>
    <t>08.1</t>
  </si>
  <si>
    <t>08.1.1</t>
  </si>
  <si>
    <t>SADM</t>
  </si>
  <si>
    <t>08.1.2</t>
  </si>
  <si>
    <t>08.2</t>
  </si>
  <si>
    <t>08.2.1</t>
  </si>
  <si>
    <t>08.4</t>
  </si>
  <si>
    <t>08.4.1</t>
  </si>
  <si>
    <t>ESFA</t>
  </si>
  <si>
    <t>ESF</t>
  </si>
  <si>
    <t>08.4.2</t>
  </si>
  <si>
    <t>SAM</t>
  </si>
  <si>
    <t>08.6</t>
  </si>
  <si>
    <t>08.6.1</t>
  </si>
  <si>
    <t>08.6.1-ESFA-V-911-11-0010</t>
  </si>
  <si>
    <t>"Su mumis pasaulis gražesnis"</t>
  </si>
  <si>
    <t>09.1</t>
  </si>
  <si>
    <t>09.1.3</t>
  </si>
  <si>
    <t>ŠMM</t>
  </si>
  <si>
    <t>10.1</t>
  </si>
  <si>
    <t>10.1.3</t>
  </si>
  <si>
    <t>445</t>
  </si>
  <si>
    <t>446</t>
  </si>
  <si>
    <t>447</t>
  </si>
  <si>
    <t>ESF bendrieji produkto rodikliai</t>
  </si>
  <si>
    <t>Finansavimo šaltinio kodas</t>
  </si>
  <si>
    <t>Finansavimo forma</t>
  </si>
  <si>
    <t>Projekto vykdytojo kontaktinė informacija</t>
  </si>
  <si>
    <t>Vertinimai</t>
  </si>
  <si>
    <t>Projekto išlaidos pagal biudžetą</t>
  </si>
  <si>
    <t>Projekto išlaidų finansavimo šaltiniai</t>
  </si>
  <si>
    <t>Papildomi reikalavimai po projekto finansavimo pabaigos </t>
  </si>
  <si>
    <t>Papildomos  sąlygos, taikomos projekto įgyvendinimo metu</t>
  </si>
  <si>
    <t>Tinkamumo vertinimas</t>
  </si>
  <si>
    <t>Naudos ir kokybės vertinimas</t>
  </si>
  <si>
    <t>Sprendimas dėl finansavimo</t>
  </si>
  <si>
    <t>Nustatyta vertinimo metu</t>
  </si>
  <si>
    <t>Projektui skirtos finansavimo lėšos</t>
  </si>
  <si>
    <t xml:space="preserve">Teikiama </t>
  </si>
  <si>
    <t xml:space="preserve">Teikiama de </t>
  </si>
  <si>
    <t xml:space="preserve">Projekto veiklose </t>
  </si>
  <si>
    <t xml:space="preserve">Patikra </t>
  </si>
  <si>
    <t xml:space="preserve">Viešos - privačios </t>
  </si>
  <si>
    <t xml:space="preserve">ESF tarptautinis </t>
  </si>
  <si>
    <t xml:space="preserve">Projektas prisideda prie Baltijos jūros </t>
  </si>
  <si>
    <t xml:space="preserve">Taikomi </t>
  </si>
  <si>
    <t xml:space="preserve">Didelės </t>
  </si>
  <si>
    <t xml:space="preserve">Strateginio plano </t>
  </si>
  <si>
    <t xml:space="preserve">3. Naudojantis finansinėmis </t>
  </si>
  <si>
    <t xml:space="preserve">4. Naudojantis </t>
  </si>
  <si>
    <t xml:space="preserve">5. Naudojantis </t>
  </si>
  <si>
    <t xml:space="preserve">6. Naudojantis finansinėmis priemonėmis teikiama </t>
  </si>
  <si>
    <t xml:space="preserve">Teritorinės paramos </t>
  </si>
  <si>
    <t xml:space="preserve">Vietovės </t>
  </si>
  <si>
    <t xml:space="preserve">Projekto vykdytojo </t>
  </si>
  <si>
    <t xml:space="preserve">Užsienio </t>
  </si>
  <si>
    <t xml:space="preserve">Apskritis, </t>
  </si>
  <si>
    <t xml:space="preserve">Savivaldybė, </t>
  </si>
  <si>
    <t xml:space="preserve">Projekto įgyvendinimo </t>
  </si>
  <si>
    <t>Projektas ar jo dalis įgyvendinamas</t>
  </si>
  <si>
    <t xml:space="preserve">Projektas ar jo dalis </t>
  </si>
  <si>
    <t xml:space="preserve">Projekto finansavimo lėšų suma, skiriama </t>
  </si>
  <si>
    <t xml:space="preserve">Projekto veiklų </t>
  </si>
  <si>
    <t xml:space="preserve">Ataskaitos po projekto </t>
  </si>
  <si>
    <t xml:space="preserve">Su projekto įgyvendinimu </t>
  </si>
  <si>
    <t xml:space="preserve">Didžiausias </t>
  </si>
  <si>
    <t xml:space="preserve">Galutinio </t>
  </si>
  <si>
    <t xml:space="preserve">Fiksuotoji projekto išlaidų </t>
  </si>
  <si>
    <t>Fiksuotieji projekto išlaidų</t>
  </si>
  <si>
    <t>Fiksuotosios projekto išlaidų</t>
  </si>
  <si>
    <t>Informacija apie</t>
  </si>
  <si>
    <t xml:space="preserve">Projekto išlaidų pagal sutartį </t>
  </si>
  <si>
    <t xml:space="preserve">Projekto biudžete numatyta </t>
  </si>
  <si>
    <t>Didžiausia galima projekto tinkamų finansuoti išlaidų suma</t>
  </si>
  <si>
    <t>Tinkamos deklaruoti EK</t>
  </si>
  <si>
    <t>Iš jų </t>
  </si>
  <si>
    <t>Iš jų</t>
  </si>
  <si>
    <t xml:space="preserve"> išlaidos </t>
  </si>
  <si>
    <t>Investicinis prioritetas</t>
  </si>
  <si>
    <t>Priemonės pavadinimas</t>
  </si>
  <si>
    <t>Paraiškos pateikimo ĮI data</t>
  </si>
  <si>
    <t>Sutarties įsigaliojimo data</t>
  </si>
  <si>
    <t>Projekto aprašymas</t>
  </si>
  <si>
    <t>Trišalė sutartis (požymis)</t>
  </si>
  <si>
    <t>Projekto trukmė (mėn.)</t>
  </si>
  <si>
    <t>valstybės pagalba (požymis)</t>
  </si>
  <si>
    <t>minimis pagalba (požymis)</t>
  </si>
  <si>
    <t>dalyvauja projekto dalyviai (požymis)</t>
  </si>
  <si>
    <t>neatliekama (požymis)</t>
  </si>
  <si>
    <t>Projektas (ITI) (požymis)</t>
  </si>
  <si>
    <t>partnerystės programa (požymis)</t>
  </si>
  <si>
    <t>projektas (požymis)</t>
  </si>
  <si>
    <t>regiono strategijos įgyvendinimo (požymis)</t>
  </si>
  <si>
    <t>Projektas, kuris visiškai arba iš dalies įgyvendinamas socialinių partnerių ar NVO (požymis)</t>
  </si>
  <si>
    <t>Projektas, skirtas tvariam moterų dalyvavimui ir pažangai darbo rinkoje (požymis)</t>
  </si>
  <si>
    <t>apdovanojimai (požymis)</t>
  </si>
  <si>
    <t>kryžminis finansavimas  (TAIP/NE)</t>
  </si>
  <si>
    <t>apimties projektas (požymis)</t>
  </si>
  <si>
    <t>CCI kodas</t>
  </si>
  <si>
    <t>programos priemonės kodas</t>
  </si>
  <si>
    <t>Funkcinė klasifikacija</t>
  </si>
  <si>
    <t>Ekonominė klasifikacija</t>
  </si>
  <si>
    <t xml:space="preserve">
ES</t>
  </si>
  <si>
    <t xml:space="preserve">
VB</t>
  </si>
  <si>
    <t>Prioriteinių sričių grupė</t>
  </si>
  <si>
    <t>Prioritetinės srities kodas</t>
  </si>
  <si>
    <t xml:space="preserve">
1. Negrąžinamoji subsidija</t>
  </si>
  <si>
    <t xml:space="preserve">
2. Grąžinamoji subsidija</t>
  </si>
  <si>
    <t>priemonėmis teikiama parama: rizikos ir nuosavas kapitalas arba lygiavertė priemonė</t>
  </si>
  <si>
    <t>finansinėmis priemonėmis teikiama parama: paskola arba lygiavertė priemonė</t>
  </si>
  <si>
    <t>finansinėmis priemonėmis teikiama parama: garantija arba lygiavertė priemonė</t>
  </si>
  <si>
    <t>parama: palūkanų subsidija, garantinio mokesčio subsidija, techninė parama arba lygiavertė priemonė</t>
  </si>
  <si>
    <t>Teritorijos tipo kodas</t>
  </si>
  <si>
    <t>paskirstymo priemonės kodas</t>
  </si>
  <si>
    <t>Teminio tikslo kodas</t>
  </si>
  <si>
    <t>ESF antrinės temos kodas</t>
  </si>
  <si>
    <t>Ekonominės veiklos kodas</t>
  </si>
  <si>
    <t>(apskrities) kodas</t>
  </si>
  <si>
    <t>Projekto vykdytojo pavadinimas</t>
  </si>
  <si>
    <t>juridinio asmens kodas</t>
  </si>
  <si>
    <t>subjektas (požymis)</t>
  </si>
  <si>
    <t>Teisinė forma</t>
  </si>
  <si>
    <t>Juridinio asmens tipas</t>
  </si>
  <si>
    <t xml:space="preserve">
Adresas</t>
  </si>
  <si>
    <t xml:space="preserve">
Telefono numeris</t>
  </si>
  <si>
    <t xml:space="preserve">
El. pašto adresas</t>
  </si>
  <si>
    <t>partnerių skaičius</t>
  </si>
  <si>
    <t>kuriai tenka didžioji dalis lėšų</t>
  </si>
  <si>
    <t>teritorija pagal Eurostat skirstymą</t>
  </si>
  <si>
    <t xml:space="preserve"> kitoje ES valstybėje narėje (požymis)</t>
  </si>
  <si>
    <t>įgyvendinamas už ES teritorijos ribų (požymis)</t>
  </si>
  <si>
    <t>veikloms, įgyvendinamoms ne programos teritorijoje, eurais</t>
  </si>
  <si>
    <t>įgyvendinimo pradžios data</t>
  </si>
  <si>
    <t>įgyvendinimo pabaigos data</t>
  </si>
  <si>
    <t>finansavimo pabaigos teikimas (požymis)</t>
  </si>
  <si>
    <t>susijusių dokumentų saugojimas</t>
  </si>
  <si>
    <t>Kredito įstaigos pavadinimas</t>
  </si>
  <si>
    <t>Projekto sąskaita</t>
  </si>
  <si>
    <t>galimas avanso dydis (proc.)</t>
  </si>
  <si>
    <t>galimas avanso dydis (suma)</t>
  </si>
  <si>
    <t>mokėjimo prašymo pateikimo data</t>
  </si>
  <si>
    <t>finansavimo pabaiga</t>
  </si>
  <si>
    <t>pateikimo periodiškumas (dienomis)</t>
  </si>
  <si>
    <t>norma (taikoma/netaikoma)</t>
  </si>
  <si>
    <t xml:space="preserve"> vieneto įkainiai (taikoma/netaikoma)</t>
  </si>
  <si>
    <t xml:space="preserve"> sumos (taikoma/netaikoma)</t>
  </si>
  <si>
    <t xml:space="preserve"> projekto generuojamas pajamas</t>
  </si>
  <si>
    <t>suma (iš viso) 100=101+102+103+104+105+106+107</t>
  </si>
  <si>
    <t>1 biudžeto kategorija</t>
  </si>
  <si>
    <t>2 biudžeto kategorija</t>
  </si>
  <si>
    <t>3 biudžeto kategorija</t>
  </si>
  <si>
    <t>4 biudžeto kategorija</t>
  </si>
  <si>
    <t>5 biudžeto kategorija</t>
  </si>
  <si>
    <t>6 biudžeto kategorija</t>
  </si>
  <si>
    <t>7 biudžeto kategorija</t>
  </si>
  <si>
    <t>viešųjų lėšų suma (ES+VB+viešasis įnašas) 108=109+113</t>
  </si>
  <si>
    <t xml:space="preserve">
Skiriamas finansavimas pagal sutartį 109=110+111</t>
  </si>
  <si>
    <t xml:space="preserve">
Skirto finansavimo ES fondų lėšos</t>
  </si>
  <si>
    <t xml:space="preserve">
Skirto finansavimo LR valstybės biudžeto lėšos</t>
  </si>
  <si>
    <t xml:space="preserve">
Pareiškėjo ir partnerio (-ių) nuosavos lėšos 112 =113+117</t>
  </si>
  <si>
    <t xml:space="preserve">
Viešosios lėšos 113=114+115+116</t>
  </si>
  <si>
    <t xml:space="preserve">
LR valstybės biudžeto lėšos</t>
  </si>
  <si>
    <t xml:space="preserve">
Savivaldybės biudžeto lėšos</t>
  </si>
  <si>
    <t xml:space="preserve">
Kiti viešųjų lėšų šaltiniai</t>
  </si>
  <si>
    <t xml:space="preserve">
Privačios lėšos 117=118+119</t>
  </si>
  <si>
    <t xml:space="preserve">
Pareiškėjo ir partnerio (-ių) lėšos</t>
  </si>
  <si>
    <t xml:space="preserve">
Kiti lėšų šaltiniai</t>
  </si>
  <si>
    <t xml:space="preserve">
Iš jų apskaičiuotos numatomos gauti grynosios pajamos</t>
  </si>
  <si>
    <t>PVM tinkamumas finansuoti</t>
  </si>
  <si>
    <t>Didžiausia galima kompensuoti suma, eurais</t>
  </si>
  <si>
    <t xml:space="preserve">
Papildomi reikalavimai (Taip / Ne)</t>
  </si>
  <si>
    <t xml:space="preserve">
Įvykdymo terminas </t>
  </si>
  <si>
    <t xml:space="preserve">
Papildomos sąlygos (Taip / Ne)</t>
  </si>
  <si>
    <t>Bendra projekto vertė</t>
  </si>
  <si>
    <t>Iš viso (83=84+86)</t>
  </si>
  <si>
    <t>Prašomos </t>
  </si>
  <si>
    <t>% (85= 84/83*100,00)</t>
  </si>
  <si>
    <t>Pareiškėjo </t>
  </si>
  <si>
    <t>% (87=  100,00-85)</t>
  </si>
  <si>
    <t>% (89= 88/83*100,00)</t>
  </si>
  <si>
    <t>Sprendimas  TAIP/ NE</t>
  </si>
  <si>
    <t>Vertinimo informacijos data</t>
  </si>
  <si>
    <t>Vertinimo metu suteiktų balų skaičius </t>
  </si>
  <si>
    <t>Iš viso - iki (95=96+97)</t>
  </si>
  <si>
    <t>ES fondų</t>
  </si>
  <si>
    <t>Valstybės biudžeto</t>
  </si>
  <si>
    <t>01.1</t>
  </si>
  <si>
    <t>01.1.1</t>
  </si>
  <si>
    <t>01.1.1-CPVA-V-701</t>
  </si>
  <si>
    <t>Mokslinių tyrimų, eksperimentinės plėtros ir inovacijų infrastruktūros plėtra ir integracija į europines infrastruktūras</t>
  </si>
  <si>
    <t>01.1.1-CPVA-V-701-11-0001</t>
  </si>
  <si>
    <t>Nacionalinės ir tarptautinės prieigos didelio intensyvumo ir plataus bangų ruožo ultratrumpųjų lazerinių impulsų mokslinių tyrimų infrastruktūra</t>
  </si>
  <si>
    <t>Projektu siekiama sudaryti sąlygas kurti tarptautiniu mastu aukštos pridėtinės vertės mokslo rezultatus ir teikti aukšto mokslinio lygio paslaugas tiriant ultratrumpųjų šviesos impulsų generavimą plačiame bangų ruože bei jų taikymą spinduliuotės ir medžiagos sąveikos, netiesinės optikos ir parametrinių reiškinių, ultrasparčiųjų procesų tyrimuose bei lazerinėje nano- ir mikrotechnologijoje. Nacionalinės ir tarptautinės prieigos didelio intensyvumo ir plataus bangų ruožo ultratrumpųjų lazerinių impulsų mokslinių tyrimų infrastruktūra apjungia VU LTC ir FTMC LTS padalinius, kuriuose sėkmingai plėtojamos tiek fundamentinės, tiek taikomosios ultratrumpųjų impulsų lazerių kūrimo ir taikymo mokslinės tematikos. Pasaulinės lazerinių technologijų vystymosi tendencijos diktuoja naujus poreikius lazerinių technologijų mokslui, tačiau dalies pažangių lazerinių technologijų taikymas dėl jų sudėtingumo ir kainos yra galimas tik didelėse nacionalinėse ir tarptautinėse laboratorijose. Lietuvos lazerių sektoriaus atstovams svarbi ELI-DC, kuri apjungia tris baigiamas pastatyti ir įrengti labai didelės vertės specializuotas ELI MTI, esančias Čekijoje, Vengrijoje ir Rumunijoje. ELI tikslas - nauji fundamentalūs tyrimai ekstremalaus intensyvumo šviesai sąveikaujant su medžiaga, aukštų temperatūrų plazmos fizika, elektronų ir jonų greitinimas šviesos laukais, atosekundinių impulsų generavimas ir kiti didelio intensyvumo šviesos taikymai. Dalyvavimas ELI yra itin svarbus Lietuvos lazerių sektoriui, suteiksiantis galimybę įsilieti į su priešakinėmis žiniomis ir technologijomis dirbančią tarptautinę mokslininkų bendruomenę, įtakoti kuriamų centrų ir juose taikomų technologijų plėtrą Lietuvos mokslininkams naudinga kryptimi. Projekto įgyvendinimo metu bus įsigyta įranga, skirta VU LTC bei FTMC LTS mokslinėms laboratorijoms. Taip pat atlikti FTMC laboratorijos patalpų modernizavimo darbai. Be kita ko, projekto įgyvendinimo metu bus siekiama įsijungti į tarptautinę ELI infrastruktūrą.</t>
  </si>
  <si>
    <t>Ne</t>
  </si>
  <si>
    <t>Atliekama</t>
  </si>
  <si>
    <t>120010205010000</t>
  </si>
  <si>
    <t>09.08.01.02</t>
  </si>
  <si>
    <t>2. 9. 2. 2. 1.02</t>
  </si>
  <si>
    <t>1. 3.2.7. 1</t>
  </si>
  <si>
    <t>1. 2.2.7. 1</t>
  </si>
  <si>
    <t>8 Vidaus potencialo plėtojimas – Moksliniai tyrimai, technologinė plėtra ir inovacijos</t>
  </si>
  <si>
    <t>058 Mokslinių tyrimų ir inovacijų infrastruktūra (vieša)</t>
  </si>
  <si>
    <t>07 Netaikoma</t>
  </si>
  <si>
    <t>01 Mokslinių tyrimų, technologinės plėtros ir inovacijų skatinimas</t>
  </si>
  <si>
    <t>19 Švietimas</t>
  </si>
  <si>
    <t>LT00A Vilniaus apskritis</t>
  </si>
  <si>
    <t>Vilniaus universitetas</t>
  </si>
  <si>
    <t>211950810</t>
  </si>
  <si>
    <t>Viešoji įstaiga</t>
  </si>
  <si>
    <t>Viešasis juridinis asmuo</t>
  </si>
  <si>
    <t>Universiteto 3, LT-10105, Vilnius</t>
  </si>
  <si>
    <t>(8 5) 268 7000</t>
  </si>
  <si>
    <t>projektai@cr.vu.lt</t>
  </si>
  <si>
    <t>Vilniaus apskritis</t>
  </si>
  <si>
    <t>Vilniaus miesto</t>
  </si>
  <si>
    <t>Teikiama</t>
  </si>
  <si>
    <t>Swedbank</t>
  </si>
  <si>
    <t>LT987300010155033974</t>
  </si>
  <si>
    <t>Taikoma</t>
  </si>
  <si>
    <t>Netaikoma</t>
  </si>
  <si>
    <t>2.2. Įgyvendinant projektą gaunama pajamų ir jos yra įrtintos iš anksto</t>
  </si>
  <si>
    <t>Taip</t>
  </si>
  <si>
    <t>mišrus PVM, kurį galima kompensuoti iš valstybės biudžeto finansų ministro nustatyta tvarka</t>
  </si>
  <si>
    <t>2026-12-31</t>
  </si>
  <si>
    <t>Projektu siekiama pagerinti dviratininkų ir pėsčiųjų susisiekimo sąlygas Alytaus mieste, padidinti gyventojų mobilumą ir prisidėti prie aplinkos taršos mažinimo, skatinti darnų judumą ir plėtoti aplinkai draugiško transporto patrauklumą. Projekto įgyvendinimo metu planuojama Pramonės gatvėje įrengti 0.75 km ilgio ir 3 m pločio dviračių, pėsčiųjų taką su reikalinga infrastruktūra, kuris bus numatomo įrengti dviračių, pėsčiųjų tako tinklo Alytuje dalis. Dviračių susisiekimo tinklas planuojamas ir tiesiamas vadovaujantis funkcionalumo, saugaus eismo ir ekologiškumo principais, kaip vientisa, savarankiška, jungianti gyvenamąsias, paslaugų ir darbo vietas, susisiekimo sistema.</t>
  </si>
  <si>
    <t>010090101010000</t>
  </si>
  <si>
    <t>04.05.01.02</t>
  </si>
  <si>
    <t>2. 9. 2. 2. 1.01</t>
  </si>
  <si>
    <t>5 Pagrindinių paslaugų teikimo infrastruktūra ir susijusios investicijos – Darnusis transportas</t>
  </si>
  <si>
    <t>043 Netaršaus miesto transporto infrastruktūra ir skatinimas (įskaitant įrangą ir transporto priemones</t>
  </si>
  <si>
    <t>01 Didmiesčio gyvenamoji vietovė</t>
  </si>
  <si>
    <t>03 Integruotosios teritorinės investicijos: kita</t>
  </si>
  <si>
    <t>04 Perėjimo prie mažai anglies dioksido į aplinką išskiriančių technologijų ekonomikos visuose sektoriuose rėmimas</t>
  </si>
  <si>
    <t>08 Statyba</t>
  </si>
  <si>
    <t>LT001 Alytaus apskritis</t>
  </si>
  <si>
    <t>188706935</t>
  </si>
  <si>
    <t>Biudžetinė įstaiga</t>
  </si>
  <si>
    <t>Rotušės a. 4, 62504, Alytus</t>
  </si>
  <si>
    <t>8 315 55 111</t>
  </si>
  <si>
    <t>info@alytus.lt</t>
  </si>
  <si>
    <t>0</t>
  </si>
  <si>
    <t>Alytaus apskritis</t>
  </si>
  <si>
    <t>Alytaus miesto</t>
  </si>
  <si>
    <t>AB Šiaulių bankas</t>
  </si>
  <si>
    <t>LT517181200002130494</t>
  </si>
  <si>
    <t>2.1. Įgyvendinant projektą pajamų negaunama</t>
  </si>
  <si>
    <t>tinkamos finansuoti išlaidos</t>
  </si>
  <si>
    <t>Projektu „Dviračių ir pėsčiųjų takų plėtra Lazdijų miesto Turistų gatvėje iki sodų bendrijos „Baltasis“ siekiama įrengti dviračių ir pėsčiųjų takus. Dviračių take turi būti užtikrinamas saugus eismas, vengiama sąlyčio su intensyvaus automobilių eismo keliais ir gatvėmis, užtikrinama, jog dviračių takas tampa neatsiejama kraštovaizdžio dalimi. Įrengiant taką numatoma, jog infrastruktūros parametrai atitiks minimalius pėstiesiems ir dviratininkams reikalingus gabaritus. Tiesiamas pėsčiųjų ir dviračių takas pagal paskirtį priskiriamas susisiekimo takams, užtikrinami šie reikalavimai: įrengiama 1158 metrų pėsčiųjų ir dviračių takų šalia Turistų gatvės.  Dviračių takas nuo važiuojamosios dalies atskiriamas atitvaru, įrengiami bordiūrai, užtikrinama, kad į pėsčiųjų ir dviračio taką neišsikiša objektai, galintys tapti kliūtimi dviratininkams. Įrengiamas apie dalies tako apšvietimas.</t>
  </si>
  <si>
    <t>188714992</t>
  </si>
  <si>
    <t>Vilniaus 1, 67106, Lazdijai</t>
  </si>
  <si>
    <t>8 318 66 108</t>
  </si>
  <si>
    <t>info@lazdijai.lt</t>
  </si>
  <si>
    <t>Lazdijų raj.</t>
  </si>
  <si>
    <t>Luminor Bank AB</t>
  </si>
  <si>
    <t>LT484010042200171657</t>
  </si>
  <si>
    <t>Didėjantis gyventojų aktyvumas ir sveiko gyvenimo būdo propagavimas augina ir tam būtinos infrastruktūros poreikį. Varėna yra pakankamai nedidelis miestas, kuriame gyventojai daugelį vietų gali pasiekti pėsčiomis ar dviračiu. Varėnos rajone taip pat gausu turizmui patrauklių objektų, ežerai, etnografiniai kaimai, Čepkelių rezervatas, lankytinos vietos. Šios priežastys labiausiai lemia pėsčiųjų ir dviračių takų plėtrą mieste ir rajone. Dviračiai galėtų tapti puikia alternatyva automobiliams, tačiau dviračių takų nepakanka, o ir esami yra labai nesaugūs eismo požiūriu. Varėnos miesto ir Senosios Varėnos kaimo dviračių infrastruktūros plėtros specialiajame plane yra numatyta pakankamai didelė miesto pėsčiųjų ir dviračių takų plėtra. Projekto metu numatoma įrengti dviračių ir pėsčiųjų taką Varėnos miesto J. Basanavičiaus gatvės atkarpoje nuo Perlojos g. iki Trumposios g., bei dviračių taką Varėnos miesto Žiedo gatvėje.</t>
  </si>
  <si>
    <t>188773873</t>
  </si>
  <si>
    <t>Vytauto 12, 65184, Varėna</t>
  </si>
  <si>
    <t>(8 310)  32 005</t>
  </si>
  <si>
    <t>direktorius@varena.lt</t>
  </si>
  <si>
    <t>Varėnos raj.</t>
  </si>
  <si>
    <t>AB "Šiaulių bankas"</t>
  </si>
  <si>
    <t>LT207181200002130664</t>
  </si>
  <si>
    <t>Alytaus rajono savivaldybės administracija siekia įgyvendinti projektą „Pėsčiųjų ir dviračių takų plėtra Simno seniūnijoje“. Projekto tikslas – išplėtotas ir užtikrintas saugus dviratininkų ir pėsčiųjų susisiekimas Simno mieste.
Projekto įgyvendinimo vieta numatyta atsižvelgiant į šiuo metu esančias pavojingiausias vietas Alytaus rajono savivaldybėje, taip pat siekiant pagerinti dviratininkų ir pėsčiųjų susisiekimo sąlygas bei sudaryti sąlygas aplinkos taršos mažėjimui. Įgyvendinant projektą planuojama įrengti 804 m ilgio pėsčiųjų ir dviračių taką, einantį šalia gyvenamųjų namų kvartalo nuo Melioratorių gatvės. Įrengtas takas tiesiogiai prisidės prie projekto tikslo siekimo:  pagerės susisiekimas Simno mieste, padidės gyventojų užimtumas bei sumažės socialinė atskirtis – gyventojai galės nevaržomai ir saugiai judėti dviračių ir pėsčiųjų taku, atitinkančiu reikalavimus. 
Projekto įgyvendinimas turės įtakos pagrindinėms tikslinėms grupėms – Alytaus rajono Simno miesto bei visos Simno seniūnijos gyventojams.</t>
  </si>
  <si>
    <t>188718528</t>
  </si>
  <si>
    <t>Pulko 21, 62135, Alytus</t>
  </si>
  <si>
    <t>(8 315) 55 530</t>
  </si>
  <si>
    <t>info@arsa.lt</t>
  </si>
  <si>
    <t>Alytaus raj.</t>
  </si>
  <si>
    <t>„PAVIRŠINIŲ NUOTEKŲ SISTEMŲ TVARKYMAS“</t>
  </si>
  <si>
    <t>UAB „Dzūkijos vandenys“ planuoja įgyvendinti investicinį projektą „Paviršinių nuotekų sistemų tvarkymas Alytaus mieste“.
Projekto tikslas – sumažinti užtvindymo paviršinėmis nuotekomis riziką ir jos neigiamą poveikį aplinkai bei ekonomikai Alytaus mieste. Numatomas įgyvendinti projektas bus skirtas paviršinių nuotekų valymo įrenginių statybai ir paviršinių nuotekų tinklų rekonstrukcijai. Tai leis ženkliai pagerinti įmonės vykdomą paviršinių nuotekų tvarkymo veiklą. Į projekto apimtį įtrauktos veiklos, kurios nebuvo finansuotos iš kitų šaltinių, įgyvendinant kitus projektus ir kurios tiesiogiai prisidės prie projekto uždavinių įgyvendinimo. Veiklos, nesusijusios su suformuotais projekto uždaviniais, į projekto apimtį neįeina. Projekto įgyvendinimo vieta – Alytaus miestas. Projekto tikslui pasiekti suformuotas konkretus uždavinys – atnaujinti ir išplėsti paviršinių nuotekų tvarkymo infrastruktūrą Alytaus mieste.</t>
  </si>
  <si>
    <t>010310401030000</t>
  </si>
  <si>
    <t>05.02.01.01</t>
  </si>
  <si>
    <t>2. 9. 2. 2. 1.03</t>
  </si>
  <si>
    <t>3 Pagrindinių paslaugų teikimo infrastruktūra ir susijusios investicijos – Aplinkosaugos infrastruktūra</t>
  </si>
  <si>
    <t>022 Nuotekų tvarkymas</t>
  </si>
  <si>
    <t>05 Prisitaikymo prie klimato kaitos, rizikos prevencijos ir administravimo skatinimas</t>
  </si>
  <si>
    <t>11 Vandens tiekimas, nuotekų ir atliekų tvarkymas ir valymas</t>
  </si>
  <si>
    <t>Uždaroji akcinė bendrovė "Dzūkijos vandenys"</t>
  </si>
  <si>
    <t>149566841</t>
  </si>
  <si>
    <t>Uždaroji akcinė bendrovė</t>
  </si>
  <si>
    <t>Pulko 75, 62135, Alytus</t>
  </si>
  <si>
    <t>8-315-73470</t>
  </si>
  <si>
    <t>dzukvand@vandenys.lt</t>
  </si>
  <si>
    <t>SWEDBANK</t>
  </si>
  <si>
    <t>LT357300010134991901</t>
  </si>
  <si>
    <t>netinkamos finansuoti išlaidos</t>
  </si>
  <si>
    <t>„KOMUNALINIŲ ATLIEKŲ TVARKYMO INFRASTRUKTŪROS PLĖTRA“</t>
  </si>
  <si>
    <t>Esamos konteinerių stovėjimo vietos Alytaus regiono savivaldybėse neatitinka Kokybės reikalavimuose konteinerinėms aikštelėms nustatytų reikalavimų, trūksta konteinerių pagal atliekų rūšis.
VATP nustatytas reikalavimas iki 2019 m. organizuoti atskirą maisto atliekų surinkimą, o Alytaus regiono plėtros plane, Alytaus atliekų tvarkymo regiono, minėtų savivaldybių atliekų tvarkymo planuose 2014-2020 m. – iki 2017 m. pab., tačiau šių atliekų surinkimas dabar neorganizuotas nei iš daugiabučių namų, nei iš individualių valdų. Nesilaikoma reikalavimo atskirai rinkti tekstilės atliekas.
Pagal patvirtintą didelių gabaritų atliekų surinkimo (toliau – didelių gabaritų) aikštelių schemą Alytaus regione trūksta 2 didelių gabaritų aikštelių, o esama Druskininkuose jau 2015 m. viršijo planinius pajėgumus.
Projektu siekiama Alytaus regiono savivaldybėse išplėtoti komunalinių atliekų rūšiuojamojo atliekų surinkimo infrastruktūrą, atsižvelgiant į daugiabučių, individualių valdų gyventojų ir ūkio subjektų (projekto tikslinės grupės) poreikius. 
Planuojamos įgyvendinti veiklos:
• konteinerinių aikštelių įrengimas ir konteinerių įsigijimas;
• didelių gabaritų atliekų surinkimo naujų aikštelių įrengimas (Lazdijų r. ir Varėnos r.) ir atnaujinimas (Druskininkuose);
• biologinių atliekų konteinerių individualioms valdoms plėtra.
Projektu bus: 
1) įrengtos 308 konteinerinės aikštelės (84 antžeminės, 224 pusiau požeminės) su rūšiuojamajam atliekų surinkimui skirtais konteineriais: 134 aikštelės Alytaus mieste, 42 - Alytaus r., 78 - Druskininkuose,  23 - Lazdijų r., 31 - Varėnos r.;
2) įrengtos 2 didelių gabaritų aikštelės (Lazdijų ir Varėnos r.) ir praplėsta esama Druskininkų aikštelė;
3) įsigyti 4289 atskiro maisto atliekų surinkimo prie individualių valdų konteineriai.
1 konteinerinėje aikštelėje standartinis konteinerių paketas - mišrių, stiklo, popieriaus ir kartono, plastiko bei maisto atliekų (arba žaliųjų, jei prie kapinių) konteineriai. 1 tekstilės konteineris/ 10-čiai aikštelių.</t>
  </si>
  <si>
    <t>010310401040000</t>
  </si>
  <si>
    <t>05.01.01.01</t>
  </si>
  <si>
    <t>017 Buitinių atliekų tvarkymas (įskaitant atliekų mažinimo, rūšiavimo ir perdirbimo priemones)</t>
  </si>
  <si>
    <t>06 Aplinkos išsaugojimas bei apsauga ir išteklių  veiksmingumo skatinimas</t>
  </si>
  <si>
    <t>UAB Alytaus regiono atliekų tvarkymo centras</t>
  </si>
  <si>
    <t>250135860</t>
  </si>
  <si>
    <t>Privatus juridinis asmuo</t>
  </si>
  <si>
    <t>Vilniaus 31, LT-62112, Alytus</t>
  </si>
  <si>
    <t>+370  315 72 843</t>
  </si>
  <si>
    <t>info@alytausratc.lt</t>
  </si>
  <si>
    <t>Swedbank, AB</t>
  </si>
  <si>
    <t>LT187300010156412620</t>
  </si>
  <si>
    <t>„GERIAMOJO VANDENS TIEKIMO IR NUOTEKŲ TVARKYMO SISTEMŲ RENOVAVIMAS IR PLĖTRA, ĮMONIŲ VALDYMO TOBULINIMAS“</t>
  </si>
  <si>
    <t>010310401020000</t>
  </si>
  <si>
    <t>03 Kaimo gyvenamoji vietovė</t>
  </si>
  <si>
    <t>Uždaroji akcinė bendrovė "Varėnos vandenys"</t>
  </si>
  <si>
    <t>184626819</t>
  </si>
  <si>
    <t>Žalioji g. 26, 65210, Varėna</t>
  </si>
  <si>
    <t>8 310 31663</t>
  </si>
  <si>
    <t>info@varenosvandenys.lt</t>
  </si>
  <si>
    <t>AB "Swedbank" bankas</t>
  </si>
  <si>
    <t>LT617300010129197817</t>
  </si>
  <si>
    <t>UAB „Dzūkijos vandenys“ planuoja įgyvendinti investicinį projektą „Geriamojo vandens ir nuotekų tvarkymo sistemų renovavimas Alytaus mieste“.
Projekto tikslas ir uždaviniai: didinti vandens tiekimo ir nuotekų tvarkymo paslaugų kokybę ir sistemos efektyvumą (atitinka Veiksmų programos 5 prioriteto „Aplinkosauga, gamtos išteklių darnus naudojimas ir prisitaikymas prie klimato kaitos“ 5.3.2 konkretų uždavinį).
Projektu siekiama padidinti vandens tiekimo ir nuotekų tvarkymo sistemos efektyvumą, Alytaus miesto gyventojams užtikrinti kokybiškų geriamojo vandens tiekimo ir nuotekų tvarkymo paslaugų teikimą.
Projektą sudarys dvi veiklos:
• Alytaus m. vandentiekio ir nuotekų tinklų rekonstrukcija; 
• Antros vandentiekio stoties, Putinų g. 82, Alytuje, rekonstrukcija.</t>
  </si>
  <si>
    <t>06.03.01.01</t>
  </si>
  <si>
    <t>020 Aprūpinimas žmonėms vartoti skirtu vandeniu (išgavimo, apdorojimo, laikymo ir skirstymo infrastruktūra)</t>
  </si>
  <si>
    <t>(8 315) 73470</t>
  </si>
  <si>
    <t>LT737300010116590414</t>
  </si>
  <si>
    <t>02 Miesto gyvenamoji vietovė</t>
  </si>
  <si>
    <t>301500997</t>
  </si>
  <si>
    <t>M. K. Čiurlionio g. 115, LT-66151, Druskininkai</t>
  </si>
  <si>
    <t>(8 313) 52415</t>
  </si>
  <si>
    <t>info@drusvand.lt</t>
  </si>
  <si>
    <t>Druskininkų</t>
  </si>
  <si>
    <t>AB SWEDBANK</t>
  </si>
  <si>
    <t>LT637300010119189903</t>
  </si>
  <si>
    <t>Projekto „Geriamojo vandens tiekimo ir nuotekų tvarkymo sistemų renovavimas ir plėtra Lazdijų rajono savivaldybėje“ rengimo metu buvo nustatyta pagrindinė problema – nepakankamas vandens tiekimo ir nuotekų tvarkymo paslaugų prieinamumas Lazdijų rajono savivaldybėje. Remiantis Lazdijų r. Seirijų seniūnijos pateiktais duomenimis Seirijų miestelyje 2016 m. pradžioje gyveno 810 gyventojų ir veikė 15 juridinių asmenų. UAB „Lazdijų vanduo“ Seirijuose teikia tik nuotekų išvežimo paslaugas, eksploatuoja turimus geriamojo vandens gręžinius. Nuotekos vežamos iš gyventojų, turinčių individualius geriamojo vandens gręžinius taip pat naudojančius kastinių šulinių vandenį. Vandenį Seirijų miestelyje numatoma tiekti iš Aušros g. vandenvietėje esančių vandens gerinimo įrenginių. Tiekiamo vandens kokybė užtikrina NH24:2003 higienos normose geliamus reikalavimus todėl yra tinkamas centralizuotam vandens tiekimui. Vandenvietę administruojanti įmonė yra UAB “Lazdijų vanduo“. Projekto įgyvendinimo metu planuojama nutiesti naujus vandens tiekimo bei nuotekų tinklus bei pastatyti nuotekų valymo įrenginius. Numatoma projekto įgyvendinimo trukmė – 26 mėn</t>
  </si>
  <si>
    <t>Uždaroji akcinė bendrovė "Lazdijų vanduo"</t>
  </si>
  <si>
    <t>165171377</t>
  </si>
  <si>
    <t>Gėlyno g. 21, 67129, Lazdijai</t>
  </si>
  <si>
    <t>8 318 51703</t>
  </si>
  <si>
    <t>lazdijai@lazdijuvanduo.lt</t>
  </si>
  <si>
    <t>LT557181200027467695</t>
  </si>
  <si>
    <t>Šiuo metu pagal paskirtį Alytaus rajone eksploatuojami vandens tiekimo ir nuotekų šalinimo tinklai yra pasenę, nusidėvėję, per juos patiriami didesni nuostoliai tiek įmonei, tiek gyventojams, gamtai. Inicijuojamas projektas „Vandens tiekimo ir nuotekų tvarkymo infrastruktūros plėtra Alytaus rajone (Krokialaukyje)“ planuojamas kompleksiškai įgyvendinti Alytaus rajono savivaldybėje, Krokialaukio miestelyje, tiesiant naujus vandens tiekimo bei nuotekų valymo tinklus, statant nuotekų valymo bei rekostruojant vandens  gerinimo įrenginius. 
Vandens tiekimo ir nuotekų tvarkymo infrastruktūra yra neatsiejama gyvenamosios aplinkos dalis, leidžianti užtikrinti sveiką ir gerą gyvenimo kokybę, todėl šios infrastruktūros egzistavimas yra būtinas tiek Alytaus rajono savivaldybei, tiek kiekvieno atskiro miesto ar kaimo gyventojams. Įgyvendinus šį projektą bus išspręsta esminė problema – užtikrintas vandens tiekimo ir nuotekų šalinimo paslaugų prieinamumas miestelio gyventojams, pagerinta tiekiamo geriamojo vandens kokybė, sumažinta tarša aplinkai. Įgyvendinus projektą, kuris numatytas Alytaus rajono infrastruktūros plėtros plane, bus prisidedama prie Alytaus regiono plėtros plano, bei Vandens tiekimo ir nuotekų tvarkymo strategijos, bus įrengta nauja vandens tiekimo ir nuotekų tvarkymo infrastruktūra, gyventojams bus suteikta galimybė prisijungti prie naujai įrengtų tinklų, bus suteiktos kokybiškos vandens tiekimo ir nuotekų tvarkymo paslaugas.</t>
  </si>
  <si>
    <t>Alytaus rajono savivaldybės įmonė "Simno komunalininkas"</t>
  </si>
  <si>
    <t>153720195</t>
  </si>
  <si>
    <t>Savivaldybės įmonė</t>
  </si>
  <si>
    <t>Vytauto g. 28, 64305, Simnas, Alytaus r. savivaldybė</t>
  </si>
  <si>
    <t>(8 315) 60 758</t>
  </si>
  <si>
    <t>info@simnokomun.lt</t>
  </si>
  <si>
    <t>AB Swedbankas</t>
  </si>
  <si>
    <t>LT807300010154056732</t>
  </si>
  <si>
    <t>Šiuo metu Lazdijų ir Varėnos rajonų bei Druskininkų savivaldybių esama turizmo informacinė infrastruktūra yra netolygi ir nepakankamai išvystyta bei neužtikrina čia besilankančių turistų ir lankytojų kompleksinio informavimo apie regione teikiamas turizmo paslaugas poreikio. Savivaldybėse nepakanka viešai prieinamos informacijos apie lankytinus gamtos bei kultūros objektus, neužtikrinamas patogus nuorodų į lankytinus objektus krypties ar vietos žymėjimas, informacija nepritaikyta užsienio šalių turistams ir lankytojams, taip pat žmonėms su specialiaisiais poreikiais.Įgyvendinant projektą numatoma įrengti turizmo ženklinimo infrastruktūrą šių trijų savivaldybių teritorijose, užtikrinant turistų bei lankytojų informuotumą apie savivaldybes jungiančias turizmo trasas ir maršrutus bei juose esančias lankytinas vietas. Projekto metu numatoma įrengti  informacinius stendus bei lentas apie atskirus kultūros ar gamtos objektus, savivaldybes jungiančius dviračių ir kitus maršrutus, taip pat įrengti vandens trasų objektus žyminčius ženklus, informacines rodykles, bei kelio ženklus, nukreipiančius ar žyminčius lankytinus objektus.Taip pat planuojama įrengti interaktyvius informacinius turizmo stendus, kurie bus pritaikyti ir žmonėms su specialiaisiais poreikiais. Skatinant atvykstamąjį turizmą, ypač iš kaimyninių valstybių, turizmo informacija bus pateikiama ir užsienio kalbomis. Projekto įgyvendinimas prisidės prie turizmo objektų bei paslaugų šiame regione informacijos sklaidos, užtikrins turistų bei lankytojų informuotumą apie Lazdijų ir Varėnos rajonų bei Druskininkų savivaldybių lankytinas vietas ir objektus, turizmo maršrutus ir trasas, prisidės ne tik prie regiono, bet ir Lietuvos, kaip turistinės valstybės, žinomumo ir jos įvaizdžio gerinimo.</t>
  </si>
  <si>
    <t>010050108100000</t>
  </si>
  <si>
    <t>04.07.03.01</t>
  </si>
  <si>
    <t>11 Vidaus potencialo plėtojimas – Aplinka</t>
  </si>
  <si>
    <t>093 Viešųjų turizmo paslaugų plėtojimas ir populiarinimas</t>
  </si>
  <si>
    <t>24 Kitos nenurodytos paslaugos</t>
  </si>
  <si>
    <t>(8 318) 66 108</t>
  </si>
  <si>
    <t>AB DNB bankas</t>
  </si>
  <si>
    <t>LT284010042200194715</t>
  </si>
  <si>
    <t>2.4. Netaikoma</t>
  </si>
  <si>
    <t>Projekto įgyvendinimo metu numatoma turizmo informacinės infrastruktūros plėtra Alytaus regione: dviračių pėsčiųjų tako „Alytus - Varėna“, jungiančio Alytaus miesto, Alytaus rajono ir Varėnos rajono savivaldybes, ženklinimas bei autoturizmo maršruto, jungiančio Alytaus miesto, Alytaus rajono, Varėnos rajono, Druskininkų ir Lazdijų rajono savivaldybes, ženklinimas. Projekto rezultatas - įrengiant turizmo ženklinimo infrastruktūrą, užtikrinti turistų bei lankytojų informuotumą apie turizmo maršrutuose ir turizmo trsasose esančias lankytinas vietas.</t>
  </si>
  <si>
    <t>Rotušės a. 4, LT-62504, Alytus</t>
  </si>
  <si>
    <t>(8 315) 55136</t>
  </si>
  <si>
    <t>LT687181200002130479</t>
  </si>
  <si>
    <t>Motiejaus Gustaičio memorialinio namo kompleksinis sutvarkymas</t>
  </si>
  <si>
    <t>Pagrindinė problema, kuriai spręsti inicijuotas šis projektas, labai prasta Motiejaus Gustaičio memorialinio namo būklė, muziejus neprieinamas bendruomenei ir tokiu būdu netenkina visuomenės socialinių, ekonominių, kultūrinių ir edukacinių poreikių. Šiame pastate yra likę ir netinkamomis sąlygomis (pastatas nešildomas) laikomi vertingi muziejiniai eksponatai. 
Pagrindinei projekto problematikai spręsti planuojama atlikti Motiejaus Gustaičio memorialinio namo tvarkybos ir rekonstrukcijos darbus, įsigyti kultūrinei, muziejinei ir edukacinei veiklai reikalingus baldus bei įrangą, įrengti ekspozicijas.
Atnaujinus muziejaus pastatą, bus išsaugotos pastato vertingosios savybės, pastatas bus pritaikytas muziejinei, kultūrinei ir edukacinei veiklai, organizuojami edukaciniai renginiai jaunimui ir senjorams.</t>
  </si>
  <si>
    <t>010080402060000</t>
  </si>
  <si>
    <t>08.02.01.08</t>
  </si>
  <si>
    <t>094 Viešųjų kultūros ir paveldo vertybių apsauga, plėtojimas ir populiarinimas</t>
  </si>
  <si>
    <t>23 Menas, pramogos, kūrybos sektorius ir poilsis</t>
  </si>
  <si>
    <t>(8 318) 66100</t>
  </si>
  <si>
    <t>Luminor Bank, AB</t>
  </si>
  <si>
    <t>LT204010042200112894</t>
  </si>
  <si>
    <t>2025-05-31</t>
  </si>
  <si>
    <t>Projektu siekiama padidinti Druskininkų miesto muziejaus teikiamų kultūros paslaugų kokybę, prieinamumą ir susidomėjimą iki šiol tik fragmentiškai naudotu, muziejaus reikmėms ir lankytojų kultūriniams bei edukaciniams poreikiams nepritaikytu kultūros paveldo objektu - Mažąja dailės galerija. 
Šias problemas planuojama išspręsti, kompleksiškai sutvarkant kultūros paveldo objektą - Mažąją dailės galeriją, M. K. Čiurlionio g. 37, Druskininkai,  ir pritaikant ją Druskininkų savivaldybės bendruomenės bei kurorto svečių kultūros ir edukaciniams poreikiams. Projekto metu bus atliktas kapitalinis pastato remontas ir įsigyta šiuolaikinius technologinius bei kokybės reikalavimus atitinkanti įranga ir baldai.
Projekto rezultatas – kompleksiškai sutvarkytas ir Druskininkų sav. gyventojų bei kurorto svečių kultūros, edukaciniams poreikiams pritaikytas kultūros paveldo objektas - Mažoji dailės galerija. Bus išsaugotos bei atskleistos vertingosios kultūros paveldo objekto savybės, sudarytos prielaidos Druskininkų miesto muziejaus lankytojų srautų didinimui, kuriamos naujos, plėtojamos  ir tobulinamos esamos veiklos, padidės istorinių, kultūros bei meno vertybių prieinamumas, gyventojų susidomėjimas kultūros paveldu, bus prisidedama prie tautinio tapatumo puoselėjimo ir išsaugojimo. Aktualizavus kultūros paveldo objektą ir pradėjus teikti kokybiškesnes kultūros paslaugas, planuojamas  lankytojų skaičiaus padidėjimas kultūros paveldo objekte (3500 lankytojų per metus).</t>
  </si>
  <si>
    <t>188776264</t>
  </si>
  <si>
    <t>Vilniaus al. 18, 66119, Druskininkai</t>
  </si>
  <si>
    <t>(8-313) 51 233</t>
  </si>
  <si>
    <t>info@druskininkai.lt</t>
  </si>
  <si>
    <t>„Swedbank“ AB</t>
  </si>
  <si>
    <t>LT427300010131162021</t>
  </si>
  <si>
    <t>2024-12-31</t>
  </si>
  <si>
    <t>Buvusios sinagogos pastato Kauno g. 9 Alytuje rekonstravimas ir aplinkinės teritorijos sutvarkymas</t>
  </si>
  <si>
    <t>Projekto „Buvusios sinagogos pastato Kauno g. 9 Alytuje rekonstravimas ir aplinkinės teritorijos sutvarkymas“ tikslas - padidinti kultūros paveldo objekto, buvusios sinagogos pastato, žinomumą ir pritaikyti jį lankymui, sukuriant kokybiškas kultūros paslaugas bei skatinant lankytojų srautus.
Įgyvendinus projekto veiklas, t. y. atlikus kapitalinį remontą, įsigijus būtiną įrangą ir baldus, bus sutvarkytas, įrengtas ir pritaikytas lankymui kultūros paveldo objektas, teikiamos kokybiškos kultūrinės paslaugos. Buvusioje sinagogoje projektu numatyta įrengti Alytaus kraštotyros muziejaus padalinį - Vizualiųjų menų centrą, kuriame Alytaus menininkams atsirastų tinkamos patalpos parodų organizavimui, jaunimas turėtų pakankamai erdvės edukacijoms ir saviraiškai. Išlaikant sinagogos autentiką būtų įkurta ekspozicija, skirta žydų istorijai įamžinti. Tikimasi, kad įvairius kultūrinius poreikius čia galės patenkinti menininkai, vaikai, jaunimas, darbingo amžiaus gyventojai, senjorai, asmenys su negalia.  Atsižvelgiant į tai, vertinama, kad bus tenkinami Lietuvos ir užsienio turistų, moksleivių, studentų, senjorų kultūriniai poreikiai. Numatomas apsilankymų paveldo objekte skaičiaus - 2 966 lankytojų per metus.</t>
  </si>
  <si>
    <t>(8 315)  55 102</t>
  </si>
  <si>
    <t>alytus@alytus.lt</t>
  </si>
  <si>
    <t>LT907181200002130471</t>
  </si>
  <si>
    <t>Siekiant pagerinti Vinco Krėvės-Mickevičiaus memorialinio muziejaus teikiamų kultūros paslaugų kokybę, projekto įgyvendinimo metu numatoma atlikti pagrindinio muziejaus pastato remontą, įsigyti edukacijai reikalingą įrangą. 
Įgyvendinus projektą, akivaizdžiai pagerės statinio techninė būklė. Atkūrus pastato frontono ir kitus puošybos elementus,  bus atskleistos vertingosios kultūros paveldo objekto savybės, kas padidins muziejaus unikalumą. Įsigijus naują įrangą, bus praplėsta kultūros paslaugų įvairovė, pagerės teikiamų kultūros paslaugų kokybė, bus sudarytos palankesnės sąlygos padidinti muziejaus lankytojų srautus.</t>
  </si>
  <si>
    <t>Vytauto g. 12, 65184, Varėna</t>
  </si>
  <si>
    <t>(8 310) 32 001</t>
  </si>
  <si>
    <t>info@varena.lt</t>
  </si>
  <si>
    <t>LT287181200002130714</t>
  </si>
  <si>
    <t>2025-08-31</t>
  </si>
  <si>
    <t>„KRAŠTOVAIZDŽIO APSAUGA“</t>
  </si>
  <si>
    <t>Pagrindinis projekto „Bešeimininkių apleistų pastatų ir įrenginių tvarkymas Alytaus rajono savivaldybės teritorijoje“ tikslas – pagerinti Alytaus rajono įvaizdį likviduojant apleistus pastatus ir kitus aplinką žalojančius objektus, kurie darko teritorijos, kuri yra lankoma vietinių gyventojų, pravažiuojama turistų, kraštovaizdį, kelia grėsmę žmonių sveikatai ir gyvybei.</t>
  </si>
  <si>
    <t>010320301040000</t>
  </si>
  <si>
    <t>05.04.01.01</t>
  </si>
  <si>
    <t>2. 9. 2. 1. 1.01</t>
  </si>
  <si>
    <t>085 Biologinės įvairovės apsauga ir didinimas, gamtos apsauga ir žalioji infrastruktūra</t>
  </si>
  <si>
    <t>22 Su aplinka ir klimato kaita susijusi veikla</t>
  </si>
  <si>
    <t>Pulko 21, LT-62135, Alytus</t>
  </si>
  <si>
    <t>Neteikiama</t>
  </si>
  <si>
    <t>Akcinė bendrovė Šiaulių bankas</t>
  </si>
  <si>
    <t>LT767181200002130820</t>
  </si>
  <si>
    <t>(8 310) 51 200</t>
  </si>
  <si>
    <t>Šiaulių bankas</t>
  </si>
  <si>
    <t>LT467181200002130293</t>
  </si>
  <si>
    <t>Projekto „Kraštovaizdžio formavimas Lazdijų rajono savivaldybėje“  tikslas – pagerinti kraštovaizdžio būklę ir padidinti vizualinį estetinį potencialą Lazdijų mieste ir rajone, sutvarkant apleistas ir užterštas teritorijas.
Projektu siekiama pagerinti Lazdijų miesto ir rajono kraštovaizdžio būklę, stiprinti ir palaikyti kraštovaizdžio ekologinę pusiausvyrą, atkurti pažeistas teritorijas ir padidinti kraštovaizdžio vizualinį estetinį potencialą. Projekto įgyvendinimo metu planuojama tvarkymo darbus atlikti Raišupio upelio migraciniame koridoriuje.  Nugriauti 12 bešeimininkių pastatų ir sutvarkyti pasienio teritoriją prie esančio krašto kelio 135.
Įvertinus teritorijos ekologinę būklę, želdinių kokybę, identifikavus kraštovaizdžio vertybes bus numatyti sprendimai, padėsiantys išsaugoti ekosistemas ir joje esančią biologinę įvairovę,  gerinti želdinių būklę. Siekiant teritoriją pritaikyti kraštovaizdžio pažinimui, bus numatomas minimalus kiekis infrastruktūrinių objektų, sudarančių sąlygas visuomenei stebėti, pažinti ir suprasti vietovės vertybes. Teritorijos tvarkymo projekto rengimo metu bus vykdomos visuomenės informavimo, konsultavimosi, įtraukimo, švietimo veiklos, numatytos visuomenės dalyvavimo kraštovaizdžio formavime programoje.</t>
  </si>
  <si>
    <t>AB DnB banke, banko kodas 40100</t>
  </si>
  <si>
    <t>LT674010042200060056</t>
  </si>
  <si>
    <t>Projektu bus siekiama išsaugoti per laiką susiformavusią vieną iš svarbiausių Alytaus miesto siluetą formuojančių zonų – Nemuno pakrančių savitumą, Sveikatos taką — žaliąjį miesto „stuburą“ ir suteikiant prioritetą vertikalių erdvių formavimui želdiniais, miesto erdvinio raiškumo išsaugojimui bei subalansuotai sugretinti su miesto urbanistiniu siluetu, kurį charakterizuoja pastatai, sudarysiantys miesto silueto formą. Rengiant bendrojo plano keitimą, siūloma numatyti intensyvias urbanistines priemones, urbanistinių elementų dominavimą. Numatyti vertikalias urbanistines dominantes, aukštuminių pastatų koncepciją, orentyrinių erdvių suformavimą užtikrinant miesto kraštovaizdžio ekologinę pusiausvyrą ir stabilumą. Projekto metu bus atliekama Alytaus miesto bendrojo plano, zonuojant gamtinio karkaso saugomo kraštovaizdžio erdvinę teritorinę struktūrą, nustatant tvarkymo ir naudojimo reglamentus ir kraštovaizdžio estetinės vertės kūrimo principus korektūra. Įgyvendinus projektą bus pakoreguota kraštovaizdžio ir gamtinio karkaso formavimo aspektais Alytaus miesto bendrojo plano dalis.</t>
  </si>
  <si>
    <t>LT617181200002130508</t>
  </si>
  <si>
    <t>Projekto problema -  kraštovaizdį darkantys ir pavojų keliantys apleisti bešeimininkiai pastatai ir įrenginiai Druskininkų savivaldybėje. Projektu siekiama prisidėti prie kraštovaizdžio arealų (teritorijų) būklės gerinimo stiprinant ir palaikant kraštovaizdžio ekologinę pusiausvyrą, didinant kraštovaizdžio vizualinį estetinį potencialą. Šis tikslas bus pasiektas likviduojant kraštovaizdį darkančius bešeimininkius apleistus statinius ir įrenginius Druskininkų savivaldybės teritorijoje. Įgyvendinant projektą bus likviduota 12 nenaudojamų apleistų statinių ir įrenginių, esančių Leipalingio seniūnijoje, kurie darko kraštovaizdį, blogina vietovės įvaizdį, mažina jos investicinį patrauklumą bei  kelia pavojų žmonių sveikatai ir net gyvybei.
Projektas prisidės prie kraštovaizdžio ekologinės būklės ir vizualinio potencialo gerinimo, estetinės vertės padidėjimo, pagerės gyvenamosios aplinkos kokybė, išnyks keliamas pavojus žmonių sveikatai ir (ar) gyvybei, padidės vietovės socialinis ir investicinis patrauklumas, bus sudarytos sąlygos darniai plėtrai, rekreacijos, pažintinio turizmo vystymui. Bus patenkinti ekonominiai, socialiniai, ekologinius ir estetiniai gyventojų poreikiai.</t>
  </si>
  <si>
    <t>8 313 51233</t>
  </si>
  <si>
    <t>AB Swedbank,  banko kodas 73000</t>
  </si>
  <si>
    <t>LT557300010130110113</t>
  </si>
  <si>
    <t>Pagrindinis projekto „Bešeimininkių apleistų pastatų ir įrenginių tvarkymas Alytaus rajono savivaldybėje (II etapas)“ tikslas – pagerinti kraštovaizdžio būklę Alytaus rajono savivaldybėje, didinant kraštovaizdžio vizualinį estetinį potencialą, likviduojant statinius, darkančius teritoriją, lankomą vietinių gyventojų, pravažiuojamą turistų, keliančią grėsmę žmonių sveikatai ir gyvybei.</t>
  </si>
  <si>
    <t>Projektu siekiama plėtoti susisiekimą vietinės reikšmės keliais Alytaus mieste. Projekto veikla: nutiesti perspektyvinę gatvę su asfalto danga nuo Pramonės g. iki Naujosios g. Alytaus mieste. Atkarpos tiesimo metu numatoma įrengti gatvės dangą su šaligatviais, taip pat įrengti atkarpos apšvietimo tinklus, rekonstruoti vandentiekio ir nuotekų tinklus, rekonstruoti elektros ir žinybinius tinklus, rekonstruoti ryšių ir signalizacijos linijų tinklus, įrengti geležinkelio pervažos signalizacijos įrenginius. Įgyvendinus projektą bus pasiekti rezultatai: naujai nutiestas kelias: įrengta perspektyvinė gatvė, 1 vnt. (0,715 km); sugaištas kelionės automobilių keliais (išskyrus TEN-T kelius) laikas - 0,0076 mln. val.</t>
  </si>
  <si>
    <t>4 Pagrindinių paslaugų teikimo infrastruktūra ir susijusios investicijos – Transporto infrastruktūra</t>
  </si>
  <si>
    <t>034 Rekonstruotas ar pagerintas kitas kelias (greitkelis, nacionalinis, regioninis ar vietos kelias)</t>
  </si>
  <si>
    <t>07 Tvaraus transporto skatinimas ir silpnųjų vietų pagrindinėse tinklo infrastruktūros dalyse šalinimas</t>
  </si>
  <si>
    <t>LT787181200002130493</t>
  </si>
  <si>
    <t>Varėnos miesto J. Basanavičiaus g. bei Savanorių ir M. K. Čiurlionio gatvių sankryžoje eismas organizuojamas nepakankamai efektyviai (sąlyginai didesnės kelionės laiko ir transporto eksploatacinių kaštų sąnaudos, nei galėtų būti) ir nepakankamai saugiai. Pagrindinė to priežastis netinkama infrastruktūra: susidėvėjusi ar iki galo nepritaikyta/neišvystyta infrastruktūra.
Siekdama spręsti minėtas problemas, Varėnos miesto savivaldybės administracija inicijavo projektą „Varėnos miesto J. Basanavičiaus, Savanorių, M. K. Čiurlionio gatvių rekonstrukcija“, kurio metu siekiama modernizuoti vienas pagrindinių, centrinėje dalyje esančių miesto gatvių. Planuojamas J. Basanavičiaus g. važiuojamosios dalies būklės gerinimas, šaligatvių ir dviračių takų modernizavimas, apšvietimo sistemos modernizavimas, Savanorių ir M. K. Čiurlionio žiedinės sankryžos įrengimas, kitų eismo saugumo priemonių diegimas.</t>
  </si>
  <si>
    <t>LT927181200002130338</t>
  </si>
  <si>
    <t>Lazdijų miesto Seinų ir Lazdijos gatvių bei vietinės reikšmės kelio nuo Janonio g. iki Lazdijų hipodromo rekonstravimas</t>
  </si>
  <si>
    <t>Esama susisiekimo infrastruktūra Lazdijų mieste ir susijusiose teritorijose nuolat atnaujinama, tačiau dalis jos yra pasenusi ir neatitinka šiuolaikinių reikalavimų. Dėl susidėvėjusių Seinų g. važiuojamosios ir pėsčiųjų takų dangų, Lazdijos g. bei vietinės reikšmės kelio nuo Janonio g. iki Lazdijų hipodromo žvyro dangos, važiuojantys automobiliais patiria dideles kelionės laiko bei kelių transporto priemonių eksploatacines sąnaudas, pėsčiųjų ir kitų eismo dalyvių eismas nesaugus, teršiamas oras. Projekto tikslas - padidinti Lazdijų miesto ir su juo susietos teritorijos gyventojų judumą. Šiam tikslui pasiekti bus vykdomas Lazdijų miesto ir su juo susietos teritorijos susisiekimo sistemos gerinimas vystant kelių jungtis. Projekto įgyvendinimo metu numatoma apie 1,66 km ilgio Seinų gatvėje įrengti reikalavimus atitinkančią dangos konstrukciją, rekonstruoti bei įrengti pėsčiųjų, pėsčiųjų-dviračių takus, apšvietimą, įrengti kelio ženklus su šviesą atspindinčia plėvele, kelio atitvarus, rekonstruoti sankryžas užtikrinant neįgaliųjų poreikius bei įrengti kitas eismo saugos priemones; apie 0,30 km ilgio Lazdijos gatvėje įrengti asfalto dangą, pėsčiųjų taką, apšvietimą; apie 0,23 km ilgio reikšmės kelyje nuo Janonio gatvės iki hipodromo įrengti asfalto dangą. Projektas skirtas spręsti šias Lazdijų rajono savivaldybės  problemas: sumažinti kelionės laiką, kelių transporto priemonių eksploatacines sąnaudas, oro taršą dulkėmis, pagerinti eismo sąlygas keliaujantiems automobiliais, pėstiesiems ir dviratininkams.</t>
  </si>
  <si>
    <t>LT464010042200103405</t>
  </si>
  <si>
    <t>Eismo saugos priemonių diegimas Alytaus rajono savivaldybėje</t>
  </si>
  <si>
    <t>Projekto tikslas – išplėtotas ir užtikrintas saugus susisiekimas Alytaus rajono savivaldybėje. Projekto įgyvendinimo vieta numatyta identifikavus pavojingiausias vietas Alytaus rajono savivaldybės vietinės reikšmės keliuose ir gyvenvietėse. Šiuo metu Alytaus rajone nėra užtikrinamas saugus pėsčiųjų, dviračių judėjimas – judriose ir intensyviai naudojamose gyvenviečių gatvėse nėra įrengtų saugių pėstiesiems ir dviračiams skirtų takų. Projekto įgyvendinimo metu Alytaus rajono savivaldybės Pivašiūnų kaime ir Daugų mieste bus diegiamos eismo saugą didinančios priemonės: 1) šaligatvio (apie 780 m) Ežero g., Pivašiūnuose, įrengimas; 2) dviračių ir pėsčiųjų tako (apie 760 m) ir apsauginių tvorelių Daugų g., Dauguose, įrengimas.</t>
  </si>
  <si>
    <t>LT127181200002130808</t>
  </si>
  <si>
    <t>Siekiant padidinti Varėnos miesto centrinės dalies viešosios erdvės bei gyvenamosios aplinkos patrauklumą, prisidėti prie palankių sąlygų paslaugų sektoriui skatinimo, inicijuojamas projektas kurio metu:
1. Vasario 16-osios pėsčiųjų gatvės viešoji erdvė - sutvarkyta gatvės danga, įrengiant pėsčiųjų takus, dviračių taką (nuo Vasario 16-osios gatvės pradžios ties Vytauto g. iki Aušros g ir Varėnos parko), įrengtas upelis-fontanas, atviras informacinis paviljonas su interaktyvia skelbimų lenta ir stacionariomis laikinosios prekybos vietomis (Vasario 16-osios gatvės pradžioje ties Vytauto gatve), rekonstruota automobilių stovėjimo aikštelė (šalia Aušros g. 15), įrengtas apšvietimas, mažosios architektūros elementai (šiukšliadėžės, suoliukai, dviračių stovai, gėlinės, informacinis stulpelis, geriamojo vandens fontanėlis), sutvarkyti želdiniai;
2. Teritorija už Vasario 16-osios gatvę ribojančių gyvenamųjų namų -  įrengiama automobilių stovėjimo aikštelė miesto  poreikiams (už Vasario 16-osios g. 8 ir 10 numeriu pažymėtų namų kiemų), teritorijoje už Vasario 16-osios g. namų Nr. 4,6,8,10 rekonstruojami esami pėsčiųjų takai ir privažiavimo kelias į kiemą, įrengiami nauji pėsčiųjų takai, vaikų žaidimo aikštelė, buitinių atliekų konteinerių aikštelės vieta, mažosios architektūros elementai (suoleliai, šiukšliadėžės), teritorijos apšvietimas, tvarkomi želdiniai. Teritorijoje už Vasario 16-osios g. namų Nr. 13 ir 15  įrengiama automobilių stovėjimo aikštelė, privažiavimas nuo Aušros g. iki aikštelės, atnaujinami ir įrengiami nauji pėsčiųjų takai, apšvietimas, mažosios architektūros elementai (suoliukai, šiukšliadėžės), tvarkomi želdiniai.
Tikimasi, kad atnaujinta viešoji erdvė miesto centrinėje dalyje pagerins Vasarios 16-osios ir Aušros gatvių ir jų prieigų gyvenamąją aplinką, patraukli nauja erdvė pagerins miesto įvaizdį, paskatins renginių organizavimą,  bendruomenių iniciatyvas, padidins gyventojų užimtumą bei prisidės prie palankesnių sąlygų verslo kūrimuisi ir plėtrai.</t>
  </si>
  <si>
    <t>030030102030000</t>
  </si>
  <si>
    <t>03.06.01.01</t>
  </si>
  <si>
    <t>7 Socialinė, sveikatos priežiūros ir švietimo infrastruktūra ir susijusios investicijos</t>
  </si>
  <si>
    <t>055 Kita socialinė infrastruktūra, kuria prisidedama prie regioninės ir vietos plėtros</t>
  </si>
  <si>
    <t>08 Užimtumo skatinimas ir darbo jėgos judumo rėmimas</t>
  </si>
  <si>
    <t>LT117181200002130244</t>
  </si>
  <si>
    <t>Varėnos miesto centrinės dalies viešoji infrastruktūra yra labai prastos būklės, susidėvėjusi, neatitinka šiuolaikinių reikalavimų, nesudarytos sąlygos  verslo subjektams plėtoti verslą bei kurti potencialias darbo vietas.
Siekiant padidinti Varėnos miesto parko viešosios erdvės bei jo prieigų gyvenamosios aplinkos patrauklumą, prisidėti prie palankių sąlygų paslaugų sektoriui skatinimo, projekto įgyvendinimo metu bus įrengti nauji pėsčiųjų - dviračių takai, atnaujintas parko apšvietimas, įrengta vaizdo stebėjimo sistema, mažosios architektūros elementai (suoliukai, šiukšliadėžės, dviračių stovai, gėlinės, lauko šachmatų stalas,  lauko stalo teniso stalas, iškylautojų stalai, informaciniai stulpeliai, vaikų žaidimo aikštelės, lauko treniruokliai), pastatyta lauko scena renginiams, sutvarkyti želdiniai, pastatytas viešasis tualetas.
Tikimasi, kad atnaujinta viešoji erdvė miesto parke pagerins jo prieigų gyvenamąją aplinką, patraukli nauja erdvė pagerins miesto įvaizdį, paskatins renginių organizavimą,  bendruomenių iniciatyvas, padidins gyventojų užimtumą bei prisidės prie palankesnių sąlygų verslo kūrimuisi ir plėtrai.</t>
  </si>
  <si>
    <t>AB „Šiaulių bankas“</t>
  </si>
  <si>
    <t>LT227181200002130337</t>
  </si>
  <si>
    <t>LT637181200002130375</t>
  </si>
  <si>
    <t>2025-02-28</t>
  </si>
  <si>
    <t>Varėnos miesto Dainų slėnio infrastruktūros atnaujinimas ir pritaikymas visuomenės poreikiams</t>
  </si>
  <si>
    <t>LT867181200002130737</t>
  </si>
  <si>
    <t>Pereinamojo laikotarpio tikslinių teritorijų vystymas. II</t>
  </si>
  <si>
    <t>Projekto „Amatų centro „Menų kalvė“ Druskininkuose įkūrimas“ metu planuojama sutvarkyti apleistą buvusios pirties pastatą, esantį adresu M.K. Čiurlionio g. 27, LT-66164 Druskininkai, jį pritaikant amatų, kultūros ir edukacinei veiklai. Atlikus pastato sutvarkymą bus  įrengtos  patalpos, kuriose galės veikti tapybos, tekstilės, keramikos, medžio drožybos, vitražo, kalvystės, vytelių pynimo, karpinių, akmentašystės, juvelyrikos dirbtuvės, galerija ir kitos ekspozicijų erdvės. Pastate bus įrengtos  būtinos (higienos, administracinės ir bendro naudojimo) patalpos, patalpose bus įrengti reikalingi baldai.
Amatų centras sudarys sąlygas tautodailininkams, menininkams bei amatininkams susiburti po vienu stogu, kurti, organizuoti parodas ir pristatyti savo amatą visuomenei, vykdyti edukacines programas. Įgyvendinus projektą didės Druskininkų kurorte teikiamų laisvalaikio paslaugų spektras: amatininkai net tik rengtų parodas ir plenerus, bet ir pristatytų savo amatą visuomenei, vykdytų edukacines programas. Amatų centre būtų rengiamos edukacinės amatų programos vaikams ir jaunimui, organizuojamos parodos ir renginiai, pažintinės amato demonstravimo programos. 
Įrengus amatų centrą "Menų kalvė", didės Druskininkų kurorte teikiamų paslaugų įvairumas, bus sukurtos papildomos darbo vietos bei sudarytos sąlygos plėtoti smulkųjį ir vidutinį verslą.</t>
  </si>
  <si>
    <t>"Swedbank" AB</t>
  </si>
  <si>
    <t>LT987300010129483107</t>
  </si>
  <si>
    <t>Projektu siekiama atnaujinti Lazdijų miesto viešųjų erdvių infrastruktūrą, jungiančią atskiras miesto dalis, ir pagerinti gyvenamąją aplinką tarp daugiabučių gyvenamųjų namų, sutvarkant šaligatvius, kiemų apšvietimą, pėsčiųjų takus, vaikų žaidimo aikšteles, įvažiavimus į automobilių stovėjimo aikšteles ir automobilių stovėjimo aikšteles, įrengti lauko treniruoklių zonas. Sutvarkytos 3 skirtingos erdvės prie daugiabučių namų Lazdijų mieste ir pagerintas jų pasiekiamumas, padidins gyvenamosios aplinkos patrauklumą Lazdijų mieste bei prisidės prie palankių sąlygų sudarymo verslo plėtrai ir kūrimui ar (ir) paslaugų sektoriaus vystymuisi. Įgyvendinus projektą padidės Lazdijų miesto gyvenamosios aplinkos patrauklumas gyventojams ir verslininkams bei pagerės sąlygos verslo plėtrai ir kūrimui.</t>
  </si>
  <si>
    <t>LT294010051001909028</t>
  </si>
  <si>
    <t>Šiuo metu Varėnos rajono savivaldybės viešojoje bibliotekoje yra nepakankamai tinkamos sąlygos gyventojų tobulėjimui, turiningam laisvalaikiui, mokslo ir profesinių žinių siekimui, o Varėnos kultūros centre taip pat jaučiama profesionalaus meno sklaidos stoka, kultūros centro patalpos „nedraugiškos“ tikslinių grupių poreikiams ir paslaugos nepakankamai prieinamos visiems norintiems. Projekto įgyvendinimo metu planuojama atnaujinti Varėnos rajono savivaldybės viešosios bibliotekos pastato vidaus patalpas (paprastasis remontas), aprūpinti veiklai būtinais baldais bei įranga. Taip pat Varėnos kultūros centras bus aprūpintas mobilia apšvietimo, garso ir kita įranga bei baldais, kas leis padidinti renginių skaičių,  perkeliant juos į lauką ir taip pritraukiant daugiau žiūrovų. Moderni scenos ir kita įranga leis pritraukti daugiau profesionalaus meno renginių, padidinti mėgėjų meno kolektyvų skaičių. 
Tikimasi, kad modernizuota, šiuolaikinės visuomenės poreikius atitinkanti kultūros infrastruktūra prisidės prie aukštesnės kokybės kultūros paslaugų sukūrimo, skatins papildomus lankytojų (apsilankymų) srautus, bei taip bus didindamas Varėnos miesto patrauklumas investicijoms ir verslo plėtrai.</t>
  </si>
  <si>
    <t>020070102020000</t>
  </si>
  <si>
    <t>LT197181200002130294</t>
  </si>
  <si>
    <t>Projektu sprendžiama problema – kokybiškų kultūros srities paslaugų trūkumas ir naujų kultūros paslaugų ir jų prieinamumo neužtikrinimas dėl blogos VšĮ Alytaus kultūros ir komunikacijos centro (toliau – AKKC), esančio Pramonės g. 1B,  didžiosios žiūrovų salės ir scenos bei inžinerinių sistemų būklės.
Įgyvendinus projektą bus modernizuotas kultūros infrastruktūros objektas – Alytaus kultūros ir komunikacijos centro didžioji salė. Numatoma atlikti didžiosios salės kapitalinio remonto darbus, sutvarkyti inžinerines sistemas, įsigyti šiuolaikinę įrangą (LED ekraną, pritaikytą šiuolaikinių renginių organizavimui) ir baldus (kėdes). Planuojama, kad dėl projekto lėšomis sutvarkytos infrastruktūros AKKC per metus papildomai pritrauks naujų lankytojų, pagerės ir prasiplės kultūros centro teikiamos paslaugos.
Sutvarkytoje kultūros centro didžiojoje salėje numatoma organizuoti koncertus, teatrus, meno kolektyvų pasirodymus ir kitas kultūrines veiklas.</t>
  </si>
  <si>
    <t>13 Tvaraus ir kokybiško užimtumo skatinimas ir darbo jėgos judumo rėmimas</t>
  </si>
  <si>
    <t>LT417181200002130480</t>
  </si>
  <si>
    <t>Šiuo metu kultūros paslaugų prieinamumas ir kokybė Druskininkų savivaldybėje nėra pakankama. Šią problemą planuojama spręsti modernizuojant Druskininkų savivaldybės kultūros infrastruktūrą ir pritaikant ją kultūros poreikiams. Projekto metu numatyta atlikti Druskininkų kultūros lauko scenos ir pagalbinių patalpų, esančių adresu Vilniaus al. 24, Druskininkai, remontą, įrengti keltuvą neįgaliesiems bei įsigyti šiuolaikinius technologinius bei kokybės reikalavimus atitinkančią įrangą ir baldus. Įgyvendinus projektą bus sukurtos didesnės galimybės vietos gyventojų meninei saviraiškai, kultūros paslaugos atitiks vartotojų poreikius. Naujos kokybės renginiai (mėgėjų meno kolektyvų, profesionalios, pramoginės muzikos koncertai, spektakliai, parodos, konkursai, festivaliai, edukaciniai renginiai) įtrauks didesnę visuomenės dalį į kultūrinį gyvenimą, erdvė taps patrauklesnė viešųjų kultūros renginių organizavimui ir skatins vietos bendruomenę bei miesto svečius burtis turiningam laisvalaikio praleidimui.</t>
  </si>
  <si>
    <t>AB "Swedbank"</t>
  </si>
  <si>
    <t>LT127300010002224535</t>
  </si>
  <si>
    <t>Šiuo metu Laisvės kovų muziejus yra įsikūręs Vytauto g. 11, Lazdijuose. Dabartiniame muziejaus pastate veikia nuolatinė ekspozicija, vykdomos tęstinės edukacinės programos ir renginiai. Tačiau esamas pastatas yra prastos techninės būklės, priimti vis didėjančius lankytojų srautus darosi sudėtinga ir nepatogu, nėra galimybių  muziejaus lankytojams įdomiu ir patraukliu būdu pateikti eksponatus, bei organizuoti įvairesnes edukacines, lavinamąsias bei kultūrines veiklas. Siekiant padidinti muziejinės, kultūrinės veiklos prieinamumą, nuspręsta atlikti pastato, esančio Vytauto g. 18, Lazdijuose rekonstrukcijos darbus (bus atlikta pastato I ir II aukšto rekonstrukcija ir įrengtos ekspozicijos lankytojams su modernia vaizdo, garso, kompiuterine bei ekspozicijų įranga, ir baldais, įrengtas priimamasis lankytojams, daugiafunkcinė konferencijų salė) ir į rekonstruotą pastatą perkelti dabartinio Laisvės kovų muziejaus ekspozicijas. Tikimasi, kad atsinaujinęs muziejus paskatins muziejuje apsilankyti ne tik pastovius muziejaus lankytojus, tačiau ir  istorija mažiau besidominčius lankytojus, kurie sudalyvavę edukacinėse programose, aplankę muziejaus ekspozicijas norės čia sugrįžti ir išsamiau pasidomėti Lazdijų krašto ir Lietuvos istorija.</t>
  </si>
  <si>
    <t>Vilniaus g. 1, 67106, Lazdijai</t>
  </si>
  <si>
    <t>(8 318) 66110</t>
  </si>
  <si>
    <t>LT164010042200200654</t>
  </si>
  <si>
    <t>Socialinių paslaugų infrastruktūros plėtra</t>
  </si>
  <si>
    <t>Projektu siekiama padidinti vietų skaičių savarankiško gyvenimo namuose Druskininkų savivaldybėje. Planuojama šalia 2015 m. įrengtų ir jau veikiančių savarankiško gyvenimo namų, esančių Melioratorių g. 6, Leipalingyje papildomai įrengti naujas, tą pačią funkciją atliksiančias patalpas – keturių butų savarankiško gyvenimo namus, Dzūkų g. 17, Leipalingyje. Projekto tikslas – gerinti socialinių paslaugų prieinamumą Druskininkų savivaldybėje, plėtojant socialinių paslaugų infrastruktūrą bendruomenėje vienišiems, savimi negalintiems pasirūpinti senyvo amžiaus ir neįgaliems asmenims bei sudaryti sąlygas šiems asmenims gauti jų poreikius atitinkančias socialines paslaugas.</t>
  </si>
  <si>
    <t>030030102010000</t>
  </si>
  <si>
    <t>10.07.01.01</t>
  </si>
  <si>
    <t>09 Socialinės įtraukties skatinimas ir kova su skurdu bei diskriminacija</t>
  </si>
  <si>
    <t>21 Socialinis darbas, bendruomenė, socialinės ir asmeninės paslaugos</t>
  </si>
  <si>
    <t>(8 313) 51233</t>
  </si>
  <si>
    <t>AB Swedbank</t>
  </si>
  <si>
    <t>Siekdama gerinti socialinių paslaugų kokybę, plėtoti socialinių paslaugų infrastruktūrą bendruomenėje senyvo amžiaus asmenims, Varėnos rajono savivaldybė modernizuos Varėnos globos namus, kuriuose socialinės globos paslaugas gauna 25 asmenys, ir padidins paslaugų gavėjų skaičių iki 40 asmenų per metus. Planuojama veikiančius Varėnos globos namus perkelti į pastatą, esantį adresu Z. Voronecko g. 2, Varėnoje. Projekto įgyvendinimo metu senyvo amžiaus asmenims bus pritaikyti sanitariniai mazgai, o perplanavus patalpas bus įrengti du keturviečiai, trys triviečiai, vienuolika dviviečių ir vienas vienvietis kambarys, mini virtuvėlė gyventojams, užimtumo kambariai, holas bei kitos patalpos. Projekto lėšomis planuojama įsigyti ir trūkstamus baldus bei įrangą. Tikimasi, kad modernizavus Varėnos globos namus bus teikiamos aukštos kokybės socialinės globos paslaugos.</t>
  </si>
  <si>
    <t>831032001</t>
  </si>
  <si>
    <t>LT737181200002130292</t>
  </si>
  <si>
    <t>Pagrindinė projekto problema - nepakankamas stacionarių socialinių paslaugų prieinamumas Lazdijų rajono gyventojams bei esamos infrastruktūros kokybės trūkumas, didinantis skirtumus tarp socialinių paslaugų kokybės ir prieinamumo regionuose.
Projekto tikslas - gerinti socialinių paslaugų prieinamumą Lazdijų rajono savivaldybėje, siekiant mažinti regioninius skirtumus, modernizuojant ir plėtojant socialinių paslaugų infrastruktūrą senyvo amžiaus asmenims . Projekto įgyvendinimo metu numatoma modernizuoti veikiančius VšĮ Kapčiamiesčio globos namus senyvo amžiaus asmenims, siekiant gerinti įstaigos infrastruktūrą, maksimaliai pritaikant ją šių asmenų poreikiams
Tikslui pasiekti Projekto metu numatoma atlikti VšĮ Kapčiamiesčio globos namų pastato (unik. Nr. 5995-5005-3017, Kranto g. 5, Kapčiamiesčio mstl.) I a. rekonstrukciją ir įrengti bei pritaikyti paslaugų teikimui II aukšto patalpas. Taip pat, socialinių paslaugų teikimui numatoma įsigyti 1kompl. baldų, 1 kompl. slaugos įrangos.</t>
  </si>
  <si>
    <t>190878283</t>
  </si>
  <si>
    <t>Vytauto 11, LT-67313, Kapčiamiestis, Lazdijų r. sav.</t>
  </si>
  <si>
    <t>8 610 72 149</t>
  </si>
  <si>
    <t>gerumonamai@gmail.com</t>
  </si>
  <si>
    <t>LT127300010129462830</t>
  </si>
  <si>
    <t>Projekto įgyvendinimo metu bus atlikta dalies pastato, esančio Margio g. 12/ Vytauto g. 20, Alytaus mieste, kapitalinis remontas įsteigiant Alytaus rajono savivaldybės Miroslavo globos namų padalinį - psichosocialinės pagalbos centrą, įsigyti baldai ir įranga. Pagrindinis projekto rezultatas – įsteigtas psichosocialinės pagalbos centras socialinės rizikos asmenims, siekiant pagerinti socialinių paslaugų prieinamumo bendruomenėje gerinimą Alytaus rajone, siekiant mažinti regioninius skirtumus, modernizuojant ir plėtojant socialinių paslaugų infrastruktūrą socialinės rizikos asmenims.</t>
  </si>
  <si>
    <t>8 315 55 530</t>
  </si>
  <si>
    <t>LT827181200002130809</t>
  </si>
  <si>
    <t>Projektu siekiama prisidėti prie Alytaus miesto savivaldybės socialinių paslaugų plėtros. Projekto įgyvendinimo metu bus atliktas patalpų Ulonų g. 14B, Alytuje, kapitalinis remontas ir įkurti savarankiško gyvenimo namai 20 socialinės rizikos asmenų bei jų suaugusiems šeimos nariams. 
Įgyvendinus projektą, pagerės socialinės rizikos asmenų ir jų šeimos narių integracija į visuomenę ir darbo rinką, kadangi bus teikiamos socialinės paslaugos skirtos savarankiškumo skatinimui, buitinių-socialinių įgūdžių lavinimui, gyvenimo kokybės gerinimui.</t>
  </si>
  <si>
    <t>(8 315) 55 102</t>
  </si>
  <si>
    <t>LT077181200002130510</t>
  </si>
  <si>
    <t>10.06.01.01</t>
  </si>
  <si>
    <t>054 Būsto infrastruktūra</t>
  </si>
  <si>
    <t>AB Šiaulų bankas</t>
  </si>
  <si>
    <t>LT497181200002130045</t>
  </si>
  <si>
    <t>Projektu siekiama prisidėti prie Alytaus miesto savivaldybės socialinio būsto fondo plėtros ir padidinti Alytaus miesto savivaldybės socialinio būsto fondą ir savivaldybės socialinio būsto prieinamumą asmenims ir šeimoms, turintiems teisę į socialinio būsto nuomą. Projekto įgyvendinimo metu pirkimo būdu bus įsigyta 35 vnt. socialinių būstų, iš kurių 3 būstai bus pritaikyti neįgaliųjų poreikiams. Tikimasi, kad įgyvendinus projektą padidės galimybės apsirūpinti būstu šeimoms ir asmenims, turintiems teisę į socialinį būstą, pagerės minėtų asmenų gyvenimo kokybė, integracija į darbo rinką.</t>
  </si>
  <si>
    <t>LT407181200002130498</t>
  </si>
  <si>
    <t>Druskininkų savivaldybės administracijos įgyvendinamo projekto tikslas yra padidinti savivaldybės socialinio būsto fondo prieinamumą socialiai pažeidžaimiems Druskininkų savivaldybės gyventojams
Projekto uždavinys - teikiamų paslaugų prieinamumo didinimas, siekiant patenkinti asmenų ir šeimų, turinčių teisę į paramą būstui išsinuomoti Druskininkų savivaldybėje, poreikius. 
Projekto veikla - butų, atitinkančių statybos techniniuose reglamentuose numatomus normatyvus bei reikalavimus bei turinčių kuo aukštesnę energetinio efektyvumo klasę, pirkimas.
Projektu siekiama praplėsti Druskininkų savivaldybės socialinio būsto fondą. Projekto įgyvendinimo metu bus nupirkti 25 socialiniai būstai, iš jų 15 vnt - 1 kambario, 10 vnt. - 2 kambarių būtai. Tikimasi, kad įgyvendinus projektą socialiai pažeidžiamiems Druskininkų savivaldybės gyventojams padidės galimybės apsirūpinti būstu, pagerės gyvenimo kokybė bei integracijos į darbo rinką galimybės.</t>
  </si>
  <si>
    <t>18 Viešasis administravimas</t>
  </si>
  <si>
    <t>8 313 51 233</t>
  </si>
  <si>
    <t>Projektu siekiama prisidėti prie Lazdijų rajono savivaldybės socialinio būsto fondo plėtros. Projekto įgyvendinimo metu bus rekonstruotas esamas pastatas ir įrengti 7 vnt. socialinių būstų, bei pirkimo būdu  įsigyta 5 vnt. socialinių būstų. Būstai neįgaliesiems pritaikomi nebus. Visi būstai bus aprūpinta elektrinėmis viryklėmis. Įgyvendinus projektą padidės galimybės apsirūpinti būstu šeimoms ir asmenims, turintiems teisę į socialinį būstą, pagerės minėtų asmenų gyvenimo kokybė, integracija į darbo rinką.</t>
  </si>
  <si>
    <t>LT084010042200213117</t>
  </si>
  <si>
    <t>Projekto tikslas – padidinti Alytaus rajono savivaldybės socialinio būsto fondą, siekiant išplėsti galimybes apsirūpinti būstu asmenims ir šeimoms, turintiems teisę į socialinio būsto nuomą.Projekto įgyvendinimo metu numatoma įrengti 6 naujus socialinius būstus Alyvų g. 4, Venciūnų k. Alovės sen. Alytaus r. atliekant kapitalinį pastato remontą. Visi būstai bus aprūpinti elektrinėmis viryklėmis su orkaitėmis. Vienas butas bus pritaikomas žmonėms su judėjimo negalia.</t>
  </si>
  <si>
    <t>sekretore@arsa.lt</t>
  </si>
  <si>
    <t>LT667181200002130806</t>
  </si>
  <si>
    <t>Esama Senosios Varėnos kaimo infrastruktūra nesudaro prielaidų aktyviai bendruomenės veiklai, gyventojų užimtumui, kokybiškam laisvalaikio praleidimui bei verslo plėtrai. Siekiant prisidėti prie gyvenimo kokybės ir aplinkos gerinimo, projekto metu Senosios Varėnos kaime bus modernizuotos dvi viešosios erdvės – teritorija prie A. Ryliškio pagrindinės mokyklos ir Varėnės upės pakrantė, rekonstruotos Stadiono ir A. Ryliškio (nuo Vytauto g. iki Tilto g.) gatvių atkarpos. Tikimasi, kad įgyvendinus projektą padidės modernizuotų objektų patrauklumas, pagerės gyvenimo kokybė, bendruomeninės laisvalaikio, rekreacijos sąlygos, bus sudarytos sąlygos kurtis prekybai, įvairioms paslaugoms (smulkiam verslui), padidės vietos gyventojų saugumas.</t>
  </si>
  <si>
    <t>030030102040000</t>
  </si>
  <si>
    <t>04 Kiti integraciniai tvarios kaimo plėtros metodai</t>
  </si>
  <si>
    <t>LT237181200002130416</t>
  </si>
  <si>
    <t>2025-06-30</t>
  </si>
  <si>
    <t>Esama Matuizų kaimo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Matuizų kaime bus atnaujintas kultūros paskirties pastatas ir dalis administracinės paskirties pastato (toliau – Pastatas), teritorija prie Pastato, pritaikant tiek Pastatą, tiek aplinką bendruomenės reikmėms. Taip pat bus modernizuota gyvenamoji aplinka prie daugiabučių namų (Kalno g. 13, 15, 17, 19, 21, 23, 27, 29). Tikimasi, kad įgyvendinus projektą padidės atnaujintų objektų patrauklumas, pagerės gyvenimo kokybė, bendruomenės laisvalaikis, bus sudarytos sąlygos kurtis prekybai, įvairioms paslaugoms (smulkiam verslui), padidės vietos gyventojų saugumas.</t>
  </si>
  <si>
    <t>LT827181200002130712</t>
  </si>
  <si>
    <t>Siekiant sumažinti gyvenamosios aplinkos kokybės netolygumus Leipalingio miestelyje ir paskatinant socialinę ir ekonominę plėtrą, numatyta kompleksiškai atnaujinti viešąsias erdves Leipalingyje, pritaikant bendruomenės poreikiams.
Projekto investicijomis bus sutvarkytas Alėjos g. 26 esantis universalus sporto aikštynas įrengiant futbolo aikštę, bėgimo takus ir lauko treniruoklių aikštelę, atnaujintos Dzūkų, Sodų, Druskininkų, Kapų ir Veisiejų gatvių atkarpų ir šaligatvių dangos, įrengtas lauko tualetas šalia turgavietės, Leipalingio viešosiose erdvėse bus įrengti mažosios architektūros elementai ir pasodinti medžiai. 
Tiesioginę naudą iš numatomo įgyvendinti investicijų projekto gaus Leipalingio miestelio gyventojai ir svečiai bei miestelyje veikiantys ūkio subjektai. Šių tikslinių grupių poreikis – gyventi bei veikti patrauklioje, išplėtotoje bei efektyviai funkcionuojančioje Leipalingio miestelio aplinkoje. Projektas didins Leipalingio gyvenamosios aplinkos kokybę bei bus naudingas ekonominiam sektoriui.</t>
  </si>
  <si>
    <t>8 313 52 676</t>
  </si>
  <si>
    <t>LT287300010129595820</t>
  </si>
  <si>
    <t>Esama Viečiūnų miestelio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Viečiūnų miestelyje bus sutvarkyta Verpėjų gatvės atkarpa, įrengiant naują pėsčiųjų - dviračių taką, bus atnaujintas Viečiūnų progimnazijos stadionas, įrengiant universalų sporto aikštyną Viečiūnų miestelio bendruomenei, taip pat bus praplėsta daugiabučių gyvenamųjų namų kiemų bei viešojo naudojimo erdvių apšvietimo infrastuktūra. Tikimasi, kad įgyvendinus projektą padidės atnaujintų objektų patrauklumas, pagerės gyvenimo kokybė, bendruomenės laisvalaikis, bus sudarytos sąlygos kurtis prekybai, įvairioms paslaugoms (smulkiam verslui), padidės vietos gyventojų saugumas.</t>
  </si>
  <si>
    <t>8 313 55355</t>
  </si>
  <si>
    <t>LT067300010129482726</t>
  </si>
  <si>
    <t>2025-04-30</t>
  </si>
  <si>
    <t>"Kompleksinės paslaugos šeimai"</t>
  </si>
  <si>
    <t>Projekto tikslas - plėtoti paslaugas šeimai Kalvarijos savivaldybėje ir padidinti bendruomenėje teikiamų paslaugų prieinamumą ir kokybę. Kalvarijos socialinių paslaugų centre įsikurs Bendruomeniniai šeimos namai, užtikrinantys "vieno langelio" principą, organizuos ir koordinuos paslaugų šeimai teikimą, identifikuos pagalbos reikalingas šeimas, individualiai konsultuos asmenis ir teiks informaciją apie savivaldybėje teikiamas paslaugas, bendradarbiaus su projekto partneriu, nukreips asmenis į tikslines grupes ir į individualias specialisto konsultacijas, organizuos informacines iniciatyvas. Religinė bendrija Vilkaviškio vyskupijos "Caritas" organizuos veiklas, kuriose dalyvaus ne mažiau nei 98 asmenys. Psichologas ir socialinis darbuotojas teiks individualias psichosocialines paslaugas ne mažiau nei 83 asmenims. Psichologo konsultacijos bus teikiamos asmenims, išgyvenantiems krizę ar patyrusiems traumuojančius emocinius išgyvenimus ir jų šeimos nariams, artimiesiems. Individualios socialinio darbuotojo konsultacijos asmenims(šeimoms) bus teikiamos siekiant sudaryti sąlygas tapti aktyvesniais bendruomenės nariais save realizuojant visomis galimomis priemonėmis ir būdais. Asmenys (šeimos) turės galimybę dalyvauti grupinėse psichologo konsultacijose skirtingose grupėse. Bus ugdomi savęs pažinimo, bendravimo ir kiti įgūdžiai, skatinama socialinė integracija. Konsultacijose bus nagrinėjama 10 įvairiausių temų. 90 asmenų bus organizuojami grupiniai koučingo užsiėmimai, kurių metu remdamasis savo įžvalgomis, padedant koučingo specialistui,  klientai modeliuos būsimus veiksmus, kurie pritaikomi praktikoje, bus skatinami - augti, tobulėti, stiprinti šeimą, santykius, bendravimą su vaikais. Projekto partneris vykdys šeimos įgūdžių ugdymo ir sociokultūrines paslaugas. 98 asmenys turės galimybę savo problemas spręsti, atsakymus rasti šeimos klubų, stovyklų metu. Bus sudarytos tėvystės įgūdžių ugdymo grupės. Bus teikiamos vaikų priežiūros ir pavežėjimo paslaugos.</t>
  </si>
  <si>
    <t>030030201030000</t>
  </si>
  <si>
    <t>10.09.01.01</t>
  </si>
  <si>
    <t>14 Socialinės įtraukties skatinimas, kova su skurdu ir visų rūšių diskriminacija</t>
  </si>
  <si>
    <t>112 Galimybių naudotis įperkamomis, tvariomis ir aukštos kokybės paslaugomis, įskaitant sveikatos priežiūrą ir visuotinės svarbos socialines paslaugas, didinimas</t>
  </si>
  <si>
    <t>08 Netaikoma</t>
  </si>
  <si>
    <t>LT004 Marijampolės apskritis</t>
  </si>
  <si>
    <t>Kalvarijos savivaldybės administracija</t>
  </si>
  <si>
    <t>188751268</t>
  </si>
  <si>
    <t>Laisvės g. 2, 69214, Kalvarija</t>
  </si>
  <si>
    <t>8343 34107</t>
  </si>
  <si>
    <t>karolis.babeckas@kalvarija.lt</t>
  </si>
  <si>
    <t>Marijampolės apskritis</t>
  </si>
  <si>
    <t>Kalvarijos</t>
  </si>
  <si>
    <t>LT897300010093071797</t>
  </si>
  <si>
    <t>LT002 Kauno apskritis</t>
  </si>
  <si>
    <t>Kauno miesto savivaldybės administracija</t>
  </si>
  <si>
    <t>188764867</t>
  </si>
  <si>
    <t>Laisvės al. 96, 44251, Kaunas</t>
  </si>
  <si>
    <t>(8 37) 42 26 31</t>
  </si>
  <si>
    <t>info@kaunas.lt</t>
  </si>
  <si>
    <t>Kauno apskritis</t>
  </si>
  <si>
    <t>Kauno miesto</t>
  </si>
  <si>
    <t>LT364010051004049886</t>
  </si>
  <si>
    <t>Projektu siekiama prisidėti prie priemonės "Sveikos gyvensenos skatinimas regioniniu lygiu" įgyvendinimo. Projekto įgyvendinimo metu bus įrengta lauko treniruoklių salė, įsigytas reikalingos mokymo priemonės, suorganizuoti ir pravesti informaciniai ir šviečiamieji renginiai, mokymai, seminarai sergamumo ir pirmalaikio mirtingumo nuo kraujotakos sistemos ligų, teraumų ir nelaimingų atsitikimų profilaktikos ir onkologinių ligų profilaktikos ir kontrolės temoatika, vykdomi fizinio aktyvumo užsiėmimai , formuojamos sveikos gyvensenos vertybinės nuostatos. Tikimasi, kad įgyvendinus projektč, bus teikiamos įvairesnės ir kokybiškesnės visuomenės sveikatos paslaugos, padidės Alytaus miesto gyventojų sveikatos raštingumo lygis, bus suformuotos jų sveikos gyvensenos vertybinės nuostatos.</t>
  </si>
  <si>
    <t>010100101150000</t>
  </si>
  <si>
    <t>07.06.01.02</t>
  </si>
  <si>
    <t>20 Žmonių sveikatos priežiūra</t>
  </si>
  <si>
    <t>8 315 55 102</t>
  </si>
  <si>
    <t>Šiaulių bankas, AB</t>
  </si>
  <si>
    <t>LT097181200002130474</t>
  </si>
  <si>
    <t>Projekto „Sveikos gyvensenos skatinimas Lazdijų rajono savivaldybėje“ tikslas – padidinti Lazdijų rajono savivaldybėje tikslinių grupių asmenų sveikatos raštingumo lygį bei suformuoti pozityvius jų sveikatos elgsenos pokyčius. Šiam tikslui pasiekti bus įgyvendinamos sveikatos ugdymo priemonės, susijusios su šiomis veiklomis: traumų ir nelaimingų atsitikimų profilaktikos priemonių įgyvendinimas; sergamumo ir pirmalaikio mirtingumo nuo kraujotakos sistemos ligų mažinimo priemonių įgyvendinimas; onkologinių ligų profilaktikos priemonių įgyvendinimas; vaikų sveikatos stiprinimo, ligų profilaktikos bei efektyvaus gydymo užtikrinimo priemonių įgyvendinimas; sveiko senėjimo užtikrinimo priemonių įgyvendinimas. Planuojama rodiklio reikšmė – tikslinių grupių asmenys, kurie dalyvavo informavimo, švietimo ir mokymo renginiuose bei sveikatos raštingumą didinančiose veiklose – 1697. Pasiekus projekto tikslą ir įgyvendinus uždavinius, Lazdijų rajono savivaldybėje tikslinių grupių asmenys pasieks aukštesnį sveikatos raštingumo lygį, kuris padės susiformuoti pozityviems jų sveikatos elgsenos pokyčiams.</t>
  </si>
  <si>
    <t>301592593</t>
  </si>
  <si>
    <t>Vilniaus 1, LT-67106, Lazdijai</t>
  </si>
  <si>
    <t>(8 318) 52 075</t>
  </si>
  <si>
    <t>vsbiuras@lazdijai.lt</t>
  </si>
  <si>
    <t>LUMINOR bankas</t>
  </si>
  <si>
    <t>LT684010042200186817</t>
  </si>
  <si>
    <t>Projekto pavadinimas: ,,Sveika bendruomenė – stipri visuomenė“.
Pareiškėjas - Druskininkų savivaldybės visuomenės sveikatos biuras.
Projekto tikslas - suformuoti Druskininkų savivaldybės vaikų sveikos gyvensenos įgūdžius ir vertybines nuostatas. 
Projekto tikslinė grupė – vaikai iki 18 metų. Veiklos bus orientuotas į atskiros amžiaus grupės pagrindines sveikatos problemas ir tai leis pagerinti esamą situaciją. 
Pirmoji veiklų grupė skirta 3-7 m. darželinukams. Darželinukai bus mokomi taisyklingos laikysenos, mankštos, gerinama jų psichinė sveikata, formuojamas pykčio ir emocijų valdymas.
Antrojo veiklų grupė skirta 8-12 m. vaikams. Vaikams bus organizuojamos vasaros stovyklos, kurių metu vaikai bus skatinami būti fiziškai aktyviais. Sporto šakų specialistai vaikus mokins gatvės šokio, slidinėjimo, riedučių sporto ir važinėjimo ,,trikke“ dviračiais. Po vasaros stovyklų vaikai pasirinks pamėgtą sporto būrelį ir jį lankys toliau. 
Trečiosios grupės dalyviai – 13-17 metų mokiniai. Interaktyvių, mokomųjų priemonių metu vaikai bus skatinami vengti ir atsisakyti žalingų įpročių, kibernetinių priklausomybių. Atsižvelgiant į amžiaus grupę, bus organizuojamos paskaitos lytiškumo temomis.
Projekto trukmė: 36 mėnesiai.
Viso projekto vertė: 198997,18 Eur.</t>
  </si>
  <si>
    <t>303259363</t>
  </si>
  <si>
    <t>Veisiejų 17, 66144, Druskininkai</t>
  </si>
  <si>
    <t>(8 313) 55391</t>
  </si>
  <si>
    <t>vsb@druskininkai.lt</t>
  </si>
  <si>
    <t>LT567300010143210042</t>
  </si>
  <si>
    <t>Daugiamečiai Alytaus rajono savivaldybės visuomenės sveikatos stebėsenos duomenys rodo, kad mirtingumas dėl išorinių mirties priežasčių (skendimai, autoįvykiai, kritimai, savižudybės ir t. t.) jau ne vienerius metus užima trečią vietą mirtingumo priežasčių struktūroje. Viena iš labiausiai nerimą kelianti netyčinių mirtingumo dėl išorinių mirties priežasčių – atsitiktinis paskendimas. Mirtys dėl kraujotakos sistemos ligų užima trečią vietą.
Siekiant mažinti sveikatos netolygumus ir gerinti savivaldybės gyventojų sveikatos rodiklius Alytaus rajone būtina didinti visuomenės sveikatos raštingumo lygį, gyventojų atsakomybę už jų pačių sveikatą ir jos išsaugojimą bei formuoti pozityvius jų sveikatos elgsenos pokyčius, pasitelkiant įvairias sveikatos ugdymo priemones. Projekto metu Alytaus rajono visuomenės sveikatos biuras vykdys įvairias visuomenę šviečiančias ir sveiką gyvenseną skatinančias veiklas  visiems Alytaus rajono gyventojams: Alytaus rajono savivaldybės visuomenės sveikatos biuro infrastruktūros pritaikymas kokybiškam klientų aptarnavimui investuojant į patalpų remontą  ir transporto priemonės įsigijimą; priemonių, mažinančių žmonių abejingumą nelaimės ištiktiems, įgyvendinimas ir žinių apie pirmosios pagalbos teikimą bei profesionalios pagalbos prieinamumą skleidimas; priemonių, skatinančių sveiką gyvenseną ir sveikatos stirpinimą, įgyvendinimas . Projekto metu bus pagerinta Alytaus rajono visuomenės sveikatos biuro teikiamų sveikatos priežiūros paslaugų kokybė bei paslaugų prieinamumas tikslinėms gyventojų grupėms - vaikams ir visiems Alytaus rajono gyventojams. Įgyvendinus projektą bus padidintas tikslinių grupių asmenų sveikatos raštingumo lygis bei suformuoti pozityvūs jų sveikatos elgsenos pokyčiai.</t>
  </si>
  <si>
    <t>301785539</t>
  </si>
  <si>
    <t>Naujoji g. 48, LT-62381, Alytus</t>
  </si>
  <si>
    <t>(8-315) 214 38</t>
  </si>
  <si>
    <t>info@alytausrajonovsb.lt</t>
  </si>
  <si>
    <t>Swedbank AB</t>
  </si>
  <si>
    <t>Varėnos r. savivaldybė patenka tarp tikslinių teritorijų savivaldybių, kuriuose būtina mažinti sveikatos netolygumus, kurie yra susiję su kraujotakos sistemos ligomis, piktybiniais navikais bei mirtingumu dėl išorinių priežasčių ir nukritimų. Žemos Varėnos r. savivaldybės visuomenės sveikatos rodiklių reikšmės parodo, kad gyventojams trūksta įgūdžių ir žinių apie sveiką gyvenimo būdą ir sveikatos ugdymą: traumų profilaktiką (pirmosios pagalbos suteikimą), sveiką mitybą, priklausomybes sukeliančių medžiagų vartojimo žalą, fizinio aktyvumo naudą organizmui ir pan. Šių žinių stoka parodo žemą gyventojų sveikatos raštingumo lygį. Projekto tikslas - padidinti Varėnos r. gyventojų sveikatos raštingumo lygį ugdant jų gebėjimus gauti ir suprasti informaciją bei ja naudotis siekiant stiprinti ir palaikyti gerą sveikatą. Projektu siekiama kompleksinio sveikatos raštingumo ugdymo, todėl planuojami kompleksiniai informaciniai, šviečiamieji renginiai ir stovyklos, fizinio aktyvumo skatinimo renginiai, mobilūs sveikatinimo renginiai arčiau tikslinės grupės, pirmosios pagalbos teikimo, streso valdymo, sveiko maisto gaminimo, onkologinių ligų profilaktikos seminarai ir mokymai, vaikų kuriamų sveikatinimo projektų konkursai ir kt. O taip  pat VSB infrastruktūros modernizavimas, investuojant į patalpų remontą, transporto priemonės įsigijimą, siekiant užtikrinti teikiamų paslaugų kokybę. Projekto tikslinė grupė – Varėnos rajono gyventojai: vyresnio amžiaus asmenys, vaikai, neįgalieji bei asmenys, patenkantys į konkrečias problemines rajono sveikatos rodiklių sritis. Siektinas projekto rezultatas - 1697 tikslinės grupės asm., sudalyvavę projekto veiklose, bei modernizuotas VSB.</t>
  </si>
  <si>
    <t>301792918</t>
  </si>
  <si>
    <t>Parko 8, 65192, Varėna</t>
  </si>
  <si>
    <t>(8 3) 105 2839</t>
  </si>
  <si>
    <t>sveikatos.biuras@varena.lt</t>
  </si>
  <si>
    <t>LT817181200002130730</t>
  </si>
  <si>
    <t>“Priemonių, gerinančių ambulatorinių asmens sveikatos priežiūros paslaugų prieinamumą tuberkulioze sergantiems pacientams, įgyvendinimas”</t>
  </si>
  <si>
    <t>PASLAUGŲ TUBERKULIOZE SERGANTIEMS ASMENIMS GERINIMAS LAZDIJŲ RAJONO SAVIVALDYBĖJE</t>
  </si>
  <si>
    <t>Projekto „Paslaugų tuberkulioze sergantiems asmenims gerinimas Lazdijų rajono savivaldybėje“ tikslas - mažinti Lazdijų rajono savivaldybės gyventojų sergamumą ir mirtingumą nuo tuberkuliozės, išvengti atsparių vaistams TB mikobakterijų atsiradimo ir plitimo. Šiam tikslui pasiekti bus vykdoma priemonių, gerinančių ambulatorinių asmens sveikatos priežiūros paslaugų teikimo prieinamumą tuberkulioze sergantiems pacientams, įgyvendinimo veikla. Lazdijų rajono savivaldybė įsteigė DOTS kabinetą VšĮ Lazdijų savivaldybės pirminės sveikatos priežiūros centro, kuris yra projekto partneris, patalpose. Planuojama rodiklio reikšmė – tuberkulioze sergantys pacientai, kuriems buvo suteiktos socialinės paramos priemonės (maisto talonų dalijimas) tuberkuliozės ambulatorinio gydymo metu – 42. Pasiekus projekto tikslą ir įgyvendinus uždavinius, Lazdijų rajono savivaldybėje sumažės gyventojų sergamumas ir mirtingumas nuo tuberkuliozės, bus išvengta atsparių vaistams tuberkuliozės mikobakterijų atsiradimo ir plitimo. Projekto vertė – 15 224 Eur, prašomas ES fondų ir valstybės biudžeto finansavimas – 14 082 Eur.</t>
  </si>
  <si>
    <t>Neatliekama</t>
  </si>
  <si>
    <t>Vilniaus g. Nr. 1, 67106, Lazdijai</t>
  </si>
  <si>
    <t>LT524010042200078077</t>
  </si>
  <si>
    <t>Projekto tikslas yra sumažinti Druskininkų gyventojų sergamumą ir mirtingumą nuo tuberkuliozės, išvengti atsparių vaistams tuberkuliozės mikobakterijų atsiradimo ir plitimo. Šiam tikslui pasiekti bus įgyvendinamos priemonės, gerinančios ambulatorinių asmens sveikatos priežiūros paslaugų teikimo prieinamumą tuberkulioze sergantiems pacientams. Sergamumas tuberkulioze neretai yra susijęs su socialinėmis problemomis, todėl pacientų skatinimui kiekvieną dieną atvykti į DOTS kabinetą ir išgerti vaistų reikalingos motyvacijos  priemonės, siekiant, jog pacientai nenutrauktų gydymo ir būtų pasiekti teigiami rezultatai. Projekto metu numatoma įsigyti maisto talonus, kurie kartą per savaitę bus duodami pacientams, nustatytu periodiškumu nepertraukiamai atvykstantiems išgerti vaistų tiesiogiai stebimo trumpo gydymo kurso metu, kompensuojamos kelionės išlaidos. Projekto veiklų įgyvendinimas sudarys prielaidas efektyviam tuberkuliozės gydymui, Lietuvos gyventojų sergamumo ir mirtingumo nuo tuberkuliozės mažinimui bei leis išvengti atsparių vaistams tuberkuliozės mikobakterijų atsiradimo ir plitimo.</t>
  </si>
  <si>
    <t>Viešoji įstaiga Druskininkų pirminės sveikatos priežiūros centras</t>
  </si>
  <si>
    <t>152114846</t>
  </si>
  <si>
    <t>M. K. Čiurlionio g. 82, 66144, Druskininkai</t>
  </si>
  <si>
    <t>8 313 53702</t>
  </si>
  <si>
    <t>info@druskininkupspc.lt</t>
  </si>
  <si>
    <t>LT724010040900438155</t>
  </si>
  <si>
    <t>Projekto „Ambulatorinių sveikatos priežiūros paslaugų prieinamumo gerinimas tuberkulioze sergantiems asmenims Varėnos rajono savivaldybėje“ tikslas - mažinti Varėnos rajono gyventojų sergamumą ir mirtingumą nuo tuberkuliozės, išvengti atsparių vaistams tuberkuliozės mikobakterijų atsiradimo ir plitimo. Šiam tikslui pasiekti bus vykdoma priemonių, gerinančių ambulatorinių asmens sveikatos priežiūros paslaugų teikimo prieinamumą tuberkulioze sergantiems pacientams, įgyvendinimo veikla. Varėnos rajono savivaldybė kartu su projekto partneriu VšĮ Varėnos pirminės sveikatos priežiūros centru įsteigė DOTS kabinetą. Pacientams, kurie atvyks į Savivaldybės DOTS kabinetą išgerti jiems gydytojo pulmonologo priskirtų vaistų, kiekvieną savaitę bus skirtas maisto talonas maisto produktams, kas skatins pacientus laiku išgerti visus priskirtus vaistus. Taip pat projekto metu bus finansuojamos vykdančiojo personalo nuvykimas pas tuberkulioze sergančius asmenis, kuriems paskirtas DOTS gydymas, transporto išlaidos. Todėl tikėtina, kad pacientas, kuris reguliariai lankysis DOTS kabinete arba bus lankomas personalo, pasveiks. Planuojama rodiklio reikšmė – tuberkulioze sergantys pacientai, kuriems buvo suteiktos socialinės paramos priemonės (maisto talonų dalijimas) tuberkuliozės ambulatorinio gydymo metu – 43. Įgyvendinus projekto tikslą ir uždavinį, bus pasiektas rezultatas: sumažinti sveikatos netolygumai, pagerintas sveikatos priežiūros paslaugų teikimo prieinamumas tuberkulioze sergantiems pacientams. Tikimasi, kad įgyvendinus projektą Varėnos rajono savivaldybėje sumažės gyventojų sergamumas ir mirtingumas nuo tuberkuliozės, bus išvengta atsparių vaistams tuberkuliozės mikobakterijų atsiradimo ir plitimo. Projekto vertė – 15 679 Eur, prašomas ES fondų ir valstybės biudžeto finansavimas – 14 503 Eur.</t>
  </si>
  <si>
    <t>8 310 32 001</t>
  </si>
  <si>
    <t>LT597181200002130738</t>
  </si>
  <si>
    <t>Priemonių, gerinančių ambulatorinių sveikatos priežiūros paslaugų prieinamumą tuberkulioze sergantiems asmenims, Alytaus rajone, įgyvendinimas</t>
  </si>
  <si>
    <t>Ruošiama sutartis</t>
  </si>
  <si>
    <t>Projekto „Priemonių, gerinančių ambulatorinių sveikatos priežiūros paslaugų prieinamumą tuberkulioze sergantiems asmenims, Alytaus rajone, įgyvendinimas“ tikslas - padidinti priemonių, gerinančių ambulatorinių sveikatos priežiūros paslaugų prieinamumą tuberkulioze sergantiems asmenims, Alytaus rajone taip siekiant sumažinti savivaldybės gyventojų sergamumą ir mirtingumą nuo tuberkuliozės bei išvengti atsparių vaistams tuberkuliozė formų. Šiam tikslui pasiekti bus vykdoma priemonių, gerinančių ambulatorinių asmens sveikatos priežiūros paslaugų teikimo prieinamumą tuberkulioze sergantiems pacientams, įgyvendinimo veikla. VšĮ Alytaus rajono savivaldybės pirminės sveikatos priežiūros centras steigs DOTS kabinetą  pastato adresu Naujoji g. 48 Alytuje patalpose. Planuojama rodiklio reikšmė – tuberkulioze sergantys pacientai, kuriems buvo suteiktos socialinės paramos priemonės (maisto talonų dalijimas) tuberkuliozės ambulatorinio gydymo metu – 34. Pasiekus projekto tikslą ir įgyvendinus uždavinius, Alytaus rajono savivaldybėje sumažės gyventojų sergamumas ir mirtingumas nuo tuberkuliozės, bus išvengta atsparių vaistams tuberkuliozės mikobakterijų atsiradimo ir plitimo. Projekto vertė – 10453,00 Eur, prašomas ES fondų ir valstybės biudžeto finansavimas – 9664,25 Eur.</t>
  </si>
  <si>
    <t>Viešoji įstaiga Alytaus rajono savivaldybės pirminės sveikatos priežiūros centras</t>
  </si>
  <si>
    <t>193107218</t>
  </si>
  <si>
    <t>Naujoji g. 48, 62381, Alytus</t>
  </si>
  <si>
    <t>+370 315 71412</t>
  </si>
  <si>
    <t>alytus@pspc.lt</t>
  </si>
  <si>
    <t>LT157300010156685826</t>
  </si>
  <si>
    <t>Projektu siekiama prisidėti prie priemonės "Priemonių, gerinančių ambulatorinių sveikatos priežiūros paslaugų prieinamumą tuberkulioze sergantiems asmenims, įgyvendinimas" įgyvendinimo. Projekto įgyvendinimo metu Alytaus miesto gyventojams sergantiems tuberkulioze bus teikiamos socialinės paramos priemonės (maisto talonai ir kelionės į ir iš DOTS kabinetą  atvykimo išlaidų kompensavimas) ambulatorinio gydymosi metu. Tikimasi, kad įgyvendinus projektą DOTS kabinete bus teikiamos įvairesnės bei kokybiškesnės asmens sveikatos priežiūros paslaugos, mažės sergamumas tuberkulioze, bus teikiamas ne tik medikamentinis gydymas, bet ir socialinė parama besigydantiems asmenims nuo tuberkuliozės.</t>
  </si>
  <si>
    <t>Šiaulių bankas AB</t>
  </si>
  <si>
    <t>LT797181200002130475</t>
  </si>
  <si>
    <t>Vietos plėtros strategijų įgyvendimas</t>
  </si>
  <si>
    <t>Švenčionių rajone verslo ūkio subjektų skaičius, tenkantis 1.000-iui gyventojų yra mažiausias tarp Vilniaus apskrities savivaldybių:  verslo ūkio subjektų skaičius rajone tenkantis 1.000-iui gyventojų sudarė 40 proc. šalies ir 30 proc. Vilniaus apskrities rodiklio.
Projekto tikslas – skatinti verslo plėtrą Švenčionių mieste ir  pagerinti gyventojų įsidarbinimo galimybes. Projekto tikslui pasiekti keliamas uždavinys – teikti pagalbą verslo pradžiai Švenčionių mieste. Uždavinio įgyvendinimui numatomos veiklos:
1.  mokymai aktualiais klausimais jauno verslo subjektams;
2.  jauno verslo subjektų konsultavimas;
3. verslo pradžiai reikalingų priemonių suteikimas naudoti jauno verslo subjektams.
Bus suorganizuotos 6 mokymų sesijos po 2 dienas skirtos asmeninių ir verslumo gebėjimų ugdymui;
suteikta 700 valandų konsultacijų (metodinė pagalba mokesčių ir teisės klausimais, finansavimo šaltinių paieška, licencijavimas, atitiktis priešgaisrinės ir darbo saugos, sanitariniams ir kt. reikalams, klientų paieška);
šešiems jauno verslo subjektams suteiktos priemonės verslo pradžiai.</t>
  </si>
  <si>
    <t>030030102020000</t>
  </si>
  <si>
    <t>2. 9. 2. 1. 1.03</t>
  </si>
  <si>
    <t>114 Bendruomenės inicijuotos vietos plėtros strategijos</t>
  </si>
  <si>
    <t>06 Bendruomenės inicijuotos vietos plėtros iniciatyvos</t>
  </si>
  <si>
    <t>VšĮ "Regiono plėtros projektai"</t>
  </si>
  <si>
    <t>300529750</t>
  </si>
  <si>
    <t>Strūnaičio 66A, LT18127, Švenčionys</t>
  </si>
  <si>
    <t>+37061042645</t>
  </si>
  <si>
    <t>regionoprojektai@gmail.com</t>
  </si>
  <si>
    <t>Švenčionių raj.</t>
  </si>
  <si>
    <t>Ignalinos kredito unija</t>
  </si>
  <si>
    <t>LT345014400014003300</t>
  </si>
  <si>
    <t>Projekto tikslas - didinti Švenčionių miesto senyvo amžiaus žmonių socialinę integraciją į vietos bendruomenę.
Šiam tikslui siekti numatomas uždavinys - ugdyti ir palaikyti Švenčionių miesto senyvo amžiaus žmonių socialinius įgūdžius, įgalinant naudotis internetiniais informacijos ištekliais ir elektroninėje erdvėje teikiamomis paslaugomis.
Šio uždavinio įgyvendinimui numatomos veiklos: savanorių mokymai; socialinių paslaugų teikimas Švenčionių miesto senyvo amžiaus gyventojams.
Projektą vykdys Švenčionių rajono švietimo pagalbos tarnyba kartu su partneriu Lietuvos pensininkų sąjungos „Bočiai“ Švenčionių bendrija.</t>
  </si>
  <si>
    <t>Švenčionių rajono švietimo pagalbos tarnyba</t>
  </si>
  <si>
    <t>300044836</t>
  </si>
  <si>
    <t>Sodų 30, 18126, Švenčionys</t>
  </si>
  <si>
    <t>(8 387) 51 404</t>
  </si>
  <si>
    <t>sc.svencionys@gmail.com</t>
  </si>
  <si>
    <t>Luminor bank AB</t>
  </si>
  <si>
    <t>LT804010051004335438</t>
  </si>
  <si>
    <t>Projektas skirtas verslo plėtros Švenčionių mieste skatinimui. 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Deja, verslo kūrimas ir plėtra Švenčionyse yra sudėtingas.  Projekto tikslas – skatinti kurti verslą Švenčionių mieste siekiant pagerinti gyventojų įsidarbinimo galimybes. Šiam tikslui pasiekti keliamas uždavinys – didinti savarankiškai veiklą vykdančių gyventojų ir mažų ir vidutinių įmonių (toliau – MVĮ)  skaičių Švenčionių mieste.  Uždavinio įgyvendinimui numatomos veiklos: 
- asmeninių ir verslumo įgūdžių mokymų teikimas Švenčionių miesto gyventojams;
- Švenčionių miesto gyventojų konsultavimas verslo steigimo klausimais.  
Suplanuota organizuoti 4 temų mokymus po 2 dienas asmeninių ir verslumo gebėjimų ugdymui;  suteikti 400 valandų konsultacijų (pagalba išsirenkant tinkamiausią verslo formą, veiklos viešinimo,  tiekėjų ir klientų paieškos būdų ir metodų klausimais, metodinė pagalba mokestiniais ir teisiniais klausimais, išorinių finansavimo šaltinių paieška ir paraiškų pildymas, licencijavimas, atitiktis priešgaisrinės ir darbo saugos, sanitariniams ir kt. reikalams).  
Tikslinė grupė - darbingi gyventojai: 
• kurie yra ekonomiškai neaktyvūs asmenys ar bedarbiai;  
• kuriems (ar kurių šeimoms) pagal Lietuvos Respublikos piniginės socialinės paramos nepasiturintiems gyventojams įstatymą yra teikiama socialinė parama (pvz., socialinės pašalpos, būsto šildymo išlaidų, geriamojo vandens išlaidų ir karšto vandens išlaidų kompensacijos).  Planuojamas įtraukti dalyvių skaičius – 11 (vienuolika).</t>
  </si>
  <si>
    <t>(8 6) 1042645</t>
  </si>
  <si>
    <t>LT075014400014003301</t>
  </si>
  <si>
    <t>Šis projektas prisidės prie sporto klubo teikiamų sociokultūrinių paslaugų jauniems miesto gyventojams, patiriantiems socialinę atskirtį, prie jų gyvenimo kokybės gerinimo bei atskirties mažinimo. 
Projekto tikslas: Pagerinti sporto klubo „Grifas“ teikiamas sociokultūrines paslaugas siekiant padidinti socialinę atskirtį patiriančių socialiai pažeidžiamų gyventojų integraciją į visuomenę.
Šiam tikslui pasiekti numatomi uždaviniai:
1 Uždavinys. Sudaryti sąlygas realizuoti savo sugebėjimus ir pomėgius, dalyvaujant užimtumo veiklose.  Suplanuota sporto treniruočių organizavimas socialinę atskirtį patiriančių jaunų žmonių grupei.
2 Uždavinys. Vykdyti socialinę atskirtį patiriančių jaunų žmonių sveikos gyvensenos ir aktyvaus laisvalaikio propagavimo veiklą.  Suplanuotos šios veiklos:
a) Sporto reabilitacinės stovyklos organizavimas;
b) Sveikos gyvensenos ir psichologų paskaitų ir konsultacijų ciklas;
c) Projekto dalyvių baseino lankymas. 
Tikslinė grupė:  tiesiogiai į veiklas planuojama įtraukti 20 dalyvių, Švenčionių miesto gyventojų, patiriančių socialinę atskirtį.</t>
  </si>
  <si>
    <t>Jėgos sporto šakų klubas "Grifas"</t>
  </si>
  <si>
    <t>178995676</t>
  </si>
  <si>
    <t>Asociacija</t>
  </si>
  <si>
    <t>Sodų 28, LT18123, Švenčionys</t>
  </si>
  <si>
    <t>8 686 18247</t>
  </si>
  <si>
    <t>donka@dtiltas.lt</t>
  </si>
  <si>
    <t>LT907300010156111691</t>
  </si>
  <si>
    <t>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Projekto poreikis yra nulemtas atsižvelgiant į sudėtingą verslo kūrimo ir plėtros situaciją Švenčionyse.
Projekto tikslas–skatinti jauno verslo plėtrą Švenčionių mieste siekiant pagerinti gyventojų įsidarbinimo galimybes. Projekto tikslui pasiekti keliamas uždavinys – teikti pagalbą verslo steigimo bei vystymo klausimais Švenčionių mieste.  Uždavinio įgyvendinimui numatomos veiklos:
-mokymų aktualiais klausimais teikimas projekto dalyviams;
-projekto dalyvių konsultavimas ir mentorystė.
Projekto tikslinė grupė yra darbingi gyventojai:
-kurie yra ekonomiškai neaktyvūs asmenys ar bedarbiai;
-kuriems (ar kurių šeimoms) pagal Lietuvos Respublikos piniginės socialinės paramos nepasiturintiems gyventojams įstatymą yra teikiama socialinė parama (pvz., socialinės pašalpos, būsto šildymo išlaidų, geriamojo vandens išlaidų ir karšto vandens išlaidų kompensacijos). 
Į projekto veiklas bus įtraukti 7 asmenys.
Siekiami rezultatai:
-suorganizuotos 4 mokymų sesijos po 2 dienas;
-suteikta 446 valandų konsultacijų.
Poveikis:
7 projekto tikslinės grupės atstovai gaus tikslinius mokymus ir konsultacijas verslo pradžiai. Įvairūs tyrimai ir praktika rodo, kad dažnas jauno verslo subjekto likimas – bankrotas ar užsidarymas. Tai nutinka dėl nepasirengimo vykdyti verslą, nepatyrimo, specifinių žinių ir įgūdžių trūkumo, investicijų trūkumo. Šis projektas minimizuos įvardintas nesėkmės priežastis, kadangi numatoma kompleksinė parama: ekspertų ir verslininkų mokymai ir konsultacijos padidins dalyvių verslumo gebėjimus, verslo stabilumą, leis pasirinkti tinkamiausią verslo formą, efektyviai susidoroti su reikalavimų (teisiniai, mokestiniai ir pan.) našta.</t>
  </si>
  <si>
    <t>Uždaroji akcinė bendrovė "Darėjas"</t>
  </si>
  <si>
    <t>178866090</t>
  </si>
  <si>
    <t>Gedimino g. 10-1, 18124, Švenčionys</t>
  </si>
  <si>
    <t>868635211</t>
  </si>
  <si>
    <t>darejas72@gmail.com</t>
  </si>
  <si>
    <t>LT364010051004342438</t>
  </si>
  <si>
    <t>08.6.1-ESFA-V-911-11-0006</t>
  </si>
  <si>
    <t>Ebru tapyba - pozityvios socializacijos menas vaikams iš socialinės rizikos šeimų</t>
  </si>
  <si>
    <t>Projekto tikslas – mažinti vaikų iš socialinės rizikos šeimų atskirtį, užtikrinti įgytų įgūdžių, žinių naudojimą bei plėtojimą projektui pasibaigus.
         Šio tikslo siekimui numatomas uždavinys - gerinti Švenčionių rajono vaikų iš socialinės rizikos šeimų socialinius įgūdžius, socialinės integracijos į visuomenę sąlygas.
         Šio uždavinio įgyvendinimui numatomos veiklos: 
         ebru edukaciniai užsiėmimai;
         savanorių mokymai;
         ebru technika sukurtų darbų paroda;
         projekto veiklų viešinimas.
 Projektą vykdys  projekto vadovas, projekto partneriai, finansininkas ir savanoriai. Siekiami rezultatai – edukacinių užsiėmimų metu dalyvaus 45 vaikai (po 15 vaikų iš trijų ugdymo įstaigų), bus priimti 3 savanoriai (iš kiekvienos ugdymo įstaigos po 1 savanorį).</t>
  </si>
  <si>
    <t>Sodų g. 30, 18126, Švenčionys, Švenčionių r.</t>
  </si>
  <si>
    <t>8387 51404</t>
  </si>
  <si>
    <t>Projektas bus įgyvendinamas kartu su VŠĮ Vilniaus ir Alytaus regionų aklųjų centru  , į veiklas siekiant įtraukti ir silpnai matančiuosius vaikus.
Projekto tikslas: spręsti socialinės atskirties problemą Švenčionių mieste, siekiant padidinti bendruomenės socialinę integraciją, pagerinti socialinių paslaugų teikimą Švenčionių mieste. Šio tikslo įgyvendinimui numatomas uždavinys: patobulinti socialinių įgūdžių ugdymo ir palaikymo paslaugų kokybę. 
 Šio uždavinio įgyvendinimui numatomos veikla:
1. pagerintų paslaugų teikimas: mokymų organizavimas ir naujų būrelių „Pamatyk pasaulį per kiną“ ir „Pagauk vėją“ įdiegimas.
Projekto metu bus organizuojami mokymai, įsigytos priemonės,  teikiamos pagerintos socialinių įgūdžių ugdymo ir palaikymo paslaugos. 
Tikslinė grupė: tiesiogiai į veiklas planuojame įtraukti 21 vaiką iš nepasiturinčių šeimų, kurioms teikiama socialinė parama. Būrelio „Pamatyk pasaulį per kiną“- tikslinė grupė - 10 vaikų (8-15 m.), būrelio „Pagauk vėją“ - tislinė grupė - 11 (6 -14 m.) vaikų. Projekte dirbs du savanoriai.
Poveikis: įgyvendinus projektą sumažės socialinė atskirtis,  21 vaikas įsitrauks į kultūrines ir socialines veiklas, taps aktyvesniais bendruomenės nariais, patobulins savo įgūdžius. Projekte dirbs savanoriai, iš jų vaikai gaus žinių ir patirties ne tik susijusių su vykdoma veikla, bet ir apie savanorio darbą, kaip  panaudoti savo sugebėjimus ir patirtį, įgauti naujų įgūdžių, susirasti draugų bei pakeisti socialinį gyvenimą.</t>
  </si>
  <si>
    <t>Švenčionių socialinių paslaugų centras</t>
  </si>
  <si>
    <t>303212602</t>
  </si>
  <si>
    <t>Stoties  g. 16, LT-18123, Švenčionys</t>
  </si>
  <si>
    <t>(8 387) 51744</t>
  </si>
  <si>
    <t>centras@svencioniuspc.lt</t>
  </si>
  <si>
    <t>LT324010051001864257</t>
  </si>
  <si>
    <t>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Deja, verslo kūrimas ir plėtra Švenčionyse yra sudėtingas.
Projekto tikslas – skatinti verslo plėtrą Švenčionių mieste siekiant pagerinti gyventojų įsidarbinimo galimybes. Projekte numatomos veiklos:
- mokymų aktualiais klausimais teikimas jauno verslo subjektams;
- konsultavimas ir mentorystė jauno verslo subjektams;
- verslo pradžiai reikalingų priemonių suteikimas naudoti jauno verslo subjektams.
Tikslinė grupė: jauno verslo subjektai - juridiniai asmenys (atstovai ir darbuotojai) arba fiziniai asmenys dirbantys savarankiškai, kurių veiklos vykdymo vieta Švenčionių miestas. Planuojamas įtraukti dalyvių skaičius – 6 (šeši).
Siekiami rezultatai:
- suorganizuotos 6 mokymų sesijos po 2 dienas skirtos asmeninių ir verslumo gebėjimų ugdymui;
- suteikta 1334 valandų konsultacijų (pagalba randant tiekėjus ir klientus, metodinė pagalba mokestiniais ir teisiniais klausimais, išorinių finansavimo šaltinių paieška, licencijavimas, atitiktis priešgaisrinės ir darbo saugos, sanitariniams ir kt. reikalams);
- jauno verslo subjektams suteiktos priemonės verslo pradžiai.
Poveikis:  6 jauno verslo subjektai gaus tikslinius mokymus ir konsultacijas, priemones verslo pradžiai. Ekspertų ir verslininkų mokymai ir konsultacijos padidins dalyvių asmeninius ir verslumo gebėjimus, užtikrins verslo stabilumą, leis efektyviai susidoroti su reikalavimų (teisiniai, mokestiniai ir pan.) našta. Priemonės verslo pradžiai padės „įsivažiuoti“ kol verslo subjektai galės įsigyti savų priemonių.</t>
  </si>
  <si>
    <t>K. Savicko įmonė "Keseda"</t>
  </si>
  <si>
    <t>278860590</t>
  </si>
  <si>
    <t>Individuali įmonė</t>
  </si>
  <si>
    <t>Naujoji 23, 18124, Švenčionys</t>
  </si>
  <si>
    <t>+37068895555</t>
  </si>
  <si>
    <t>keseda@gmail.com</t>
  </si>
  <si>
    <t>LT427300010138667590</t>
  </si>
  <si>
    <t>Projekto tikslas yra: Padidinti pagyvenusių ir neįgalių žmonių socialinę integraciją į visuomenę. 
Šiam tikslui pasiekti numatomas uždavinys: Gerinti teikiamas sociokultūrines paslaugas Švenčionių socialinių paslaugų centre.
Projekto įgyvendinimo metu bus vykdoma pagyvenusių ir neįgalių žmonių užimtumo, edukacinė pažintinė ir kultūrinė veikla, organizuojami savanorių mokymai, įgyta įranga, teikiamos pagerintos sociokultūrinės paslaugos.
Projekto veiklose dalyvaus 20 neįgaliųjų ir senyvo amžiaus asmenų, kurie sustiprins tarpusavio ryšius, užmegs naujas pažintis, pasijus lygiaverčiais, reikalingais, pripažintais ir svarbiais.
Apmokytas savanoris padės projekto dalyviams bendrauti ir spręsti socialines, dvasines problemas, organizuos jų užimtumą ir laisvalaikį.
Projekto veiklos bus viešinamos vietinėje spaudoje ir Facebook socialiniame tinkle, internetinėje svetainėjė. 
Projektą vykdys Švenčionių socialinių paslaugų centras kartu su Švenčionių rajono neįgaliųjų draugija. Tai puiki galimybė įtraukti visuomenines organizacijas į bendrą socialinių paslaugų sistemą, kaip lygiaverčius partnerius.</t>
  </si>
  <si>
    <t>Stoties 16, 18123, Švenčionys</t>
  </si>
  <si>
    <t>(8~387)51 744</t>
  </si>
  <si>
    <t>LT374010051001864264</t>
  </si>
  <si>
    <t>08.6.1-ESFA-V-911-11-0011</t>
  </si>
  <si>
    <t>Jaunimo užimtumo skatinimo iniciatyva Švenčionių mieste</t>
  </si>
  <si>
    <t>Švenčionių rajono savivaldybeje pastebimas MI mažėjimas, o ryšium su tuo yra nedarbas Švenčionių mieste. Gyventojų rajone ne tik mažėja, bet ir sparčiai senėja. Mažėjant dirbančiųjų skaičiui, didėja bedarbystė, o įsidarbinti arba pradėti savo verslą dažnai trukdo trūkstama kompetencija.
Projektu sprendžiama problema yra nedarbo Švenčionių mieste mažinimo problema. Įgyvendinant projektą, bus padedama įgyti darbo įgūdžių jauniems specialistams, turintiems kvalifikaciją, taip pat suteikti trūkstamų žinių žmonėms, ieškantiems darbo, bei kuriantiems verslą. Šio projekto tikslas, įgyvendinant vietos plėtros strategiją, pagerinti Švenčionių bendruomenės narių padėtį darbo rinkoje, socialinę integraciją, suteikiant rinkoje paklausius darbo įgūdžius. 
Atsirenkant dalyvius bus orientuojamasi į jaunus žmones iki 29 metų, kuriems reikalingos buhalterinės apskaitos žinios.</t>
  </si>
  <si>
    <t>Uždaroji akcinė bendrovė "Aktyvios idėjos"</t>
  </si>
  <si>
    <t>178851430</t>
  </si>
  <si>
    <t>Vilniaus 4 - 1, 18123, Švenčionys</t>
  </si>
  <si>
    <t>+37061241340</t>
  </si>
  <si>
    <t>aktyvios.idejos@gmail.com</t>
  </si>
  <si>
    <t>LT205014400014002873</t>
  </si>
  <si>
    <t>Projekto tikslinės grupės –  (ikimokyklinio amžiaus vaikų, lopšelio-darželio personalo) poreikiai yra susiję su kokybiškų  paslaugų gavimu/teikimu, šiuolaikinės  ugdymo aplinkos ir erdvių, skatinančių kūrybiškumą, kūrimu.  Siekiant patenkinti tikslinės grupės poreikius planuojama atlikti Alytaus lopšelio-darželio „Girinukas“ patalpų (3 grupių) atnaujinimo darbus ir įsigyti modernias ugdymo priemones.
Planuojamo įgyvendinti projekto tikslas -  pagerinti Alytaus lopšelio-darželio „Girinukas“ teikiamų paslaugų kokybę, modernizuojant ugdymo patalpas ir įsigyjant vaikų kūrybiškumą ir savireguliaciją skatinančias priemones.</t>
  </si>
  <si>
    <t>110010301040000</t>
  </si>
  <si>
    <t>09.08.01.01</t>
  </si>
  <si>
    <t>052 Ikimokyklinio ugdymo ir priežiūros infrastruktūra</t>
  </si>
  <si>
    <t>10 Investicijos į švietimą, gebėjimus ir mokymąsi visą gyvenimą</t>
  </si>
  <si>
    <t>AB Šiaulių bankas Alytaus KAC</t>
  </si>
  <si>
    <t>LT347181200002130509</t>
  </si>
  <si>
    <t>2024-10-30</t>
  </si>
  <si>
    <t>Šio projekto tikslas –  didinti ikimokyklinio ir priešmokyklinio ugdymo įstaigų tinklo veiklos efektyvumą Lazdijų rajone. Projekto metu pagal tipinį projektą LD 01 bus atnaujinamos esamos ikimokyklinės ugdymo grupės patalpos ir modernizuojamos šiuo metu nenaudojamos vaikų ugdymo grupės patalpos, joms abiems priskiriamų erdvių patalpos (pagrindinė erdvė, kurioje vyksta vaikų ugdymas, priėmimo–nusirengimo erdvė, vaikų poilsiui/miegui skirta erdvė, tualetas, prausykla, grupės virtuvėlė ir kitos, grupės vaikams ir joje dirbančiam personalui skirtos erdvės), kurios bus pritaikomos kokybiškai vykdyti ikimokyklinio ir/ar priešmokyklinio ugdymo programas.</t>
  </si>
  <si>
    <t>8 318 66108</t>
  </si>
  <si>
    <t>LT594010042200273115</t>
  </si>
  <si>
    <t>Pagrindinė Varėnos "Pasakos" vaikų lopšelio-darželio problema – pasenusi, šiuolaikinių standartų ir poreikių neatitinkanti infrastruktūra, neišnaudojamos esamos patalpos, tinkamų priemonių trūkumas. Šios problemos neleidžia įstaigos darbuotojams suteikti tinkamų sąlygų vaikų ugdymui bei padidinti vietų skaičių lopšelyje-darželyje. Projekto tikslas - prisidėti prie neformalaus ugdymo įstaigų tinklo veiklos efektyvumo didinimo Varėnos rajone.
Projekto metu bus modernizuotos trys grupės Varėnos „Pasakos“ vaikų lopšelyje-darželyje, esančiame adresu Dzūkų g. 11, Varėna , t. y. neišnaudojamose lopšelio-darželio patalpose bus sukurtos 35 ikimokyklinio ir priešmokyklinio ugdymo vietos (atnaujintos dvi grupės ir šalia jų esančios erdvės) bei atnaujinta priešmokyklinio ugdymo grupė. Atnaujintoms ugdymo grupėms bus nupirkti nauji baldai, būtini ugdymo veikloms teikti.
Projektu siekiama padidinti ikimokyklinio ir priešmokyklinio ugdymo Varėnos rajone aprėptį bei pagerinti ikimokyklinio ir priešmokyklinio ugdymo paslaugų kokybę. Modernizavus Varėnos „Pasakos“ vaikų lopšelio-darželio pastatą ir padidės vietų skaičių ugdymo įstaigoje ir vaikams bus sudarytos kokybiškos ugdymo sąlygos.</t>
  </si>
  <si>
    <t>LT937181200002130417</t>
  </si>
  <si>
    <t>2025-03-31</t>
  </si>
  <si>
    <t>Projekto pavadinimas Alytaus r. ikimokyklinio ir priešmokyklinio ugdymo prieinamumo didinimas, įkuriant ir atnaujinant edukacines erdves</t>
  </si>
  <si>
    <t>Projekto metu bus modernizuoti Alytaus r. Simno, Butrimonių ir Miroslavo gimnazijų ikimokykliniai skyriai, sukurta 60 naujų vietų, įsigyti būtini baldai ir edukacinės priemonės.
Įgyvendinus projektą, bus atnaujintos 6 ugdymo įstaigų grupės, iš kurių 3 grupės kuriamos naujai (po vieną grupę kiekvienoje iš planuojamų atnaujinti įstaigų), sutvarkyta lauko teritorija.
Projektu siekiama padidinti ikimokyklinio ir priešmokyklinio ugdymo prieinamumą bei pagerinti  ikimokyklinio ir priešmokyklinio ugdymo paslaugų kokybę Alytaus rajone. Modernizavus grupes padidės vietų skaičius ugdymo įstaigose bei vaikams bus sukurtos kokybiškos ugdymo paslaugos.</t>
  </si>
  <si>
    <t>Pulko g. 21, 62135, Alytus</t>
  </si>
  <si>
    <t>LT617181200002130799</t>
  </si>
  <si>
    <t>2025-07-31</t>
  </si>
  <si>
    <t>Projekto tikslas – pagerinti ugdymo(si) kokybę Druskininkų sav. Viečiūnų progimnazijos ikimokyklinio ugdymo skyriuje "Linelis".
Projekto investicijos numatytos į Druskininkų sav. Viečiūnų progimnazijos ikimokyklinio ugdymo skyriaus „Linelis“ infrastruktūros modernizavimą vidaus patalpose, t.y. planuojama atnaujinti 3 (tris) vaikų ugdymo grupes, aprūpinant priemonėmis, skatinančiomis vaikų kūrybiškumą ir savireguliaciją. Kadangi pastaraisiais metais vaikų, lankančių šią įstaigą daugėja, planuojama vietoje esančio metodinio kabineto įsteigti 1 (vieną) naują vaikų ugdymo grupę.</t>
  </si>
  <si>
    <t>AB bankas Swedbank</t>
  </si>
  <si>
    <t>LT927300010130110029</t>
  </si>
  <si>
    <t>Projekto tikslas - didinti Lazdijų rajono savivaldybės bendrojo ugdymo įstaigų tinklo veiklos efektyvumą, kuriant mokyklose modernias kūrybiškumą skatinančias edukacines erdves. Projekto įgyvendinimo metu veiklos bus vykdomos trijose Lazdijų rajono savivaldybės gimnazijose:
1. Lazdijų Motiejaus Gustaičio gimnazijoje bus suremontuota ir modernizuota gamtos mokslų laboratorija, įrengiant dvi atskirtas erdves, turinčias tarpusavio jungtis - teorinę klasę ir praktikos laboratoriją su išskirtinių bandymų įranga ir įdiegta 3D klasės įranga su gamtos mokslams pritaikyta programine įranga;
2. Lazdijų r. Veisiejų Sigito Gedos gimnazijoje bus suremontuota ir modernizuota gamtos mokslų laboratorija, įrengiant tris atskirtas erdves, turinčias tarpusavio jungtis - teorinę klasę, praktikos laboratoriją ir bandymų paruošimo patalpą. Laboratorijoje bus įdiegta 3D klasės įranga su gamtos mokslams pritaikyta programine įranga;
3. Lazdijų r. Seirijų Antano Žmuidzinavičiaus gimnazijoje bus suremontuota ir modernizuota sporto salė, persirengimo kambariai, sanitarinės patalpos bei dušai).</t>
  </si>
  <si>
    <t>110010301050000</t>
  </si>
  <si>
    <t>051 Mokykliniam ugdymui (pradiniam ir bendrajam viduriniam išsilavinimui) skirta švietimo infrastruktūra</t>
  </si>
  <si>
    <t>LT444010042200090055</t>
  </si>
  <si>
    <t>Alytaus Dzūkijos pagrindinei mokyklai keliamas uždavinys – padėti kiekvienam mokiniui, atsižvelgiant į jo gebėjimus, ugdymosi poreikius ir interesus bei tėvų (globėjų, rūpintojų) lūkesčius, išsiugdyti bendrąsias kompetencijas – mokėjimo mokytis, komunikavimo, pažinimo, socialinę pilietinę, iniciatyvumo ir kūrybingumo, asmeninę ir kultūrinę, kurios ypač reikšmingos asmens brandai, rengimuisi tolesniam mokymuisi ir profesinei karjerai, gyvenimui žinių visuomenėje.
Mokykla siekia sudaryti sąlygas mokinių grupiniam ir individualiam, teoriniam ir praktiniam, aktyviam, taip pat tinkliniam ar globaliam mokymuisi. 
Tačiau keičiasi ugdymo programos, mokymosi formos, mokymo proceso organizavimo būdai ir metodai, diegiamos naujos informacinės technologijos, o mokyklos erdvių ir mokymosi aplinkos modernizavimas sparčiai atsilieka. Tikslinės grupės Alytaus Dzūkijos pagrindinės mokyklos mokinių poreikiai yra susiję su kokybiškų švietimo paslaugų gavimu, šiuolaikinės mokymosi aplinkos ir erdvių, skatinančių kūrybiškumą, kūrimu.
Todėl siekiant patenkinti mokinių poreikius ir plėtoti inkliuzinį ugdymą, projekto metu numatyta atnaujinti klases, įkurti modernias, kūrybiškumą skatinančias edukacines erdves, įsigyti reikiamą įrangą ir baldus.</t>
  </si>
  <si>
    <t>LT837181200002130500</t>
  </si>
  <si>
    <t>09.1.3-CPVA-R-724-11-0003</t>
  </si>
  <si>
    <t>Siekiant didinti bendrojo ir neformalaus ugdymo įstaigų tinklo veiklos efektyvumą, projekto metu planuojama iškelti veikiantį Varėnos r. Merkinės Vinco Krėvės gimnazijos Ikimokyklinio ir priešmokyklinio ugdymo skyrių iš buvusios Varėnos r. Merkinės pagrindinės mokyklos patalpų į Varėnos r. Merkinės Vinco Krėvės gimnazijos mokomojo korpuso pastato laisvas patalpas, adresu Seinų g.10, Merkinė, unikalus Nr. 4400-0729-2202. Gimnazijos pastato, kuriame būtų įrengtos ikimokyklinio ir priešmokyklinio ugdymo grupės, būklė prasta, patalpos neremontuotos, infrastruktūra neatitinka higienos normų. Projekto metu planuojama atlikti Gimnazijos pastato, unikalus Nr. 4400-0729-2202, remontą, atnaujinti baldus ir įrangą, įrengti lauke vaikų žaidimo aikštelę. Įgyvendinus projektą bus sukurtos funkcionalios, lengvai pertvarkomos, modernios bei kūrybiškumą skatinančios edukacinės erdvės ikimokyklinio ir priešmokyklinio ugdymo vaikams laisvose Gimnazijos mokomojo korpuso patalpose bei patobulinta vaikų ugdymo kokybė.</t>
  </si>
  <si>
    <t>LT147181200002130384</t>
  </si>
  <si>
    <t>Siekiant sukurti modernias kūrybiškumą skatinančias erdves ir pagerinti ugdymo(si) kokybę Druskininkų „Atgimimo“ mokykloje, numatyta atnaujinti dalį pastato, esančio M. K. Čiurlionio g. 92 Druskininkuose, patalpų, kuriose nuo 1969 metų nebuvo atliktas remontas ir kurios neatitinka šiuolaikinio ugdymo reikalavimų. Projekto investicijos numatytos į bendrojo ugdymo mokyklos mokomojo II korpuso II aukšto modernių kūrybiškumą skatinančių edukacinių erdvių kūrimą, atnaujinant ir įrengiant informacinių technologijų kabinetus. Projekto rezultatas - atnaujinta bendrojo ugdymo mokykla, kurioje sukurtos modernios kūrybiškumą skatinančios erdvės. Projekto tikslinė grupė - mokiniai, kurie naudosis sukurta / atnaujinta infrastruktūra. Projektas prisidės prie darnaus vystymosi principų įgyvendinimo, pritaikant universalaus dizaino principus.</t>
  </si>
  <si>
    <t>„Swedbank” AB</t>
  </si>
  <si>
    <t>LT957300010120121497</t>
  </si>
  <si>
    <t>Projekto „Alytaus rajono bendrojo ugdymo įstaigų aprūpinimas gamtos, technologijų, menų ir kitų mokslų laboratorijų įranga“ tikslas - bendrojo ugdymo įstaigų veiklos efektyvumo didinimas ir modernių mokymosi erdvių kūrimas Alytaus rajono savivaldybėje. Projekto įgyvendinimo metu veiklos vykdomos Alytaus rajono Simno ir Butrimonių gimnazijose. Numatoma atlikti esamos laboratorijos remonto darbus (elektros instaliacijos, vėdinimo įrengimo) bei įrengti naujas ir modernias patalpas chemijos, fizikos laboratorijai; įsigyti naujus ir saugos reikalavimus atitinkančius laboratorinius baldus; įsigyti įrangą, mokymosi priemones, skirtas gamtos, chemijos ir fizikos mokomiesiems dalykams).</t>
  </si>
  <si>
    <t>AB „Swedbank“</t>
  </si>
  <si>
    <t>VšĮ „Lazdijų sporto centras“ siekia įgyvendinti projektą „Neformaliojo švietimo įstaigų Lazdijų rajono savivaldybėje infrastruktūros tobulinimas“. Projekto tikslas: neformaliojo vaikų švietimo aplinkos gerinimas ir infrastruktūros tobulinimas Lazdijų rajono savivaldybėje. 
Projekto įgyvendinimo metu bus atliktas pastato antro aukšto kapitalinis remontas (viso apie 488,94 m2), po kurio antrajame aukšte bus įrengtos 3 sporto salės 2 sporto šakoms (aerobinei gimnastikai ir kūno rengybai) ir įsigyta trūkstama sporto įranga (viso apie 31 vnt.). Projekto įgyvendinimas turės įtakos pagrindinėms tikslinėms grupėms – VšĮ „Lazdijų sporto centras“ mokiniams, lankytojams  ir visiems kitiems Lazdijų miesto ir apylinkių gyventojams bei prisidės prie universalaus dizaino principo įgyvendinimo.</t>
  </si>
  <si>
    <t>110010304030000</t>
  </si>
  <si>
    <t>Viešoji įstaiga Lazdijų sporto centras</t>
  </si>
  <si>
    <t>190613858</t>
  </si>
  <si>
    <t>Dzūkų g. 4, LT-67125, Lazdijai</t>
  </si>
  <si>
    <t>8 318 51998</t>
  </si>
  <si>
    <t>sportas@lazdijai.lt</t>
  </si>
  <si>
    <t>LT134010042200010006</t>
  </si>
  <si>
    <t>2024-07-25</t>
  </si>
  <si>
    <t>Problema yra nepakankamas neformalaus švietimo ugdymo paslaugų prieinamumas Druskininkų M. K. Čirulionio meno mokykloje. Projekto tikslas - pagerinti mokykloje vykdomų neformaliojo švietimo veiklų kokybę ir padidinti jų prieinamumą. Projekto metu bus suremontuotas mokyklos pastatas, atnaujintas vitražas kaip meninė ir vertinga edukacinė priemonė, bus įsigyti muzikos instrumentai, įranga bei baldai būtini ugdymo veikloms teikti.
Rezultatas – atnaujintos mokyklos erdvės pritaikytos 3 krypčių neformaliojo vaikų švietimo programų įgyvendinimui, projekto rezultatais galės pasinaudoti ne mažiau kaip 380 mokinių lankančių mokyklą.
Projektas prisideda prie darnaus vystymosi principų, nenumatyti neigiamą poveikį lyčių lygybei ir nediskriminavimo principams turintys apribojimai, įgyvendinami universalaus dizaino principai.</t>
  </si>
  <si>
    <t>LT127300010130109917</t>
  </si>
  <si>
    <t>Pagrindinė projekto problema – nepakankama Varėnos moksleivių kūrybos centro (toliau - Centro) teikiamų neformaliojo ugdymo paslaugų kokybė. Pagrindinės problemos priežastys yra susijusios su nepakankama infrastruktūra: prasta Centro pastato būkle ir įrangos bei baldų trūkumu. Inicijuojamu projektu bus modernizuotas Centro pastatas, o pats Centras aprūpintas tinkamai ir kokybiškai neformaliojo švietimo veiklai reikalinga įranga bei baldais. Taip siekiama sudaryti tinkamas, higienos normas atitinkančias ir kokybiškesnes veiklos prasme sąlygas Centre besimokantiems moksleiviams, taip pat pritraukti naujų lankytojų, taip didinant Varėnos rajono moksleivių užimtumą ir naudingą laiko praleidimą užklasinėje veikloje. Projektu bus patobulinta neformaliojo švietimo infrastruktūra Varėnoje.</t>
  </si>
  <si>
    <t>LT907181200002130374</t>
  </si>
  <si>
    <t>Vaikų lankančių švietimo įstaigas Alytaus mieste kasmet mažėja, tačiau jų poreikis ir įsitraukimas į neformaliojo švietimo veiklas išlieka stabilus, dėl to atsiranda poreikis užtikrinti teikiamų paslaugų kokybę ir kurti naujas veiklas, didinant pasiūlos galimybes. Alytaus muzikos mokykla teikia neformaliojo vaikų švietimo paslaugas, tačiau jos teikiamos nesutvarkytoje ir tam nepritaikytoje infrastruktūroje. Projekto metu bus suremontuota dalis mokyklos patalpų, atnaujinta šildymo sistema, elektros apšvietimas, elektroniniai ryšiai, vidaus vandentiekis ir nuotekos, įsigyta kompiuterinė įranga, baldai, muzikos instrumentai. Sutvarkius infrastruktūrą bus pagerintos bei išplėstos neformaliojo švietimo veiklos, vykdomos papildomos, neformaliojo vaikų švietimo veiklos: etnokultūrinis ugdymas (dainavimas, solfedis, šokamieji žaidimai, ritmika, kanklės) ir muzikinis teatras (sceninis judesys, choras, šokis, vaidyba).</t>
  </si>
  <si>
    <t>8 315 55111</t>
  </si>
  <si>
    <t>LT087181200002130492</t>
  </si>
  <si>
    <t>2024-11-30</t>
  </si>
  <si>
    <t>Projekto metu įgyvendinamomis veiklomis bei sukuriama infrastruktūra numatoma padidinti bendrojo ugdymo ir neformaliojo švietimo įstaigų tinklo efektyvumą. Projekto tikslas - didinti neformalaus švietimo paslaugų prieinamumą Alytaus rajone. Alytaus r. meno ir sporto mokykla siekdama projekto tikslo, numato rekonstruoti mokslo paskirties pastatą Vytauto g.44, Nemunaičio miestelyje, Alytaus raj. sav. ir pritaikyti stovykloms organizuoti.  Taip pat projekto įgyvendinimo metu, siekiant didinti mokyklos teikiamų paslaugų prieinamumą sutvarkoma sporto salė Dauguose. Projekto rezultatai - 384 vaikai, gaunantys aukštesnės kokybės neformalaus švietimo paslaugas, modernizuota viena neformalaus švietimo paslaugas teikianti įstaiga.</t>
  </si>
  <si>
    <t>LT287181200002130811</t>
  </si>
  <si>
    <t>Paslaugų ir asmenų aptarnavimo kokybės gerinimas savivaldybėse</t>
  </si>
  <si>
    <t>Projekto „Paslaugų teikimo ir asmenų aptarnavimo kokybės gerinimas Varėnos rajono savivaldybėje“ tikslas – gerinti asmenų aptarnavimo Varėnos rajono savivaldybės viešojo valdymo institucijose kokybę ir didinti teikiamų paslaugų prieinamumą visuomenei.
Projektas yra orientuotas į pasauline gerojo viešojo valdymo praktika pagrįstus Lietuvos Respublikos strateginiuose dokumentuose numatytus viešųjų paslaugų teikimo sistemos tobulinimo tikslus ir priemones.
Projekto veiklos pasirinktos ir suplanuotos visapusiškai įvertinus dabartinės viešųjų paslaugų teikimo ir organizavimo sistemos būklę ir jos tobulinimo sąlygas Savivaldybėje: demografines ir geografines rajono charakteristikas, esminius paslaugų paklausos aspektus, nepakankamą paslaugų prieinamumą kaimiškosiose gyvenamosiose vietovėse, vidinių (Savivaldybės administracijos) ir tarpinstitucinių (su pavaldžiomis įstaigomis) procesų optimizavimo ir automatizavimo poreikį, veiklos ir procesų atitiktį norminiams dokumentams bei normatyviniams visuomenės poreikius atitinkančio gyventojų aptarnavimo principams.
Projektu numatyta tobulinti ir plėsti konsultavimosi su paslaugų vartotojais mechanizmą, parengti Piliečių (paslaugų) chartiją, įtvirtinti dialogo su paslaugų vartotojais metu nustatytus teikiamų paslaugų ir asmenų aptarnavimo kokybės standartus. Įgyvendinant projektą didelė reikšmė bus teikiama asmenų aptarnavimo vieno langelio principu funkcionalumo užtikrinimui ir nuolatinio paslaugų kokybės, stebėsenos ir vertinimo sistemos sukūrimui, išplečiant vartotojų galimybes reikšti poreikius ir reikalavimus dėl teikiamų paslaugų. Siekiant padidinti paslaugų prieinamumą kaimiškosiose rajono gyvenvietėse, bus užtikrinamas bibliotekos, svarbiausių administracinių ir gretutinių paslaugų teikimas nuo seniūnijų centrų nutolosių gyvenviečių bendruomenėms, naudojant pagal nustatytą grafiką kursuosiančią paslaugų teikimui pritaikytą transporto priemonę.</t>
  </si>
  <si>
    <t>16 Valdžios institucijų ir suinteresuotųjų subjektų institucinių gebėjimų stiprinimas ir veiksmingas viešasis administravimas</t>
  </si>
  <si>
    <t>119 Investavimas į institucinius gebėjimus ir viešojo administravimo subjektų bei viešųjų paslaugų veiksmingumą nacionaliniu, regioniniu ir vietos lygmenimis siekiant reformų, geresnio reglamentavimo ir gero valdymo</t>
  </si>
  <si>
    <t>11 Institucinių pajėgumų stiprinimas ir veiksmingas viešasis administravimas</t>
  </si>
  <si>
    <t>LT777181200002130414</t>
  </si>
  <si>
    <t>Savivaldybėms įstatymais yra pavesta užtikrinti jų teritorijose nuolat gyvenančių asmenų, susietų bendrais viešaisiais interesais ir poreikiais, teisių ir laisvių įgyvendinimą. Projektu siekiama spręsti šias problemas: neužtikrintas „vieno langelio“ paslaugų pasiekiamumas nuo savivaldybės nutolusioms gyvenvietėms; nepakankama darbuotojų kompetencija; veiklos organizavimo procedūrų trūkumai; dokumentų valdymo sistemos neprieinamumas savivaldybei pavaldžioms švietimo įstaigoms. 
Teikiamo projekto tikslas - Vadovaujantis LEAN metodologija gerinti savivaldybių viešojo valdymo institucijų teikiamas paslaugas bei didinti asmenų aptarnavimo kokybę. Projekto įgyvendinimo metu bus vykdomas savivaldybės viešojo valdymo institucijų veiklos organizavimo procedūrų, susijusių su paslaugų teikimu ir asmenų aptarnavimu, tobulinimas LEAN metodologijos pagalba, įskaitant „vieno langelio principo“ paslaugas, savivaldybių viešojo valdymo institucijų darbuotojų kvalifikacijos kėlimas, asmenų aptarnavimo kokybės tyrimas. Projekto įgyvendinimo metu bus pakelta savivaldybės ir viešojo valdymo institucijų darbuotojų kvalifikacija, darbuotojai galės efektyviau ir greičiau atlikti savo darbą. Dėl patobulintų procedūrų padidės jų darbo kokybė, teikiamų paslaugų efektyvumas.</t>
  </si>
  <si>
    <t>LUMINOR Bank AB</t>
  </si>
  <si>
    <t>LT754010042200112098</t>
  </si>
  <si>
    <t>Viešojo valdymo institucijos nėra pakankamai aktyvios tobulinant visuomenei teikiamas paslaugas, trūksta kompleksiškų, tarpusavyje gerai koordinuotų veiksmų, kuriais viešajame valdyme butų siekiama visuomenės poreikius atitinkančios paslaugų kokybės. Kol kas šalyje nenustatyti minimalūs paslaugų kokybės standartai, paslaugos teikiamos neatsižvelgiant į tai, kur ir kaip visuomenei būtų patogiau jas gauti, vis dar stebimas nepakankamas asmenų aptarnavimo lygis. Ši problema vyrauja ir Alytaus rajono savivaldybės administracijoje – nepakankama teikiamų paslaugų ir asmenų aptarnavimo kokybė kultūros paslaugų sektoriuje, paslaugų teikiamų Kultūros centre bei 11 skyrių, esančių rajono seniūnijose.
Projekto įgyvendinimo metu numatyta optimizuoti vietos savivaldos institucijų vidaus procesus, įdiegiant pažangiausias kokybės vadybos sistemas, parengti ir kultūros paslaugas teikiančių įstaigų/skyrių veikloje naudoti susitarimus su gyventojais dėl įstaigose/skyriuose teikiamų paslaugų kokybės standartų bei sustiprinti darbuotojų kompetencijas, reikalingas pagerinti paslaugų ir asmenų aptarnavimo kokybei.
Įgyvendinant projektą bus gerinama Alytaus rajono savivaldybės administracijos veikla, jos struktūrinių padalinių – Kultūros centro ir seniūnijų skyrių, susijusių su paslaugų ir asmenų aptarnavimu jas teikiant, kurios teikia gyventojams tokias pačias viešąsias kultūros paslaugas, teikiamų paslaugų ir asmenų aptarnavimo kokybė.</t>
  </si>
  <si>
    <t>Projekto "Paslaugų teikimo ir asmenų aptarnavimo kokybės gerinimas Druskininkų savivaldybėje" tikslas -  padidinti asmenų pasitenkinimą Druskininkų savivaldybės teikiamomis paslaugomis, pagerinant savivaldybės vidinius procesus, paslaugų ir asmenų aptarnavimo kokybę. 
Siekiant užtikrinti Savivaldybės administracijos vykdomų funkcijų ir teikiamų administracinių  paslaugų kokybę, kokybišką viešųjų paslaugų administravimą, veiklos skaidrumą ir viešumą, asmenų pasitenkinimo teikiamomis paslaugomis didėjimą, į Savivaldybės administraciją besikreipiančių asmenų administracinės naštos mažinimą, o taip pat pagerinti turizmo informacijos paslaugų teikimo kokybę kurorto svečiams, projekto metu planuojama optimizuoti veiklos procesus Druskininkų savivaldybės administracijoje ir Druskininkų turizmo ir verslo informacijos centre. Siekiant tobulinti viešąsias paslaugas, efektyviau jas teikti ir taip didinti paslaugų vartotojų pasitenkinimą, svarbu pasinaudoti pažangių ir inovatyvių ES šalių savivaldos institucijų patirtimi. Veiklos metu planuojami pasidalinimo gerąja patirtimi vizitai mažiausiai į dvi pažangias Europos Sąjungos šalių savivaldybes. Planuojamos projekto veiklos:  Paslaugų ir asmenų aptarnavimo kokybės įvertinimas; Veiklos procesų optimizavimas Druskininkų savivaldybės administracijoje ir Druskininkų turizmo ir verslo informacijos centre; „Vieno langelio“ principo įgyvendinimas gerinant asmenų aptarnavimo kokybę.
Projekto nauda – optimizuoti įstaigų veiklos procesai, pagreitintas paslaugų teikimas, sumažinti procesų ir jų rezultatų svyravimai, sustiprintos darbuotojų kompetencijos, pagerinta asmenų aptarnavimo kokybė.</t>
  </si>
  <si>
    <t>LT707300010135430681</t>
  </si>
  <si>
    <t>Projektu sprendžiama esminė problema, su kuria AMSA susiduria teikdama viešąsias paslaugas: nepakankamas informacijos pateikimo aiškumas ir kokybė (tvarka, formos, laikas, būdai), nepakankama paslaugų įvairovė ir kokybė, nepakankamas problemos sprendimo (atsakymo) operatyvumas socialinės paramos, švietimo ir administracijos teikiamų paslaugų srityse. 
Projekto tikslas - Padidinti asmenų pasitenkinimą Alytaus miesto savivaldybės administracijos ir jos viešojo valdymo institucijų teikiamomis paslaugomis ir asmenų aptarnavimo kokybe.
Projekto tikslinė grupė – Alytaus miesto savivaldybės gyventojai. 
Projekto tikslui pasiekti numatomi šie uždaviniai:
1. Įvertinti ir patobulinti savivaldybės administracinių paslaugų teikimo bei organizavimo procesus.
2. Įvertinti ir patobulinti socialinių paslaugų teikimo ir organizavimo procesus.
3. Įvertinti ir patobulinti vaikų priėmimo į švietimo įstaigas organizavimo procesus.
Projekto veiklos: Savivaldybės ir jos įstaigų teikiamų paslaugų optimizavimas taikant LEAN metodus; darbuotojų kompetencijų stiprinimas; socialinių paslaugų teikimo piliečių chartijos parengimas; įrangos ir baldų įsigijimas.
Projekto rezultatas: Padidėjęs asmenų pasitenkinimas Alytaus miesto savivaldybės administracijos ir jos viešojo valdymo institucijų teikiamomis paslaugomis ir asmenų aptarnavimo kokybe.
Bendra projekto vertė - 215.693,16 Eur su PVM.</t>
  </si>
  <si>
    <t>8 315)  55 102</t>
  </si>
  <si>
    <t>LT477181200002130469</t>
  </si>
  <si>
    <t>Atrinktų projektų ataskaita</t>
  </si>
  <si>
    <t xml:space="preserve">Nurodyti filtro parametrai:   </t>
  </si>
  <si>
    <t>Projekto informacija</t>
  </si>
  <si>
    <t>Vykdytojo informacija</t>
  </si>
  <si>
    <t>Paraiškos data</t>
  </si>
  <si>
    <t>Projekto išlaidų
suma</t>
  </si>
  <si>
    <t>Finansavimas</t>
  </si>
  <si>
    <t>Projekto baigimo data</t>
  </si>
  <si>
    <t>Paraiškos
įregistravimo data</t>
  </si>
  <si>
    <t>Sutarties
įregistravimo data</t>
  </si>
  <si>
    <t>Atsakingas darbuotojas 1</t>
  </si>
  <si>
    <t>Atsakingas darbuotojas 2</t>
  </si>
  <si>
    <t>Etapas</t>
  </si>
  <si>
    <t>Būsena</t>
  </si>
  <si>
    <t>Daiva Bagdevičienė</t>
  </si>
  <si>
    <t>Daina Cicėnaitė</t>
  </si>
  <si>
    <t>Auksė Šuliauskaitė</t>
  </si>
  <si>
    <t>Živilė Petkevičienė</t>
  </si>
  <si>
    <t>Dalia Šerėnienė</t>
  </si>
  <si>
    <t>Renata Bielskienė</t>
  </si>
  <si>
    <t>Tautvydas Umbražūnas</t>
  </si>
  <si>
    <t>Renata Jasienė</t>
  </si>
  <si>
    <t>Liudmila Tichonova</t>
  </si>
  <si>
    <t>Daiva Gelumbeckienė</t>
  </si>
  <si>
    <t>Rūta Carik</t>
  </si>
  <si>
    <t>Asta Gabijūnienė</t>
  </si>
  <si>
    <t>Neringa Pukanasienė</t>
  </si>
  <si>
    <t>Renata Kačkutė</t>
  </si>
  <si>
    <t>Jurga Čekanauskienė</t>
  </si>
  <si>
    <t>Indrė Grigutienė</t>
  </si>
  <si>
    <t>Loreta Balčytytė</t>
  </si>
  <si>
    <t>Inga Januševičienė</t>
  </si>
  <si>
    <t>Irma Ščerbakovienė</t>
  </si>
  <si>
    <t>Svetlana Navadunskė</t>
  </si>
  <si>
    <t>Jolita Šniokienė</t>
  </si>
  <si>
    <t>Jūratė Veličkienė</t>
  </si>
  <si>
    <t>Giedrė Šlepikienė</t>
  </si>
  <si>
    <t>Greta Kazakevičiūtė</t>
  </si>
  <si>
    <t>Aistė Nargėlienė</t>
  </si>
  <si>
    <t>Donata Liubinienė</t>
  </si>
  <si>
    <t>Rūta Cukuraitė</t>
  </si>
  <si>
    <t>Aurelija Pincevičienė</t>
  </si>
  <si>
    <t>Laura Augulytė</t>
  </si>
  <si>
    <t>Vilija Gečienė</t>
  </si>
  <si>
    <t>Raimonda Butkevičienė</t>
  </si>
  <si>
    <t>Donatas Michalkevičius</t>
  </si>
  <si>
    <t>Karolis Skeberdis</t>
  </si>
  <si>
    <t>Inga Kmitienė</t>
  </si>
  <si>
    <t>Giedrius Uogelė</t>
  </si>
  <si>
    <t>Ligita Stanulevičiūtė</t>
  </si>
  <si>
    <t>Agnė Naruševičiūtė</t>
  </si>
  <si>
    <t>Danutė Kaluginienė</t>
  </si>
  <si>
    <t>Birutė Majauskienė</t>
  </si>
  <si>
    <t>Aistė Vasiliauskienė</t>
  </si>
  <si>
    <t>Agnė Kaulakienė</t>
  </si>
  <si>
    <t>Rimantas Gruodis</t>
  </si>
  <si>
    <t>Šarūnė Biržytė</t>
  </si>
  <si>
    <t>Eglė Stančikaitė</t>
  </si>
  <si>
    <t>Asta Aleksandravičienė</t>
  </si>
  <si>
    <t>06.2.1-TID-R-511-11-0003</t>
  </si>
  <si>
    <t>„Švenčionėlių gatvės dalies rekonstravimas Švenčionių m. Švenčionių raj. sav.“</t>
  </si>
  <si>
    <t>Nesudaryta sutartis</t>
  </si>
  <si>
    <t>Anuliuota paraiška</t>
  </si>
  <si>
    <t>188766722</t>
  </si>
  <si>
    <t>Švenčionių rajono savivaldybės administracija</t>
  </si>
  <si>
    <t>Sandra Maleronkaitė</t>
  </si>
  <si>
    <t>Ieva Dulevičienė</t>
  </si>
  <si>
    <t>10.1.3-ESFA-R-920-11-0002</t>
  </si>
  <si>
    <t>Paslaugų ir asmenų aptarnavimo kokybės gerinimas Ignalinos rajono savivaldybėje</t>
  </si>
  <si>
    <t>288768350</t>
  </si>
  <si>
    <t>Ignalinos rajono savivaldybės administracija</t>
  </si>
  <si>
    <t>04.5.1-TID-R-516-11-0003</t>
  </si>
  <si>
    <t>Lazdijų rajono savvaldybės administracija</t>
  </si>
  <si>
    <t>Monika Raudonienė</t>
  </si>
  <si>
    <t>Vilija Jakštienė</t>
  </si>
  <si>
    <t>Daiva Bazevičiūtė</t>
  </si>
  <si>
    <t>Svetlana Ofverstrom</t>
  </si>
  <si>
    <t>Atsiėmė paraišką</t>
  </si>
  <si>
    <t>Indrė Šuolienė</t>
  </si>
  <si>
    <t>Algimantas Kartočius</t>
  </si>
  <si>
    <t>Eugenija Babič</t>
  </si>
  <si>
    <t>Vaida Pilkavičienė</t>
  </si>
  <si>
    <t>10.1.3-ESFA-R-920-11-0004</t>
  </si>
  <si>
    <t>Paslaugų ir asmenų aptarnavimo kokybės gerinimas Marijampolės savivaldybėje</t>
  </si>
  <si>
    <t>188769113</t>
  </si>
  <si>
    <t>Marijampolės savivaldybės administracija</t>
  </si>
  <si>
    <t>Rita Kablienė</t>
  </si>
  <si>
    <t>Laura Namajuškienė</t>
  </si>
  <si>
    <t>06.2.1-TID-R-511-11-0005</t>
  </si>
  <si>
    <t>Dalia Justinavičiūtė</t>
  </si>
  <si>
    <t>Rasa Ramansevičiūtė</t>
  </si>
  <si>
    <t>Odeta Vaitkuvienė</t>
  </si>
  <si>
    <t>Diana Griniūtė</t>
  </si>
  <si>
    <t>Kristina Gecevičiūtė</t>
  </si>
  <si>
    <t>Laura Uždavinytė</t>
  </si>
  <si>
    <t>Daiva Jakubauskienė</t>
  </si>
  <si>
    <t>Oksana Mažeikaitė</t>
  </si>
  <si>
    <t>Kurnėnų Lauryno Radziukyno mokyklos pritaikymas kultūrinėms ir turistinėms veikloms</t>
  </si>
  <si>
    <t>Pateikta paraiška</t>
  </si>
  <si>
    <t>Jolita Lukštaitė</t>
  </si>
  <si>
    <t>Kęstutis Salickas</t>
  </si>
  <si>
    <t>Dalia Martusevičienė</t>
  </si>
  <si>
    <t>Milda Jačionytė</t>
  </si>
  <si>
    <t>Asta Druskienė</t>
  </si>
  <si>
    <t>Albertas Šarkovskis</t>
  </si>
  <si>
    <t>Jurgita Jurkynienė</t>
  </si>
  <si>
    <t>Dalia Širvinskė</t>
  </si>
  <si>
    <t>05.4.1-CPVA-R-302-11-0006</t>
  </si>
  <si>
    <t>Pranciška Gudžinskaitė</t>
  </si>
  <si>
    <t>Aušra Briedienė</t>
  </si>
  <si>
    <t>Algirdas Augulis</t>
  </si>
  <si>
    <t>Rožytė Valiulienė</t>
  </si>
  <si>
    <t>08.6.1-ESFA-V-911-11-0007</t>
  </si>
  <si>
    <t>Žinau!</t>
  </si>
  <si>
    <t>Alina Lupeikienė</t>
  </si>
  <si>
    <t>Jolanta Baniulienė</t>
  </si>
  <si>
    <t>Živilė Naujokienė</t>
  </si>
  <si>
    <t>Indrė Beliūnė</t>
  </si>
  <si>
    <t>Vaidas Šablinskas</t>
  </si>
  <si>
    <t>Vilma Andrikonienė</t>
  </si>
  <si>
    <t>Vilma Liubartienė</t>
  </si>
  <si>
    <t>Justina Kaušylaitė</t>
  </si>
  <si>
    <t>Alicija Gasperovičienė</t>
  </si>
  <si>
    <t>Arnas Arlauskas</t>
  </si>
  <si>
    <t>Vaida Adamkevičiūtė</t>
  </si>
  <si>
    <t>Saugaus eismo priemonių diegimas Alytaus mieste</t>
  </si>
  <si>
    <t>Patvirtinta paraiška</t>
  </si>
  <si>
    <t>Ekologiškų transporto priemonių įsigijimas Lazdijų rajono savivaldybėje</t>
  </si>
  <si>
    <t>Eologiškų transporto priemonių įsigijimas Druskininkų savivaldybėje</t>
  </si>
  <si>
    <t>Ieva Ivickienė</t>
  </si>
  <si>
    <t>05.4.1-CPVA-R-302-11-0007</t>
  </si>
  <si>
    <t>I. S. Kavaliauskienės įmonės teikiamų pirminės ambulatorinės asmens sveikatos priežiūros paslaugų kokybės ir prieinamumo gerinimas</t>
  </si>
  <si>
    <t>152149612</t>
  </si>
  <si>
    <t>Irenos Stanislavos Kavaliauskienės įmonė</t>
  </si>
  <si>
    <t>Ieva Jociūtė</t>
  </si>
  <si>
    <t>07.1.1-CPVA-R-905-11-0005</t>
  </si>
  <si>
    <t>Nenaudojamų teritorijų Varėnos mieste sutvarkymas ir pritaikymas verslui</t>
  </si>
  <si>
    <t>Mantas Miliauskas</t>
  </si>
  <si>
    <t>08.1.3-CPVA-R-609-11-0002</t>
  </si>
  <si>
    <t>Alytaus poliklinikos teikiamų pirminės sveikatos priežiūros paslaugų prieinamumo didinimas ir kokybės gerinimas</t>
  </si>
  <si>
    <t>190272218</t>
  </si>
  <si>
    <t>VšĮ Alytaus poliklinika</t>
  </si>
  <si>
    <t>Rita Matonienė</t>
  </si>
  <si>
    <t>08.1.3-CPVA-R-609-11-0003</t>
  </si>
  <si>
    <t>302560470</t>
  </si>
  <si>
    <t>UAB "MediCA klinika"</t>
  </si>
  <si>
    <t>Eglė Platūkytė</t>
  </si>
  <si>
    <t>07.1.1-CPVA-R-905-11-0006</t>
  </si>
  <si>
    <t>Teritorijų prie daugiabučių gyvenamųjų pastatų Varėnos mieste sutvarkymas ir pritaikymas visuomenės poreikiams</t>
  </si>
  <si>
    <t>08.1.3-CPVA-R-609-11-0004</t>
  </si>
  <si>
    <t>150066452</t>
  </si>
  <si>
    <t>VšĮ Alytaus miesto savivaldybės pirminės sveikatos priežiūros centras</t>
  </si>
  <si>
    <t>08.1.3-CPVA-R-609-11-0005</t>
  </si>
  <si>
    <t>170792371</t>
  </si>
  <si>
    <t>UAB „Pagalba ligoniui“</t>
  </si>
  <si>
    <t xml:space="preserve">„Kaimo gyvenamųjų vietovių atnaujinimas“ </t>
  </si>
  <si>
    <t>PARAMA INVESTICIJOMS Į VISŲ RŪŠIŲ MAŽOS APIMTIES INFRASTRUKTŪRĄ</t>
  </si>
  <si>
    <t xml:space="preserve"> „Miestų kompleksinė plėtra“ </t>
  </si>
  <si>
    <t xml:space="preserve">„Pereinamojo laikotarpio tikslinių teritorijų vystymas. II“ </t>
  </si>
  <si>
    <t>„Vietinio susisiekimo viešojo transporto priemonių parko atnaujinimas“</t>
  </si>
  <si>
    <t>„Darnaus judumo priemonių diegimas“</t>
  </si>
  <si>
    <t xml:space="preserve">„Pėsčiųjų ir dviračių takų rekonstrukcija ir plėtra“ </t>
  </si>
  <si>
    <t>„Vietinių kelių vystymas“</t>
  </si>
  <si>
    <t xml:space="preserve">„Neformaliojo švietimo infrastruktūros tobulinimas“ </t>
  </si>
  <si>
    <t>Pirminės asmens sveikatos priežiūros veiklos efektyvumo didinimas</t>
  </si>
  <si>
    <t>Sutartyje nustatyta projekto veiklų įgyvendinimo pradžia</t>
  </si>
  <si>
    <t>Parama plane</t>
  </si>
  <si>
    <t>Parama sutartis</t>
  </si>
  <si>
    <t>ES sutartis</t>
  </si>
  <si>
    <t>VB sutartis</t>
  </si>
  <si>
    <t>SB sutartis minimalus</t>
  </si>
  <si>
    <t>RPP ES lėšų  skirtumas nuo skirtų, Eur</t>
  </si>
  <si>
    <t xml:space="preserve"> RPP numatoma projekto veiklų įgyvendinimo pabaiga</t>
  </si>
  <si>
    <t>Sutartyje nustatyta sutarties pasirašymo data</t>
  </si>
  <si>
    <t>RPS ES lėšų  skirtumas nuo sutarčių , Eur</t>
  </si>
  <si>
    <t>Finansavimo intensyvumas (sutarties ES dalis), (%)</t>
  </si>
  <si>
    <t>Projekto RPS ES lėšų  skirtumas nuo sutarties , Eur</t>
  </si>
  <si>
    <t>Projekto ES lėšų suma RPS, Eur</t>
  </si>
  <si>
    <t xml:space="preserve">Projekto sutartyje numatytos ES lėšos </t>
  </si>
  <si>
    <t>Apmokėta / grąžinta skirto finansavimo iš ES fondo lėšų suma (RPP ketv)</t>
  </si>
  <si>
    <t>skirtumas (sutartis-planas) sutartis (III)</t>
  </si>
  <si>
    <t>skirtumas (sutartis-planas) sutartis (II)</t>
  </si>
  <si>
    <t>skirtumas (sutartis-planas) sutartis (IV)</t>
  </si>
  <si>
    <t>skirtumas (sutartis-planas) sutartis (VI)</t>
  </si>
  <si>
    <t>LT177181200002130815</t>
  </si>
  <si>
    <t>Projekto tikslas:
suteikti galimybes Druskininkų miesto bei Neravų kaimo gyventojams prisijungti prie centralizuotos vandens tiekimo ir nuotekų tvarkymo sistemos bei gauti kokybišką vandenį bei vandens tiekimo ir nuotekų tvarkymo paslaugas Druskininkų savivaldybėje.
Projekto veiklos: 
Naujų vandens tiekimo ir nuotekų tvarkymo tinklų tiesimas Baltašiškės ir Pakrantės gatvėse Druskininkų mieste; 
Naujų vandens tiekimo ir nuotekų tvarkymo tinklų tiesimas Dainavos 1-osios, Dainavos 2-osios g. ir kt. sodininkų bendrijoje „Dainava“ Neravų kaime Druskininkų savivaldybėje; 
Nuotekų tvarkymo tinklų rekonstrukcija Pušų, Gojaus ir Sodžiaus g. Neravų kaime Druskininkų savivaldybėje; 
Vandens tiekimo tinklų rekonstrukcija nuo Druskininkų miesto III-osios vandenvietės iki Druskininkų miesto;
Naujų nuotekų tvarkymo tinklų tiesimas Pakalnės gatvėje Druskininkų mieste
Vandens gerinimo įrenginių rekonstrukcija Druskininkų miesto III-oje vandenvietėje
Projekto rezultatai:
- prie nuotekų tinklų prijungtų gyventojų skaičius – 432;
- prie vandentiekio tinklų prijungtų gyventojų skaičius – 422;
- gyventojų, kuriems pagerintos vandens tiekimo paslaugos rekonstravus vandens gerinimo įrenginius, skaičius-15.867;
- naujai nutiestų nuotekų tinklų ilgis, km – 6,47;
- naujai nutiestų vandentiekio tinklų ilgis, km – 6,061;
- rekonstruotų nuotekų tinklų ilgis, km – 2,68;
- rekonstruotų vandentiekio tinklų ilgis, km – 0,514;
-rekonstruoti vandens gerinimo įrenginiai, vnt-1.</t>
  </si>
  <si>
    <t>Projektu siekiama diegti saugaus eismo priemones Alytaus mieste, įrengiant dviračių ir pėsčiųjų taką, siekiant pertvarkyti pavojingą vietinės reikšmės kelių tinklo vietą,   pagerinti dviratininkų ir pėsčiųjų susisiekimo sąlygas, padidinti gyventojų mobilumą ir prisidėti prie aplinkos taršos mažinimo, skatinti darnų judumą ir plėtoti aplinkai draugiško transporto patrauklumą. Projekto įgyvendinimo metu planuojama Naujojoje gatvėje įrengti apie 1,6 km. ilgio ir apie 2,5 m. pločio dviračių ir pėsčiųjų taką, kuris bus ir planuojamo dviračių, pėsčiųjų takų tinklo Alytuje dalis. Dviračių ir pėsčiųjų takų susisiekimo tinklas planuojamas ir tiesiamas vadovaujantis funkcionalumo, saugaus eismo ir ekologiškumo principais, kaip vientisa, savarankiška, jungianti gyvenamąsias, paslaugų ir darbo vietas, susisiekimo sistema.</t>
  </si>
  <si>
    <t>032 Vietos privažiuojamieji keliai (naujai nutiesti)</t>
  </si>
  <si>
    <t>8 315 55193</t>
  </si>
  <si>
    <t>AB Šiaulių Bankas Alytaus filialas</t>
  </si>
  <si>
    <t>LT247181200002130495</t>
  </si>
  <si>
    <t>LT707181200002130831</t>
  </si>
  <si>
    <t>LT854010051004336512</t>
  </si>
  <si>
    <t>TIKSLAS. Pagerinti informacijos sklaidą asmenims, patiriantiems socialinę atskirtį, apie teikiamas socialines paslaugas Švenčionių mieste.
Šio tikslo įgyvendinimui numatomas UŽDAVINYS: išplėsti informacijos sklaidą apie teikiamas socialines paslaugas Švenčionių mieste. 
Šio uždavinio įgyvendinimui numatomos VEIKLOS:
1. mokymų organizavimas (savanoriams) atitinka 10.5 veiklą.
2. informacijos sklaida apie įvairiose organizacijose prieinamas  teikiamas socialines ir kitas reikalingas paslaugas socialinę atskirtį patiriantiems gyventojams ir tarpininkavimas šias paslaugas gaunant. 10.1.2 veikla pagal PFSA
Siekiami rezultatai: Socialinę atskirtį patiriančių (Aprašo 22.1.1. 22.1.5. 22.1.6 22.1.7 22.1.9. 22.1.10. 22.1.13. 22.1.14. 22.1.17. papunkčiai) Švenčionių miesto gyventojų informavimas. Gyventojai gaus informaciją apie įstaigoje teikiamas socialines paslaugas. Kiekvienas gyventojas turės galimybę susipažinti, pasirinkti ir pasinaudoti sau tinkamomis socialinėmis paslaugomis, tam kad pačiam ir (arba) jo šeimos nariams būtų lengviau gyventi bendruomenėje, visavertiškai ir visapusiškai gebėti pasirūpinti savimi ir (arba) savo šeimos nariais bei buitimi, gebėti atlikti asmeniniame ir visuomeniniame gyvenime reikalingas funkcijas.
Projekte dalyvaujantys savanoriai tiesiogiai dalyvaus projekto veiklų vykdyme. Savanoriai glaudžiai bendraus su asmenimis, patiriantiems socialinę atskirtį Švenčionių mieste. Savanorių dalyvavimas išplės bei pagerins socialinių paslaugų sklaidą Švenčionių mieste asmenims, patiriantiems socialinę atskirtį, kadangi jie dalyvaus mokysmuose, kuriuose bus mokama kaip bendrauti su asmenimis, tam, kad jie priimtų bei įsisamonintų jiems pateikiamą informaciją. Asmenims, patiriantiems socialinę atskirtį bus teikiama informacija apie socialines paslaugas, sužinos apie galimą pagalbą patiems bei jų šeimoms. 
Partneriai: Švenčionių rajono neįgaliųjų draugija
Poveikis: įgyvendinus projektą sumažės socialinė atskirtis, taps aktyvesni bendruomenės nariai.</t>
  </si>
  <si>
    <t>Stoties g. 16, 18123, Švenčionių</t>
  </si>
  <si>
    <t>8 387 51744</t>
  </si>
  <si>
    <t>LT104010051004341742</t>
  </si>
  <si>
    <t>LT397181200002130807</t>
  </si>
  <si>
    <t>2023-08-31</t>
  </si>
  <si>
    <t>AB „Šiaulių bankas"</t>
  </si>
  <si>
    <t>LT657181200002130824</t>
  </si>
  <si>
    <t>Pereinamojo laikotarpio tikslinių teritorijų vystymas. I</t>
  </si>
  <si>
    <t>Buvusios pramoninės teritorijos Pramonės g. 1, Alytuje, pritaikymas verslo vystymui ir plėtrai</t>
  </si>
  <si>
    <t>Projekto problema – nepakankamas teritorijų, patrauklių verslui kurtis ir plėtotis, su išvystyta infrastruktūra skaičius Alytaus mieste. Alytaus miesto pramoninė teritorija, esanti Pramonės g. 1, yra vienas pagrindinių verslo židinių Alytuje, tačiau viešoji infrastruktūra šioje teritorijoje yra nepakankamai išvystyta (nėra privažiavimo kelio, Pramonės g. 1 zonoje esanti automobilių aikštelė yra duobėta, nepritaikyta transportui parkuoti, neveikiantis teritorijos apšvietimas), todėl nepatraukli potencialiems klientams ir kartu sudaro nepatogumų čia veiklą vykdantiems verslininkams. Netiesiogiai projekto problema įtakoja Alytaus miesto gyventojus ir svečius, kadangi apleista aplinka kuria neigiamą estetinį vaizdą bei neužtikrina teritorijos saugumo. Projekto įgyvendinimo metu bus įrengta privažiavimo kelio atkarpa tarp Pramonės g. ir Naujosios g. (I etapas); privažiavimo kelias, esantis galinėje (šiaurės rytų) pastato dalyje (II etapas); išvažiavimo kelias, esantis lygiagrečiai UAB „Jakobsen home Co“ sklypui (IV etapas), įrengti inžineriniai tinklai (lietaus nuotekos ir apšvietimo tinklai), sutvarkyta automobilių stovėjimo aikštelė.
Tikimasi, kad įgyvendinus projektą pramoninė zona, esanti  Pramonės g. 1, bus labiau pritaikyta verslo vystymui ir plėtrai. Naudą iš numatomo įgyvendinti projekto gaus šioje pramoninėje teritorijoje veiklą vykdančios įmonės, įmonių darbuotojai, veikiančių įmonių partneriai, klientai ir tiekėjai, potencialūs investuotojai, Alytaus miesto gyventojai ir svečiai.</t>
  </si>
  <si>
    <t>(8 315) 55 111</t>
  </si>
  <si>
    <t>LT627181200002130490</t>
  </si>
  <si>
    <t>Projektu siekiama parengti miesto darnaus judumo planą, kuris atspindėtų visų  miesto susisiekimo naudotojų judumo poreikius, kurį įgyvendinus mieste būtų sukurta subalansuota, efektyviu išteklių ir šiuolaikinių technologijų naudojimu grindžiama darnaus judumo sistema. Plane pateikti sprendiniai atitiks darnaus vystymo, ekonominio gyvybingumo, socialinės lygybės, sveikatos ir aplinkos kokybės poreikių suderinamumo reikalavimus. Parengtas planas padidins eismo saugą, užtikrins visų susisiekimo sistemos naudotojų saugumą. Įgyvendinus planą pagerės miestiečių gyvenimo kokybė, visuomenės sveikata, sumažės oro užterštumas, triukšmas, šiltnamio efektą sukeliančių dujų išmetimas bei energijos sunaudojimas. Šiuo planu siekiama įgyvendinti baltosios knygos rekomendacijas miestų transporto srityje.</t>
  </si>
  <si>
    <t>8 315 55 136</t>
  </si>
  <si>
    <t>neringa.rinkeviciute@alytus.lt</t>
  </si>
  <si>
    <t>LT297181200002130502</t>
  </si>
  <si>
    <t>Projekto tikslas: parengti darnaus judumo Druskininkų  mieste planą, kurį įgyvendinant būtų sukurta subalansuota, efektyviu išteklių ir šiuolaikinių technologijų naudojimu grindžiama darnaus judumo sistema Druskininkų mieste. 
Druskininkų miesto teritorijos darnaus judumo plane bus įvertinti pagrindiniai visų susisiekimo sistemos naudotojų judumo poreikiai; išvystyti ir integruoti skirtingi susisiekimo būdai, prioritetą teikiant viešajam keleiviniam ir bevarikliam transportui ar aplinką mažai teršiančiam transportui; plane pateikti sprendiniai atitiks darnaus vystymo, ekonominio gyvybingumo, socialinės lygybės, sveikatos ir aplinkos kokybės poreikių suderinamumo reikalavimus; subalansuotai bus išnaudota miesto erdvė, esamą susisiekimo komunikacijų infrastruktūrą pritaikant viešajam keleiviniam transportui, pėstiesiems ir dviratininkams; plėtojamos teikiamos transporto paslaugos ir didinamas jų veiksmingumas vadovaujantis darnios plėtros principais (socialinis ir ekonominis vystymasis, aplinkos apsauga); didinamas miesto aplinkos patrauklumas, gerinama gyvenimo kokybė ir visuomenės sveikata; didinama eismo sauga ir užtikrinamas saugumas; mažinamas oro užterštumas, triukšmas, šiltnamio efektą sukeliančių dujų išmetimas ir energijos vartojimas;  įgyvendintos baltosios knygos rekomendacijos miestų transporto srityje; prisidedama prie bendro transeuropinio transeuropinio transporto tinklo gerinimo ir didinamas Europos transporto sistemos veiksmingumas, bus parengti judumo mieste variantai (iki 2030 m.) ir veiksmų planas (iki 2020 m.).</t>
  </si>
  <si>
    <t xml:space="preserve">Sąskaitų EK suma atsižvelgiant į TvI ir </t>
  </si>
  <si>
    <t>išimtas sumas</t>
  </si>
  <si>
    <t xml:space="preserve">Planuojamų </t>
  </si>
  <si>
    <t xml:space="preserve">Projekto biudžete </t>
  </si>
  <si>
    <t xml:space="preserve">Lėšų išmokėjimo iš iždo </t>
  </si>
  <si>
    <t xml:space="preserve">MPD / grąžinimo </t>
  </si>
  <si>
    <t xml:space="preserve">Grąžintinų lėšų </t>
  </si>
  <si>
    <t xml:space="preserve">Patvirtintų apmokėtų MPD / </t>
  </si>
  <si>
    <t xml:space="preserve">Nustatytos finansinių priemonių tinkamos </t>
  </si>
  <si>
    <t xml:space="preserve">Nustatyta finansinių priemonių tinkamų </t>
  </si>
  <si>
    <t xml:space="preserve">Deklaruotina EK </t>
  </si>
  <si>
    <t xml:space="preserve">Pajamos, susijusios su </t>
  </si>
  <si>
    <t xml:space="preserve">Deklaruota EK </t>
  </si>
  <si>
    <t xml:space="preserve">pripažinti </t>
  </si>
  <si>
    <t xml:space="preserve">numatyta viešųjų </t>
  </si>
  <si>
    <t xml:space="preserve">projekto vykdytojui / lėšų </t>
  </si>
  <si>
    <t>/ grąžintinų lėšų Nr.</t>
  </si>
  <si>
    <t>numeris</t>
  </si>
  <si>
    <t>tipas</t>
  </si>
  <si>
    <t>grąžintų išlaidų suma</t>
  </si>
  <si>
    <t xml:space="preserve">Pripažinta </t>
  </si>
  <si>
    <t xml:space="preserve">finansuoti išlaidos (išmokėtos sumos arba, kai </t>
  </si>
  <si>
    <t xml:space="preserve">finansuoti viešųjų išlaidų suma </t>
  </si>
  <si>
    <t xml:space="preserve">viešųjų išlaidų </t>
  </si>
  <si>
    <t>deklaruotinomis ir (arba)</t>
  </si>
  <si>
    <t xml:space="preserve">Nedeklaruotos TvI </t>
  </si>
  <si>
    <t xml:space="preserve">Į sąskaitas EK </t>
  </si>
  <si>
    <t xml:space="preserve">Į sąskaitas EK  </t>
  </si>
  <si>
    <t xml:space="preserve">Sąskaitų Europos Komisijai, </t>
  </si>
  <si>
    <t>deklaruotinomis EK išlaidų suma</t>
  </si>
  <si>
    <t>išlaidų suma</t>
  </si>
  <si>
    <t>susigrąžinimo data</t>
  </si>
  <si>
    <t>deklaruotina EK suma</t>
  </si>
  <si>
    <t>deklaruotina EK viešųjų išlaidų suma</t>
  </si>
  <si>
    <t>suteiktos garantijos, suma, dėl kurios prisiimti įsipareigojimai)</t>
  </si>
  <si>
    <t>(išmokėtos sumos arba, kai suteiktos garantijos, suma, dėl kurios prisiimti įsipareigojimai)</t>
  </si>
  <si>
    <t>suma, atsižvelgus į pajamas </t>
  </si>
  <si>
    <t>suma, atsižvelgus į pajamas</t>
  </si>
  <si>
    <t>suma</t>
  </si>
  <si>
    <t>viešųjų išlaidų suma </t>
  </si>
  <si>
    <t xml:space="preserve"> deklaruotomis EK išlaidomis</t>
  </si>
  <si>
    <t>išėmimų sumos</t>
  </si>
  <si>
    <t>įtraukta suma</t>
  </si>
  <si>
    <t>įtraukta viešųjų išlaidų suma </t>
  </si>
  <si>
    <t>kuriose įtrauktas projekto galutinis MP, pateikimo data</t>
  </si>
  <si>
    <t>G03</t>
  </si>
  <si>
    <t>301792918, Varėnos rajono savivaldybės visuomenės sveikatos biuras</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</si>
  <si>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</si>
  <si>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</si>
  <si>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</si>
  <si>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</si>
  <si>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</si>
  <si>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</si>
  <si>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</si>
  <si>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</si>
  <si>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</si>
  <si>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</si>
  <si>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</si>
  <si>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</si>
  <si>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</si>
  <si>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</si>
  <si>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</si>
  <si>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</si>
  <si>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</si>
  <si>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</si>
  <si>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</si>
  <si>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</si>
  <si>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</si>
  <si>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</si>
  <si>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</si>
  <si>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</si>
  <si>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</si>
  <si>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</si>
  <si>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</si>
  <si>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</si>
  <si>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</si>
  <si>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</si>
  <si>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</si>
  <si>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</si>
  <si>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</si>
  <si>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</si>
  <si>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</si>
  <si>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</si>
  <si>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</si>
  <si>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</si>
  <si>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</si>
  <si>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</si>
  <si>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</si>
  <si>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</si>
  <si>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</si>
  <si>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</si>
  <si>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</si>
  <si>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</si>
  <si>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</si>
  <si>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</si>
  <si>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</si>
  <si>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</si>
  <si>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</si>
  <si>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</si>
  <si>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500</t>
  </si>
  <si>
    <t>501</t>
  </si>
  <si>
    <t>502</t>
  </si>
  <si>
    <t>503</t>
  </si>
  <si>
    <t>504</t>
  </si>
  <si>
    <t>505</t>
  </si>
  <si>
    <t>506</t>
  </si>
  <si>
    <t>507</t>
  </si>
  <si>
    <t>508</t>
  </si>
  <si>
    <t>509</t>
  </si>
  <si>
    <t>510</t>
  </si>
  <si>
    <t>511</t>
  </si>
  <si>
    <t>512</t>
  </si>
  <si>
    <t>513</t>
  </si>
  <si>
    <t>514</t>
  </si>
  <si>
    <t>515</t>
  </si>
  <si>
    <t>516</t>
  </si>
  <si>
    <t>517</t>
  </si>
  <si>
    <t>518</t>
  </si>
  <si>
    <t>519</t>
  </si>
  <si>
    <t>520</t>
  </si>
  <si>
    <t>Avanso grąžinimas</t>
  </si>
  <si>
    <t>GD02</t>
  </si>
  <si>
    <t>Susisiekimo ministerija</t>
  </si>
  <si>
    <t>(ministerijos (-ų), pagal kompetenciją atsakingos (-ų) už iš Europos Sąjungos (toliau – ES) struktūrinių fondų lėšų bendrai finansuojamą (-us) ūkio sektorių (-ius), pavadinimas)</t>
  </si>
  <si>
    <t>04.5.1-TID-R-514 Darnaus judumo priemonių diegimas</t>
  </si>
  <si>
    <t>(2014–2020 m. ES fondų investicijų veiksmų programos įgyvendinimo priemonės kodas ir pavadinimas)</t>
  </si>
  <si>
    <t>2018-07-30</t>
  </si>
  <si>
    <t>04.5.1-TID-R-514-11</t>
  </si>
  <si>
    <t>Iš ES struktūrinių fondų lėšų siūlomo bendrai finansuoti projekto (toliau – projektas) preliminarus pavadinimas</t>
  </si>
  <si>
    <t>Projekto tikslas</t>
  </si>
  <si>
    <t>Siektini stebėsenos rodikliai</t>
  </si>
  <si>
    <t>Preliminari projekto tinkamų finansuoti išlaidų suma (eurais)</t>
  </si>
  <si>
    <t>Paraiškos finansuoti projektą pateikimo įgyvendinančiajai institucijai terminas</t>
  </si>
  <si>
    <t>Reikalavimai projektų parengtumui ir kita reikalinga informacija (jei taikoma)</t>
  </si>
  <si>
    <t>Projektui numatomas skirti finansavimas</t>
  </si>
  <si>
    <t>Kiti projekto finansavimo šaltiniai</t>
  </si>
  <si>
    <t>ES struktūrinių fondų lėšos</t>
  </si>
  <si>
    <t>             Nacionalinės projekto lėšos</t>
  </si>
  <si>
    <t>Lietuvos Respublikos valstybės biudžeto lėšos</t>
  </si>
  <si>
    <t>Suėjus paraiškos pateikimo terminui, projektas turi atitikti priemonės projektų finansavimo sąlygų aprašo 28 punkto reikalavimus.</t>
  </si>
  <si>
    <t>2.</t>
  </si>
  <si>
    <t>Viešojo transporto organizavimo tobulinimas rekonstruojant druskininkų miesto gatvių infrastruktūrą</t>
  </si>
  <si>
    <t>IŠ VISO:</t>
  </si>
  <si>
    <t>Regionui numatytas ES struktūrinių fondų lėšų limitas:</t>
  </si>
  <si>
    <t>04.5.1-TID-R-516 Pėsčiųjų ir dviračių takų rekonstrukcija ir plėtra</t>
  </si>
  <si>
    <t>IŠ ES STRUKTŪRINIŲ FONDŲ LĖŠŲ SIŪLOMŲ BENDRAI FINANSUOTI ALYTAUS REGIONO PROJEKTŲ SĄRAŠAS</t>
  </si>
  <si>
    <t>2016-11-29</t>
  </si>
  <si>
    <t>04.5.1-TID-R-516-11</t>
  </si>
  <si>
    <t>Suėjus paraiškos pateikimo terminui, projektas turi atitikti priemonės 04.5.1-TID-R-516 „Pėsčiųjų ir dviračių takų rekonstrukcija ir plėtra“ projektų finansavimo sąlygų aprašo 20 punkto reikalavimus.</t>
  </si>
  <si>
    <t>Dviračių ir pėsčiųjų tako, esančio šalia Ratnyčios upelio Druskininkų mieste, rekonstrukcija</t>
  </si>
  <si>
    <t>04.5.1-TID-R-518 Vietinio susisiekimo viešojo transporto priemonių parko atnaujinimas</t>
  </si>
  <si>
    <t>2017-07-28</t>
  </si>
  <si>
    <t>04.5.1-TID-R-518-11</t>
  </si>
  <si>
    <t>Projektas turi atitikti parengtumo sąlygas, nurodytas priemonės Nr. 04.5.1-TID-R-518 projektų finansavimo sąlygų aprašo, patvirtinto LR Susisiekimo ministro 2016 m. gruodžio 8 d. įsakymu Nr. 3-421(1.5E), 26 punkte.</t>
  </si>
  <si>
    <t>Patvirtinta                                                                                          
Alytaus regiono plėtros tarybos 
2016 m. birželio 30 d. 
sprendimu Nr.51/6S-29
(Alytaus regiono plėtros tarybos 2018 m. gegužės 17 d. 
sprendimo Nr.51/6S-17 redakcija)</t>
  </si>
  <si>
    <t>05.1.1-APVA-R-007 „PAVIRŠINIŲ NUOTEKŲ SISTEMŲ TVARKYMAS“</t>
  </si>
  <si>
    <t>2016-06-30</t>
  </si>
  <si>
    <t>05.1.1-APVA-R-007-11</t>
  </si>
  <si>
    <t>UAB „Dzūkijos vandenys“</t>
  </si>
  <si>
    <t>Projekto parengtumui taikomi reikalavimai nustatyti priemonės 05.1.1-APVA-R-007 „Paviršinių nuotekų sistemų tvarkymas“ projektų finansavimo sąlygų aprašo 27 punkte.</t>
  </si>
  <si>
    <t xml:space="preserve">Patvirtinta                                                                                                                        Alytaus regiono plėtros tarybos                                                                                          2017 m.sausio  19     d. sprendimu Nr.51/6S-6         </t>
  </si>
  <si>
    <t>LIETUVOS RESPUBLIKOS APLINKOS MINISTERIJA</t>
  </si>
  <si>
    <t>2014–2020 METŲ EUROPOS SĄJUNGOS FONDŲ INVESTICIJŲ VEIKSMŲ PROGRAMOS 05.2.1-APVA-R-008 PRIEMONĖS  „KOMUNALINIŲ ATLIEKŲ TVARKYMO INFRASTRUKTŪROS PLĖTRA“</t>
  </si>
  <si>
    <r>
      <t xml:space="preserve">IŠ ES STRUKTŪRINIŲ FONDŲ LĖŠŲ SIŪLOMŲ BENDRAI FINANSUOTI </t>
    </r>
    <r>
      <rPr>
        <b/>
        <u/>
        <sz val="12"/>
        <rFont val="Times New Roman"/>
        <family val="1"/>
        <charset val="186"/>
      </rPr>
      <t>ALYTAUS REGIONO</t>
    </r>
    <r>
      <rPr>
        <b/>
        <sz val="12"/>
        <rFont val="Times New Roman"/>
        <family val="1"/>
        <charset val="186"/>
      </rPr>
      <t xml:space="preserve"> PROJEKTŲ SĄRAŠAS </t>
    </r>
  </si>
  <si>
    <t>Nr. 05.2.1-APVA-R-008-11</t>
  </si>
  <si>
    <t>Preliminarus iš ES struktūrinių fondų lėšų siūlomo bendrai finansuoti projekto (toliau – projektas)  pavadinimas</t>
  </si>
  <si>
    <t>Projektų parengtumo reikalavimai ir kita reikalinga informacija (jei taikoma)</t>
  </si>
  <si>
    <t>Nacionalinės projekto lėšos</t>
  </si>
  <si>
    <t xml:space="preserve">Lietuvos Respublikos valstybės biudžeto lėšos
</t>
  </si>
  <si>
    <t xml:space="preserve">Lietuvos Respublikos valstybės biudžeto lėšos
 </t>
  </si>
  <si>
    <t xml:space="preserve">Savivaldybės biudžeto lėšos 
</t>
  </si>
  <si>
    <t xml:space="preserve">Kitos viešosios lėšos
</t>
  </si>
  <si>
    <t>UAB Alytaus regioninis atliekų tvarkymo centras</t>
  </si>
  <si>
    <t>2017-06-30</t>
  </si>
  <si>
    <t xml:space="preserve">Suėjus paraiškos pateikimo terminui projektas turi atitikti priemonės „Komunalinių atliekų tvarkymo infrastruktūrosplėtra" projektų finansavimo sąlygų aprašo, patvirtinto Lietuvos Respublikos aplinkos ministro 2016 m. balandžio 27 d. įsakymu Nr. D1-281 (toliau - PFSA)  25 punkto reikalavimus.  </t>
  </si>
  <si>
    <t xml:space="preserve">Patvirtinta
Alytaus regiono plėtros tarybos
2016 m. birželio 30 d. sprendimu Nr.51/6S-28
(Alytaus regiono plėtros tarybos 2018 m. lapkričio  21  d. sprendimo Nr.51/6S-43 redakcija)
</t>
  </si>
  <si>
    <t>05.3.2-APVA-R-014 „GERIAMOJO VANDENS TIEKIMO IR NUOTEKŲ TVARKYMO SISTEMŲ RENOVAVIMAS IR PLĖTRA, ĮMONIŲ VALDYMO TOBULINIMAS“</t>
  </si>
  <si>
    <t>05.3.2-APVA-R-014-11</t>
  </si>
  <si>
    <t>ALYTAUS RAJONO SAVIVALDYBĖS ĮMONĖ "SIMNO KOMUNALININKAS"</t>
  </si>
  <si>
    <t>Suėjus paraiškos pateikimo terminui, projektas turi atitikti priemonės PFSA 25 punkto reikalavimus.</t>
  </si>
  <si>
    <t>UAB "DRUSKININKŲ VANDENYS"</t>
  </si>
  <si>
    <t>UAB "DZŪKIJOS VANDENYS"</t>
  </si>
  <si>
    <t>UAB "LAZDIJŲ VANDUO"</t>
  </si>
  <si>
    <t>UAB "VARĖNOS VANDENYS"</t>
  </si>
  <si>
    <t>05.4.1-CPVA-R-302 Aktualizuoti savivaldybių kultūros paveldo objektus</t>
  </si>
  <si>
    <t>2017-02-13</t>
  </si>
  <si>
    <t>05.4.1-CPVA-R-302-11</t>
  </si>
  <si>
    <t>Suėjus paraiškos pateikimo terminui, projektas turi atitikti priemonės projektų finansavimo sąlygų aprašo 29.2 punkto reikalavimus.</t>
  </si>
  <si>
    <t>Suėjus paraiškos pateikimo terminui, projektas turi atitikti priemonės projektų finansavimo sąlygų aprašo 29.2 punkto reikalavimus. PASTABA. Projekto objektui yra reikalingos žymiai didesnės investicijos, kompleksiniam pastato sutvarkymui ir pilnam įveiklinimui.</t>
  </si>
  <si>
    <t>05.4.1-LVPA-R-821 Savivaldybes jungiančių turizmo trasų ir turizmo maršrutų informacinės infrastruktūros plėtra</t>
  </si>
  <si>
    <t>2016-09-22</t>
  </si>
  <si>
    <t>05.4.1-LVPA-R-821-11</t>
  </si>
  <si>
    <t>Turizmo trasų ir maršrutų informacinės infrastruktūros plėtra Lazdijų, Varėnos rajonų ir Druskininkų savivaldybėse, II etapas</t>
  </si>
  <si>
    <t>05.5.1-APVA-R-019 „KRAŠTOVAIZDŽIO APSAUGA“</t>
  </si>
  <si>
    <t>2016-09-19</t>
  </si>
  <si>
    <t>05.5.1-APVA-R-019-11</t>
  </si>
  <si>
    <t>Suėjus paraiškos pateikimo terminui projektas turi atitikti priemonės "Kraštovaizdžio apsauga" projektų finansavimo sąlygų aprašo, patvirtinto Lietuvos Respublikos aplinkos ministro 2016 m. kovo 23 d. įsakymu Nr. D1-209, 46 punkto reikalavimus.</t>
  </si>
  <si>
    <t>9.</t>
  </si>
  <si>
    <t>Patvirtinta
Alytaus regiono plėtros tarybos 
2016 m. gruodžio 28 d. sprendimu Nr. 51/6S-1  
(Alytaus regiono plėtros tarybos 2018 m. lapkričio  21  d. sprendimo Nr. 51/6S- 42 redakcija)</t>
  </si>
  <si>
    <t>06.2.1-TID-R-511 Vietinių kelių vystymas</t>
  </si>
  <si>
    <t>2016-12-28</t>
  </si>
  <si>
    <t>06.2.1-TID-R-511-11</t>
  </si>
  <si>
    <t>Suėjus paraiškos pateikimo terminui projektas turi atitikti priemonės „Vietinių kelių vystymas“ PFSA 28 punkto reikalavimus.</t>
  </si>
  <si>
    <t>M.K. Čiurlionio gatvės atkarpos Druskininkų m. rekonstrukcija</t>
  </si>
  <si>
    <t xml:space="preserve">4.667.292,35
4.667.292,35
</t>
  </si>
  <si>
    <t xml:space="preserve">1.551.825,35
</t>
  </si>
  <si>
    <t>Patvirtinta
Alytaus regiono plėtros tarybos
2016 m.rugsėjo 19 d. 
sprendimu Nr.51/6S-37 
(Alytaus regiono plėtros tarybos 2018 m. lapkričio  21  d. 
sprendimo Nr.51/6S-47 redakcija)</t>
  </si>
  <si>
    <t>07.1.1-CPVA-R-305 Modernizuoti savivaldybių kultūros infrastruktūrą</t>
  </si>
  <si>
    <t>07.1.1-CPVA-R-305-11</t>
  </si>
  <si>
    <t xml:space="preserve">Projektas turi atitikti 07.1.1-CPVA-R-305 priemonės „Modernizuoti savivaldybių kultūros infrastruktūrą“ projektų finansavimo sąlygų aprašo (toliau PFSA) 29 punkte nustatytus projekto parengtumui taikomus  reikalavimus 
</t>
  </si>
  <si>
    <t xml:space="preserve">Projektas turi atitikt PFSA 29 punkte nustatytus projekto parengtumui taikomus  reikalavimus 
</t>
  </si>
  <si>
    <t>Patvirtinta
Alytaus regiono plėtros tarybos
2016 m.gegužės 4 d. sprendimu Nr.51/6S-22        
(Alytaus regiono plėtros tarybos 2018 m. lapkričio  21  d.
sprendimo Nr.51/6S-49 redakcija)</t>
  </si>
  <si>
    <t>Vidaus reikalų ministerija</t>
  </si>
  <si>
    <t>07.1.1-CPVA-R-903 Pereinamojo laikotarpio tikslinių teritorijų vystymas. II</t>
  </si>
  <si>
    <t>2016-05-04</t>
  </si>
  <si>
    <t>07.1.1-CPVA-R-903-11</t>
  </si>
  <si>
    <t>Projektas turi atitikti parengtumo sąlygas, nurodytas priemonės Nr. 07.1.1-CPVA-R-903 projektų finansavimo sąlygų aprašo 23 punke.</t>
  </si>
  <si>
    <t>07.1.1-CPVA-R-905 Miestų kompleksinė plėtra</t>
  </si>
  <si>
    <t>2016-06-07</t>
  </si>
  <si>
    <t>07.1.1-CPVA-R-905-11</t>
  </si>
  <si>
    <t>Projektas turi atitikti parengtumo sąlygas, nurodytas priemonės Nr.07.1.1-CPVA-R-905„Miestų kompleksinė plėtra“ projektų finansavimo sąlygų aprašo 25 punkte.</t>
  </si>
  <si>
    <t>08.1.2-CPVA-R-408-11</t>
  </si>
  <si>
    <t>Socialinės apsaugos ir darbo ministerija</t>
  </si>
  <si>
    <t>08.1.1-CPVA-R-407 Socialinių paslaugų infrastruktūros plėtra</t>
  </si>
  <si>
    <t>08.1.1-CPVA-R-407-11</t>
  </si>
  <si>
    <t>Suėjus paraiškos pateikimo terminui projektas turi atitikti priemonės PFSA 24 punkto reikalavimus.</t>
  </si>
  <si>
    <t>Suėjus paraiškos pateikimo terminui projektas turi atitikti priemonės PFSA 24 punkto reikalavimus. 
PASTABA: projektu planuojama investuoti į pastatą (buvęs Alytaus rajono švietimo ir pedagoginės psichologinės pagalbos centro pastatas Margio g. 12/ Vytauto g. 20 Alytuje), į kurį jau buvo investuota ES struktūrinių fondų ir LR biudžeto lėšomis.</t>
  </si>
  <si>
    <t>Suėjus paraiškos pateikimo terminui projektas turi atitikti priemonės PFSA 24 punkto reikalavimus.  
PASTABA: projektu planuojama investuoti į pastatą (buvęs pradinės mokyklos pastatas Z.Voronecko g. 2 Varėnoje), į kurį jau buvo investuota dviejų projektų lėšomis iš ES Sanglaudos fondo bei iš LR valstybės biudžeto.</t>
  </si>
  <si>
    <t>VšĮ "Kapčiamiesčio globos namai</t>
  </si>
  <si>
    <t>Suėjus paraiškos pateikimo terminui projektas turi atitikti priemonės projektų finansavimo sąlygų aprašo, patvirtinto Lietuvos Respublikos socialinės apsaugos ir darbo ministro 2016 m. birželio 22 d. įsakymu Nr. A1-307 (toliau - PFSA)  24 punkto reikalavimus.</t>
  </si>
  <si>
    <t>Sveikatos apsaugos ministerija</t>
  </si>
  <si>
    <t>08.1.3-CPVA-R-609 Pirminės asmens sveikatos priežiūros veiklos efektyvumo didinimas</t>
  </si>
  <si>
    <t>2018-06-21</t>
  </si>
  <si>
    <t>08.1.3-CPVA-R-609-11</t>
  </si>
  <si>
    <t>Turi atitiktie priemonės PFSA 29 punkto projekto parengtumui taikomus reikalavimus.</t>
  </si>
  <si>
    <t>Pirminės asmens sveikatos priežiūros veiklos efektyvumo didinimas Lazdijų rajono savivaldybėje</t>
  </si>
  <si>
    <t>UAB "Disolis"</t>
  </si>
  <si>
    <t>Sveikatos priežiūros paslaugų gerinimas UAB „Disolis“</t>
  </si>
  <si>
    <t>UAB “Druskininkų  šeimos klinika”</t>
  </si>
  <si>
    <t>UAB MediCA klinika</t>
  </si>
  <si>
    <t>UAB "MediCA klinika" teikiamų pirminės asmens sveikatos priežiūros paslaugų efektyvumo didinimas Alytaus miesto savivaldybėje</t>
  </si>
  <si>
    <t>UAB Pagalba ligoniui</t>
  </si>
  <si>
    <t>UAB Rasos Ambrazaitienės šeimos gydytojo kabinetas</t>
  </si>
  <si>
    <t>Pirminės ambulatorinės asmens sveikatos priežiūros efektyvumo didinimas R. Ambrazaitienės ir L. Puzinovienės šeimos gydytojų kabinetuose</t>
  </si>
  <si>
    <t>Turi atitiktie priemonės PFSA 29 punkto projekto parengtumui taikomus reikalavimus</t>
  </si>
  <si>
    <t>10.</t>
  </si>
  <si>
    <t>Turi atitikti priemonės PFSA 29 punkto projekto parengtumui taikomus reikalavimus.</t>
  </si>
  <si>
    <t>11.</t>
  </si>
  <si>
    <t>12.</t>
  </si>
  <si>
    <t>VšĮ Druskininkų pirminės sveikatos priežiūros centras</t>
  </si>
  <si>
    <t>13.</t>
  </si>
  <si>
    <t>Patvirtinta
Alytaus regiono plėtros tarybos
2018 m. vasario  28 d. sprendimu Nr.51/6S-7 
(Alytaus regiono plėtros tarybos 2018 m. lapkričio 21 d.
sprendimo Nr. 51/6S-45 redakcija)</t>
  </si>
  <si>
    <t>08.4.2-ESFA-R-615 “Priemonių, gerinančių ambulatorinių asmens sveikatos priežiūros paslaugų prieinamumą tuberkulioze sergantiems pacientams, įgyvendinimas”</t>
  </si>
  <si>
    <t>2018-02-28</t>
  </si>
  <si>
    <t>08.4.2-ESFA-R-615-11</t>
  </si>
  <si>
    <t>Paslaugų tuberkulioze sergantiems asmenims gerinimas Lazdijų rajono savivaldybėje</t>
  </si>
  <si>
    <t>Viešoji įstaiga  Alytaus rajono savivaldybės pirminės sveikatos priežiūros centras</t>
  </si>
  <si>
    <t>08.4.2-ESFA-R-630 Sveikos gyvensenos skatinimas regioniniu lygiu</t>
  </si>
  <si>
    <t>08.4.2-ESFA-R-630-11</t>
  </si>
  <si>
    <t>Patvirtinta
Alytaus regiono plėtros tarybos
2017 m. rugpsėjo 14  d. sprendimu Nr.51/6S-45                                           (Alytaus regiono plėtros tarybos 2018 m. vasario 28 d. sprendimo Nr.51/6S-5 redakcija)</t>
  </si>
  <si>
    <t>Švietimo ir mokslo ministerija</t>
  </si>
  <si>
    <t>09.1.3-CPVA-R-705 Ikimokyklinio ir priešmokyklinio ugdymo prieinamumo didinimas</t>
  </si>
  <si>
    <t>2017-09-14</t>
  </si>
  <si>
    <t>09.1.3-CPVA-R-705-11</t>
  </si>
  <si>
    <t>Suėjus paraiškos pateikimo terminui, projektas turi atitikti priemonės 09.1.3-CPVA-R-705 „Ikimokyklinio ir priešmokyklinio ugdymo prieinamumo didinimas“ projektų finansavimo sąlygų aprašo, patvirtinto projektų finansavimo sąlygų aprašo patvirtinto Lietuvos Respublikos švietimo ir mokslo ministro 2017 m. liepos 18 d. įsakymu Nr. V-585, 28 punkto reikalavimus.</t>
  </si>
  <si>
    <t>PROJEKTAS</t>
  </si>
  <si>
    <t xml:space="preserve">Patvirtinta                                                                                                                  Alytaus regiono plėtros tarybos 2017 m. birželio 29 d. sprendimu Nr.51/6S-29                                                                                                             (Alytaus regiono plėtros tarybos 2017 m. liepos 18 d. sprendimo Nr.51/6S-36 redakcija)                                         </t>
  </si>
  <si>
    <t>09.1.3-CPVA-R-724 Mokyklų tinklo efektyvumo didinimas</t>
  </si>
  <si>
    <t>2017-06-29</t>
  </si>
  <si>
    <t>09.1.3-CPVA-R-724-11</t>
  </si>
  <si>
    <t>Suėjus paraiškos pateikimo terminui projektas turi atitikti priemonės projektų finansavimo sąlygų aprašo, patvirtinto Lietuvos Respublikos švietimo ir mokslo ministro 2017 m. balandžio 3 d. įsakymu  Nr. V-232 34 punkto reikalavimus.</t>
  </si>
  <si>
    <t>2017-09-15</t>
  </si>
  <si>
    <t>Suėjus paraiškos pateikimo terminui projektas turi atitikti priemonės projektų finansavimo sąlygų aprašo, patvirtinto Lietuvos Respublikos švietimo ir mokslo ministro 2017 m. balandžio 3 d. įsakymu Nr. V-232 34 punkto reikalavimus.</t>
  </si>
  <si>
    <t>Patvirtinta
Alytaus regiono plėtros tarybos
2017 m. gegužės 11 d. sprendimu Nr.51/6S-26
(Alytaus regiono plėtros tarybos 2017 m. liepos 7 d. sprendimo Nr.51/6S-33 redakcija)</t>
  </si>
  <si>
    <t>09.1.3-CPVA-R-725 Neformaliojo švietimo infrastruktūros tobulinimas</t>
  </si>
  <si>
    <t>2017-05-11</t>
  </si>
  <si>
    <t>09.1.3-CPVA-R-725-11</t>
  </si>
  <si>
    <t>2017-09-29</t>
  </si>
  <si>
    <t>Projektas turi atitikti parengtumo sąlygas, nurodytas priemonės Nr. 09.1.3-CPVA-R-725 projektų finansavimo sąlygų aprašo, patvirtinto LR švietimo ir mokslo ministro 2016 m. gruodžio 1 d. įsakymu Nr. V- 1074, 24 punkte.</t>
  </si>
  <si>
    <t>2017-09-30</t>
  </si>
  <si>
    <t>1. Projektas turi atitikti parengtumo sąlygas, nurodytas priemonės Nr. 09.1.3-CPVA-R-725 projektų finansavimo sąlygų aprašo, patvirtinto LR švietimo ir mokslo ministro 2016 m. gruodžio 1 d. įsakymu Nr. V- 1074, 24 punkte.
2. Atsižvelgiant į projektinio pasiūlymo vertinimo išvadoje numatytą išlygą, iki paraiškos pateikimo pastato, Vytauto g. 44, Nemunaityje, patalpos, kurias planuojama suremontuoti ir pritaikyti stovykloms, turi būti perduotos patikėjimo teise neformaliojo ugdymo įstaigai Alytaus r. meno ir sporto mokyklai.</t>
  </si>
  <si>
    <t>Patvirtinta
Alytaus regiono plėtros tarybos
2017 m. rugsėjo 14 d. sprendimu Nr.51/6S-46        
(Alytaus regiono plėtros tarybos 2018 m. lapkričio 21 d.sprendimo Nr.51/6S-48 redakcija)</t>
  </si>
  <si>
    <t>10.1.3-ESFA-R-920 Paslaugų ir asmenų aptarnavimo kokybės gerinimas savivaldybėse</t>
  </si>
  <si>
    <t>10.1.3-ESFA-R-920-11</t>
  </si>
  <si>
    <t>Projektas turi atitikti parengtumo sąlygas, nurodytas priemonės Nr. 10.1.3-ESFA-R-920 projektų finansavimo sąlygų aprašo 33.2 papunktyje.</t>
  </si>
  <si>
    <t>08.2.1-CPVA-R-908 Kaimo gyvenamųjų vietovių atnaujinimas</t>
  </si>
  <si>
    <t>2017-08-31</t>
  </si>
  <si>
    <t>08.2.1-CPVA-R-908-11</t>
  </si>
  <si>
    <t>Suėjus paraiškos pateikimo terminui, projektas turi atitikti 08.2.1-CPVA-R-908 priemonės „Kaimo gyvenamųjų vietovių atnaujinimas“ projektų finansavimo sąlygų aprašo 23.3 papunkčio reikalavimus.</t>
  </si>
  <si>
    <t>08.1.3-CPVA-R-609-11-0006</t>
  </si>
  <si>
    <t>08.1.3-CPVA-R-609-11-0007</t>
  </si>
  <si>
    <t>08.1.3-CPVA-R-609-11-0008</t>
  </si>
  <si>
    <t>08.1.3-CPVA-R-609-11-0009</t>
  </si>
  <si>
    <t>08.1.3-CPVA-R-609-11-0010</t>
  </si>
  <si>
    <t>08.1.3-CPVA-R-609-11-0011</t>
  </si>
  <si>
    <t>08.1.3-CPVA-R-609-11-0012</t>
  </si>
  <si>
    <t>Gytė Čeplinskaitė</t>
  </si>
  <si>
    <t>Edita Sadauskienė</t>
  </si>
  <si>
    <t>UAB „Druskininkų šeimos klinika" asmens sveikatos priežiūros paslaugų prieinamumo ir efektyvumo didinimas</t>
  </si>
  <si>
    <t>184756887</t>
  </si>
  <si>
    <t>UAB „Druskininkų šeimos klinika"</t>
  </si>
  <si>
    <t>152157865</t>
  </si>
  <si>
    <t>Lina Šimkevičienė</t>
  </si>
  <si>
    <t>Alytaus rajono savivaldybės pirminės sveikatos priežiūros centras, VšĮ</t>
  </si>
  <si>
    <t>UAB "Disolis" teikiamų paslaugų efektyvumo didinimas</t>
  </si>
  <si>
    <t>153740454</t>
  </si>
  <si>
    <t>Uždaroji akcinė bendrovė "Disolis"</t>
  </si>
  <si>
    <t>Lina Klingienė</t>
  </si>
  <si>
    <t>184639460</t>
  </si>
  <si>
    <t>Ala Novoselskaja</t>
  </si>
  <si>
    <t>09.3.3-LMT-K-712-11-0001</t>
  </si>
  <si>
    <t>Užsienio mokslininko vizitas daktaro disertacijos gynime</t>
  </si>
  <si>
    <t>111950396</t>
  </si>
  <si>
    <t>Vytauto Didžiojo universitetas</t>
  </si>
  <si>
    <t>521</t>
  </si>
  <si>
    <t>522</t>
  </si>
  <si>
    <t>523</t>
  </si>
  <si>
    <t>524</t>
  </si>
  <si>
    <t>525</t>
  </si>
  <si>
    <t>526</t>
  </si>
  <si>
    <t>527</t>
  </si>
  <si>
    <t>528</t>
  </si>
  <si>
    <t>529</t>
  </si>
  <si>
    <t>530</t>
  </si>
  <si>
    <t>531</t>
  </si>
  <si>
    <t>Projekto įgyvendinimo metu bus atlikti kultūros paveldo objekto, esančio adresu Draugystės g. 2, Kurnėnų k., Miroslavo sen., Alytaus r. sav. (Kurnėnų Lauryno Radziukyno mokyklos (u.k. 16014)) pusrūsio patalpų ir pusrūsio inžinerinių sistemų bei lauko inžinerinių tinklų remonto darbai, dalies sklypo sutvarkymo darbai, įsigyta įranga ir baldai kultūrinėms paslaugoms teikti. Visa tai leis pritraukti naujus lankytojų srautus. Įveiklintame objekte bus organizuojami kultūriniai renginiai, konferencijos, seminarai, mokymai, edukaciniai užsiėmimai (kulinarinio paveldo edukacinės veiklos, programa atskleidžianti pastato istoriją, žvakių liejimas, juostų pynimas), parodos, menininkų plenerai. Atliktus tvarkybos darbus bus atskleistosios pastato vertingosios savybės, kurios bus pristatomos lankytojams.</t>
  </si>
  <si>
    <t>AB Šiaulių banko Alytaus KAC</t>
  </si>
  <si>
    <t>LT777181200002130802</t>
  </si>
  <si>
    <t>(mėnesiais)</t>
  </si>
  <si>
    <t>PAREIŠKĖJO PAVADINIMAS</t>
  </si>
  <si>
    <t>PROJEKTO PAVADINIMAS</t>
  </si>
  <si>
    <t>PARAIŠKOS KODAS</t>
  </si>
  <si>
    <t>ALYTAUS RAJONO SAVIVALDYBĖS ADMINISTRACIJA, BĮ</t>
  </si>
  <si>
    <t>SKIRTA PARAMOS SUMA, EUR</t>
  </si>
  <si>
    <t>DRUSKININKŲ SAVIVALDYBĖS ADMINISTRACIJA, BĮ</t>
  </si>
  <si>
    <t>„Druskininkų savivaldybės Viečiūnų seniūnijos Ilgio ir Raigardo seniūnaitijų kelių būklės gerinimas“</t>
  </si>
  <si>
    <t>„Druskininkų savivaldybės Viečiūnų seniūnijos Ratnyčėlės seniūnaitijos kelių būklės gerinimas“</t>
  </si>
  <si>
    <t>„Druskininkų savivaldybės Leipalingio seniūnijos Bilso seniūnaitijos kelių būklės gerinimas“</t>
  </si>
  <si>
    <t>"Druskininkų savivaldybės Leipalingio seniūnijos Klonio seniūnaitijos kelių būklės gerinimas"</t>
  </si>
  <si>
    <t>LAZDIJŲ RAJONO SAVIVALDYBĖS ADMINISTRACIJA, BĮ</t>
  </si>
  <si>
    <t>LAZDIJŲ RAJONO SAVIVALDYBĖS VIEŠOJI BIBLIOTEKA, BĮ</t>
  </si>
  <si>
    <t>VIEŠOJI ĮSTAIGA LAZDIJŲ KULTŪROS CENTRAS, VŠ</t>
  </si>
  <si>
    <t>VARĖNOS KULTŪROS CENTRAS, BĮ</t>
  </si>
  <si>
    <t>VARĖNOS KULTŪROS CENTRO ŽILINŲ FILIALO PASTATO ATNAUJINIMAS IR PRITAIKYMAS BENDRUOMENĖS POREIKIAMS</t>
  </si>
  <si>
    <t>VARĖNOS RAJONO SAVIVALDYBĖS ADMINISTRACIJA, BĮ</t>
  </si>
  <si>
    <t>VARĖNOS R. RUDNIOS KAIMO PUŠYNO GATVĖS ĮRENGIMAS</t>
  </si>
  <si>
    <t>VARĖNOS R. DARGUŽIŲ KAIMO LIEPŲ GATVĖS IR VIEŠOSIOS ERDVĖS ĮRENGIMAS</t>
  </si>
  <si>
    <t>PASTATO, ESANČIO PUŠELĖS G. 11, NAUJŲJŲ VALKININKŲ K., VARĖNOS R., ATNAUJINIMAS IR PRITAIKYMAS BENDRUOMENĖS POREIKIAMS</t>
  </si>
  <si>
    <t>SKIRTA ES PARAMOS SUMA, EUR</t>
  </si>
  <si>
    <t>SKIRTA VB PARAMOS SUMA, EUR</t>
  </si>
  <si>
    <t>SKIRTA SB SUMA, EUR</t>
  </si>
  <si>
    <t>RPP-RPS</t>
  </si>
  <si>
    <t>RPP-SUT</t>
  </si>
  <si>
    <t>RPS- SUT</t>
  </si>
  <si>
    <t>211950810, Vilniaus universitetas</t>
  </si>
  <si>
    <t>152114846, Viešoji įstaiga Druskininkų pirminės sveikatos priežiūros centras</t>
  </si>
  <si>
    <t>Pajamos</t>
  </si>
  <si>
    <t>178851430, Uždaroji akcinė bendrovė "Aktyvios idėjos"</t>
  </si>
  <si>
    <t>532</t>
  </si>
  <si>
    <t>533</t>
  </si>
  <si>
    <t>534</t>
  </si>
  <si>
    <t>535</t>
  </si>
  <si>
    <t>536</t>
  </si>
  <si>
    <t>537</t>
  </si>
  <si>
    <t>538</t>
  </si>
  <si>
    <t>539</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</si>
  <si>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</si>
  <si>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</si>
  <si>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</si>
  <si>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</si>
  <si>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</si>
  <si>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</si>
  <si>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</si>
  <si>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</si>
  <si>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</si>
  <si>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</si>
  <si>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</si>
  <si>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</si>
  <si>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</si>
  <si>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</si>
  <si>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</si>
  <si>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</si>
  <si>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</si>
  <si>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</si>
  <si>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</si>
  <si>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</si>
  <si>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</si>
  <si>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</si>
  <si>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</si>
  <si>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</si>
  <si>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</si>
  <si>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</si>
  <si>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</si>
  <si>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</si>
  <si>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</si>
  <si>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</si>
  <si>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</si>
  <si>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</si>
  <si>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</si>
  <si>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</si>
  <si>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</si>
  <si>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</si>
  <si>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</si>
  <si>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</si>
  <si>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</si>
  <si>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</si>
  <si>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</si>
  <si>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</si>
  <si>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</si>
  <si>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</si>
  <si>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</si>
  <si>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</si>
  <si>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</si>
  <si>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04.5.1-TID-V-513-01-0001</t>
  </si>
  <si>
    <t>Darnaus judumo Birštono mieste plano parengimas</t>
  </si>
  <si>
    <t>188750166, Birštono savivaldybės administracija</t>
  </si>
  <si>
    <t>04.5.1-TID-V-513-01-0002</t>
  </si>
  <si>
    <t>Darnaus judumo Utenos mieste plano rengimas</t>
  </si>
  <si>
    <t>188710442, Utenos rajono savivaldybės administracija</t>
  </si>
  <si>
    <t>04.5.1-TID-V-513-01-0003</t>
  </si>
  <si>
    <t>Jonavos miesto darnaus judumo plano parengimas</t>
  </si>
  <si>
    <t>188769070, Jonavos rajono savivaldybės administracija</t>
  </si>
  <si>
    <t>04.5.1-TID-V-513-01-0004</t>
  </si>
  <si>
    <t>Darnaus judumo Tauragės mieste plano rengimas</t>
  </si>
  <si>
    <t>188737457, Tauragės rajono savivaldybės administracija</t>
  </si>
  <si>
    <t>04.5.1-TID-V-513-01-0005</t>
  </si>
  <si>
    <t>Telšių miesto darnaus judumo plano parengimas</t>
  </si>
  <si>
    <t>180878299, Telšių rajono savivaldybės administracija</t>
  </si>
  <si>
    <t>04.5.1-TID-V-513-01-0007</t>
  </si>
  <si>
    <t>Visagino darnaus judumo plano parengimas</t>
  </si>
  <si>
    <t>188711925, Visagino savivaldybės administracija</t>
  </si>
  <si>
    <t>04.5.1-TID-V-513-01-0008</t>
  </si>
  <si>
    <t>Mažeikių miesto darnaus judumo plano parengimas</t>
  </si>
  <si>
    <t>167371234, Mažeikių rajono savivaldybės administracija</t>
  </si>
  <si>
    <t>04.5.1-TID-V-513-01-0009</t>
  </si>
  <si>
    <t>Kėdainių miesto darnaus judumo plano parengimas</t>
  </si>
  <si>
    <t>188768545, Kėdainių rajono savivaldybės administracija</t>
  </si>
  <si>
    <t>04.5.1-TID-V-513-01-0010</t>
  </si>
  <si>
    <t>Šiaulių miesto darnaus judumo plano parengimas</t>
  </si>
  <si>
    <t>188771865, Šiaulių miesto savivaldybės administracija</t>
  </si>
  <si>
    <t>04.5.1-TID-V-513-01-0011</t>
  </si>
  <si>
    <t>Klaipėdos miesto darnaus judumo plano parengimas</t>
  </si>
  <si>
    <t>188710823, Klaipėdos miesto savivaldybės administracija</t>
  </si>
  <si>
    <t>04.5.1-TID-V-513-01-0012</t>
  </si>
  <si>
    <t>Neringos savivaldybės darnaus judumo strateginio plano parengimas</t>
  </si>
  <si>
    <t>188754378, Neringos savivaldybės administracija</t>
  </si>
  <si>
    <t>04.5.1-TID-V-513-01-0013</t>
  </si>
  <si>
    <t>Panevėžio miesto darnaus judumo plano parengimas</t>
  </si>
  <si>
    <t>288724610, Panevėžio miesto savivaldybės administracija</t>
  </si>
  <si>
    <t>04.5.1-TID-V-513-01-0014</t>
  </si>
  <si>
    <t>Palangos miesto darnaus judumo plano parengimas</t>
  </si>
  <si>
    <t>125196077, Palangos miesto savivaldybės administracija</t>
  </si>
  <si>
    <t>04.5.1-TID-V-513-01-0016</t>
  </si>
  <si>
    <t>Vilniaus miesto savivaldybės darnaus judumo plano rengimas</t>
  </si>
  <si>
    <t>188710061, Vilniaus miesto savivaldybės administracija</t>
  </si>
  <si>
    <t>04.5.1-TID-V-513-01-0017</t>
  </si>
  <si>
    <t>Kauno miesto darnaus judumo plano parengimas</t>
  </si>
  <si>
    <t>UAB “Varėnos vandenys” teikia vandens tiekimo, nuotekų šalinimo ir valymo paslaugas Varėnos mieste bei rajone. Nuotekos šalinamos senais, prastos kokybės vamzdžiais, dažnos avarijos. Vandentiekio tinklų, kaip ir nuotekų sistemos būklė yra blogos kokybės. Dalis tinklų įrengti privačiuose sklypuose, todėl apsunkinamas jų eksploatavimas ir priežiūra. Vandentiekio tinklai pakloti nesilaikant tinklų klojimo normų, žiemą dažnai užšąla. Tiek nuotekų, tiek vandentiekio tinklai pakloti tuo metu, kai nuotekų kiekiai buvo žymiai didesni, todėl dabartinių vamzdžių skersmenys neatitinka šiandieninių kiekių. Didelę tinklų dalį sudaro didesnio kaip 200 mm diametro vamzdynai, todėl esant mažam nuotekų kiekiui, mažėja nuotekų greitis, tinkluose kaupiasi sąnašos. Taip pat dalis rajono gyventojų negali naudotis geriamojo vandens tiekimo ir nuotekų tvarkymo paslaugomis, kadangi nepakankamai išplėtota tinklų infrastruktūra. Siekiant padidinti geriamojo vandens tiekimo ir nuotekų tvarkymo paslaugų prieinamumą bei pagerinti šių paslaugų kokybę Varėnos rajone, būtina išplėsti ir renovuoti vandens tiekimo ir nuotekų tinklus, įrengti nuotekų valymo įrenginius bei vandens gerinimo įrenginius. Šiuo tikslu numatoma įgyvendinti investicinį projektą, kurio metu vykdoma nuotekų ir geriamojo vandens tinklų rekonstrukcija ir statyba Varėnos, Matuizų, Merkinės, Krivilių, S. Varėnos gyvenvietėse, rekonstruojami ir statomi nuotekų valymo įrenginiai Matuizų ir Puodžių gyvenvietėse bei vandens gerinimo įrenginiai Kriviliuose ir Panaroje. Įgyvendinus projektą bus užtikrintas tinkamas vandentvarkos paslaugų teikimas optimaliomis sąlygomis. Atlikus esamų tinklų rekonstrukciją bus (1) padidintas tinklų efektyvumas ir mažinamos eksploatacinės sąnaudos; (2) sumažinamas avarijų skaičius; (3) gerinama vandens kokybė ir užtikrinamas paslaugos tiekimo patikimumas; (4) atstatoma nusidėvėjusi infrastruktūra; (5) mažinama infiltracija/eksfiltracija.</t>
  </si>
  <si>
    <t>Siekiant plėtoti susisiekimą Druskininkų savivaldybės vietinės reikšmės keliais ir užtikrinti eismo dalyvių saugumą, numatyta rekonstruoti M. K. Čiurlionio gatvės atkarpą  nuo įvažiavimo prie Pirminės sveikatos priežiūros centro M. K. Čiurlionio gatvė Nr. 82 iki sankryžos su Veisiejų gatve ir įdiegti eismo saugumo priemones.
Projekto investicijomis bus sutvarkyta pagrindinės Druskininkų miesto gatvės atkarpos važiuojamoji kelio danga ir šaligatviai, atnaujinti apšvietimo ir lietaus nuotekų tinklai, įrengti kryptiniai pėsčiųjų perėjų apšvietimai ir atitvarai.
Tiesioginę naudą iš numatomo įgyvendinti investicijų projekto gaus Druskininkų savivaldybės gyventojai ir kurorto svečiai bei Druskininkuose veikiantys ūkio subjektai. Šių tikslinių grupių poreikis – gyventi bei veikti patrauklioje, saugioje bei efektyviai funkcionuojančioje aplinkoje. Projektas pagerins Druskininkų miesto susisiekimo prieinamumą ir eismo dalyvių saugumą, gyvenamoji aplinka taps kokybiškesnė bei rekonstruota M. K. Čiurlionio gatvės atkarpa bus naudinga ekonominiam sektoriui.</t>
  </si>
  <si>
    <t>01 Integruotosios teritorinės investicijos: miesto teritorijos</t>
  </si>
  <si>
    <t>UAB Swedbank</t>
  </si>
  <si>
    <t>LT087300010129482690</t>
  </si>
  <si>
    <t>Varėnos miestas susiduria su problema – dalis Varėnos miesto centre esančių teritorijų yra apleistos, nepakankamai išvystytos, neišnaudojamos bendruomeninėms bei verslo galimybėms. Siekiant spręsti šias problemas, būtina sutvarkyti apleistas miesto teritorijas bei pritaikyti jas verslui. Projekto įgyvendinimo metu bus atliekami apleisto darželio pastatų griovimo bei žemės sklypo sutvarkymo darbai. Buvusios asfaltbetonio bazės teritorijoje numatyta sutvarkyti žemės sklypą, pašalinant aplinką darkančius statinius, įrengiant inžinerinius tinklus bei privažiavimą. Taip būtų sudaromos galimybės kurti naujas kokybiškas visam miestui svarbias erdves, skirtas įvairioms gyventojų grupėms ir tarnaujančias tiek gyventojų, tiek verslo poreikiams. Šių dviejų teritorijų sutvarkymas padės kompleksiškai spręsti Varėnos miesto problemas. Sutvarkius apleistą buvusio darželio teritoriją, bus sukurta patrauklesnė gyvenamoji aplinka, padidės miesto patrauklumas gyventojų ir privataus verslo atžvilgiu. Sutvarkyta pramoninė teritorija su atvestomis pagrindinėmis komunikacijomis tiesiogiai prisidės prie palankesnių sąlygų verslo plėtrai sudarymo. Tikimasi, kad padidėjęs teritorijų patrauklumas padės pritraukti papildomas investicijas, kurti naujas darbo vietas ir taip prisidėti prie miesto socialinio – ekonominio augimo.</t>
  </si>
  <si>
    <t>Siekiant užtikrinti geresnę gyvenimo kokybę Birštono mieste, kuris turi kurorto statusą, bei tvarų transporto sistemos vystymąsi, teikiant prioritetą bevarikliam transportui bei pėsčiųjų eismui, Birštono savivaldybės administracija įgyvendindama projektą parengs ir patvirtins Darnaus judumo planą Birštono mieste. Šis planas kokybiškai papildys savivaldybės esamus strateginio planavimo dokumentus, detalizuos turimų teritorijų planavimo dokumentų sprendinius bei numatys priemones darnaus judumo variantų kūrimui, geresnės gyvenimo kokybės pasiekimui ir susisiekimo visomis transporto priemonėmis ar pėsčiomis optimalaus varianto parinkimui, prioritetą teikiant bevarikliam ar aplinką mažai teršiančiam transportui, automobilių naudojimo ir jų daromo poveikio mažinimui bei judumo įpročių ir elgsenos keitimui. Plane numatytos ir Savivaldybės tarybos patvirtintos priemonės bus įgyvendinamos kitomis Europos Sąjungos investicijų ar tarptautinio bendradarbiavimo per sieną programų lėšomis.</t>
  </si>
  <si>
    <t>Birštono savivaldybės administracija</t>
  </si>
  <si>
    <t>188750166</t>
  </si>
  <si>
    <t>Jaunimo 2, 59206, Birštonas</t>
  </si>
  <si>
    <t>8 319 65555</t>
  </si>
  <si>
    <t>savivaldybe@birstonas.lt</t>
  </si>
  <si>
    <t>Birštono</t>
  </si>
  <si>
    <t>LT777181600000130351</t>
  </si>
  <si>
    <t>Projekto tikslas - parengti darnaus judumo Utenos mieste planą, siekiant užtikrinti geresnę gyvenimo kokybę Utenos rajone bei susisiekimą įvairiomis transporto rūšimis ir pėsčiomis. Darnaus judumo Utenos mieste plane numatoma: viešojo transporto skatinimas, beveriklio transporto integracija, modalinis kelionių pasiskirstymas, eismo sauga ir saugumas, eismo organizavimo tobulinimas ir judumo valdymas, miesto logistika, transporto sistemos visuotinimas ir specialiųjų poreikių turinčių žmonių įtrauktis, alternatyvių degalų ir aplinką mažiau teršiančio transporto skatinimas, intelektinių transporto sistemų diegimo mieste poreikio vertinimas.
Parengus Darnaus judumo Utenos mieste planą bus sudarytos prielaidos ateityje sėkmingai įgyvendinti darnaus judumo priemonių diegimo projektus Utenos mieste ir už miesto ribų. Papildomai bus pasiekta socialinė nauda: pagerės Utenos miesto įvaizdis, padidės vietos gyventojų poilsio ir rekreacijos galimybės, išaugs vietos bendruomenių pasitikėjimas ir pasitenkinimas vietos valdžios institucijomis.</t>
  </si>
  <si>
    <t>LT009 Utenos apskritis</t>
  </si>
  <si>
    <t>Utenos rajono savivaldybės administracija</t>
  </si>
  <si>
    <t>188710442</t>
  </si>
  <si>
    <t>Utenio a. 4, LT-28503, Utena</t>
  </si>
  <si>
    <t>8 389 61600</t>
  </si>
  <si>
    <t>info@utena.lt</t>
  </si>
  <si>
    <t>Utenos apskritis</t>
  </si>
  <si>
    <t>Utenos raj.</t>
  </si>
  <si>
    <t>AB SEB bankas</t>
  </si>
  <si>
    <t>LT167044060002515796</t>
  </si>
  <si>
    <t>Jonavos rajono savivaldybė, atsižvelgdama į Lietuvos Respublikos susisiekimo ministerijos rekomendacijas šalies savivaldybėms bei skatinimą užtikrinti patogų ir aplinkai draugišką susisiekimą mieste, gerinti eismo saugą bei didinti miesto aplinkos patrauklumą,  inicijavo Darnaus judumo Jonavos mieste plano rengimą. Pagrindiniai plano tikslai - įvertinti pagrindinius visų susisiekimo sistemos naudotojų judumo poreikius, vystyti ir integruoti skirtingus susisiekimo būdus mieste, prioritetą teikiant viešajam keleiviniam ir bevarikliam transportui ar aplinką mažai teršiančiam transportui, subalansuotai išnaudoti miesto erdvę, susisiekimo komunikacijas pritaikant keleiviniam transportui, pėstiesiems ir dviratininkams, plėtoti teikiamas transporto paslaugas ir didinti jų veiksmingumą, didinti miesto aplinkos patrauklumą, gerinti gyvenimo kokybę ir visuomenės sveikatą, didinti eismo saugą ir užtikrinti saugumą, mažinti oro užterštumą, triukšmą, šiltnamio efektą sukeliančių dujų išmetimą ir energijos vartojimą. Parengtas planas padės mažinti neigiamą automobilių keliamą poveikį, keisti Jonavos miesto gyventojų judumo įpročius ir elgseną, pabrėžiant geresnę gyvenimo kokybę miestuose ir jų prieigose, planas užtikrins, kad mieste būtų derinami darnios plėtros, ekonominio gyvybingumo, socialinės lygybės, sveikatos ir aplinkos kokybės poreikiai.</t>
  </si>
  <si>
    <t>Jonavos rajono savivaldybės administracija</t>
  </si>
  <si>
    <t>188769070</t>
  </si>
  <si>
    <t>Žeimių g. 13, 55158, Jonava</t>
  </si>
  <si>
    <t>(8 349) 613 94</t>
  </si>
  <si>
    <t>administracija@jonava.lt</t>
  </si>
  <si>
    <t>Jonavos raj.</t>
  </si>
  <si>
    <t>LT164010043900070073</t>
  </si>
  <si>
    <t>Darnaus  judumo Tauragės  mieste plane numatoma: viešojo transporto skatinimas, bevariklio transporto integracija, modalinis kelionių pasiskirstymas, eismo sauga ir saugumas, eismo organizavimo tobulinimas ir judumo paklausos valdymas, miesto logistika, universalus dizainas ir specialiųjų poreikių turinčių žmonių įtrauktis, alternatyvių degalų ir aplinką mažiau teršiančio transporto skatinimas, intelektinių transporto sistemų (toliau - ITS) diegimo mieste poreikio vertinimas. 
Parengus Darnaus judumo Tauragės mieste planą bus sudarytos prielaidos ateityje sėkmingai įgyvendinti darnaus judumo priemonių diegimo projektus Tauragės mieste.</t>
  </si>
  <si>
    <t>LT007 Tauragės apskritis</t>
  </si>
  <si>
    <t>Tauragės rajono savivaldybės administracija</t>
  </si>
  <si>
    <t>188737457</t>
  </si>
  <si>
    <t>Respublikos 2, LT 72255, Tauragė</t>
  </si>
  <si>
    <t>(8446) 62 810</t>
  </si>
  <si>
    <t>savivalda@taurage.lt</t>
  </si>
  <si>
    <t>Tauragės apskritis</t>
  </si>
  <si>
    <t>Tauragės raj.</t>
  </si>
  <si>
    <t>LT344010041600314015</t>
  </si>
  <si>
    <t>Projekto „Telšių miesto darnaus judumo plano parengimas“ įgyvendinimo metu bus rengiamas Telšių miesto darnaus judumo planas. Tai Telšių rajono savivaldybės teritorijos bendrojo plano sprendinius papildantis ir detalizuojantis strateginio planavimo dokumentas, kuris bus rengiamas patvirtintų teritorijų planavimo dokumentų ir savivaldybės strateginių planų pagrindu, siekiant atlikti visapusišką transporto ir žmonių keliavimo įpročių analizę mieste, užtikrinti darnaus judumo mieste ir priemiestyje variantų kūrimą, geresnę gyvenimo kokybę mieste ir jo prieigose ir susisiekimą visomis transporto priemonėmis ar pėsčiomis, prioritetą teikiant viešajam keleiviniam ir bevarikliam ar aplinką mažai teršiančiam transportui.
Parengus darnaus judumo planą, Telšių miesto judumo įpročius pakeis sistemingas planavimas, bus sumažinta priklausomybė nuo kelionių automobiliu, sumažintas neigiamas transporto poveikis aplinkai, užtikrintas darnesnis erdvinis planavimas ir planingas transporto sistemos vystymas, leidžiantis keisti judumo įpročius. Taip pat bus pritaikytas viešojo transporto paslaugų, miesto gatvių, pėsčiųjų ir/ar dviračių takų prieinamumas žmonėms su specialiaisiais poreikiais.</t>
  </si>
  <si>
    <t>LT008 Telšių apskritis</t>
  </si>
  <si>
    <t>Telšių rajono savivaldybės administracija</t>
  </si>
  <si>
    <t>180878299</t>
  </si>
  <si>
    <t>Žemaitės g. 14, LT-87133, Telšiai</t>
  </si>
  <si>
    <t>8 444 52229</t>
  </si>
  <si>
    <t>info@telsiai.lt</t>
  </si>
  <si>
    <t>Telšių apskritis</t>
  </si>
  <si>
    <t>Telšių raj.</t>
  </si>
  <si>
    <t>LT324010051003783984</t>
  </si>
  <si>
    <t>Visagino darnaus judumo plano rengimas, kuriuo skatinama savivaldybės teritorijoje užtikrinti patogų ir aplinkai draugišką susisiekimą, gerinti eismo saugą bei didinti savivaldybės aplinkos patrauklumą.  
Planuojamo Darnaus judumo Visagino mieste plano esmė – įvertinti pagrindinius visų Visagino savivaldybės susisiekimo sistemos naudotojų judumo poreikius ir pateikti pasiūlymus, kaip subalansuotai išnaudoti Visagino miesto ir savivaldybės erdvę, esamą susisiekimo komunikacijų infrastruktūrą pritaikant keleiviniam transportui, pėstiesiems ir dviratininkams. Pateikti sprendinius, kaip didinti Visagino miesto aplinkos patrauklumą, gerinti gyvenimo kokybę ir visuomenės sveikatą, didinti eismo saugą ir užtikrinti saugumą bei mažinti oro užterštumą, triukšmą, šiltnamio efektą sukeliančių dujų išmetimą ir energijos vartojimą (įskaitant darnaus judumo variantus iki 2030 m. ir veiksmų planą iki 2020 m., plano temines dalis – viešojo transporto skatinimas, be variklio transporto integracija, modalinis kelionių pasiskirstymas, eismo organizavimo tobulinimas ir judumo valdymas, miesto logistika, transporto sistemos visuotinimas ir specialiųjų poreikių turinčių žmonių įtrauktis, alternatyvių degalų ir aplinką mažiau teršiančio transporto skatinimas, ITS diegimo mieste poreikio vertinimas).
Visagino darnaus judumo plano rengimas, kuriuo skatinama savivaldybės teritorijoje užtikrinti patogų ir aplinkai draugišką susisiekimą, gerinti eismo saugą bei didinti savivaldybės aplinkos patrauklumą.</t>
  </si>
  <si>
    <t>Visagino savivaldybės administracija</t>
  </si>
  <si>
    <t>188711925</t>
  </si>
  <si>
    <t>Parko gatvė 14, 31139, Visaginas</t>
  </si>
  <si>
    <t>8 386 60 246</t>
  </si>
  <si>
    <t>visaginas@visaginas.lt</t>
  </si>
  <si>
    <t>Visagino miesto</t>
  </si>
  <si>
    <t>LT497182200000142465</t>
  </si>
  <si>
    <t>Mažeikių rajono savivaldybės administracija, siekdama sukurti subalansuotą, efektyviu išteklių ir šiuolaikinių technologijų naudojimu grindžiamą darnaus judumo sistemą Mažeikių mieste, planuoja parengti strateginį dokumentą darnaus judumo sistemai sukurti. Projekto metu bus parengtas Mažeikių miesto darnaus judumo planas. Plane bus pateikti integruotos susisiekimo sistemos sprendiniai, kurie atitiks tvarumo, ekonominio gyvybingumo, socialinės lygybės, sveikatos ir aplinkos kokybės poreikių suderinamumo reikalavimus. Numatytais kompleksiniais darnaus judumo sprendimais tikimasi sumažinti namų ūkių iš transporto veiklos į atmosferą išmestą CO2  bei sustabdyti keleivių skaičiaus mažėjimą vietiniame viešajame susisiekime, o taip pat padidinti naudojimąsi miesto viešuoju transportu.</t>
  </si>
  <si>
    <t>Mažeikių rajono savivaldybės administracija</t>
  </si>
  <si>
    <t>167371234</t>
  </si>
  <si>
    <t>Laisvės 8, 89223, Mažeikiai</t>
  </si>
  <si>
    <t>(8 443) 98 204</t>
  </si>
  <si>
    <t>savivaldybe@mazeikiai.lt</t>
  </si>
  <si>
    <t>Mažeikių raj.</t>
  </si>
  <si>
    <t>LT564010040700030041</t>
  </si>
  <si>
    <t>Tikslas – įvertinus poreikius, sukurti subalansuotą, efektyviu išteklių ir šiuolaikinių technologijų naudojimu grindžiamą darnaus judumo sistemą Kėdainių mieste. Siekiant užtikrinti geresnę gyvenimo kokybę Kėdainių mieste bei tvarų transporto sistemos vystymąsi, savivaldybės administracija įgyvendindama projektą, parengs ir patvirtins darnaus judumo planą Kėdainių mieste. Šis planas papildys esamus strateginio planavimo dokumentus bei numatys priemones darnaus judumo variantų kūrimui, geresnės gyvenimo kokybės pasiekimui ir susisiekimo visomis transporto priemonėmis ir/ar pėsčiomis optimalaus varianto parinkimui, prioritetą teikiant bevarikliam ar aplinką mažai teršiančiam transportui, automobilių naudojimo ir jų daromo poveikio mažinimui bei judumo įpročių ir elgsenos keitimui. Plane numatytos priemonės bus įgyvendinamos Europos Sąjungos ir kt. lėšomis.</t>
  </si>
  <si>
    <t>Kėdainių rajono savivaldybės administracija</t>
  </si>
  <si>
    <t>188768545</t>
  </si>
  <si>
    <t>J. Basanavičiaus 36, 57288, Kėdainiai</t>
  </si>
  <si>
    <t>8 347 69550</t>
  </si>
  <si>
    <t>administracija@kedainiai.lt</t>
  </si>
  <si>
    <t>Kėdainių raj.</t>
  </si>
  <si>
    <t>LT797044060001801906</t>
  </si>
  <si>
    <t>Šiaulių miesto darnaus judumo plane numatoma: viešojo transporto skatinimas, bevariklio transporto integracija, modalinis kelionių pasiskirstymas, eismo sauga ir saugumas, eismo organizavimo tobulinimas ir judumo paklausos valdymas, miesto logistika, universalus dizainas ir specialiųjų poreikių turinčių žmonių įtrauktis, alternatyvių degalų ir aplinką mažiau teršiančio transporto skatinimas, intelektinių transporto sistemų diegimo mieste poreikio vertinimas. Parengus Šiaulių miesto darnaus judumo planą bus sudarytos prielaidos ateityje sėkmingai įgyvendinti darnaus judumo priemonių diegimo projektus Šiaulių mieste.</t>
  </si>
  <si>
    <t>LT006 Šiaulių apskritis</t>
  </si>
  <si>
    <t>Šiaulių miesto savivaldybės administracija</t>
  </si>
  <si>
    <t>188771865</t>
  </si>
  <si>
    <t>Vasario 16-osios g. 62, LT-76295, Šiauliai</t>
  </si>
  <si>
    <t>+370 41 596 200</t>
  </si>
  <si>
    <t>rastine@siauliai.lt</t>
  </si>
  <si>
    <t>Šiaulių apskritis</t>
  </si>
  <si>
    <t>Šiaulių miesto</t>
  </si>
  <si>
    <t>LT737300010002407640</t>
  </si>
  <si>
    <t>Darnaus judumo planui rengti parengta techninė užduotis, kuriai pritarta LR SM darnaus judumo mieste planų komisijos 2015-09-08 protokolu Nr. 100-6-175; 2015-10-27 KMSA direktoriaus įsakymu Nr. AD1-3167 sudarytas darnaus judumo plano komitetas. Rengiant planą, bus išanalizuota judumo situacijos analizė Klaipėdos mieste, atlikta teminių dalių analizė (pagal Darnaus judumo mieste planų rengimo gaires, patvirtintas Lietuvos Respublikos susisiekimo ministro 2015 m. kovo 13 d. įsakymu „Dėl darnaus judumo mieste planų rengimo gairių patvirtinimo“ Nr. 3-108 (1.5 E),  Judumo mieste variantai (iki 2030 m.) ir veiksmų planas (iki 2020 m.). Remiantis parengtu planu, Klaipėdos miesto savivaldybė įgyvendins darnaus judumo priemones, tokiu būdu mieste bus sukurta subalansuota, efektyvi išteklių ir šiuolaikinių technologijų naudojimu grindžiama darnaus judumo sistema.</t>
  </si>
  <si>
    <t>LT003 Klaipėdos apskritis</t>
  </si>
  <si>
    <t>Klaipėdos miesto savivaldybės administracija</t>
  </si>
  <si>
    <t>188710823</t>
  </si>
  <si>
    <t>Liepų 11, 91502, Klaipėdos miestas</t>
  </si>
  <si>
    <t>(8 46) 39 60 09</t>
  </si>
  <si>
    <t>saulius.budinas@klaipeda.lt</t>
  </si>
  <si>
    <t>Klaipėdos apskritis</t>
  </si>
  <si>
    <t>Klaipėdos miesto</t>
  </si>
  <si>
    <t>LT527180500002130026</t>
  </si>
  <si>
    <t>Projekto įgyvendinimo metu pagal suderintą Techninę užduotį planuojama parengti Neringos savivaldybės darnaus judumo mieste planą, kurį įgyvendinus būtų sukurta subalansuota, efektyviu išteklių ir šiuolaikinių technologijų naudojimu grindžiama darnaus judumo sistema. 
Rengiant šį dokumentą, bus vadovaujamasi Gairėmis bei, kiek tikslinga, - Neringos savivaldybės teritorijos darnaus judumo specialiuoju planu. Projektas baigiamas, kai parengiamas Neringos savivaldybės darnaus judumo strateginis planas ir šis planas patvirtinamas (suderinamas) Gairėse nustatyta tvarka. Didelis dėmesys bus skiriamas sprendinių darnumui bei atitikčiai aplinkosauginiams reikalavimams.</t>
  </si>
  <si>
    <t>Neringos savivaldybės administracija</t>
  </si>
  <si>
    <t>188754378</t>
  </si>
  <si>
    <t>Taikos g. 2, LT-93121, Neringa</t>
  </si>
  <si>
    <t>(8 469) 52234</t>
  </si>
  <si>
    <t>meras@neringa.lt</t>
  </si>
  <si>
    <t>Neringos</t>
  </si>
  <si>
    <t>LT467300010088800012</t>
  </si>
  <si>
    <t>Panevėžio miesto darnaus judumo planas – strateginio planavimo dokumentas, kurio tikslas spręsti Panevėžio miestui kylančius susisiekimo iššūkius, įgyvendinti pasaulinius ekologiškumo reikalavimus bei padaryti miestą patogų tiek vietos gyventojams, tiek miesto svečiams. Darnaus judumo plano įgyvendinimas leis sukurti infrastruktūrą, skatinančią sveiką gyvenimo būdą ir didins gyvenamosios aplinkos patrauklumą Panevėžio mieste. Rengiant darnaus judumo planą bus atidžiai įvertinama, planuojama Panevėžio miesto urbanistinė, ekonominė plėtra bei siūlomi inovatyvūs sprendimai šių aspektų tarpusavio integracijai. Darnaus judumo plano rengimas yra sudėtingas uždavinys, balansuojantis tarp dviejų kraštutinumų: pirma - loginiu mąstymu pagrįsto proceso, kai kritiškai pamatuojama ir įvertinama situacija, sprendimai pagrindžiami socialiniais-ekonominiais rodikliais ir loginiais argumentais; antra -  kūrybiškumu pagrįsto proceso, kuriame atsisakoma įprastų taisyklių ir siekiama kurti naują suvokimą.</t>
  </si>
  <si>
    <t>LT005 Panevėžio apskritis</t>
  </si>
  <si>
    <t>Panevėžio miesto savivaldybės administracija</t>
  </si>
  <si>
    <t>288724610</t>
  </si>
  <si>
    <t>Laisvės a. 20, 35200, Panevėžys</t>
  </si>
  <si>
    <t>(8 45) 501 360</t>
  </si>
  <si>
    <t>savivaldybe@panevezys.lt</t>
  </si>
  <si>
    <t>Panevėžio apskritis</t>
  </si>
  <si>
    <t>Panevėžio miesto</t>
  </si>
  <si>
    <t>LT057300010002387621</t>
  </si>
  <si>
    <t>Projekto įgyvendinimo metu pagal suderintą Techninę užduotį bus parengtas Darnaus judumo Palangos mieste planas, kurį įgyvendinus bus sukurta darni jautrios aplinkos ir inovatyvių technologijų naudojimu,  judumo sistema. 
Rengiant Darnaus judumo Palangos mieste planą bus vadovaujamasi Gairėmis. Projektas baigiamas, kai parengiamas Palangos miesto darnaus judumo planas, jis apsvarstomas su visuomene ir tvirtinamas Gairėse nustatyta tvarka.</t>
  </si>
  <si>
    <t>Palangos miesto savivaldybės administracija</t>
  </si>
  <si>
    <t>125196077</t>
  </si>
  <si>
    <t>Vytauto gatvė 112, LT-00153, Palanga</t>
  </si>
  <si>
    <t>8 460 48705</t>
  </si>
  <si>
    <t>direktorius@palanga.lt</t>
  </si>
  <si>
    <t>Palangos miesto</t>
  </si>
  <si>
    <t>LT827180600001130381</t>
  </si>
  <si>
    <t>Vilniaus miesto savivaldybės darnaus judumo planu siekiama užtikrinti judumo sistemos tvarumo, ekonominio gyvybingumo, socialinės lygybės, sveikatos ir aplinkos kokybės poreikių suderinamumo reikalavimus. 
Vilniaus miesto savivaldybės darnaus judumo plano paskirtis yra užtikrinti:
1. Vilniaus miesto savivaldybės teritorijoje ir jos prieigose gyvenančių asmenų ir atvykusių dienos svečių, turistų, taip pat įmonių, įstaigų ir kitų organizacijų atstovų susisiekimo poreikius, sukurti integruotą įvairių transporto priemonių susisiekimo sistemą, grindžiamą priimtų sprendimų duomenimis, išmaniosiomis technologijomis ir atvirų duomenų sistema;
2. Siekti, kad Judumo plano sprendiniai Savivaldybės susisiekimo sistemoje atitiktų tvarumo, ekonominio gyvybingumo socialinės lygybės, sveikatos ir aplinkos kokybės poreikių suderinamumo reikalavimus;
3. Užtikrinti racionalų ir veiksmingą susisiekimo infrastruktūros ir viešojo transporto maršrutinį tinklo panaudojimą: nustatyti racionaliausias ir ekonomiškai pagrįstas Savivaldybės teritorijos urbanistinės plėtros kryptis, darbo vietų kūrimą šalia gyvenamųjų kvartalų;
4. Siekti užtikrinti eismo saugą ir keleivių saugumą, didinti aplinkos  patrauklumą  ir gerinti gyvenimo kokybę. Pirmenybę teikti aplinką mažai teršiančiam transportui, mažinti energijos vartojimą, lengvųjų automobilių eismą, o tranzitinį transportą eliminuoti iš Vilniaus centrinės dalies;
5. Įgyvendinti Baltosios knygos rekomendacijas miestų transporto srityje ir prisidėti prie Transeuropinio transporto tinklo gerinimo.</t>
  </si>
  <si>
    <t>Vilniaus miesto savivaldybės administracija</t>
  </si>
  <si>
    <t>188710061</t>
  </si>
  <si>
    <t>Konstitucijos pr. 3, 09601, Vilnius</t>
  </si>
  <si>
    <t>8 5 211 2000</t>
  </si>
  <si>
    <t>virginijus.pauza@vilnius.lt</t>
  </si>
  <si>
    <t>LT264010042403952563</t>
  </si>
  <si>
    <t>730</t>
  </si>
  <si>
    <t>Kauno miesto savivaldybės darnaus judumo planu siekiama užtikrinti judumo sistemos tvarumo, ekonominio gyvybingumo, socialinės lygybės, sveikatos ir aplinkos kokybės poreikių suderinamumo reikalavimus. 
Darnaus judumo plano paskirtis yra užtikrinti:
1. Kauno miesto savivaldybės teritorijoje ir jos prieigose gyvenančių asmenų ir atvykusių dienos svečių, turistų, taip pat įmonių, įstaigų ir kitų organizacijų atstovų susisiekimo poreikius, sukurti integruotą įvairių transporto priemonių susisiekimo sistemą, grindžiamą priimtų sprendimų duomenimis, išmaniosiomis technologijomis ir atvirų duomenų sistema;
2. Siekti, kad Judumo plano sprendiniai Savivaldybės susisiekimo sistemoje atitiktų tvarumo, ekonominio gyvybingumo socialinės lygybės, sveikatos ir aplinkos kokybės poreikių suderinamumo reikalavimus;
3. Užtikrinti racionalų ir veiksmingą susisiekimo infrastruktūros ir viešojo transporto maršrutinį tinklo panaudojimą: nustatyti racionaliausias ir ekonomiškai pagrįstas Savivaldybės teritorijos urbanistinės plėtros kryptis, ugdymo įstaigų ir darbo vietų kūrimą šalia gyvenamųjų kvartalų;
4. Siekti užtikrinti eismo saugą ir keleivių saugumą, didinti aplinkos  patrauklumą  ir gerinti gyvenimo kokybę. Pirmenybę teikti aplinką mažai teršiančiam transportui, mažinti energijos vartojimą, lengvųjų automobilių eismą, o tranzitinį transportą eliminuoti iš Kauno centrinės dalies;
5. Pagal turimas savivaldybės poveikio ir reguliavimo galimybes įgyvendinti Baltosios knygos rekomendacijas miestų transporto srityje ir prisidėti prie Transeuropinio transporto tinklo gerinimo.</t>
  </si>
  <si>
    <t>8 37 422608</t>
  </si>
  <si>
    <t>gintaras.petrauskas@kaunas.lt</t>
  </si>
  <si>
    <t>AB Luminor bankas</t>
  </si>
  <si>
    <t>LT604010051004127733</t>
  </si>
  <si>
    <t>660</t>
  </si>
  <si>
    <t>04.5.1-TID-V-513-01-0018</t>
  </si>
  <si>
    <t>Darnaus judumo Marijampolės mieste plano parengimas</t>
  </si>
  <si>
    <t>Projekto tikslas – sudaryti prielaidas skatinti darnų judumą ir plėtoti aplinkai draugišką ir efektyvią transporto sistemą Marijampolės mieste siekiant sumažinti aplinkos taršą.
Projekto įgyvendinimo metu bus siekiama išsiaiškinti pagrindines Marijampolės miesto transporto infrastruktūros raidos tendencijas, identifikuoti aktualiausias problemas ir numatyti kylančias grėsmes tolesnei subalansuotai transporto infrastruktūros ir susisiekimo sistemos plėtrai. Atitinkamai, bus numatytos strateginės kryptys ir konkrečios priemonės transporto sistemai subalansuoti ir optimizuoti. Konkrečios darnaus judumo plane numatytos transporto infrastruktūros tobulinimo ir susisiekmo sistemos gerinimo priemonės bus įgyvendintos rengiant ir vykdant projektus pagal 4.5.1-TID-R-514 priemonę „Darnaus judumo priemonių diegimas“.</t>
  </si>
  <si>
    <t>J.Basanavičiaus a. 1, LT-68307, Marijampolė</t>
  </si>
  <si>
    <t>(8 343)  90062</t>
  </si>
  <si>
    <t>administracija@marijampole.lt</t>
  </si>
  <si>
    <t>Marijampolės</t>
  </si>
  <si>
    <t>AB SEB</t>
  </si>
  <si>
    <t>LT697044060004254149</t>
  </si>
  <si>
    <t>Georgij Šebajev</t>
  </si>
  <si>
    <t>UAB "Pagalba ligoniui"</t>
  </si>
  <si>
    <t>UAB "Rasos Ambrazaitienės šeimos gydytojo kabinetas"</t>
  </si>
  <si>
    <t>08.1.3-CPVA-R-609-11-0013</t>
  </si>
  <si>
    <t>08.1.3-CPVA-R-609-11-0014</t>
  </si>
  <si>
    <t>09.3.3-LMT-K-712-11-0002</t>
  </si>
  <si>
    <t>Užsienio šalies mokslininko dalyvavimas doktorantūros procese Lietuvos mokslo ir studijų institucijoje</t>
  </si>
  <si>
    <t>111950243</t>
  </si>
  <si>
    <t>Vilniaus Gedimino technikos universitetas</t>
  </si>
  <si>
    <t>Eglė Miltakienė</t>
  </si>
  <si>
    <t>09.3.3-LMT-K-712-11-0003</t>
  </si>
  <si>
    <t>Prof. Ewald Sieverding dalyvavimas disertacijos gynime</t>
  </si>
  <si>
    <t>302471203</t>
  </si>
  <si>
    <t>Lietuvos agrarinių ir miškų mokslų centras</t>
  </si>
  <si>
    <t>Rimantė Stašaitienė</t>
  </si>
  <si>
    <t>09.3.3-LMT-K-712-11-0004</t>
  </si>
  <si>
    <t>Dalyvavimas doktorantės Yuanyuan Liu daktaro disertacijos gynime</t>
  </si>
  <si>
    <t>Ugnė Andrijauskaitė</t>
  </si>
  <si>
    <t>09.3.3-LMT-K-712-11-0005</t>
  </si>
  <si>
    <t>09.3.3-LMT-K-712-11-0006</t>
  </si>
  <si>
    <t>Vizitas dalyvauti doktorantūros procese Lietuvos mokslo ir studijų institucijoje</t>
  </si>
  <si>
    <t>09.3.3-LMT-K-712-11-0007</t>
  </si>
  <si>
    <t>211951150</t>
  </si>
  <si>
    <t>Klaipėdos universitetas</t>
  </si>
  <si>
    <t>09.3.3-LMT-K-712-11-0008</t>
  </si>
  <si>
    <t>Vizitas dalyvauti doktoratūos procese Lietuvos mokslo ir studijų institucijoje</t>
  </si>
  <si>
    <t>302470603</t>
  </si>
  <si>
    <t>Gamtos tyrimų centras</t>
  </si>
  <si>
    <t>09.3.3-LMT-K-712-11-0009</t>
  </si>
  <si>
    <t>Patyrusio mokslininko vizitas dalyvauti doktorantūros procese</t>
  </si>
  <si>
    <t>09.3.3-LMT-K-712-11-0010</t>
  </si>
  <si>
    <t>Ląstelių elektroporacijos tyrimai biomolekulių pernašos iš augalinės žaliavos efektyvumo didinimui.</t>
  </si>
  <si>
    <t>09.3.3-LMT-K-712-11-0011</t>
  </si>
  <si>
    <t>Patyrusio mokslininko iš užsienio mokslo ir studijų institucijos atvykimas dalyvauti disertacijos gynimo procese</t>
  </si>
  <si>
    <t>09.3.3-LMT-K-712-11-0012</t>
  </si>
  <si>
    <t>Patyrusio mokslininko vizitas dalyvauti Lietuvos universiteto disertacijos gynimo procese (gynimo taryboje)</t>
  </si>
  <si>
    <t>09.3.3-LMT-K-712-11-0013</t>
  </si>
  <si>
    <t>09.3.3-LMT-K-712-11-0014</t>
  </si>
  <si>
    <t>Užsienio mokslininko dalyvavimas disertacijos gynime</t>
  </si>
  <si>
    <t>09.3.3-LMT-K-712-11-0015</t>
  </si>
  <si>
    <t>Užsienio mokslininko iš Izraelio atvykimas į doktoranto Dariaus Sakalausko disertacijos gynimo komisiją</t>
  </si>
  <si>
    <t>09.3.3-LMT-K-712-11-0016</t>
  </si>
  <si>
    <t>Aliuminio junginių išskyrimas ir toksiškumo įvertinimas vasarinių javų rizosferos dirvožemyje skirtingo pH ir drėgmės režimo sąlygomis</t>
  </si>
  <si>
    <t>09.3.3-LMT-K-712-11-0017</t>
  </si>
  <si>
    <t>Užsienio mokslininko iš Lenkijos atvykimas į doktoranto Dariaus Sakalausko disertacijos gynimo komisiją</t>
  </si>
  <si>
    <t>09.3.3-LMT-K-712-11-0018</t>
  </si>
  <si>
    <t>Gynimo tarybos nario iš doktorantūrą vykdančios užsienio institucijos įtraukimas į meno projektų gynimo procesus</t>
  </si>
  <si>
    <t>111950624</t>
  </si>
  <si>
    <t>VšĮ Lietuvos muzikos ir teatro akademija</t>
  </si>
  <si>
    <t>09.3.3-LMT-K-712-11-0019</t>
  </si>
  <si>
    <t>Patyrusios mokslininkės iš užsienio mokslo ir studijų institucijos dalyvavimas daktaro disertacijos gynimo taryboje</t>
  </si>
  <si>
    <t>111951726</t>
  </si>
  <si>
    <t>Mykolo Romerio universitetas</t>
  </si>
  <si>
    <t>Ignė Balaišytė</t>
  </si>
  <si>
    <t>09.3.3-LMT-K-712-11-0020</t>
  </si>
  <si>
    <t>09.3.3-LMT-K-712-11-0021</t>
  </si>
  <si>
    <t>Vizitas dalyvauti disertacijos "Biodyzelino ir vandenilio panaudojimo slėginio uždegimo variklyje galimybių tyrimas" gynime</t>
  </si>
  <si>
    <t>VISO SUMA, EUR</t>
  </si>
  <si>
    <t>projektų skaičius</t>
  </si>
  <si>
    <t>587</t>
  </si>
  <si>
    <t>588</t>
  </si>
  <si>
    <t>589</t>
  </si>
  <si>
    <t>590</t>
  </si>
  <si>
    <t>591</t>
  </si>
  <si>
    <t>592</t>
  </si>
  <si>
    <t>593</t>
  </si>
  <si>
    <t>594</t>
  </si>
  <si>
    <t>LR valstybės biudžeto lėšos iš 
skiriamo finansavimo (BF) </t>
  </si>
  <si>
    <t> 
7. Apdovanojimas</t>
  </si>
  <si>
    <t>08.1.3</t>
  </si>
  <si>
    <t>Senėjant visuomenei auga sergančiųjų lėtinėmis neinfekcinėmis ligomis vyresnių gyventojų skaičius bei jų apsilankymų skaičius Irenos Stanislavos Kavaliauskienės įmonėje, teikiančioje pirminės ambulatorinės asmens sveikatos priežiūros paslaugas, taip pat neįgaliųjų asmenų, kuriems reikalinga medicinos priežiūra namuose,  skaičius išlieka didelis. Dėl  nudėvėtos ir/ar nepakankamos esamos infrastruktūros šiuo metu neužtikrinama teikiamų sveikatos priežiūros paslaugų kokybė ir prieinamumas. Projekto tikslas yra pagerinti įmonės teikiamų pirminės ambulatorinės asmens sveikatos priežiūros paslaugų kokybę ir prieinamumą tikslinėms gyventojų grupėms: vyresnio amžiaus asmenims (55 m. ir vyresniems), vaikams, neįgaliesiems. Projekto metu numatomos investicijos į patalpų atnaujinimą, medicinos ir kitos įrangos bei tikslinės transporto priemonės įsigijimą, kas sudarys sąlygas pagerinti teikiamų paslaugų efektyvumą bei sumažinti tarp skirtingų gyventojų grupių egzistuojančius sveikatos netolygumus.</t>
  </si>
  <si>
    <t>020210301020000</t>
  </si>
  <si>
    <t>053 Sveikatos priežiūros infrastruktūra</t>
  </si>
  <si>
    <t>Ateities 34A, LT-66314, Druskininkai</t>
  </si>
  <si>
    <t>8 313 45956</t>
  </si>
  <si>
    <t>i.s.kavaliauskiene@gmail.com</t>
  </si>
  <si>
    <t>LT217300010157237260</t>
  </si>
  <si>
    <t>Suėjus paraiškos pateikimo terminui, projektas turi atitikti 08.2.1-CPVA-R-908 priemonės „Kaimo gyvenamųjų vietovių atnaujinimas“projektų finansavimo sąlygų aprašo 23.3 papunkčio reikalavimus.</t>
  </si>
  <si>
    <t>Patvirtinta
Alytaus regiono plėtros tarybos
2016 m. spalio 26 d. sprendimu Nr.51/6S-41
(Alytaus regiono plėtros tarybos 2018 m. gruodžio 19 d. sprendimo Nr.51/6S- 57 redakcija)</t>
  </si>
  <si>
    <t>2016-10-26</t>
  </si>
  <si>
    <t xml:space="preserve">Patvirtinta 
Alytaus regiono plėtros tarybos
2018 m. liepos 30  d. sprendimu Nr.51/6S-28    
(Alytaus regiono plėtros tarybos 2018 m. gruodžio 19 d. sprendimo Nr.51/6S-58 redakcija)
</t>
  </si>
  <si>
    <t>Vandens transporto infrastruktūros įrengimas skatinant kitų rūšių transporto</t>
  </si>
  <si>
    <t>Patvirtinta
Alytaus regiono plėtros tarybos
2017 m. liepos 28 d. sprendimu Nr.51/6S-37        
(Alytaus regiono plėtros tarybos 2018 m. gruodžio 19 d. sprendimo Nr.51/6S-60 redakcija)</t>
  </si>
  <si>
    <t>Projektų finansavimo sąlygų aprašo 26 p. nurodo, kad projekto parengtumo reikalavimai nėra taikomi</t>
  </si>
  <si>
    <t>05.5.1-APVA-R-019-11-0007</t>
  </si>
  <si>
    <t xml:space="preserve">Sutartis SFMIS galutinis mokėjimo prašymas </t>
  </si>
  <si>
    <t>Viso Sąrašas</t>
  </si>
  <si>
    <t>ES sąrašas</t>
  </si>
  <si>
    <t>VB 
sąrašas</t>
  </si>
  <si>
    <t>Nekenksmingų aplinkai viešojo transporto priemonių įsigijimas Alytaus mieste</t>
  </si>
  <si>
    <t>SB 
sąrašas</t>
  </si>
  <si>
    <t>PL
sąrašas</t>
  </si>
  <si>
    <t>Kitos viešosios lėšos 
sąrašas</t>
  </si>
  <si>
    <t xml:space="preserve">Skirtumas SFMIS </t>
  </si>
  <si>
    <t>Viso SFMIS (NMA) informacija</t>
  </si>
  <si>
    <t>ES
SFMIS (NMA) informacija</t>
  </si>
  <si>
    <t xml:space="preserve">Skirtumas ES  </t>
  </si>
  <si>
    <t>Skirtumas VB</t>
  </si>
  <si>
    <t>VB 
SFMIS (NMA) informacija</t>
  </si>
  <si>
    <t>SB 
SFMIS (NMA) informacija</t>
  </si>
  <si>
    <t>Skirtumas SB</t>
  </si>
  <si>
    <t>Skirtumas PL</t>
  </si>
  <si>
    <t>Baigimas</t>
  </si>
  <si>
    <t>PL
SFMIS (NMA) informacija</t>
  </si>
  <si>
    <t>Kitos viešosios lėšos
SFMIS (NMA) informacija</t>
  </si>
  <si>
    <t>Alytaus miesto savivaldybėje, siekiant laiku ir tinkamai užtikrinti pirminės asmens sveikatos priežiūros paslaugų prieinamumą ir jų kokybę, įgyvendinamas UAB „Pagalba ligoniui“ pirminės asmens sveikatos priežiūros įstaigos projektas. Projektas skirtas problemoms, susijusioms su vaikų ligų ir vyresnio amžiaus asmenų ligų profilaktika, prevencija ir ankstyva diagnostika, spręsti. Projekto įgyvendinimo metu bus atnaujinta įstaigos infrastruktūra: įsigyjama medicinos įranga, reikalinga pirminės asmens sveikatos priežiūros paslaugų teikimui. Tikimasi, kad Projekto naudą pajus 1977 miesto gyventojų.</t>
  </si>
  <si>
    <t>Simno g. 22, LT-62116, Alytus</t>
  </si>
  <si>
    <t>865208607</t>
  </si>
  <si>
    <t>pagalbaligoniui1@gmail.com</t>
  </si>
  <si>
    <t>LT094010051004666516</t>
  </si>
  <si>
    <t>Bešeimininkių apleistų pastatų ir įrenginių tvarkymas Alytaus rajono savivaldybėje
Nr. 05.5.1-APVA-R-019-11-0001</t>
  </si>
  <si>
    <t>R.N.092</t>
  </si>
  <si>
    <t>Rodiklio pavadinimas</t>
  </si>
  <si>
    <t>projektas</t>
  </si>
  <si>
    <t>Kraštovaizdžio formavimas ir tvarkymas Varėnos r. savivaldybėje (I etapas)
Nr. 05.5.1-APVA-R-019-11-0002</t>
  </si>
  <si>
    <t>Kraštovaizdžio formavimas Lazdijų rajono savivaldybėje
Nr. 05.5.1-APVA-R-019-11-0003</t>
  </si>
  <si>
    <t>Bešeimininkių apleistų pastatų Druskininkų savivaldybės teritorijoje likvidavimas
Nr. 05.5.1-APVA-R-019-11-0005</t>
  </si>
  <si>
    <t>Bešeimininkių apleistų pastatų ir įrenginių tvarkymas Alytaus rajono savivaldybėje (II etapas)
Nr. 05.5.1-APVA-R-019-11-0006</t>
  </si>
  <si>
    <t>Kraštovaizdžio formavimas ir tvarkymas Varėnos r. savivaldybėje (II etapas)
Nr. 05.5.1-APVA-R-019-11-0007</t>
  </si>
  <si>
    <t>labai gerai</t>
  </si>
  <si>
    <t xml:space="preserve">2017 sutvarkyta </t>
  </si>
  <si>
    <t>2017 pašalinta</t>
  </si>
  <si>
    <t>gerai</t>
  </si>
  <si>
    <t>blogai</t>
  </si>
  <si>
    <t>Viso parama</t>
  </si>
  <si>
    <t>ES lėšos (KPP paramos lėšos)</t>
  </si>
  <si>
    <t>ES lėšos 
(Kaimo plėtros programos priemonė - paramos lėšos)</t>
  </si>
  <si>
    <t>20KI-KA-17-1-</t>
  </si>
  <si>
    <t>Projekto tikslui pasiekti numatytas infrastruktūros prie Varėnos miesto daugiabučių gyvenamųjų namų atnaujinimas. Įgyvendinant projektą numatoma sutvarkyti privažiavimus prie daugiabučių gyvenamųjų pastatų, kurie buvo modernizuoti, dalyvaujant daugiabučių namų modernizavimo programoje, arba kuriuos ketinama modernizuoti artimiausiu metu, t. y. prie Varėnos miesto daugiabučių namų (Marcinkonių g. 8, 14, 16, 18, Sporto g. 4, 6, 8, 10, 12,14, Dzūkų g. 15, 17, 19, 21, 21A, 23, 68, Laisvės g. 3 ir Vytauto g. 10, 24, 25, 32, 38, 40, 42, 44, 46, 48, 50, Aušros g. 1, 3, 7, J. Basanavičiaus g. 30, Savanorių g. 44, 46, M. K. Čiurlionio g. 55, 59, Melioratorių g. 5, Šiltnamių g.1). Taip pat planuojama įrengti 2 vaikų žaidimo aikšteles teritorijoje tarp Marcinkonių g. 2, 4, Z. Voronecko g. 6 ir teritorijoje tarp Sporto g. 4, 10, Vytauto g. 46, 48. Tikimasi, kad viešųjų erdvių, laisvalaikio ir poilsio reikmėms naudojamų teritorijų vystymas, patrauklios aplinkos jose kūrimas padidins vietos gyventojų pasitenkinimą jų gyvenamąja teritorija, paskatins gyventojų aktyvumą ir prisidės prie verslumo skatinimo.</t>
  </si>
  <si>
    <t>LT967181200002130266</t>
  </si>
  <si>
    <t>595</t>
  </si>
  <si>
    <t>596</t>
  </si>
  <si>
    <t>597</t>
  </si>
  <si>
    <t>598</t>
  </si>
  <si>
    <t>Patvirtinta
Alytaus regiono plėtros tarybos
2016 m. lapkričio 29 d. sprendimu Nr.51/6S-48 
(Alytaus regiono plėtros tarybos 2019 m. sausio 15 d. sprendimo Nr.51/6S-3 redakcija)</t>
  </si>
  <si>
    <t>Patvirtinta
Alytaus regiono plėtros tarybos
2018 m. birželio 21 d.  sprendimu Nr.51/6S-21 
(Alytaus regiono plėtros tarybos 2019 m. sausio 15 d. sprendimo Nr.51/6S-4 redakcija)</t>
  </si>
  <si>
    <t>Patvirtinta
Alytaus regiono plėtros tarybos
2018 m. vasario 28 d. sprendimu Nr.51/6S-6
(Alytaus regiono plėtros tarybos 2019 m. sausio 15 d.
sprendimo Nr.51/6S-5 redakcija)</t>
  </si>
  <si>
    <t xml:space="preserve">                                                                                                   Patvirtinta                                                                                                         Alytaus regiono plėtros tarybos                                                                                  2016-04-04 sprendimu Nr.51/6S-18                                                             (Alytaus regiono plėtros tarybos 2019 m. sausio 15 d. sprendimo Nr.51/6S-7 redakcija)      </t>
  </si>
  <si>
    <t>08.1.2-CPVA-R-408 Socialinio būsto fondo plėtra</t>
  </si>
  <si>
    <t>2016-04-04</t>
  </si>
  <si>
    <t>Projektas turi atitikti parengtumo sąlygas, nurodytas priemonės Nr.08.1.2-CPVA-R-408 projektų finansavimo sąlygų aprašo Nr.1 patvirtinto LR Socialinės apsaugos ir darbo ministro 2015 m. rugsėjo 16 d. įsakymu Nr. A1-525, 22 punkte.</t>
  </si>
  <si>
    <t>020080103180000</t>
  </si>
  <si>
    <t>Viso RPP</t>
  </si>
  <si>
    <t>Skirtumas Viso  sąšašas - RPP</t>
  </si>
  <si>
    <t>Skirtumas ES  sąšašas - RPP</t>
  </si>
  <si>
    <t>Skirtumas VB sąšašas - RPP</t>
  </si>
  <si>
    <t>Skirtumas SB sąšašas - RPP</t>
  </si>
  <si>
    <t>Skirtumas PL sąšašas - RPP</t>
  </si>
  <si>
    <t>Kitos viešosios lėšos sąšašas - RPP</t>
  </si>
  <si>
    <t>ES
RPP informacija</t>
  </si>
  <si>
    <t>VB 
RPP informacija</t>
  </si>
  <si>
    <t>SB 
RPP informacija</t>
  </si>
  <si>
    <t>PL
RPP informacija</t>
  </si>
  <si>
    <t>Kitos viešosios lėšos
RPP informacija</t>
  </si>
  <si>
    <t>15=13-14</t>
  </si>
  <si>
    <t>16=17+21+22+23</t>
  </si>
  <si>
    <t>17=18+19</t>
  </si>
  <si>
    <t>20=21+22+23+24</t>
  </si>
  <si>
    <t>27=28+29</t>
  </si>
  <si>
    <t>36=37+38</t>
  </si>
  <si>
    <t>40=42+45</t>
  </si>
  <si>
    <t>41=42+46+47+48</t>
  </si>
  <si>
    <t>42=43+44</t>
  </si>
  <si>
    <t>45=46+47+48+49</t>
  </si>
  <si>
    <t>57=59+62</t>
  </si>
  <si>
    <t>58=59+63+64+65</t>
  </si>
  <si>
    <t>59=60+61</t>
  </si>
  <si>
    <t>62=63+64+65+66</t>
  </si>
  <si>
    <t>68=70+73</t>
  </si>
  <si>
    <t>69=70+74+75+76</t>
  </si>
  <si>
    <t>70=71+72</t>
  </si>
  <si>
    <t>73=74+75+76+77</t>
  </si>
  <si>
    <t>91=93+96</t>
  </si>
  <si>
    <t>92=93+97+98+99</t>
  </si>
  <si>
    <t>93=94+95</t>
  </si>
  <si>
    <t>96=97+98+99+100</t>
  </si>
  <si>
    <t>104=91+102</t>
  </si>
  <si>
    <t>105=92+103</t>
  </si>
  <si>
    <t>MP016</t>
  </si>
  <si>
    <t>599</t>
  </si>
  <si>
    <t>600</t>
  </si>
  <si>
    <t>601</t>
  </si>
  <si>
    <t>602</t>
  </si>
  <si>
    <t>603</t>
  </si>
  <si>
    <t>604</t>
  </si>
  <si>
    <t>605</t>
  </si>
  <si>
    <t>606</t>
  </si>
  <si>
    <t>607</t>
  </si>
  <si>
    <t>608</t>
  </si>
  <si>
    <t>609</t>
  </si>
  <si>
    <t>610</t>
  </si>
  <si>
    <t>611</t>
  </si>
  <si>
    <t>612</t>
  </si>
  <si>
    <t>Siekiant  pagerinti kraštovaizdžio būklę Varėnos rajono savivaldybėje inicijuojamas projektas, kurio metu planuojama nugriauti 30 apleistų bešeiminkių pastatų Urkionių, Gudžių, Žilinų, Kareivonių, Dainavos, Vydenių, Pilvingių, Ilgininkų, Nedzingės  kaimuose ir sutvarkyti kasybos darbais pažeistas žemes saugomose teritorijose:
• Panaros k., Merkinės sen.;
• Naujalių g., Marcinkonių k., Marcinkonių sen.;
• Gaidžių g., Marcinkonių k., Marcinkonių sen.
Likvidavus apleistus pastatus bei sutvarkius kasybos darbais pažeistas žemes, bus atstatyta ir sutvarkyta Varėnos rajono kraštovaizdžio natūrali būklė bei padidintas kraštovaizdžio vizualinis estetinis potencialas.</t>
  </si>
  <si>
    <t>Alytaus miesto savivaldybė pasižymi dėl vaikų tarpe paplitusio dantų ėduonies, senėjant visuomenei augančio lėtinėmis ligomis sergančių asmenų bei jų apsilankymų pirminės asmens sveikatos priežiūros įstaigose skaičiaus. 
Projektu siekiama pagerinti UAB „MediCA klinika“ teikiamų pirminės asmens sveikatos priežiūros paslaugų prieinamumą Alytaus miesto savivaldybėje. Projekto įgyvendinimo metu bus atnaujinta UAB „MediCa klinika“ infrastruktūra, skirta pirminės asmens sveikatos priežiūros paslaugų teikimui.</t>
  </si>
  <si>
    <t>Smolensko g 5, LT-03202, Vilnius</t>
  </si>
  <si>
    <t>+370 687 33117</t>
  </si>
  <si>
    <t>info@medicaklinika.lt</t>
  </si>
  <si>
    <t>LT954010051004681555</t>
  </si>
  <si>
    <t>Projekto metu bus atliktas viešosios įstaigos Alytaus miesto savivaldybės pirminės sveikatos priežiūros centro patalpų remontas, atnaujinta ir įsigyta medicininė įranga bei transporto priemonė, kuri yra būtina siekiant užtikrinti kokybiškas ir pirminės sveikatos priežiūros paslaugas visiems centro pacientams.
Tikslinės grupės ir jų poreikiai – prie įstaigos prisirašę pacientai, jų poreikiai – gauti kokybiškesnes pirminės sveikatos priežiūros paslaugas.
Įgyvendinus projektą pacientams bus teikiamos kokybiškesnės pirminės sveikatos priežiūros paslaugos bei pagerintas šių paslaugų prieinamumas ir infrastruktūra.</t>
  </si>
  <si>
    <t>Viešoji įstaiga Alytaus miesto savivaldybės pirminės sveikatos priežiūros centras</t>
  </si>
  <si>
    <t>Jiezno 2, 62212, Alytus</t>
  </si>
  <si>
    <t>(8 315) 75325</t>
  </si>
  <si>
    <t>apspc@apspc.lt</t>
  </si>
  <si>
    <t>Luminor Bank AS</t>
  </si>
  <si>
    <t>LT394010051004683921</t>
  </si>
  <si>
    <t>Senėjant visuomenei auga sergančiųjų lėtinėmis neinfekcinėmis ligomis vyresnio gyventojų skaičius bei jų apsilankymų skaičius sveikatos priežiūros įstaigose, taip pat tokioms prie įmonių prisirašiusioms gyventojų grupėms, kaip neįgalieji, vaikai, vyresnio amžiaus asmenys (55 m. ir vyresni), dėl jų specialiųjų poreikių ir įmonių nudėvėtos ir/ar nepakankamos esamos infrastruktūros neužtikrinama teikiamų paslaugų kokybė ir prieinamumas. Projekto tikslas yra pagerinti pirminės asmens sveikatos priežiūros paslaugų efektyvumą, ypatingą dėmesį skiriant prie pareiškėjo ir partnerio šeimos gydytojų kabinetų prisirašiusioms tikslinėms gyventojų grupėms: vaikams, vyresnio amžiaus asmenims (55 m. ir vyresniems), neįgaliesiems, kurie sudaro daugiau nei 60 proc. visų prie įmonių prisirašiusių pacientų. Šiam tikslui pasiekti reikalinga modernizuoti įmonių infrastruktūrą efektyvesniam sveikatos priežiūros paslaugų teikimui. Projekto metu numatomos investicijos į  patalpų atnaujinimą, medicinos ir kitos įrangos bei tikslinės transporto priemonės įsigijimą, kas sudarys sąlygas pagerinti teikiamų paslaugų kokybę ir prieinamumą bei sumažinti tarp skirtingų gyventojų grupių egzistuojančius sveikatos netolygumus. Tikimasi, jog projekto naudą pajus ne mažiau kaip 1,5 tūkst. prisirašiusių prie įmonių tikslinės grupės pacientų.</t>
  </si>
  <si>
    <t>Veisiejų g. 47-17, LT-66245, Druskininkai</t>
  </si>
  <si>
    <t>8 313 41340</t>
  </si>
  <si>
    <t>72.rasa@gmail.com</t>
  </si>
  <si>
    <t>LT837044060008267175</t>
  </si>
  <si>
    <t>Alytaus rajono savivaldybėje, siekiant laiku ir tinkamai užtikrinti pirminės asmens sveikatos priežiūros paslaugų prieinamumą ir jų kokybę, įgyvendinamas uždarosios akcinės bendrovės „Disolis“ projektas, skirtas problemoms, susijusioms su kraujotakos, onkologėms ligomis savivaldybėje spręsti, taip pat kitoms pirminėms asmens sveikatos priežiūros paslaugoms gerinti. Projekto įgyvendinimo metu planuojama atnaujinti įstaigos infrastruktūrą: įsigyti medicininę ir kompiuterinę įrangą, tikslinę transporto priemonę, reikalingą pirminės asmens sveikatos priežiūros paslaugų teikimui. Tikimasi, kad projekto naudą pajus 1575 rajono gyventojai.</t>
  </si>
  <si>
    <t>Turgaus a. 6, 64140, Daugai</t>
  </si>
  <si>
    <t>(8 315) 69151</t>
  </si>
  <si>
    <t>uab.disolis@gmail.com</t>
  </si>
  <si>
    <t>LT077181200036467540</t>
  </si>
  <si>
    <t>193107218, Viešoji įstaiga Alytaus rajono savivaldybės pirminės sveikatos priežiūros centras</t>
  </si>
  <si>
    <t>613</t>
  </si>
  <si>
    <t>614</t>
  </si>
  <si>
    <t>615</t>
  </si>
  <si>
    <t>616</t>
  </si>
  <si>
    <t>617</t>
  </si>
  <si>
    <t>618</t>
  </si>
  <si>
    <t>619</t>
  </si>
  <si>
    <t>620</t>
  </si>
  <si>
    <t>621</t>
  </si>
  <si>
    <t>622</t>
  </si>
  <si>
    <t>623</t>
  </si>
  <si>
    <t>624</t>
  </si>
  <si>
    <t>625</t>
  </si>
  <si>
    <t>06.2.1-TID-R-511-11-0009</t>
  </si>
  <si>
    <t>05.5.1-APVA-R-019-11-0008</t>
  </si>
  <si>
    <t>Laura Būbelienė</t>
  </si>
  <si>
    <t>Lazdijų rajono savaivaldybės administracijos direktorius</t>
  </si>
  <si>
    <t>Eismo saugumo priemonių diegimas  Druskininkų savivaldybėje</t>
  </si>
  <si>
    <t>Renata Genytė</t>
  </si>
  <si>
    <t>Toma Livanaitė</t>
  </si>
  <si>
    <t>Viešoji įstaiga Alytaus poliklinika</t>
  </si>
  <si>
    <t>Vaida Tvarijonienė</t>
  </si>
  <si>
    <t>Audrius Kuznicovas</t>
  </si>
  <si>
    <t>Alvyda Ažubalytė</t>
  </si>
  <si>
    <t>UAB "Druskininkų šeimos klinika"</t>
  </si>
  <si>
    <t>Justina Martinėlienė</t>
  </si>
  <si>
    <t>Daiva Žemaitienė</t>
  </si>
  <si>
    <t>Rasa Austrotienė</t>
  </si>
  <si>
    <t>((Tiesioginės užsienio investicijos, tenkančios vienam gyventojui , laikotarpio pabaigoje n - metais / 
Tiesioginės užsienio investicijos, tenkančios vienam gyventojui , laikotarpio pabaigoje 2017 metais)*100) - 100) proc.</t>
  </si>
  <si>
    <t>(Alytaus regiono plėtros tarybos 2019 m. 
kovo 26 d. sprendimo Nr. 51/6S -14 redakcija)</t>
  </si>
  <si>
    <t>Panaudota 
2019</t>
  </si>
  <si>
    <t>Projekto tikslas – pagerinti viešuoju transportu teikiamų paslaugų kokybę ir taip paskatinti gyventojus naudotis viešuoju transportu. Dėl šios priežasties projekto įgyvendinimo metu bus įsigyta viena (1 vnt.) ekologiška, elektra varoma transporto priemonė. Įgyvendinus projektą bus užtikrintas didesnis viešojo transporto prieinamumas Lazdijų rajono savivaldybėje, kadangi numatomi 3 nauji maršrutai. Projekto rezultatai turės įtakos pagrindinėms tikslinėms grupėms – Lazdijų rajono savivaldybėje gyvenantiems judėjimo negalią turintiems asmenims ir kitiems Lazdijų rajono savivaldybės gyventojams ir svečiams, turistams.
Projekto vykdytojas – Lazdijų rajono savivaldybės administracija.
Projekto partneris – viešoji įstaiga Lazdijų sporto centras.
Įgyvendinus projektą pagerės Lazdijų rajono savivaldybės patrauklumas; pagerės poveikis žmonių gyvenimo kokybei; sumažės neigiamas poveikis aplinkai; sumažės viešojo transporto priemonių eksploatacinės išlaidos.</t>
  </si>
  <si>
    <t>12 Transportas ir sandėliavimas</t>
  </si>
  <si>
    <t>Vilniaus 1, 67106, Lazdijų</t>
  </si>
  <si>
    <t>8 318 51 233</t>
  </si>
  <si>
    <t>LT434010042200241781</t>
  </si>
  <si>
    <t>iš dalies tinkamos finansuoti išlaidos</t>
  </si>
  <si>
    <t>Projekto tikslas – pagerinti Druskininkų savivaldybės viešojo transporto paslaugų kokybę ir taip paskatinti gyventojus bei miesto lankytojus labiau naudotis viešuoju transportu. Projekto uždavinys – įsigyti nekenksmingas aplinkai viešojo transporto priemones. Pagrindinė problema, kuriai spręsti inicijuojamas projektas – nepatraukli, nekokybiška keleivių vežimo paslauga, sąlygojanti aplinkos taršą ir keleivių srautų sumažėjimą. Projekto įgyvendinimo metu bus įsigyti 2 nekenksmingi aplinkai elektrinės traukos autobusai.
Projekto vykdytojas – Druskininkų savivaldybės administracija.
Projekto partneris – uždaroji akcinė bendrovė "Kautra". 
Įgyvendinus projektą pagerės keleivių vežimo paslaugos kokybė, gyvenamoji ir investicinė aplinka, kurios tiesioginę naudą pajaus Druskininkų savivaldybės gyventojai, kurorto svečiai bei Druskininkų savivaldybėje veiklą vykdantys ūkio subjektai.</t>
  </si>
  <si>
    <t>LT497300010120543693</t>
  </si>
  <si>
    <t>Projektu bus sprendžiama nesaugaus eismo problema Druskininkų Sodų g. aplinkkelio atkarpoje, jungiančioje pėsčiųjų-dviračių takus „Žvaigždžių orbita“, nes gyventojai ir svečiai intensyviai naudojasi Druskininkuose esamais pėsčiųjų-dviračių takais „Žvaigždžių orbita“. Tačiau šie takai iki susikirtimo su Sodų g. nepritaikyti pėstiesiems ir dviratininkams, trūksta eismo saugumo priemonių. Norėdami patekti iš vieno tako į kitą pėstieji ir dviratininkai dalį kelio turi vykti važiuojamąja Sodų g. dalimi, o tai yra nesaugu. . Įgyvendinus projektą ir sudarius saugesnes sąlygas pėsčiųjų ir dviratininkų eismui Sodų g. bus įgyvendintos eismo saugos priemonės: įrengtas pėsčiųjų-dviračių takas Sodų g. atkarpoje, jungiančioje pėsčiųjų-dviračių takus „Žvaigždžių orbita“; įrengtas šio tako apšvietimas; Sodų g. pėsčiųjų-dviračių take ir pėsčiųjų-dviračių take „Žvaigždžių orbita“ įrengti kelio ženklai, kelio dangos ženklinimas, tvorelės ir atitvarai, apsauginės tvorelės. Galima bus saugiai naudotis pėsčiųjų-dviračių taku „Žvaigždžių orbita“ pereinant pėsčiomis ar pervažiuojant dviračiu iš vieno pėsčiųjų-dviračių tako į kitą Sodų gatve.</t>
  </si>
  <si>
    <t>(8-313) 51233</t>
  </si>
  <si>
    <t>LT217300010002225149</t>
  </si>
  <si>
    <t>Projektu siekiama padidinti Varėnos miesto Karloniškės ežero prieigų viešųjų erdvių ir gyvenamosios aplinkos patrauklumą, vietos gyventojų aktyvumą šioje miesto zonoje, prisidėti prie palankių sąlygų paslaugų sektoriui skatinimo. Projekto įgyvendinimo metu bus įrengti pėsčiųjų takai, suformuota erdvė lauko renginių organizavimui su amfiteatrinėmis sėdimomis vietomis žiūrovams, 2 sporto aikštelės (teniso ir rankinio/futbolo), teritorijos apšvietimas, vaizdo stebėjimo sistema, mažosios architektūros elementai (suoliukai ir šiukšliadėžės), 2 vaikų žaidimo aikštelės, sutvarkyti želdiniai.
Tikimasi, kad atnaujinta viešoji erdvė Karloniškės ežero prieigose pagerins gyvenamąją aplinką, patraukli nauja erdvė pagerins miesto įvaizdį, paskatins renginių organizavimą,  bendruomenių iniciatyvas, padidins gyventojų užimtumą bei prisidės prie palankesnių sąlygų verslo kūrimuisi ir plėtrai.</t>
  </si>
  <si>
    <t>Esminė projekto problema yra viešosios Varėnos miesto laisvalaikio ir poilsio zonos, atitinkančios įvairius miesto bendruomenės poreikius, trūkumas ir esamos infrastruktūros nepakankamas pritaikymas gyventojų užimtumo bei palankių sąlygų paslaugų sektoriui skatinimui. Siekiant spręsti problemą inicijuojamas projektas, kurio metu Dainų slėnyje bus įrengta nauja aikštės danga ir pagrindas scenai, žiūrovų suolai, atraminė sienutė, aikštelė prekyvietei ir vieta biotualetams, mažosios architektūros elementai, sutvarkyti želdynai, įrengti elektros tinklai, lauko apšvietimas. Taip pat projekto įgyvendinimo metu bus įrengta automobilių parkavimo aikštelė. Tikimasi, kad atnaujinta viešoji erdvė Varėnos miesto Dainų slėnyje pagerins gyvenamąją aplinką, patraukli nauja erdvė pagerins miesto įvaizdį, paskatins renginių organizavimą,  bendruomenių iniciatyvas, padidins gyventojų užimtumą bei prisidės prie palankesnių sąlygų verslo kūrimuisi ir plėtrai.</t>
  </si>
  <si>
    <t>Projektu siekiama prisidėti prie Varėnos rajono savivaldybės socialinio būsto fondo plėtros. Projekto įgyvendinimo metu bus įsigyti 42 vnt. socialinių būstų Varėnos rajono savivaldybėje. Projekto įgyvendinimo metu 10 socialinių būstų numatoma aprūpinti būtina įranga, t. y. elektrinėmis arba dujinėmis viryklėmis (su orkaitėmis). Tikimasi, kad įgyvendinus projektą, bus padidintas Varėnos rajono savivaldybės socialinio būsto fondas bei socialinio būsto prieinamumas pažeidžiamiausioms gyventojų grupėms, pagerės minėtų asmenų gyvenimo kokybė, integracija į darbo rinką.</t>
  </si>
  <si>
    <t>Alytaus miesto savivaldybėje, siekiant laiku ir tinkamai užtikrinti pirminės asmens sveikatos priežiūros paslaugų prieinamumą ir jų kokybę, įgyvendinamas viešosios įstaigos Alytaus poliklinikos projektas. Projekto tikslas yra padidinti Alytaus mieste teikiamų pirminės asmens sveikatos priežiūros paslaugų efektyvumą ir prieinamumą Alytaus miesto gyventojams. Šiam tikslui pasiekti būtina modernizuoti viešosios įstaigos Alytaus poliklinikos infrastruktūrą. Projekto metu numatoma atnaujinti patalpas, įsigyti medicinos ir kitą įrangą, atnaujinti DOTS kabinetą, projekto vykdytojo patalpas pritaikyti neįgaliesiems. Įgyvendinus projektą bus pagerinta teikiamų pirminės asmens sveikatos priežiūros paslaugų kokybė ir prieinamumas. Tikimasi, kad projekto naudą pajus apie 18 tūkst. asmenų.</t>
  </si>
  <si>
    <t>Naujoji 48, 62381, Alytus</t>
  </si>
  <si>
    <t>8 315 39902</t>
  </si>
  <si>
    <t>alytus@apoliklinika.lt</t>
  </si>
  <si>
    <t>AB Luminor Bank</t>
  </si>
  <si>
    <t>LT494010040900604536</t>
  </si>
  <si>
    <t>Siekiant laiku ir tinkamai užtikrinti pirminės asmens sveikatos priežiūros paslaugų prieinamumą ir jų efektyvumą Druskininkų savivaldybėje, įgyvendinamas  UAB „Druskininkų šeimos klinikos” projektas „UAB „Druskininkų šeimos klinika“ asmens sveikatos priežiūros paslaugų prieinamumo ir efektyvumo didinimas“. Projekto įgyvendinimo metu planuojama įsigyti tikslinę transporto priemonę, reikalingą pirminės asmens sveikatos priežiūros paslaugų teikimui namuose.</t>
  </si>
  <si>
    <t>Gardino 15, 66201, Druskininkai</t>
  </si>
  <si>
    <t>(8 6) 98 17356</t>
  </si>
  <si>
    <t>bpgklinika@gmail.com</t>
  </si>
  <si>
    <t>LT257044060001968263</t>
  </si>
  <si>
    <t>Senėjant visuomenei auga sergančiųjų lėtinėmis neinfekcinėmis ligomis vyresnio gyventojų skaičius bei pacientų apsilankymų skaičius sveikatos priežiūros įstaigoje, neįgaliųjų asmenų skaičius išlieka pakankamai didelis, taip pat pasenusi ir/ar nepakankama esama viešosios įstaigos Druskininkų pirminės sveikatos priežiūros centras infrastruktūra šiuo metu nesudaro sąlygų efektyviai vykdyti ligų profilaktiką ir kontrolę, todėl pažeidžiamiausioms gyventojų grupėms, kaip neįgalieji, vaikai, vyresnio amžiaus asmenys (55 m. ir vyresni), asmenys, priklausomi nuo opioidų bei sergantys tuberkulioze, dėl jų specialiųjų poreikių ir įstaigos nepakankamos esamos infrastruktūros neužtikrinama teikiamų paslaugų kokybė ir prieinamumas. Siekiant geresnės Druskininkų savivaldybės gyventojų sveikatos, efektyviai vykdyti ligų prevenciją ir kontrolę, užtikrinti šių gyventojų  poreikius gauti kokybiškas ir prieinamas pirminės ambulatorinės asmens sveikatos priežiūros paslaugas, įgyvendinamas projektas "Pirminės asmens sveikatos priežiūros kokybės ir prieinamumo gerinimas Druskininkų savivaldybėje". 
Projekto tikslas yra pagerinti viešosios įstaigos Druskininkų pirminės sveikatos priežiūros centras teikiamų pirminės ambulatorinės asmens sveikatos priežiūros paslaugų kokybę ir prieinamumą tikslinėms gyventojų grupėms: vyresnio amžiaus asmenims (55 m. ir vyresniems), vaikams, neįgaliesiems, sergantiems tuberkulioze ir/ar priklausomybių nuo opioidų ligomis. Projekto metu numatoma atlikti patalpų remontą, pritaikymą neįgaliesiems, pakaitinio gydymo metadonu bei DOTS kabinetų infrastruktūros tobulinimą, medicinos ir kitos įrangos bei tikslinių transporto priemonių įsigijimas. Tikimasi, kad tai sudarys sąlygas pagerinti teikiamų paslaugų kokybę ir prieinamumą bei sumažinti tarp skirtingų gyventojų grupių egzistuojančius sveikatos netolygumus, o projekto naudą pajus apie 8,3 tūkst. tikslinės grupės asmenų.</t>
  </si>
  <si>
    <t>M. K. Čiurlionio 82, LT-66144, Druskininkai</t>
  </si>
  <si>
    <t>info@dpspc.lt</t>
  </si>
  <si>
    <t>LT177300010089923794</t>
  </si>
  <si>
    <t>Alytaus rajono savivaldybėje, siekiant laiku ir tinkamai užtikrinti pirminės asmens sveikatos priežiūros paslaugų prieinamumą ir jų kokybę, įgyvendinamas projektas "Pirminės asmens sveikatos priežiūros veiklos efektyvumo didinimas Alytaus rajono savivaldybėje". Projektas skirtas kraujotakos sistemos, vaikų ligų, sveiko senėjimo bei vyresnio amžiaus gyventojų ligų profilaktikos, prevencijos ir ankstyvosios diagnostikos paslaugų gerinimui ir prieinamumo didinimui, priklausomybės nuo opioidų pakaitinio gydymo bei tuberkuliozės gydymo efektyvumo ir prieinamumo didinimo, taip pat slaugos ir palaikomojo gydymo bei paliatyvios pagalbos prieinamumo didinimui. Projekto įgyvendinimo metu bus atnaujinta viešosios įstaigos Alytaus rajono savivaldybės pirminės sveikatos priežiūros centras infrastruktūra: įsigyjama medicinos įranga, atnaujinamos patalpos, įsigyjamas specialios paskirties automobilis. Tikimasi, kad Projekto naudą pajus apie 17 tūkstančių Alytaus rajono gyventojų.</t>
  </si>
  <si>
    <t>(8 315) 71412</t>
  </si>
  <si>
    <t>LT437300010157773177</t>
  </si>
  <si>
    <t>Lazdijų rajono savivaldybėje, siekiant laiku ir tinkamai užtikrinti pirminės asmens sveikatos priežiūros paslaugų prieinamumą ir jų kokybę, įgyvendinamas Lazdijų rajono savivaldybės projektas. Projekto tikslas yra padidinti Lazdijų rajono savivaldybėje teikiamų pirminės asmens sveikatos priežiūros paslaugų efektyvumą ir prieinamumą Lazdijų rajono savivaldybės gyventojams. Šiam tikslui pasiekti būtina modernizuoti keturių Lazdijų rajono savivaldybėje veikiančių pirminės sveikatos priežiūros įstaigų (viešosios įstaigos "Lazdijų savivaldybės pirminės sveikatos priežiūros centras", UAB "Lazdijų sveikatos centras", UAB "Gilona", A. Vaišnoro individuali įmonė) infrastruktūrą. Projekto metu numatoma atnaujinti patalpas, įsigyti medicinos ir kitą įrangą, įkurti DOTS ir pakaitinio gydymo kabinetus, projekto vykdytojo partnerių patalpas pritaikyti neįgaliesiems. Įgyvendinus projektą bus pagerinta teikiamų pirminės asmens sveikatos priežiūros paslaugų kokybė ir prieinamumas. Tikimasi, kad projekto naudą pajus apie 17 tūkst. asmenų.</t>
  </si>
  <si>
    <t>8 (318) 66 108</t>
  </si>
  <si>
    <t>AB Luminor bank</t>
  </si>
  <si>
    <t>LT764010042200293179</t>
  </si>
  <si>
    <t>Varėnos savivaldybėje, siekiant laiku ir tinkamai užtikrinti pirminės asmens sveikatos priežiūros paslaugų prieinamumą ir jų kokybę, įgyvendinamas viešosios įstaigos Varėnos pirminės sveikatos priežiūros centro projektas. Projekto tikslas yra padidinti Varėnos savivaldybėje teikiamų pirminės asmens sveikatos priežiūros paslaugų efektyvumą ir prieinamumą Varėnos savivaldybės gyventojams. Šiam tikslui pasiekti būtina modernizuoti viešosios įstaigos Varėnos pirminės sveikatos priežiūros centro infrastruktūrą. Projekto metu numatoma atnaujinti patalpas, įsigyti medicinos ir kitą įrangą, tikslines transporto priemones, modernizuoti DOTS kabinetą ir pakaitinio gydymo kabinetus, Projekto vykdytojo patalpas pritaikyti neįgaliesiems. Įgyvendinus projektą bus pagerinta teikiamų pirminės asmens sveikatos priežiūros paslaugų kokybė ir prieinamumas. Tikimasi, kad projekto naudą pajus apie 19 tūkst. asmenų.</t>
  </si>
  <si>
    <t>Viešoji įstaiga Varėnos pirminės sveikatos priežiūros centras</t>
  </si>
  <si>
    <t>M. K. Čiurlionio g. 61, LT-65219, Varėna</t>
  </si>
  <si>
    <t>(8 3) 105 1608</t>
  </si>
  <si>
    <t>sekretore@varenos-poliklinika.lt</t>
  </si>
  <si>
    <t>LT087300010157813189</t>
  </si>
  <si>
    <t>Projekto „Kauno bendruomeniniai šeimos namai“ tikslas – sudaryti sąlygas Kaune gyvenančioms šeimoms gauti kompleksiškai teikiamas socialines-psichologines paslaugas, siekiant įgalinti šeimą įveikti iškilusias krizes bei derinti šeimos ir darbo įsipareigojimus. 
Projektą vykdo Kauno miesto savivaldybė, kartu su projekto partneriais –VšĮ Psichologinės paramos ir konsultavimo centru; VšĮ „A/C Patria“; Asociacija Kauno apskrities moterų krizių centru; VšĮ „Moters pagalba moteriai“; Motinos ir vaiko labdaros/paramos fondu „Aušta“; VšĮ Kauno apskrities vyrų krizių centru; Labdaros ir paramos fondas „Algojimas”, VšĮ „Valakupių rebilitacijos centras“,religine bendrija Kauno arkivyskupijos šeimos centru.Šios organizacijos yra sukaupę reikalingą patirtį ir turi reikiamus specialistus, bei paslaugų teikimui reikalingą materialinę bazę. Partneriai apima visas potencialias klientų grupes, kurioms būtų teikiamos kompleksinės paslaugos: šeimos, vaikai (skirtingos amžiaus grupių), paaugliai, suaugusieji, asmenys esantys krizėje, moterys, vyrai, asmenys turintys priklausomybių. 
Organizacija, atsakinga už „Bendruomeninių šeimos namų“ organizavimą ir koordinavimą – „VšĮ Psichologinės paramos ir konsultavimo centras“. Paslaugų teikimo organizavimas „vieno langelio principu“ vyks vykdant pirminį šeimos esamos situacijos įvertinimą bei „atvejo lydėjimą“.
Tikslinė grupė: Kauno mieste gyvenančios šeimos. Viso programoje dalyvaus 1600 asmenų. Programa apims visas Kauno seniūnijas. 
Programos įgyvendinimo metu planuojamos vykdyti veiklos: kokybiškų paslaugų šeimai organizavimas ir koordinavimas; kompleksinių paslaugų šeimai teikimas: pozityvios tėvystės mokymai; psichosocialinė pagalba – pagalba asmenims, išgyvenantiems krizę ar patyrusiems traumuojančius emocinius išgyvenimus ir jų šeimoms, artimiesiems, apimanti socialinę, psichologinę, psichoterapinę pagalbą, taip pat pagalbą įveikiant priklausomybes; šeimos įgūdžių ugdymo ir sociokultūrinės paslaugos; mediacijos paslaugos; vaikų priežiū</t>
  </si>
  <si>
    <t>170792371, UAB "Pagalba ligoniui"</t>
  </si>
  <si>
    <t>153740454, Uždaroji akcinė bendrovė "Disolis"</t>
  </si>
  <si>
    <t>626</t>
  </si>
  <si>
    <t>627</t>
  </si>
  <si>
    <t>628</t>
  </si>
  <si>
    <t>629</t>
  </si>
  <si>
    <t>630</t>
  </si>
  <si>
    <t>631</t>
  </si>
  <si>
    <t>632</t>
  </si>
  <si>
    <t>633</t>
  </si>
  <si>
    <t>634</t>
  </si>
  <si>
    <t>635</t>
  </si>
  <si>
    <t>636</t>
  </si>
  <si>
    <t>637</t>
  </si>
  <si>
    <t>638</t>
  </si>
  <si>
    <t>639</t>
  </si>
  <si>
    <t>640</t>
  </si>
  <si>
    <t>641</t>
  </si>
  <si>
    <t>642</t>
  </si>
  <si>
    <t>643</t>
  </si>
  <si>
    <t>644</t>
  </si>
  <si>
    <t>645</t>
  </si>
  <si>
    <t>646</t>
  </si>
  <si>
    <t>647</t>
  </si>
  <si>
    <t>648</t>
  </si>
  <si>
    <t>649</t>
  </si>
  <si>
    <t>650</t>
  </si>
  <si>
    <t>651</t>
  </si>
  <si>
    <t>652</t>
  </si>
  <si>
    <t>653</t>
  </si>
  <si>
    <t>654</t>
  </si>
  <si>
    <t>655</t>
  </si>
  <si>
    <t>656</t>
  </si>
  <si>
    <t>657</t>
  </si>
  <si>
    <t>658</t>
  </si>
  <si>
    <t>659</t>
  </si>
  <si>
    <t>661</t>
  </si>
  <si>
    <t>662</t>
  </si>
  <si>
    <t>663</t>
  </si>
  <si>
    <t>664</t>
  </si>
  <si>
    <t>665</t>
  </si>
  <si>
    <t>666</t>
  </si>
  <si>
    <t>667</t>
  </si>
  <si>
    <t>668</t>
  </si>
  <si>
    <t>669</t>
  </si>
  <si>
    <t>670</t>
  </si>
  <si>
    <t>671</t>
  </si>
  <si>
    <t>672</t>
  </si>
  <si>
    <t>673</t>
  </si>
  <si>
    <t>674</t>
  </si>
  <si>
    <t>675</t>
  </si>
  <si>
    <t>676</t>
  </si>
  <si>
    <t>677</t>
  </si>
  <si>
    <t>678</t>
  </si>
  <si>
    <t>679</t>
  </si>
  <si>
    <t>680</t>
  </si>
  <si>
    <t>681</t>
  </si>
  <si>
    <t>682</t>
  </si>
  <si>
    <t>683</t>
  </si>
  <si>
    <t>684</t>
  </si>
  <si>
    <t>685</t>
  </si>
  <si>
    <t>686</t>
  </si>
  <si>
    <t>687</t>
  </si>
  <si>
    <t>688</t>
  </si>
  <si>
    <t>689</t>
  </si>
  <si>
    <t>690</t>
  </si>
  <si>
    <t>691</t>
  </si>
  <si>
    <t>692</t>
  </si>
  <si>
    <t>08.2.1-CPVA-R-908-11-0005</t>
  </si>
  <si>
    <t>04.5.1-TID-R-516-11-0006</t>
  </si>
  <si>
    <t>Dviračių ir pėsčiųjų tako, esančio šalia Ratnyčios upelio, Druskininkų mieste, rekonstrukcija</t>
  </si>
  <si>
    <t>Andrius Kupetauskas</t>
  </si>
  <si>
    <t>05.4.1-LVPA-R-821-11-0003</t>
  </si>
  <si>
    <t>Jurgita Parulienė</t>
  </si>
  <si>
    <t>Zita Markevičienė</t>
  </si>
  <si>
    <t>Alytaus rajono savivaldybės administracijos direktorius</t>
  </si>
  <si>
    <t>Rita Patalavičienė</t>
  </si>
  <si>
    <t>Raminta Burbulytė</t>
  </si>
  <si>
    <t>patenkinamai</t>
  </si>
  <si>
    <t>Keleivių apyvartos kelių transportu - iš viso pagal reiso tipą - padidėjimas proc. (tūkst. keleivio km)</t>
  </si>
  <si>
    <t>VRM Regioninės politikos departamentas vertinimo kriterijaus nustatymui reikiamų  duomenų duomenų už 2018 metus nepateikė</t>
  </si>
  <si>
    <t>VRM Regioninės politikos departamentas vertinimo kriterijaus nustatymui reikiamų  duomenų duomenų už 2017 metus nepateikė</t>
  </si>
  <si>
    <t>Vertinimo kriterijaus nustatymui reikiamų  duomenų už 2019 metus Lietuvos laisvosios rinkos institutas nepateikęs</t>
  </si>
  <si>
    <t>Vertinimo kriterijaus nustatymui reikiamų  duomenų už 2019 metus VRM Regioninės politikos departamentas dar nepateikęs</t>
  </si>
  <si>
    <t>Vertinimo kriterijaus nustatymui reikiamų  duomenų už 2019 metus Lietuvos Statistikos departamentas dar nepateikęs</t>
  </si>
  <si>
    <t>Vertinimo kriterijaus nustatymui reikiamų  duomenų už 2019 metus Lietuvos Statistikos departamentas dar neteikia</t>
  </si>
  <si>
    <t>Vertinimo kriterijaus nustatymui reikiamų  duomenų už 2019 metus VRM Regioninės politikos departamentas dar neteikia</t>
  </si>
  <si>
    <t>Vertinimo kriterijaus nustatymui reikiamų  duomenų už 2019 metus Lietuvos Respublikos švietimo, mokslo ir sporto ministerija ministerija dar nepateikusi</t>
  </si>
  <si>
    <t>Vertinimo kriterijaus nustatymui reikiamų  duomenų už 2019 metus Higienos instituto Sveikatos informacijos centras dar nepateikė</t>
  </si>
  <si>
    <t>Vertinimo kriterijaus nustatymui reikiamų  duomenų už 2019 metus Lietuvos Respublikos švietimo, mokslo ir sporto ministerija dar nepateikusi</t>
  </si>
  <si>
    <t>Vertinimo kriterijaus nustatymui reikiamų  duomenų už 2019 metus projekto vykdytojai dar nepateikė</t>
  </si>
  <si>
    <t>Vertinimo kriterijaus nustatymui reikiamų  duomenų už 2019 metus savivaldybėsdar nepateikė</t>
  </si>
  <si>
    <t>Blogai</t>
  </si>
  <si>
    <t>Vertinimo kriterijaus nustatymui reikiamų  duomenų už 2019 metus ARATC dar nepateikė</t>
  </si>
  <si>
    <t>Vertinimo kriterijaus nustatymui reikiami  duomenys 2019 metais SFMIS2014 nesikeitė.</t>
  </si>
  <si>
    <t xml:space="preserve"> ARATC dar nepaskelbė metinio pranešimo už 2019 metus.</t>
  </si>
  <si>
    <t>Patvirtinta
Alytaus regiono plėtros tarybos
2016 m. rugsėjo 19 d. sprendimu Nr.51/6S-38
(Alytaus regiono plėtros tarybos 2019 m. kovo 26 d. sprendimo Nr.51/6S - 15 redakcija)</t>
  </si>
  <si>
    <t>Patvirtinta
Alytaus regiono plėtros tarybos
2016 m. birželio 7 d. sprendimu Nr.51/6S-24
(Alytaus regiono plėtros tarybos 2019 m. kovo  29  d. sprendimo Nr.51/6S-16    redakcija)</t>
  </si>
  <si>
    <t>Patvirtinta
Alytaus regiono plėtros tarybos
2017 m. liepos 28 d. sprendimu Nr.51/6S-37
(Alytaus regiono plėtros tarybos
2019 m. vasario  20  d. sprendimo Nr.51/6S - 13 redakcija)</t>
  </si>
  <si>
    <t>Patvirtinta
Alytaus regiono plėtros tarybos
2017 m. vasario 13 d. sprendimu Nr.51/6S-8          
(Alytaus regiono plėtros tarybos 2019 m. vasario 20 d. sprendimo Nr.51/6S - 10 redakcija)</t>
  </si>
  <si>
    <t xml:space="preserve">Patvirtinta 
Alytaus regiono plėtros tarybos 
2017 m. rugpjūčio 31 d. 
sprendimu Nr.51/6S-42
(Alytaus regiono plėtros tarybos  2019 m. vasario 20 d. sprendimo Nr.51/6S  - 11 redakcija )
</t>
  </si>
  <si>
    <t xml:space="preserve">Vėlavimas (mėnesiai) </t>
  </si>
  <si>
    <t>Projektų sutarties duomenų ataskaita (suformuota 2019-04-02 10:15:11)</t>
  </si>
  <si>
    <t>Mokėjimų ataskaita (suformuota 2019-04-02 10:26:59)</t>
  </si>
  <si>
    <t>693</t>
  </si>
  <si>
    <t xml:space="preserve">Vėlavimas
(mėnesiai)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</si>
</sst>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0.000"/>
    <numFmt numFmtId="165" formatCode="yyyy/mm/dd;@"/>
    <numFmt numFmtId="166" formatCode="yyyy/mm"/>
    <numFmt numFmtId="167" formatCode="0.0"/>
    <numFmt numFmtId="168" formatCode="yyyy"/>
    <numFmt numFmtId="169" formatCode="[$-10427]#,##0.00"/>
    <numFmt numFmtId="170" formatCode="#,##0.0000"/>
    <numFmt numFmtId="171" formatCode="[$-10427]yyyy\-mm\-dd"/>
    <numFmt numFmtId="172" formatCode="yyyy&quot;-&quot;mm&quot;-&quot;dd"/>
    <numFmt numFmtId="173" formatCode="[$-10409]#,##0.00"/>
    <numFmt numFmtId="174" formatCode="[$-10409]yyyy\-mm\-dd"/>
  </numFmts>
  <fonts count="120">
    <font>
      <sz val="11"/>
      <color theme="1"/>
      <name val="Calibri"/>
      <family val="2"/>
      <charset val="186"/>
      <scheme val="minor"/>
    </font>
    <font>
      <sz val="9"/>
      <name val="Times New Roman"/>
      <family val="1"/>
    </font>
    <font>
      <sz val="10"/>
      <name val="Times New Roman"/>
      <family val="1"/>
    </font>
    <font>
      <sz val="11"/>
      <color rgb="FF00B050"/>
      <name val="Calibri"/>
      <family val="2"/>
      <charset val="186"/>
      <scheme val="minor"/>
    </font>
    <font>
      <b/>
      <sz val="9"/>
      <name val="Times New Roman"/>
      <family val="1"/>
    </font>
    <font>
      <sz val="11"/>
      <name val="Times New Roman"/>
      <family val="1"/>
    </font>
    <font>
      <sz val="11"/>
      <name val="Calibri"/>
      <family val="2"/>
      <scheme val="minor"/>
    </font>
    <font>
      <sz val="8"/>
      <name val="Times New Roman"/>
      <family val="1"/>
    </font>
    <font>
      <sz val="11"/>
      <name val="Calibri"/>
      <family val="2"/>
      <charset val="186"/>
      <scheme val="minor"/>
    </font>
    <font>
      <b/>
      <sz val="11"/>
      <name val="Times New Roman"/>
      <family val="1"/>
    </font>
    <font>
      <b/>
      <sz val="8"/>
      <name val="Times New Roman"/>
      <family val="1"/>
    </font>
    <font>
      <sz val="10"/>
      <name val="Calibri"/>
      <family val="2"/>
      <scheme val="minor"/>
    </font>
    <font>
      <b/>
      <sz val="10"/>
      <name val="Times New Roman"/>
      <family val="1"/>
    </font>
    <font>
      <sz val="9"/>
      <name val="Times New Roman"/>
      <family val="1"/>
      <charset val="186"/>
    </font>
    <font>
      <sz val="10"/>
      <name val="Times New Roman"/>
      <family val="1"/>
      <charset val="186"/>
    </font>
    <font>
      <strike/>
      <sz val="9"/>
      <name val="Times New Roman"/>
      <family val="1"/>
    </font>
    <font>
      <sz val="10"/>
      <color theme="1"/>
      <name val="Times New Roman"/>
      <family val="1"/>
      <charset val="186"/>
    </font>
    <font>
      <b/>
      <sz val="8"/>
      <name val="Times New Roman"/>
      <family val="1"/>
      <charset val="186"/>
    </font>
    <font>
      <sz val="12"/>
      <color theme="1"/>
      <name val="Times New Roman"/>
      <family val="1"/>
      <charset val="186"/>
    </font>
    <font>
      <sz val="11"/>
      <color theme="1"/>
      <name val="Times New Roman"/>
      <family val="1"/>
      <charset val="186"/>
    </font>
    <font>
      <b/>
      <sz val="12"/>
      <color theme="1"/>
      <name val="Times New Roman"/>
      <family val="1"/>
      <charset val="186"/>
    </font>
    <font>
      <b/>
      <sz val="11"/>
      <color theme="1"/>
      <name val="Times New Roman"/>
      <family val="1"/>
      <charset val="186"/>
    </font>
    <font>
      <sz val="8"/>
      <name val="Times New Roman"/>
      <family val="1"/>
      <charset val="186"/>
    </font>
    <font>
      <sz val="10"/>
      <name val="Arial"/>
      <family val="2"/>
      <charset val="186"/>
    </font>
    <font>
      <b/>
      <sz val="9"/>
      <name val="Times New Roman"/>
      <family val="1"/>
      <charset val="186"/>
    </font>
    <font>
      <b/>
      <sz val="11"/>
      <name val="Times New Roman"/>
      <family val="1"/>
      <charset val="186"/>
    </font>
    <font>
      <sz val="11"/>
      <name val="Times New Roman"/>
      <family val="1"/>
      <charset val="186"/>
    </font>
    <font>
      <b/>
      <sz val="10"/>
      <name val="Times New Roman"/>
      <family val="1"/>
      <charset val="186"/>
    </font>
    <font>
      <sz val="12"/>
      <name val="Times New Roman"/>
      <family val="1"/>
      <charset val="186"/>
    </font>
    <font>
      <b/>
      <sz val="12"/>
      <name val="Times New Roman"/>
      <family val="1"/>
      <charset val="186"/>
    </font>
    <font>
      <b/>
      <sz val="12"/>
      <color rgb="FF000000"/>
      <name val="Times New Roman"/>
      <family val="1"/>
      <charset val="186"/>
    </font>
    <font>
      <vertAlign val="superscript"/>
      <sz val="11"/>
      <name val="Calibri"/>
      <family val="1"/>
      <charset val="186"/>
      <scheme val="minor"/>
    </font>
    <font>
      <vertAlign val="superscript"/>
      <sz val="12"/>
      <name val="Times New Roman"/>
      <family val="1"/>
      <charset val="186"/>
    </font>
    <font>
      <i/>
      <sz val="11"/>
      <color rgb="FF000000"/>
      <name val="Times New Roman"/>
      <family val="1"/>
      <charset val="186"/>
    </font>
    <font>
      <b/>
      <sz val="14"/>
      <name val="Times New Roman"/>
      <family val="1"/>
      <charset val="186"/>
    </font>
    <font>
      <b/>
      <sz val="16"/>
      <name val="Times New Roman"/>
      <family val="1"/>
      <charset val="186"/>
    </font>
    <font>
      <b/>
      <u/>
      <sz val="10"/>
      <name val="Times New Roman"/>
      <family val="1"/>
      <charset val="186"/>
    </font>
    <font>
      <b/>
      <u/>
      <sz val="9"/>
      <name val="Times New Roman"/>
      <family val="1"/>
      <charset val="186"/>
    </font>
    <font>
      <b/>
      <u/>
      <sz val="12"/>
      <name val="Times New Roman"/>
      <family val="1"/>
      <charset val="186"/>
    </font>
    <font>
      <b/>
      <sz val="9"/>
      <color theme="1"/>
      <name val="Times New Roman"/>
      <family val="1"/>
      <charset val="186"/>
    </font>
    <font>
      <b/>
      <sz val="12"/>
      <name val="Times New Roman"/>
      <family val="1"/>
    </font>
    <font>
      <b/>
      <sz val="14"/>
      <name val="Times New Roman"/>
      <family val="1"/>
    </font>
    <font>
      <b/>
      <u/>
      <sz val="14"/>
      <name val="Times New Roman"/>
      <family val="1"/>
      <charset val="186"/>
    </font>
    <font>
      <sz val="10"/>
      <color theme="1"/>
      <name val="Calibri"/>
      <family val="2"/>
      <charset val="186"/>
      <scheme val="minor"/>
    </font>
    <font>
      <sz val="12"/>
      <color theme="1"/>
      <name val="Calibri"/>
      <family val="2"/>
      <charset val="186"/>
      <scheme val="minor"/>
    </font>
    <font>
      <sz val="14"/>
      <name val="Times New Roman"/>
      <family val="1"/>
      <charset val="186"/>
    </font>
    <font>
      <sz val="12"/>
      <name val="Times New Roman"/>
      <family val="1"/>
    </font>
    <font>
      <i/>
      <sz val="12"/>
      <name val="Times New Roman"/>
      <family val="1"/>
    </font>
    <font>
      <sz val="10"/>
      <color rgb="FF00B050"/>
      <name val="Times New Roman"/>
      <family val="1"/>
    </font>
    <font>
      <sz val="9"/>
      <color rgb="FF00B050"/>
      <name val="Times New Roman"/>
      <family val="1"/>
    </font>
    <font>
      <b/>
      <sz val="12"/>
      <color theme="1"/>
      <name val="Calibri"/>
      <family val="1"/>
      <charset val="186"/>
      <scheme val="minor"/>
    </font>
    <font>
      <b/>
      <sz val="10"/>
      <color theme="1"/>
      <name val="Times New Roman"/>
      <family val="1"/>
      <charset val="186"/>
    </font>
    <font>
      <sz val="9"/>
      <color theme="1"/>
      <name val="Times New Roman"/>
      <family val="1"/>
      <charset val="186"/>
    </font>
    <font>
      <b/>
      <sz val="14"/>
      <color theme="1"/>
      <name val="Times New Roman"/>
      <family val="1"/>
      <charset val="186"/>
    </font>
    <font>
      <sz val="12"/>
      <color rgb="FF000000"/>
      <name val="Times New Roman"/>
      <family val="1"/>
      <charset val="186"/>
    </font>
    <font>
      <sz val="12"/>
      <name val="Calibri"/>
      <family val="2"/>
      <charset val="186"/>
      <scheme val="minor"/>
    </font>
    <font>
      <sz val="10"/>
      <name val="Calibri"/>
      <family val="2"/>
      <charset val="186"/>
      <scheme val="minor"/>
    </font>
    <font>
      <b/>
      <sz val="14"/>
      <name val="Calibri"/>
      <family val="2"/>
      <charset val="186"/>
      <scheme val="minor"/>
    </font>
    <font>
      <b/>
      <sz val="12"/>
      <name val="Calibri"/>
      <family val="2"/>
      <charset val="186"/>
      <scheme val="minor"/>
    </font>
    <font>
      <sz val="14"/>
      <color theme="1"/>
      <name val="Times New Roman"/>
      <family val="1"/>
    </font>
    <font>
      <b/>
      <sz val="14"/>
      <color theme="1"/>
      <name val="Times New Roman"/>
      <family val="1"/>
    </font>
    <font>
      <b/>
      <sz val="11"/>
      <color rgb="FF000000"/>
      <name val="Times New Roman"/>
      <family val="1"/>
      <charset val="186"/>
    </font>
    <font>
      <sz val="11"/>
      <color rgb="FF000000"/>
      <name val="Times New Roman"/>
      <family val="1"/>
      <charset val="186"/>
    </font>
    <font>
      <sz val="11"/>
      <color rgb="FF000000"/>
      <name val="Calibri"/>
      <family val="2"/>
      <charset val="186"/>
    </font>
    <font>
      <sz val="10"/>
      <color rgb="FF000000"/>
      <name val="Times New Roman"/>
      <family val="1"/>
      <charset val="186"/>
    </font>
    <font>
      <b/>
      <u/>
      <sz val="11"/>
      <name val="Times New Roman"/>
      <family val="1"/>
      <charset val="186"/>
    </font>
    <font>
      <u/>
      <sz val="10"/>
      <name val="Times New Roman"/>
      <family val="1"/>
      <charset val="186"/>
    </font>
    <font>
      <b/>
      <sz val="11"/>
      <name val="Calibri"/>
      <family val="2"/>
      <charset val="186"/>
      <scheme val="minor"/>
    </font>
    <font>
      <sz val="9"/>
      <color rgb="FF00B050"/>
      <name val="Times New Roman"/>
      <family val="1"/>
      <charset val="186"/>
    </font>
    <font>
      <b/>
      <sz val="9"/>
      <color rgb="FF00B050"/>
      <name val="Times New Roman"/>
      <family val="1"/>
      <charset val="186"/>
    </font>
    <font>
      <b/>
      <sz val="10"/>
      <color rgb="FF00B050"/>
      <name val="Times New Roman"/>
      <family val="1"/>
      <charset val="186"/>
    </font>
    <font>
      <b/>
      <u/>
      <sz val="9"/>
      <color rgb="FF00B050"/>
      <name val="Times New Roman"/>
      <family val="1"/>
      <charset val="186"/>
    </font>
    <font>
      <b/>
      <sz val="7"/>
      <name val="Times New Roman"/>
      <family val="1"/>
      <charset val="186"/>
    </font>
    <font>
      <sz val="7"/>
      <name val="Times New Roman"/>
      <family val="1"/>
      <charset val="186"/>
    </font>
    <font>
      <sz val="7"/>
      <name val="Times New Roman"/>
      <family val="1"/>
    </font>
    <font>
      <sz val="9"/>
      <color rgb="FFFF0000"/>
      <name val="Times New Roman"/>
      <family val="1"/>
      <charset val="186"/>
    </font>
    <font>
      <strike/>
      <sz val="10"/>
      <name val="Times New Roman"/>
      <family val="1"/>
    </font>
    <font>
      <sz val="9"/>
      <name val="Calibri"/>
      <family val="2"/>
      <charset val="186"/>
      <scheme val="minor"/>
    </font>
    <font>
      <sz val="12"/>
      <name val="Calibri"/>
      <family val="2"/>
      <scheme val="minor"/>
    </font>
    <font>
      <u/>
      <sz val="12"/>
      <name val="Times New Roman"/>
      <family val="1"/>
      <charset val="186"/>
    </font>
    <font>
      <i/>
      <sz val="12"/>
      <name val="Times New Roman"/>
      <family val="1"/>
      <charset val="186"/>
    </font>
    <font>
      <b/>
      <i/>
      <sz val="12"/>
      <color theme="1"/>
      <name val="Times New Roman"/>
      <family val="1"/>
      <charset val="186"/>
    </font>
    <font>
      <sz val="11"/>
      <color rgb="FF000000"/>
      <name val="Calibri"/>
      <family val="2"/>
      <scheme val="minor"/>
    </font>
    <font>
      <b/>
      <sz val="9"/>
      <color rgb="FF000000"/>
      <name val="Times New Roman"/>
      <family val="1"/>
      <charset val="186"/>
    </font>
    <font>
      <sz val="9"/>
      <color rgb="FF000000"/>
      <name val="Times New Roman"/>
      <family val="1"/>
      <charset val="186"/>
    </font>
    <font>
      <b/>
      <sz val="8"/>
      <name val="Arial"/>
      <family val="2"/>
      <charset val="186"/>
    </font>
    <font>
      <b/>
      <sz val="10"/>
      <name val="Arial"/>
      <family val="2"/>
      <charset val="186"/>
    </font>
    <font>
      <sz val="8"/>
      <name val="Arial"/>
      <family val="2"/>
      <charset val="186"/>
    </font>
    <font>
      <sz val="9"/>
      <name val="Arial"/>
      <family val="2"/>
      <charset val="186"/>
    </font>
    <font>
      <b/>
      <sz val="9"/>
      <name val="Arial"/>
      <family val="2"/>
      <charset val="186"/>
    </font>
    <font>
      <b/>
      <sz val="11"/>
      <name val="Arial"/>
      <family val="2"/>
      <charset val="186"/>
    </font>
    <font>
      <sz val="11.95"/>
      <name val="Times New Roman"/>
      <family val="1"/>
      <charset val="186"/>
    </font>
    <font>
      <i/>
      <strike/>
      <sz val="12"/>
      <name val="Times New Roman"/>
      <family val="1"/>
      <charset val="186"/>
    </font>
    <font>
      <strike/>
      <sz val="12"/>
      <name val="Times New Roman"/>
      <family val="1"/>
      <charset val="186"/>
    </font>
    <font>
      <i/>
      <sz val="11"/>
      <color theme="1"/>
      <name val="Times New Roman"/>
      <family val="1"/>
      <charset val="186"/>
    </font>
    <font>
      <sz val="11"/>
      <color theme="1"/>
      <name val="Calibri"/>
      <family val="2"/>
      <charset val="186"/>
      <scheme val="minor"/>
    </font>
    <font>
      <sz val="10"/>
      <name val="Arial"/>
      <family val="2"/>
      <charset val="186"/>
    </font>
    <font>
      <b/>
      <sz val="10"/>
      <name val="Arial"/>
      <family val="2"/>
      <charset val="186"/>
    </font>
    <font>
      <sz val="10"/>
      <name val="Times New Roman "/>
      <charset val="186"/>
    </font>
    <font>
      <b/>
      <sz val="10"/>
      <name val="Times New Roman "/>
      <charset val="186"/>
    </font>
    <font>
      <b/>
      <sz val="8"/>
      <color indexed="8"/>
      <name val="Times New Roman"/>
      <family val="1"/>
      <charset val="186"/>
    </font>
    <font>
      <b/>
      <sz val="9"/>
      <name val="Arial"/>
      <family val="2"/>
      <charset val="186"/>
    </font>
    <font>
      <sz val="10"/>
      <name val="Arial"/>
      <family val="2"/>
      <charset val="186"/>
    </font>
    <font>
      <sz val="11.75"/>
      <color rgb="FFFFFFFF"/>
      <name val="Robotoregular"/>
    </font>
    <font>
      <sz val="11.75"/>
      <color rgb="FF333333"/>
      <name val="Robotoregular"/>
    </font>
    <font>
      <sz val="11.75"/>
      <color theme="1"/>
      <name val="Calibri"/>
      <family val="2"/>
      <charset val="186"/>
      <scheme val="minor"/>
    </font>
    <font>
      <sz val="11.75"/>
      <name val="Robotoregular"/>
    </font>
    <font>
      <b/>
      <sz val="10"/>
      <name val="Arial"/>
      <family val="2"/>
      <charset val="186"/>
    </font>
    <font>
      <b/>
      <sz val="9"/>
      <name val="Arial"/>
      <family val="2"/>
      <charset val="186"/>
    </font>
    <font>
      <sz val="10"/>
      <name val="Arial"/>
      <family val="2"/>
      <charset val="186"/>
    </font>
    <font>
      <sz val="11"/>
      <color rgb="FFFF0000"/>
      <name val="Calibri"/>
      <family val="2"/>
      <charset val="186"/>
      <scheme val="minor"/>
    </font>
    <font>
      <sz val="11.75"/>
      <color rgb="FFFF0000"/>
      <name val="Calibri"/>
      <family val="2"/>
      <charset val="186"/>
      <scheme val="minor"/>
    </font>
    <font>
      <sz val="8"/>
      <color rgb="FFFF0000"/>
      <name val="Arial"/>
      <family val="2"/>
      <charset val="186"/>
    </font>
    <font>
      <b/>
      <sz val="12"/>
      <color theme="1"/>
      <name val="Calibri"/>
      <family val="2"/>
      <charset val="186"/>
      <scheme val="minor"/>
    </font>
    <font>
      <b/>
      <sz val="11.75"/>
      <color theme="1"/>
      <name val="Calibri"/>
      <family val="2"/>
      <charset val="186"/>
      <scheme val="minor"/>
    </font>
    <font>
      <b/>
      <sz val="11.75"/>
      <color rgb="FFFF0000"/>
      <name val="Calibri"/>
      <family val="2"/>
      <charset val="186"/>
      <scheme val="minor"/>
    </font>
    <font>
      <b/>
      <sz val="10"/>
      <name val="Arial"/>
      <charset val="186"/>
    </font>
    <font>
      <sz val="10"/>
      <name val="Arial"/>
      <charset val="186"/>
    </font>
    <font>
      <b/>
      <sz val="9"/>
      <name val="Arial"/>
      <charset val="1"/>
    </font>
    <font>
      <b/>
      <sz val="14"/>
      <name val="Arial"/>
      <family val="2"/>
      <charset val="186"/>
    </font>
  </fonts>
  <fills count="27">
    <fill>
      <patternFill patternType="none"/>
    </fill>
    <fill>
      <patternFill patternType="gray125"/>
    </fill>
    <fill>
      <patternFill patternType="solid">
        <fgColor rgb="FFBFBFBF"/>
        <bgColor indexed="64"/>
      </patternFill>
    </fill>
    <fill>
      <patternFill patternType="solid">
        <fgColor rgb="FFD9D9D9"/>
        <bgColor indexed="64"/>
      </patternFill>
    </fill>
    <fill>
      <patternFill patternType="solid">
        <fgColor rgb="FFFF660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indexed="64"/>
      </patternFill>
    </fill>
    <fill>
      <patternFill patternType="solid">
        <fgColor theme="0" tint="-0.249977111117893"/>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D3D3D3"/>
        <bgColor rgb="FFD3D3D3"/>
      </patternFill>
    </fill>
    <fill>
      <patternFill patternType="solid">
        <fgColor rgb="FF89C277"/>
        <bgColor indexed="64"/>
      </patternFill>
    </fill>
    <fill>
      <patternFill patternType="solid">
        <fgColor rgb="FFF6F6F6"/>
        <bgColor indexed="64"/>
      </patternFill>
    </fill>
    <fill>
      <patternFill patternType="solid">
        <fgColor rgb="FFECECEC"/>
        <bgColor indexed="64"/>
      </patternFill>
    </fill>
    <fill>
      <patternFill patternType="solid">
        <fgColor rgb="FFFFFF99"/>
        <bgColor indexed="64"/>
      </patternFill>
    </fill>
    <fill>
      <patternFill patternType="solid">
        <fgColor rgb="FFFFFFCC"/>
        <bgColor indexed="64"/>
      </patternFill>
    </fill>
  </fills>
  <borders count="204">
    <border>
      <left/>
      <right/>
      <top/>
      <bottom/>
      <diagonal/>
    </border>
    <border>
      <left style="thick">
        <color indexed="64"/>
      </left>
      <right style="medium">
        <color indexed="64"/>
      </right>
      <top style="thick">
        <color indexed="64"/>
      </top>
      <bottom style="medium">
        <color indexed="64"/>
      </bottom>
      <diagonal/>
    </border>
    <border>
      <left/>
      <right style="medium">
        <color indexed="64"/>
      </right>
      <top style="thick">
        <color indexed="64"/>
      </top>
      <bottom style="medium">
        <color indexed="64"/>
      </bottom>
      <diagonal/>
    </border>
    <border>
      <left/>
      <right style="medium">
        <color rgb="FF000000"/>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bottom style="medium">
        <color indexed="64"/>
      </bottom>
      <diagonal/>
    </border>
    <border>
      <left/>
      <right style="medium">
        <color indexed="64"/>
      </right>
      <top/>
      <bottom style="medium">
        <color indexed="64"/>
      </bottom>
      <diagonal/>
    </border>
    <border>
      <left/>
      <right style="thick">
        <color indexed="64"/>
      </right>
      <top/>
      <bottom style="medium">
        <color indexed="64"/>
      </bottom>
      <diagonal/>
    </border>
    <border>
      <left style="thick">
        <color indexed="64"/>
      </left>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medium">
        <color indexed="64"/>
      </left>
      <right/>
      <top style="thick">
        <color indexed="64"/>
      </top>
      <bottom style="medium">
        <color indexed="64"/>
      </bottom>
      <diagonal/>
    </border>
    <border>
      <left style="medium">
        <color rgb="FF000000"/>
      </left>
      <right/>
      <top style="thick">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right style="thick">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style="thick">
        <color indexed="64"/>
      </left>
      <right style="medium">
        <color indexed="64"/>
      </right>
      <top/>
      <bottom style="thick">
        <color indexed="64"/>
      </bottom>
      <diagonal/>
    </border>
    <border>
      <left/>
      <right/>
      <top/>
      <bottom style="medium">
        <color indexed="64"/>
      </bottom>
      <diagonal/>
    </border>
    <border>
      <left/>
      <right style="medium">
        <color indexed="64"/>
      </right>
      <top/>
      <bottom/>
      <diagonal/>
    </border>
    <border>
      <left style="thick">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ck">
        <color indexed="64"/>
      </right>
      <top style="medium">
        <color indexed="64"/>
      </top>
      <bottom/>
      <diagonal/>
    </border>
    <border>
      <left/>
      <right style="thick">
        <color indexed="64"/>
      </right>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thick">
        <color indexed="64"/>
      </right>
      <top style="thick">
        <color indexed="64"/>
      </top>
      <bottom style="thick">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medium">
        <color indexed="64"/>
      </bottom>
      <diagonal/>
    </border>
    <border>
      <left style="thick">
        <color indexed="64"/>
      </left>
      <right style="thick">
        <color indexed="64"/>
      </right>
      <top/>
      <bottom style="thick">
        <color indexed="64"/>
      </bottom>
      <diagonal/>
    </border>
    <border>
      <left style="medium">
        <color indexed="64"/>
      </left>
      <right style="thin">
        <color indexed="64"/>
      </right>
      <top style="medium">
        <color indexed="64"/>
      </top>
      <bottom style="medium">
        <color indexed="64"/>
      </bottom>
      <diagonal/>
    </border>
    <border>
      <left style="thick">
        <color indexed="64"/>
      </left>
      <right style="medium">
        <color indexed="64"/>
      </right>
      <top/>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style="thick">
        <color indexed="64"/>
      </top>
      <bottom/>
      <diagonal/>
    </border>
    <border>
      <left/>
      <right/>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medium">
        <color indexed="64"/>
      </right>
      <top style="thick">
        <color indexed="64"/>
      </top>
      <bottom/>
      <diagonal/>
    </border>
    <border>
      <left style="medium">
        <color indexed="64"/>
      </left>
      <right style="medium">
        <color indexed="64"/>
      </right>
      <top style="thick">
        <color indexed="64"/>
      </top>
      <bottom/>
      <diagonal/>
    </border>
    <border>
      <left/>
      <right/>
      <top style="thick">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medium">
        <color rgb="FF000000"/>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ck">
        <color indexed="64"/>
      </left>
      <right/>
      <top/>
      <bottom/>
      <diagonal/>
    </border>
    <border>
      <left/>
      <right style="thin">
        <color indexed="64"/>
      </right>
      <top/>
      <bottom/>
      <diagonal/>
    </border>
    <border>
      <left style="thin">
        <color indexed="64"/>
      </left>
      <right style="thick">
        <color indexed="64"/>
      </right>
      <top/>
      <bottom style="thin">
        <color indexed="64"/>
      </bottom>
      <diagonal/>
    </border>
    <border>
      <left/>
      <right style="thick">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style="medium">
        <color indexed="64"/>
      </top>
      <bottom style="medium">
        <color indexed="64"/>
      </bottom>
      <diagonal/>
    </border>
    <border>
      <left style="thick">
        <color indexed="64"/>
      </left>
      <right/>
      <top style="thick">
        <color indexed="64"/>
      </top>
      <bottom/>
      <diagonal/>
    </border>
    <border>
      <left style="thick">
        <color indexed="64"/>
      </left>
      <right style="thin">
        <color indexed="64"/>
      </right>
      <top/>
      <bottom style="thin">
        <color indexed="64"/>
      </bottom>
      <diagonal/>
    </border>
    <border>
      <left/>
      <right style="thick">
        <color indexed="64"/>
      </right>
      <top style="thick">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ck">
        <color indexed="64"/>
      </left>
      <right style="thick">
        <color indexed="64"/>
      </right>
      <top/>
      <bottom/>
      <diagonal/>
    </border>
    <border>
      <left style="thick">
        <color indexed="64"/>
      </left>
      <right style="thick">
        <color indexed="64"/>
      </right>
      <top style="medium">
        <color indexed="64"/>
      </top>
      <bottom style="medium">
        <color indexed="64"/>
      </bottom>
      <diagonal/>
    </border>
    <border>
      <left style="thick">
        <color indexed="64"/>
      </left>
      <right/>
      <top style="thick">
        <color indexed="64"/>
      </top>
      <bottom style="thick">
        <color indexed="64"/>
      </bottom>
      <diagonal/>
    </border>
    <border>
      <left style="thin">
        <color indexed="64"/>
      </left>
      <right style="thin">
        <color indexed="64"/>
      </right>
      <top style="thin">
        <color indexed="64"/>
      </top>
      <bottom style="medium">
        <color indexed="64"/>
      </bottom>
      <diagonal/>
    </border>
    <border>
      <left style="medium">
        <color rgb="FF000000"/>
      </left>
      <right style="medium">
        <color indexed="64"/>
      </right>
      <top style="medium">
        <color rgb="FF000000"/>
      </top>
      <bottom style="medium">
        <color rgb="FF000000"/>
      </bottom>
      <diagonal/>
    </border>
    <border>
      <left style="medium">
        <color rgb="FF000000"/>
      </left>
      <right/>
      <top/>
      <bottom style="medium">
        <color rgb="FF000000"/>
      </bottom>
      <diagonal/>
    </border>
    <border>
      <left style="medium">
        <color rgb="FF000000"/>
      </left>
      <right style="medium">
        <color indexed="64"/>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indexed="64"/>
      </right>
      <top/>
      <bottom/>
      <diagonal/>
    </border>
    <border>
      <left style="medium">
        <color rgb="FF000000"/>
      </left>
      <right/>
      <top/>
      <bottom style="medium">
        <color indexed="64"/>
      </bottom>
      <diagonal/>
    </border>
    <border>
      <left style="medium">
        <color rgb="FF000000"/>
      </left>
      <right style="medium">
        <color indexed="64"/>
      </right>
      <top/>
      <bottom style="medium">
        <color indexed="64"/>
      </bottom>
      <diagonal/>
    </border>
    <border>
      <left style="medium">
        <color rgb="FF000000"/>
      </left>
      <right/>
      <top/>
      <bottom/>
      <diagonal/>
    </border>
    <border>
      <left style="medium">
        <color rgb="FF000000"/>
      </left>
      <right style="medium">
        <color rgb="FF000000"/>
      </right>
      <top style="medium">
        <color rgb="FF000000"/>
      </top>
      <bottom/>
      <diagonal/>
    </border>
    <border>
      <left style="medium">
        <color rgb="FF000000"/>
      </left>
      <right style="medium">
        <color indexed="64"/>
      </right>
      <top style="medium">
        <color rgb="FF000000"/>
      </top>
      <bottom/>
      <diagonal/>
    </border>
    <border>
      <left style="medium">
        <color indexed="64"/>
      </left>
      <right style="medium">
        <color indexed="64"/>
      </right>
      <top style="medium">
        <color rgb="FF000000"/>
      </top>
      <bottom/>
      <diagonal/>
    </border>
    <border>
      <left style="medium">
        <color indexed="64"/>
      </left>
      <right style="medium">
        <color indexed="64"/>
      </right>
      <top/>
      <bottom style="medium">
        <color rgb="FF000000"/>
      </bottom>
      <diagonal/>
    </border>
    <border>
      <left/>
      <right style="thick">
        <color indexed="64"/>
      </right>
      <top style="medium">
        <color indexed="64"/>
      </top>
      <bottom style="thin">
        <color indexed="64"/>
      </bottom>
      <diagonal/>
    </border>
    <border>
      <left style="thin">
        <color indexed="64"/>
      </left>
      <right style="thick">
        <color indexed="64"/>
      </right>
      <top style="thin">
        <color indexed="64"/>
      </top>
      <bottom style="medium">
        <color indexed="64"/>
      </bottom>
      <diagonal/>
    </border>
    <border>
      <left style="thick">
        <color indexed="64"/>
      </left>
      <right/>
      <top style="medium">
        <color indexed="64"/>
      </top>
      <bottom/>
      <diagonal/>
    </border>
    <border>
      <left style="medium">
        <color indexed="64"/>
      </left>
      <right style="thick">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ck">
        <color indexed="64"/>
      </left>
      <right style="thick">
        <color indexed="64"/>
      </right>
      <top style="medium">
        <color indexed="64"/>
      </top>
      <bottom/>
      <diagonal/>
    </border>
    <border>
      <left/>
      <right style="thick">
        <color indexed="64"/>
      </right>
      <top style="medium">
        <color indexed="64"/>
      </top>
      <bottom/>
      <diagonal/>
    </border>
    <border>
      <left style="medium">
        <color indexed="64"/>
      </left>
      <right style="thick">
        <color indexed="64"/>
      </right>
      <top/>
      <bottom style="thick">
        <color indexed="64"/>
      </bottom>
      <diagonal/>
    </border>
    <border>
      <left style="medium">
        <color indexed="64"/>
      </left>
      <right style="thick">
        <color indexed="64"/>
      </right>
      <top/>
      <bottom/>
      <diagonal/>
    </border>
    <border>
      <left style="medium">
        <color indexed="64"/>
      </left>
      <right style="thick">
        <color indexed="64"/>
      </right>
      <top style="thick">
        <color indexed="64"/>
      </top>
      <bottom/>
      <diagonal/>
    </border>
    <border>
      <left style="thick">
        <color indexed="64"/>
      </left>
      <right/>
      <top/>
      <bottom style="medium">
        <color indexed="64"/>
      </bottom>
      <diagonal/>
    </border>
    <border>
      <left style="thick">
        <color indexed="64"/>
      </left>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right style="thick">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right style="thin">
        <color indexed="8"/>
      </right>
      <top/>
      <bottom/>
      <diagonal/>
    </border>
    <border>
      <left style="thin">
        <color indexed="8"/>
      </left>
      <right style="thin">
        <color indexed="8"/>
      </right>
      <top style="thin">
        <color indexed="8"/>
      </top>
      <bottom/>
      <diagonal/>
    </border>
    <border>
      <left/>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top/>
      <bottom/>
      <diagonal/>
    </border>
    <border>
      <left/>
      <right/>
      <top/>
      <bottom style="thin">
        <color indexed="8"/>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10"/>
      </bottom>
      <diagonal/>
    </border>
    <border>
      <left style="thin">
        <color indexed="8"/>
      </left>
      <right style="thin">
        <color indexed="8"/>
      </right>
      <top/>
      <bottom style="thin">
        <color indexed="10"/>
      </bottom>
      <diagonal/>
    </border>
    <border>
      <left/>
      <right style="thin">
        <color indexed="8"/>
      </right>
      <top style="thin">
        <color indexed="8"/>
      </top>
      <bottom style="thin">
        <color indexed="10"/>
      </bottom>
      <diagonal/>
    </border>
    <border>
      <left style="thin">
        <color indexed="8"/>
      </left>
      <right style="thin">
        <color indexed="8"/>
      </right>
      <top style="thin">
        <color indexed="10"/>
      </top>
      <bottom style="thin">
        <color indexed="10"/>
      </bottom>
      <diagonal/>
    </border>
    <border>
      <left style="thin">
        <color indexed="8"/>
      </left>
      <right style="thin">
        <color indexed="10"/>
      </right>
      <top style="thin">
        <color indexed="10"/>
      </top>
      <bottom style="thin">
        <color indexed="10"/>
      </bottom>
      <diagonal/>
    </border>
    <border>
      <left style="thin">
        <color indexed="8"/>
      </left>
      <right style="thin">
        <color indexed="10"/>
      </right>
      <top style="thin">
        <color indexed="8"/>
      </top>
      <bottom style="thin">
        <color indexed="8"/>
      </bottom>
      <diagonal/>
    </border>
    <border>
      <left/>
      <right style="thin">
        <color indexed="10"/>
      </right>
      <top style="thin">
        <color indexed="8"/>
      </top>
      <bottom style="thin">
        <color indexed="8"/>
      </bottom>
      <diagonal/>
    </border>
    <border>
      <left style="thin">
        <color indexed="8"/>
      </left>
      <right style="thin">
        <color indexed="8"/>
      </right>
      <top style="thin">
        <color indexed="10"/>
      </top>
      <bottom style="thin">
        <color indexed="8"/>
      </bottom>
      <diagonal/>
    </border>
    <border>
      <left/>
      <right style="thin">
        <color indexed="8"/>
      </right>
      <top style="thin">
        <color indexed="10"/>
      </top>
      <bottom style="thin">
        <color indexed="8"/>
      </bottom>
      <diagonal/>
    </border>
    <border>
      <left style="thin">
        <color indexed="8"/>
      </left>
      <right style="thin">
        <color indexed="10"/>
      </right>
      <top style="thin">
        <color indexed="8"/>
      </top>
      <bottom style="thin">
        <color indexed="10"/>
      </bottom>
      <diagonal/>
    </border>
    <border>
      <left style="thin">
        <color indexed="8"/>
      </left>
      <right style="thin">
        <color indexed="10"/>
      </right>
      <top/>
      <bottom style="thin">
        <color indexed="10"/>
      </bottom>
      <diagonal/>
    </border>
    <border>
      <left style="medium">
        <color indexed="64"/>
      </left>
      <right/>
      <top style="medium">
        <color indexed="64"/>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thin">
        <color rgb="FF000000"/>
      </top>
      <bottom style="medium">
        <color indexed="64"/>
      </bottom>
      <diagonal/>
    </border>
    <border>
      <left style="thin">
        <color indexed="10"/>
      </left>
      <right style="thin">
        <color indexed="10"/>
      </right>
      <top style="thin">
        <color indexed="8"/>
      </top>
      <bottom style="thin">
        <color indexed="10"/>
      </bottom>
      <diagonal/>
    </border>
    <border>
      <left/>
      <right/>
      <top style="thin">
        <color indexed="8"/>
      </top>
      <bottom style="thin">
        <color indexed="10"/>
      </bottom>
      <diagonal/>
    </border>
    <border>
      <left/>
      <right style="thin">
        <color indexed="10"/>
      </right>
      <top style="thin">
        <color indexed="8"/>
      </top>
      <bottom style="thin">
        <color indexed="10"/>
      </bottom>
      <diagonal/>
    </border>
    <border>
      <left style="thin">
        <color indexed="8"/>
      </left>
      <right style="thin">
        <color indexed="8"/>
      </right>
      <top style="medium">
        <color indexed="8"/>
      </top>
      <bottom style="thin">
        <color indexed="8"/>
      </bottom>
      <diagonal/>
    </border>
    <border>
      <left/>
      <right/>
      <top style="medium">
        <color indexed="8"/>
      </top>
      <bottom style="thin">
        <color indexed="8"/>
      </bottom>
      <diagonal/>
    </border>
    <border>
      <left/>
      <right style="thin">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thin">
        <color indexed="8"/>
      </right>
      <top style="medium">
        <color indexed="8"/>
      </top>
      <bottom/>
      <diagonal/>
    </border>
    <border>
      <left style="medium">
        <color rgb="FFDDDDDD"/>
      </left>
      <right style="medium">
        <color rgb="FFDDDDDD"/>
      </right>
      <top style="medium">
        <color rgb="FFDDDDDD"/>
      </top>
      <bottom/>
      <diagonal/>
    </border>
    <border>
      <left style="medium">
        <color rgb="FFDDDDDD"/>
      </left>
      <right/>
      <top/>
      <bottom style="medium">
        <color rgb="FFDDDDDD"/>
      </bottom>
      <diagonal/>
    </border>
    <border>
      <left style="medium">
        <color indexed="64"/>
      </left>
      <right style="medium">
        <color indexed="64"/>
      </right>
      <top/>
      <bottom style="medium">
        <color rgb="FFDDDDDD"/>
      </bottom>
      <diagonal/>
    </border>
    <border>
      <left style="medium">
        <color rgb="FFDDDDDD"/>
      </left>
      <right style="medium">
        <color rgb="FFDDDDDD"/>
      </right>
      <top/>
      <bottom/>
      <diagonal/>
    </border>
    <border>
      <left style="thin">
        <color indexed="10"/>
      </left>
      <right/>
      <top style="thin">
        <color indexed="8"/>
      </top>
      <bottom style="thin">
        <color indexed="8"/>
      </bottom>
      <diagonal/>
    </border>
    <border>
      <left style="thin">
        <color indexed="8"/>
      </left>
      <right/>
      <top style="thin">
        <color indexed="8"/>
      </top>
      <bottom style="medium">
        <color indexed="8"/>
      </bottom>
      <diagonal/>
    </border>
    <border>
      <left/>
      <right style="thin">
        <color indexed="8"/>
      </right>
      <top style="thin">
        <color indexed="8"/>
      </top>
      <bottom style="medium">
        <color indexed="8"/>
      </bottom>
      <diagonal/>
    </border>
    <border>
      <left/>
      <right/>
      <top style="thin">
        <color indexed="8"/>
      </top>
      <bottom style="medium">
        <color indexed="8"/>
      </bottom>
      <diagonal/>
    </border>
    <border>
      <left style="thin">
        <color indexed="8"/>
      </left>
      <right/>
      <top style="medium">
        <color indexed="8"/>
      </top>
      <bottom style="thin">
        <color indexed="8"/>
      </bottom>
      <diagonal/>
    </border>
    <border>
      <left/>
      <right style="thin">
        <color indexed="64"/>
      </right>
      <top style="thin">
        <color indexed="8"/>
      </top>
      <bottom style="thin">
        <color indexed="8"/>
      </bottom>
      <diagonal/>
    </border>
    <border>
      <left style="thin">
        <color indexed="8"/>
      </left>
      <right/>
      <top style="medium">
        <color indexed="8"/>
      </top>
      <bottom style="thin">
        <color indexed="64"/>
      </bottom>
      <diagonal/>
    </border>
    <border>
      <left/>
      <right style="thin">
        <color indexed="64"/>
      </right>
      <top style="medium">
        <color indexed="8"/>
      </top>
      <bottom style="thin">
        <color indexed="64"/>
      </bottom>
      <diagonal/>
    </border>
    <border>
      <left/>
      <right style="thin">
        <color indexed="8"/>
      </right>
      <top style="medium">
        <color indexed="8"/>
      </top>
      <bottom style="thin">
        <color indexed="64"/>
      </bottom>
      <diagonal/>
    </border>
    <border>
      <left/>
      <right/>
      <top style="medium">
        <color indexed="8"/>
      </top>
      <bottom style="thin">
        <color indexed="64"/>
      </bottom>
      <diagonal/>
    </border>
    <border>
      <left style="medium">
        <color rgb="FF000000"/>
      </left>
      <right style="medium">
        <color indexed="64"/>
      </right>
      <top style="medium">
        <color indexed="64"/>
      </top>
      <bottom style="medium">
        <color indexed="64"/>
      </bottom>
      <diagonal/>
    </border>
    <border>
      <left/>
      <right style="medium">
        <color rgb="FF000000"/>
      </right>
      <top style="medium">
        <color indexed="64"/>
      </top>
      <bottom/>
      <diagonal/>
    </border>
    <border>
      <left/>
      <right style="medium">
        <color rgb="FF000000"/>
      </right>
      <top/>
      <bottom style="medium">
        <color indexed="64"/>
      </bottom>
      <diagonal/>
    </border>
    <border>
      <left style="medium">
        <color indexed="64"/>
      </left>
      <right style="thick">
        <color indexed="64"/>
      </right>
      <top/>
      <bottom style="thin">
        <color indexed="64"/>
      </bottom>
      <diagonal/>
    </border>
  </borders>
  <cellStyleXfs count="5">
    <xf numFmtId="0" fontId="0" fillId="0" borderId="0"/>
    <xf numFmtId="0" fontId="23" fillId="0" borderId="0"/>
    <xf numFmtId="0" fontId="82" fillId="0" borderId="0"/>
    <xf numFmtId="0" fontId="95" fillId="0" borderId="0"/>
    <xf numFmtId="0" fontId="102" fillId="0" borderId="0"/>
  </cellStyleXfs>
  <cellXfs count="2564">
    <xf numFmtId="0" fontId="0" fillId="0" borderId="0" xfId="0"/>
    <xf numFmtId="0" fontId="1" fillId="0" borderId="15" xfId="0" applyFont="1" applyBorder="1" applyAlignment="1">
      <alignment horizontal="center" vertical="center" wrapText="1"/>
    </xf>
    <xf numFmtId="3" fontId="2" fillId="0" borderId="6" xfId="0" applyNumberFormat="1" applyFont="1" applyBorder="1" applyAlignment="1">
      <alignment horizontal="center" vertical="center" wrapText="1"/>
    </xf>
    <xf numFmtId="4" fontId="1" fillId="12" borderId="7" xfId="0" applyNumberFormat="1" applyFont="1" applyFill="1" applyBorder="1" applyAlignment="1">
      <alignment horizontal="center" vertical="center" wrapText="1"/>
    </xf>
    <xf numFmtId="3" fontId="0" fillId="0" borderId="0" xfId="0" applyNumberFormat="1"/>
    <xf numFmtId="3" fontId="1" fillId="0" borderId="19" xfId="0" applyNumberFormat="1" applyFont="1" applyBorder="1" applyAlignment="1">
      <alignment horizontal="center" vertical="center" wrapText="1"/>
    </xf>
    <xf numFmtId="0" fontId="1" fillId="0" borderId="5" xfId="0" applyFont="1" applyBorder="1" applyAlignment="1">
      <alignment vertical="top" wrapText="1"/>
    </xf>
    <xf numFmtId="0" fontId="1" fillId="0" borderId="15" xfId="0" applyFont="1" applyBorder="1" applyAlignment="1">
      <alignment vertical="top" wrapText="1"/>
    </xf>
    <xf numFmtId="0" fontId="1" fillId="0" borderId="19" xfId="0" applyFont="1" applyBorder="1" applyAlignment="1">
      <alignment vertical="top" wrapText="1"/>
    </xf>
    <xf numFmtId="0" fontId="1" fillId="0" borderId="27" xfId="0" applyFont="1" applyBorder="1" applyAlignment="1">
      <alignment vertical="top" wrapText="1"/>
    </xf>
    <xf numFmtId="0" fontId="2" fillId="0" borderId="6" xfId="0" applyFont="1" applyBorder="1" applyAlignment="1">
      <alignment horizontal="center" vertical="center" wrapText="1"/>
    </xf>
    <xf numFmtId="0" fontId="1" fillId="0" borderId="19" xfId="0" applyFont="1" applyBorder="1" applyAlignment="1">
      <alignment horizontal="center" vertical="center" wrapText="1"/>
    </xf>
    <xf numFmtId="3" fontId="1" fillId="0" borderId="15" xfId="0" applyNumberFormat="1" applyFont="1" applyBorder="1" applyAlignment="1">
      <alignment horizontal="center" vertical="center" wrapText="1"/>
    </xf>
    <xf numFmtId="0" fontId="1" fillId="0" borderId="6" xfId="0" applyFont="1" applyBorder="1" applyAlignment="1">
      <alignment vertical="top" wrapText="1"/>
    </xf>
    <xf numFmtId="0" fontId="1" fillId="0" borderId="6" xfId="0" applyFont="1" applyBorder="1" applyAlignment="1">
      <alignment horizontal="center" vertical="center" wrapText="1"/>
    </xf>
    <xf numFmtId="0" fontId="2" fillId="0" borderId="6" xfId="0" applyFont="1" applyBorder="1" applyAlignment="1">
      <alignment vertical="top" wrapText="1"/>
    </xf>
    <xf numFmtId="3" fontId="1" fillId="0" borderId="6" xfId="0" applyNumberFormat="1" applyFont="1" applyBorder="1" applyAlignment="1">
      <alignment horizontal="center" vertical="center" wrapText="1"/>
    </xf>
    <xf numFmtId="0" fontId="2" fillId="0" borderId="5" xfId="0" applyFont="1" applyBorder="1" applyAlignment="1">
      <alignment vertical="top" wrapText="1"/>
    </xf>
    <xf numFmtId="0" fontId="2" fillId="0" borderId="19" xfId="0" applyFont="1" applyBorder="1" applyAlignment="1">
      <alignment vertical="top" wrapText="1"/>
    </xf>
    <xf numFmtId="0" fontId="8" fillId="0" borderId="34" xfId="0" applyFont="1" applyBorder="1"/>
    <xf numFmtId="1" fontId="7" fillId="0" borderId="15" xfId="0" applyNumberFormat="1" applyFont="1" applyBorder="1" applyAlignment="1">
      <alignment horizontal="center" wrapText="1"/>
    </xf>
    <xf numFmtId="0" fontId="8" fillId="0" borderId="0" xfId="0" applyFont="1"/>
    <xf numFmtId="0" fontId="9" fillId="0" borderId="0" xfId="0" applyFont="1"/>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10" fillId="0" borderId="6" xfId="0" applyFont="1" applyBorder="1" applyAlignment="1">
      <alignment horizontal="center" vertical="top" wrapText="1"/>
    </xf>
    <xf numFmtId="0" fontId="4" fillId="0" borderId="7" xfId="0" applyFont="1" applyBorder="1" applyAlignment="1">
      <alignment horizontal="center" vertical="top" wrapText="1"/>
    </xf>
    <xf numFmtId="0" fontId="11" fillId="0" borderId="5" xfId="0" applyFont="1" applyBorder="1" applyAlignment="1">
      <alignment vertical="top" wrapText="1"/>
    </xf>
    <xf numFmtId="0" fontId="11" fillId="0" borderId="6" xfId="0" applyFont="1" applyBorder="1" applyAlignment="1">
      <alignment vertical="top" wrapText="1"/>
    </xf>
    <xf numFmtId="0" fontId="11" fillId="0" borderId="6" xfId="0" applyFont="1" applyBorder="1" applyAlignment="1">
      <alignment horizontal="center" vertical="center" wrapText="1"/>
    </xf>
    <xf numFmtId="4" fontId="1" fillId="0" borderId="7" xfId="0" applyNumberFormat="1" applyFont="1" applyBorder="1" applyAlignment="1">
      <alignment horizontal="center" vertical="center" wrapText="1"/>
    </xf>
    <xf numFmtId="4" fontId="1" fillId="7" borderId="7" xfId="0" applyNumberFormat="1" applyFont="1" applyFill="1" applyBorder="1" applyAlignment="1">
      <alignment horizontal="center" vertical="center" wrapText="1"/>
    </xf>
    <xf numFmtId="4" fontId="1" fillId="6" borderId="7" xfId="0" applyNumberFormat="1" applyFont="1" applyFill="1" applyBorder="1" applyAlignment="1">
      <alignment horizontal="center" vertical="center" wrapText="1"/>
    </xf>
    <xf numFmtId="4" fontId="1" fillId="5" borderId="7" xfId="0" applyNumberFormat="1" applyFont="1" applyFill="1" applyBorder="1" applyAlignment="1">
      <alignment horizontal="center" vertical="center" wrapText="1"/>
    </xf>
    <xf numFmtId="4" fontId="1" fillId="10" borderId="7" xfId="0" applyNumberFormat="1" applyFont="1" applyFill="1" applyBorder="1" applyAlignment="1">
      <alignment horizontal="center" vertical="center" wrapText="1"/>
    </xf>
    <xf numFmtId="4" fontId="1" fillId="0" borderId="18" xfId="0" applyNumberFormat="1" applyFont="1" applyBorder="1" applyAlignment="1">
      <alignment horizontal="center" vertical="center" wrapText="1"/>
    </xf>
    <xf numFmtId="4" fontId="1" fillId="0" borderId="15" xfId="0" applyNumberFormat="1" applyFont="1" applyBorder="1" applyAlignment="1">
      <alignment horizontal="center" vertical="center" wrapText="1"/>
    </xf>
    <xf numFmtId="4" fontId="1" fillId="0" borderId="23" xfId="0" applyNumberFormat="1" applyFont="1" applyBorder="1" applyAlignment="1">
      <alignment horizontal="center" vertical="center" wrapText="1"/>
    </xf>
    <xf numFmtId="3" fontId="11" fillId="0" borderId="6" xfId="0" applyNumberFormat="1" applyFont="1" applyBorder="1" applyAlignment="1">
      <alignment horizontal="center" vertical="center" wrapText="1"/>
    </xf>
    <xf numFmtId="4" fontId="1" fillId="0" borderId="29" xfId="0" applyNumberFormat="1" applyFont="1" applyBorder="1" applyAlignment="1">
      <alignment horizontal="center" vertical="center" wrapText="1"/>
    </xf>
    <xf numFmtId="4" fontId="1" fillId="4" borderId="7" xfId="0" applyNumberFormat="1" applyFont="1" applyFill="1" applyBorder="1" applyAlignment="1">
      <alignment horizontal="center" vertical="center" wrapText="1"/>
    </xf>
    <xf numFmtId="4" fontId="1" fillId="9" borderId="7" xfId="0" applyNumberFormat="1" applyFont="1" applyFill="1" applyBorder="1" applyAlignment="1">
      <alignment horizontal="center" vertical="center" wrapText="1"/>
    </xf>
    <xf numFmtId="0" fontId="11" fillId="0" borderId="22" xfId="0" applyFont="1" applyBorder="1" applyAlignment="1">
      <alignment vertical="top" wrapText="1"/>
    </xf>
    <xf numFmtId="0" fontId="11" fillId="0" borderId="9" xfId="0" applyFont="1" applyBorder="1" applyAlignment="1">
      <alignment vertical="top" wrapText="1"/>
    </xf>
    <xf numFmtId="0" fontId="11" fillId="0" borderId="9" xfId="0" applyFont="1" applyBorder="1" applyAlignment="1">
      <alignment horizontal="center" vertical="center" wrapText="1"/>
    </xf>
    <xf numFmtId="3" fontId="11" fillId="0" borderId="9" xfId="0" applyNumberFormat="1" applyFont="1" applyBorder="1" applyAlignment="1">
      <alignment horizontal="center" vertical="center" wrapText="1"/>
    </xf>
    <xf numFmtId="3" fontId="4" fillId="0" borderId="7" xfId="0" applyNumberFormat="1" applyFont="1" applyBorder="1" applyAlignment="1">
      <alignment horizontal="center" vertical="center" wrapText="1"/>
    </xf>
    <xf numFmtId="4" fontId="4" fillId="0" borderId="7" xfId="0" applyNumberFormat="1" applyFont="1" applyBorder="1" applyAlignment="1">
      <alignment horizontal="center" vertical="center" wrapText="1"/>
    </xf>
    <xf numFmtId="0" fontId="5" fillId="0" borderId="0" xfId="0" applyFont="1"/>
    <xf numFmtId="0" fontId="2" fillId="0" borderId="7" xfId="0" applyFont="1" applyBorder="1" applyAlignment="1">
      <alignment vertical="top" wrapText="1"/>
    </xf>
    <xf numFmtId="4" fontId="1" fillId="0" borderId="19" xfId="0" applyNumberFormat="1" applyFont="1" applyBorder="1" applyAlignment="1">
      <alignment horizontal="center" vertical="center" wrapText="1"/>
    </xf>
    <xf numFmtId="0" fontId="2" fillId="0" borderId="22" xfId="0" applyFont="1" applyBorder="1" applyAlignment="1">
      <alignment vertical="top" wrapText="1"/>
    </xf>
    <xf numFmtId="0" fontId="2" fillId="0" borderId="9" xfId="0" applyFont="1" applyBorder="1" applyAlignment="1">
      <alignment vertical="top" wrapText="1"/>
    </xf>
    <xf numFmtId="0" fontId="2" fillId="0" borderId="9" xfId="0" applyFont="1" applyBorder="1" applyAlignment="1">
      <alignment horizontal="center" vertical="center" wrapText="1"/>
    </xf>
    <xf numFmtId="4" fontId="5" fillId="0" borderId="0" xfId="0" applyNumberFormat="1" applyFont="1"/>
    <xf numFmtId="4" fontId="4" fillId="0" borderId="23" xfId="0" applyNumberFormat="1" applyFont="1" applyBorder="1" applyAlignment="1">
      <alignment horizontal="center" vertical="center" wrapText="1"/>
    </xf>
    <xf numFmtId="4" fontId="4" fillId="0" borderId="19" xfId="0" applyNumberFormat="1" applyFont="1" applyBorder="1" applyAlignment="1">
      <alignment horizontal="center" vertical="center" wrapText="1"/>
    </xf>
    <xf numFmtId="3" fontId="2" fillId="0" borderId="9" xfId="0" applyNumberFormat="1" applyFont="1" applyBorder="1" applyAlignment="1">
      <alignment horizontal="center" vertical="center" wrapText="1"/>
    </xf>
    <xf numFmtId="3" fontId="8" fillId="0" borderId="0" xfId="0" applyNumberFormat="1" applyFont="1"/>
    <xf numFmtId="3" fontId="5" fillId="0" borderId="0" xfId="0" applyNumberFormat="1" applyFont="1"/>
    <xf numFmtId="3" fontId="17" fillId="10" borderId="6" xfId="0" applyNumberFormat="1" applyFont="1" applyFill="1" applyBorder="1" applyAlignment="1">
      <alignment horizontal="center" vertical="center" wrapText="1"/>
    </xf>
    <xf numFmtId="3" fontId="7" fillId="0" borderId="6" xfId="0" applyNumberFormat="1" applyFont="1" applyBorder="1" applyAlignment="1">
      <alignment horizontal="center" wrapText="1"/>
    </xf>
    <xf numFmtId="3" fontId="20" fillId="0" borderId="27" xfId="0" applyNumberFormat="1" applyFont="1" applyBorder="1" applyAlignment="1">
      <alignment horizontal="center" vertical="center" wrapText="1"/>
    </xf>
    <xf numFmtId="0" fontId="18" fillId="0" borderId="6" xfId="0" applyFont="1" applyBorder="1" applyAlignment="1">
      <alignment horizontal="center" vertical="center" wrapText="1"/>
    </xf>
    <xf numFmtId="0" fontId="18" fillId="0" borderId="27" xfId="0" applyFont="1" applyBorder="1" applyAlignment="1">
      <alignment horizontal="center" vertical="center" wrapText="1"/>
    </xf>
    <xf numFmtId="3" fontId="7" fillId="0" borderId="6" xfId="0" applyNumberFormat="1" applyFont="1" applyBorder="1" applyAlignment="1">
      <alignment horizontal="center" vertical="center" wrapText="1"/>
    </xf>
    <xf numFmtId="0" fontId="20" fillId="0" borderId="19" xfId="0" applyFont="1" applyBorder="1" applyAlignment="1">
      <alignment horizontal="center" vertical="center" wrapText="1"/>
    </xf>
    <xf numFmtId="0" fontId="16" fillId="0" borderId="27" xfId="0" applyFont="1" applyBorder="1" applyAlignment="1">
      <alignment vertical="center" wrapText="1"/>
    </xf>
    <xf numFmtId="3" fontId="20" fillId="5" borderId="27" xfId="0" applyNumberFormat="1" applyFont="1" applyFill="1" applyBorder="1" applyAlignment="1">
      <alignment horizontal="center" vertical="center" wrapText="1"/>
    </xf>
    <xf numFmtId="3" fontId="21" fillId="0" borderId="6" xfId="0" applyNumberFormat="1" applyFont="1" applyBorder="1" applyAlignment="1">
      <alignment horizontal="center" vertical="center" wrapText="1"/>
    </xf>
    <xf numFmtId="3" fontId="20" fillId="12" borderId="27" xfId="0" applyNumberFormat="1" applyFont="1" applyFill="1" applyBorder="1" applyAlignment="1">
      <alignment horizontal="center" vertical="center" wrapText="1"/>
    </xf>
    <xf numFmtId="2" fontId="0" fillId="0" borderId="0" xfId="0" applyNumberFormat="1"/>
    <xf numFmtId="3" fontId="20" fillId="5" borderId="19" xfId="0" applyNumberFormat="1" applyFont="1" applyFill="1" applyBorder="1" applyAlignment="1">
      <alignment horizontal="center" vertical="center" wrapText="1"/>
    </xf>
    <xf numFmtId="3" fontId="7" fillId="0" borderId="6" xfId="0" applyNumberFormat="1" applyFont="1" applyBorder="1" applyAlignment="1">
      <alignment horizontal="center"/>
    </xf>
    <xf numFmtId="0" fontId="15" fillId="0" borderId="19" xfId="0" applyFont="1" applyBorder="1" applyAlignment="1">
      <alignment vertical="top" wrapText="1"/>
    </xf>
    <xf numFmtId="0" fontId="15" fillId="0" borderId="15" xfId="0" applyFont="1" applyBorder="1" applyAlignment="1">
      <alignment vertical="top" wrapText="1"/>
    </xf>
    <xf numFmtId="0" fontId="15" fillId="0" borderId="19" xfId="0" applyFont="1" applyBorder="1" applyAlignment="1">
      <alignment horizontal="center" vertical="center" wrapText="1"/>
    </xf>
    <xf numFmtId="3" fontId="15" fillId="0" borderId="19" xfId="0" applyNumberFormat="1" applyFont="1" applyBorder="1" applyAlignment="1">
      <alignment horizontal="center" vertical="center" wrapText="1"/>
    </xf>
    <xf numFmtId="0" fontId="1" fillId="0" borderId="19" xfId="0" applyFont="1" applyBorder="1" applyAlignment="1">
      <alignment horizontal="left" vertical="center" wrapText="1"/>
    </xf>
    <xf numFmtId="3" fontId="24" fillId="5" borderId="6" xfId="0" applyNumberFormat="1" applyFont="1" applyFill="1" applyBorder="1" applyAlignment="1">
      <alignment horizontal="center" vertical="center" wrapText="1"/>
    </xf>
    <xf numFmtId="0" fontId="13" fillId="0" borderId="49" xfId="0" applyFont="1" applyBorder="1" applyAlignment="1">
      <alignment horizontal="center" vertical="center" wrapText="1"/>
    </xf>
    <xf numFmtId="0" fontId="13" fillId="0" borderId="41" xfId="0" applyFont="1" applyBorder="1" applyAlignment="1">
      <alignment horizontal="center" vertical="center" wrapText="1"/>
    </xf>
    <xf numFmtId="3" fontId="22" fillId="0" borderId="6" xfId="0" applyNumberFormat="1" applyFont="1" applyBorder="1" applyAlignment="1">
      <alignment horizontal="center" vertical="center" wrapText="1"/>
    </xf>
    <xf numFmtId="0" fontId="26" fillId="0" borderId="0" xfId="0" applyFont="1" applyAlignment="1">
      <alignment horizontal="center" vertical="center"/>
    </xf>
    <xf numFmtId="3" fontId="26" fillId="0" borderId="0" xfId="0" applyNumberFormat="1" applyFont="1" applyAlignment="1">
      <alignment horizontal="center" vertical="center"/>
    </xf>
    <xf numFmtId="164" fontId="26" fillId="0" borderId="0" xfId="0" applyNumberFormat="1" applyFont="1" applyAlignment="1">
      <alignment horizontal="center" vertical="center"/>
    </xf>
    <xf numFmtId="0" fontId="28" fillId="0" borderId="10" xfId="0" applyFont="1" applyBorder="1" applyAlignment="1">
      <alignment horizontal="center" vertical="center" wrapText="1"/>
    </xf>
    <xf numFmtId="0" fontId="26" fillId="0" borderId="10" xfId="0" applyFont="1" applyBorder="1" applyAlignment="1">
      <alignment horizontal="center" vertical="center" wrapText="1"/>
    </xf>
    <xf numFmtId="0" fontId="28" fillId="0" borderId="41" xfId="0" applyFont="1" applyBorder="1" applyAlignment="1">
      <alignment horizontal="center" vertical="center" wrapText="1"/>
    </xf>
    <xf numFmtId="3" fontId="28" fillId="0" borderId="10" xfId="0" applyNumberFormat="1" applyFont="1" applyBorder="1" applyAlignment="1">
      <alignment horizontal="center" vertical="center" wrapText="1"/>
    </xf>
    <xf numFmtId="0" fontId="28" fillId="0" borderId="10" xfId="0" applyFont="1" applyBorder="1" applyAlignment="1">
      <alignment horizontal="left" vertical="center" wrapText="1"/>
    </xf>
    <xf numFmtId="0" fontId="28" fillId="0" borderId="10" xfId="0" applyFont="1" applyBorder="1" applyAlignment="1">
      <alignment horizontal="justify" vertical="center" wrapText="1"/>
    </xf>
    <xf numFmtId="3" fontId="7" fillId="8" borderId="6" xfId="0" applyNumberFormat="1" applyFont="1" applyFill="1" applyBorder="1" applyAlignment="1">
      <alignment horizontal="center" wrapText="1"/>
    </xf>
    <xf numFmtId="3" fontId="7" fillId="8" borderId="7" xfId="0" applyNumberFormat="1" applyFont="1" applyFill="1" applyBorder="1" applyAlignment="1">
      <alignment horizontal="center"/>
    </xf>
    <xf numFmtId="3" fontId="7" fillId="0" borderId="7" xfId="0" applyNumberFormat="1" applyFont="1" applyBorder="1" applyAlignment="1">
      <alignment horizontal="center"/>
    </xf>
    <xf numFmtId="3" fontId="10" fillId="3" borderId="7" xfId="0" applyNumberFormat="1" applyFont="1" applyFill="1" applyBorder="1" applyAlignment="1">
      <alignment horizontal="center"/>
    </xf>
    <xf numFmtId="0" fontId="2" fillId="0" borderId="15" xfId="0" applyFont="1" applyBorder="1" applyAlignment="1">
      <alignment vertical="top" wrapText="1"/>
    </xf>
    <xf numFmtId="0" fontId="8" fillId="0" borderId="0" xfId="0" applyFont="1" applyAlignment="1">
      <alignment wrapText="1"/>
    </xf>
    <xf numFmtId="0" fontId="6" fillId="0" borderId="2" xfId="0" applyFont="1" applyBorder="1" applyAlignment="1">
      <alignment wrapText="1"/>
    </xf>
    <xf numFmtId="0" fontId="12" fillId="0" borderId="6" xfId="0" applyFont="1" applyBorder="1" applyAlignment="1">
      <alignment wrapText="1"/>
    </xf>
    <xf numFmtId="0" fontId="6" fillId="0" borderId="6" xfId="0" applyFont="1" applyBorder="1" applyAlignment="1">
      <alignment wrapText="1"/>
    </xf>
    <xf numFmtId="0" fontId="12" fillId="2" borderId="6" xfId="0" applyFont="1" applyFill="1" applyBorder="1" applyAlignment="1">
      <alignment wrapText="1"/>
    </xf>
    <xf numFmtId="0" fontId="12" fillId="3" borderId="6" xfId="0" applyFont="1" applyFill="1" applyBorder="1" applyAlignment="1">
      <alignment wrapText="1"/>
    </xf>
    <xf numFmtId="0" fontId="2" fillId="5" borderId="6" xfId="0" applyFont="1" applyFill="1" applyBorder="1" applyAlignment="1">
      <alignment wrapText="1"/>
    </xf>
    <xf numFmtId="0" fontId="13" fillId="0" borderId="49" xfId="0" applyFont="1" applyBorder="1" applyAlignment="1">
      <alignment horizontal="left" vertical="center" wrapText="1"/>
    </xf>
    <xf numFmtId="0" fontId="13" fillId="0" borderId="41" xfId="0" applyFont="1" applyBorder="1" applyAlignment="1">
      <alignment horizontal="left" vertical="center" wrapText="1"/>
    </xf>
    <xf numFmtId="0" fontId="1" fillId="0" borderId="39" xfId="0" applyFont="1" applyBorder="1" applyAlignment="1">
      <alignment horizontal="center" vertical="top" wrapText="1"/>
    </xf>
    <xf numFmtId="0" fontId="1" fillId="0" borderId="40" xfId="0" applyFont="1" applyBorder="1" applyAlignment="1">
      <alignment horizontal="center" vertical="top" wrapText="1"/>
    </xf>
    <xf numFmtId="0" fontId="14" fillId="0" borderId="19" xfId="0" applyFont="1" applyBorder="1" applyAlignment="1">
      <alignment wrapText="1"/>
    </xf>
    <xf numFmtId="0" fontId="6" fillId="0" borderId="9" xfId="0" applyFont="1" applyBorder="1" applyAlignment="1">
      <alignment wrapText="1"/>
    </xf>
    <xf numFmtId="0" fontId="6" fillId="0" borderId="1" xfId="0" applyFont="1" applyBorder="1" applyAlignment="1">
      <alignment wrapText="1"/>
    </xf>
    <xf numFmtId="0" fontId="12" fillId="0" borderId="5" xfId="0" applyFont="1" applyBorder="1"/>
    <xf numFmtId="0" fontId="6" fillId="0" borderId="5" xfId="0" applyFont="1" applyBorder="1"/>
    <xf numFmtId="0" fontId="12" fillId="0" borderId="5" xfId="0" applyFont="1" applyBorder="1" applyAlignment="1">
      <alignment horizontal="center"/>
    </xf>
    <xf numFmtId="0" fontId="6" fillId="0" borderId="8" xfId="0" applyFont="1" applyBorder="1"/>
    <xf numFmtId="3" fontId="29" fillId="6" borderId="6" xfId="0" applyNumberFormat="1" applyFont="1" applyFill="1" applyBorder="1" applyAlignment="1">
      <alignment horizontal="center" vertical="center" wrapText="1"/>
    </xf>
    <xf numFmtId="0" fontId="28" fillId="6" borderId="6" xfId="0" applyFont="1" applyFill="1" applyBorder="1" applyAlignment="1">
      <alignment horizontal="center" vertical="center" wrapText="1"/>
    </xf>
    <xf numFmtId="0" fontId="28" fillId="0" borderId="0" xfId="0" applyFont="1"/>
    <xf numFmtId="0" fontId="35" fillId="0" borderId="15" xfId="0" applyFont="1" applyBorder="1" applyAlignment="1">
      <alignment horizontal="center" vertical="center" wrapText="1"/>
    </xf>
    <xf numFmtId="0" fontId="28" fillId="0" borderId="27" xfId="0" applyFont="1" applyBorder="1" applyAlignment="1">
      <alignment vertical="top" wrapText="1"/>
    </xf>
    <xf numFmtId="0" fontId="28" fillId="0" borderId="6" xfId="0" applyFont="1" applyBorder="1" applyAlignment="1">
      <alignment vertical="top" wrapText="1"/>
    </xf>
    <xf numFmtId="3" fontId="29" fillId="0" borderId="6" xfId="0" applyNumberFormat="1" applyFont="1" applyBorder="1" applyAlignment="1">
      <alignment horizontal="center" wrapText="1"/>
    </xf>
    <xf numFmtId="3" fontId="29" fillId="0" borderId="6" xfId="0" applyNumberFormat="1" applyFont="1" applyBorder="1" applyAlignment="1">
      <alignment horizontal="center" vertical="center" wrapText="1"/>
    </xf>
    <xf numFmtId="0" fontId="28" fillId="0" borderId="31" xfId="0" applyFont="1" applyBorder="1" applyAlignment="1">
      <alignment vertical="top" wrapText="1"/>
    </xf>
    <xf numFmtId="0" fontId="28" fillId="0" borderId="24" xfId="0" applyFont="1" applyBorder="1" applyAlignment="1">
      <alignment vertical="top" wrapText="1"/>
    </xf>
    <xf numFmtId="0" fontId="28" fillId="0" borderId="19" xfId="0" applyFont="1" applyBorder="1" applyAlignment="1">
      <alignment horizontal="left" vertical="center" wrapText="1"/>
    </xf>
    <xf numFmtId="0" fontId="28" fillId="0" borderId="19" xfId="0" applyFont="1" applyBorder="1" applyAlignment="1">
      <alignment vertical="top" wrapText="1"/>
    </xf>
    <xf numFmtId="0" fontId="28" fillId="0" borderId="19" xfId="0" applyFont="1" applyBorder="1" applyAlignment="1">
      <alignment vertical="top"/>
    </xf>
    <xf numFmtId="0" fontId="28" fillId="0" borderId="15" xfId="0" applyFont="1" applyBorder="1" applyAlignment="1">
      <alignment vertical="top" wrapText="1"/>
    </xf>
    <xf numFmtId="0" fontId="28" fillId="0" borderId="19" xfId="0" applyFont="1" applyBorder="1" applyAlignment="1">
      <alignment horizontal="center" wrapText="1"/>
    </xf>
    <xf numFmtId="0" fontId="2" fillId="0" borderId="19" xfId="0" applyFont="1" applyBorder="1" applyAlignment="1">
      <alignment horizontal="center" vertical="center" wrapText="1"/>
    </xf>
    <xf numFmtId="0" fontId="26" fillId="0" borderId="0" xfId="0" applyFont="1"/>
    <xf numFmtId="16" fontId="29" fillId="7" borderId="5" xfId="0" applyNumberFormat="1" applyFont="1" applyFill="1" applyBorder="1" applyAlignment="1">
      <alignment horizontal="center" vertical="center" wrapText="1"/>
    </xf>
    <xf numFmtId="0" fontId="29" fillId="7" borderId="6" xfId="0" applyFont="1" applyFill="1" applyBorder="1" applyAlignment="1">
      <alignment horizontal="center" vertical="center" wrapText="1"/>
    </xf>
    <xf numFmtId="14" fontId="29" fillId="6" borderId="5" xfId="0" applyNumberFormat="1" applyFont="1" applyFill="1" applyBorder="1" applyAlignment="1">
      <alignment horizontal="center" vertical="center" wrapText="1"/>
    </xf>
    <xf numFmtId="0" fontId="1" fillId="0" borderId="27" xfId="0" applyFont="1" applyBorder="1" applyAlignment="1">
      <alignment horizontal="left" vertical="center" wrapText="1"/>
    </xf>
    <xf numFmtId="3" fontId="34" fillId="7" borderId="6" xfId="0" applyNumberFormat="1" applyFont="1" applyFill="1" applyBorder="1" applyAlignment="1">
      <alignment horizontal="center" vertical="center" wrapText="1"/>
    </xf>
    <xf numFmtId="3" fontId="40" fillId="6" borderId="6" xfId="0" applyNumberFormat="1" applyFont="1" applyFill="1" applyBorder="1" applyAlignment="1">
      <alignment horizontal="center" vertical="center" wrapText="1"/>
    </xf>
    <xf numFmtId="14" fontId="40" fillId="6" borderId="5" xfId="0" applyNumberFormat="1" applyFont="1" applyFill="1" applyBorder="1" applyAlignment="1">
      <alignment horizontal="center" vertical="center" wrapText="1"/>
    </xf>
    <xf numFmtId="16" fontId="41" fillId="7" borderId="5" xfId="0" applyNumberFormat="1" applyFont="1" applyFill="1" applyBorder="1" applyAlignment="1">
      <alignment horizontal="center" vertical="center" wrapText="1"/>
    </xf>
    <xf numFmtId="3" fontId="41" fillId="7" borderId="6" xfId="0" applyNumberFormat="1" applyFont="1" applyFill="1" applyBorder="1" applyAlignment="1">
      <alignment horizontal="center" vertical="center" wrapText="1"/>
    </xf>
    <xf numFmtId="16" fontId="34" fillId="7" borderId="5" xfId="0" applyNumberFormat="1" applyFont="1" applyFill="1" applyBorder="1" applyAlignment="1">
      <alignment horizontal="center" vertical="center" wrapText="1"/>
    </xf>
    <xf numFmtId="0" fontId="35" fillId="7" borderId="6" xfId="0" applyFont="1" applyFill="1" applyBorder="1" applyAlignment="1">
      <alignment horizontal="center" vertical="center" wrapText="1"/>
    </xf>
    <xf numFmtId="0" fontId="17" fillId="0" borderId="19" xfId="0" applyFont="1" applyBorder="1" applyAlignment="1">
      <alignment horizontal="center" vertical="center" wrapText="1"/>
    </xf>
    <xf numFmtId="0" fontId="17" fillId="0" borderId="14" xfId="0" applyFont="1" applyBorder="1" applyAlignment="1">
      <alignment horizontal="center" vertical="center" wrapText="1"/>
    </xf>
    <xf numFmtId="1" fontId="5" fillId="0" borderId="0" xfId="0" applyNumberFormat="1" applyFont="1"/>
    <xf numFmtId="1" fontId="4" fillId="0" borderId="7" xfId="0" applyNumberFormat="1" applyFont="1" applyBorder="1" applyAlignment="1">
      <alignment horizontal="center" vertical="top" wrapText="1"/>
    </xf>
    <xf numFmtId="1" fontId="2" fillId="0" borderId="7" xfId="0" applyNumberFormat="1" applyFont="1" applyBorder="1" applyAlignment="1">
      <alignment vertical="top" wrapText="1"/>
    </xf>
    <xf numFmtId="1" fontId="1" fillId="0" borderId="7" xfId="0" applyNumberFormat="1" applyFont="1" applyBorder="1" applyAlignment="1">
      <alignment horizontal="center" vertical="center" wrapText="1"/>
    </xf>
    <xf numFmtId="1" fontId="1" fillId="0" borderId="10" xfId="0" applyNumberFormat="1" applyFont="1" applyBorder="1" applyAlignment="1">
      <alignment horizontal="center" vertical="center" wrapText="1"/>
    </xf>
    <xf numFmtId="1" fontId="35" fillId="7" borderId="6" xfId="0" applyNumberFormat="1" applyFont="1" applyFill="1" applyBorder="1" applyAlignment="1">
      <alignment horizontal="center" vertical="center" wrapText="1"/>
    </xf>
    <xf numFmtId="1" fontId="28" fillId="6" borderId="6" xfId="0" applyNumberFormat="1" applyFont="1" applyFill="1" applyBorder="1" applyAlignment="1">
      <alignment horizontal="center" vertical="center" wrapText="1"/>
    </xf>
    <xf numFmtId="1" fontId="29" fillId="7" borderId="6" xfId="0" applyNumberFormat="1" applyFont="1" applyFill="1" applyBorder="1" applyAlignment="1">
      <alignment horizontal="center" vertical="center" wrapText="1"/>
    </xf>
    <xf numFmtId="0" fontId="28" fillId="0" borderId="5" xfId="0" applyFont="1" applyBorder="1" applyAlignment="1">
      <alignment horizontal="center" vertical="center" wrapText="1"/>
    </xf>
    <xf numFmtId="0" fontId="28" fillId="0" borderId="19" xfId="0" applyFont="1" applyBorder="1" applyAlignment="1">
      <alignment horizontal="center" vertical="center" wrapText="1"/>
    </xf>
    <xf numFmtId="14" fontId="2" fillId="0" borderId="19" xfId="0" applyNumberFormat="1" applyFont="1" applyBorder="1" applyAlignment="1">
      <alignment horizontal="center" vertical="center" wrapText="1"/>
    </xf>
    <xf numFmtId="1" fontId="1" fillId="0" borderId="6" xfId="0" applyNumberFormat="1" applyFont="1" applyBorder="1" applyAlignment="1">
      <alignment horizontal="center" vertical="center" wrapText="1"/>
    </xf>
    <xf numFmtId="3" fontId="29" fillId="5" borderId="27" xfId="0" applyNumberFormat="1" applyFont="1" applyFill="1" applyBorder="1" applyAlignment="1">
      <alignment horizontal="center" vertical="center" wrapText="1"/>
    </xf>
    <xf numFmtId="1" fontId="8" fillId="0" borderId="0" xfId="0" applyNumberFormat="1" applyFont="1"/>
    <xf numFmtId="1" fontId="11" fillId="0" borderId="7" xfId="0" applyNumberFormat="1" applyFont="1" applyBorder="1" applyAlignment="1">
      <alignment vertical="top" wrapText="1"/>
    </xf>
    <xf numFmtId="1" fontId="1" fillId="0" borderId="19" xfId="0" applyNumberFormat="1" applyFont="1" applyBorder="1" applyAlignment="1">
      <alignment horizontal="center" vertical="center" wrapText="1"/>
    </xf>
    <xf numFmtId="0" fontId="18" fillId="0" borderId="66" xfId="0" applyFont="1" applyBorder="1" applyAlignment="1">
      <alignment wrapText="1"/>
    </xf>
    <xf numFmtId="0" fontId="18" fillId="0" borderId="34" xfId="0" applyFont="1" applyBorder="1" applyAlignment="1">
      <alignment wrapText="1"/>
    </xf>
    <xf numFmtId="0" fontId="52" fillId="0" borderId="66" xfId="0" applyFont="1" applyBorder="1" applyAlignment="1">
      <alignment wrapText="1"/>
    </xf>
    <xf numFmtId="0" fontId="52" fillId="0" borderId="34" xfId="0" applyFont="1" applyBorder="1" applyAlignment="1">
      <alignment wrapText="1"/>
    </xf>
    <xf numFmtId="0" fontId="52" fillId="0" borderId="67" xfId="0" applyFont="1" applyBorder="1" applyAlignment="1">
      <alignment wrapText="1"/>
    </xf>
    <xf numFmtId="0" fontId="18" fillId="0" borderId="69" xfId="0" applyFont="1" applyBorder="1" applyAlignment="1">
      <alignment wrapText="1"/>
    </xf>
    <xf numFmtId="0" fontId="18" fillId="0" borderId="72" xfId="0" applyFont="1" applyBorder="1" applyAlignment="1">
      <alignment wrapText="1"/>
    </xf>
    <xf numFmtId="0" fontId="18" fillId="0" borderId="36" xfId="0" applyFont="1" applyBorder="1" applyAlignment="1">
      <alignment wrapText="1"/>
    </xf>
    <xf numFmtId="0" fontId="52" fillId="7" borderId="34" xfId="0" applyFont="1" applyFill="1" applyBorder="1" applyAlignment="1">
      <alignment wrapText="1"/>
    </xf>
    <xf numFmtId="0" fontId="52" fillId="7" borderId="67" xfId="0" applyFont="1" applyFill="1" applyBorder="1" applyAlignment="1">
      <alignment wrapText="1"/>
    </xf>
    <xf numFmtId="0" fontId="52" fillId="6" borderId="34" xfId="0" applyFont="1" applyFill="1" applyBorder="1" applyAlignment="1">
      <alignment wrapText="1"/>
    </xf>
    <xf numFmtId="0" fontId="52" fillId="6" borderId="67" xfId="0" applyFont="1" applyFill="1" applyBorder="1" applyAlignment="1">
      <alignment wrapText="1"/>
    </xf>
    <xf numFmtId="0" fontId="52" fillId="0" borderId="67" xfId="0" applyFont="1" applyBorder="1" applyAlignment="1">
      <alignment horizontal="center" vertical="center" wrapText="1"/>
    </xf>
    <xf numFmtId="0" fontId="52" fillId="0" borderId="69" xfId="0" applyFont="1" applyBorder="1" applyAlignment="1">
      <alignment wrapText="1"/>
    </xf>
    <xf numFmtId="3" fontId="52" fillId="0" borderId="75" xfId="0" quotePrefix="1" applyNumberFormat="1" applyFont="1" applyBorder="1" applyAlignment="1">
      <alignment horizontal="center" vertical="center" wrapText="1"/>
    </xf>
    <xf numFmtId="3" fontId="52" fillId="0" borderId="56" xfId="0" quotePrefix="1" applyNumberFormat="1" applyFont="1" applyBorder="1" applyAlignment="1">
      <alignment horizontal="center" vertical="center" wrapText="1"/>
    </xf>
    <xf numFmtId="3" fontId="52" fillId="0" borderId="76" xfId="0" quotePrefix="1" applyNumberFormat="1" applyFont="1" applyBorder="1" applyAlignment="1">
      <alignment horizontal="center" vertical="center" wrapText="1"/>
    </xf>
    <xf numFmtId="0" fontId="18" fillId="0" borderId="79" xfId="0" applyFont="1" applyBorder="1" applyAlignment="1">
      <alignment wrapText="1"/>
    </xf>
    <xf numFmtId="0" fontId="39" fillId="0" borderId="42" xfId="0" applyFont="1" applyBorder="1" applyAlignment="1">
      <alignment horizontal="center" wrapText="1"/>
    </xf>
    <xf numFmtId="0" fontId="51" fillId="0" borderId="66" xfId="0" applyFont="1" applyBorder="1" applyAlignment="1">
      <alignment horizontal="center" vertical="center" wrapText="1"/>
    </xf>
    <xf numFmtId="0" fontId="51" fillId="0" borderId="34" xfId="0" applyFont="1" applyBorder="1" applyAlignment="1">
      <alignment horizontal="center" vertical="center" wrapText="1"/>
    </xf>
    <xf numFmtId="0" fontId="51" fillId="0" borderId="69" xfId="0" applyFont="1" applyBorder="1" applyAlignment="1">
      <alignment horizontal="center" vertical="center" wrapText="1"/>
    </xf>
    <xf numFmtId="0" fontId="51" fillId="0" borderId="42" xfId="0" applyFont="1" applyBorder="1" applyAlignment="1">
      <alignment horizontal="center" vertical="center" wrapText="1"/>
    </xf>
    <xf numFmtId="0" fontId="51" fillId="0" borderId="53" xfId="0" applyFont="1" applyBorder="1" applyAlignment="1">
      <alignment horizontal="center" vertical="center" wrapText="1"/>
    </xf>
    <xf numFmtId="0" fontId="51" fillId="0" borderId="54" xfId="0" applyFont="1" applyBorder="1" applyAlignment="1">
      <alignment horizontal="center" vertical="center" wrapText="1"/>
    </xf>
    <xf numFmtId="0" fontId="52" fillId="7" borderId="78" xfId="0" applyFont="1" applyFill="1" applyBorder="1" applyAlignment="1">
      <alignment wrapText="1"/>
    </xf>
    <xf numFmtId="0" fontId="52" fillId="6" borderId="77" xfId="0" applyFont="1" applyFill="1" applyBorder="1" applyAlignment="1">
      <alignment wrapText="1"/>
    </xf>
    <xf numFmtId="0" fontId="18" fillId="0" borderId="80" xfId="0" applyFont="1" applyBorder="1" applyAlignment="1">
      <alignment wrapText="1"/>
    </xf>
    <xf numFmtId="0" fontId="18" fillId="0" borderId="0" xfId="0" applyFont="1" applyAlignment="1">
      <alignment wrapText="1"/>
    </xf>
    <xf numFmtId="0" fontId="39" fillId="0" borderId="32" xfId="0" applyFont="1" applyBorder="1" applyAlignment="1">
      <alignment horizontal="center" wrapText="1"/>
    </xf>
    <xf numFmtId="0" fontId="39" fillId="0" borderId="81" xfId="0" applyFont="1" applyBorder="1" applyAlignment="1">
      <alignment horizontal="center" wrapText="1"/>
    </xf>
    <xf numFmtId="0" fontId="51" fillId="0" borderId="82" xfId="0" applyFont="1" applyBorder="1" applyAlignment="1">
      <alignment horizontal="center" vertical="center" wrapText="1"/>
    </xf>
    <xf numFmtId="0" fontId="51" fillId="0" borderId="83" xfId="0" applyFont="1" applyBorder="1" applyAlignment="1">
      <alignment horizontal="center" vertical="center" wrapText="1"/>
    </xf>
    <xf numFmtId="0" fontId="51" fillId="0" borderId="46" xfId="0" applyFont="1" applyBorder="1" applyAlignment="1">
      <alignment horizontal="center" vertical="center" wrapText="1"/>
    </xf>
    <xf numFmtId="14" fontId="52" fillId="0" borderId="55" xfId="0" applyNumberFormat="1" applyFont="1" applyBorder="1" applyAlignment="1">
      <alignment horizontal="center" vertical="center" wrapText="1"/>
    </xf>
    <xf numFmtId="14" fontId="52" fillId="0" borderId="34" xfId="0" applyNumberFormat="1" applyFont="1" applyBorder="1" applyAlignment="1">
      <alignment wrapText="1"/>
    </xf>
    <xf numFmtId="14" fontId="52" fillId="0" borderId="34" xfId="0" applyNumberFormat="1" applyFont="1" applyBorder="1" applyAlignment="1">
      <alignment horizontal="center" vertical="center" wrapText="1"/>
    </xf>
    <xf numFmtId="0" fontId="52" fillId="0" borderId="34" xfId="0" applyFont="1" applyBorder="1" applyAlignment="1">
      <alignment horizontal="center" vertical="center" wrapText="1"/>
    </xf>
    <xf numFmtId="3" fontId="52" fillId="0" borderId="72" xfId="0" quotePrefix="1" applyNumberFormat="1" applyFont="1" applyBorder="1" applyAlignment="1">
      <alignment horizontal="center" vertical="center" wrapText="1"/>
    </xf>
    <xf numFmtId="3" fontId="52" fillId="0" borderId="36" xfId="0" quotePrefix="1" applyNumberFormat="1" applyFont="1" applyBorder="1" applyAlignment="1">
      <alignment horizontal="center" vertical="center" wrapText="1"/>
    </xf>
    <xf numFmtId="3" fontId="52" fillId="0" borderId="73" xfId="0" quotePrefix="1" applyNumberFormat="1" applyFont="1" applyBorder="1" applyAlignment="1">
      <alignment horizontal="center" vertical="center" wrapText="1"/>
    </xf>
    <xf numFmtId="3" fontId="20" fillId="6" borderId="74" xfId="0" quotePrefix="1" applyNumberFormat="1" applyFont="1" applyFill="1" applyBorder="1" applyAlignment="1">
      <alignment horizontal="center" vertical="center" wrapText="1"/>
    </xf>
    <xf numFmtId="3" fontId="53" fillId="7" borderId="70" xfId="0" quotePrefix="1" applyNumberFormat="1" applyFont="1" applyFill="1" applyBorder="1" applyAlignment="1">
      <alignment horizontal="center" vertical="center" wrapText="1"/>
    </xf>
    <xf numFmtId="3" fontId="53" fillId="7" borderId="34" xfId="0" quotePrefix="1" applyNumberFormat="1" applyFont="1" applyFill="1" applyBorder="1" applyAlignment="1">
      <alignment horizontal="center" vertical="center" wrapText="1"/>
    </xf>
    <xf numFmtId="3" fontId="53" fillId="7" borderId="71" xfId="0" quotePrefix="1" applyNumberFormat="1" applyFont="1" applyFill="1" applyBorder="1" applyAlignment="1">
      <alignment horizontal="center" vertical="center" wrapText="1"/>
    </xf>
    <xf numFmtId="0" fontId="52" fillId="6" borderId="55" xfId="0" applyFont="1" applyFill="1" applyBorder="1" applyAlignment="1">
      <alignment wrapText="1"/>
    </xf>
    <xf numFmtId="3" fontId="52" fillId="0" borderId="84" xfId="0" quotePrefix="1" applyNumberFormat="1" applyFont="1" applyBorder="1" applyAlignment="1">
      <alignment horizontal="center" vertical="center" wrapText="1"/>
    </xf>
    <xf numFmtId="3" fontId="52" fillId="0" borderId="85" xfId="0" quotePrefix="1" applyNumberFormat="1" applyFont="1" applyBorder="1" applyAlignment="1">
      <alignment horizontal="center" vertical="center" wrapText="1"/>
    </xf>
    <xf numFmtId="3" fontId="52" fillId="0" borderId="86" xfId="0" quotePrefix="1" applyNumberFormat="1" applyFont="1" applyBorder="1" applyAlignment="1">
      <alignment horizontal="center" vertical="center" wrapText="1"/>
    </xf>
    <xf numFmtId="3" fontId="20" fillId="6" borderId="42" xfId="0" quotePrefix="1" applyNumberFormat="1" applyFont="1" applyFill="1" applyBorder="1" applyAlignment="1">
      <alignment horizontal="center" vertical="center" wrapText="1"/>
    </xf>
    <xf numFmtId="3" fontId="20" fillId="6" borderId="53" xfId="0" quotePrefix="1" applyNumberFormat="1" applyFont="1" applyFill="1" applyBorder="1" applyAlignment="1">
      <alignment horizontal="center" vertical="center" wrapText="1"/>
    </xf>
    <xf numFmtId="3" fontId="20" fillId="6" borderId="54" xfId="0" quotePrefix="1" applyNumberFormat="1" applyFont="1" applyFill="1" applyBorder="1" applyAlignment="1">
      <alignment horizontal="center" vertical="center" wrapText="1"/>
    </xf>
    <xf numFmtId="0" fontId="52" fillId="0" borderId="68" xfId="0" applyFont="1" applyBorder="1" applyAlignment="1">
      <alignment horizontal="center" vertical="center" wrapText="1"/>
    </xf>
    <xf numFmtId="0" fontId="52" fillId="0" borderId="34" xfId="0" applyFont="1" applyBorder="1" applyAlignment="1">
      <alignment vertical="center" wrapText="1"/>
    </xf>
    <xf numFmtId="14" fontId="52" fillId="0" borderId="87" xfId="0" applyNumberFormat="1" applyFont="1" applyBorder="1" applyAlignment="1">
      <alignment horizontal="center" vertical="center" wrapText="1"/>
    </xf>
    <xf numFmtId="0" fontId="52" fillId="0" borderId="88" xfId="0" applyFont="1" applyBorder="1" applyAlignment="1">
      <alignment horizontal="center" vertical="center" wrapText="1"/>
    </xf>
    <xf numFmtId="0" fontId="52" fillId="6" borderId="13" xfId="0" applyFont="1" applyFill="1" applyBorder="1" applyAlignment="1">
      <alignment wrapText="1"/>
    </xf>
    <xf numFmtId="0" fontId="52" fillId="6" borderId="53" xfId="0" applyFont="1" applyFill="1" applyBorder="1" applyAlignment="1">
      <alignment wrapText="1"/>
    </xf>
    <xf numFmtId="0" fontId="52" fillId="6" borderId="89" xfId="0" applyFont="1" applyFill="1" applyBorder="1" applyAlignment="1">
      <alignment wrapText="1"/>
    </xf>
    <xf numFmtId="0" fontId="52" fillId="6" borderId="54" xfId="0" applyFont="1" applyFill="1" applyBorder="1" applyAlignment="1">
      <alignment wrapText="1"/>
    </xf>
    <xf numFmtId="0" fontId="52" fillId="0" borderId="36" xfId="0" applyFont="1" applyBorder="1" applyAlignment="1">
      <alignment wrapText="1"/>
    </xf>
    <xf numFmtId="0" fontId="51" fillId="13" borderId="55" xfId="0" applyFont="1" applyFill="1" applyBorder="1" applyAlignment="1">
      <alignment horizontal="center" vertical="center" wrapText="1"/>
    </xf>
    <xf numFmtId="0" fontId="18" fillId="13" borderId="55" xfId="0" applyFont="1" applyFill="1" applyBorder="1" applyAlignment="1">
      <alignment wrapText="1"/>
    </xf>
    <xf numFmtId="0" fontId="18" fillId="13" borderId="0" xfId="0" applyFont="1" applyFill="1" applyAlignment="1">
      <alignment wrapText="1"/>
    </xf>
    <xf numFmtId="16" fontId="41" fillId="13" borderId="23" xfId="0" applyNumberFormat="1" applyFont="1" applyFill="1" applyBorder="1" applyAlignment="1">
      <alignment horizontal="center" vertical="center" wrapText="1"/>
    </xf>
    <xf numFmtId="14" fontId="40" fillId="13" borderId="23" xfId="0" applyNumberFormat="1" applyFont="1" applyFill="1" applyBorder="1" applyAlignment="1">
      <alignment horizontal="center" vertical="center" wrapText="1"/>
    </xf>
    <xf numFmtId="0" fontId="52" fillId="13" borderId="55" xfId="0" applyFont="1" applyFill="1" applyBorder="1" applyAlignment="1">
      <alignment wrapText="1"/>
    </xf>
    <xf numFmtId="0" fontId="1" fillId="0" borderId="6" xfId="0" applyFont="1" applyBorder="1" applyAlignment="1">
      <alignment horizontal="left" vertical="center" wrapText="1"/>
    </xf>
    <xf numFmtId="0" fontId="51" fillId="0" borderId="19" xfId="0" applyFont="1" applyBorder="1" applyAlignment="1">
      <alignment horizontal="center" vertical="center" wrapText="1"/>
    </xf>
    <xf numFmtId="0" fontId="43" fillId="0" borderId="0" xfId="0" applyFont="1"/>
    <xf numFmtId="0" fontId="52" fillId="0" borderId="34" xfId="0" applyFont="1" applyBorder="1" applyAlignment="1">
      <alignment horizontal="left" wrapText="1"/>
    </xf>
    <xf numFmtId="0" fontId="0" fillId="13" borderId="0" xfId="0" applyFill="1"/>
    <xf numFmtId="4" fontId="0" fillId="0" borderId="0" xfId="0" applyNumberFormat="1"/>
    <xf numFmtId="1" fontId="52" fillId="0" borderId="67" xfId="0" applyNumberFormat="1" applyFont="1" applyBorder="1" applyAlignment="1">
      <alignment horizontal="center" vertical="center" wrapText="1"/>
    </xf>
    <xf numFmtId="0" fontId="52" fillId="0" borderId="96" xfId="0" applyFont="1" applyBorder="1" applyAlignment="1">
      <alignment wrapText="1"/>
    </xf>
    <xf numFmtId="0" fontId="52" fillId="0" borderId="35" xfId="0" applyFont="1" applyBorder="1" applyAlignment="1">
      <alignment wrapText="1"/>
    </xf>
    <xf numFmtId="0" fontId="52" fillId="0" borderId="97" xfId="0" applyFont="1" applyBorder="1" applyAlignment="1">
      <alignment wrapText="1"/>
    </xf>
    <xf numFmtId="14" fontId="40" fillId="6" borderId="19" xfId="0" applyNumberFormat="1" applyFont="1" applyFill="1" applyBorder="1" applyAlignment="1">
      <alignment horizontal="center" vertical="center" wrapText="1"/>
    </xf>
    <xf numFmtId="14" fontId="52" fillId="10" borderId="34" xfId="0" applyNumberFormat="1" applyFont="1" applyFill="1" applyBorder="1" applyAlignment="1">
      <alignment horizontal="center" vertical="center" wrapText="1"/>
    </xf>
    <xf numFmtId="14" fontId="52" fillId="10" borderId="34" xfId="0" applyNumberFormat="1" applyFont="1" applyFill="1" applyBorder="1" applyAlignment="1">
      <alignment vertical="center" wrapText="1"/>
    </xf>
    <xf numFmtId="14" fontId="52" fillId="10" borderId="55" xfId="0" applyNumberFormat="1" applyFont="1" applyFill="1" applyBorder="1" applyAlignment="1">
      <alignment horizontal="center" vertical="center" wrapText="1"/>
    </xf>
    <xf numFmtId="14" fontId="52" fillId="10" borderId="35" xfId="0" applyNumberFormat="1" applyFont="1" applyFill="1" applyBorder="1" applyAlignment="1">
      <alignment vertical="center" wrapText="1"/>
    </xf>
    <xf numFmtId="3" fontId="53" fillId="13" borderId="42" xfId="0" quotePrefix="1" applyNumberFormat="1" applyFont="1" applyFill="1" applyBorder="1" applyAlignment="1">
      <alignment horizontal="center" vertical="center" wrapText="1"/>
    </xf>
    <xf numFmtId="3" fontId="20" fillId="6" borderId="19" xfId="0" quotePrefix="1" applyNumberFormat="1" applyFont="1" applyFill="1" applyBorder="1" applyAlignment="1">
      <alignment horizontal="center" vertical="center" wrapText="1"/>
    </xf>
    <xf numFmtId="0" fontId="50" fillId="0" borderId="0" xfId="0" applyFont="1" applyAlignment="1">
      <alignment wrapText="1"/>
    </xf>
    <xf numFmtId="0" fontId="18" fillId="0" borderId="15" xfId="0" applyFont="1" applyBorder="1" applyAlignment="1">
      <alignment wrapText="1"/>
    </xf>
    <xf numFmtId="14" fontId="52" fillId="10" borderId="36" xfId="0" applyNumberFormat="1" applyFont="1" applyFill="1" applyBorder="1" applyAlignment="1">
      <alignment horizontal="center" vertical="center" wrapText="1"/>
    </xf>
    <xf numFmtId="0" fontId="52" fillId="0" borderId="79" xfId="0" applyFont="1" applyBorder="1" applyAlignment="1">
      <alignment wrapText="1"/>
    </xf>
    <xf numFmtId="0" fontId="21" fillId="5" borderId="44" xfId="0" applyFont="1" applyFill="1" applyBorder="1" applyAlignment="1">
      <alignment horizontal="center" vertical="center" wrapText="1"/>
    </xf>
    <xf numFmtId="0" fontId="25" fillId="13" borderId="45" xfId="0" applyFont="1" applyFill="1" applyBorder="1" applyAlignment="1">
      <alignment horizontal="center" vertical="center" wrapText="1"/>
    </xf>
    <xf numFmtId="0" fontId="13" fillId="13" borderId="36" xfId="0" applyFont="1" applyFill="1" applyBorder="1" applyAlignment="1">
      <alignment horizontal="center" vertical="center" wrapText="1"/>
    </xf>
    <xf numFmtId="0" fontId="13" fillId="5" borderId="49" xfId="0" applyFont="1" applyFill="1" applyBorder="1" applyAlignment="1">
      <alignment horizontal="left" vertical="center" wrapText="1"/>
    </xf>
    <xf numFmtId="0" fontId="2" fillId="5" borderId="5" xfId="0" applyFont="1" applyFill="1" applyBorder="1" applyAlignment="1">
      <alignment horizontal="center"/>
    </xf>
    <xf numFmtId="0" fontId="12" fillId="6" borderId="5" xfId="0" applyFont="1" applyFill="1" applyBorder="1" applyAlignment="1">
      <alignment horizontal="center"/>
    </xf>
    <xf numFmtId="0" fontId="12" fillId="9" borderId="5" xfId="0" applyFont="1" applyFill="1" applyBorder="1" applyAlignment="1">
      <alignment horizontal="center"/>
    </xf>
    <xf numFmtId="0" fontId="12" fillId="9" borderId="6" xfId="0" applyFont="1" applyFill="1" applyBorder="1" applyAlignment="1">
      <alignment wrapText="1"/>
    </xf>
    <xf numFmtId="3" fontId="7" fillId="13" borderId="6" xfId="0" applyNumberFormat="1" applyFont="1" applyFill="1" applyBorder="1" applyAlignment="1">
      <alignment horizontal="center" vertical="center" wrapText="1"/>
    </xf>
    <xf numFmtId="3" fontId="7" fillId="13" borderId="6" xfId="0" applyNumberFormat="1" applyFont="1" applyFill="1" applyBorder="1" applyAlignment="1">
      <alignment horizontal="center" wrapText="1"/>
    </xf>
    <xf numFmtId="3" fontId="22" fillId="13" borderId="6" xfId="0" applyNumberFormat="1" applyFont="1" applyFill="1" applyBorder="1" applyAlignment="1">
      <alignment horizontal="center" vertical="center" wrapText="1"/>
    </xf>
    <xf numFmtId="3" fontId="17" fillId="13" borderId="6" xfId="0" applyNumberFormat="1" applyFont="1" applyFill="1" applyBorder="1" applyAlignment="1">
      <alignment horizontal="center" vertical="center" wrapText="1"/>
    </xf>
    <xf numFmtId="1" fontId="7" fillId="13" borderId="6" xfId="0" applyNumberFormat="1" applyFont="1" applyFill="1" applyBorder="1" applyAlignment="1">
      <alignment horizontal="center" vertical="center" wrapText="1"/>
    </xf>
    <xf numFmtId="1" fontId="7" fillId="13" borderId="6" xfId="0" applyNumberFormat="1" applyFont="1" applyFill="1" applyBorder="1" applyAlignment="1">
      <alignment horizontal="center" wrapText="1"/>
    </xf>
    <xf numFmtId="1" fontId="22" fillId="13" borderId="6" xfId="0" applyNumberFormat="1" applyFont="1" applyFill="1" applyBorder="1" applyAlignment="1">
      <alignment horizontal="center" vertical="center" wrapText="1"/>
    </xf>
    <xf numFmtId="1" fontId="17" fillId="13" borderId="6" xfId="0" applyNumberFormat="1" applyFont="1" applyFill="1" applyBorder="1" applyAlignment="1">
      <alignment horizontal="center" vertical="center" wrapText="1"/>
    </xf>
    <xf numFmtId="0" fontId="51" fillId="13" borderId="57" xfId="0" applyFont="1" applyFill="1" applyBorder="1" applyAlignment="1">
      <alignment horizontal="center" vertical="center" wrapText="1"/>
    </xf>
    <xf numFmtId="0" fontId="18" fillId="0" borderId="42" xfId="0" applyFont="1" applyBorder="1" applyAlignment="1">
      <alignment wrapText="1"/>
    </xf>
    <xf numFmtId="0" fontId="18" fillId="13" borderId="57" xfId="0" applyFont="1" applyFill="1" applyBorder="1" applyAlignment="1">
      <alignment wrapText="1"/>
    </xf>
    <xf numFmtId="0" fontId="18" fillId="0" borderId="53" xfId="0" applyFont="1" applyBorder="1" applyAlignment="1">
      <alignment wrapText="1"/>
    </xf>
    <xf numFmtId="0" fontId="18" fillId="0" borderId="54" xfId="0" applyFont="1" applyBorder="1" applyAlignment="1">
      <alignment wrapText="1"/>
    </xf>
    <xf numFmtId="0" fontId="18" fillId="0" borderId="13" xfId="0" applyFont="1" applyBorder="1" applyAlignment="1">
      <alignment wrapText="1"/>
    </xf>
    <xf numFmtId="0" fontId="18" fillId="13" borderId="14" xfId="0" applyFont="1" applyFill="1" applyBorder="1" applyAlignment="1">
      <alignment wrapText="1"/>
    </xf>
    <xf numFmtId="0" fontId="18" fillId="0" borderId="14" xfId="0" applyFont="1" applyBorder="1" applyAlignment="1">
      <alignment wrapText="1"/>
    </xf>
    <xf numFmtId="0" fontId="18" fillId="0" borderId="93" xfId="0" applyFont="1" applyBorder="1" applyAlignment="1">
      <alignment wrapText="1"/>
    </xf>
    <xf numFmtId="0" fontId="18" fillId="0" borderId="103" xfId="0" applyFont="1" applyBorder="1" applyAlignment="1">
      <alignment wrapText="1"/>
    </xf>
    <xf numFmtId="0" fontId="18" fillId="0" borderId="104" xfId="0" applyFont="1" applyBorder="1" applyAlignment="1">
      <alignment wrapText="1"/>
    </xf>
    <xf numFmtId="0" fontId="52" fillId="6" borderId="78" xfId="0" applyFont="1" applyFill="1" applyBorder="1" applyAlignment="1">
      <alignment wrapText="1"/>
    </xf>
    <xf numFmtId="1" fontId="7" fillId="0" borderId="6" xfId="0" applyNumberFormat="1" applyFont="1" applyBorder="1" applyAlignment="1">
      <alignment horizontal="center" wrapText="1"/>
    </xf>
    <xf numFmtId="1" fontId="22" fillId="0" borderId="6" xfId="0" applyNumberFormat="1" applyFont="1" applyBorder="1" applyAlignment="1">
      <alignment horizontal="center" vertical="center" wrapText="1"/>
    </xf>
    <xf numFmtId="0" fontId="52" fillId="13" borderId="59" xfId="0" applyFont="1" applyFill="1" applyBorder="1" applyAlignment="1">
      <alignment wrapText="1"/>
    </xf>
    <xf numFmtId="3" fontId="53" fillId="13" borderId="100" xfId="0" quotePrefix="1" applyNumberFormat="1" applyFont="1" applyFill="1" applyBorder="1" applyAlignment="1">
      <alignment horizontal="center" vertical="center" wrapText="1"/>
    </xf>
    <xf numFmtId="0" fontId="52" fillId="13" borderId="34" xfId="0" applyFont="1" applyFill="1" applyBorder="1" applyAlignment="1">
      <alignment wrapText="1"/>
    </xf>
    <xf numFmtId="0" fontId="14" fillId="0" borderId="23" xfId="0" applyFont="1" applyBorder="1" applyAlignment="1">
      <alignment horizontal="center" vertical="center" wrapText="1"/>
    </xf>
    <xf numFmtId="4" fontId="46" fillId="0" borderId="15" xfId="0" applyNumberFormat="1" applyFont="1" applyBorder="1" applyAlignment="1">
      <alignment horizontal="center" vertical="center" wrapText="1"/>
    </xf>
    <xf numFmtId="0" fontId="46" fillId="0" borderId="15" xfId="0" applyFont="1" applyBorder="1" applyAlignment="1">
      <alignment horizontal="center" vertical="center" wrapText="1"/>
    </xf>
    <xf numFmtId="3" fontId="26" fillId="0" borderId="10" xfId="0" applyNumberFormat="1" applyFont="1" applyBorder="1" applyAlignment="1">
      <alignment horizontal="center" vertical="center" wrapText="1"/>
    </xf>
    <xf numFmtId="4" fontId="28" fillId="0" borderId="10" xfId="0" applyNumberFormat="1" applyFont="1" applyBorder="1" applyAlignment="1">
      <alignment horizontal="center" vertical="center" wrapText="1"/>
    </xf>
    <xf numFmtId="0" fontId="24" fillId="16" borderId="5" xfId="0" applyFont="1" applyFill="1" applyBorder="1" applyAlignment="1">
      <alignment horizontal="center" vertical="center" wrapText="1"/>
    </xf>
    <xf numFmtId="0" fontId="2" fillId="16" borderId="25" xfId="0" applyFont="1" applyFill="1" applyBorder="1" applyAlignment="1">
      <alignment horizontal="center" vertical="center" wrapText="1"/>
    </xf>
    <xf numFmtId="0" fontId="2" fillId="16" borderId="28" xfId="0" applyFont="1" applyFill="1" applyBorder="1" applyAlignment="1">
      <alignment vertical="top" wrapText="1"/>
    </xf>
    <xf numFmtId="0" fontId="2" fillId="16" borderId="25" xfId="0" applyFont="1" applyFill="1" applyBorder="1" applyAlignment="1">
      <alignment vertical="top" wrapText="1"/>
    </xf>
    <xf numFmtId="0" fontId="2" fillId="16" borderId="19" xfId="0" applyFont="1" applyFill="1" applyBorder="1" applyAlignment="1">
      <alignment horizontal="center" vertical="center" wrapText="1"/>
    </xf>
    <xf numFmtId="0" fontId="2" fillId="16" borderId="37" xfId="0" applyFont="1" applyFill="1" applyBorder="1" applyAlignment="1">
      <alignment vertical="top" wrapText="1"/>
    </xf>
    <xf numFmtId="0" fontId="2" fillId="16" borderId="19" xfId="0" applyFont="1" applyFill="1" applyBorder="1" applyAlignment="1">
      <alignment vertical="top" wrapText="1"/>
    </xf>
    <xf numFmtId="0" fontId="2" fillId="16" borderId="32" xfId="0" applyFont="1" applyFill="1" applyBorder="1" applyAlignment="1">
      <alignment vertical="top" wrapText="1"/>
    </xf>
    <xf numFmtId="0" fontId="24" fillId="16" borderId="6" xfId="0" applyFont="1" applyFill="1" applyBorder="1" applyAlignment="1">
      <alignment horizontal="center" vertical="center" wrapText="1"/>
    </xf>
    <xf numFmtId="0" fontId="24" fillId="16" borderId="19" xfId="0" applyFont="1" applyFill="1" applyBorder="1" applyAlignment="1">
      <alignment horizontal="center" vertical="center" wrapText="1"/>
    </xf>
    <xf numFmtId="0" fontId="27" fillId="16" borderId="5" xfId="0" applyFont="1" applyFill="1" applyBorder="1" applyAlignment="1">
      <alignment horizontal="center" vertical="center" wrapText="1"/>
    </xf>
    <xf numFmtId="0" fontId="12" fillId="16" borderId="5" xfId="0" applyFont="1" applyFill="1" applyBorder="1" applyAlignment="1">
      <alignment horizontal="center" vertical="center" wrapText="1"/>
    </xf>
    <xf numFmtId="3" fontId="27" fillId="16" borderId="6" xfId="0" applyNumberFormat="1" applyFont="1" applyFill="1" applyBorder="1" applyAlignment="1">
      <alignment horizontal="center" vertical="center" wrapText="1"/>
    </xf>
    <xf numFmtId="0" fontId="27" fillId="16" borderId="19" xfId="0" applyFont="1" applyFill="1" applyBorder="1" applyAlignment="1">
      <alignment horizontal="center" vertical="center" wrapText="1"/>
    </xf>
    <xf numFmtId="0" fontId="22" fillId="0" borderId="19" xfId="0" applyFont="1" applyBorder="1" applyAlignment="1">
      <alignment horizontal="center" vertical="center" wrapText="1"/>
    </xf>
    <xf numFmtId="0" fontId="22" fillId="0" borderId="58" xfId="0" applyFont="1" applyBorder="1" applyAlignment="1">
      <alignment horizontal="center" vertical="center" wrapText="1"/>
    </xf>
    <xf numFmtId="0" fontId="22" fillId="0" borderId="15" xfId="0" applyFont="1" applyBorder="1" applyAlignment="1">
      <alignment horizontal="center" vertical="center" wrapText="1"/>
    </xf>
    <xf numFmtId="0" fontId="14" fillId="0" borderId="19" xfId="0" applyFont="1" applyBorder="1" applyAlignment="1">
      <alignment horizontal="center" vertical="center" wrapText="1"/>
    </xf>
    <xf numFmtId="0" fontId="24" fillId="16" borderId="13" xfId="0" applyFont="1" applyFill="1" applyBorder="1" applyAlignment="1">
      <alignment horizontal="center" vertical="center" wrapText="1"/>
    </xf>
    <xf numFmtId="0" fontId="17" fillId="0" borderId="27" xfId="0" applyFont="1" applyBorder="1" applyAlignment="1">
      <alignment horizontal="center" vertical="center" wrapText="1"/>
    </xf>
    <xf numFmtId="0" fontId="17" fillId="0" borderId="46"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107" xfId="0" applyFont="1" applyBorder="1" applyAlignment="1">
      <alignment horizontal="center" vertical="center" wrapText="1"/>
    </xf>
    <xf numFmtId="0" fontId="2" fillId="0" borderId="19" xfId="0" applyFont="1" applyBorder="1" applyAlignment="1">
      <alignment horizontal="left" vertical="center" wrapText="1"/>
    </xf>
    <xf numFmtId="0" fontId="2" fillId="0" borderId="27" xfId="0" applyFont="1" applyBorder="1" applyAlignment="1">
      <alignment horizontal="center" vertical="center" wrapText="1"/>
    </xf>
    <xf numFmtId="165" fontId="2" fillId="0" borderId="19" xfId="0" applyNumberFormat="1" applyFont="1" applyBorder="1" applyAlignment="1">
      <alignment horizontal="center" vertical="center" wrapText="1"/>
    </xf>
    <xf numFmtId="0" fontId="2" fillId="0" borderId="26" xfId="0" applyFont="1" applyBorder="1" applyAlignment="1">
      <alignment horizontal="center" vertical="center" wrapText="1"/>
    </xf>
    <xf numFmtId="0" fontId="2" fillId="0" borderId="0" xfId="0" applyFont="1" applyAlignment="1">
      <alignment horizontal="center" vertical="center" wrapText="1"/>
    </xf>
    <xf numFmtId="0" fontId="2" fillId="13" borderId="19" xfId="0" applyFont="1" applyFill="1" applyBorder="1" applyAlignment="1">
      <alignment horizontal="center" vertical="center" wrapText="1"/>
    </xf>
    <xf numFmtId="0" fontId="2" fillId="0" borderId="58" xfId="0" applyFont="1" applyBorder="1" applyAlignment="1">
      <alignment horizontal="center" vertical="center" wrapText="1"/>
    </xf>
    <xf numFmtId="0" fontId="2" fillId="0" borderId="15" xfId="0" applyFont="1" applyBorder="1" applyAlignment="1">
      <alignment horizontal="center" vertical="center" wrapText="1"/>
    </xf>
    <xf numFmtId="0" fontId="27" fillId="16" borderId="13" xfId="0" applyFont="1" applyFill="1" applyBorder="1" applyAlignment="1">
      <alignment horizontal="center" vertical="center" wrapText="1"/>
    </xf>
    <xf numFmtId="0" fontId="28" fillId="0" borderId="29" xfId="0" applyFont="1" applyBorder="1" applyAlignment="1">
      <alignment horizontal="center" vertical="center" wrapText="1"/>
    </xf>
    <xf numFmtId="0" fontId="28" fillId="0" borderId="29" xfId="0" applyFont="1" applyBorder="1" applyAlignment="1">
      <alignment vertical="center" wrapText="1"/>
    </xf>
    <xf numFmtId="0" fontId="13" fillId="0" borderId="0" xfId="0" applyFont="1" applyAlignment="1">
      <alignment horizontal="center" vertical="center" wrapText="1"/>
    </xf>
    <xf numFmtId="14" fontId="14" fillId="0" borderId="19" xfId="0" applyNumberFormat="1" applyFont="1" applyBorder="1" applyAlignment="1">
      <alignment horizontal="center" vertical="center" wrapText="1"/>
    </xf>
    <xf numFmtId="0" fontId="28" fillId="0" borderId="0" xfId="0" applyFont="1" applyAlignment="1">
      <alignment vertical="center" wrapText="1"/>
    </xf>
    <xf numFmtId="1" fontId="7" fillId="0" borderId="14" xfId="0" applyNumberFormat="1" applyFont="1" applyBorder="1" applyAlignment="1">
      <alignment horizontal="center"/>
    </xf>
    <xf numFmtId="1" fontId="7" fillId="0" borderId="6" xfId="0" applyNumberFormat="1" applyFont="1" applyBorder="1" applyAlignment="1">
      <alignment horizontal="center" vertical="center" wrapText="1"/>
    </xf>
    <xf numFmtId="3" fontId="7" fillId="0" borderId="6" xfId="0" applyNumberFormat="1" applyFont="1" applyBorder="1" applyAlignment="1">
      <alignment horizontal="center" vertical="center"/>
    </xf>
    <xf numFmtId="3" fontId="7" fillId="0" borderId="7" xfId="0" applyNumberFormat="1" applyFont="1" applyBorder="1" applyAlignment="1">
      <alignment horizontal="center" vertical="center"/>
    </xf>
    <xf numFmtId="3" fontId="4" fillId="0" borderId="0" xfId="0" applyNumberFormat="1" applyFont="1" applyAlignment="1">
      <alignment horizontal="center" vertical="center" wrapText="1"/>
    </xf>
    <xf numFmtId="4" fontId="4" fillId="0" borderId="0" xfId="0" applyNumberFormat="1" applyFont="1" applyAlignment="1">
      <alignment horizontal="center" vertical="center" wrapText="1"/>
    </xf>
    <xf numFmtId="0" fontId="2" fillId="0" borderId="23" xfId="0" applyFont="1" applyBorder="1" applyAlignment="1">
      <alignment horizontal="center" vertical="center" wrapText="1"/>
    </xf>
    <xf numFmtId="3" fontId="1" fillId="7" borderId="6" xfId="0" applyNumberFormat="1" applyFont="1" applyFill="1" applyBorder="1" applyAlignment="1">
      <alignment horizontal="center" vertical="center" wrapText="1"/>
    </xf>
    <xf numFmtId="3" fontId="1" fillId="7" borderId="27" xfId="0" applyNumberFormat="1" applyFont="1" applyFill="1" applyBorder="1" applyAlignment="1">
      <alignment horizontal="center" vertical="center" wrapText="1"/>
    </xf>
    <xf numFmtId="0" fontId="1" fillId="6" borderId="6" xfId="0" applyFont="1" applyFill="1" applyBorder="1" applyAlignment="1">
      <alignment horizontal="center" vertical="center" wrapText="1"/>
    </xf>
    <xf numFmtId="3" fontId="1" fillId="6" borderId="6" xfId="0" applyNumberFormat="1" applyFont="1" applyFill="1" applyBorder="1" applyAlignment="1">
      <alignment horizontal="center" vertical="center" wrapText="1"/>
    </xf>
    <xf numFmtId="1" fontId="1" fillId="6" borderId="6" xfId="0" applyNumberFormat="1" applyFont="1" applyFill="1" applyBorder="1" applyAlignment="1">
      <alignment horizontal="center" vertical="center" wrapText="1"/>
    </xf>
    <xf numFmtId="166" fontId="14" fillId="0" borderId="19" xfId="0" applyNumberFormat="1" applyFont="1" applyBorder="1" applyAlignment="1">
      <alignment horizontal="center" vertical="center" wrapText="1"/>
    </xf>
    <xf numFmtId="3" fontId="1" fillId="0" borderId="34" xfId="0" applyNumberFormat="1" applyFont="1" applyBorder="1" applyAlignment="1">
      <alignment horizontal="center" vertical="center" wrapText="1"/>
    </xf>
    <xf numFmtId="1" fontId="14" fillId="0" borderId="19" xfId="0" applyNumberFormat="1" applyFont="1" applyBorder="1" applyAlignment="1">
      <alignment horizontal="center" vertical="center" wrapText="1"/>
    </xf>
    <xf numFmtId="4" fontId="24" fillId="0" borderId="7" xfId="0" applyNumberFormat="1" applyFont="1" applyBorder="1" applyAlignment="1">
      <alignment horizontal="center" vertical="center" wrapText="1"/>
    </xf>
    <xf numFmtId="4" fontId="1" fillId="0" borderId="27" xfId="0" applyNumberFormat="1" applyFont="1" applyBorder="1" applyAlignment="1">
      <alignment horizontal="center" vertical="center" wrapText="1"/>
    </xf>
    <xf numFmtId="4" fontId="1" fillId="11" borderId="7" xfId="0" applyNumberFormat="1" applyFont="1" applyFill="1" applyBorder="1" applyAlignment="1">
      <alignment horizontal="center" vertical="center" wrapText="1"/>
    </xf>
    <xf numFmtId="0" fontId="18" fillId="0" borderId="91" xfId="0" applyFont="1" applyBorder="1" applyAlignment="1">
      <alignment wrapText="1"/>
    </xf>
    <xf numFmtId="0" fontId="18" fillId="13" borderId="59" xfId="0" applyFont="1" applyFill="1" applyBorder="1" applyAlignment="1">
      <alignment wrapText="1"/>
    </xf>
    <xf numFmtId="0" fontId="51" fillId="0" borderId="107" xfId="0" applyFont="1" applyBorder="1" applyAlignment="1">
      <alignment horizontal="center" vertical="center" wrapText="1"/>
    </xf>
    <xf numFmtId="0" fontId="51" fillId="13" borderId="23" xfId="0" applyFont="1" applyFill="1" applyBorder="1" applyAlignment="1">
      <alignment horizontal="center" vertical="center" wrapText="1"/>
    </xf>
    <xf numFmtId="0" fontId="51" fillId="0" borderId="99" xfId="0" applyFont="1" applyBorder="1" applyAlignment="1">
      <alignment horizontal="center" vertical="center" wrapText="1"/>
    </xf>
    <xf numFmtId="0" fontId="52" fillId="0" borderId="91" xfId="0" applyFont="1" applyBorder="1" applyAlignment="1">
      <alignment wrapText="1"/>
    </xf>
    <xf numFmtId="0" fontId="24" fillId="16" borderId="14" xfId="0" applyFont="1" applyFill="1" applyBorder="1" applyAlignment="1">
      <alignment horizontal="center" vertical="center" wrapText="1"/>
    </xf>
    <xf numFmtId="0" fontId="52" fillId="0" borderId="75" xfId="0" applyFont="1" applyBorder="1" applyAlignment="1">
      <alignment wrapText="1"/>
    </xf>
    <xf numFmtId="0" fontId="52" fillId="0" borderId="56" xfId="0" applyFont="1" applyBorder="1" applyAlignment="1">
      <alignment wrapText="1"/>
    </xf>
    <xf numFmtId="0" fontId="52" fillId="0" borderId="70" xfId="0" applyFont="1" applyBorder="1" applyAlignment="1">
      <alignment wrapText="1"/>
    </xf>
    <xf numFmtId="0" fontId="52" fillId="0" borderId="98" xfId="0" applyFont="1" applyBorder="1" applyAlignment="1">
      <alignment wrapText="1"/>
    </xf>
    <xf numFmtId="0" fontId="52" fillId="0" borderId="111" xfId="0" applyFont="1" applyBorder="1" applyAlignment="1">
      <alignment wrapText="1"/>
    </xf>
    <xf numFmtId="0" fontId="51" fillId="0" borderId="13" xfId="0" applyFont="1" applyBorder="1" applyAlignment="1">
      <alignment horizontal="center" vertical="center" wrapText="1"/>
    </xf>
    <xf numFmtId="3" fontId="39" fillId="16" borderId="19" xfId="0" quotePrefix="1" applyNumberFormat="1" applyFont="1" applyFill="1" applyBorder="1" applyAlignment="1">
      <alignment horizontal="center" vertical="center" wrapText="1"/>
    </xf>
    <xf numFmtId="3" fontId="39" fillId="16" borderId="14" xfId="0" applyNumberFormat="1" applyFont="1" applyFill="1" applyBorder="1" applyAlignment="1">
      <alignment horizontal="center" vertical="center" wrapText="1"/>
    </xf>
    <xf numFmtId="3" fontId="39" fillId="16" borderId="19" xfId="0" applyNumberFormat="1" applyFont="1" applyFill="1" applyBorder="1" applyAlignment="1">
      <alignment horizontal="center" vertical="center" wrapText="1"/>
    </xf>
    <xf numFmtId="0" fontId="52" fillId="13" borderId="35" xfId="0" applyFont="1" applyFill="1" applyBorder="1" applyAlignment="1">
      <alignment wrapText="1"/>
    </xf>
    <xf numFmtId="0" fontId="52" fillId="0" borderId="35" xfId="0" applyFont="1" applyBorder="1" applyAlignment="1">
      <alignment horizontal="center" vertical="center" wrapText="1"/>
    </xf>
    <xf numFmtId="0" fontId="52" fillId="13" borderId="36" xfId="0" applyFont="1" applyFill="1" applyBorder="1" applyAlignment="1">
      <alignment wrapText="1"/>
    </xf>
    <xf numFmtId="3" fontId="41" fillId="7" borderId="15" xfId="0" applyNumberFormat="1" applyFont="1" applyFill="1" applyBorder="1" applyAlignment="1">
      <alignment horizontal="center" vertical="center" wrapText="1"/>
    </xf>
    <xf numFmtId="0" fontId="52" fillId="6" borderId="57" xfId="0" applyFont="1" applyFill="1" applyBorder="1" applyAlignment="1">
      <alignment wrapText="1"/>
    </xf>
    <xf numFmtId="0" fontId="52" fillId="6" borderId="18" xfId="0" applyFont="1" applyFill="1" applyBorder="1" applyAlignment="1">
      <alignment wrapText="1"/>
    </xf>
    <xf numFmtId="0" fontId="52" fillId="6" borderId="19" xfId="0" applyFont="1" applyFill="1" applyBorder="1" applyAlignment="1">
      <alignment wrapText="1"/>
    </xf>
    <xf numFmtId="14" fontId="41" fillId="7" borderId="19" xfId="0" applyNumberFormat="1" applyFont="1" applyFill="1" applyBorder="1" applyAlignment="1">
      <alignment horizontal="center" vertical="center" wrapText="1"/>
    </xf>
    <xf numFmtId="0" fontId="59" fillId="7" borderId="57" xfId="0" applyFont="1" applyFill="1" applyBorder="1" applyAlignment="1">
      <alignment wrapText="1"/>
    </xf>
    <xf numFmtId="3" fontId="60" fillId="7" borderId="19" xfId="0" quotePrefix="1" applyNumberFormat="1" applyFont="1" applyFill="1" applyBorder="1" applyAlignment="1">
      <alignment horizontal="center" vertical="center" wrapText="1"/>
    </xf>
    <xf numFmtId="0" fontId="51" fillId="15" borderId="23" xfId="0" applyFont="1" applyFill="1" applyBorder="1" applyAlignment="1">
      <alignment horizontal="center" vertical="center" wrapText="1"/>
    </xf>
    <xf numFmtId="0" fontId="52" fillId="15" borderId="34" xfId="0" applyFont="1" applyFill="1" applyBorder="1" applyAlignment="1">
      <alignment wrapText="1"/>
    </xf>
    <xf numFmtId="0" fontId="52" fillId="15" borderId="36" xfId="0" applyFont="1" applyFill="1" applyBorder="1" applyAlignment="1">
      <alignment wrapText="1"/>
    </xf>
    <xf numFmtId="0" fontId="13" fillId="15" borderId="34" xfId="0" applyFont="1" applyFill="1" applyBorder="1" applyAlignment="1">
      <alignment wrapText="1"/>
    </xf>
    <xf numFmtId="0" fontId="13" fillId="13" borderId="34" xfId="0" applyFont="1" applyFill="1" applyBorder="1" applyAlignment="1">
      <alignment wrapText="1"/>
    </xf>
    <xf numFmtId="0" fontId="52" fillId="6" borderId="59" xfId="0" applyFont="1" applyFill="1" applyBorder="1" applyAlignment="1">
      <alignment wrapText="1"/>
    </xf>
    <xf numFmtId="0" fontId="13" fillId="0" borderId="34" xfId="0" applyFont="1" applyBorder="1" applyAlignment="1">
      <alignment wrapText="1"/>
    </xf>
    <xf numFmtId="0" fontId="13" fillId="0" borderId="34" xfId="0" applyFont="1" applyBorder="1" applyAlignment="1">
      <alignment horizontal="center" vertical="center" wrapText="1"/>
    </xf>
    <xf numFmtId="0" fontId="52" fillId="15" borderId="35" xfId="0" applyFont="1" applyFill="1" applyBorder="1" applyAlignment="1">
      <alignment wrapText="1"/>
    </xf>
    <xf numFmtId="0" fontId="13" fillId="15" borderId="36" xfId="0" applyFont="1" applyFill="1" applyBorder="1" applyAlignment="1">
      <alignment wrapText="1"/>
    </xf>
    <xf numFmtId="0" fontId="13" fillId="13" borderId="36" xfId="0" applyFont="1" applyFill="1" applyBorder="1" applyAlignment="1">
      <alignment wrapText="1"/>
    </xf>
    <xf numFmtId="0" fontId="13" fillId="15" borderId="35" xfId="0" applyFont="1" applyFill="1" applyBorder="1" applyAlignment="1">
      <alignment wrapText="1"/>
    </xf>
    <xf numFmtId="0" fontId="13" fillId="13" borderId="35" xfId="0" applyFont="1" applyFill="1" applyBorder="1" applyAlignment="1">
      <alignment wrapText="1"/>
    </xf>
    <xf numFmtId="14" fontId="41" fillId="7" borderId="26" xfId="0" applyNumberFormat="1" applyFont="1" applyFill="1" applyBorder="1" applyAlignment="1">
      <alignment horizontal="center" vertical="center" wrapText="1"/>
    </xf>
    <xf numFmtId="3" fontId="60" fillId="7" borderId="26" xfId="0" quotePrefix="1" applyNumberFormat="1" applyFont="1" applyFill="1" applyBorder="1" applyAlignment="1">
      <alignment horizontal="center" vertical="center" wrapText="1"/>
    </xf>
    <xf numFmtId="167" fontId="52" fillId="0" borderId="36" xfId="0" applyNumberFormat="1" applyFont="1" applyBorder="1" applyAlignment="1">
      <alignment horizontal="center" vertical="center" wrapText="1"/>
    </xf>
    <xf numFmtId="14" fontId="40" fillId="6" borderId="27" xfId="0" applyNumberFormat="1" applyFont="1" applyFill="1" applyBorder="1" applyAlignment="1">
      <alignment horizontal="center" vertical="center" wrapText="1"/>
    </xf>
    <xf numFmtId="14" fontId="41" fillId="7" borderId="31" xfId="0" applyNumberFormat="1" applyFont="1" applyFill="1" applyBorder="1" applyAlignment="1">
      <alignment horizontal="center" vertical="center" wrapText="1"/>
    </xf>
    <xf numFmtId="3" fontId="60" fillId="7" borderId="31" xfId="0" quotePrefix="1" applyNumberFormat="1" applyFont="1" applyFill="1" applyBorder="1" applyAlignment="1">
      <alignment horizontal="center" vertical="center" wrapText="1"/>
    </xf>
    <xf numFmtId="3" fontId="53" fillId="0" borderId="100" xfId="0" quotePrefix="1" applyNumberFormat="1" applyFont="1" applyBorder="1" applyAlignment="1">
      <alignment horizontal="center" vertical="center" wrapText="1"/>
    </xf>
    <xf numFmtId="0" fontId="61" fillId="0" borderId="117" xfId="0" applyFont="1" applyBorder="1" applyAlignment="1">
      <alignment horizontal="justify" vertical="center" wrapText="1"/>
    </xf>
    <xf numFmtId="0" fontId="54" fillId="0" borderId="117" xfId="0" applyFont="1" applyBorder="1" applyAlignment="1">
      <alignment horizontal="justify" vertical="center" wrapText="1"/>
    </xf>
    <xf numFmtId="0" fontId="63" fillId="0" borderId="23" xfId="0" applyFont="1" applyBorder="1" applyAlignment="1">
      <alignment horizontal="left" vertical="center" wrapText="1"/>
    </xf>
    <xf numFmtId="0" fontId="63" fillId="0" borderId="27" xfId="0" applyFont="1" applyBorder="1" applyAlignment="1">
      <alignment horizontal="left" vertical="center" wrapText="1"/>
    </xf>
    <xf numFmtId="0" fontId="63" fillId="0" borderId="6" xfId="0" applyFont="1" applyBorder="1" applyAlignment="1">
      <alignment horizontal="left" vertical="center" wrapText="1"/>
    </xf>
    <xf numFmtId="0" fontId="30" fillId="0" borderId="113" xfId="0" applyFont="1" applyBorder="1" applyAlignment="1">
      <alignment horizontal="center" vertical="center" wrapText="1"/>
    </xf>
    <xf numFmtId="0" fontId="61" fillId="0" borderId="112" xfId="0" applyFont="1" applyBorder="1" applyAlignment="1">
      <alignment horizontal="justify" vertical="center" wrapText="1"/>
    </xf>
    <xf numFmtId="0" fontId="54" fillId="0" borderId="6" xfId="0" applyFont="1" applyBorder="1" applyAlignment="1">
      <alignment horizontal="center" vertical="center" wrapText="1"/>
    </xf>
    <xf numFmtId="0" fontId="64" fillId="0" borderId="6" xfId="0" applyFont="1" applyBorder="1" applyAlignment="1">
      <alignment horizontal="center" vertical="center" wrapText="1"/>
    </xf>
    <xf numFmtId="0" fontId="30" fillId="0" borderId="6" xfId="0" applyFont="1" applyBorder="1" applyAlignment="1">
      <alignment horizontal="center" vertical="center" wrapText="1"/>
    </xf>
    <xf numFmtId="0" fontId="62" fillId="0" borderId="114" xfId="0" applyFont="1" applyBorder="1" applyAlignment="1">
      <alignment horizontal="justify" vertical="center" wrapText="1"/>
    </xf>
    <xf numFmtId="0" fontId="30" fillId="0" borderId="23" xfId="0" applyFont="1" applyBorder="1" applyAlignment="1">
      <alignment horizontal="center" vertical="center" wrapText="1"/>
    </xf>
    <xf numFmtId="0" fontId="30" fillId="0" borderId="27" xfId="0" applyFont="1" applyBorder="1" applyAlignment="1">
      <alignment horizontal="center" vertical="center" wrapText="1"/>
    </xf>
    <xf numFmtId="0" fontId="54" fillId="0" borderId="0" xfId="0" applyFont="1" applyAlignment="1">
      <alignment horizontal="center" vertical="center" wrapText="1"/>
    </xf>
    <xf numFmtId="0" fontId="54" fillId="0" borderId="24" xfId="0" applyFont="1" applyBorder="1" applyAlignment="1">
      <alignment horizontal="center" vertical="center" wrapText="1"/>
    </xf>
    <xf numFmtId="0" fontId="54" fillId="0" borderId="31" xfId="0" applyFont="1" applyBorder="1" applyAlignment="1">
      <alignment horizontal="center" vertical="center" wrapText="1"/>
    </xf>
    <xf numFmtId="0" fontId="63" fillId="0" borderId="27" xfId="0" applyFont="1" applyBorder="1" applyAlignment="1">
      <alignment horizontal="center" vertical="center" wrapText="1"/>
    </xf>
    <xf numFmtId="0" fontId="30" fillId="0" borderId="119" xfId="0" applyFont="1" applyBorder="1" applyAlignment="1">
      <alignment horizontal="center" vertical="center" wrapText="1"/>
    </xf>
    <xf numFmtId="0" fontId="62" fillId="0" borderId="120" xfId="0" applyFont="1" applyBorder="1" applyAlignment="1">
      <alignment horizontal="justify" vertical="center" wrapText="1"/>
    </xf>
    <xf numFmtId="0" fontId="64" fillId="0" borderId="23" xfId="0" applyFont="1" applyBorder="1" applyAlignment="1">
      <alignment horizontal="center" vertical="center" wrapText="1"/>
    </xf>
    <xf numFmtId="0" fontId="64" fillId="0" borderId="27" xfId="0" applyFont="1" applyBorder="1" applyAlignment="1">
      <alignment horizontal="center" vertical="center" wrapText="1"/>
    </xf>
    <xf numFmtId="0" fontId="61" fillId="0" borderId="6" xfId="0" applyFont="1" applyBorder="1" applyAlignment="1">
      <alignment horizontal="justify" vertical="center" wrapText="1"/>
    </xf>
    <xf numFmtId="0" fontId="62" fillId="0" borderId="6" xfId="0" applyFont="1" applyBorder="1" applyAlignment="1">
      <alignment horizontal="justify" vertical="center" wrapText="1"/>
    </xf>
    <xf numFmtId="0" fontId="54" fillId="0" borderId="121" xfId="0" applyFont="1" applyBorder="1" applyAlignment="1">
      <alignment horizontal="center" vertical="center" wrapText="1"/>
    </xf>
    <xf numFmtId="0" fontId="63" fillId="0" borderId="119" xfId="0" applyFont="1" applyBorder="1" applyAlignment="1">
      <alignment horizontal="left" vertical="center" wrapText="1"/>
    </xf>
    <xf numFmtId="0" fontId="33" fillId="0" borderId="23" xfId="0" applyFont="1" applyBorder="1" applyAlignment="1">
      <alignment horizontal="center" vertical="center" wrapText="1"/>
    </xf>
    <xf numFmtId="0" fontId="33" fillId="0" borderId="27" xfId="0" applyFont="1" applyBorder="1" applyAlignment="1">
      <alignment horizontal="center" vertical="center" wrapText="1"/>
    </xf>
    <xf numFmtId="0" fontId="61" fillId="0" borderId="114" xfId="0" applyFont="1" applyBorder="1" applyAlignment="1">
      <alignment horizontal="justify" vertical="center" wrapText="1"/>
    </xf>
    <xf numFmtId="0" fontId="51" fillId="0" borderId="126" xfId="0" applyFont="1" applyBorder="1" applyAlignment="1">
      <alignment horizontal="center" vertical="center" wrapText="1"/>
    </xf>
    <xf numFmtId="0" fontId="39" fillId="0" borderId="46" xfId="0" applyFont="1" applyBorder="1" applyAlignment="1">
      <alignment horizontal="center" wrapText="1"/>
    </xf>
    <xf numFmtId="0" fontId="39" fillId="0" borderId="99" xfId="0" applyFont="1" applyBorder="1" applyAlignment="1">
      <alignment horizontal="center" wrapText="1"/>
    </xf>
    <xf numFmtId="0" fontId="52" fillId="0" borderId="127" xfId="0" applyFont="1" applyBorder="1" applyAlignment="1">
      <alignment wrapText="1"/>
    </xf>
    <xf numFmtId="1" fontId="40" fillId="6" borderId="19" xfId="0" applyNumberFormat="1" applyFont="1" applyFill="1" applyBorder="1" applyAlignment="1">
      <alignment horizontal="center" vertical="center" wrapText="1"/>
    </xf>
    <xf numFmtId="0" fontId="29" fillId="16" borderId="19" xfId="0" applyFont="1" applyFill="1" applyBorder="1" applyAlignment="1">
      <alignment horizontal="center" vertical="center" wrapText="1"/>
    </xf>
    <xf numFmtId="14" fontId="14" fillId="13" borderId="19" xfId="0" applyNumberFormat="1" applyFont="1" applyFill="1" applyBorder="1" applyAlignment="1">
      <alignment horizontal="center" vertical="center" wrapText="1"/>
    </xf>
    <xf numFmtId="165" fontId="14" fillId="0" borderId="19" xfId="0" applyNumberFormat="1" applyFont="1" applyBorder="1" applyAlignment="1">
      <alignment horizontal="center" vertical="center" wrapText="1"/>
    </xf>
    <xf numFmtId="0" fontId="24" fillId="16" borderId="23" xfId="0" applyFont="1" applyFill="1" applyBorder="1" applyAlignment="1">
      <alignment horizontal="center" vertical="center" wrapText="1"/>
    </xf>
    <xf numFmtId="3" fontId="51" fillId="16" borderId="42" xfId="0" quotePrefix="1" applyNumberFormat="1" applyFont="1" applyFill="1" applyBorder="1" applyAlignment="1">
      <alignment horizontal="center" vertical="center" wrapText="1"/>
    </xf>
    <xf numFmtId="3" fontId="51" fillId="16" borderId="19" xfId="0" quotePrefix="1" applyNumberFormat="1" applyFont="1" applyFill="1" applyBorder="1" applyAlignment="1">
      <alignment horizontal="center" vertical="center" wrapText="1"/>
    </xf>
    <xf numFmtId="0" fontId="52" fillId="16" borderId="77" xfId="0" applyFont="1" applyFill="1" applyBorder="1" applyAlignment="1">
      <alignment wrapText="1"/>
    </xf>
    <xf numFmtId="0" fontId="52" fillId="16" borderId="69" xfId="0" applyFont="1" applyFill="1" applyBorder="1" applyAlignment="1">
      <alignment wrapText="1"/>
    </xf>
    <xf numFmtId="0" fontId="52" fillId="16" borderId="67" xfId="0" applyFont="1" applyFill="1" applyBorder="1" applyAlignment="1">
      <alignment wrapText="1"/>
    </xf>
    <xf numFmtId="14" fontId="1" fillId="0" borderId="6" xfId="0" applyNumberFormat="1" applyFont="1" applyBorder="1" applyAlignment="1">
      <alignment horizontal="center" vertical="center" wrapText="1"/>
    </xf>
    <xf numFmtId="3" fontId="7" fillId="8" borderId="23" xfId="0" applyNumberFormat="1" applyFont="1" applyFill="1" applyBorder="1" applyAlignment="1">
      <alignment horizontal="center"/>
    </xf>
    <xf numFmtId="3" fontId="7" fillId="0" borderId="23" xfId="0" applyNumberFormat="1" applyFont="1" applyBorder="1" applyAlignment="1">
      <alignment horizontal="center" vertical="center"/>
    </xf>
    <xf numFmtId="3" fontId="7" fillId="0" borderId="23" xfId="0" applyNumberFormat="1" applyFont="1" applyBorder="1" applyAlignment="1">
      <alignment horizontal="center"/>
    </xf>
    <xf numFmtId="3" fontId="10" fillId="3" borderId="0" xfId="0" applyNumberFormat="1" applyFont="1" applyFill="1" applyAlignment="1">
      <alignment horizontal="center"/>
    </xf>
    <xf numFmtId="14" fontId="5" fillId="0" borderId="34" xfId="0" applyNumberFormat="1" applyFont="1" applyBorder="1"/>
    <xf numFmtId="0" fontId="29" fillId="0" borderId="0" xfId="0" applyFont="1"/>
    <xf numFmtId="3" fontId="7" fillId="17" borderId="6" xfId="0" applyNumberFormat="1" applyFont="1" applyFill="1" applyBorder="1" applyAlignment="1">
      <alignment horizontal="center" vertical="center" wrapText="1"/>
    </xf>
    <xf numFmtId="0" fontId="28" fillId="0" borderId="41" xfId="0" applyFont="1" applyBorder="1" applyAlignment="1">
      <alignment horizontal="center" vertical="center"/>
    </xf>
    <xf numFmtId="0" fontId="34" fillId="0" borderId="19" xfId="0" applyFont="1" applyBorder="1" applyAlignment="1">
      <alignment horizontal="center" vertical="center" wrapText="1"/>
    </xf>
    <xf numFmtId="0" fontId="34" fillId="0" borderId="15" xfId="0" applyFont="1" applyBorder="1" applyAlignment="1">
      <alignment horizontal="center" vertical="center" wrapText="1"/>
    </xf>
    <xf numFmtId="0" fontId="69" fillId="16" borderId="5" xfId="0" applyFont="1" applyFill="1" applyBorder="1" applyAlignment="1">
      <alignment horizontal="center" vertical="center" wrapText="1"/>
    </xf>
    <xf numFmtId="0" fontId="68" fillId="0" borderId="34" xfId="0" applyFont="1" applyBorder="1" applyAlignment="1">
      <alignment wrapText="1"/>
    </xf>
    <xf numFmtId="0" fontId="68" fillId="0" borderId="66" xfId="0" applyFont="1" applyBorder="1" applyAlignment="1">
      <alignment wrapText="1"/>
    </xf>
    <xf numFmtId="0" fontId="68" fillId="13" borderId="55" xfId="0" applyFont="1" applyFill="1" applyBorder="1" applyAlignment="1">
      <alignment wrapText="1"/>
    </xf>
    <xf numFmtId="0" fontId="68" fillId="0" borderId="69" xfId="0" applyFont="1" applyBorder="1" applyAlignment="1">
      <alignment wrapText="1"/>
    </xf>
    <xf numFmtId="3" fontId="68" fillId="0" borderId="75" xfId="0" quotePrefix="1" applyNumberFormat="1" applyFont="1" applyBorder="1" applyAlignment="1">
      <alignment horizontal="center" vertical="center" wrapText="1"/>
    </xf>
    <xf numFmtId="3" fontId="68" fillId="0" borderId="56" xfId="0" quotePrefix="1" applyNumberFormat="1" applyFont="1" applyBorder="1" applyAlignment="1">
      <alignment horizontal="center" vertical="center" wrapText="1"/>
    </xf>
    <xf numFmtId="3" fontId="68" fillId="0" borderId="76" xfId="0" quotePrefix="1" applyNumberFormat="1" applyFont="1" applyBorder="1" applyAlignment="1">
      <alignment horizontal="center" vertical="center" wrapText="1"/>
    </xf>
    <xf numFmtId="14" fontId="68" fillId="0" borderId="55" xfId="0" applyNumberFormat="1" applyFont="1" applyBorder="1" applyAlignment="1">
      <alignment horizontal="center" vertical="center" wrapText="1"/>
    </xf>
    <xf numFmtId="0" fontId="68" fillId="0" borderId="67" xfId="0" applyFont="1" applyBorder="1" applyAlignment="1">
      <alignment horizontal="center" vertical="center" wrapText="1"/>
    </xf>
    <xf numFmtId="1" fontId="68" fillId="0" borderId="67" xfId="0" applyNumberFormat="1" applyFont="1" applyBorder="1" applyAlignment="1">
      <alignment horizontal="center" vertical="center" wrapText="1"/>
    </xf>
    <xf numFmtId="0" fontId="69" fillId="16" borderId="23" xfId="0" applyFont="1" applyFill="1" applyBorder="1" applyAlignment="1">
      <alignment horizontal="center" vertical="center" wrapText="1"/>
    </xf>
    <xf numFmtId="3" fontId="70" fillId="16" borderId="42" xfId="0" quotePrefix="1" applyNumberFormat="1" applyFont="1" applyFill="1" applyBorder="1" applyAlignment="1">
      <alignment horizontal="center" vertical="center" wrapText="1"/>
    </xf>
    <xf numFmtId="3" fontId="70" fillId="16" borderId="19" xfId="0" quotePrefix="1" applyNumberFormat="1" applyFont="1" applyFill="1" applyBorder="1" applyAlignment="1">
      <alignment horizontal="center" vertical="center" wrapText="1"/>
    </xf>
    <xf numFmtId="0" fontId="68" fillId="16" borderId="77" xfId="0" applyFont="1" applyFill="1" applyBorder="1" applyAlignment="1">
      <alignment wrapText="1"/>
    </xf>
    <xf numFmtId="0" fontId="68" fillId="16" borderId="69" xfId="0" applyFont="1" applyFill="1" applyBorder="1" applyAlignment="1">
      <alignment wrapText="1"/>
    </xf>
    <xf numFmtId="0" fontId="68" fillId="16" borderId="67" xfId="0" applyFont="1" applyFill="1" applyBorder="1" applyAlignment="1">
      <alignment wrapText="1"/>
    </xf>
    <xf numFmtId="1" fontId="52" fillId="0" borderId="88" xfId="0" applyNumberFormat="1" applyFont="1" applyBorder="1" applyAlignment="1">
      <alignment horizontal="center" vertical="center" wrapText="1"/>
    </xf>
    <xf numFmtId="14" fontId="68" fillId="0" borderId="59" xfId="0" applyNumberFormat="1" applyFont="1" applyBorder="1" applyAlignment="1">
      <alignment horizontal="center" vertical="center" wrapText="1"/>
    </xf>
    <xf numFmtId="0" fontId="68" fillId="0" borderId="36" xfId="0" applyFont="1" applyBorder="1" applyAlignment="1">
      <alignment wrapText="1"/>
    </xf>
    <xf numFmtId="0" fontId="68" fillId="0" borderId="82" xfId="0" applyFont="1" applyBorder="1" applyAlignment="1">
      <alignment horizontal="center" vertical="center" wrapText="1"/>
    </xf>
    <xf numFmtId="1" fontId="68" fillId="0" borderId="82" xfId="0" applyNumberFormat="1" applyFont="1" applyBorder="1" applyAlignment="1">
      <alignment horizontal="center" vertical="center" wrapText="1"/>
    </xf>
    <xf numFmtId="0" fontId="52" fillId="16" borderId="13" xfId="0" applyFont="1" applyFill="1" applyBorder="1" applyAlignment="1">
      <alignment wrapText="1"/>
    </xf>
    <xf numFmtId="0" fontId="52" fillId="16" borderId="58" xfId="0" applyFont="1" applyFill="1" applyBorder="1" applyAlignment="1">
      <alignment wrapText="1"/>
    </xf>
    <xf numFmtId="0" fontId="52" fillId="16" borderId="89" xfId="0" applyFont="1" applyFill="1" applyBorder="1" applyAlignment="1">
      <alignment wrapText="1"/>
    </xf>
    <xf numFmtId="0" fontId="52" fillId="16" borderId="54" xfId="0" applyFont="1" applyFill="1" applyBorder="1" applyAlignment="1">
      <alignment wrapText="1"/>
    </xf>
    <xf numFmtId="0" fontId="18" fillId="10" borderId="19" xfId="0" applyFont="1" applyFill="1" applyBorder="1" applyAlignment="1">
      <alignment horizontal="center" vertical="center" wrapText="1"/>
    </xf>
    <xf numFmtId="0" fontId="18" fillId="10" borderId="15" xfId="0" applyFont="1" applyFill="1" applyBorder="1" applyAlignment="1">
      <alignment horizontal="center" vertical="center" wrapText="1"/>
    </xf>
    <xf numFmtId="0" fontId="73" fillId="0" borderId="14" xfId="0" applyFont="1" applyBorder="1" applyAlignment="1">
      <alignment horizontal="center" vertical="center" wrapText="1"/>
    </xf>
    <xf numFmtId="0" fontId="73" fillId="0" borderId="13" xfId="0" applyFont="1" applyBorder="1" applyAlignment="1">
      <alignment horizontal="center" vertical="center" wrapText="1"/>
    </xf>
    <xf numFmtId="0" fontId="73" fillId="0" borderId="19" xfId="0" applyFont="1" applyBorder="1" applyAlignment="1">
      <alignment horizontal="center" vertical="center" wrapText="1"/>
    </xf>
    <xf numFmtId="0" fontId="72" fillId="0" borderId="46" xfId="0" applyFont="1" applyBorder="1" applyAlignment="1">
      <alignment horizontal="center" vertical="center" wrapText="1"/>
    </xf>
    <xf numFmtId="0" fontId="72" fillId="0" borderId="19" xfId="0" applyFont="1" applyBorder="1" applyAlignment="1">
      <alignment horizontal="center" vertical="center" wrapText="1"/>
    </xf>
    <xf numFmtId="0" fontId="72" fillId="0" borderId="27" xfId="0" applyFont="1" applyBorder="1" applyAlignment="1">
      <alignment horizontal="center" vertical="center" wrapText="1"/>
    </xf>
    <xf numFmtId="3" fontId="7" fillId="13" borderId="23" xfId="0" applyNumberFormat="1" applyFont="1" applyFill="1" applyBorder="1" applyAlignment="1">
      <alignment horizontal="center" vertical="center" wrapText="1"/>
    </xf>
    <xf numFmtId="3" fontId="7" fillId="13" borderId="24" xfId="0" applyNumberFormat="1" applyFont="1" applyFill="1" applyBorder="1" applyAlignment="1">
      <alignment horizontal="center" vertical="center" wrapText="1"/>
    </xf>
    <xf numFmtId="168" fontId="52" fillId="0" borderId="34" xfId="0" applyNumberFormat="1" applyFont="1" applyBorder="1" applyAlignment="1">
      <alignment horizontal="center" vertical="center" wrapText="1"/>
    </xf>
    <xf numFmtId="3" fontId="2" fillId="0" borderId="19" xfId="0" applyNumberFormat="1" applyFont="1" applyBorder="1" applyAlignment="1">
      <alignment horizontal="center" vertical="center" wrapText="1"/>
    </xf>
    <xf numFmtId="0" fontId="74" fillId="0" borderId="14" xfId="0" applyFont="1" applyBorder="1" applyAlignment="1">
      <alignment horizontal="center" vertical="center" wrapText="1"/>
    </xf>
    <xf numFmtId="14" fontId="75" fillId="0" borderId="55"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19" xfId="0" applyFont="1" applyBorder="1" applyAlignment="1">
      <alignment horizontal="center" vertical="top" wrapText="1"/>
    </xf>
    <xf numFmtId="0" fontId="12" fillId="0" borderId="2" xfId="0" applyFont="1" applyBorder="1" applyAlignment="1">
      <alignment horizontal="center" vertical="top" wrapText="1"/>
    </xf>
    <xf numFmtId="0" fontId="12" fillId="0" borderId="4" xfId="0" applyFont="1" applyBorder="1" applyAlignment="1">
      <alignment horizontal="center" vertical="top" wrapText="1"/>
    </xf>
    <xf numFmtId="0" fontId="2" fillId="0" borderId="7" xfId="0" applyFont="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vertical="top" wrapText="1"/>
    </xf>
    <xf numFmtId="0" fontId="2" fillId="7" borderId="6" xfId="0" applyFont="1" applyFill="1" applyBorder="1" applyAlignment="1">
      <alignment vertical="top" wrapText="1"/>
    </xf>
    <xf numFmtId="0" fontId="2" fillId="7" borderId="19" xfId="0" applyFont="1" applyFill="1" applyBorder="1" applyAlignment="1">
      <alignment vertical="top" wrapText="1"/>
    </xf>
    <xf numFmtId="0" fontId="2" fillId="6" borderId="6" xfId="0" applyFont="1" applyFill="1" applyBorder="1" applyAlignment="1">
      <alignment horizontal="center" vertical="center" wrapText="1"/>
    </xf>
    <xf numFmtId="0" fontId="2" fillId="6" borderId="7" xfId="0" applyFont="1" applyFill="1" applyBorder="1" applyAlignment="1">
      <alignment vertical="top" wrapText="1"/>
    </xf>
    <xf numFmtId="0" fontId="2" fillId="6" borderId="6" xfId="0" applyFont="1" applyFill="1" applyBorder="1" applyAlignment="1">
      <alignment vertical="top" wrapText="1"/>
    </xf>
    <xf numFmtId="0" fontId="2" fillId="6" borderId="19" xfId="0" applyFont="1" applyFill="1" applyBorder="1" applyAlignment="1">
      <alignment vertical="top" wrapText="1"/>
    </xf>
    <xf numFmtId="0" fontId="2" fillId="16" borderId="24" xfId="0" applyFont="1" applyFill="1" applyBorder="1" applyAlignment="1">
      <alignment horizontal="center" vertical="center" wrapText="1"/>
    </xf>
    <xf numFmtId="0" fontId="2" fillId="16" borderId="29" xfId="0" applyFont="1" applyFill="1" applyBorder="1" applyAlignment="1">
      <alignment vertical="top" wrapText="1"/>
    </xf>
    <xf numFmtId="0" fontId="2" fillId="16" borderId="24" xfId="0" applyFont="1" applyFill="1" applyBorder="1" applyAlignment="1">
      <alignment vertical="top" wrapText="1"/>
    </xf>
    <xf numFmtId="0" fontId="2" fillId="5" borderId="19" xfId="0" applyFont="1" applyFill="1" applyBorder="1" applyAlignment="1">
      <alignment vertical="top" wrapText="1"/>
    </xf>
    <xf numFmtId="3" fontId="2" fillId="5" borderId="6" xfId="0" applyNumberFormat="1" applyFont="1" applyFill="1" applyBorder="1" applyAlignment="1">
      <alignment horizontal="center" vertical="center" wrapText="1"/>
    </xf>
    <xf numFmtId="3" fontId="2" fillId="5" borderId="7" xfId="0" applyNumberFormat="1" applyFont="1" applyFill="1" applyBorder="1" applyAlignment="1">
      <alignment horizontal="center" vertical="center" wrapText="1"/>
    </xf>
    <xf numFmtId="3" fontId="2" fillId="13" borderId="19" xfId="0" applyNumberFormat="1" applyFont="1" applyFill="1" applyBorder="1" applyAlignment="1">
      <alignment horizontal="center" vertical="center" wrapText="1"/>
    </xf>
    <xf numFmtId="0" fontId="2" fillId="5" borderId="19" xfId="0" applyFont="1" applyFill="1" applyBorder="1" applyAlignment="1">
      <alignment horizontal="center" vertical="center" wrapText="1"/>
    </xf>
    <xf numFmtId="0" fontId="13" fillId="0" borderId="19" xfId="0" applyFont="1" applyBorder="1" applyAlignment="1">
      <alignment horizontal="center" vertical="center" wrapText="1"/>
    </xf>
    <xf numFmtId="0" fontId="2" fillId="13" borderId="13" xfId="0" applyFont="1" applyFill="1" applyBorder="1" applyAlignment="1">
      <alignment horizontal="center" vertical="center" wrapText="1"/>
    </xf>
    <xf numFmtId="0" fontId="2" fillId="16" borderId="6" xfId="0" applyFont="1" applyFill="1" applyBorder="1" applyAlignment="1">
      <alignment horizontal="center" vertical="center" wrapText="1"/>
    </xf>
    <xf numFmtId="0" fontId="2" fillId="16" borderId="7" xfId="0" applyFont="1" applyFill="1" applyBorder="1" applyAlignment="1">
      <alignment vertical="top" wrapText="1"/>
    </xf>
    <xf numFmtId="0" fontId="2" fillId="16" borderId="6" xfId="0" applyFont="1" applyFill="1" applyBorder="1" applyAlignment="1">
      <alignment vertical="top" wrapText="1"/>
    </xf>
    <xf numFmtId="0" fontId="2" fillId="5" borderId="27" xfId="0" applyFont="1" applyFill="1" applyBorder="1" applyAlignment="1">
      <alignment horizontal="center" vertical="center" wrapText="1"/>
    </xf>
    <xf numFmtId="3" fontId="2" fillId="5" borderId="15" xfId="0" applyNumberFormat="1" applyFont="1" applyFill="1" applyBorder="1" applyAlignment="1">
      <alignment horizontal="center" vertical="center" wrapText="1"/>
    </xf>
    <xf numFmtId="0" fontId="12" fillId="16" borderId="19" xfId="0" applyFont="1" applyFill="1" applyBorder="1" applyAlignment="1">
      <alignment horizontal="left" vertical="center" wrapText="1"/>
    </xf>
    <xf numFmtId="0" fontId="2" fillId="16" borderId="45" xfId="0" applyFont="1" applyFill="1" applyBorder="1" applyAlignment="1">
      <alignment horizontal="center" vertical="center" wrapText="1"/>
    </xf>
    <xf numFmtId="0" fontId="2" fillId="16" borderId="44" xfId="0" applyFont="1" applyFill="1" applyBorder="1" applyAlignment="1">
      <alignment vertical="top" wrapText="1"/>
    </xf>
    <xf numFmtId="0" fontId="2" fillId="16" borderId="45" xfId="0" applyFont="1" applyFill="1" applyBorder="1" applyAlignment="1">
      <alignment vertical="top" wrapText="1"/>
    </xf>
    <xf numFmtId="0" fontId="2" fillId="5" borderId="44" xfId="0" applyFont="1" applyFill="1" applyBorder="1" applyAlignment="1">
      <alignment vertical="top" wrapText="1"/>
    </xf>
    <xf numFmtId="0" fontId="2" fillId="6" borderId="15" xfId="0" applyFont="1" applyFill="1" applyBorder="1" applyAlignment="1">
      <alignment horizontal="center" vertical="center" wrapText="1"/>
    </xf>
    <xf numFmtId="0" fontId="2" fillId="6" borderId="7" xfId="0" applyFont="1" applyFill="1" applyBorder="1" applyAlignment="1">
      <alignment horizontal="center" vertical="center" wrapText="1"/>
    </xf>
    <xf numFmtId="0" fontId="2" fillId="5" borderId="28" xfId="0" applyFont="1" applyFill="1" applyBorder="1" applyAlignment="1">
      <alignment vertical="top" wrapText="1"/>
    </xf>
    <xf numFmtId="3" fontId="2" fillId="5" borderId="30" xfId="0" applyNumberFormat="1" applyFont="1" applyFill="1" applyBorder="1" applyAlignment="1">
      <alignment horizontal="center" vertical="center" wrapText="1"/>
    </xf>
    <xf numFmtId="0" fontId="2" fillId="0" borderId="26" xfId="0" applyFont="1" applyBorder="1" applyAlignment="1">
      <alignment horizontal="left" vertical="center" wrapText="1"/>
    </xf>
    <xf numFmtId="0" fontId="2" fillId="13" borderId="26" xfId="0" applyFont="1" applyFill="1" applyBorder="1" applyAlignment="1">
      <alignment horizontal="center" vertical="center" wrapText="1"/>
    </xf>
    <xf numFmtId="3" fontId="2" fillId="13" borderId="26" xfId="0" applyNumberFormat="1" applyFont="1" applyFill="1" applyBorder="1" applyAlignment="1">
      <alignment horizontal="center" vertical="center" wrapText="1"/>
    </xf>
    <xf numFmtId="0" fontId="2" fillId="13" borderId="27" xfId="0" applyFont="1" applyFill="1" applyBorder="1" applyAlignment="1">
      <alignment horizontal="center" vertical="center" wrapText="1"/>
    </xf>
    <xf numFmtId="3" fontId="2" fillId="13" borderId="27" xfId="0" applyNumberFormat="1" applyFont="1" applyFill="1" applyBorder="1" applyAlignment="1">
      <alignment horizontal="center" vertical="center" wrapText="1"/>
    </xf>
    <xf numFmtId="0" fontId="4" fillId="16" borderId="5" xfId="0" applyFont="1" applyFill="1" applyBorder="1" applyAlignment="1">
      <alignment horizontal="center" vertical="center" wrapText="1"/>
    </xf>
    <xf numFmtId="0" fontId="2" fillId="5" borderId="32" xfId="0" applyFont="1" applyFill="1" applyBorder="1" applyAlignment="1">
      <alignment vertical="top" wrapText="1"/>
    </xf>
    <xf numFmtId="3" fontId="2" fillId="5" borderId="19" xfId="0" applyNumberFormat="1" applyFont="1" applyFill="1" applyBorder="1" applyAlignment="1">
      <alignment horizontal="center" vertical="center" wrapText="1"/>
    </xf>
    <xf numFmtId="3" fontId="2" fillId="5" borderId="24" xfId="0" applyNumberFormat="1" applyFont="1" applyFill="1" applyBorder="1" applyAlignment="1">
      <alignment horizontal="center" vertical="center" wrapText="1"/>
    </xf>
    <xf numFmtId="0" fontId="2" fillId="7" borderId="23" xfId="0" applyFont="1" applyFill="1" applyBorder="1" applyAlignment="1">
      <alignment vertical="top" wrapText="1"/>
    </xf>
    <xf numFmtId="0" fontId="2" fillId="7" borderId="19" xfId="0" applyFont="1" applyFill="1" applyBorder="1" applyAlignment="1">
      <alignment horizontal="center" vertical="center" wrapText="1"/>
    </xf>
    <xf numFmtId="0" fontId="2" fillId="6" borderId="23" xfId="0" applyFont="1" applyFill="1" applyBorder="1" applyAlignment="1">
      <alignment vertical="top" wrapText="1"/>
    </xf>
    <xf numFmtId="0" fontId="2" fillId="6" borderId="27" xfId="0" applyFont="1" applyFill="1" applyBorder="1" applyAlignment="1">
      <alignment vertical="top" wrapText="1"/>
    </xf>
    <xf numFmtId="0" fontId="2" fillId="6" borderId="19" xfId="0" applyFont="1" applyFill="1" applyBorder="1" applyAlignment="1">
      <alignment horizontal="center" vertical="center" wrapText="1"/>
    </xf>
    <xf numFmtId="0" fontId="2" fillId="6" borderId="27" xfId="0" applyFont="1" applyFill="1" applyBorder="1" applyAlignment="1">
      <alignment horizontal="center" vertical="center" wrapText="1"/>
    </xf>
    <xf numFmtId="0" fontId="2" fillId="5" borderId="7" xfId="0" applyFont="1" applyFill="1" applyBorder="1" applyAlignment="1">
      <alignment vertical="top" wrapText="1"/>
    </xf>
    <xf numFmtId="0" fontId="2" fillId="16" borderId="13" xfId="0" applyFont="1" applyFill="1" applyBorder="1" applyAlignment="1">
      <alignment vertical="top" wrapText="1"/>
    </xf>
    <xf numFmtId="0" fontId="2" fillId="5" borderId="13" xfId="0" applyFont="1" applyFill="1" applyBorder="1" applyAlignment="1">
      <alignment vertical="top" wrapText="1"/>
    </xf>
    <xf numFmtId="0" fontId="2" fillId="16" borderId="23" xfId="0" applyFont="1" applyFill="1" applyBorder="1" applyAlignment="1">
      <alignment vertical="top" wrapText="1"/>
    </xf>
    <xf numFmtId="0" fontId="2" fillId="5" borderId="23" xfId="0" applyFont="1" applyFill="1" applyBorder="1" applyAlignment="1">
      <alignment vertical="top" wrapText="1"/>
    </xf>
    <xf numFmtId="0" fontId="2" fillId="16" borderId="27" xfId="0" applyFont="1" applyFill="1" applyBorder="1" applyAlignment="1">
      <alignment horizontal="center" vertical="center" wrapText="1"/>
    </xf>
    <xf numFmtId="0" fontId="2" fillId="16" borderId="27" xfId="0" applyFont="1" applyFill="1" applyBorder="1" applyAlignment="1">
      <alignment vertical="top" wrapText="1"/>
    </xf>
    <xf numFmtId="0" fontId="1" fillId="7" borderId="15" xfId="0" applyFont="1" applyFill="1" applyBorder="1" applyAlignment="1">
      <alignment horizontal="center" vertical="center" wrapText="1"/>
    </xf>
    <xf numFmtId="0" fontId="1" fillId="7" borderId="18" xfId="0" applyFont="1" applyFill="1" applyBorder="1" applyAlignment="1">
      <alignment vertical="top" wrapText="1"/>
    </xf>
    <xf numFmtId="0" fontId="2" fillId="7" borderId="15" xfId="0" applyFont="1" applyFill="1" applyBorder="1" applyAlignment="1">
      <alignment vertical="top" wrapText="1"/>
    </xf>
    <xf numFmtId="0" fontId="2" fillId="7" borderId="18" xfId="0" applyFont="1" applyFill="1" applyBorder="1" applyAlignment="1">
      <alignment vertical="top" wrapText="1"/>
    </xf>
    <xf numFmtId="0" fontId="2" fillId="7" borderId="15" xfId="0" applyFont="1" applyFill="1" applyBorder="1" applyAlignment="1">
      <alignment horizontal="center" vertical="center" wrapText="1"/>
    </xf>
    <xf numFmtId="0" fontId="1" fillId="6" borderId="7" xfId="0" applyFont="1" applyFill="1" applyBorder="1" applyAlignment="1">
      <alignment vertical="top" wrapText="1"/>
    </xf>
    <xf numFmtId="0" fontId="1" fillId="16" borderId="6" xfId="0" applyFont="1" applyFill="1" applyBorder="1" applyAlignment="1">
      <alignment horizontal="center" vertical="center" wrapText="1"/>
    </xf>
    <xf numFmtId="0" fontId="1" fillId="16" borderId="7" xfId="0" applyFont="1" applyFill="1" applyBorder="1" applyAlignment="1">
      <alignment vertical="top" wrapText="1"/>
    </xf>
    <xf numFmtId="0" fontId="1" fillId="6" borderId="19" xfId="0" applyFont="1" applyFill="1" applyBorder="1" applyAlignment="1">
      <alignment horizontal="center" vertical="center" wrapText="1"/>
    </xf>
    <xf numFmtId="0" fontId="1" fillId="6" borderId="14" xfId="0" applyFont="1" applyFill="1" applyBorder="1" applyAlignment="1">
      <alignment vertical="top" wrapText="1"/>
    </xf>
    <xf numFmtId="0" fontId="2" fillId="6" borderId="14" xfId="0" applyFont="1" applyFill="1" applyBorder="1" applyAlignment="1">
      <alignment vertical="top" wrapText="1"/>
    </xf>
    <xf numFmtId="0" fontId="1" fillId="16" borderId="27" xfId="0" applyFont="1" applyFill="1" applyBorder="1" applyAlignment="1">
      <alignment horizontal="center" vertical="center" wrapText="1"/>
    </xf>
    <xf numFmtId="0" fontId="1" fillId="16" borderId="23" xfId="0" applyFont="1" applyFill="1" applyBorder="1" applyAlignment="1">
      <alignment vertical="top" wrapText="1"/>
    </xf>
    <xf numFmtId="3" fontId="2" fillId="5" borderId="27" xfId="0" applyNumberFormat="1" applyFont="1" applyFill="1" applyBorder="1" applyAlignment="1">
      <alignment horizontal="center" vertical="center" wrapText="1"/>
    </xf>
    <xf numFmtId="3" fontId="28" fillId="0" borderId="6" xfId="0" applyNumberFormat="1" applyFont="1" applyBorder="1" applyAlignment="1">
      <alignment horizontal="left" wrapText="1"/>
    </xf>
    <xf numFmtId="0" fontId="25" fillId="0" borderId="0" xfId="0" applyFont="1"/>
    <xf numFmtId="0" fontId="29" fillId="0" borderId="10" xfId="0" applyFont="1" applyBorder="1" applyAlignment="1">
      <alignment horizontal="center" vertical="center" wrapText="1"/>
    </xf>
    <xf numFmtId="0" fontId="29" fillId="0" borderId="29"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18" xfId="0" applyFont="1" applyBorder="1" applyAlignment="1">
      <alignment horizontal="center" vertical="center" wrapText="1"/>
    </xf>
    <xf numFmtId="0" fontId="28" fillId="0" borderId="109" xfId="0" applyFont="1" applyBorder="1" applyAlignment="1">
      <alignment horizontal="center" vertical="center" wrapText="1"/>
    </xf>
    <xf numFmtId="0" fontId="28" fillId="0" borderId="15" xfId="0" applyFont="1" applyBorder="1" applyAlignment="1">
      <alignment horizontal="center" vertical="center" wrapText="1"/>
    </xf>
    <xf numFmtId="168" fontId="52" fillId="0" borderId="36" xfId="0" applyNumberFormat="1" applyFont="1" applyBorder="1" applyAlignment="1">
      <alignment horizontal="center" vertical="center" wrapText="1"/>
    </xf>
    <xf numFmtId="14" fontId="52" fillId="5" borderId="55" xfId="0" applyNumberFormat="1" applyFont="1" applyFill="1" applyBorder="1" applyAlignment="1">
      <alignment horizontal="center" vertical="center" wrapText="1"/>
    </xf>
    <xf numFmtId="3" fontId="24" fillId="16" borderId="19" xfId="0" quotePrefix="1" applyNumberFormat="1" applyFont="1" applyFill="1" applyBorder="1" applyAlignment="1">
      <alignment horizontal="center" vertical="center" wrapText="1"/>
    </xf>
    <xf numFmtId="3" fontId="24" fillId="16" borderId="14" xfId="0" applyNumberFormat="1" applyFont="1" applyFill="1" applyBorder="1" applyAlignment="1">
      <alignment horizontal="center" vertical="center" wrapText="1"/>
    </xf>
    <xf numFmtId="3" fontId="24" fillId="16" borderId="19" xfId="0" applyNumberFormat="1" applyFont="1" applyFill="1" applyBorder="1" applyAlignment="1">
      <alignment horizontal="center" vertical="center" wrapText="1"/>
    </xf>
    <xf numFmtId="0" fontId="13" fillId="0" borderId="66" xfId="0" applyFont="1" applyBorder="1" applyAlignment="1">
      <alignment wrapText="1"/>
    </xf>
    <xf numFmtId="0" fontId="13" fillId="13" borderId="55" xfId="0" applyFont="1" applyFill="1" applyBorder="1" applyAlignment="1">
      <alignment wrapText="1"/>
    </xf>
    <xf numFmtId="0" fontId="13" fillId="0" borderId="69" xfId="0" applyFont="1" applyBorder="1" applyAlignment="1">
      <alignment wrapText="1"/>
    </xf>
    <xf numFmtId="168" fontId="13" fillId="0" borderId="34" xfId="0" applyNumberFormat="1" applyFont="1" applyBorder="1" applyAlignment="1">
      <alignment horizontal="center" vertical="center" wrapText="1"/>
    </xf>
    <xf numFmtId="0" fontId="13" fillId="0" borderId="34" xfId="0" applyFont="1" applyBorder="1" applyAlignment="1">
      <alignment horizontal="left" wrapText="1"/>
    </xf>
    <xf numFmtId="0" fontId="13" fillId="0" borderId="34" xfId="0" applyFont="1" applyBorder="1" applyAlignment="1">
      <alignment horizontal="center" wrapText="1"/>
    </xf>
    <xf numFmtId="0" fontId="52" fillId="13" borderId="36" xfId="0" applyFont="1" applyFill="1" applyBorder="1" applyAlignment="1">
      <alignment horizontal="center" vertical="center" wrapText="1"/>
    </xf>
    <xf numFmtId="0" fontId="13" fillId="0" borderId="36" xfId="0" applyFont="1" applyBorder="1" applyAlignment="1">
      <alignment wrapText="1"/>
    </xf>
    <xf numFmtId="0" fontId="39" fillId="0" borderId="57" xfId="0" applyFont="1" applyBorder="1" applyAlignment="1">
      <alignment horizontal="center" vertical="center" wrapText="1"/>
    </xf>
    <xf numFmtId="0" fontId="39" fillId="0" borderId="53" xfId="0" applyFont="1" applyBorder="1" applyAlignment="1">
      <alignment horizontal="center" vertical="center" wrapText="1"/>
    </xf>
    <xf numFmtId="0" fontId="39" fillId="0" borderId="58" xfId="0" applyFont="1" applyBorder="1" applyAlignment="1">
      <alignment horizontal="center" vertical="center" wrapText="1"/>
    </xf>
    <xf numFmtId="0" fontId="52" fillId="0" borderId="93" xfId="0" applyFont="1" applyBorder="1" applyAlignment="1">
      <alignment horizontal="center" vertical="center" wrapText="1"/>
    </xf>
    <xf numFmtId="0" fontId="52" fillId="0" borderId="94" xfId="0" applyFont="1" applyBorder="1" applyAlignment="1">
      <alignment horizontal="center" vertical="center" wrapText="1"/>
    </xf>
    <xf numFmtId="0" fontId="52" fillId="13" borderId="94" xfId="0" applyFont="1" applyFill="1" applyBorder="1" applyAlignment="1">
      <alignment horizontal="center" vertical="center" wrapText="1"/>
    </xf>
    <xf numFmtId="0" fontId="24" fillId="0" borderId="42" xfId="0" applyFont="1" applyBorder="1" applyAlignment="1">
      <alignment horizontal="center" vertical="center" wrapText="1"/>
    </xf>
    <xf numFmtId="0" fontId="24" fillId="0" borderId="91" xfId="0" applyFont="1" applyBorder="1" applyAlignment="1">
      <alignment horizontal="center" vertical="center" wrapText="1"/>
    </xf>
    <xf numFmtId="0" fontId="39" fillId="0" borderId="59" xfId="0" applyFont="1" applyBorder="1" applyAlignment="1">
      <alignment horizontal="center" vertical="center" wrapText="1"/>
    </xf>
    <xf numFmtId="0" fontId="18" fillId="0" borderId="36" xfId="0" applyFont="1" applyBorder="1" applyAlignment="1">
      <alignment horizontal="center" vertical="center" wrapText="1"/>
    </xf>
    <xf numFmtId="0" fontId="18" fillId="0" borderId="79" xfId="0" applyFont="1" applyBorder="1" applyAlignment="1">
      <alignment horizontal="center" vertical="center" wrapText="1"/>
    </xf>
    <xf numFmtId="0" fontId="18" fillId="0" borderId="34" xfId="0" applyFont="1" applyBorder="1" applyAlignment="1">
      <alignment horizontal="center" vertical="center" wrapText="1"/>
    </xf>
    <xf numFmtId="3" fontId="19" fillId="5" borderId="34" xfId="0" applyNumberFormat="1" applyFont="1" applyFill="1" applyBorder="1" applyAlignment="1">
      <alignment horizontal="center" vertical="center" wrapText="1"/>
    </xf>
    <xf numFmtId="3" fontId="19" fillId="0" borderId="34" xfId="0" applyNumberFormat="1" applyFont="1" applyBorder="1" applyAlignment="1">
      <alignment horizontal="center" vertical="center" wrapText="1"/>
    </xf>
    <xf numFmtId="3" fontId="19" fillId="13" borderId="34" xfId="0" applyNumberFormat="1" applyFont="1" applyFill="1" applyBorder="1" applyAlignment="1">
      <alignment horizontal="center" vertical="center" wrapText="1"/>
    </xf>
    <xf numFmtId="0" fontId="28" fillId="0" borderId="34" xfId="0" applyFont="1" applyBorder="1" applyAlignment="1">
      <alignment horizontal="center" vertical="center" wrapText="1"/>
    </xf>
    <xf numFmtId="3" fontId="26" fillId="5" borderId="34" xfId="0" applyNumberFormat="1" applyFont="1" applyFill="1" applyBorder="1" applyAlignment="1">
      <alignment horizontal="center" vertical="center" wrapText="1"/>
    </xf>
    <xf numFmtId="3" fontId="26" fillId="0" borderId="34" xfId="0" applyNumberFormat="1" applyFont="1" applyBorder="1" applyAlignment="1">
      <alignment horizontal="center" vertical="center" wrapText="1"/>
    </xf>
    <xf numFmtId="3" fontId="26" fillId="13" borderId="34" xfId="0" applyNumberFormat="1" applyFont="1" applyFill="1" applyBorder="1" applyAlignment="1">
      <alignment horizontal="center" vertical="center" wrapText="1"/>
    </xf>
    <xf numFmtId="3" fontId="19" fillId="5" borderId="36" xfId="0" applyNumberFormat="1" applyFont="1" applyFill="1" applyBorder="1" applyAlignment="1">
      <alignment horizontal="center" vertical="center" wrapText="1"/>
    </xf>
    <xf numFmtId="3" fontId="19" fillId="0" borderId="36" xfId="0" applyNumberFormat="1" applyFont="1" applyBorder="1" applyAlignment="1">
      <alignment horizontal="center" vertical="center" wrapText="1"/>
    </xf>
    <xf numFmtId="3" fontId="19" fillId="13" borderId="36" xfId="0" applyNumberFormat="1" applyFont="1" applyFill="1" applyBorder="1" applyAlignment="1">
      <alignment horizontal="center" vertical="center" wrapText="1"/>
    </xf>
    <xf numFmtId="0" fontId="21" fillId="5" borderId="40" xfId="0" applyFont="1" applyFill="1" applyBorder="1" applyAlignment="1">
      <alignment horizontal="center" vertical="center" wrapText="1"/>
    </xf>
    <xf numFmtId="3" fontId="21" fillId="5" borderId="79" xfId="0" applyNumberFormat="1" applyFont="1" applyFill="1" applyBorder="1" applyAlignment="1">
      <alignment horizontal="center" vertical="center" wrapText="1"/>
    </xf>
    <xf numFmtId="3" fontId="21" fillId="5" borderId="69" xfId="0" applyNumberFormat="1" applyFont="1" applyFill="1" applyBorder="1" applyAlignment="1">
      <alignment horizontal="center" vertical="center" wrapText="1"/>
    </xf>
    <xf numFmtId="3" fontId="25" fillId="5" borderId="69" xfId="0" applyNumberFormat="1" applyFont="1" applyFill="1" applyBorder="1" applyAlignment="1">
      <alignment horizontal="center" vertical="center" wrapText="1"/>
    </xf>
    <xf numFmtId="3" fontId="21" fillId="0" borderId="130" xfId="0" applyNumberFormat="1" applyFont="1" applyBorder="1" applyAlignment="1">
      <alignment horizontal="center" vertical="center" wrapText="1"/>
    </xf>
    <xf numFmtId="3" fontId="21" fillId="0" borderId="95" xfId="0" applyNumberFormat="1" applyFont="1" applyBorder="1" applyAlignment="1">
      <alignment horizontal="center" vertical="center" wrapText="1"/>
    </xf>
    <xf numFmtId="3" fontId="25" fillId="0" borderId="95" xfId="0" applyNumberFormat="1" applyFont="1" applyBorder="1" applyAlignment="1">
      <alignment horizontal="center" vertical="center" wrapText="1"/>
    </xf>
    <xf numFmtId="3" fontId="21" fillId="0" borderId="131" xfId="0" applyNumberFormat="1" applyFont="1" applyBorder="1" applyAlignment="1">
      <alignment horizontal="center" vertical="center" wrapText="1"/>
    </xf>
    <xf numFmtId="0" fontId="46" fillId="0" borderId="34" xfId="0" applyFont="1" applyBorder="1" applyAlignment="1">
      <alignment horizontal="center" vertical="center" wrapText="1"/>
    </xf>
    <xf numFmtId="0" fontId="46" fillId="0" borderId="34" xfId="0" applyFont="1" applyBorder="1" applyAlignment="1">
      <alignment vertical="top" wrapText="1"/>
    </xf>
    <xf numFmtId="3" fontId="46" fillId="0" borderId="34" xfId="0" applyNumberFormat="1" applyFont="1" applyBorder="1" applyAlignment="1">
      <alignment horizontal="center" vertical="center" wrapText="1"/>
    </xf>
    <xf numFmtId="0" fontId="46" fillId="0" borderId="36" xfId="0" applyFont="1" applyBorder="1" applyAlignment="1">
      <alignment horizontal="center" vertical="center" wrapText="1"/>
    </xf>
    <xf numFmtId="0" fontId="46" fillId="0" borderId="36" xfId="0" applyFont="1" applyBorder="1" applyAlignment="1">
      <alignment vertical="top" wrapText="1"/>
    </xf>
    <xf numFmtId="0" fontId="29" fillId="0" borderId="19" xfId="0" applyFont="1" applyBorder="1" applyAlignment="1">
      <alignment horizontal="center" vertical="center" wrapText="1"/>
    </xf>
    <xf numFmtId="0" fontId="28" fillId="15" borderId="34" xfId="0" applyFont="1" applyFill="1" applyBorder="1" applyAlignment="1">
      <alignment horizontal="center" vertical="center" wrapText="1"/>
    </xf>
    <xf numFmtId="0" fontId="28" fillId="15" borderId="34" xfId="0" applyFont="1" applyFill="1" applyBorder="1" applyAlignment="1">
      <alignment horizontal="left" vertical="center" wrapText="1"/>
    </xf>
    <xf numFmtId="0" fontId="28" fillId="0" borderId="34" xfId="0" applyFont="1" applyBorder="1" applyAlignment="1">
      <alignment horizontal="left" vertical="center" wrapText="1"/>
    </xf>
    <xf numFmtId="0" fontId="26" fillId="0" borderId="34" xfId="0" applyFont="1" applyBorder="1" applyAlignment="1">
      <alignment horizontal="center" vertical="center" wrapText="1"/>
    </xf>
    <xf numFmtId="0" fontId="28" fillId="0" borderId="34" xfId="0" applyFont="1" applyBorder="1" applyAlignment="1">
      <alignment wrapText="1"/>
    </xf>
    <xf numFmtId="167" fontId="52" fillId="0" borderId="0" xfId="0" applyNumberFormat="1" applyFont="1" applyAlignment="1">
      <alignment horizontal="center" vertical="center" wrapText="1"/>
    </xf>
    <xf numFmtId="0" fontId="4" fillId="0" borderId="5" xfId="0" applyFont="1" applyBorder="1" applyAlignment="1">
      <alignment horizontal="left" vertical="center" wrapText="1"/>
    </xf>
    <xf numFmtId="16" fontId="41" fillId="7" borderId="23" xfId="0" applyNumberFormat="1" applyFont="1" applyFill="1" applyBorder="1" applyAlignment="1">
      <alignment horizontal="center" vertical="center" wrapText="1"/>
    </xf>
    <xf numFmtId="14" fontId="40" fillId="6" borderId="23" xfId="0" applyNumberFormat="1" applyFont="1" applyFill="1" applyBorder="1" applyAlignment="1">
      <alignment horizontal="center" vertical="center" wrapText="1"/>
    </xf>
    <xf numFmtId="0" fontId="27" fillId="16" borderId="23" xfId="0" applyFont="1" applyFill="1" applyBorder="1" applyAlignment="1">
      <alignment horizontal="center" vertical="center" wrapText="1"/>
    </xf>
    <xf numFmtId="0" fontId="12" fillId="16" borderId="23" xfId="0" applyFont="1" applyFill="1" applyBorder="1" applyAlignment="1">
      <alignment horizontal="center" vertical="center" wrapText="1"/>
    </xf>
    <xf numFmtId="0" fontId="12" fillId="16" borderId="23" xfId="0" applyFont="1" applyFill="1" applyBorder="1" applyAlignment="1">
      <alignment vertical="top" wrapText="1"/>
    </xf>
    <xf numFmtId="0" fontId="12" fillId="16" borderId="13" xfId="0" applyFont="1" applyFill="1" applyBorder="1" applyAlignment="1">
      <alignment horizontal="left" vertical="center" wrapText="1"/>
    </xf>
    <xf numFmtId="14" fontId="29" fillId="6" borderId="23" xfId="0" applyNumberFormat="1" applyFont="1" applyFill="1" applyBorder="1" applyAlignment="1">
      <alignment horizontal="center" vertical="center" wrapText="1"/>
    </xf>
    <xf numFmtId="16" fontId="34" fillId="7" borderId="23" xfId="0" applyNumberFormat="1" applyFont="1" applyFill="1" applyBorder="1" applyAlignment="1">
      <alignment horizontal="center" vertical="center" wrapText="1"/>
    </xf>
    <xf numFmtId="16" fontId="29" fillId="7" borderId="23" xfId="0" applyNumberFormat="1" applyFont="1" applyFill="1" applyBorder="1" applyAlignment="1">
      <alignment horizontal="center" vertical="center" wrapText="1"/>
    </xf>
    <xf numFmtId="2" fontId="2" fillId="0" borderId="19" xfId="0" applyNumberFormat="1" applyFont="1" applyBorder="1" applyAlignment="1">
      <alignment horizontal="center" vertical="center" wrapText="1"/>
    </xf>
    <xf numFmtId="4" fontId="1" fillId="0" borderId="6" xfId="0" applyNumberFormat="1" applyFont="1" applyBorder="1" applyAlignment="1">
      <alignment horizontal="center" vertical="center" wrapText="1"/>
    </xf>
    <xf numFmtId="0" fontId="4" fillId="13" borderId="6" xfId="0" applyFont="1" applyFill="1" applyBorder="1" applyAlignment="1">
      <alignment horizontal="center" vertical="top" wrapText="1"/>
    </xf>
    <xf numFmtId="0" fontId="2" fillId="0" borderId="15" xfId="0" applyFont="1" applyBorder="1" applyAlignment="1">
      <alignment vertical="center" wrapText="1"/>
    </xf>
    <xf numFmtId="3" fontId="2" fillId="0" borderId="7" xfId="0" applyNumberFormat="1" applyFont="1" applyBorder="1" applyAlignment="1">
      <alignment horizontal="center" vertical="center" wrapText="1"/>
    </xf>
    <xf numFmtId="14" fontId="14" fillId="0" borderId="13" xfId="0" applyNumberFormat="1" applyFont="1" applyBorder="1" applyAlignment="1">
      <alignment horizontal="center" vertical="center" wrapText="1"/>
    </xf>
    <xf numFmtId="3" fontId="1" fillId="0" borderId="7" xfId="0" applyNumberFormat="1" applyFont="1" applyBorder="1" applyAlignment="1">
      <alignment horizontal="center" vertical="center" wrapText="1"/>
    </xf>
    <xf numFmtId="3" fontId="5" fillId="0" borderId="15" xfId="0" applyNumberFormat="1" applyFont="1" applyBorder="1" applyAlignment="1">
      <alignment horizontal="center" vertical="center" wrapText="1"/>
    </xf>
    <xf numFmtId="0" fontId="76" fillId="0" borderId="19" xfId="0" applyFont="1" applyBorder="1" applyAlignment="1">
      <alignment vertical="top" wrapText="1"/>
    </xf>
    <xf numFmtId="0" fontId="76" fillId="0" borderId="15" xfId="0" applyFont="1" applyBorder="1" applyAlignment="1">
      <alignment vertical="top" wrapText="1"/>
    </xf>
    <xf numFmtId="0" fontId="76" fillId="0" borderId="19" xfId="0" applyFont="1" applyBorder="1" applyAlignment="1">
      <alignment horizontal="center" vertical="center" wrapText="1"/>
    </xf>
    <xf numFmtId="3" fontId="76" fillId="0" borderId="19" xfId="0" applyNumberFormat="1" applyFont="1" applyBorder="1" applyAlignment="1">
      <alignment horizontal="center" vertical="center" wrapText="1"/>
    </xf>
    <xf numFmtId="3" fontId="14" fillId="0" borderId="6" xfId="0" applyNumberFormat="1" applyFont="1" applyBorder="1" applyAlignment="1">
      <alignment horizontal="center" vertical="center" wrapText="1"/>
    </xf>
    <xf numFmtId="4" fontId="2" fillId="0" borderId="6" xfId="0" applyNumberFormat="1" applyFont="1" applyBorder="1" applyAlignment="1">
      <alignment horizontal="center" vertical="center" wrapText="1"/>
    </xf>
    <xf numFmtId="14" fontId="2" fillId="0" borderId="13" xfId="0" applyNumberFormat="1" applyFont="1" applyBorder="1" applyAlignment="1">
      <alignment horizontal="center" vertical="center" wrapText="1"/>
    </xf>
    <xf numFmtId="3" fontId="1" fillId="0" borderId="10" xfId="0" applyNumberFormat="1" applyFont="1" applyBorder="1" applyAlignment="1">
      <alignment horizontal="center" vertical="center" wrapText="1"/>
    </xf>
    <xf numFmtId="0" fontId="1" fillId="13" borderId="19" xfId="0" applyFont="1" applyFill="1" applyBorder="1" applyAlignment="1">
      <alignment horizontal="left" vertical="center" wrapText="1"/>
    </xf>
    <xf numFmtId="0" fontId="1" fillId="13" borderId="27" xfId="0" applyFont="1" applyFill="1" applyBorder="1" applyAlignment="1">
      <alignment horizontal="left" vertical="center" wrapText="1"/>
    </xf>
    <xf numFmtId="0" fontId="2" fillId="0" borderId="6" xfId="0" applyFont="1" applyBorder="1" applyAlignment="1">
      <alignment vertical="center" wrapText="1"/>
    </xf>
    <xf numFmtId="166" fontId="2" fillId="0" borderId="6" xfId="0" applyNumberFormat="1" applyFont="1" applyBorder="1" applyAlignment="1">
      <alignment horizontal="center" vertical="center" wrapText="1"/>
    </xf>
    <xf numFmtId="166" fontId="2" fillId="0" borderId="19" xfId="0" applyNumberFormat="1" applyFont="1" applyBorder="1" applyAlignment="1">
      <alignment horizontal="center" vertical="center" wrapText="1"/>
    </xf>
    <xf numFmtId="14" fontId="14" fillId="0" borderId="27" xfId="0" applyNumberFormat="1" applyFont="1" applyBorder="1" applyAlignment="1">
      <alignment horizontal="center" vertical="center" wrapText="1"/>
    </xf>
    <xf numFmtId="0" fontId="1" fillId="0" borderId="0" xfId="0" applyFont="1"/>
    <xf numFmtId="3" fontId="2" fillId="0" borderId="15" xfId="0" applyNumberFormat="1" applyFont="1" applyBorder="1" applyAlignment="1">
      <alignment horizontal="center" vertical="center" wrapText="1"/>
    </xf>
    <xf numFmtId="14" fontId="13" fillId="0" borderId="6" xfId="0" applyNumberFormat="1" applyFont="1" applyBorder="1" applyAlignment="1">
      <alignment horizontal="center" vertical="center" wrapText="1"/>
    </xf>
    <xf numFmtId="0" fontId="73" fillId="0" borderId="15" xfId="0" applyFont="1" applyBorder="1" applyAlignment="1">
      <alignment horizontal="center" vertical="center" wrapText="1"/>
    </xf>
    <xf numFmtId="0" fontId="13" fillId="0" borderId="0" xfId="0" applyFont="1" applyAlignment="1">
      <alignment horizontal="center" vertical="center"/>
    </xf>
    <xf numFmtId="3" fontId="1" fillId="18" borderId="15" xfId="0" applyNumberFormat="1" applyFont="1" applyFill="1" applyBorder="1" applyAlignment="1">
      <alignment horizontal="center" vertical="center" wrapText="1"/>
    </xf>
    <xf numFmtId="3" fontId="7" fillId="18" borderId="6" xfId="0" applyNumberFormat="1" applyFont="1" applyFill="1" applyBorder="1" applyAlignment="1">
      <alignment horizontal="center" vertical="center" wrapText="1"/>
    </xf>
    <xf numFmtId="3" fontId="46" fillId="0" borderId="6" xfId="0" applyNumberFormat="1" applyFont="1" applyBorder="1" applyAlignment="1">
      <alignment horizontal="center" vertical="center" wrapText="1"/>
    </xf>
    <xf numFmtId="3" fontId="46" fillId="8" borderId="6" xfId="0" applyNumberFormat="1" applyFont="1" applyFill="1" applyBorder="1" applyAlignment="1">
      <alignment horizontal="center" wrapText="1"/>
    </xf>
    <xf numFmtId="3" fontId="46" fillId="0" borderId="19" xfId="0" applyNumberFormat="1" applyFont="1" applyBorder="1" applyAlignment="1">
      <alignment horizontal="center" vertical="center" wrapText="1"/>
    </xf>
    <xf numFmtId="3" fontId="46" fillId="0" borderId="6" xfId="0" applyNumberFormat="1" applyFont="1" applyBorder="1" applyAlignment="1">
      <alignment horizontal="center"/>
    </xf>
    <xf numFmtId="3" fontId="46" fillId="0" borderId="6" xfId="0" applyNumberFormat="1" applyFont="1" applyBorder="1" applyAlignment="1">
      <alignment horizontal="center" vertical="center"/>
    </xf>
    <xf numFmtId="3" fontId="40" fillId="3" borderId="7" xfId="0" applyNumberFormat="1" applyFont="1" applyFill="1" applyBorder="1" applyAlignment="1">
      <alignment horizontal="center"/>
    </xf>
    <xf numFmtId="3" fontId="1" fillId="10" borderId="15" xfId="0" applyNumberFormat="1" applyFont="1" applyFill="1" applyBorder="1" applyAlignment="1">
      <alignment horizontal="center" vertical="center" wrapText="1"/>
    </xf>
    <xf numFmtId="3" fontId="46" fillId="10" borderId="6" xfId="0" applyNumberFormat="1" applyFont="1" applyFill="1" applyBorder="1" applyAlignment="1">
      <alignment horizontal="center" vertical="center" wrapText="1"/>
    </xf>
    <xf numFmtId="0" fontId="13" fillId="10" borderId="49" xfId="0" applyFont="1" applyFill="1" applyBorder="1" applyAlignment="1">
      <alignment horizontal="left" vertical="center" wrapText="1"/>
    </xf>
    <xf numFmtId="3" fontId="7" fillId="6" borderId="6" xfId="0" applyNumberFormat="1" applyFont="1" applyFill="1" applyBorder="1" applyAlignment="1">
      <alignment horizontal="center" vertical="center" wrapText="1"/>
    </xf>
    <xf numFmtId="3" fontId="34" fillId="0" borderId="0" xfId="0" applyNumberFormat="1" applyFont="1" applyAlignment="1">
      <alignment horizontal="center"/>
    </xf>
    <xf numFmtId="1" fontId="2" fillId="0" borderId="19" xfId="0" applyNumberFormat="1" applyFont="1" applyBorder="1" applyAlignment="1">
      <alignment horizontal="center" vertical="center" wrapText="1"/>
    </xf>
    <xf numFmtId="0" fontId="74" fillId="0" borderId="13" xfId="0" applyFont="1" applyBorder="1" applyAlignment="1">
      <alignment horizontal="center" vertical="center" wrapText="1"/>
    </xf>
    <xf numFmtId="0" fontId="28" fillId="0" borderId="27" xfId="0" applyFont="1" applyBorder="1" applyAlignment="1">
      <alignment horizontal="left" vertical="center" wrapText="1"/>
    </xf>
    <xf numFmtId="0" fontId="28" fillId="0" borderId="6" xfId="0" applyFont="1" applyBorder="1" applyAlignment="1">
      <alignment horizontal="left" vertical="center" wrapText="1"/>
    </xf>
    <xf numFmtId="0" fontId="28" fillId="0" borderId="24" xfId="0" applyFont="1" applyBorder="1" applyAlignment="1">
      <alignment horizontal="center" vertical="center" wrapText="1"/>
    </xf>
    <xf numFmtId="0" fontId="28" fillId="0" borderId="9" xfId="0" applyFont="1" applyBorder="1" applyAlignment="1">
      <alignment horizontal="center" vertical="center" wrapText="1"/>
    </xf>
    <xf numFmtId="0" fontId="40" fillId="0" borderId="0" xfId="0" applyFont="1"/>
    <xf numFmtId="0" fontId="5" fillId="0" borderId="0" xfId="0" applyFont="1" applyAlignment="1">
      <alignment horizontal="center" vertical="center"/>
    </xf>
    <xf numFmtId="0" fontId="40" fillId="0" borderId="23" xfId="0" applyFont="1" applyBorder="1" applyAlignment="1">
      <alignment horizontal="center" vertical="top"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10" fillId="0" borderId="6" xfId="0" applyFont="1" applyBorder="1" applyAlignment="1">
      <alignment horizontal="center" vertical="center" wrapText="1"/>
    </xf>
    <xf numFmtId="0" fontId="4" fillId="0" borderId="13" xfId="0" applyFont="1" applyBorder="1" applyAlignment="1">
      <alignment horizontal="center" vertical="center" wrapText="1"/>
    </xf>
    <xf numFmtId="1" fontId="4" fillId="0" borderId="19" xfId="0" applyNumberFormat="1" applyFont="1" applyBorder="1" applyAlignment="1">
      <alignment horizontal="center" vertical="center" wrapText="1"/>
    </xf>
    <xf numFmtId="1" fontId="2" fillId="0" borderId="6" xfId="0" applyNumberFormat="1" applyFont="1" applyBorder="1" applyAlignment="1">
      <alignment vertical="top" wrapText="1"/>
    </xf>
    <xf numFmtId="0" fontId="2" fillId="0" borderId="6" xfId="0" applyFont="1" applyBorder="1" applyAlignment="1">
      <alignment horizontal="center" vertical="top" wrapText="1"/>
    </xf>
    <xf numFmtId="0" fontId="2" fillId="0" borderId="27" xfId="0" applyFont="1" applyBorder="1" applyAlignment="1">
      <alignment horizontal="center" vertical="top" wrapText="1"/>
    </xf>
    <xf numFmtId="0" fontId="2" fillId="0" borderId="19" xfId="0" applyFont="1" applyBorder="1" applyAlignment="1">
      <alignment horizontal="center" vertical="top" wrapText="1"/>
    </xf>
    <xf numFmtId="0" fontId="2" fillId="0" borderId="23" xfId="0" applyFont="1" applyBorder="1" applyAlignment="1">
      <alignment vertical="top" wrapText="1"/>
    </xf>
    <xf numFmtId="16" fontId="41" fillId="0" borderId="5" xfId="0" applyNumberFormat="1" applyFont="1" applyBorder="1" applyAlignment="1">
      <alignment horizontal="center" vertical="center" wrapText="1"/>
    </xf>
    <xf numFmtId="3" fontId="41" fillId="0" borderId="6" xfId="0" applyNumberFormat="1" applyFont="1" applyBorder="1" applyAlignment="1">
      <alignment horizontal="center" vertical="center" wrapText="1"/>
    </xf>
    <xf numFmtId="3" fontId="1" fillId="0" borderId="27" xfId="0" applyNumberFormat="1" applyFont="1" applyBorder="1" applyAlignment="1">
      <alignment horizontal="center" vertical="center" wrapText="1"/>
    </xf>
    <xf numFmtId="2" fontId="5" fillId="0" borderId="0" xfId="0" applyNumberFormat="1" applyFont="1"/>
    <xf numFmtId="14" fontId="5" fillId="0" borderId="0" xfId="0" applyNumberFormat="1" applyFont="1"/>
    <xf numFmtId="14" fontId="40" fillId="0" borderId="5" xfId="0" applyNumberFormat="1" applyFont="1" applyBorder="1" applyAlignment="1">
      <alignment horizontal="center" vertical="center" wrapText="1"/>
    </xf>
    <xf numFmtId="3" fontId="40" fillId="0" borderId="6" xfId="0" applyNumberFormat="1" applyFont="1" applyBorder="1" applyAlignment="1">
      <alignment horizontal="center" vertical="center" wrapText="1"/>
    </xf>
    <xf numFmtId="0" fontId="27" fillId="0" borderId="5" xfId="0" applyFont="1" applyBorder="1" applyAlignment="1">
      <alignment horizontal="center" vertical="center" wrapText="1"/>
    </xf>
    <xf numFmtId="3" fontId="27" fillId="0" borderId="6" xfId="0" applyNumberFormat="1" applyFont="1" applyBorder="1" applyAlignment="1">
      <alignment horizontal="center" vertical="center" wrapText="1"/>
    </xf>
    <xf numFmtId="0" fontId="14" fillId="0" borderId="6" xfId="0" applyFont="1" applyBorder="1" applyAlignment="1">
      <alignment horizontal="center" vertical="center" wrapText="1"/>
    </xf>
    <xf numFmtId="1" fontId="14" fillId="0" borderId="24" xfId="0" applyNumberFormat="1" applyFont="1" applyBorder="1" applyAlignment="1">
      <alignment horizontal="center" vertical="center" wrapText="1"/>
    </xf>
    <xf numFmtId="3" fontId="13" fillId="0" borderId="27" xfId="0" applyNumberFormat="1" applyFont="1" applyBorder="1" applyAlignment="1">
      <alignment horizontal="center" vertical="center" wrapText="1"/>
    </xf>
    <xf numFmtId="168" fontId="14" fillId="0" borderId="19" xfId="0" applyNumberFormat="1" applyFont="1" applyBorder="1" applyAlignment="1">
      <alignment horizontal="center" vertical="center" wrapText="1"/>
    </xf>
    <xf numFmtId="3" fontId="1" fillId="0" borderId="23" xfId="0" applyNumberFormat="1" applyFont="1" applyBorder="1" applyAlignment="1">
      <alignment horizontal="center" vertical="center" wrapText="1"/>
    </xf>
    <xf numFmtId="4" fontId="1" fillId="0" borderId="34" xfId="0" applyNumberFormat="1" applyFont="1" applyBorder="1" applyAlignment="1">
      <alignment horizontal="center" vertical="center" wrapText="1"/>
    </xf>
    <xf numFmtId="14" fontId="1" fillId="0" borderId="19" xfId="0" applyNumberFormat="1" applyFont="1" applyBorder="1" applyAlignment="1">
      <alignment horizontal="center" vertical="center" wrapText="1"/>
    </xf>
    <xf numFmtId="4" fontId="1" fillId="0" borderId="55" xfId="0" applyNumberFormat="1" applyFont="1" applyBorder="1" applyAlignment="1">
      <alignment horizontal="center" vertical="center" wrapText="1"/>
    </xf>
    <xf numFmtId="4" fontId="1" fillId="0" borderId="36" xfId="0" quotePrefix="1" applyNumberFormat="1" applyFont="1" applyBorder="1" applyAlignment="1">
      <alignment horizontal="center" vertical="center" wrapText="1"/>
    </xf>
    <xf numFmtId="3" fontId="24" fillId="0" borderId="6" xfId="0" applyNumberFormat="1" applyFont="1" applyBorder="1" applyAlignment="1">
      <alignment horizontal="center" vertical="center" wrapText="1"/>
    </xf>
    <xf numFmtId="166" fontId="24" fillId="0" borderId="6" xfId="0" applyNumberFormat="1" applyFont="1" applyBorder="1" applyAlignment="1">
      <alignment horizontal="center" vertical="center" wrapText="1"/>
    </xf>
    <xf numFmtId="0" fontId="24" fillId="0" borderId="6" xfId="0" applyFont="1" applyBorder="1" applyAlignment="1">
      <alignment horizontal="center" vertical="center" wrapText="1"/>
    </xf>
    <xf numFmtId="1" fontId="24" fillId="0" borderId="6" xfId="0" applyNumberFormat="1" applyFont="1" applyBorder="1" applyAlignment="1">
      <alignment horizontal="center" vertical="center" wrapText="1"/>
    </xf>
    <xf numFmtId="3" fontId="13" fillId="0" borderId="6" xfId="0" applyNumberFormat="1" applyFont="1" applyBorder="1" applyAlignment="1">
      <alignment horizontal="center" vertical="center" wrapText="1"/>
    </xf>
    <xf numFmtId="4" fontId="13" fillId="0" borderId="7" xfId="0" applyNumberFormat="1" applyFont="1" applyBorder="1" applyAlignment="1">
      <alignment horizontal="center" vertical="center" wrapText="1"/>
    </xf>
    <xf numFmtId="2" fontId="26" fillId="0" borderId="0" xfId="0" applyNumberFormat="1" applyFont="1"/>
    <xf numFmtId="166" fontId="27" fillId="0" borderId="6" xfId="0" applyNumberFormat="1" applyFont="1" applyBorder="1" applyAlignment="1">
      <alignment horizontal="center" vertical="center" wrapText="1"/>
    </xf>
    <xf numFmtId="0" fontId="27" fillId="0" borderId="6" xfId="0" applyFont="1" applyBorder="1" applyAlignment="1">
      <alignment horizontal="center" vertical="center" wrapText="1"/>
    </xf>
    <xf numFmtId="1" fontId="27" fillId="0" borderId="6" xfId="0" applyNumberFormat="1" applyFont="1" applyBorder="1" applyAlignment="1">
      <alignment horizontal="center" vertical="center" wrapText="1"/>
    </xf>
    <xf numFmtId="0" fontId="12" fillId="0" borderId="5" xfId="0" applyFont="1" applyBorder="1" applyAlignment="1">
      <alignment horizontal="center" vertical="center" wrapText="1"/>
    </xf>
    <xf numFmtId="3" fontId="1" fillId="0" borderId="26" xfId="0" applyNumberFormat="1" applyFont="1" applyBorder="1" applyAlignment="1">
      <alignment horizontal="center" vertical="center" wrapText="1"/>
    </xf>
    <xf numFmtId="166" fontId="1" fillId="0" borderId="6" xfId="0" applyNumberFormat="1" applyFont="1" applyBorder="1" applyAlignment="1">
      <alignment horizontal="center" vertical="center" wrapText="1"/>
    </xf>
    <xf numFmtId="168" fontId="2" fillId="0" borderId="19" xfId="0" applyNumberFormat="1" applyFont="1" applyBorder="1" applyAlignment="1">
      <alignment horizontal="center" vertical="center" wrapText="1"/>
    </xf>
    <xf numFmtId="3" fontId="14" fillId="0" borderId="0" xfId="0" applyNumberFormat="1" applyFont="1"/>
    <xf numFmtId="0" fontId="2" fillId="0" borderId="24" xfId="0" applyFont="1" applyBorder="1" applyAlignment="1">
      <alignment horizontal="center" vertical="center" wrapText="1"/>
    </xf>
    <xf numFmtId="16" fontId="34" fillId="0" borderId="5" xfId="0" applyNumberFormat="1" applyFont="1" applyBorder="1" applyAlignment="1">
      <alignment horizontal="center" vertical="center" wrapText="1"/>
    </xf>
    <xf numFmtId="0" fontId="14" fillId="0" borderId="15" xfId="0" applyFont="1" applyBorder="1" applyAlignment="1">
      <alignment horizontal="center" vertical="center" wrapText="1"/>
    </xf>
    <xf numFmtId="3" fontId="34" fillId="0" borderId="6" xfId="0" applyNumberFormat="1" applyFont="1" applyBorder="1" applyAlignment="1">
      <alignment horizontal="center" vertical="center" wrapText="1"/>
    </xf>
    <xf numFmtId="166" fontId="35" fillId="0" borderId="6" xfId="0" applyNumberFormat="1" applyFont="1" applyBorder="1" applyAlignment="1">
      <alignment horizontal="center" vertical="center" wrapText="1"/>
    </xf>
    <xf numFmtId="0" fontId="35" fillId="0" borderId="6" xfId="0" applyFont="1" applyBorder="1" applyAlignment="1">
      <alignment horizontal="center" vertical="center" wrapText="1"/>
    </xf>
    <xf numFmtId="1" fontId="35" fillId="0" borderId="6" xfId="0" applyNumberFormat="1" applyFont="1" applyBorder="1" applyAlignment="1">
      <alignment horizontal="center" vertical="center" wrapText="1"/>
    </xf>
    <xf numFmtId="166" fontId="28" fillId="0" borderId="6" xfId="0" applyNumberFormat="1" applyFont="1" applyBorder="1" applyAlignment="1">
      <alignment horizontal="center" vertical="center" wrapText="1"/>
    </xf>
    <xf numFmtId="0" fontId="28" fillId="0" borderId="6" xfId="0" applyFont="1" applyBorder="1" applyAlignment="1">
      <alignment horizontal="center" vertical="center" wrapText="1"/>
    </xf>
    <xf numFmtId="1" fontId="28" fillId="0" borderId="6" xfId="0" applyNumberFormat="1" applyFont="1" applyBorder="1" applyAlignment="1">
      <alignment horizontal="center" vertical="center" wrapText="1"/>
    </xf>
    <xf numFmtId="0" fontId="2" fillId="0" borderId="27" xfId="0" applyFont="1" applyBorder="1" applyAlignment="1">
      <alignment horizontal="left" vertical="center" wrapText="1"/>
    </xf>
    <xf numFmtId="166" fontId="14" fillId="0" borderId="27" xfId="0" applyNumberFormat="1" applyFont="1" applyBorder="1" applyAlignment="1">
      <alignment horizontal="center" vertical="center" wrapText="1"/>
    </xf>
    <xf numFmtId="168" fontId="14" fillId="0" borderId="27" xfId="0" applyNumberFormat="1" applyFont="1" applyBorder="1" applyAlignment="1">
      <alignment horizontal="center" vertical="center" wrapText="1"/>
    </xf>
    <xf numFmtId="0" fontId="27" fillId="0" borderId="19" xfId="0" applyFont="1" applyBorder="1" applyAlignment="1">
      <alignment horizontal="center" vertical="center" wrapText="1"/>
    </xf>
    <xf numFmtId="3" fontId="24" fillId="0" borderId="15" xfId="0" applyNumberFormat="1" applyFont="1" applyBorder="1" applyAlignment="1">
      <alignment horizontal="center" vertical="center" wrapText="1"/>
    </xf>
    <xf numFmtId="166" fontId="24" fillId="0" borderId="19" xfId="0" applyNumberFormat="1" applyFont="1" applyBorder="1" applyAlignment="1">
      <alignment horizontal="center" vertical="center" wrapText="1"/>
    </xf>
    <xf numFmtId="0" fontId="24" fillId="0" borderId="19" xfId="0" applyFont="1" applyBorder="1" applyAlignment="1">
      <alignment horizontal="center" vertical="center" wrapText="1"/>
    </xf>
    <xf numFmtId="1" fontId="24" fillId="0" borderId="19" xfId="0" applyNumberFormat="1" applyFont="1" applyBorder="1" applyAlignment="1">
      <alignment horizontal="center" vertical="center" wrapText="1"/>
    </xf>
    <xf numFmtId="166" fontId="29" fillId="0" borderId="6" xfId="0" applyNumberFormat="1" applyFont="1" applyBorder="1" applyAlignment="1">
      <alignment horizontal="center" vertical="center" wrapText="1"/>
    </xf>
    <xf numFmtId="0" fontId="29" fillId="0" borderId="6" xfId="0" applyFont="1" applyBorder="1" applyAlignment="1">
      <alignment horizontal="center" vertical="center" wrapText="1"/>
    </xf>
    <xf numFmtId="1" fontId="29" fillId="0" borderId="6" xfId="0" applyNumberFormat="1" applyFont="1" applyBorder="1" applyAlignment="1">
      <alignment horizontal="center" vertical="center" wrapText="1"/>
    </xf>
    <xf numFmtId="0" fontId="25" fillId="0" borderId="0" xfId="0" applyFont="1" applyAlignment="1">
      <alignment horizontal="center" vertical="center"/>
    </xf>
    <xf numFmtId="0" fontId="29" fillId="0" borderId="0" xfId="0" applyFont="1" applyAlignment="1">
      <alignment horizontal="left" vertical="center"/>
    </xf>
    <xf numFmtId="0" fontId="27" fillId="0" borderId="53" xfId="0" applyFont="1" applyBorder="1" applyAlignment="1">
      <alignment horizontal="center" vertical="center" wrapText="1"/>
    </xf>
    <xf numFmtId="0" fontId="56" fillId="0" borderId="105" xfId="0" applyFont="1" applyBorder="1" applyAlignment="1">
      <alignment horizontal="center" vertical="center" wrapText="1"/>
    </xf>
    <xf numFmtId="0" fontId="27" fillId="0" borderId="99" xfId="0" applyFont="1" applyBorder="1" applyAlignment="1">
      <alignment horizontal="center" vertical="center" wrapText="1"/>
    </xf>
    <xf numFmtId="0" fontId="56" fillId="0" borderId="106" xfId="0" applyFont="1" applyBorder="1" applyAlignment="1">
      <alignment horizontal="center" vertical="center" wrapText="1"/>
    </xf>
    <xf numFmtId="0" fontId="14" fillId="0" borderId="13" xfId="0" applyFont="1" applyBorder="1" applyAlignment="1">
      <alignment horizontal="center" vertical="center" wrapText="1"/>
    </xf>
    <xf numFmtId="0" fontId="27" fillId="0" borderId="58" xfId="0" applyFont="1" applyBorder="1" applyAlignment="1">
      <alignment horizontal="center" vertical="center" wrapText="1"/>
    </xf>
    <xf numFmtId="0" fontId="72" fillId="0" borderId="53"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15" xfId="0" applyFont="1" applyBorder="1" applyAlignment="1">
      <alignment horizontal="center" vertical="center" wrapText="1"/>
    </xf>
    <xf numFmtId="0" fontId="2" fillId="0" borderId="14" xfId="0" applyFont="1" applyBorder="1" applyAlignment="1">
      <alignment horizontal="center" vertical="center" wrapText="1"/>
    </xf>
    <xf numFmtId="0" fontId="12" fillId="0" borderId="19" xfId="0" applyFont="1" applyBorder="1" applyAlignment="1">
      <alignment horizontal="center" vertical="center" wrapText="1"/>
    </xf>
    <xf numFmtId="0" fontId="27" fillId="0" borderId="15" xfId="0" applyFont="1" applyBorder="1" applyAlignment="1">
      <alignment horizontal="center" vertical="center" wrapText="1"/>
    </xf>
    <xf numFmtId="0" fontId="14" fillId="0" borderId="53" xfId="0" applyFont="1" applyBorder="1" applyAlignment="1">
      <alignment horizontal="center" vertical="center" wrapText="1"/>
    </xf>
    <xf numFmtId="0" fontId="73" fillId="0" borderId="53" xfId="0" applyFont="1" applyBorder="1" applyAlignment="1">
      <alignment horizontal="center" vertical="center" wrapText="1"/>
    </xf>
    <xf numFmtId="0" fontId="14" fillId="0" borderId="58" xfId="0" applyFont="1" applyBorder="1" applyAlignment="1">
      <alignment horizontal="center" vertical="center" wrapText="1"/>
    </xf>
    <xf numFmtId="0" fontId="14" fillId="0" borderId="57" xfId="0" applyFont="1" applyBorder="1" applyAlignment="1">
      <alignment horizontal="center" vertical="center" wrapText="1"/>
    </xf>
    <xf numFmtId="0" fontId="14" fillId="0" borderId="54" xfId="0" applyFont="1" applyBorder="1" applyAlignment="1">
      <alignment horizontal="center" vertical="center" wrapText="1"/>
    </xf>
    <xf numFmtId="0" fontId="72" fillId="0" borderId="57" xfId="0" applyFont="1" applyBorder="1" applyAlignment="1">
      <alignment horizontal="center" vertical="center" wrapText="1"/>
    </xf>
    <xf numFmtId="0" fontId="12" fillId="0" borderId="15" xfId="0" applyFont="1" applyBorder="1" applyAlignment="1">
      <alignment horizontal="center" vertical="center" wrapText="1"/>
    </xf>
    <xf numFmtId="16" fontId="24" fillId="0" borderId="45" xfId="0" applyNumberFormat="1" applyFont="1" applyBorder="1" applyAlignment="1">
      <alignment horizontal="center" vertical="center" wrapText="1"/>
    </xf>
    <xf numFmtId="0" fontId="72" fillId="0" borderId="15" xfId="0" applyFont="1" applyBorder="1" applyAlignment="1">
      <alignment horizontal="center" vertical="center" wrapText="1"/>
    </xf>
    <xf numFmtId="0" fontId="13" fillId="0" borderId="23" xfId="0" applyFont="1" applyBorder="1" applyAlignment="1">
      <alignment horizontal="center" vertical="center" wrapText="1"/>
    </xf>
    <xf numFmtId="0" fontId="29" fillId="0" borderId="27" xfId="0" applyFont="1" applyBorder="1" applyAlignment="1">
      <alignment horizontal="center" vertical="center" wrapText="1"/>
    </xf>
    <xf numFmtId="0" fontId="13" fillId="0" borderId="6" xfId="0" applyFont="1" applyBorder="1" applyAlignment="1">
      <alignment horizontal="center" vertical="center" wrapText="1"/>
    </xf>
    <xf numFmtId="0" fontId="73" fillId="0" borderId="6" xfId="0" applyFont="1" applyBorder="1" applyAlignment="1">
      <alignment horizontal="center" vertical="center" wrapText="1"/>
    </xf>
    <xf numFmtId="0" fontId="13" fillId="0" borderId="27" xfId="0" applyFont="1" applyBorder="1" applyAlignment="1">
      <alignment horizontal="center" vertical="center" wrapText="1"/>
    </xf>
    <xf numFmtId="0" fontId="73" fillId="0" borderId="27" xfId="0" applyFont="1" applyBorder="1" applyAlignment="1">
      <alignment horizontal="center" vertical="center" wrapText="1"/>
    </xf>
    <xf numFmtId="0" fontId="24" fillId="0" borderId="5"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53" xfId="0" applyFont="1" applyBorder="1" applyAlignment="1">
      <alignment horizontal="center" vertical="center" wrapText="1"/>
    </xf>
    <xf numFmtId="3" fontId="29" fillId="0" borderId="0" xfId="0" applyNumberFormat="1" applyFont="1"/>
    <xf numFmtId="0" fontId="34" fillId="0" borderId="3" xfId="0" applyFont="1" applyBorder="1" applyAlignment="1">
      <alignment horizontal="center" vertical="center" wrapText="1"/>
    </xf>
    <xf numFmtId="0" fontId="34" fillId="0" borderId="4" xfId="0" applyFont="1" applyBorder="1" applyAlignment="1">
      <alignment horizontal="center" vertical="center" wrapText="1"/>
    </xf>
    <xf numFmtId="3" fontId="26" fillId="0" borderId="0" xfId="0" applyNumberFormat="1" applyFont="1"/>
    <xf numFmtId="3" fontId="26" fillId="0" borderId="0" xfId="0" applyNumberFormat="1" applyFont="1" applyAlignment="1">
      <alignment wrapText="1"/>
    </xf>
    <xf numFmtId="0" fontId="45" fillId="0" borderId="1" xfId="0" applyFont="1" applyBorder="1" applyAlignment="1">
      <alignment horizontal="left" wrapText="1"/>
    </xf>
    <xf numFmtId="0" fontId="45" fillId="0" borderId="5" xfId="0" applyFont="1" applyBorder="1" applyAlignment="1">
      <alignment horizontal="left" wrapText="1"/>
    </xf>
    <xf numFmtId="0" fontId="34" fillId="0" borderId="6" xfId="0" applyFont="1" applyBorder="1"/>
    <xf numFmtId="0" fontId="34" fillId="0" borderId="7" xfId="0" applyFont="1" applyBorder="1"/>
    <xf numFmtId="0" fontId="34" fillId="0" borderId="43" xfId="0" applyFont="1" applyBorder="1" applyAlignment="1">
      <alignment horizontal="left" wrapText="1"/>
    </xf>
    <xf numFmtId="0" fontId="45" fillId="0" borderId="8" xfId="0" applyFont="1" applyBorder="1" applyAlignment="1">
      <alignment horizontal="left" wrapText="1"/>
    </xf>
    <xf numFmtId="3" fontId="45" fillId="0" borderId="9" xfId="0" applyNumberFormat="1" applyFont="1" applyBorder="1" applyAlignment="1">
      <alignment horizontal="center"/>
    </xf>
    <xf numFmtId="3" fontId="34" fillId="0" borderId="10" xfId="0" applyNumberFormat="1" applyFont="1" applyBorder="1" applyAlignment="1">
      <alignment horizontal="center"/>
    </xf>
    <xf numFmtId="3" fontId="34" fillId="0" borderId="19" xfId="0" applyNumberFormat="1" applyFont="1" applyBorder="1" applyAlignment="1">
      <alignment horizontal="center"/>
    </xf>
    <xf numFmtId="0" fontId="34" fillId="0" borderId="0" xfId="0" applyFont="1" applyAlignment="1">
      <alignment horizontal="left" wrapText="1"/>
    </xf>
    <xf numFmtId="0" fontId="45" fillId="0" borderId="0" xfId="0" applyFont="1" applyAlignment="1">
      <alignment horizontal="left" wrapText="1"/>
    </xf>
    <xf numFmtId="3" fontId="45" fillId="0" borderId="0" xfId="0" applyNumberFormat="1" applyFont="1" applyAlignment="1">
      <alignment horizontal="center"/>
    </xf>
    <xf numFmtId="0" fontId="26" fillId="0" borderId="0" xfId="0" applyFont="1" applyAlignment="1">
      <alignment horizontal="left" wrapText="1"/>
    </xf>
    <xf numFmtId="0" fontId="46" fillId="0" borderId="19" xfId="0" applyFont="1" applyBorder="1" applyAlignment="1">
      <alignment vertical="top" wrapText="1"/>
    </xf>
    <xf numFmtId="0" fontId="46" fillId="0" borderId="15" xfId="0" applyFont="1" applyBorder="1" applyAlignment="1">
      <alignment vertical="top" wrapText="1"/>
    </xf>
    <xf numFmtId="0" fontId="46" fillId="0" borderId="27" xfId="0" applyFont="1" applyBorder="1" applyAlignment="1">
      <alignment horizontal="center" vertical="center" wrapText="1"/>
    </xf>
    <xf numFmtId="0" fontId="46" fillId="0" borderId="6" xfId="0" applyFont="1" applyBorder="1" applyAlignment="1">
      <alignment vertical="top" wrapText="1"/>
    </xf>
    <xf numFmtId="4" fontId="29" fillId="0" borderId="19" xfId="0" applyNumberFormat="1" applyFont="1" applyBorder="1" applyAlignment="1">
      <alignment horizontal="center" vertical="center" wrapText="1"/>
    </xf>
    <xf numFmtId="4" fontId="8" fillId="0" borderId="0" xfId="0" applyNumberFormat="1" applyFont="1"/>
    <xf numFmtId="0" fontId="29" fillId="0" borderId="49" xfId="0" applyFont="1" applyBorder="1" applyAlignment="1">
      <alignment horizontal="center" vertical="center" wrapText="1"/>
    </xf>
    <xf numFmtId="0" fontId="29" fillId="0" borderId="33" xfId="0" applyFont="1" applyBorder="1" applyAlignment="1">
      <alignment horizontal="center" vertical="center" wrapText="1"/>
    </xf>
    <xf numFmtId="0" fontId="29" fillId="0" borderId="33" xfId="0" applyFont="1" applyBorder="1" applyAlignment="1">
      <alignment horizontal="right" vertical="center" wrapText="1"/>
    </xf>
    <xf numFmtId="3" fontId="29" fillId="0" borderId="10" xfId="0" applyNumberFormat="1" applyFont="1" applyBorder="1" applyAlignment="1">
      <alignment horizontal="center" vertical="center" wrapText="1"/>
    </xf>
    <xf numFmtId="4" fontId="29" fillId="0" borderId="10" xfId="0" applyNumberFormat="1" applyFont="1" applyBorder="1" applyAlignment="1">
      <alignment horizontal="center" vertical="center" wrapText="1"/>
    </xf>
    <xf numFmtId="0" fontId="45" fillId="0" borderId="0" xfId="0" applyFont="1"/>
    <xf numFmtId="0" fontId="34" fillId="0" borderId="0" xfId="0" applyFont="1" applyAlignment="1">
      <alignment horizontal="left"/>
    </xf>
    <xf numFmtId="0" fontId="34" fillId="0" borderId="0" xfId="0" applyFont="1" applyAlignment="1">
      <alignment wrapText="1"/>
    </xf>
    <xf numFmtId="0" fontId="40" fillId="0" borderId="6" xfId="0" applyFont="1" applyBorder="1" applyAlignment="1">
      <alignment horizontal="center"/>
    </xf>
    <xf numFmtId="0" fontId="40" fillId="0" borderId="7" xfId="0" applyFont="1" applyBorder="1" applyAlignment="1">
      <alignment horizontal="center"/>
    </xf>
    <xf numFmtId="0" fontId="40" fillId="0" borderId="5" xfId="0" applyFont="1" applyBorder="1" applyAlignment="1">
      <alignment horizontal="center" vertical="center"/>
    </xf>
    <xf numFmtId="0" fontId="29" fillId="0" borderId="6" xfId="0" applyFont="1" applyBorder="1" applyAlignment="1">
      <alignment wrapText="1"/>
    </xf>
    <xf numFmtId="0" fontId="9" fillId="0" borderId="5" xfId="0" applyFont="1" applyBorder="1" applyAlignment="1">
      <alignment horizontal="center" vertical="center"/>
    </xf>
    <xf numFmtId="0" fontId="25" fillId="0" borderId="6" xfId="0" applyFont="1" applyBorder="1" applyAlignment="1">
      <alignment wrapText="1"/>
    </xf>
    <xf numFmtId="0" fontId="2" fillId="0" borderId="5" xfId="0" applyFont="1" applyBorder="1" applyAlignment="1">
      <alignment horizontal="center" vertical="center"/>
    </xf>
    <xf numFmtId="0" fontId="14" fillId="0" borderId="6" xfId="0" applyFont="1" applyBorder="1" applyAlignment="1">
      <alignment wrapText="1"/>
    </xf>
    <xf numFmtId="0" fontId="12" fillId="0" borderId="5" xfId="0" applyFont="1" applyBorder="1" applyAlignment="1">
      <alignment horizontal="center" vertical="center"/>
    </xf>
    <xf numFmtId="0" fontId="2" fillId="0" borderId="6" xfId="0" applyFont="1" applyBorder="1" applyAlignment="1">
      <alignment wrapText="1"/>
    </xf>
    <xf numFmtId="3" fontId="40" fillId="0" borderId="6" xfId="0" applyNumberFormat="1" applyFont="1" applyBorder="1"/>
    <xf numFmtId="3" fontId="40" fillId="0" borderId="7" xfId="0" applyNumberFormat="1" applyFont="1" applyBorder="1"/>
    <xf numFmtId="3" fontId="1" fillId="0" borderId="24" xfId="0" applyNumberFormat="1" applyFont="1" applyBorder="1" applyAlignment="1">
      <alignment horizontal="center" vertical="center" wrapText="1"/>
    </xf>
    <xf numFmtId="0" fontId="48" fillId="0" borderId="19" xfId="0" applyFont="1" applyBorder="1" applyAlignment="1">
      <alignment horizontal="center" vertical="center" wrapText="1"/>
    </xf>
    <xf numFmtId="0" fontId="68" fillId="13" borderId="34" xfId="0" applyFont="1" applyFill="1" applyBorder="1" applyAlignment="1">
      <alignment wrapText="1"/>
    </xf>
    <xf numFmtId="3" fontId="7" fillId="17" borderId="19" xfId="0" applyNumberFormat="1" applyFont="1" applyFill="1" applyBorder="1" applyAlignment="1">
      <alignment horizontal="center" vertical="center" wrapText="1"/>
    </xf>
    <xf numFmtId="14" fontId="29" fillId="0" borderId="137" xfId="0" applyNumberFormat="1" applyFont="1" applyBorder="1" applyAlignment="1">
      <alignment horizontal="center" vertical="center" wrapText="1"/>
    </xf>
    <xf numFmtId="4" fontId="24" fillId="0" borderId="19" xfId="0" applyNumberFormat="1" applyFont="1" applyBorder="1" applyAlignment="1">
      <alignment horizontal="center" vertical="center" wrapText="1"/>
    </xf>
    <xf numFmtId="4" fontId="24" fillId="0" borderId="27" xfId="0" applyNumberFormat="1" applyFont="1" applyBorder="1" applyAlignment="1">
      <alignment horizontal="center" vertical="center" wrapText="1"/>
    </xf>
    <xf numFmtId="2" fontId="28" fillId="0" borderId="10" xfId="0" applyNumberFormat="1" applyFont="1" applyBorder="1" applyAlignment="1">
      <alignment horizontal="center" vertical="center" wrapText="1"/>
    </xf>
    <xf numFmtId="3" fontId="1" fillId="0" borderId="30" xfId="0" applyNumberFormat="1" applyFont="1" applyBorder="1" applyAlignment="1">
      <alignment horizontal="center" vertical="center" wrapText="1"/>
    </xf>
    <xf numFmtId="14" fontId="14" fillId="13" borderId="6" xfId="0" applyNumberFormat="1" applyFont="1" applyFill="1" applyBorder="1" applyAlignment="1">
      <alignment horizontal="center" vertical="center" wrapText="1"/>
    </xf>
    <xf numFmtId="14" fontId="2" fillId="13" borderId="19" xfId="0" applyNumberFormat="1" applyFont="1" applyFill="1" applyBorder="1" applyAlignment="1">
      <alignment horizontal="center" vertical="center" wrapText="1"/>
    </xf>
    <xf numFmtId="0" fontId="74" fillId="0" borderId="19" xfId="0" applyFont="1" applyBorder="1" applyAlignment="1">
      <alignment horizontal="center" vertical="center" wrapText="1"/>
    </xf>
    <xf numFmtId="0" fontId="17" fillId="0" borderId="38" xfId="0" applyFont="1" applyBorder="1" applyAlignment="1">
      <alignment horizontal="center" vertical="center" wrapText="1"/>
    </xf>
    <xf numFmtId="14" fontId="40" fillId="0" borderId="137" xfId="0" applyNumberFormat="1" applyFont="1" applyBorder="1" applyAlignment="1">
      <alignment horizontal="center" vertical="center" wrapText="1"/>
    </xf>
    <xf numFmtId="16" fontId="41" fillId="0" borderId="137" xfId="0" applyNumberFormat="1" applyFont="1" applyBorder="1" applyAlignment="1">
      <alignment horizontal="center" vertical="center" wrapText="1"/>
    </xf>
    <xf numFmtId="16" fontId="29" fillId="0" borderId="137" xfId="0" applyNumberFormat="1" applyFont="1" applyBorder="1" applyAlignment="1">
      <alignment horizontal="center" vertical="center" wrapText="1"/>
    </xf>
    <xf numFmtId="0" fontId="27" fillId="0" borderId="137" xfId="0" applyFont="1" applyBorder="1" applyAlignment="1">
      <alignment horizontal="center" vertical="center" wrapText="1"/>
    </xf>
    <xf numFmtId="0" fontId="2" fillId="0" borderId="31" xfId="0" applyFont="1" applyBorder="1" applyAlignment="1">
      <alignment horizontal="left" vertical="center" wrapText="1"/>
    </xf>
    <xf numFmtId="3" fontId="2" fillId="0" borderId="24" xfId="0" applyNumberFormat="1" applyFont="1" applyBorder="1" applyAlignment="1">
      <alignment horizontal="center" vertical="center" wrapText="1"/>
    </xf>
    <xf numFmtId="0" fontId="2" fillId="0" borderId="6" xfId="0" applyFont="1" applyBorder="1" applyAlignment="1">
      <alignment horizontal="left" vertical="center" wrapText="1"/>
    </xf>
    <xf numFmtId="0" fontId="2" fillId="0" borderId="15" xfId="0" applyFont="1" applyBorder="1" applyAlignment="1">
      <alignment horizontal="left" vertical="center" wrapText="1"/>
    </xf>
    <xf numFmtId="168" fontId="2" fillId="0" borderId="6" xfId="0" applyNumberFormat="1" applyFont="1" applyBorder="1" applyAlignment="1">
      <alignment horizontal="center" vertical="center" wrapText="1"/>
    </xf>
    <xf numFmtId="0" fontId="1" fillId="0" borderId="13" xfId="0" applyFont="1" applyBorder="1" applyAlignment="1">
      <alignment horizontal="left" vertical="center" wrapText="1"/>
    </xf>
    <xf numFmtId="14" fontId="14" fillId="0" borderId="6" xfId="0" applyNumberFormat="1" applyFont="1" applyBorder="1" applyAlignment="1">
      <alignment horizontal="center" vertical="center" wrapText="1"/>
    </xf>
    <xf numFmtId="0" fontId="27" fillId="0" borderId="26" xfId="0" applyFont="1" applyBorder="1" applyAlignment="1">
      <alignment horizontal="center" vertical="center" wrapText="1"/>
    </xf>
    <xf numFmtId="0" fontId="14" fillId="0" borderId="51" xfId="0" applyFont="1" applyBorder="1" applyAlignment="1">
      <alignment horizontal="center" vertical="center" wrapText="1"/>
    </xf>
    <xf numFmtId="0" fontId="14" fillId="0" borderId="139" xfId="0" applyFont="1" applyBorder="1" applyAlignment="1">
      <alignment horizontal="center" vertical="center" wrapText="1"/>
    </xf>
    <xf numFmtId="0" fontId="28" fillId="0" borderId="109" xfId="0" applyFont="1" applyBorder="1" applyAlignment="1">
      <alignment vertical="center" wrapText="1"/>
    </xf>
    <xf numFmtId="0" fontId="28" fillId="0" borderId="18" xfId="0" applyFont="1" applyBorder="1" applyAlignment="1">
      <alignment horizontal="left" vertical="center" wrapText="1"/>
    </xf>
    <xf numFmtId="0" fontId="28" fillId="0" borderId="45" xfId="0" applyFont="1" applyBorder="1" applyAlignment="1">
      <alignment horizontal="center" vertical="center" wrapText="1"/>
    </xf>
    <xf numFmtId="0" fontId="28" fillId="0" borderId="109" xfId="0" applyFont="1" applyBorder="1" applyAlignment="1">
      <alignment horizontal="left" vertical="center" wrapText="1"/>
    </xf>
    <xf numFmtId="0" fontId="28" fillId="0" borderId="138" xfId="0" applyFont="1" applyBorder="1" applyAlignment="1">
      <alignment horizontal="center" vertical="center" wrapText="1"/>
    </xf>
    <xf numFmtId="0" fontId="28" fillId="0" borderId="13" xfId="0" applyFont="1" applyBorder="1" applyAlignment="1">
      <alignment horizontal="center" vertical="center" wrapText="1"/>
    </xf>
    <xf numFmtId="0" fontId="29" fillId="0" borderId="44" xfId="0" applyFont="1" applyBorder="1" applyAlignment="1">
      <alignment horizontal="center" vertical="center" wrapText="1"/>
    </xf>
    <xf numFmtId="0" fontId="29" fillId="0" borderId="109" xfId="0" applyFont="1" applyBorder="1" applyAlignment="1">
      <alignment horizontal="center" vertical="center" wrapText="1"/>
    </xf>
    <xf numFmtId="0" fontId="28" fillId="0" borderId="10" xfId="0" applyFont="1" applyBorder="1" applyAlignment="1">
      <alignment horizontal="center" vertical="top" wrapText="1"/>
    </xf>
    <xf numFmtId="0" fontId="8" fillId="0" borderId="10" xfId="0" applyFont="1" applyBorder="1" applyAlignment="1">
      <alignment vertical="top" wrapText="1"/>
    </xf>
    <xf numFmtId="0" fontId="8" fillId="0" borderId="29" xfId="0" applyFont="1" applyBorder="1" applyAlignment="1">
      <alignment vertical="top" wrapText="1"/>
    </xf>
    <xf numFmtId="0" fontId="29" fillId="0" borderId="24" xfId="0" applyFont="1" applyBorder="1" applyAlignment="1">
      <alignment horizontal="center" vertical="center" wrapText="1"/>
    </xf>
    <xf numFmtId="0" fontId="28" fillId="0" borderId="9" xfId="0" applyFont="1" applyBorder="1" applyAlignment="1">
      <alignment horizontal="center" vertical="top" wrapText="1"/>
    </xf>
    <xf numFmtId="0" fontId="8" fillId="0" borderId="24" xfId="0" applyFont="1" applyBorder="1" applyAlignment="1">
      <alignment vertical="top" wrapText="1"/>
    </xf>
    <xf numFmtId="0" fontId="29" fillId="0" borderId="18" xfId="0" applyFont="1" applyBorder="1" applyAlignment="1">
      <alignment horizontal="center" vertical="center" wrapText="1"/>
    </xf>
    <xf numFmtId="0" fontId="12" fillId="0" borderId="0" xfId="0" applyFont="1" applyAlignment="1">
      <alignment horizontal="center" wrapText="1"/>
    </xf>
    <xf numFmtId="0" fontId="8" fillId="0" borderId="34" xfId="0" applyFont="1" applyBorder="1" applyAlignment="1">
      <alignment wrapText="1"/>
    </xf>
    <xf numFmtId="0" fontId="12" fillId="0" borderId="6" xfId="0" applyFont="1" applyBorder="1"/>
    <xf numFmtId="0" fontId="12" fillId="13" borderId="6" xfId="0" applyFont="1" applyFill="1" applyBorder="1" applyAlignment="1">
      <alignment wrapText="1"/>
    </xf>
    <xf numFmtId="0" fontId="12" fillId="13" borderId="6" xfId="0" applyFont="1" applyFill="1" applyBorder="1" applyAlignment="1">
      <alignment vertical="center" wrapText="1"/>
    </xf>
    <xf numFmtId="1" fontId="12" fillId="13" borderId="6" xfId="0" applyNumberFormat="1" applyFont="1" applyFill="1" applyBorder="1" applyAlignment="1">
      <alignment wrapText="1"/>
    </xf>
    <xf numFmtId="1" fontId="12" fillId="13" borderId="6" xfId="0" applyNumberFormat="1" applyFont="1" applyFill="1" applyBorder="1" applyAlignment="1">
      <alignment vertical="center" wrapText="1"/>
    </xf>
    <xf numFmtId="0" fontId="40" fillId="0" borderId="6" xfId="0" applyFont="1" applyBorder="1"/>
    <xf numFmtId="0" fontId="12" fillId="0" borderId="19" xfId="0" applyFont="1" applyBorder="1"/>
    <xf numFmtId="0" fontId="12" fillId="0" borderId="0" xfId="0" applyFont="1"/>
    <xf numFmtId="0" fontId="6" fillId="0" borderId="6" xfId="0" applyFont="1" applyBorder="1"/>
    <xf numFmtId="1" fontId="6" fillId="0" borderId="6" xfId="0" applyNumberFormat="1" applyFont="1" applyBorder="1"/>
    <xf numFmtId="0" fontId="78" fillId="0" borderId="6" xfId="0" applyFont="1" applyBorder="1"/>
    <xf numFmtId="0" fontId="6" fillId="0" borderId="23" xfId="0" applyFont="1" applyBorder="1"/>
    <xf numFmtId="0" fontId="6" fillId="0" borderId="7" xfId="0" applyFont="1" applyBorder="1"/>
    <xf numFmtId="0" fontId="6" fillId="0" borderId="0" xfId="0" applyFont="1"/>
    <xf numFmtId="3" fontId="12" fillId="2" borderId="7" xfId="0" applyNumberFormat="1" applyFont="1" applyFill="1" applyBorder="1" applyAlignment="1">
      <alignment horizontal="center" vertical="center"/>
    </xf>
    <xf numFmtId="1" fontId="12" fillId="2" borderId="7" xfId="0" applyNumberFormat="1" applyFont="1" applyFill="1" applyBorder="1" applyAlignment="1">
      <alignment horizontal="center" vertical="center"/>
    </xf>
    <xf numFmtId="3" fontId="40" fillId="2" borderId="7" xfId="0" applyNumberFormat="1" applyFont="1" applyFill="1" applyBorder="1" applyAlignment="1">
      <alignment horizontal="center" vertical="center"/>
    </xf>
    <xf numFmtId="3" fontId="12" fillId="2" borderId="0" xfId="0" applyNumberFormat="1" applyFont="1" applyFill="1" applyAlignment="1">
      <alignment horizontal="center" vertical="center"/>
    </xf>
    <xf numFmtId="3" fontId="4" fillId="3" borderId="7" xfId="0" applyNumberFormat="1" applyFont="1" applyFill="1" applyBorder="1" applyAlignment="1">
      <alignment horizontal="center" vertical="center"/>
    </xf>
    <xf numFmtId="1" fontId="4" fillId="3" borderId="7" xfId="0" applyNumberFormat="1" applyFont="1" applyFill="1" applyBorder="1" applyAlignment="1">
      <alignment horizontal="center" vertical="center"/>
    </xf>
    <xf numFmtId="3" fontId="40" fillId="3" borderId="7" xfId="0" applyNumberFormat="1" applyFont="1" applyFill="1" applyBorder="1" applyAlignment="1">
      <alignment horizontal="center" vertical="center"/>
    </xf>
    <xf numFmtId="3" fontId="4" fillId="3" borderId="0" xfId="0" applyNumberFormat="1" applyFont="1" applyFill="1" applyAlignment="1">
      <alignment horizontal="center" vertical="center"/>
    </xf>
    <xf numFmtId="3" fontId="7" fillId="5" borderId="6" xfId="0" applyNumberFormat="1" applyFont="1" applyFill="1" applyBorder="1" applyAlignment="1">
      <alignment horizontal="center" vertical="center" wrapText="1"/>
    </xf>
    <xf numFmtId="1" fontId="7" fillId="5" borderId="6" xfId="0" applyNumberFormat="1" applyFont="1" applyFill="1" applyBorder="1" applyAlignment="1">
      <alignment horizontal="center" vertical="center" wrapText="1"/>
    </xf>
    <xf numFmtId="3" fontId="46" fillId="5" borderId="6" xfId="0" applyNumberFormat="1" applyFont="1" applyFill="1" applyBorder="1" applyAlignment="1">
      <alignment horizontal="center" vertical="center" wrapText="1"/>
    </xf>
    <xf numFmtId="1" fontId="7" fillId="0" borderId="19" xfId="0" applyNumberFormat="1" applyFont="1" applyBorder="1" applyAlignment="1">
      <alignment horizontal="center" wrapText="1"/>
    </xf>
    <xf numFmtId="1" fontId="8" fillId="0" borderId="34" xfId="0" applyNumberFormat="1" applyFont="1" applyBorder="1"/>
    <xf numFmtId="14" fontId="8" fillId="0" borderId="34" xfId="0" applyNumberFormat="1" applyFont="1" applyBorder="1"/>
    <xf numFmtId="3" fontId="8" fillId="0" borderId="34" xfId="0" applyNumberFormat="1" applyFont="1" applyBorder="1"/>
    <xf numFmtId="3" fontId="8" fillId="0" borderId="34" xfId="0" applyNumberFormat="1" applyFont="1" applyBorder="1" applyAlignment="1">
      <alignment horizontal="center" vertical="center"/>
    </xf>
    <xf numFmtId="1" fontId="7" fillId="10" borderId="19" xfId="0" applyNumberFormat="1" applyFont="1" applyFill="1" applyBorder="1" applyAlignment="1">
      <alignment horizontal="center" wrapText="1"/>
    </xf>
    <xf numFmtId="3" fontId="8" fillId="10" borderId="0" xfId="0" applyNumberFormat="1" applyFont="1" applyFill="1"/>
    <xf numFmtId="3" fontId="46" fillId="8" borderId="6" xfId="0" applyNumberFormat="1" applyFont="1" applyFill="1" applyBorder="1" applyAlignment="1">
      <alignment horizontal="center" vertical="center" wrapText="1"/>
    </xf>
    <xf numFmtId="3" fontId="7" fillId="8" borderId="6" xfId="0" applyNumberFormat="1" applyFont="1" applyFill="1" applyBorder="1" applyAlignment="1">
      <alignment horizontal="center" vertical="center" wrapText="1"/>
    </xf>
    <xf numFmtId="3" fontId="7" fillId="8" borderId="7" xfId="0" applyNumberFormat="1" applyFont="1" applyFill="1" applyBorder="1" applyAlignment="1">
      <alignment horizontal="center" vertical="center"/>
    </xf>
    <xf numFmtId="3" fontId="7" fillId="8" borderId="23" xfId="0" applyNumberFormat="1" applyFont="1" applyFill="1" applyBorder="1" applyAlignment="1">
      <alignment horizontal="center" vertical="center"/>
    </xf>
    <xf numFmtId="0" fontId="8" fillId="8" borderId="0" xfId="0" applyFont="1" applyFill="1"/>
    <xf numFmtId="3" fontId="7" fillId="5" borderId="6" xfId="0" applyNumberFormat="1" applyFont="1" applyFill="1" applyBorder="1" applyAlignment="1">
      <alignment horizontal="center"/>
    </xf>
    <xf numFmtId="3" fontId="46" fillId="5" borderId="6" xfId="0" applyNumberFormat="1" applyFont="1" applyFill="1" applyBorder="1" applyAlignment="1">
      <alignment horizontal="center"/>
    </xf>
    <xf numFmtId="3" fontId="46" fillId="0" borderId="15" xfId="0" applyNumberFormat="1" applyFont="1" applyBorder="1" applyAlignment="1">
      <alignment horizontal="center" vertical="center" wrapText="1"/>
    </xf>
    <xf numFmtId="3" fontId="1" fillId="17" borderId="6" xfId="0" applyNumberFormat="1" applyFont="1" applyFill="1" applyBorder="1" applyAlignment="1">
      <alignment horizontal="center" vertical="center" wrapText="1"/>
    </xf>
    <xf numFmtId="3" fontId="1" fillId="17" borderId="15" xfId="0" applyNumberFormat="1" applyFont="1" applyFill="1" applyBorder="1" applyAlignment="1">
      <alignment horizontal="center" vertical="center" wrapText="1"/>
    </xf>
    <xf numFmtId="3" fontId="46" fillId="0" borderId="26" xfId="0" applyNumberFormat="1" applyFont="1" applyBorder="1" applyAlignment="1">
      <alignment horizontal="center" vertical="center" wrapText="1"/>
    </xf>
    <xf numFmtId="3" fontId="1" fillId="17" borderId="24" xfId="0" applyNumberFormat="1" applyFont="1" applyFill="1" applyBorder="1" applyAlignment="1">
      <alignment horizontal="center" vertical="center" wrapText="1"/>
    </xf>
    <xf numFmtId="3" fontId="1" fillId="17" borderId="26" xfId="0" applyNumberFormat="1" applyFont="1" applyFill="1" applyBorder="1" applyAlignment="1">
      <alignment horizontal="center" vertical="center" wrapText="1"/>
    </xf>
    <xf numFmtId="3" fontId="1" fillId="17" borderId="19" xfId="0" applyNumberFormat="1" applyFont="1" applyFill="1" applyBorder="1" applyAlignment="1">
      <alignment horizontal="center" vertical="center" wrapText="1"/>
    </xf>
    <xf numFmtId="3" fontId="7" fillId="5" borderId="6" xfId="0" applyNumberFormat="1" applyFont="1" applyFill="1" applyBorder="1" applyAlignment="1">
      <alignment horizontal="center" vertical="center"/>
    </xf>
    <xf numFmtId="1" fontId="7" fillId="5" borderId="6" xfId="0" applyNumberFormat="1" applyFont="1" applyFill="1" applyBorder="1" applyAlignment="1">
      <alignment horizontal="center" vertical="center"/>
    </xf>
    <xf numFmtId="3" fontId="46" fillId="5" borderId="6" xfId="0" applyNumberFormat="1" applyFont="1" applyFill="1" applyBorder="1" applyAlignment="1">
      <alignment horizontal="center" vertical="center"/>
    </xf>
    <xf numFmtId="3" fontId="2" fillId="17" borderId="6" xfId="0" applyNumberFormat="1" applyFont="1" applyFill="1" applyBorder="1" applyAlignment="1">
      <alignment horizontal="center" vertical="center" wrapText="1"/>
    </xf>
    <xf numFmtId="1" fontId="7" fillId="10" borderId="15" xfId="0" applyNumberFormat="1" applyFont="1" applyFill="1" applyBorder="1" applyAlignment="1">
      <alignment horizontal="center" wrapText="1"/>
    </xf>
    <xf numFmtId="14" fontId="8" fillId="0" borderId="0" xfId="0" applyNumberFormat="1" applyFont="1"/>
    <xf numFmtId="0" fontId="8" fillId="6" borderId="0" xfId="0" applyFont="1" applyFill="1"/>
    <xf numFmtId="3" fontId="4" fillId="2" borderId="7" xfId="0" applyNumberFormat="1" applyFont="1" applyFill="1" applyBorder="1" applyAlignment="1">
      <alignment horizontal="center"/>
    </xf>
    <xf numFmtId="1" fontId="4" fillId="2" borderId="7" xfId="0" applyNumberFormat="1" applyFont="1" applyFill="1" applyBorder="1" applyAlignment="1">
      <alignment horizontal="center"/>
    </xf>
    <xf numFmtId="3" fontId="40" fillId="2" borderId="7" xfId="0" applyNumberFormat="1" applyFont="1" applyFill="1" applyBorder="1" applyAlignment="1">
      <alignment horizontal="center"/>
    </xf>
    <xf numFmtId="3" fontId="4" fillId="2" borderId="0" xfId="0" applyNumberFormat="1" applyFont="1" applyFill="1" applyAlignment="1">
      <alignment horizontal="center"/>
    </xf>
    <xf numFmtId="3" fontId="7" fillId="5" borderId="0" xfId="0" applyNumberFormat="1" applyFont="1" applyFill="1" applyAlignment="1">
      <alignment horizontal="center" vertical="center"/>
    </xf>
    <xf numFmtId="3" fontId="8" fillId="0" borderId="55" xfId="0" applyNumberFormat="1" applyFont="1" applyBorder="1"/>
    <xf numFmtId="3" fontId="10" fillId="5" borderId="6" xfId="0" applyNumberFormat="1" applyFont="1" applyFill="1" applyBorder="1" applyAlignment="1">
      <alignment horizontal="center" vertical="center"/>
    </xf>
    <xf numFmtId="1" fontId="10" fillId="5" borderId="6" xfId="0" applyNumberFormat="1" applyFont="1" applyFill="1" applyBorder="1" applyAlignment="1">
      <alignment horizontal="center" vertical="center"/>
    </xf>
    <xf numFmtId="3" fontId="40" fillId="5" borderId="6" xfId="0" applyNumberFormat="1" applyFont="1" applyFill="1" applyBorder="1" applyAlignment="1">
      <alignment horizontal="center" vertical="center"/>
    </xf>
    <xf numFmtId="0" fontId="8" fillId="0" borderId="19" xfId="0" applyFont="1" applyBorder="1"/>
    <xf numFmtId="3" fontId="8" fillId="20" borderId="34" xfId="0" applyNumberFormat="1" applyFont="1" applyFill="1" applyBorder="1"/>
    <xf numFmtId="0" fontId="8" fillId="17" borderId="34" xfId="0" applyFont="1" applyFill="1" applyBorder="1"/>
    <xf numFmtId="0" fontId="8" fillId="0" borderId="55" xfId="0" applyFont="1" applyBorder="1"/>
    <xf numFmtId="3" fontId="10" fillId="5" borderId="0" xfId="0" applyNumberFormat="1" applyFont="1" applyFill="1" applyAlignment="1">
      <alignment horizontal="center" vertical="center"/>
    </xf>
    <xf numFmtId="165" fontId="8" fillId="0" borderId="34" xfId="0" applyNumberFormat="1" applyFont="1" applyBorder="1"/>
    <xf numFmtId="1" fontId="7" fillId="10" borderId="0" xfId="0" applyNumberFormat="1" applyFont="1" applyFill="1" applyAlignment="1">
      <alignment horizontal="center" wrapText="1"/>
    </xf>
    <xf numFmtId="3" fontId="7" fillId="13" borderId="23" xfId="0" applyNumberFormat="1" applyFont="1" applyFill="1" applyBorder="1" applyAlignment="1">
      <alignment horizontal="center" wrapText="1"/>
    </xf>
    <xf numFmtId="1" fontId="7" fillId="0" borderId="0" xfId="0" applyNumberFormat="1" applyFont="1" applyAlignment="1">
      <alignment horizontal="center" wrapText="1"/>
    </xf>
    <xf numFmtId="1" fontId="7" fillId="0" borderId="0" xfId="0" applyNumberFormat="1" applyFont="1" applyAlignment="1">
      <alignment horizontal="center"/>
    </xf>
    <xf numFmtId="3" fontId="4" fillId="2" borderId="7" xfId="0" applyNumberFormat="1" applyFont="1" applyFill="1" applyBorder="1" applyAlignment="1">
      <alignment horizontal="center" vertical="center"/>
    </xf>
    <xf numFmtId="1" fontId="4" fillId="2" borderId="7" xfId="0" applyNumberFormat="1" applyFont="1" applyFill="1" applyBorder="1" applyAlignment="1">
      <alignment horizontal="center" vertical="center"/>
    </xf>
    <xf numFmtId="3" fontId="4" fillId="2" borderId="0" xfId="0" applyNumberFormat="1" applyFont="1" applyFill="1" applyAlignment="1">
      <alignment horizontal="center" vertical="center"/>
    </xf>
    <xf numFmtId="3" fontId="10" fillId="3" borderId="7" xfId="0" applyNumberFormat="1" applyFont="1" applyFill="1" applyBorder="1" applyAlignment="1">
      <alignment horizontal="center" vertical="center"/>
    </xf>
    <xf numFmtId="1" fontId="10" fillId="3" borderId="7" xfId="0" applyNumberFormat="1" applyFont="1" applyFill="1" applyBorder="1" applyAlignment="1">
      <alignment horizontal="center" vertical="center"/>
    </xf>
    <xf numFmtId="3" fontId="10" fillId="3" borderId="0" xfId="0" applyNumberFormat="1" applyFont="1" applyFill="1" applyAlignment="1">
      <alignment horizontal="center" vertical="center"/>
    </xf>
    <xf numFmtId="14" fontId="8" fillId="8" borderId="34" xfId="0" applyNumberFormat="1" applyFont="1" applyFill="1" applyBorder="1"/>
    <xf numFmtId="3" fontId="7" fillId="5" borderId="6" xfId="0" applyNumberFormat="1" applyFont="1" applyFill="1" applyBorder="1" applyAlignment="1">
      <alignment horizontal="center" wrapText="1"/>
    </xf>
    <xf numFmtId="1" fontId="7" fillId="5" borderId="6" xfId="0" applyNumberFormat="1" applyFont="1" applyFill="1" applyBorder="1" applyAlignment="1">
      <alignment horizontal="center" wrapText="1"/>
    </xf>
    <xf numFmtId="3" fontId="46" fillId="5" borderId="6" xfId="0" applyNumberFormat="1" applyFont="1" applyFill="1" applyBorder="1" applyAlignment="1">
      <alignment horizontal="center" wrapText="1"/>
    </xf>
    <xf numFmtId="3" fontId="17" fillId="5" borderId="6" xfId="0" applyNumberFormat="1" applyFont="1" applyFill="1" applyBorder="1" applyAlignment="1">
      <alignment horizontal="center" vertical="center"/>
    </xf>
    <xf numFmtId="1" fontId="17" fillId="5" borderId="6" xfId="0" applyNumberFormat="1" applyFont="1" applyFill="1" applyBorder="1" applyAlignment="1">
      <alignment horizontal="center" vertical="center"/>
    </xf>
    <xf numFmtId="0" fontId="8" fillId="0" borderId="69" xfId="0" applyFont="1" applyBorder="1"/>
    <xf numFmtId="0" fontId="8" fillId="0" borderId="42" xfId="0" applyFont="1" applyBorder="1"/>
    <xf numFmtId="0" fontId="8" fillId="8" borderId="53" xfId="0" applyFont="1" applyFill="1" applyBorder="1"/>
    <xf numFmtId="0" fontId="8" fillId="0" borderId="53" xfId="0" applyFont="1" applyBorder="1"/>
    <xf numFmtId="0" fontId="8" fillId="0" borderId="54" xfId="0" applyFont="1" applyBorder="1"/>
    <xf numFmtId="0" fontId="8" fillId="0" borderId="36" xfId="0" applyFont="1" applyBorder="1"/>
    <xf numFmtId="1" fontId="7" fillId="5" borderId="6" xfId="0" applyNumberFormat="1" applyFont="1" applyFill="1" applyBorder="1" applyAlignment="1">
      <alignment horizontal="center"/>
    </xf>
    <xf numFmtId="1" fontId="10" fillId="3" borderId="7" xfId="0" applyNumberFormat="1" applyFont="1" applyFill="1" applyBorder="1" applyAlignment="1">
      <alignment horizontal="center"/>
    </xf>
    <xf numFmtId="14" fontId="8" fillId="0" borderId="34" xfId="0" applyNumberFormat="1" applyFont="1" applyBorder="1" applyAlignment="1">
      <alignment vertical="center"/>
    </xf>
    <xf numFmtId="3" fontId="8" fillId="0" borderId="0" xfId="0" applyNumberFormat="1" applyFont="1" applyAlignment="1">
      <alignment vertical="center"/>
    </xf>
    <xf numFmtId="3" fontId="7" fillId="14" borderId="6" xfId="0" applyNumberFormat="1" applyFont="1" applyFill="1" applyBorder="1" applyAlignment="1">
      <alignment horizontal="center"/>
    </xf>
    <xf numFmtId="3" fontId="10" fillId="2" borderId="7" xfId="0" applyNumberFormat="1" applyFont="1" applyFill="1" applyBorder="1" applyAlignment="1">
      <alignment horizontal="center"/>
    </xf>
    <xf numFmtId="1" fontId="10" fillId="2" borderId="7" xfId="0" applyNumberFormat="1" applyFont="1" applyFill="1" applyBorder="1" applyAlignment="1">
      <alignment horizontal="center"/>
    </xf>
    <xf numFmtId="3" fontId="10" fillId="2" borderId="0" xfId="0" applyNumberFormat="1" applyFont="1" applyFill="1" applyAlignment="1">
      <alignment horizontal="center"/>
    </xf>
    <xf numFmtId="3" fontId="10" fillId="3" borderId="23" xfId="0" applyNumberFormat="1" applyFont="1" applyFill="1" applyBorder="1" applyAlignment="1">
      <alignment horizontal="center"/>
    </xf>
    <xf numFmtId="1" fontId="7" fillId="5" borderId="19" xfId="0" applyNumberFormat="1" applyFont="1" applyFill="1" applyBorder="1" applyAlignment="1">
      <alignment horizontal="center" wrapText="1"/>
    </xf>
    <xf numFmtId="1" fontId="7" fillId="5" borderId="15" xfId="0" applyNumberFormat="1" applyFont="1" applyFill="1" applyBorder="1" applyAlignment="1">
      <alignment horizontal="center" wrapText="1"/>
    </xf>
    <xf numFmtId="1" fontId="7" fillId="5" borderId="14" xfId="0" applyNumberFormat="1" applyFont="1" applyFill="1" applyBorder="1" applyAlignment="1">
      <alignment horizontal="center"/>
    </xf>
    <xf numFmtId="3" fontId="7" fillId="0" borderId="19" xfId="0" applyNumberFormat="1" applyFont="1" applyBorder="1" applyAlignment="1">
      <alignment horizontal="center"/>
    </xf>
    <xf numFmtId="3" fontId="7" fillId="13" borderId="15" xfId="0" applyNumberFormat="1" applyFont="1" applyFill="1" applyBorder="1" applyAlignment="1">
      <alignment horizontal="center" wrapText="1"/>
    </xf>
    <xf numFmtId="3" fontId="7" fillId="0" borderId="27" xfId="0" applyNumberFormat="1" applyFont="1" applyBorder="1" applyAlignment="1">
      <alignment horizontal="center"/>
    </xf>
    <xf numFmtId="3" fontId="8" fillId="10" borderId="34" xfId="0" applyNumberFormat="1" applyFont="1" applyFill="1" applyBorder="1"/>
    <xf numFmtId="1" fontId="7" fillId="10" borderId="30" xfId="0" applyNumberFormat="1" applyFont="1" applyFill="1" applyBorder="1" applyAlignment="1">
      <alignment horizontal="center" wrapText="1"/>
    </xf>
    <xf numFmtId="0" fontId="12" fillId="0" borderId="17" xfId="0" applyFont="1" applyBorder="1" applyAlignment="1">
      <alignment horizontal="center" wrapText="1"/>
    </xf>
    <xf numFmtId="0" fontId="12" fillId="0" borderId="23" xfId="0" applyFont="1" applyBorder="1" applyAlignment="1">
      <alignment horizontal="center" wrapText="1"/>
    </xf>
    <xf numFmtId="0" fontId="12" fillId="0" borderId="23" xfId="0" applyFont="1" applyBorder="1"/>
    <xf numFmtId="0" fontId="12" fillId="0" borderId="18" xfId="0" applyFont="1" applyBorder="1" applyAlignment="1">
      <alignment horizontal="center" wrapText="1"/>
    </xf>
    <xf numFmtId="0" fontId="12" fillId="0" borderId="7" xfId="0" applyFont="1" applyBorder="1"/>
    <xf numFmtId="3" fontId="2" fillId="0" borderId="9" xfId="0" applyNumberFormat="1" applyFont="1" applyBorder="1" applyAlignment="1">
      <alignment horizontal="center"/>
    </xf>
    <xf numFmtId="1" fontId="12" fillId="0" borderId="6" xfId="0" applyNumberFormat="1" applyFont="1" applyBorder="1"/>
    <xf numFmtId="3" fontId="9" fillId="0" borderId="10" xfId="0" applyNumberFormat="1" applyFont="1" applyBorder="1" applyAlignment="1">
      <alignment horizontal="center"/>
    </xf>
    <xf numFmtId="3" fontId="9" fillId="0" borderId="48" xfId="0" applyNumberFormat="1" applyFont="1" applyBorder="1" applyAlignment="1">
      <alignment horizontal="center"/>
    </xf>
    <xf numFmtId="3" fontId="2" fillId="0" borderId="48" xfId="0" applyNumberFormat="1" applyFont="1" applyBorder="1" applyAlignment="1">
      <alignment horizontal="center"/>
    </xf>
    <xf numFmtId="3" fontId="9" fillId="0" borderId="0" xfId="0" applyNumberFormat="1" applyFont="1" applyAlignment="1">
      <alignment horizontal="center"/>
    </xf>
    <xf numFmtId="1" fontId="2" fillId="0" borderId="9" xfId="0" applyNumberFormat="1" applyFont="1" applyBorder="1" applyAlignment="1">
      <alignment horizontal="center"/>
    </xf>
    <xf numFmtId="1" fontId="67" fillId="8" borderId="19" xfId="0" applyNumberFormat="1" applyFont="1" applyFill="1" applyBorder="1" applyAlignment="1">
      <alignment horizontal="center" vertical="center"/>
    </xf>
    <xf numFmtId="1" fontId="67" fillId="8" borderId="15" xfId="0" applyNumberFormat="1" applyFont="1" applyFill="1" applyBorder="1" applyAlignment="1">
      <alignment horizontal="center" vertical="center"/>
    </xf>
    <xf numFmtId="1" fontId="8" fillId="0" borderId="13" xfId="0" applyNumberFormat="1" applyFont="1" applyBorder="1" applyAlignment="1">
      <alignment horizontal="center" vertical="center"/>
    </xf>
    <xf numFmtId="1" fontId="8" fillId="0" borderId="14" xfId="0" applyNumberFormat="1" applyFont="1" applyBorder="1" applyAlignment="1">
      <alignment horizontal="center" vertical="center"/>
    </xf>
    <xf numFmtId="1" fontId="8" fillId="0" borderId="19" xfId="0" applyNumberFormat="1" applyFont="1" applyBorder="1" applyAlignment="1">
      <alignment horizontal="center" vertical="center"/>
    </xf>
    <xf numFmtId="3" fontId="7" fillId="14" borderId="6" xfId="0" applyNumberFormat="1" applyFont="1" applyFill="1" applyBorder="1" applyAlignment="1">
      <alignment horizontal="center" vertical="center"/>
    </xf>
    <xf numFmtId="3" fontId="73" fillId="0" borderId="14" xfId="0" applyNumberFormat="1" applyFont="1" applyBorder="1" applyAlignment="1">
      <alignment horizontal="center" vertical="center" wrapText="1"/>
    </xf>
    <xf numFmtId="0" fontId="52" fillId="13" borderId="0" xfId="0" applyFont="1" applyFill="1" applyAlignment="1">
      <alignment wrapText="1"/>
    </xf>
    <xf numFmtId="0" fontId="13" fillId="0" borderId="34" xfId="0" applyFont="1" applyBorder="1" applyAlignment="1">
      <alignment vertical="center" wrapText="1"/>
    </xf>
    <xf numFmtId="1" fontId="52" fillId="0" borderId="36" xfId="0" applyNumberFormat="1" applyFont="1" applyBorder="1" applyAlignment="1">
      <alignment horizontal="center" vertical="center" wrapText="1"/>
    </xf>
    <xf numFmtId="0" fontId="52" fillId="19" borderId="34" xfId="0" applyFont="1" applyFill="1" applyBorder="1" applyAlignment="1">
      <alignment wrapText="1"/>
    </xf>
    <xf numFmtId="0" fontId="52" fillId="19" borderId="35" xfId="0" applyFont="1" applyFill="1" applyBorder="1" applyAlignment="1">
      <alignment wrapText="1"/>
    </xf>
    <xf numFmtId="0" fontId="13" fillId="19" borderId="34" xfId="0" applyFont="1" applyFill="1" applyBorder="1" applyAlignment="1">
      <alignment wrapText="1"/>
    </xf>
    <xf numFmtId="168" fontId="52" fillId="0" borderId="103" xfId="0" applyNumberFormat="1" applyFont="1" applyBorder="1" applyAlignment="1">
      <alignment horizontal="center" vertical="center" wrapText="1"/>
    </xf>
    <xf numFmtId="168" fontId="52" fillId="16" borderId="19" xfId="0" applyNumberFormat="1" applyFont="1" applyFill="1" applyBorder="1" applyAlignment="1">
      <alignment horizontal="center" vertical="center" wrapText="1"/>
    </xf>
    <xf numFmtId="0" fontId="8" fillId="15" borderId="0" xfId="0" applyFont="1" applyFill="1"/>
    <xf numFmtId="0" fontId="28" fillId="0" borderId="135" xfId="0" applyFont="1" applyBorder="1" applyAlignment="1">
      <alignment horizontal="center" vertical="center" wrapText="1"/>
    </xf>
    <xf numFmtId="0" fontId="28" fillId="0" borderId="108" xfId="0" applyFont="1" applyBorder="1" applyAlignment="1">
      <alignment horizontal="center" vertical="center" wrapText="1"/>
    </xf>
    <xf numFmtId="0" fontId="28" fillId="0" borderId="136" xfId="0" applyFont="1" applyBorder="1" applyAlignment="1">
      <alignment horizontal="center" vertical="center" wrapText="1"/>
    </xf>
    <xf numFmtId="0" fontId="28" fillId="0" borderId="63" xfId="0" applyFont="1" applyBorder="1" applyAlignment="1">
      <alignment vertical="center" wrapText="1"/>
    </xf>
    <xf numFmtId="0" fontId="28" fillId="0" borderId="108" xfId="0" applyFont="1" applyBorder="1" applyAlignment="1">
      <alignment vertical="center" wrapText="1"/>
    </xf>
    <xf numFmtId="0" fontId="29" fillId="0" borderId="135" xfId="0" applyFont="1" applyBorder="1" applyAlignment="1">
      <alignment horizontal="center" vertical="center" wrapText="1"/>
    </xf>
    <xf numFmtId="0" fontId="79" fillId="0" borderId="29" xfId="0" applyFont="1" applyBorder="1" applyAlignment="1">
      <alignment horizontal="center" vertical="center" wrapText="1"/>
    </xf>
    <xf numFmtId="0" fontId="29" fillId="0" borderId="0" xfId="0" applyFont="1" applyAlignment="1">
      <alignment horizontal="center" vertical="center"/>
    </xf>
    <xf numFmtId="0" fontId="80" fillId="0" borderId="29" xfId="0" applyFont="1" applyBorder="1" applyAlignment="1">
      <alignment horizontal="center" vertical="center" wrapText="1"/>
    </xf>
    <xf numFmtId="0" fontId="28" fillId="0" borderId="0" xfId="0" applyFont="1" applyAlignment="1">
      <alignment horizontal="center" vertical="center" wrapText="1"/>
    </xf>
    <xf numFmtId="0" fontId="28" fillId="0" borderId="29" xfId="0" applyFont="1" applyBorder="1" applyAlignment="1">
      <alignment horizontal="left" vertical="center" wrapText="1"/>
    </xf>
    <xf numFmtId="0" fontId="28" fillId="0" borderId="0" xfId="0" applyFont="1" applyAlignment="1">
      <alignment horizontal="left" vertical="center" wrapText="1"/>
    </xf>
    <xf numFmtId="14" fontId="26" fillId="0" borderId="0" xfId="0" applyNumberFormat="1" applyFont="1" applyAlignment="1">
      <alignment horizontal="left"/>
    </xf>
    <xf numFmtId="14" fontId="26" fillId="0" borderId="0" xfId="0" applyNumberFormat="1" applyFont="1"/>
    <xf numFmtId="4" fontId="49" fillId="0" borderId="6" xfId="0" applyNumberFormat="1" applyFont="1" applyBorder="1" applyAlignment="1">
      <alignment horizontal="center" vertical="center" wrapText="1"/>
    </xf>
    <xf numFmtId="4" fontId="27" fillId="0" borderId="6" xfId="0" applyNumberFormat="1" applyFont="1" applyBorder="1" applyAlignment="1">
      <alignment horizontal="center" vertical="center" wrapText="1"/>
    </xf>
    <xf numFmtId="4" fontId="26" fillId="0" borderId="0" xfId="0" applyNumberFormat="1" applyFont="1"/>
    <xf numFmtId="4" fontId="27" fillId="16" borderId="6" xfId="0" applyNumberFormat="1" applyFont="1" applyFill="1" applyBorder="1" applyAlignment="1">
      <alignment horizontal="center" vertical="center" wrapText="1"/>
    </xf>
    <xf numFmtId="4" fontId="14" fillId="0" borderId="6" xfId="0" applyNumberFormat="1" applyFont="1" applyBorder="1" applyAlignment="1">
      <alignment horizontal="center" vertical="center" wrapText="1"/>
    </xf>
    <xf numFmtId="4" fontId="13" fillId="0" borderId="6" xfId="0" applyNumberFormat="1" applyFont="1" applyBorder="1" applyAlignment="1">
      <alignment horizontal="center" vertical="center" wrapText="1"/>
    </xf>
    <xf numFmtId="2" fontId="27" fillId="16" borderId="6" xfId="0" applyNumberFormat="1" applyFont="1" applyFill="1" applyBorder="1" applyAlignment="1">
      <alignment horizontal="center" vertical="center" wrapText="1"/>
    </xf>
    <xf numFmtId="2" fontId="1" fillId="0" borderId="6" xfId="0" applyNumberFormat="1" applyFont="1" applyBorder="1" applyAlignment="1">
      <alignment horizontal="center" vertical="center" wrapText="1"/>
    </xf>
    <xf numFmtId="4" fontId="29" fillId="0" borderId="6" xfId="0" applyNumberFormat="1" applyFont="1" applyBorder="1" applyAlignment="1">
      <alignment horizontal="center" vertical="center" wrapText="1"/>
    </xf>
    <xf numFmtId="4" fontId="29" fillId="6" borderId="6" xfId="0" applyNumberFormat="1" applyFont="1" applyFill="1" applyBorder="1" applyAlignment="1">
      <alignment horizontal="center" vertical="center" wrapText="1"/>
    </xf>
    <xf numFmtId="3" fontId="1" fillId="0" borderId="55" xfId="0" applyNumberFormat="1" applyFont="1" applyBorder="1" applyAlignment="1">
      <alignment horizontal="center" vertical="center" wrapText="1"/>
    </xf>
    <xf numFmtId="1" fontId="27" fillId="0" borderId="27" xfId="0" applyNumberFormat="1" applyFont="1" applyBorder="1" applyAlignment="1">
      <alignment horizontal="center" vertical="center" wrapText="1"/>
    </xf>
    <xf numFmtId="2" fontId="2" fillId="0" borderId="15" xfId="0" applyNumberFormat="1" applyFont="1" applyBorder="1" applyAlignment="1">
      <alignment horizontal="center" vertical="center" wrapText="1"/>
    </xf>
    <xf numFmtId="2" fontId="14" fillId="0" borderId="6" xfId="0" applyNumberFormat="1" applyFont="1" applyBorder="1" applyAlignment="1">
      <alignment horizontal="center" vertical="center" wrapText="1"/>
    </xf>
    <xf numFmtId="2" fontId="29" fillId="6" borderId="6" xfId="0" applyNumberFormat="1" applyFont="1" applyFill="1" applyBorder="1" applyAlignment="1">
      <alignment horizontal="center" vertical="center" wrapText="1"/>
    </xf>
    <xf numFmtId="2" fontId="1" fillId="0" borderId="15" xfId="0" applyNumberFormat="1" applyFont="1" applyBorder="1" applyAlignment="1">
      <alignment horizontal="center" vertical="center" wrapText="1"/>
    </xf>
    <xf numFmtId="4" fontId="40" fillId="6" borderId="6" xfId="0" applyNumberFormat="1" applyFont="1" applyFill="1" applyBorder="1" applyAlignment="1">
      <alignment horizontal="center" vertical="center" wrapText="1"/>
    </xf>
    <xf numFmtId="4" fontId="34" fillId="0" borderId="6" xfId="0" applyNumberFormat="1" applyFont="1" applyBorder="1" applyAlignment="1">
      <alignment horizontal="center" vertical="center" wrapText="1"/>
    </xf>
    <xf numFmtId="4" fontId="34" fillId="7" borderId="6" xfId="0" applyNumberFormat="1" applyFont="1" applyFill="1" applyBorder="1" applyAlignment="1">
      <alignment horizontal="center" vertical="center" wrapText="1"/>
    </xf>
    <xf numFmtId="4" fontId="2" fillId="0" borderId="19" xfId="0" applyNumberFormat="1" applyFont="1" applyBorder="1" applyAlignment="1">
      <alignment horizontal="center" vertical="center" wrapText="1"/>
    </xf>
    <xf numFmtId="2" fontId="2" fillId="0" borderId="6" xfId="0" applyNumberFormat="1" applyFont="1" applyBorder="1" applyAlignment="1">
      <alignment horizontal="center" vertical="center" wrapText="1"/>
    </xf>
    <xf numFmtId="4" fontId="27" fillId="0" borderId="15" xfId="0" applyNumberFormat="1" applyFont="1" applyBorder="1" applyAlignment="1">
      <alignment horizontal="center" vertical="center" wrapText="1"/>
    </xf>
    <xf numFmtId="0" fontId="28" fillId="0" borderId="63" xfId="0" applyFont="1" applyBorder="1" applyAlignment="1">
      <alignment horizontal="center" vertical="center" wrapText="1"/>
    </xf>
    <xf numFmtId="0" fontId="30" fillId="0" borderId="122" xfId="0" applyFont="1" applyBorder="1" applyAlignment="1">
      <alignment horizontal="center" vertical="center" wrapText="1"/>
    </xf>
    <xf numFmtId="0" fontId="30" fillId="0" borderId="26" xfId="0" applyFont="1" applyBorder="1" applyAlignment="1">
      <alignment horizontal="center" vertical="center" wrapText="1"/>
    </xf>
    <xf numFmtId="0" fontId="30" fillId="0" borderId="123" xfId="0" applyFont="1" applyBorder="1" applyAlignment="1">
      <alignment horizontal="center" vertical="center" wrapText="1"/>
    </xf>
    <xf numFmtId="0" fontId="30" fillId="0" borderId="19" xfId="0" applyFont="1" applyBorder="1" applyAlignment="1">
      <alignment horizontal="center" vertical="center" wrapText="1"/>
    </xf>
    <xf numFmtId="0" fontId="61" fillId="0" borderId="19" xfId="0" applyFont="1" applyBorder="1" applyAlignment="1">
      <alignment horizontal="justify" vertical="center" wrapText="1"/>
    </xf>
    <xf numFmtId="0" fontId="64" fillId="0" borderId="15" xfId="0" applyFont="1" applyBorder="1" applyAlignment="1">
      <alignment horizontal="center" vertical="center" wrapText="1"/>
    </xf>
    <xf numFmtId="0" fontId="30" fillId="0" borderId="15" xfId="0" applyFont="1" applyBorder="1" applyAlignment="1">
      <alignment horizontal="center" vertical="center" wrapText="1"/>
    </xf>
    <xf numFmtId="0" fontId="64" fillId="0" borderId="19" xfId="0" applyFont="1" applyBorder="1" applyAlignment="1">
      <alignment horizontal="center" vertical="center" wrapText="1"/>
    </xf>
    <xf numFmtId="3" fontId="53" fillId="18" borderId="100" xfId="0" quotePrefix="1" applyNumberFormat="1" applyFont="1" applyFill="1" applyBorder="1" applyAlignment="1">
      <alignment horizontal="center" vertical="center" wrapText="1"/>
    </xf>
    <xf numFmtId="0" fontId="52" fillId="18" borderId="94" xfId="0" applyFont="1" applyFill="1" applyBorder="1" applyAlignment="1">
      <alignment horizontal="center" vertical="center" wrapText="1"/>
    </xf>
    <xf numFmtId="4" fontId="40" fillId="0" borderId="7" xfId="0" applyNumberFormat="1" applyFont="1" applyBorder="1" applyAlignment="1">
      <alignment horizontal="center" vertical="center"/>
    </xf>
    <xf numFmtId="4" fontId="9" fillId="0" borderId="7" xfId="0" applyNumberFormat="1" applyFont="1" applyBorder="1" applyAlignment="1">
      <alignment horizontal="center" vertical="center"/>
    </xf>
    <xf numFmtId="4" fontId="2" fillId="0" borderId="7" xfId="0" applyNumberFormat="1" applyFont="1" applyBorder="1" applyAlignment="1">
      <alignment horizontal="center" vertical="center"/>
    </xf>
    <xf numFmtId="4" fontId="7" fillId="0" borderId="7" xfId="0" applyNumberFormat="1" applyFont="1" applyBorder="1" applyAlignment="1">
      <alignment horizontal="center" vertical="center"/>
    </xf>
    <xf numFmtId="4" fontId="2" fillId="0" borderId="6" xfId="0" applyNumberFormat="1" applyFont="1" applyBorder="1" applyAlignment="1">
      <alignment horizontal="center" vertical="center"/>
    </xf>
    <xf numFmtId="4" fontId="40" fillId="0" borderId="10" xfId="0" applyNumberFormat="1" applyFont="1" applyBorder="1" applyAlignment="1">
      <alignment horizontal="center"/>
    </xf>
    <xf numFmtId="4" fontId="41" fillId="0" borderId="6" xfId="0" applyNumberFormat="1" applyFont="1" applyBorder="1" applyAlignment="1">
      <alignment horizontal="center" vertical="center" wrapText="1"/>
    </xf>
    <xf numFmtId="4" fontId="40" fillId="0" borderId="6" xfId="0" applyNumberFormat="1" applyFont="1" applyBorder="1" applyAlignment="1">
      <alignment horizontal="center" vertical="center" wrapText="1"/>
    </xf>
    <xf numFmtId="4" fontId="12" fillId="0" borderId="6" xfId="0" applyNumberFormat="1" applyFont="1" applyBorder="1" applyAlignment="1">
      <alignment horizontal="center" vertical="center" wrapText="1"/>
    </xf>
    <xf numFmtId="4" fontId="28" fillId="0" borderId="15" xfId="0" applyNumberFormat="1" applyFont="1" applyBorder="1" applyAlignment="1">
      <alignment horizontal="center" vertical="center" wrapText="1"/>
    </xf>
    <xf numFmtId="4" fontId="29" fillId="0" borderId="15" xfId="0" applyNumberFormat="1" applyFont="1" applyBorder="1" applyAlignment="1">
      <alignment horizontal="center" vertical="center" wrapText="1"/>
    </xf>
    <xf numFmtId="4" fontId="28" fillId="0" borderId="6" xfId="0" applyNumberFormat="1" applyFont="1" applyBorder="1" applyAlignment="1">
      <alignment horizontal="center" vertical="center" wrapText="1"/>
    </xf>
    <xf numFmtId="0" fontId="19" fillId="0" borderId="0" xfId="0" applyFont="1"/>
    <xf numFmtId="167" fontId="13" fillId="0" borderId="36" xfId="0" applyNumberFormat="1" applyFont="1" applyBorder="1" applyAlignment="1">
      <alignment horizontal="center" vertical="center" wrapText="1"/>
    </xf>
    <xf numFmtId="0" fontId="51" fillId="0" borderId="14" xfId="0" applyFont="1" applyBorder="1" applyAlignment="1">
      <alignment horizontal="center" vertical="center" wrapText="1"/>
    </xf>
    <xf numFmtId="0" fontId="51" fillId="20" borderId="14" xfId="0" applyFont="1" applyFill="1" applyBorder="1" applyAlignment="1">
      <alignment horizontal="center" vertical="center" wrapText="1"/>
    </xf>
    <xf numFmtId="0" fontId="18" fillId="20" borderId="14" xfId="0" applyFont="1" applyFill="1" applyBorder="1" applyAlignment="1">
      <alignment wrapText="1"/>
    </xf>
    <xf numFmtId="0" fontId="18" fillId="20" borderId="0" xfId="0" applyFont="1" applyFill="1" applyAlignment="1">
      <alignment wrapText="1"/>
    </xf>
    <xf numFmtId="0" fontId="51" fillId="20" borderId="58" xfId="0" applyFont="1" applyFill="1" applyBorder="1" applyAlignment="1">
      <alignment horizontal="center" vertical="center" wrapText="1"/>
    </xf>
    <xf numFmtId="0" fontId="18" fillId="20" borderId="58" xfId="0" applyFont="1" applyFill="1" applyBorder="1" applyAlignment="1">
      <alignment wrapText="1"/>
    </xf>
    <xf numFmtId="0" fontId="18" fillId="20" borderId="104" xfId="0" applyFont="1" applyFill="1" applyBorder="1" applyAlignment="1">
      <alignment wrapText="1"/>
    </xf>
    <xf numFmtId="167" fontId="52" fillId="0" borderId="103" xfId="0" applyNumberFormat="1" applyFont="1" applyBorder="1" applyAlignment="1">
      <alignment horizontal="center" vertical="center" wrapText="1"/>
    </xf>
    <xf numFmtId="0" fontId="51" fillId="0" borderId="57" xfId="0" applyFont="1" applyBorder="1" applyAlignment="1">
      <alignment horizontal="center" vertical="center" wrapText="1"/>
    </xf>
    <xf numFmtId="0" fontId="51" fillId="20" borderId="19" xfId="0" applyFont="1" applyFill="1" applyBorder="1" applyAlignment="1">
      <alignment horizontal="center" vertical="center" wrapText="1"/>
    </xf>
    <xf numFmtId="0" fontId="51" fillId="18" borderId="19" xfId="0" applyFont="1" applyFill="1" applyBorder="1" applyAlignment="1">
      <alignment horizontal="center" vertical="center" wrapText="1"/>
    </xf>
    <xf numFmtId="0" fontId="18" fillId="18" borderId="14" xfId="0" applyFont="1" applyFill="1" applyBorder="1" applyAlignment="1">
      <alignment wrapText="1"/>
    </xf>
    <xf numFmtId="0" fontId="18" fillId="18" borderId="0" xfId="0" applyFont="1" applyFill="1" applyAlignment="1">
      <alignment wrapText="1"/>
    </xf>
    <xf numFmtId="0" fontId="51" fillId="18" borderId="14" xfId="0" applyFont="1" applyFill="1" applyBorder="1" applyAlignment="1">
      <alignment horizontal="center" vertical="center" wrapText="1"/>
    </xf>
    <xf numFmtId="0" fontId="51" fillId="18" borderId="58" xfId="0" applyFont="1" applyFill="1" applyBorder="1" applyAlignment="1">
      <alignment horizontal="center" vertical="center" wrapText="1"/>
    </xf>
    <xf numFmtId="0" fontId="18" fillId="18" borderId="58" xfId="0" applyFont="1" applyFill="1" applyBorder="1" applyAlignment="1">
      <alignment wrapText="1"/>
    </xf>
    <xf numFmtId="0" fontId="18" fillId="18" borderId="104" xfId="0" applyFont="1" applyFill="1" applyBorder="1" applyAlignment="1">
      <alignment wrapText="1"/>
    </xf>
    <xf numFmtId="4" fontId="39" fillId="16" borderId="19" xfId="0" quotePrefix="1" applyNumberFormat="1" applyFont="1" applyFill="1" applyBorder="1" applyAlignment="1">
      <alignment horizontal="center" vertical="center" wrapText="1"/>
    </xf>
    <xf numFmtId="4" fontId="39" fillId="20" borderId="19" xfId="0" quotePrefix="1" applyNumberFormat="1" applyFont="1" applyFill="1" applyBorder="1" applyAlignment="1">
      <alignment horizontal="center" vertical="center" wrapText="1"/>
    </xf>
    <xf numFmtId="4" fontId="39" fillId="18" borderId="19" xfId="0" quotePrefix="1" applyNumberFormat="1" applyFont="1" applyFill="1" applyBorder="1" applyAlignment="1">
      <alignment horizontal="center" vertical="center" wrapText="1"/>
    </xf>
    <xf numFmtId="4" fontId="52" fillId="0" borderId="34" xfId="0" quotePrefix="1" applyNumberFormat="1" applyFont="1" applyBorder="1" applyAlignment="1">
      <alignment horizontal="center" vertical="center" wrapText="1"/>
    </xf>
    <xf numFmtId="4" fontId="52" fillId="20" borderId="34" xfId="0" quotePrefix="1" applyNumberFormat="1" applyFont="1" applyFill="1" applyBorder="1" applyAlignment="1">
      <alignment horizontal="center" vertical="center" wrapText="1"/>
    </xf>
    <xf numFmtId="4" fontId="52" fillId="18" borderId="34" xfId="0" quotePrefix="1" applyNumberFormat="1" applyFont="1" applyFill="1" applyBorder="1" applyAlignment="1">
      <alignment horizontal="center" vertical="center" wrapText="1"/>
    </xf>
    <xf numFmtId="14" fontId="52" fillId="0" borderId="101" xfId="0" applyNumberFormat="1" applyFont="1" applyBorder="1" applyAlignment="1">
      <alignment horizontal="center" vertical="center" wrapText="1"/>
    </xf>
    <xf numFmtId="14" fontId="52" fillId="10" borderId="69" xfId="0" applyNumberFormat="1" applyFont="1" applyFill="1" applyBorder="1" applyAlignment="1">
      <alignment vertical="center" wrapText="1"/>
    </xf>
    <xf numFmtId="14" fontId="52" fillId="0" borderId="69" xfId="0" applyNumberFormat="1" applyFont="1" applyBorder="1" applyAlignment="1">
      <alignment wrapText="1"/>
    </xf>
    <xf numFmtId="14" fontId="52" fillId="0" borderId="102" xfId="0" applyNumberFormat="1" applyFont="1" applyBorder="1" applyAlignment="1">
      <alignment horizontal="center" vertical="center" wrapText="1"/>
    </xf>
    <xf numFmtId="49" fontId="0" fillId="0" borderId="0" xfId="0" applyNumberFormat="1"/>
    <xf numFmtId="4" fontId="29" fillId="0" borderId="6" xfId="0" applyNumberFormat="1" applyFont="1" applyBorder="1" applyAlignment="1">
      <alignment horizontal="center" wrapText="1"/>
    </xf>
    <xf numFmtId="0" fontId="17" fillId="0" borderId="57" xfId="0" applyFont="1" applyBorder="1" applyAlignment="1">
      <alignment horizontal="center" vertical="center" wrapText="1"/>
    </xf>
    <xf numFmtId="0" fontId="17" fillId="0" borderId="53" xfId="0" applyFont="1" applyBorder="1" applyAlignment="1">
      <alignment horizontal="center" vertical="center" wrapText="1"/>
    </xf>
    <xf numFmtId="0" fontId="17" fillId="0" borderId="52" xfId="0" applyFont="1" applyBorder="1" applyAlignment="1">
      <alignment horizontal="center" vertical="center" wrapText="1"/>
    </xf>
    <xf numFmtId="0" fontId="17" fillId="0" borderId="47" xfId="0" applyFont="1" applyBorder="1" applyAlignment="1">
      <alignment horizontal="center" vertical="center" wrapText="1"/>
    </xf>
    <xf numFmtId="0" fontId="2" fillId="0" borderId="47" xfId="0" applyFont="1" applyBorder="1" applyAlignment="1">
      <alignment horizontal="center" vertical="center" wrapText="1"/>
    </xf>
    <xf numFmtId="4" fontId="27" fillId="0" borderId="19" xfId="0" applyNumberFormat="1" applyFont="1" applyBorder="1" applyAlignment="1">
      <alignment horizontal="center" vertical="center" wrapText="1"/>
    </xf>
    <xf numFmtId="3" fontId="27" fillId="0" borderId="19" xfId="0" applyNumberFormat="1" applyFont="1" applyBorder="1" applyAlignment="1">
      <alignment horizontal="center" vertical="center" wrapText="1"/>
    </xf>
    <xf numFmtId="0" fontId="7" fillId="0" borderId="15" xfId="0" applyFont="1" applyBorder="1" applyAlignment="1">
      <alignment horizontal="center" vertical="center" wrapText="1"/>
    </xf>
    <xf numFmtId="0" fontId="20" fillId="0" borderId="0" xfId="0" applyFont="1"/>
    <xf numFmtId="0" fontId="28" fillId="0" borderId="0" xfId="0" applyFont="1" applyAlignment="1">
      <alignment wrapText="1"/>
    </xf>
    <xf numFmtId="0" fontId="20" fillId="0" borderId="0" xfId="0" applyFont="1" applyAlignment="1">
      <alignment horizontal="center"/>
    </xf>
    <xf numFmtId="0" fontId="20" fillId="0" borderId="0" xfId="0" applyFont="1" applyAlignment="1">
      <alignment vertical="center"/>
    </xf>
    <xf numFmtId="0" fontId="18" fillId="0" borderId="0" xfId="0" applyFont="1"/>
    <xf numFmtId="0" fontId="51" fillId="0" borderId="0" xfId="0" applyFont="1" applyAlignment="1">
      <alignment vertical="center"/>
    </xf>
    <xf numFmtId="0" fontId="18" fillId="0" borderId="0" xfId="0" applyFont="1" applyAlignment="1">
      <alignment vertical="center"/>
    </xf>
    <xf numFmtId="166" fontId="52" fillId="0" borderId="34" xfId="0" applyNumberFormat="1" applyFont="1" applyBorder="1" applyAlignment="1">
      <alignment horizontal="center" vertical="center" wrapText="1"/>
    </xf>
    <xf numFmtId="166" fontId="41" fillId="7" borderId="6" xfId="0" applyNumberFormat="1" applyFont="1" applyFill="1" applyBorder="1" applyAlignment="1">
      <alignment horizontal="center" vertical="center" wrapText="1"/>
    </xf>
    <xf numFmtId="166" fontId="52" fillId="6" borderId="13" xfId="0" applyNumberFormat="1" applyFont="1" applyFill="1" applyBorder="1" applyAlignment="1">
      <alignment wrapText="1"/>
    </xf>
    <xf numFmtId="166" fontId="52" fillId="6" borderId="19" xfId="0" applyNumberFormat="1" applyFont="1" applyFill="1" applyBorder="1" applyAlignment="1">
      <alignment wrapText="1"/>
    </xf>
    <xf numFmtId="166" fontId="39" fillId="16" borderId="14" xfId="0" applyNumberFormat="1" applyFont="1" applyFill="1" applyBorder="1" applyAlignment="1">
      <alignment horizontal="center" vertical="center" wrapText="1"/>
    </xf>
    <xf numFmtId="166" fontId="39" fillId="16" borderId="19" xfId="0" applyNumberFormat="1" applyFont="1" applyFill="1" applyBorder="1" applyAlignment="1">
      <alignment horizontal="center" vertical="center" wrapText="1"/>
    </xf>
    <xf numFmtId="166" fontId="52" fillId="15" borderId="34" xfId="0" applyNumberFormat="1" applyFont="1" applyFill="1" applyBorder="1" applyAlignment="1">
      <alignment horizontal="center" vertical="center" wrapText="1"/>
    </xf>
    <xf numFmtId="166" fontId="52" fillId="0" borderId="34" xfId="0" applyNumberFormat="1" applyFont="1" applyBorder="1" applyAlignment="1">
      <alignment vertical="center" wrapText="1"/>
    </xf>
    <xf numFmtId="166" fontId="13" fillId="0" borderId="34" xfId="0" applyNumberFormat="1" applyFont="1" applyBorder="1" applyAlignment="1">
      <alignment horizontal="center" vertical="center" wrapText="1"/>
    </xf>
    <xf numFmtId="166" fontId="13" fillId="0" borderId="34" xfId="0" applyNumberFormat="1" applyFont="1" applyBorder="1" applyAlignment="1">
      <alignment vertical="center" wrapText="1"/>
    </xf>
    <xf numFmtId="166" fontId="52" fillId="0" borderId="35" xfId="0" applyNumberFormat="1" applyFont="1" applyBorder="1" applyAlignment="1">
      <alignment horizontal="center" vertical="center" wrapText="1"/>
    </xf>
    <xf numFmtId="166" fontId="41" fillId="7" borderId="15" xfId="0" applyNumberFormat="1" applyFont="1" applyFill="1" applyBorder="1" applyAlignment="1">
      <alignment horizontal="center" vertical="center" wrapText="1"/>
    </xf>
    <xf numFmtId="166" fontId="24" fillId="16" borderId="14" xfId="0" applyNumberFormat="1" applyFont="1" applyFill="1" applyBorder="1" applyAlignment="1">
      <alignment horizontal="center" vertical="center" wrapText="1"/>
    </xf>
    <xf numFmtId="166" fontId="24" fillId="16" borderId="19" xfId="0" applyNumberFormat="1" applyFont="1" applyFill="1" applyBorder="1" applyAlignment="1">
      <alignment horizontal="center" vertical="center" wrapText="1"/>
    </xf>
    <xf numFmtId="0" fontId="51" fillId="0" borderId="86" xfId="0" applyFont="1" applyBorder="1" applyAlignment="1">
      <alignment horizontal="center" vertical="center" wrapText="1"/>
    </xf>
    <xf numFmtId="0" fontId="52" fillId="0" borderId="106" xfId="0" applyFont="1" applyBorder="1" applyAlignment="1">
      <alignment wrapText="1"/>
    </xf>
    <xf numFmtId="0" fontId="52" fillId="0" borderId="19" xfId="0" applyFont="1" applyBorder="1" applyAlignment="1">
      <alignment wrapText="1"/>
    </xf>
    <xf numFmtId="0" fontId="51" fillId="0" borderId="23" xfId="0" applyFont="1" applyBorder="1" applyAlignment="1">
      <alignment horizontal="center" vertical="center" wrapText="1"/>
    </xf>
    <xf numFmtId="0" fontId="18" fillId="0" borderId="59" xfId="0" applyFont="1" applyBorder="1" applyAlignment="1">
      <alignment wrapText="1"/>
    </xf>
    <xf numFmtId="0" fontId="52" fillId="0" borderId="55" xfId="0" applyFont="1" applyBorder="1" applyAlignment="1">
      <alignment wrapText="1"/>
    </xf>
    <xf numFmtId="166" fontId="52" fillId="0" borderId="55" xfId="0" applyNumberFormat="1" applyFont="1" applyBorder="1" applyAlignment="1">
      <alignment horizontal="center" vertical="center" wrapText="1"/>
    </xf>
    <xf numFmtId="166" fontId="52" fillId="16" borderId="55" xfId="0" applyNumberFormat="1" applyFont="1" applyFill="1" applyBorder="1" applyAlignment="1">
      <alignment horizontal="center" vertical="center" wrapText="1"/>
    </xf>
    <xf numFmtId="166" fontId="52" fillId="0" borderId="87" xfId="0" applyNumberFormat="1" applyFont="1" applyBorder="1" applyAlignment="1">
      <alignment horizontal="center" vertical="center" wrapText="1"/>
    </xf>
    <xf numFmtId="166" fontId="52" fillId="16" borderId="87" xfId="0" applyNumberFormat="1" applyFont="1" applyFill="1" applyBorder="1" applyAlignment="1">
      <alignment horizontal="center" vertical="center" wrapText="1"/>
    </xf>
    <xf numFmtId="166" fontId="52" fillId="0" borderId="56" xfId="0" applyNumberFormat="1" applyFont="1" applyBorder="1" applyAlignment="1">
      <alignment horizontal="center" vertical="center" wrapText="1"/>
    </xf>
    <xf numFmtId="166" fontId="52" fillId="16" borderId="56" xfId="0" applyNumberFormat="1" applyFont="1" applyFill="1" applyBorder="1" applyAlignment="1">
      <alignment horizontal="center" vertical="center" wrapText="1"/>
    </xf>
    <xf numFmtId="166" fontId="52" fillId="0" borderId="111" xfId="0" applyNumberFormat="1" applyFont="1" applyBorder="1" applyAlignment="1">
      <alignment horizontal="center" vertical="center" wrapText="1"/>
    </xf>
    <xf numFmtId="166" fontId="52" fillId="0" borderId="59" xfId="0" applyNumberFormat="1" applyFont="1" applyBorder="1" applyAlignment="1">
      <alignment horizontal="center" vertical="center" wrapText="1"/>
    </xf>
    <xf numFmtId="166" fontId="52" fillId="0" borderId="36" xfId="0" applyNumberFormat="1" applyFont="1" applyBorder="1" applyAlignment="1">
      <alignment horizontal="center" vertical="center" wrapText="1"/>
    </xf>
    <xf numFmtId="166" fontId="13" fillId="0" borderId="36" xfId="0" applyNumberFormat="1" applyFont="1" applyBorder="1" applyAlignment="1">
      <alignment horizontal="center" vertical="center" wrapText="1"/>
    </xf>
    <xf numFmtId="166" fontId="13" fillId="0" borderId="55" xfId="0" applyNumberFormat="1" applyFont="1" applyBorder="1" applyAlignment="1">
      <alignment horizontal="center" vertical="center" wrapText="1"/>
    </xf>
    <xf numFmtId="0" fontId="18" fillId="0" borderId="19" xfId="0" applyFont="1" applyBorder="1" applyAlignment="1">
      <alignment wrapText="1"/>
    </xf>
    <xf numFmtId="0" fontId="51" fillId="0" borderId="15" xfId="0" applyFont="1" applyBorder="1" applyAlignment="1">
      <alignment horizontal="center" vertical="center" wrapText="1"/>
    </xf>
    <xf numFmtId="0" fontId="51" fillId="0" borderId="18" xfId="0" applyFont="1" applyBorder="1" applyAlignment="1">
      <alignment horizontal="center" vertical="center" wrapText="1"/>
    </xf>
    <xf numFmtId="0" fontId="51" fillId="0" borderId="89" xfId="0" applyFont="1" applyBorder="1" applyAlignment="1">
      <alignment horizontal="center" vertical="center" wrapText="1"/>
    </xf>
    <xf numFmtId="0" fontId="52" fillId="0" borderId="140" xfId="0" applyFont="1" applyBorder="1" applyAlignment="1">
      <alignment wrapText="1"/>
    </xf>
    <xf numFmtId="0" fontId="51" fillId="13" borderId="141" xfId="0" applyFont="1" applyFill="1" applyBorder="1" applyAlignment="1">
      <alignment horizontal="center" vertical="center" wrapText="1"/>
    </xf>
    <xf numFmtId="0" fontId="18" fillId="13" borderId="142" xfId="0" applyFont="1" applyFill="1" applyBorder="1" applyAlignment="1">
      <alignment wrapText="1"/>
    </xf>
    <xf numFmtId="3" fontId="20" fillId="15" borderId="100" xfId="0" quotePrefix="1" applyNumberFormat="1" applyFont="1" applyFill="1" applyBorder="1" applyAlignment="1">
      <alignment horizontal="center" vertical="center" wrapText="1"/>
    </xf>
    <xf numFmtId="3" fontId="20" fillId="0" borderId="27" xfId="0" quotePrefix="1" applyNumberFormat="1" applyFont="1" applyBorder="1" applyAlignment="1">
      <alignment horizontal="center" vertical="center" wrapText="1"/>
    </xf>
    <xf numFmtId="0" fontId="24" fillId="0" borderId="57" xfId="0" applyFont="1" applyBorder="1" applyAlignment="1">
      <alignment horizontal="center" vertical="center" wrapText="1"/>
    </xf>
    <xf numFmtId="0" fontId="24" fillId="0" borderId="59" xfId="0" applyFont="1" applyBorder="1" applyAlignment="1">
      <alignment horizontal="center" vertical="center" wrapText="1"/>
    </xf>
    <xf numFmtId="0" fontId="19" fillId="0" borderId="0" xfId="0" applyFont="1" applyAlignment="1">
      <alignment vertical="center"/>
    </xf>
    <xf numFmtId="0" fontId="21" fillId="0" borderId="0" xfId="0" applyFont="1"/>
    <xf numFmtId="169" fontId="22" fillId="0" borderId="0" xfId="0" applyNumberFormat="1" applyFont="1" applyAlignment="1" applyProtection="1">
      <alignment horizontal="center" vertical="top" wrapText="1" readingOrder="1"/>
      <protection locked="0"/>
    </xf>
    <xf numFmtId="167" fontId="52" fillId="0" borderId="34" xfId="0" applyNumberFormat="1" applyFont="1" applyBorder="1" applyAlignment="1">
      <alignment horizontal="center" vertical="center" wrapText="1"/>
    </xf>
    <xf numFmtId="166" fontId="39" fillId="16" borderId="19" xfId="0" quotePrefix="1" applyNumberFormat="1" applyFont="1" applyFill="1" applyBorder="1" applyAlignment="1">
      <alignment horizontal="center" vertical="center" wrapText="1"/>
    </xf>
    <xf numFmtId="166" fontId="52" fillId="15" borderId="36" xfId="0" applyNumberFormat="1" applyFont="1" applyFill="1" applyBorder="1" applyAlignment="1">
      <alignment horizontal="center" vertical="center" wrapText="1"/>
    </xf>
    <xf numFmtId="166" fontId="52" fillId="15" borderId="35" xfId="0" applyNumberFormat="1" applyFont="1" applyFill="1" applyBorder="1" applyAlignment="1">
      <alignment horizontal="center" vertical="center" wrapText="1"/>
    </xf>
    <xf numFmtId="166" fontId="13" fillId="15" borderId="36" xfId="0" applyNumberFormat="1" applyFont="1" applyFill="1" applyBorder="1" applyAlignment="1">
      <alignment horizontal="center" vertical="center" wrapText="1"/>
    </xf>
    <xf numFmtId="166" fontId="13" fillId="15" borderId="34" xfId="0" applyNumberFormat="1" applyFont="1" applyFill="1" applyBorder="1" applyAlignment="1">
      <alignment horizontal="center" vertical="center" wrapText="1"/>
    </xf>
    <xf numFmtId="166" fontId="13" fillId="15" borderId="35" xfId="0" applyNumberFormat="1" applyFont="1" applyFill="1" applyBorder="1" applyAlignment="1">
      <alignment horizontal="center" vertical="center" wrapText="1"/>
    </xf>
    <xf numFmtId="166" fontId="60" fillId="7" borderId="19" xfId="0" quotePrefix="1" applyNumberFormat="1" applyFont="1" applyFill="1" applyBorder="1" applyAlignment="1">
      <alignment horizontal="center" vertical="center" wrapText="1"/>
    </xf>
    <xf numFmtId="166" fontId="24" fillId="16" borderId="19" xfId="0" quotePrefix="1" applyNumberFormat="1" applyFont="1" applyFill="1" applyBorder="1" applyAlignment="1">
      <alignment horizontal="center" vertical="center" wrapText="1"/>
    </xf>
    <xf numFmtId="4" fontId="20" fillId="6" borderId="42" xfId="0" quotePrefix="1" applyNumberFormat="1" applyFont="1" applyFill="1" applyBorder="1" applyAlignment="1">
      <alignment horizontal="center" vertical="center" wrapText="1"/>
    </xf>
    <xf numFmtId="4" fontId="52" fillId="16" borderId="34" xfId="0" quotePrefix="1" applyNumberFormat="1" applyFont="1" applyFill="1" applyBorder="1" applyAlignment="1">
      <alignment horizontal="center" vertical="center" wrapText="1"/>
    </xf>
    <xf numFmtId="4" fontId="52" fillId="13" borderId="34" xfId="0" quotePrefix="1" applyNumberFormat="1" applyFont="1" applyFill="1" applyBorder="1" applyAlignment="1">
      <alignment horizontal="center" vertical="center" wrapText="1"/>
    </xf>
    <xf numFmtId="4" fontId="52" fillId="13" borderId="55" xfId="0" quotePrefix="1" applyNumberFormat="1" applyFont="1" applyFill="1" applyBorder="1" applyAlignment="1">
      <alignment horizontal="center" vertical="center" wrapText="1"/>
    </xf>
    <xf numFmtId="4" fontId="13" fillId="16" borderId="34" xfId="0" quotePrefix="1" applyNumberFormat="1" applyFont="1" applyFill="1" applyBorder="1" applyAlignment="1">
      <alignment horizontal="center" vertical="center" wrapText="1"/>
    </xf>
    <xf numFmtId="4" fontId="52" fillId="0" borderId="35" xfId="0" quotePrefix="1" applyNumberFormat="1" applyFont="1" applyBorder="1" applyAlignment="1">
      <alignment horizontal="center" vertical="center" wrapText="1"/>
    </xf>
    <xf numFmtId="4" fontId="52" fillId="0" borderId="36" xfId="0" quotePrefix="1" applyNumberFormat="1" applyFont="1" applyBorder="1" applyAlignment="1">
      <alignment horizontal="center" vertical="center" wrapText="1"/>
    </xf>
    <xf numFmtId="4" fontId="52" fillId="13" borderId="81" xfId="0" quotePrefix="1" applyNumberFormat="1" applyFont="1" applyFill="1" applyBorder="1" applyAlignment="1">
      <alignment horizontal="center" vertical="center" wrapText="1"/>
    </xf>
    <xf numFmtId="4" fontId="52" fillId="13" borderId="87" xfId="0" quotePrefix="1" applyNumberFormat="1" applyFont="1" applyFill="1" applyBorder="1" applyAlignment="1">
      <alignment horizontal="center" vertical="center" wrapText="1"/>
    </xf>
    <xf numFmtId="4" fontId="52" fillId="13" borderId="59" xfId="0" quotePrefix="1" applyNumberFormat="1" applyFont="1" applyFill="1" applyBorder="1" applyAlignment="1">
      <alignment horizontal="center" vertical="center" wrapText="1"/>
    </xf>
    <xf numFmtId="4" fontId="24" fillId="16" borderId="19" xfId="0" quotePrefix="1" applyNumberFormat="1" applyFont="1" applyFill="1" applyBorder="1" applyAlignment="1">
      <alignment horizontal="center" vertical="center" wrapText="1"/>
    </xf>
    <xf numFmtId="4" fontId="24" fillId="13" borderId="93" xfId="0" quotePrefix="1" applyNumberFormat="1" applyFont="1" applyFill="1" applyBorder="1" applyAlignment="1">
      <alignment horizontal="center" vertical="center" wrapText="1"/>
    </xf>
    <xf numFmtId="4" fontId="24" fillId="14" borderId="93" xfId="0" quotePrefix="1" applyNumberFormat="1" applyFont="1" applyFill="1" applyBorder="1" applyAlignment="1">
      <alignment horizontal="center" vertical="center" wrapText="1"/>
    </xf>
    <xf numFmtId="4" fontId="24" fillId="13" borderId="19" xfId="0" quotePrefix="1" applyNumberFormat="1" applyFont="1" applyFill="1" applyBorder="1" applyAlignment="1">
      <alignment horizontal="center" vertical="center" wrapText="1"/>
    </xf>
    <xf numFmtId="4" fontId="24" fillId="14" borderId="19" xfId="0" quotePrefix="1" applyNumberFormat="1" applyFont="1" applyFill="1" applyBorder="1" applyAlignment="1">
      <alignment horizontal="center" vertical="center" wrapText="1"/>
    </xf>
    <xf numFmtId="4" fontId="13" fillId="0" borderId="34" xfId="0" quotePrefix="1" applyNumberFormat="1" applyFont="1" applyBorder="1" applyAlignment="1">
      <alignment horizontal="center" vertical="center" wrapText="1"/>
    </xf>
    <xf numFmtId="4" fontId="13" fillId="13" borderId="34" xfId="0" quotePrefix="1" applyNumberFormat="1" applyFont="1" applyFill="1" applyBorder="1" applyAlignment="1">
      <alignment horizontal="center" vertical="center" wrapText="1"/>
    </xf>
    <xf numFmtId="4" fontId="13" fillId="14" borderId="34" xfId="0" quotePrefix="1" applyNumberFormat="1" applyFont="1" applyFill="1" applyBorder="1" applyAlignment="1">
      <alignment horizontal="center" vertical="center" wrapText="1"/>
    </xf>
    <xf numFmtId="4" fontId="13" fillId="13" borderId="81" xfId="0" quotePrefix="1" applyNumberFormat="1" applyFont="1" applyFill="1" applyBorder="1" applyAlignment="1">
      <alignment horizontal="center" vertical="center" wrapText="1"/>
    </xf>
    <xf numFmtId="4" fontId="13" fillId="14" borderId="72" xfId="0" quotePrefix="1" applyNumberFormat="1" applyFont="1" applyFill="1" applyBorder="1" applyAlignment="1">
      <alignment horizontal="center" vertical="center" wrapText="1"/>
    </xf>
    <xf numFmtId="4" fontId="13" fillId="13" borderId="87" xfId="0" quotePrefix="1" applyNumberFormat="1" applyFont="1" applyFill="1" applyBorder="1" applyAlignment="1">
      <alignment horizontal="center" vertical="center" wrapText="1"/>
    </xf>
    <xf numFmtId="0" fontId="29" fillId="6" borderId="44" xfId="0" applyFont="1" applyFill="1" applyBorder="1" applyAlignment="1">
      <alignment horizontal="center" vertical="center" wrapText="1"/>
    </xf>
    <xf numFmtId="0" fontId="29" fillId="6" borderId="109" xfId="0" applyFont="1" applyFill="1" applyBorder="1" applyAlignment="1">
      <alignment horizontal="center" vertical="center" wrapText="1"/>
    </xf>
    <xf numFmtId="0" fontId="29" fillId="6" borderId="45" xfId="0" applyFont="1" applyFill="1" applyBorder="1" applyAlignment="1">
      <alignment horizontal="center" vertical="center" wrapText="1"/>
    </xf>
    <xf numFmtId="0" fontId="26" fillId="0" borderId="36" xfId="0" applyFont="1" applyBorder="1" applyAlignment="1">
      <alignment wrapText="1"/>
    </xf>
    <xf numFmtId="0" fontId="26" fillId="0" borderId="36" xfId="0" applyFont="1" applyBorder="1" applyAlignment="1">
      <alignment horizontal="center" vertical="center" wrapText="1"/>
    </xf>
    <xf numFmtId="0" fontId="26" fillId="0" borderId="34" xfId="0" applyFont="1" applyBorder="1" applyAlignment="1">
      <alignment wrapText="1"/>
    </xf>
    <xf numFmtId="3" fontId="28" fillId="0" borderId="34" xfId="0" applyNumberFormat="1" applyFont="1" applyBorder="1" applyAlignment="1">
      <alignment horizontal="center" vertical="center" wrapText="1"/>
    </xf>
    <xf numFmtId="0" fontId="29" fillId="0" borderId="34" xfId="0" applyFont="1" applyBorder="1" applyAlignment="1">
      <alignment horizontal="center" vertical="center" wrapText="1"/>
    </xf>
    <xf numFmtId="0" fontId="29" fillId="0" borderId="0" xfId="0" applyFont="1" applyAlignment="1">
      <alignment wrapText="1"/>
    </xf>
    <xf numFmtId="0" fontId="29" fillId="0" borderId="15" xfId="0" applyFont="1" applyBorder="1" applyAlignment="1">
      <alignment horizontal="center" vertical="center" wrapText="1"/>
    </xf>
    <xf numFmtId="4" fontId="60" fillId="7" borderId="26" xfId="0" quotePrefix="1" applyNumberFormat="1" applyFont="1" applyFill="1" applyBorder="1" applyAlignment="1">
      <alignment horizontal="center" vertical="center" wrapText="1"/>
    </xf>
    <xf numFmtId="4" fontId="20" fillId="18" borderId="42" xfId="0" quotePrefix="1" applyNumberFormat="1" applyFont="1" applyFill="1" applyBorder="1" applyAlignment="1">
      <alignment horizontal="center" vertical="center" wrapText="1"/>
    </xf>
    <xf numFmtId="4" fontId="52" fillId="18" borderId="36" xfId="0" quotePrefix="1" applyNumberFormat="1" applyFont="1" applyFill="1" applyBorder="1" applyAlignment="1">
      <alignment horizontal="center" vertical="center" wrapText="1"/>
    </xf>
    <xf numFmtId="4" fontId="52" fillId="13" borderId="36" xfId="0" quotePrefix="1" applyNumberFormat="1" applyFont="1" applyFill="1" applyBorder="1" applyAlignment="1">
      <alignment horizontal="center" vertical="center" wrapText="1"/>
    </xf>
    <xf numFmtId="4" fontId="52" fillId="15" borderId="34" xfId="0" quotePrefix="1" applyNumberFormat="1" applyFont="1" applyFill="1" applyBorder="1" applyAlignment="1">
      <alignment horizontal="center" vertical="center" wrapText="1"/>
    </xf>
    <xf numFmtId="4" fontId="52" fillId="13" borderId="0" xfId="0" quotePrefix="1" applyNumberFormat="1" applyFont="1" applyFill="1" applyAlignment="1">
      <alignment horizontal="center" vertical="center" wrapText="1"/>
    </xf>
    <xf numFmtId="4" fontId="20" fillId="6" borderId="100" xfId="0" quotePrefix="1" applyNumberFormat="1" applyFont="1" applyFill="1" applyBorder="1" applyAlignment="1">
      <alignment horizontal="center" vertical="center" wrapText="1"/>
    </xf>
    <xf numFmtId="4" fontId="60" fillId="7" borderId="31" xfId="0" quotePrefix="1" applyNumberFormat="1" applyFont="1" applyFill="1" applyBorder="1" applyAlignment="1">
      <alignment horizontal="center" vertical="center" wrapText="1"/>
    </xf>
    <xf numFmtId="4" fontId="13" fillId="18" borderId="34" xfId="0" quotePrefix="1" applyNumberFormat="1" applyFont="1" applyFill="1" applyBorder="1" applyAlignment="1">
      <alignment horizontal="center" vertical="center" wrapText="1"/>
    </xf>
    <xf numFmtId="10" fontId="0" fillId="0" borderId="0" xfId="0" applyNumberFormat="1"/>
    <xf numFmtId="4" fontId="53" fillId="7" borderId="72" xfId="0" quotePrefix="1" applyNumberFormat="1" applyFont="1" applyFill="1" applyBorder="1" applyAlignment="1">
      <alignment horizontal="center" vertical="center" wrapText="1"/>
    </xf>
    <xf numFmtId="4" fontId="20" fillId="6" borderId="74" xfId="0" quotePrefix="1" applyNumberFormat="1" applyFont="1" applyFill="1" applyBorder="1" applyAlignment="1">
      <alignment horizontal="center" vertical="center" wrapText="1"/>
    </xf>
    <xf numFmtId="4" fontId="20" fillId="6" borderId="93" xfId="0" quotePrefix="1" applyNumberFormat="1" applyFont="1" applyFill="1" applyBorder="1" applyAlignment="1">
      <alignment horizontal="center" vertical="center" wrapText="1"/>
    </xf>
    <xf numFmtId="4" fontId="41" fillId="7" borderId="24" xfId="0" applyNumberFormat="1" applyFont="1" applyFill="1" applyBorder="1" applyAlignment="1">
      <alignment horizontal="center" vertical="center" wrapText="1"/>
    </xf>
    <xf numFmtId="4" fontId="53" fillId="7" borderId="0" xfId="0" quotePrefix="1" applyNumberFormat="1" applyFont="1" applyFill="1" applyAlignment="1">
      <alignment horizontal="center" vertical="center" wrapText="1"/>
    </xf>
    <xf numFmtId="4" fontId="52" fillId="6" borderId="13" xfId="0" applyNumberFormat="1" applyFont="1" applyFill="1" applyBorder="1" applyAlignment="1">
      <alignment wrapText="1"/>
    </xf>
    <xf numFmtId="4" fontId="52" fillId="6" borderId="19" xfId="0" applyNumberFormat="1" applyFont="1" applyFill="1" applyBorder="1" applyAlignment="1">
      <alignment wrapText="1"/>
    </xf>
    <xf numFmtId="4" fontId="52" fillId="6" borderId="18" xfId="0" applyNumberFormat="1" applyFont="1" applyFill="1" applyBorder="1" applyAlignment="1">
      <alignment wrapText="1"/>
    </xf>
    <xf numFmtId="4" fontId="52" fillId="6" borderId="54" xfId="0" applyNumberFormat="1" applyFont="1" applyFill="1" applyBorder="1" applyAlignment="1">
      <alignment wrapText="1"/>
    </xf>
    <xf numFmtId="4" fontId="20" fillId="6" borderId="13" xfId="0" quotePrefix="1" applyNumberFormat="1" applyFont="1" applyFill="1" applyBorder="1" applyAlignment="1">
      <alignment horizontal="center" vertical="center" wrapText="1"/>
    </xf>
    <xf numFmtId="4" fontId="39" fillId="16" borderId="14" xfId="0" applyNumberFormat="1" applyFont="1" applyFill="1" applyBorder="1" applyAlignment="1">
      <alignment horizontal="center" vertical="center" wrapText="1"/>
    </xf>
    <xf numFmtId="4" fontId="39" fillId="16" borderId="19" xfId="0" applyNumberFormat="1" applyFont="1" applyFill="1" applyBorder="1" applyAlignment="1">
      <alignment horizontal="center" vertical="center" wrapText="1"/>
    </xf>
    <xf numFmtId="4" fontId="51" fillId="5" borderId="42" xfId="0" quotePrefix="1" applyNumberFormat="1" applyFont="1" applyFill="1" applyBorder="1" applyAlignment="1">
      <alignment horizontal="center" vertical="center" wrapText="1"/>
    </xf>
    <xf numFmtId="4" fontId="52" fillId="15" borderId="36" xfId="0" quotePrefix="1" applyNumberFormat="1" applyFont="1" applyFill="1" applyBorder="1" applyAlignment="1">
      <alignment horizontal="center" vertical="center" wrapText="1"/>
    </xf>
    <xf numFmtId="4" fontId="52" fillId="15" borderId="35" xfId="0" quotePrefix="1" applyNumberFormat="1" applyFont="1" applyFill="1" applyBorder="1" applyAlignment="1">
      <alignment horizontal="center" vertical="center" wrapText="1"/>
    </xf>
    <xf numFmtId="4" fontId="13" fillId="15" borderId="36" xfId="0" quotePrefix="1" applyNumberFormat="1" applyFont="1" applyFill="1" applyBorder="1" applyAlignment="1">
      <alignment horizontal="center" vertical="center" wrapText="1"/>
    </xf>
    <xf numFmtId="4" fontId="13" fillId="15" borderId="34" xfId="0" quotePrefix="1" applyNumberFormat="1" applyFont="1" applyFill="1" applyBorder="1" applyAlignment="1">
      <alignment horizontal="center" vertical="center" wrapText="1"/>
    </xf>
    <xf numFmtId="4" fontId="13" fillId="15" borderId="35" xfId="0" quotePrefix="1" applyNumberFormat="1" applyFont="1" applyFill="1" applyBorder="1" applyAlignment="1">
      <alignment horizontal="center" vertical="center" wrapText="1"/>
    </xf>
    <xf numFmtId="4" fontId="20" fillId="6" borderId="53" xfId="0" quotePrefix="1" applyNumberFormat="1" applyFont="1" applyFill="1" applyBorder="1" applyAlignment="1">
      <alignment horizontal="center" vertical="center" wrapText="1"/>
    </xf>
    <xf numFmtId="4" fontId="20" fillId="6" borderId="58" xfId="0" quotePrefix="1" applyNumberFormat="1" applyFont="1" applyFill="1" applyBorder="1" applyAlignment="1">
      <alignment horizontal="center" vertical="center" wrapText="1"/>
    </xf>
    <xf numFmtId="4" fontId="60" fillId="7" borderId="19" xfId="0" quotePrefix="1" applyNumberFormat="1" applyFont="1" applyFill="1" applyBorder="1" applyAlignment="1">
      <alignment horizontal="center" vertical="center" wrapText="1"/>
    </xf>
    <xf numFmtId="4" fontId="41" fillId="7" borderId="6" xfId="0" applyNumberFormat="1" applyFont="1" applyFill="1" applyBorder="1" applyAlignment="1">
      <alignment horizontal="center" vertical="center" wrapText="1"/>
    </xf>
    <xf numFmtId="4" fontId="53" fillId="7" borderId="102" xfId="0" quotePrefix="1" applyNumberFormat="1" applyFont="1" applyFill="1" applyBorder="1" applyAlignment="1">
      <alignment horizontal="center" vertical="center" wrapText="1"/>
    </xf>
    <xf numFmtId="4" fontId="24" fillId="16" borderId="14" xfId="0" applyNumberFormat="1" applyFont="1" applyFill="1" applyBorder="1" applyAlignment="1">
      <alignment horizontal="center" vertical="center" wrapText="1"/>
    </xf>
    <xf numFmtId="4" fontId="24" fillId="16" borderId="19" xfId="0" applyNumberFormat="1" applyFont="1" applyFill="1" applyBorder="1" applyAlignment="1">
      <alignment horizontal="center" vertical="center" wrapText="1"/>
    </xf>
    <xf numFmtId="4" fontId="27" fillId="5" borderId="42" xfId="0" quotePrefix="1" applyNumberFormat="1" applyFont="1" applyFill="1" applyBorder="1" applyAlignment="1">
      <alignment horizontal="center" vertical="center" wrapText="1"/>
    </xf>
    <xf numFmtId="4" fontId="41" fillId="7" borderId="15" xfId="0" applyNumberFormat="1" applyFont="1" applyFill="1" applyBorder="1" applyAlignment="1">
      <alignment horizontal="center" vertical="center" wrapText="1"/>
    </xf>
    <xf numFmtId="4" fontId="60" fillId="20" borderId="19" xfId="0" quotePrefix="1" applyNumberFormat="1" applyFont="1" applyFill="1" applyBorder="1" applyAlignment="1">
      <alignment horizontal="center" vertical="center" wrapText="1"/>
    </xf>
    <xf numFmtId="4" fontId="60" fillId="18" borderId="19" xfId="0" quotePrefix="1" applyNumberFormat="1" applyFont="1" applyFill="1" applyBorder="1" applyAlignment="1">
      <alignment horizontal="center" vertical="center" wrapText="1"/>
    </xf>
    <xf numFmtId="4" fontId="20" fillId="20" borderId="19" xfId="0" quotePrefix="1" applyNumberFormat="1" applyFont="1" applyFill="1" applyBorder="1" applyAlignment="1">
      <alignment horizontal="center" vertical="center" wrapText="1"/>
    </xf>
    <xf numFmtId="4" fontId="20" fillId="18" borderId="13" xfId="0" quotePrefix="1" applyNumberFormat="1" applyFont="1" applyFill="1" applyBorder="1" applyAlignment="1">
      <alignment horizontal="center" vertical="center" wrapText="1"/>
    </xf>
    <xf numFmtId="4" fontId="52" fillId="18" borderId="35" xfId="0" quotePrefix="1" applyNumberFormat="1" applyFont="1" applyFill="1" applyBorder="1" applyAlignment="1">
      <alignment horizontal="center" vertical="center" wrapText="1"/>
    </xf>
    <xf numFmtId="4" fontId="39" fillId="20" borderId="14" xfId="0" quotePrefix="1" applyNumberFormat="1" applyFont="1" applyFill="1" applyBorder="1" applyAlignment="1">
      <alignment horizontal="center" vertical="center" wrapText="1"/>
    </xf>
    <xf numFmtId="4" fontId="39" fillId="18" borderId="14" xfId="0" quotePrefix="1" applyNumberFormat="1" applyFont="1" applyFill="1" applyBorder="1" applyAlignment="1">
      <alignment horizontal="center" vertical="center" wrapText="1"/>
    </xf>
    <xf numFmtId="4" fontId="20" fillId="20" borderId="13" xfId="0" quotePrefix="1" applyNumberFormat="1" applyFont="1" applyFill="1" applyBorder="1" applyAlignment="1">
      <alignment horizontal="center" vertical="center" wrapText="1"/>
    </xf>
    <xf numFmtId="4" fontId="20" fillId="20" borderId="42" xfId="0" quotePrefix="1" applyNumberFormat="1" applyFont="1" applyFill="1" applyBorder="1" applyAlignment="1">
      <alignment horizontal="center" vertical="center" wrapText="1"/>
    </xf>
    <xf numFmtId="4" fontId="13" fillId="20" borderId="34" xfId="0" quotePrefix="1" applyNumberFormat="1" applyFont="1" applyFill="1" applyBorder="1" applyAlignment="1">
      <alignment horizontal="center" vertical="center" wrapText="1"/>
    </xf>
    <xf numFmtId="4" fontId="52" fillId="20" borderId="35" xfId="0" quotePrefix="1" applyNumberFormat="1" applyFont="1" applyFill="1" applyBorder="1" applyAlignment="1">
      <alignment horizontal="center" vertical="center" wrapText="1"/>
    </xf>
    <xf numFmtId="4" fontId="60" fillId="20" borderId="15" xfId="0" quotePrefix="1" applyNumberFormat="1" applyFont="1" applyFill="1" applyBorder="1" applyAlignment="1">
      <alignment horizontal="center" vertical="center" wrapText="1"/>
    </xf>
    <xf numFmtId="4" fontId="60" fillId="18" borderId="15" xfId="0" quotePrefix="1" applyNumberFormat="1" applyFont="1" applyFill="1" applyBorder="1" applyAlignment="1">
      <alignment horizontal="center" vertical="center" wrapText="1"/>
    </xf>
    <xf numFmtId="4" fontId="52" fillId="18" borderId="53" xfId="0" quotePrefix="1" applyNumberFormat="1" applyFont="1" applyFill="1" applyBorder="1" applyAlignment="1">
      <alignment horizontal="center" vertical="center" wrapText="1"/>
    </xf>
    <xf numFmtId="4" fontId="52" fillId="20" borderId="36" xfId="0" quotePrefix="1" applyNumberFormat="1" applyFont="1" applyFill="1" applyBorder="1" applyAlignment="1">
      <alignment horizontal="center" vertical="center" wrapText="1"/>
    </xf>
    <xf numFmtId="4" fontId="19" fillId="13" borderId="10" xfId="0" applyNumberFormat="1" applyFont="1" applyFill="1" applyBorder="1" applyAlignment="1">
      <alignment horizontal="center" vertical="center" wrapText="1"/>
    </xf>
    <xf numFmtId="4" fontId="21" fillId="5" borderId="41" xfId="0" applyNumberFormat="1" applyFont="1" applyFill="1" applyBorder="1" applyAlignment="1">
      <alignment horizontal="center" vertical="center" wrapText="1"/>
    </xf>
    <xf numFmtId="4" fontId="25" fillId="13" borderId="41" xfId="0" applyNumberFormat="1" applyFont="1" applyFill="1" applyBorder="1" applyAlignment="1">
      <alignment horizontal="center" vertical="center" wrapText="1"/>
    </xf>
    <xf numFmtId="4" fontId="19" fillId="13" borderId="33" xfId="0" applyNumberFormat="1" applyFont="1" applyFill="1" applyBorder="1" applyAlignment="1">
      <alignment horizontal="center" vertical="center" wrapText="1"/>
    </xf>
    <xf numFmtId="4" fontId="21" fillId="5" borderId="49" xfId="0" applyNumberFormat="1" applyFont="1" applyFill="1" applyBorder="1" applyAlignment="1">
      <alignment horizontal="center" vertical="center" wrapText="1"/>
    </xf>
    <xf numFmtId="4" fontId="25" fillId="13" borderId="49" xfId="0" applyNumberFormat="1" applyFont="1" applyFill="1" applyBorder="1" applyAlignment="1">
      <alignment horizontal="center" vertical="center" wrapText="1"/>
    </xf>
    <xf numFmtId="4" fontId="46" fillId="0" borderId="34" xfId="0" applyNumberFormat="1" applyFont="1" applyBorder="1" applyAlignment="1">
      <alignment horizontal="center" vertical="center" wrapText="1"/>
    </xf>
    <xf numFmtId="0" fontId="0" fillId="0" borderId="0" xfId="0" applyAlignment="1">
      <alignment horizontal="center" vertical="center" wrapText="1"/>
    </xf>
    <xf numFmtId="0" fontId="52" fillId="10" borderId="34" xfId="0" applyFont="1" applyFill="1" applyBorder="1" applyAlignment="1">
      <alignment horizontal="center" vertical="center" wrapText="1"/>
    </xf>
    <xf numFmtId="0" fontId="0" fillId="10" borderId="0" xfId="0" applyFill="1" applyAlignment="1">
      <alignment horizontal="center" vertical="center"/>
    </xf>
    <xf numFmtId="0" fontId="0" fillId="10" borderId="34" xfId="0" applyFill="1" applyBorder="1" applyAlignment="1">
      <alignment horizontal="center" vertical="center"/>
    </xf>
    <xf numFmtId="0" fontId="13" fillId="0" borderId="0" xfId="0" applyFont="1" applyAlignment="1">
      <alignment wrapText="1"/>
    </xf>
    <xf numFmtId="0" fontId="52" fillId="0" borderId="0" xfId="0" applyFont="1" applyAlignment="1">
      <alignment wrapText="1"/>
    </xf>
    <xf numFmtId="0" fontId="13" fillId="13" borderId="0" xfId="0" applyFont="1" applyFill="1" applyAlignment="1">
      <alignment wrapText="1"/>
    </xf>
    <xf numFmtId="4" fontId="52" fillId="0" borderId="0" xfId="0" quotePrefix="1" applyNumberFormat="1" applyFont="1" applyAlignment="1">
      <alignment horizontal="center" vertical="center" wrapText="1"/>
    </xf>
    <xf numFmtId="166" fontId="13" fillId="0" borderId="0" xfId="0" applyNumberFormat="1" applyFont="1" applyAlignment="1">
      <alignment horizontal="center" vertical="center" wrapText="1"/>
    </xf>
    <xf numFmtId="4" fontId="39" fillId="0" borderId="0" xfId="0" quotePrefix="1" applyNumberFormat="1" applyFont="1" applyAlignment="1">
      <alignment horizontal="center" vertical="center" wrapText="1"/>
    </xf>
    <xf numFmtId="4" fontId="21" fillId="0" borderId="0" xfId="0" applyNumberFormat="1" applyFont="1"/>
    <xf numFmtId="3" fontId="8" fillId="10" borderId="34" xfId="0" applyNumberFormat="1" applyFont="1" applyFill="1" applyBorder="1" applyAlignment="1">
      <alignment horizontal="center" vertical="center"/>
    </xf>
    <xf numFmtId="4" fontId="22" fillId="0" borderId="19" xfId="0" applyNumberFormat="1" applyFont="1" applyBorder="1" applyAlignment="1">
      <alignment horizontal="center" vertical="center" wrapText="1"/>
    </xf>
    <xf numFmtId="4" fontId="2" fillId="0" borderId="0" xfId="0" applyNumberFormat="1" applyFont="1" applyAlignment="1">
      <alignment horizontal="center" vertical="center" wrapText="1"/>
    </xf>
    <xf numFmtId="0" fontId="26" fillId="0" borderId="19" xfId="0" applyFont="1" applyBorder="1" applyAlignment="1">
      <alignment wrapText="1"/>
    </xf>
    <xf numFmtId="0" fontId="26" fillId="0" borderId="31" xfId="0" applyFont="1" applyBorder="1" applyAlignment="1">
      <alignment wrapText="1"/>
    </xf>
    <xf numFmtId="4" fontId="26" fillId="0" borderId="19" xfId="0" applyNumberFormat="1" applyFont="1" applyBorder="1" applyAlignment="1">
      <alignment horizontal="center" vertical="center" wrapText="1"/>
    </xf>
    <xf numFmtId="4" fontId="26" fillId="0" borderId="31" xfId="0" applyNumberFormat="1" applyFont="1" applyBorder="1" applyAlignment="1">
      <alignment horizontal="center" vertical="center" wrapText="1"/>
    </xf>
    <xf numFmtId="4" fontId="26" fillId="0" borderId="13" xfId="0" applyNumberFormat="1" applyFont="1" applyBorder="1" applyAlignment="1">
      <alignment horizontal="center" vertical="center" wrapText="1"/>
    </xf>
    <xf numFmtId="4" fontId="26" fillId="0" borderId="32" xfId="0" applyNumberFormat="1" applyFont="1" applyBorder="1" applyAlignment="1">
      <alignment horizontal="center" vertical="center" wrapText="1"/>
    </xf>
    <xf numFmtId="4" fontId="26" fillId="0" borderId="46" xfId="0" applyNumberFormat="1" applyFont="1" applyBorder="1" applyAlignment="1">
      <alignment horizontal="center" vertical="center" wrapText="1"/>
    </xf>
    <xf numFmtId="4" fontId="26" fillId="0" borderId="14" xfId="0" applyNumberFormat="1" applyFont="1" applyBorder="1" applyAlignment="1">
      <alignment horizontal="center" vertical="center" wrapText="1"/>
    </xf>
    <xf numFmtId="0" fontId="83" fillId="21" borderId="143" xfId="2" applyFont="1" applyFill="1" applyBorder="1" applyAlignment="1">
      <alignment horizontal="center" vertical="top" wrapText="1" readingOrder="1"/>
    </xf>
    <xf numFmtId="0" fontId="83" fillId="21" borderId="144" xfId="2" applyFont="1" applyFill="1" applyBorder="1" applyAlignment="1">
      <alignment horizontal="center" vertical="top" wrapText="1" readingOrder="1"/>
    </xf>
    <xf numFmtId="0" fontId="13" fillId="0" borderId="0" xfId="0" applyFont="1"/>
    <xf numFmtId="0" fontId="84" fillId="0" borderId="144" xfId="2" applyFont="1" applyBorder="1" applyAlignment="1">
      <alignment horizontal="left" vertical="top" wrapText="1" readingOrder="1"/>
    </xf>
    <xf numFmtId="4" fontId="84" fillId="0" borderId="144" xfId="2" applyNumberFormat="1" applyFont="1" applyBorder="1" applyAlignment="1">
      <alignment horizontal="left" vertical="top" wrapText="1" readingOrder="1"/>
    </xf>
    <xf numFmtId="169" fontId="84" fillId="0" borderId="144" xfId="2" applyNumberFormat="1" applyFont="1" applyBorder="1" applyAlignment="1">
      <alignment horizontal="left" vertical="top" wrapText="1" readingOrder="1"/>
    </xf>
    <xf numFmtId="171" fontId="84" fillId="0" borderId="144" xfId="2" applyNumberFormat="1" applyFont="1" applyBorder="1" applyAlignment="1">
      <alignment horizontal="left" vertical="top" wrapText="1" readingOrder="1"/>
    </xf>
    <xf numFmtId="169" fontId="13" fillId="0" borderId="0" xfId="0" applyNumberFormat="1" applyFont="1"/>
    <xf numFmtId="0" fontId="84" fillId="0" borderId="144" xfId="2" applyFont="1" applyBorder="1" applyAlignment="1">
      <alignment horizontal="center" vertical="center" wrapText="1" readingOrder="1"/>
    </xf>
    <xf numFmtId="4" fontId="84" fillId="0" borderId="144" xfId="2" applyNumberFormat="1" applyFont="1" applyBorder="1" applyAlignment="1">
      <alignment horizontal="center" vertical="center" wrapText="1" readingOrder="1"/>
    </xf>
    <xf numFmtId="169" fontId="84" fillId="0" borderId="144" xfId="2" applyNumberFormat="1" applyFont="1" applyBorder="1" applyAlignment="1">
      <alignment horizontal="center" vertical="center" wrapText="1" readingOrder="1"/>
    </xf>
    <xf numFmtId="10" fontId="84" fillId="0" borderId="144" xfId="2" applyNumberFormat="1" applyFont="1" applyBorder="1" applyAlignment="1">
      <alignment horizontal="center" vertical="center" wrapText="1" readingOrder="1"/>
    </xf>
    <xf numFmtId="0" fontId="84" fillId="0" borderId="144" xfId="2" applyFont="1" applyBorder="1" applyAlignment="1">
      <alignment horizontal="left" vertical="center" wrapText="1" readingOrder="1"/>
    </xf>
    <xf numFmtId="171" fontId="84" fillId="0" borderId="144" xfId="2" applyNumberFormat="1" applyFont="1" applyBorder="1" applyAlignment="1">
      <alignment horizontal="left" vertical="center" wrapText="1" readingOrder="1"/>
    </xf>
    <xf numFmtId="0" fontId="13" fillId="0" borderId="0" xfId="0" applyFont="1" applyAlignment="1">
      <alignment vertical="center"/>
    </xf>
    <xf numFmtId="14" fontId="84" fillId="0" borderId="144" xfId="2" applyNumberFormat="1" applyFont="1" applyBorder="1" applyAlignment="1">
      <alignment horizontal="center" vertical="center" wrapText="1" readingOrder="1"/>
    </xf>
    <xf numFmtId="172" fontId="22" fillId="0" borderId="144" xfId="0" applyNumberFormat="1" applyFont="1" applyBorder="1" applyAlignment="1">
      <alignment horizontal="center" vertical="center" wrapText="1"/>
    </xf>
    <xf numFmtId="10" fontId="26" fillId="0" borderId="19" xfId="0" applyNumberFormat="1" applyFont="1" applyBorder="1" applyAlignment="1">
      <alignment horizontal="center" vertical="center" wrapText="1"/>
    </xf>
    <xf numFmtId="171" fontId="84" fillId="0" borderId="0" xfId="2" applyNumberFormat="1" applyFont="1" applyAlignment="1">
      <alignment horizontal="left" vertical="center" wrapText="1" readingOrder="1"/>
    </xf>
    <xf numFmtId="171" fontId="84" fillId="0" borderId="144" xfId="2" applyNumberFormat="1" applyFont="1" applyBorder="1" applyAlignment="1">
      <alignment horizontal="center" vertical="center" wrapText="1" readingOrder="1"/>
    </xf>
    <xf numFmtId="3" fontId="84" fillId="0" borderId="144" xfId="2" applyNumberFormat="1" applyFont="1" applyBorder="1" applyAlignment="1">
      <alignment horizontal="center" vertical="center" wrapText="1" readingOrder="1"/>
    </xf>
    <xf numFmtId="0" fontId="24" fillId="21" borderId="144" xfId="2" applyFont="1" applyFill="1" applyBorder="1" applyAlignment="1">
      <alignment horizontal="center" vertical="top" wrapText="1" readingOrder="1"/>
    </xf>
    <xf numFmtId="169" fontId="13" fillId="0" borderId="144" xfId="2" applyNumberFormat="1" applyFont="1" applyBorder="1" applyAlignment="1">
      <alignment horizontal="center" vertical="center" wrapText="1" readingOrder="1"/>
    </xf>
    <xf numFmtId="169" fontId="84" fillId="0" borderId="144" xfId="2" applyNumberFormat="1" applyFont="1" applyBorder="1" applyAlignment="1">
      <alignment horizontal="center" vertical="top" wrapText="1" readingOrder="1"/>
    </xf>
    <xf numFmtId="4" fontId="52" fillId="6" borderId="34" xfId="0" quotePrefix="1" applyNumberFormat="1" applyFont="1" applyFill="1" applyBorder="1" applyAlignment="1">
      <alignment horizontal="center" vertical="center" wrapText="1"/>
    </xf>
    <xf numFmtId="0" fontId="26" fillId="0" borderId="19" xfId="0" applyFont="1" applyBorder="1" applyAlignment="1">
      <alignment horizontal="center" vertical="center" wrapText="1"/>
    </xf>
    <xf numFmtId="10" fontId="2" fillId="0" borderId="19" xfId="0" applyNumberFormat="1" applyFont="1" applyBorder="1" applyAlignment="1">
      <alignment horizontal="center" vertical="center" wrapText="1"/>
    </xf>
    <xf numFmtId="4" fontId="84" fillId="0" borderId="0" xfId="2" applyNumberFormat="1" applyFont="1" applyAlignment="1">
      <alignment horizontal="center" vertical="center" wrapText="1" readingOrder="1"/>
    </xf>
    <xf numFmtId="0" fontId="83" fillId="0" borderId="0" xfId="2" applyFont="1" applyAlignment="1">
      <alignment horizontal="center" vertical="top" wrapText="1" readingOrder="1"/>
    </xf>
    <xf numFmtId="0" fontId="83" fillId="21" borderId="19" xfId="2" applyFont="1" applyFill="1" applyBorder="1" applyAlignment="1">
      <alignment horizontal="center" vertical="center" wrapText="1" readingOrder="1"/>
    </xf>
    <xf numFmtId="0" fontId="84" fillId="0" borderId="171" xfId="2" applyFont="1" applyBorder="1" applyAlignment="1">
      <alignment horizontal="left" vertical="center" wrapText="1" readingOrder="1"/>
    </xf>
    <xf numFmtId="0" fontId="84" fillId="0" borderId="172" xfId="2" applyFont="1" applyBorder="1" applyAlignment="1">
      <alignment horizontal="left" vertical="top" wrapText="1" readingOrder="1"/>
    </xf>
    <xf numFmtId="0" fontId="84" fillId="0" borderId="173" xfId="2" applyFont="1" applyBorder="1" applyAlignment="1">
      <alignment horizontal="left" vertical="top" wrapText="1" readingOrder="1"/>
    </xf>
    <xf numFmtId="4" fontId="84" fillId="0" borderId="174" xfId="2" applyNumberFormat="1" applyFont="1" applyBorder="1" applyAlignment="1">
      <alignment horizontal="center" vertical="center" wrapText="1" readingOrder="1"/>
    </xf>
    <xf numFmtId="4" fontId="84" fillId="0" borderId="175" xfId="2" applyNumberFormat="1" applyFont="1" applyBorder="1" applyAlignment="1">
      <alignment horizontal="center" vertical="center" wrapText="1" readingOrder="1"/>
    </xf>
    <xf numFmtId="4" fontId="84" fillId="0" borderId="176" xfId="2" applyNumberFormat="1" applyFont="1" applyBorder="1" applyAlignment="1">
      <alignment horizontal="center" vertical="center" wrapText="1" readingOrder="1"/>
    </xf>
    <xf numFmtId="171" fontId="84" fillId="10" borderId="144" xfId="2" applyNumberFormat="1" applyFont="1" applyFill="1" applyBorder="1" applyAlignment="1">
      <alignment horizontal="left" vertical="center" wrapText="1" readingOrder="1"/>
    </xf>
    <xf numFmtId="171" fontId="84" fillId="10" borderId="0" xfId="2" applyNumberFormat="1" applyFont="1" applyFill="1" applyAlignment="1">
      <alignment horizontal="left" vertical="center" wrapText="1" readingOrder="1"/>
    </xf>
    <xf numFmtId="171" fontId="84" fillId="10" borderId="144" xfId="2" applyNumberFormat="1" applyFont="1" applyFill="1" applyBorder="1" applyAlignment="1">
      <alignment horizontal="center" vertical="center" wrapText="1" readingOrder="1"/>
    </xf>
    <xf numFmtId="0" fontId="84" fillId="10" borderId="144" xfId="2" applyFont="1" applyFill="1" applyBorder="1" applyAlignment="1">
      <alignment horizontal="center" vertical="center" wrapText="1" readingOrder="1"/>
    </xf>
    <xf numFmtId="4" fontId="84" fillId="10" borderId="144" xfId="2" applyNumberFormat="1" applyFont="1" applyFill="1" applyBorder="1" applyAlignment="1">
      <alignment horizontal="center" vertical="center" wrapText="1" readingOrder="1"/>
    </xf>
    <xf numFmtId="169" fontId="84" fillId="10" borderId="144" xfId="2" applyNumberFormat="1" applyFont="1" applyFill="1" applyBorder="1" applyAlignment="1">
      <alignment horizontal="center" vertical="center" wrapText="1" readingOrder="1"/>
    </xf>
    <xf numFmtId="0" fontId="84" fillId="10" borderId="144" xfId="2" applyFont="1" applyFill="1" applyBorder="1" applyAlignment="1">
      <alignment horizontal="left" vertical="center" wrapText="1" readingOrder="1"/>
    </xf>
    <xf numFmtId="0" fontId="84" fillId="10" borderId="144" xfId="2" applyFont="1" applyFill="1" applyBorder="1" applyAlignment="1">
      <alignment horizontal="left" vertical="top" wrapText="1" readingOrder="1"/>
    </xf>
    <xf numFmtId="0" fontId="84" fillId="10" borderId="144" xfId="2" applyFont="1" applyFill="1" applyBorder="1" applyAlignment="1">
      <alignment horizontal="center" vertical="top" wrapText="1" readingOrder="1"/>
    </xf>
    <xf numFmtId="0" fontId="26" fillId="0" borderId="19" xfId="0" applyFont="1" applyBorder="1" applyAlignment="1">
      <alignment horizontal="center" vertical="center"/>
    </xf>
    <xf numFmtId="0" fontId="4" fillId="0" borderId="21" xfId="0" applyFont="1" applyBorder="1" applyAlignment="1">
      <alignment horizontal="center" vertical="top" wrapText="1"/>
    </xf>
    <xf numFmtId="14" fontId="48" fillId="0" borderId="19" xfId="0" applyNumberFormat="1" applyFont="1" applyBorder="1" applyAlignment="1">
      <alignment horizontal="center" vertical="center" wrapText="1"/>
    </xf>
    <xf numFmtId="4" fontId="1" fillId="10" borderId="6" xfId="0" applyNumberFormat="1" applyFont="1" applyFill="1" applyBorder="1" applyAlignment="1">
      <alignment horizontal="center" vertical="center" wrapText="1"/>
    </xf>
    <xf numFmtId="14" fontId="0" fillId="0" borderId="0" xfId="0" applyNumberFormat="1"/>
    <xf numFmtId="0" fontId="17" fillId="0" borderId="13" xfId="0" applyFont="1" applyBorder="1" applyAlignment="1">
      <alignment horizontal="center" vertical="center" wrapText="1"/>
    </xf>
    <xf numFmtId="0" fontId="17" fillId="0" borderId="26" xfId="0" applyFont="1" applyBorder="1" applyAlignment="1">
      <alignment horizontal="center" vertical="center" wrapText="1"/>
    </xf>
    <xf numFmtId="0" fontId="27" fillId="0" borderId="13" xfId="0" applyFont="1" applyBorder="1" applyAlignment="1">
      <alignment horizontal="center" vertical="center" wrapText="1"/>
    </xf>
    <xf numFmtId="4" fontId="12" fillId="0" borderId="15" xfId="0" applyNumberFormat="1" applyFont="1" applyBorder="1" applyAlignment="1">
      <alignment horizontal="center" vertical="center" wrapText="1"/>
    </xf>
    <xf numFmtId="0" fontId="27" fillId="0" borderId="51" xfId="0" applyFont="1" applyBorder="1" applyAlignment="1">
      <alignment horizontal="center" vertical="center" wrapText="1"/>
    </xf>
    <xf numFmtId="170" fontId="29" fillId="0" borderId="6" xfId="0" applyNumberFormat="1" applyFont="1" applyBorder="1" applyAlignment="1">
      <alignment horizontal="center" wrapText="1"/>
    </xf>
    <xf numFmtId="0" fontId="87" fillId="0" borderId="145" xfId="0" applyFont="1" applyBorder="1" applyAlignment="1" applyProtection="1">
      <alignment vertical="top" wrapText="1" readingOrder="1"/>
      <protection locked="0"/>
    </xf>
    <xf numFmtId="0" fontId="39" fillId="0" borderId="0" xfId="0" applyFont="1" applyAlignment="1">
      <alignment horizontal="center" wrapText="1"/>
    </xf>
    <xf numFmtId="166" fontId="52" fillId="0" borderId="103" xfId="0" applyNumberFormat="1" applyFont="1" applyBorder="1" applyAlignment="1">
      <alignment horizontal="center" vertical="center" wrapText="1"/>
    </xf>
    <xf numFmtId="166" fontId="52" fillId="15" borderId="103" xfId="0" applyNumberFormat="1" applyFont="1" applyFill="1" applyBorder="1" applyAlignment="1">
      <alignment horizontal="center" vertical="center" wrapText="1"/>
    </xf>
    <xf numFmtId="166" fontId="13" fillId="15" borderId="103" xfId="0" applyNumberFormat="1" applyFont="1" applyFill="1" applyBorder="1" applyAlignment="1">
      <alignment horizontal="center" vertical="center" wrapText="1"/>
    </xf>
    <xf numFmtId="166" fontId="52" fillId="6" borderId="0" xfId="0" applyNumberFormat="1" applyFont="1" applyFill="1" applyAlignment="1">
      <alignment wrapText="1"/>
    </xf>
    <xf numFmtId="166" fontId="52" fillId="6" borderId="14" xfId="0" applyNumberFormat="1" applyFont="1" applyFill="1" applyBorder="1" applyAlignment="1">
      <alignment wrapText="1"/>
    </xf>
    <xf numFmtId="0" fontId="51" fillId="10" borderId="19" xfId="0" applyFont="1" applyFill="1" applyBorder="1" applyAlignment="1">
      <alignment horizontal="center" vertical="center" wrapText="1"/>
    </xf>
    <xf numFmtId="0" fontId="39" fillId="10" borderId="81" xfId="0" applyFont="1" applyFill="1" applyBorder="1" applyAlignment="1">
      <alignment horizontal="center" wrapText="1"/>
    </xf>
    <xf numFmtId="0" fontId="52" fillId="10" borderId="67" xfId="0" applyFont="1" applyFill="1" applyBorder="1" applyAlignment="1">
      <alignment wrapText="1"/>
    </xf>
    <xf numFmtId="3" fontId="60" fillId="10" borderId="26" xfId="0" quotePrefix="1" applyNumberFormat="1" applyFont="1" applyFill="1" applyBorder="1" applyAlignment="1">
      <alignment horizontal="center" vertical="center" wrapText="1"/>
    </xf>
    <xf numFmtId="3" fontId="20" fillId="10" borderId="42" xfId="0" quotePrefix="1" applyNumberFormat="1" applyFont="1" applyFill="1" applyBorder="1" applyAlignment="1">
      <alignment horizontal="center" vertical="center" wrapText="1"/>
    </xf>
    <xf numFmtId="3" fontId="39" fillId="10" borderId="19" xfId="0" quotePrefix="1" applyNumberFormat="1" applyFont="1" applyFill="1" applyBorder="1" applyAlignment="1">
      <alignment horizontal="center" vertical="center" wrapText="1"/>
    </xf>
    <xf numFmtId="166" fontId="52" fillId="10" borderId="36" xfId="0" applyNumberFormat="1" applyFont="1" applyFill="1" applyBorder="1" applyAlignment="1">
      <alignment horizontal="center" vertical="center" wrapText="1"/>
    </xf>
    <xf numFmtId="0" fontId="52" fillId="10" borderId="36" xfId="0" applyFont="1" applyFill="1" applyBorder="1" applyAlignment="1">
      <alignment horizontal="center" vertical="center" wrapText="1"/>
    </xf>
    <xf numFmtId="166" fontId="52" fillId="10" borderId="34" xfId="0" applyNumberFormat="1" applyFont="1" applyFill="1" applyBorder="1" applyAlignment="1">
      <alignment horizontal="center" vertical="center" wrapText="1"/>
    </xf>
    <xf numFmtId="166" fontId="52" fillId="10" borderId="35" xfId="0" applyNumberFormat="1" applyFont="1" applyFill="1" applyBorder="1" applyAlignment="1">
      <alignment horizontal="center" vertical="center" wrapText="1"/>
    </xf>
    <xf numFmtId="0" fontId="52" fillId="10" borderId="35" xfId="0" applyFont="1" applyFill="1" applyBorder="1" applyAlignment="1">
      <alignment horizontal="center" vertical="center" wrapText="1"/>
    </xf>
    <xf numFmtId="166" fontId="39" fillId="10" borderId="19" xfId="0" quotePrefix="1" applyNumberFormat="1" applyFont="1" applyFill="1" applyBorder="1" applyAlignment="1">
      <alignment horizontal="center" vertical="center" wrapText="1"/>
    </xf>
    <xf numFmtId="0" fontId="13" fillId="10" borderId="36" xfId="0" applyFont="1" applyFill="1" applyBorder="1" applyAlignment="1">
      <alignment horizontal="center" vertical="center" wrapText="1"/>
    </xf>
    <xf numFmtId="0" fontId="13" fillId="10" borderId="34" xfId="0" applyFont="1" applyFill="1" applyBorder="1" applyAlignment="1">
      <alignment horizontal="center" vertical="center" wrapText="1"/>
    </xf>
    <xf numFmtId="0" fontId="13" fillId="10" borderId="35" xfId="0" applyFont="1" applyFill="1" applyBorder="1" applyAlignment="1">
      <alignment horizontal="center" vertical="center" wrapText="1"/>
    </xf>
    <xf numFmtId="166" fontId="52" fillId="10" borderId="19" xfId="0" applyNumberFormat="1" applyFont="1" applyFill="1" applyBorder="1" applyAlignment="1">
      <alignment wrapText="1"/>
    </xf>
    <xf numFmtId="0" fontId="52" fillId="10" borderId="18" xfId="0" applyFont="1" applyFill="1" applyBorder="1" applyAlignment="1">
      <alignment wrapText="1"/>
    </xf>
    <xf numFmtId="0" fontId="52" fillId="10" borderId="34" xfId="0" applyFont="1" applyFill="1" applyBorder="1" applyAlignment="1">
      <alignment wrapText="1"/>
    </xf>
    <xf numFmtId="0" fontId="52" fillId="10" borderId="34" xfId="0" applyFont="1" applyFill="1" applyBorder="1" applyAlignment="1">
      <alignment vertical="center" wrapText="1"/>
    </xf>
    <xf numFmtId="166" fontId="60" fillId="10" borderId="19" xfId="0" quotePrefix="1" applyNumberFormat="1" applyFont="1" applyFill="1" applyBorder="1" applyAlignment="1">
      <alignment horizontal="center" vertical="center" wrapText="1"/>
    </xf>
    <xf numFmtId="3" fontId="60" fillId="10" borderId="19" xfId="0" quotePrefix="1" applyNumberFormat="1" applyFont="1" applyFill="1" applyBorder="1" applyAlignment="1">
      <alignment horizontal="center" vertical="center" wrapText="1"/>
    </xf>
    <xf numFmtId="166" fontId="52" fillId="10" borderId="81" xfId="0" applyNumberFormat="1" applyFont="1" applyFill="1" applyBorder="1" applyAlignment="1">
      <alignment wrapText="1"/>
    </xf>
    <xf numFmtId="0" fontId="52" fillId="10" borderId="97" xfId="0" applyFont="1" applyFill="1" applyBorder="1" applyAlignment="1">
      <alignment wrapText="1"/>
    </xf>
    <xf numFmtId="0" fontId="52" fillId="10" borderId="35" xfId="0" applyFont="1" applyFill="1" applyBorder="1" applyAlignment="1">
      <alignment wrapText="1"/>
    </xf>
    <xf numFmtId="166" fontId="52" fillId="10" borderId="57" xfId="0" applyNumberFormat="1" applyFont="1" applyFill="1" applyBorder="1" applyAlignment="1">
      <alignment wrapText="1"/>
    </xf>
    <xf numFmtId="0" fontId="52" fillId="10" borderId="58" xfId="0" applyFont="1" applyFill="1" applyBorder="1" applyAlignment="1">
      <alignment wrapText="1"/>
    </xf>
    <xf numFmtId="166" fontId="24" fillId="10" borderId="19" xfId="0" quotePrefix="1" applyNumberFormat="1" applyFont="1" applyFill="1" applyBorder="1" applyAlignment="1">
      <alignment horizontal="center" vertical="center" wrapText="1"/>
    </xf>
    <xf numFmtId="3" fontId="24" fillId="10" borderId="19" xfId="0" quotePrefix="1" applyNumberFormat="1" applyFont="1" applyFill="1" applyBorder="1" applyAlignment="1">
      <alignment horizontal="center" vertical="center" wrapText="1"/>
    </xf>
    <xf numFmtId="0" fontId="13" fillId="10" borderId="34" xfId="0" applyFont="1" applyFill="1" applyBorder="1" applyAlignment="1">
      <alignment wrapText="1"/>
    </xf>
    <xf numFmtId="166" fontId="52" fillId="6" borderId="14" xfId="0" applyNumberFormat="1" applyFont="1" applyFill="1" applyBorder="1" applyAlignment="1">
      <alignment horizontal="center" vertical="center" wrapText="1"/>
    </xf>
    <xf numFmtId="166" fontId="52" fillId="6" borderId="19" xfId="0" applyNumberFormat="1" applyFont="1" applyFill="1" applyBorder="1" applyAlignment="1">
      <alignment horizontal="center" wrapText="1"/>
    </xf>
    <xf numFmtId="166" fontId="52" fillId="6" borderId="19" xfId="0" applyNumberFormat="1" applyFont="1" applyFill="1" applyBorder="1" applyAlignment="1">
      <alignment horizontal="center" vertical="center" wrapText="1"/>
    </xf>
    <xf numFmtId="0" fontId="52" fillId="6" borderId="36" xfId="0" applyFont="1" applyFill="1" applyBorder="1" applyAlignment="1">
      <alignment horizontal="center" vertical="center" wrapText="1"/>
    </xf>
    <xf numFmtId="168" fontId="52" fillId="0" borderId="35" xfId="0" applyNumberFormat="1" applyFont="1" applyBorder="1" applyAlignment="1">
      <alignment horizontal="center" vertical="center" wrapText="1"/>
    </xf>
    <xf numFmtId="0" fontId="52" fillId="7" borderId="19" xfId="0" applyFont="1" applyFill="1" applyBorder="1" applyAlignment="1">
      <alignment wrapText="1"/>
    </xf>
    <xf numFmtId="0" fontId="52" fillId="7" borderId="59" xfId="0" applyFont="1" applyFill="1" applyBorder="1" applyAlignment="1">
      <alignment horizontal="center" vertical="center" wrapText="1"/>
    </xf>
    <xf numFmtId="0" fontId="52" fillId="6" borderId="55" xfId="0" applyFont="1" applyFill="1" applyBorder="1" applyAlignment="1">
      <alignment horizontal="center" vertical="center" wrapText="1"/>
    </xf>
    <xf numFmtId="0" fontId="52" fillId="6" borderId="19" xfId="0" applyFont="1" applyFill="1" applyBorder="1" applyAlignment="1">
      <alignment horizontal="center" vertical="center" wrapText="1"/>
    </xf>
    <xf numFmtId="0" fontId="52" fillId="7" borderId="19" xfId="0" applyFont="1" applyFill="1" applyBorder="1" applyAlignment="1">
      <alignment horizontal="center" vertical="center" wrapText="1"/>
    </xf>
    <xf numFmtId="0" fontId="52" fillId="6" borderId="59" xfId="0" applyFont="1" applyFill="1" applyBorder="1" applyAlignment="1">
      <alignment horizontal="center" vertical="center" wrapText="1"/>
    </xf>
    <xf numFmtId="168" fontId="13" fillId="0" borderId="35" xfId="0" applyNumberFormat="1" applyFont="1" applyBorder="1" applyAlignment="1">
      <alignment horizontal="center" vertical="center" wrapText="1"/>
    </xf>
    <xf numFmtId="0" fontId="52" fillId="10" borderId="55" xfId="0" applyFont="1" applyFill="1" applyBorder="1" applyAlignment="1">
      <alignment horizontal="center" vertical="center" wrapText="1"/>
    </xf>
    <xf numFmtId="1" fontId="52" fillId="0" borderId="103" xfId="0" applyNumberFormat="1" applyFont="1" applyBorder="1" applyAlignment="1">
      <alignment horizontal="center" vertical="center" wrapText="1"/>
    </xf>
    <xf numFmtId="0" fontId="52" fillId="6" borderId="27" xfId="0" applyFont="1" applyFill="1" applyBorder="1" applyAlignment="1">
      <alignment wrapText="1"/>
    </xf>
    <xf numFmtId="0" fontId="39" fillId="10" borderId="53" xfId="0" applyFont="1" applyFill="1" applyBorder="1" applyAlignment="1">
      <alignment horizontal="center" wrapText="1"/>
    </xf>
    <xf numFmtId="3" fontId="60" fillId="10" borderId="31" xfId="0" quotePrefix="1" applyNumberFormat="1" applyFont="1" applyFill="1" applyBorder="1" applyAlignment="1">
      <alignment horizontal="center" vertical="center" wrapText="1"/>
    </xf>
    <xf numFmtId="0" fontId="52" fillId="10" borderId="36" xfId="0" applyFont="1" applyFill="1" applyBorder="1" applyAlignment="1">
      <alignment wrapText="1"/>
    </xf>
    <xf numFmtId="0" fontId="52" fillId="10" borderId="19" xfId="0" applyFont="1" applyFill="1" applyBorder="1" applyAlignment="1">
      <alignment horizontal="center" vertical="center" wrapText="1"/>
    </xf>
    <xf numFmtId="0" fontId="52" fillId="10" borderId="59" xfId="0" applyFont="1" applyFill="1" applyBorder="1" applyAlignment="1">
      <alignment wrapText="1"/>
    </xf>
    <xf numFmtId="0" fontId="52" fillId="10" borderId="19" xfId="0" applyFont="1" applyFill="1" applyBorder="1" applyAlignment="1">
      <alignment wrapText="1"/>
    </xf>
    <xf numFmtId="0" fontId="0" fillId="0" borderId="0" xfId="0" applyAlignment="1">
      <alignment horizontal="center" vertical="center"/>
    </xf>
    <xf numFmtId="4" fontId="52" fillId="0" borderId="103" xfId="0" quotePrefix="1" applyNumberFormat="1" applyFont="1" applyBorder="1" applyAlignment="1">
      <alignment horizontal="center" vertical="center" wrapText="1"/>
    </xf>
    <xf numFmtId="0" fontId="52" fillId="6" borderId="14" xfId="0" applyFont="1" applyFill="1" applyBorder="1" applyAlignment="1">
      <alignment horizontal="center" vertical="center" wrapText="1"/>
    </xf>
    <xf numFmtId="0" fontId="52" fillId="10" borderId="53" xfId="0" applyFont="1" applyFill="1" applyBorder="1" applyAlignment="1">
      <alignment wrapText="1"/>
    </xf>
    <xf numFmtId="0" fontId="52" fillId="6" borderId="54" xfId="0" applyFont="1" applyFill="1" applyBorder="1" applyAlignment="1">
      <alignment horizontal="center" vertical="center" wrapText="1"/>
    </xf>
    <xf numFmtId="0" fontId="52" fillId="6" borderId="27" xfId="0" applyFont="1" applyFill="1" applyBorder="1" applyAlignment="1">
      <alignment horizontal="center" vertical="center" wrapText="1"/>
    </xf>
    <xf numFmtId="0" fontId="52" fillId="10" borderId="27" xfId="0" applyFont="1" applyFill="1" applyBorder="1" applyAlignment="1">
      <alignment wrapText="1"/>
    </xf>
    <xf numFmtId="4" fontId="53" fillId="7" borderId="42" xfId="0" quotePrefix="1" applyNumberFormat="1" applyFont="1" applyFill="1" applyBorder="1" applyAlignment="1">
      <alignment horizontal="center" vertical="center" wrapText="1"/>
    </xf>
    <xf numFmtId="0" fontId="52" fillId="7" borderId="15" xfId="0" applyFont="1" applyFill="1" applyBorder="1" applyAlignment="1">
      <alignment horizontal="center" vertical="center" wrapText="1"/>
    </xf>
    <xf numFmtId="0" fontId="52" fillId="10" borderId="57" xfId="0" applyFont="1" applyFill="1" applyBorder="1" applyAlignment="1">
      <alignment horizontal="center" vertical="center" wrapText="1"/>
    </xf>
    <xf numFmtId="0" fontId="52" fillId="6" borderId="15" xfId="0" applyFont="1" applyFill="1" applyBorder="1" applyAlignment="1">
      <alignment horizontal="center" vertical="center" wrapText="1"/>
    </xf>
    <xf numFmtId="0" fontId="2" fillId="0" borderId="13" xfId="0" applyFont="1" applyBorder="1" applyAlignment="1">
      <alignment horizontal="center" vertical="center" wrapText="1"/>
    </xf>
    <xf numFmtId="0" fontId="23" fillId="0" borderId="0" xfId="0" applyFont="1"/>
    <xf numFmtId="0" fontId="89" fillId="0" borderId="145" xfId="0" applyFont="1" applyBorder="1" applyAlignment="1" applyProtection="1">
      <alignment horizontal="center" vertical="center" wrapText="1" readingOrder="1"/>
      <protection locked="0"/>
    </xf>
    <xf numFmtId="0" fontId="89" fillId="0" borderId="145" xfId="0" applyFont="1" applyBorder="1" applyAlignment="1" applyProtection="1">
      <alignment horizontal="center" vertical="top" wrapText="1" readingOrder="1"/>
      <protection locked="0"/>
    </xf>
    <xf numFmtId="169" fontId="87" fillId="0" borderId="145" xfId="0" applyNumberFormat="1" applyFont="1" applyBorder="1" applyAlignment="1" applyProtection="1">
      <alignment vertical="top" wrapText="1" readingOrder="1"/>
      <protection locked="0"/>
    </xf>
    <xf numFmtId="171" fontId="87" fillId="0" borderId="145" xfId="0" applyNumberFormat="1" applyFont="1" applyBorder="1" applyAlignment="1" applyProtection="1">
      <alignment horizontal="right" vertical="top" wrapText="1" readingOrder="1"/>
      <protection locked="0"/>
    </xf>
    <xf numFmtId="0" fontId="87" fillId="0" borderId="145" xfId="0" applyFont="1" applyBorder="1" applyAlignment="1" applyProtection="1">
      <alignment horizontal="right" vertical="top" wrapText="1" readingOrder="1"/>
      <protection locked="0"/>
    </xf>
    <xf numFmtId="169" fontId="85" fillId="0" borderId="180" xfId="0" applyNumberFormat="1" applyFont="1" applyBorder="1" applyAlignment="1" applyProtection="1">
      <alignment vertical="top" wrapText="1" readingOrder="1"/>
      <protection locked="0"/>
    </xf>
    <xf numFmtId="0" fontId="14" fillId="0" borderId="0" xfId="0" applyFont="1"/>
    <xf numFmtId="0" fontId="22" fillId="0" borderId="145" xfId="0" applyFont="1" applyBorder="1" applyAlignment="1" applyProtection="1">
      <alignment horizontal="center" vertical="center" wrapText="1" readingOrder="1"/>
      <protection locked="0"/>
    </xf>
    <xf numFmtId="169" fontId="22" fillId="0" borderId="145" xfId="0" applyNumberFormat="1" applyFont="1" applyBorder="1" applyAlignment="1" applyProtection="1">
      <alignment horizontal="center" vertical="center" wrapText="1" readingOrder="1"/>
      <protection locked="0"/>
    </xf>
    <xf numFmtId="171" fontId="22" fillId="0" borderId="145" xfId="0" applyNumberFormat="1" applyFont="1" applyBorder="1" applyAlignment="1" applyProtection="1">
      <alignment horizontal="center" vertical="center" wrapText="1" readingOrder="1"/>
      <protection locked="0"/>
    </xf>
    <xf numFmtId="169" fontId="17" fillId="0" borderId="180" xfId="0" applyNumberFormat="1" applyFont="1" applyBorder="1" applyAlignment="1" applyProtection="1">
      <alignment horizontal="center" vertical="center" wrapText="1" readingOrder="1"/>
      <protection locked="0"/>
    </xf>
    <xf numFmtId="0" fontId="24" fillId="0" borderId="145" xfId="0" applyFont="1" applyBorder="1" applyAlignment="1" applyProtection="1">
      <alignment horizontal="center" vertical="center" wrapText="1" readingOrder="1"/>
      <protection locked="0"/>
    </xf>
    <xf numFmtId="0" fontId="24" fillId="0" borderId="145" xfId="0" applyFont="1" applyBorder="1" applyAlignment="1" applyProtection="1">
      <alignment horizontal="center" vertical="top" wrapText="1" readingOrder="1"/>
      <protection locked="0"/>
    </xf>
    <xf numFmtId="0" fontId="23" fillId="0" borderId="0" xfId="0" applyFont="1" applyAlignment="1" applyProtection="1">
      <alignment horizontal="center" vertical="top" wrapText="1" readingOrder="1"/>
      <protection locked="0"/>
    </xf>
    <xf numFmtId="0" fontId="87" fillId="0" borderId="145" xfId="0" applyFont="1" applyBorder="1" applyAlignment="1" applyProtection="1">
      <alignment horizontal="left" vertical="top" wrapText="1" readingOrder="1"/>
      <protection locked="0"/>
    </xf>
    <xf numFmtId="0" fontId="28" fillId="0" borderId="0" xfId="1" applyFont="1"/>
    <xf numFmtId="0" fontId="28" fillId="0" borderId="0" xfId="1" applyFont="1" applyAlignment="1">
      <alignment horizontal="left" wrapText="1"/>
    </xf>
    <xf numFmtId="0" fontId="28" fillId="0" borderId="0" xfId="1" applyFont="1" applyAlignment="1">
      <alignment horizontal="left" vertical="top" wrapText="1"/>
    </xf>
    <xf numFmtId="0" fontId="26" fillId="0" borderId="0" xfId="1" applyFont="1" applyAlignment="1">
      <alignment horizontal="left" vertical="top" wrapText="1"/>
    </xf>
    <xf numFmtId="0" fontId="28" fillId="0" borderId="0" xfId="1" applyFont="1" applyAlignment="1">
      <alignment horizontal="center"/>
    </xf>
    <xf numFmtId="0" fontId="80" fillId="0" borderId="0" xfId="1" applyFont="1" applyAlignment="1">
      <alignment wrapText="1"/>
    </xf>
    <xf numFmtId="0" fontId="80" fillId="0" borderId="0" xfId="1" applyFont="1" applyAlignment="1">
      <alignment horizontal="right" vertical="top" wrapText="1"/>
    </xf>
    <xf numFmtId="0" fontId="80" fillId="0" borderId="0" xfId="1" applyFont="1" applyAlignment="1">
      <alignment horizontal="right" wrapText="1"/>
    </xf>
    <xf numFmtId="0" fontId="80" fillId="0" borderId="0" xfId="1" applyFont="1" applyAlignment="1">
      <alignment horizontal="right"/>
    </xf>
    <xf numFmtId="0" fontId="28" fillId="0" borderId="34" xfId="1" applyFont="1" applyBorder="1" applyAlignment="1">
      <alignment horizontal="center" vertical="center" wrapText="1"/>
    </xf>
    <xf numFmtId="0" fontId="28" fillId="9" borderId="34" xfId="1" applyFont="1" applyFill="1" applyBorder="1" applyAlignment="1">
      <alignment horizontal="center" vertical="center" wrapText="1"/>
    </xf>
    <xf numFmtId="0" fontId="93" fillId="9" borderId="34" xfId="1" applyFont="1" applyFill="1" applyBorder="1" applyAlignment="1">
      <alignment horizontal="center" vertical="center" wrapText="1"/>
    </xf>
    <xf numFmtId="0" fontId="19" fillId="0" borderId="34" xfId="0" applyFont="1" applyBorder="1" applyAlignment="1">
      <alignment horizontal="center" vertical="center" wrapText="1"/>
    </xf>
    <xf numFmtId="49" fontId="28" fillId="0" borderId="34" xfId="0" applyNumberFormat="1" applyFont="1" applyBorder="1" applyAlignment="1">
      <alignment horizontal="center" vertical="center" wrapText="1"/>
    </xf>
    <xf numFmtId="4" fontId="28" fillId="15" borderId="34" xfId="0" applyNumberFormat="1" applyFont="1" applyFill="1" applyBorder="1" applyAlignment="1">
      <alignment horizontal="center" vertical="center" wrapText="1"/>
    </xf>
    <xf numFmtId="4" fontId="28" fillId="0" borderId="34" xfId="1" applyNumberFormat="1" applyFont="1" applyBorder="1" applyAlignment="1">
      <alignment horizontal="center" vertical="center" wrapText="1"/>
    </xf>
    <xf numFmtId="4" fontId="28" fillId="15" borderId="34" xfId="1" applyNumberFormat="1" applyFont="1" applyFill="1" applyBorder="1" applyAlignment="1">
      <alignment horizontal="center" vertical="center" wrapText="1"/>
    </xf>
    <xf numFmtId="49" fontId="28" fillId="0" borderId="34" xfId="0" applyNumberFormat="1" applyFont="1" applyBorder="1" applyAlignment="1">
      <alignment horizontal="center" vertical="center"/>
    </xf>
    <xf numFmtId="4" fontId="29" fillId="0" borderId="34" xfId="1" applyNumberFormat="1" applyFont="1" applyBorder="1" applyAlignment="1">
      <alignment horizontal="center" vertical="center" wrapText="1"/>
    </xf>
    <xf numFmtId="4" fontId="28" fillId="0" borderId="0" xfId="0" applyNumberFormat="1" applyFont="1"/>
    <xf numFmtId="0" fontId="94" fillId="0" borderId="0" xfId="0" applyFont="1"/>
    <xf numFmtId="171" fontId="98" fillId="0" borderId="145" xfId="0" applyNumberFormat="1" applyFont="1" applyBorder="1" applyAlignment="1" applyProtection="1">
      <alignment horizontal="left" vertical="top" wrapText="1" readingOrder="1"/>
      <protection locked="0"/>
    </xf>
    <xf numFmtId="0" fontId="14" fillId="0" borderId="0" xfId="0" applyFont="1" applyAlignment="1" applyProtection="1">
      <alignment horizontal="center" vertical="top" wrapText="1" readingOrder="1"/>
      <protection locked="0"/>
    </xf>
    <xf numFmtId="0" fontId="27" fillId="0" borderId="145" xfId="0" applyFont="1" applyBorder="1" applyAlignment="1" applyProtection="1">
      <alignment horizontal="center" vertical="center" wrapText="1" readingOrder="1"/>
      <protection locked="0"/>
    </xf>
    <xf numFmtId="0" fontId="27" fillId="0" borderId="145" xfId="0" applyFont="1" applyBorder="1" applyAlignment="1" applyProtection="1">
      <alignment horizontal="center" vertical="top" wrapText="1" readingOrder="1"/>
      <protection locked="0"/>
    </xf>
    <xf numFmtId="0" fontId="24" fillId="0" borderId="150" xfId="0" applyFont="1" applyBorder="1" applyAlignment="1" applyProtection="1">
      <alignment horizontal="center" vertical="top" wrapText="1" readingOrder="1"/>
      <protection locked="0"/>
    </xf>
    <xf numFmtId="171" fontId="22" fillId="0" borderId="159" xfId="0" applyNumberFormat="1" applyFont="1" applyBorder="1" applyAlignment="1" applyProtection="1">
      <alignment horizontal="center" vertical="center" wrapText="1" readingOrder="1"/>
      <protection locked="0"/>
    </xf>
    <xf numFmtId="0" fontId="22" fillId="0" borderId="34" xfId="0" applyFont="1" applyBorder="1" applyAlignment="1" applyProtection="1">
      <alignment horizontal="left" vertical="top" wrapText="1" readingOrder="1"/>
      <protection locked="0"/>
    </xf>
    <xf numFmtId="0" fontId="8" fillId="0" borderId="104" xfId="0" applyFont="1" applyBorder="1"/>
    <xf numFmtId="0" fontId="23" fillId="0" borderId="151" xfId="0" applyFont="1" applyBorder="1"/>
    <xf numFmtId="171" fontId="14" fillId="0" borderId="145" xfId="0" applyNumberFormat="1" applyFont="1" applyBorder="1" applyAlignment="1" applyProtection="1">
      <alignment horizontal="center" vertical="center" wrapText="1" readingOrder="1"/>
      <protection locked="0"/>
    </xf>
    <xf numFmtId="169" fontId="87" fillId="0" borderId="145" xfId="0" applyNumberFormat="1" applyFont="1" applyBorder="1" applyAlignment="1" applyProtection="1">
      <alignment horizontal="left" vertical="top" wrapText="1" readingOrder="1"/>
      <protection locked="0"/>
    </xf>
    <xf numFmtId="171" fontId="87" fillId="0" borderId="145" xfId="0" applyNumberFormat="1" applyFont="1" applyBorder="1" applyAlignment="1" applyProtection="1">
      <alignment horizontal="left" vertical="top" wrapText="1" readingOrder="1"/>
      <protection locked="0"/>
    </xf>
    <xf numFmtId="169" fontId="85" fillId="0" borderId="180" xfId="0" applyNumberFormat="1" applyFont="1" applyBorder="1" applyAlignment="1" applyProtection="1">
      <alignment horizontal="left" vertical="top" wrapText="1" readingOrder="1"/>
      <protection locked="0"/>
    </xf>
    <xf numFmtId="0" fontId="27" fillId="0" borderId="0" xfId="0" applyFont="1"/>
    <xf numFmtId="0" fontId="27" fillId="0" borderId="34" xfId="0" applyFont="1" applyBorder="1" applyAlignment="1" applyProtection="1">
      <alignment horizontal="center" vertical="center" wrapText="1" readingOrder="1"/>
      <protection locked="0"/>
    </xf>
    <xf numFmtId="0" fontId="27" fillId="0" borderId="34" xfId="0" applyFont="1" applyBorder="1" applyAlignment="1" applyProtection="1">
      <alignment horizontal="center" vertical="top" wrapText="1" readingOrder="1"/>
      <protection locked="0"/>
    </xf>
    <xf numFmtId="0" fontId="14" fillId="0" borderId="34" xfId="0" applyFont="1" applyBorder="1" applyAlignment="1" applyProtection="1">
      <alignment vertical="top" wrapText="1" readingOrder="1"/>
      <protection locked="0"/>
    </xf>
    <xf numFmtId="0" fontId="14" fillId="0" borderId="34" xfId="0" applyFont="1" applyBorder="1" applyAlignment="1" applyProtection="1">
      <alignment horizontal="center" vertical="center" wrapText="1" readingOrder="1"/>
      <protection locked="0"/>
    </xf>
    <xf numFmtId="169" fontId="14" fillId="0" borderId="34" xfId="0" applyNumberFormat="1" applyFont="1" applyBorder="1" applyAlignment="1" applyProtection="1">
      <alignment horizontal="center" vertical="center" wrapText="1" readingOrder="1"/>
      <protection locked="0"/>
    </xf>
    <xf numFmtId="169" fontId="27" fillId="0" borderId="34" xfId="0" applyNumberFormat="1" applyFont="1" applyBorder="1" applyAlignment="1" applyProtection="1">
      <alignment vertical="top" wrapText="1" readingOrder="1"/>
      <protection locked="0"/>
    </xf>
    <xf numFmtId="0" fontId="97" fillId="0" borderId="0" xfId="0" applyFont="1" applyAlignment="1" applyProtection="1">
      <alignment vertical="top" wrapText="1" readingOrder="1"/>
      <protection locked="0"/>
    </xf>
    <xf numFmtId="0" fontId="97" fillId="0" borderId="145" xfId="0" applyFont="1" applyBorder="1" applyAlignment="1" applyProtection="1">
      <alignment horizontal="center" vertical="top" wrapText="1" readingOrder="1"/>
      <protection locked="0"/>
    </xf>
    <xf numFmtId="173" fontId="97" fillId="0" borderId="145" xfId="0" applyNumberFormat="1" applyFont="1" applyBorder="1" applyAlignment="1" applyProtection="1">
      <alignment horizontal="right" vertical="top" wrapText="1" readingOrder="1"/>
      <protection locked="0"/>
    </xf>
    <xf numFmtId="0" fontId="96" fillId="0" borderId="145" xfId="0" applyFont="1" applyBorder="1" applyAlignment="1" applyProtection="1">
      <alignment horizontal="left" vertical="top" wrapText="1" readingOrder="1"/>
      <protection locked="0"/>
    </xf>
    <xf numFmtId="174" fontId="96" fillId="0" borderId="145" xfId="0" applyNumberFormat="1" applyFont="1" applyBorder="1" applyAlignment="1" applyProtection="1">
      <alignment horizontal="left" vertical="top" wrapText="1" readingOrder="1"/>
      <protection locked="0"/>
    </xf>
    <xf numFmtId="173" fontId="96" fillId="0" borderId="145" xfId="0" applyNumberFormat="1" applyFont="1" applyBorder="1" applyAlignment="1" applyProtection="1">
      <alignment horizontal="left" vertical="top" wrapText="1" readingOrder="1"/>
      <protection locked="0"/>
    </xf>
    <xf numFmtId="3" fontId="41" fillId="10" borderId="6" xfId="0" applyNumberFormat="1" applyFont="1" applyFill="1" applyBorder="1" applyAlignment="1">
      <alignment horizontal="center" vertical="center" wrapText="1"/>
    </xf>
    <xf numFmtId="0" fontId="52" fillId="10" borderId="54" xfId="0" applyFont="1" applyFill="1" applyBorder="1" applyAlignment="1">
      <alignment wrapText="1"/>
    </xf>
    <xf numFmtId="3" fontId="39" fillId="10" borderId="19" xfId="0" applyNumberFormat="1" applyFont="1" applyFill="1" applyBorder="1" applyAlignment="1">
      <alignment horizontal="center" vertical="center" wrapText="1"/>
    </xf>
    <xf numFmtId="1" fontId="52" fillId="10" borderId="67" xfId="0" applyNumberFormat="1" applyFont="1" applyFill="1" applyBorder="1" applyAlignment="1">
      <alignment horizontal="center" vertical="center" wrapText="1"/>
    </xf>
    <xf numFmtId="2" fontId="52" fillId="10" borderId="67" xfId="0" applyNumberFormat="1" applyFont="1" applyFill="1" applyBorder="1" applyAlignment="1">
      <alignment horizontal="center" vertical="center" wrapText="1"/>
    </xf>
    <xf numFmtId="2" fontId="13" fillId="10" borderId="67" xfId="0" applyNumberFormat="1" applyFont="1" applyFill="1" applyBorder="1" applyAlignment="1">
      <alignment horizontal="center" vertical="center" wrapText="1"/>
    </xf>
    <xf numFmtId="3" fontId="41" fillId="10" borderId="15" xfId="0" applyNumberFormat="1" applyFont="1" applyFill="1" applyBorder="1" applyAlignment="1">
      <alignment horizontal="center" vertical="center" wrapText="1"/>
    </xf>
    <xf numFmtId="2" fontId="52" fillId="10" borderId="88" xfId="0" applyNumberFormat="1" applyFont="1" applyFill="1" applyBorder="1" applyAlignment="1">
      <alignment horizontal="center" vertical="center" wrapText="1"/>
    </xf>
    <xf numFmtId="3" fontId="24" fillId="10" borderId="19" xfId="0" applyNumberFormat="1" applyFont="1" applyFill="1" applyBorder="1" applyAlignment="1">
      <alignment horizontal="center" vertical="center" wrapText="1"/>
    </xf>
    <xf numFmtId="0" fontId="39" fillId="0" borderId="13" xfId="0" applyFont="1" applyBorder="1" applyAlignment="1">
      <alignment horizontal="center" wrapText="1"/>
    </xf>
    <xf numFmtId="0" fontId="51" fillId="0" borderId="130" xfId="0" applyFont="1" applyBorder="1" applyAlignment="1">
      <alignment horizontal="center" vertical="center" wrapText="1"/>
    </xf>
    <xf numFmtId="0" fontId="52" fillId="0" borderId="95" xfId="0" applyFont="1" applyBorder="1" applyAlignment="1">
      <alignment wrapText="1"/>
    </xf>
    <xf numFmtId="0" fontId="52" fillId="0" borderId="131" xfId="0" applyFont="1" applyBorder="1" applyAlignment="1">
      <alignment wrapText="1"/>
    </xf>
    <xf numFmtId="166" fontId="41" fillId="7" borderId="14" xfId="0" applyNumberFormat="1" applyFont="1" applyFill="1" applyBorder="1" applyAlignment="1">
      <alignment horizontal="center" vertical="center" wrapText="1"/>
    </xf>
    <xf numFmtId="166" fontId="39" fillId="16" borderId="13" xfId="0" applyNumberFormat="1" applyFont="1" applyFill="1" applyBorder="1" applyAlignment="1">
      <alignment horizontal="center" vertical="center" wrapText="1"/>
    </xf>
    <xf numFmtId="0" fontId="52" fillId="10" borderId="15" xfId="0" applyFont="1" applyFill="1" applyBorder="1" applyAlignment="1">
      <alignment wrapText="1"/>
    </xf>
    <xf numFmtId="3" fontId="39" fillId="10" borderId="15" xfId="0" applyNumberFormat="1" applyFont="1" applyFill="1" applyBorder="1" applyAlignment="1">
      <alignment horizontal="center" vertical="center" wrapText="1"/>
    </xf>
    <xf numFmtId="2" fontId="52" fillId="10" borderId="140" xfId="0" applyNumberFormat="1" applyFont="1" applyFill="1" applyBorder="1" applyAlignment="1">
      <alignment horizontal="center" vertical="center" wrapText="1"/>
    </xf>
    <xf numFmtId="1" fontId="52" fillId="10" borderId="140" xfId="0" applyNumberFormat="1" applyFont="1" applyFill="1" applyBorder="1" applyAlignment="1">
      <alignment horizontal="center" vertical="center" wrapText="1"/>
    </xf>
    <xf numFmtId="3" fontId="41" fillId="7" borderId="19" xfId="0" applyNumberFormat="1" applyFont="1" applyFill="1" applyBorder="1" applyAlignment="1">
      <alignment horizontal="center" vertical="center" wrapText="1"/>
    </xf>
    <xf numFmtId="1" fontId="52" fillId="0" borderId="95" xfId="0" applyNumberFormat="1" applyFont="1" applyBorder="1" applyAlignment="1">
      <alignment horizontal="center" vertical="center" wrapText="1"/>
    </xf>
    <xf numFmtId="1" fontId="52" fillId="0" borderId="131" xfId="0" applyNumberFormat="1" applyFont="1" applyBorder="1" applyAlignment="1">
      <alignment horizontal="center" vertical="center" wrapText="1"/>
    </xf>
    <xf numFmtId="4" fontId="2" fillId="0" borderId="27" xfId="0" applyNumberFormat="1" applyFont="1" applyBorder="1" applyAlignment="1">
      <alignment horizontal="center" vertical="center" wrapText="1"/>
    </xf>
    <xf numFmtId="0" fontId="13" fillId="0" borderId="69" xfId="0" applyFont="1" applyBorder="1" applyAlignment="1">
      <alignment horizontal="center" vertical="center" wrapText="1"/>
    </xf>
    <xf numFmtId="0" fontId="13" fillId="0" borderId="97" xfId="0" applyFont="1" applyBorder="1" applyAlignment="1">
      <alignment horizontal="center" vertical="center" wrapText="1"/>
    </xf>
    <xf numFmtId="0" fontId="104" fillId="23" borderId="186" xfId="0" applyFont="1" applyFill="1" applyBorder="1" applyAlignment="1">
      <alignment horizontal="center" vertical="center" wrapText="1"/>
    </xf>
    <xf numFmtId="0" fontId="104" fillId="24" borderId="186" xfId="0" applyFont="1" applyFill="1" applyBorder="1" applyAlignment="1">
      <alignment horizontal="center" vertical="center" wrapText="1"/>
    </xf>
    <xf numFmtId="0" fontId="105" fillId="23" borderId="186" xfId="0" applyFont="1" applyFill="1" applyBorder="1" applyAlignment="1">
      <alignment horizontal="center" vertical="center" wrapText="1"/>
    </xf>
    <xf numFmtId="0" fontId="105" fillId="24" borderId="186" xfId="0" applyFont="1" applyFill="1" applyBorder="1" applyAlignment="1">
      <alignment horizontal="center" vertical="center" wrapText="1"/>
    </xf>
    <xf numFmtId="4" fontId="105" fillId="24" borderId="187" xfId="0" applyNumberFormat="1" applyFont="1" applyFill="1" applyBorder="1" applyAlignment="1">
      <alignment horizontal="right" vertical="center"/>
    </xf>
    <xf numFmtId="4" fontId="105" fillId="24" borderId="188" xfId="0" applyNumberFormat="1" applyFont="1" applyFill="1" applyBorder="1" applyAlignment="1">
      <alignment horizontal="right" vertical="center"/>
    </xf>
    <xf numFmtId="0" fontId="106" fillId="22" borderId="19" xfId="0" applyFont="1" applyFill="1" applyBorder="1" applyAlignment="1">
      <alignment horizontal="center" vertical="center" wrapText="1"/>
    </xf>
    <xf numFmtId="0" fontId="104" fillId="23" borderId="189" xfId="0" applyFont="1" applyFill="1" applyBorder="1" applyAlignment="1">
      <alignment horizontal="center" vertical="center" wrapText="1"/>
    </xf>
    <xf numFmtId="0" fontId="103" fillId="22" borderId="13" xfId="0" applyFont="1" applyFill="1" applyBorder="1" applyAlignment="1">
      <alignment horizontal="center" vertical="center" wrapText="1"/>
    </xf>
    <xf numFmtId="0" fontId="103" fillId="22" borderId="14" xfId="0" applyFont="1" applyFill="1" applyBorder="1" applyAlignment="1">
      <alignment horizontal="center" vertical="center" wrapText="1"/>
    </xf>
    <xf numFmtId="0" fontId="103" fillId="22" borderId="15" xfId="0" applyFont="1" applyFill="1" applyBorder="1" applyAlignment="1">
      <alignment horizontal="center" vertical="center" wrapText="1"/>
    </xf>
    <xf numFmtId="0" fontId="28" fillId="0" borderId="0" xfId="0" applyFont="1" applyAlignment="1">
      <alignment horizontal="justify" vertical="center" wrapText="1"/>
    </xf>
    <xf numFmtId="10" fontId="2" fillId="0" borderId="14" xfId="0" applyNumberFormat="1" applyFont="1" applyBorder="1" applyAlignment="1">
      <alignment horizontal="center" vertical="center" wrapText="1"/>
    </xf>
    <xf numFmtId="4" fontId="12" fillId="0" borderId="19" xfId="0" applyNumberFormat="1" applyFont="1" applyBorder="1" applyAlignment="1">
      <alignment horizontal="center" vertical="center" wrapText="1"/>
    </xf>
    <xf numFmtId="4" fontId="12" fillId="0" borderId="7" xfId="0" applyNumberFormat="1" applyFont="1" applyBorder="1" applyAlignment="1">
      <alignment horizontal="center" vertical="center" wrapText="1"/>
    </xf>
    <xf numFmtId="4" fontId="14" fillId="0" borderId="19" xfId="0" applyNumberFormat="1" applyFont="1" applyBorder="1" applyAlignment="1">
      <alignment horizontal="center" vertical="center" wrapText="1"/>
    </xf>
    <xf numFmtId="0" fontId="2" fillId="0" borderId="51" xfId="0" applyFont="1" applyBorder="1" applyAlignment="1">
      <alignment horizontal="center" vertical="center" wrapText="1"/>
    </xf>
    <xf numFmtId="0" fontId="2" fillId="0" borderId="139" xfId="0" applyFont="1" applyBorder="1" applyAlignment="1">
      <alignment horizontal="center" vertical="center" wrapText="1"/>
    </xf>
    <xf numFmtId="0" fontId="2" fillId="0" borderId="57" xfId="0" applyFont="1" applyBorder="1" applyAlignment="1">
      <alignment horizontal="center" vertical="center" wrapText="1"/>
    </xf>
    <xf numFmtId="3" fontId="29" fillId="0" borderId="15" xfId="0" applyNumberFormat="1" applyFont="1" applyBorder="1" applyAlignment="1">
      <alignment horizontal="center" vertical="center" wrapText="1"/>
    </xf>
    <xf numFmtId="0" fontId="29" fillId="0" borderId="92" xfId="0" applyFont="1" applyBorder="1" applyAlignment="1">
      <alignment horizontal="center" vertical="center" wrapText="1"/>
    </xf>
    <xf numFmtId="0" fontId="28" fillId="0" borderId="28" xfId="0" applyFont="1" applyBorder="1" applyAlignment="1">
      <alignment horizontal="center" vertical="center" wrapText="1"/>
    </xf>
    <xf numFmtId="0" fontId="29" fillId="0" borderId="133" xfId="0" applyFont="1" applyBorder="1" applyAlignment="1">
      <alignment horizontal="center" vertical="center" wrapText="1"/>
    </xf>
    <xf numFmtId="0" fontId="28" fillId="0" borderId="133" xfId="0" applyFont="1" applyBorder="1" applyAlignment="1">
      <alignment horizontal="center" vertical="center" wrapText="1"/>
    </xf>
    <xf numFmtId="0" fontId="28" fillId="0" borderId="30" xfId="0" applyFont="1" applyBorder="1" applyAlignment="1">
      <alignment horizontal="center" vertical="center" wrapText="1"/>
    </xf>
    <xf numFmtId="0" fontId="28" fillId="0" borderId="132" xfId="0" applyFont="1" applyBorder="1" applyAlignment="1">
      <alignment horizontal="center" vertical="center" wrapText="1"/>
    </xf>
    <xf numFmtId="0" fontId="28" fillId="0" borderId="25" xfId="0" applyFont="1" applyBorder="1" applyAlignment="1">
      <alignment horizontal="center" vertical="center" wrapText="1"/>
    </xf>
    <xf numFmtId="0" fontId="28" fillId="0" borderId="50" xfId="0" applyFont="1" applyBorder="1" applyAlignment="1">
      <alignment horizontal="center" vertical="center" wrapText="1"/>
    </xf>
    <xf numFmtId="0" fontId="28" fillId="0" borderId="43" xfId="0" applyFont="1" applyBorder="1" applyAlignment="1">
      <alignment horizontal="center" vertical="center" wrapText="1"/>
    </xf>
    <xf numFmtId="0" fontId="8" fillId="0" borderId="29" xfId="0" applyFont="1" applyBorder="1" applyAlignment="1">
      <alignment vertical="center" wrapText="1"/>
    </xf>
    <xf numFmtId="0" fontId="8" fillId="0" borderId="10" xfId="0" applyFont="1" applyBorder="1" applyAlignment="1">
      <alignment vertical="center" wrapText="1"/>
    </xf>
    <xf numFmtId="0" fontId="8" fillId="0" borderId="7" xfId="0" applyFont="1" applyBorder="1" applyAlignment="1">
      <alignment vertical="center" wrapText="1"/>
    </xf>
    <xf numFmtId="0" fontId="107" fillId="0" borderId="0" xfId="0" applyFont="1" applyAlignment="1" applyProtection="1">
      <alignment vertical="top" wrapText="1" readingOrder="1"/>
      <protection locked="0"/>
    </xf>
    <xf numFmtId="0" fontId="107" fillId="0" borderId="145" xfId="0" applyFont="1" applyBorder="1" applyAlignment="1" applyProtection="1">
      <alignment horizontal="center" vertical="top" wrapText="1" readingOrder="1"/>
      <protection locked="0"/>
    </xf>
    <xf numFmtId="173" fontId="107" fillId="0" borderId="145" xfId="0" applyNumberFormat="1" applyFont="1" applyBorder="1" applyAlignment="1" applyProtection="1">
      <alignment horizontal="right" vertical="top" wrapText="1" readingOrder="1"/>
      <protection locked="0"/>
    </xf>
    <xf numFmtId="0" fontId="109" fillId="0" borderId="145" xfId="0" applyFont="1" applyBorder="1" applyAlignment="1" applyProtection="1">
      <alignment horizontal="left" vertical="top" wrapText="1" readingOrder="1"/>
      <protection locked="0"/>
    </xf>
    <xf numFmtId="174" fontId="109" fillId="0" borderId="145" xfId="0" applyNumberFormat="1" applyFont="1" applyBorder="1" applyAlignment="1" applyProtection="1">
      <alignment horizontal="left" vertical="top" wrapText="1" readingOrder="1"/>
      <protection locked="0"/>
    </xf>
    <xf numFmtId="173" fontId="109" fillId="0" borderId="145" xfId="0" applyNumberFormat="1" applyFont="1" applyBorder="1" applyAlignment="1" applyProtection="1">
      <alignment horizontal="left" vertical="top" wrapText="1" readingOrder="1"/>
      <protection locked="0"/>
    </xf>
    <xf numFmtId="0" fontId="87" fillId="0" borderId="157" xfId="0" applyFont="1" applyBorder="1" applyAlignment="1" applyProtection="1">
      <alignment vertical="top" wrapText="1" readingOrder="1"/>
      <protection locked="0"/>
    </xf>
    <xf numFmtId="0" fontId="87" fillId="0" borderId="155" xfId="0" applyFont="1" applyBorder="1" applyAlignment="1" applyProtection="1">
      <alignment vertical="top" wrapText="1" readingOrder="1"/>
      <protection locked="0"/>
    </xf>
    <xf numFmtId="4" fontId="111" fillId="24" borderId="188" xfId="0" applyNumberFormat="1" applyFont="1" applyFill="1" applyBorder="1" applyAlignment="1">
      <alignment horizontal="right" vertical="center"/>
    </xf>
    <xf numFmtId="0" fontId="112" fillId="0" borderId="145" xfId="0" applyFont="1" applyBorder="1" applyAlignment="1" applyProtection="1">
      <alignment vertical="top" wrapText="1" readingOrder="1"/>
      <protection locked="0"/>
    </xf>
    <xf numFmtId="169" fontId="112" fillId="0" borderId="145" xfId="0" applyNumberFormat="1" applyFont="1" applyBorder="1" applyAlignment="1" applyProtection="1">
      <alignment vertical="top" wrapText="1" readingOrder="1"/>
      <protection locked="0"/>
    </xf>
    <xf numFmtId="0" fontId="112" fillId="0" borderId="157" xfId="0" applyFont="1" applyBorder="1" applyAlignment="1" applyProtection="1">
      <alignment vertical="top" wrapText="1" readingOrder="1"/>
      <protection locked="0"/>
    </xf>
    <xf numFmtId="0" fontId="112" fillId="0" borderId="155" xfId="0" applyFont="1" applyBorder="1" applyAlignment="1" applyProtection="1">
      <alignment vertical="top" wrapText="1" readingOrder="1"/>
      <protection locked="0"/>
    </xf>
    <xf numFmtId="0" fontId="29" fillId="0" borderId="42" xfId="0" applyFont="1" applyBorder="1" applyAlignment="1">
      <alignment horizontal="center" vertical="center" wrapText="1"/>
    </xf>
    <xf numFmtId="0" fontId="29" fillId="0" borderId="84" xfId="0" applyFont="1" applyBorder="1" applyAlignment="1">
      <alignment horizontal="center" vertical="center" wrapText="1"/>
    </xf>
    <xf numFmtId="0" fontId="29" fillId="0" borderId="26" xfId="0" applyFont="1" applyBorder="1" applyAlignment="1">
      <alignment horizontal="center" vertical="center" wrapText="1"/>
    </xf>
    <xf numFmtId="4" fontId="8" fillId="0" borderId="34" xfId="0" applyNumberFormat="1" applyFont="1" applyBorder="1"/>
    <xf numFmtId="4" fontId="8" fillId="0" borderId="103" xfId="0" applyNumberFormat="1" applyFont="1" applyBorder="1"/>
    <xf numFmtId="0" fontId="67" fillId="0" borderId="0" xfId="0" applyFont="1"/>
    <xf numFmtId="0" fontId="8" fillId="13" borderId="0" xfId="0" applyFont="1" applyFill="1"/>
    <xf numFmtId="0" fontId="24" fillId="0" borderId="58" xfId="0" applyFont="1" applyBorder="1" applyAlignment="1">
      <alignment horizontal="center" vertical="center" wrapText="1"/>
    </xf>
    <xf numFmtId="0" fontId="24" fillId="0" borderId="91" xfId="0" applyFont="1" applyBorder="1" applyAlignment="1">
      <alignment wrapText="1"/>
    </xf>
    <xf numFmtId="0" fontId="24" fillId="0" borderId="59" xfId="0" applyFont="1" applyBorder="1" applyAlignment="1">
      <alignment wrapText="1"/>
    </xf>
    <xf numFmtId="0" fontId="28" fillId="0" borderId="36" xfId="0" applyFont="1" applyBorder="1" applyAlignment="1">
      <alignment wrapText="1"/>
    </xf>
    <xf numFmtId="0" fontId="28" fillId="0" borderId="79" xfId="0" applyFont="1" applyBorder="1" applyAlignment="1">
      <alignment wrapText="1"/>
    </xf>
    <xf numFmtId="0" fontId="13" fillId="0" borderId="26" xfId="0" applyFont="1" applyBorder="1" applyAlignment="1">
      <alignment horizontal="center" wrapText="1"/>
    </xf>
    <xf numFmtId="0" fontId="13" fillId="0" borderId="24" xfId="0" applyFont="1" applyBorder="1" applyAlignment="1">
      <alignment horizontal="center" wrapText="1"/>
    </xf>
    <xf numFmtId="0" fontId="13" fillId="13" borderId="94" xfId="0" applyFont="1" applyFill="1" applyBorder="1" applyAlignment="1">
      <alignment horizontal="center" wrapText="1"/>
    </xf>
    <xf numFmtId="0" fontId="24" fillId="14" borderId="19" xfId="0" applyFont="1" applyFill="1" applyBorder="1" applyAlignment="1">
      <alignment horizontal="center" wrapText="1"/>
    </xf>
    <xf numFmtId="0" fontId="13" fillId="0" borderId="93" xfId="0" applyFont="1" applyBorder="1" applyAlignment="1">
      <alignment horizontal="center" wrapText="1"/>
    </xf>
    <xf numFmtId="0" fontId="13" fillId="0" borderId="94" xfId="0" applyFont="1" applyBorder="1" applyAlignment="1">
      <alignment horizontal="center" wrapText="1"/>
    </xf>
    <xf numFmtId="0" fontId="24" fillId="13" borderId="94" xfId="0" applyFont="1" applyFill="1" applyBorder="1" applyAlignment="1">
      <alignment horizontal="center" wrapText="1"/>
    </xf>
    <xf numFmtId="4" fontId="40" fillId="7" borderId="26" xfId="0" quotePrefix="1" applyNumberFormat="1" applyFont="1" applyFill="1" applyBorder="1" applyAlignment="1">
      <alignment horizontal="center" vertical="center" wrapText="1"/>
    </xf>
    <xf numFmtId="4" fontId="40" fillId="7" borderId="57" xfId="0" quotePrefix="1" applyNumberFormat="1" applyFont="1" applyFill="1" applyBorder="1" applyAlignment="1">
      <alignment horizontal="center" vertical="center" wrapText="1"/>
    </xf>
    <xf numFmtId="4" fontId="40" fillId="13" borderId="42" xfId="0" quotePrefix="1" applyNumberFormat="1" applyFont="1" applyFill="1" applyBorder="1" applyAlignment="1">
      <alignment horizontal="center" vertical="center" wrapText="1"/>
    </xf>
    <xf numFmtId="4" fontId="40" fillId="14" borderId="42" xfId="0" quotePrefix="1" applyNumberFormat="1" applyFont="1" applyFill="1" applyBorder="1" applyAlignment="1">
      <alignment horizontal="center" vertical="center" wrapText="1"/>
    </xf>
    <xf numFmtId="4" fontId="34" fillId="13" borderId="42" xfId="0" quotePrefix="1" applyNumberFormat="1" applyFont="1" applyFill="1" applyBorder="1" applyAlignment="1">
      <alignment horizontal="center" vertical="center" wrapText="1"/>
    </xf>
    <xf numFmtId="4" fontId="34" fillId="14" borderId="42" xfId="0" quotePrefix="1" applyNumberFormat="1" applyFont="1" applyFill="1" applyBorder="1" applyAlignment="1">
      <alignment horizontal="center" vertical="center" wrapText="1"/>
    </xf>
    <xf numFmtId="4" fontId="29" fillId="6" borderId="42" xfId="0" quotePrefix="1" applyNumberFormat="1" applyFont="1" applyFill="1" applyBorder="1" applyAlignment="1">
      <alignment horizontal="center" vertical="center" wrapText="1"/>
    </xf>
    <xf numFmtId="4" fontId="24" fillId="13" borderId="100" xfId="0" quotePrefix="1" applyNumberFormat="1" applyFont="1" applyFill="1" applyBorder="1" applyAlignment="1">
      <alignment horizontal="center" vertical="center" wrapText="1"/>
    </xf>
    <xf numFmtId="4" fontId="24" fillId="14" borderId="100" xfId="0" quotePrefix="1" applyNumberFormat="1" applyFont="1" applyFill="1" applyBorder="1" applyAlignment="1">
      <alignment horizontal="center" vertical="center" wrapText="1"/>
    </xf>
    <xf numFmtId="0" fontId="56" fillId="0" borderId="0" xfId="0" applyFont="1"/>
    <xf numFmtId="0" fontId="56" fillId="0" borderId="34" xfId="0" applyFont="1" applyBorder="1"/>
    <xf numFmtId="0" fontId="13" fillId="13" borderId="34" xfId="0" applyFont="1" applyFill="1" applyBorder="1" applyAlignment="1">
      <alignment horizontal="center" vertical="center" wrapText="1"/>
    </xf>
    <xf numFmtId="4" fontId="13" fillId="13" borderId="55" xfId="0" quotePrefix="1" applyNumberFormat="1" applyFont="1" applyFill="1" applyBorder="1" applyAlignment="1">
      <alignment horizontal="center" vertical="center" wrapText="1"/>
    </xf>
    <xf numFmtId="4" fontId="13" fillId="0" borderId="69" xfId="0" quotePrefix="1" applyNumberFormat="1" applyFont="1" applyBorder="1" applyAlignment="1">
      <alignment horizontal="center" vertical="center" wrapText="1"/>
    </xf>
    <xf numFmtId="4" fontId="24" fillId="13" borderId="70" xfId="0" quotePrefix="1" applyNumberFormat="1" applyFont="1" applyFill="1" applyBorder="1" applyAlignment="1">
      <alignment horizontal="center" vertical="center" wrapText="1"/>
    </xf>
    <xf numFmtId="4" fontId="24" fillId="14" borderId="70" xfId="0" quotePrefix="1" applyNumberFormat="1" applyFont="1" applyFill="1" applyBorder="1" applyAlignment="1">
      <alignment horizontal="center" vertical="center" wrapText="1"/>
    </xf>
    <xf numFmtId="4" fontId="13" fillId="14" borderId="78" xfId="0" quotePrefix="1" applyNumberFormat="1" applyFont="1" applyFill="1" applyBorder="1" applyAlignment="1">
      <alignment horizontal="center" vertical="center" wrapText="1"/>
    </xf>
    <xf numFmtId="4" fontId="24" fillId="13" borderId="42" xfId="0" quotePrefix="1" applyNumberFormat="1" applyFont="1" applyFill="1" applyBorder="1" applyAlignment="1">
      <alignment horizontal="center" vertical="center" wrapText="1"/>
    </xf>
    <xf numFmtId="4" fontId="24" fillId="14" borderId="42" xfId="0" quotePrefix="1" applyNumberFormat="1" applyFont="1" applyFill="1" applyBorder="1" applyAlignment="1">
      <alignment horizontal="center" vertical="center" wrapText="1"/>
    </xf>
    <xf numFmtId="4" fontId="29" fillId="6" borderId="57" xfId="0" quotePrefix="1" applyNumberFormat="1" applyFont="1" applyFill="1" applyBorder="1" applyAlignment="1">
      <alignment horizontal="center" vertical="center" wrapText="1"/>
    </xf>
    <xf numFmtId="4" fontId="29" fillId="13" borderId="42" xfId="0" quotePrefix="1" applyNumberFormat="1" applyFont="1" applyFill="1" applyBorder="1" applyAlignment="1">
      <alignment horizontal="center" vertical="center" wrapText="1"/>
    </xf>
    <xf numFmtId="4" fontId="29" fillId="14" borderId="42" xfId="0" quotePrefix="1" applyNumberFormat="1" applyFont="1" applyFill="1" applyBorder="1" applyAlignment="1">
      <alignment horizontal="center" vertical="center" wrapText="1"/>
    </xf>
    <xf numFmtId="4" fontId="24" fillId="13" borderId="55" xfId="0" quotePrefix="1" applyNumberFormat="1" applyFont="1" applyFill="1" applyBorder="1" applyAlignment="1">
      <alignment horizontal="center" vertical="center" wrapText="1"/>
    </xf>
    <xf numFmtId="4" fontId="24" fillId="14" borderId="55" xfId="0" quotePrefix="1" applyNumberFormat="1" applyFont="1" applyFill="1" applyBorder="1" applyAlignment="1">
      <alignment horizontal="center" vertical="center" wrapText="1"/>
    </xf>
    <xf numFmtId="4" fontId="34" fillId="13" borderId="75" xfId="0" quotePrefix="1" applyNumberFormat="1" applyFont="1" applyFill="1" applyBorder="1" applyAlignment="1">
      <alignment horizontal="center" vertical="center" wrapText="1"/>
    </xf>
    <xf numFmtId="4" fontId="34" fillId="14" borderId="75" xfId="0" quotePrefix="1" applyNumberFormat="1" applyFont="1" applyFill="1" applyBorder="1" applyAlignment="1">
      <alignment horizontal="center" vertical="center" wrapText="1"/>
    </xf>
    <xf numFmtId="4" fontId="29" fillId="13" borderId="98" xfId="0" quotePrefix="1" applyNumberFormat="1" applyFont="1" applyFill="1" applyBorder="1" applyAlignment="1">
      <alignment horizontal="center" vertical="center" wrapText="1"/>
    </xf>
    <xf numFmtId="4" fontId="29" fillId="14" borderId="98" xfId="0" quotePrefix="1" applyNumberFormat="1" applyFont="1" applyFill="1" applyBorder="1" applyAlignment="1">
      <alignment horizontal="center" vertical="center" wrapText="1"/>
    </xf>
    <xf numFmtId="4" fontId="13" fillId="13" borderId="59" xfId="0" quotePrefix="1" applyNumberFormat="1" applyFont="1" applyFill="1" applyBorder="1" applyAlignment="1">
      <alignment horizontal="center" vertical="center" wrapText="1"/>
    </xf>
    <xf numFmtId="4" fontId="34" fillId="6" borderId="57" xfId="0" quotePrefix="1" applyNumberFormat="1" applyFont="1" applyFill="1" applyBorder="1" applyAlignment="1">
      <alignment horizontal="center" vertical="center" wrapText="1"/>
    </xf>
    <xf numFmtId="4" fontId="13" fillId="13" borderId="19" xfId="0" quotePrefix="1" applyNumberFormat="1" applyFont="1" applyFill="1" applyBorder="1" applyAlignment="1">
      <alignment horizontal="center" vertical="center" wrapText="1"/>
    </xf>
    <xf numFmtId="4" fontId="13" fillId="14" borderId="19" xfId="0" quotePrefix="1" applyNumberFormat="1" applyFont="1" applyFill="1" applyBorder="1" applyAlignment="1">
      <alignment horizontal="center" vertical="center" wrapText="1"/>
    </xf>
    <xf numFmtId="4" fontId="13" fillId="14" borderId="93" xfId="0" quotePrefix="1" applyNumberFormat="1" applyFont="1" applyFill="1" applyBorder="1" applyAlignment="1">
      <alignment horizontal="center" vertical="center" wrapText="1"/>
    </xf>
    <xf numFmtId="0" fontId="13" fillId="0" borderId="35" xfId="0" applyFont="1" applyBorder="1" applyAlignment="1">
      <alignment horizontal="left" wrapText="1"/>
    </xf>
    <xf numFmtId="0" fontId="13" fillId="0" borderId="35" xfId="0" applyFont="1" applyBorder="1" applyAlignment="1">
      <alignment wrapText="1"/>
    </xf>
    <xf numFmtId="4" fontId="13" fillId="0" borderId="35" xfId="0" quotePrefix="1" applyNumberFormat="1" applyFont="1" applyBorder="1" applyAlignment="1">
      <alignment horizontal="center" vertical="center" wrapText="1"/>
    </xf>
    <xf numFmtId="4" fontId="13" fillId="16" borderId="35" xfId="0" quotePrefix="1" applyNumberFormat="1" applyFont="1" applyFill="1" applyBorder="1" applyAlignment="1">
      <alignment horizontal="center" vertical="center" wrapText="1"/>
    </xf>
    <xf numFmtId="4" fontId="13" fillId="13" borderId="35" xfId="0" quotePrefix="1" applyNumberFormat="1" applyFont="1" applyFill="1" applyBorder="1" applyAlignment="1">
      <alignment horizontal="center" vertical="center" wrapText="1"/>
    </xf>
    <xf numFmtId="4" fontId="13" fillId="14" borderId="35" xfId="0" quotePrefix="1" applyNumberFormat="1" applyFont="1" applyFill="1" applyBorder="1" applyAlignment="1">
      <alignment horizontal="center" vertical="center" wrapText="1"/>
    </xf>
    <xf numFmtId="10" fontId="8" fillId="0" borderId="0" xfId="0" applyNumberFormat="1" applyFont="1"/>
    <xf numFmtId="0" fontId="28" fillId="0" borderId="0" xfId="0" applyFont="1" applyAlignment="1">
      <alignment vertical="center"/>
    </xf>
    <xf numFmtId="0" fontId="22" fillId="0" borderId="145" xfId="0" applyFont="1" applyBorder="1" applyAlignment="1" applyProtection="1">
      <alignment vertical="top" wrapText="1" readingOrder="1"/>
      <protection locked="0"/>
    </xf>
    <xf numFmtId="169" fontId="99" fillId="0" borderId="180" xfId="0" applyNumberFormat="1" applyFont="1" applyBorder="1" applyAlignment="1" applyProtection="1">
      <alignment horizontal="left" vertical="top" wrapText="1" readingOrder="1"/>
      <protection locked="0"/>
    </xf>
    <xf numFmtId="0" fontId="98" fillId="0" borderId="145" xfId="0" applyFont="1" applyBorder="1" applyAlignment="1" applyProtection="1">
      <alignment horizontal="left" vertical="top" wrapText="1" readingOrder="1"/>
      <protection locked="0"/>
    </xf>
    <xf numFmtId="169" fontId="98" fillId="0" borderId="145" xfId="0" applyNumberFormat="1" applyFont="1" applyBorder="1" applyAlignment="1" applyProtection="1">
      <alignment horizontal="left" vertical="top" wrapText="1" readingOrder="1"/>
      <protection locked="0"/>
    </xf>
    <xf numFmtId="0" fontId="99" fillId="0" borderId="145" xfId="0" applyFont="1" applyBorder="1" applyAlignment="1" applyProtection="1">
      <alignment horizontal="center" vertical="top" wrapText="1" readingOrder="1"/>
      <protection locked="0"/>
    </xf>
    <xf numFmtId="0" fontId="99" fillId="0" borderId="145" xfId="0" applyFont="1" applyBorder="1" applyAlignment="1" applyProtection="1">
      <alignment horizontal="center" vertical="center" wrapText="1" readingOrder="1"/>
      <protection locked="0"/>
    </xf>
    <xf numFmtId="0" fontId="98" fillId="0" borderId="0" xfId="0" applyFont="1"/>
    <xf numFmtId="0" fontId="98" fillId="0" borderId="0" xfId="0" applyFont="1" applyAlignment="1" applyProtection="1">
      <alignment horizontal="center" vertical="top" wrapText="1" readingOrder="1"/>
      <protection locked="0"/>
    </xf>
    <xf numFmtId="0" fontId="39" fillId="25" borderId="57" xfId="0" applyFont="1" applyFill="1" applyBorder="1" applyAlignment="1">
      <alignment horizontal="center" wrapText="1"/>
    </xf>
    <xf numFmtId="3" fontId="60" fillId="25" borderId="31" xfId="0" quotePrefix="1" applyNumberFormat="1" applyFont="1" applyFill="1" applyBorder="1" applyAlignment="1">
      <alignment horizontal="center" vertical="center" wrapText="1"/>
    </xf>
    <xf numFmtId="3" fontId="20" fillId="25" borderId="42" xfId="0" quotePrefix="1" applyNumberFormat="1" applyFont="1" applyFill="1" applyBorder="1" applyAlignment="1">
      <alignment horizontal="center" vertical="center" wrapText="1"/>
    </xf>
    <xf numFmtId="3" fontId="39" fillId="25" borderId="19" xfId="0" quotePrefix="1" applyNumberFormat="1" applyFont="1" applyFill="1" applyBorder="1" applyAlignment="1">
      <alignment horizontal="center" vertical="center" wrapText="1"/>
    </xf>
    <xf numFmtId="4" fontId="13" fillId="0" borderId="34" xfId="0" applyNumberFormat="1" applyFont="1" applyBorder="1" applyAlignment="1">
      <alignment horizontal="center" vertical="center" wrapText="1"/>
    </xf>
    <xf numFmtId="0" fontId="29" fillId="6" borderId="42" xfId="0" applyFont="1" applyFill="1" applyBorder="1" applyAlignment="1">
      <alignment horizontal="center" vertical="center" wrapText="1"/>
    </xf>
    <xf numFmtId="4" fontId="13" fillId="6" borderId="34" xfId="0" applyNumberFormat="1" applyFont="1" applyFill="1" applyBorder="1" applyAlignment="1">
      <alignment horizontal="center" vertical="center" wrapText="1"/>
    </xf>
    <xf numFmtId="0" fontId="29" fillId="26" borderId="42" xfId="0" applyFont="1" applyFill="1" applyBorder="1" applyAlignment="1">
      <alignment horizontal="center" vertical="center" wrapText="1"/>
    </xf>
    <xf numFmtId="4" fontId="13" fillId="26" borderId="34" xfId="0" applyNumberFormat="1" applyFont="1" applyFill="1" applyBorder="1" applyAlignment="1">
      <alignment horizontal="center" vertical="center" wrapText="1"/>
    </xf>
    <xf numFmtId="0" fontId="29" fillId="20" borderId="42" xfId="0" applyFont="1" applyFill="1" applyBorder="1" applyAlignment="1">
      <alignment horizontal="center" vertical="center" wrapText="1"/>
    </xf>
    <xf numFmtId="4" fontId="14" fillId="0" borderId="0" xfId="0" applyNumberFormat="1" applyFont="1"/>
    <xf numFmtId="0" fontId="0" fillId="0" borderId="34" xfId="0" applyBorder="1"/>
    <xf numFmtId="0" fontId="0" fillId="0" borderId="34" xfId="0" applyBorder="1" applyAlignment="1">
      <alignment wrapText="1"/>
    </xf>
    <xf numFmtId="0" fontId="113" fillId="0" borderId="34" xfId="0" applyFont="1" applyBorder="1"/>
    <xf numFmtId="1" fontId="54" fillId="0" borderId="6" xfId="0" applyNumberFormat="1" applyFont="1" applyBorder="1" applyAlignment="1">
      <alignment horizontal="center" vertical="center" wrapText="1"/>
    </xf>
    <xf numFmtId="0" fontId="54" fillId="0" borderId="6" xfId="0" applyFont="1" applyBorder="1" applyAlignment="1">
      <alignment horizontal="left" vertical="center" wrapText="1"/>
    </xf>
    <xf numFmtId="14" fontId="52" fillId="25" borderId="36" xfId="0" applyNumberFormat="1" applyFont="1" applyFill="1" applyBorder="1" applyAlignment="1">
      <alignment horizontal="center" vertical="center" wrapText="1"/>
    </xf>
    <xf numFmtId="0" fontId="8" fillId="0" borderId="182" xfId="0" applyFont="1" applyBorder="1" applyAlignment="1" applyProtection="1">
      <alignment vertical="top" wrapText="1"/>
      <protection locked="0"/>
    </xf>
    <xf numFmtId="0" fontId="8" fillId="0" borderId="156" xfId="0" applyFont="1" applyBorder="1" applyAlignment="1" applyProtection="1">
      <alignment vertical="top" wrapText="1"/>
      <protection locked="0"/>
    </xf>
    <xf numFmtId="0" fontId="8" fillId="0" borderId="154" xfId="0" applyFont="1" applyBorder="1" applyAlignment="1" applyProtection="1">
      <alignment vertical="top" wrapText="1"/>
      <protection locked="0"/>
    </xf>
    <xf numFmtId="0" fontId="8" fillId="0" borderId="151" xfId="0" applyFont="1" applyBorder="1" applyAlignment="1" applyProtection="1">
      <alignment vertical="top" wrapText="1"/>
      <protection locked="0"/>
    </xf>
    <xf numFmtId="4" fontId="114" fillId="24" borderId="187" xfId="0" applyNumberFormat="1" applyFont="1" applyFill="1" applyBorder="1" applyAlignment="1">
      <alignment horizontal="right" vertical="center"/>
    </xf>
    <xf numFmtId="0" fontId="8" fillId="0" borderId="0" xfId="0" applyFont="1" applyAlignment="1" applyProtection="1">
      <alignment vertical="top" wrapText="1"/>
      <protection locked="0"/>
    </xf>
    <xf numFmtId="0" fontId="8" fillId="10" borderId="147" xfId="0" applyFont="1" applyFill="1" applyBorder="1" applyAlignment="1" applyProtection="1">
      <alignment vertical="top" wrapText="1"/>
      <protection locked="0"/>
    </xf>
    <xf numFmtId="4" fontId="110" fillId="10" borderId="147" xfId="0" applyNumberFormat="1" applyFont="1" applyFill="1" applyBorder="1" applyAlignment="1" applyProtection="1">
      <alignment vertical="top" wrapText="1"/>
      <protection locked="0"/>
    </xf>
    <xf numFmtId="4" fontId="115" fillId="24" borderId="187" xfId="0" applyNumberFormat="1" applyFont="1" applyFill="1" applyBorder="1" applyAlignment="1">
      <alignment horizontal="right" vertical="center"/>
    </xf>
    <xf numFmtId="16" fontId="34" fillId="0" borderId="23" xfId="0" applyNumberFormat="1" applyFont="1" applyBorder="1" applyAlignment="1">
      <alignment horizontal="center" vertical="center" wrapText="1"/>
    </xf>
    <xf numFmtId="14" fontId="29" fillId="0" borderId="5" xfId="0" applyNumberFormat="1" applyFont="1" applyBorder="1" applyAlignment="1">
      <alignment horizontal="center" vertical="center" wrapText="1"/>
    </xf>
    <xf numFmtId="14" fontId="29" fillId="0" borderId="23" xfId="0" applyNumberFormat="1" applyFont="1" applyBorder="1" applyAlignment="1">
      <alignment horizontal="center" vertical="center" wrapText="1"/>
    </xf>
    <xf numFmtId="0" fontId="27" fillId="0" borderId="23" xfId="0" applyFont="1" applyBorder="1" applyAlignment="1">
      <alignment horizontal="center" vertical="center" wrapText="1"/>
    </xf>
    <xf numFmtId="0" fontId="5" fillId="0" borderId="15" xfId="0" applyFont="1" applyBorder="1" applyAlignment="1">
      <alignment vertical="top" wrapText="1"/>
    </xf>
    <xf numFmtId="0" fontId="1" fillId="0" borderId="7" xfId="0" applyFont="1" applyBorder="1" applyAlignment="1">
      <alignment vertical="top" wrapText="1"/>
    </xf>
    <xf numFmtId="4" fontId="2" fillId="0" borderId="15" xfId="0" applyNumberFormat="1" applyFont="1" applyBorder="1" applyAlignment="1">
      <alignment horizontal="center" vertical="center" wrapText="1"/>
    </xf>
    <xf numFmtId="0" fontId="5" fillId="0" borderId="19" xfId="0" applyFont="1" applyBorder="1" applyAlignment="1">
      <alignment vertical="top" wrapText="1"/>
    </xf>
    <xf numFmtId="2" fontId="29" fillId="0" borderId="6" xfId="0" applyNumberFormat="1" applyFont="1" applyBorder="1" applyAlignment="1">
      <alignment horizontal="center" vertical="center" wrapText="1"/>
    </xf>
    <xf numFmtId="2" fontId="27" fillId="0" borderId="6" xfId="0" applyNumberFormat="1" applyFont="1" applyBorder="1" applyAlignment="1">
      <alignment horizontal="center" vertical="center" wrapText="1"/>
    </xf>
    <xf numFmtId="168" fontId="13" fillId="0" borderId="6" xfId="0" applyNumberFormat="1" applyFont="1" applyBorder="1" applyAlignment="1">
      <alignment horizontal="center" vertical="center" wrapText="1"/>
    </xf>
    <xf numFmtId="0" fontId="14" fillId="0" borderId="6" xfId="0" applyFont="1" applyBorder="1" applyAlignment="1">
      <alignment vertical="center" wrapText="1"/>
    </xf>
    <xf numFmtId="166" fontId="14" fillId="0" borderId="6" xfId="0" applyNumberFormat="1" applyFont="1" applyBorder="1" applyAlignment="1">
      <alignment horizontal="center" vertical="center" wrapText="1"/>
    </xf>
    <xf numFmtId="0" fontId="14" fillId="0" borderId="19" xfId="0" applyFont="1" applyBorder="1" applyAlignment="1">
      <alignment vertical="center" wrapText="1"/>
    </xf>
    <xf numFmtId="0" fontId="14" fillId="0" borderId="15" xfId="0" applyFont="1" applyBorder="1" applyAlignment="1">
      <alignment vertical="center" wrapText="1"/>
    </xf>
    <xf numFmtId="0" fontId="1" fillId="0" borderId="10" xfId="0" applyFont="1" applyBorder="1" applyAlignment="1">
      <alignment vertical="top" wrapText="1"/>
    </xf>
    <xf numFmtId="4" fontId="1" fillId="26" borderId="6" xfId="0" applyNumberFormat="1" applyFont="1" applyFill="1" applyBorder="1" applyAlignment="1">
      <alignment horizontal="center" vertical="center" wrapText="1"/>
    </xf>
    <xf numFmtId="4" fontId="27" fillId="26" borderId="6" xfId="0" applyNumberFormat="1" applyFont="1" applyFill="1" applyBorder="1" applyAlignment="1">
      <alignment horizontal="center" vertical="center" wrapText="1"/>
    </xf>
    <xf numFmtId="3" fontId="12" fillId="0" borderId="6" xfId="0" applyNumberFormat="1" applyFont="1" applyBorder="1" applyAlignment="1">
      <alignment horizontal="center" vertical="center" wrapText="1"/>
    </xf>
    <xf numFmtId="2" fontId="12" fillId="0" borderId="6" xfId="0" applyNumberFormat="1" applyFont="1" applyBorder="1" applyAlignment="1">
      <alignment horizontal="center" vertical="center" wrapText="1"/>
    </xf>
    <xf numFmtId="0" fontId="2" fillId="0" borderId="19" xfId="0" applyFont="1" applyBorder="1" applyAlignment="1">
      <alignment vertical="center" wrapText="1"/>
    </xf>
    <xf numFmtId="14" fontId="2" fillId="0" borderId="6" xfId="0" applyNumberFormat="1" applyFont="1" applyBorder="1" applyAlignment="1">
      <alignment horizontal="center" vertical="center" wrapText="1"/>
    </xf>
    <xf numFmtId="3" fontId="1" fillId="26" borderId="6" xfId="0" applyNumberFormat="1" applyFont="1" applyFill="1" applyBorder="1" applyAlignment="1">
      <alignment horizontal="center" vertical="center" wrapText="1"/>
    </xf>
    <xf numFmtId="2" fontId="1" fillId="26" borderId="6" xfId="0" applyNumberFormat="1" applyFont="1" applyFill="1" applyBorder="1" applyAlignment="1">
      <alignment horizontal="center" vertical="center" wrapText="1"/>
    </xf>
    <xf numFmtId="4" fontId="13" fillId="26" borderId="6" xfId="0" applyNumberFormat="1" applyFont="1" applyFill="1" applyBorder="1" applyAlignment="1">
      <alignment horizontal="center" vertical="center" wrapText="1"/>
    </xf>
    <xf numFmtId="4" fontId="13" fillId="19" borderId="34" xfId="0" quotePrefix="1" applyNumberFormat="1" applyFont="1" applyFill="1" applyBorder="1" applyAlignment="1">
      <alignment horizontal="center" vertical="center" wrapText="1"/>
    </xf>
    <xf numFmtId="4" fontId="13" fillId="17" borderId="34" xfId="0" quotePrefix="1" applyNumberFormat="1" applyFont="1" applyFill="1" applyBorder="1" applyAlignment="1">
      <alignment horizontal="center" vertical="center" wrapText="1"/>
    </xf>
    <xf numFmtId="0" fontId="29" fillId="10" borderId="109" xfId="0" applyFont="1" applyFill="1" applyBorder="1" applyAlignment="1">
      <alignment horizontal="center" vertical="center" wrapText="1"/>
    </xf>
    <xf numFmtId="0" fontId="26" fillId="10" borderId="36" xfId="0" applyFont="1" applyFill="1" applyBorder="1" applyAlignment="1">
      <alignment horizontal="center" vertical="center" wrapText="1"/>
    </xf>
    <xf numFmtId="0" fontId="26" fillId="10" borderId="34" xfId="0" applyFont="1" applyFill="1" applyBorder="1" applyAlignment="1">
      <alignment horizontal="center" vertical="center" wrapText="1"/>
    </xf>
    <xf numFmtId="0" fontId="29" fillId="10" borderId="45" xfId="0" applyFont="1" applyFill="1" applyBorder="1" applyAlignment="1">
      <alignment horizontal="center" vertical="center" wrapText="1"/>
    </xf>
    <xf numFmtId="4" fontId="26" fillId="0" borderId="36" xfId="0" applyNumberFormat="1" applyFont="1" applyBorder="1" applyAlignment="1">
      <alignment horizontal="center" vertical="center" wrapText="1"/>
    </xf>
    <xf numFmtId="4" fontId="26" fillId="10" borderId="36" xfId="0" applyNumberFormat="1" applyFont="1" applyFill="1" applyBorder="1" applyAlignment="1">
      <alignment horizontal="center" vertical="center" wrapText="1"/>
    </xf>
    <xf numFmtId="0" fontId="26" fillId="0" borderId="36" xfId="0" applyFont="1" applyBorder="1" applyAlignment="1">
      <alignment horizontal="left" vertical="center" wrapText="1"/>
    </xf>
    <xf numFmtId="0" fontId="26" fillId="0" borderId="34" xfId="0" applyFont="1" applyBorder="1" applyAlignment="1">
      <alignment horizontal="left" vertical="center" wrapText="1"/>
    </xf>
    <xf numFmtId="0" fontId="29" fillId="10" borderId="15" xfId="0" applyFont="1" applyFill="1" applyBorder="1" applyAlignment="1">
      <alignment horizontal="center" vertical="center" wrapText="1"/>
    </xf>
    <xf numFmtId="3" fontId="46" fillId="10" borderId="34" xfId="0" applyNumberFormat="1" applyFont="1" applyFill="1" applyBorder="1" applyAlignment="1">
      <alignment horizontal="center" vertical="center" wrapText="1"/>
    </xf>
    <xf numFmtId="4" fontId="46" fillId="10" borderId="34" xfId="0" applyNumberFormat="1" applyFont="1" applyFill="1" applyBorder="1" applyAlignment="1">
      <alignment horizontal="center" vertical="center" wrapText="1"/>
    </xf>
    <xf numFmtId="0" fontId="14" fillId="0" borderId="145" xfId="0" applyFont="1" applyBorder="1" applyAlignment="1" applyProtection="1">
      <alignment horizontal="left" vertical="center" wrapText="1" readingOrder="1"/>
      <protection locked="0"/>
    </xf>
    <xf numFmtId="169" fontId="14" fillId="0" borderId="145" xfId="0" applyNumberFormat="1" applyFont="1" applyBorder="1" applyAlignment="1" applyProtection="1">
      <alignment horizontal="center" vertical="center" wrapText="1" readingOrder="1"/>
      <protection locked="0"/>
    </xf>
    <xf numFmtId="0" fontId="14" fillId="0" borderId="145" xfId="0" applyFont="1" applyBorder="1" applyAlignment="1" applyProtection="1">
      <alignment horizontal="center" vertical="center" wrapText="1" readingOrder="1"/>
      <protection locked="0"/>
    </xf>
    <xf numFmtId="169" fontId="27" fillId="0" borderId="183" xfId="0" applyNumberFormat="1" applyFont="1" applyBorder="1" applyAlignment="1" applyProtection="1">
      <alignment horizontal="center" vertical="center" wrapText="1" readingOrder="1"/>
      <protection locked="0"/>
    </xf>
    <xf numFmtId="169" fontId="27" fillId="0" borderId="180" xfId="0" applyNumberFormat="1" applyFont="1" applyBorder="1" applyAlignment="1" applyProtection="1">
      <alignment horizontal="center" vertical="center" wrapText="1" readingOrder="1"/>
      <protection locked="0"/>
    </xf>
    <xf numFmtId="169" fontId="17" fillId="0" borderId="180" xfId="0" applyNumberFormat="1" applyFont="1" applyBorder="1" applyAlignment="1" applyProtection="1">
      <alignment vertical="top" wrapText="1" readingOrder="1"/>
      <protection locked="0"/>
    </xf>
    <xf numFmtId="171" fontId="22" fillId="0" borderId="152" xfId="0" applyNumberFormat="1" applyFont="1" applyBorder="1" applyAlignment="1" applyProtection="1">
      <alignment horizontal="center" vertical="center" wrapText="1" readingOrder="1"/>
      <protection locked="0"/>
    </xf>
    <xf numFmtId="0" fontId="22" fillId="0" borderId="35" xfId="0" applyFont="1" applyBorder="1" applyAlignment="1" applyProtection="1">
      <alignment horizontal="left" vertical="top" wrapText="1" readingOrder="1"/>
      <protection locked="0"/>
    </xf>
    <xf numFmtId="169" fontId="17" fillId="0" borderId="183" xfId="0" applyNumberFormat="1" applyFont="1" applyBorder="1" applyAlignment="1" applyProtection="1">
      <alignment vertical="top" wrapText="1" readingOrder="1"/>
      <protection locked="0"/>
    </xf>
    <xf numFmtId="4" fontId="27" fillId="0" borderId="34" xfId="0" applyNumberFormat="1" applyFont="1" applyBorder="1" applyAlignment="1">
      <alignment horizontal="center"/>
    </xf>
    <xf numFmtId="169" fontId="22" fillId="0" borderId="145" xfId="0" applyNumberFormat="1" applyFont="1" applyBorder="1" applyAlignment="1" applyProtection="1">
      <alignment vertical="top" wrapText="1" readingOrder="1"/>
      <protection locked="0"/>
    </xf>
    <xf numFmtId="171" fontId="22" fillId="0" borderId="145" xfId="0" applyNumberFormat="1" applyFont="1" applyBorder="1" applyAlignment="1" applyProtection="1">
      <alignment horizontal="right" vertical="top" wrapText="1" readingOrder="1"/>
      <protection locked="0"/>
    </xf>
    <xf numFmtId="0" fontId="26" fillId="0" borderId="0" xfId="0" applyFont="1" applyAlignment="1">
      <alignment wrapText="1"/>
    </xf>
    <xf numFmtId="14" fontId="2" fillId="26" borderId="19" xfId="0" applyNumberFormat="1" applyFont="1" applyFill="1" applyBorder="1" applyAlignment="1">
      <alignment horizontal="center" vertical="center" wrapText="1"/>
    </xf>
    <xf numFmtId="4" fontId="2" fillId="0" borderId="23" xfId="0" applyNumberFormat="1" applyFont="1" applyBorder="1" applyAlignment="1">
      <alignment horizontal="center" vertical="center" wrapText="1"/>
    </xf>
    <xf numFmtId="14" fontId="14" fillId="26" borderId="19" xfId="0" applyNumberFormat="1" applyFont="1" applyFill="1" applyBorder="1" applyAlignment="1">
      <alignment horizontal="center" vertical="center" wrapText="1"/>
    </xf>
    <xf numFmtId="0" fontId="17" fillId="0" borderId="105" xfId="0" applyFont="1" applyBorder="1" applyAlignment="1">
      <alignment horizontal="center" vertical="center" wrapText="1"/>
    </xf>
    <xf numFmtId="0" fontId="17" fillId="0" borderId="99" xfId="0" applyFont="1" applyBorder="1" applyAlignment="1">
      <alignment horizontal="center" vertical="center" wrapText="1"/>
    </xf>
    <xf numFmtId="0" fontId="22" fillId="0" borderId="57" xfId="0" applyFont="1" applyBorder="1" applyAlignment="1">
      <alignment horizontal="center" vertical="center" wrapText="1"/>
    </xf>
    <xf numFmtId="0" fontId="22" fillId="0" borderId="23" xfId="0" applyFont="1" applyBorder="1" applyAlignment="1">
      <alignment horizontal="center" vertical="center" wrapText="1"/>
    </xf>
    <xf numFmtId="0" fontId="13" fillId="0" borderId="14" xfId="0" applyFont="1" applyBorder="1" applyAlignment="1">
      <alignment horizontal="center" vertical="center" wrapText="1"/>
    </xf>
    <xf numFmtId="0" fontId="116" fillId="0" borderId="0" xfId="0" applyFont="1" applyAlignment="1" applyProtection="1">
      <alignment vertical="top" wrapText="1" readingOrder="1"/>
      <protection locked="0"/>
    </xf>
    <xf numFmtId="0" fontId="87" fillId="0" borderId="145" xfId="0" applyFont="1" applyBorder="1" applyAlignment="1" applyProtection="1">
      <alignment horizontal="center" vertical="top" wrapText="1" readingOrder="1"/>
      <protection locked="0"/>
    </xf>
    <xf numFmtId="169" fontId="87" fillId="0" borderId="145" xfId="0" applyNumberFormat="1" applyFont="1" applyBorder="1" applyAlignment="1" applyProtection="1">
      <alignment horizontal="right" vertical="top" wrapText="1" readingOrder="1"/>
      <protection locked="0"/>
    </xf>
    <xf numFmtId="173" fontId="87" fillId="0" borderId="145" xfId="0" applyNumberFormat="1" applyFont="1" applyBorder="1" applyAlignment="1" applyProtection="1">
      <alignment horizontal="right" vertical="top" wrapText="1" readingOrder="1"/>
      <protection locked="0"/>
    </xf>
    <xf numFmtId="171" fontId="87" fillId="0" borderId="145" xfId="0" applyNumberFormat="1" applyFont="1" applyBorder="1" applyAlignment="1" applyProtection="1">
      <alignment horizontal="center" vertical="top" wrapText="1" readingOrder="1"/>
      <protection locked="0"/>
    </xf>
    <xf numFmtId="174" fontId="87" fillId="0" borderId="145" xfId="0" applyNumberFormat="1" applyFont="1" applyBorder="1" applyAlignment="1" applyProtection="1">
      <alignment horizontal="center" vertical="top" wrapText="1" readingOrder="1"/>
      <protection locked="0"/>
    </xf>
    <xf numFmtId="0" fontId="85" fillId="0" borderId="145" xfId="0" applyFont="1" applyBorder="1" applyAlignment="1" applyProtection="1">
      <alignment vertical="top" wrapText="1" readingOrder="1"/>
      <protection locked="0"/>
    </xf>
    <xf numFmtId="169" fontId="85" fillId="0" borderId="145" xfId="0" applyNumberFormat="1" applyFont="1" applyBorder="1" applyAlignment="1" applyProtection="1">
      <alignment horizontal="right" vertical="top" wrapText="1" readingOrder="1"/>
      <protection locked="0"/>
    </xf>
    <xf numFmtId="0" fontId="85" fillId="0" borderId="145" xfId="0" applyFont="1" applyBorder="1" applyAlignment="1" applyProtection="1">
      <alignment horizontal="center" vertical="top" wrapText="1" readingOrder="1"/>
      <protection locked="0"/>
    </xf>
    <xf numFmtId="0" fontId="26" fillId="20" borderId="0" xfId="0" applyFont="1" applyFill="1" applyAlignment="1">
      <alignment horizontal="center" vertical="center"/>
    </xf>
    <xf numFmtId="0" fontId="27" fillId="20" borderId="13" xfId="0" applyFont="1" applyFill="1" applyBorder="1" applyAlignment="1">
      <alignment horizontal="center" vertical="center" wrapText="1"/>
    </xf>
    <xf numFmtId="0" fontId="17" fillId="20" borderId="26" xfId="0" applyFont="1" applyFill="1" applyBorder="1" applyAlignment="1">
      <alignment horizontal="center" vertical="center" wrapText="1"/>
    </xf>
    <xf numFmtId="0" fontId="26" fillId="20" borderId="19" xfId="0" applyFont="1" applyFill="1" applyBorder="1" applyAlignment="1">
      <alignment horizontal="center" vertical="center"/>
    </xf>
    <xf numFmtId="0" fontId="27" fillId="20" borderId="100" xfId="0" applyFont="1" applyFill="1" applyBorder="1" applyAlignment="1">
      <alignment horizontal="center" vertical="center" wrapText="1"/>
    </xf>
    <xf numFmtId="0" fontId="56" fillId="20" borderId="105" xfId="0" applyFont="1" applyFill="1" applyBorder="1" applyAlignment="1">
      <alignment horizontal="center" vertical="center" wrapText="1"/>
    </xf>
    <xf numFmtId="0" fontId="56" fillId="20" borderId="107" xfId="0" applyFont="1" applyFill="1" applyBorder="1" applyAlignment="1">
      <alignment horizontal="center" vertical="center" wrapText="1"/>
    </xf>
    <xf numFmtId="0" fontId="14" fillId="20" borderId="19" xfId="0" applyFont="1" applyFill="1" applyBorder="1" applyAlignment="1">
      <alignment horizontal="center" vertical="center" wrapText="1"/>
    </xf>
    <xf numFmtId="0" fontId="14" fillId="20" borderId="13" xfId="0" applyFont="1" applyFill="1" applyBorder="1" applyAlignment="1">
      <alignment horizontal="center" vertical="center" wrapText="1"/>
    </xf>
    <xf numFmtId="0" fontId="2" fillId="20" borderId="19" xfId="0" applyFont="1" applyFill="1" applyBorder="1" applyAlignment="1">
      <alignment horizontal="center" vertical="center" wrapText="1"/>
    </xf>
    <xf numFmtId="0" fontId="12" fillId="20" borderId="13" xfId="0" applyFont="1" applyFill="1" applyBorder="1" applyAlignment="1">
      <alignment horizontal="center" vertical="center" wrapText="1"/>
    </xf>
    <xf numFmtId="0" fontId="27" fillId="20" borderId="19" xfId="0" applyFont="1" applyFill="1" applyBorder="1" applyAlignment="1">
      <alignment horizontal="center" vertical="center" wrapText="1"/>
    </xf>
    <xf numFmtId="0" fontId="14" fillId="20" borderId="53" xfId="0" applyFont="1" applyFill="1" applyBorder="1" applyAlignment="1">
      <alignment horizontal="center" vertical="center" wrapText="1"/>
    </xf>
    <xf numFmtId="0" fontId="14" fillId="20" borderId="58" xfId="0" applyFont="1" applyFill="1" applyBorder="1" applyAlignment="1">
      <alignment horizontal="center" vertical="center" wrapText="1"/>
    </xf>
    <xf numFmtId="0" fontId="2" fillId="20" borderId="15" xfId="0" applyFont="1" applyFill="1" applyBorder="1" applyAlignment="1">
      <alignment horizontal="center" vertical="center" wrapText="1"/>
    </xf>
    <xf numFmtId="0" fontId="12" fillId="20" borderId="14" xfId="0" applyFont="1" applyFill="1" applyBorder="1" applyAlignment="1">
      <alignment horizontal="center" vertical="center" wrapText="1"/>
    </xf>
    <xf numFmtId="0" fontId="27" fillId="20" borderId="15" xfId="0" applyFont="1" applyFill="1" applyBorder="1" applyAlignment="1">
      <alignment horizontal="center" vertical="center" wrapText="1"/>
    </xf>
    <xf numFmtId="0" fontId="27" fillId="20" borderId="14" xfId="0" applyFont="1" applyFill="1" applyBorder="1" applyAlignment="1">
      <alignment horizontal="center" vertical="center" wrapText="1"/>
    </xf>
    <xf numFmtId="0" fontId="13" fillId="20" borderId="6" xfId="0" applyFont="1" applyFill="1" applyBorder="1" applyAlignment="1">
      <alignment horizontal="center" vertical="center" wrapText="1"/>
    </xf>
    <xf numFmtId="0" fontId="13" fillId="20" borderId="23" xfId="0" applyFont="1" applyFill="1" applyBorder="1" applyAlignment="1">
      <alignment horizontal="center" vertical="center" wrapText="1"/>
    </xf>
    <xf numFmtId="0" fontId="13" fillId="20" borderId="19" xfId="0" applyFont="1" applyFill="1" applyBorder="1" applyAlignment="1">
      <alignment horizontal="center" vertical="center" wrapText="1"/>
    </xf>
    <xf numFmtId="0" fontId="13" fillId="20" borderId="13" xfId="0" applyFont="1" applyFill="1" applyBorder="1" applyAlignment="1">
      <alignment horizontal="center" vertical="center" wrapText="1"/>
    </xf>
    <xf numFmtId="0" fontId="13" fillId="20" borderId="15" xfId="0" applyFont="1" applyFill="1" applyBorder="1" applyAlignment="1">
      <alignment horizontal="center" vertical="center" wrapText="1"/>
    </xf>
    <xf numFmtId="0" fontId="13" fillId="20" borderId="14" xfId="0" applyFont="1" applyFill="1" applyBorder="1" applyAlignment="1">
      <alignment horizontal="center" vertical="center" wrapText="1"/>
    </xf>
    <xf numFmtId="0" fontId="27" fillId="20" borderId="105" xfId="0" applyFont="1" applyFill="1" applyBorder="1" applyAlignment="1">
      <alignment horizontal="center" vertical="center" wrapText="1"/>
    </xf>
    <xf numFmtId="0" fontId="27" fillId="20" borderId="36" xfId="0" applyFont="1" applyFill="1" applyBorder="1" applyAlignment="1">
      <alignment horizontal="center" vertical="center" wrapText="1"/>
    </xf>
    <xf numFmtId="0" fontId="56" fillId="20" borderId="36" xfId="0" applyFont="1" applyFill="1" applyBorder="1" applyAlignment="1">
      <alignment horizontal="center" vertical="center" wrapText="1"/>
    </xf>
    <xf numFmtId="0" fontId="56" fillId="20" borderId="79" xfId="0" applyFont="1" applyFill="1" applyBorder="1" applyAlignment="1">
      <alignment horizontal="center" vertical="center" wrapText="1"/>
    </xf>
    <xf numFmtId="0" fontId="12" fillId="20" borderId="19" xfId="0" applyFont="1" applyFill="1" applyBorder="1" applyAlignment="1">
      <alignment horizontal="center" vertical="center" wrapText="1"/>
    </xf>
    <xf numFmtId="0" fontId="24" fillId="20" borderId="19" xfId="0" applyFont="1" applyFill="1" applyBorder="1" applyAlignment="1">
      <alignment horizontal="center" vertical="center" wrapText="1"/>
    </xf>
    <xf numFmtId="0" fontId="12" fillId="20" borderId="15" xfId="0" applyFont="1" applyFill="1" applyBorder="1" applyAlignment="1">
      <alignment horizontal="center" vertical="center" wrapText="1"/>
    </xf>
    <xf numFmtId="0" fontId="27" fillId="20" borderId="99" xfId="0" applyFont="1" applyFill="1" applyBorder="1" applyAlignment="1">
      <alignment horizontal="center" vertical="center" wrapText="1"/>
    </xf>
    <xf numFmtId="0" fontId="56" fillId="20" borderId="106" xfId="0" applyFont="1" applyFill="1" applyBorder="1" applyAlignment="1">
      <alignment horizontal="center" vertical="center" wrapText="1"/>
    </xf>
    <xf numFmtId="0" fontId="14" fillId="20" borderId="15" xfId="0" applyFont="1" applyFill="1" applyBorder="1" applyAlignment="1">
      <alignment horizontal="center" vertical="center" wrapText="1"/>
    </xf>
    <xf numFmtId="0" fontId="14" fillId="20" borderId="57" xfId="0" applyFont="1" applyFill="1" applyBorder="1" applyAlignment="1">
      <alignment horizontal="center" vertical="center" wrapText="1"/>
    </xf>
    <xf numFmtId="0" fontId="25" fillId="19" borderId="0" xfId="0" applyFont="1" applyFill="1" applyAlignment="1">
      <alignment horizontal="center" vertical="center"/>
    </xf>
    <xf numFmtId="0" fontId="29" fillId="19" borderId="0" xfId="0" applyFont="1" applyFill="1" applyAlignment="1">
      <alignment horizontal="left" vertical="center"/>
    </xf>
    <xf numFmtId="0" fontId="27" fillId="19" borderId="47" xfId="0" applyFont="1" applyFill="1" applyBorder="1" applyAlignment="1">
      <alignment horizontal="center" vertical="center" wrapText="1"/>
    </xf>
    <xf numFmtId="0" fontId="14" fillId="19" borderId="47" xfId="0" applyFont="1" applyFill="1" applyBorder="1" applyAlignment="1">
      <alignment horizontal="center" vertical="center" wrapText="1"/>
    </xf>
    <xf numFmtId="0" fontId="27" fillId="19" borderId="51" xfId="0" applyFont="1" applyFill="1" applyBorder="1" applyAlignment="1">
      <alignment horizontal="center" vertical="center" wrapText="1"/>
    </xf>
    <xf numFmtId="0" fontId="2" fillId="19" borderId="47" xfId="0" applyFont="1" applyFill="1" applyBorder="1" applyAlignment="1">
      <alignment horizontal="center" vertical="center" wrapText="1"/>
    </xf>
    <xf numFmtId="0" fontId="2" fillId="19" borderId="69" xfId="0" applyFont="1" applyFill="1" applyBorder="1" applyAlignment="1">
      <alignment horizontal="center" vertical="center" wrapText="1"/>
    </xf>
    <xf numFmtId="0" fontId="2" fillId="19" borderId="19" xfId="0" applyFont="1" applyFill="1" applyBorder="1" applyAlignment="1">
      <alignment horizontal="center" vertical="center" wrapText="1"/>
    </xf>
    <xf numFmtId="0" fontId="26" fillId="19" borderId="0" xfId="0" applyFont="1" applyFill="1" applyAlignment="1">
      <alignment horizontal="center" vertical="center"/>
    </xf>
    <xf numFmtId="0" fontId="116" fillId="0" borderId="145" xfId="0" applyFont="1" applyBorder="1" applyAlignment="1" applyProtection="1">
      <alignment horizontal="center" vertical="top" wrapText="1" readingOrder="1"/>
      <protection locked="0"/>
    </xf>
    <xf numFmtId="173" fontId="116" fillId="0" borderId="145" xfId="0" applyNumberFormat="1" applyFont="1" applyBorder="1" applyAlignment="1" applyProtection="1">
      <alignment horizontal="right" vertical="top" wrapText="1" readingOrder="1"/>
      <protection locked="0"/>
    </xf>
    <xf numFmtId="0" fontId="117" fillId="0" borderId="145" xfId="0" applyFont="1" applyBorder="1" applyAlignment="1" applyProtection="1">
      <alignment horizontal="left" vertical="top" wrapText="1" readingOrder="1"/>
      <protection locked="0"/>
    </xf>
    <xf numFmtId="174" fontId="117" fillId="0" borderId="145" xfId="0" applyNumberFormat="1" applyFont="1" applyBorder="1" applyAlignment="1" applyProtection="1">
      <alignment horizontal="left" vertical="top" wrapText="1" readingOrder="1"/>
      <protection locked="0"/>
    </xf>
    <xf numFmtId="173" fontId="117" fillId="0" borderId="145" xfId="0" applyNumberFormat="1" applyFont="1" applyBorder="1" applyAlignment="1" applyProtection="1">
      <alignment horizontal="left" vertical="top" wrapText="1" readingOrder="1"/>
      <protection locked="0"/>
    </xf>
    <xf numFmtId="0" fontId="23" fillId="0" borderId="145" xfId="1" applyBorder="1" applyAlignment="1" applyProtection="1">
      <alignment horizontal="left" vertical="top" wrapText="1" readingOrder="1"/>
      <protection locked="0"/>
    </xf>
    <xf numFmtId="0" fontId="23" fillId="0" borderId="0" xfId="1"/>
    <xf numFmtId="174" fontId="23" fillId="0" borderId="145" xfId="1" applyNumberFormat="1" applyBorder="1" applyAlignment="1" applyProtection="1">
      <alignment horizontal="left" vertical="top" wrapText="1" readingOrder="1"/>
      <protection locked="0"/>
    </xf>
    <xf numFmtId="173" fontId="23" fillId="0" borderId="145" xfId="1" applyNumberFormat="1" applyBorder="1" applyAlignment="1" applyProtection="1">
      <alignment horizontal="left" vertical="top" wrapText="1" readingOrder="1"/>
      <protection locked="0"/>
    </xf>
    <xf numFmtId="0" fontId="23" fillId="0" borderId="145" xfId="0" applyFont="1" applyBorder="1" applyAlignment="1" applyProtection="1">
      <alignment horizontal="left" vertical="top" wrapText="1" readingOrder="1"/>
      <protection locked="0"/>
    </xf>
    <xf numFmtId="174" fontId="23" fillId="0" borderId="145" xfId="0" applyNumberFormat="1" applyFont="1" applyBorder="1" applyAlignment="1" applyProtection="1">
      <alignment horizontal="left" vertical="top" wrapText="1" readingOrder="1"/>
      <protection locked="0"/>
    </xf>
    <xf numFmtId="173" fontId="23" fillId="0" borderId="145" xfId="0" applyNumberFormat="1" applyFont="1" applyBorder="1" applyAlignment="1" applyProtection="1">
      <alignment horizontal="left" vertical="top" wrapText="1" readingOrder="1"/>
      <protection locked="0"/>
    </xf>
    <xf numFmtId="0" fontId="17" fillId="19" borderId="57" xfId="0" applyFont="1" applyFill="1" applyBorder="1" applyAlignment="1">
      <alignment horizontal="center" vertical="center" wrapText="1"/>
    </xf>
    <xf numFmtId="0" fontId="17" fillId="19" borderId="53" xfId="0" applyFont="1" applyFill="1" applyBorder="1" applyAlignment="1">
      <alignment horizontal="center" vertical="center" wrapText="1"/>
    </xf>
    <xf numFmtId="0" fontId="26" fillId="19" borderId="19" xfId="0" applyFont="1" applyFill="1" applyBorder="1" applyAlignment="1">
      <alignment horizontal="center" vertical="center"/>
    </xf>
    <xf numFmtId="0" fontId="17" fillId="19" borderId="23" xfId="0" applyFont="1" applyFill="1" applyBorder="1" applyAlignment="1">
      <alignment horizontal="center" vertical="center" wrapText="1"/>
    </xf>
    <xf numFmtId="0" fontId="17" fillId="19" borderId="27" xfId="0" applyFont="1" applyFill="1" applyBorder="1" applyAlignment="1">
      <alignment horizontal="center" vertical="center" wrapText="1"/>
    </xf>
    <xf numFmtId="0" fontId="17" fillId="19" borderId="100" xfId="0" applyFont="1" applyFill="1" applyBorder="1" applyAlignment="1">
      <alignment horizontal="center" vertical="center" wrapText="1"/>
    </xf>
    <xf numFmtId="0" fontId="17" fillId="19" borderId="105" xfId="0" applyFont="1" applyFill="1" applyBorder="1" applyAlignment="1">
      <alignment horizontal="center" vertical="center" wrapText="1"/>
    </xf>
    <xf numFmtId="0" fontId="17" fillId="19" borderId="106" xfId="0" applyFont="1" applyFill="1" applyBorder="1" applyAlignment="1">
      <alignment horizontal="center" vertical="center" wrapText="1"/>
    </xf>
    <xf numFmtId="0" fontId="27" fillId="19" borderId="57" xfId="0" applyFont="1" applyFill="1" applyBorder="1" applyAlignment="1">
      <alignment horizontal="center" vertical="center" wrapText="1"/>
    </xf>
    <xf numFmtId="0" fontId="27" fillId="19" borderId="53" xfId="0" applyFont="1" applyFill="1" applyBorder="1" applyAlignment="1">
      <alignment horizontal="center" vertical="center" wrapText="1"/>
    </xf>
    <xf numFmtId="0" fontId="14" fillId="19" borderId="19" xfId="0" applyFont="1" applyFill="1" applyBorder="1" applyAlignment="1">
      <alignment horizontal="center" vertical="center" wrapText="1"/>
    </xf>
    <xf numFmtId="0" fontId="2" fillId="19" borderId="14" xfId="0" applyFont="1" applyFill="1" applyBorder="1" applyAlignment="1">
      <alignment horizontal="center" vertical="center" wrapText="1"/>
    </xf>
    <xf numFmtId="4" fontId="2" fillId="19" borderId="14" xfId="0" applyNumberFormat="1" applyFont="1" applyFill="1" applyBorder="1" applyAlignment="1">
      <alignment horizontal="center" vertical="center" wrapText="1"/>
    </xf>
    <xf numFmtId="4" fontId="2" fillId="19" borderId="19" xfId="0" applyNumberFormat="1" applyFont="1" applyFill="1" applyBorder="1" applyAlignment="1">
      <alignment horizontal="center" vertical="center" wrapText="1"/>
    </xf>
    <xf numFmtId="1" fontId="2" fillId="19" borderId="14" xfId="0" applyNumberFormat="1" applyFont="1" applyFill="1" applyBorder="1" applyAlignment="1">
      <alignment horizontal="center" vertical="center" wrapText="1"/>
    </xf>
    <xf numFmtId="0" fontId="27" fillId="19" borderId="19" xfId="0" applyFont="1" applyFill="1" applyBorder="1" applyAlignment="1">
      <alignment horizontal="center" vertical="center" wrapText="1"/>
    </xf>
    <xf numFmtId="4" fontId="22" fillId="19" borderId="14" xfId="0" applyNumberFormat="1" applyFont="1" applyFill="1" applyBorder="1" applyAlignment="1">
      <alignment horizontal="center" vertical="center" wrapText="1"/>
    </xf>
    <xf numFmtId="0" fontId="14" fillId="19" borderId="57" xfId="0" applyFont="1" applyFill="1" applyBorder="1" applyAlignment="1">
      <alignment horizontal="center" vertical="center" wrapText="1"/>
    </xf>
    <xf numFmtId="0" fontId="14" fillId="19" borderId="53" xfId="0" applyFont="1" applyFill="1" applyBorder="1" applyAlignment="1">
      <alignment horizontal="center" vertical="center" wrapText="1"/>
    </xf>
    <xf numFmtId="0" fontId="13" fillId="19" borderId="15" xfId="0" applyFont="1" applyFill="1" applyBorder="1" applyAlignment="1">
      <alignment horizontal="center" vertical="center" wrapText="1"/>
    </xf>
    <xf numFmtId="0" fontId="13" fillId="19" borderId="14" xfId="0" applyFont="1" applyFill="1" applyBorder="1" applyAlignment="1">
      <alignment horizontal="center" vertical="center" wrapText="1"/>
    </xf>
    <xf numFmtId="16" fontId="24" fillId="19" borderId="45" xfId="0" applyNumberFormat="1" applyFont="1" applyFill="1" applyBorder="1" applyAlignment="1">
      <alignment horizontal="center" vertical="center" wrapText="1"/>
    </xf>
    <xf numFmtId="0" fontId="13" fillId="19" borderId="6" xfId="0" applyFont="1" applyFill="1" applyBorder="1" applyAlignment="1">
      <alignment horizontal="center" vertical="center" wrapText="1"/>
    </xf>
    <xf numFmtId="0" fontId="13" fillId="19" borderId="23" xfId="0" applyFont="1" applyFill="1" applyBorder="1" applyAlignment="1">
      <alignment horizontal="center" vertical="center" wrapText="1"/>
    </xf>
    <xf numFmtId="0" fontId="24" fillId="19" borderId="57" xfId="0" applyFont="1" applyFill="1" applyBorder="1" applyAlignment="1">
      <alignment horizontal="center" vertical="center" wrapText="1"/>
    </xf>
    <xf numFmtId="0" fontId="24" fillId="19" borderId="53" xfId="0" applyFont="1" applyFill="1" applyBorder="1" applyAlignment="1">
      <alignment horizontal="center" vertical="center" wrapText="1"/>
    </xf>
    <xf numFmtId="0" fontId="13" fillId="19" borderId="19" xfId="0" applyFont="1" applyFill="1" applyBorder="1" applyAlignment="1">
      <alignment horizontal="center" vertical="center" wrapText="1"/>
    </xf>
    <xf numFmtId="3" fontId="26" fillId="19" borderId="0" xfId="0" applyNumberFormat="1" applyFont="1" applyFill="1" applyAlignment="1">
      <alignment horizontal="center" vertical="center"/>
    </xf>
    <xf numFmtId="164" fontId="26" fillId="19" borderId="0" xfId="0" applyNumberFormat="1" applyFont="1" applyFill="1" applyAlignment="1">
      <alignment horizontal="center" vertical="center"/>
    </xf>
    <xf numFmtId="0" fontId="17" fillId="19" borderId="58" xfId="0" applyFont="1" applyFill="1" applyBorder="1" applyAlignment="1">
      <alignment horizontal="center" vertical="center" wrapText="1"/>
    </xf>
    <xf numFmtId="0" fontId="17" fillId="19" borderId="99" xfId="0" applyFont="1" applyFill="1" applyBorder="1" applyAlignment="1">
      <alignment horizontal="center" vertical="center" wrapText="1"/>
    </xf>
    <xf numFmtId="0" fontId="17" fillId="19" borderId="107" xfId="0" applyFont="1" applyFill="1" applyBorder="1" applyAlignment="1">
      <alignment horizontal="center" vertical="center" wrapText="1"/>
    </xf>
    <xf numFmtId="0" fontId="2" fillId="19" borderId="57" xfId="0" applyFont="1" applyFill="1" applyBorder="1" applyAlignment="1">
      <alignment horizontal="center" vertical="center" wrapText="1"/>
    </xf>
    <xf numFmtId="2" fontId="14" fillId="19" borderId="19" xfId="0" applyNumberFormat="1" applyFont="1" applyFill="1" applyBorder="1" applyAlignment="1">
      <alignment horizontal="center" vertical="center" wrapText="1"/>
    </xf>
    <xf numFmtId="0" fontId="7" fillId="19" borderId="57" xfId="0" applyFont="1" applyFill="1" applyBorder="1" applyAlignment="1">
      <alignment horizontal="center" vertical="center" wrapText="1"/>
    </xf>
    <xf numFmtId="0" fontId="22" fillId="19" borderId="57" xfId="0" applyFont="1" applyFill="1" applyBorder="1" applyAlignment="1">
      <alignment horizontal="center" vertical="center" wrapText="1"/>
    </xf>
    <xf numFmtId="0" fontId="2" fillId="19" borderId="15" xfId="0" applyFont="1" applyFill="1" applyBorder="1" applyAlignment="1">
      <alignment horizontal="center" vertical="center" wrapText="1"/>
    </xf>
    <xf numFmtId="0" fontId="27" fillId="19" borderId="15" xfId="0" applyFont="1" applyFill="1" applyBorder="1" applyAlignment="1">
      <alignment horizontal="center" vertical="center" wrapText="1"/>
    </xf>
    <xf numFmtId="0" fontId="2" fillId="26" borderId="19" xfId="0" applyFont="1" applyFill="1" applyBorder="1" applyAlignment="1">
      <alignment horizontal="center" vertical="center" wrapText="1"/>
    </xf>
    <xf numFmtId="0" fontId="54" fillId="0" borderId="15" xfId="0" applyFont="1" applyBorder="1" applyAlignment="1">
      <alignment horizontal="center" vertical="center" wrapText="1"/>
    </xf>
    <xf numFmtId="0" fontId="30" fillId="0" borderId="13" xfId="0" applyFont="1" applyBorder="1" applyAlignment="1">
      <alignment horizontal="center" vertical="center" wrapText="1"/>
    </xf>
    <xf numFmtId="0" fontId="61" fillId="0" borderId="0" xfId="0" applyFont="1" applyAlignment="1">
      <alignment horizontal="justify" vertical="center" wrapText="1"/>
    </xf>
    <xf numFmtId="0" fontId="28" fillId="0" borderId="14" xfId="0" applyFont="1" applyBorder="1" applyAlignment="1">
      <alignment horizontal="center" vertical="center" wrapText="1"/>
    </xf>
    <xf numFmtId="0" fontId="28" fillId="0" borderId="19" xfId="0" applyFont="1" applyBorder="1" applyAlignment="1">
      <alignment horizontal="center" vertical="top" wrapText="1"/>
    </xf>
    <xf numFmtId="0" fontId="28" fillId="0" borderId="15" xfId="0" applyFont="1" applyBorder="1" applyAlignment="1">
      <alignment horizontal="center" vertical="top" wrapText="1"/>
    </xf>
    <xf numFmtId="0" fontId="88" fillId="0" borderId="145" xfId="0" applyFont="1" applyBorder="1" applyAlignment="1" applyProtection="1">
      <alignment vertical="top" wrapText="1" readingOrder="1"/>
      <protection locked="0"/>
    </xf>
    <xf numFmtId="169" fontId="88" fillId="0" borderId="145" xfId="0" applyNumberFormat="1" applyFont="1" applyBorder="1" applyAlignment="1" applyProtection="1">
      <alignment vertical="top" wrapText="1" readingOrder="1"/>
      <protection locked="0"/>
    </xf>
    <xf numFmtId="171" fontId="88" fillId="0" borderId="145" xfId="0" applyNumberFormat="1" applyFont="1" applyBorder="1" applyAlignment="1" applyProtection="1">
      <alignment horizontal="right" vertical="top" wrapText="1" readingOrder="1"/>
      <protection locked="0"/>
    </xf>
    <xf numFmtId="169" fontId="89" fillId="0" borderId="180" xfId="0" applyNumberFormat="1" applyFont="1" applyBorder="1" applyAlignment="1" applyProtection="1">
      <alignment vertical="top" wrapText="1" readingOrder="1"/>
      <protection locked="0"/>
    </xf>
    <xf numFmtId="4" fontId="23" fillId="0" borderId="0" xfId="0" applyNumberFormat="1" applyFont="1"/>
    <xf numFmtId="0" fontId="54" fillId="0" borderId="26" xfId="0" applyFont="1" applyBorder="1" applyAlignment="1">
      <alignment horizontal="center" vertical="center" wrapText="1"/>
    </xf>
    <xf numFmtId="0" fontId="54" fillId="0" borderId="27" xfId="0" applyFont="1" applyBorder="1" applyAlignment="1">
      <alignment horizontal="center" vertical="center" wrapText="1"/>
    </xf>
    <xf numFmtId="0" fontId="61" fillId="0" borderId="16" xfId="0" applyFont="1" applyBorder="1" applyAlignment="1">
      <alignment horizontal="justify" vertical="center" wrapText="1"/>
    </xf>
    <xf numFmtId="0" fontId="54" fillId="0" borderId="200" xfId="0" applyFont="1" applyBorder="1" applyAlignment="1">
      <alignment horizontal="center" vertical="center" wrapText="1"/>
    </xf>
    <xf numFmtId="0" fontId="54" fillId="0" borderId="19" xfId="0" applyFont="1" applyBorder="1" applyAlignment="1">
      <alignment horizontal="center" vertical="center" wrapText="1"/>
    </xf>
    <xf numFmtId="0" fontId="14" fillId="0" borderId="0" xfId="0" applyFont="1" applyAlignment="1">
      <alignment horizontal="center" readingOrder="1"/>
    </xf>
    <xf numFmtId="0" fontId="13" fillId="0" borderId="0" xfId="0" applyFont="1" applyAlignment="1" applyProtection="1">
      <alignment horizontal="center" vertical="top" wrapText="1" readingOrder="1"/>
      <protection locked="0"/>
    </xf>
    <xf numFmtId="0" fontId="24" fillId="0" borderId="145" xfId="0" applyFont="1" applyBorder="1" applyAlignment="1" applyProtection="1">
      <alignment horizontal="left" vertical="center" wrapText="1" readingOrder="1"/>
      <protection locked="0"/>
    </xf>
    <xf numFmtId="0" fontId="14" fillId="0" borderId="0" xfId="0" applyFont="1" applyAlignment="1">
      <alignment horizontal="left" readingOrder="1"/>
    </xf>
    <xf numFmtId="0" fontId="24" fillId="0" borderId="145" xfId="0" applyFont="1" applyBorder="1" applyAlignment="1" applyProtection="1">
      <alignment horizontal="left" vertical="top" wrapText="1" readingOrder="1"/>
      <protection locked="0"/>
    </xf>
    <xf numFmtId="0" fontId="22" fillId="0" borderId="145" xfId="0" applyFont="1" applyBorder="1" applyAlignment="1" applyProtection="1">
      <alignment horizontal="left" vertical="top" wrapText="1" readingOrder="1"/>
      <protection locked="0"/>
    </xf>
    <xf numFmtId="169" fontId="22" fillId="0" borderId="145" xfId="0" applyNumberFormat="1" applyFont="1" applyBorder="1" applyAlignment="1" applyProtection="1">
      <alignment horizontal="left" vertical="top" wrapText="1" readingOrder="1"/>
      <protection locked="0"/>
    </xf>
    <xf numFmtId="171" fontId="22" fillId="0" borderId="145" xfId="0" applyNumberFormat="1" applyFont="1" applyBorder="1" applyAlignment="1" applyProtection="1">
      <alignment horizontal="left" vertical="top" wrapText="1" readingOrder="1"/>
      <protection locked="0"/>
    </xf>
    <xf numFmtId="169" fontId="17" fillId="0" borderId="180" xfId="0" applyNumberFormat="1" applyFont="1" applyBorder="1" applyAlignment="1" applyProtection="1">
      <alignment horizontal="left" vertical="top" wrapText="1" readingOrder="1"/>
      <protection locked="0"/>
    </xf>
    <xf numFmtId="0" fontId="13" fillId="0" borderId="0" xfId="0" applyFont="1" applyAlignment="1">
      <alignment horizontal="center" readingOrder="1"/>
    </xf>
    <xf numFmtId="0" fontId="13" fillId="0" borderId="0" xfId="0" applyFont="1" applyAlignment="1">
      <alignment horizontal="left" readingOrder="1"/>
    </xf>
    <xf numFmtId="0" fontId="13" fillId="0" borderId="145" xfId="0" applyFont="1" applyBorder="1" applyAlignment="1" applyProtection="1">
      <alignment horizontal="left" vertical="top" wrapText="1" readingOrder="1"/>
      <protection locked="0"/>
    </xf>
    <xf numFmtId="169" fontId="13" fillId="0" borderId="145" xfId="0" applyNumberFormat="1" applyFont="1" applyBorder="1" applyAlignment="1" applyProtection="1">
      <alignment horizontal="left" vertical="top" wrapText="1" readingOrder="1"/>
      <protection locked="0"/>
    </xf>
    <xf numFmtId="171" fontId="13" fillId="0" borderId="145" xfId="0" applyNumberFormat="1" applyFont="1" applyBorder="1" applyAlignment="1" applyProtection="1">
      <alignment horizontal="left" vertical="top" wrapText="1" readingOrder="1"/>
      <protection locked="0"/>
    </xf>
    <xf numFmtId="169" fontId="24" fillId="0" borderId="180" xfId="0" applyNumberFormat="1" applyFont="1" applyBorder="1" applyAlignment="1" applyProtection="1">
      <alignment horizontal="left" vertical="top" wrapText="1" readingOrder="1"/>
      <protection locked="0"/>
    </xf>
    <xf numFmtId="4" fontId="13" fillId="0" borderId="0" xfId="0" applyNumberFormat="1" applyFont="1" applyAlignment="1">
      <alignment horizontal="left" readingOrder="1"/>
    </xf>
    <xf numFmtId="0" fontId="8" fillId="0" borderId="0" xfId="0" applyFont="1" applyAlignment="1">
      <alignment horizontal="left"/>
    </xf>
    <xf numFmtId="0" fontId="85" fillId="0" borderId="150" xfId="0" applyFont="1" applyBorder="1" applyAlignment="1" applyProtection="1">
      <alignment horizontal="center" wrapText="1" readingOrder="1"/>
      <protection locked="0"/>
    </xf>
    <xf numFmtId="0" fontId="85" fillId="0" borderId="150" xfId="0" applyFont="1" applyBorder="1" applyAlignment="1" applyProtection="1">
      <alignment horizontal="center" vertical="center" wrapText="1" readingOrder="1"/>
      <protection locked="0"/>
    </xf>
    <xf numFmtId="0" fontId="85" fillId="0" borderId="145" xfId="0" applyFont="1" applyBorder="1" applyAlignment="1" applyProtection="1">
      <alignment horizontal="center" vertical="center" wrapText="1" readingOrder="1"/>
      <protection locked="0"/>
    </xf>
    <xf numFmtId="0" fontId="85" fillId="0" borderId="156" xfId="0" applyFont="1" applyBorder="1" applyAlignment="1" applyProtection="1">
      <alignment horizontal="center" wrapText="1" readingOrder="1"/>
      <protection locked="0"/>
    </xf>
    <xf numFmtId="0" fontId="85" fillId="0" borderId="148" xfId="0" applyFont="1" applyBorder="1" applyAlignment="1" applyProtection="1">
      <alignment horizontal="center" wrapText="1" readingOrder="1"/>
      <protection locked="0"/>
    </xf>
    <xf numFmtId="0" fontId="85" fillId="0" borderId="148" xfId="0" applyFont="1" applyBorder="1" applyAlignment="1" applyProtection="1">
      <alignment horizontal="center" vertical="center" wrapText="1" readingOrder="1"/>
      <protection locked="0"/>
    </xf>
    <xf numFmtId="0" fontId="87" fillId="0" borderId="163" xfId="0" applyFont="1" applyBorder="1" applyAlignment="1" applyProtection="1">
      <alignment vertical="top" wrapText="1" readingOrder="1"/>
      <protection locked="0"/>
    </xf>
    <xf numFmtId="0" fontId="87" fillId="0" borderId="164" xfId="0" applyFont="1" applyBorder="1" applyAlignment="1" applyProtection="1">
      <alignment vertical="top" wrapText="1" readingOrder="1"/>
      <protection locked="0"/>
    </xf>
    <xf numFmtId="0" fontId="87" fillId="0" borderId="148" xfId="0" applyFont="1" applyBorder="1" applyAlignment="1" applyProtection="1">
      <alignment vertical="top" wrapText="1" readingOrder="1"/>
      <protection locked="0"/>
    </xf>
    <xf numFmtId="0" fontId="87" fillId="0" borderId="165" xfId="0" applyFont="1" applyBorder="1" applyAlignment="1" applyProtection="1">
      <alignment vertical="top" wrapText="1" readingOrder="1"/>
      <protection locked="0"/>
    </xf>
    <xf numFmtId="0" fontId="85" fillId="0" borderId="156" xfId="0" applyFont="1" applyBorder="1" applyAlignment="1" applyProtection="1">
      <alignment horizontal="center" vertical="top" wrapText="1" readingOrder="1"/>
      <protection locked="0"/>
    </xf>
    <xf numFmtId="0" fontId="85" fillId="0" borderId="148" xfId="0" applyFont="1" applyBorder="1" applyAlignment="1" applyProtection="1">
      <alignment horizontal="center" vertical="top" wrapText="1" readingOrder="1"/>
      <protection locked="0"/>
    </xf>
    <xf numFmtId="0" fontId="85" fillId="0" borderId="164" xfId="0" applyFont="1" applyBorder="1" applyAlignment="1" applyProtection="1">
      <alignment horizontal="center" vertical="top" wrapText="1" readingOrder="1"/>
      <protection locked="0"/>
    </xf>
    <xf numFmtId="0" fontId="85" fillId="0" borderId="163" xfId="0" applyFont="1" applyBorder="1" applyAlignment="1" applyProtection="1">
      <alignment horizontal="center" vertical="top" wrapText="1" readingOrder="1"/>
      <protection locked="0"/>
    </xf>
    <xf numFmtId="0" fontId="85" fillId="0" borderId="145" xfId="0" applyFont="1" applyBorder="1" applyAlignment="1" applyProtection="1">
      <alignment horizontal="center" wrapText="1" readingOrder="1"/>
      <protection locked="0"/>
    </xf>
    <xf numFmtId="14" fontId="29" fillId="0" borderId="0" xfId="0" applyNumberFormat="1" applyFont="1" applyAlignment="1">
      <alignment horizontal="center"/>
    </xf>
    <xf numFmtId="0" fontId="21" fillId="5" borderId="46" xfId="0" applyFont="1" applyFill="1" applyBorder="1" applyAlignment="1">
      <alignment horizontal="center" vertical="center" wrapText="1"/>
    </xf>
    <xf numFmtId="0" fontId="21" fillId="13" borderId="7" xfId="0" applyFont="1" applyFill="1" applyBorder="1" applyAlignment="1">
      <alignment horizontal="center" vertical="center" wrapText="1"/>
    </xf>
    <xf numFmtId="0" fontId="21" fillId="0" borderId="19" xfId="0" applyFont="1" applyBorder="1" applyAlignment="1">
      <alignment horizontal="center" vertical="center" wrapText="1"/>
    </xf>
    <xf numFmtId="0" fontId="21" fillId="13" borderId="6" xfId="0" applyFont="1" applyFill="1" applyBorder="1" applyAlignment="1">
      <alignment horizontal="center" vertical="center" wrapText="1"/>
    </xf>
    <xf numFmtId="3" fontId="29" fillId="15" borderId="100" xfId="0" quotePrefix="1" applyNumberFormat="1" applyFont="1" applyFill="1" applyBorder="1" applyAlignment="1">
      <alignment horizontal="center" vertical="center" wrapText="1"/>
    </xf>
    <xf numFmtId="3" fontId="29" fillId="0" borderId="100" xfId="0" quotePrefix="1" applyNumberFormat="1" applyFont="1" applyBorder="1" applyAlignment="1">
      <alignment horizontal="center" vertical="center" wrapText="1"/>
    </xf>
    <xf numFmtId="3" fontId="29" fillId="13" borderId="100" xfId="0" quotePrefix="1" applyNumberFormat="1" applyFont="1" applyFill="1" applyBorder="1" applyAlignment="1">
      <alignment horizontal="center" vertical="center" wrapText="1"/>
    </xf>
    <xf numFmtId="3" fontId="29" fillId="14" borderId="100" xfId="0" quotePrefix="1" applyNumberFormat="1" applyFont="1" applyFill="1" applyBorder="1" applyAlignment="1">
      <alignment horizontal="center" vertical="center" wrapText="1"/>
    </xf>
    <xf numFmtId="0" fontId="55" fillId="13" borderId="23" xfId="0" applyFont="1" applyFill="1" applyBorder="1"/>
    <xf numFmtId="3" fontId="29" fillId="0" borderId="27" xfId="0" quotePrefix="1" applyNumberFormat="1" applyFont="1" applyBorder="1" applyAlignment="1">
      <alignment horizontal="center" vertical="center" wrapText="1"/>
    </xf>
    <xf numFmtId="0" fontId="8" fillId="13" borderId="23" xfId="0" applyFont="1" applyFill="1" applyBorder="1"/>
    <xf numFmtId="3" fontId="34" fillId="14" borderId="100" xfId="0" quotePrefix="1" applyNumberFormat="1" applyFont="1" applyFill="1" applyBorder="1" applyAlignment="1">
      <alignment horizontal="center" vertical="center" wrapText="1"/>
    </xf>
    <xf numFmtId="0" fontId="8" fillId="0" borderId="0" xfId="0" applyFont="1"/>
    <xf numFmtId="0" fontId="40" fillId="0" borderId="51" xfId="0" applyFont="1" applyBorder="1" applyAlignment="1">
      <alignment horizontal="center" vertical="center" wrapText="1"/>
    </xf>
    <xf numFmtId="0" fontId="8" fillId="0" borderId="27" xfId="0" applyFont="1" applyBorder="1" applyAlignment="1">
      <alignment wrapText="1"/>
    </xf>
    <xf numFmtId="0" fontId="40" fillId="0" borderId="50" xfId="0" applyFont="1" applyBorder="1" applyAlignment="1">
      <alignment horizontal="center" vertical="center"/>
    </xf>
    <xf numFmtId="0" fontId="8" fillId="0" borderId="5" xfId="0" applyFont="1" applyBorder="1"/>
    <xf numFmtId="0" fontId="40" fillId="0" borderId="12" xfId="0" applyFont="1" applyBorder="1" applyAlignment="1">
      <alignment horizontal="center" vertical="center"/>
    </xf>
    <xf numFmtId="0" fontId="40" fillId="0" borderId="3" xfId="0" applyFont="1" applyBorder="1" applyAlignment="1">
      <alignment horizontal="center" vertical="center"/>
    </xf>
    <xf numFmtId="0" fontId="40" fillId="0" borderId="12" xfId="0" applyFont="1" applyBorder="1" applyAlignment="1">
      <alignment horizontal="center" wrapText="1"/>
    </xf>
    <xf numFmtId="0" fontId="40" fillId="0" borderId="4" xfId="0" applyFont="1" applyBorder="1" applyAlignment="1">
      <alignment horizontal="center" wrapText="1"/>
    </xf>
    <xf numFmtId="0" fontId="28" fillId="0" borderId="0" xfId="0" applyFont="1" applyAlignment="1">
      <alignment horizontal="justify" vertical="center" wrapText="1"/>
    </xf>
    <xf numFmtId="3" fontId="40" fillId="0" borderId="13" xfId="0" applyNumberFormat="1" applyFont="1" applyBorder="1" applyAlignment="1">
      <alignment wrapText="1"/>
    </xf>
    <xf numFmtId="3" fontId="40" fillId="0" borderId="14" xfId="0" applyNumberFormat="1" applyFont="1" applyBorder="1" applyAlignment="1">
      <alignment wrapText="1"/>
    </xf>
    <xf numFmtId="3" fontId="40" fillId="0" borderId="15" xfId="0" applyNumberFormat="1" applyFont="1" applyBorder="1" applyAlignment="1">
      <alignment wrapText="1"/>
    </xf>
    <xf numFmtId="1" fontId="40" fillId="0" borderId="17" xfId="0" applyNumberFormat="1" applyFont="1" applyBorder="1" applyAlignment="1">
      <alignment horizontal="center" vertical="center"/>
    </xf>
    <xf numFmtId="1" fontId="40" fillId="0" borderId="16" xfId="0" applyNumberFormat="1" applyFont="1" applyBorder="1" applyAlignment="1">
      <alignment horizontal="center" vertical="center"/>
    </xf>
    <xf numFmtId="3" fontId="40" fillId="0" borderId="17" xfId="0" applyNumberFormat="1" applyFont="1" applyBorder="1" applyAlignment="1">
      <alignment horizontal="center" wrapText="1"/>
    </xf>
    <xf numFmtId="3" fontId="40" fillId="0" borderId="18" xfId="0" applyNumberFormat="1" applyFont="1" applyBorder="1" applyAlignment="1">
      <alignment horizontal="center" wrapText="1"/>
    </xf>
    <xf numFmtId="0" fontId="40" fillId="0" borderId="11" xfId="0" applyFont="1" applyBorder="1" applyAlignment="1">
      <alignment horizontal="center" vertical="center"/>
    </xf>
    <xf numFmtId="1" fontId="40" fillId="0" borderId="13" xfId="0" applyNumberFormat="1" applyFont="1" applyBorder="1" applyAlignment="1">
      <alignment horizontal="center" vertical="center"/>
    </xf>
    <xf numFmtId="14" fontId="8" fillId="0" borderId="55" xfId="0" applyNumberFormat="1" applyFont="1" applyBorder="1" applyAlignment="1">
      <alignment horizontal="center"/>
    </xf>
    <xf numFmtId="0" fontId="8" fillId="0" borderId="34" xfId="0" applyFont="1" applyBorder="1" applyAlignment="1">
      <alignment horizontal="center"/>
    </xf>
    <xf numFmtId="0" fontId="12" fillId="0" borderId="12" xfId="0" applyFont="1" applyBorder="1" applyAlignment="1">
      <alignment horizontal="center" wrapText="1"/>
    </xf>
    <xf numFmtId="0" fontId="12" fillId="0" borderId="21" xfId="0" applyFont="1" applyBorder="1" applyAlignment="1">
      <alignment horizontal="center" wrapText="1"/>
    </xf>
    <xf numFmtId="0" fontId="12" fillId="0" borderId="4" xfId="0" applyFont="1" applyBorder="1" applyAlignment="1">
      <alignment horizontal="center" wrapText="1"/>
    </xf>
    <xf numFmtId="0" fontId="12" fillId="0" borderId="13" xfId="0" applyFont="1" applyBorder="1" applyAlignment="1">
      <alignment horizontal="center"/>
    </xf>
    <xf numFmtId="0" fontId="12" fillId="0" borderId="16" xfId="0" applyFont="1" applyBorder="1" applyAlignment="1">
      <alignment horizontal="center"/>
    </xf>
    <xf numFmtId="0" fontId="12" fillId="0" borderId="17" xfId="0" applyFont="1" applyBorder="1" applyAlignment="1">
      <alignment horizontal="center"/>
    </xf>
    <xf numFmtId="0" fontId="12" fillId="0" borderId="14" xfId="0" applyFont="1" applyBorder="1" applyAlignment="1">
      <alignment horizontal="center"/>
    </xf>
    <xf numFmtId="14" fontId="12" fillId="0" borderId="11" xfId="0" applyNumberFormat="1" applyFont="1" applyBorder="1" applyAlignment="1">
      <alignment horizontal="center" wrapText="1"/>
    </xf>
    <xf numFmtId="0" fontId="12" fillId="0" borderId="3" xfId="0" applyFont="1" applyBorder="1" applyAlignment="1">
      <alignment horizontal="center" wrapText="1"/>
    </xf>
    <xf numFmtId="14" fontId="12" fillId="0" borderId="12" xfId="0" applyNumberFormat="1" applyFont="1" applyBorder="1" applyAlignment="1">
      <alignment horizontal="center" wrapText="1"/>
    </xf>
    <xf numFmtId="0" fontId="12" fillId="0" borderId="13" xfId="0" applyFont="1" applyBorder="1" applyAlignment="1">
      <alignment wrapText="1"/>
    </xf>
    <xf numFmtId="0" fontId="8" fillId="0" borderId="14" xfId="0" applyFont="1" applyBorder="1" applyAlignment="1">
      <alignment wrapText="1"/>
    </xf>
    <xf numFmtId="0" fontId="8" fillId="0" borderId="15" xfId="0" applyFont="1" applyBorder="1" applyAlignment="1">
      <alignment wrapText="1"/>
    </xf>
    <xf numFmtId="14" fontId="8" fillId="0" borderId="34" xfId="0" applyNumberFormat="1" applyFont="1" applyBorder="1" applyAlignment="1">
      <alignment horizontal="center"/>
    </xf>
    <xf numFmtId="165" fontId="8" fillId="0" borderId="34" xfId="0" applyNumberFormat="1" applyFont="1" applyBorder="1" applyAlignment="1">
      <alignment horizontal="center"/>
    </xf>
    <xf numFmtId="14" fontId="8" fillId="0" borderId="69" xfId="0" applyNumberFormat="1" applyFont="1" applyBorder="1" applyAlignment="1">
      <alignment horizontal="center"/>
    </xf>
    <xf numFmtId="0" fontId="8" fillId="0" borderId="101" xfId="0" applyFont="1" applyBorder="1" applyAlignment="1">
      <alignment horizontal="center"/>
    </xf>
    <xf numFmtId="0" fontId="8" fillId="0" borderId="55" xfId="0" applyFont="1" applyBorder="1" applyAlignment="1">
      <alignment horizontal="center"/>
    </xf>
    <xf numFmtId="16" fontId="41" fillId="0" borderId="137" xfId="0" applyNumberFormat="1" applyFont="1" applyBorder="1" applyAlignment="1">
      <alignment horizontal="left" vertical="center" wrapText="1"/>
    </xf>
    <xf numFmtId="0" fontId="8" fillId="0" borderId="23" xfId="0" applyFont="1" applyBorder="1" applyAlignment="1">
      <alignment horizontal="left" vertical="center" wrapText="1"/>
    </xf>
    <xf numFmtId="0" fontId="8" fillId="0" borderId="6" xfId="0" applyFont="1" applyBorder="1" applyAlignment="1">
      <alignment horizontal="left" vertical="center" wrapText="1"/>
    </xf>
    <xf numFmtId="0" fontId="12" fillId="0" borderId="80" xfId="0" applyFont="1" applyBorder="1" applyAlignment="1">
      <alignment horizontal="left" vertical="center" wrapText="1"/>
    </xf>
    <xf numFmtId="0" fontId="8" fillId="0" borderId="0" xfId="0" applyFont="1" applyAlignment="1">
      <alignment horizontal="left" wrapText="1"/>
    </xf>
    <xf numFmtId="0" fontId="8" fillId="0" borderId="24" xfId="0" applyFont="1" applyBorder="1" applyAlignment="1">
      <alignment horizontal="left" wrapText="1"/>
    </xf>
    <xf numFmtId="0" fontId="8" fillId="0" borderId="0" xfId="0" applyFont="1" applyAlignment="1">
      <alignment horizontal="left" vertical="center" wrapText="1"/>
    </xf>
    <xf numFmtId="0" fontId="8" fillId="0" borderId="24" xfId="0" applyFont="1" applyBorder="1" applyAlignment="1">
      <alignment horizontal="left" vertical="center" wrapText="1"/>
    </xf>
    <xf numFmtId="14" fontId="29" fillId="0" borderId="13" xfId="0" applyNumberFormat="1" applyFont="1" applyBorder="1" applyAlignment="1">
      <alignment horizontal="left"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12" fillId="0" borderId="128" xfId="0" applyFont="1" applyBorder="1" applyAlignment="1">
      <alignment horizontal="left" vertical="center" wrapText="1"/>
    </xf>
    <xf numFmtId="0" fontId="8" fillId="0" borderId="38" xfId="0" applyFont="1" applyBorder="1" applyAlignment="1">
      <alignment horizontal="left" vertical="center" wrapText="1"/>
    </xf>
    <xf numFmtId="0" fontId="8" fillId="0" borderId="30" xfId="0" applyFont="1" applyBorder="1" applyAlignment="1">
      <alignment horizontal="left" vertical="center" wrapText="1"/>
    </xf>
    <xf numFmtId="0" fontId="27" fillId="0" borderId="128" xfId="0" applyFont="1" applyBorder="1" applyAlignment="1">
      <alignment horizontal="left" vertical="center" wrapText="1"/>
    </xf>
    <xf numFmtId="14" fontId="40" fillId="0" borderId="13" xfId="0" applyNumberFormat="1" applyFont="1" applyBorder="1" applyAlignment="1">
      <alignment horizontal="left" vertical="center" wrapText="1"/>
    </xf>
    <xf numFmtId="0" fontId="8" fillId="0" borderId="14" xfId="0" applyFont="1" applyBorder="1" applyAlignment="1">
      <alignment horizontal="left" wrapText="1"/>
    </xf>
    <xf numFmtId="0" fontId="8" fillId="0" borderId="15" xfId="0" applyFont="1" applyBorder="1" applyAlignment="1">
      <alignment horizontal="left" wrapText="1"/>
    </xf>
    <xf numFmtId="0" fontId="8" fillId="0" borderId="38" xfId="0" applyFont="1" applyBorder="1" applyAlignment="1">
      <alignment horizontal="left" wrapText="1"/>
    </xf>
    <xf numFmtId="0" fontId="8" fillId="0" borderId="30" xfId="0" applyFont="1" applyBorder="1" applyAlignment="1">
      <alignment horizontal="left" wrapText="1"/>
    </xf>
    <xf numFmtId="0" fontId="27" fillId="0" borderId="80" xfId="0" applyFont="1" applyBorder="1" applyAlignment="1">
      <alignment horizontal="left" vertical="center" wrapText="1"/>
    </xf>
    <xf numFmtId="16" fontId="34" fillId="0" borderId="138" xfId="0" applyNumberFormat="1" applyFont="1" applyBorder="1" applyAlignment="1">
      <alignment horizontal="left" vertical="center" wrapText="1"/>
    </xf>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6" xfId="0" applyFont="1" applyBorder="1" applyAlignment="1">
      <alignment vertical="top" wrapText="1"/>
    </xf>
    <xf numFmtId="0" fontId="4" fillId="0" borderId="27" xfId="0" applyFont="1" applyBorder="1" applyAlignment="1">
      <alignment vertical="top" wrapText="1"/>
    </xf>
    <xf numFmtId="0" fontId="40" fillId="0" borderId="20" xfId="0" applyFont="1" applyBorder="1" applyAlignment="1">
      <alignment horizontal="center" vertical="top" wrapText="1"/>
    </xf>
    <xf numFmtId="0" fontId="40" fillId="0" borderId="21" xfId="0" applyFont="1" applyBorder="1" applyAlignment="1">
      <alignment horizontal="center" vertical="top" wrapText="1"/>
    </xf>
    <xf numFmtId="0" fontId="40" fillId="0" borderId="52" xfId="0" applyFont="1" applyBorder="1" applyAlignment="1">
      <alignment horizontal="center" vertical="top" wrapText="1"/>
    </xf>
    <xf numFmtId="0" fontId="40" fillId="0" borderId="2" xfId="0" applyFont="1" applyBorder="1" applyAlignment="1">
      <alignment horizontal="center" vertical="top" wrapText="1"/>
    </xf>
    <xf numFmtId="0" fontId="40" fillId="0" borderId="13" xfId="0" applyFont="1" applyBorder="1" applyAlignment="1">
      <alignment horizontal="center" vertical="top" wrapText="1"/>
    </xf>
    <xf numFmtId="0" fontId="55" fillId="0" borderId="15" xfId="0" applyFont="1" applyBorder="1" applyAlignment="1">
      <alignment horizontal="center" vertical="top" wrapText="1"/>
    </xf>
    <xf numFmtId="0" fontId="8" fillId="0" borderId="14" xfId="0" applyFont="1" applyBorder="1" applyAlignment="1">
      <alignment horizontal="center" vertical="top" wrapText="1"/>
    </xf>
    <xf numFmtId="0" fontId="8" fillId="0" borderId="15" xfId="0" applyFont="1" applyBorder="1" applyAlignment="1">
      <alignment horizontal="center" vertical="top" wrapText="1"/>
    </xf>
    <xf numFmtId="0" fontId="40" fillId="0" borderId="14" xfId="0" applyFont="1" applyBorder="1" applyAlignment="1">
      <alignment horizontal="center" vertical="top" wrapText="1"/>
    </xf>
    <xf numFmtId="0" fontId="27" fillId="0" borderId="32" xfId="0" applyFont="1" applyBorder="1" applyAlignment="1">
      <alignment horizontal="left" vertical="center" wrapText="1"/>
    </xf>
    <xf numFmtId="0" fontId="27" fillId="0" borderId="13" xfId="0" applyFont="1" applyBorder="1" applyAlignment="1">
      <alignment horizontal="left" vertical="center" wrapText="1"/>
    </xf>
    <xf numFmtId="16" fontId="29" fillId="0" borderId="13" xfId="0" applyNumberFormat="1" applyFont="1" applyBorder="1" applyAlignment="1">
      <alignment horizontal="left" vertical="center" wrapText="1"/>
    </xf>
    <xf numFmtId="0" fontId="29" fillId="6" borderId="13" xfId="0" applyFont="1" applyFill="1" applyBorder="1" applyAlignment="1">
      <alignment horizontal="lef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7" fillId="16" borderId="13" xfId="0" applyFont="1" applyFill="1" applyBorder="1" applyAlignment="1">
      <alignment horizontal="left" vertical="center" wrapText="1"/>
    </xf>
    <xf numFmtId="0" fontId="56" fillId="16" borderId="14" xfId="0" applyFont="1" applyFill="1" applyBorder="1" applyAlignment="1">
      <alignment horizontal="left" vertical="center" wrapText="1"/>
    </xf>
    <xf numFmtId="0" fontId="56" fillId="16" borderId="15" xfId="0" applyFont="1" applyFill="1" applyBorder="1" applyAlignment="1">
      <alignment horizontal="left" vertical="center" wrapText="1"/>
    </xf>
    <xf numFmtId="0" fontId="56" fillId="16" borderId="14" xfId="0" applyFont="1" applyFill="1" applyBorder="1" applyAlignment="1">
      <alignment vertical="center" wrapText="1"/>
    </xf>
    <xf numFmtId="0" fontId="56" fillId="16" borderId="15" xfId="0" applyFont="1" applyFill="1" applyBorder="1" applyAlignment="1">
      <alignment vertical="center" wrapText="1"/>
    </xf>
    <xf numFmtId="0" fontId="36" fillId="16" borderId="13" xfId="0" applyFont="1" applyFill="1" applyBorder="1" applyAlignment="1">
      <alignment horizontal="left" vertical="center" wrapText="1"/>
    </xf>
    <xf numFmtId="0" fontId="34" fillId="7" borderId="13" xfId="0" applyFont="1" applyFill="1" applyBorder="1" applyAlignment="1">
      <alignment horizontal="left" vertical="center" wrapText="1"/>
    </xf>
    <xf numFmtId="0" fontId="38" fillId="6" borderId="13" xfId="0" applyFont="1" applyFill="1" applyBorder="1" applyAlignment="1">
      <alignment horizontal="left" vertical="center" wrapText="1"/>
    </xf>
    <xf numFmtId="0" fontId="55" fillId="0" borderId="14" xfId="0" applyFont="1" applyBorder="1" applyAlignment="1">
      <alignment vertical="center" wrapText="1"/>
    </xf>
    <xf numFmtId="0" fontId="55" fillId="0" borderId="15" xfId="0" applyFont="1" applyBorder="1" applyAlignment="1">
      <alignment vertical="center" wrapText="1"/>
    </xf>
    <xf numFmtId="0" fontId="37" fillId="16" borderId="13" xfId="0" applyFont="1" applyFill="1" applyBorder="1" applyAlignment="1">
      <alignment horizontal="left" vertical="center" wrapText="1"/>
    </xf>
    <xf numFmtId="0" fontId="8" fillId="16" borderId="14" xfId="0" applyFont="1" applyFill="1" applyBorder="1" applyAlignment="1">
      <alignment wrapText="1"/>
    </xf>
    <xf numFmtId="0" fontId="55" fillId="0" borderId="14" xfId="0" applyFont="1" applyBorder="1" applyAlignment="1">
      <alignment wrapText="1"/>
    </xf>
    <xf numFmtId="0" fontId="55" fillId="0" borderId="15" xfId="0" applyFont="1" applyBorder="1" applyAlignment="1">
      <alignment wrapText="1"/>
    </xf>
    <xf numFmtId="0" fontId="56" fillId="16" borderId="14" xfId="0" applyFont="1" applyFill="1" applyBorder="1" applyAlignment="1">
      <alignment wrapText="1"/>
    </xf>
    <xf numFmtId="0" fontId="56" fillId="16" borderId="15" xfId="0" applyFont="1" applyFill="1" applyBorder="1" applyAlignment="1">
      <alignment wrapText="1"/>
    </xf>
    <xf numFmtId="0" fontId="8" fillId="16" borderId="14" xfId="0" applyFont="1" applyFill="1" applyBorder="1" applyAlignment="1">
      <alignment vertical="center" wrapText="1"/>
    </xf>
    <xf numFmtId="0" fontId="42" fillId="7" borderId="13" xfId="0" applyFont="1" applyFill="1" applyBorder="1" applyAlignment="1">
      <alignment horizontal="left" vertical="center" wrapText="1"/>
    </xf>
    <xf numFmtId="0" fontId="57" fillId="0" borderId="14" xfId="0" applyFont="1" applyBorder="1" applyAlignment="1">
      <alignment vertical="center" wrapText="1"/>
    </xf>
    <xf numFmtId="0" fontId="57" fillId="0" borderId="15" xfId="0" applyFont="1" applyBorder="1" applyAlignment="1">
      <alignment vertical="center" wrapText="1"/>
    </xf>
    <xf numFmtId="0" fontId="58" fillId="0" borderId="14" xfId="0" applyFont="1" applyBorder="1" applyAlignment="1">
      <alignment vertical="center" wrapText="1"/>
    </xf>
    <xf numFmtId="0" fontId="58" fillId="0" borderId="15" xfId="0" applyFont="1" applyBorder="1" applyAlignment="1">
      <alignment vertical="center" wrapText="1"/>
    </xf>
    <xf numFmtId="0" fontId="29" fillId="6" borderId="13" xfId="0" applyFont="1" applyFill="1" applyBorder="1" applyAlignment="1">
      <alignment wrapText="1"/>
    </xf>
    <xf numFmtId="0" fontId="29" fillId="6" borderId="14" xfId="0" applyFont="1" applyFill="1" applyBorder="1" applyAlignment="1">
      <alignment wrapText="1"/>
    </xf>
    <xf numFmtId="0" fontId="29" fillId="6" borderId="15" xfId="0" applyFont="1" applyFill="1" applyBorder="1" applyAlignment="1">
      <alignment wrapText="1"/>
    </xf>
    <xf numFmtId="0" fontId="34" fillId="7" borderId="13" xfId="0" applyFont="1" applyFill="1" applyBorder="1" applyAlignment="1">
      <alignment vertical="center" wrapText="1"/>
    </xf>
    <xf numFmtId="0" fontId="36" fillId="16" borderId="13" xfId="0" applyFont="1" applyFill="1" applyBorder="1" applyAlignment="1">
      <alignment vertical="top" wrapText="1"/>
    </xf>
    <xf numFmtId="0" fontId="17" fillId="0" borderId="26" xfId="0" applyFont="1" applyBorder="1" applyAlignment="1">
      <alignment horizontal="center" vertical="center" wrapText="1"/>
    </xf>
    <xf numFmtId="0" fontId="8" fillId="0" borderId="31" xfId="0" applyFont="1" applyBorder="1" applyAlignment="1">
      <alignment horizontal="center" vertical="center" wrapText="1"/>
    </xf>
    <xf numFmtId="0" fontId="17"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17" fillId="0" borderId="37"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30" xfId="0" applyFont="1" applyBorder="1" applyAlignment="1">
      <alignment horizontal="center" vertical="center" wrapText="1"/>
    </xf>
    <xf numFmtId="0" fontId="27" fillId="20" borderId="14" xfId="0" applyFont="1" applyFill="1" applyBorder="1" applyAlignment="1">
      <alignment horizontal="center" vertical="center" wrapText="1"/>
    </xf>
    <xf numFmtId="0" fontId="56" fillId="20" borderId="14" xfId="0" applyFont="1" applyFill="1" applyBorder="1" applyAlignment="1">
      <alignment horizontal="center" vertical="center" wrapText="1"/>
    </xf>
    <xf numFmtId="0" fontId="56" fillId="20" borderId="15" xfId="0" applyFont="1" applyFill="1" applyBorder="1" applyAlignment="1">
      <alignment horizontal="center" vertical="center" wrapText="1"/>
    </xf>
    <xf numFmtId="0" fontId="27" fillId="0" borderId="51" xfId="0" applyFont="1" applyBorder="1" applyAlignment="1">
      <alignment horizontal="center" vertical="center" wrapText="1"/>
    </xf>
    <xf numFmtId="0" fontId="17" fillId="19" borderId="37" xfId="0" applyFont="1" applyFill="1" applyBorder="1" applyAlignment="1">
      <alignment horizontal="center" vertical="center" wrapText="1"/>
    </xf>
    <xf numFmtId="0" fontId="8" fillId="19" borderId="38" xfId="0" applyFont="1" applyFill="1" applyBorder="1" applyAlignment="1">
      <alignment horizontal="center" vertical="center" wrapText="1"/>
    </xf>
    <xf numFmtId="0" fontId="8" fillId="19" borderId="30" xfId="0" applyFont="1" applyFill="1" applyBorder="1" applyAlignment="1">
      <alignment horizontal="center" vertical="center" wrapText="1"/>
    </xf>
    <xf numFmtId="0" fontId="17" fillId="0" borderId="51" xfId="0" applyFont="1" applyBorder="1" applyAlignment="1">
      <alignment horizontal="center" vertical="center" wrapText="1"/>
    </xf>
    <xf numFmtId="0" fontId="27" fillId="20" borderId="13" xfId="0" applyFont="1" applyFill="1" applyBorder="1" applyAlignment="1">
      <alignment horizontal="center" vertical="center" wrapText="1"/>
    </xf>
    <xf numFmtId="0" fontId="17" fillId="19" borderId="26" xfId="0" applyFont="1" applyFill="1" applyBorder="1" applyAlignment="1">
      <alignment horizontal="center" vertical="center" wrapText="1"/>
    </xf>
    <xf numFmtId="0" fontId="8" fillId="19" borderId="31" xfId="0" applyFont="1" applyFill="1" applyBorder="1" applyAlignment="1">
      <alignment horizontal="center" vertical="center" wrapText="1"/>
    </xf>
    <xf numFmtId="16" fontId="9" fillId="0" borderId="13" xfId="0" applyNumberFormat="1" applyFont="1" applyBorder="1" applyAlignment="1">
      <alignment horizontal="left" vertical="center" wrapText="1"/>
    </xf>
    <xf numFmtId="0" fontId="27" fillId="0" borderId="50" xfId="0" applyFont="1" applyBorder="1" applyAlignment="1">
      <alignment horizontal="center" vertical="center" wrapText="1"/>
    </xf>
    <xf numFmtId="0" fontId="8" fillId="0" borderId="43" xfId="0" applyFont="1" applyBorder="1" applyAlignment="1">
      <alignment horizontal="center" vertical="center" wrapText="1"/>
    </xf>
    <xf numFmtId="16" fontId="41" fillId="0" borderId="13" xfId="0" applyNumberFormat="1" applyFont="1" applyBorder="1" applyAlignment="1">
      <alignment horizontal="left" vertical="center" wrapText="1"/>
    </xf>
    <xf numFmtId="16" fontId="40" fillId="0" borderId="13" xfId="0" applyNumberFormat="1" applyFont="1" applyBorder="1" applyAlignment="1">
      <alignment horizontal="left" vertical="center" wrapText="1"/>
    </xf>
    <xf numFmtId="0" fontId="55" fillId="0" borderId="14" xfId="0" applyFont="1" applyBorder="1" applyAlignment="1">
      <alignment horizontal="left" vertical="center" wrapText="1"/>
    </xf>
    <xf numFmtId="0" fontId="55" fillId="0" borderId="15" xfId="0" applyFont="1" applyBorder="1" applyAlignment="1">
      <alignment horizontal="left" vertical="center" wrapText="1"/>
    </xf>
    <xf numFmtId="0" fontId="24" fillId="0" borderId="51" xfId="0" applyFont="1" applyBorder="1" applyAlignment="1">
      <alignment horizontal="center" vertical="center" wrapText="1"/>
    </xf>
    <xf numFmtId="0" fontId="77" fillId="0" borderId="31" xfId="0" applyFont="1" applyBorder="1" applyAlignment="1">
      <alignment horizontal="center" vertical="center" wrapText="1"/>
    </xf>
    <xf numFmtId="0" fontId="27" fillId="0" borderId="14" xfId="0" applyFont="1" applyBorder="1" applyAlignment="1">
      <alignment horizontal="center" vertical="center" wrapText="1"/>
    </xf>
    <xf numFmtId="0" fontId="56" fillId="0" borderId="14" xfId="0" applyFont="1" applyBorder="1" applyAlignment="1">
      <alignment horizontal="center" vertical="center" wrapText="1"/>
    </xf>
    <xf numFmtId="0" fontId="56" fillId="0" borderId="15" xfId="0" applyFont="1" applyBorder="1" applyAlignment="1">
      <alignment horizontal="center" vertical="center" wrapText="1"/>
    </xf>
    <xf numFmtId="0" fontId="29" fillId="0" borderId="48" xfId="0" applyFont="1" applyBorder="1" applyAlignment="1">
      <alignment wrapText="1"/>
    </xf>
    <xf numFmtId="0" fontId="55" fillId="0" borderId="48" xfId="0" applyFont="1" applyBorder="1" applyAlignment="1">
      <alignment wrapText="1"/>
    </xf>
    <xf numFmtId="0" fontId="34" fillId="0" borderId="60" xfId="0" applyFont="1" applyBorder="1" applyAlignment="1">
      <alignment horizontal="center" wrapText="1"/>
    </xf>
    <xf numFmtId="0" fontId="8" fillId="0" borderId="61" xfId="0" applyFont="1" applyBorder="1" applyAlignment="1">
      <alignment horizontal="center" wrapText="1"/>
    </xf>
    <xf numFmtId="0" fontId="8" fillId="0" borderId="62" xfId="0" applyFont="1" applyBorder="1" applyAlignment="1">
      <alignment horizontal="center" wrapText="1"/>
    </xf>
    <xf numFmtId="0" fontId="34" fillId="0" borderId="50" xfId="0" applyFont="1" applyBorder="1" applyAlignment="1">
      <alignment horizontal="center" vertical="center" wrapText="1"/>
    </xf>
    <xf numFmtId="0" fontId="67" fillId="0" borderId="5" xfId="0" applyFont="1" applyBorder="1" applyAlignment="1">
      <alignment horizontal="center" vertical="center" wrapText="1"/>
    </xf>
    <xf numFmtId="0" fontId="29" fillId="0" borderId="63" xfId="0" applyFont="1" applyBorder="1" applyAlignment="1">
      <alignment horizontal="center" vertical="center" wrapText="1"/>
    </xf>
    <xf numFmtId="0" fontId="58" fillId="0" borderId="40" xfId="0" applyFont="1" applyBorder="1" applyAlignment="1">
      <alignment horizontal="center" vertical="center" wrapText="1"/>
    </xf>
    <xf numFmtId="0" fontId="28" fillId="0" borderId="0" xfId="0" applyFont="1" applyAlignment="1">
      <alignment wrapText="1"/>
    </xf>
    <xf numFmtId="0" fontId="0" fillId="0" borderId="0" xfId="0"/>
    <xf numFmtId="0" fontId="36" fillId="16" borderId="14" xfId="0" applyFont="1" applyFill="1" applyBorder="1" applyAlignment="1">
      <alignment horizontal="left" vertical="center" wrapText="1"/>
    </xf>
    <xf numFmtId="0" fontId="36" fillId="16" borderId="15" xfId="0" applyFont="1" applyFill="1" applyBorder="1" applyAlignment="1">
      <alignment horizontal="left" vertical="center" wrapText="1"/>
    </xf>
    <xf numFmtId="0" fontId="38" fillId="6" borderId="14" xfId="0" applyFont="1" applyFill="1" applyBorder="1" applyAlignment="1">
      <alignment horizontal="left" vertical="center" wrapText="1"/>
    </xf>
    <xf numFmtId="0" fontId="38" fillId="6" borderId="15" xfId="0" applyFont="1" applyFill="1" applyBorder="1" applyAlignment="1">
      <alignment horizontal="left" vertical="center" wrapText="1"/>
    </xf>
    <xf numFmtId="0" fontId="29" fillId="6" borderId="14" xfId="0" applyFont="1" applyFill="1" applyBorder="1" applyAlignment="1">
      <alignment horizontal="left" vertical="center" wrapText="1"/>
    </xf>
    <xf numFmtId="0" fontId="29" fillId="6" borderId="15" xfId="0" applyFont="1" applyFill="1" applyBorder="1" applyAlignment="1">
      <alignment horizontal="left" vertical="center" wrapText="1"/>
    </xf>
    <xf numFmtId="0" fontId="34" fillId="7" borderId="14" xfId="0" applyFont="1" applyFill="1" applyBorder="1" applyAlignment="1">
      <alignment horizontal="left" vertical="center" wrapText="1"/>
    </xf>
    <xf numFmtId="0" fontId="34" fillId="7" borderId="15" xfId="0" applyFont="1" applyFill="1" applyBorder="1" applyAlignment="1">
      <alignment horizontal="left" vertical="center" wrapText="1"/>
    </xf>
    <xf numFmtId="0" fontId="4" fillId="10" borderId="26" xfId="0" applyFont="1" applyFill="1" applyBorder="1" applyAlignment="1">
      <alignment horizontal="center" vertical="center" wrapText="1"/>
    </xf>
    <xf numFmtId="0" fontId="4" fillId="10" borderId="27" xfId="0" applyFont="1" applyFill="1" applyBorder="1" applyAlignment="1">
      <alignment horizontal="center" vertical="center" wrapText="1"/>
    </xf>
    <xf numFmtId="0" fontId="4" fillId="0" borderId="20" xfId="0" applyFont="1" applyBorder="1" applyAlignment="1">
      <alignment horizontal="center" vertical="top" wrapText="1"/>
    </xf>
    <xf numFmtId="0" fontId="4" fillId="0" borderId="21" xfId="0" applyFont="1" applyBorder="1" applyAlignment="1">
      <alignment horizontal="center" vertical="top" wrapText="1"/>
    </xf>
    <xf numFmtId="0" fontId="4" fillId="0" borderId="2" xfId="0" applyFont="1" applyBorder="1" applyAlignment="1">
      <alignment horizontal="center" vertical="top" wrapText="1"/>
    </xf>
    <xf numFmtId="0" fontId="4" fillId="0" borderId="11" xfId="0" applyFont="1" applyBorder="1" applyAlignment="1">
      <alignment horizontal="center" vertical="top" wrapText="1"/>
    </xf>
    <xf numFmtId="0" fontId="4" fillId="0" borderId="4" xfId="0" applyFont="1" applyBorder="1" applyAlignment="1">
      <alignment horizontal="center" vertical="top" wrapText="1"/>
    </xf>
    <xf numFmtId="0" fontId="8" fillId="0" borderId="21" xfId="0" applyFont="1" applyBorder="1" applyAlignment="1">
      <alignment horizontal="center" vertical="top" wrapText="1"/>
    </xf>
    <xf numFmtId="0" fontId="8" fillId="0" borderId="4" xfId="0" applyFont="1" applyBorder="1" applyAlignment="1">
      <alignment horizontal="center" vertical="top" wrapText="1"/>
    </xf>
    <xf numFmtId="0" fontId="42" fillId="0" borderId="13" xfId="0" applyFont="1" applyBorder="1" applyAlignment="1">
      <alignment horizontal="left" vertical="center" wrapText="1"/>
    </xf>
    <xf numFmtId="0" fontId="38" fillId="0" borderId="13" xfId="0" applyFont="1" applyBorder="1" applyAlignment="1">
      <alignment horizontal="left" vertical="center" wrapText="1"/>
    </xf>
    <xf numFmtId="0" fontId="36" fillId="0" borderId="13" xfId="0" applyFont="1" applyBorder="1" applyAlignment="1">
      <alignment horizontal="left" vertical="center" wrapText="1"/>
    </xf>
    <xf numFmtId="0" fontId="56" fillId="0" borderId="14" xfId="0" applyFont="1" applyBorder="1" applyAlignment="1">
      <alignment wrapText="1"/>
    </xf>
    <xf numFmtId="0" fontId="56" fillId="0" borderId="15" xfId="0" applyFont="1" applyBorder="1" applyAlignment="1">
      <alignment wrapText="1"/>
    </xf>
    <xf numFmtId="0" fontId="29" fillId="0" borderId="13" xfId="0" applyFont="1" applyBorder="1" applyAlignment="1">
      <alignment horizontal="left" vertical="center" wrapText="1"/>
    </xf>
    <xf numFmtId="0" fontId="29" fillId="0" borderId="14" xfId="0" applyFont="1" applyBorder="1" applyAlignment="1">
      <alignment horizontal="left" vertical="center" wrapText="1"/>
    </xf>
    <xf numFmtId="0" fontId="29" fillId="0" borderId="15" xfId="0" applyFont="1" applyBorder="1" applyAlignment="1">
      <alignment horizontal="left" vertical="center" wrapText="1"/>
    </xf>
    <xf numFmtId="0" fontId="37" fillId="0" borderId="13" xfId="0" applyFont="1" applyBorder="1" applyAlignment="1">
      <alignment horizontal="left" vertical="center" wrapText="1"/>
    </xf>
    <xf numFmtId="0" fontId="26" fillId="0" borderId="0" xfId="0" applyFont="1" applyAlignment="1">
      <alignment horizontal="justify" vertical="justify" wrapText="1"/>
    </xf>
    <xf numFmtId="0" fontId="8" fillId="0" borderId="0" xfId="0" applyFont="1" applyAlignment="1">
      <alignment horizontal="justify" vertical="justify"/>
    </xf>
    <xf numFmtId="0" fontId="26" fillId="0" borderId="0" xfId="0" applyFont="1" applyAlignment="1">
      <alignment vertical="top" wrapText="1"/>
    </xf>
    <xf numFmtId="0" fontId="8" fillId="0" borderId="0" xfId="0" applyFont="1" applyAlignment="1">
      <alignment vertical="top"/>
    </xf>
    <xf numFmtId="0" fontId="29" fillId="0" borderId="28" xfId="0" applyFont="1" applyBorder="1" applyAlignment="1">
      <alignment horizontal="center" vertical="center" wrapText="1"/>
    </xf>
    <xf numFmtId="0" fontId="29" fillId="0" borderId="134" xfId="0" applyFont="1" applyBorder="1" applyAlignment="1">
      <alignment horizontal="center" vertical="center" wrapText="1"/>
    </xf>
    <xf numFmtId="0" fontId="29" fillId="0" borderId="132" xfId="0" applyFont="1" applyBorder="1" applyAlignment="1">
      <alignment horizontal="center" vertical="center" wrapText="1"/>
    </xf>
    <xf numFmtId="0" fontId="29" fillId="0" borderId="41" xfId="0" applyFont="1" applyBorder="1" applyAlignment="1">
      <alignment horizontal="center" vertical="center" wrapText="1"/>
    </xf>
    <xf numFmtId="0" fontId="29" fillId="0" borderId="25"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108" xfId="0" applyFont="1" applyBorder="1" applyAlignment="1">
      <alignment horizontal="center" vertical="center" wrapText="1"/>
    </xf>
    <xf numFmtId="0" fontId="28" fillId="0" borderId="63" xfId="0" applyFont="1" applyBorder="1" applyAlignment="1">
      <alignment horizontal="center" vertical="center" wrapText="1"/>
    </xf>
    <xf numFmtId="0" fontId="8" fillId="0" borderId="108" xfId="0" applyFont="1" applyBorder="1" applyAlignment="1">
      <alignment vertical="center" wrapText="1"/>
    </xf>
    <xf numFmtId="0" fontId="8" fillId="0" borderId="41" xfId="0" applyFont="1" applyBorder="1" applyAlignment="1">
      <alignment vertical="center" wrapText="1"/>
    </xf>
    <xf numFmtId="0" fontId="28" fillId="0" borderId="135" xfId="0" applyFont="1" applyBorder="1" applyAlignment="1">
      <alignment horizontal="center" vertical="center" wrapText="1"/>
    </xf>
    <xf numFmtId="0" fontId="28" fillId="0" borderId="134" xfId="0" applyFont="1" applyBorder="1" applyAlignment="1">
      <alignment horizontal="center" vertical="center" wrapText="1"/>
    </xf>
    <xf numFmtId="0" fontId="28" fillId="0" borderId="108" xfId="0" applyFont="1" applyBorder="1" applyAlignment="1">
      <alignment horizontal="center" vertical="center" wrapText="1"/>
    </xf>
    <xf numFmtId="0" fontId="28" fillId="0" borderId="41" xfId="0" applyFont="1" applyBorder="1" applyAlignment="1">
      <alignment horizontal="center" vertical="center" wrapText="1"/>
    </xf>
    <xf numFmtId="0" fontId="28" fillId="0" borderId="136" xfId="0" applyFont="1" applyBorder="1" applyAlignment="1">
      <alignment horizontal="center" vertical="center" wrapText="1"/>
    </xf>
    <xf numFmtId="0" fontId="28" fillId="0" borderId="129" xfId="0" applyFont="1" applyBorder="1" applyAlignment="1">
      <alignment horizontal="center" vertical="center" wrapText="1"/>
    </xf>
    <xf numFmtId="0" fontId="28" fillId="0" borderId="40" xfId="0" applyFont="1" applyBorder="1" applyAlignment="1">
      <alignment horizontal="center" vertical="center" wrapText="1"/>
    </xf>
    <xf numFmtId="0" fontId="29" fillId="0" borderId="138" xfId="0" applyFont="1" applyBorder="1" applyAlignment="1">
      <alignment horizontal="center" vertical="center" wrapText="1"/>
    </xf>
    <xf numFmtId="0" fontId="29" fillId="0" borderId="14" xfId="0" applyFont="1" applyBorder="1" applyAlignment="1">
      <alignment horizontal="center" vertical="center" wrapText="1"/>
    </xf>
    <xf numFmtId="0" fontId="29" fillId="0" borderId="15" xfId="0" applyFont="1" applyBorder="1" applyAlignment="1">
      <alignment horizontal="center" vertical="center" wrapText="1"/>
    </xf>
    <xf numFmtId="0" fontId="28" fillId="0" borderId="63" xfId="0" applyFont="1" applyBorder="1" applyAlignment="1">
      <alignment vertical="center" wrapText="1"/>
    </xf>
    <xf numFmtId="0" fontId="28" fillId="0" borderId="108" xfId="0" applyFont="1" applyBorder="1" applyAlignment="1">
      <alignment vertical="center" wrapText="1"/>
    </xf>
    <xf numFmtId="0" fontId="28" fillId="0" borderId="40" xfId="0" applyFont="1" applyBorder="1" applyAlignment="1">
      <alignment vertical="center" wrapText="1"/>
    </xf>
    <xf numFmtId="0" fontId="29" fillId="0" borderId="135" xfId="0" applyFont="1" applyBorder="1" applyAlignment="1">
      <alignment horizontal="center" vertical="center" wrapText="1"/>
    </xf>
    <xf numFmtId="0" fontId="29" fillId="0" borderId="108" xfId="0" applyFont="1" applyBorder="1" applyAlignment="1">
      <alignment vertical="center" wrapText="1"/>
    </xf>
    <xf numFmtId="0" fontId="28" fillId="0" borderId="41" xfId="0" applyFont="1" applyBorder="1" applyAlignment="1">
      <alignment vertical="center" wrapText="1"/>
    </xf>
    <xf numFmtId="0" fontId="29" fillId="0" borderId="0" xfId="0" applyFont="1" applyAlignment="1">
      <alignment horizontal="justify" vertical="center"/>
    </xf>
    <xf numFmtId="0" fontId="28" fillId="0" borderId="63" xfId="0" applyFont="1" applyBorder="1" applyAlignment="1">
      <alignment horizontal="left" vertical="center" wrapText="1"/>
    </xf>
    <xf numFmtId="0" fontId="28" fillId="0" borderId="108" xfId="0" applyFont="1" applyBorder="1" applyAlignment="1">
      <alignment horizontal="left" vertical="center" wrapText="1"/>
    </xf>
    <xf numFmtId="0" fontId="28" fillId="0" borderId="41" xfId="0" applyFont="1" applyBorder="1" applyAlignment="1">
      <alignment horizontal="left" vertical="center" wrapText="1"/>
    </xf>
    <xf numFmtId="0" fontId="29" fillId="0" borderId="110" xfId="0" applyFont="1" applyBorder="1" applyAlignment="1">
      <alignment horizontal="center" vertical="center" wrapText="1"/>
    </xf>
    <xf numFmtId="0" fontId="29" fillId="0" borderId="61" xfId="0" applyFont="1" applyBorder="1" applyAlignment="1">
      <alignment horizontal="center" vertical="center" wrapText="1"/>
    </xf>
    <xf numFmtId="0" fontId="29" fillId="0" borderId="33" xfId="0" applyFont="1" applyBorder="1" applyAlignment="1">
      <alignment horizontal="center" vertical="center" wrapText="1"/>
    </xf>
    <xf numFmtId="0" fontId="29" fillId="16" borderId="13" xfId="0" applyFont="1" applyFill="1" applyBorder="1" applyAlignment="1">
      <alignment horizontal="center" vertical="center" wrapText="1"/>
    </xf>
    <xf numFmtId="0" fontId="44" fillId="0" borderId="14" xfId="0" applyFont="1" applyBorder="1" applyAlignment="1">
      <alignment horizontal="center" vertical="center" wrapText="1"/>
    </xf>
    <xf numFmtId="0" fontId="44" fillId="0" borderId="15" xfId="0" applyFont="1" applyBorder="1" applyAlignment="1">
      <alignment horizontal="center" vertical="center" wrapText="1"/>
    </xf>
    <xf numFmtId="0" fontId="30" fillId="0" borderId="26" xfId="0" applyFont="1" applyBorder="1" applyAlignment="1">
      <alignment horizontal="center" vertical="center" wrapText="1"/>
    </xf>
    <xf numFmtId="0" fontId="30" fillId="0" borderId="31" xfId="0" applyFont="1" applyBorder="1" applyAlignment="1">
      <alignment horizontal="center" vertical="center" wrapText="1"/>
    </xf>
    <xf numFmtId="0" fontId="30" fillId="0" borderId="27" xfId="0" applyFont="1" applyBorder="1" applyAlignment="1">
      <alignment horizontal="center" vertical="center" wrapText="1"/>
    </xf>
    <xf numFmtId="0" fontId="54" fillId="0" borderId="123" xfId="0" applyFont="1" applyBorder="1" applyAlignment="1">
      <alignment horizontal="center" vertical="center" wrapText="1"/>
    </xf>
    <xf numFmtId="0" fontId="54" fillId="0" borderId="118" xfId="0" applyFont="1" applyBorder="1" applyAlignment="1">
      <alignment horizontal="center" vertical="center" wrapText="1"/>
    </xf>
    <xf numFmtId="0" fontId="54" fillId="0" borderId="124" xfId="0" applyFont="1" applyBorder="1" applyAlignment="1">
      <alignment horizontal="center" vertical="center" wrapText="1"/>
    </xf>
    <xf numFmtId="0" fontId="54" fillId="0" borderId="31" xfId="0" applyFont="1" applyBorder="1" applyAlignment="1">
      <alignment horizontal="center" vertical="center" wrapText="1"/>
    </xf>
    <xf numFmtId="0" fontId="61" fillId="0" borderId="201" xfId="0" applyFont="1" applyBorder="1" applyAlignment="1">
      <alignment horizontal="justify" vertical="center" wrapText="1"/>
    </xf>
    <xf numFmtId="0" fontId="0" fillId="0" borderId="117" xfId="0" applyBorder="1" applyAlignment="1">
      <alignment horizontal="justify" vertical="center" wrapText="1"/>
    </xf>
    <xf numFmtId="0" fontId="0" fillId="0" borderId="202" xfId="0" applyBorder="1" applyAlignment="1">
      <alignment horizontal="justify" vertical="center" wrapText="1"/>
    </xf>
    <xf numFmtId="0" fontId="30" fillId="0" borderId="122" xfId="0" applyFont="1" applyBorder="1" applyAlignment="1">
      <alignment horizontal="center" vertical="center" wrapText="1"/>
    </xf>
    <xf numFmtId="0" fontId="30" fillId="0" borderId="116" xfId="0" applyFont="1" applyBorder="1" applyAlignment="1">
      <alignment horizontal="center" vertical="center" wrapText="1"/>
    </xf>
    <xf numFmtId="0" fontId="30" fillId="0" borderId="115" xfId="0" applyFont="1" applyBorder="1" applyAlignment="1">
      <alignment horizontal="center" vertical="center" wrapText="1"/>
    </xf>
    <xf numFmtId="0" fontId="54" fillId="0" borderId="114" xfId="0" applyFont="1" applyBorder="1" applyAlignment="1">
      <alignment horizontal="center" vertical="center" wrapText="1"/>
    </xf>
    <xf numFmtId="0" fontId="54" fillId="0" borderId="125" xfId="0" applyFont="1" applyBorder="1" applyAlignment="1">
      <alignment horizontal="center" vertical="center" wrapText="1"/>
    </xf>
    <xf numFmtId="0" fontId="20" fillId="0" borderId="0" xfId="0" applyFont="1" applyAlignment="1">
      <alignment horizontal="center"/>
    </xf>
    <xf numFmtId="0" fontId="18" fillId="0" borderId="0" xfId="0" applyFont="1" applyAlignment="1">
      <alignment horizontal="left" vertical="center"/>
    </xf>
    <xf numFmtId="0" fontId="18" fillId="0" borderId="0" xfId="0" applyFont="1" applyAlignment="1">
      <alignment vertical="center"/>
    </xf>
    <xf numFmtId="0" fontId="51" fillId="0" borderId="13" xfId="0" applyFont="1" applyBorder="1" applyAlignment="1">
      <alignment horizontal="center" vertical="center" wrapText="1"/>
    </xf>
    <xf numFmtId="0" fontId="51" fillId="0" borderId="14" xfId="0" applyFont="1" applyBorder="1" applyAlignment="1">
      <alignment horizontal="center" vertical="center" wrapText="1"/>
    </xf>
    <xf numFmtId="0" fontId="0" fillId="0" borderId="15" xfId="0" applyBorder="1" applyAlignment="1">
      <alignment horizontal="center" vertical="center" wrapText="1"/>
    </xf>
    <xf numFmtId="0" fontId="20" fillId="0" borderId="0" xfId="0" applyFont="1" applyAlignment="1">
      <alignment wrapText="1"/>
    </xf>
    <xf numFmtId="0" fontId="19" fillId="0" borderId="0" xfId="0" applyFont="1"/>
    <xf numFmtId="0" fontId="51" fillId="0" borderId="15" xfId="0" applyFont="1" applyBorder="1" applyAlignment="1">
      <alignment horizontal="center" vertical="center" wrapText="1"/>
    </xf>
    <xf numFmtId="14" fontId="40" fillId="6" borderId="13" xfId="0" applyNumberFormat="1" applyFont="1" applyFill="1" applyBorder="1" applyAlignment="1">
      <alignment horizontal="left" vertical="center" wrapText="1"/>
    </xf>
    <xf numFmtId="0" fontId="0" fillId="0" borderId="14" xfId="0" applyBorder="1" applyAlignment="1">
      <alignment horizontal="left" wrapText="1"/>
    </xf>
    <xf numFmtId="0" fontId="0" fillId="0" borderId="15" xfId="0" applyBorder="1" applyAlignment="1">
      <alignment horizontal="left" wrapText="1"/>
    </xf>
    <xf numFmtId="0" fontId="24" fillId="16" borderId="13" xfId="0" applyFont="1" applyFill="1"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14" xfId="0" applyBorder="1" applyAlignment="1">
      <alignment horizontal="center" vertical="center" wrapText="1"/>
    </xf>
    <xf numFmtId="14" fontId="41" fillId="7" borderId="13" xfId="0" applyNumberFormat="1" applyFont="1" applyFill="1" applyBorder="1" applyAlignment="1">
      <alignment horizontal="left" vertical="center" wrapText="1"/>
    </xf>
    <xf numFmtId="0" fontId="26" fillId="0" borderId="0" xfId="0" applyFont="1" applyAlignment="1">
      <alignment horizontal="left" vertical="top" wrapText="1"/>
    </xf>
    <xf numFmtId="0" fontId="0" fillId="0" borderId="14" xfId="0" applyBorder="1" applyAlignment="1">
      <alignment wrapText="1"/>
    </xf>
    <xf numFmtId="0" fontId="0" fillId="16" borderId="14" xfId="0" applyFill="1" applyBorder="1" applyAlignment="1">
      <alignment wrapText="1"/>
    </xf>
    <xf numFmtId="0" fontId="0" fillId="0" borderId="14" xfId="0" applyBorder="1" applyAlignment="1">
      <alignment vertical="center" wrapText="1"/>
    </xf>
    <xf numFmtId="0" fontId="37" fillId="16" borderId="14" xfId="0" applyFont="1" applyFill="1" applyBorder="1" applyAlignment="1">
      <alignment horizontal="left" vertical="center" wrapText="1"/>
    </xf>
    <xf numFmtId="0" fontId="37" fillId="16" borderId="15" xfId="0" applyFont="1" applyFill="1" applyBorder="1" applyAlignment="1">
      <alignment horizontal="left" vertical="center" wrapText="1"/>
    </xf>
    <xf numFmtId="0" fontId="71" fillId="16" borderId="13" xfId="0" applyFont="1" applyFill="1" applyBorder="1" applyAlignment="1">
      <alignment horizontal="left" vertical="center" wrapText="1"/>
    </xf>
    <xf numFmtId="0" fontId="3" fillId="16" borderId="14" xfId="0" applyFont="1" applyFill="1" applyBorder="1" applyAlignment="1">
      <alignment wrapText="1"/>
    </xf>
    <xf numFmtId="0" fontId="50" fillId="0" borderId="0" xfId="0" applyFont="1" applyAlignment="1">
      <alignment wrapText="1"/>
    </xf>
    <xf numFmtId="0" fontId="51" fillId="0" borderId="64" xfId="0" applyFont="1" applyBorder="1" applyAlignment="1">
      <alignment horizontal="center" vertical="center" wrapText="1"/>
    </xf>
    <xf numFmtId="0" fontId="51" fillId="0" borderId="65" xfId="0" applyFont="1" applyBorder="1" applyAlignment="1">
      <alignment horizontal="center" vertical="center" wrapText="1"/>
    </xf>
    <xf numFmtId="0" fontId="51" fillId="0" borderId="37" xfId="0" applyFont="1" applyBorder="1" applyAlignment="1">
      <alignment horizontal="center" vertical="center" wrapText="1"/>
    </xf>
    <xf numFmtId="0" fontId="51" fillId="0" borderId="38" xfId="0" applyFont="1" applyBorder="1" applyAlignment="1">
      <alignment horizontal="center" vertical="center" wrapText="1"/>
    </xf>
    <xf numFmtId="0" fontId="51" fillId="0" borderId="30" xfId="0" applyFont="1" applyBorder="1" applyAlignment="1">
      <alignment horizontal="center" vertical="center" wrapText="1"/>
    </xf>
    <xf numFmtId="0" fontId="51" fillId="5" borderId="13" xfId="0" applyFont="1" applyFill="1" applyBorder="1" applyAlignment="1">
      <alignment horizontal="center" vertical="center" wrapText="1"/>
    </xf>
    <xf numFmtId="0" fontId="51" fillId="5" borderId="14" xfId="0" applyFont="1" applyFill="1" applyBorder="1" applyAlignment="1">
      <alignment horizontal="center" vertical="center" wrapText="1"/>
    </xf>
    <xf numFmtId="0" fontId="0" fillId="5" borderId="15" xfId="0" applyFill="1" applyBorder="1" applyAlignment="1">
      <alignment horizontal="center" vertical="center" wrapText="1"/>
    </xf>
    <xf numFmtId="0" fontId="20" fillId="0" borderId="0" xfId="0" applyFont="1"/>
    <xf numFmtId="0" fontId="51" fillId="10" borderId="26" xfId="0" applyFont="1" applyFill="1" applyBorder="1" applyAlignment="1">
      <alignment horizontal="center" vertical="center" wrapText="1"/>
    </xf>
    <xf numFmtId="0" fontId="0" fillId="10" borderId="27" xfId="0" applyFill="1" applyBorder="1" applyAlignment="1">
      <alignment horizontal="center" wrapText="1"/>
    </xf>
    <xf numFmtId="0" fontId="51" fillId="0" borderId="86" xfId="0" applyFont="1" applyBorder="1" applyAlignment="1">
      <alignment horizontal="center" vertical="center" wrapText="1"/>
    </xf>
    <xf numFmtId="0" fontId="0" fillId="0" borderId="106" xfId="0" applyBorder="1" applyAlignment="1">
      <alignment wrapText="1"/>
    </xf>
    <xf numFmtId="0" fontId="51" fillId="0" borderId="26" xfId="0" applyFont="1" applyBorder="1" applyAlignment="1">
      <alignment horizontal="center" vertical="center" wrapText="1"/>
    </xf>
    <xf numFmtId="0" fontId="0" fillId="0" borderId="27" xfId="0" applyBorder="1" applyAlignment="1">
      <alignment horizontal="center" wrapText="1"/>
    </xf>
    <xf numFmtId="0" fontId="0" fillId="0" borderId="27" xfId="0" applyBorder="1" applyAlignment="1">
      <alignment horizontal="center" vertical="center" wrapText="1"/>
    </xf>
    <xf numFmtId="0" fontId="51" fillId="25" borderId="26" xfId="0" applyFont="1" applyFill="1" applyBorder="1" applyAlignment="1">
      <alignment horizontal="center" vertical="center" wrapText="1"/>
    </xf>
    <xf numFmtId="0" fontId="0" fillId="25" borderId="27" xfId="0" applyFill="1" applyBorder="1" applyAlignment="1">
      <alignment horizontal="center" wrapText="1"/>
    </xf>
    <xf numFmtId="0" fontId="51" fillId="0" borderId="28" xfId="0" applyFont="1" applyBorder="1" applyAlignment="1">
      <alignment horizontal="center" vertical="center" wrapText="1"/>
    </xf>
    <xf numFmtId="0" fontId="0" fillId="0" borderId="203" xfId="0" applyBorder="1" applyAlignment="1">
      <alignment wrapText="1"/>
    </xf>
    <xf numFmtId="0" fontId="51" fillId="0" borderId="90" xfId="0" applyFont="1" applyBorder="1" applyAlignment="1">
      <alignment horizontal="center" vertical="center" wrapText="1"/>
    </xf>
    <xf numFmtId="0" fontId="51" fillId="0" borderId="52" xfId="0" applyFont="1" applyBorder="1" applyAlignment="1">
      <alignment horizontal="center" vertical="center" wrapText="1"/>
    </xf>
    <xf numFmtId="0" fontId="51" fillId="0" borderId="84" xfId="0" applyFont="1" applyBorder="1" applyAlignment="1">
      <alignment horizontal="center" vertical="center" wrapText="1"/>
    </xf>
    <xf numFmtId="0" fontId="0" fillId="0" borderId="100" xfId="0" applyBorder="1" applyAlignment="1">
      <alignment wrapText="1"/>
    </xf>
    <xf numFmtId="0" fontId="51" fillId="0" borderId="85" xfId="0" applyFont="1" applyBorder="1" applyAlignment="1">
      <alignment horizontal="center" vertical="center" wrapText="1"/>
    </xf>
    <xf numFmtId="0" fontId="0" fillId="0" borderId="105" xfId="0" applyBorder="1" applyAlignment="1">
      <alignment wrapText="1"/>
    </xf>
    <xf numFmtId="0" fontId="0" fillId="0" borderId="30" xfId="0" applyBorder="1" applyAlignment="1">
      <alignment horizontal="center" vertical="center" wrapText="1"/>
    </xf>
    <xf numFmtId="0" fontId="34" fillId="6" borderId="46" xfId="0" applyFont="1" applyFill="1" applyBorder="1" applyAlignment="1">
      <alignment horizontal="right" vertical="center" wrapText="1"/>
    </xf>
    <xf numFmtId="0" fontId="8" fillId="6" borderId="23" xfId="0" applyFont="1" applyFill="1" applyBorder="1" applyAlignment="1">
      <alignment horizontal="right" vertical="center" wrapText="1"/>
    </xf>
    <xf numFmtId="0" fontId="24" fillId="0" borderId="13" xfId="0" applyFont="1" applyBorder="1" applyAlignment="1">
      <alignment horizontal="center" vertical="center" wrapText="1"/>
    </xf>
    <xf numFmtId="0" fontId="24" fillId="0" borderId="15" xfId="0" applyFont="1" applyBorder="1" applyAlignment="1">
      <alignment horizontal="center" vertical="center" wrapText="1"/>
    </xf>
    <xf numFmtId="0" fontId="25" fillId="0" borderId="13" xfId="0" applyFont="1" applyBorder="1" applyAlignment="1">
      <alignment horizontal="center" vertical="center" wrapText="1"/>
    </xf>
    <xf numFmtId="0" fontId="25" fillId="0" borderId="14" xfId="0" applyFont="1" applyBorder="1" applyAlignment="1">
      <alignment horizontal="center" vertical="center" wrapText="1"/>
    </xf>
    <xf numFmtId="0" fontId="8" fillId="0" borderId="14" xfId="0" applyFont="1" applyBorder="1"/>
    <xf numFmtId="0" fontId="8" fillId="0" borderId="15" xfId="0" applyFont="1" applyBorder="1"/>
    <xf numFmtId="0" fontId="24" fillId="0" borderId="14" xfId="0" applyFont="1" applyBorder="1" applyAlignment="1">
      <alignment horizontal="center" vertical="center" wrapText="1"/>
    </xf>
    <xf numFmtId="0" fontId="8" fillId="0" borderId="15" xfId="0" applyFont="1" applyBorder="1" applyAlignment="1">
      <alignment horizontal="center" vertical="center"/>
    </xf>
    <xf numFmtId="0" fontId="25" fillId="0" borderId="15" xfId="0" applyFont="1" applyBorder="1" applyAlignment="1">
      <alignment horizontal="center" vertical="center" wrapText="1"/>
    </xf>
    <xf numFmtId="0" fontId="41" fillId="7" borderId="13" xfId="0" applyFont="1" applyFill="1" applyBorder="1" applyAlignment="1">
      <alignment wrapText="1"/>
    </xf>
    <xf numFmtId="0" fontId="39" fillId="0" borderId="13" xfId="0" applyFont="1" applyBorder="1" applyAlignment="1">
      <alignment horizontal="center" vertical="center" wrapText="1"/>
    </xf>
    <xf numFmtId="0" fontId="39" fillId="0" borderId="15"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14" xfId="0" applyFont="1" applyBorder="1" applyAlignment="1">
      <alignment horizontal="center" vertical="center" wrapText="1"/>
    </xf>
    <xf numFmtId="0" fontId="0" fillId="0" borderId="14" xfId="0" applyBorder="1"/>
    <xf numFmtId="0" fontId="0" fillId="0" borderId="15" xfId="0" applyBorder="1"/>
    <xf numFmtId="0" fontId="20" fillId="0" borderId="48" xfId="0" applyFont="1" applyBorder="1" applyAlignment="1">
      <alignment horizontal="left" vertical="top" wrapText="1"/>
    </xf>
    <xf numFmtId="0" fontId="18" fillId="0" borderId="48" xfId="0" applyFont="1" applyBorder="1" applyAlignment="1">
      <alignment horizontal="left" vertical="top"/>
    </xf>
    <xf numFmtId="0" fontId="21" fillId="0" borderId="90" xfId="0" applyFont="1" applyBorder="1" applyAlignment="1">
      <alignment horizontal="center" vertical="center" wrapText="1"/>
    </xf>
    <xf numFmtId="0" fontId="21" fillId="0" borderId="52" xfId="0" applyFont="1" applyBorder="1" applyAlignment="1">
      <alignment horizontal="center" vertical="center" wrapText="1"/>
    </xf>
    <xf numFmtId="0" fontId="39" fillId="0" borderId="46" xfId="0" applyFont="1" applyBorder="1" applyAlignment="1">
      <alignment horizontal="center" vertical="center" wrapText="1"/>
    </xf>
    <xf numFmtId="0" fontId="39" fillId="0" borderId="23" xfId="0" applyFont="1" applyBorder="1" applyAlignment="1">
      <alignment horizontal="center" vertical="center" wrapText="1"/>
    </xf>
    <xf numFmtId="0" fontId="39" fillId="0" borderId="6" xfId="0" applyFont="1" applyBorder="1" applyAlignment="1">
      <alignment horizontal="center" vertical="center" wrapText="1"/>
    </xf>
    <xf numFmtId="0" fontId="39" fillId="0" borderId="14" xfId="0" applyFont="1" applyBorder="1" applyAlignment="1">
      <alignment horizontal="center" vertical="center" wrapText="1"/>
    </xf>
    <xf numFmtId="0" fontId="20" fillId="0" borderId="26" xfId="0" applyFont="1" applyBorder="1" applyAlignment="1">
      <alignment horizontal="center" vertical="center" wrapText="1"/>
    </xf>
    <xf numFmtId="0" fontId="20" fillId="0" borderId="27" xfId="0" applyFont="1" applyBorder="1" applyAlignment="1">
      <alignment horizontal="center" vertical="center" wrapText="1"/>
    </xf>
    <xf numFmtId="0" fontId="0" fillId="0" borderId="0" xfId="0" applyAlignment="1">
      <alignment wrapText="1"/>
    </xf>
    <xf numFmtId="0" fontId="29" fillId="0" borderId="0" xfId="0" applyFont="1" applyAlignment="1">
      <alignment wrapText="1"/>
    </xf>
    <xf numFmtId="0" fontId="67" fillId="0" borderId="15" xfId="0" applyFont="1" applyBorder="1" applyAlignment="1">
      <alignment horizontal="center" vertical="center"/>
    </xf>
    <xf numFmtId="0" fontId="26" fillId="0" borderId="13" xfId="0" applyFont="1" applyBorder="1" applyAlignment="1">
      <alignment wrapText="1"/>
    </xf>
    <xf numFmtId="169" fontId="87" fillId="0" borderId="145" xfId="0" applyNumberFormat="1" applyFont="1" applyBorder="1" applyAlignment="1" applyProtection="1">
      <alignment vertical="top" wrapText="1" readingOrder="1"/>
      <protection locked="0"/>
    </xf>
    <xf numFmtId="0" fontId="8" fillId="0" borderId="147" xfId="0" applyFont="1" applyBorder="1" applyAlignment="1" applyProtection="1">
      <alignment vertical="top" wrapText="1"/>
      <protection locked="0"/>
    </xf>
    <xf numFmtId="0" fontId="87" fillId="0" borderId="145" xfId="0" applyFont="1" applyBorder="1" applyAlignment="1" applyProtection="1">
      <alignment horizontal="right" vertical="top" wrapText="1" readingOrder="1"/>
      <protection locked="0"/>
    </xf>
    <xf numFmtId="169" fontId="112" fillId="0" borderId="145" xfId="0" applyNumberFormat="1" applyFont="1" applyBorder="1" applyAlignment="1" applyProtection="1">
      <alignment vertical="top" wrapText="1" readingOrder="1"/>
      <protection locked="0"/>
    </xf>
    <xf numFmtId="0" fontId="110" fillId="0" borderId="146" xfId="0" applyFont="1" applyBorder="1" applyAlignment="1" applyProtection="1">
      <alignment vertical="top" wrapText="1"/>
      <protection locked="0"/>
    </xf>
    <xf numFmtId="0" fontId="110" fillId="0" borderId="147" xfId="0" applyFont="1" applyBorder="1" applyAlignment="1" applyProtection="1">
      <alignment vertical="top" wrapText="1"/>
      <protection locked="0"/>
    </xf>
    <xf numFmtId="0" fontId="112" fillId="0" borderId="145" xfId="0" applyFont="1" applyBorder="1" applyAlignment="1" applyProtection="1">
      <alignment vertical="top" wrapText="1" readingOrder="1"/>
      <protection locked="0"/>
    </xf>
    <xf numFmtId="0" fontId="85" fillId="0" borderId="180" xfId="0" applyFont="1" applyBorder="1" applyAlignment="1" applyProtection="1">
      <alignment vertical="top" wrapText="1" readingOrder="1"/>
      <protection locked="0"/>
    </xf>
    <xf numFmtId="0" fontId="8" fillId="0" borderId="181" xfId="0" applyFont="1" applyBorder="1" applyAlignment="1" applyProtection="1">
      <alignment vertical="top" wrapText="1"/>
      <protection locked="0"/>
    </xf>
    <xf numFmtId="0" fontId="8" fillId="0" borderId="182" xfId="0" applyFont="1" applyBorder="1" applyAlignment="1" applyProtection="1">
      <alignment vertical="top" wrapText="1"/>
      <protection locked="0"/>
    </xf>
    <xf numFmtId="0" fontId="8" fillId="0" borderId="146" xfId="0" applyFont="1" applyBorder="1" applyAlignment="1" applyProtection="1">
      <alignment vertical="top" wrapText="1"/>
      <protection locked="0"/>
    </xf>
    <xf numFmtId="173" fontId="87" fillId="0" borderId="145" xfId="0" applyNumberFormat="1" applyFont="1" applyBorder="1" applyAlignment="1" applyProtection="1">
      <alignment horizontal="left" vertical="top" wrapText="1" readingOrder="1"/>
      <protection locked="0"/>
    </xf>
    <xf numFmtId="0" fontId="85" fillId="0" borderId="180" xfId="0" applyFont="1" applyBorder="1" applyAlignment="1" applyProtection="1">
      <alignment horizontal="right" vertical="top" wrapText="1" readingOrder="1"/>
      <protection locked="0"/>
    </xf>
    <xf numFmtId="169" fontId="85" fillId="0" borderId="180" xfId="0" applyNumberFormat="1" applyFont="1" applyBorder="1" applyAlignment="1" applyProtection="1">
      <alignment vertical="top" wrapText="1" readingOrder="1"/>
      <protection locked="0"/>
    </xf>
    <xf numFmtId="0" fontId="89" fillId="0" borderId="145" xfId="0" applyFont="1" applyBorder="1" applyAlignment="1" applyProtection="1">
      <alignment horizontal="center" vertical="top" wrapText="1" readingOrder="1"/>
      <protection locked="0"/>
    </xf>
    <xf numFmtId="0" fontId="89" fillId="0" borderId="145" xfId="0" applyFont="1" applyBorder="1" applyAlignment="1" applyProtection="1">
      <alignment horizontal="center" vertical="center" wrapText="1" readingOrder="1"/>
      <protection locked="0"/>
    </xf>
    <xf numFmtId="0" fontId="8" fillId="0" borderId="148" xfId="0" applyFont="1" applyBorder="1" applyAlignment="1" applyProtection="1">
      <alignment vertical="top" wrapText="1"/>
      <protection locked="0"/>
    </xf>
    <xf numFmtId="0" fontId="8" fillId="0" borderId="158" xfId="0" applyFont="1" applyBorder="1" applyAlignment="1" applyProtection="1">
      <alignment vertical="top" wrapText="1"/>
      <protection locked="0"/>
    </xf>
    <xf numFmtId="0" fontId="8" fillId="0" borderId="153" xfId="0" applyFont="1" applyBorder="1" applyAlignment="1" applyProtection="1">
      <alignment vertical="top" wrapText="1"/>
      <protection locked="0"/>
    </xf>
    <xf numFmtId="0" fontId="8" fillId="0" borderId="156" xfId="0" applyFont="1" applyBorder="1" applyAlignment="1" applyProtection="1">
      <alignment vertical="top" wrapText="1"/>
      <protection locked="0"/>
    </xf>
    <xf numFmtId="0" fontId="8" fillId="0" borderId="149" xfId="0" applyFont="1" applyBorder="1" applyAlignment="1" applyProtection="1">
      <alignment vertical="top" wrapText="1"/>
      <protection locked="0"/>
    </xf>
    <xf numFmtId="0" fontId="8" fillId="0" borderId="154" xfId="0" applyFont="1" applyBorder="1" applyAlignment="1" applyProtection="1">
      <alignment vertical="top" wrapText="1"/>
      <protection locked="0"/>
    </xf>
    <xf numFmtId="0" fontId="8" fillId="0" borderId="155" xfId="0" applyFont="1" applyBorder="1" applyAlignment="1" applyProtection="1">
      <alignment vertical="top" wrapText="1"/>
      <protection locked="0"/>
    </xf>
    <xf numFmtId="0" fontId="89" fillId="0" borderId="0" xfId="0" applyFont="1" applyAlignment="1" applyProtection="1">
      <alignment horizontal="center" vertical="center" wrapText="1" readingOrder="1"/>
      <protection locked="0"/>
    </xf>
    <xf numFmtId="0" fontId="89" fillId="0" borderId="159" xfId="0" applyFont="1" applyBorder="1" applyAlignment="1" applyProtection="1">
      <alignment horizontal="center" vertical="center" wrapText="1" readingOrder="1"/>
      <protection locked="0"/>
    </xf>
    <xf numFmtId="0" fontId="89" fillId="0" borderId="177" xfId="0" applyFont="1" applyBorder="1" applyAlignment="1" applyProtection="1">
      <alignment horizontal="left" vertical="center" wrapText="1" readingOrder="1"/>
      <protection locked="0"/>
    </xf>
    <xf numFmtId="0" fontId="8" fillId="0" borderId="178" xfId="0" applyFont="1" applyBorder="1" applyAlignment="1" applyProtection="1">
      <alignment vertical="top" wrapText="1"/>
      <protection locked="0"/>
    </xf>
    <xf numFmtId="0" fontId="8" fillId="0" borderId="179" xfId="0" applyFont="1" applyBorder="1" applyAlignment="1" applyProtection="1">
      <alignment vertical="top" wrapText="1"/>
      <protection locked="0"/>
    </xf>
    <xf numFmtId="0" fontId="8" fillId="0" borderId="151" xfId="0" applyFont="1" applyBorder="1" applyAlignment="1" applyProtection="1">
      <alignment vertical="top" wrapText="1"/>
      <protection locked="0"/>
    </xf>
    <xf numFmtId="0" fontId="8" fillId="0" borderId="157" xfId="0" applyFont="1" applyBorder="1" applyAlignment="1" applyProtection="1">
      <alignment vertical="top" wrapText="1"/>
      <protection locked="0"/>
    </xf>
    <xf numFmtId="0" fontId="89" fillId="10" borderId="145" xfId="0" applyFont="1" applyFill="1" applyBorder="1" applyAlignment="1" applyProtection="1">
      <alignment horizontal="center" vertical="center" wrapText="1" readingOrder="1"/>
      <protection locked="0"/>
    </xf>
    <xf numFmtId="0" fontId="8" fillId="10" borderId="148" xfId="0" applyFont="1" applyFill="1" applyBorder="1" applyAlignment="1" applyProtection="1">
      <alignment vertical="top" wrapText="1"/>
      <protection locked="0"/>
    </xf>
    <xf numFmtId="0" fontId="97" fillId="0" borderId="145" xfId="0" applyFont="1" applyBorder="1" applyAlignment="1" applyProtection="1">
      <alignment horizontal="right" vertical="top" wrapText="1" readingOrder="1"/>
      <protection locked="0"/>
    </xf>
    <xf numFmtId="0" fontId="97" fillId="0" borderId="0" xfId="0" applyFont="1" applyAlignment="1" applyProtection="1">
      <alignment horizontal="left" vertical="top" wrapText="1" readingOrder="1"/>
      <protection locked="0"/>
    </xf>
    <xf numFmtId="0" fontId="101" fillId="0" borderId="0" xfId="0" applyFont="1" applyAlignment="1" applyProtection="1">
      <alignment vertical="top" wrapText="1" readingOrder="1"/>
      <protection locked="0"/>
    </xf>
    <xf numFmtId="0" fontId="96" fillId="0" borderId="0" xfId="0" applyFont="1" applyAlignment="1" applyProtection="1">
      <alignment vertical="top" wrapText="1" readingOrder="1"/>
      <protection locked="0"/>
    </xf>
    <xf numFmtId="0" fontId="97" fillId="0" borderId="145" xfId="0" applyFont="1" applyBorder="1" applyAlignment="1" applyProtection="1">
      <alignment horizontal="center" vertical="top" wrapText="1" readingOrder="1"/>
      <protection locked="0"/>
    </xf>
    <xf numFmtId="0" fontId="13" fillId="0" borderId="145" xfId="0" applyFont="1" applyBorder="1" applyAlignment="1" applyProtection="1">
      <alignment horizontal="left" vertical="top" wrapText="1" readingOrder="1"/>
      <protection locked="0"/>
    </xf>
    <xf numFmtId="0" fontId="13" fillId="0" borderId="147" xfId="0" applyFont="1" applyBorder="1" applyAlignment="1" applyProtection="1">
      <alignment horizontal="left" vertical="top" wrapText="1" readingOrder="1"/>
      <protection locked="0"/>
    </xf>
    <xf numFmtId="169" fontId="13" fillId="0" borderId="145" xfId="0" applyNumberFormat="1" applyFont="1" applyBorder="1" applyAlignment="1" applyProtection="1">
      <alignment horizontal="left" vertical="top" wrapText="1" readingOrder="1"/>
      <protection locked="0"/>
    </xf>
    <xf numFmtId="0" fontId="13" fillId="0" borderId="146" xfId="0" applyFont="1" applyBorder="1" applyAlignment="1" applyProtection="1">
      <alignment horizontal="left" vertical="top" wrapText="1" readingOrder="1"/>
      <protection locked="0"/>
    </xf>
    <xf numFmtId="0" fontId="13" fillId="0" borderId="0" xfId="0" applyFont="1" applyAlignment="1" applyProtection="1">
      <alignment horizontal="center" vertical="top" wrapText="1" readingOrder="1"/>
      <protection locked="0"/>
    </xf>
    <xf numFmtId="0" fontId="13" fillId="0" borderId="0" xfId="0" applyFont="1" applyAlignment="1">
      <alignment horizontal="center" readingOrder="1"/>
    </xf>
    <xf numFmtId="0" fontId="90" fillId="0" borderId="0" xfId="0" applyFont="1" applyAlignment="1" applyProtection="1">
      <alignment vertical="top" wrapText="1" readingOrder="1"/>
      <protection locked="0"/>
    </xf>
    <xf numFmtId="0" fontId="23" fillId="0" borderId="0" xfId="0" applyFont="1"/>
    <xf numFmtId="0" fontId="24" fillId="0" borderId="0" xfId="0" applyFont="1" applyAlignment="1" applyProtection="1">
      <alignment horizontal="center" vertical="top" wrapText="1" readingOrder="1"/>
      <protection locked="0"/>
    </xf>
    <xf numFmtId="0" fontId="24" fillId="0" borderId="157" xfId="0" applyFont="1" applyBorder="1" applyAlignment="1" applyProtection="1">
      <alignment horizontal="center" vertical="center" wrapText="1" readingOrder="1"/>
      <protection locked="0"/>
    </xf>
    <xf numFmtId="0" fontId="13" fillId="0" borderId="157" xfId="0" applyFont="1" applyBorder="1" applyAlignment="1" applyProtection="1">
      <alignment horizontal="center" vertical="top" wrapText="1" readingOrder="1"/>
      <protection locked="0"/>
    </xf>
    <xf numFmtId="0" fontId="24" fillId="0" borderId="157" xfId="0" applyFont="1" applyBorder="1" applyAlignment="1" applyProtection="1">
      <alignment horizontal="center" vertical="top" wrapText="1" readingOrder="1"/>
      <protection locked="0"/>
    </xf>
    <xf numFmtId="0" fontId="13" fillId="0" borderId="0" xfId="0" applyFont="1" applyAlignment="1" applyProtection="1">
      <alignment horizontal="left" vertical="top" wrapText="1" readingOrder="1"/>
      <protection locked="0"/>
    </xf>
    <xf numFmtId="0" fontId="13" fillId="0" borderId="0" xfId="0" applyFont="1" applyAlignment="1" applyProtection="1">
      <alignment horizontal="center" vertical="center" wrapText="1" readingOrder="1"/>
      <protection locked="0"/>
    </xf>
    <xf numFmtId="0" fontId="24" fillId="0" borderId="0" xfId="0" applyFont="1" applyAlignment="1" applyProtection="1">
      <alignment horizontal="center" vertical="center" wrapText="1" readingOrder="1"/>
      <protection locked="0"/>
    </xf>
    <xf numFmtId="0" fontId="24" fillId="0" borderId="145" xfId="0" applyFont="1" applyBorder="1" applyAlignment="1" applyProtection="1">
      <alignment horizontal="left" vertical="center" wrapText="1" readingOrder="1"/>
      <protection locked="0"/>
    </xf>
    <xf numFmtId="0" fontId="13" fillId="0" borderId="148" xfId="0" applyFont="1" applyBorder="1" applyAlignment="1" applyProtection="1">
      <alignment horizontal="left" vertical="top" wrapText="1" readingOrder="1"/>
      <protection locked="0"/>
    </xf>
    <xf numFmtId="0" fontId="13" fillId="0" borderId="158" xfId="0" applyFont="1" applyBorder="1" applyAlignment="1" applyProtection="1">
      <alignment horizontal="left" vertical="top" wrapText="1" readingOrder="1"/>
      <protection locked="0"/>
    </xf>
    <xf numFmtId="0" fontId="13" fillId="0" borderId="153" xfId="0" applyFont="1" applyBorder="1" applyAlignment="1" applyProtection="1">
      <alignment horizontal="left" vertical="top" wrapText="1" readingOrder="1"/>
      <protection locked="0"/>
    </xf>
    <xf numFmtId="0" fontId="13" fillId="0" borderId="156" xfId="0" applyFont="1" applyBorder="1" applyAlignment="1" applyProtection="1">
      <alignment horizontal="left" vertical="top" wrapText="1" readingOrder="1"/>
      <protection locked="0"/>
    </xf>
    <xf numFmtId="0" fontId="13" fillId="0" borderId="149" xfId="0" applyFont="1" applyBorder="1" applyAlignment="1" applyProtection="1">
      <alignment horizontal="left" vertical="top" wrapText="1" readingOrder="1"/>
      <protection locked="0"/>
    </xf>
    <xf numFmtId="0" fontId="13" fillId="0" borderId="154" xfId="0" applyFont="1" applyBorder="1" applyAlignment="1" applyProtection="1">
      <alignment horizontal="left" vertical="top" wrapText="1" readingOrder="1"/>
      <protection locked="0"/>
    </xf>
    <xf numFmtId="0" fontId="13" fillId="0" borderId="155" xfId="0" applyFont="1" applyBorder="1" applyAlignment="1" applyProtection="1">
      <alignment horizontal="left" vertical="top" wrapText="1" readingOrder="1"/>
      <protection locked="0"/>
    </xf>
    <xf numFmtId="0" fontId="24" fillId="0" borderId="0" xfId="0" applyFont="1" applyAlignment="1" applyProtection="1">
      <alignment horizontal="left" vertical="center" wrapText="1" readingOrder="1"/>
      <protection locked="0"/>
    </xf>
    <xf numFmtId="0" fontId="13" fillId="0" borderId="0" xfId="0" applyFont="1" applyAlignment="1">
      <alignment horizontal="left" readingOrder="1"/>
    </xf>
    <xf numFmtId="0" fontId="24" fillId="0" borderId="159" xfId="0" applyFont="1" applyBorder="1" applyAlignment="1" applyProtection="1">
      <alignment horizontal="left" vertical="center" wrapText="1" readingOrder="1"/>
      <protection locked="0"/>
    </xf>
    <xf numFmtId="0" fontId="24" fillId="0" borderId="177" xfId="0" applyFont="1" applyBorder="1" applyAlignment="1" applyProtection="1">
      <alignment horizontal="left" vertical="center" wrapText="1" readingOrder="1"/>
      <protection locked="0"/>
    </xf>
    <xf numFmtId="0" fontId="13" fillId="0" borderId="178" xfId="0" applyFont="1" applyBorder="1" applyAlignment="1" applyProtection="1">
      <alignment horizontal="left" vertical="top" wrapText="1" readingOrder="1"/>
      <protection locked="0"/>
    </xf>
    <xf numFmtId="0" fontId="13" fillId="0" borderId="179" xfId="0" applyFont="1" applyBorder="1" applyAlignment="1" applyProtection="1">
      <alignment horizontal="left" vertical="top" wrapText="1" readingOrder="1"/>
      <protection locked="0"/>
    </xf>
    <xf numFmtId="0" fontId="13" fillId="0" borderId="151" xfId="0" applyFont="1" applyBorder="1" applyAlignment="1" applyProtection="1">
      <alignment horizontal="left" vertical="top" wrapText="1" readingOrder="1"/>
      <protection locked="0"/>
    </xf>
    <xf numFmtId="0" fontId="13" fillId="0" borderId="157" xfId="0" applyFont="1" applyBorder="1" applyAlignment="1" applyProtection="1">
      <alignment horizontal="left" vertical="top" wrapText="1" readingOrder="1"/>
      <protection locked="0"/>
    </xf>
    <xf numFmtId="0" fontId="24" fillId="0" borderId="145" xfId="0" applyFont="1" applyBorder="1" applyAlignment="1" applyProtection="1">
      <alignment horizontal="left" vertical="top" wrapText="1" readingOrder="1"/>
      <protection locked="0"/>
    </xf>
    <xf numFmtId="173" fontId="24" fillId="0" borderId="145" xfId="0" applyNumberFormat="1" applyFont="1" applyBorder="1" applyAlignment="1" applyProtection="1">
      <alignment horizontal="left" vertical="top" wrapText="1" readingOrder="1"/>
      <protection locked="0"/>
    </xf>
    <xf numFmtId="0" fontId="24" fillId="0" borderId="146" xfId="0" applyFont="1" applyBorder="1" applyAlignment="1" applyProtection="1">
      <alignment horizontal="left" vertical="top" wrapText="1" readingOrder="1"/>
      <protection locked="0"/>
    </xf>
    <xf numFmtId="0" fontId="24" fillId="0" borderId="147" xfId="0" applyFont="1" applyBorder="1" applyAlignment="1" applyProtection="1">
      <alignment horizontal="left" vertical="top" wrapText="1" readingOrder="1"/>
      <protection locked="0"/>
    </xf>
    <xf numFmtId="0" fontId="24" fillId="0" borderId="180" xfId="0" applyFont="1" applyBorder="1" applyAlignment="1" applyProtection="1">
      <alignment horizontal="left" vertical="top" wrapText="1" readingOrder="1"/>
      <protection locked="0"/>
    </xf>
    <xf numFmtId="0" fontId="13" fillId="0" borderId="181" xfId="0" applyFont="1" applyBorder="1" applyAlignment="1" applyProtection="1">
      <alignment horizontal="left" vertical="top" wrapText="1" readingOrder="1"/>
      <protection locked="0"/>
    </xf>
    <xf numFmtId="0" fontId="13" fillId="0" borderId="182" xfId="0" applyFont="1" applyBorder="1" applyAlignment="1" applyProtection="1">
      <alignment horizontal="left" vertical="top" wrapText="1" readingOrder="1"/>
      <protection locked="0"/>
    </xf>
    <xf numFmtId="169" fontId="24" fillId="0" borderId="145" xfId="0" applyNumberFormat="1" applyFont="1" applyBorder="1" applyAlignment="1" applyProtection="1">
      <alignment horizontal="left" vertical="top" wrapText="1" readingOrder="1"/>
      <protection locked="0"/>
    </xf>
    <xf numFmtId="169" fontId="24" fillId="0" borderId="180" xfId="0" applyNumberFormat="1" applyFont="1" applyBorder="1" applyAlignment="1" applyProtection="1">
      <alignment horizontal="left" vertical="top" wrapText="1" readingOrder="1"/>
      <protection locked="0"/>
    </xf>
    <xf numFmtId="0" fontId="14" fillId="0" borderId="0" xfId="0" applyFont="1" applyAlignment="1" applyProtection="1">
      <alignment horizontal="center" vertical="top" wrapText="1" readingOrder="1"/>
      <protection locked="0"/>
    </xf>
    <xf numFmtId="0" fontId="14" fillId="0" borderId="0" xfId="0" applyFont="1"/>
    <xf numFmtId="0" fontId="25" fillId="0" borderId="0" xfId="0" applyFont="1" applyAlignment="1" applyProtection="1">
      <alignment vertical="top" wrapText="1" readingOrder="1"/>
      <protection locked="0"/>
    </xf>
    <xf numFmtId="0" fontId="13" fillId="0" borderId="0" xfId="0" applyFont="1" applyAlignment="1" applyProtection="1">
      <alignment vertical="top" wrapText="1" readingOrder="1"/>
      <protection locked="0"/>
    </xf>
    <xf numFmtId="0" fontId="14" fillId="0" borderId="0" xfId="0" applyFont="1" applyAlignment="1" applyProtection="1">
      <alignment vertical="top" wrapText="1" readingOrder="1"/>
      <protection locked="0"/>
    </xf>
    <xf numFmtId="0" fontId="27" fillId="0" borderId="157" xfId="0" applyFont="1" applyBorder="1" applyAlignment="1" applyProtection="1">
      <alignment horizontal="center" vertical="center" wrapText="1" readingOrder="1"/>
      <protection locked="0"/>
    </xf>
    <xf numFmtId="0" fontId="14" fillId="0" borderId="157" xfId="0" applyFont="1" applyBorder="1" applyAlignment="1" applyProtection="1">
      <alignment vertical="top" wrapText="1"/>
      <protection locked="0"/>
    </xf>
    <xf numFmtId="0" fontId="27" fillId="0" borderId="157" xfId="0" applyFont="1" applyBorder="1" applyAlignment="1" applyProtection="1">
      <alignment horizontal="center" vertical="top" wrapText="1" readingOrder="1"/>
      <protection locked="0"/>
    </xf>
    <xf numFmtId="0" fontId="14" fillId="0" borderId="0" xfId="0" applyFont="1" applyAlignment="1" applyProtection="1">
      <alignment horizontal="center" vertical="center" wrapText="1" readingOrder="1"/>
      <protection locked="0"/>
    </xf>
    <xf numFmtId="0" fontId="27" fillId="0" borderId="0" xfId="0" applyFont="1" applyAlignment="1" applyProtection="1">
      <alignment horizontal="center" vertical="center" wrapText="1" readingOrder="1"/>
      <protection locked="0"/>
    </xf>
    <xf numFmtId="0" fontId="91" fillId="0" borderId="0" xfId="0" applyFont="1" applyAlignment="1" applyProtection="1">
      <alignment horizontal="center" vertical="center" wrapText="1" readingOrder="1"/>
      <protection locked="0"/>
    </xf>
    <xf numFmtId="0" fontId="14" fillId="0" borderId="157" xfId="0" applyFont="1" applyBorder="1" applyAlignment="1" applyProtection="1">
      <alignment horizontal="center" vertical="top" wrapText="1" readingOrder="1"/>
      <protection locked="0"/>
    </xf>
    <xf numFmtId="0" fontId="24" fillId="0" borderId="145" xfId="0" applyFont="1" applyBorder="1" applyAlignment="1" applyProtection="1">
      <alignment horizontal="center" vertical="center" wrapText="1" readingOrder="1"/>
      <protection locked="0"/>
    </xf>
    <xf numFmtId="0" fontId="14" fillId="0" borderId="148" xfId="0" applyFont="1" applyBorder="1" applyAlignment="1" applyProtection="1">
      <alignment vertical="top" wrapText="1"/>
      <protection locked="0"/>
    </xf>
    <xf numFmtId="0" fontId="14" fillId="0" borderId="158" xfId="0" applyFont="1" applyBorder="1" applyAlignment="1" applyProtection="1">
      <alignment vertical="top" wrapText="1"/>
      <protection locked="0"/>
    </xf>
    <xf numFmtId="0" fontId="14" fillId="0" borderId="153" xfId="0" applyFont="1" applyBorder="1" applyAlignment="1" applyProtection="1">
      <alignment vertical="top" wrapText="1"/>
      <protection locked="0"/>
    </xf>
    <xf numFmtId="0" fontId="14" fillId="0" borderId="156" xfId="0" applyFont="1" applyBorder="1" applyAlignment="1" applyProtection="1">
      <alignment vertical="top" wrapText="1"/>
      <protection locked="0"/>
    </xf>
    <xf numFmtId="0" fontId="14" fillId="0" borderId="149" xfId="0" applyFont="1" applyBorder="1" applyAlignment="1" applyProtection="1">
      <alignment vertical="top" wrapText="1"/>
      <protection locked="0"/>
    </xf>
    <xf numFmtId="0" fontId="14" fillId="0" borderId="154" xfId="0" applyFont="1" applyBorder="1" applyAlignment="1" applyProtection="1">
      <alignment vertical="top" wrapText="1"/>
      <protection locked="0"/>
    </xf>
    <xf numFmtId="0" fontId="14" fillId="0" borderId="155" xfId="0" applyFont="1" applyBorder="1" applyAlignment="1" applyProtection="1">
      <alignment vertical="top" wrapText="1"/>
      <protection locked="0"/>
    </xf>
    <xf numFmtId="0" fontId="14" fillId="0" borderId="146" xfId="0" applyFont="1" applyBorder="1" applyAlignment="1" applyProtection="1">
      <alignment vertical="top" wrapText="1"/>
      <protection locked="0"/>
    </xf>
    <xf numFmtId="0" fontId="14" fillId="0" borderId="147" xfId="0" applyFont="1" applyBorder="1" applyAlignment="1" applyProtection="1">
      <alignment vertical="top" wrapText="1"/>
      <protection locked="0"/>
    </xf>
    <xf numFmtId="0" fontId="24" fillId="0" borderId="159" xfId="0" applyFont="1" applyBorder="1" applyAlignment="1" applyProtection="1">
      <alignment horizontal="center" vertical="center" wrapText="1" readingOrder="1"/>
      <protection locked="0"/>
    </xf>
    <xf numFmtId="0" fontId="14" fillId="0" borderId="178" xfId="0" applyFont="1" applyBorder="1" applyAlignment="1" applyProtection="1">
      <alignment vertical="top" wrapText="1"/>
      <protection locked="0"/>
    </xf>
    <xf numFmtId="0" fontId="14" fillId="0" borderId="179" xfId="0" applyFont="1" applyBorder="1" applyAlignment="1" applyProtection="1">
      <alignment vertical="top" wrapText="1"/>
      <protection locked="0"/>
    </xf>
    <xf numFmtId="0" fontId="14" fillId="0" borderId="151" xfId="0" applyFont="1" applyBorder="1" applyAlignment="1" applyProtection="1">
      <alignment vertical="top" wrapText="1"/>
      <protection locked="0"/>
    </xf>
    <xf numFmtId="0" fontId="24" fillId="0" borderId="145" xfId="0" applyFont="1" applyBorder="1" applyAlignment="1" applyProtection="1">
      <alignment horizontal="center" vertical="top" wrapText="1" readingOrder="1"/>
      <protection locked="0"/>
    </xf>
    <xf numFmtId="0" fontId="22" fillId="0" borderId="145" xfId="0" applyFont="1" applyBorder="1" applyAlignment="1" applyProtection="1">
      <alignment horizontal="center" vertical="center" wrapText="1" readingOrder="1"/>
      <protection locked="0"/>
    </xf>
    <xf numFmtId="0" fontId="14" fillId="0" borderId="147" xfId="0" applyFont="1" applyBorder="1" applyAlignment="1" applyProtection="1">
      <alignment horizontal="center" vertical="center" wrapText="1"/>
      <protection locked="0"/>
    </xf>
    <xf numFmtId="169" fontId="22" fillId="0" borderId="145" xfId="0" applyNumberFormat="1" applyFont="1" applyBorder="1" applyAlignment="1" applyProtection="1">
      <alignment horizontal="center" vertical="center" wrapText="1" readingOrder="1"/>
      <protection locked="0"/>
    </xf>
    <xf numFmtId="0" fontId="14" fillId="0" borderId="146" xfId="0" applyFont="1" applyBorder="1" applyAlignment="1" applyProtection="1">
      <alignment horizontal="center" vertical="center" wrapText="1"/>
      <protection locked="0"/>
    </xf>
    <xf numFmtId="0" fontId="17" fillId="0" borderId="180" xfId="0" applyFont="1" applyBorder="1" applyAlignment="1" applyProtection="1">
      <alignment horizontal="center" vertical="center" wrapText="1" readingOrder="1"/>
      <protection locked="0"/>
    </xf>
    <xf numFmtId="0" fontId="14" fillId="0" borderId="181" xfId="0" applyFont="1" applyBorder="1" applyAlignment="1" applyProtection="1">
      <alignment horizontal="center" vertical="center" wrapText="1"/>
      <protection locked="0"/>
    </xf>
    <xf numFmtId="0" fontId="14" fillId="0" borderId="182" xfId="0" applyFont="1" applyBorder="1" applyAlignment="1" applyProtection="1">
      <alignment horizontal="center" vertical="center" wrapText="1"/>
      <protection locked="0"/>
    </xf>
    <xf numFmtId="0" fontId="17" fillId="0" borderId="145" xfId="0" applyFont="1" applyBorder="1" applyAlignment="1" applyProtection="1">
      <alignment horizontal="right" vertical="top" wrapText="1" readingOrder="1"/>
      <protection locked="0"/>
    </xf>
    <xf numFmtId="0" fontId="27" fillId="0" borderId="146" xfId="0" applyFont="1" applyBorder="1" applyAlignment="1" applyProtection="1">
      <alignment vertical="top" wrapText="1"/>
      <protection locked="0"/>
    </xf>
    <xf numFmtId="0" fontId="27" fillId="0" borderId="147" xfId="0" applyFont="1" applyBorder="1" applyAlignment="1" applyProtection="1">
      <alignment vertical="top" wrapText="1"/>
      <protection locked="0"/>
    </xf>
    <xf numFmtId="173" fontId="17" fillId="0" borderId="145" xfId="0" applyNumberFormat="1" applyFont="1" applyBorder="1" applyAlignment="1" applyProtection="1">
      <alignment horizontal="left" vertical="center" wrapText="1" readingOrder="1"/>
      <protection locked="0"/>
    </xf>
    <xf numFmtId="0" fontId="27" fillId="0" borderId="146" xfId="0" applyFont="1" applyBorder="1" applyAlignment="1" applyProtection="1">
      <alignment horizontal="left" vertical="center" wrapText="1"/>
      <protection locked="0"/>
    </xf>
    <xf numFmtId="0" fontId="27" fillId="0" borderId="147" xfId="0" applyFont="1" applyBorder="1" applyAlignment="1" applyProtection="1">
      <alignment horizontal="left" vertical="center" wrapText="1"/>
      <protection locked="0"/>
    </xf>
    <xf numFmtId="0" fontId="17" fillId="0" borderId="180" xfId="0" applyFont="1" applyBorder="1" applyAlignment="1" applyProtection="1">
      <alignment horizontal="right" vertical="top" wrapText="1" readingOrder="1"/>
      <protection locked="0"/>
    </xf>
    <xf numFmtId="0" fontId="14" fillId="0" borderId="181" xfId="0" applyFont="1" applyBorder="1" applyAlignment="1" applyProtection="1">
      <alignment vertical="top" wrapText="1"/>
      <protection locked="0"/>
    </xf>
    <xf numFmtId="0" fontId="14" fillId="0" borderId="182" xfId="0" applyFont="1" applyBorder="1" applyAlignment="1" applyProtection="1">
      <alignment vertical="top" wrapText="1"/>
      <protection locked="0"/>
    </xf>
    <xf numFmtId="169" fontId="17" fillId="0" borderId="180" xfId="0" applyNumberFormat="1" applyFont="1" applyBorder="1" applyAlignment="1" applyProtection="1">
      <alignment horizontal="center" vertical="center" wrapText="1" readingOrder="1"/>
      <protection locked="0"/>
    </xf>
    <xf numFmtId="0" fontId="23" fillId="0" borderId="0" xfId="0" applyFont="1" applyAlignment="1" applyProtection="1">
      <alignment horizontal="center" vertical="top" wrapText="1" readingOrder="1"/>
      <protection locked="0"/>
    </xf>
    <xf numFmtId="0" fontId="88" fillId="0" borderId="0" xfId="0" applyFont="1" applyAlignment="1" applyProtection="1">
      <alignment vertical="top" wrapText="1" readingOrder="1"/>
      <protection locked="0"/>
    </xf>
    <xf numFmtId="0" fontId="23" fillId="0" borderId="0" xfId="0" applyFont="1" applyAlignment="1" applyProtection="1">
      <alignment vertical="top" wrapText="1" readingOrder="1"/>
      <protection locked="0"/>
    </xf>
    <xf numFmtId="0" fontId="86" fillId="0" borderId="157" xfId="0" applyFont="1" applyBorder="1" applyAlignment="1" applyProtection="1">
      <alignment horizontal="center" vertical="center" wrapText="1" readingOrder="1"/>
      <protection locked="0"/>
    </xf>
    <xf numFmtId="0" fontId="86" fillId="0" borderId="157" xfId="0" applyFont="1" applyBorder="1" applyAlignment="1" applyProtection="1">
      <alignment horizontal="center" vertical="top" wrapText="1" readingOrder="1"/>
      <protection locked="0"/>
    </xf>
    <xf numFmtId="0" fontId="23" fillId="0" borderId="0" xfId="0" applyFont="1" applyAlignment="1" applyProtection="1">
      <alignment horizontal="center" vertical="center" wrapText="1" readingOrder="1"/>
      <protection locked="0"/>
    </xf>
    <xf numFmtId="0" fontId="86" fillId="0" borderId="0" xfId="0" applyFont="1" applyAlignment="1" applyProtection="1">
      <alignment horizontal="center" vertical="center" wrapText="1" readingOrder="1"/>
      <protection locked="0"/>
    </xf>
    <xf numFmtId="0" fontId="23" fillId="0" borderId="157" xfId="0" applyFont="1" applyBorder="1" applyAlignment="1" applyProtection="1">
      <alignment horizontal="center" vertical="top" wrapText="1" readingOrder="1"/>
      <protection locked="0"/>
    </xf>
    <xf numFmtId="0" fontId="87" fillId="0" borderId="145" xfId="0" applyFont="1" applyBorder="1" applyAlignment="1" applyProtection="1">
      <alignment vertical="top" wrapText="1" readingOrder="1"/>
      <protection locked="0"/>
    </xf>
    <xf numFmtId="0" fontId="87" fillId="0" borderId="145" xfId="0" applyFont="1" applyBorder="1" applyAlignment="1" applyProtection="1">
      <alignment horizontal="left" vertical="top" wrapText="1" readingOrder="1"/>
      <protection locked="0"/>
    </xf>
    <xf numFmtId="0" fontId="8" fillId="0" borderId="147" xfId="0" applyFont="1" applyBorder="1" applyAlignment="1" applyProtection="1">
      <alignment horizontal="left" vertical="top" wrapText="1" readingOrder="1"/>
      <protection locked="0"/>
    </xf>
    <xf numFmtId="0" fontId="27" fillId="0" borderId="0" xfId="0" applyFont="1" applyAlignment="1" applyProtection="1">
      <alignment vertical="top" wrapText="1" readingOrder="1"/>
      <protection locked="0"/>
    </xf>
    <xf numFmtId="0" fontId="29" fillId="0" borderId="157" xfId="0" applyFont="1" applyBorder="1" applyAlignment="1" applyProtection="1">
      <alignment horizontal="center" vertical="center" wrapText="1" readingOrder="1"/>
      <protection locked="0"/>
    </xf>
    <xf numFmtId="0" fontId="28" fillId="0" borderId="157" xfId="0" applyFont="1" applyBorder="1" applyAlignment="1" applyProtection="1">
      <alignment vertical="top" wrapText="1"/>
      <protection locked="0"/>
    </xf>
    <xf numFmtId="0" fontId="29" fillId="0" borderId="157" xfId="0" applyFont="1" applyBorder="1" applyAlignment="1" applyProtection="1">
      <alignment horizontal="center" vertical="top" wrapText="1" readingOrder="1"/>
      <protection locked="0"/>
    </xf>
    <xf numFmtId="0" fontId="14" fillId="0" borderId="0" xfId="0" applyFont="1" applyAlignment="1" applyProtection="1">
      <alignment horizontal="left" vertical="center" wrapText="1" readingOrder="1"/>
      <protection locked="0"/>
    </xf>
    <xf numFmtId="0" fontId="14" fillId="0" borderId="0" xfId="0" applyFont="1" applyAlignment="1" applyProtection="1">
      <alignment horizontal="left" vertical="center" wrapText="1"/>
      <protection locked="0"/>
    </xf>
    <xf numFmtId="0" fontId="27" fillId="0" borderId="34" xfId="0" applyFont="1" applyBorder="1" applyAlignment="1" applyProtection="1">
      <alignment horizontal="center" vertical="center" wrapText="1" readingOrder="1"/>
      <protection locked="0"/>
    </xf>
    <xf numFmtId="0" fontId="14" fillId="0" borderId="34" xfId="0" applyFont="1" applyBorder="1" applyAlignment="1" applyProtection="1">
      <alignment vertical="top" wrapText="1"/>
      <protection locked="0"/>
    </xf>
    <xf numFmtId="0" fontId="14" fillId="0" borderId="34" xfId="0" applyFont="1" applyBorder="1"/>
    <xf numFmtId="0" fontId="27" fillId="0" borderId="34" xfId="0" applyFont="1" applyBorder="1" applyAlignment="1" applyProtection="1">
      <alignment horizontal="left" vertical="center" wrapText="1" readingOrder="1"/>
      <protection locked="0"/>
    </xf>
    <xf numFmtId="0" fontId="27" fillId="0" borderId="34" xfId="0" applyFont="1" applyBorder="1" applyAlignment="1" applyProtection="1">
      <alignment horizontal="center" vertical="top" wrapText="1" readingOrder="1"/>
      <protection locked="0"/>
    </xf>
    <xf numFmtId="0" fontId="14" fillId="0" borderId="34" xfId="0" applyFont="1" applyBorder="1" applyAlignment="1" applyProtection="1">
      <alignment horizontal="center" vertical="center" wrapText="1" readingOrder="1"/>
      <protection locked="0"/>
    </xf>
    <xf numFmtId="0" fontId="14" fillId="0" borderId="34" xfId="0" applyFont="1" applyBorder="1" applyAlignment="1" applyProtection="1">
      <alignment horizontal="center" vertical="center" wrapText="1"/>
      <protection locked="0"/>
    </xf>
    <xf numFmtId="169" fontId="14" fillId="0" borderId="34" xfId="0" applyNumberFormat="1" applyFont="1" applyBorder="1" applyAlignment="1" applyProtection="1">
      <alignment horizontal="center" vertical="center" wrapText="1" readingOrder="1"/>
      <protection locked="0"/>
    </xf>
    <xf numFmtId="0" fontId="14" fillId="0" borderId="34" xfId="0" applyFont="1" applyBorder="1" applyAlignment="1" applyProtection="1">
      <alignment horizontal="left" vertical="center" wrapText="1" readingOrder="1"/>
      <protection locked="0"/>
    </xf>
    <xf numFmtId="0" fontId="14" fillId="0" borderId="34" xfId="0" applyFont="1" applyBorder="1" applyAlignment="1" applyProtection="1">
      <alignment horizontal="left" vertical="center" wrapText="1"/>
      <protection locked="0"/>
    </xf>
    <xf numFmtId="0" fontId="27" fillId="0" borderId="34" xfId="0" applyFont="1" applyBorder="1" applyAlignment="1" applyProtection="1">
      <alignment vertical="top" wrapText="1" readingOrder="1"/>
      <protection locked="0"/>
    </xf>
    <xf numFmtId="0" fontId="14" fillId="0" borderId="34" xfId="0" applyFont="1" applyBorder="1" applyAlignment="1" applyProtection="1">
      <alignment horizontal="right" vertical="top" wrapText="1" readingOrder="1"/>
      <protection locked="0"/>
    </xf>
    <xf numFmtId="173" fontId="14" fillId="0" borderId="34" xfId="0" applyNumberFormat="1" applyFont="1" applyBorder="1" applyAlignment="1" applyProtection="1">
      <alignment horizontal="left" vertical="top" wrapText="1" readingOrder="1"/>
      <protection locked="0"/>
    </xf>
    <xf numFmtId="0" fontId="27" fillId="0" borderId="34" xfId="0" applyFont="1" applyBorder="1" applyAlignment="1" applyProtection="1">
      <alignment horizontal="right" vertical="top" wrapText="1" readingOrder="1"/>
      <protection locked="0"/>
    </xf>
    <xf numFmtId="169" fontId="27" fillId="0" borderId="34" xfId="0" applyNumberFormat="1" applyFont="1" applyBorder="1" applyAlignment="1" applyProtection="1">
      <alignment vertical="top" wrapText="1" readingOrder="1"/>
      <protection locked="0"/>
    </xf>
    <xf numFmtId="0" fontId="27" fillId="0" borderId="145" xfId="0" applyFont="1" applyBorder="1" applyAlignment="1" applyProtection="1">
      <alignment horizontal="center" vertical="center" wrapText="1" readingOrder="1"/>
      <protection locked="0"/>
    </xf>
    <xf numFmtId="0" fontId="27" fillId="0" borderId="159" xfId="0" applyFont="1" applyBorder="1" applyAlignment="1" applyProtection="1">
      <alignment horizontal="center" vertical="center" wrapText="1" readingOrder="1"/>
      <protection locked="0"/>
    </xf>
    <xf numFmtId="0" fontId="27" fillId="0" borderId="177" xfId="0" applyFont="1" applyBorder="1" applyAlignment="1" applyProtection="1">
      <alignment horizontal="left" vertical="center" wrapText="1" readingOrder="1"/>
      <protection locked="0"/>
    </xf>
    <xf numFmtId="0" fontId="27" fillId="0" borderId="145" xfId="0" applyFont="1" applyBorder="1" applyAlignment="1" applyProtection="1">
      <alignment horizontal="center" vertical="top" wrapText="1" readingOrder="1"/>
      <protection locked="0"/>
    </xf>
    <xf numFmtId="0" fontId="14" fillId="0" borderId="145" xfId="0" applyFont="1" applyBorder="1" applyAlignment="1" applyProtection="1">
      <alignment horizontal="left" vertical="center" wrapText="1" readingOrder="1"/>
      <protection locked="0"/>
    </xf>
    <xf numFmtId="0" fontId="14" fillId="0" borderId="147" xfId="0" applyFont="1" applyBorder="1" applyAlignment="1" applyProtection="1">
      <alignment horizontal="left" vertical="center" wrapText="1"/>
      <protection locked="0"/>
    </xf>
    <xf numFmtId="169" fontId="14" fillId="0" borderId="145" xfId="0" applyNumberFormat="1" applyFont="1" applyBorder="1" applyAlignment="1" applyProtection="1">
      <alignment horizontal="center" vertical="center" wrapText="1" readingOrder="1"/>
      <protection locked="0"/>
    </xf>
    <xf numFmtId="0" fontId="14" fillId="0" borderId="145" xfId="0" applyFont="1" applyBorder="1" applyAlignment="1" applyProtection="1">
      <alignment horizontal="center" vertical="center" wrapText="1" readingOrder="1"/>
      <protection locked="0"/>
    </xf>
    <xf numFmtId="0" fontId="27" fillId="0" borderId="180" xfId="0" applyFont="1" applyBorder="1" applyAlignment="1" applyProtection="1">
      <alignment vertical="top" wrapText="1" readingOrder="1"/>
      <protection locked="0"/>
    </xf>
    <xf numFmtId="0" fontId="14" fillId="0" borderId="69" xfId="0" applyFont="1" applyBorder="1"/>
    <xf numFmtId="0" fontId="23" fillId="0" borderId="101" xfId="0" applyFont="1" applyBorder="1"/>
    <xf numFmtId="0" fontId="23" fillId="0" borderId="55" xfId="0" applyFont="1" applyBorder="1"/>
    <xf numFmtId="0" fontId="27" fillId="0" borderId="183" xfId="0" applyFont="1" applyBorder="1" applyAlignment="1" applyProtection="1">
      <alignment horizontal="right" vertical="center" wrapText="1" readingOrder="1"/>
      <protection locked="0"/>
    </xf>
    <xf numFmtId="0" fontId="14" fillId="0" borderId="184" xfId="0" applyFont="1" applyBorder="1" applyAlignment="1" applyProtection="1">
      <alignment horizontal="right" vertical="center" wrapText="1" readingOrder="1"/>
      <protection locked="0"/>
    </xf>
    <xf numFmtId="169" fontId="27" fillId="0" borderId="183" xfId="0" applyNumberFormat="1" applyFont="1" applyBorder="1" applyAlignment="1" applyProtection="1">
      <alignment horizontal="center" vertical="center" wrapText="1" readingOrder="1"/>
      <protection locked="0"/>
    </xf>
    <xf numFmtId="0" fontId="14" fillId="0" borderId="185" xfId="0" applyFont="1" applyBorder="1" applyAlignment="1" applyProtection="1">
      <alignment horizontal="center" vertical="center" wrapText="1" readingOrder="1"/>
      <protection locked="0"/>
    </xf>
    <xf numFmtId="169" fontId="27" fillId="0" borderId="180" xfId="0" applyNumberFormat="1" applyFont="1" applyBorder="1" applyAlignment="1" applyProtection="1">
      <alignment horizontal="center" vertical="center" wrapText="1" readingOrder="1"/>
      <protection locked="0"/>
    </xf>
    <xf numFmtId="0" fontId="14" fillId="0" borderId="181" xfId="0" applyFont="1" applyBorder="1" applyAlignment="1" applyProtection="1">
      <alignment horizontal="center" vertical="center" wrapText="1" readingOrder="1"/>
      <protection locked="0"/>
    </xf>
    <xf numFmtId="0" fontId="14" fillId="0" borderId="182" xfId="0" applyFont="1" applyBorder="1" applyAlignment="1" applyProtection="1">
      <alignment horizontal="center" vertical="center" wrapText="1" readingOrder="1"/>
      <protection locked="0"/>
    </xf>
    <xf numFmtId="169" fontId="87" fillId="0" borderId="145" xfId="0" applyNumberFormat="1" applyFont="1" applyBorder="1" applyAlignment="1" applyProtection="1">
      <alignment horizontal="left" vertical="top" wrapText="1" readingOrder="1"/>
      <protection locked="0"/>
    </xf>
    <xf numFmtId="0" fontId="8" fillId="0" borderId="146" xfId="0" applyFont="1" applyBorder="1" applyAlignment="1" applyProtection="1">
      <alignment horizontal="left" vertical="top" wrapText="1" readingOrder="1"/>
      <protection locked="0"/>
    </xf>
    <xf numFmtId="0" fontId="85" fillId="0" borderId="180" xfId="0" applyFont="1" applyBorder="1" applyAlignment="1" applyProtection="1">
      <alignment horizontal="left" vertical="top" wrapText="1" readingOrder="1"/>
      <protection locked="0"/>
    </xf>
    <xf numFmtId="0" fontId="8" fillId="0" borderId="181" xfId="0" applyFont="1" applyBorder="1" applyAlignment="1" applyProtection="1">
      <alignment horizontal="left" vertical="top" wrapText="1" readingOrder="1"/>
      <protection locked="0"/>
    </xf>
    <xf numFmtId="0" fontId="8" fillId="0" borderId="182" xfId="0" applyFont="1" applyBorder="1" applyAlignment="1" applyProtection="1">
      <alignment horizontal="left" vertical="top" wrapText="1" readingOrder="1"/>
      <protection locked="0"/>
    </xf>
    <xf numFmtId="173" fontId="85" fillId="0" borderId="145" xfId="0" applyNumberFormat="1" applyFont="1" applyBorder="1" applyAlignment="1" applyProtection="1">
      <alignment horizontal="left" vertical="top" wrapText="1" readingOrder="1"/>
      <protection locked="0"/>
    </xf>
    <xf numFmtId="0" fontId="86" fillId="0" borderId="146" xfId="0" applyFont="1" applyBorder="1" applyAlignment="1" applyProtection="1">
      <alignment vertical="top" wrapText="1"/>
      <protection locked="0"/>
    </xf>
    <xf numFmtId="0" fontId="86" fillId="0" borderId="147" xfId="0" applyFont="1" applyBorder="1" applyAlignment="1" applyProtection="1">
      <alignment vertical="top" wrapText="1"/>
      <protection locked="0"/>
    </xf>
    <xf numFmtId="169" fontId="85" fillId="0" borderId="180" xfId="0" applyNumberFormat="1" applyFont="1" applyBorder="1" applyAlignment="1" applyProtection="1">
      <alignment horizontal="left" vertical="top" wrapText="1" readingOrder="1"/>
      <protection locked="0"/>
    </xf>
    <xf numFmtId="0" fontId="23" fillId="0" borderId="157" xfId="0" applyFont="1" applyBorder="1" applyAlignment="1" applyProtection="1">
      <alignment vertical="top" wrapText="1"/>
      <protection locked="0"/>
    </xf>
    <xf numFmtId="0" fontId="23" fillId="0" borderId="148" xfId="0" applyFont="1" applyBorder="1" applyAlignment="1" applyProtection="1">
      <alignment vertical="top" wrapText="1"/>
      <protection locked="0"/>
    </xf>
    <xf numFmtId="0" fontId="23" fillId="0" borderId="158" xfId="0" applyFont="1" applyBorder="1" applyAlignment="1" applyProtection="1">
      <alignment vertical="top" wrapText="1"/>
      <protection locked="0"/>
    </xf>
    <xf numFmtId="0" fontId="23" fillId="0" borderId="153" xfId="0" applyFont="1" applyBorder="1" applyAlignment="1" applyProtection="1">
      <alignment vertical="top" wrapText="1"/>
      <protection locked="0"/>
    </xf>
    <xf numFmtId="0" fontId="23" fillId="0" borderId="156" xfId="0" applyFont="1" applyBorder="1" applyAlignment="1" applyProtection="1">
      <alignment vertical="top" wrapText="1"/>
      <protection locked="0"/>
    </xf>
    <xf numFmtId="0" fontId="23" fillId="0" borderId="149" xfId="0" applyFont="1" applyBorder="1" applyAlignment="1" applyProtection="1">
      <alignment vertical="top" wrapText="1"/>
      <protection locked="0"/>
    </xf>
    <xf numFmtId="0" fontId="23" fillId="0" borderId="154" xfId="0" applyFont="1" applyBorder="1" applyAlignment="1" applyProtection="1">
      <alignment vertical="top" wrapText="1"/>
      <protection locked="0"/>
    </xf>
    <xf numFmtId="0" fontId="23" fillId="0" borderId="155" xfId="0" applyFont="1" applyBorder="1" applyAlignment="1" applyProtection="1">
      <alignment vertical="top" wrapText="1"/>
      <protection locked="0"/>
    </xf>
    <xf numFmtId="0" fontId="23" fillId="0" borderId="151" xfId="0" applyFont="1" applyBorder="1" applyAlignment="1" applyProtection="1">
      <alignment vertical="top" wrapText="1"/>
      <protection locked="0"/>
    </xf>
    <xf numFmtId="0" fontId="23" fillId="0" borderId="0" xfId="0" applyFont="1" applyAlignment="1" applyProtection="1">
      <alignment vertical="top" wrapText="1"/>
      <protection locked="0"/>
    </xf>
    <xf numFmtId="0" fontId="23" fillId="0" borderId="146" xfId="0" applyFont="1" applyBorder="1" applyAlignment="1" applyProtection="1">
      <alignment vertical="top" wrapText="1"/>
      <protection locked="0"/>
    </xf>
    <xf numFmtId="0" fontId="23" fillId="0" borderId="147" xfId="0" applyFont="1" applyBorder="1" applyAlignment="1" applyProtection="1">
      <alignment vertical="top" wrapText="1"/>
      <protection locked="0"/>
    </xf>
    <xf numFmtId="0" fontId="23" fillId="0" borderId="178" xfId="0" applyFont="1" applyBorder="1" applyAlignment="1" applyProtection="1">
      <alignment vertical="top" wrapText="1"/>
      <protection locked="0"/>
    </xf>
    <xf numFmtId="0" fontId="23" fillId="0" borderId="179" xfId="0" applyFont="1" applyBorder="1" applyAlignment="1" applyProtection="1">
      <alignment vertical="top" wrapText="1"/>
      <protection locked="0"/>
    </xf>
    <xf numFmtId="0" fontId="23" fillId="0" borderId="181" xfId="0" applyFont="1" applyBorder="1" applyAlignment="1" applyProtection="1">
      <alignment vertical="top" wrapText="1"/>
      <protection locked="0"/>
    </xf>
    <xf numFmtId="0" fontId="23" fillId="0" borderId="182" xfId="0" applyFont="1" applyBorder="1" applyAlignment="1" applyProtection="1">
      <alignment vertical="top" wrapText="1"/>
      <protection locked="0"/>
    </xf>
    <xf numFmtId="0" fontId="24" fillId="0" borderId="150" xfId="0" applyFont="1" applyBorder="1" applyAlignment="1" applyProtection="1">
      <alignment horizontal="center" vertical="center" wrapText="1" readingOrder="1"/>
      <protection locked="0"/>
    </xf>
    <xf numFmtId="0" fontId="24" fillId="0" borderId="148" xfId="0" applyFont="1" applyBorder="1" applyAlignment="1" applyProtection="1">
      <alignment horizontal="center" vertical="center" wrapText="1" readingOrder="1"/>
      <protection locked="0"/>
    </xf>
    <xf numFmtId="0" fontId="24" fillId="0" borderId="158" xfId="0" applyFont="1" applyBorder="1" applyAlignment="1" applyProtection="1">
      <alignment horizontal="center" vertical="center" wrapText="1" readingOrder="1"/>
      <protection locked="0"/>
    </xf>
    <xf numFmtId="0" fontId="24" fillId="0" borderId="152" xfId="0" applyFont="1" applyBorder="1" applyAlignment="1" applyProtection="1">
      <alignment horizontal="center" vertical="center" wrapText="1" readingOrder="1"/>
      <protection locked="0"/>
    </xf>
    <xf numFmtId="0" fontId="24" fillId="0" borderId="153" xfId="0" applyFont="1" applyBorder="1" applyAlignment="1" applyProtection="1">
      <alignment horizontal="center" vertical="center" wrapText="1" readingOrder="1"/>
      <protection locked="0"/>
    </xf>
    <xf numFmtId="0" fontId="24" fillId="0" borderId="156" xfId="0" applyFont="1" applyBorder="1" applyAlignment="1" applyProtection="1">
      <alignment horizontal="center" vertical="center" wrapText="1" readingOrder="1"/>
      <protection locked="0"/>
    </xf>
    <xf numFmtId="0" fontId="24" fillId="0" borderId="149" xfId="0" applyFont="1" applyBorder="1" applyAlignment="1" applyProtection="1">
      <alignment horizontal="center" vertical="center" wrapText="1" readingOrder="1"/>
      <protection locked="0"/>
    </xf>
    <xf numFmtId="0" fontId="24" fillId="0" borderId="154" xfId="0" applyFont="1" applyBorder="1" applyAlignment="1" applyProtection="1">
      <alignment horizontal="center" vertical="center" wrapText="1" readingOrder="1"/>
      <protection locked="0"/>
    </xf>
    <xf numFmtId="0" fontId="24" fillId="0" borderId="155" xfId="0" applyFont="1" applyBorder="1" applyAlignment="1" applyProtection="1">
      <alignment horizontal="center" vertical="center" wrapText="1" readingOrder="1"/>
      <protection locked="0"/>
    </xf>
    <xf numFmtId="0" fontId="24" fillId="0" borderId="146" xfId="0" applyFont="1" applyBorder="1" applyAlignment="1" applyProtection="1">
      <alignment horizontal="center" vertical="center" wrapText="1" readingOrder="1"/>
      <protection locked="0"/>
    </xf>
    <xf numFmtId="0" fontId="24" fillId="0" borderId="147" xfId="0" applyFont="1" applyBorder="1" applyAlignment="1" applyProtection="1">
      <alignment horizontal="center" vertical="center" wrapText="1" readingOrder="1"/>
      <protection locked="0"/>
    </xf>
    <xf numFmtId="0" fontId="24" fillId="0" borderId="166" xfId="0" applyFont="1" applyBorder="1" applyAlignment="1" applyProtection="1">
      <alignment horizontal="center" vertical="center" wrapText="1" readingOrder="1"/>
      <protection locked="0"/>
    </xf>
    <xf numFmtId="0" fontId="24" fillId="0" borderId="190" xfId="0" applyFont="1" applyBorder="1" applyAlignment="1" applyProtection="1">
      <alignment horizontal="left" vertical="center" wrapText="1" readingOrder="1"/>
      <protection locked="0"/>
    </xf>
    <xf numFmtId="0" fontId="24" fillId="0" borderId="146" xfId="0" applyFont="1" applyBorder="1" applyAlignment="1" applyProtection="1">
      <alignment horizontal="left" vertical="center" wrapText="1" readingOrder="1"/>
      <protection locked="0"/>
    </xf>
    <xf numFmtId="0" fontId="24" fillId="0" borderId="147" xfId="0" applyFont="1" applyBorder="1" applyAlignment="1" applyProtection="1">
      <alignment horizontal="left" vertical="center" wrapText="1" readingOrder="1"/>
      <protection locked="0"/>
    </xf>
    <xf numFmtId="0" fontId="24" fillId="0" borderId="151" xfId="0" applyFont="1" applyBorder="1" applyAlignment="1" applyProtection="1">
      <alignment horizontal="center" vertical="center" wrapText="1" readingOrder="1"/>
      <protection locked="0"/>
    </xf>
    <xf numFmtId="0" fontId="22" fillId="0" borderId="159" xfId="0" applyFont="1" applyBorder="1" applyAlignment="1" applyProtection="1">
      <alignment vertical="top" wrapText="1" readingOrder="1"/>
      <protection locked="0"/>
    </xf>
    <xf numFmtId="0" fontId="22" fillId="0" borderId="147" xfId="0" applyFont="1" applyBorder="1" applyAlignment="1" applyProtection="1">
      <alignment vertical="top" wrapText="1" readingOrder="1"/>
      <protection locked="0"/>
    </xf>
    <xf numFmtId="169" fontId="22" fillId="0" borderId="159" xfId="0" applyNumberFormat="1" applyFont="1" applyBorder="1" applyAlignment="1" applyProtection="1">
      <alignment horizontal="center" vertical="center" wrapText="1" readingOrder="1"/>
      <protection locked="0"/>
    </xf>
    <xf numFmtId="169" fontId="22" fillId="0" borderId="147" xfId="0" applyNumberFormat="1" applyFont="1" applyBorder="1" applyAlignment="1" applyProtection="1">
      <alignment horizontal="center" vertical="center" wrapText="1" readingOrder="1"/>
      <protection locked="0"/>
    </xf>
    <xf numFmtId="169" fontId="22" fillId="0" borderId="146" xfId="0" applyNumberFormat="1" applyFont="1" applyBorder="1" applyAlignment="1" applyProtection="1">
      <alignment horizontal="center" vertical="center" wrapText="1" readingOrder="1"/>
      <protection locked="0"/>
    </xf>
    <xf numFmtId="0" fontId="24" fillId="0" borderId="159" xfId="0" applyFont="1" applyBorder="1" applyAlignment="1" applyProtection="1">
      <alignment horizontal="center" vertical="top" wrapText="1" readingOrder="1"/>
      <protection locked="0"/>
    </xf>
    <xf numFmtId="0" fontId="24" fillId="0" borderId="147" xfId="0" applyFont="1" applyBorder="1" applyAlignment="1" applyProtection="1">
      <alignment horizontal="center" vertical="top" wrapText="1" readingOrder="1"/>
      <protection locked="0"/>
    </xf>
    <xf numFmtId="0" fontId="24" fillId="0" borderId="146" xfId="0" applyFont="1" applyBorder="1" applyAlignment="1" applyProtection="1">
      <alignment horizontal="center" vertical="top" wrapText="1" readingOrder="1"/>
      <protection locked="0"/>
    </xf>
    <xf numFmtId="0" fontId="22" fillId="0" borderId="191" xfId="0" applyFont="1" applyBorder="1" applyAlignment="1" applyProtection="1">
      <alignment vertical="top" wrapText="1" readingOrder="1"/>
      <protection locked="0"/>
    </xf>
    <xf numFmtId="0" fontId="22" fillId="0" borderId="192" xfId="0" applyFont="1" applyBorder="1" applyAlignment="1" applyProtection="1">
      <alignment vertical="top" wrapText="1" readingOrder="1"/>
      <protection locked="0"/>
    </xf>
    <xf numFmtId="169" fontId="22" fillId="0" borderId="191" xfId="0" applyNumberFormat="1" applyFont="1" applyBorder="1" applyAlignment="1" applyProtection="1">
      <alignment horizontal="center" vertical="center" wrapText="1" readingOrder="1"/>
      <protection locked="0"/>
    </xf>
    <xf numFmtId="169" fontId="22" fillId="0" borderId="192" xfId="0" applyNumberFormat="1" applyFont="1" applyBorder="1" applyAlignment="1" applyProtection="1">
      <alignment horizontal="center" vertical="center" wrapText="1" readingOrder="1"/>
      <protection locked="0"/>
    </xf>
    <xf numFmtId="169" fontId="22" fillId="0" borderId="193" xfId="0" applyNumberFormat="1" applyFont="1" applyBorder="1" applyAlignment="1" applyProtection="1">
      <alignment horizontal="center" vertical="center" wrapText="1" readingOrder="1"/>
      <protection locked="0"/>
    </xf>
    <xf numFmtId="0" fontId="17" fillId="0" borderId="69" xfId="0" applyFont="1" applyBorder="1" applyAlignment="1" applyProtection="1">
      <alignment vertical="top" wrapText="1" readingOrder="1"/>
      <protection locked="0"/>
    </xf>
    <xf numFmtId="0" fontId="17" fillId="0" borderId="55" xfId="0" applyFont="1" applyBorder="1" applyAlignment="1" applyProtection="1">
      <alignment vertical="top" wrapText="1" readingOrder="1"/>
      <protection locked="0"/>
    </xf>
    <xf numFmtId="0" fontId="22" fillId="0" borderId="159" xfId="0" applyFont="1" applyBorder="1" applyAlignment="1" applyProtection="1">
      <alignment horizontal="right" vertical="top" wrapText="1" readingOrder="1"/>
      <protection locked="0"/>
    </xf>
    <xf numFmtId="0" fontId="22" fillId="0" borderId="146" xfId="0" applyFont="1" applyBorder="1" applyAlignment="1" applyProtection="1">
      <alignment horizontal="right" vertical="top" wrapText="1" readingOrder="1"/>
      <protection locked="0"/>
    </xf>
    <xf numFmtId="0" fontId="22" fillId="0" borderId="195" xfId="0" applyFont="1" applyBorder="1" applyAlignment="1" applyProtection="1">
      <alignment horizontal="right" vertical="top" wrapText="1" readingOrder="1"/>
      <protection locked="0"/>
    </xf>
    <xf numFmtId="173" fontId="17" fillId="0" borderId="69" xfId="0" applyNumberFormat="1" applyFont="1" applyBorder="1" applyAlignment="1" applyProtection="1">
      <alignment horizontal="left" vertical="top" wrapText="1" readingOrder="1"/>
      <protection locked="0"/>
    </xf>
    <xf numFmtId="173" fontId="17" fillId="0" borderId="101" xfId="0" applyNumberFormat="1" applyFont="1" applyBorder="1" applyAlignment="1" applyProtection="1">
      <alignment horizontal="left" vertical="top" wrapText="1" readingOrder="1"/>
      <protection locked="0"/>
    </xf>
    <xf numFmtId="173" fontId="17" fillId="0" borderId="55" xfId="0" applyNumberFormat="1" applyFont="1" applyBorder="1" applyAlignment="1" applyProtection="1">
      <alignment horizontal="left" vertical="top" wrapText="1" readingOrder="1"/>
      <protection locked="0"/>
    </xf>
    <xf numFmtId="0" fontId="17" fillId="0" borderId="194" xfId="0" applyFont="1" applyBorder="1" applyAlignment="1" applyProtection="1">
      <alignment horizontal="right" vertical="top" wrapText="1" readingOrder="1"/>
      <protection locked="0"/>
    </xf>
    <xf numFmtId="0" fontId="17" fillId="0" borderId="181" xfId="0" applyFont="1" applyBorder="1" applyAlignment="1" applyProtection="1">
      <alignment horizontal="right" vertical="top" wrapText="1" readingOrder="1"/>
      <protection locked="0"/>
    </xf>
    <xf numFmtId="0" fontId="17" fillId="0" borderId="182" xfId="0" applyFont="1" applyBorder="1" applyAlignment="1" applyProtection="1">
      <alignment horizontal="right" vertical="top" wrapText="1" readingOrder="1"/>
      <protection locked="0"/>
    </xf>
    <xf numFmtId="169" fontId="17" fillId="0" borderId="194" xfId="0" applyNumberFormat="1" applyFont="1" applyBorder="1" applyAlignment="1" applyProtection="1">
      <alignment vertical="top" wrapText="1" readingOrder="1"/>
      <protection locked="0"/>
    </xf>
    <xf numFmtId="169" fontId="17" fillId="0" borderId="182" xfId="0" applyNumberFormat="1" applyFont="1" applyBorder="1" applyAlignment="1" applyProtection="1">
      <alignment vertical="top" wrapText="1" readingOrder="1"/>
      <protection locked="0"/>
    </xf>
    <xf numFmtId="169" fontId="17" fillId="0" borderId="196" xfId="0" applyNumberFormat="1" applyFont="1" applyBorder="1" applyAlignment="1" applyProtection="1">
      <alignment vertical="top" wrapText="1" readingOrder="1"/>
      <protection locked="0"/>
    </xf>
    <xf numFmtId="169" fontId="17" fillId="0" borderId="199" xfId="0" applyNumberFormat="1" applyFont="1" applyBorder="1" applyAlignment="1" applyProtection="1">
      <alignment vertical="top" wrapText="1" readingOrder="1"/>
      <protection locked="0"/>
    </xf>
    <xf numFmtId="169" fontId="17" fillId="0" borderId="198" xfId="0" applyNumberFormat="1" applyFont="1" applyBorder="1" applyAlignment="1" applyProtection="1">
      <alignment vertical="top" wrapText="1" readingOrder="1"/>
      <protection locked="0"/>
    </xf>
    <xf numFmtId="169" fontId="17" fillId="0" borderId="197" xfId="0" applyNumberFormat="1" applyFont="1" applyBorder="1" applyAlignment="1" applyProtection="1">
      <alignment vertical="top" wrapText="1" readingOrder="1"/>
      <protection locked="0"/>
    </xf>
    <xf numFmtId="0" fontId="88" fillId="0" borderId="0" xfId="0" applyFont="1" applyAlignment="1" applyProtection="1">
      <alignment horizontal="left" vertical="top" wrapText="1" readingOrder="1"/>
      <protection locked="0"/>
    </xf>
    <xf numFmtId="0" fontId="26" fillId="0" borderId="0" xfId="1" applyFont="1" applyAlignment="1">
      <alignment wrapText="1"/>
    </xf>
    <xf numFmtId="0" fontId="22" fillId="0" borderId="145" xfId="0" applyFont="1" applyBorder="1" applyAlignment="1" applyProtection="1">
      <alignment vertical="top" wrapText="1" readingOrder="1"/>
      <protection locked="0"/>
    </xf>
    <xf numFmtId="169" fontId="22" fillId="0" borderId="145" xfId="0" applyNumberFormat="1" applyFont="1" applyBorder="1" applyAlignment="1" applyProtection="1">
      <alignment vertical="top" wrapText="1" readingOrder="1"/>
      <protection locked="0"/>
    </xf>
    <xf numFmtId="0" fontId="22" fillId="0" borderId="159" xfId="0" applyFont="1" applyBorder="1" applyAlignment="1" applyProtection="1">
      <alignment horizontal="left" vertical="top" wrapText="1" readingOrder="1"/>
      <protection locked="0"/>
    </xf>
    <xf numFmtId="0" fontId="14" fillId="0" borderId="147" xfId="0" applyFont="1" applyBorder="1" applyAlignment="1" applyProtection="1">
      <alignment horizontal="left" vertical="top" wrapText="1" readingOrder="1"/>
      <protection locked="0"/>
    </xf>
    <xf numFmtId="0" fontId="17" fillId="0" borderId="180" xfId="0" applyFont="1" applyBorder="1" applyAlignment="1" applyProtection="1">
      <alignment vertical="top" wrapText="1" readingOrder="1"/>
      <protection locked="0"/>
    </xf>
    <xf numFmtId="0" fontId="22" fillId="0" borderId="145" xfId="0" applyFont="1" applyBorder="1" applyAlignment="1" applyProtection="1">
      <alignment horizontal="right" vertical="top" wrapText="1" readingOrder="1"/>
      <protection locked="0"/>
    </xf>
    <xf numFmtId="173" fontId="17" fillId="0" borderId="145" xfId="0" applyNumberFormat="1" applyFont="1" applyBorder="1" applyAlignment="1" applyProtection="1">
      <alignment horizontal="left" vertical="top" wrapText="1" readingOrder="1"/>
      <protection locked="0"/>
    </xf>
    <xf numFmtId="169" fontId="17" fillId="0" borderId="180" xfId="0" applyNumberFormat="1" applyFont="1" applyBorder="1" applyAlignment="1" applyProtection="1">
      <alignment vertical="top" wrapText="1" readingOrder="1"/>
      <protection locked="0"/>
    </xf>
    <xf numFmtId="0" fontId="14" fillId="0" borderId="0" xfId="0" applyFont="1" applyAlignment="1">
      <alignment horizontal="center" readingOrder="1"/>
    </xf>
    <xf numFmtId="0" fontId="25" fillId="0" borderId="0" xfId="0" applyFont="1" applyAlignment="1" applyProtection="1">
      <alignment horizontal="center" vertical="top" wrapText="1" readingOrder="1"/>
      <protection locked="0"/>
    </xf>
    <xf numFmtId="0" fontId="14" fillId="0" borderId="148" xfId="0" applyFont="1" applyBorder="1" applyAlignment="1" applyProtection="1">
      <alignment horizontal="left" vertical="top" wrapText="1" readingOrder="1"/>
      <protection locked="0"/>
    </xf>
    <xf numFmtId="0" fontId="14" fillId="0" borderId="158" xfId="0" applyFont="1" applyBorder="1" applyAlignment="1" applyProtection="1">
      <alignment horizontal="left" vertical="top" wrapText="1" readingOrder="1"/>
      <protection locked="0"/>
    </xf>
    <xf numFmtId="0" fontId="14" fillId="0" borderId="153" xfId="0" applyFont="1" applyBorder="1" applyAlignment="1" applyProtection="1">
      <alignment horizontal="left" vertical="top" wrapText="1" readingOrder="1"/>
      <protection locked="0"/>
    </xf>
    <xf numFmtId="0" fontId="14" fillId="0" borderId="156" xfId="0" applyFont="1" applyBorder="1" applyAlignment="1" applyProtection="1">
      <alignment horizontal="left" vertical="top" wrapText="1" readingOrder="1"/>
      <protection locked="0"/>
    </xf>
    <xf numFmtId="0" fontId="14" fillId="0" borderId="149" xfId="0" applyFont="1" applyBorder="1" applyAlignment="1" applyProtection="1">
      <alignment horizontal="left" vertical="top" wrapText="1" readingOrder="1"/>
      <protection locked="0"/>
    </xf>
    <xf numFmtId="0" fontId="14" fillId="0" borderId="154" xfId="0" applyFont="1" applyBorder="1" applyAlignment="1" applyProtection="1">
      <alignment horizontal="left" vertical="top" wrapText="1" readingOrder="1"/>
      <protection locked="0"/>
    </xf>
    <xf numFmtId="0" fontId="14" fillId="0" borderId="155" xfId="0" applyFont="1" applyBorder="1" applyAlignment="1" applyProtection="1">
      <alignment horizontal="left" vertical="top" wrapText="1" readingOrder="1"/>
      <protection locked="0"/>
    </xf>
    <xf numFmtId="0" fontId="14" fillId="0" borderId="146" xfId="0" applyFont="1" applyBorder="1" applyAlignment="1" applyProtection="1">
      <alignment horizontal="left" vertical="top" wrapText="1" readingOrder="1"/>
      <protection locked="0"/>
    </xf>
    <xf numFmtId="0" fontId="14" fillId="0" borderId="0" xfId="0" applyFont="1" applyAlignment="1">
      <alignment horizontal="left" readingOrder="1"/>
    </xf>
    <xf numFmtId="0" fontId="14" fillId="0" borderId="178" xfId="0" applyFont="1" applyBorder="1" applyAlignment="1" applyProtection="1">
      <alignment horizontal="left" vertical="top" wrapText="1" readingOrder="1"/>
      <protection locked="0"/>
    </xf>
    <xf numFmtId="0" fontId="14" fillId="0" borderId="179" xfId="0" applyFont="1" applyBorder="1" applyAlignment="1" applyProtection="1">
      <alignment horizontal="left" vertical="top" wrapText="1" readingOrder="1"/>
      <protection locked="0"/>
    </xf>
    <xf numFmtId="0" fontId="14" fillId="0" borderId="151" xfId="0" applyFont="1" applyBorder="1" applyAlignment="1" applyProtection="1">
      <alignment horizontal="left" vertical="top" wrapText="1" readingOrder="1"/>
      <protection locked="0"/>
    </xf>
    <xf numFmtId="0" fontId="14" fillId="0" borderId="157" xfId="0" applyFont="1" applyBorder="1" applyAlignment="1" applyProtection="1">
      <alignment horizontal="left" vertical="top" wrapText="1" readingOrder="1"/>
      <protection locked="0"/>
    </xf>
    <xf numFmtId="0" fontId="22" fillId="0" borderId="145" xfId="0" applyFont="1" applyBorder="1" applyAlignment="1" applyProtection="1">
      <alignment horizontal="left" vertical="top" wrapText="1" readingOrder="1"/>
      <protection locked="0"/>
    </xf>
    <xf numFmtId="169" fontId="22" fillId="0" borderId="145" xfId="0" applyNumberFormat="1" applyFont="1" applyBorder="1" applyAlignment="1" applyProtection="1">
      <alignment horizontal="left" vertical="top" wrapText="1" readingOrder="1"/>
      <protection locked="0"/>
    </xf>
    <xf numFmtId="173" fontId="22" fillId="0" borderId="145" xfId="0" applyNumberFormat="1" applyFont="1" applyBorder="1" applyAlignment="1" applyProtection="1">
      <alignment horizontal="left" vertical="top" wrapText="1" readingOrder="1"/>
      <protection locked="0"/>
    </xf>
    <xf numFmtId="0" fontId="17" fillId="0" borderId="180" xfId="0" applyFont="1" applyBorder="1" applyAlignment="1" applyProtection="1">
      <alignment horizontal="left" vertical="top" wrapText="1" readingOrder="1"/>
      <protection locked="0"/>
    </xf>
    <xf numFmtId="0" fontId="14" fillId="0" borderId="181" xfId="0" applyFont="1" applyBorder="1" applyAlignment="1" applyProtection="1">
      <alignment horizontal="left" vertical="top" wrapText="1" readingOrder="1"/>
      <protection locked="0"/>
    </xf>
    <xf numFmtId="0" fontId="14" fillId="0" borderId="182" xfId="0" applyFont="1" applyBorder="1" applyAlignment="1" applyProtection="1">
      <alignment horizontal="left" vertical="top" wrapText="1" readingOrder="1"/>
      <protection locked="0"/>
    </xf>
    <xf numFmtId="169" fontId="17" fillId="0" borderId="180" xfId="0" applyNumberFormat="1" applyFont="1" applyBorder="1" applyAlignment="1" applyProtection="1">
      <alignment horizontal="left" vertical="top" wrapText="1" readingOrder="1"/>
      <protection locked="0"/>
    </xf>
    <xf numFmtId="0" fontId="22" fillId="0" borderId="145" xfId="0" applyFont="1" applyBorder="1" applyAlignment="1" applyProtection="1">
      <alignment vertical="center" wrapText="1" readingOrder="1"/>
      <protection locked="0"/>
    </xf>
    <xf numFmtId="0" fontId="14" fillId="0" borderId="147" xfId="0" applyFont="1" applyBorder="1" applyAlignment="1" applyProtection="1">
      <alignment vertical="center" wrapText="1" readingOrder="1"/>
      <protection locked="0"/>
    </xf>
    <xf numFmtId="0" fontId="100" fillId="0" borderId="145" xfId="0" applyFont="1" applyBorder="1" applyAlignment="1" applyProtection="1">
      <alignment horizontal="right" vertical="top" wrapText="1" readingOrder="1"/>
      <protection locked="0"/>
    </xf>
    <xf numFmtId="173" fontId="100" fillId="0" borderId="145" xfId="0" applyNumberFormat="1" applyFont="1" applyBorder="1" applyAlignment="1" applyProtection="1">
      <alignment horizontal="left" vertical="center" wrapText="1" readingOrder="1"/>
      <protection locked="0"/>
    </xf>
    <xf numFmtId="0" fontId="99" fillId="0" borderId="0" xfId="0" applyFont="1" applyAlignment="1" applyProtection="1">
      <alignment vertical="top" wrapText="1" readingOrder="1"/>
      <protection locked="0"/>
    </xf>
    <xf numFmtId="0" fontId="98" fillId="0" borderId="0" xfId="0" applyFont="1"/>
    <xf numFmtId="0" fontId="98" fillId="0" borderId="0" xfId="0" applyFont="1" applyAlignment="1" applyProtection="1">
      <alignment vertical="top" wrapText="1" readingOrder="1"/>
      <protection locked="0"/>
    </xf>
    <xf numFmtId="0" fontId="99" fillId="0" borderId="157" xfId="0" applyFont="1" applyBorder="1" applyAlignment="1" applyProtection="1">
      <alignment horizontal="center" vertical="center" wrapText="1" readingOrder="1"/>
      <protection locked="0"/>
    </xf>
    <xf numFmtId="0" fontId="98" fillId="0" borderId="157" xfId="0" applyFont="1" applyBorder="1" applyAlignment="1" applyProtection="1">
      <alignment vertical="top" wrapText="1"/>
      <protection locked="0"/>
    </xf>
    <xf numFmtId="0" fontId="98" fillId="0" borderId="0" xfId="0" applyFont="1" applyAlignment="1" applyProtection="1">
      <alignment horizontal="center" vertical="center" wrapText="1" readingOrder="1"/>
      <protection locked="0"/>
    </xf>
    <xf numFmtId="0" fontId="99" fillId="0" borderId="0" xfId="0" applyFont="1" applyAlignment="1" applyProtection="1">
      <alignment horizontal="center" vertical="center" wrapText="1" readingOrder="1"/>
      <protection locked="0"/>
    </xf>
    <xf numFmtId="0" fontId="98" fillId="0" borderId="157" xfId="0" applyFont="1" applyBorder="1" applyAlignment="1" applyProtection="1">
      <alignment horizontal="center" vertical="top" wrapText="1" readingOrder="1"/>
      <protection locked="0"/>
    </xf>
    <xf numFmtId="0" fontId="98" fillId="0" borderId="0" xfId="0" applyFont="1" applyAlignment="1" applyProtection="1">
      <alignment horizontal="center" vertical="top" wrapText="1" readingOrder="1"/>
      <protection locked="0"/>
    </xf>
    <xf numFmtId="0" fontId="99" fillId="0" borderId="157" xfId="0" applyFont="1" applyBorder="1" applyAlignment="1" applyProtection="1">
      <alignment horizontal="center" vertical="top" wrapText="1" readingOrder="1"/>
      <protection locked="0"/>
    </xf>
    <xf numFmtId="0" fontId="99" fillId="0" borderId="145" xfId="0" applyFont="1" applyBorder="1" applyAlignment="1" applyProtection="1">
      <alignment horizontal="center" vertical="center" wrapText="1" readingOrder="1"/>
      <protection locked="0"/>
    </xf>
    <xf numFmtId="0" fontId="98" fillId="0" borderId="148" xfId="0" applyFont="1" applyBorder="1" applyAlignment="1" applyProtection="1">
      <alignment vertical="top" wrapText="1"/>
      <protection locked="0"/>
    </xf>
    <xf numFmtId="0" fontId="98" fillId="0" borderId="158" xfId="0" applyFont="1" applyBorder="1" applyAlignment="1" applyProtection="1">
      <alignment vertical="top" wrapText="1"/>
      <protection locked="0"/>
    </xf>
    <xf numFmtId="0" fontId="98" fillId="0" borderId="153" xfId="0" applyFont="1" applyBorder="1" applyAlignment="1" applyProtection="1">
      <alignment vertical="top" wrapText="1"/>
      <protection locked="0"/>
    </xf>
    <xf numFmtId="0" fontId="98" fillId="0" borderId="156" xfId="0" applyFont="1" applyBorder="1" applyAlignment="1" applyProtection="1">
      <alignment vertical="top" wrapText="1"/>
      <protection locked="0"/>
    </xf>
    <xf numFmtId="0" fontId="98" fillId="0" borderId="149" xfId="0" applyFont="1" applyBorder="1" applyAlignment="1" applyProtection="1">
      <alignment vertical="top" wrapText="1"/>
      <protection locked="0"/>
    </xf>
    <xf numFmtId="0" fontId="98" fillId="0" borderId="154" xfId="0" applyFont="1" applyBorder="1" applyAlignment="1" applyProtection="1">
      <alignment vertical="top" wrapText="1"/>
      <protection locked="0"/>
    </xf>
    <xf numFmtId="0" fontId="98" fillId="0" borderId="155" xfId="0" applyFont="1" applyBorder="1" applyAlignment="1" applyProtection="1">
      <alignment vertical="top" wrapText="1"/>
      <protection locked="0"/>
    </xf>
    <xf numFmtId="0" fontId="98" fillId="0" borderId="146" xfId="0" applyFont="1" applyBorder="1" applyAlignment="1" applyProtection="1">
      <alignment vertical="top" wrapText="1"/>
      <protection locked="0"/>
    </xf>
    <xf numFmtId="0" fontId="98" fillId="0" borderId="147" xfId="0" applyFont="1" applyBorder="1" applyAlignment="1" applyProtection="1">
      <alignment vertical="top" wrapText="1"/>
      <protection locked="0"/>
    </xf>
    <xf numFmtId="0" fontId="99" fillId="0" borderId="159" xfId="0" applyFont="1" applyBorder="1" applyAlignment="1" applyProtection="1">
      <alignment horizontal="center" vertical="center" wrapText="1" readingOrder="1"/>
      <protection locked="0"/>
    </xf>
    <xf numFmtId="0" fontId="99" fillId="0" borderId="177" xfId="0" applyFont="1" applyBorder="1" applyAlignment="1" applyProtection="1">
      <alignment horizontal="left" vertical="center" wrapText="1" readingOrder="1"/>
      <protection locked="0"/>
    </xf>
    <xf numFmtId="0" fontId="98" fillId="0" borderId="178" xfId="0" applyFont="1" applyBorder="1" applyAlignment="1" applyProtection="1">
      <alignment vertical="top" wrapText="1"/>
      <protection locked="0"/>
    </xf>
    <xf numFmtId="0" fontId="98" fillId="0" borderId="179" xfId="0" applyFont="1" applyBorder="1" applyAlignment="1" applyProtection="1">
      <alignment vertical="top" wrapText="1"/>
      <protection locked="0"/>
    </xf>
    <xf numFmtId="0" fontId="98" fillId="0" borderId="151" xfId="0" applyFont="1" applyBorder="1" applyAlignment="1" applyProtection="1">
      <alignment vertical="top" wrapText="1"/>
      <protection locked="0"/>
    </xf>
    <xf numFmtId="0" fontId="99" fillId="0" borderId="145" xfId="0" applyFont="1" applyBorder="1" applyAlignment="1" applyProtection="1">
      <alignment horizontal="center" vertical="top" wrapText="1" readingOrder="1"/>
      <protection locked="0"/>
    </xf>
    <xf numFmtId="0" fontId="98" fillId="0" borderId="145" xfId="0" applyFont="1" applyBorder="1" applyAlignment="1" applyProtection="1">
      <alignment horizontal="left" vertical="top" wrapText="1" readingOrder="1"/>
      <protection locked="0"/>
    </xf>
    <xf numFmtId="0" fontId="98" fillId="0" borderId="147" xfId="0" applyFont="1" applyBorder="1" applyAlignment="1" applyProtection="1">
      <alignment horizontal="left" vertical="top" wrapText="1" readingOrder="1"/>
      <protection locked="0"/>
    </xf>
    <xf numFmtId="169" fontId="98" fillId="0" borderId="145" xfId="0" applyNumberFormat="1" applyFont="1" applyBorder="1" applyAlignment="1" applyProtection="1">
      <alignment horizontal="left" vertical="top" wrapText="1" readingOrder="1"/>
      <protection locked="0"/>
    </xf>
    <xf numFmtId="0" fontId="98" fillId="0" borderId="146" xfId="0" applyFont="1" applyBorder="1" applyAlignment="1" applyProtection="1">
      <alignment horizontal="left" vertical="top" wrapText="1" readingOrder="1"/>
      <protection locked="0"/>
    </xf>
    <xf numFmtId="0" fontId="99" fillId="0" borderId="180" xfId="0" applyFont="1" applyBorder="1" applyAlignment="1" applyProtection="1">
      <alignment horizontal="left" vertical="top" wrapText="1" readingOrder="1"/>
      <protection locked="0"/>
    </xf>
    <xf numFmtId="0" fontId="98" fillId="0" borderId="181" xfId="0" applyFont="1" applyBorder="1" applyAlignment="1" applyProtection="1">
      <alignment horizontal="left" vertical="top" wrapText="1" readingOrder="1"/>
      <protection locked="0"/>
    </xf>
    <xf numFmtId="0" fontId="98" fillId="0" borderId="182" xfId="0" applyFont="1" applyBorder="1" applyAlignment="1" applyProtection="1">
      <alignment horizontal="left" vertical="top" wrapText="1" readingOrder="1"/>
      <protection locked="0"/>
    </xf>
    <xf numFmtId="0" fontId="98" fillId="0" borderId="145" xfId="0" applyFont="1" applyBorder="1" applyAlignment="1" applyProtection="1">
      <alignment horizontal="right" vertical="top" wrapText="1" readingOrder="1"/>
      <protection locked="0"/>
    </xf>
    <xf numFmtId="173" fontId="98" fillId="0" borderId="145" xfId="0" applyNumberFormat="1" applyFont="1" applyBorder="1" applyAlignment="1" applyProtection="1">
      <alignment horizontal="left" vertical="top" wrapText="1" readingOrder="1"/>
      <protection locked="0"/>
    </xf>
    <xf numFmtId="169" fontId="99" fillId="0" borderId="180" xfId="0" applyNumberFormat="1" applyFont="1" applyBorder="1" applyAlignment="1" applyProtection="1">
      <alignment horizontal="left" vertical="top" wrapText="1" readingOrder="1"/>
      <protection locked="0"/>
    </xf>
    <xf numFmtId="0" fontId="88" fillId="0" borderId="145" xfId="0" applyFont="1" applyBorder="1" applyAlignment="1" applyProtection="1">
      <alignment vertical="top" wrapText="1" readingOrder="1"/>
      <protection locked="0"/>
    </xf>
    <xf numFmtId="0" fontId="88" fillId="0" borderId="147" xfId="0" applyFont="1" applyBorder="1" applyAlignment="1" applyProtection="1">
      <alignment vertical="top" wrapText="1"/>
      <protection locked="0"/>
    </xf>
    <xf numFmtId="169" fontId="88" fillId="0" borderId="145" xfId="0" applyNumberFormat="1" applyFont="1" applyBorder="1" applyAlignment="1" applyProtection="1">
      <alignment vertical="top" wrapText="1" readingOrder="1"/>
      <protection locked="0"/>
    </xf>
    <xf numFmtId="0" fontId="88" fillId="0" borderId="146" xfId="0" applyFont="1" applyBorder="1" applyAlignment="1" applyProtection="1">
      <alignment vertical="top" wrapText="1"/>
      <protection locked="0"/>
    </xf>
    <xf numFmtId="0" fontId="88" fillId="0" borderId="145" xfId="0" applyFont="1" applyBorder="1" applyAlignment="1" applyProtection="1">
      <alignment horizontal="right" vertical="top" wrapText="1" readingOrder="1"/>
      <protection locked="0"/>
    </xf>
    <xf numFmtId="173" fontId="88" fillId="0" borderId="145" xfId="0" applyNumberFormat="1" applyFont="1" applyBorder="1" applyAlignment="1" applyProtection="1">
      <alignment horizontal="left" vertical="top" wrapText="1" readingOrder="1"/>
      <protection locked="0"/>
    </xf>
    <xf numFmtId="169" fontId="89" fillId="0" borderId="180" xfId="0" applyNumberFormat="1" applyFont="1" applyBorder="1" applyAlignment="1" applyProtection="1">
      <alignment vertical="top" wrapText="1" readingOrder="1"/>
      <protection locked="0"/>
    </xf>
    <xf numFmtId="0" fontId="88" fillId="0" borderId="182" xfId="0" applyFont="1" applyBorder="1" applyAlignment="1" applyProtection="1">
      <alignment vertical="top" wrapText="1"/>
      <protection locked="0"/>
    </xf>
    <xf numFmtId="0" fontId="88" fillId="0" borderId="181" xfId="0" applyFont="1" applyBorder="1" applyAlignment="1" applyProtection="1">
      <alignment vertical="top" wrapText="1"/>
      <protection locked="0"/>
    </xf>
    <xf numFmtId="0" fontId="89" fillId="0" borderId="180" xfId="0" applyFont="1" applyBorder="1" applyAlignment="1" applyProtection="1">
      <alignment horizontal="right" vertical="top" wrapText="1" readingOrder="1"/>
      <protection locked="0"/>
    </xf>
    <xf numFmtId="0" fontId="89" fillId="0" borderId="180" xfId="0" applyFont="1" applyBorder="1" applyAlignment="1" applyProtection="1">
      <alignment vertical="top" wrapText="1" readingOrder="1"/>
      <protection locked="0"/>
    </xf>
    <xf numFmtId="0" fontId="22" fillId="0" borderId="145" xfId="0" applyFont="1" applyBorder="1" applyAlignment="1" applyProtection="1">
      <alignment horizontal="left" vertical="center" wrapText="1" readingOrder="1"/>
      <protection locked="0"/>
    </xf>
    <xf numFmtId="0" fontId="14" fillId="0" borderId="147" xfId="0" applyFont="1" applyBorder="1" applyAlignment="1" applyProtection="1">
      <alignment horizontal="left" vertical="center" wrapText="1" readingOrder="1"/>
      <protection locked="0"/>
    </xf>
    <xf numFmtId="0" fontId="14" fillId="0" borderId="147" xfId="0" applyFont="1" applyBorder="1" applyAlignment="1" applyProtection="1">
      <alignment horizontal="center" vertical="center" wrapText="1" readingOrder="1"/>
      <protection locked="0"/>
    </xf>
    <xf numFmtId="0" fontId="14" fillId="0" borderId="146" xfId="0" applyFont="1" applyBorder="1" applyAlignment="1" applyProtection="1">
      <alignment horizontal="center" vertical="center" wrapText="1" readingOrder="1"/>
      <protection locked="0"/>
    </xf>
    <xf numFmtId="0" fontId="14" fillId="0" borderId="147" xfId="0" applyFont="1" applyBorder="1" applyAlignment="1" applyProtection="1">
      <alignment horizontal="left" vertical="top" wrapText="1"/>
      <protection locked="0"/>
    </xf>
    <xf numFmtId="0" fontId="29" fillId="0" borderId="34" xfId="1" applyFont="1" applyBorder="1" applyAlignment="1">
      <alignment horizontal="center" vertical="center" wrapText="1"/>
    </xf>
    <xf numFmtId="4" fontId="29" fillId="0" borderId="34" xfId="1" applyNumberFormat="1" applyFont="1" applyBorder="1" applyAlignment="1">
      <alignment horizontal="center" vertical="center" wrapText="1"/>
    </xf>
    <xf numFmtId="4" fontId="29" fillId="15" borderId="34" xfId="1" applyNumberFormat="1" applyFont="1" applyFill="1" applyBorder="1" applyAlignment="1">
      <alignment horizontal="center" vertical="center" wrapText="1"/>
    </xf>
    <xf numFmtId="0" fontId="29" fillId="15" borderId="34" xfId="1" applyFont="1" applyFill="1" applyBorder="1" applyAlignment="1">
      <alignment horizontal="center" vertical="center" wrapText="1"/>
    </xf>
    <xf numFmtId="0" fontId="58" fillId="0" borderId="34" xfId="0" applyFont="1" applyBorder="1" applyAlignment="1">
      <alignment horizontal="center" vertical="center" wrapText="1"/>
    </xf>
    <xf numFmtId="0" fontId="29" fillId="0" borderId="34" xfId="0" applyFont="1" applyBorder="1" applyAlignment="1">
      <alignment horizontal="right" vertical="center"/>
    </xf>
    <xf numFmtId="4" fontId="29" fillId="0" borderId="34" xfId="0" applyNumberFormat="1" applyFont="1" applyBorder="1" applyAlignment="1">
      <alignment horizontal="left" vertical="center" wrapText="1"/>
    </xf>
    <xf numFmtId="0" fontId="28" fillId="0" borderId="34" xfId="1" applyFont="1" applyBorder="1" applyAlignment="1">
      <alignment horizontal="center" vertical="center" wrapText="1"/>
    </xf>
    <xf numFmtId="14" fontId="29" fillId="15" borderId="0" xfId="1" applyNumberFormat="1" applyFont="1" applyFill="1" applyAlignment="1">
      <alignment horizontal="center" wrapText="1"/>
    </xf>
    <xf numFmtId="0" fontId="29" fillId="15" borderId="0" xfId="1" applyFont="1" applyFill="1" applyAlignment="1">
      <alignment horizontal="center" wrapText="1"/>
    </xf>
    <xf numFmtId="0" fontId="29" fillId="0" borderId="0" xfId="1" applyFont="1" applyAlignment="1">
      <alignment horizontal="left" wrapText="1"/>
    </xf>
    <xf numFmtId="0" fontId="80" fillId="0" borderId="0" xfId="1" applyFont="1" applyAlignment="1">
      <alignment horizontal="center" vertical="center" wrapText="1"/>
    </xf>
    <xf numFmtId="0" fontId="29" fillId="0" borderId="0" xfId="1" applyFont="1" applyAlignment="1">
      <alignment horizontal="center"/>
    </xf>
    <xf numFmtId="0" fontId="92" fillId="0" borderId="0" xfId="1" applyFont="1" applyAlignment="1">
      <alignment horizontal="left" wrapText="1"/>
    </xf>
    <xf numFmtId="0" fontId="28" fillId="0" borderId="0" xfId="1" applyFont="1" applyAlignment="1">
      <alignment horizontal="left" wrapText="1"/>
    </xf>
    <xf numFmtId="0" fontId="29" fillId="0" borderId="0" xfId="1" applyFont="1" applyAlignment="1">
      <alignment horizontal="center" vertical="center" wrapText="1"/>
    </xf>
    <xf numFmtId="0" fontId="23" fillId="0" borderId="147" xfId="0" applyFont="1" applyBorder="1" applyAlignment="1" applyProtection="1">
      <alignment horizontal="left" vertical="top" wrapText="1" readingOrder="1"/>
      <protection locked="0"/>
    </xf>
    <xf numFmtId="0" fontId="85" fillId="0" borderId="154" xfId="0" applyFont="1" applyBorder="1" applyAlignment="1" applyProtection="1">
      <alignment horizontal="center" vertical="top" wrapText="1" readingOrder="1"/>
      <protection locked="0"/>
    </xf>
    <xf numFmtId="0" fontId="85" fillId="0" borderId="148" xfId="0" applyFont="1" applyBorder="1" applyAlignment="1" applyProtection="1">
      <alignment horizontal="center" vertical="center" wrapText="1" readingOrder="1"/>
      <protection locked="0"/>
    </xf>
    <xf numFmtId="0" fontId="85" fillId="0" borderId="145" xfId="0" applyFont="1" applyBorder="1" applyAlignment="1" applyProtection="1">
      <alignment horizontal="center" vertical="center" wrapText="1" readingOrder="1"/>
      <protection locked="0"/>
    </xf>
    <xf numFmtId="0" fontId="85" fillId="0" borderId="145" xfId="0" applyFont="1" applyBorder="1" applyAlignment="1" applyProtection="1">
      <alignment horizontal="center" wrapText="1" readingOrder="1"/>
      <protection locked="0"/>
    </xf>
    <xf numFmtId="0" fontId="85" fillId="0" borderId="148" xfId="0" applyFont="1" applyBorder="1" applyAlignment="1" applyProtection="1">
      <alignment horizontal="center" wrapText="1" readingOrder="1"/>
      <protection locked="0"/>
    </xf>
    <xf numFmtId="0" fontId="85" fillId="0" borderId="152" xfId="0" applyFont="1" applyBorder="1" applyAlignment="1" applyProtection="1">
      <alignment horizontal="center" vertical="top" wrapText="1" readingOrder="1"/>
      <protection locked="0"/>
    </xf>
    <xf numFmtId="0" fontId="85" fillId="0" borderId="148" xfId="0" applyFont="1" applyBorder="1" applyAlignment="1" applyProtection="1">
      <alignment horizontal="center" vertical="top" wrapText="1" readingOrder="1"/>
      <protection locked="0"/>
    </xf>
    <xf numFmtId="0" fontId="85" fillId="0" borderId="156" xfId="0" applyFont="1" applyBorder="1" applyAlignment="1" applyProtection="1">
      <alignment horizontal="center" vertical="center" wrapText="1" readingOrder="1"/>
      <protection locked="0"/>
    </xf>
    <xf numFmtId="0" fontId="85" fillId="0" borderId="152" xfId="0" applyFont="1" applyBorder="1" applyAlignment="1" applyProtection="1">
      <alignment horizontal="center" wrapText="1" readingOrder="1"/>
      <protection locked="0"/>
    </xf>
    <xf numFmtId="0" fontId="119" fillId="0" borderId="0" xfId="0" applyFont="1" applyAlignment="1" applyProtection="1">
      <alignment horizontal="center" vertical="top" wrapText="1" readingOrder="1"/>
      <protection locked="0"/>
    </xf>
    <xf numFmtId="0" fontId="86" fillId="0" borderId="0" xfId="0" applyFont="1" applyAlignment="1" applyProtection="1">
      <alignment wrapText="1" readingOrder="1"/>
      <protection locked="0"/>
    </xf>
    <xf numFmtId="0" fontId="86" fillId="0" borderId="0" xfId="0" applyFont="1" applyAlignment="1" applyProtection="1">
      <alignment vertical="top" wrapText="1" readingOrder="1"/>
      <protection locked="0"/>
    </xf>
    <xf numFmtId="0" fontId="23" fillId="0" borderId="0" xfId="0" applyFont="1" applyAlignment="1" applyProtection="1">
      <alignment horizontal="left" vertical="top" wrapText="1" readingOrder="1"/>
      <protection locked="0"/>
    </xf>
    <xf numFmtId="0" fontId="85" fillId="0" borderId="158" xfId="0" applyFont="1" applyBorder="1" applyAlignment="1" applyProtection="1">
      <alignment horizontal="center" vertical="top" wrapText="1" readingOrder="1"/>
      <protection locked="0"/>
    </xf>
    <xf numFmtId="0" fontId="87" fillId="0" borderId="163" xfId="0" applyFont="1" applyBorder="1" applyAlignment="1" applyProtection="1">
      <alignment vertical="top" wrapText="1" readingOrder="1"/>
      <protection locked="0"/>
    </xf>
    <xf numFmtId="0" fontId="8" fillId="0" borderId="161" xfId="0" applyFont="1" applyBorder="1" applyAlignment="1" applyProtection="1">
      <alignment vertical="top" wrapText="1"/>
      <protection locked="0"/>
    </xf>
    <xf numFmtId="0" fontId="23" fillId="0" borderId="150" xfId="0" applyFont="1" applyBorder="1" applyAlignment="1" applyProtection="1">
      <alignment horizontal="center" wrapText="1" readingOrder="1"/>
      <protection locked="0"/>
    </xf>
    <xf numFmtId="0" fontId="85" fillId="0" borderId="150" xfId="0" applyFont="1" applyBorder="1" applyAlignment="1" applyProtection="1">
      <alignment horizontal="center" wrapText="1" readingOrder="1"/>
      <protection locked="0"/>
    </xf>
    <xf numFmtId="0" fontId="87" fillId="0" borderId="167" xfId="0" applyFont="1" applyBorder="1" applyAlignment="1" applyProtection="1">
      <alignment vertical="top" wrapText="1" readingOrder="1"/>
      <protection locked="0"/>
    </xf>
    <xf numFmtId="0" fontId="8" fillId="0" borderId="168" xfId="0" applyFont="1" applyBorder="1" applyAlignment="1" applyProtection="1">
      <alignment vertical="top" wrapText="1"/>
      <protection locked="0"/>
    </xf>
    <xf numFmtId="0" fontId="23" fillId="0" borderId="148" xfId="0" applyFont="1" applyBorder="1" applyAlignment="1" applyProtection="1">
      <alignment horizontal="center" wrapText="1" readingOrder="1"/>
      <protection locked="0"/>
    </xf>
    <xf numFmtId="0" fontId="87" fillId="0" borderId="169" xfId="0" applyFont="1" applyBorder="1" applyAlignment="1" applyProtection="1">
      <alignment vertical="top" wrapText="1" readingOrder="1"/>
      <protection locked="0"/>
    </xf>
    <xf numFmtId="0" fontId="8" fillId="0" borderId="170" xfId="0" applyFont="1" applyBorder="1" applyAlignment="1" applyProtection="1">
      <alignment vertical="top" wrapText="1"/>
      <protection locked="0"/>
    </xf>
    <xf numFmtId="0" fontId="85" fillId="0" borderId="145" xfId="0" applyFont="1" applyBorder="1" applyAlignment="1" applyProtection="1">
      <alignment horizontal="center" vertical="top" wrapText="1" readingOrder="1"/>
      <protection locked="0"/>
    </xf>
    <xf numFmtId="0" fontId="85" fillId="0" borderId="160" xfId="0" applyFont="1" applyBorder="1" applyAlignment="1" applyProtection="1">
      <alignment horizontal="center" wrapText="1" readingOrder="1"/>
      <protection locked="0"/>
    </xf>
    <xf numFmtId="0" fontId="8" fillId="0" borderId="162" xfId="0" applyFont="1" applyBorder="1" applyAlignment="1" applyProtection="1">
      <alignment vertical="top" wrapText="1"/>
      <protection locked="0"/>
    </xf>
    <xf numFmtId="0" fontId="85" fillId="0" borderId="165" xfId="0" applyFont="1" applyBorder="1" applyAlignment="1" applyProtection="1">
      <alignment horizontal="center" vertical="top" wrapText="1" readingOrder="1"/>
      <protection locked="0"/>
    </xf>
    <xf numFmtId="0" fontId="8" fillId="0" borderId="166" xfId="0" applyFont="1" applyBorder="1" applyAlignment="1" applyProtection="1">
      <alignment vertical="top" wrapText="1"/>
      <protection locked="0"/>
    </xf>
    <xf numFmtId="0" fontId="85" fillId="0" borderId="167" xfId="0" applyFont="1" applyBorder="1" applyAlignment="1" applyProtection="1">
      <alignment horizontal="center" vertical="top" wrapText="1" readingOrder="1"/>
      <protection locked="0"/>
    </xf>
    <xf numFmtId="0" fontId="87" fillId="0" borderId="164" xfId="0" applyFont="1" applyBorder="1" applyAlignment="1" applyProtection="1">
      <alignment vertical="top" wrapText="1" readingOrder="1"/>
      <protection locked="0"/>
    </xf>
    <xf numFmtId="0" fontId="85" fillId="0" borderId="149" xfId="0" applyFont="1" applyBorder="1" applyAlignment="1" applyProtection="1">
      <alignment horizontal="center" vertical="top" wrapText="1" readingOrder="1"/>
      <protection locked="0"/>
    </xf>
    <xf numFmtId="0" fontId="85" fillId="0" borderId="156" xfId="0" applyFont="1" applyBorder="1" applyAlignment="1" applyProtection="1">
      <alignment horizontal="center" vertical="top" wrapText="1" readingOrder="1"/>
      <protection locked="0"/>
    </xf>
    <xf numFmtId="0" fontId="85" fillId="0" borderId="0" xfId="0" applyFont="1" applyAlignment="1" applyProtection="1">
      <alignment horizontal="center" vertical="top" wrapText="1" readingOrder="1"/>
      <protection locked="0"/>
    </xf>
    <xf numFmtId="0" fontId="8" fillId="0" borderId="0" xfId="0" applyFont="1" applyAlignment="1" applyProtection="1">
      <alignment vertical="top" wrapText="1"/>
      <protection locked="0"/>
    </xf>
    <xf numFmtId="0" fontId="87" fillId="0" borderId="148" xfId="0" applyFont="1" applyBorder="1" applyAlignment="1" applyProtection="1">
      <alignment vertical="top" wrapText="1" readingOrder="1"/>
      <protection locked="0"/>
    </xf>
    <xf numFmtId="0" fontId="87" fillId="0" borderId="160" xfId="0" applyFont="1" applyBorder="1" applyAlignment="1" applyProtection="1">
      <alignment vertical="top" wrapText="1" readingOrder="1"/>
      <protection locked="0"/>
    </xf>
    <xf numFmtId="0" fontId="85" fillId="0" borderId="149" xfId="0" applyFont="1" applyBorder="1" applyAlignment="1" applyProtection="1">
      <alignment horizontal="center" wrapText="1" readingOrder="1"/>
      <protection locked="0"/>
    </xf>
    <xf numFmtId="0" fontId="85" fillId="0" borderId="150" xfId="0" applyFont="1" applyBorder="1" applyAlignment="1" applyProtection="1">
      <alignment horizontal="center" vertical="center" wrapText="1" readingOrder="1"/>
      <protection locked="0"/>
    </xf>
    <xf numFmtId="0" fontId="85" fillId="0" borderId="0" xfId="0" applyFont="1" applyAlignment="1" applyProtection="1">
      <alignment horizontal="center" wrapText="1" readingOrder="1"/>
      <protection locked="0"/>
    </xf>
    <xf numFmtId="0" fontId="85" fillId="0" borderId="156" xfId="0" applyFont="1" applyBorder="1" applyAlignment="1" applyProtection="1">
      <alignment horizontal="center" wrapText="1" readingOrder="1"/>
      <protection locked="0"/>
    </xf>
    <xf numFmtId="0" fontId="87" fillId="0" borderId="153" xfId="0" applyFont="1" applyBorder="1" applyAlignment="1" applyProtection="1">
      <alignment vertical="top" wrapText="1" readingOrder="1"/>
      <protection locked="0"/>
    </xf>
    <xf numFmtId="0" fontId="85" fillId="0" borderId="159" xfId="0" applyFont="1" applyBorder="1" applyAlignment="1" applyProtection="1">
      <alignment horizontal="center" vertical="top" wrapText="1" readingOrder="1"/>
      <protection locked="0"/>
    </xf>
    <xf numFmtId="0" fontId="85" fillId="0" borderId="145" xfId="0" applyFont="1" applyBorder="1" applyAlignment="1" applyProtection="1">
      <alignment vertical="top" wrapText="1" readingOrder="1"/>
      <protection locked="0"/>
    </xf>
    <xf numFmtId="0" fontId="85" fillId="0" borderId="153" xfId="0" applyFont="1" applyBorder="1" applyAlignment="1" applyProtection="1">
      <alignment horizontal="center" wrapText="1" readingOrder="1"/>
      <protection locked="0"/>
    </xf>
    <xf numFmtId="0" fontId="85" fillId="0" borderId="151" xfId="0" applyFont="1" applyBorder="1" applyAlignment="1" applyProtection="1">
      <alignment horizontal="center" wrapText="1" readingOrder="1"/>
      <protection locked="0"/>
    </xf>
    <xf numFmtId="0" fontId="107" fillId="0" borderId="145" xfId="0" applyFont="1" applyBorder="1" applyAlignment="1" applyProtection="1">
      <alignment horizontal="right" vertical="top" wrapText="1" readingOrder="1"/>
      <protection locked="0"/>
    </xf>
    <xf numFmtId="0" fontId="107" fillId="0" borderId="0" xfId="0" applyFont="1" applyAlignment="1" applyProtection="1">
      <alignment horizontal="left" vertical="top" wrapText="1" readingOrder="1"/>
      <protection locked="0"/>
    </xf>
    <xf numFmtId="0" fontId="108" fillId="0" borderId="0" xfId="0" applyFont="1" applyAlignment="1" applyProtection="1">
      <alignment vertical="top" wrapText="1" readingOrder="1"/>
      <protection locked="0"/>
    </xf>
    <xf numFmtId="0" fontId="109" fillId="0" borderId="0" xfId="0" applyFont="1" applyAlignment="1" applyProtection="1">
      <alignment vertical="top" wrapText="1" readingOrder="1"/>
      <protection locked="0"/>
    </xf>
    <xf numFmtId="0" fontId="107" fillId="0" borderId="145" xfId="0" applyFont="1" applyBorder="1" applyAlignment="1" applyProtection="1">
      <alignment horizontal="center" vertical="top" wrapText="1" readingOrder="1"/>
      <protection locked="0"/>
    </xf>
    <xf numFmtId="0" fontId="116" fillId="0" borderId="145" xfId="0" applyFont="1" applyBorder="1" applyAlignment="1" applyProtection="1">
      <alignment horizontal="right" vertical="top" wrapText="1" readingOrder="1"/>
      <protection locked="0"/>
    </xf>
    <xf numFmtId="0" fontId="116" fillId="0" borderId="0" xfId="0" applyFont="1" applyAlignment="1" applyProtection="1">
      <alignment horizontal="left" vertical="top" wrapText="1" readingOrder="1"/>
      <protection locked="0"/>
    </xf>
    <xf numFmtId="0" fontId="118" fillId="0" borderId="0" xfId="0" applyFont="1" applyAlignment="1" applyProtection="1">
      <alignment vertical="top" wrapText="1" readingOrder="1"/>
      <protection locked="0"/>
    </xf>
    <xf numFmtId="0" fontId="117" fillId="0" borderId="0" xfId="0" applyFont="1" applyAlignment="1" applyProtection="1">
      <alignment vertical="top" wrapText="1" readingOrder="1"/>
      <protection locked="0"/>
    </xf>
    <xf numFmtId="0" fontId="116" fillId="0" borderId="145" xfId="0" applyFont="1" applyBorder="1" applyAlignment="1" applyProtection="1">
      <alignment horizontal="center" vertical="top" wrapText="1" readingOrder="1"/>
      <protection locked="0"/>
    </xf>
  </cellXfs>
  <cellStyles count="5">
    <cellStyle name="Įprastas" xfId="0" builtinId="0"/>
    <cellStyle name="Įprastas 2" xfId="1" xr:uid="{00000000-0005-0000-0000-000001000000}"/>
    <cellStyle name="Įprastas 3" xfId="3" xr:uid="{00000000-0005-0000-0000-000002000000}"/>
    <cellStyle name="Įprastas 4" xfId="4" xr:uid="{00000000-0005-0000-0000-000003000000}"/>
    <cellStyle name="Normal" xfId="2" xr:uid="{00000000-0005-0000-0000-000004000000}"/>
  </cellStyles>
  <dxfs count="0"/>
  <tableStyles count="0" defaultTableStyle="TableStyleMedium9" defaultPivotStyle="PivotStyleLight16"/>
  <colors>
    <mruColors>
      <color rgb="FFFFFFCC"/>
      <color rgb="FFFFFF99"/>
      <color rgb="FFFF3300"/>
      <color rgb="FFFFFFFF"/>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sharedStrings" Target="sharedStrings.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llri.lt/"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55"/>
  <sheetViews>
    <sheetView showGridLines="0" showRuler="0" zoomScaleNormal="100" workbookViewId="0">
      <pane ySplit="4575" topLeftCell="A19" activePane="bottomLeft"/>
      <selection activeCell="O20" sqref="O20"/>
      <selection pane="bottomLeft" activeCell="O20" sqref="O20"/>
    </sheetView>
  </sheetViews>
  <sheetFormatPr defaultColWidth="9.140625" defaultRowHeight="15"/>
  <cols>
    <col min="1" max="1" width="9.140625" style="21"/>
    <col min="2" max="2" width="67.7109375" style="97" customWidth="1"/>
    <col min="3" max="4" width="9.28515625" style="21" bestFit="1" customWidth="1"/>
    <col min="5" max="5" width="13.140625" style="21" bestFit="1" customWidth="1"/>
    <col min="6" max="6" width="11.7109375" style="21" bestFit="1" customWidth="1"/>
    <col min="7" max="8" width="13.28515625" style="21" bestFit="1" customWidth="1"/>
    <col min="9" max="12" width="14.42578125" style="21" bestFit="1" customWidth="1"/>
    <col min="13" max="13" width="14.28515625" style="21" bestFit="1" customWidth="1"/>
    <col min="14" max="14" width="13.28515625" style="21" bestFit="1" customWidth="1"/>
    <col min="15" max="16" width="14.85546875" style="21" bestFit="1" customWidth="1"/>
    <col min="17" max="19" width="9.85546875" style="21" hidden="1" customWidth="1"/>
    <col min="20" max="21" width="9.140625" style="21" hidden="1" customWidth="1"/>
    <col min="22" max="16384" width="9.140625" style="21"/>
  </cols>
  <sheetData>
    <row r="1" spans="1:20" ht="18.75">
      <c r="E1" s="1846"/>
      <c r="F1" s="1846"/>
      <c r="G1" s="1846"/>
      <c r="H1" s="1846"/>
      <c r="I1" s="1846"/>
      <c r="K1" s="805"/>
      <c r="N1" s="1494" t="s">
        <v>838</v>
      </c>
    </row>
    <row r="2" spans="1:20" ht="18.75">
      <c r="K2" s="805"/>
      <c r="N2" s="1855" t="s">
        <v>839</v>
      </c>
      <c r="O2" s="1846"/>
      <c r="P2" s="1846"/>
    </row>
    <row r="3" spans="1:20">
      <c r="N3" s="1855" t="s">
        <v>840</v>
      </c>
      <c r="O3" s="1846"/>
      <c r="P3" s="1846"/>
    </row>
    <row r="4" spans="1:20">
      <c r="N4" s="1855" t="s">
        <v>841</v>
      </c>
      <c r="O4" s="1846"/>
      <c r="P4" s="1846"/>
    </row>
    <row r="5" spans="1:20" ht="3" customHeight="1">
      <c r="N5" s="1494"/>
    </row>
    <row r="6" spans="1:20" ht="42.75" customHeight="1">
      <c r="N6" s="1855" t="s">
        <v>4356</v>
      </c>
      <c r="O6" s="1846"/>
      <c r="P6" s="1846"/>
    </row>
    <row r="7" spans="1:20" ht="18.75">
      <c r="A7" s="806" t="s">
        <v>843</v>
      </c>
      <c r="B7" s="807" t="s">
        <v>842</v>
      </c>
      <c r="N7" s="1855"/>
      <c r="O7" s="1846"/>
      <c r="P7" s="1846"/>
    </row>
    <row r="8" spans="1:20" ht="15.75">
      <c r="N8" s="1494"/>
    </row>
    <row r="9" spans="1:20" ht="16.5" thickBot="1">
      <c r="A9" s="437" t="s">
        <v>1367</v>
      </c>
      <c r="B9" s="437" t="s">
        <v>1368</v>
      </c>
      <c r="N9" s="1494"/>
    </row>
    <row r="10" spans="1:20" ht="33" customHeight="1" thickTop="1" thickBot="1">
      <c r="A10" s="1849" t="s">
        <v>7</v>
      </c>
      <c r="B10" s="1847" t="s">
        <v>8</v>
      </c>
      <c r="C10" s="1863" t="s">
        <v>0</v>
      </c>
      <c r="D10" s="1852"/>
      <c r="E10" s="1851" t="s">
        <v>1</v>
      </c>
      <c r="F10" s="1852"/>
      <c r="G10" s="1851" t="s">
        <v>2</v>
      </c>
      <c r="H10" s="1852"/>
      <c r="I10" s="1851" t="s">
        <v>3</v>
      </c>
      <c r="J10" s="1852"/>
      <c r="K10" s="1851" t="s">
        <v>4</v>
      </c>
      <c r="L10" s="1852"/>
      <c r="M10" s="1851" t="s">
        <v>5</v>
      </c>
      <c r="N10" s="1852"/>
      <c r="O10" s="1853" t="s">
        <v>6</v>
      </c>
      <c r="P10" s="1854"/>
    </row>
    <row r="11" spans="1:20" ht="16.5" thickBot="1">
      <c r="A11" s="1850"/>
      <c r="B11" s="1848"/>
      <c r="C11" s="808" t="s">
        <v>9</v>
      </c>
      <c r="D11" s="808" t="s">
        <v>10</v>
      </c>
      <c r="E11" s="808" t="s">
        <v>9</v>
      </c>
      <c r="F11" s="808" t="s">
        <v>10</v>
      </c>
      <c r="G11" s="808" t="s">
        <v>9</v>
      </c>
      <c r="H11" s="808" t="s">
        <v>10</v>
      </c>
      <c r="I11" s="808" t="s">
        <v>9</v>
      </c>
      <c r="J11" s="808" t="s">
        <v>10</v>
      </c>
      <c r="K11" s="808" t="s">
        <v>9</v>
      </c>
      <c r="L11" s="808" t="s">
        <v>10</v>
      </c>
      <c r="M11" s="808" t="s">
        <v>9</v>
      </c>
      <c r="N11" s="808" t="s">
        <v>10</v>
      </c>
      <c r="O11" s="808" t="s">
        <v>9</v>
      </c>
      <c r="P11" s="809" t="s">
        <v>10</v>
      </c>
    </row>
    <row r="12" spans="1:20" ht="79.5" thickBot="1">
      <c r="A12" s="810" t="s">
        <v>11</v>
      </c>
      <c r="B12" s="811" t="s">
        <v>1140</v>
      </c>
      <c r="C12" s="1046">
        <f>SUM('IV-1 su proj'!C6)</f>
        <v>0</v>
      </c>
      <c r="D12" s="1046">
        <f>SUM('IV-1 su proj'!D6)</f>
        <v>0</v>
      </c>
      <c r="E12" s="1046">
        <f>SUM('IV-1 su proj'!E6)</f>
        <v>835238.47455074196</v>
      </c>
      <c r="F12" s="1046">
        <f>SUM('IV-1 su proj'!J6)</f>
        <v>368715.55</v>
      </c>
      <c r="G12" s="1046">
        <f>SUM('IV-1 su proj'!K6)</f>
        <v>6046262.4899999993</v>
      </c>
      <c r="H12" s="1046">
        <f>SUM('IV-1 su proj'!P6)</f>
        <v>4981069.3499999996</v>
      </c>
      <c r="I12" s="1046">
        <f ca="1">SUM('IV-1 su proj'!Q6)</f>
        <v>16781211.931456137</v>
      </c>
      <c r="J12" s="1046">
        <f>SUM('IV-1 su proj'!V6)</f>
        <v>10926461.829230398</v>
      </c>
      <c r="K12" s="1046">
        <f>SUM('IV-1 su proj'!W6)</f>
        <v>13562502.79679163</v>
      </c>
      <c r="L12" s="1046">
        <f>SUM('IV-1 su proj'!AB6)</f>
        <v>9156157.7157129589</v>
      </c>
      <c r="M12" s="1046">
        <f>SUM('IV-1 su proj'!AC6)</f>
        <v>10794494.384260312</v>
      </c>
      <c r="N12" s="1046">
        <f>SUM('IV-1 su proj'!AH6)</f>
        <v>7343684.3950566426</v>
      </c>
      <c r="O12" s="1046">
        <f>SUM('IV-1 su proj'!AI6)</f>
        <v>48019710.077058807</v>
      </c>
      <c r="P12" s="1046">
        <f>SUM('IV-1 su proj'!AS6)</f>
        <v>32776088.84</v>
      </c>
      <c r="R12" s="58"/>
      <c r="S12" s="58"/>
    </row>
    <row r="13" spans="1:20" ht="58.5" thickBot="1">
      <c r="A13" s="812" t="s">
        <v>12</v>
      </c>
      <c r="B13" s="813" t="s">
        <v>1141</v>
      </c>
      <c r="C13" s="1047">
        <f>SUM('IV-1 su proj'!C7)</f>
        <v>0</v>
      </c>
      <c r="D13" s="1047">
        <f>SUM('IV-1 su proj'!D7)</f>
        <v>0</v>
      </c>
      <c r="E13" s="1047">
        <f>SUM('IV-1 su proj'!E7)</f>
        <v>835238.47455074196</v>
      </c>
      <c r="F13" s="1047">
        <f>SUM('IV-1 su proj'!J7)</f>
        <v>368715.55</v>
      </c>
      <c r="G13" s="1047">
        <f>SUM('IV-1 su proj'!K7)</f>
        <v>5086593.3099999996</v>
      </c>
      <c r="H13" s="1047">
        <f>SUM('IV-1 su proj'!P7)</f>
        <v>4165350.75</v>
      </c>
      <c r="I13" s="1047">
        <f ca="1">SUM('IV-1 su proj'!Q7)</f>
        <v>14863659.269185539</v>
      </c>
      <c r="J13" s="1047">
        <f>SUM('IV-1 su proj'!V7)</f>
        <v>9631019.0035989285</v>
      </c>
      <c r="K13" s="1047">
        <f>SUM('IV-1 su proj'!W7)</f>
        <v>10280750.645104829</v>
      </c>
      <c r="L13" s="1047">
        <f>SUM('IV-1 su proj'!AB7)</f>
        <v>6994833.4857489252</v>
      </c>
      <c r="M13" s="1047">
        <f>SUM('IV-1 su proj'!AC7)</f>
        <v>8235711.2482177112</v>
      </c>
      <c r="N13" s="1047">
        <f>SUM('IV-1 su proj'!AH7)</f>
        <v>5291002.480652146</v>
      </c>
      <c r="O13" s="1047">
        <f>SUM('IV-1 su proj'!AI7)</f>
        <v>39301952.947058812</v>
      </c>
      <c r="P13" s="1047">
        <f>SUM('IV-1 su proj'!AS7)</f>
        <v>26450921.27</v>
      </c>
      <c r="Q13" s="58">
        <f t="shared" ref="Q13:Q24" ca="1" si="0">SUM(C13+E13+G13+I13+K13+M13)</f>
        <v>39301952.947058819</v>
      </c>
      <c r="R13" s="58">
        <f t="shared" ref="R13:R24" si="1">SUM(D13+F13+H13+J13+L13+N13)</f>
        <v>26450921.27</v>
      </c>
    </row>
    <row r="14" spans="1:20" ht="27" thickBot="1">
      <c r="A14" s="814" t="s">
        <v>13</v>
      </c>
      <c r="B14" s="815" t="s">
        <v>1142</v>
      </c>
      <c r="C14" s="1048">
        <f>SUM('IV-1 su proj'!C8)</f>
        <v>0</v>
      </c>
      <c r="D14" s="1048">
        <f>SUM('IV-1 su proj'!D8)</f>
        <v>0</v>
      </c>
      <c r="E14" s="1048">
        <f>SUM('IV-1 su proj'!E8)</f>
        <v>0</v>
      </c>
      <c r="F14" s="1048">
        <f>SUM('IV-1 su proj'!J8)</f>
        <v>0</v>
      </c>
      <c r="G14" s="1048">
        <f>SUM('IV-1 su proj'!K8)</f>
        <v>0</v>
      </c>
      <c r="H14" s="1048">
        <f>SUM('IV-1 su proj'!P8)</f>
        <v>0</v>
      </c>
      <c r="I14" s="1048">
        <f ca="1">SUM('IV-1 su proj'!Q8)</f>
        <v>3881837.5230769236</v>
      </c>
      <c r="J14" s="1048">
        <f>SUM('IV-1 su proj'!V8)</f>
        <v>2807395.4387362632</v>
      </c>
      <c r="K14" s="1048">
        <f>SUM('IV-1 su proj'!W8)</f>
        <v>416766.82692307688</v>
      </c>
      <c r="L14" s="1048">
        <f>SUM('IV-1 su proj'!AB8)</f>
        <v>333413.36126373627</v>
      </c>
      <c r="M14" s="1048">
        <f>SUM('IV-1 su proj'!AC8)</f>
        <v>0</v>
      </c>
      <c r="N14" s="1048">
        <f>SUM('IV-1 su proj'!AH8)</f>
        <v>0</v>
      </c>
      <c r="O14" s="1048">
        <f>SUM('IV-1 su proj'!AI8)</f>
        <v>4298604.3499999996</v>
      </c>
      <c r="P14" s="1048">
        <f>SUM('IV-1 su proj'!AS8)</f>
        <v>3140808.8</v>
      </c>
      <c r="Q14" s="58">
        <f t="shared" ca="1" si="0"/>
        <v>4298604.3500000006</v>
      </c>
      <c r="R14" s="58">
        <f t="shared" si="1"/>
        <v>3140808.7999999993</v>
      </c>
    </row>
    <row r="15" spans="1:20" ht="27" thickBot="1">
      <c r="A15" s="814" t="s">
        <v>14</v>
      </c>
      <c r="B15" s="815" t="s">
        <v>1143</v>
      </c>
      <c r="C15" s="1048" t="str">
        <f>CONCATENATE('IV-1 su proj'!C32)</f>
        <v>0</v>
      </c>
      <c r="D15" s="1048" t="str">
        <f>CONCATENATE('IV-1 su proj'!D32)</f>
        <v>0</v>
      </c>
      <c r="E15" s="1048">
        <f>SUM('IV-1 su proj'!E32)</f>
        <v>0</v>
      </c>
      <c r="F15" s="1048">
        <f>SUM('IV-1 su proj'!J32)</f>
        <v>0</v>
      </c>
      <c r="G15" s="1048">
        <f>SUM('IV-1 su proj'!K32)</f>
        <v>0</v>
      </c>
      <c r="H15" s="1048">
        <f>SUM('IV-1 su proj'!P32)</f>
        <v>0</v>
      </c>
      <c r="I15" s="1048">
        <f>SUM('IV-1 su proj'!Q32)</f>
        <v>713051.45289100218</v>
      </c>
      <c r="J15" s="1048">
        <f>SUM('IV-1 su proj'!V32)</f>
        <v>526996.75414439302</v>
      </c>
      <c r="K15" s="1048">
        <f>SUM('IV-1 su proj'!W32)</f>
        <v>1777652.8480769875</v>
      </c>
      <c r="L15" s="1048">
        <f>SUM('IV-1 su proj'!AB32)</f>
        <v>1329172.6295329437</v>
      </c>
      <c r="M15" s="1048">
        <f>SUM('IV-1 su proj'!AC32)</f>
        <v>1226621.4990320103</v>
      </c>
      <c r="N15" s="1048">
        <f>SUM('IV-1 su proj'!AH32)</f>
        <v>960281.25632266328</v>
      </c>
      <c r="O15" s="1048">
        <f>SUM('IV-1 su proj'!AI32)</f>
        <v>3717325.8</v>
      </c>
      <c r="P15" s="1048">
        <f>SUM('IV-1 su proj'!AS32)</f>
        <v>2816450.64</v>
      </c>
      <c r="Q15" s="58">
        <f t="shared" si="0"/>
        <v>3717325.8</v>
      </c>
      <c r="R15" s="58">
        <f t="shared" si="1"/>
        <v>2816450.64</v>
      </c>
      <c r="S15" s="58">
        <f>SUM(O15-Q15)</f>
        <v>0</v>
      </c>
      <c r="T15" s="58">
        <f>SUM(P15-R15)</f>
        <v>0</v>
      </c>
    </row>
    <row r="16" spans="1:20" ht="27" thickBot="1">
      <c r="A16" s="814" t="s">
        <v>15</v>
      </c>
      <c r="B16" s="815" t="s">
        <v>1144</v>
      </c>
      <c r="C16" s="1048">
        <f>SUM('IV-1 su proj'!C38)</f>
        <v>0</v>
      </c>
      <c r="D16" s="1048">
        <f>SUM('IV-1 su proj'!D38)</f>
        <v>0</v>
      </c>
      <c r="E16" s="1048">
        <f>SUM('IV-1 su proj'!E38)</f>
        <v>0</v>
      </c>
      <c r="F16" s="1048">
        <f>SUM('IV-1 su proj'!J38)</f>
        <v>0</v>
      </c>
      <c r="G16" s="1048">
        <f>SUM('IV-1 su proj'!K38)</f>
        <v>1186280.8599999999</v>
      </c>
      <c r="H16" s="1048">
        <f>SUM('IV-1 su proj'!P38)</f>
        <v>1029679.4099999999</v>
      </c>
      <c r="I16" s="1048">
        <f>SUM('IV-1 su proj'!Q38)</f>
        <v>1309990.3536709435</v>
      </c>
      <c r="J16" s="1048">
        <f>SUM('IV-1 su proj'!V38)</f>
        <v>1090138.8727153484</v>
      </c>
      <c r="K16" s="1048">
        <f>SUM('IV-1 su proj'!W38)</f>
        <v>1344426.29138011</v>
      </c>
      <c r="L16" s="1048">
        <f>SUM('IV-1 su proj'!AB38)</f>
        <v>1136782.1616163575</v>
      </c>
      <c r="M16" s="1048">
        <f>SUM('IV-1 su proj'!AC38)</f>
        <v>519034.62494894641</v>
      </c>
      <c r="N16" s="1048">
        <f>SUM('IV-1 su proj'!AH38)</f>
        <v>440699.01566829428</v>
      </c>
      <c r="O16" s="1048">
        <f>SUM('IV-1 su proj'!AI38)</f>
        <v>4359732.13</v>
      </c>
      <c r="P16" s="1048">
        <f>SUM('IV-1 su proj'!AS38)</f>
        <v>3697299.46</v>
      </c>
      <c r="Q16" s="58">
        <f t="shared" si="0"/>
        <v>4359732.13</v>
      </c>
      <c r="R16" s="58">
        <f t="shared" si="1"/>
        <v>3697299.4600000004</v>
      </c>
      <c r="S16" s="58">
        <f t="shared" ref="S16:S50" si="2">SUM(O16-Q16)</f>
        <v>0</v>
      </c>
      <c r="T16" s="58">
        <f t="shared" ref="T16:T50" si="3">SUM(P16-R16)</f>
        <v>-4.6566128730773926E-10</v>
      </c>
    </row>
    <row r="17" spans="1:20" ht="27" thickBot="1">
      <c r="A17" s="814" t="s">
        <v>16</v>
      </c>
      <c r="B17" s="815" t="s">
        <v>1145</v>
      </c>
      <c r="C17" s="1048">
        <f>SUM('IV-1 su proj'!C45)</f>
        <v>0</v>
      </c>
      <c r="D17" s="1048">
        <f>SUM('IV-1 su proj'!D45)</f>
        <v>0</v>
      </c>
      <c r="E17" s="1048">
        <f>SUM('IV-1 su proj'!E45)</f>
        <v>0</v>
      </c>
      <c r="F17" s="1048">
        <f>SUM('IV-1 su proj'!J45)</f>
        <v>0</v>
      </c>
      <c r="G17" s="1048">
        <f>SUM('IV-1 su proj'!K45)</f>
        <v>1263963.08</v>
      </c>
      <c r="H17" s="1048">
        <f>SUM('IV-1 su proj'!P45)</f>
        <v>1098406.45</v>
      </c>
      <c r="I17" s="1048">
        <f>SUM('IV-1 su proj'!Q45)</f>
        <v>1167554.6700000004</v>
      </c>
      <c r="J17" s="1048">
        <f>SUM('IV-1 su proj'!V45)</f>
        <v>570230.0700000003</v>
      </c>
      <c r="K17" s="1048">
        <f>SUM('IV-1 su proj'!W45)</f>
        <v>0</v>
      </c>
      <c r="L17" s="1048">
        <f>SUM('IV-1 su proj'!AB45)</f>
        <v>0</v>
      </c>
      <c r="M17" s="1048">
        <f>SUM('IV-1 su proj'!AC45)</f>
        <v>0</v>
      </c>
      <c r="N17" s="1048">
        <f>SUM('IV-1 su proj'!AH45)</f>
        <v>0</v>
      </c>
      <c r="O17" s="1048">
        <f>SUM('IV-1 su proj'!AI45)</f>
        <v>2431517.75</v>
      </c>
      <c r="P17" s="1048">
        <f>SUM('IV-1 su proj'!AS45)</f>
        <v>1668636.52</v>
      </c>
      <c r="Q17" s="58">
        <f t="shared" si="0"/>
        <v>2431517.7500000005</v>
      </c>
      <c r="R17" s="58">
        <f t="shared" si="1"/>
        <v>1668636.5200000003</v>
      </c>
      <c r="S17" s="58">
        <f t="shared" si="2"/>
        <v>-4.6566128730773926E-10</v>
      </c>
      <c r="T17" s="58">
        <f t="shared" si="3"/>
        <v>-2.3283064365386963E-10</v>
      </c>
    </row>
    <row r="18" spans="1:20" ht="39.75" thickBot="1">
      <c r="A18" s="814" t="s">
        <v>17</v>
      </c>
      <c r="B18" s="815" t="s">
        <v>1146</v>
      </c>
      <c r="C18" s="1048">
        <f>SUM('IV-1 su proj'!C49)</f>
        <v>0</v>
      </c>
      <c r="D18" s="1048">
        <f>SUM('IV-1 su proj'!D49)</f>
        <v>0</v>
      </c>
      <c r="E18" s="1048">
        <f>SUM('IV-1 su proj'!E49)</f>
        <v>835238.47455074196</v>
      </c>
      <c r="F18" s="1048">
        <f>SUM('IV-1 su proj'!J49)</f>
        <v>368715.55</v>
      </c>
      <c r="G18" s="1048">
        <f>SUM('IV-1 su proj'!K49)</f>
        <v>1372598.49</v>
      </c>
      <c r="H18" s="1048">
        <f>SUM('IV-1 su proj'!P49)</f>
        <v>940471.04</v>
      </c>
      <c r="I18" s="1048">
        <f>SUM('IV-1 su proj'!Q49)</f>
        <v>4740567.4727964727</v>
      </c>
      <c r="J18" s="1048">
        <f>SUM('IV-1 su proj'!V49)</f>
        <v>2544812.8010671129</v>
      </c>
      <c r="K18" s="1048">
        <f>SUM('IV-1 su proj'!W49)</f>
        <v>4461544.8692433592</v>
      </c>
      <c r="L18" s="1048">
        <f>SUM('IV-1 su proj'!AB49)</f>
        <v>2406953.686968944</v>
      </c>
      <c r="M18" s="1048">
        <f>SUM('IV-1 su proj'!AC49)</f>
        <v>4939773.8234094242</v>
      </c>
      <c r="N18" s="1048">
        <f>SUM('IV-1 su proj'!AH49)</f>
        <v>2641011.221963943</v>
      </c>
      <c r="O18" s="1048">
        <f>SUM('IV-1 su proj'!AI49)</f>
        <v>16349723.129999999</v>
      </c>
      <c r="P18" s="1048">
        <f>SUM('IV-1 su proj'!AS49)</f>
        <v>8901964.3000000007</v>
      </c>
      <c r="Q18" s="58">
        <f t="shared" si="0"/>
        <v>16349723.129999999</v>
      </c>
      <c r="R18" s="58">
        <f t="shared" si="1"/>
        <v>8901964.3000000007</v>
      </c>
      <c r="S18" s="58">
        <f t="shared" si="2"/>
        <v>0</v>
      </c>
      <c r="T18" s="58">
        <f t="shared" si="3"/>
        <v>0</v>
      </c>
    </row>
    <row r="19" spans="1:20" ht="27" thickBot="1">
      <c r="A19" s="814" t="s">
        <v>18</v>
      </c>
      <c r="B19" s="815" t="s">
        <v>1147</v>
      </c>
      <c r="C19" s="1048">
        <f>SUM('IV-1 su proj'!C55)</f>
        <v>0</v>
      </c>
      <c r="D19" s="1048">
        <f>SUM('IV-1 su proj'!D55)</f>
        <v>0</v>
      </c>
      <c r="E19" s="1048">
        <f>SUM('IV-1 su proj'!E55)</f>
        <v>0</v>
      </c>
      <c r="F19" s="1048">
        <f>SUM('IV-1 su proj'!J55)</f>
        <v>0</v>
      </c>
      <c r="G19" s="1048">
        <f>SUM('IV-1 su proj'!K55)</f>
        <v>915098.59000000008</v>
      </c>
      <c r="H19" s="1048">
        <f>SUM('IV-1 su proj'!P55)</f>
        <v>777833.8</v>
      </c>
      <c r="I19" s="1048">
        <f>SUM('IV-1 su proj'!Q55)</f>
        <v>1024350.1604014598</v>
      </c>
      <c r="J19" s="1048">
        <f>SUM('IV-1 su proj'!V55)</f>
        <v>870697.6390054744</v>
      </c>
      <c r="K19" s="1048">
        <f>SUM('IV-1 su proj'!W55)</f>
        <v>1024350.1604014598</v>
      </c>
      <c r="L19" s="1048">
        <f>SUM('IV-1 su proj'!AB55)</f>
        <v>870697.6390054744</v>
      </c>
      <c r="M19" s="1048">
        <f>SUM('IV-1 su proj'!AC55)</f>
        <v>1027156.5991970802</v>
      </c>
      <c r="N19" s="1048">
        <f>SUM('IV-1 su proj'!AH55)</f>
        <v>873083.11198905099</v>
      </c>
      <c r="O19" s="1048">
        <f>SUM('IV-1 su proj'!AI55)</f>
        <v>3990955.51</v>
      </c>
      <c r="P19" s="1048">
        <f>SUM('IV-1 su proj'!AS55)</f>
        <v>3392312.19</v>
      </c>
      <c r="Q19" s="58">
        <f t="shared" si="0"/>
        <v>3990955.51</v>
      </c>
      <c r="R19" s="58">
        <f t="shared" si="1"/>
        <v>3392312.19</v>
      </c>
      <c r="S19" s="58">
        <f t="shared" si="2"/>
        <v>0</v>
      </c>
      <c r="T19" s="58">
        <f t="shared" si="3"/>
        <v>0</v>
      </c>
    </row>
    <row r="20" spans="1:20" ht="39.75" thickBot="1">
      <c r="A20" s="814" t="s">
        <v>19</v>
      </c>
      <c r="B20" s="815" t="s">
        <v>1148</v>
      </c>
      <c r="C20" s="1048">
        <f>SUM('IV-1 su proj'!C57)</f>
        <v>0</v>
      </c>
      <c r="D20" s="1048">
        <f>SUM('IV-1 su proj'!D57)</f>
        <v>0</v>
      </c>
      <c r="E20" s="1048">
        <f>SUM('IV-1 su proj'!E57)</f>
        <v>0</v>
      </c>
      <c r="F20" s="1048">
        <f>SUM('IV-1 su proj'!J57)</f>
        <v>0</v>
      </c>
      <c r="G20" s="1048">
        <f>SUM('IV-1 su proj'!K57)</f>
        <v>64571.529999999992</v>
      </c>
      <c r="H20" s="1048">
        <f>SUM('IV-1 su proj'!P57)</f>
        <v>54885.799999999996</v>
      </c>
      <c r="I20" s="1048">
        <f>SUM('IV-1 su proj'!Q57)</f>
        <v>374366.8068344451</v>
      </c>
      <c r="J20" s="1048">
        <f>SUM('IV-1 su proj'!V57)</f>
        <v>318211.78618556703</v>
      </c>
      <c r="K20" s="1048">
        <f>SUM('IV-1 su proj'!W57)</f>
        <v>132664.85842551006</v>
      </c>
      <c r="L20" s="1048">
        <f>SUM('IV-1 su proj'!AB57)</f>
        <v>112765.12978539488</v>
      </c>
      <c r="M20" s="1048">
        <f>SUM('IV-1 su proj'!AC57)</f>
        <v>147714.45179886839</v>
      </c>
      <c r="N20" s="1048">
        <f>SUM('IV-1 su proj'!AH57)</f>
        <v>125557.28402903811</v>
      </c>
      <c r="O20" s="1048">
        <f>SUM('IV-1 su proj'!AI57)</f>
        <v>719317.64705882361</v>
      </c>
      <c r="P20" s="1048">
        <f>SUM('IV-1 su proj'!AS57)</f>
        <v>611420</v>
      </c>
      <c r="Q20" s="58">
        <f t="shared" si="0"/>
        <v>719317.6470588235</v>
      </c>
      <c r="R20" s="58">
        <f t="shared" si="1"/>
        <v>611420</v>
      </c>
      <c r="S20" s="58">
        <f t="shared" si="2"/>
        <v>1.1641532182693481E-10</v>
      </c>
      <c r="T20" s="58">
        <f t="shared" si="3"/>
        <v>0</v>
      </c>
    </row>
    <row r="21" spans="1:20" ht="27" thickBot="1">
      <c r="A21" s="814" t="s">
        <v>20</v>
      </c>
      <c r="B21" s="815" t="s">
        <v>1149</v>
      </c>
      <c r="C21" s="1048">
        <f>SUM('IV-1 su proj'!C61)</f>
        <v>0</v>
      </c>
      <c r="D21" s="1048">
        <f>SUM('IV-1 su proj'!D61)</f>
        <v>0</v>
      </c>
      <c r="E21" s="1048">
        <f>SUM('IV-1 su proj'!E61)</f>
        <v>0</v>
      </c>
      <c r="F21" s="1048">
        <f>SUM('IV-1 su proj'!J61)</f>
        <v>0</v>
      </c>
      <c r="G21" s="1048">
        <f>SUM('IV-1 su proj'!K61)</f>
        <v>284080.76</v>
      </c>
      <c r="H21" s="1048">
        <f>SUM('IV-1 su proj'!P61)</f>
        <v>264074.25</v>
      </c>
      <c r="I21" s="1048">
        <f>SUM('IV-1 su proj'!Q61)</f>
        <v>1270009.7496220472</v>
      </c>
      <c r="J21" s="1048">
        <f>SUM('IV-1 su proj'!V61)</f>
        <v>631313.68407361</v>
      </c>
      <c r="K21" s="1048">
        <f>SUM('IV-1 su proj'!W61)</f>
        <v>418745.0003779527</v>
      </c>
      <c r="L21" s="1048">
        <f>SUM('IV-1 su proj'!AB61)</f>
        <v>302775.76592639001</v>
      </c>
      <c r="M21" s="1048">
        <f>SUM('IV-1 su proj'!AC61)</f>
        <v>0</v>
      </c>
      <c r="N21" s="1048">
        <f>SUM('IV-1 su proj'!AH61)</f>
        <v>0</v>
      </c>
      <c r="O21" s="1048">
        <f>SUM('IV-1 su proj'!AI61)</f>
        <v>1972835.5100000002</v>
      </c>
      <c r="P21" s="1048">
        <f>SUM('IV-1 su proj'!AS61)</f>
        <v>1198163.7</v>
      </c>
      <c r="Q21" s="58">
        <f t="shared" si="0"/>
        <v>1972835.5099999998</v>
      </c>
      <c r="R21" s="58">
        <f t="shared" si="1"/>
        <v>1198163.7</v>
      </c>
      <c r="S21" s="58">
        <f t="shared" si="2"/>
        <v>4.6566128730773926E-10</v>
      </c>
      <c r="T21" s="58">
        <f t="shared" si="3"/>
        <v>0</v>
      </c>
    </row>
    <row r="22" spans="1:20" ht="27" thickBot="1">
      <c r="A22" s="814" t="s">
        <v>21</v>
      </c>
      <c r="B22" s="815" t="s">
        <v>1150</v>
      </c>
      <c r="C22" s="1048">
        <f>SUM('IV-1 su proj'!C66)</f>
        <v>0</v>
      </c>
      <c r="D22" s="1048">
        <f>SUM('IV-1 su proj'!D66)</f>
        <v>0</v>
      </c>
      <c r="E22" s="1048">
        <f>SUM('IV-1 su proj'!E66)</f>
        <v>0</v>
      </c>
      <c r="F22" s="1048">
        <f>SUM('IV-1 su proj'!J66)</f>
        <v>0</v>
      </c>
      <c r="G22" s="1048">
        <f>SUM('IV-1 su proj'!K66)</f>
        <v>0</v>
      </c>
      <c r="H22" s="1048">
        <f>SUM('IV-1 su proj'!P66)</f>
        <v>0</v>
      </c>
      <c r="I22" s="1048">
        <f>SUM('IV-1 su proj'!Q66)</f>
        <v>381931.07989224407</v>
      </c>
      <c r="J22" s="1048">
        <f>SUM('IV-1 su proj'!V66)</f>
        <v>271221.95767115918</v>
      </c>
      <c r="K22" s="1048">
        <f>SUM('IV-1 su proj'!W66)</f>
        <v>704599.7902763742</v>
      </c>
      <c r="L22" s="1048">
        <f>SUM('IV-1 su proj'!AB66)</f>
        <v>502273.11164968391</v>
      </c>
      <c r="M22" s="1048">
        <f>SUM('IV-1 su proj'!AC66)</f>
        <v>375410.24983138172</v>
      </c>
      <c r="N22" s="1048">
        <f>SUM('IV-1 su proj'!AH66)</f>
        <v>250370.59067915691</v>
      </c>
      <c r="O22" s="1048">
        <f>SUM('IV-1 su proj'!AI66)</f>
        <v>1461941.12</v>
      </c>
      <c r="P22" s="1048">
        <f>SUM('IV-1 su proj'!AS66)</f>
        <v>1023865.66</v>
      </c>
      <c r="Q22" s="58">
        <f t="shared" si="0"/>
        <v>1461941.12</v>
      </c>
      <c r="R22" s="58">
        <f t="shared" si="1"/>
        <v>1023865.66</v>
      </c>
      <c r="S22" s="58">
        <f t="shared" si="2"/>
        <v>0</v>
      </c>
      <c r="T22" s="58">
        <f t="shared" si="3"/>
        <v>0</v>
      </c>
    </row>
    <row r="23" spans="1:20" ht="44.25" thickBot="1">
      <c r="A23" s="812" t="s">
        <v>22</v>
      </c>
      <c r="B23" s="813" t="s">
        <v>1151</v>
      </c>
      <c r="C23" s="1047">
        <f>SUM('IV-1 su proj'!C72)</f>
        <v>0</v>
      </c>
      <c r="D23" s="1047">
        <f>SUM('IV-1 su proj'!D72)</f>
        <v>0</v>
      </c>
      <c r="E23" s="1047">
        <f>SUM('IV-1 su proj'!E72)</f>
        <v>0</v>
      </c>
      <c r="F23" s="1047">
        <f>SUM('IV-1 su proj'!J72)</f>
        <v>0</v>
      </c>
      <c r="G23" s="1047">
        <f>SUM('IV-1 su proj'!K72)</f>
        <v>959669.18</v>
      </c>
      <c r="H23" s="1047">
        <f>SUM('IV-1 su proj'!P72)</f>
        <v>815718.60000000009</v>
      </c>
      <c r="I23" s="1047">
        <f>SUM('IV-1 su proj'!Q72)</f>
        <v>1917552.6622705993</v>
      </c>
      <c r="J23" s="1047">
        <f>SUM('IV-1 su proj'!V72)</f>
        <v>1295442.8256314702</v>
      </c>
      <c r="K23" s="1047">
        <f>SUM('IV-1 su proj'!W72)</f>
        <v>3281752.1516868011</v>
      </c>
      <c r="L23" s="1047">
        <f>SUM('IV-1 su proj'!AB72)</f>
        <v>2161324.2299640337</v>
      </c>
      <c r="M23" s="1047">
        <f>SUM('IV-1 su proj'!AC72)</f>
        <v>2558783.1360425996</v>
      </c>
      <c r="N23" s="1047">
        <f>SUM('IV-1 su proj'!AH72)</f>
        <v>2052681.9144044963</v>
      </c>
      <c r="O23" s="1047">
        <f>SUM('IV-1 su proj'!AI72)</f>
        <v>8717757.129999999</v>
      </c>
      <c r="P23" s="1047">
        <f>SUM('IV-1 su proj'!AS72)</f>
        <v>6325167.5700000003</v>
      </c>
      <c r="Q23" s="58">
        <f t="shared" si="0"/>
        <v>8717757.129999999</v>
      </c>
      <c r="R23" s="58">
        <f t="shared" si="1"/>
        <v>6325167.5700000003</v>
      </c>
      <c r="S23" s="58">
        <f t="shared" si="2"/>
        <v>0</v>
      </c>
      <c r="T23" s="58">
        <f t="shared" si="3"/>
        <v>0</v>
      </c>
    </row>
    <row r="24" spans="1:20" ht="27" thickBot="1">
      <c r="A24" s="814" t="s">
        <v>23</v>
      </c>
      <c r="B24" s="815" t="s">
        <v>1152</v>
      </c>
      <c r="C24" s="1048">
        <f>SUM('IV-1 su proj'!C73)</f>
        <v>0</v>
      </c>
      <c r="D24" s="1048">
        <f>SUM('IV-1 su proj'!D73)</f>
        <v>0</v>
      </c>
      <c r="E24" s="1048">
        <f>SUM('IV-1 su proj'!E73)</f>
        <v>0</v>
      </c>
      <c r="F24" s="1048">
        <f>SUM('IV-1 su proj'!J73)</f>
        <v>0</v>
      </c>
      <c r="G24" s="1048">
        <f>SUM('IV-1 su proj'!K73)</f>
        <v>0</v>
      </c>
      <c r="H24" s="1048">
        <f>SUM('IV-1 su proj'!P73)</f>
        <v>0</v>
      </c>
      <c r="I24" s="1048">
        <f>SUM('IV-1 su proj'!Q73)</f>
        <v>79069.408155630386</v>
      </c>
      <c r="J24" s="1048">
        <f>SUM('IV-1 su proj'!V73)</f>
        <v>43236.777902481605</v>
      </c>
      <c r="K24" s="1048">
        <f>SUM('IV-1 su proj'!W73)</f>
        <v>1045806.8732550266</v>
      </c>
      <c r="L24" s="1048">
        <f>SUM('IV-1 su proj'!AB73)</f>
        <v>591793.28236949176</v>
      </c>
      <c r="M24" s="1048">
        <f>SUM('IV-1 su proj'!AC73)</f>
        <v>881105.71858934313</v>
      </c>
      <c r="N24" s="1048">
        <f>SUM('IV-1 su proj'!AH73)</f>
        <v>628241.93972802663</v>
      </c>
      <c r="O24" s="1048">
        <f>SUM('IV-1 su proj'!AI73)</f>
        <v>2005982</v>
      </c>
      <c r="P24" s="1048">
        <f>SUM('IV-1 su proj'!AS73)</f>
        <v>1263272</v>
      </c>
      <c r="Q24" s="58">
        <f t="shared" si="0"/>
        <v>2005982.0000000002</v>
      </c>
      <c r="R24" s="58">
        <f t="shared" si="1"/>
        <v>1263272</v>
      </c>
      <c r="S24" s="58">
        <f t="shared" si="2"/>
        <v>-2.3283064365386963E-10</v>
      </c>
      <c r="T24" s="58">
        <f t="shared" si="3"/>
        <v>0</v>
      </c>
    </row>
    <row r="25" spans="1:20" ht="27" thickBot="1">
      <c r="A25" s="814" t="s">
        <v>24</v>
      </c>
      <c r="B25" s="815" t="s">
        <v>1153</v>
      </c>
      <c r="C25" s="1048">
        <f>SUM('IV-1 su proj'!C78)</f>
        <v>0</v>
      </c>
      <c r="D25" s="1048">
        <f>SUM('IV-1 su proj'!D78)</f>
        <v>0</v>
      </c>
      <c r="E25" s="1048">
        <f>SUM('IV-1 su proj'!E78)</f>
        <v>0</v>
      </c>
      <c r="F25" s="1048">
        <f>SUM('IV-1 su proj'!J78)</f>
        <v>0</v>
      </c>
      <c r="G25" s="1048">
        <f>SUM('IV-1 su proj'!K78)</f>
        <v>37182.800000000003</v>
      </c>
      <c r="H25" s="1048">
        <f>SUM('IV-1 su proj'!P78)</f>
        <v>31605.38</v>
      </c>
      <c r="I25" s="1048">
        <f>SUM('IV-1 su proj'!Q78)</f>
        <v>13455.199999999997</v>
      </c>
      <c r="J25" s="1048">
        <f>SUM('IV-1 su proj'!V78)</f>
        <v>11436.919999999998</v>
      </c>
      <c r="K25" s="1048">
        <f>SUM('IV-1 su proj'!W78)</f>
        <v>361069.43844992103</v>
      </c>
      <c r="L25" s="1048">
        <f>SUM('IV-1 su proj'!AB78)</f>
        <v>306909.07442374527</v>
      </c>
      <c r="M25" s="1048">
        <f>SUM('IV-1 su proj'!AC78)</f>
        <v>1483235.8015500789</v>
      </c>
      <c r="N25" s="1048">
        <f>SUM('IV-1 su proj'!AH78)</f>
        <v>1260750.7255762548</v>
      </c>
      <c r="O25" s="1048">
        <f>SUM('IV-1 su proj'!AI78)</f>
        <v>1894943.24</v>
      </c>
      <c r="P25" s="1048">
        <f>SUM('IV-1 su proj'!AS78)</f>
        <v>1610702.1</v>
      </c>
      <c r="Q25" s="58">
        <f>SUM(G25+I25+K25+M25)</f>
        <v>1894943.24</v>
      </c>
      <c r="R25" s="58">
        <f>SUM(H25+J25+L25+N25)</f>
        <v>1610702.1</v>
      </c>
      <c r="S25" s="58">
        <f t="shared" si="2"/>
        <v>0</v>
      </c>
      <c r="T25" s="58">
        <f t="shared" si="3"/>
        <v>0</v>
      </c>
    </row>
    <row r="26" spans="1:20" ht="27" thickBot="1">
      <c r="A26" s="814" t="s">
        <v>25</v>
      </c>
      <c r="B26" s="815" t="s">
        <v>1154</v>
      </c>
      <c r="C26" s="1048">
        <f>SUM('IV-1 su proj'!C85)</f>
        <v>0</v>
      </c>
      <c r="D26" s="1048">
        <f>SUM('IV-1 su proj'!D85)</f>
        <v>0</v>
      </c>
      <c r="E26" s="1048">
        <f>SUM('IV-1 su proj'!E85)</f>
        <v>0</v>
      </c>
      <c r="F26" s="1048">
        <f>SUM('IV-1 su proj'!J85)</f>
        <v>0</v>
      </c>
      <c r="G26" s="1048">
        <f>SUM('IV-1 su proj'!K85)</f>
        <v>48895.060000000005</v>
      </c>
      <c r="H26" s="1048">
        <f>SUM('IV-1 su proj'!P85)</f>
        <v>41560.800000000003</v>
      </c>
      <c r="I26" s="1048">
        <f>SUM('IV-1 su proj'!Q85)</f>
        <v>202492.85078468983</v>
      </c>
      <c r="J26" s="1048">
        <f>SUM('IV-1 su proj'!V85)</f>
        <v>168945.56792280148</v>
      </c>
      <c r="K26" s="1048">
        <f>SUM('IV-1 su proj'!W85)</f>
        <v>188843.77436140284</v>
      </c>
      <c r="L26" s="1048">
        <f>SUM('IV-1 su proj'!AB85)</f>
        <v>155127.22192771346</v>
      </c>
      <c r="M26" s="1048">
        <f>SUM('IV-1 su proj'!AC85)</f>
        <v>60721.364853907296</v>
      </c>
      <c r="N26" s="1048">
        <f>SUM('IV-1 su proj'!AH85)</f>
        <v>50027.100149485079</v>
      </c>
      <c r="O26" s="1048">
        <f>SUM('IV-1 su proj'!AI85)</f>
        <v>500953.05</v>
      </c>
      <c r="P26" s="1048">
        <f>SUM('IV-1 su proj'!AS85)</f>
        <v>415660.69</v>
      </c>
      <c r="Q26" s="58">
        <f t="shared" ref="Q26:Q45" si="4">SUM(C26+E26+G26+I26+K26+M26)</f>
        <v>500953.05</v>
      </c>
      <c r="R26" s="58">
        <f t="shared" ref="R26:R45" si="5">SUM(D26+F26+H26+J26+L26+N26)</f>
        <v>415660.68999999994</v>
      </c>
      <c r="S26" s="58">
        <f t="shared" si="2"/>
        <v>0</v>
      </c>
      <c r="T26" s="58">
        <f t="shared" si="3"/>
        <v>5.8207660913467407E-11</v>
      </c>
    </row>
    <row r="27" spans="1:20" ht="27" thickBot="1">
      <c r="A27" s="814" t="s">
        <v>26</v>
      </c>
      <c r="B27" s="815" t="s">
        <v>1155</v>
      </c>
      <c r="C27" s="1048">
        <f>SUM('IV-1 su proj'!C91)</f>
        <v>0</v>
      </c>
      <c r="D27" s="1048">
        <f>SUM('IV-1 su proj'!D91)</f>
        <v>0</v>
      </c>
      <c r="E27" s="1048">
        <f>SUM('IV-1 su proj'!E91)</f>
        <v>0</v>
      </c>
      <c r="F27" s="1048">
        <f>SUM('IV-1 su proj'!J91)</f>
        <v>0</v>
      </c>
      <c r="G27" s="1048">
        <f>SUM('IV-1 su proj'!K91)</f>
        <v>873591.32000000007</v>
      </c>
      <c r="H27" s="1048">
        <f>SUM('IV-1 su proj'!P91)</f>
        <v>742552.42</v>
      </c>
      <c r="I27" s="1048">
        <f>SUM('IV-1 su proj'!Q91)</f>
        <v>1622535.2033302791</v>
      </c>
      <c r="J27" s="1048">
        <f>SUM('IV-1 su proj'!V91)</f>
        <v>1071823.5598061872</v>
      </c>
      <c r="K27" s="1048">
        <f>SUM('IV-1 su proj'!W91)</f>
        <v>1686032.0656204508</v>
      </c>
      <c r="L27" s="1048">
        <f>SUM('IV-1 su proj'!AB91)</f>
        <v>1107494.6512430829</v>
      </c>
      <c r="M27" s="1048">
        <f>SUM('IV-1 su proj'!AC91)</f>
        <v>133720.25104927007</v>
      </c>
      <c r="N27" s="1048">
        <f>SUM('IV-1 su proj'!AH91)</f>
        <v>113662.14895072993</v>
      </c>
      <c r="O27" s="1048">
        <f>SUM('IV-1 su proj'!AI91)</f>
        <v>4315878.84</v>
      </c>
      <c r="P27" s="1048">
        <f>SUM('IV-1 su proj'!AS91)</f>
        <v>3035532.7800000003</v>
      </c>
      <c r="Q27" s="58">
        <f t="shared" si="4"/>
        <v>4315878.84</v>
      </c>
      <c r="R27" s="58">
        <f t="shared" si="5"/>
        <v>3035532.78</v>
      </c>
      <c r="S27" s="58">
        <f t="shared" si="2"/>
        <v>0</v>
      </c>
      <c r="T27" s="58">
        <f t="shared" si="3"/>
        <v>4.6566128730773926E-10</v>
      </c>
    </row>
    <row r="28" spans="1:20" ht="32.25" thickBot="1">
      <c r="A28" s="810" t="s">
        <v>27</v>
      </c>
      <c r="B28" s="811" t="s">
        <v>1156</v>
      </c>
      <c r="C28" s="1046">
        <f>SUM('IV-1 su proj'!C99)</f>
        <v>0</v>
      </c>
      <c r="D28" s="1046">
        <f>SUM('IV-1 su proj'!D99)</f>
        <v>0</v>
      </c>
      <c r="E28" s="1046">
        <f>SUM('IV-1 su proj'!E99)</f>
        <v>272169.55999999994</v>
      </c>
      <c r="F28" s="1046">
        <f>SUM('IV-1 su proj'!J99)</f>
        <v>239547.65159038958</v>
      </c>
      <c r="G28" s="1046">
        <f>SUM('IV-1 su proj'!K99)</f>
        <v>1171598</v>
      </c>
      <c r="H28" s="1046">
        <f>SUM('IV-1 su proj'!P99)</f>
        <v>1061732.2084096104</v>
      </c>
      <c r="I28" s="1046">
        <f>SUM('IV-1 su proj'!Q99)</f>
        <v>4974116.6754301395</v>
      </c>
      <c r="J28" s="1046">
        <f>SUM('IV-1 su proj'!V99)</f>
        <v>3909798.156965707</v>
      </c>
      <c r="K28" s="1046">
        <f>SUM('IV-1 su proj'!W99)</f>
        <v>4439652.4167544954</v>
      </c>
      <c r="L28" s="1046">
        <f>SUM('IV-1 su proj'!AB99)</f>
        <v>3560337.9342918256</v>
      </c>
      <c r="M28" s="1046">
        <f>SUM('IV-1 su proj'!AC99)</f>
        <v>1735427.1078153658</v>
      </c>
      <c r="N28" s="1046">
        <f>SUM('IV-1 su proj'!AH99)</f>
        <v>1473873.7587424675</v>
      </c>
      <c r="O28" s="1046">
        <f>SUM('IV-1 su proj'!AI99)</f>
        <v>12592963.76</v>
      </c>
      <c r="P28" s="1046">
        <f>SUM('IV-1 su proj'!AS99)</f>
        <v>10245289.709999999</v>
      </c>
      <c r="Q28" s="58">
        <f t="shared" si="4"/>
        <v>12592963.760000002</v>
      </c>
      <c r="R28" s="58">
        <f t="shared" si="5"/>
        <v>10245289.710000001</v>
      </c>
      <c r="S28" s="58">
        <f t="shared" si="2"/>
        <v>-1.862645149230957E-9</v>
      </c>
      <c r="T28" s="58">
        <f t="shared" si="3"/>
        <v>-1.862645149230957E-9</v>
      </c>
    </row>
    <row r="29" spans="1:20" ht="58.5" thickBot="1">
      <c r="A29" s="812" t="s">
        <v>28</v>
      </c>
      <c r="B29" s="813" t="s">
        <v>1157</v>
      </c>
      <c r="C29" s="1047">
        <f>SUM('IV-1 su proj'!C100)</f>
        <v>0</v>
      </c>
      <c r="D29" s="1047">
        <f>SUM('IV-1 su proj'!D100)</f>
        <v>0</v>
      </c>
      <c r="E29" s="1047">
        <f>SUM('IV-1 su proj'!E100)</f>
        <v>0</v>
      </c>
      <c r="F29" s="1047">
        <f>SUM('IV-1 su proj'!J100)</f>
        <v>0</v>
      </c>
      <c r="G29" s="1047">
        <f>SUM('IV-1 su proj'!K100)</f>
        <v>0</v>
      </c>
      <c r="H29" s="1047">
        <f>SUM('IV-1 su proj'!P100)</f>
        <v>0</v>
      </c>
      <c r="I29" s="1047">
        <f>SUM('IV-1 su proj'!Q100)</f>
        <v>2547061.0555623714</v>
      </c>
      <c r="J29" s="1047">
        <f>SUM('IV-1 su proj'!V100)</f>
        <v>2011334.1751343193</v>
      </c>
      <c r="K29" s="1047">
        <f>SUM('IV-1 su proj'!W100)</f>
        <v>2214890.7158290483</v>
      </c>
      <c r="L29" s="1047">
        <f>SUM('IV-1 su proj'!AB100)</f>
        <v>1743774.8036049455</v>
      </c>
      <c r="M29" s="1047">
        <f>SUM('IV-1 su proj'!AC100)</f>
        <v>14915.588608580376</v>
      </c>
      <c r="N29" s="1047">
        <f>SUM('IV-1 su proj'!AH100)</f>
        <v>11863.021260735077</v>
      </c>
      <c r="O29" s="1047">
        <f>SUM('IV-1 su proj'!AI100)</f>
        <v>4776867.3599999994</v>
      </c>
      <c r="P29" s="1047">
        <f>SUM('IV-1 su proj'!AS100)</f>
        <v>3766972</v>
      </c>
      <c r="Q29" s="58">
        <f t="shared" si="4"/>
        <v>4776867.3600000003</v>
      </c>
      <c r="R29" s="58">
        <f t="shared" si="5"/>
        <v>3766972</v>
      </c>
      <c r="S29" s="58">
        <f t="shared" si="2"/>
        <v>-9.3132257461547852E-10</v>
      </c>
      <c r="T29" s="58">
        <f t="shared" si="3"/>
        <v>0</v>
      </c>
    </row>
    <row r="30" spans="1:20" ht="27" thickBot="1">
      <c r="A30" s="814" t="s">
        <v>29</v>
      </c>
      <c r="B30" s="815" t="s">
        <v>1158</v>
      </c>
      <c r="C30" s="1048">
        <f>SUM('IV-1 su proj'!C101)</f>
        <v>0</v>
      </c>
      <c r="D30" s="1048">
        <f>SUM('IV-1 su proj'!D101)</f>
        <v>0</v>
      </c>
      <c r="E30" s="1048">
        <f>SUM('IV-1 su proj'!E101)</f>
        <v>0</v>
      </c>
      <c r="F30" s="1048">
        <f>SUM('IV-1 su proj'!J101)</f>
        <v>0</v>
      </c>
      <c r="G30" s="1048">
        <f>SUM('IV-1 su proj'!K101)</f>
        <v>0</v>
      </c>
      <c r="H30" s="1048">
        <f>SUM('IV-1 su proj'!P101)</f>
        <v>0</v>
      </c>
      <c r="I30" s="1048">
        <f>SUM('IV-1 su proj'!Q101)</f>
        <v>700931.44465637743</v>
      </c>
      <c r="J30" s="1048">
        <f>SUM('IV-1 su proj'!V101)</f>
        <v>595790.48269981251</v>
      </c>
      <c r="K30" s="1048">
        <f>SUM('IV-1 su proj'!W101)</f>
        <v>643043.96534362272</v>
      </c>
      <c r="L30" s="1048">
        <f>SUM('IV-1 su proj'!AB101)</f>
        <v>546586.51730018738</v>
      </c>
      <c r="M30" s="1048">
        <f>SUM('IV-1 su proj'!AC101)</f>
        <v>0</v>
      </c>
      <c r="N30" s="1048">
        <f>SUM('IV-1 su proj'!AH101)</f>
        <v>0</v>
      </c>
      <c r="O30" s="1048">
        <f>SUM('IV-1 su proj'!AI101)</f>
        <v>1343975.4100000001</v>
      </c>
      <c r="P30" s="1048">
        <f>SUM('IV-1 su proj'!AS101)</f>
        <v>1142377</v>
      </c>
      <c r="Q30" s="58">
        <f t="shared" si="4"/>
        <v>1343975.4100000001</v>
      </c>
      <c r="R30" s="58">
        <f t="shared" si="5"/>
        <v>1142377</v>
      </c>
      <c r="S30" s="58">
        <f t="shared" si="2"/>
        <v>0</v>
      </c>
      <c r="T30" s="58">
        <f t="shared" si="3"/>
        <v>0</v>
      </c>
    </row>
    <row r="31" spans="1:20" ht="27" thickBot="1">
      <c r="A31" s="814" t="s">
        <v>30</v>
      </c>
      <c r="B31" s="815" t="s">
        <v>1159</v>
      </c>
      <c r="C31" s="1048">
        <f>SUM('IV-1 su proj'!C107)</f>
        <v>0</v>
      </c>
      <c r="D31" s="1048">
        <f>SUM('IV-1 su proj'!D107)</f>
        <v>0</v>
      </c>
      <c r="E31" s="1048">
        <f>SUM('IV-1 su proj'!E107)</f>
        <v>0</v>
      </c>
      <c r="F31" s="1048">
        <f>SUM('IV-1 su proj'!J107)</f>
        <v>0</v>
      </c>
      <c r="G31" s="1048">
        <f>SUM('IV-1 su proj'!K107)</f>
        <v>0</v>
      </c>
      <c r="H31" s="1048">
        <f>SUM('IV-1 su proj'!P107)</f>
        <v>0</v>
      </c>
      <c r="I31" s="1048">
        <f>SUM('IV-1 su proj'!Q107)</f>
        <v>1066881.8127734459</v>
      </c>
      <c r="J31" s="1048">
        <f>SUM('IV-1 su proj'!V107)</f>
        <v>811266.92137749726</v>
      </c>
      <c r="K31" s="1048">
        <f>SUM('IV-1 su proj'!W107)</f>
        <v>904641.99769230769</v>
      </c>
      <c r="L31" s="1048">
        <f>SUM('IV-1 su proj'!AB107)</f>
        <v>673269.91149921506</v>
      </c>
      <c r="M31" s="1048">
        <f>SUM('IV-1 su proj'!AC107)</f>
        <v>2346.3695342465753</v>
      </c>
      <c r="N31" s="1048">
        <f>SUM('IV-1 su proj'!AH107)</f>
        <v>1470.1671232876713</v>
      </c>
      <c r="O31" s="1048">
        <f>SUM('IV-1 su proj'!AI107)</f>
        <v>1973870.18</v>
      </c>
      <c r="P31" s="1048">
        <f>SUM('IV-1 su proj'!AS107)</f>
        <v>1486007</v>
      </c>
      <c r="Q31" s="58">
        <f t="shared" si="4"/>
        <v>1973870.1800000002</v>
      </c>
      <c r="R31" s="58">
        <f t="shared" si="5"/>
        <v>1486007</v>
      </c>
      <c r="S31" s="58">
        <f t="shared" si="2"/>
        <v>-2.3283064365386963E-10</v>
      </c>
      <c r="T31" s="58">
        <f t="shared" si="3"/>
        <v>0</v>
      </c>
    </row>
    <row r="32" spans="1:20" ht="27" thickBot="1">
      <c r="A32" s="814" t="s">
        <v>31</v>
      </c>
      <c r="B32" s="815" t="s">
        <v>1160</v>
      </c>
      <c r="C32" s="1048">
        <f>SUM('IV-1 su proj'!C113)</f>
        <v>0</v>
      </c>
      <c r="D32" s="1048">
        <f>SUM('IV-1 su proj'!D113)</f>
        <v>0</v>
      </c>
      <c r="E32" s="1048">
        <f>SUM('IV-1 su proj'!E113)</f>
        <v>0</v>
      </c>
      <c r="F32" s="1048">
        <f>SUM('IV-1 su proj'!J113)</f>
        <v>0</v>
      </c>
      <c r="G32" s="1048">
        <f>SUM('IV-1 su proj'!K113)</f>
        <v>0</v>
      </c>
      <c r="H32" s="1048">
        <f>SUM('IV-1 su proj'!P113)</f>
        <v>0</v>
      </c>
      <c r="I32" s="1048">
        <f>SUM('IV-1 su proj'!Q113)</f>
        <v>779247.79813254834</v>
      </c>
      <c r="J32" s="1048">
        <f>SUM('IV-1 su proj'!V113)</f>
        <v>604276.77105700958</v>
      </c>
      <c r="K32" s="1048">
        <f>SUM('IV-1 su proj'!W113)</f>
        <v>667204.75279311812</v>
      </c>
      <c r="L32" s="1048">
        <f>SUM('IV-1 su proj'!AB113)</f>
        <v>523918.37480554316</v>
      </c>
      <c r="M32" s="1048">
        <f>SUM('IV-1 su proj'!AC113)</f>
        <v>12569.219074333801</v>
      </c>
      <c r="N32" s="1048">
        <f>SUM('IV-1 su proj'!AH113)</f>
        <v>10392.854137447406</v>
      </c>
      <c r="O32" s="1048">
        <f>SUM('IV-1 su proj'!AI113)</f>
        <v>1459021.7699999998</v>
      </c>
      <c r="P32" s="1048">
        <f>SUM('IV-1 su proj'!AS113)</f>
        <v>1138588</v>
      </c>
      <c r="Q32" s="58">
        <f t="shared" si="4"/>
        <v>1459021.7700000003</v>
      </c>
      <c r="R32" s="58">
        <f t="shared" si="5"/>
        <v>1138588.0000000002</v>
      </c>
      <c r="S32" s="58">
        <f t="shared" si="2"/>
        <v>-4.6566128730773926E-10</v>
      </c>
      <c r="T32" s="58">
        <f t="shared" si="3"/>
        <v>-2.3283064365386963E-10</v>
      </c>
    </row>
    <row r="33" spans="1:20" ht="58.5" thickBot="1">
      <c r="A33" s="816" t="s">
        <v>32</v>
      </c>
      <c r="B33" s="813" t="s">
        <v>1161</v>
      </c>
      <c r="C33" s="1047">
        <f>SUM('IV-1 su proj'!C119)</f>
        <v>0</v>
      </c>
      <c r="D33" s="1047">
        <f>SUM('IV-1 su proj'!D119)</f>
        <v>0</v>
      </c>
      <c r="E33" s="1047">
        <f>SUM('IV-1 su proj'!E119)</f>
        <v>0</v>
      </c>
      <c r="F33" s="1047">
        <f>SUM('IV-1 su proj'!J119)</f>
        <v>0</v>
      </c>
      <c r="G33" s="1047">
        <f>SUM('IV-1 su proj'!K119)</f>
        <v>0</v>
      </c>
      <c r="H33" s="1047">
        <f>SUM('IV-1 su proj'!P119)</f>
        <v>0</v>
      </c>
      <c r="I33" s="1047">
        <f>SUM('IV-1 su proj'!Q119)</f>
        <v>114035.88865635017</v>
      </c>
      <c r="J33" s="1047">
        <f>SUM('IV-1 su proj'!V119)</f>
        <v>96865.049029551548</v>
      </c>
      <c r="K33" s="1047">
        <f>SUM('IV-1 su proj'!W119)</f>
        <v>1051908.2459416986</v>
      </c>
      <c r="L33" s="1047">
        <f>SUM('IV-1 su proj'!AB119)</f>
        <v>893897.20041853969</v>
      </c>
      <c r="M33" s="1047">
        <f>SUM('IV-1 su proj'!AC119)</f>
        <v>1341641.6154019514</v>
      </c>
      <c r="N33" s="1047">
        <f>SUM('IV-1 su proj'!AH119)</f>
        <v>1140012.8305519088</v>
      </c>
      <c r="O33" s="1047">
        <f>SUM('IV-1 su proj'!AI119)</f>
        <v>2507585.75</v>
      </c>
      <c r="P33" s="1047">
        <f>SUM('IV-1 su proj'!AS119)</f>
        <v>2130775.08</v>
      </c>
      <c r="Q33" s="58">
        <f t="shared" si="4"/>
        <v>2507585.75</v>
      </c>
      <c r="R33" s="58">
        <f t="shared" si="5"/>
        <v>2130775.08</v>
      </c>
      <c r="S33" s="58">
        <f t="shared" si="2"/>
        <v>0</v>
      </c>
      <c r="T33" s="58">
        <f t="shared" si="3"/>
        <v>0</v>
      </c>
    </row>
    <row r="34" spans="1:20" ht="39.75" thickBot="1">
      <c r="A34" s="814" t="s">
        <v>33</v>
      </c>
      <c r="B34" s="815" t="s">
        <v>1162</v>
      </c>
      <c r="C34" s="1048">
        <f>SUM('IV-1 su proj'!C120)</f>
        <v>0</v>
      </c>
      <c r="D34" s="1048">
        <f>SUM('IV-1 su proj'!D120)</f>
        <v>0</v>
      </c>
      <c r="E34" s="1048">
        <f>SUM('IV-1 su proj'!E120)</f>
        <v>0</v>
      </c>
      <c r="F34" s="1048">
        <f>SUM('IV-1 su proj'!J120)</f>
        <v>0</v>
      </c>
      <c r="G34" s="1048">
        <f>SUM('IV-1 su proj'!K120)</f>
        <v>0</v>
      </c>
      <c r="H34" s="1048">
        <f>SUM('IV-1 su proj'!P120)</f>
        <v>0</v>
      </c>
      <c r="I34" s="1048">
        <f>SUM('IV-1 su proj'!Q120)</f>
        <v>0</v>
      </c>
      <c r="J34" s="1048">
        <f>SUM('IV-1 su proj'!V120)</f>
        <v>0</v>
      </c>
      <c r="K34" s="1048">
        <f>SUM('IV-1 su proj'!W120)</f>
        <v>662907.31734760688</v>
      </c>
      <c r="L34" s="1048">
        <f>SUM('IV-1 su proj'!AB120)</f>
        <v>563469.69671960222</v>
      </c>
      <c r="M34" s="1048">
        <f>SUM('IV-1 su proj'!AC120)</f>
        <v>784480.71265239303</v>
      </c>
      <c r="N34" s="1048">
        <f>SUM('IV-1 su proj'!AH120)</f>
        <v>666807.83328039781</v>
      </c>
      <c r="O34" s="1048">
        <f>SUM('IV-1 su proj'!AI120)</f>
        <v>1447388.03</v>
      </c>
      <c r="P34" s="1048">
        <f>SUM('IV-1 su proj'!AS120)</f>
        <v>1230277.5299999998</v>
      </c>
      <c r="Q34" s="58">
        <f t="shared" si="4"/>
        <v>1447388.0299999998</v>
      </c>
      <c r="R34" s="58">
        <f t="shared" si="5"/>
        <v>1230277.53</v>
      </c>
      <c r="S34" s="58">
        <f t="shared" si="2"/>
        <v>2.3283064365386963E-10</v>
      </c>
      <c r="T34" s="58">
        <f t="shared" si="3"/>
        <v>-2.3283064365386963E-10</v>
      </c>
    </row>
    <row r="35" spans="1:20" ht="27" thickBot="1">
      <c r="A35" s="814" t="s">
        <v>34</v>
      </c>
      <c r="B35" s="817" t="str">
        <f>CONCATENATE('3 pr-2'!B135)</f>
        <v>Priemonė:
Sveikos gyvensenos skatinimas regioniniu lygiu</v>
      </c>
      <c r="C35" s="644">
        <f>SUM('IV-1 su proj'!C134)</f>
        <v>0</v>
      </c>
      <c r="D35" s="644">
        <f>SUM('IV-1 su proj'!D134)</f>
        <v>0</v>
      </c>
      <c r="E35" s="644">
        <f>SUM('IV-1 su proj'!E134)</f>
        <v>0</v>
      </c>
      <c r="F35" s="644">
        <f>SUM('IV-1 su proj'!J134)</f>
        <v>0</v>
      </c>
      <c r="G35" s="644">
        <f>SUM('IV-1 su proj'!K134)</f>
        <v>0</v>
      </c>
      <c r="H35" s="644">
        <f>SUM('IV-1 su proj'!P134)</f>
        <v>0</v>
      </c>
      <c r="I35" s="644">
        <f>SUM('IV-1 su proj'!Q134)</f>
        <v>106838.5654902044</v>
      </c>
      <c r="J35" s="644">
        <f>SUM('IV-1 su proj'!V134)</f>
        <v>90812.779788024098</v>
      </c>
      <c r="K35" s="644">
        <f>SUM('IV-1 su proj'!W134)</f>
        <v>364449.31218621123</v>
      </c>
      <c r="L35" s="644">
        <f>SUM('IV-1 su proj'!AB134)</f>
        <v>309781.91236101679</v>
      </c>
      <c r="M35" s="644">
        <f>SUM('IV-1 su proj'!AC134)</f>
        <v>523696.66232358431</v>
      </c>
      <c r="N35" s="644">
        <f>SUM('IV-1 su proj'!AH134)</f>
        <v>445142.15785095911</v>
      </c>
      <c r="O35" s="644">
        <f>SUM('IV-1 su proj'!AI134)</f>
        <v>994984.5399999998</v>
      </c>
      <c r="P35" s="644">
        <f>SUM('IV-1 su proj'!AS134)</f>
        <v>845736.85</v>
      </c>
      <c r="Q35" s="58">
        <f t="shared" si="4"/>
        <v>994984.53999999992</v>
      </c>
      <c r="R35" s="58">
        <f t="shared" si="5"/>
        <v>845736.85</v>
      </c>
      <c r="S35" s="58">
        <f t="shared" si="2"/>
        <v>-1.1641532182693481E-10</v>
      </c>
      <c r="T35" s="58">
        <f t="shared" si="3"/>
        <v>0</v>
      </c>
    </row>
    <row r="36" spans="1:20" ht="39.75" thickBot="1">
      <c r="A36" s="814" t="str">
        <f>CONCATENATE('3 pr-2'!A141)</f>
        <v>2.1.2.3</v>
      </c>
      <c r="B36" s="817" t="str">
        <f>CONCATENATE('3 pr-2'!B141)</f>
        <v>Priemonė:
Priemonių, gerinančių ambulatorinių sveikatos priežiūros paslaugų prieinamumą tuberkulioze sergantiems pacientams, įgyvendinimas</v>
      </c>
      <c r="C36" s="644">
        <f>SUM('IV-1 su proj'!C140)</f>
        <v>0</v>
      </c>
      <c r="D36" s="644">
        <f>SUM('IV-1 su proj'!D140)</f>
        <v>0</v>
      </c>
      <c r="E36" s="644">
        <f>SUM('IV-1 su proj'!E140)</f>
        <v>0</v>
      </c>
      <c r="F36" s="644">
        <f>SUM('IV-1 su proj'!J140)</f>
        <v>0</v>
      </c>
      <c r="G36" s="644">
        <f>SUM('IV-1 su proj'!K140)</f>
        <v>0</v>
      </c>
      <c r="H36" s="644">
        <f>SUM('IV-1 su proj'!P140)</f>
        <v>0</v>
      </c>
      <c r="I36" s="644">
        <f>SUM('IV-1 su proj'!Q140)</f>
        <v>7197.3231661457658</v>
      </c>
      <c r="J36" s="644">
        <f>SUM('IV-1 su proj'!V140)</f>
        <v>6052.269241527456</v>
      </c>
      <c r="K36" s="644">
        <f>SUM('IV-1 su proj'!W140)</f>
        <v>24551.616407880414</v>
      </c>
      <c r="L36" s="644">
        <f>SUM('IV-1 su proj'!AB140)</f>
        <v>20645.591337920756</v>
      </c>
      <c r="M36" s="644">
        <f>SUM('IV-1 su proj'!AC140)</f>
        <v>33464.240425973818</v>
      </c>
      <c r="N36" s="644">
        <f>SUM('IV-1 su proj'!AH140)</f>
        <v>28062.839420551787</v>
      </c>
      <c r="O36" s="644">
        <f>SUM('IV-1 su proj'!AI140)</f>
        <v>65213.18</v>
      </c>
      <c r="P36" s="644">
        <f>SUM('IV-1 su proj'!AS140)</f>
        <v>54760.7</v>
      </c>
      <c r="Q36" s="58">
        <f t="shared" si="4"/>
        <v>65213.179999999993</v>
      </c>
      <c r="R36" s="58">
        <f t="shared" si="5"/>
        <v>54760.7</v>
      </c>
      <c r="S36" s="58">
        <f t="shared" si="2"/>
        <v>7.2759576141834259E-12</v>
      </c>
      <c r="T36" s="58">
        <f t="shared" si="3"/>
        <v>0</v>
      </c>
    </row>
    <row r="37" spans="1:20" ht="44.25" thickBot="1">
      <c r="A37" s="812" t="s">
        <v>35</v>
      </c>
      <c r="B37" s="813" t="s">
        <v>1163</v>
      </c>
      <c r="C37" s="1047">
        <f>SUM('IV-1 su proj'!C146)</f>
        <v>0</v>
      </c>
      <c r="D37" s="1047">
        <f>SUM('IV-1 su proj'!D146)</f>
        <v>0</v>
      </c>
      <c r="E37" s="1047">
        <f>SUM('IV-1 su proj'!E146)</f>
        <v>272169.55999999994</v>
      </c>
      <c r="F37" s="1047">
        <f>SUM('IV-1 su proj'!J146)</f>
        <v>239547.65159038958</v>
      </c>
      <c r="G37" s="1047">
        <f>SUM('IV-1 su proj'!K146)</f>
        <v>1171598</v>
      </c>
      <c r="H37" s="1047">
        <f>SUM('IV-1 su proj'!P146)</f>
        <v>1061732.2084096104</v>
      </c>
      <c r="I37" s="1047">
        <f>SUM('IV-1 su proj'!Q146)</f>
        <v>2028980.1052366511</v>
      </c>
      <c r="J37" s="1047">
        <f>SUM('IV-1 su proj'!V146)</f>
        <v>1560200.170834783</v>
      </c>
      <c r="K37" s="1047">
        <f>SUM('IV-1 su proj'!W146)</f>
        <v>728775.25476334884</v>
      </c>
      <c r="L37" s="1047">
        <f>SUM('IV-1 su proj'!AB146)</f>
        <v>545254.75916521705</v>
      </c>
      <c r="M37" s="1047">
        <f>SUM('IV-1 su proj'!AC146)</f>
        <v>0</v>
      </c>
      <c r="N37" s="1047">
        <f>SUM('IV-1 su proj'!AH146)</f>
        <v>0</v>
      </c>
      <c r="O37" s="1047">
        <f>SUM('IV-1 su proj'!AI146)</f>
        <v>4201522.92</v>
      </c>
      <c r="P37" s="1047">
        <f>SUM('IV-1 su proj'!AS146)</f>
        <v>3406734.7899999996</v>
      </c>
      <c r="Q37" s="58">
        <f t="shared" si="4"/>
        <v>4201522.92</v>
      </c>
      <c r="R37" s="58">
        <f t="shared" si="5"/>
        <v>3406734.79</v>
      </c>
      <c r="S37" s="58">
        <f t="shared" si="2"/>
        <v>0</v>
      </c>
      <c r="T37" s="58">
        <f t="shared" si="3"/>
        <v>-4.6566128730773926E-10</v>
      </c>
    </row>
    <row r="38" spans="1:20" ht="27" thickBot="1">
      <c r="A38" s="814" t="s">
        <v>36</v>
      </c>
      <c r="B38" s="815" t="s">
        <v>1164</v>
      </c>
      <c r="C38" s="1048">
        <f>SUM('IV-1 su proj'!C147)</f>
        <v>0</v>
      </c>
      <c r="D38" s="1048">
        <f>SUM('IV-1 su proj'!D147)</f>
        <v>0</v>
      </c>
      <c r="E38" s="1048">
        <f>SUM('IV-1 su proj'!E147)</f>
        <v>0</v>
      </c>
      <c r="F38" s="1048">
        <f>SUM('IV-1 su proj'!J147)</f>
        <v>0</v>
      </c>
      <c r="G38" s="1048">
        <f>SUM('IV-1 su proj'!K147)</f>
        <v>25688.32</v>
      </c>
      <c r="H38" s="1048">
        <f>SUM('IV-1 su proj'!P147)</f>
        <v>22923.620000000003</v>
      </c>
      <c r="I38" s="1048">
        <f>SUM('IV-1 su proj'!Q147)</f>
        <v>837829.71442513634</v>
      </c>
      <c r="J38" s="1048">
        <f>SUM('IV-1 su proj'!V147)</f>
        <v>601723.44207848795</v>
      </c>
      <c r="K38" s="1048">
        <f>SUM('IV-1 su proj'!W147)</f>
        <v>371803.7655748637</v>
      </c>
      <c r="L38" s="1048">
        <f>SUM('IV-1 su proj'!AB147)</f>
        <v>261114.08792151205</v>
      </c>
      <c r="M38" s="1048">
        <f>SUM('IV-1 su proj'!AC147)</f>
        <v>0</v>
      </c>
      <c r="N38" s="1048">
        <f>SUM('IV-1 su proj'!AH147)</f>
        <v>0</v>
      </c>
      <c r="O38" s="1048">
        <f>SUM('IV-1 su proj'!AI147)</f>
        <v>1235321.8</v>
      </c>
      <c r="P38" s="1048">
        <f>SUM('IV-1 su proj'!AS147)</f>
        <v>885761.15</v>
      </c>
      <c r="Q38" s="58">
        <f t="shared" si="4"/>
        <v>1235321.8</v>
      </c>
      <c r="R38" s="58">
        <f t="shared" si="5"/>
        <v>885761.15</v>
      </c>
      <c r="S38" s="58">
        <f t="shared" si="2"/>
        <v>0</v>
      </c>
      <c r="T38" s="58">
        <f t="shared" si="3"/>
        <v>0</v>
      </c>
    </row>
    <row r="39" spans="1:20" ht="27" thickBot="1">
      <c r="A39" s="814" t="s">
        <v>37</v>
      </c>
      <c r="B39" s="815" t="s">
        <v>1165</v>
      </c>
      <c r="C39" s="1048">
        <f>SUM('IV-1 su proj'!C153)</f>
        <v>0</v>
      </c>
      <c r="D39" s="1048">
        <f>SUM('IV-1 su proj'!D153)</f>
        <v>0</v>
      </c>
      <c r="E39" s="1048">
        <f>SUM('IV-1 su proj'!E153)</f>
        <v>272169.55999999994</v>
      </c>
      <c r="F39" s="1048">
        <f>SUM('IV-1 su proj'!J153)</f>
        <v>239547.65159038958</v>
      </c>
      <c r="G39" s="1048">
        <f>SUM('IV-1 su proj'!K153)</f>
        <v>1145909.68</v>
      </c>
      <c r="H39" s="1048">
        <f>SUM('IV-1 su proj'!P153)</f>
        <v>1038808.5884096104</v>
      </c>
      <c r="I39" s="1048">
        <f>SUM('IV-1 su proj'!Q153)</f>
        <v>1191150.3908115148</v>
      </c>
      <c r="J39" s="1048">
        <f>SUM('IV-1 su proj'!V153)</f>
        <v>958476.72875629494</v>
      </c>
      <c r="K39" s="1048">
        <f>SUM('IV-1 su proj'!W153)</f>
        <v>356971.48918848514</v>
      </c>
      <c r="L39" s="1048">
        <f>SUM('IV-1 su proj'!AB153)</f>
        <v>284140.67124370503</v>
      </c>
      <c r="M39" s="1048">
        <f>SUM('IV-1 su proj'!AC153)</f>
        <v>0</v>
      </c>
      <c r="N39" s="1048">
        <f>SUM('IV-1 su proj'!AH153)</f>
        <v>0</v>
      </c>
      <c r="O39" s="1048">
        <f>SUM('IV-1 su proj'!AI153)</f>
        <v>2966201.12</v>
      </c>
      <c r="P39" s="1048">
        <f>SUM('IV-1 su proj'!AS153)</f>
        <v>2520973.6399999997</v>
      </c>
      <c r="Q39" s="58">
        <f t="shared" si="4"/>
        <v>2966201.1199999996</v>
      </c>
      <c r="R39" s="58">
        <f t="shared" si="5"/>
        <v>2520973.6399999997</v>
      </c>
      <c r="S39" s="58">
        <f t="shared" si="2"/>
        <v>4.6566128730773926E-10</v>
      </c>
      <c r="T39" s="58">
        <f t="shared" si="3"/>
        <v>0</v>
      </c>
    </row>
    <row r="40" spans="1:20" ht="44.25" thickBot="1">
      <c r="A40" s="812" t="s">
        <v>38</v>
      </c>
      <c r="B40" s="813" t="s">
        <v>1166</v>
      </c>
      <c r="C40" s="1047">
        <f>SUM('IV-1 su proj'!C159)</f>
        <v>0</v>
      </c>
      <c r="D40" s="1047">
        <f>SUM('IV-1 su proj'!D159)</f>
        <v>0</v>
      </c>
      <c r="E40" s="1047">
        <f>SUM('IV-1 su proj'!E159)</f>
        <v>0</v>
      </c>
      <c r="F40" s="1047">
        <f>SUM('IV-1 su proj'!J159)</f>
        <v>0</v>
      </c>
      <c r="G40" s="1047">
        <f>SUM('IV-1 su proj'!K159)</f>
        <v>0</v>
      </c>
      <c r="H40" s="1047">
        <f>SUM('IV-1 su proj'!P159)</f>
        <v>0</v>
      </c>
      <c r="I40" s="1047">
        <f>SUM('IV-1 su proj'!Q159)</f>
        <v>284039.62597476691</v>
      </c>
      <c r="J40" s="1047">
        <f>SUM('IV-1 su proj'!V159)</f>
        <v>241398.76196705305</v>
      </c>
      <c r="K40" s="1047">
        <f>SUM('IV-1 su proj'!W159)</f>
        <v>444078.20022039925</v>
      </c>
      <c r="L40" s="1047">
        <f>SUM('IV-1 su proj'!AB159)</f>
        <v>377411.17110312328</v>
      </c>
      <c r="M40" s="1047">
        <f>SUM('IV-1 su proj'!AC159)</f>
        <v>378869.90380483388</v>
      </c>
      <c r="N40" s="1047">
        <f>SUM('IV-1 su proj'!AH159)</f>
        <v>321997.90692982357</v>
      </c>
      <c r="O40" s="1047">
        <f>SUM('IV-1 su proj'!AI159)</f>
        <v>1106987.73</v>
      </c>
      <c r="P40" s="1047">
        <f>SUM('IV-1 su proj'!AS159)</f>
        <v>940807.84000000008</v>
      </c>
      <c r="Q40" s="58">
        <f t="shared" si="4"/>
        <v>1106987.73</v>
      </c>
      <c r="R40" s="58">
        <f t="shared" si="5"/>
        <v>940807.83999999985</v>
      </c>
      <c r="S40" s="58">
        <f t="shared" si="2"/>
        <v>0</v>
      </c>
      <c r="T40" s="58">
        <f t="shared" si="3"/>
        <v>2.3283064365386963E-10</v>
      </c>
    </row>
    <row r="41" spans="1:20" ht="27" thickBot="1">
      <c r="A41" s="814" t="s">
        <v>39</v>
      </c>
      <c r="B41" s="815" t="s">
        <v>1167</v>
      </c>
      <c r="C41" s="1049">
        <f>SUM('IV-1 su proj'!C160)</f>
        <v>0</v>
      </c>
      <c r="D41" s="1048">
        <f>SUM('IV-1 su proj'!D160)</f>
        <v>0</v>
      </c>
      <c r="E41" s="1048">
        <f>SUM('IV-1 su proj'!E160)</f>
        <v>0</v>
      </c>
      <c r="F41" s="1048">
        <f>SUM('IV-1 su proj'!J160)</f>
        <v>0</v>
      </c>
      <c r="G41" s="1048">
        <f>SUM('IV-1 su proj'!K160)</f>
        <v>0</v>
      </c>
      <c r="H41" s="1048">
        <f>SUM('IV-1 su proj'!P160)</f>
        <v>0</v>
      </c>
      <c r="I41" s="1048">
        <f>SUM('IV-1 su proj'!Q160)</f>
        <v>284039.62597476691</v>
      </c>
      <c r="J41" s="1048">
        <f>SUM('IV-1 su proj'!V160)</f>
        <v>241398.76196705305</v>
      </c>
      <c r="K41" s="1048">
        <f>SUM('IV-1 su proj'!W160)</f>
        <v>444078.20022039925</v>
      </c>
      <c r="L41" s="1048">
        <f>SUM('IV-1 su proj'!AB160)</f>
        <v>377411.17110312328</v>
      </c>
      <c r="M41" s="1048">
        <f>SUM('IV-1 su proj'!AC160)</f>
        <v>378869.90380483388</v>
      </c>
      <c r="N41" s="1048">
        <f>SUM('IV-1 su proj'!AH160)</f>
        <v>321997.90692982357</v>
      </c>
      <c r="O41" s="1048">
        <f>SUM('IV-1 su proj'!AI160)</f>
        <v>1106987.73</v>
      </c>
      <c r="P41" s="1048">
        <f>SUM('IV-1 su proj'!AS160)</f>
        <v>940807.84000000008</v>
      </c>
      <c r="Q41" s="58">
        <f t="shared" si="4"/>
        <v>1106987.73</v>
      </c>
      <c r="R41" s="58">
        <f t="shared" si="5"/>
        <v>940807.83999999985</v>
      </c>
      <c r="S41" s="58">
        <f t="shared" si="2"/>
        <v>0</v>
      </c>
      <c r="T41" s="58">
        <f t="shared" si="3"/>
        <v>2.3283064365386963E-10</v>
      </c>
    </row>
    <row r="42" spans="1:20" ht="32.25" thickBot="1">
      <c r="A42" s="810" t="s">
        <v>40</v>
      </c>
      <c r="B42" s="811" t="s">
        <v>1168</v>
      </c>
      <c r="C42" s="1046">
        <f>SUM('IV-1 su proj'!C167)</f>
        <v>0</v>
      </c>
      <c r="D42" s="1046">
        <f>SUM('IV-1 su proj'!D167)</f>
        <v>0</v>
      </c>
      <c r="E42" s="1046">
        <f>SUM('IV-1 su proj'!E167)</f>
        <v>0</v>
      </c>
      <c r="F42" s="1046">
        <f>SUM('IV-1 su proj'!J167)</f>
        <v>0</v>
      </c>
      <c r="G42" s="1046">
        <f>SUM('IV-1 su proj'!K167)</f>
        <v>990967.31999999983</v>
      </c>
      <c r="H42" s="1046">
        <f>SUM('IV-1 su proj'!P167)</f>
        <v>846940.74</v>
      </c>
      <c r="I42" s="1046">
        <f>SUM('IV-1 su proj'!Q167)</f>
        <v>2992895.7892687386</v>
      </c>
      <c r="J42" s="1046">
        <f>SUM('IV-1 su proj'!V167)</f>
        <v>2424194.8077696525</v>
      </c>
      <c r="K42" s="1046">
        <f>SUM('IV-1 su proj'!W167)</f>
        <v>2060619.3001334369</v>
      </c>
      <c r="L42" s="1046">
        <f>SUM('IV-1 su proj'!AB167)</f>
        <v>1708398.1735028536</v>
      </c>
      <c r="M42" s="1046">
        <f>SUM('IV-1 su proj'!AC167)</f>
        <v>594002.42177429504</v>
      </c>
      <c r="N42" s="1046">
        <f>SUM('IV-1 su proj'!AH167)</f>
        <v>504901.79872749391</v>
      </c>
      <c r="O42" s="1046">
        <f>SUM('IV-1 su proj'!AI167)</f>
        <v>6638484.83117647</v>
      </c>
      <c r="P42" s="1046">
        <f>SUM('IV-1 su proj'!AS167)</f>
        <v>5484435.5199999996</v>
      </c>
      <c r="Q42" s="58">
        <f t="shared" si="4"/>
        <v>6638484.83117647</v>
      </c>
      <c r="R42" s="58">
        <f t="shared" si="5"/>
        <v>5484435.5199999996</v>
      </c>
      <c r="S42" s="58">
        <f t="shared" si="2"/>
        <v>0</v>
      </c>
      <c r="T42" s="58">
        <f t="shared" si="3"/>
        <v>0</v>
      </c>
    </row>
    <row r="43" spans="1:20" ht="30" thickBot="1">
      <c r="A43" s="812" t="s">
        <v>41</v>
      </c>
      <c r="B43" s="813" t="s">
        <v>1169</v>
      </c>
      <c r="C43" s="1047">
        <f>SUM('IV-1 su proj'!C168)</f>
        <v>0</v>
      </c>
      <c r="D43" s="1047">
        <f>SUM('IV-1 su proj'!D168)</f>
        <v>0</v>
      </c>
      <c r="E43" s="1047">
        <f>SUM('IV-1 su proj'!E168)</f>
        <v>0</v>
      </c>
      <c r="F43" s="1047">
        <f>SUM('IV-1 su proj'!J168)</f>
        <v>0</v>
      </c>
      <c r="G43" s="1047">
        <f>SUM('IV-1 su proj'!K168)</f>
        <v>747832.3899999999</v>
      </c>
      <c r="H43" s="1047">
        <f>SUM('IV-1 su proj'!P168)</f>
        <v>607002.71</v>
      </c>
      <c r="I43" s="1047">
        <f>SUM('IV-1 su proj'!Q168)</f>
        <v>2257297.8992687389</v>
      </c>
      <c r="J43" s="1047">
        <f>SUM('IV-1 su proj'!V168)</f>
        <v>1832209.9577696526</v>
      </c>
      <c r="K43" s="1047">
        <f>SUM('IV-1 su proj'!W168)</f>
        <v>1125556.7607312615</v>
      </c>
      <c r="L43" s="1047">
        <f>SUM('IV-1 su proj'!AB168)</f>
        <v>913595.10223034734</v>
      </c>
      <c r="M43" s="1047">
        <f>SUM('IV-1 su proj'!AC168)</f>
        <v>0</v>
      </c>
      <c r="N43" s="1047">
        <f>SUM('IV-1 su proj'!AH168)</f>
        <v>0</v>
      </c>
      <c r="O43" s="1047">
        <f>SUM('IV-1 su proj'!AI168)</f>
        <v>4130687.05</v>
      </c>
      <c r="P43" s="1047">
        <f>SUM('IV-1 su proj'!AS168)</f>
        <v>3352807.77</v>
      </c>
      <c r="Q43" s="58">
        <f t="shared" si="4"/>
        <v>4130687.05</v>
      </c>
      <c r="R43" s="58">
        <f t="shared" si="5"/>
        <v>3352807.77</v>
      </c>
      <c r="S43" s="58">
        <f t="shared" si="2"/>
        <v>0</v>
      </c>
      <c r="T43" s="58">
        <f t="shared" si="3"/>
        <v>0</v>
      </c>
    </row>
    <row r="44" spans="1:20" ht="27" thickBot="1">
      <c r="A44" s="814" t="s">
        <v>42</v>
      </c>
      <c r="B44" s="815" t="s">
        <v>1170</v>
      </c>
      <c r="C44" s="644">
        <v>0</v>
      </c>
      <c r="D44" s="1050">
        <v>0</v>
      </c>
      <c r="E44" s="1048">
        <f>SUM('IV-1 su proj'!E169)</f>
        <v>0</v>
      </c>
      <c r="F44" s="1048">
        <f>SUM('IV-1 su proj'!J169)</f>
        <v>0</v>
      </c>
      <c r="G44" s="1048">
        <f>SUM('IV-1 su proj'!K169)</f>
        <v>747832.3899999999</v>
      </c>
      <c r="H44" s="1048">
        <f>SUM('IV-1 su proj'!P169)</f>
        <v>607002.71</v>
      </c>
      <c r="I44" s="1048">
        <f>SUM('IV-1 su proj'!Q169)</f>
        <v>2257297.8992687389</v>
      </c>
      <c r="J44" s="1048">
        <f>SUM('IV-1 su proj'!V169)</f>
        <v>1832209.9577696526</v>
      </c>
      <c r="K44" s="1048">
        <f>SUM('IV-1 su proj'!W169)</f>
        <v>1125556.7607312615</v>
      </c>
      <c r="L44" s="1048">
        <f>SUM('IV-1 su proj'!AB169)</f>
        <v>913595.10223034734</v>
      </c>
      <c r="M44" s="1048">
        <f>SUM('IV-1 su proj'!AC169)</f>
        <v>0</v>
      </c>
      <c r="N44" s="1048">
        <f>SUM('IV-1 su proj'!AH169)</f>
        <v>0</v>
      </c>
      <c r="O44" s="1048">
        <f>SUM('IV-1 su proj'!AI169)</f>
        <v>4130687.05</v>
      </c>
      <c r="P44" s="1048">
        <f>SUM('IV-1 su proj'!AS169)</f>
        <v>3352807.77</v>
      </c>
      <c r="Q44" s="58">
        <f t="shared" si="4"/>
        <v>4130687.05</v>
      </c>
      <c r="R44" s="58">
        <f t="shared" si="5"/>
        <v>3352807.77</v>
      </c>
      <c r="S44" s="58">
        <f t="shared" si="2"/>
        <v>0</v>
      </c>
      <c r="T44" s="58">
        <f t="shared" si="3"/>
        <v>0</v>
      </c>
    </row>
    <row r="45" spans="1:20" ht="30" thickBot="1">
      <c r="A45" s="812" t="s">
        <v>43</v>
      </c>
      <c r="B45" s="813" t="s">
        <v>1171</v>
      </c>
      <c r="C45" s="1047">
        <f>SUM('IV-1 su proj'!C172)</f>
        <v>0</v>
      </c>
      <c r="D45" s="1047">
        <f>SUM('IV-1 su proj'!D172)</f>
        <v>0</v>
      </c>
      <c r="E45" s="1047">
        <f>SUM('IV-1 su proj'!E172)</f>
        <v>0</v>
      </c>
      <c r="F45" s="1047">
        <f>SUM('IV-1 su proj'!J172)</f>
        <v>0</v>
      </c>
      <c r="G45" s="1047">
        <f>SUM('IV-1 su proj'!K172)</f>
        <v>243134.93</v>
      </c>
      <c r="H45" s="1047">
        <f>SUM('IV-1 su proj'!P172)</f>
        <v>239938.03</v>
      </c>
      <c r="I45" s="1047">
        <f>SUM('IV-1 su proj'!Q172)</f>
        <v>735597.8899999999</v>
      </c>
      <c r="J45" s="1047">
        <f>SUM('IV-1 su proj'!V172)</f>
        <v>591984.85</v>
      </c>
      <c r="K45" s="1047">
        <f>SUM('IV-1 su proj'!W172)</f>
        <v>935062.53940217546</v>
      </c>
      <c r="L45" s="1047">
        <f>SUM('IV-1 su proj'!AB172)</f>
        <v>794803.07127250615</v>
      </c>
      <c r="M45" s="1047">
        <f>SUM('IV-1 su proj'!AC172)</f>
        <v>594002.42177429504</v>
      </c>
      <c r="N45" s="1047">
        <f>SUM('IV-1 su proj'!AH172)</f>
        <v>504901.79872749391</v>
      </c>
      <c r="O45" s="1047">
        <f>SUM('IV-1 su proj'!AI172)</f>
        <v>2507797.7811764702</v>
      </c>
      <c r="P45" s="1047">
        <f>SUM('IV-1 su proj'!AS172)</f>
        <v>2131627.75</v>
      </c>
      <c r="Q45" s="58">
        <f t="shared" si="4"/>
        <v>2507797.7811764702</v>
      </c>
      <c r="R45" s="58">
        <f t="shared" si="5"/>
        <v>2131627.75</v>
      </c>
      <c r="S45" s="58">
        <f t="shared" si="2"/>
        <v>0</v>
      </c>
      <c r="T45" s="58">
        <f t="shared" si="3"/>
        <v>0</v>
      </c>
    </row>
    <row r="46" spans="1:20" ht="27" thickBot="1">
      <c r="A46" s="814" t="s">
        <v>44</v>
      </c>
      <c r="B46" s="815" t="s">
        <v>1172</v>
      </c>
      <c r="C46" s="1048">
        <f>SUM('IV-1 su proj'!C173)</f>
        <v>0</v>
      </c>
      <c r="D46" s="1048">
        <f>SUM('IV-1 su proj'!D173)</f>
        <v>0</v>
      </c>
      <c r="E46" s="1048">
        <f>SUM('IV-1 su proj'!E173)</f>
        <v>0</v>
      </c>
      <c r="F46" s="1048">
        <f>SUM('IV-1 su proj'!J173)</f>
        <v>0</v>
      </c>
      <c r="G46" s="1048">
        <f>SUM('IV-1 su proj'!K173)</f>
        <v>243134.93</v>
      </c>
      <c r="H46" s="1048">
        <f>SUM('IV-1 su proj'!P173)</f>
        <v>239938.03</v>
      </c>
      <c r="I46" s="1048">
        <f>SUM('IV-1 su proj'!Q173)</f>
        <v>735597.8899999999</v>
      </c>
      <c r="J46" s="1048">
        <f>SUM('IV-1 su proj'!V173)</f>
        <v>591984.85</v>
      </c>
      <c r="K46" s="1048">
        <f>SUM('IV-1 su proj'!W173)</f>
        <v>935062.53940217546</v>
      </c>
      <c r="L46" s="1048">
        <f>SUM('IV-1 su proj'!AB173)</f>
        <v>794803.07127250615</v>
      </c>
      <c r="M46" s="1048">
        <f>SUM('IV-1 su proj'!AC173)</f>
        <v>594002.42177429504</v>
      </c>
      <c r="N46" s="1048">
        <f>SUM('IV-1 su proj'!AH173)</f>
        <v>504901.79872749391</v>
      </c>
      <c r="O46" s="1048">
        <f>SUM('IV-1 su proj'!AI173)</f>
        <v>2507797.7811764702</v>
      </c>
      <c r="P46" s="1048">
        <f>SUM('IV-1 su proj'!AS173)</f>
        <v>2131627.75</v>
      </c>
      <c r="Q46" s="58">
        <f>SUM(G46+I46+K46+M46)</f>
        <v>2507797.7811764702</v>
      </c>
      <c r="R46" s="58">
        <f>SUM(H46+J46+L46+N46)</f>
        <v>2131627.75</v>
      </c>
      <c r="S46" s="58">
        <f t="shared" si="2"/>
        <v>0</v>
      </c>
      <c r="T46" s="58">
        <f t="shared" si="3"/>
        <v>0</v>
      </c>
    </row>
    <row r="47" spans="1:20" ht="16.5" thickBot="1">
      <c r="A47" s="112"/>
      <c r="B47" s="100"/>
      <c r="C47" s="1856" t="s">
        <v>45</v>
      </c>
      <c r="D47" s="1857"/>
      <c r="E47" s="1857"/>
      <c r="F47" s="1857"/>
      <c r="G47" s="1857"/>
      <c r="H47" s="1857"/>
      <c r="I47" s="1857"/>
      <c r="J47" s="1857"/>
      <c r="K47" s="1857"/>
      <c r="L47" s="1857"/>
      <c r="M47" s="1857"/>
      <c r="N47" s="1857"/>
      <c r="O47" s="1857"/>
      <c r="P47" s="1858"/>
      <c r="S47" s="58">
        <f t="shared" si="2"/>
        <v>0</v>
      </c>
      <c r="T47" s="58">
        <f t="shared" si="3"/>
        <v>0</v>
      </c>
    </row>
    <row r="48" spans="1:20" ht="31.5" customHeight="1" thickBot="1">
      <c r="A48" s="112"/>
      <c r="B48" s="100"/>
      <c r="C48" s="1864">
        <v>2015</v>
      </c>
      <c r="D48" s="1860"/>
      <c r="E48" s="1859">
        <v>2016</v>
      </c>
      <c r="F48" s="1860"/>
      <c r="G48" s="1859">
        <v>2017</v>
      </c>
      <c r="H48" s="1860"/>
      <c r="I48" s="1859">
        <v>2018</v>
      </c>
      <c r="J48" s="1860"/>
      <c r="K48" s="1859">
        <v>2019</v>
      </c>
      <c r="L48" s="1860"/>
      <c r="M48" s="1859">
        <v>2020</v>
      </c>
      <c r="N48" s="1860"/>
      <c r="O48" s="1861" t="s">
        <v>6</v>
      </c>
      <c r="P48" s="1862"/>
      <c r="S48" s="58"/>
      <c r="T48" s="58"/>
    </row>
    <row r="49" spans="1:20" ht="16.5" thickBot="1">
      <c r="A49" s="112"/>
      <c r="B49" s="100"/>
      <c r="C49" s="818" t="s">
        <v>9</v>
      </c>
      <c r="D49" s="818" t="s">
        <v>10</v>
      </c>
      <c r="E49" s="818" t="s">
        <v>9</v>
      </c>
      <c r="F49" s="818" t="s">
        <v>10</v>
      </c>
      <c r="G49" s="818" t="s">
        <v>9</v>
      </c>
      <c r="H49" s="818" t="s">
        <v>10</v>
      </c>
      <c r="I49" s="818" t="s">
        <v>9</v>
      </c>
      <c r="J49" s="818" t="s">
        <v>10</v>
      </c>
      <c r="K49" s="818" t="s">
        <v>9</v>
      </c>
      <c r="L49" s="818" t="s">
        <v>10</v>
      </c>
      <c r="M49" s="818" t="s">
        <v>9</v>
      </c>
      <c r="N49" s="818" t="s">
        <v>10</v>
      </c>
      <c r="O49" s="818" t="s">
        <v>9</v>
      </c>
      <c r="P49" s="819" t="s">
        <v>10</v>
      </c>
      <c r="S49" s="58"/>
      <c r="T49" s="58"/>
    </row>
    <row r="50" spans="1:20" ht="16.5" thickBot="1">
      <c r="A50" s="114"/>
      <c r="B50" s="109"/>
      <c r="C50" s="1051">
        <f>SUM('IV-1 su proj'!C186)</f>
        <v>0</v>
      </c>
      <c r="D50" s="1051">
        <f>SUM('IV-1 su proj'!D186)</f>
        <v>0</v>
      </c>
      <c r="E50" s="1051">
        <f>SUM('IV-1 su proj'!E186)</f>
        <v>1107408.0345507418</v>
      </c>
      <c r="F50" s="1051">
        <f>SUM('IV-1 su proj'!J186)</f>
        <v>608263.2015903896</v>
      </c>
      <c r="G50" s="1051">
        <f>SUM('IV-1 su proj'!K186)</f>
        <v>8208827.8099999987</v>
      </c>
      <c r="H50" s="1051">
        <f>SUM('IV-1 su proj'!P186)</f>
        <v>6889742.2984096101</v>
      </c>
      <c r="I50" s="1051">
        <f ca="1">SUM('IV-1 su proj'!Q186)</f>
        <v>24748224.396155015</v>
      </c>
      <c r="J50" s="1051">
        <f>SUM('IV-1 su proj'!V186)</f>
        <v>17260454.793965757</v>
      </c>
      <c r="K50" s="1051">
        <f>SUM('IV-1 su proj'!W186)</f>
        <v>20062774.513679564</v>
      </c>
      <c r="L50" s="1051">
        <f>SUM('IV-1 su proj'!AB186)</f>
        <v>14424893.823507639</v>
      </c>
      <c r="M50" s="1051">
        <f>SUM('IV-1 su proj'!AC186)</f>
        <v>13123923.913849972</v>
      </c>
      <c r="N50" s="1051">
        <f>SUM('IV-1 su proj'!AH186)</f>
        <v>9322459.9525266029</v>
      </c>
      <c r="O50" s="1051">
        <f>SUM('IV-1 su proj'!AI186)</f>
        <v>67251158.668235272</v>
      </c>
      <c r="P50" s="1051">
        <f>SUM('IV-1 su proj'!AS186)</f>
        <v>48505814.069999993</v>
      </c>
      <c r="Q50" s="58">
        <f ca="1">SUM(E50+G50+I50+K50+M50)</f>
        <v>67251158.668235302</v>
      </c>
      <c r="R50" s="58">
        <f>SUM(F50+H50+J50+L50+N50)</f>
        <v>48505814.069999993</v>
      </c>
      <c r="S50" s="58">
        <f t="shared" ca="1" si="2"/>
        <v>-2.9802322387695313E-8</v>
      </c>
      <c r="T50" s="58">
        <f t="shared" si="3"/>
        <v>0</v>
      </c>
    </row>
    <row r="51" spans="1:20" ht="15.75" thickTop="1"/>
    <row r="55" spans="1:20">
      <c r="P55" s="58"/>
    </row>
  </sheetData>
  <mergeCells count="23">
    <mergeCell ref="C47:P47"/>
    <mergeCell ref="M48:N48"/>
    <mergeCell ref="O48:P48"/>
    <mergeCell ref="C10:D10"/>
    <mergeCell ref="E10:F10"/>
    <mergeCell ref="G10:H10"/>
    <mergeCell ref="I10:J10"/>
    <mergeCell ref="K10:L10"/>
    <mergeCell ref="C48:D48"/>
    <mergeCell ref="E48:F48"/>
    <mergeCell ref="G48:H48"/>
    <mergeCell ref="I48:J48"/>
    <mergeCell ref="K48:L48"/>
    <mergeCell ref="E1:I1"/>
    <mergeCell ref="B10:B11"/>
    <mergeCell ref="A10:A11"/>
    <mergeCell ref="M10:N10"/>
    <mergeCell ref="O10:P10"/>
    <mergeCell ref="N2:P2"/>
    <mergeCell ref="N3:P3"/>
    <mergeCell ref="N4:P4"/>
    <mergeCell ref="N6:P6"/>
    <mergeCell ref="N7:P7"/>
  </mergeCells>
  <pageMargins left="0.23622047244094491" right="0.23622047244094491" top="0.74803149606299213" bottom="0.74803149606299213" header="0.31496062992125984" footer="0.31496062992125984"/>
  <pageSetup paperSize="8" scale="78" fitToHeight="0" orientation="landscape" r:id="rId1"/>
  <headerFooter>
    <oddHeader>&amp;C&amp;"Times New Roman,Paprastas"&amp;12Alytaus regiono 2014 – 2020 metų plėtros planas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V188"/>
  <sheetViews>
    <sheetView topLeftCell="X2" zoomScaleNormal="100" workbookViewId="0">
      <pane ySplit="2055" topLeftCell="A79" activePane="bottomLeft"/>
      <selection activeCell="Q3" sqref="Q3:V3"/>
      <selection pane="bottomLeft" activeCell="CS87" sqref="CS87"/>
    </sheetView>
  </sheetViews>
  <sheetFormatPr defaultColWidth="9.140625" defaultRowHeight="29.25" customHeight="1"/>
  <cols>
    <col min="1" max="1" width="8.28515625" style="21" bestFit="1" customWidth="1"/>
    <col min="2" max="2" width="29.140625" style="97" customWidth="1"/>
    <col min="3" max="3" width="6" style="21" bestFit="1" customWidth="1"/>
    <col min="4" max="4" width="7.7109375" style="21" bestFit="1" customWidth="1"/>
    <col min="5" max="5" width="8" style="21" bestFit="1" customWidth="1"/>
    <col min="6" max="6" width="10.85546875" style="21" bestFit="1" customWidth="1"/>
    <col min="7" max="7" width="8.7109375" style="21" bestFit="1" customWidth="1"/>
    <col min="8" max="8" width="8.42578125" style="21" bestFit="1" customWidth="1"/>
    <col min="9" max="9" width="9.7109375" style="21" customWidth="1"/>
    <col min="10" max="10" width="7.7109375" style="21" bestFit="1" customWidth="1"/>
    <col min="11" max="11" width="9" style="21" bestFit="1" customWidth="1"/>
    <col min="12" max="12" width="10.7109375" style="158" customWidth="1"/>
    <col min="13" max="13" width="8.5703125" style="158" customWidth="1"/>
    <col min="14" max="14" width="8.28515625" style="158" customWidth="1"/>
    <col min="15" max="15" width="9.28515625" style="158" customWidth="1"/>
    <col min="16" max="16" width="9" style="21" bestFit="1" customWidth="1"/>
    <col min="17" max="17" width="10" style="21" bestFit="1" customWidth="1"/>
    <col min="18" max="18" width="8" style="158" bestFit="1" customWidth="1"/>
    <col min="19" max="19" width="6.7109375" style="158" bestFit="1" customWidth="1"/>
    <col min="20" max="20" width="8" style="158" bestFit="1" customWidth="1"/>
    <col min="21" max="21" width="7.28515625" style="158" customWidth="1"/>
    <col min="22" max="22" width="10" style="21" bestFit="1" customWidth="1"/>
    <col min="23" max="23" width="9.85546875" style="21" bestFit="1" customWidth="1"/>
    <col min="24" max="25" width="6.7109375" style="158" bestFit="1" customWidth="1"/>
    <col min="26" max="26" width="7.140625" style="158" bestFit="1" customWidth="1"/>
    <col min="27" max="27" width="6.42578125" style="158" customWidth="1"/>
    <col min="28" max="28" width="9.85546875" style="21" bestFit="1" customWidth="1"/>
    <col min="29" max="29" width="9" style="21" bestFit="1" customWidth="1"/>
    <col min="30" max="30" width="6.5703125" style="158" bestFit="1" customWidth="1"/>
    <col min="31" max="31" width="5.85546875" style="158" bestFit="1" customWidth="1"/>
    <col min="32" max="32" width="7.140625" style="158" bestFit="1" customWidth="1"/>
    <col min="33" max="33" width="6.28515625" style="158" customWidth="1"/>
    <col min="34" max="34" width="11.42578125" style="21" customWidth="1"/>
    <col min="35" max="35" width="12.5703125" style="21" customWidth="1"/>
    <col min="36" max="36" width="8" style="21" bestFit="1" customWidth="1"/>
    <col min="37" max="37" width="10.85546875" style="21" bestFit="1" customWidth="1"/>
    <col min="38" max="38" width="7.85546875" style="21" bestFit="1" customWidth="1"/>
    <col min="39" max="39" width="8.7109375" style="21" bestFit="1" customWidth="1"/>
    <col min="40" max="40" width="6.7109375" style="21" bestFit="1" customWidth="1"/>
    <col min="41" max="41" width="8.42578125" style="21" bestFit="1" customWidth="1"/>
    <col min="42" max="42" width="8" style="21" bestFit="1" customWidth="1"/>
    <col min="43" max="43" width="8.5703125" style="21" customWidth="1"/>
    <col min="44" max="44" width="7.140625" style="21" customWidth="1"/>
    <col min="45" max="46" width="14.42578125" style="21" customWidth="1"/>
    <col min="47" max="47" width="7.85546875" style="21" hidden="1" customWidth="1"/>
    <col min="48" max="48" width="8.85546875" style="21" hidden="1" customWidth="1"/>
    <col min="49" max="49" width="4.85546875" style="21" hidden="1" customWidth="1"/>
    <col min="50" max="53" width="4.5703125" style="21" hidden="1" customWidth="1"/>
    <col min="54" max="54" width="3.7109375" style="21" hidden="1" customWidth="1"/>
    <col min="55" max="55" width="4.85546875" style="21" hidden="1" customWidth="1"/>
    <col min="56" max="59" width="4.5703125" style="21" hidden="1" customWidth="1"/>
    <col min="60" max="61" width="4" style="21" hidden="1" customWidth="1"/>
    <col min="62" max="65" width="4.5703125" style="21" hidden="1" customWidth="1"/>
    <col min="66" max="66" width="4" style="21" hidden="1" customWidth="1"/>
    <col min="67" max="67" width="3.7109375" style="21" hidden="1" customWidth="1"/>
    <col min="68" max="71" width="4.5703125" style="21" hidden="1" customWidth="1"/>
    <col min="72" max="72" width="3.5703125" style="21" hidden="1" customWidth="1"/>
    <col min="73" max="73" width="3.85546875" style="21" hidden="1" customWidth="1"/>
    <col min="74" max="77" width="4.5703125" style="21" hidden="1" customWidth="1"/>
    <col min="78" max="78" width="3" style="21" hidden="1" customWidth="1"/>
    <col min="79" max="79" width="3.5703125" style="21" hidden="1" customWidth="1"/>
    <col min="80" max="83" width="4.5703125" style="21" hidden="1" customWidth="1"/>
    <col min="84" max="84" width="3.5703125" style="21" hidden="1" customWidth="1"/>
    <col min="85" max="86" width="10.5703125" style="21" bestFit="1" customWidth="1"/>
    <col min="87" max="87" width="9.28515625" style="21" bestFit="1" customWidth="1"/>
    <col min="88" max="88" width="9.7109375" style="21" bestFit="1" customWidth="1"/>
    <col min="89" max="89" width="9.28515625" style="21" bestFit="1" customWidth="1"/>
    <col min="90" max="90" width="11.5703125" style="21" bestFit="1" customWidth="1"/>
    <col min="91" max="96" width="9.28515625" style="21" bestFit="1" customWidth="1"/>
    <col min="97" max="98" width="10.5703125" style="21" bestFit="1" customWidth="1"/>
    <col min="99" max="99" width="9.28515625" style="21" bestFit="1" customWidth="1"/>
    <col min="100" max="16384" width="9.140625" style="21"/>
  </cols>
  <sheetData>
    <row r="1" spans="1:96" ht="29.25" customHeight="1" thickBot="1">
      <c r="I1" s="21" t="s">
        <v>61</v>
      </c>
      <c r="O1" s="158" t="s">
        <v>61</v>
      </c>
      <c r="U1" s="158" t="s">
        <v>61</v>
      </c>
      <c r="AA1" s="158" t="s">
        <v>61</v>
      </c>
      <c r="AG1" s="158" t="s">
        <v>61</v>
      </c>
      <c r="AQ1" s="21" t="s">
        <v>61</v>
      </c>
      <c r="AV1" s="21">
        <v>40</v>
      </c>
      <c r="AW1" s="21">
        <v>40</v>
      </c>
      <c r="BA1" s="21" t="s">
        <v>61</v>
      </c>
      <c r="BB1" s="21">
        <v>20</v>
      </c>
      <c r="BG1" s="21" t="s">
        <v>61</v>
      </c>
      <c r="BM1" s="21" t="s">
        <v>61</v>
      </c>
      <c r="BS1" s="21" t="s">
        <v>61</v>
      </c>
      <c r="BY1" s="21" t="s">
        <v>61</v>
      </c>
      <c r="CE1" s="21" t="s">
        <v>61</v>
      </c>
    </row>
    <row r="2" spans="1:96" ht="29.25" customHeight="1" thickTop="1" thickBot="1">
      <c r="A2" s="110"/>
      <c r="B2" s="98"/>
      <c r="C2" s="1874">
        <v>42369</v>
      </c>
      <c r="D2" s="1875"/>
      <c r="E2" s="1876">
        <v>42370</v>
      </c>
      <c r="F2" s="1868"/>
      <c r="G2" s="1868"/>
      <c r="H2" s="1868"/>
      <c r="I2" s="1868"/>
      <c r="J2" s="1875"/>
      <c r="K2" s="1876">
        <v>42736</v>
      </c>
      <c r="L2" s="1868"/>
      <c r="M2" s="1868"/>
      <c r="N2" s="1868"/>
      <c r="O2" s="1868"/>
      <c r="P2" s="1875"/>
      <c r="Q2" s="1876">
        <v>43101</v>
      </c>
      <c r="R2" s="1868"/>
      <c r="S2" s="1868"/>
      <c r="T2" s="1868"/>
      <c r="U2" s="1868"/>
      <c r="V2" s="1875"/>
      <c r="W2" s="1876">
        <v>43466</v>
      </c>
      <c r="X2" s="1868"/>
      <c r="Y2" s="1868"/>
      <c r="Z2" s="1868"/>
      <c r="AA2" s="1868"/>
      <c r="AB2" s="1875"/>
      <c r="AC2" s="1876">
        <v>43831</v>
      </c>
      <c r="AD2" s="1868"/>
      <c r="AE2" s="1868"/>
      <c r="AF2" s="1868"/>
      <c r="AG2" s="1868"/>
      <c r="AH2" s="1875"/>
      <c r="AI2" s="1867" t="s">
        <v>6</v>
      </c>
      <c r="AJ2" s="1868"/>
      <c r="AK2" s="1868"/>
      <c r="AL2" s="1868"/>
      <c r="AM2" s="1868"/>
      <c r="AN2" s="1868"/>
      <c r="AO2" s="1868"/>
      <c r="AP2" s="1868"/>
      <c r="AQ2" s="1868"/>
      <c r="AR2" s="1868"/>
      <c r="AS2" s="1869"/>
      <c r="AT2" s="862"/>
      <c r="AX2" s="257"/>
      <c r="AY2" s="257"/>
      <c r="AZ2" s="257"/>
      <c r="BA2" s="257"/>
      <c r="BD2" s="257"/>
      <c r="BE2" s="257"/>
      <c r="BF2" s="257"/>
      <c r="BG2" s="257"/>
      <c r="BJ2" s="257"/>
      <c r="BK2" s="257"/>
      <c r="BL2" s="257"/>
      <c r="BM2" s="257"/>
      <c r="BP2" s="257"/>
      <c r="BQ2" s="257"/>
      <c r="BR2" s="257"/>
      <c r="BS2" s="257"/>
      <c r="BV2" s="257"/>
      <c r="BW2" s="257"/>
      <c r="BX2" s="257"/>
      <c r="BY2" s="257"/>
      <c r="CB2" s="257"/>
      <c r="CC2" s="257"/>
      <c r="CD2" s="257"/>
      <c r="CE2" s="257"/>
      <c r="CG2" s="863"/>
      <c r="CH2" s="863"/>
    </row>
    <row r="3" spans="1:96" ht="29.25" customHeight="1" thickTop="1" thickBot="1">
      <c r="A3" s="110"/>
      <c r="B3" s="98"/>
      <c r="C3" s="1874">
        <v>42369</v>
      </c>
      <c r="D3" s="1875"/>
      <c r="E3" s="1876">
        <v>42735</v>
      </c>
      <c r="F3" s="1868"/>
      <c r="G3" s="1868"/>
      <c r="H3" s="1868"/>
      <c r="I3" s="1868"/>
      <c r="J3" s="1875"/>
      <c r="K3" s="1876">
        <v>43100</v>
      </c>
      <c r="L3" s="1868"/>
      <c r="M3" s="1868"/>
      <c r="N3" s="1868"/>
      <c r="O3" s="1868"/>
      <c r="P3" s="1875"/>
      <c r="Q3" s="1876">
        <v>43465</v>
      </c>
      <c r="R3" s="1868"/>
      <c r="S3" s="1868"/>
      <c r="T3" s="1868"/>
      <c r="U3" s="1868"/>
      <c r="V3" s="1875"/>
      <c r="W3" s="1876">
        <v>43830</v>
      </c>
      <c r="X3" s="1868"/>
      <c r="Y3" s="1868"/>
      <c r="Z3" s="1868"/>
      <c r="AA3" s="1868"/>
      <c r="AB3" s="1875"/>
      <c r="AC3" s="1876">
        <v>44196</v>
      </c>
      <c r="AD3" s="1868"/>
      <c r="AE3" s="1868"/>
      <c r="AF3" s="1868"/>
      <c r="AG3" s="1868"/>
      <c r="AH3" s="1875"/>
      <c r="AI3" s="1867" t="s">
        <v>6</v>
      </c>
      <c r="AJ3" s="1868"/>
      <c r="AK3" s="1868"/>
      <c r="AL3" s="1868"/>
      <c r="AM3" s="1868"/>
      <c r="AN3" s="1868"/>
      <c r="AO3" s="1868"/>
      <c r="AP3" s="1868"/>
      <c r="AQ3" s="1868"/>
      <c r="AR3" s="1868"/>
      <c r="AS3" s="1869"/>
      <c r="AT3" s="862"/>
      <c r="AX3" s="257"/>
      <c r="AY3" s="257"/>
      <c r="AZ3" s="257"/>
      <c r="BA3" s="257"/>
      <c r="BD3" s="257"/>
      <c r="BE3" s="257"/>
      <c r="BF3" s="257"/>
      <c r="BG3" s="257"/>
      <c r="BJ3" s="257"/>
      <c r="BK3" s="257"/>
      <c r="BL3" s="257"/>
      <c r="BM3" s="257"/>
      <c r="BP3" s="257"/>
      <c r="BQ3" s="257"/>
      <c r="BR3" s="257"/>
      <c r="BS3" s="257"/>
      <c r="BV3" s="257"/>
      <c r="BW3" s="257"/>
      <c r="BX3" s="257"/>
      <c r="BY3" s="257"/>
      <c r="CB3" s="257"/>
      <c r="CC3" s="257"/>
      <c r="CD3" s="257"/>
      <c r="CE3" s="257"/>
      <c r="CG3" s="863"/>
      <c r="CH3" s="863"/>
    </row>
    <row r="4" spans="1:96" ht="29.25" customHeight="1" thickBot="1">
      <c r="A4" s="111" t="s">
        <v>7</v>
      </c>
      <c r="B4" s="99" t="s">
        <v>8</v>
      </c>
      <c r="C4" s="864" t="s">
        <v>9</v>
      </c>
      <c r="D4" s="864" t="s">
        <v>10</v>
      </c>
      <c r="E4" s="864" t="s">
        <v>9</v>
      </c>
      <c r="F4" s="865" t="s">
        <v>58</v>
      </c>
      <c r="G4" s="865" t="s">
        <v>59</v>
      </c>
      <c r="H4" s="865" t="s">
        <v>60</v>
      </c>
      <c r="I4" s="866" t="s">
        <v>61</v>
      </c>
      <c r="J4" s="864" t="s">
        <v>10</v>
      </c>
      <c r="K4" s="864" t="s">
        <v>9</v>
      </c>
      <c r="L4" s="867" t="s">
        <v>58</v>
      </c>
      <c r="M4" s="867" t="s">
        <v>59</v>
      </c>
      <c r="N4" s="867" t="s">
        <v>60</v>
      </c>
      <c r="O4" s="868" t="s">
        <v>61</v>
      </c>
      <c r="P4" s="864" t="s">
        <v>10</v>
      </c>
      <c r="Q4" s="864" t="s">
        <v>9</v>
      </c>
      <c r="R4" s="867" t="s">
        <v>1397</v>
      </c>
      <c r="S4" s="867" t="s">
        <v>1398</v>
      </c>
      <c r="T4" s="867" t="s">
        <v>1399</v>
      </c>
      <c r="U4" s="868" t="s">
        <v>1400</v>
      </c>
      <c r="V4" s="864" t="s">
        <v>10</v>
      </c>
      <c r="W4" s="864" t="s">
        <v>9</v>
      </c>
      <c r="X4" s="867" t="s">
        <v>1397</v>
      </c>
      <c r="Y4" s="867" t="s">
        <v>1398</v>
      </c>
      <c r="Z4" s="867" t="s">
        <v>1399</v>
      </c>
      <c r="AA4" s="868" t="s">
        <v>1400</v>
      </c>
      <c r="AB4" s="864" t="s">
        <v>10</v>
      </c>
      <c r="AC4" s="864" t="s">
        <v>9</v>
      </c>
      <c r="AD4" s="867" t="s">
        <v>1397</v>
      </c>
      <c r="AE4" s="867" t="s">
        <v>1398</v>
      </c>
      <c r="AF4" s="867" t="s">
        <v>1399</v>
      </c>
      <c r="AG4" s="868" t="s">
        <v>1400</v>
      </c>
      <c r="AH4" s="864" t="s">
        <v>10</v>
      </c>
      <c r="AI4" s="869" t="s">
        <v>9</v>
      </c>
      <c r="AJ4" s="864"/>
      <c r="AK4" s="865" t="s">
        <v>58</v>
      </c>
      <c r="AL4" s="865"/>
      <c r="AM4" s="865" t="s">
        <v>59</v>
      </c>
      <c r="AN4" s="865"/>
      <c r="AO4" s="865" t="s">
        <v>60</v>
      </c>
      <c r="AP4" s="865"/>
      <c r="AQ4" s="866" t="s">
        <v>61</v>
      </c>
      <c r="AR4" s="866"/>
      <c r="AS4" s="870" t="s">
        <v>10</v>
      </c>
      <c r="AT4" s="871"/>
      <c r="AU4" s="1865">
        <v>42369</v>
      </c>
      <c r="AV4" s="1866"/>
      <c r="AW4" s="1880">
        <v>42735</v>
      </c>
      <c r="AX4" s="1866"/>
      <c r="AY4" s="1866"/>
      <c r="AZ4" s="1866"/>
      <c r="BA4" s="1866"/>
      <c r="BB4" s="1866"/>
      <c r="BC4" s="1881">
        <v>43100</v>
      </c>
      <c r="BD4" s="1881"/>
      <c r="BE4" s="1881"/>
      <c r="BF4" s="1881"/>
      <c r="BG4" s="1881"/>
      <c r="BH4" s="1881"/>
      <c r="BI4" s="1881">
        <v>43465</v>
      </c>
      <c r="BJ4" s="1881"/>
      <c r="BK4" s="1881"/>
      <c r="BL4" s="1881"/>
      <c r="BM4" s="1881"/>
      <c r="BN4" s="1881"/>
      <c r="BO4" s="1880">
        <v>43830</v>
      </c>
      <c r="BP4" s="1866"/>
      <c r="BQ4" s="1866"/>
      <c r="BR4" s="1866"/>
      <c r="BS4" s="1866"/>
      <c r="BT4" s="1866"/>
      <c r="BU4" s="1882">
        <v>44196</v>
      </c>
      <c r="BV4" s="1883"/>
      <c r="BW4" s="1883"/>
      <c r="BX4" s="1883"/>
      <c r="BY4" s="1883"/>
      <c r="BZ4" s="1884"/>
      <c r="CG4" s="863" t="s">
        <v>1123</v>
      </c>
      <c r="CH4" s="863" t="s">
        <v>1124</v>
      </c>
    </row>
    <row r="5" spans="1:96" ht="29.25" customHeight="1" thickBot="1">
      <c r="A5" s="112"/>
      <c r="B5" s="100"/>
      <c r="C5" s="872"/>
      <c r="D5" s="872"/>
      <c r="E5" s="872"/>
      <c r="F5" s="872"/>
      <c r="G5" s="872"/>
      <c r="H5" s="872"/>
      <c r="I5" s="872"/>
      <c r="J5" s="872"/>
      <c r="K5" s="872"/>
      <c r="L5" s="873"/>
      <c r="M5" s="873"/>
      <c r="N5" s="873"/>
      <c r="O5" s="873"/>
      <c r="P5" s="872"/>
      <c r="Q5" s="872"/>
      <c r="R5" s="873"/>
      <c r="S5" s="873"/>
      <c r="T5" s="873"/>
      <c r="U5" s="873"/>
      <c r="V5" s="872"/>
      <c r="W5" s="872"/>
      <c r="X5" s="873"/>
      <c r="Y5" s="873"/>
      <c r="Z5" s="873"/>
      <c r="AA5" s="873"/>
      <c r="AB5" s="872"/>
      <c r="AC5" s="872"/>
      <c r="AD5" s="873"/>
      <c r="AE5" s="873"/>
      <c r="AF5" s="873"/>
      <c r="AG5" s="873"/>
      <c r="AH5" s="872"/>
      <c r="AI5" s="874"/>
      <c r="AJ5" s="872"/>
      <c r="AK5" s="872"/>
      <c r="AL5" s="872"/>
      <c r="AM5" s="872"/>
      <c r="AN5" s="872"/>
      <c r="AO5" s="872"/>
      <c r="AP5" s="872"/>
      <c r="AQ5" s="872"/>
      <c r="AR5" s="875"/>
      <c r="AS5" s="876"/>
      <c r="AT5" s="877"/>
      <c r="AX5" s="872"/>
      <c r="AY5" s="872"/>
      <c r="AZ5" s="872"/>
      <c r="BA5" s="872"/>
      <c r="BD5" s="872"/>
      <c r="BE5" s="872"/>
      <c r="BF5" s="872"/>
      <c r="BG5" s="872"/>
      <c r="BJ5" s="872"/>
      <c r="BK5" s="872"/>
      <c r="BL5" s="872"/>
      <c r="BM5" s="872"/>
      <c r="BP5" s="872"/>
      <c r="BQ5" s="872"/>
      <c r="BR5" s="872"/>
      <c r="BS5" s="872"/>
      <c r="BV5" s="872"/>
      <c r="BW5" s="872"/>
      <c r="BX5" s="872"/>
      <c r="BY5" s="872"/>
      <c r="CB5" s="872"/>
      <c r="CC5" s="872"/>
      <c r="CD5" s="872"/>
      <c r="CE5" s="872"/>
      <c r="CG5" s="19"/>
      <c r="CH5" s="19"/>
    </row>
    <row r="6" spans="1:96" ht="75" customHeight="1" thickBot="1">
      <c r="A6" s="113" t="str">
        <f>CONCATENATE('3 pr-2'!A7)</f>
        <v>1.1.</v>
      </c>
      <c r="B6" s="101" t="s">
        <v>811</v>
      </c>
      <c r="C6" s="878">
        <f>SUM(C7+C72)</f>
        <v>0</v>
      </c>
      <c r="D6" s="878">
        <f>SUM(D7+D72)</f>
        <v>0</v>
      </c>
      <c r="E6" s="878">
        <f>SUM(E7+E72)</f>
        <v>835238.47455074196</v>
      </c>
      <c r="F6" s="878"/>
      <c r="G6" s="878"/>
      <c r="H6" s="878"/>
      <c r="I6" s="878"/>
      <c r="J6" s="878">
        <f>SUM(J7+J72)</f>
        <v>368715.55</v>
      </c>
      <c r="K6" s="878">
        <f>SUM(K7+K72)</f>
        <v>6046262.4899999993</v>
      </c>
      <c r="L6" s="879"/>
      <c r="M6" s="879"/>
      <c r="N6" s="879"/>
      <c r="O6" s="879"/>
      <c r="P6" s="878">
        <f>SUM(P7+P72)</f>
        <v>4981069.3499999996</v>
      </c>
      <c r="Q6" s="878">
        <f ca="1">SUM(Q7+Q72)</f>
        <v>16781211.931456137</v>
      </c>
      <c r="R6" s="879"/>
      <c r="S6" s="879"/>
      <c r="T6" s="879"/>
      <c r="U6" s="879"/>
      <c r="V6" s="878">
        <f>SUM(V7+V72)</f>
        <v>10926461.829230398</v>
      </c>
      <c r="W6" s="878">
        <f>SUM(W7+W72)</f>
        <v>13562502.79679163</v>
      </c>
      <c r="X6" s="879"/>
      <c r="Y6" s="879"/>
      <c r="Z6" s="879"/>
      <c r="AA6" s="879"/>
      <c r="AB6" s="878">
        <f>SUM(AB7+AB72)</f>
        <v>9156157.7157129589</v>
      </c>
      <c r="AC6" s="878">
        <f>SUM(AC7+AC72)</f>
        <v>10794494.384260312</v>
      </c>
      <c r="AD6" s="879"/>
      <c r="AE6" s="879"/>
      <c r="AF6" s="879"/>
      <c r="AG6" s="879"/>
      <c r="AH6" s="878">
        <f>SUM(AH7+AH72)</f>
        <v>7343684.3950566426</v>
      </c>
      <c r="AI6" s="880">
        <f>SUM(AI7+AI72)</f>
        <v>48019710.077058807</v>
      </c>
      <c r="AJ6" s="878"/>
      <c r="AK6" s="878"/>
      <c r="AL6" s="878"/>
      <c r="AM6" s="878"/>
      <c r="AN6" s="878"/>
      <c r="AO6" s="878"/>
      <c r="AP6" s="878"/>
      <c r="AQ6" s="878"/>
      <c r="AR6" s="878"/>
      <c r="AS6" s="878">
        <f>SUM(AS7+AS72)</f>
        <v>32776088.84</v>
      </c>
      <c r="AT6" s="881"/>
      <c r="AU6" s="58">
        <f>SUM('3 pr-2'!AA7-'IV-1 su proj'!AS6)</f>
        <v>122596.20000000298</v>
      </c>
      <c r="AX6" s="878"/>
      <c r="AY6" s="878"/>
      <c r="AZ6" s="878"/>
      <c r="BA6" s="878"/>
      <c r="BD6" s="878"/>
      <c r="BE6" s="878"/>
      <c r="BF6" s="878"/>
      <c r="BG6" s="878"/>
      <c r="BJ6" s="878"/>
      <c r="BK6" s="878"/>
      <c r="BL6" s="878"/>
      <c r="BM6" s="878"/>
      <c r="BP6" s="878"/>
      <c r="BQ6" s="878"/>
      <c r="BR6" s="878"/>
      <c r="BS6" s="878"/>
      <c r="BV6" s="878"/>
      <c r="BW6" s="878"/>
      <c r="BX6" s="878"/>
      <c r="BY6" s="878"/>
      <c r="CB6" s="878"/>
      <c r="CC6" s="878"/>
      <c r="CD6" s="878"/>
      <c r="CE6" s="878"/>
      <c r="CG6" s="19"/>
      <c r="CH6" s="19"/>
    </row>
    <row r="7" spans="1:96" ht="91.5" customHeight="1" thickBot="1">
      <c r="A7" s="113" t="str">
        <f>CONCATENATE('3 pr-2'!A8)</f>
        <v>1.1.1.</v>
      </c>
      <c r="B7" s="102" t="str">
        <f>CONCATENATE('3 pr-2'!B8)</f>
        <v>Uždavinys: 
Sudaryti sąlygas darbo vietų kūrimui, kuriant ir atnaujinant viešąją ir ekoinžinerinę  infrastruktūrą,  gamtos, kultūros paveldo objektus ir kultūros įstaigas</v>
      </c>
      <c r="C7" s="882">
        <f>SUM(C8+C32+C38+C45+C49+C55+C57+C61+C66)</f>
        <v>0</v>
      </c>
      <c r="D7" s="882">
        <f>SUM(D8+D32+D38+D45+D49+D55+D57+D61+D66)</f>
        <v>0</v>
      </c>
      <c r="E7" s="882">
        <f>SUM(E8+E32+E38+E45+E49+E55+E57+E61+E66)</f>
        <v>835238.47455074196</v>
      </c>
      <c r="F7" s="882"/>
      <c r="G7" s="882"/>
      <c r="H7" s="882"/>
      <c r="I7" s="882"/>
      <c r="J7" s="882">
        <f>SUM(J8+J32+J38+J45+J49+J55+J57+J61+J66)</f>
        <v>368715.55</v>
      </c>
      <c r="K7" s="882">
        <f>SUM(K8+K32+K38+K45+K49+K55+K57+K61+K66)</f>
        <v>5086593.3099999996</v>
      </c>
      <c r="L7" s="883"/>
      <c r="M7" s="883"/>
      <c r="N7" s="883"/>
      <c r="O7" s="883"/>
      <c r="P7" s="882">
        <f>SUM(P8+P32+P38+P45+P49+P55+P57+P61+P66)</f>
        <v>4165350.75</v>
      </c>
      <c r="Q7" s="882">
        <f ca="1">SUM(Q8+Q32+Q38+Q45+Q49+Q55+Q57+Q61+Q66)</f>
        <v>14863659.269185539</v>
      </c>
      <c r="R7" s="883"/>
      <c r="S7" s="883"/>
      <c r="T7" s="883"/>
      <c r="U7" s="883"/>
      <c r="V7" s="882">
        <f>SUM(V8+V32+V38+V45+V49+V55+V57+V61+V66)</f>
        <v>9631019.0035989285</v>
      </c>
      <c r="W7" s="882">
        <f>SUM(W8+W32+W38+W45+W49+W55+W57+W61+W66)</f>
        <v>10280750.645104829</v>
      </c>
      <c r="X7" s="883"/>
      <c r="Y7" s="883"/>
      <c r="Z7" s="883"/>
      <c r="AA7" s="883"/>
      <c r="AB7" s="882">
        <f>SUM(AB8+AB32+AB38+AB45+AB49+AB55+AB57+AB61+AB66)</f>
        <v>6994833.4857489252</v>
      </c>
      <c r="AC7" s="882">
        <f>SUM(AC8+AC32+AC38+AC45+AC49+AC55+AC57+AC61+AC66)</f>
        <v>8235711.2482177112</v>
      </c>
      <c r="AD7" s="883"/>
      <c r="AE7" s="883"/>
      <c r="AF7" s="883"/>
      <c r="AG7" s="883"/>
      <c r="AH7" s="882">
        <f>SUM(AH8+AH32+AH38+AH45+AH49+AH55+AH57+AH61+AH66)</f>
        <v>5291002.480652146</v>
      </c>
      <c r="AI7" s="884">
        <f>SUM(AI8+AI32+AI38+AI45+AI49+AI55+AI57+AI61+AI66)</f>
        <v>39301952.947058812</v>
      </c>
      <c r="AJ7" s="882"/>
      <c r="AK7" s="882"/>
      <c r="AL7" s="882"/>
      <c r="AM7" s="882"/>
      <c r="AN7" s="882"/>
      <c r="AO7" s="882"/>
      <c r="AP7" s="882"/>
      <c r="AQ7" s="882"/>
      <c r="AR7" s="882"/>
      <c r="AS7" s="882">
        <f>SUM(AS8+AS32+AS38+AS45+AS49+AS55+AS57+AS61+AS66)</f>
        <v>26450921.27</v>
      </c>
      <c r="AT7" s="885"/>
      <c r="AX7" s="882"/>
      <c r="AY7" s="882"/>
      <c r="AZ7" s="882"/>
      <c r="BA7" s="882"/>
      <c r="BD7" s="882"/>
      <c r="BE7" s="882"/>
      <c r="BF7" s="882"/>
      <c r="BG7" s="882"/>
      <c r="BJ7" s="882"/>
      <c r="BK7" s="882"/>
      <c r="BL7" s="882"/>
      <c r="BM7" s="882"/>
      <c r="BP7" s="882"/>
      <c r="BQ7" s="882"/>
      <c r="BR7" s="882"/>
      <c r="BS7" s="882"/>
      <c r="BV7" s="882"/>
      <c r="BW7" s="882"/>
      <c r="BX7" s="882"/>
      <c r="BY7" s="882"/>
      <c r="CB7" s="882"/>
      <c r="CC7" s="882"/>
      <c r="CD7" s="882"/>
      <c r="CE7" s="882"/>
      <c r="CG7" s="19"/>
      <c r="CH7" s="19"/>
    </row>
    <row r="8" spans="1:96" ht="53.25" thickTop="1" thickBot="1">
      <c r="A8" s="252" t="str">
        <f>CONCATENATE('3 pr-2'!A9)</f>
        <v>1.1.1.1</v>
      </c>
      <c r="B8" s="103" t="str">
        <f>CONCATENATE('3 pr-2'!B9)</f>
        <v>Priemonė:
Kaimo gyvenamųjų vietovių (turinčių iki 1 tūkst. gyventojų) atnaujinimas</v>
      </c>
      <c r="C8" s="886">
        <f>SUM(C9:C31)</f>
        <v>0</v>
      </c>
      <c r="D8" s="886">
        <f t="shared" ref="D8:AS8" si="0">SUM(D9:D31)</f>
        <v>0</v>
      </c>
      <c r="E8" s="886">
        <f t="shared" si="0"/>
        <v>0</v>
      </c>
      <c r="F8" s="886"/>
      <c r="G8" s="886"/>
      <c r="H8" s="886"/>
      <c r="I8" s="886"/>
      <c r="J8" s="886">
        <f t="shared" si="0"/>
        <v>0</v>
      </c>
      <c r="K8" s="886">
        <f>SUM(K9:K31)</f>
        <v>0</v>
      </c>
      <c r="L8" s="887"/>
      <c r="M8" s="887"/>
      <c r="N8" s="887"/>
      <c r="O8" s="887"/>
      <c r="P8" s="886">
        <f>SUM(P9:P31)</f>
        <v>0</v>
      </c>
      <c r="Q8" s="886">
        <f t="shared" ca="1" si="0"/>
        <v>3881837.5230769236</v>
      </c>
      <c r="R8" s="887"/>
      <c r="S8" s="887"/>
      <c r="T8" s="887"/>
      <c r="U8" s="887"/>
      <c r="V8" s="886">
        <f t="shared" si="0"/>
        <v>2807395.4387362632</v>
      </c>
      <c r="W8" s="886">
        <f t="shared" si="0"/>
        <v>416766.82692307688</v>
      </c>
      <c r="X8" s="887"/>
      <c r="Y8" s="887"/>
      <c r="Z8" s="887"/>
      <c r="AA8" s="887"/>
      <c r="AB8" s="886">
        <f t="shared" si="0"/>
        <v>333413.36126373627</v>
      </c>
      <c r="AC8" s="886">
        <f t="shared" si="0"/>
        <v>0</v>
      </c>
      <c r="AD8" s="887"/>
      <c r="AE8" s="887"/>
      <c r="AF8" s="887"/>
      <c r="AG8" s="887"/>
      <c r="AH8" s="886">
        <f t="shared" si="0"/>
        <v>0</v>
      </c>
      <c r="AI8" s="888">
        <f t="shared" si="0"/>
        <v>4298604.3499999996</v>
      </c>
      <c r="AJ8" s="886"/>
      <c r="AK8" s="886"/>
      <c r="AL8" s="886"/>
      <c r="AM8" s="886"/>
      <c r="AN8" s="886"/>
      <c r="AO8" s="886"/>
      <c r="AP8" s="886"/>
      <c r="AQ8" s="886"/>
      <c r="AR8" s="886"/>
      <c r="AS8" s="886">
        <f t="shared" si="0"/>
        <v>3140808.8</v>
      </c>
      <c r="AT8" s="886"/>
      <c r="AU8" s="889">
        <v>0</v>
      </c>
      <c r="AV8" s="20">
        <v>0</v>
      </c>
      <c r="AW8" s="20">
        <v>0</v>
      </c>
      <c r="AX8" s="886">
        <v>0</v>
      </c>
      <c r="AY8" s="886">
        <v>0</v>
      </c>
      <c r="AZ8" s="886">
        <v>0</v>
      </c>
      <c r="BA8" s="886">
        <v>0</v>
      </c>
      <c r="BB8" s="20">
        <v>0</v>
      </c>
      <c r="BC8" s="20">
        <v>0</v>
      </c>
      <c r="BD8" s="886">
        <v>0</v>
      </c>
      <c r="BE8" s="886">
        <v>0</v>
      </c>
      <c r="BF8" s="886">
        <v>0</v>
      </c>
      <c r="BG8" s="886">
        <v>0</v>
      </c>
      <c r="BH8" s="20">
        <v>0</v>
      </c>
      <c r="BI8" s="20">
        <v>100</v>
      </c>
      <c r="BJ8" s="886">
        <v>100</v>
      </c>
      <c r="BK8" s="886">
        <v>100</v>
      </c>
      <c r="BL8" s="886">
        <v>100</v>
      </c>
      <c r="BM8" s="886">
        <v>100</v>
      </c>
      <c r="BN8" s="20">
        <v>100</v>
      </c>
      <c r="BO8" s="20">
        <v>0</v>
      </c>
      <c r="BP8" s="886">
        <v>0</v>
      </c>
      <c r="BQ8" s="886">
        <v>0</v>
      </c>
      <c r="BR8" s="886">
        <v>0</v>
      </c>
      <c r="BS8" s="886">
        <v>0</v>
      </c>
      <c r="BT8" s="20">
        <v>0</v>
      </c>
      <c r="BU8" s="20">
        <v>0</v>
      </c>
      <c r="BV8" s="886">
        <v>0</v>
      </c>
      <c r="BW8" s="886">
        <v>0</v>
      </c>
      <c r="BX8" s="886">
        <v>0</v>
      </c>
      <c r="BY8" s="886">
        <v>0</v>
      </c>
      <c r="BZ8" s="20">
        <v>0</v>
      </c>
      <c r="CA8" s="20">
        <v>100</v>
      </c>
      <c r="CB8" s="886">
        <v>100</v>
      </c>
      <c r="CC8" s="886">
        <v>100</v>
      </c>
      <c r="CD8" s="886">
        <v>100</v>
      </c>
      <c r="CE8" s="886">
        <v>100</v>
      </c>
      <c r="CF8" s="325">
        <v>100</v>
      </c>
      <c r="CG8" s="890"/>
      <c r="CH8" s="19"/>
    </row>
    <row r="9" spans="1:96" ht="37.5" thickTop="1" thickBot="1">
      <c r="A9" s="104" t="str">
        <f>CONCATENATE('3 pr-2'!A10)</f>
        <v>1.1.1.1.1</v>
      </c>
      <c r="B9" s="104" t="str">
        <f>CONCATENATE('3 pr-2'!D10)</f>
        <v xml:space="preserve">Druskininkų savivaldybės Viečiūnų seniūnijos Ilgio ir Raigardo seniūnaitijų kelių būklės gerinimas  </v>
      </c>
      <c r="C9" s="65">
        <f>IF($E$2&gt;=$CG$9,($CG$9-$C$2)*AH9,0)</f>
        <v>0</v>
      </c>
      <c r="D9" s="65">
        <f>IF($E$2&gt;=$CG$9,($CG$9-$C$2)*AI9,0)</f>
        <v>0</v>
      </c>
      <c r="E9" s="65">
        <f>IF(YEAR($E$2)=YEAR($CG$9),($CG$9-$C$2)*$AJ$9,0)</f>
        <v>0</v>
      </c>
      <c r="F9" s="257">
        <f>IF(YEAR($E$2)=YEAR($CG$9),($CG$9-$C$2)*AL9,0)</f>
        <v>0</v>
      </c>
      <c r="G9" s="257">
        <f>IF(YEAR($E$2)=YEAR($CG$9),($CG$9-$C$2)*AN9,0)</f>
        <v>0</v>
      </c>
      <c r="H9" s="257">
        <f>IF(YEAR($E$2)=YEAR($CG$9),($CG$9-$C$2)*AP9,0)</f>
        <v>0</v>
      </c>
      <c r="I9" s="257">
        <f>IF(YEAR($E$2)=YEAR($CG$9),($CG$9-$C$2)*AR9,0)</f>
        <v>0</v>
      </c>
      <c r="J9" s="65">
        <f>IF(YEAR($E$2)=YEAR($CG$9),($CG$9-$C$2)*AT9,0)</f>
        <v>0</v>
      </c>
      <c r="K9" s="65">
        <f>IF(YEAR($K$3)=YEAR($CG$9),($CG$9-$E$3)*AJ9,0)</f>
        <v>0</v>
      </c>
      <c r="L9" s="257">
        <f>IF(YEAR($K$3)=YEAR($CG$9),($CG$9-$E$3)*AL9,0)</f>
        <v>0</v>
      </c>
      <c r="M9" s="257">
        <f>IF(YEAR($K$3)=YEAR($CG$9),($CG$9-$E$3)*AN9,0)</f>
        <v>0</v>
      </c>
      <c r="N9" s="257">
        <f>IF(YEAR($K$3)=YEAR($CG$9),($CG$9-$E$3)*AP9,0)</f>
        <v>0</v>
      </c>
      <c r="O9" s="257">
        <f>IF(YEAR($K$2)=YEAR($CG$9),($CG$9-$E$3)*AR9,0)</f>
        <v>0</v>
      </c>
      <c r="P9" s="65">
        <f>IF(YEAR($K$2)=YEAR($CG$9),($CG$9-$E$3)*AT9,0)</f>
        <v>0</v>
      </c>
      <c r="Q9" s="65">
        <f t="shared" ref="Q9:Q11" si="1">IF(YEAR($Q$2)=YEAR($CG$9),($CH$30-$CG$30)*AJ9,0)</f>
        <v>250766</v>
      </c>
      <c r="R9" s="257">
        <f t="shared" ref="R9:R11" si="2">IF(YEAR($Q$2)=YEAR($CG$9),($CH$30-$CG$30)*AL9,0)</f>
        <v>91651</v>
      </c>
      <c r="S9" s="257">
        <f t="shared" ref="S9:S11" ca="1" si="3">IF(YEAR($Q$2)=YEAR($CG$9),($CH$30-$CG$30)*AN9,0)</f>
        <v>0</v>
      </c>
      <c r="T9" s="257">
        <f t="shared" ref="T9:T12" si="4">IF(YEAR($Q$2)=YEAR($CG$9),($CH$30-$CG$30)*AP9,0)</f>
        <v>0</v>
      </c>
      <c r="U9" s="257">
        <f t="shared" ref="U9:U12" si="5">IF(YEAR($Q$2)=YEAR($CG$9),($CH$30-$CG$30)*AR9,0)</f>
        <v>0</v>
      </c>
      <c r="V9" s="65">
        <f t="shared" ref="V9:V11" si="6">IF(YEAR($Q$2)=YEAR($CG$9),($CH$30-$CG$30)*AT9,0)</f>
        <v>159115</v>
      </c>
      <c r="W9" s="65">
        <f>IF(YEAR($W$2)=YEAR($CG$9),($CH$9-$CG$9)*AP9,0)</f>
        <v>0</v>
      </c>
      <c r="X9" s="257">
        <f t="shared" ref="X9:AB9" si="7">IF(YEAR($W$2)=YEAR($CG$9),($CH$9-$CG$9)*AQ9,0)</f>
        <v>0</v>
      </c>
      <c r="Y9" s="257">
        <f t="shared" si="7"/>
        <v>0</v>
      </c>
      <c r="Z9" s="257">
        <f t="shared" si="7"/>
        <v>0</v>
      </c>
      <c r="AA9" s="257">
        <f t="shared" si="7"/>
        <v>0</v>
      </c>
      <c r="AB9" s="65">
        <f t="shared" si="7"/>
        <v>0</v>
      </c>
      <c r="AC9" s="65">
        <f>IF(YEAR($W$2)=YEAR($CG$9),($CH$9-$CG$9)*AV9,0)</f>
        <v>0</v>
      </c>
      <c r="AD9" s="257">
        <f t="shared" ref="AD9" si="8">IF(YEAR($W$2)=YEAR($CG$9),($CH$9-$CG$9)*AW9,0)</f>
        <v>0</v>
      </c>
      <c r="AE9" s="257">
        <f t="shared" ref="AE9" si="9">IF(YEAR($W$2)=YEAR($CG$9),($CH$9-$CG$9)*AX9,0)</f>
        <v>0</v>
      </c>
      <c r="AF9" s="257">
        <f t="shared" ref="AF9" si="10">IF(YEAR($W$2)=YEAR($CG$9),($CH$9-$CG$9)*AY9,0)</f>
        <v>0</v>
      </c>
      <c r="AG9" s="257">
        <f t="shared" ref="AG9" si="11">IF(YEAR($W$2)=YEAR($CG$9),($CH$9-$CG$9)*AZ9,0)</f>
        <v>0</v>
      </c>
      <c r="AH9" s="65">
        <f t="shared" ref="AH9" si="12">IF(YEAR($W$2)=YEAR($CG$9),($CH$9-$CG$9)*BA9,0)</f>
        <v>0</v>
      </c>
      <c r="AI9" s="660">
        <f>SUM('3 pr-2'!L10)</f>
        <v>250766</v>
      </c>
      <c r="AJ9" s="65">
        <f>SUM(AI9/(CH9-CG9))</f>
        <v>690.81542699724514</v>
      </c>
      <c r="AK9" s="257">
        <f>SUM('3 pr-2'!O10)</f>
        <v>91651</v>
      </c>
      <c r="AL9" s="257">
        <f>SUM(AK9/(CH9-CG9))</f>
        <v>252.48209366391185</v>
      </c>
      <c r="AM9" s="257">
        <f ca="1">SUM('3 pr-2'!R10)</f>
        <v>0</v>
      </c>
      <c r="AN9" s="257">
        <f ca="1">SUM(AM9/(CH9-CG9))</f>
        <v>0</v>
      </c>
      <c r="AO9" s="257">
        <f>SUM('3 pr-2'!U10)</f>
        <v>0</v>
      </c>
      <c r="AP9" s="669">
        <f>SUM(AO9/(CH9-CG9))</f>
        <v>0</v>
      </c>
      <c r="AQ9" s="257">
        <f>SUM('3 pr-2'!X10)</f>
        <v>0</v>
      </c>
      <c r="AR9" s="659">
        <f>SUM(AQ9/(CH9-CG9))</f>
        <v>0</v>
      </c>
      <c r="AS9" s="12">
        <f>SUM('3 pr-2'!AA10)</f>
        <v>159115</v>
      </c>
      <c r="AT9" s="658">
        <f>SUM(AS9/(CH9-CG9))</f>
        <v>438.33333333333331</v>
      </c>
      <c r="AU9" s="889">
        <v>0</v>
      </c>
      <c r="AV9" s="20">
        <v>0</v>
      </c>
      <c r="AW9" s="20">
        <v>0</v>
      </c>
      <c r="AX9" s="257">
        <v>0</v>
      </c>
      <c r="AY9" s="257">
        <v>0</v>
      </c>
      <c r="AZ9" s="257">
        <v>0</v>
      </c>
      <c r="BA9" s="257">
        <v>0</v>
      </c>
      <c r="BB9" s="20">
        <v>0</v>
      </c>
      <c r="BC9" s="20">
        <v>0</v>
      </c>
      <c r="BD9" s="257">
        <v>0</v>
      </c>
      <c r="BE9" s="257">
        <v>0</v>
      </c>
      <c r="BF9" s="257">
        <v>0</v>
      </c>
      <c r="BG9" s="257">
        <v>0</v>
      </c>
      <c r="BH9" s="20">
        <v>0</v>
      </c>
      <c r="BI9" s="20">
        <v>100</v>
      </c>
      <c r="BJ9" s="257">
        <v>100</v>
      </c>
      <c r="BK9" s="257">
        <v>100</v>
      </c>
      <c r="BL9" s="257">
        <v>100</v>
      </c>
      <c r="BM9" s="257">
        <v>100</v>
      </c>
      <c r="BN9" s="20">
        <v>100</v>
      </c>
      <c r="BO9" s="20">
        <v>0</v>
      </c>
      <c r="BP9" s="257">
        <v>0</v>
      </c>
      <c r="BQ9" s="257">
        <v>0</v>
      </c>
      <c r="BR9" s="257">
        <v>0</v>
      </c>
      <c r="BS9" s="257">
        <v>0</v>
      </c>
      <c r="BT9" s="20">
        <v>0</v>
      </c>
      <c r="BU9" s="20">
        <v>0</v>
      </c>
      <c r="BV9" s="257">
        <v>0</v>
      </c>
      <c r="BW9" s="257">
        <v>0</v>
      </c>
      <c r="BX9" s="257">
        <v>0</v>
      </c>
      <c r="BY9" s="257">
        <v>0</v>
      </c>
      <c r="BZ9" s="20">
        <v>0</v>
      </c>
      <c r="CA9" s="20">
        <v>100</v>
      </c>
      <c r="CB9" s="257">
        <v>100</v>
      </c>
      <c r="CC9" s="257">
        <v>100</v>
      </c>
      <c r="CD9" s="257">
        <v>100</v>
      </c>
      <c r="CE9" s="257">
        <v>100</v>
      </c>
      <c r="CF9" s="325">
        <v>100</v>
      </c>
      <c r="CG9" s="891">
        <f>SUM('3 pr-2'!AI10)</f>
        <v>43102</v>
      </c>
      <c r="CH9" s="891">
        <f>SUM('3 pr-2'!AK10)</f>
        <v>43465</v>
      </c>
      <c r="CI9" s="58">
        <f>SUM(P9+V9+AB9)</f>
        <v>159115</v>
      </c>
      <c r="CJ9" s="58">
        <f>SUM(CI9-AS9)</f>
        <v>0</v>
      </c>
      <c r="CQ9" s="892">
        <f t="shared" ref="CQ9:CQ12" si="13">SUM(E9+K9+Q9+W9+AC9)</f>
        <v>250766</v>
      </c>
      <c r="CR9" s="893">
        <f t="shared" ref="CR9:CR24" si="14">SUM(J9+P9+V9+AB9+AH9)</f>
        <v>159115</v>
      </c>
    </row>
    <row r="10" spans="1:96" ht="37.5" thickTop="1" thickBot="1">
      <c r="A10" s="104" t="str">
        <f>CONCATENATE('3 pr-2'!A11)</f>
        <v>1.1.1.1.2</v>
      </c>
      <c r="B10" s="104" t="str">
        <f>CONCATENATE('3 pr-2'!D11)</f>
        <v>Druskininkų savivaldybės Viečiūnų seniūnijos Ratnyčėlės seniūnaitijos kelių būklės gerinimas</v>
      </c>
      <c r="C10" s="65">
        <f>IF($E$2&gt;=$CG$9,($CG$9-$C$2)*AH10,0)</f>
        <v>0</v>
      </c>
      <c r="D10" s="65">
        <f>IF($E$2&gt;=$CG$9,($CG$9-$C$2)*AI10,0)</f>
        <v>0</v>
      </c>
      <c r="E10" s="65">
        <f>IF(YEAR($E$2)=YEAR($CG$9),($CG$9-$C$2)*$AJ$9,0)</f>
        <v>0</v>
      </c>
      <c r="F10" s="257">
        <f>IF(YEAR($E$2)=YEAR($CG$9),($CG$9-$C$2)*AL10,0)</f>
        <v>0</v>
      </c>
      <c r="G10" s="257">
        <f>IF(YEAR($E$2)=YEAR($CG$9),($CG$9-$C$2)*AN10,0)</f>
        <v>0</v>
      </c>
      <c r="H10" s="257">
        <f>IF(YEAR($E$2)=YEAR($CG$9),($CG$9-$C$2)*AP10,0)</f>
        <v>0</v>
      </c>
      <c r="I10" s="257">
        <f>IF(YEAR($E$2)=YEAR($CG$9),($CG$9-$C$2)*AR10,0)</f>
        <v>0</v>
      </c>
      <c r="J10" s="65">
        <f>IF(YEAR($E$2)=YEAR($CG$9),($CG$9-$C$2)*AT10,0)</f>
        <v>0</v>
      </c>
      <c r="K10" s="65">
        <f>IF(YEAR($K$3)=YEAR($CG$9),($CG$9-$E$3)*AJ10,0)</f>
        <v>0</v>
      </c>
      <c r="L10" s="257">
        <f>IF(YEAR($K$3)=YEAR($CG$9),($CG$9-$E$3)*AL10,0)</f>
        <v>0</v>
      </c>
      <c r="M10" s="257">
        <f>IF(YEAR($K$3)=YEAR($CG$9),($CG$9-$E$3)*AN10,0)</f>
        <v>0</v>
      </c>
      <c r="N10" s="257">
        <f>IF(YEAR($K$3)=YEAR($CG$9),($CG$9-$E$3)*AP10,0)</f>
        <v>0</v>
      </c>
      <c r="O10" s="257">
        <f>IF(YEAR($K$2)=YEAR($CG$9),($CG$9-$E$3)*AR10,0)</f>
        <v>0</v>
      </c>
      <c r="P10" s="65">
        <f>IF(YEAR($K$2)=YEAR($CG$9),($CG$9-$E$3)*AT10,0)</f>
        <v>0</v>
      </c>
      <c r="Q10" s="65">
        <f t="shared" si="1"/>
        <v>188039</v>
      </c>
      <c r="R10" s="257">
        <f t="shared" si="2"/>
        <v>66968</v>
      </c>
      <c r="S10" s="257">
        <f t="shared" ca="1" si="3"/>
        <v>0</v>
      </c>
      <c r="T10" s="257">
        <f t="shared" si="4"/>
        <v>0</v>
      </c>
      <c r="U10" s="257">
        <f t="shared" si="5"/>
        <v>0</v>
      </c>
      <c r="V10" s="65">
        <f t="shared" si="6"/>
        <v>121071</v>
      </c>
      <c r="W10" s="65">
        <f>IF(YEAR($W$2)=YEAR($CG$9),($CH$9-$CG$9)*AP10,0)</f>
        <v>0</v>
      </c>
      <c r="X10" s="257">
        <f t="shared" ref="X10" si="15">IF(YEAR($W$2)=YEAR($CG$9),($CH$9-$CG$9)*AQ10,0)</f>
        <v>0</v>
      </c>
      <c r="Y10" s="257">
        <f t="shared" ref="Y10" si="16">IF(YEAR($W$2)=YEAR($CG$9),($CH$9-$CG$9)*AR10,0)</f>
        <v>0</v>
      </c>
      <c r="Z10" s="257">
        <f t="shared" ref="Z10" si="17">IF(YEAR($W$2)=YEAR($CG$9),($CH$9-$CG$9)*AS10,0)</f>
        <v>0</v>
      </c>
      <c r="AA10" s="257">
        <f t="shared" ref="AA10" si="18">IF(YEAR($W$2)=YEAR($CG$9),($CH$9-$CG$9)*AT10,0)</f>
        <v>0</v>
      </c>
      <c r="AB10" s="65">
        <f t="shared" ref="AB10" si="19">IF(YEAR($W$2)=YEAR($CG$9),($CH$9-$CG$9)*AU10,0)</f>
        <v>0</v>
      </c>
      <c r="AC10" s="65">
        <f>IF(YEAR($W$2)=YEAR($CG$9),($CH$9-$CG$9)*AV10,0)</f>
        <v>0</v>
      </c>
      <c r="AD10" s="257">
        <f t="shared" ref="AD10" si="20">IF(YEAR($W$2)=YEAR($CG$9),($CH$9-$CG$9)*AW10,0)</f>
        <v>0</v>
      </c>
      <c r="AE10" s="257">
        <f t="shared" ref="AE10" si="21">IF(YEAR($W$2)=YEAR($CG$9),($CH$9-$CG$9)*AX10,0)</f>
        <v>0</v>
      </c>
      <c r="AF10" s="257">
        <f t="shared" ref="AF10" si="22">IF(YEAR($W$2)=YEAR($CG$9),($CH$9-$CG$9)*AY10,0)</f>
        <v>0</v>
      </c>
      <c r="AG10" s="257">
        <f t="shared" ref="AG10" si="23">IF(YEAR($W$2)=YEAR($CG$9),($CH$9-$CG$9)*AZ10,0)</f>
        <v>0</v>
      </c>
      <c r="AH10" s="65">
        <f t="shared" ref="AH10" si="24">IF(YEAR($W$2)=YEAR($CG$9),($CH$9-$CG$9)*BA10,0)</f>
        <v>0</v>
      </c>
      <c r="AI10" s="660">
        <f>SUM('3 pr-2'!L11)</f>
        <v>188039</v>
      </c>
      <c r="AJ10" s="65">
        <f t="shared" ref="AJ10:AJ30" si="25">SUM(AI10/(CH10-CG10))</f>
        <v>518.01377410468319</v>
      </c>
      <c r="AK10" s="257">
        <f>SUM('3 pr-2'!O11)</f>
        <v>66968</v>
      </c>
      <c r="AL10" s="257">
        <f t="shared" ref="AL10:AL30" si="26">SUM(AK10/(CH10-CG10))</f>
        <v>184.4848484848485</v>
      </c>
      <c r="AM10" s="257">
        <f ca="1">SUM('3 pr-2'!R11)</f>
        <v>0</v>
      </c>
      <c r="AN10" s="257">
        <f t="shared" ref="AN10:AN30" ca="1" si="27">SUM(AM10/(CH10-CG10))</f>
        <v>0</v>
      </c>
      <c r="AO10" s="257">
        <f>SUM('3 pr-2'!U11)</f>
        <v>0</v>
      </c>
      <c r="AP10" s="669">
        <f t="shared" ref="AP10:AP30" si="28">SUM(AO10/(CH10-CG10))</f>
        <v>0</v>
      </c>
      <c r="AQ10" s="257">
        <f>SUM('3 pr-2'!X11)</f>
        <v>0</v>
      </c>
      <c r="AR10" s="659">
        <f t="shared" ref="AR10:AR30" si="29">SUM(AQ10/(CH10-CG10))</f>
        <v>0</v>
      </c>
      <c r="AS10" s="12">
        <f>SUM('3 pr-2'!AA11)</f>
        <v>121071</v>
      </c>
      <c r="AT10" s="658">
        <f t="shared" ref="AT10:AT30" si="30">SUM(AS10/(CH10-CG10))</f>
        <v>333.52892561983469</v>
      </c>
      <c r="AU10" s="889">
        <v>0</v>
      </c>
      <c r="AV10" s="20">
        <v>0</v>
      </c>
      <c r="AW10" s="20">
        <v>0</v>
      </c>
      <c r="AX10" s="257">
        <v>0</v>
      </c>
      <c r="AY10" s="257">
        <v>0</v>
      </c>
      <c r="AZ10" s="257">
        <v>0</v>
      </c>
      <c r="BA10" s="257">
        <v>0</v>
      </c>
      <c r="BB10" s="20">
        <v>0</v>
      </c>
      <c r="BC10" s="20">
        <v>0</v>
      </c>
      <c r="BD10" s="257">
        <v>0</v>
      </c>
      <c r="BE10" s="257">
        <v>0</v>
      </c>
      <c r="BF10" s="257">
        <v>0</v>
      </c>
      <c r="BG10" s="257">
        <v>0</v>
      </c>
      <c r="BH10" s="20">
        <v>0</v>
      </c>
      <c r="BI10" s="20">
        <v>100</v>
      </c>
      <c r="BJ10" s="257">
        <v>100</v>
      </c>
      <c r="BK10" s="257">
        <v>100</v>
      </c>
      <c r="BL10" s="257">
        <v>100</v>
      </c>
      <c r="BM10" s="257">
        <v>100</v>
      </c>
      <c r="BN10" s="20">
        <v>100</v>
      </c>
      <c r="BO10" s="20">
        <v>0</v>
      </c>
      <c r="BP10" s="257">
        <v>0</v>
      </c>
      <c r="BQ10" s="257">
        <v>0</v>
      </c>
      <c r="BR10" s="257">
        <v>0</v>
      </c>
      <c r="BS10" s="257">
        <v>0</v>
      </c>
      <c r="BT10" s="20">
        <v>0</v>
      </c>
      <c r="BU10" s="20">
        <v>0</v>
      </c>
      <c r="BV10" s="257">
        <v>0</v>
      </c>
      <c r="BW10" s="257">
        <v>0</v>
      </c>
      <c r="BX10" s="257">
        <v>0</v>
      </c>
      <c r="BY10" s="257">
        <v>0</v>
      </c>
      <c r="BZ10" s="20">
        <v>0</v>
      </c>
      <c r="CA10" s="20">
        <v>100</v>
      </c>
      <c r="CB10" s="257">
        <v>100</v>
      </c>
      <c r="CC10" s="257">
        <v>100</v>
      </c>
      <c r="CD10" s="257">
        <v>100</v>
      </c>
      <c r="CE10" s="257">
        <v>100</v>
      </c>
      <c r="CF10" s="325">
        <v>100</v>
      </c>
      <c r="CG10" s="891">
        <f>SUM('3 pr-2'!AI11)</f>
        <v>43102</v>
      </c>
      <c r="CH10" s="891">
        <f>SUM('3 pr-2'!AK11)</f>
        <v>43465</v>
      </c>
      <c r="CI10" s="58">
        <f>SUM(P10+V10+AB10)</f>
        <v>121071</v>
      </c>
      <c r="CJ10" s="58">
        <f>SUM(CI10-AS10)</f>
        <v>0</v>
      </c>
      <c r="CQ10" s="892">
        <f t="shared" si="13"/>
        <v>188039</v>
      </c>
      <c r="CR10" s="893">
        <f t="shared" si="14"/>
        <v>121071</v>
      </c>
    </row>
    <row r="11" spans="1:96" ht="37.5" thickTop="1" thickBot="1">
      <c r="A11" s="104" t="str">
        <f>CONCATENATE('3 pr-2'!A12)</f>
        <v>1.1.1.1.3</v>
      </c>
      <c r="B11" s="104" t="str">
        <f>CONCATENATE('3 pr-2'!D12)</f>
        <v>Druskininkų savivaldybės Leipalingio seniūnijos Klonio seniūnaitijos kelių būklės gerinimas</v>
      </c>
      <c r="C11" s="65">
        <f t="shared" ref="C11:C21" si="31">IF($E$2&gt;=$CG$9,($CG$9-$C$2)*AH11,0)</f>
        <v>0</v>
      </c>
      <c r="D11" s="65">
        <f t="shared" ref="D11:D21" si="32">IF($E$2&gt;=$CG$9,($CG$9-$C$2)*AI11,0)</f>
        <v>0</v>
      </c>
      <c r="E11" s="65">
        <f t="shared" ref="E11:E21" si="33">IF(YEAR($E$2)=YEAR($CG$9),($CG$9-$C$2)*$AJ$9,0)</f>
        <v>0</v>
      </c>
      <c r="F11" s="257">
        <f t="shared" ref="F11:F21" si="34">IF(YEAR($E$2)=YEAR($CG$9),($CG$9-$C$2)*AL11,0)</f>
        <v>0</v>
      </c>
      <c r="G11" s="257">
        <f t="shared" ref="G11:G21" si="35">IF(YEAR($E$2)=YEAR($CG$9),($CG$9-$C$2)*AN11,0)</f>
        <v>0</v>
      </c>
      <c r="H11" s="257">
        <f t="shared" ref="H11:H21" si="36">IF(YEAR($E$2)=YEAR($CG$9),($CG$9-$C$2)*AP11,0)</f>
        <v>0</v>
      </c>
      <c r="I11" s="257">
        <f t="shared" ref="I11:I21" si="37">IF(YEAR($E$2)=YEAR($CG$9),($CG$9-$C$2)*AR11,0)</f>
        <v>0</v>
      </c>
      <c r="J11" s="65">
        <f t="shared" ref="J11:J21" si="38">IF(YEAR($E$2)=YEAR($CG$9),($CG$9-$C$2)*AT11,0)</f>
        <v>0</v>
      </c>
      <c r="K11" s="65">
        <f t="shared" ref="K11:K21" si="39">IF(YEAR($K$3)=YEAR($CG$9),($CG$9-$E$3)*AJ11,0)</f>
        <v>0</v>
      </c>
      <c r="L11" s="257">
        <f t="shared" ref="L11:L21" si="40">IF(YEAR($K$3)=YEAR($CG$9),($CG$9-$E$3)*AL11,0)</f>
        <v>0</v>
      </c>
      <c r="M11" s="257">
        <f t="shared" ref="M11:M21" si="41">IF(YEAR($K$3)=YEAR($CG$9),($CG$9-$E$3)*AN11,0)</f>
        <v>0</v>
      </c>
      <c r="N11" s="257">
        <f t="shared" ref="N11:N21" si="42">IF(YEAR($K$3)=YEAR($CG$9),($CG$9-$E$3)*AP11,0)</f>
        <v>0</v>
      </c>
      <c r="O11" s="257">
        <f t="shared" ref="O11:O21" si="43">IF(YEAR($K$2)=YEAR($CG$9),($CG$9-$E$3)*AR11,0)</f>
        <v>0</v>
      </c>
      <c r="P11" s="65">
        <f t="shared" ref="P11:P21" si="44">IF(YEAR($K$2)=YEAR($CG$9),($CG$9-$E$3)*AT11,0)</f>
        <v>0</v>
      </c>
      <c r="Q11" s="65">
        <f t="shared" si="1"/>
        <v>222319</v>
      </c>
      <c r="R11" s="257">
        <f t="shared" si="2"/>
        <v>67873</v>
      </c>
      <c r="S11" s="257">
        <f t="shared" ca="1" si="3"/>
        <v>0</v>
      </c>
      <c r="T11" s="257">
        <f t="shared" si="4"/>
        <v>0</v>
      </c>
      <c r="U11" s="257">
        <f t="shared" si="5"/>
        <v>0</v>
      </c>
      <c r="V11" s="65">
        <f t="shared" si="6"/>
        <v>154446</v>
      </c>
      <c r="W11" s="65">
        <f t="shared" ref="W11:W21" si="45">IF(YEAR($W$2)=YEAR($CG$9),($CH$9-$CG$9)*AP11,0)</f>
        <v>0</v>
      </c>
      <c r="X11" s="257">
        <f t="shared" ref="X11:X21" si="46">IF(YEAR($W$2)=YEAR($CG$9),($CH$9-$CG$9)*AQ11,0)</f>
        <v>0</v>
      </c>
      <c r="Y11" s="257">
        <f t="shared" ref="Y11:Y21" si="47">IF(YEAR($W$2)=YEAR($CG$9),($CH$9-$CG$9)*AR11,0)</f>
        <v>0</v>
      </c>
      <c r="Z11" s="257">
        <f t="shared" ref="Z11:Z21" si="48">IF(YEAR($W$2)=YEAR($CG$9),($CH$9-$CG$9)*AS11,0)</f>
        <v>0</v>
      </c>
      <c r="AA11" s="257">
        <f t="shared" ref="AA11:AA21" si="49">IF(YEAR($W$2)=YEAR($CG$9),($CH$9-$CG$9)*AT11,0)</f>
        <v>0</v>
      </c>
      <c r="AB11" s="65">
        <f t="shared" ref="AB11:AB21" si="50">IF(YEAR($W$2)=YEAR($CG$9),($CH$9-$CG$9)*AU11,0)</f>
        <v>0</v>
      </c>
      <c r="AC11" s="65">
        <f t="shared" ref="AC11:AC21" si="51">IF(YEAR($W$2)=YEAR($CG$9),($CH$9-$CG$9)*AV11,0)</f>
        <v>0</v>
      </c>
      <c r="AD11" s="257">
        <f t="shared" ref="AD11:AD21" si="52">IF(YEAR($W$2)=YEAR($CG$9),($CH$9-$CG$9)*AW11,0)</f>
        <v>0</v>
      </c>
      <c r="AE11" s="257">
        <f t="shared" ref="AE11:AE21" si="53">IF(YEAR($W$2)=YEAR($CG$9),($CH$9-$CG$9)*AX11,0)</f>
        <v>0</v>
      </c>
      <c r="AF11" s="257">
        <f t="shared" ref="AF11:AF21" si="54">IF(YEAR($W$2)=YEAR($CG$9),($CH$9-$CG$9)*AY11,0)</f>
        <v>0</v>
      </c>
      <c r="AG11" s="257">
        <f t="shared" ref="AG11:AG21" si="55">IF(YEAR($W$2)=YEAR($CG$9),($CH$9-$CG$9)*AZ11,0)</f>
        <v>0</v>
      </c>
      <c r="AH11" s="65">
        <f t="shared" ref="AH11:AH21" si="56">IF(YEAR($W$2)=YEAR($CG$9),($CH$9-$CG$9)*BA11,0)</f>
        <v>0</v>
      </c>
      <c r="AI11" s="660">
        <f>SUM('3 pr-2'!L12)</f>
        <v>222319</v>
      </c>
      <c r="AJ11" s="65">
        <f t="shared" si="25"/>
        <v>612.44903581267215</v>
      </c>
      <c r="AK11" s="257">
        <f>SUM('3 pr-2'!O12)</f>
        <v>67873</v>
      </c>
      <c r="AL11" s="257">
        <f t="shared" si="26"/>
        <v>186.97796143250687</v>
      </c>
      <c r="AM11" s="257">
        <f ca="1">SUM('3 pr-2'!R12)</f>
        <v>0</v>
      </c>
      <c r="AN11" s="257">
        <f t="shared" ca="1" si="27"/>
        <v>0</v>
      </c>
      <c r="AO11" s="257">
        <f>SUM('3 pr-2'!U12)</f>
        <v>0</v>
      </c>
      <c r="AP11" s="669">
        <f t="shared" si="28"/>
        <v>0</v>
      </c>
      <c r="AQ11" s="257">
        <f>SUM('3 pr-2'!X12)</f>
        <v>0</v>
      </c>
      <c r="AR11" s="659">
        <f t="shared" si="29"/>
        <v>0</v>
      </c>
      <c r="AS11" s="12">
        <f>SUM('3 pr-2'!AA12)</f>
        <v>154446</v>
      </c>
      <c r="AT11" s="658">
        <f t="shared" si="30"/>
        <v>425.47107438016531</v>
      </c>
      <c r="AU11" s="889">
        <v>0</v>
      </c>
      <c r="AV11" s="20">
        <v>0</v>
      </c>
      <c r="AW11" s="20">
        <v>0</v>
      </c>
      <c r="AX11" s="257">
        <v>0</v>
      </c>
      <c r="AY11" s="257">
        <v>0</v>
      </c>
      <c r="AZ11" s="257">
        <v>0</v>
      </c>
      <c r="BA11" s="257">
        <v>0</v>
      </c>
      <c r="BB11" s="20">
        <v>0</v>
      </c>
      <c r="BC11" s="20">
        <v>0</v>
      </c>
      <c r="BD11" s="257">
        <v>0</v>
      </c>
      <c r="BE11" s="257">
        <v>0</v>
      </c>
      <c r="BF11" s="257">
        <v>0</v>
      </c>
      <c r="BG11" s="257">
        <v>0</v>
      </c>
      <c r="BH11" s="20">
        <v>0</v>
      </c>
      <c r="BI11" s="20">
        <v>100</v>
      </c>
      <c r="BJ11" s="257">
        <v>100</v>
      </c>
      <c r="BK11" s="257">
        <v>100</v>
      </c>
      <c r="BL11" s="257">
        <v>100</v>
      </c>
      <c r="BM11" s="257">
        <v>100</v>
      </c>
      <c r="BN11" s="20">
        <v>100</v>
      </c>
      <c r="BO11" s="20">
        <v>0</v>
      </c>
      <c r="BP11" s="257">
        <v>0</v>
      </c>
      <c r="BQ11" s="257">
        <v>0</v>
      </c>
      <c r="BR11" s="257">
        <v>0</v>
      </c>
      <c r="BS11" s="257">
        <v>0</v>
      </c>
      <c r="BT11" s="20">
        <v>0</v>
      </c>
      <c r="BU11" s="20">
        <v>0</v>
      </c>
      <c r="BV11" s="257">
        <v>0</v>
      </c>
      <c r="BW11" s="257">
        <v>0</v>
      </c>
      <c r="BX11" s="257">
        <v>0</v>
      </c>
      <c r="BY11" s="257">
        <v>0</v>
      </c>
      <c r="BZ11" s="20">
        <v>0</v>
      </c>
      <c r="CA11" s="20">
        <v>100</v>
      </c>
      <c r="CB11" s="257">
        <v>100</v>
      </c>
      <c r="CC11" s="257">
        <v>100</v>
      </c>
      <c r="CD11" s="257">
        <v>100</v>
      </c>
      <c r="CE11" s="257">
        <v>100</v>
      </c>
      <c r="CF11" s="325">
        <v>100</v>
      </c>
      <c r="CG11" s="891">
        <f>SUM('3 pr-2'!AI12)</f>
        <v>43102</v>
      </c>
      <c r="CH11" s="891">
        <f>SUM('3 pr-2'!AK12)</f>
        <v>43465</v>
      </c>
      <c r="CI11" s="58">
        <f t="shared" ref="CI11:CI30" si="57">SUM(P11+V11+AB11)</f>
        <v>154446</v>
      </c>
      <c r="CJ11" s="58">
        <f t="shared" ref="CJ11:CJ30" si="58">SUM(CI11-AS11)</f>
        <v>0</v>
      </c>
      <c r="CQ11" s="892">
        <f t="shared" si="13"/>
        <v>222319</v>
      </c>
      <c r="CR11" s="893">
        <f t="shared" si="14"/>
        <v>154446</v>
      </c>
    </row>
    <row r="12" spans="1:96" ht="37.5" thickTop="1" thickBot="1">
      <c r="A12" s="104" t="str">
        <f>CONCATENATE('3 pr-2'!A13)</f>
        <v>1.1.1.1.4</v>
      </c>
      <c r="B12" s="104" t="str">
        <f>CONCATENATE('3 pr-2'!D13)</f>
        <v>Rudaminos laisvalaikio salės pritaikymas bendruomenės poreikiams ir liaudies amatų plėtrai</v>
      </c>
      <c r="C12" s="65">
        <f t="shared" si="31"/>
        <v>0</v>
      </c>
      <c r="D12" s="65">
        <f t="shared" si="32"/>
        <v>0</v>
      </c>
      <c r="E12" s="65">
        <f t="shared" si="33"/>
        <v>0</v>
      </c>
      <c r="F12" s="257">
        <f t="shared" si="34"/>
        <v>0</v>
      </c>
      <c r="G12" s="257">
        <f t="shared" si="35"/>
        <v>0</v>
      </c>
      <c r="H12" s="257">
        <f t="shared" si="36"/>
        <v>0</v>
      </c>
      <c r="I12" s="257">
        <f t="shared" si="37"/>
        <v>0</v>
      </c>
      <c r="J12" s="65">
        <f t="shared" si="38"/>
        <v>0</v>
      </c>
      <c r="K12" s="65">
        <f t="shared" si="39"/>
        <v>0</v>
      </c>
      <c r="L12" s="257">
        <f t="shared" si="40"/>
        <v>0</v>
      </c>
      <c r="M12" s="257">
        <f t="shared" si="41"/>
        <v>0</v>
      </c>
      <c r="N12" s="257">
        <f t="shared" si="42"/>
        <v>0</v>
      </c>
      <c r="O12" s="257">
        <f t="shared" si="43"/>
        <v>0</v>
      </c>
      <c r="P12" s="65">
        <f t="shared" si="44"/>
        <v>0</v>
      </c>
      <c r="Q12" s="65">
        <f ca="1">SUM(R12:V12)</f>
        <v>123160</v>
      </c>
      <c r="R12" s="257">
        <f>SUM(AK12)</f>
        <v>24632</v>
      </c>
      <c r="S12" s="257">
        <f ca="1">SUM(AM12)</f>
        <v>0</v>
      </c>
      <c r="T12" s="257">
        <f t="shared" si="4"/>
        <v>0</v>
      </c>
      <c r="U12" s="257">
        <f t="shared" si="5"/>
        <v>0</v>
      </c>
      <c r="V12" s="65">
        <f>SUM(AS12)</f>
        <v>98528</v>
      </c>
      <c r="W12" s="65">
        <f t="shared" si="45"/>
        <v>0</v>
      </c>
      <c r="X12" s="257">
        <f t="shared" si="46"/>
        <v>0</v>
      </c>
      <c r="Y12" s="257">
        <f t="shared" si="47"/>
        <v>0</v>
      </c>
      <c r="Z12" s="257">
        <f t="shared" si="48"/>
        <v>0</v>
      </c>
      <c r="AA12" s="257">
        <f t="shared" si="49"/>
        <v>0</v>
      </c>
      <c r="AB12" s="65">
        <f t="shared" si="50"/>
        <v>0</v>
      </c>
      <c r="AC12" s="65">
        <f t="shared" si="51"/>
        <v>0</v>
      </c>
      <c r="AD12" s="257">
        <f t="shared" si="52"/>
        <v>0</v>
      </c>
      <c r="AE12" s="257">
        <f t="shared" si="53"/>
        <v>0</v>
      </c>
      <c r="AF12" s="257">
        <f t="shared" si="54"/>
        <v>0</v>
      </c>
      <c r="AG12" s="257">
        <f t="shared" si="55"/>
        <v>0</v>
      </c>
      <c r="AH12" s="65">
        <f t="shared" si="56"/>
        <v>0</v>
      </c>
      <c r="AI12" s="660">
        <f>SUM('3 pr-2'!L13)</f>
        <v>123160</v>
      </c>
      <c r="AJ12" s="65">
        <f t="shared" si="25"/>
        <v>454.46494464944652</v>
      </c>
      <c r="AK12" s="257">
        <f>SUM('3 pr-2'!O13)</f>
        <v>24632</v>
      </c>
      <c r="AL12" s="257">
        <f t="shared" si="26"/>
        <v>90.892988929889299</v>
      </c>
      <c r="AM12" s="257">
        <f ca="1">SUM('3 pr-2'!R13)</f>
        <v>0</v>
      </c>
      <c r="AN12" s="257">
        <f t="shared" ca="1" si="27"/>
        <v>0</v>
      </c>
      <c r="AO12" s="257">
        <f>SUM('3 pr-2'!U13)</f>
        <v>0</v>
      </c>
      <c r="AP12" s="669">
        <f t="shared" si="28"/>
        <v>0</v>
      </c>
      <c r="AQ12" s="257">
        <f>SUM('3 pr-2'!X13)</f>
        <v>0</v>
      </c>
      <c r="AR12" s="659">
        <f t="shared" si="29"/>
        <v>0</v>
      </c>
      <c r="AS12" s="12">
        <f>SUM('3 pr-2'!AA13)</f>
        <v>98528</v>
      </c>
      <c r="AT12" s="658">
        <f t="shared" si="30"/>
        <v>363.5719557195572</v>
      </c>
      <c r="AU12" s="889"/>
      <c r="AV12" s="20"/>
      <c r="AW12" s="20"/>
      <c r="AX12" s="257"/>
      <c r="AY12" s="257"/>
      <c r="AZ12" s="257"/>
      <c r="BA12" s="257"/>
      <c r="BB12" s="20"/>
      <c r="BC12" s="20"/>
      <c r="BD12" s="257"/>
      <c r="BE12" s="257"/>
      <c r="BF12" s="257"/>
      <c r="BG12" s="257"/>
      <c r="BH12" s="20"/>
      <c r="BI12" s="20"/>
      <c r="BJ12" s="257"/>
      <c r="BK12" s="257"/>
      <c r="BL12" s="257"/>
      <c r="BM12" s="257"/>
      <c r="BN12" s="20"/>
      <c r="BO12" s="20"/>
      <c r="BP12" s="257"/>
      <c r="BQ12" s="257"/>
      <c r="BR12" s="257"/>
      <c r="BS12" s="257"/>
      <c r="BT12" s="20"/>
      <c r="BU12" s="20"/>
      <c r="BV12" s="257"/>
      <c r="BW12" s="257"/>
      <c r="BX12" s="257"/>
      <c r="BY12" s="257"/>
      <c r="BZ12" s="20"/>
      <c r="CA12" s="20"/>
      <c r="CB12" s="257"/>
      <c r="CC12" s="257"/>
      <c r="CD12" s="257"/>
      <c r="CE12" s="257"/>
      <c r="CF12" s="325"/>
      <c r="CG12" s="891">
        <f>SUM('3 pr-2'!AI13)</f>
        <v>43102</v>
      </c>
      <c r="CH12" s="891">
        <f>SUM('3 pr-2'!AK13)</f>
        <v>43373</v>
      </c>
      <c r="CI12" s="58">
        <f t="shared" si="57"/>
        <v>98528</v>
      </c>
      <c r="CJ12" s="58">
        <f t="shared" si="58"/>
        <v>0</v>
      </c>
      <c r="CQ12" s="892">
        <f t="shared" ca="1" si="13"/>
        <v>123160</v>
      </c>
      <c r="CR12" s="893">
        <f t="shared" si="14"/>
        <v>98528</v>
      </c>
    </row>
    <row r="13" spans="1:96" ht="37.5" thickTop="1" thickBot="1">
      <c r="A13" s="104" t="str">
        <f>CONCATENATE('3 pr-2'!A14)</f>
        <v>1.1.1.1.5</v>
      </c>
      <c r="B13" s="104" t="str">
        <f>CONCATENATE('3 pr-2'!D14)</f>
        <v>Druskininkų savivaldybės Leipalingio seniūnijos Bilso seniūnaitijos kelių būklės gerinimas</v>
      </c>
      <c r="C13" s="65">
        <f t="shared" si="31"/>
        <v>0</v>
      </c>
      <c r="D13" s="65">
        <f t="shared" si="32"/>
        <v>0</v>
      </c>
      <c r="E13" s="65">
        <f t="shared" si="33"/>
        <v>0</v>
      </c>
      <c r="F13" s="257">
        <f t="shared" si="34"/>
        <v>0</v>
      </c>
      <c r="G13" s="257">
        <f t="shared" si="35"/>
        <v>0</v>
      </c>
      <c r="H13" s="257">
        <f t="shared" si="36"/>
        <v>0</v>
      </c>
      <c r="I13" s="257">
        <f t="shared" si="37"/>
        <v>0</v>
      </c>
      <c r="J13" s="65">
        <f t="shared" si="38"/>
        <v>0</v>
      </c>
      <c r="K13" s="65">
        <f t="shared" si="39"/>
        <v>0</v>
      </c>
      <c r="L13" s="257">
        <f t="shared" si="40"/>
        <v>0</v>
      </c>
      <c r="M13" s="257">
        <f t="shared" si="41"/>
        <v>0</v>
      </c>
      <c r="N13" s="257">
        <f t="shared" si="42"/>
        <v>0</v>
      </c>
      <c r="O13" s="257">
        <f t="shared" si="43"/>
        <v>0</v>
      </c>
      <c r="P13" s="65">
        <f t="shared" si="44"/>
        <v>0</v>
      </c>
      <c r="Q13" s="65">
        <f t="shared" ref="Q13:Q20" si="59">IF(YEAR($Q$2)=YEAR($CG$9),($CH$30-$CG$30)*AJ13,0)</f>
        <v>265076</v>
      </c>
      <c r="R13" s="257">
        <f t="shared" ref="R13:R20" si="60">IF(YEAR($Q$2)=YEAR($CG$9),($CH$30-$CG$30)*AL13,0)</f>
        <v>137032</v>
      </c>
      <c r="S13" s="257">
        <f t="shared" ref="S13:S20" ca="1" si="61">IF(YEAR($Q$2)=YEAR($CG$9),($CH$30-$CG$30)*AN13,0)</f>
        <v>0</v>
      </c>
      <c r="T13" s="257">
        <f t="shared" ref="T13:T20" si="62">IF(YEAR($Q$2)=YEAR($CG$9),($CH$30-$CG$30)*AP13,0)</f>
        <v>0</v>
      </c>
      <c r="U13" s="257">
        <f t="shared" ref="U13:U20" si="63">IF(YEAR($Q$2)=YEAR($CG$9),($CH$30-$CG$30)*AR13,0)</f>
        <v>0</v>
      </c>
      <c r="V13" s="65">
        <f t="shared" ref="V13:V20" si="64">IF(YEAR($Q$2)=YEAR($CG$9),($CH$30-$CG$30)*AT13,0)</f>
        <v>128044</v>
      </c>
      <c r="W13" s="65">
        <f t="shared" si="45"/>
        <v>0</v>
      </c>
      <c r="X13" s="257">
        <f t="shared" si="46"/>
        <v>0</v>
      </c>
      <c r="Y13" s="257">
        <f t="shared" si="47"/>
        <v>0</v>
      </c>
      <c r="Z13" s="257">
        <f t="shared" si="48"/>
        <v>0</v>
      </c>
      <c r="AA13" s="257">
        <f t="shared" si="49"/>
        <v>0</v>
      </c>
      <c r="AB13" s="65">
        <f t="shared" si="50"/>
        <v>0</v>
      </c>
      <c r="AC13" s="65">
        <f t="shared" si="51"/>
        <v>0</v>
      </c>
      <c r="AD13" s="257">
        <f t="shared" si="52"/>
        <v>0</v>
      </c>
      <c r="AE13" s="257">
        <f t="shared" si="53"/>
        <v>0</v>
      </c>
      <c r="AF13" s="257">
        <f t="shared" si="54"/>
        <v>0</v>
      </c>
      <c r="AG13" s="257">
        <f t="shared" si="55"/>
        <v>0</v>
      </c>
      <c r="AH13" s="65">
        <f t="shared" si="56"/>
        <v>0</v>
      </c>
      <c r="AI13" s="660">
        <f>SUM('3 pr-2'!L14)</f>
        <v>265076</v>
      </c>
      <c r="AJ13" s="65">
        <f t="shared" si="25"/>
        <v>730.23691460055102</v>
      </c>
      <c r="AK13" s="257">
        <f>SUM('3 pr-2'!O14)</f>
        <v>137032</v>
      </c>
      <c r="AL13" s="257">
        <f t="shared" si="26"/>
        <v>377.49862258953169</v>
      </c>
      <c r="AM13" s="257">
        <f ca="1">SUM('3 pr-2'!R14)</f>
        <v>0</v>
      </c>
      <c r="AN13" s="257">
        <f t="shared" ca="1" si="27"/>
        <v>0</v>
      </c>
      <c r="AO13" s="257">
        <f>SUM('3 pr-2'!U14)</f>
        <v>0</v>
      </c>
      <c r="AP13" s="669">
        <f t="shared" si="28"/>
        <v>0</v>
      </c>
      <c r="AQ13" s="257">
        <f>SUM('3 pr-2'!X14)</f>
        <v>0</v>
      </c>
      <c r="AR13" s="659">
        <f t="shared" si="29"/>
        <v>0</v>
      </c>
      <c r="AS13" s="12">
        <f>SUM('3 pr-2'!AA14)</f>
        <v>128044</v>
      </c>
      <c r="AT13" s="658">
        <f t="shared" si="30"/>
        <v>352.73829201101927</v>
      </c>
      <c r="AU13" s="889">
        <v>0</v>
      </c>
      <c r="AV13" s="20">
        <v>0</v>
      </c>
      <c r="AW13" s="20">
        <v>0</v>
      </c>
      <c r="AX13" s="257">
        <v>0</v>
      </c>
      <c r="AY13" s="257">
        <v>0</v>
      </c>
      <c r="AZ13" s="257">
        <v>0</v>
      </c>
      <c r="BA13" s="257">
        <v>0</v>
      </c>
      <c r="BB13" s="20">
        <v>0</v>
      </c>
      <c r="BC13" s="20">
        <v>0</v>
      </c>
      <c r="BD13" s="257">
        <v>0</v>
      </c>
      <c r="BE13" s="257">
        <v>0</v>
      </c>
      <c r="BF13" s="257">
        <v>0</v>
      </c>
      <c r="BG13" s="257">
        <v>0</v>
      </c>
      <c r="BH13" s="20">
        <v>0</v>
      </c>
      <c r="BI13" s="20">
        <v>100</v>
      </c>
      <c r="BJ13" s="257">
        <v>100</v>
      </c>
      <c r="BK13" s="257">
        <v>100</v>
      </c>
      <c r="BL13" s="257">
        <v>100</v>
      </c>
      <c r="BM13" s="257">
        <v>100</v>
      </c>
      <c r="BN13" s="20">
        <v>100</v>
      </c>
      <c r="BO13" s="20">
        <v>0</v>
      </c>
      <c r="BP13" s="257">
        <v>0</v>
      </c>
      <c r="BQ13" s="257">
        <v>0</v>
      </c>
      <c r="BR13" s="257">
        <v>0</v>
      </c>
      <c r="BS13" s="257">
        <v>0</v>
      </c>
      <c r="BT13" s="20">
        <v>0</v>
      </c>
      <c r="BU13" s="20">
        <v>0</v>
      </c>
      <c r="BV13" s="257">
        <v>0</v>
      </c>
      <c r="BW13" s="257">
        <v>0</v>
      </c>
      <c r="BX13" s="257">
        <v>0</v>
      </c>
      <c r="BY13" s="257">
        <v>0</v>
      </c>
      <c r="BZ13" s="20">
        <v>0</v>
      </c>
      <c r="CA13" s="20">
        <v>100</v>
      </c>
      <c r="CB13" s="257">
        <v>100</v>
      </c>
      <c r="CC13" s="257">
        <v>100</v>
      </c>
      <c r="CD13" s="257">
        <v>100</v>
      </c>
      <c r="CE13" s="257">
        <v>100</v>
      </c>
      <c r="CF13" s="325">
        <v>100</v>
      </c>
      <c r="CG13" s="891">
        <f>SUM('3 pr-2'!AI14)</f>
        <v>43102</v>
      </c>
      <c r="CH13" s="891">
        <f>SUM('3 pr-2'!AK14)</f>
        <v>43465</v>
      </c>
      <c r="CI13" s="58">
        <f t="shared" si="57"/>
        <v>128044</v>
      </c>
      <c r="CJ13" s="58">
        <f t="shared" si="58"/>
        <v>0</v>
      </c>
      <c r="CQ13" s="892">
        <f t="shared" ref="CQ13:CQ14" si="65">SUM(E13+K13+Q13+W13+AC13)</f>
        <v>265076</v>
      </c>
      <c r="CR13" s="893">
        <f t="shared" si="14"/>
        <v>128044</v>
      </c>
    </row>
    <row r="14" spans="1:96" ht="25.5" thickTop="1" thickBot="1">
      <c r="A14" s="104" t="str">
        <f>CONCATENATE('3 pr-2'!A15)</f>
        <v>1.1.1.1.6</v>
      </c>
      <c r="B14" s="104" t="str">
        <f>CONCATENATE('3 pr-2'!D15)</f>
        <v>Lazdijų rajono kaimų patrauklumo didinimas atnaujinant bibliotekas</v>
      </c>
      <c r="C14" s="65">
        <f t="shared" si="31"/>
        <v>0</v>
      </c>
      <c r="D14" s="65">
        <f t="shared" si="32"/>
        <v>0</v>
      </c>
      <c r="E14" s="65">
        <f t="shared" si="33"/>
        <v>0</v>
      </c>
      <c r="F14" s="257">
        <f t="shared" si="34"/>
        <v>0</v>
      </c>
      <c r="G14" s="257">
        <f t="shared" si="35"/>
        <v>0</v>
      </c>
      <c r="H14" s="257">
        <f t="shared" si="36"/>
        <v>0</v>
      </c>
      <c r="I14" s="257">
        <f t="shared" si="37"/>
        <v>0</v>
      </c>
      <c r="J14" s="65">
        <f t="shared" si="38"/>
        <v>0</v>
      </c>
      <c r="K14" s="65">
        <f t="shared" si="39"/>
        <v>0</v>
      </c>
      <c r="L14" s="257">
        <f t="shared" si="40"/>
        <v>0</v>
      </c>
      <c r="M14" s="257">
        <f t="shared" si="41"/>
        <v>0</v>
      </c>
      <c r="N14" s="257">
        <f t="shared" si="42"/>
        <v>0</v>
      </c>
      <c r="O14" s="257">
        <f t="shared" si="43"/>
        <v>0</v>
      </c>
      <c r="P14" s="65">
        <f t="shared" si="44"/>
        <v>0</v>
      </c>
      <c r="Q14" s="65">
        <f ca="1">SUM(R14:V14)</f>
        <v>200999</v>
      </c>
      <c r="R14" s="257">
        <f>SUM(AK14)</f>
        <v>41071</v>
      </c>
      <c r="S14" s="257">
        <f ca="1">SUM(AM14)</f>
        <v>0</v>
      </c>
      <c r="T14" s="257">
        <v>0</v>
      </c>
      <c r="U14" s="257">
        <v>0</v>
      </c>
      <c r="V14" s="65">
        <f>SUM(AS14)</f>
        <v>159928</v>
      </c>
      <c r="W14" s="65">
        <f t="shared" si="45"/>
        <v>0</v>
      </c>
      <c r="X14" s="257">
        <f t="shared" si="46"/>
        <v>0</v>
      </c>
      <c r="Y14" s="257">
        <f t="shared" si="47"/>
        <v>0</v>
      </c>
      <c r="Z14" s="257">
        <f t="shared" si="48"/>
        <v>0</v>
      </c>
      <c r="AA14" s="257">
        <f t="shared" si="49"/>
        <v>0</v>
      </c>
      <c r="AB14" s="65">
        <f t="shared" si="50"/>
        <v>0</v>
      </c>
      <c r="AC14" s="65">
        <f t="shared" si="51"/>
        <v>0</v>
      </c>
      <c r="AD14" s="257">
        <f t="shared" si="52"/>
        <v>0</v>
      </c>
      <c r="AE14" s="257">
        <f t="shared" si="53"/>
        <v>0</v>
      </c>
      <c r="AF14" s="257">
        <f t="shared" si="54"/>
        <v>0</v>
      </c>
      <c r="AG14" s="257">
        <f t="shared" si="55"/>
        <v>0</v>
      </c>
      <c r="AH14" s="65">
        <f t="shared" si="56"/>
        <v>0</v>
      </c>
      <c r="AI14" s="660">
        <f>SUM('3 pr-2'!L15)</f>
        <v>200999</v>
      </c>
      <c r="AJ14" s="65">
        <f t="shared" si="25"/>
        <v>741.69372693726939</v>
      </c>
      <c r="AK14" s="257">
        <f>SUM('3 pr-2'!O15)</f>
        <v>41071</v>
      </c>
      <c r="AL14" s="257">
        <f t="shared" si="26"/>
        <v>151.55350553505534</v>
      </c>
      <c r="AM14" s="257">
        <f ca="1">SUM('3 pr-2'!R15)</f>
        <v>0</v>
      </c>
      <c r="AN14" s="257">
        <f t="shared" ca="1" si="27"/>
        <v>0</v>
      </c>
      <c r="AO14" s="257">
        <f>SUM('3 pr-2'!U15)</f>
        <v>0</v>
      </c>
      <c r="AP14" s="669">
        <f t="shared" si="28"/>
        <v>0</v>
      </c>
      <c r="AQ14" s="257">
        <f>SUM('3 pr-2'!X15)</f>
        <v>0</v>
      </c>
      <c r="AR14" s="659">
        <f t="shared" si="29"/>
        <v>0</v>
      </c>
      <c r="AS14" s="12">
        <f>SUM('3 pr-2'!AA15)</f>
        <v>159928</v>
      </c>
      <c r="AT14" s="658">
        <f t="shared" si="30"/>
        <v>590.14022140221402</v>
      </c>
      <c r="AU14" s="889"/>
      <c r="AV14" s="20"/>
      <c r="AW14" s="20"/>
      <c r="AX14" s="257"/>
      <c r="AY14" s="257"/>
      <c r="AZ14" s="257"/>
      <c r="BA14" s="257"/>
      <c r="BB14" s="20"/>
      <c r="BC14" s="20"/>
      <c r="BD14" s="257"/>
      <c r="BE14" s="257"/>
      <c r="BF14" s="257"/>
      <c r="BG14" s="257"/>
      <c r="BH14" s="20"/>
      <c r="BI14" s="20"/>
      <c r="BJ14" s="257"/>
      <c r="BK14" s="257"/>
      <c r="BL14" s="257"/>
      <c r="BM14" s="257"/>
      <c r="BN14" s="20"/>
      <c r="BO14" s="20"/>
      <c r="BP14" s="257"/>
      <c r="BQ14" s="257"/>
      <c r="BR14" s="257"/>
      <c r="BS14" s="257"/>
      <c r="BT14" s="20"/>
      <c r="BU14" s="20"/>
      <c r="BV14" s="257"/>
      <c r="BW14" s="257"/>
      <c r="BX14" s="257"/>
      <c r="BY14" s="257"/>
      <c r="BZ14" s="20"/>
      <c r="CA14" s="20"/>
      <c r="CB14" s="257"/>
      <c r="CC14" s="257"/>
      <c r="CD14" s="257"/>
      <c r="CE14" s="257"/>
      <c r="CF14" s="325"/>
      <c r="CG14" s="891">
        <f>SUM('3 pr-2'!AI15)</f>
        <v>43102</v>
      </c>
      <c r="CH14" s="891">
        <f>SUM('3 pr-2'!AK15)</f>
        <v>43373</v>
      </c>
      <c r="CI14" s="58">
        <f t="shared" si="57"/>
        <v>159928</v>
      </c>
      <c r="CJ14" s="58">
        <f t="shared" si="58"/>
        <v>0</v>
      </c>
      <c r="CQ14" s="892">
        <f t="shared" ca="1" si="65"/>
        <v>200999</v>
      </c>
      <c r="CR14" s="893">
        <f t="shared" si="14"/>
        <v>159928</v>
      </c>
    </row>
    <row r="15" spans="1:96" ht="37.5" thickTop="1" thickBot="1">
      <c r="A15" s="104" t="str">
        <f>CONCATENATE('3 pr-2'!A16)</f>
        <v>1.1.1.1.7</v>
      </c>
      <c r="B15" s="104" t="str">
        <f>CONCATENATE('3 pr-2'!D16)</f>
        <v>Alytaus rajono Miroslavo kaimo multifunkcinės sporto aikštės įrengimas ir gatvių bei šaligatvių rekonstrukcija</v>
      </c>
      <c r="C15" s="65">
        <f t="shared" si="31"/>
        <v>0</v>
      </c>
      <c r="D15" s="65">
        <f t="shared" si="32"/>
        <v>0</v>
      </c>
      <c r="E15" s="65">
        <f t="shared" si="33"/>
        <v>0</v>
      </c>
      <c r="F15" s="257">
        <f t="shared" si="34"/>
        <v>0</v>
      </c>
      <c r="G15" s="257">
        <f t="shared" si="35"/>
        <v>0</v>
      </c>
      <c r="H15" s="257">
        <f t="shared" si="36"/>
        <v>0</v>
      </c>
      <c r="I15" s="257">
        <f t="shared" si="37"/>
        <v>0</v>
      </c>
      <c r="J15" s="65">
        <f t="shared" si="38"/>
        <v>0</v>
      </c>
      <c r="K15" s="65">
        <f t="shared" si="39"/>
        <v>0</v>
      </c>
      <c r="L15" s="257">
        <f t="shared" si="40"/>
        <v>0</v>
      </c>
      <c r="M15" s="257">
        <f t="shared" si="41"/>
        <v>0</v>
      </c>
      <c r="N15" s="257">
        <f t="shared" si="42"/>
        <v>0</v>
      </c>
      <c r="O15" s="257">
        <f t="shared" si="43"/>
        <v>0</v>
      </c>
      <c r="P15" s="65">
        <f t="shared" si="44"/>
        <v>0</v>
      </c>
      <c r="Q15" s="65">
        <f ca="1">SUM(R15:V15)</f>
        <v>252211.6</v>
      </c>
      <c r="R15" s="257">
        <f>SUM(AK15)</f>
        <v>52211.6</v>
      </c>
      <c r="S15" s="257">
        <f ca="1">SUM(AM15)</f>
        <v>0</v>
      </c>
      <c r="T15" s="257">
        <v>0</v>
      </c>
      <c r="U15" s="257">
        <v>0</v>
      </c>
      <c r="V15" s="65">
        <f>SUM(AS15)</f>
        <v>200000</v>
      </c>
      <c r="W15" s="65">
        <f t="shared" si="45"/>
        <v>0</v>
      </c>
      <c r="X15" s="257">
        <f t="shared" si="46"/>
        <v>0</v>
      </c>
      <c r="Y15" s="257">
        <f t="shared" si="47"/>
        <v>0</v>
      </c>
      <c r="Z15" s="257">
        <f t="shared" si="48"/>
        <v>0</v>
      </c>
      <c r="AA15" s="257">
        <f t="shared" si="49"/>
        <v>0</v>
      </c>
      <c r="AB15" s="65">
        <f t="shared" si="50"/>
        <v>0</v>
      </c>
      <c r="AC15" s="65">
        <f t="shared" si="51"/>
        <v>0</v>
      </c>
      <c r="AD15" s="257">
        <f t="shared" si="52"/>
        <v>0</v>
      </c>
      <c r="AE15" s="257">
        <f t="shared" si="53"/>
        <v>0</v>
      </c>
      <c r="AF15" s="257">
        <f t="shared" si="54"/>
        <v>0</v>
      </c>
      <c r="AG15" s="257">
        <f t="shared" si="55"/>
        <v>0</v>
      </c>
      <c r="AH15" s="65">
        <f t="shared" si="56"/>
        <v>0</v>
      </c>
      <c r="AI15" s="660">
        <f>SUM('3 pr-2'!L16)</f>
        <v>252211.6</v>
      </c>
      <c r="AJ15" s="65">
        <f t="shared" si="25"/>
        <v>694.79779614325071</v>
      </c>
      <c r="AK15" s="257">
        <f>SUM('3 pr-2'!O16)</f>
        <v>52211.6</v>
      </c>
      <c r="AL15" s="257">
        <f t="shared" si="26"/>
        <v>143.833608815427</v>
      </c>
      <c r="AM15" s="257">
        <f ca="1">SUM('3 pr-2'!R16)</f>
        <v>0</v>
      </c>
      <c r="AN15" s="257">
        <f t="shared" ca="1" si="27"/>
        <v>0</v>
      </c>
      <c r="AO15" s="257">
        <f>SUM('3 pr-2'!U16)</f>
        <v>0</v>
      </c>
      <c r="AP15" s="669">
        <f t="shared" si="28"/>
        <v>0</v>
      </c>
      <c r="AQ15" s="257">
        <f>SUM('3 pr-2'!X16)</f>
        <v>0</v>
      </c>
      <c r="AR15" s="659">
        <f t="shared" si="29"/>
        <v>0</v>
      </c>
      <c r="AS15" s="12">
        <f>SUM('3 pr-2'!AA16)</f>
        <v>200000</v>
      </c>
      <c r="AT15" s="658">
        <f t="shared" si="30"/>
        <v>550.96418732782365</v>
      </c>
      <c r="AU15" s="889">
        <v>0</v>
      </c>
      <c r="AV15" s="20">
        <v>0</v>
      </c>
      <c r="AW15" s="20">
        <v>0</v>
      </c>
      <c r="AX15" s="257">
        <v>0</v>
      </c>
      <c r="AY15" s="257">
        <v>0</v>
      </c>
      <c r="AZ15" s="257">
        <v>0</v>
      </c>
      <c r="BA15" s="257">
        <v>0</v>
      </c>
      <c r="BB15" s="20">
        <v>0</v>
      </c>
      <c r="BC15" s="20">
        <v>100</v>
      </c>
      <c r="BD15" s="257">
        <v>100</v>
      </c>
      <c r="BE15" s="257">
        <v>100</v>
      </c>
      <c r="BF15" s="257">
        <v>100</v>
      </c>
      <c r="BG15" s="257">
        <v>100</v>
      </c>
      <c r="BH15" s="20">
        <v>100</v>
      </c>
      <c r="BI15" s="20">
        <v>0</v>
      </c>
      <c r="BJ15" s="257">
        <v>0</v>
      </c>
      <c r="BK15" s="257">
        <v>0</v>
      </c>
      <c r="BL15" s="257">
        <v>0</v>
      </c>
      <c r="BM15" s="257">
        <v>0</v>
      </c>
      <c r="BN15" s="20">
        <v>0</v>
      </c>
      <c r="BO15" s="20">
        <v>0</v>
      </c>
      <c r="BP15" s="257">
        <v>0</v>
      </c>
      <c r="BQ15" s="257">
        <v>0</v>
      </c>
      <c r="BR15" s="257">
        <v>0</v>
      </c>
      <c r="BS15" s="257">
        <v>0</v>
      </c>
      <c r="BT15" s="20">
        <v>0</v>
      </c>
      <c r="BU15" s="20">
        <v>0</v>
      </c>
      <c r="BV15" s="257">
        <v>0</v>
      </c>
      <c r="BW15" s="257">
        <v>0</v>
      </c>
      <c r="BX15" s="257">
        <v>0</v>
      </c>
      <c r="BY15" s="257">
        <v>0</v>
      </c>
      <c r="BZ15" s="20">
        <v>0</v>
      </c>
      <c r="CA15" s="20">
        <v>100</v>
      </c>
      <c r="CB15" s="257">
        <v>100</v>
      </c>
      <c r="CC15" s="257">
        <v>100</v>
      </c>
      <c r="CD15" s="257">
        <v>100</v>
      </c>
      <c r="CE15" s="257">
        <v>100</v>
      </c>
      <c r="CF15" s="325">
        <v>100</v>
      </c>
      <c r="CG15" s="891">
        <f>SUM('3 pr-2'!AI16)</f>
        <v>43102</v>
      </c>
      <c r="CH15" s="891">
        <f>SUM('3 pr-2'!AK16)</f>
        <v>43465</v>
      </c>
      <c r="CI15" s="58">
        <f t="shared" si="57"/>
        <v>200000</v>
      </c>
      <c r="CJ15" s="58">
        <f t="shared" si="58"/>
        <v>0</v>
      </c>
      <c r="CQ15" s="892">
        <f t="shared" ref="CQ15:CQ17" ca="1" si="66">SUM(E15+K15+Q15+W15+AC15)</f>
        <v>252211.6</v>
      </c>
      <c r="CR15" s="893">
        <f t="shared" si="14"/>
        <v>200000</v>
      </c>
    </row>
    <row r="16" spans="1:96" ht="37.5" thickTop="1" thickBot="1">
      <c r="A16" s="104" t="str">
        <f>CONCATENATE('3 pr-2'!A17)</f>
        <v>1.1.1.1.8</v>
      </c>
      <c r="B16" s="104" t="str">
        <f>CONCATENATE('3 pr-2'!D17)</f>
        <v>Alytaus rajono Luksnėnų kaimo multifunkcinės sporto aikštės įrengimas ir gatvių rekonstrukcija</v>
      </c>
      <c r="C16" s="65">
        <f t="shared" si="31"/>
        <v>0</v>
      </c>
      <c r="D16" s="65">
        <f t="shared" si="32"/>
        <v>0</v>
      </c>
      <c r="E16" s="65">
        <f t="shared" si="33"/>
        <v>0</v>
      </c>
      <c r="F16" s="257">
        <f t="shared" si="34"/>
        <v>0</v>
      </c>
      <c r="G16" s="257">
        <f t="shared" si="35"/>
        <v>0</v>
      </c>
      <c r="H16" s="257">
        <f t="shared" si="36"/>
        <v>0</v>
      </c>
      <c r="I16" s="257">
        <f t="shared" si="37"/>
        <v>0</v>
      </c>
      <c r="J16" s="65">
        <f t="shared" si="38"/>
        <v>0</v>
      </c>
      <c r="K16" s="65">
        <f t="shared" si="39"/>
        <v>0</v>
      </c>
      <c r="L16" s="257">
        <f t="shared" si="40"/>
        <v>0</v>
      </c>
      <c r="M16" s="257">
        <f t="shared" si="41"/>
        <v>0</v>
      </c>
      <c r="N16" s="257">
        <f t="shared" si="42"/>
        <v>0</v>
      </c>
      <c r="O16" s="257">
        <f t="shared" si="43"/>
        <v>0</v>
      </c>
      <c r="P16" s="65">
        <f t="shared" si="44"/>
        <v>0</v>
      </c>
      <c r="Q16" s="65">
        <f t="shared" si="59"/>
        <v>250309.29</v>
      </c>
      <c r="R16" s="257">
        <f t="shared" si="60"/>
        <v>50309.290000000008</v>
      </c>
      <c r="S16" s="257">
        <f t="shared" ca="1" si="61"/>
        <v>0</v>
      </c>
      <c r="T16" s="257">
        <f t="shared" si="62"/>
        <v>0</v>
      </c>
      <c r="U16" s="257">
        <f t="shared" si="63"/>
        <v>0</v>
      </c>
      <c r="V16" s="65">
        <f t="shared" si="64"/>
        <v>200000</v>
      </c>
      <c r="W16" s="65">
        <f t="shared" si="45"/>
        <v>0</v>
      </c>
      <c r="X16" s="257">
        <f t="shared" si="46"/>
        <v>0</v>
      </c>
      <c r="Y16" s="257">
        <f t="shared" si="47"/>
        <v>0</v>
      </c>
      <c r="Z16" s="257">
        <f t="shared" si="48"/>
        <v>0</v>
      </c>
      <c r="AA16" s="257">
        <f t="shared" si="49"/>
        <v>0</v>
      </c>
      <c r="AB16" s="65">
        <f t="shared" si="50"/>
        <v>0</v>
      </c>
      <c r="AC16" s="65">
        <f t="shared" si="51"/>
        <v>0</v>
      </c>
      <c r="AD16" s="257">
        <f t="shared" si="52"/>
        <v>0</v>
      </c>
      <c r="AE16" s="257">
        <f t="shared" si="53"/>
        <v>0</v>
      </c>
      <c r="AF16" s="257">
        <f t="shared" si="54"/>
        <v>0</v>
      </c>
      <c r="AG16" s="257">
        <f t="shared" si="55"/>
        <v>0</v>
      </c>
      <c r="AH16" s="65">
        <f t="shared" si="56"/>
        <v>0</v>
      </c>
      <c r="AI16" s="660">
        <f>SUM('3 pr-2'!L17)</f>
        <v>250309.29</v>
      </c>
      <c r="AJ16" s="65">
        <f t="shared" si="25"/>
        <v>689.55727272727279</v>
      </c>
      <c r="AK16" s="257">
        <f>SUM('3 pr-2'!O17)</f>
        <v>50309.29</v>
      </c>
      <c r="AL16" s="257">
        <f t="shared" si="26"/>
        <v>138.59308539944905</v>
      </c>
      <c r="AM16" s="257">
        <f ca="1">SUM('3 pr-2'!R17)</f>
        <v>0</v>
      </c>
      <c r="AN16" s="257">
        <f t="shared" ca="1" si="27"/>
        <v>0</v>
      </c>
      <c r="AO16" s="257">
        <f>SUM('3 pr-2'!U17)</f>
        <v>0</v>
      </c>
      <c r="AP16" s="669">
        <f t="shared" si="28"/>
        <v>0</v>
      </c>
      <c r="AQ16" s="257">
        <f>SUM('3 pr-2'!X17)</f>
        <v>0</v>
      </c>
      <c r="AR16" s="659">
        <f t="shared" si="29"/>
        <v>0</v>
      </c>
      <c r="AS16" s="12">
        <f>SUM('3 pr-2'!AA17)</f>
        <v>200000</v>
      </c>
      <c r="AT16" s="658">
        <f t="shared" si="30"/>
        <v>550.96418732782365</v>
      </c>
      <c r="AU16" s="889"/>
      <c r="AV16" s="20"/>
      <c r="AW16" s="20"/>
      <c r="AX16" s="257"/>
      <c r="AY16" s="257"/>
      <c r="AZ16" s="257"/>
      <c r="BA16" s="257"/>
      <c r="BB16" s="20"/>
      <c r="BC16" s="20"/>
      <c r="BD16" s="257"/>
      <c r="BE16" s="257"/>
      <c r="BF16" s="257"/>
      <c r="BG16" s="257"/>
      <c r="BH16" s="20"/>
      <c r="BI16" s="20"/>
      <c r="BJ16" s="257"/>
      <c r="BK16" s="257"/>
      <c r="BL16" s="257"/>
      <c r="BM16" s="257"/>
      <c r="BN16" s="20"/>
      <c r="BO16" s="20"/>
      <c r="BP16" s="257"/>
      <c r="BQ16" s="257"/>
      <c r="BR16" s="257"/>
      <c r="BS16" s="257"/>
      <c r="BT16" s="20"/>
      <c r="BU16" s="20"/>
      <c r="BV16" s="257"/>
      <c r="BW16" s="257"/>
      <c r="BX16" s="257"/>
      <c r="BY16" s="257"/>
      <c r="BZ16" s="20"/>
      <c r="CA16" s="20"/>
      <c r="CB16" s="257"/>
      <c r="CC16" s="257"/>
      <c r="CD16" s="257"/>
      <c r="CE16" s="257"/>
      <c r="CF16" s="325"/>
      <c r="CG16" s="891">
        <f>SUM('3 pr-2'!AI17)</f>
        <v>43102</v>
      </c>
      <c r="CH16" s="891">
        <f>SUM('3 pr-2'!AK17)</f>
        <v>43465</v>
      </c>
      <c r="CI16" s="58">
        <f t="shared" si="57"/>
        <v>200000</v>
      </c>
      <c r="CJ16" s="58">
        <f t="shared" si="58"/>
        <v>0</v>
      </c>
      <c r="CQ16" s="892">
        <f t="shared" si="66"/>
        <v>250309.29</v>
      </c>
      <c r="CR16" s="893">
        <f t="shared" si="14"/>
        <v>200000</v>
      </c>
    </row>
    <row r="17" spans="1:96" ht="25.5" thickTop="1" thickBot="1">
      <c r="A17" s="104" t="str">
        <f>CONCATENATE('3 pr-2'!A18)</f>
        <v>1.1.1.1.9</v>
      </c>
      <c r="B17" s="104" t="str">
        <f>CONCATENATE('3 pr-2'!D18)</f>
        <v>Krikštonių laisvalaikio salės pritaikymas bendruomenės poreikiams</v>
      </c>
      <c r="C17" s="65">
        <f t="shared" si="31"/>
        <v>0</v>
      </c>
      <c r="D17" s="65">
        <f t="shared" si="32"/>
        <v>0</v>
      </c>
      <c r="E17" s="65">
        <f t="shared" si="33"/>
        <v>0</v>
      </c>
      <c r="F17" s="257">
        <f t="shared" si="34"/>
        <v>0</v>
      </c>
      <c r="G17" s="257">
        <f t="shared" si="35"/>
        <v>0</v>
      </c>
      <c r="H17" s="257">
        <f t="shared" si="36"/>
        <v>0</v>
      </c>
      <c r="I17" s="257">
        <f t="shared" si="37"/>
        <v>0</v>
      </c>
      <c r="J17" s="65">
        <f t="shared" si="38"/>
        <v>0</v>
      </c>
      <c r="K17" s="65">
        <f t="shared" si="39"/>
        <v>0</v>
      </c>
      <c r="L17" s="257">
        <f t="shared" si="40"/>
        <v>0</v>
      </c>
      <c r="M17" s="257">
        <f t="shared" si="41"/>
        <v>0</v>
      </c>
      <c r="N17" s="257">
        <f t="shared" si="42"/>
        <v>0</v>
      </c>
      <c r="O17" s="257">
        <f t="shared" si="43"/>
        <v>0</v>
      </c>
      <c r="P17" s="65">
        <f t="shared" si="44"/>
        <v>0</v>
      </c>
      <c r="Q17" s="65">
        <f ca="1">SUM(R17:V17)</f>
        <v>250000</v>
      </c>
      <c r="R17" s="257">
        <f>SUM(AK17)</f>
        <v>50000</v>
      </c>
      <c r="S17" s="257">
        <f ca="1">SUM(AM17)</f>
        <v>0</v>
      </c>
      <c r="T17" s="257">
        <v>0</v>
      </c>
      <c r="U17" s="257">
        <v>0</v>
      </c>
      <c r="V17" s="65">
        <f>SUM(AS17)</f>
        <v>200000</v>
      </c>
      <c r="W17" s="65">
        <f t="shared" si="45"/>
        <v>0</v>
      </c>
      <c r="X17" s="257">
        <f t="shared" si="46"/>
        <v>0</v>
      </c>
      <c r="Y17" s="257">
        <f t="shared" si="47"/>
        <v>0</v>
      </c>
      <c r="Z17" s="257">
        <f t="shared" si="48"/>
        <v>0</v>
      </c>
      <c r="AA17" s="257">
        <f t="shared" si="49"/>
        <v>0</v>
      </c>
      <c r="AB17" s="65">
        <f t="shared" si="50"/>
        <v>0</v>
      </c>
      <c r="AC17" s="65">
        <f t="shared" si="51"/>
        <v>0</v>
      </c>
      <c r="AD17" s="257">
        <f t="shared" si="52"/>
        <v>0</v>
      </c>
      <c r="AE17" s="257">
        <f t="shared" si="53"/>
        <v>0</v>
      </c>
      <c r="AF17" s="257">
        <f t="shared" si="54"/>
        <v>0</v>
      </c>
      <c r="AG17" s="257">
        <f t="shared" si="55"/>
        <v>0</v>
      </c>
      <c r="AH17" s="65">
        <f t="shared" si="56"/>
        <v>0</v>
      </c>
      <c r="AI17" s="660">
        <f>SUM('3 pr-2'!L18)</f>
        <v>250000</v>
      </c>
      <c r="AJ17" s="65">
        <f t="shared" si="25"/>
        <v>922.50922509225097</v>
      </c>
      <c r="AK17" s="257">
        <f>SUM('3 pr-2'!O18)</f>
        <v>50000</v>
      </c>
      <c r="AL17" s="257">
        <f t="shared" si="26"/>
        <v>184.50184501845018</v>
      </c>
      <c r="AM17" s="257">
        <f ca="1">SUM('3 pr-2'!R18)</f>
        <v>0</v>
      </c>
      <c r="AN17" s="257">
        <f t="shared" ca="1" si="27"/>
        <v>0</v>
      </c>
      <c r="AO17" s="257">
        <f>SUM('3 pr-2'!U18)</f>
        <v>0</v>
      </c>
      <c r="AP17" s="669">
        <f t="shared" si="28"/>
        <v>0</v>
      </c>
      <c r="AQ17" s="257">
        <f>SUM('3 pr-2'!X18)</f>
        <v>0</v>
      </c>
      <c r="AR17" s="659">
        <f t="shared" si="29"/>
        <v>0</v>
      </c>
      <c r="AS17" s="12">
        <f>SUM('3 pr-2'!AA18)</f>
        <v>200000</v>
      </c>
      <c r="AT17" s="658">
        <f t="shared" si="30"/>
        <v>738.00738007380073</v>
      </c>
      <c r="AU17" s="889"/>
      <c r="AV17" s="20"/>
      <c r="AW17" s="20"/>
      <c r="AX17" s="257"/>
      <c r="AY17" s="257"/>
      <c r="AZ17" s="257"/>
      <c r="BA17" s="257"/>
      <c r="BB17" s="20"/>
      <c r="BC17" s="20"/>
      <c r="BD17" s="257"/>
      <c r="BE17" s="257"/>
      <c r="BF17" s="257"/>
      <c r="BG17" s="257"/>
      <c r="BH17" s="20"/>
      <c r="BI17" s="20"/>
      <c r="BJ17" s="257"/>
      <c r="BK17" s="257"/>
      <c r="BL17" s="257"/>
      <c r="BM17" s="257"/>
      <c r="BN17" s="20"/>
      <c r="BO17" s="20"/>
      <c r="BP17" s="257"/>
      <c r="BQ17" s="257"/>
      <c r="BR17" s="257"/>
      <c r="BS17" s="257"/>
      <c r="BT17" s="20"/>
      <c r="BU17" s="20"/>
      <c r="BV17" s="257"/>
      <c r="BW17" s="257"/>
      <c r="BX17" s="257"/>
      <c r="BY17" s="257"/>
      <c r="BZ17" s="20"/>
      <c r="CA17" s="20"/>
      <c r="CB17" s="257"/>
      <c r="CC17" s="257"/>
      <c r="CD17" s="257"/>
      <c r="CE17" s="257"/>
      <c r="CF17" s="325"/>
      <c r="CG17" s="891">
        <f>SUM('3 pr-2'!AI18)</f>
        <v>43102</v>
      </c>
      <c r="CH17" s="891">
        <f>SUM('3 pr-2'!AK18)</f>
        <v>43373</v>
      </c>
      <c r="CI17" s="58">
        <f t="shared" si="57"/>
        <v>200000</v>
      </c>
      <c r="CJ17" s="58">
        <f t="shared" si="58"/>
        <v>0</v>
      </c>
      <c r="CQ17" s="892">
        <f t="shared" ca="1" si="66"/>
        <v>250000</v>
      </c>
      <c r="CR17" s="893">
        <f t="shared" si="14"/>
        <v>200000</v>
      </c>
    </row>
    <row r="18" spans="1:96" ht="25.5" thickTop="1" thickBot="1">
      <c r="A18" s="104" t="str">
        <f>CONCATENATE('3 pr-2'!A19)</f>
        <v>1.1.1.1.10</v>
      </c>
      <c r="B18" s="104" t="str">
        <f>CONCATENATE('3 pr-2'!D19)</f>
        <v>Kučiūnų laisvalaikio salės pritaikymas bendruomenės poreikiams</v>
      </c>
      <c r="C18" s="65">
        <f t="shared" si="31"/>
        <v>0</v>
      </c>
      <c r="D18" s="65">
        <f t="shared" si="32"/>
        <v>0</v>
      </c>
      <c r="E18" s="65">
        <f t="shared" si="33"/>
        <v>0</v>
      </c>
      <c r="F18" s="257">
        <f t="shared" si="34"/>
        <v>0</v>
      </c>
      <c r="G18" s="257">
        <f t="shared" si="35"/>
        <v>0</v>
      </c>
      <c r="H18" s="257">
        <f t="shared" si="36"/>
        <v>0</v>
      </c>
      <c r="I18" s="257">
        <f t="shared" si="37"/>
        <v>0</v>
      </c>
      <c r="J18" s="65">
        <f t="shared" si="38"/>
        <v>0</v>
      </c>
      <c r="K18" s="65">
        <f t="shared" si="39"/>
        <v>0</v>
      </c>
      <c r="L18" s="257">
        <f t="shared" si="40"/>
        <v>0</v>
      </c>
      <c r="M18" s="257">
        <f t="shared" si="41"/>
        <v>0</v>
      </c>
      <c r="N18" s="257">
        <f t="shared" si="42"/>
        <v>0</v>
      </c>
      <c r="O18" s="257">
        <f t="shared" si="43"/>
        <v>0</v>
      </c>
      <c r="P18" s="65">
        <f t="shared" si="44"/>
        <v>0</v>
      </c>
      <c r="Q18" s="65">
        <f ca="1">SUM(R18:V18)</f>
        <v>250000</v>
      </c>
      <c r="R18" s="257">
        <f>SUM(AK18)</f>
        <v>62460</v>
      </c>
      <c r="S18" s="257">
        <f ca="1">SUM(AM18)</f>
        <v>0</v>
      </c>
      <c r="T18" s="257">
        <v>0</v>
      </c>
      <c r="U18" s="257">
        <v>0</v>
      </c>
      <c r="V18" s="65">
        <f>SUM(AS18)</f>
        <v>187540</v>
      </c>
      <c r="W18" s="65">
        <f t="shared" si="45"/>
        <v>0</v>
      </c>
      <c r="X18" s="257">
        <f t="shared" si="46"/>
        <v>0</v>
      </c>
      <c r="Y18" s="257">
        <f t="shared" si="47"/>
        <v>0</v>
      </c>
      <c r="Z18" s="257">
        <f t="shared" si="48"/>
        <v>0</v>
      </c>
      <c r="AA18" s="257">
        <f t="shared" si="49"/>
        <v>0</v>
      </c>
      <c r="AB18" s="65">
        <f t="shared" si="50"/>
        <v>0</v>
      </c>
      <c r="AC18" s="65">
        <f t="shared" si="51"/>
        <v>0</v>
      </c>
      <c r="AD18" s="257">
        <f t="shared" si="52"/>
        <v>0</v>
      </c>
      <c r="AE18" s="257">
        <f t="shared" si="53"/>
        <v>0</v>
      </c>
      <c r="AF18" s="257">
        <f t="shared" si="54"/>
        <v>0</v>
      </c>
      <c r="AG18" s="257">
        <f t="shared" si="55"/>
        <v>0</v>
      </c>
      <c r="AH18" s="65">
        <f t="shared" si="56"/>
        <v>0</v>
      </c>
      <c r="AI18" s="660">
        <f>SUM('3 pr-2'!L19)</f>
        <v>250000</v>
      </c>
      <c r="AJ18" s="65">
        <f t="shared" si="25"/>
        <v>1322.7513227513227</v>
      </c>
      <c r="AK18" s="257">
        <f>SUM('3 pr-2'!O19)</f>
        <v>62460</v>
      </c>
      <c r="AL18" s="257">
        <f t="shared" si="26"/>
        <v>330.47619047619048</v>
      </c>
      <c r="AM18" s="257">
        <f ca="1">SUM('3 pr-2'!R19)</f>
        <v>0</v>
      </c>
      <c r="AN18" s="257">
        <f t="shared" ca="1" si="27"/>
        <v>0</v>
      </c>
      <c r="AO18" s="257">
        <f>SUM('3 pr-2'!U19)</f>
        <v>0</v>
      </c>
      <c r="AP18" s="669">
        <f t="shared" si="28"/>
        <v>0</v>
      </c>
      <c r="AQ18" s="257">
        <f>SUM('3 pr-2'!X19)</f>
        <v>0</v>
      </c>
      <c r="AR18" s="659">
        <f t="shared" si="29"/>
        <v>0</v>
      </c>
      <c r="AS18" s="12">
        <f>SUM('3 pr-2'!AA19)</f>
        <v>187540</v>
      </c>
      <c r="AT18" s="658">
        <f t="shared" si="30"/>
        <v>992.27513227513225</v>
      </c>
      <c r="AU18" s="889"/>
      <c r="AV18" s="20"/>
      <c r="AW18" s="20"/>
      <c r="AX18" s="257"/>
      <c r="AY18" s="257"/>
      <c r="AZ18" s="257"/>
      <c r="BA18" s="257"/>
      <c r="BB18" s="20"/>
      <c r="BC18" s="20"/>
      <c r="BD18" s="257"/>
      <c r="BE18" s="257"/>
      <c r="BF18" s="257"/>
      <c r="BG18" s="257"/>
      <c r="BH18" s="20"/>
      <c r="BI18" s="20"/>
      <c r="BJ18" s="257"/>
      <c r="BK18" s="257"/>
      <c r="BL18" s="257"/>
      <c r="BM18" s="257"/>
      <c r="BN18" s="20"/>
      <c r="BO18" s="20"/>
      <c r="BP18" s="257"/>
      <c r="BQ18" s="257"/>
      <c r="BR18" s="257"/>
      <c r="BS18" s="257"/>
      <c r="BT18" s="20"/>
      <c r="BU18" s="20"/>
      <c r="BV18" s="257"/>
      <c r="BW18" s="257"/>
      <c r="BX18" s="257"/>
      <c r="BY18" s="257"/>
      <c r="BZ18" s="20"/>
      <c r="CA18" s="20"/>
      <c r="CB18" s="257"/>
      <c r="CC18" s="257"/>
      <c r="CD18" s="257"/>
      <c r="CE18" s="257"/>
      <c r="CF18" s="325"/>
      <c r="CG18" s="891">
        <f>SUM('3 pr-2'!AI19)</f>
        <v>43102</v>
      </c>
      <c r="CH18" s="891">
        <f>SUM('3 pr-2'!AK19)</f>
        <v>43291</v>
      </c>
      <c r="CI18" s="58">
        <f t="shared" si="57"/>
        <v>187540</v>
      </c>
      <c r="CJ18" s="58">
        <f t="shared" si="58"/>
        <v>0</v>
      </c>
      <c r="CQ18" s="892">
        <f t="shared" ref="CQ18:CQ20" ca="1" si="67">SUM(E18+K18+Q18+W18+AC18)</f>
        <v>250000</v>
      </c>
      <c r="CR18" s="893">
        <f t="shared" si="14"/>
        <v>187540</v>
      </c>
    </row>
    <row r="19" spans="1:96" ht="37.5" thickTop="1" thickBot="1">
      <c r="A19" s="104" t="str">
        <f>CONCATENATE('3 pr-2'!A20)</f>
        <v>1.1.1.1.11</v>
      </c>
      <c r="B19" s="104" t="str">
        <f>CONCATENATE('3 pr-2'!D20)</f>
        <v>Laisvalaikio infrastruktūros sukūrimas Lazdijų rajono kaimo gyvenamosiose vietovėse</v>
      </c>
      <c r="C19" s="65">
        <f t="shared" si="31"/>
        <v>0</v>
      </c>
      <c r="D19" s="65">
        <f t="shared" si="32"/>
        <v>0</v>
      </c>
      <c r="E19" s="65">
        <f t="shared" si="33"/>
        <v>0</v>
      </c>
      <c r="F19" s="257">
        <f t="shared" si="34"/>
        <v>0</v>
      </c>
      <c r="G19" s="257">
        <f t="shared" si="35"/>
        <v>0</v>
      </c>
      <c r="H19" s="257">
        <f t="shared" si="36"/>
        <v>0</v>
      </c>
      <c r="I19" s="257">
        <f t="shared" si="37"/>
        <v>0</v>
      </c>
      <c r="J19" s="65">
        <f t="shared" si="38"/>
        <v>0</v>
      </c>
      <c r="K19" s="65">
        <f t="shared" si="39"/>
        <v>0</v>
      </c>
      <c r="L19" s="257">
        <f t="shared" si="40"/>
        <v>0</v>
      </c>
      <c r="M19" s="257">
        <f t="shared" si="41"/>
        <v>0</v>
      </c>
      <c r="N19" s="257">
        <f t="shared" si="42"/>
        <v>0</v>
      </c>
      <c r="O19" s="257">
        <f t="shared" si="43"/>
        <v>0</v>
      </c>
      <c r="P19" s="65">
        <f t="shared" si="44"/>
        <v>0</v>
      </c>
      <c r="Q19" s="65">
        <f ca="1">SUM(R19:V19)</f>
        <v>125000</v>
      </c>
      <c r="R19" s="257">
        <f>SUM(AK19)</f>
        <v>25000</v>
      </c>
      <c r="S19" s="257">
        <f ca="1">SUM(AM19)</f>
        <v>0</v>
      </c>
      <c r="T19" s="257">
        <v>0</v>
      </c>
      <c r="U19" s="257">
        <v>0</v>
      </c>
      <c r="V19" s="65">
        <f>SUM(AS19)</f>
        <v>100000</v>
      </c>
      <c r="W19" s="65">
        <f t="shared" si="45"/>
        <v>0</v>
      </c>
      <c r="X19" s="257">
        <f t="shared" si="46"/>
        <v>0</v>
      </c>
      <c r="Y19" s="257">
        <f t="shared" si="47"/>
        <v>0</v>
      </c>
      <c r="Z19" s="257">
        <f t="shared" si="48"/>
        <v>0</v>
      </c>
      <c r="AA19" s="257">
        <f t="shared" si="49"/>
        <v>0</v>
      </c>
      <c r="AB19" s="65">
        <f t="shared" si="50"/>
        <v>0</v>
      </c>
      <c r="AC19" s="65">
        <f t="shared" si="51"/>
        <v>0</v>
      </c>
      <c r="AD19" s="257">
        <f t="shared" si="52"/>
        <v>0</v>
      </c>
      <c r="AE19" s="257">
        <f t="shared" si="53"/>
        <v>0</v>
      </c>
      <c r="AF19" s="257">
        <f t="shared" si="54"/>
        <v>0</v>
      </c>
      <c r="AG19" s="257">
        <f t="shared" si="55"/>
        <v>0</v>
      </c>
      <c r="AH19" s="65">
        <f t="shared" si="56"/>
        <v>0</v>
      </c>
      <c r="AI19" s="660">
        <f>SUM('3 pr-2'!L20)</f>
        <v>125000</v>
      </c>
      <c r="AJ19" s="65">
        <f t="shared" si="25"/>
        <v>657.89473684210532</v>
      </c>
      <c r="AK19" s="257">
        <f>SUM('3 pr-2'!O20)</f>
        <v>25000</v>
      </c>
      <c r="AL19" s="257">
        <f t="shared" si="26"/>
        <v>131.57894736842104</v>
      </c>
      <c r="AM19" s="257">
        <f ca="1">SUM('3 pr-2'!R20)</f>
        <v>0</v>
      </c>
      <c r="AN19" s="257">
        <f t="shared" ca="1" si="27"/>
        <v>0</v>
      </c>
      <c r="AO19" s="257">
        <f>SUM('3 pr-2'!U20)</f>
        <v>0</v>
      </c>
      <c r="AP19" s="669">
        <f t="shared" si="28"/>
        <v>0</v>
      </c>
      <c r="AQ19" s="257">
        <f>SUM('3 pr-2'!X20)</f>
        <v>0</v>
      </c>
      <c r="AR19" s="659">
        <f t="shared" si="29"/>
        <v>0</v>
      </c>
      <c r="AS19" s="12">
        <f>SUM('3 pr-2'!AA20)</f>
        <v>100000</v>
      </c>
      <c r="AT19" s="658">
        <f t="shared" si="30"/>
        <v>526.31578947368416</v>
      </c>
      <c r="AU19" s="889"/>
      <c r="AV19" s="889"/>
      <c r="AW19" s="889"/>
      <c r="AX19" s="257"/>
      <c r="AY19" s="257"/>
      <c r="AZ19" s="257"/>
      <c r="BA19" s="257"/>
      <c r="BB19" s="889"/>
      <c r="BC19" s="20"/>
      <c r="BD19" s="257"/>
      <c r="BE19" s="257"/>
      <c r="BF19" s="257"/>
      <c r="BG19" s="257"/>
      <c r="BH19" s="20"/>
      <c r="BI19" s="20"/>
      <c r="BJ19" s="257"/>
      <c r="BK19" s="257"/>
      <c r="BL19" s="257"/>
      <c r="BM19" s="257"/>
      <c r="BN19" s="20"/>
      <c r="BO19" s="20"/>
      <c r="BP19" s="257"/>
      <c r="BQ19" s="257"/>
      <c r="BR19" s="257"/>
      <c r="BS19" s="257"/>
      <c r="BT19" s="20"/>
      <c r="BU19" s="889"/>
      <c r="BV19" s="257"/>
      <c r="BW19" s="257"/>
      <c r="BX19" s="257"/>
      <c r="BY19" s="257"/>
      <c r="BZ19" s="889"/>
      <c r="CA19" s="20"/>
      <c r="CB19" s="257"/>
      <c r="CC19" s="257"/>
      <c r="CD19" s="257"/>
      <c r="CE19" s="257"/>
      <c r="CF19" s="325"/>
      <c r="CG19" s="891">
        <f>SUM('3 pr-2'!AI20)</f>
        <v>43102</v>
      </c>
      <c r="CH19" s="891">
        <f>SUM('3 pr-2'!AK20)</f>
        <v>43292</v>
      </c>
      <c r="CI19" s="58">
        <f t="shared" si="57"/>
        <v>100000</v>
      </c>
      <c r="CJ19" s="58">
        <f t="shared" si="58"/>
        <v>0</v>
      </c>
      <c r="CQ19" s="892">
        <f t="shared" ca="1" si="67"/>
        <v>125000</v>
      </c>
      <c r="CR19" s="893">
        <f t="shared" si="14"/>
        <v>100000</v>
      </c>
    </row>
    <row r="20" spans="1:96" ht="37.5" thickTop="1" thickBot="1">
      <c r="A20" s="104" t="str">
        <f>CONCATENATE('3 pr-2'!A21)</f>
        <v>1.1.1.1.12</v>
      </c>
      <c r="B20" s="104" t="str">
        <f>CONCATENATE('3 pr-2'!D21)</f>
        <v>Alytaus rajono Butrimonių miestelio šaligatvių kapitalinis remontas ir gyvenvietės apšvietimo įrengimas</v>
      </c>
      <c r="C20" s="65">
        <f t="shared" si="31"/>
        <v>0</v>
      </c>
      <c r="D20" s="65">
        <f t="shared" si="32"/>
        <v>0</v>
      </c>
      <c r="E20" s="65">
        <f t="shared" si="33"/>
        <v>0</v>
      </c>
      <c r="F20" s="257">
        <f t="shared" si="34"/>
        <v>0</v>
      </c>
      <c r="G20" s="257">
        <f t="shared" si="35"/>
        <v>0</v>
      </c>
      <c r="H20" s="257">
        <f t="shared" si="36"/>
        <v>0</v>
      </c>
      <c r="I20" s="257">
        <f t="shared" si="37"/>
        <v>0</v>
      </c>
      <c r="J20" s="65">
        <f t="shared" si="38"/>
        <v>0</v>
      </c>
      <c r="K20" s="65">
        <f t="shared" si="39"/>
        <v>0</v>
      </c>
      <c r="L20" s="257">
        <f t="shared" si="40"/>
        <v>0</v>
      </c>
      <c r="M20" s="257">
        <f t="shared" si="41"/>
        <v>0</v>
      </c>
      <c r="N20" s="257">
        <f t="shared" si="42"/>
        <v>0</v>
      </c>
      <c r="O20" s="257">
        <f t="shared" si="43"/>
        <v>0</v>
      </c>
      <c r="P20" s="65">
        <f t="shared" si="44"/>
        <v>0</v>
      </c>
      <c r="Q20" s="65">
        <f t="shared" si="59"/>
        <v>190756</v>
      </c>
      <c r="R20" s="257">
        <f t="shared" si="60"/>
        <v>67904</v>
      </c>
      <c r="S20" s="257">
        <f t="shared" ca="1" si="61"/>
        <v>0</v>
      </c>
      <c r="T20" s="257">
        <f t="shared" si="62"/>
        <v>0</v>
      </c>
      <c r="U20" s="257">
        <f t="shared" si="63"/>
        <v>0</v>
      </c>
      <c r="V20" s="65">
        <f t="shared" si="64"/>
        <v>122851.99999999999</v>
      </c>
      <c r="W20" s="65">
        <f t="shared" si="45"/>
        <v>0</v>
      </c>
      <c r="X20" s="257">
        <f t="shared" si="46"/>
        <v>0</v>
      </c>
      <c r="Y20" s="257">
        <f t="shared" si="47"/>
        <v>0</v>
      </c>
      <c r="Z20" s="257">
        <f t="shared" si="48"/>
        <v>0</v>
      </c>
      <c r="AA20" s="257">
        <f t="shared" si="49"/>
        <v>0</v>
      </c>
      <c r="AB20" s="65">
        <f t="shared" si="50"/>
        <v>0</v>
      </c>
      <c r="AC20" s="65">
        <f t="shared" si="51"/>
        <v>0</v>
      </c>
      <c r="AD20" s="257">
        <f t="shared" si="52"/>
        <v>0</v>
      </c>
      <c r="AE20" s="257">
        <f t="shared" si="53"/>
        <v>0</v>
      </c>
      <c r="AF20" s="257">
        <f t="shared" si="54"/>
        <v>0</v>
      </c>
      <c r="AG20" s="257">
        <f t="shared" si="55"/>
        <v>0</v>
      </c>
      <c r="AH20" s="65">
        <f t="shared" si="56"/>
        <v>0</v>
      </c>
      <c r="AI20" s="660">
        <f>SUM('3 pr-2'!L21)</f>
        <v>190756</v>
      </c>
      <c r="AJ20" s="65">
        <f t="shared" si="25"/>
        <v>525.49862258953169</v>
      </c>
      <c r="AK20" s="257">
        <f>SUM('3 pr-2'!O21)</f>
        <v>67904</v>
      </c>
      <c r="AL20" s="257">
        <f t="shared" si="26"/>
        <v>187.06336088154271</v>
      </c>
      <c r="AM20" s="257">
        <f ca="1">SUM('3 pr-2'!R21)</f>
        <v>0</v>
      </c>
      <c r="AN20" s="257">
        <f t="shared" ca="1" si="27"/>
        <v>0</v>
      </c>
      <c r="AO20" s="257">
        <f>SUM('3 pr-2'!U21)</f>
        <v>0</v>
      </c>
      <c r="AP20" s="669">
        <f t="shared" si="28"/>
        <v>0</v>
      </c>
      <c r="AQ20" s="257">
        <f>SUM('3 pr-2'!X21)</f>
        <v>0</v>
      </c>
      <c r="AR20" s="659">
        <f t="shared" si="29"/>
        <v>0</v>
      </c>
      <c r="AS20" s="12">
        <f>SUM('3 pr-2'!AA21)</f>
        <v>122852</v>
      </c>
      <c r="AT20" s="658">
        <f t="shared" si="30"/>
        <v>338.43526170798896</v>
      </c>
      <c r="AU20" s="889"/>
      <c r="AV20" s="20"/>
      <c r="AW20" s="20"/>
      <c r="AX20" s="257"/>
      <c r="AY20" s="257"/>
      <c r="AZ20" s="257"/>
      <c r="BA20" s="257"/>
      <c r="BB20" s="20"/>
      <c r="BC20" s="20"/>
      <c r="BD20" s="257"/>
      <c r="BE20" s="257"/>
      <c r="BF20" s="257"/>
      <c r="BG20" s="257"/>
      <c r="BH20" s="20"/>
      <c r="BI20" s="20"/>
      <c r="BJ20" s="257"/>
      <c r="BK20" s="257"/>
      <c r="BL20" s="257"/>
      <c r="BM20" s="257"/>
      <c r="BN20" s="20"/>
      <c r="BO20" s="20"/>
      <c r="BP20" s="257"/>
      <c r="BQ20" s="257"/>
      <c r="BR20" s="257"/>
      <c r="BS20" s="257"/>
      <c r="BT20" s="20"/>
      <c r="BU20" s="20"/>
      <c r="BV20" s="257"/>
      <c r="BW20" s="257"/>
      <c r="BX20" s="257"/>
      <c r="BY20" s="257"/>
      <c r="BZ20" s="20"/>
      <c r="CA20" s="20"/>
      <c r="CB20" s="257"/>
      <c r="CC20" s="257"/>
      <c r="CD20" s="257"/>
      <c r="CE20" s="257"/>
      <c r="CF20" s="325"/>
      <c r="CG20" s="891">
        <f>SUM('3 pr-2'!AI21)</f>
        <v>43102</v>
      </c>
      <c r="CH20" s="891">
        <f>SUM('3 pr-2'!AK21)</f>
        <v>43465</v>
      </c>
      <c r="CI20" s="58">
        <f t="shared" si="57"/>
        <v>122851.99999999999</v>
      </c>
      <c r="CJ20" s="58">
        <f t="shared" si="58"/>
        <v>-1.4551915228366852E-11</v>
      </c>
      <c r="CQ20" s="892">
        <f t="shared" si="67"/>
        <v>190756</v>
      </c>
      <c r="CR20" s="893">
        <f t="shared" si="14"/>
        <v>122851.99999999999</v>
      </c>
    </row>
    <row r="21" spans="1:96" ht="37.5" thickTop="1" thickBot="1">
      <c r="A21" s="104" t="str">
        <f>CONCATENATE('3 pr-2'!A22)</f>
        <v>1.1.1.1.13</v>
      </c>
      <c r="B21" s="104" t="str">
        <f>CONCATENATE('3 pr-2'!D22)</f>
        <v>Alytaus rajono Genių kaimo sporto aikštės įrengimas ir gatvių rekonstrukcija</v>
      </c>
      <c r="C21" s="65">
        <f t="shared" si="31"/>
        <v>0</v>
      </c>
      <c r="D21" s="65">
        <f t="shared" si="32"/>
        <v>0</v>
      </c>
      <c r="E21" s="65">
        <f t="shared" si="33"/>
        <v>0</v>
      </c>
      <c r="F21" s="257">
        <f t="shared" si="34"/>
        <v>0</v>
      </c>
      <c r="G21" s="257">
        <f t="shared" si="35"/>
        <v>0</v>
      </c>
      <c r="H21" s="257">
        <f t="shared" si="36"/>
        <v>0</v>
      </c>
      <c r="I21" s="257">
        <f t="shared" si="37"/>
        <v>0</v>
      </c>
      <c r="J21" s="65">
        <f t="shared" si="38"/>
        <v>0</v>
      </c>
      <c r="K21" s="65">
        <f t="shared" si="39"/>
        <v>0</v>
      </c>
      <c r="L21" s="257">
        <f t="shared" si="40"/>
        <v>0</v>
      </c>
      <c r="M21" s="257">
        <f t="shared" si="41"/>
        <v>0</v>
      </c>
      <c r="N21" s="257">
        <f t="shared" si="42"/>
        <v>0</v>
      </c>
      <c r="O21" s="257">
        <f t="shared" si="43"/>
        <v>0</v>
      </c>
      <c r="P21" s="65">
        <f t="shared" si="44"/>
        <v>0</v>
      </c>
      <c r="Q21" s="65">
        <f ca="1">SUM(R21:V21)</f>
        <v>247392.46</v>
      </c>
      <c r="R21" s="257">
        <f>SUM(AK21)</f>
        <v>47392.46</v>
      </c>
      <c r="S21" s="257">
        <f ca="1">SUM(AM21)</f>
        <v>0</v>
      </c>
      <c r="T21" s="257">
        <v>0</v>
      </c>
      <c r="U21" s="257">
        <v>0</v>
      </c>
      <c r="V21" s="65">
        <f>SUM(AS21)</f>
        <v>200000</v>
      </c>
      <c r="W21" s="65">
        <f t="shared" si="45"/>
        <v>0</v>
      </c>
      <c r="X21" s="257">
        <f t="shared" si="46"/>
        <v>0</v>
      </c>
      <c r="Y21" s="257">
        <f t="shared" si="47"/>
        <v>0</v>
      </c>
      <c r="Z21" s="257">
        <f t="shared" si="48"/>
        <v>0</v>
      </c>
      <c r="AA21" s="257">
        <f t="shared" si="49"/>
        <v>0</v>
      </c>
      <c r="AB21" s="65">
        <f t="shared" si="50"/>
        <v>0</v>
      </c>
      <c r="AC21" s="65">
        <f t="shared" si="51"/>
        <v>0</v>
      </c>
      <c r="AD21" s="257">
        <f t="shared" si="52"/>
        <v>0</v>
      </c>
      <c r="AE21" s="257">
        <f t="shared" si="53"/>
        <v>0</v>
      </c>
      <c r="AF21" s="257">
        <f t="shared" si="54"/>
        <v>0</v>
      </c>
      <c r="AG21" s="257">
        <f t="shared" si="55"/>
        <v>0</v>
      </c>
      <c r="AH21" s="65">
        <f t="shared" si="56"/>
        <v>0</v>
      </c>
      <c r="AI21" s="660">
        <f>SUM('3 pr-2'!L22)</f>
        <v>247392.46</v>
      </c>
      <c r="AJ21" s="65">
        <f t="shared" si="25"/>
        <v>681.52192837465566</v>
      </c>
      <c r="AK21" s="257">
        <f>SUM('3 pr-2'!O22)</f>
        <v>47392.46</v>
      </c>
      <c r="AL21" s="257">
        <f t="shared" si="26"/>
        <v>130.55774104683195</v>
      </c>
      <c r="AM21" s="257">
        <f ca="1">SUM('3 pr-2'!R22)</f>
        <v>0</v>
      </c>
      <c r="AN21" s="257">
        <f t="shared" ca="1" si="27"/>
        <v>0</v>
      </c>
      <c r="AO21" s="257">
        <f>SUM('3 pr-2'!U22)</f>
        <v>0</v>
      </c>
      <c r="AP21" s="669">
        <f t="shared" si="28"/>
        <v>0</v>
      </c>
      <c r="AQ21" s="257">
        <f>SUM('3 pr-2'!X22)</f>
        <v>0</v>
      </c>
      <c r="AR21" s="659">
        <f t="shared" si="29"/>
        <v>0</v>
      </c>
      <c r="AS21" s="12">
        <f>SUM('3 pr-2'!AA22)</f>
        <v>200000</v>
      </c>
      <c r="AT21" s="658">
        <f t="shared" si="30"/>
        <v>550.96418732782365</v>
      </c>
      <c r="AU21" s="889"/>
      <c r="AV21" s="20"/>
      <c r="AW21" s="20"/>
      <c r="AX21" s="257"/>
      <c r="AY21" s="257"/>
      <c r="AZ21" s="257"/>
      <c r="BA21" s="257"/>
      <c r="BB21" s="20"/>
      <c r="BC21" s="20"/>
      <c r="BD21" s="257"/>
      <c r="BE21" s="257"/>
      <c r="BF21" s="257"/>
      <c r="BG21" s="257"/>
      <c r="BH21" s="20"/>
      <c r="BI21" s="20"/>
      <c r="BJ21" s="257"/>
      <c r="BK21" s="257"/>
      <c r="BL21" s="257"/>
      <c r="BM21" s="257"/>
      <c r="BN21" s="20"/>
      <c r="BO21" s="20"/>
      <c r="BP21" s="257"/>
      <c r="BQ21" s="257"/>
      <c r="BR21" s="257"/>
      <c r="BS21" s="257"/>
      <c r="BT21" s="20"/>
      <c r="BU21" s="20"/>
      <c r="BV21" s="257"/>
      <c r="BW21" s="257"/>
      <c r="BX21" s="257"/>
      <c r="BY21" s="257"/>
      <c r="BZ21" s="20"/>
      <c r="CA21" s="20"/>
      <c r="CB21" s="257"/>
      <c r="CC21" s="257"/>
      <c r="CD21" s="257"/>
      <c r="CE21" s="257"/>
      <c r="CF21" s="325"/>
      <c r="CG21" s="891">
        <f>SUM('3 pr-2'!AI22)</f>
        <v>43102</v>
      </c>
      <c r="CH21" s="891">
        <f>SUM('3 pr-2'!AK22)</f>
        <v>43465</v>
      </c>
      <c r="CI21" s="58">
        <f t="shared" si="57"/>
        <v>200000</v>
      </c>
      <c r="CJ21" s="58">
        <f t="shared" si="58"/>
        <v>0</v>
      </c>
      <c r="CQ21" s="892">
        <f t="shared" ref="CQ21:CQ22" ca="1" si="68">SUM(E21+K21+Q21+W21+AC21)</f>
        <v>247392.46</v>
      </c>
      <c r="CR21" s="893">
        <f t="shared" si="14"/>
        <v>200000</v>
      </c>
    </row>
    <row r="22" spans="1:96" ht="25.5" thickTop="1" thickBot="1">
      <c r="A22" s="104" t="str">
        <f>CONCATENATE('3 pr-2'!A23)</f>
        <v>1.1.1.1.14</v>
      </c>
      <c r="B22" s="668" t="str">
        <f>CONCATENATE('3 pr-2'!D23)</f>
        <v>Varėnos r. Dargužių kaimo Liepų gatvės ir viešosios erdvės įrengimas</v>
      </c>
      <c r="C22" s="65">
        <f t="shared" ref="C22:C30" si="69">IF($E$2&gt;=$CG$9,($CG$9-$C$2)*AH22,0)</f>
        <v>0</v>
      </c>
      <c r="D22" s="65">
        <f t="shared" ref="D22:D30" si="70">IF($E$2&gt;=$CG$9,($CG$9-$C$2)*AI22,0)</f>
        <v>0</v>
      </c>
      <c r="E22" s="65">
        <f t="shared" ref="E22:E30" si="71">IF(YEAR($E$2)=YEAR($CG$9),($CG$9-$C$2)*$AJ$9,0)</f>
        <v>0</v>
      </c>
      <c r="F22" s="257">
        <f t="shared" ref="F22:F30" si="72">IF(YEAR($E$2)=YEAR($CG$9),($CG$9-$C$2)*AL22,0)</f>
        <v>0</v>
      </c>
      <c r="G22" s="257">
        <f t="shared" ref="G22:G30" si="73">IF(YEAR($E$2)=YEAR($CG$9),($CG$9-$C$2)*AN22,0)</f>
        <v>0</v>
      </c>
      <c r="H22" s="257">
        <f t="shared" ref="H22:H30" si="74">IF(YEAR($E$2)=YEAR($CG$9),($CG$9-$C$2)*AP22,0)</f>
        <v>0</v>
      </c>
      <c r="I22" s="257">
        <f t="shared" ref="I22:I30" si="75">IF(YEAR($E$2)=YEAR($CG$9),($CG$9-$C$2)*AR22,0)</f>
        <v>0</v>
      </c>
      <c r="J22" s="65">
        <f t="shared" ref="J22:J30" si="76">IF(YEAR($E$2)=YEAR($CG$9),($CG$9-$C$2)*AT22,0)</f>
        <v>0</v>
      </c>
      <c r="K22" s="65">
        <f t="shared" ref="K22:K30" si="77">IF(YEAR($K$3)=YEAR($CG$9),($CG$9-$E$3)*AJ22,0)</f>
        <v>0</v>
      </c>
      <c r="L22" s="257">
        <f t="shared" ref="L22:L30" si="78">IF(YEAR($K$3)=YEAR($CG$9),($CG$9-$E$3)*AL22,0)</f>
        <v>0</v>
      </c>
      <c r="M22" s="257">
        <f t="shared" ref="M22:M30" si="79">IF(YEAR($K$3)=YEAR($CG$9),($CG$9-$E$3)*AN22,0)</f>
        <v>0</v>
      </c>
      <c r="N22" s="257">
        <f t="shared" ref="N22:N30" si="80">IF(YEAR($K$3)=YEAR($CG$9),($CG$9-$E$3)*AP22,0)</f>
        <v>0</v>
      </c>
      <c r="O22" s="257">
        <f t="shared" ref="O22:O30" si="81">IF(YEAR($K$2)=YEAR($CG$9),($CG$9-$E$3)*AR22,0)</f>
        <v>0</v>
      </c>
      <c r="P22" s="65">
        <f t="shared" ref="P22:P30" si="82">IF(YEAR($K$2)=YEAR($CG$9),($CG$9-$E$3)*AT22,0)</f>
        <v>0</v>
      </c>
      <c r="Q22" s="65">
        <f>IF(YEAR($Q$2)=YEAR($CG$9),($Q$3-$CG$22)*AJ22,0)</f>
        <v>107516.81043956045</v>
      </c>
      <c r="R22" s="257">
        <f>IF(YEAR($Q$2)=YEAR($CG$9),($Q$3-$CG$22)*AL22,0)</f>
        <v>21503.362087912086</v>
      </c>
      <c r="S22" s="257">
        <f ca="1">IF(YEAR($Q$2)=YEAR($CG$9),($Q$3-$CG$22)*AN22,0)</f>
        <v>0</v>
      </c>
      <c r="T22" s="257">
        <f>IF(YEAR($Q$2)=YEAR($CG$9),($Q$3-$CG$22)*AP22,0)</f>
        <v>0</v>
      </c>
      <c r="U22" s="257">
        <f>IF(YEAR($Q$2)=YEAR($CG$9),($Q$3-$CG$22)*AR22,0)</f>
        <v>0</v>
      </c>
      <c r="V22" s="65">
        <f>IF(YEAR($Q$2)=YEAR($CG$9),($Q$3-$CG$22)*AT22,0)</f>
        <v>86013.448351648345</v>
      </c>
      <c r="W22" s="65">
        <f>IF(YEAR($CH$22)=2019,($CH$22-$BI$4)*AI$22/($CH$22-$CG$22),0)</f>
        <v>108109.18956043955</v>
      </c>
      <c r="X22" s="261">
        <f>IF(YEAR($CH$22)=2019,($CH$22-$BI$4)*AK$22/($CH$22-$CG$22),0)</f>
        <v>21621.837912087911</v>
      </c>
      <c r="Y22" s="261">
        <f ca="1">IF(YEAR($CH$22)=2019,($CH$22-$BI$4)*AM$22/($CH$22-$CG$22),0)</f>
        <v>0</v>
      </c>
      <c r="Z22" s="261">
        <f>IF(YEAR($CH$22)=2019,($CH$22-$BI$4)*AO$22/($CH$22-$CG$22),0)</f>
        <v>0</v>
      </c>
      <c r="AA22" s="261">
        <f>IF(YEAR($CH$22)=2019,($CH$22-$BI$4)*AQ$22/($CH$22-$CG$22),0)</f>
        <v>0</v>
      </c>
      <c r="AB22" s="65">
        <f>IF(YEAR($CH$22)=2019,($CH$22-$BI$4)*AS$22/($CH$22-$CG$22),0)</f>
        <v>86487.351648351643</v>
      </c>
      <c r="AC22" s="65">
        <v>0</v>
      </c>
      <c r="AD22" s="261">
        <v>0</v>
      </c>
      <c r="AE22" s="261">
        <v>0</v>
      </c>
      <c r="AF22" s="261">
        <v>0</v>
      </c>
      <c r="AG22" s="261">
        <v>0</v>
      </c>
      <c r="AH22" s="65">
        <v>0</v>
      </c>
      <c r="AI22" s="667">
        <f>SUM('3 pr-2'!L23)</f>
        <v>215626</v>
      </c>
      <c r="AJ22" s="65">
        <f t="shared" si="25"/>
        <v>296.18956043956047</v>
      </c>
      <c r="AK22" s="257">
        <f>SUM('3 pr-2'!O23)</f>
        <v>43125.2</v>
      </c>
      <c r="AL22" s="257">
        <f t="shared" si="26"/>
        <v>59.237912087912086</v>
      </c>
      <c r="AM22" s="257">
        <f ca="1">SUM('3 pr-2'!R23)</f>
        <v>0</v>
      </c>
      <c r="AN22" s="257">
        <f t="shared" ca="1" si="27"/>
        <v>0</v>
      </c>
      <c r="AO22" s="257">
        <f>SUM('3 pr-2'!U23)</f>
        <v>0</v>
      </c>
      <c r="AP22" s="669">
        <f t="shared" si="28"/>
        <v>0</v>
      </c>
      <c r="AQ22" s="257">
        <f>SUM('3 pr-2'!X23)</f>
        <v>0</v>
      </c>
      <c r="AR22" s="659">
        <f t="shared" si="29"/>
        <v>0</v>
      </c>
      <c r="AS22" s="666">
        <f>SUM('3 pr-2'!AA23)</f>
        <v>172500.8</v>
      </c>
      <c r="AT22" s="658">
        <f t="shared" si="30"/>
        <v>236.95164835164834</v>
      </c>
      <c r="AU22" s="894"/>
      <c r="AV22" s="889"/>
      <c r="AW22" s="889"/>
      <c r="AX22" s="257"/>
      <c r="AY22" s="257"/>
      <c r="AZ22" s="257"/>
      <c r="BA22" s="257"/>
      <c r="BB22" s="889"/>
      <c r="BC22" s="889"/>
      <c r="BD22" s="257"/>
      <c r="BE22" s="257"/>
      <c r="BF22" s="257"/>
      <c r="BG22" s="257"/>
      <c r="BH22" s="889"/>
      <c r="BI22" s="889"/>
      <c r="BJ22" s="257"/>
      <c r="BK22" s="257"/>
      <c r="BL22" s="257"/>
      <c r="BM22" s="257"/>
      <c r="BN22" s="889"/>
      <c r="BO22" s="20"/>
      <c r="BP22" s="257"/>
      <c r="BQ22" s="257"/>
      <c r="BR22" s="257"/>
      <c r="BS22" s="257"/>
      <c r="BT22" s="20"/>
      <c r="BU22" s="889"/>
      <c r="BV22" s="257"/>
      <c r="BW22" s="257"/>
      <c r="BX22" s="257"/>
      <c r="BY22" s="257"/>
      <c r="BZ22" s="889"/>
      <c r="CA22" s="20"/>
      <c r="CB22" s="257"/>
      <c r="CC22" s="257"/>
      <c r="CD22" s="257"/>
      <c r="CE22" s="257"/>
      <c r="CF22" s="325"/>
      <c r="CG22" s="891">
        <f>SUM('3 pr-2'!AI23)</f>
        <v>43102</v>
      </c>
      <c r="CH22" s="891">
        <f>SUM('3 pr-2'!AK23)</f>
        <v>43830</v>
      </c>
      <c r="CI22" s="895">
        <f t="shared" si="57"/>
        <v>172500.8</v>
      </c>
      <c r="CJ22" s="58">
        <f t="shared" si="58"/>
        <v>0</v>
      </c>
      <c r="CQ22" s="892">
        <f t="shared" si="68"/>
        <v>215626</v>
      </c>
      <c r="CR22" s="893">
        <f t="shared" si="14"/>
        <v>172500.8</v>
      </c>
    </row>
    <row r="23" spans="1:96" ht="37.5" thickTop="1" thickBot="1">
      <c r="A23" s="104" t="str">
        <f>CONCATENATE('3 pr-2'!A24)</f>
        <v>1.1.1.1.15</v>
      </c>
      <c r="B23" s="104" t="str">
        <f>CONCATENATE('3 pr-2'!D24)</f>
        <v>Alytaus rajono Vaisodžių kaimo sporto aikštės įrengimas ir gatvių apšvietimo atnaujinimas bei plėtra</v>
      </c>
      <c r="C23" s="65">
        <f>IF($E$2&gt;=$CG$9,($CG$9-$C$2)*AH23,0)</f>
        <v>0</v>
      </c>
      <c r="D23" s="65">
        <f>IF($E$2&gt;=$CG$9,($CG$9-$C$2)*AI23,0)</f>
        <v>0</v>
      </c>
      <c r="E23" s="65">
        <f>IF(YEAR($E$2)=YEAR($CG$9),($CG$9-$C$2)*$AJ$9,0)</f>
        <v>0</v>
      </c>
      <c r="F23" s="257">
        <f>IF(YEAR($E$2)=YEAR($CG$9),($CG$9-$C$2)*AL23,0)</f>
        <v>0</v>
      </c>
      <c r="G23" s="257">
        <f>IF(YEAR($E$2)=YEAR($CG$9),($CG$9-$C$2)*AN23,0)</f>
        <v>0</v>
      </c>
      <c r="H23" s="257">
        <f>IF(YEAR($E$2)=YEAR($CG$9),($CG$9-$C$2)*AP23,0)</f>
        <v>0</v>
      </c>
      <c r="I23" s="257">
        <f>IF(YEAR($E$2)=YEAR($CG$9),($CG$9-$C$2)*AR23,0)</f>
        <v>0</v>
      </c>
      <c r="J23" s="65">
        <f>IF(YEAR($E$2)=YEAR($CG$9),($CG$9-$C$2)*AT23,0)</f>
        <v>0</v>
      </c>
      <c r="K23" s="65">
        <f>IF(YEAR($K$3)=YEAR($CG$9),($CG$9-$E$3)*AJ23,0)</f>
        <v>0</v>
      </c>
      <c r="L23" s="257">
        <f>IF(YEAR($K$3)=YEAR($CG$9),($CG$9-$E$3)*AL23,0)</f>
        <v>0</v>
      </c>
      <c r="M23" s="257">
        <f>IF(YEAR($K$3)=YEAR($CG$9),($CG$9-$E$3)*AN23,0)</f>
        <v>0</v>
      </c>
      <c r="N23" s="257">
        <f>IF(YEAR($K$3)=YEAR($CG$9),($CG$9-$E$3)*AP23,0)</f>
        <v>0</v>
      </c>
      <c r="O23" s="257">
        <f>IF(YEAR($K$2)=YEAR($CG$9),($CG$9-$E$3)*AR23,0)</f>
        <v>0</v>
      </c>
      <c r="P23" s="65">
        <f>IF(YEAR($K$2)=YEAR($CG$9),($CG$9-$E$3)*AT23,0)</f>
        <v>0</v>
      </c>
      <c r="Q23" s="65">
        <f>IF(YEAR($Q$2)=YEAR($CG$9),($CH$30-$CG$30)*AJ23,0)</f>
        <v>75880</v>
      </c>
      <c r="R23" s="257">
        <f>IF(YEAR($Q$2)=YEAR($CG$9),($CH$30-$CG$30)*AL23,0)</f>
        <v>15176</v>
      </c>
      <c r="S23" s="257">
        <f ca="1">IF(YEAR($Q$2)=YEAR($CG$9),($CH$30-$CG$30)*AN23,0)</f>
        <v>0</v>
      </c>
      <c r="T23" s="257">
        <f>IF(YEAR($Q$2)=YEAR($CG$9),($CH$30-$CG$30)*AP23,0)</f>
        <v>0</v>
      </c>
      <c r="U23" s="257">
        <f>IF(YEAR($Q$2)=YEAR($CG$9),($CH$30-$CG$30)*AR23,0)</f>
        <v>0</v>
      </c>
      <c r="V23" s="65">
        <f>IF(YEAR($Q$2)=YEAR($CG$9),($CH$30-$CG$30)*AT23,0)</f>
        <v>60704</v>
      </c>
      <c r="W23" s="65">
        <f>IF(YEAR($W$2)=YEAR($CG$9),($CH$9-$CG$9)*AP23,0)</f>
        <v>0</v>
      </c>
      <c r="X23" s="257">
        <f t="shared" ref="X23:X24" si="83">IF(YEAR($W$2)=YEAR($CG$9),($CH$9-$CG$9)*AQ23,0)</f>
        <v>0</v>
      </c>
      <c r="Y23" s="257">
        <f t="shared" ref="Y23:Y24" si="84">IF(YEAR($W$2)=YEAR($CG$9),($CH$9-$CG$9)*AR23,0)</f>
        <v>0</v>
      </c>
      <c r="Z23" s="257">
        <f t="shared" ref="Z23:Z24" si="85">IF(YEAR($W$2)=YEAR($CG$9),($CH$9-$CG$9)*AS23,0)</f>
        <v>0</v>
      </c>
      <c r="AA23" s="257">
        <f t="shared" ref="AA23:AA24" si="86">IF(YEAR($W$2)=YEAR($CG$9),($CH$9-$CG$9)*AT23,0)</f>
        <v>0</v>
      </c>
      <c r="AB23" s="65">
        <f t="shared" ref="AB23:AB24" si="87">IF(YEAR($W$2)=YEAR($CG$9),($CH$9-$CG$9)*AU23,0)</f>
        <v>0</v>
      </c>
      <c r="AC23" s="65">
        <f>IF(YEAR($W$2)=YEAR($CG$9),($CH$9-$CG$9)*AV23,0)</f>
        <v>0</v>
      </c>
      <c r="AD23" s="257">
        <f t="shared" ref="AD23:AD24" si="88">IF(YEAR($W$2)=YEAR($CG$9),($CH$9-$CG$9)*AW23,0)</f>
        <v>0</v>
      </c>
      <c r="AE23" s="257">
        <f t="shared" ref="AE23:AE24" si="89">IF(YEAR($W$2)=YEAR($CG$9),($CH$9-$CG$9)*AX23,0)</f>
        <v>0</v>
      </c>
      <c r="AF23" s="257">
        <f t="shared" ref="AF23:AF24" si="90">IF(YEAR($W$2)=YEAR($CG$9),($CH$9-$CG$9)*AY23,0)</f>
        <v>0</v>
      </c>
      <c r="AG23" s="257">
        <f t="shared" ref="AG23:AG24" si="91">IF(YEAR($W$2)=YEAR($CG$9),($CH$9-$CG$9)*AZ23,0)</f>
        <v>0</v>
      </c>
      <c r="AH23" s="65">
        <f t="shared" ref="AH23:AH24" si="92">IF(YEAR($W$2)=YEAR($CG$9),($CH$9-$CG$9)*BA23,0)</f>
        <v>0</v>
      </c>
      <c r="AI23" s="660">
        <f>SUM('3 pr-2'!L24)</f>
        <v>75880</v>
      </c>
      <c r="AJ23" s="65">
        <f t="shared" si="25"/>
        <v>209.03581267217632</v>
      </c>
      <c r="AK23" s="257">
        <f>SUM('3 pr-2'!O24)</f>
        <v>15176</v>
      </c>
      <c r="AL23" s="257">
        <f t="shared" si="26"/>
        <v>41.807162534435264</v>
      </c>
      <c r="AM23" s="257">
        <f ca="1">SUM('3 pr-2'!R24)</f>
        <v>0</v>
      </c>
      <c r="AN23" s="257">
        <f t="shared" ca="1" si="27"/>
        <v>0</v>
      </c>
      <c r="AO23" s="257">
        <f>SUM('3 pr-2'!U24)</f>
        <v>0</v>
      </c>
      <c r="AP23" s="669">
        <f t="shared" si="28"/>
        <v>0</v>
      </c>
      <c r="AQ23" s="257">
        <f>SUM('3 pr-2'!X24)</f>
        <v>0</v>
      </c>
      <c r="AR23" s="659">
        <f t="shared" si="29"/>
        <v>0</v>
      </c>
      <c r="AS23" s="12">
        <f>SUM('3 pr-2'!AA24)</f>
        <v>60704</v>
      </c>
      <c r="AT23" s="658">
        <f t="shared" si="30"/>
        <v>167.22865013774106</v>
      </c>
      <c r="AU23" s="889"/>
      <c r="AV23" s="20"/>
      <c r="AW23" s="20"/>
      <c r="AX23" s="257"/>
      <c r="AY23" s="257"/>
      <c r="AZ23" s="257"/>
      <c r="BA23" s="257"/>
      <c r="BB23" s="20"/>
      <c r="BC23" s="20"/>
      <c r="BD23" s="257"/>
      <c r="BE23" s="257"/>
      <c r="BF23" s="257"/>
      <c r="BG23" s="257"/>
      <c r="BH23" s="20"/>
      <c r="BI23" s="20"/>
      <c r="BJ23" s="257"/>
      <c r="BK23" s="257"/>
      <c r="BL23" s="257"/>
      <c r="BM23" s="257"/>
      <c r="BN23" s="20"/>
      <c r="BO23" s="20"/>
      <c r="BP23" s="257"/>
      <c r="BQ23" s="257"/>
      <c r="BR23" s="257"/>
      <c r="BS23" s="257"/>
      <c r="BT23" s="20"/>
      <c r="BU23" s="20"/>
      <c r="BV23" s="257"/>
      <c r="BW23" s="257"/>
      <c r="BX23" s="257"/>
      <c r="BY23" s="257"/>
      <c r="BZ23" s="20"/>
      <c r="CA23" s="20"/>
      <c r="CB23" s="257"/>
      <c r="CC23" s="257"/>
      <c r="CD23" s="257"/>
      <c r="CE23" s="257"/>
      <c r="CF23" s="325"/>
      <c r="CG23" s="891">
        <f>SUM('3 pr-2'!AI24)</f>
        <v>43102</v>
      </c>
      <c r="CH23" s="891">
        <f>SUM('3 pr-2'!AK24)</f>
        <v>43465</v>
      </c>
      <c r="CI23" s="58">
        <f t="shared" si="57"/>
        <v>60704</v>
      </c>
      <c r="CJ23" s="58">
        <f t="shared" si="58"/>
        <v>0</v>
      </c>
      <c r="CQ23" s="892">
        <f t="shared" ref="CQ23:CQ30" si="93">SUM(E23+K23+Q23+W23+AC23)</f>
        <v>75880</v>
      </c>
      <c r="CR23" s="893">
        <f t="shared" si="14"/>
        <v>60704</v>
      </c>
    </row>
    <row r="24" spans="1:96" ht="37.5" thickTop="1" thickBot="1">
      <c r="A24" s="104" t="str">
        <f>CONCATENATE('3 pr-2'!A25)</f>
        <v>1.1.1.1.16</v>
      </c>
      <c r="B24" s="104" t="str">
        <f>CONCATENATE('3 pr-2'!D25)</f>
        <v>Alytaus rajono Talokių kaimo sporto aikštės įrengimas ir Plytinės gatvės apšvietimas</v>
      </c>
      <c r="C24" s="65">
        <f>IF($E$2&gt;=$CG$9,($CG$9-$C$2)*AH24,0)</f>
        <v>0</v>
      </c>
      <c r="D24" s="65">
        <f>IF($E$2&gt;=$CG$9,($CG$9-$C$2)*AI24,0)</f>
        <v>0</v>
      </c>
      <c r="E24" s="65">
        <f>IF(YEAR($E$2)=YEAR($CG$9),($CG$9-$C$2)*$AJ$9,0)</f>
        <v>0</v>
      </c>
      <c r="F24" s="257">
        <f>IF(YEAR($E$2)=YEAR($CG$9),($CG$9-$C$2)*AL24,0)</f>
        <v>0</v>
      </c>
      <c r="G24" s="257">
        <f>IF(YEAR($E$2)=YEAR($CG$9),($CG$9-$C$2)*AN24,0)</f>
        <v>0</v>
      </c>
      <c r="H24" s="257">
        <f>IF(YEAR($E$2)=YEAR($CG$9),($CG$9-$C$2)*AP24,0)</f>
        <v>0</v>
      </c>
      <c r="I24" s="257">
        <f>IF(YEAR($E$2)=YEAR($CG$9),($CG$9-$C$2)*AR24,0)</f>
        <v>0</v>
      </c>
      <c r="J24" s="65">
        <f>IF(YEAR($E$2)=YEAR($CG$9),($CG$9-$C$2)*AT24,0)</f>
        <v>0</v>
      </c>
      <c r="K24" s="65">
        <f>IF(YEAR($K$3)=YEAR($CG$9),($CG$9-$E$3)*AJ24,0)</f>
        <v>0</v>
      </c>
      <c r="L24" s="257">
        <f>IF(YEAR($K$3)=YEAR($CG$9),($CG$9-$E$3)*AL24,0)</f>
        <v>0</v>
      </c>
      <c r="M24" s="257">
        <f>IF(YEAR($K$3)=YEAR($CG$9),($CG$9-$E$3)*AN24,0)</f>
        <v>0</v>
      </c>
      <c r="N24" s="257">
        <f>IF(YEAR($K$3)=YEAR($CG$9),($CG$9-$E$3)*AP24,0)</f>
        <v>0</v>
      </c>
      <c r="O24" s="257">
        <f>IF(YEAR($K$2)=YEAR($CG$9),($CG$9-$E$3)*AR24,0)</f>
        <v>0</v>
      </c>
      <c r="P24" s="65">
        <f>IF(YEAR($K$2)=YEAR($CG$9),($CG$9-$E$3)*AT24,0)</f>
        <v>0</v>
      </c>
      <c r="Q24" s="65">
        <f>IF(YEAR($Q$2)=YEAR($CG$9),($CH$30-$CG$30)*AJ24,0)</f>
        <v>141312</v>
      </c>
      <c r="R24" s="257">
        <f>IF(YEAR($Q$2)=YEAR($CG$9),($CH$30-$CG$30)*AL24,0)</f>
        <v>44913</v>
      </c>
      <c r="S24" s="257">
        <f ca="1">IF(YEAR($Q$2)=YEAR($CG$9),($CH$30-$CG$30)*AN24,0)</f>
        <v>0</v>
      </c>
      <c r="T24" s="257">
        <f>IF(YEAR($Q$2)=YEAR($CG$9),($CH$30-$CG$30)*AP24,0)</f>
        <v>0</v>
      </c>
      <c r="U24" s="257">
        <f>IF(YEAR($Q$2)=YEAR($CG$9),($CH$30-$CG$30)*AR24,0)</f>
        <v>0</v>
      </c>
      <c r="V24" s="65">
        <f>IF(YEAR($Q$2)=YEAR($CG$9),($CH$30-$CG$30)*AT24,0)</f>
        <v>96399</v>
      </c>
      <c r="W24" s="65">
        <f>IF(YEAR($W$2)=YEAR($CG$9),($CH$9-$CG$9)*AP24,0)</f>
        <v>0</v>
      </c>
      <c r="X24" s="257">
        <f t="shared" si="83"/>
        <v>0</v>
      </c>
      <c r="Y24" s="257">
        <f t="shared" si="84"/>
        <v>0</v>
      </c>
      <c r="Z24" s="257">
        <f t="shared" si="85"/>
        <v>0</v>
      </c>
      <c r="AA24" s="257">
        <f t="shared" si="86"/>
        <v>0</v>
      </c>
      <c r="AB24" s="65">
        <f t="shared" si="87"/>
        <v>0</v>
      </c>
      <c r="AC24" s="65">
        <f>IF(YEAR($W$2)=YEAR($CG$9),($CH$9-$CG$9)*AV24,0)</f>
        <v>0</v>
      </c>
      <c r="AD24" s="257">
        <f t="shared" si="88"/>
        <v>0</v>
      </c>
      <c r="AE24" s="257">
        <f t="shared" si="89"/>
        <v>0</v>
      </c>
      <c r="AF24" s="257">
        <f t="shared" si="90"/>
        <v>0</v>
      </c>
      <c r="AG24" s="257">
        <f t="shared" si="91"/>
        <v>0</v>
      </c>
      <c r="AH24" s="65">
        <f t="shared" si="92"/>
        <v>0</v>
      </c>
      <c r="AI24" s="660">
        <f>SUM('3 pr-2'!L25)</f>
        <v>141312</v>
      </c>
      <c r="AJ24" s="65">
        <f t="shared" si="25"/>
        <v>389.28925619834712</v>
      </c>
      <c r="AK24" s="257">
        <f>SUM('3 pr-2'!O25)</f>
        <v>44913</v>
      </c>
      <c r="AL24" s="257">
        <f t="shared" si="26"/>
        <v>123.72727272727273</v>
      </c>
      <c r="AM24" s="257">
        <f ca="1">SUM('3 pr-2'!R25)</f>
        <v>0</v>
      </c>
      <c r="AN24" s="257">
        <f t="shared" ca="1" si="27"/>
        <v>0</v>
      </c>
      <c r="AO24" s="257">
        <f>SUM('3 pr-2'!U25)</f>
        <v>0</v>
      </c>
      <c r="AP24" s="669">
        <f t="shared" si="28"/>
        <v>0</v>
      </c>
      <c r="AQ24" s="257">
        <f>SUM('3 pr-2'!X25)</f>
        <v>0</v>
      </c>
      <c r="AR24" s="659">
        <f t="shared" si="29"/>
        <v>0</v>
      </c>
      <c r="AS24" s="12">
        <f>SUM('3 pr-2'!AA25)</f>
        <v>96399</v>
      </c>
      <c r="AT24" s="658">
        <f t="shared" si="30"/>
        <v>265.56198347107437</v>
      </c>
      <c r="AU24" s="889"/>
      <c r="AV24" s="20"/>
      <c r="AW24" s="20"/>
      <c r="AX24" s="257"/>
      <c r="AY24" s="257"/>
      <c r="AZ24" s="257"/>
      <c r="BA24" s="257"/>
      <c r="BB24" s="20"/>
      <c r="BC24" s="20"/>
      <c r="BD24" s="257"/>
      <c r="BE24" s="257"/>
      <c r="BF24" s="257"/>
      <c r="BG24" s="257"/>
      <c r="BH24" s="20"/>
      <c r="BI24" s="20"/>
      <c r="BJ24" s="257"/>
      <c r="BK24" s="257"/>
      <c r="BL24" s="257"/>
      <c r="BM24" s="257"/>
      <c r="BN24" s="20"/>
      <c r="BO24" s="20"/>
      <c r="BP24" s="257"/>
      <c r="BQ24" s="257"/>
      <c r="BR24" s="257"/>
      <c r="BS24" s="257"/>
      <c r="BT24" s="20"/>
      <c r="BU24" s="20"/>
      <c r="BV24" s="257"/>
      <c r="BW24" s="257"/>
      <c r="BX24" s="257"/>
      <c r="BY24" s="257"/>
      <c r="BZ24" s="20"/>
      <c r="CA24" s="20"/>
      <c r="CB24" s="257"/>
      <c r="CC24" s="257"/>
      <c r="CD24" s="257"/>
      <c r="CE24" s="257"/>
      <c r="CF24" s="325"/>
      <c r="CG24" s="891">
        <f>SUM('3 pr-2'!AI25)</f>
        <v>43102</v>
      </c>
      <c r="CH24" s="891">
        <f>SUM('3 pr-2'!AK25)</f>
        <v>43465</v>
      </c>
      <c r="CI24" s="58">
        <f t="shared" si="57"/>
        <v>96399</v>
      </c>
      <c r="CJ24" s="58">
        <f t="shared" si="58"/>
        <v>0</v>
      </c>
      <c r="CQ24" s="892">
        <f t="shared" si="93"/>
        <v>141312</v>
      </c>
      <c r="CR24" s="893">
        <f t="shared" si="14"/>
        <v>96399</v>
      </c>
    </row>
    <row r="25" spans="1:96" ht="25.5" thickTop="1" thickBot="1">
      <c r="A25" s="104" t="str">
        <f>CONCATENATE('3 pr-2'!A26)</f>
        <v>1.1.1.1.17</v>
      </c>
      <c r="B25" s="668" t="str">
        <f>CONCATENATE('3 pr-2'!D26)</f>
        <v>Varėnos r. Rudnios kaimo Pušyno gatvės įrengimas</v>
      </c>
      <c r="C25" s="65">
        <f t="shared" si="69"/>
        <v>0</v>
      </c>
      <c r="D25" s="65">
        <f t="shared" si="70"/>
        <v>0</v>
      </c>
      <c r="E25" s="65">
        <f t="shared" si="71"/>
        <v>0</v>
      </c>
      <c r="F25" s="257">
        <f t="shared" si="72"/>
        <v>0</v>
      </c>
      <c r="G25" s="257">
        <f t="shared" si="73"/>
        <v>0</v>
      </c>
      <c r="H25" s="257">
        <f t="shared" si="74"/>
        <v>0</v>
      </c>
      <c r="I25" s="257">
        <f t="shared" si="75"/>
        <v>0</v>
      </c>
      <c r="J25" s="65">
        <f t="shared" si="76"/>
        <v>0</v>
      </c>
      <c r="K25" s="65">
        <f t="shared" si="77"/>
        <v>0</v>
      </c>
      <c r="L25" s="257">
        <f t="shared" si="78"/>
        <v>0</v>
      </c>
      <c r="M25" s="257">
        <f t="shared" si="79"/>
        <v>0</v>
      </c>
      <c r="N25" s="257">
        <f t="shared" si="80"/>
        <v>0</v>
      </c>
      <c r="O25" s="257">
        <f t="shared" si="81"/>
        <v>0</v>
      </c>
      <c r="P25" s="65">
        <f t="shared" si="82"/>
        <v>0</v>
      </c>
      <c r="Q25" s="65">
        <f>IF(YEAR($Q$2)=YEAR($CG$9),($Q$3-$CG$22)*AJ25,0)</f>
        <v>57653.175824175822</v>
      </c>
      <c r="R25" s="257">
        <f>IF(YEAR($Q$2)=YEAR($CG$9),($Q$3-$CG$22)*AL25,0)</f>
        <v>11530.73489010989</v>
      </c>
      <c r="S25" s="257">
        <f ca="1">IF(YEAR($Q$2)=YEAR($CG$9),($Q$3-$CG$22)*AN25,0)</f>
        <v>0</v>
      </c>
      <c r="T25" s="257">
        <f>IF(YEAR($Q$2)=YEAR($CG$9),($Q$3-$CG$22)*AP25,0)</f>
        <v>0</v>
      </c>
      <c r="U25" s="257">
        <f>IF(YEAR($Q$2)=YEAR($CG$9),($Q$3-$CG$22)*AR25,0)</f>
        <v>0</v>
      </c>
      <c r="V25" s="65">
        <f>IF(YEAR($Q$2)=YEAR($CG$9),($Q$3-$CG$22)*AT25,0)</f>
        <v>46122.440934065933</v>
      </c>
      <c r="W25" s="65">
        <f>IF(YEAR($CH$25)=2019,($CH$25-$BI$4)*AI$25/($CH$25-$CG$25),0)</f>
        <v>57970.824175824178</v>
      </c>
      <c r="X25" s="261">
        <f>IF(YEAR($CH$25)=2019,($CH$25-$BI$4)*AK$25/($CH$25-$CG$25),0)</f>
        <v>11594.26510989011</v>
      </c>
      <c r="Y25" s="261">
        <f ca="1">IF(YEAR($CH$25)=2019,($CH$25-$BI$4)*AM$25/($CH$25-$CG$25),0)</f>
        <v>0</v>
      </c>
      <c r="Z25" s="261">
        <f>IF(YEAR($CH$25)=2019,($CH$25-$BI$4)*AO$25/($CH$25-$CG$25),0)</f>
        <v>0</v>
      </c>
      <c r="AA25" s="261">
        <f>IF(YEAR($CH$25)=2019,($CH$25-$BI$4)*AQ$25/($CH$25-$CG$25),0)</f>
        <v>0</v>
      </c>
      <c r="AB25" s="65">
        <f>IF(YEAR($CH$25)=2019,($CH$25-$BI$4)*AS$25/($CH$25-$CG$25),0)</f>
        <v>46376.559065934067</v>
      </c>
      <c r="AC25" s="65">
        <v>0</v>
      </c>
      <c r="AD25" s="261">
        <v>0</v>
      </c>
      <c r="AE25" s="261">
        <v>0</v>
      </c>
      <c r="AF25" s="261">
        <v>0</v>
      </c>
      <c r="AG25" s="261">
        <v>0</v>
      </c>
      <c r="AH25" s="65">
        <v>0</v>
      </c>
      <c r="AI25" s="667">
        <f>SUM('3 pr-2'!L26)</f>
        <v>115624</v>
      </c>
      <c r="AJ25" s="65">
        <f t="shared" si="25"/>
        <v>158.82417582417582</v>
      </c>
      <c r="AK25" s="257">
        <f>SUM('3 pr-2'!O26)</f>
        <v>23125</v>
      </c>
      <c r="AL25" s="257">
        <f t="shared" si="26"/>
        <v>31.765109890109891</v>
      </c>
      <c r="AM25" s="257">
        <f ca="1">SUM('3 pr-2'!R26)</f>
        <v>0</v>
      </c>
      <c r="AN25" s="257">
        <f t="shared" ca="1" si="27"/>
        <v>0</v>
      </c>
      <c r="AO25" s="257">
        <f>SUM('3 pr-2'!U26)</f>
        <v>0</v>
      </c>
      <c r="AP25" s="669">
        <f t="shared" si="28"/>
        <v>0</v>
      </c>
      <c r="AQ25" s="257">
        <f>SUM('3 pr-2'!X26)</f>
        <v>0</v>
      </c>
      <c r="AR25" s="659">
        <f t="shared" si="29"/>
        <v>0</v>
      </c>
      <c r="AS25" s="12">
        <f>SUM('3 pr-2'!AA26)</f>
        <v>92499</v>
      </c>
      <c r="AT25" s="658">
        <f t="shared" si="30"/>
        <v>127.05906593406593</v>
      </c>
      <c r="AU25" s="894"/>
      <c r="AV25" s="889"/>
      <c r="AW25" s="889"/>
      <c r="AX25" s="257"/>
      <c r="AY25" s="257"/>
      <c r="AZ25" s="257"/>
      <c r="BA25" s="257"/>
      <c r="BB25" s="889"/>
      <c r="BC25" s="889"/>
      <c r="BD25" s="257"/>
      <c r="BE25" s="257"/>
      <c r="BF25" s="257"/>
      <c r="BG25" s="257"/>
      <c r="BH25" s="889"/>
      <c r="BI25" s="889"/>
      <c r="BJ25" s="257"/>
      <c r="BK25" s="257"/>
      <c r="BL25" s="257"/>
      <c r="BM25" s="257"/>
      <c r="BN25" s="889"/>
      <c r="BO25" s="20"/>
      <c r="BP25" s="257"/>
      <c r="BQ25" s="257"/>
      <c r="BR25" s="257"/>
      <c r="BS25" s="257"/>
      <c r="BT25" s="20"/>
      <c r="BU25" s="889"/>
      <c r="BV25" s="257"/>
      <c r="BW25" s="257"/>
      <c r="BX25" s="257"/>
      <c r="BY25" s="257"/>
      <c r="BZ25" s="889"/>
      <c r="CA25" s="20"/>
      <c r="CB25" s="257"/>
      <c r="CC25" s="257"/>
      <c r="CD25" s="257"/>
      <c r="CE25" s="257"/>
      <c r="CF25" s="325"/>
      <c r="CG25" s="891">
        <f>SUM('3 pr-2'!AI26)</f>
        <v>43102</v>
      </c>
      <c r="CH25" s="891">
        <f>SUM('3 pr-2'!AK26)</f>
        <v>43830</v>
      </c>
      <c r="CI25" s="895">
        <f t="shared" si="57"/>
        <v>92499</v>
      </c>
      <c r="CJ25" s="58">
        <f t="shared" si="58"/>
        <v>0</v>
      </c>
      <c r="CQ25" s="892">
        <f t="shared" si="93"/>
        <v>115624</v>
      </c>
      <c r="CR25" s="893">
        <f t="shared" ref="CR25:CR30" si="94">SUM(J25+P25+V25+AB25+AH25)</f>
        <v>92499</v>
      </c>
    </row>
    <row r="26" spans="1:96" ht="37.5" thickTop="1" thickBot="1">
      <c r="A26" s="104" t="str">
        <f>CONCATENATE('3 pr-2'!A27)</f>
        <v>1.1.1.1.18</v>
      </c>
      <c r="B26" s="668" t="str">
        <f>CONCATENATE('3 pr-2'!D27)</f>
        <v>Varėnos kultūros centro Žilinų filialo pastato atnaujinimas ir pritaikymas bendruomenės poreikiams</v>
      </c>
      <c r="C26" s="65">
        <f t="shared" si="69"/>
        <v>0</v>
      </c>
      <c r="D26" s="65">
        <f t="shared" si="70"/>
        <v>0</v>
      </c>
      <c r="E26" s="65">
        <f t="shared" si="71"/>
        <v>0</v>
      </c>
      <c r="F26" s="257">
        <f t="shared" si="72"/>
        <v>0</v>
      </c>
      <c r="G26" s="257">
        <f t="shared" si="73"/>
        <v>0</v>
      </c>
      <c r="H26" s="257">
        <f t="shared" si="74"/>
        <v>0</v>
      </c>
      <c r="I26" s="257">
        <f t="shared" si="75"/>
        <v>0</v>
      </c>
      <c r="J26" s="65">
        <f t="shared" si="76"/>
        <v>0</v>
      </c>
      <c r="K26" s="65">
        <f t="shared" si="77"/>
        <v>0</v>
      </c>
      <c r="L26" s="257">
        <f t="shared" si="78"/>
        <v>0</v>
      </c>
      <c r="M26" s="257">
        <f t="shared" si="79"/>
        <v>0</v>
      </c>
      <c r="N26" s="257">
        <f t="shared" si="80"/>
        <v>0</v>
      </c>
      <c r="O26" s="257">
        <f t="shared" si="81"/>
        <v>0</v>
      </c>
      <c r="P26" s="65">
        <f t="shared" si="82"/>
        <v>0</v>
      </c>
      <c r="Q26" s="65">
        <f>IF(YEAR($Q$2)=YEAR($CG$9),($Q$3-$CG$22)*AJ26,0)</f>
        <v>124656.5934065934</v>
      </c>
      <c r="R26" s="257">
        <f>IF(YEAR($Q$2)=YEAR($CG$9),($Q$3-$CG$22)*AL26,0)</f>
        <v>24931.318681318684</v>
      </c>
      <c r="S26" s="257">
        <f ca="1">IF(YEAR($Q$2)=YEAR($CG$9),($Q$3-$CG$22)*AN26,0)</f>
        <v>0</v>
      </c>
      <c r="T26" s="257">
        <f>IF(YEAR($Q$2)=YEAR($CG$9),($Q$3-$CG$22)*AP26,0)</f>
        <v>0</v>
      </c>
      <c r="U26" s="257">
        <f>IF(YEAR($Q$2)=YEAR($CG$9),($Q$3-$CG$22)*AR26,0)</f>
        <v>0</v>
      </c>
      <c r="V26" s="65">
        <f>IF(YEAR($Q$2)=YEAR($CG$9),($Q$3-$CG$22)*AT26,0)</f>
        <v>99725.274725274736</v>
      </c>
      <c r="W26" s="65">
        <f>IF(YEAR($CH$26)=2019,($CH$26-$BI$4)*AI$26/($CH$26-$CG$26),0)</f>
        <v>125343.40659340659</v>
      </c>
      <c r="X26" s="261">
        <f>IF(YEAR($CH$26)=2019,($CH$26-$BI$4)*AK$26/($CH$26-$CG$26),0)</f>
        <v>25068.68131868132</v>
      </c>
      <c r="Y26" s="261">
        <f ca="1">IF(YEAR($CH$26)=2019,($CH$26-$BI$4)*AM$26/($CH$26-$CG$26),0)</f>
        <v>0</v>
      </c>
      <c r="Z26" s="261">
        <f>IF(YEAR($CH$26)=2019,($CH$26-$BI$4)*AO$26/($CH$26-$CG$26),0)</f>
        <v>0</v>
      </c>
      <c r="AA26" s="261">
        <f>IF(YEAR($CH$26)=2019,($CH$26-$BI$4)*AQ$26/($CH$26-$CG$26),0)</f>
        <v>0</v>
      </c>
      <c r="AB26" s="65">
        <f>IF(YEAR($CH$26)=2019,($CH$26-$BI$4)*AS$26/($CH$26-$CG$26),0)</f>
        <v>100274.72527472528</v>
      </c>
      <c r="AC26" s="65">
        <v>0</v>
      </c>
      <c r="AD26" s="261">
        <v>0</v>
      </c>
      <c r="AE26" s="261">
        <v>0</v>
      </c>
      <c r="AF26" s="261">
        <v>0</v>
      </c>
      <c r="AG26" s="261">
        <v>0</v>
      </c>
      <c r="AH26" s="65">
        <v>0</v>
      </c>
      <c r="AI26" s="667">
        <f>SUM('3 pr-2'!L27)</f>
        <v>250000</v>
      </c>
      <c r="AJ26" s="65">
        <f t="shared" si="25"/>
        <v>343.4065934065934</v>
      </c>
      <c r="AK26" s="257">
        <f>SUM('3 pr-2'!O27)</f>
        <v>50000</v>
      </c>
      <c r="AL26" s="257">
        <f t="shared" si="26"/>
        <v>68.681318681318686</v>
      </c>
      <c r="AM26" s="257">
        <f ca="1">SUM('3 pr-2'!R27)</f>
        <v>0</v>
      </c>
      <c r="AN26" s="257">
        <f t="shared" ca="1" si="27"/>
        <v>0</v>
      </c>
      <c r="AO26" s="257">
        <f>SUM('3 pr-2'!U27)</f>
        <v>0</v>
      </c>
      <c r="AP26" s="669">
        <f t="shared" si="28"/>
        <v>0</v>
      </c>
      <c r="AQ26" s="257">
        <f>SUM('3 pr-2'!X27)</f>
        <v>0</v>
      </c>
      <c r="AR26" s="659">
        <f t="shared" si="29"/>
        <v>0</v>
      </c>
      <c r="AS26" s="12">
        <f>SUM('3 pr-2'!AA27)</f>
        <v>200000</v>
      </c>
      <c r="AT26" s="658">
        <f t="shared" si="30"/>
        <v>274.72527472527474</v>
      </c>
      <c r="AU26" s="894"/>
      <c r="AV26" s="889"/>
      <c r="AW26" s="889"/>
      <c r="AX26" s="257"/>
      <c r="AY26" s="257"/>
      <c r="AZ26" s="257"/>
      <c r="BA26" s="257"/>
      <c r="BB26" s="889"/>
      <c r="BC26" s="889"/>
      <c r="BD26" s="257"/>
      <c r="BE26" s="257"/>
      <c r="BF26" s="257"/>
      <c r="BG26" s="257"/>
      <c r="BH26" s="889"/>
      <c r="BI26" s="889"/>
      <c r="BJ26" s="257"/>
      <c r="BK26" s="257"/>
      <c r="BL26" s="257"/>
      <c r="BM26" s="257"/>
      <c r="BN26" s="889"/>
      <c r="BO26" s="20"/>
      <c r="BP26" s="257"/>
      <c r="BQ26" s="257"/>
      <c r="BR26" s="257"/>
      <c r="BS26" s="257"/>
      <c r="BT26" s="20"/>
      <c r="BU26" s="889"/>
      <c r="BV26" s="257"/>
      <c r="BW26" s="257"/>
      <c r="BX26" s="257"/>
      <c r="BY26" s="257"/>
      <c r="BZ26" s="889"/>
      <c r="CA26" s="20"/>
      <c r="CB26" s="257"/>
      <c r="CC26" s="257"/>
      <c r="CD26" s="257"/>
      <c r="CE26" s="257"/>
      <c r="CF26" s="325"/>
      <c r="CG26" s="891">
        <f>SUM('3 pr-2'!AI27)</f>
        <v>43102</v>
      </c>
      <c r="CH26" s="891">
        <f>SUM('3 pr-2'!AK27)</f>
        <v>43830</v>
      </c>
      <c r="CI26" s="895">
        <f t="shared" si="57"/>
        <v>200000</v>
      </c>
      <c r="CJ26" s="58">
        <f t="shared" si="58"/>
        <v>0</v>
      </c>
      <c r="CQ26" s="892">
        <f t="shared" si="93"/>
        <v>250000</v>
      </c>
      <c r="CR26" s="893">
        <f t="shared" si="94"/>
        <v>200000</v>
      </c>
    </row>
    <row r="27" spans="1:96" ht="37.5" thickTop="1" thickBot="1">
      <c r="A27" s="104" t="str">
        <f>CONCATENATE('3 pr-2'!A28)</f>
        <v>1.1.1.1.19</v>
      </c>
      <c r="B27" s="104" t="str">
        <f>CONCATENATE('3 pr-2'!D28)</f>
        <v>Alytaus rajono Pivašiūnų kaimo šaligatvių, laiptų kapitalinis remontas ir gyvenvietės apšvietimo įrengimas</v>
      </c>
      <c r="C27" s="65">
        <f>IF($E$2&gt;=$CG$9,($CG$9-$C$2)*AH27,0)</f>
        <v>0</v>
      </c>
      <c r="D27" s="65">
        <f>IF($E$2&gt;=$CG$9,($CG$9-$C$2)*AI27,0)</f>
        <v>0</v>
      </c>
      <c r="E27" s="65">
        <f>IF(YEAR($E$2)=YEAR($CG$9),($CG$9-$C$2)*$AJ$9,0)</f>
        <v>0</v>
      </c>
      <c r="F27" s="257">
        <f>IF(YEAR($E$2)=YEAR($CG$9),($CG$9-$C$2)*AL27,0)</f>
        <v>0</v>
      </c>
      <c r="G27" s="257">
        <f>IF(YEAR($E$2)=YEAR($CG$9),($CG$9-$C$2)*AN27,0)</f>
        <v>0</v>
      </c>
      <c r="H27" s="257">
        <f>IF(YEAR($E$2)=YEAR($CG$9),($CG$9-$C$2)*AP27,0)</f>
        <v>0</v>
      </c>
      <c r="I27" s="257">
        <f>IF(YEAR($E$2)=YEAR($CG$9),($CG$9-$C$2)*AR27,0)</f>
        <v>0</v>
      </c>
      <c r="J27" s="65">
        <f>IF(YEAR($E$2)=YEAR($CG$9),($CG$9-$C$2)*AT27,0)</f>
        <v>0</v>
      </c>
      <c r="K27" s="65">
        <f>IF(YEAR($K$3)=YEAR($CG$9),($CG$9-$E$3)*AJ27,0)</f>
        <v>0</v>
      </c>
      <c r="L27" s="257">
        <f>IF(YEAR($K$3)=YEAR($CG$9),($CG$9-$E$3)*AL27,0)</f>
        <v>0</v>
      </c>
      <c r="M27" s="257">
        <f>IF(YEAR($K$3)=YEAR($CG$9),($CG$9-$E$3)*AN27,0)</f>
        <v>0</v>
      </c>
      <c r="N27" s="257">
        <f>IF(YEAR($K$3)=YEAR($CG$9),($CG$9-$E$3)*AP27,0)</f>
        <v>0</v>
      </c>
      <c r="O27" s="257">
        <f>IF(YEAR($K$2)=YEAR($CG$9),($CG$9-$E$3)*AR27,0)</f>
        <v>0</v>
      </c>
      <c r="P27" s="65">
        <f>IF(YEAR($K$2)=YEAR($CG$9),($CG$9-$E$3)*AT27,0)</f>
        <v>0</v>
      </c>
      <c r="Q27" s="65">
        <f>IF(YEAR($Q$2)=YEAR($CG$9),($CH$30-$CG$30)*AJ27,0)</f>
        <v>118362</v>
      </c>
      <c r="R27" s="257">
        <f>IF(YEAR($Q$2)=YEAR($CG$9),($CH$30-$CG$30)*AL27,0)</f>
        <v>23972.999999999996</v>
      </c>
      <c r="S27" s="257">
        <f ca="1">IF(YEAR($Q$2)=YEAR($CG$9),($CH$30-$CG$30)*AN27,0)</f>
        <v>0</v>
      </c>
      <c r="T27" s="257">
        <f>IF(YEAR($Q$2)=YEAR($CG$9),($CH$30-$CG$30)*AP27,0)</f>
        <v>0</v>
      </c>
      <c r="U27" s="257">
        <f>IF(YEAR($Q$2)=YEAR($CG$9),($CH$30-$CG$30)*AR27,0)</f>
        <v>0</v>
      </c>
      <c r="V27" s="65">
        <f>IF(YEAR($Q$2)=YEAR($CG$9),($CH$30-$CG$30)*AT27,0)</f>
        <v>94389</v>
      </c>
      <c r="W27" s="65">
        <f>IF(YEAR($W$2)=YEAR($CG$9),($CH$9-$CG$9)*AP27,0)</f>
        <v>0</v>
      </c>
      <c r="X27" s="257">
        <f t="shared" ref="X27" si="95">IF(YEAR($W$2)=YEAR($CG$9),($CH$9-$CG$9)*AQ27,0)</f>
        <v>0</v>
      </c>
      <c r="Y27" s="257">
        <f t="shared" ref="Y27" si="96">IF(YEAR($W$2)=YEAR($CG$9),($CH$9-$CG$9)*AR27,0)</f>
        <v>0</v>
      </c>
      <c r="Z27" s="257">
        <f t="shared" ref="Z27" si="97">IF(YEAR($W$2)=YEAR($CG$9),($CH$9-$CG$9)*AS27,0)</f>
        <v>0</v>
      </c>
      <c r="AA27" s="257">
        <f t="shared" ref="AA27" si="98">IF(YEAR($W$2)=YEAR($CG$9),($CH$9-$CG$9)*AT27,0)</f>
        <v>0</v>
      </c>
      <c r="AB27" s="65">
        <f t="shared" ref="AB27" si="99">IF(YEAR($W$2)=YEAR($CG$9),($CH$9-$CG$9)*AU27,0)</f>
        <v>0</v>
      </c>
      <c r="AC27" s="65">
        <f>IF(YEAR($W$2)=YEAR($CG$9),($CH$9-$CG$9)*AV27,0)</f>
        <v>0</v>
      </c>
      <c r="AD27" s="257">
        <f t="shared" ref="AD27" si="100">IF(YEAR($W$2)=YEAR($CG$9),($CH$9-$CG$9)*AW27,0)</f>
        <v>0</v>
      </c>
      <c r="AE27" s="257">
        <f t="shared" ref="AE27" si="101">IF(YEAR($W$2)=YEAR($CG$9),($CH$9-$CG$9)*AX27,0)</f>
        <v>0</v>
      </c>
      <c r="AF27" s="257">
        <f t="shared" ref="AF27" si="102">IF(YEAR($W$2)=YEAR($CG$9),($CH$9-$CG$9)*AY27,0)</f>
        <v>0</v>
      </c>
      <c r="AG27" s="257">
        <f t="shared" ref="AG27" si="103">IF(YEAR($W$2)=YEAR($CG$9),($CH$9-$CG$9)*AZ27,0)</f>
        <v>0</v>
      </c>
      <c r="AH27" s="65">
        <f t="shared" ref="AH27" si="104">IF(YEAR($W$2)=YEAR($CG$9),($CH$9-$CG$9)*BA27,0)</f>
        <v>0</v>
      </c>
      <c r="AI27" s="660">
        <f>SUM('3 pr-2'!L28)</f>
        <v>118362</v>
      </c>
      <c r="AJ27" s="65">
        <f t="shared" si="25"/>
        <v>326.06611570247935</v>
      </c>
      <c r="AK27" s="257">
        <f>SUM('3 pr-2'!O28)</f>
        <v>23973</v>
      </c>
      <c r="AL27" s="257">
        <f t="shared" si="26"/>
        <v>66.04132231404958</v>
      </c>
      <c r="AM27" s="257">
        <f ca="1">SUM('3 pr-2'!R28)</f>
        <v>0</v>
      </c>
      <c r="AN27" s="257">
        <f t="shared" ca="1" si="27"/>
        <v>0</v>
      </c>
      <c r="AO27" s="257">
        <f>SUM('3 pr-2'!U28)</f>
        <v>0</v>
      </c>
      <c r="AP27" s="669">
        <f t="shared" si="28"/>
        <v>0</v>
      </c>
      <c r="AQ27" s="257">
        <f>SUM('3 pr-2'!X28)</f>
        <v>0</v>
      </c>
      <c r="AR27" s="659">
        <f t="shared" si="29"/>
        <v>0</v>
      </c>
      <c r="AS27" s="12">
        <f>SUM('3 pr-2'!AA28)</f>
        <v>94389</v>
      </c>
      <c r="AT27" s="658">
        <f t="shared" si="30"/>
        <v>260.02479338842977</v>
      </c>
      <c r="AU27" s="889"/>
      <c r="AV27" s="20"/>
      <c r="AW27" s="20"/>
      <c r="AX27" s="257"/>
      <c r="AY27" s="257"/>
      <c r="AZ27" s="257"/>
      <c r="BA27" s="257"/>
      <c r="BB27" s="20"/>
      <c r="BC27" s="20"/>
      <c r="BD27" s="257"/>
      <c r="BE27" s="257"/>
      <c r="BF27" s="257"/>
      <c r="BG27" s="257"/>
      <c r="BH27" s="20"/>
      <c r="BI27" s="20"/>
      <c r="BJ27" s="257"/>
      <c r="BK27" s="257"/>
      <c r="BL27" s="257"/>
      <c r="BM27" s="257"/>
      <c r="BN27" s="20"/>
      <c r="BO27" s="20"/>
      <c r="BP27" s="257"/>
      <c r="BQ27" s="257"/>
      <c r="BR27" s="257"/>
      <c r="BS27" s="257"/>
      <c r="BT27" s="20"/>
      <c r="BU27" s="20"/>
      <c r="BV27" s="257"/>
      <c r="BW27" s="257"/>
      <c r="BX27" s="257"/>
      <c r="BY27" s="257"/>
      <c r="BZ27" s="20"/>
      <c r="CA27" s="20"/>
      <c r="CB27" s="257"/>
      <c r="CC27" s="257"/>
      <c r="CD27" s="257"/>
      <c r="CE27" s="257"/>
      <c r="CF27" s="325"/>
      <c r="CG27" s="891">
        <f>SUM('3 pr-2'!AI28)</f>
        <v>43102</v>
      </c>
      <c r="CH27" s="891">
        <f>SUM('3 pr-2'!AK28)</f>
        <v>43465</v>
      </c>
      <c r="CI27" s="58">
        <f t="shared" si="57"/>
        <v>94389</v>
      </c>
      <c r="CJ27" s="58">
        <f t="shared" si="58"/>
        <v>0</v>
      </c>
      <c r="CQ27" s="892">
        <f t="shared" si="93"/>
        <v>118362</v>
      </c>
      <c r="CR27" s="893">
        <f t="shared" si="94"/>
        <v>94389</v>
      </c>
    </row>
    <row r="28" spans="1:96" ht="49.5" thickTop="1" thickBot="1">
      <c r="A28" s="104" t="str">
        <f>CONCATENATE('3 pr-2'!A29)</f>
        <v>1.1.1.1.20</v>
      </c>
      <c r="B28" s="668" t="str">
        <f>CONCATENATE('3 pr-2'!D29)</f>
        <v>Pastato, esančio Pušelės g. 11, Naujųjų Valkininkų k., Varėnos r., atnaujinimas ir pritaikymas bendruomenės poreikiams</v>
      </c>
      <c r="C28" s="65">
        <f t="shared" si="69"/>
        <v>0</v>
      </c>
      <c r="D28" s="65">
        <f t="shared" si="70"/>
        <v>0</v>
      </c>
      <c r="E28" s="65">
        <f t="shared" si="71"/>
        <v>0</v>
      </c>
      <c r="F28" s="257">
        <f t="shared" si="72"/>
        <v>0</v>
      </c>
      <c r="G28" s="257">
        <f t="shared" si="73"/>
        <v>0</v>
      </c>
      <c r="H28" s="257">
        <f t="shared" si="74"/>
        <v>0</v>
      </c>
      <c r="I28" s="257">
        <f t="shared" si="75"/>
        <v>0</v>
      </c>
      <c r="J28" s="65">
        <f t="shared" si="76"/>
        <v>0</v>
      </c>
      <c r="K28" s="65">
        <f t="shared" si="77"/>
        <v>0</v>
      </c>
      <c r="L28" s="257">
        <f t="shared" si="78"/>
        <v>0</v>
      </c>
      <c r="M28" s="257">
        <f t="shared" si="79"/>
        <v>0</v>
      </c>
      <c r="N28" s="257">
        <f t="shared" si="80"/>
        <v>0</v>
      </c>
      <c r="O28" s="257">
        <f t="shared" si="81"/>
        <v>0</v>
      </c>
      <c r="P28" s="65">
        <f t="shared" si="82"/>
        <v>0</v>
      </c>
      <c r="Q28" s="65">
        <f>IF(YEAR($Q$2)=YEAR($CG$9),($Q$3-$CG$22)*AJ28,0)</f>
        <v>124656.5934065934</v>
      </c>
      <c r="R28" s="257">
        <f>IF(YEAR($Q$2)=YEAR($CG$9),($Q$3-$CG$22)*AL28,0)</f>
        <v>24931.318681318684</v>
      </c>
      <c r="S28" s="257">
        <f ca="1">IF(YEAR($Q$2)=YEAR($CG$9),($Q$3-$CG$22)*AN28,0)</f>
        <v>0</v>
      </c>
      <c r="T28" s="257">
        <f>IF(YEAR($Q$2)=YEAR($CG$9),($Q$3-$CG$22)*AP28,0)</f>
        <v>0</v>
      </c>
      <c r="U28" s="257">
        <f>IF(YEAR($Q$2)=YEAR($CG$9),($Q$3-$CG$22)*AR28,0)</f>
        <v>0</v>
      </c>
      <c r="V28" s="65">
        <f>IF(YEAR($Q$2)=YEAR($CG$9),($Q$3-$CG$22)*AT28,0)</f>
        <v>99725.274725274736</v>
      </c>
      <c r="W28" s="65">
        <f>IF(YEAR($CH$28)=2019,($CH$28-$BI$4)*AI$28/($CH$28-$CG$28),0)</f>
        <v>125343.40659340659</v>
      </c>
      <c r="X28" s="261">
        <f>IF(YEAR($CH$28)=2019,($CH$28-$BI$4)*AK$28/($CH$28-$CG$28),0)</f>
        <v>25068.68131868132</v>
      </c>
      <c r="Y28" s="261">
        <f ca="1">IF(YEAR($CH$28)=2019,($CH$28-$BI$4)*AM$28/($CH$28-$CG$28),0)</f>
        <v>0</v>
      </c>
      <c r="Z28" s="261">
        <f>IF(YEAR($CH$28)=2019,($CH$28-$BI$4)*AO$28/($CH$28-$CG$28),0)</f>
        <v>0</v>
      </c>
      <c r="AA28" s="261">
        <f>IF(YEAR($CH$28)=2019,($CH$28-$BI$4)*AQ$28/($CH$28-$CG$28),0)</f>
        <v>0</v>
      </c>
      <c r="AB28" s="65">
        <f>IF(YEAR($CH$28)=2019,($CH$28-$BI$4)*AS$28/($CH$28-$CG$28),0)</f>
        <v>100274.72527472528</v>
      </c>
      <c r="AC28" s="65">
        <v>0</v>
      </c>
      <c r="AD28" s="261">
        <v>0</v>
      </c>
      <c r="AE28" s="261">
        <v>0</v>
      </c>
      <c r="AF28" s="261">
        <v>0</v>
      </c>
      <c r="AG28" s="261">
        <v>0</v>
      </c>
      <c r="AH28" s="65">
        <v>0</v>
      </c>
      <c r="AI28" s="667">
        <f>SUM('3 pr-2'!L29)</f>
        <v>250000</v>
      </c>
      <c r="AJ28" s="65">
        <f t="shared" si="25"/>
        <v>343.4065934065934</v>
      </c>
      <c r="AK28" s="257">
        <f>SUM('3 pr-2'!O29)</f>
        <v>50000</v>
      </c>
      <c r="AL28" s="257">
        <f t="shared" si="26"/>
        <v>68.681318681318686</v>
      </c>
      <c r="AM28" s="257">
        <f ca="1">SUM('3 pr-2'!R29)</f>
        <v>0</v>
      </c>
      <c r="AN28" s="257">
        <f t="shared" ca="1" si="27"/>
        <v>0</v>
      </c>
      <c r="AO28" s="257">
        <f>SUM('3 pr-2'!U29)</f>
        <v>0</v>
      </c>
      <c r="AP28" s="669">
        <f t="shared" si="28"/>
        <v>0</v>
      </c>
      <c r="AQ28" s="257">
        <f>SUM('3 pr-2'!X29)</f>
        <v>0</v>
      </c>
      <c r="AR28" s="659">
        <f t="shared" si="29"/>
        <v>0</v>
      </c>
      <c r="AS28" s="12">
        <f>SUM('3 pr-2'!AA29)</f>
        <v>200000</v>
      </c>
      <c r="AT28" s="658">
        <f t="shared" si="30"/>
        <v>274.72527472527474</v>
      </c>
      <c r="AU28" s="894"/>
      <c r="AV28" s="889"/>
      <c r="AW28" s="889"/>
      <c r="AX28" s="257"/>
      <c r="AY28" s="257"/>
      <c r="AZ28" s="257"/>
      <c r="BA28" s="257"/>
      <c r="BB28" s="889"/>
      <c r="BC28" s="889"/>
      <c r="BD28" s="257"/>
      <c r="BE28" s="257"/>
      <c r="BF28" s="257"/>
      <c r="BG28" s="257"/>
      <c r="BH28" s="889"/>
      <c r="BI28" s="889"/>
      <c r="BJ28" s="257"/>
      <c r="BK28" s="257"/>
      <c r="BL28" s="257"/>
      <c r="BM28" s="257"/>
      <c r="BN28" s="889"/>
      <c r="BO28" s="20"/>
      <c r="BP28" s="257"/>
      <c r="BQ28" s="257"/>
      <c r="BR28" s="257"/>
      <c r="BS28" s="257"/>
      <c r="BT28" s="20"/>
      <c r="BU28" s="889"/>
      <c r="BV28" s="257"/>
      <c r="BW28" s="257"/>
      <c r="BX28" s="257"/>
      <c r="BY28" s="257"/>
      <c r="BZ28" s="889"/>
      <c r="CA28" s="20"/>
      <c r="CB28" s="257"/>
      <c r="CC28" s="257"/>
      <c r="CD28" s="257"/>
      <c r="CE28" s="257"/>
      <c r="CF28" s="325"/>
      <c r="CG28" s="891">
        <f>SUM('3 pr-2'!AI29)</f>
        <v>43102</v>
      </c>
      <c r="CH28" s="891">
        <f>SUM('3 pr-2'!AK29)</f>
        <v>43830</v>
      </c>
      <c r="CI28" s="895">
        <f t="shared" si="57"/>
        <v>200000</v>
      </c>
      <c r="CJ28" s="58">
        <f t="shared" si="58"/>
        <v>0</v>
      </c>
      <c r="CQ28" s="892">
        <f t="shared" si="93"/>
        <v>250000</v>
      </c>
      <c r="CR28" s="893">
        <f t="shared" si="94"/>
        <v>200000</v>
      </c>
    </row>
    <row r="29" spans="1:96" ht="37.5" thickTop="1" thickBot="1">
      <c r="A29" s="104" t="str">
        <f>CONCATENATE('3 pr-2'!A30)</f>
        <v>1.1.1.1.21</v>
      </c>
      <c r="B29" s="104" t="str">
        <f>CONCATENATE('3 pr-2'!D30)</f>
        <v>Kaimo gyvenamųjų vietovių Lazdijų rajono savivaldybėje patrauklumo gerinimas</v>
      </c>
      <c r="C29" s="65">
        <f t="shared" si="69"/>
        <v>0</v>
      </c>
      <c r="D29" s="65">
        <f t="shared" si="70"/>
        <v>0</v>
      </c>
      <c r="E29" s="65">
        <f t="shared" si="71"/>
        <v>0</v>
      </c>
      <c r="F29" s="257">
        <f t="shared" si="72"/>
        <v>0</v>
      </c>
      <c r="G29" s="257">
        <f t="shared" si="73"/>
        <v>0</v>
      </c>
      <c r="H29" s="257">
        <f t="shared" si="74"/>
        <v>0</v>
      </c>
      <c r="I29" s="257">
        <f t="shared" si="75"/>
        <v>0</v>
      </c>
      <c r="J29" s="65">
        <f t="shared" si="76"/>
        <v>0</v>
      </c>
      <c r="K29" s="65">
        <f t="shared" si="77"/>
        <v>0</v>
      </c>
      <c r="L29" s="257">
        <f t="shared" si="78"/>
        <v>0</v>
      </c>
      <c r="M29" s="257">
        <f t="shared" si="79"/>
        <v>0</v>
      </c>
      <c r="N29" s="257">
        <f t="shared" si="80"/>
        <v>0</v>
      </c>
      <c r="O29" s="257">
        <f t="shared" si="81"/>
        <v>0</v>
      </c>
      <c r="P29" s="65">
        <f t="shared" si="82"/>
        <v>0</v>
      </c>
      <c r="Q29" s="65">
        <f>IF(YEAR($Q$2)=YEAR($CG$9),($CH$29-$CG$29)*AJ29,0)</f>
        <v>170000</v>
      </c>
      <c r="R29" s="257">
        <f>IF(YEAR($Q$2)=YEAR($CG$9),($CH$29-$CG$29)*AL29,0)</f>
        <v>34000</v>
      </c>
      <c r="S29" s="257">
        <f ca="1">IF(YEAR($Q$2)=YEAR($CG$9),($CH$29-$CG$29)*AN29,0)</f>
        <v>0</v>
      </c>
      <c r="T29" s="257">
        <f>IF(YEAR($Q$2)=YEAR($CG$9),($CH$29-$CG$29)*AP29,0)</f>
        <v>0</v>
      </c>
      <c r="U29" s="257">
        <f>IF(YEAR($Q$2)=YEAR($CG$9),($CH$29-$CG$29)*AR29,0)</f>
        <v>0</v>
      </c>
      <c r="V29" s="65">
        <f>IF(YEAR($Q$2)=YEAR($CG$9),(CH29-CG29)*AT29,0)</f>
        <v>136000</v>
      </c>
      <c r="W29" s="65">
        <f t="shared" ref="W29:W30" si="105">IF(YEAR($W$2)=YEAR($CG$9),($CH$9-$CG$9)*AP29,0)</f>
        <v>0</v>
      </c>
      <c r="X29" s="257">
        <f t="shared" ref="X29:X30" si="106">IF(YEAR($W$2)=YEAR($CG$9),($CH$9-$CG$9)*AQ29,0)</f>
        <v>0</v>
      </c>
      <c r="Y29" s="257">
        <f t="shared" ref="Y29:Y30" si="107">IF(YEAR($W$2)=YEAR($CG$9),($CH$9-$CG$9)*AR29,0)</f>
        <v>0</v>
      </c>
      <c r="Z29" s="257">
        <f t="shared" ref="Z29:Z30" si="108">IF(YEAR($W$2)=YEAR($CG$9),($CH$9-$CG$9)*AS29,0)</f>
        <v>0</v>
      </c>
      <c r="AA29" s="257">
        <f t="shared" ref="AA29:AA30" si="109">IF(YEAR($W$2)=YEAR($CG$9),($CH$9-$CG$9)*AT29,0)</f>
        <v>0</v>
      </c>
      <c r="AB29" s="65">
        <f t="shared" ref="AB29:AB30" si="110">IF(YEAR($W$2)=YEAR($CG$9),($CH$9-$CG$9)*AU29,0)</f>
        <v>0</v>
      </c>
      <c r="AC29" s="65">
        <f t="shared" ref="AC29:AC30" si="111">IF(YEAR($W$2)=YEAR($CG$9),($CH$9-$CG$9)*AV29,0)</f>
        <v>0</v>
      </c>
      <c r="AD29" s="257">
        <f t="shared" ref="AD29:AD30" si="112">IF(YEAR($W$2)=YEAR($CG$9),($CH$9-$CG$9)*AW29,0)</f>
        <v>0</v>
      </c>
      <c r="AE29" s="257">
        <f t="shared" ref="AE29:AE30" si="113">IF(YEAR($W$2)=YEAR($CG$9),($CH$9-$CG$9)*AX29,0)</f>
        <v>0</v>
      </c>
      <c r="AF29" s="257">
        <f t="shared" ref="AF29:AF30" si="114">IF(YEAR($W$2)=YEAR($CG$9),($CH$9-$CG$9)*AY29,0)</f>
        <v>0</v>
      </c>
      <c r="AG29" s="257">
        <f t="shared" ref="AG29:AG30" si="115">IF(YEAR($W$2)=YEAR($CG$9),($CH$9-$CG$9)*AZ29,0)</f>
        <v>0</v>
      </c>
      <c r="AH29" s="65">
        <f t="shared" ref="AH29:AH30" si="116">IF(YEAR($W$2)=YEAR($CG$9),($CH$9-$CG$9)*BA29,0)</f>
        <v>0</v>
      </c>
      <c r="AI29" s="660">
        <f>SUM('3 pr-2'!L30)</f>
        <v>170000</v>
      </c>
      <c r="AJ29" s="65">
        <f t="shared" si="25"/>
        <v>899.47089947089944</v>
      </c>
      <c r="AK29" s="257">
        <f>SUM('3 pr-2'!O30)</f>
        <v>34000</v>
      </c>
      <c r="AL29" s="257">
        <f t="shared" si="26"/>
        <v>179.8941798941799</v>
      </c>
      <c r="AM29" s="257">
        <f ca="1">SUM('3 pr-2'!R30)</f>
        <v>0</v>
      </c>
      <c r="AN29" s="257">
        <f t="shared" ca="1" si="27"/>
        <v>0</v>
      </c>
      <c r="AO29" s="257">
        <f>SUM('3 pr-2'!U30)</f>
        <v>0</v>
      </c>
      <c r="AP29" s="669">
        <f t="shared" si="28"/>
        <v>0</v>
      </c>
      <c r="AQ29" s="257">
        <f>SUM('3 pr-2'!X30)</f>
        <v>0</v>
      </c>
      <c r="AR29" s="659">
        <f t="shared" si="29"/>
        <v>0</v>
      </c>
      <c r="AS29" s="12">
        <f>SUM('3 pr-2'!AA30)</f>
        <v>136000</v>
      </c>
      <c r="AT29" s="658">
        <f t="shared" si="30"/>
        <v>719.5767195767196</v>
      </c>
      <c r="AU29" s="889"/>
      <c r="AV29" s="20"/>
      <c r="AW29" s="20"/>
      <c r="AX29" s="257"/>
      <c r="AY29" s="257"/>
      <c r="AZ29" s="257"/>
      <c r="BA29" s="257"/>
      <c r="BB29" s="20"/>
      <c r="BC29" s="20"/>
      <c r="BD29" s="257"/>
      <c r="BE29" s="257"/>
      <c r="BF29" s="257"/>
      <c r="BG29" s="257"/>
      <c r="BH29" s="20"/>
      <c r="BI29" s="20"/>
      <c r="BJ29" s="257"/>
      <c r="BK29" s="257"/>
      <c r="BL29" s="257"/>
      <c r="BM29" s="257"/>
      <c r="BN29" s="20"/>
      <c r="BO29" s="20"/>
      <c r="BP29" s="257"/>
      <c r="BQ29" s="257"/>
      <c r="BR29" s="257"/>
      <c r="BS29" s="257"/>
      <c r="BT29" s="20"/>
      <c r="BU29" s="20"/>
      <c r="BV29" s="257"/>
      <c r="BW29" s="257"/>
      <c r="BX29" s="257"/>
      <c r="BY29" s="257"/>
      <c r="BZ29" s="20"/>
      <c r="CA29" s="20"/>
      <c r="CB29" s="257"/>
      <c r="CC29" s="257"/>
      <c r="CD29" s="257"/>
      <c r="CE29" s="257"/>
      <c r="CF29" s="325"/>
      <c r="CG29" s="891">
        <f>SUM('3 pr-2'!AI30)</f>
        <v>43102</v>
      </c>
      <c r="CH29" s="891">
        <f>SUM('3 pr-2'!AK30)</f>
        <v>43291</v>
      </c>
      <c r="CI29" s="58">
        <f t="shared" si="57"/>
        <v>136000</v>
      </c>
      <c r="CJ29" s="58">
        <f t="shared" si="58"/>
        <v>0</v>
      </c>
      <c r="CQ29" s="892">
        <f t="shared" si="93"/>
        <v>170000</v>
      </c>
      <c r="CR29" s="893">
        <f t="shared" si="94"/>
        <v>136000</v>
      </c>
    </row>
    <row r="30" spans="1:96" ht="25.5" thickTop="1" thickBot="1">
      <c r="A30" s="104" t="str">
        <f>CONCATENATE('3 pr-2'!A31)</f>
        <v>1.1.1.1.22</v>
      </c>
      <c r="B30" s="104" t="str">
        <f>CONCATENATE('3 pr-2'!D31)</f>
        <v>Alytaus rajono Makniūnų kaimo šaligatvių atnaujinimas ir plėtra</v>
      </c>
      <c r="C30" s="65">
        <f t="shared" si="69"/>
        <v>0</v>
      </c>
      <c r="D30" s="65">
        <f t="shared" si="70"/>
        <v>0</v>
      </c>
      <c r="E30" s="65">
        <f t="shared" si="71"/>
        <v>0</v>
      </c>
      <c r="F30" s="257">
        <f t="shared" si="72"/>
        <v>0</v>
      </c>
      <c r="G30" s="257">
        <f t="shared" si="73"/>
        <v>0</v>
      </c>
      <c r="H30" s="257">
        <f t="shared" si="74"/>
        <v>0</v>
      </c>
      <c r="I30" s="257">
        <f t="shared" si="75"/>
        <v>0</v>
      </c>
      <c r="J30" s="65">
        <f t="shared" si="76"/>
        <v>0</v>
      </c>
      <c r="K30" s="65">
        <f t="shared" si="77"/>
        <v>0</v>
      </c>
      <c r="L30" s="257">
        <f t="shared" si="78"/>
        <v>0</v>
      </c>
      <c r="M30" s="257">
        <f t="shared" si="79"/>
        <v>0</v>
      </c>
      <c r="N30" s="257">
        <f t="shared" si="80"/>
        <v>0</v>
      </c>
      <c r="O30" s="257">
        <f t="shared" si="81"/>
        <v>0</v>
      </c>
      <c r="P30" s="65">
        <f t="shared" si="82"/>
        <v>0</v>
      </c>
      <c r="Q30" s="65">
        <f>IF(YEAR($Q$2)=YEAR($CG$9),($CH$30-$CG$30)*AJ30,0)</f>
        <v>145772</v>
      </c>
      <c r="R30" s="257">
        <f>IF(YEAR($Q$2)=YEAR($CG$9),($CH$30-$CG$30)*AL30,0)</f>
        <v>88979</v>
      </c>
      <c r="S30" s="257">
        <f ca="1">IF(YEAR($Q$2)=YEAR($CG$9),($CH$30-$CG$30)*AN30,0)</f>
        <v>0</v>
      </c>
      <c r="T30" s="257">
        <f>IF(YEAR($Q$2)=YEAR($CG$9),($CH$30-$CG$30)*AP30,0)</f>
        <v>0</v>
      </c>
      <c r="U30" s="257">
        <f>IF(YEAR($Q$2)=YEAR($CG$9),($CH$30-$CG$30)*AR30,0)</f>
        <v>0</v>
      </c>
      <c r="V30" s="65">
        <f>IF(YEAR($Q$2)=YEAR($CG$9),($CH$30-$CG$30)*AT30,0)</f>
        <v>56793.000000000007</v>
      </c>
      <c r="W30" s="65">
        <f t="shared" si="105"/>
        <v>0</v>
      </c>
      <c r="X30" s="257">
        <f t="shared" si="106"/>
        <v>0</v>
      </c>
      <c r="Y30" s="257">
        <f t="shared" si="107"/>
        <v>0</v>
      </c>
      <c r="Z30" s="257">
        <f t="shared" si="108"/>
        <v>0</v>
      </c>
      <c r="AA30" s="257">
        <f t="shared" si="109"/>
        <v>0</v>
      </c>
      <c r="AB30" s="65">
        <f t="shared" si="110"/>
        <v>0</v>
      </c>
      <c r="AC30" s="65">
        <f t="shared" si="111"/>
        <v>0</v>
      </c>
      <c r="AD30" s="257">
        <f t="shared" si="112"/>
        <v>0</v>
      </c>
      <c r="AE30" s="257">
        <f t="shared" si="113"/>
        <v>0</v>
      </c>
      <c r="AF30" s="257">
        <f t="shared" si="114"/>
        <v>0</v>
      </c>
      <c r="AG30" s="257">
        <f t="shared" si="115"/>
        <v>0</v>
      </c>
      <c r="AH30" s="65">
        <f t="shared" si="116"/>
        <v>0</v>
      </c>
      <c r="AI30" s="660">
        <f>SUM('3 pr-2'!L31)</f>
        <v>145772</v>
      </c>
      <c r="AJ30" s="65">
        <f t="shared" si="25"/>
        <v>401.57575757575756</v>
      </c>
      <c r="AK30" s="257">
        <f>SUM('3 pr-2'!O31)</f>
        <v>88979</v>
      </c>
      <c r="AL30" s="257">
        <f t="shared" si="26"/>
        <v>245.12121212121212</v>
      </c>
      <c r="AM30" s="257">
        <f ca="1">SUM('3 pr-2'!R31)</f>
        <v>0</v>
      </c>
      <c r="AN30" s="257">
        <f t="shared" ca="1" si="27"/>
        <v>0</v>
      </c>
      <c r="AO30" s="257">
        <f>SUM('3 pr-2'!U31)</f>
        <v>0</v>
      </c>
      <c r="AP30" s="669">
        <f t="shared" si="28"/>
        <v>0</v>
      </c>
      <c r="AQ30" s="257">
        <f>SUM('3 pr-2'!X31)</f>
        <v>0</v>
      </c>
      <c r="AR30" s="659">
        <f t="shared" si="29"/>
        <v>0</v>
      </c>
      <c r="AS30" s="12">
        <f>SUM('3 pr-2'!AA31)</f>
        <v>56793</v>
      </c>
      <c r="AT30" s="658">
        <f t="shared" si="30"/>
        <v>156.45454545454547</v>
      </c>
      <c r="AU30" s="889"/>
      <c r="AV30" s="20"/>
      <c r="AW30" s="20"/>
      <c r="AX30" s="257"/>
      <c r="AY30" s="257"/>
      <c r="AZ30" s="257"/>
      <c r="BA30" s="257"/>
      <c r="BB30" s="20"/>
      <c r="BC30" s="20"/>
      <c r="BD30" s="257"/>
      <c r="BE30" s="257"/>
      <c r="BF30" s="257"/>
      <c r="BG30" s="257"/>
      <c r="BH30" s="20"/>
      <c r="BI30" s="20"/>
      <c r="BJ30" s="257"/>
      <c r="BK30" s="257"/>
      <c r="BL30" s="257"/>
      <c r="BM30" s="257"/>
      <c r="BN30" s="20"/>
      <c r="BO30" s="20"/>
      <c r="BP30" s="257"/>
      <c r="BQ30" s="257"/>
      <c r="BR30" s="257"/>
      <c r="BS30" s="257"/>
      <c r="BT30" s="20"/>
      <c r="BU30" s="20"/>
      <c r="BV30" s="257"/>
      <c r="BW30" s="257"/>
      <c r="BX30" s="257"/>
      <c r="BY30" s="257"/>
      <c r="BZ30" s="20"/>
      <c r="CA30" s="20"/>
      <c r="CB30" s="257"/>
      <c r="CC30" s="257"/>
      <c r="CD30" s="257"/>
      <c r="CE30" s="257"/>
      <c r="CF30" s="325"/>
      <c r="CG30" s="891">
        <f>SUM('3 pr-2'!AI31)</f>
        <v>43102</v>
      </c>
      <c r="CH30" s="891">
        <f>SUM('3 pr-2'!AK31)</f>
        <v>43465</v>
      </c>
      <c r="CI30" s="58">
        <f t="shared" si="57"/>
        <v>56793.000000000007</v>
      </c>
      <c r="CJ30" s="58">
        <f t="shared" si="58"/>
        <v>7.2759576141834259E-12</v>
      </c>
      <c r="CM30" s="21">
        <f>SUM(CH37-CG37)</f>
        <v>518</v>
      </c>
      <c r="CN30" s="21">
        <v>365</v>
      </c>
      <c r="CO30" s="21">
        <f>SUM(CM30-CN30)</f>
        <v>153</v>
      </c>
      <c r="CQ30" s="892">
        <f t="shared" si="93"/>
        <v>145772</v>
      </c>
      <c r="CR30" s="893">
        <f t="shared" si="94"/>
        <v>56793.000000000007</v>
      </c>
    </row>
    <row r="31" spans="1:96" ht="17.25" thickTop="1" thickBot="1">
      <c r="A31" s="78"/>
      <c r="B31" s="105"/>
      <c r="C31" s="65"/>
      <c r="D31" s="65"/>
      <c r="E31" s="65"/>
      <c r="F31" s="65"/>
      <c r="G31" s="65"/>
      <c r="H31" s="65"/>
      <c r="I31" s="65"/>
      <c r="J31" s="65"/>
      <c r="K31" s="65"/>
      <c r="L31" s="326"/>
      <c r="M31" s="326"/>
      <c r="N31" s="326"/>
      <c r="O31" s="326"/>
      <c r="P31" s="65"/>
      <c r="Q31" s="65"/>
      <c r="R31" s="326"/>
      <c r="S31" s="326"/>
      <c r="T31" s="326"/>
      <c r="U31" s="326"/>
      <c r="V31" s="65"/>
      <c r="W31" s="65"/>
      <c r="X31" s="326"/>
      <c r="Y31" s="326"/>
      <c r="Z31" s="326"/>
      <c r="AA31" s="326"/>
      <c r="AB31" s="65"/>
      <c r="AC31" s="65"/>
      <c r="AD31" s="326"/>
      <c r="AE31" s="326"/>
      <c r="AF31" s="326"/>
      <c r="AG31" s="326"/>
      <c r="AH31" s="65"/>
      <c r="AI31" s="660"/>
      <c r="AJ31" s="65"/>
      <c r="AK31" s="65"/>
      <c r="AL31" s="65"/>
      <c r="AM31" s="65"/>
      <c r="AN31" s="65"/>
      <c r="AO31" s="65"/>
      <c r="AP31" s="65"/>
      <c r="AQ31" s="65"/>
      <c r="AR31" s="65"/>
      <c r="AS31" s="16"/>
      <c r="AT31" s="16"/>
      <c r="AU31" s="889"/>
      <c r="AV31" s="20"/>
      <c r="AW31" s="20"/>
      <c r="AX31" s="65"/>
      <c r="AY31" s="65"/>
      <c r="AZ31" s="65"/>
      <c r="BA31" s="65"/>
      <c r="BB31" s="20"/>
      <c r="BC31" s="20"/>
      <c r="BD31" s="65"/>
      <c r="BE31" s="65"/>
      <c r="BF31" s="65"/>
      <c r="BG31" s="65"/>
      <c r="BH31" s="20"/>
      <c r="BI31" s="20"/>
      <c r="BJ31" s="65"/>
      <c r="BK31" s="65"/>
      <c r="BL31" s="65"/>
      <c r="BM31" s="65"/>
      <c r="BN31" s="20"/>
      <c r="BO31" s="20"/>
      <c r="BP31" s="65"/>
      <c r="BQ31" s="65"/>
      <c r="BR31" s="65"/>
      <c r="BS31" s="65"/>
      <c r="BT31" s="20"/>
      <c r="BU31" s="20"/>
      <c r="BV31" s="65"/>
      <c r="BW31" s="65"/>
      <c r="BX31" s="65"/>
      <c r="BY31" s="65"/>
      <c r="BZ31" s="20"/>
      <c r="CA31" s="20"/>
      <c r="CB31" s="65"/>
      <c r="CC31" s="65"/>
      <c r="CD31" s="65"/>
      <c r="CE31" s="65"/>
      <c r="CF31" s="325"/>
      <c r="CG31" s="890"/>
      <c r="CH31" s="19"/>
      <c r="CO31" s="21">
        <f>SUM(W2-CG37)</f>
        <v>154</v>
      </c>
    </row>
    <row r="32" spans="1:96" ht="52.5" thickBot="1">
      <c r="A32" s="253" t="str">
        <f>CONCATENATE('3 pr-2'!A33)</f>
        <v>1.1.1.2</v>
      </c>
      <c r="B32" s="103" t="str">
        <f>CONCATENATE('3 pr-2'!B33)</f>
        <v>Priemonė:
Kaimo gyvenamųjų vietovių (turinčių 1-6 tūkst. gyventojų) atnaujinimas ir plėtra</v>
      </c>
      <c r="C32" s="886">
        <f>SUM(C33:C37)</f>
        <v>0</v>
      </c>
      <c r="D32" s="886">
        <f t="shared" ref="D32:AS32" si="117">SUM(D33:D37)</f>
        <v>0</v>
      </c>
      <c r="E32" s="886">
        <f t="shared" si="117"/>
        <v>0</v>
      </c>
      <c r="F32" s="886"/>
      <c r="G32" s="886"/>
      <c r="H32" s="886"/>
      <c r="I32" s="886"/>
      <c r="J32" s="886">
        <f t="shared" si="117"/>
        <v>0</v>
      </c>
      <c r="K32" s="886">
        <f t="shared" si="117"/>
        <v>0</v>
      </c>
      <c r="L32" s="887">
        <f t="shared" ref="L32:O32" si="118">SUM(L33:L37)</f>
        <v>0</v>
      </c>
      <c r="M32" s="887">
        <f t="shared" si="118"/>
        <v>0</v>
      </c>
      <c r="N32" s="887">
        <f t="shared" si="118"/>
        <v>0</v>
      </c>
      <c r="O32" s="887">
        <f t="shared" si="118"/>
        <v>0</v>
      </c>
      <c r="P32" s="886">
        <f t="shared" si="117"/>
        <v>0</v>
      </c>
      <c r="Q32" s="886">
        <f t="shared" si="117"/>
        <v>713051.45289100218</v>
      </c>
      <c r="R32" s="887"/>
      <c r="S32" s="887"/>
      <c r="T32" s="887"/>
      <c r="U32" s="887"/>
      <c r="V32" s="886">
        <f t="shared" si="117"/>
        <v>526996.75414439302</v>
      </c>
      <c r="W32" s="886">
        <f t="shared" si="117"/>
        <v>1777652.8480769875</v>
      </c>
      <c r="X32" s="887"/>
      <c r="Y32" s="887"/>
      <c r="Z32" s="887"/>
      <c r="AA32" s="887"/>
      <c r="AB32" s="886">
        <f t="shared" si="117"/>
        <v>1329172.6295329437</v>
      </c>
      <c r="AC32" s="886">
        <f t="shared" si="117"/>
        <v>1226621.4990320103</v>
      </c>
      <c r="AD32" s="887"/>
      <c r="AE32" s="887"/>
      <c r="AF32" s="887"/>
      <c r="AG32" s="887"/>
      <c r="AH32" s="886">
        <f t="shared" si="117"/>
        <v>960281.25632266328</v>
      </c>
      <c r="AI32" s="888">
        <f t="shared" si="117"/>
        <v>3717325.8</v>
      </c>
      <c r="AJ32" s="886"/>
      <c r="AK32" s="886"/>
      <c r="AL32" s="886"/>
      <c r="AM32" s="886"/>
      <c r="AN32" s="886"/>
      <c r="AO32" s="886"/>
      <c r="AP32" s="886"/>
      <c r="AQ32" s="886"/>
      <c r="AR32" s="886"/>
      <c r="AS32" s="886">
        <f t="shared" si="117"/>
        <v>2816450.64</v>
      </c>
      <c r="AT32" s="886"/>
      <c r="AU32" s="889">
        <v>0</v>
      </c>
      <c r="AV32" s="20">
        <v>0</v>
      </c>
      <c r="AW32" s="20">
        <v>0</v>
      </c>
      <c r="AX32" s="886">
        <v>0</v>
      </c>
      <c r="AY32" s="886">
        <v>0</v>
      </c>
      <c r="AZ32" s="886">
        <v>0</v>
      </c>
      <c r="BA32" s="886">
        <v>0</v>
      </c>
      <c r="BB32" s="20">
        <v>0</v>
      </c>
      <c r="BC32" s="20">
        <v>0</v>
      </c>
      <c r="BD32" s="886">
        <v>0</v>
      </c>
      <c r="BE32" s="886">
        <v>0</v>
      </c>
      <c r="BF32" s="886">
        <v>0</v>
      </c>
      <c r="BG32" s="886">
        <v>0</v>
      </c>
      <c r="BH32" s="20">
        <v>0</v>
      </c>
      <c r="BI32" s="20">
        <v>0</v>
      </c>
      <c r="BJ32" s="886">
        <v>0</v>
      </c>
      <c r="BK32" s="886">
        <v>0</v>
      </c>
      <c r="BL32" s="886">
        <v>0</v>
      </c>
      <c r="BM32" s="886">
        <v>0</v>
      </c>
      <c r="BN32" s="20">
        <v>0</v>
      </c>
      <c r="BO32" s="20">
        <v>0</v>
      </c>
      <c r="BP32" s="886">
        <v>0</v>
      </c>
      <c r="BQ32" s="886">
        <v>0</v>
      </c>
      <c r="BR32" s="886">
        <v>0</v>
      </c>
      <c r="BS32" s="886">
        <v>0</v>
      </c>
      <c r="BT32" s="20">
        <v>0</v>
      </c>
      <c r="BU32" s="20">
        <v>0</v>
      </c>
      <c r="BV32" s="886">
        <v>0</v>
      </c>
      <c r="BW32" s="886">
        <v>0</v>
      </c>
      <c r="BX32" s="886">
        <v>0</v>
      </c>
      <c r="BY32" s="886">
        <v>0</v>
      </c>
      <c r="BZ32" s="20">
        <v>0</v>
      </c>
      <c r="CA32" s="20">
        <v>100</v>
      </c>
      <c r="CB32" s="886">
        <v>100</v>
      </c>
      <c r="CC32" s="886">
        <v>100</v>
      </c>
      <c r="CD32" s="886">
        <v>100</v>
      </c>
      <c r="CE32" s="886">
        <v>100</v>
      </c>
      <c r="CF32" s="325">
        <v>100</v>
      </c>
      <c r="CG32" s="890"/>
      <c r="CH32" s="19"/>
      <c r="CL32" s="21" t="s">
        <v>331</v>
      </c>
      <c r="CM32" s="21" t="s">
        <v>1397</v>
      </c>
      <c r="CN32" s="21" t="s">
        <v>1398</v>
      </c>
      <c r="CO32" s="21" t="s">
        <v>1436</v>
      </c>
    </row>
    <row r="33" spans="1:99" s="900" customFormat="1" ht="37.5" thickTop="1" thickBot="1">
      <c r="A33" s="106" t="str">
        <f>CONCATENATE('3 pr-2'!A34:J34)</f>
        <v>1.1.1.2.1</v>
      </c>
      <c r="B33" s="106" t="str">
        <f>CONCATENATE('3 pr-2'!D34)</f>
        <v>Matuizų kaimo viešosios infrastruktūros atnaujinimas ir pritaikymas bendruomenės poreikiams</v>
      </c>
      <c r="C33" s="61">
        <v>0</v>
      </c>
      <c r="D33" s="61">
        <v>0</v>
      </c>
      <c r="E33" s="61">
        <v>0</v>
      </c>
      <c r="F33" s="257">
        <v>0</v>
      </c>
      <c r="G33" s="257">
        <v>0</v>
      </c>
      <c r="H33" s="257">
        <v>0</v>
      </c>
      <c r="I33" s="257">
        <v>0</v>
      </c>
      <c r="J33" s="61">
        <v>0</v>
      </c>
      <c r="K33" s="61">
        <v>0</v>
      </c>
      <c r="L33" s="261">
        <v>0</v>
      </c>
      <c r="M33" s="261">
        <v>0</v>
      </c>
      <c r="N33" s="261">
        <v>0</v>
      </c>
      <c r="O33" s="261">
        <v>0</v>
      </c>
      <c r="P33" s="61">
        <v>0</v>
      </c>
      <c r="Q33" s="65">
        <f>IF(YEAR($CG$33)=2018,($BI$4-$CG$33)*AI$33/($CH$33-$CG$33),0)</f>
        <v>163998.81993442625</v>
      </c>
      <c r="R33" s="261">
        <f>IF(YEAR($CG$33)=2018,($BI$4-$CG$33)*AK$33/($CH$33-$CG$33),0)</f>
        <v>57350.811191256827</v>
      </c>
      <c r="S33" s="261">
        <f>IF(YEAR($CG$33)=2018,($BI$4-$CG$33)*AM$33/($CH$33-$CG$33),0)</f>
        <v>8647.1956284153002</v>
      </c>
      <c r="T33" s="261">
        <f>IF(YEAR($CG$33)=2018,($BI$4-$CG$33)*AO$33/($CH$33-$CG$33),0)</f>
        <v>0</v>
      </c>
      <c r="U33" s="261">
        <f>IF(YEAR($CG$33)=2018,($BI$4-$CG$33)*AQ$33/($CH$33-$CG$33),0)</f>
        <v>0</v>
      </c>
      <c r="V33" s="65">
        <f>IF(YEAR($CG$33)=2018,($BI$4-$CG$33)*AS$33/($CH$33-$CG$33),0)</f>
        <v>98000.813114754099</v>
      </c>
      <c r="W33" s="65">
        <f>IF(YEAR($CH$33)=2020,($BO$4-$BI$4)*AI$33/($CH$33-$CG$33),0)</f>
        <v>325323.74606557377</v>
      </c>
      <c r="X33" s="261">
        <f>IF(YEAR($CH$33)=2020,($BO$4-$BI$4)*AK$33/($CH$33-$CG$33),0)</f>
        <v>113766.55480874315</v>
      </c>
      <c r="Y33" s="261">
        <f>IF(YEAR($CH$33)=2020,($BO$4-$BI$4)*AM$33/($CH$33-$CG$33),0)</f>
        <v>17153.4043715847</v>
      </c>
      <c r="Z33" s="261">
        <f>IF(YEAR($CH$33)=2020,($BO$4-$BI$4)*AO$33/($CH$33-$CG$33),0)</f>
        <v>0</v>
      </c>
      <c r="AA33" s="261">
        <f>IF(YEAR($CH$33)=2020,($BO$4-$BI$4)*AQ$33/($CH$33-$CG$33),0)</f>
        <v>0</v>
      </c>
      <c r="AB33" s="65">
        <f>IF(YEAR($CH$33)=2020,($BO$4-$BI$4)*AS$33/($CH$33-$CG$33),0)</f>
        <v>194403.78688524591</v>
      </c>
      <c r="AC33" s="65">
        <f>IF(YEAR($CH$33)=2020,($CH$33-$BO$4)*AI$33/($CH$33-$CG$33),0)</f>
        <v>326215.04399999999</v>
      </c>
      <c r="AD33" s="261">
        <f>IF(YEAR($CH$33)=2020,($CH$33-$BO$4)*AK$33/($CH$33-$CG$33),0)</f>
        <v>114078.24399999999</v>
      </c>
      <c r="AE33" s="261">
        <f>IF(YEAR($CH$33)=2020,($CH$33-$BO$4)*AM$33/($CH$33-$CG$33),0)</f>
        <v>17200.400000000001</v>
      </c>
      <c r="AF33" s="261">
        <f>IF(YEAR($CH$33)=2020,($CH$33-$BO$4)*AO$33/($CH$33-$CG$33),0)</f>
        <v>0</v>
      </c>
      <c r="AG33" s="261">
        <f>IF(YEAR($CH$33)=2020,($CH$33-$BO$4)*AQ$33/($CH$33-$CG$33),0)</f>
        <v>0</v>
      </c>
      <c r="AH33" s="65">
        <f>IF(YEAR($CH$33)=2020,($CH$33-$BO$4)*AS$33/($CH$33-$CG$33),0)</f>
        <v>194936.4</v>
      </c>
      <c r="AI33" s="896">
        <f>SUM('3 pr-2'!L34)</f>
        <v>815537.61</v>
      </c>
      <c r="AJ33" s="897"/>
      <c r="AK33" s="257">
        <f>SUM('3 pr-2'!O34)</f>
        <v>285195.61</v>
      </c>
      <c r="AL33" s="257"/>
      <c r="AM33" s="257">
        <f>SUM('3 pr-2'!R34)</f>
        <v>43001</v>
      </c>
      <c r="AN33" s="257"/>
      <c r="AO33" s="257">
        <f>SUM('3 pr-2'!U34)</f>
        <v>0</v>
      </c>
      <c r="AP33" s="257"/>
      <c r="AQ33" s="257">
        <f>SUM('3 pr-2'!X34)</f>
        <v>0</v>
      </c>
      <c r="AR33" s="476"/>
      <c r="AS33" s="898">
        <f>SUM('3 pr-2'!AA34)</f>
        <v>487341</v>
      </c>
      <c r="AT33" s="899"/>
      <c r="AU33" s="889"/>
      <c r="AV33" s="20"/>
      <c r="AW33" s="20"/>
      <c r="AX33" s="257"/>
      <c r="AY33" s="257"/>
      <c r="AZ33" s="257"/>
      <c r="BA33" s="257"/>
      <c r="BB33" s="20"/>
      <c r="BC33" s="20"/>
      <c r="BD33" s="257"/>
      <c r="BE33" s="257"/>
      <c r="BF33" s="257"/>
      <c r="BG33" s="257"/>
      <c r="BH33" s="20"/>
      <c r="BI33" s="20"/>
      <c r="BJ33" s="257"/>
      <c r="BK33" s="257"/>
      <c r="BL33" s="257"/>
      <c r="BM33" s="257"/>
      <c r="BN33" s="20"/>
      <c r="BO33" s="20"/>
      <c r="BP33" s="257"/>
      <c r="BQ33" s="257"/>
      <c r="BR33" s="257"/>
      <c r="BS33" s="257"/>
      <c r="BT33" s="20"/>
      <c r="BU33" s="20"/>
      <c r="BV33" s="257"/>
      <c r="BW33" s="257"/>
      <c r="BX33" s="257"/>
      <c r="BY33" s="257"/>
      <c r="BZ33" s="20"/>
      <c r="CA33" s="20"/>
      <c r="CB33" s="257"/>
      <c r="CC33" s="257"/>
      <c r="CD33" s="257"/>
      <c r="CE33" s="257"/>
      <c r="CF33" s="325"/>
      <c r="CG33" s="891">
        <f>SUM('3 pr-2'!AI34)</f>
        <v>43281</v>
      </c>
      <c r="CH33" s="891">
        <f>SUM('3 pr-2'!AK34)</f>
        <v>44196</v>
      </c>
      <c r="CI33" s="58">
        <f>SUM(P33+V33+AB33+AH33)</f>
        <v>487341</v>
      </c>
      <c r="CJ33" s="58">
        <f t="shared" ref="CJ33:CJ42" si="119">SUM(CI33-AS33)</f>
        <v>0</v>
      </c>
      <c r="CQ33" s="892">
        <f t="shared" ref="CQ33:CQ37" si="120">SUM(E33+K33+Q33+W33+AC33)</f>
        <v>815537.61</v>
      </c>
      <c r="CR33" s="893">
        <f t="shared" ref="CR33:CR37" si="121">SUM(J33+P33+V33+AB33+AH33)</f>
        <v>487341</v>
      </c>
    </row>
    <row r="34" spans="1:99" s="900" customFormat="1" ht="37.5" thickTop="1" thickBot="1">
      <c r="A34" s="106" t="str">
        <f>CONCATENATE('3 pr-2'!A35:J35)</f>
        <v>1.1.1.2.2</v>
      </c>
      <c r="B34" s="107" t="str">
        <f>CONCATENATE('3 pr-2'!D35)</f>
        <v>Senosios Varėnos kaimo viešosios infrastruktūros atnaujinimas ir pritaikymas bendruomenės poreikiams</v>
      </c>
      <c r="C34" s="61">
        <v>0</v>
      </c>
      <c r="D34" s="61">
        <v>0</v>
      </c>
      <c r="E34" s="61">
        <v>0</v>
      </c>
      <c r="F34" s="257">
        <v>0</v>
      </c>
      <c r="G34" s="257">
        <v>0</v>
      </c>
      <c r="H34" s="257">
        <v>0</v>
      </c>
      <c r="I34" s="257">
        <v>0</v>
      </c>
      <c r="J34" s="61">
        <v>0</v>
      </c>
      <c r="K34" s="61">
        <v>0</v>
      </c>
      <c r="L34" s="261">
        <v>0</v>
      </c>
      <c r="M34" s="261">
        <v>0</v>
      </c>
      <c r="N34" s="261">
        <v>0</v>
      </c>
      <c r="O34" s="261">
        <v>0</v>
      </c>
      <c r="P34" s="61">
        <v>0</v>
      </c>
      <c r="Q34" s="65">
        <f>IF(YEAR($CG$34)=2018,($BI$4-$CG$34)*AI$34/($CH$34-$CG$34),0)</f>
        <v>189744.67868544598</v>
      </c>
      <c r="R34" s="261">
        <f>IF(YEAR($CG$34)=2018,($BI$4-$CG$34)*AK$34/($CH$34-$CG$34),0)</f>
        <v>14230.852469483569</v>
      </c>
      <c r="S34" s="261">
        <f>IF(YEAR($CG$34)=2018,($BI$4-$CG$34)*AM$34/($CH$34-$CG$34),0)</f>
        <v>14230.849333333332</v>
      </c>
      <c r="T34" s="261">
        <f>IF(YEAR($CG$34)=2018,($BI$4-$CG$34)*AO$34/($CH$34-$CG$34),0)</f>
        <v>0</v>
      </c>
      <c r="U34" s="261">
        <f>IF(YEAR($CG$34)=2018,($BI$4-$CG$34)*AQ$34/($CH$34-$CG$34),0)</f>
        <v>0</v>
      </c>
      <c r="V34" s="65">
        <f>IF(YEAR($CG$34)=2018,($BI$4-$CG$34)*AS$34/($CH$34-$CG$34),0)</f>
        <v>161282.9768826291</v>
      </c>
      <c r="W34" s="65">
        <f>IF(YEAR($CH$34)=2020,($BO$4-$BI$4)*AI$34/($CH$34-$CG$34),0)</f>
        <v>207355.71173708918</v>
      </c>
      <c r="X34" s="261">
        <f>IF(YEAR($CH$34)=2020,($BO$4-$BI$4)*AK$34/($CH$34-$CG$34),0)</f>
        <v>15551.680093896714</v>
      </c>
      <c r="Y34" s="261">
        <f>IF(YEAR($CH$34)=2020,($BO$4-$BI$4)*AM$34/($CH$34-$CG$34),0)</f>
        <v>15551.676666666664</v>
      </c>
      <c r="Z34" s="261">
        <f>IF(YEAR($CH$34)=2020,($BO$4-$BI$4)*AO$34/($CH$34-$CG$34),0)</f>
        <v>0</v>
      </c>
      <c r="AA34" s="261">
        <f>IF(YEAR($CH$34)=2020,($BO$4-$BI$4)*AQ$34/($CH$34-$CG$34),0)</f>
        <v>0</v>
      </c>
      <c r="AB34" s="65">
        <f>IF(YEAR($CH$34)=2020,($BO$4-$BI$4)*AS$34/($CH$34-$CG$34),0)</f>
        <v>176252.35497652582</v>
      </c>
      <c r="AC34" s="65">
        <f>IF(YEAR($CH$34)=2020,($CH$34-$BO$4)*AI$34/($CH$34-$CG$34),0)</f>
        <v>207923.80957746477</v>
      </c>
      <c r="AD34" s="261">
        <f>IF(YEAR($CH$34)=2020,($CH$34-$BO$4)*AK$34/($CH$34-$CG$34),0)</f>
        <v>15594.287436619717</v>
      </c>
      <c r="AE34" s="261">
        <f>IF(YEAR($CH$34)=2020,($CH$34-$BO$4)*AM$34/($CH$34-$CG$34),0)</f>
        <v>15594.284</v>
      </c>
      <c r="AF34" s="261">
        <f>IF(YEAR($CH$34)=2020,($CH$34-$BO$4)*AO$34/($CH$34-$CG$34),0)</f>
        <v>0</v>
      </c>
      <c r="AG34" s="261">
        <f>IF(YEAR($CH$34)=2020,($CH$34-$BO$4)*AQ$34/($CH$34-$CG$34),0)</f>
        <v>0</v>
      </c>
      <c r="AH34" s="65">
        <f>IF(YEAR($CH$34)=2020,($CH$34-$BO$4)*AS$34/($CH$34-$CG$34),0)</f>
        <v>176735.23814084509</v>
      </c>
      <c r="AI34" s="896">
        <f>SUM('3 pr-2'!L35)</f>
        <v>605024.19999999995</v>
      </c>
      <c r="AJ34" s="897"/>
      <c r="AK34" s="257">
        <f>SUM('3 pr-2'!O35)</f>
        <v>45376.82</v>
      </c>
      <c r="AL34" s="257"/>
      <c r="AM34" s="257">
        <f>SUM('3 pr-2'!R35)</f>
        <v>45376.81</v>
      </c>
      <c r="AN34" s="257"/>
      <c r="AO34" s="257">
        <f>SUM('3 pr-2'!U35)</f>
        <v>0</v>
      </c>
      <c r="AP34" s="257"/>
      <c r="AQ34" s="257">
        <f>SUM('3 pr-2'!X35)</f>
        <v>0</v>
      </c>
      <c r="AR34" s="476"/>
      <c r="AS34" s="898">
        <f>SUM('3 pr-2'!AA35)</f>
        <v>514270.57</v>
      </c>
      <c r="AT34" s="899"/>
      <c r="AU34" s="889"/>
      <c r="AV34" s="20"/>
      <c r="AW34" s="20"/>
      <c r="AX34" s="257"/>
      <c r="AY34" s="257"/>
      <c r="AZ34" s="257"/>
      <c r="BA34" s="257"/>
      <c r="BB34" s="20"/>
      <c r="BC34" s="20"/>
      <c r="BD34" s="257"/>
      <c r="BE34" s="257"/>
      <c r="BF34" s="257"/>
      <c r="BG34" s="257"/>
      <c r="BH34" s="20"/>
      <c r="BI34" s="20"/>
      <c r="BJ34" s="257"/>
      <c r="BK34" s="257"/>
      <c r="BL34" s="257"/>
      <c r="BM34" s="257"/>
      <c r="BN34" s="20"/>
      <c r="BO34" s="20"/>
      <c r="BP34" s="257"/>
      <c r="BQ34" s="257"/>
      <c r="BR34" s="257"/>
      <c r="BS34" s="257"/>
      <c r="BT34" s="20"/>
      <c r="BU34" s="20"/>
      <c r="BV34" s="257"/>
      <c r="BW34" s="257"/>
      <c r="BX34" s="257"/>
      <c r="BY34" s="257"/>
      <c r="BZ34" s="20"/>
      <c r="CA34" s="20"/>
      <c r="CB34" s="257"/>
      <c r="CC34" s="257"/>
      <c r="CD34" s="257"/>
      <c r="CE34" s="257"/>
      <c r="CF34" s="325"/>
      <c r="CG34" s="891">
        <f>SUM('3 pr-2'!AI35)</f>
        <v>43131</v>
      </c>
      <c r="CH34" s="891">
        <f>SUM('3 pr-2'!AK35)</f>
        <v>44196</v>
      </c>
      <c r="CI34" s="58">
        <f>SUM(P34+V34+AB34+AH34)</f>
        <v>514270.57</v>
      </c>
      <c r="CJ34" s="58">
        <f t="shared" si="119"/>
        <v>0</v>
      </c>
      <c r="CK34" s="900">
        <v>24</v>
      </c>
      <c r="CL34" s="900">
        <v>365</v>
      </c>
      <c r="CM34" s="900">
        <v>12</v>
      </c>
      <c r="CQ34" s="892">
        <f t="shared" si="120"/>
        <v>605024.19999999995</v>
      </c>
      <c r="CR34" s="893">
        <f t="shared" si="121"/>
        <v>514270.57</v>
      </c>
      <c r="CT34" s="900">
        <f>SUM(CL34/CM34)</f>
        <v>30.416666666666668</v>
      </c>
      <c r="CU34" s="900">
        <f>SUM(CK34*CT34)</f>
        <v>730</v>
      </c>
    </row>
    <row r="35" spans="1:99" s="900" customFormat="1" ht="25.5" thickTop="1" thickBot="1">
      <c r="A35" s="106" t="str">
        <f>CONCATENATE('3 pr-2'!A36:J36)</f>
        <v>1.1.1.2.3</v>
      </c>
      <c r="B35" s="107" t="str">
        <f>CONCATENATE('3 pr-2'!D36)</f>
        <v>Kompleksinė Miklusėnų gyvenvietės plėtra</v>
      </c>
      <c r="C35" s="61">
        <v>0</v>
      </c>
      <c r="D35" s="61">
        <v>0</v>
      </c>
      <c r="E35" s="61">
        <v>0</v>
      </c>
      <c r="F35" s="257">
        <v>0</v>
      </c>
      <c r="G35" s="257">
        <v>0</v>
      </c>
      <c r="H35" s="257">
        <v>0</v>
      </c>
      <c r="I35" s="257">
        <v>0</v>
      </c>
      <c r="J35" s="61">
        <v>0</v>
      </c>
      <c r="K35" s="61">
        <v>0</v>
      </c>
      <c r="L35" s="261">
        <v>0</v>
      </c>
      <c r="M35" s="261">
        <v>0</v>
      </c>
      <c r="N35" s="261">
        <v>0</v>
      </c>
      <c r="O35" s="261">
        <v>0</v>
      </c>
      <c r="P35" s="61">
        <v>0</v>
      </c>
      <c r="Q35" s="65">
        <v>0</v>
      </c>
      <c r="R35" s="261">
        <v>0</v>
      </c>
      <c r="S35" s="261">
        <v>0</v>
      </c>
      <c r="T35" s="261">
        <v>0</v>
      </c>
      <c r="U35" s="261">
        <v>0</v>
      </c>
      <c r="V35" s="65">
        <v>0</v>
      </c>
      <c r="W35" s="65">
        <f>SUM(($AC$2-$CG$35)*CL35)</f>
        <v>350984.35454545455</v>
      </c>
      <c r="X35" s="261">
        <f>SUM(($AC$2-$CG$35)*CM35)</f>
        <v>26324.154545454545</v>
      </c>
      <c r="Y35" s="261">
        <f>SUM(($AC$2-$CG$35)*CN35)</f>
        <v>26323.81818181818</v>
      </c>
      <c r="Z35" s="261">
        <f>IF(YEAR($CH$35)=2020,($BO$4-$BI$4)*AO$35/($CH$35-$CG$35),0)</f>
        <v>0</v>
      </c>
      <c r="AA35" s="261">
        <f>IF(YEAR($CH$35)=2020,($BO$4-$BI$4)*AQ$35/($CH$35-$CG$35),0)</f>
        <v>0</v>
      </c>
      <c r="AB35" s="65">
        <f>SUM(($AC$2-$CG$35)*CO35)</f>
        <v>298336.38181818184</v>
      </c>
      <c r="AC35" s="65">
        <f>SUM(($CH$35-$AC$2)*CL35)</f>
        <v>692482.64545454551</v>
      </c>
      <c r="AD35" s="261">
        <f>SUM(($CH$35-$AC$2)*CM35)</f>
        <v>51936.845454545452</v>
      </c>
      <c r="AE35" s="261">
        <f>SUM(($CH$35-$AC$2)*CN35)</f>
        <v>51936.181818181816</v>
      </c>
      <c r="AF35" s="261">
        <f>IF(YEAR($CH$35)=2020,($CH$35-$BO$4)*AO$35/($CH$35-$CG$35),0)</f>
        <v>0</v>
      </c>
      <c r="AG35" s="261">
        <f>IF(YEAR($CH$35)=2020,($CH$35-$BO$4)*AQ$35/($CH$35-$CG$35),0)</f>
        <v>0</v>
      </c>
      <c r="AH35" s="65">
        <f>SUM(($CH$35-$AC$2)*CO35)</f>
        <v>588609.61818181816</v>
      </c>
      <c r="AI35" s="896">
        <f>SUM('3 pr-2'!L36)</f>
        <v>1043467</v>
      </c>
      <c r="AJ35" s="897"/>
      <c r="AK35" s="257">
        <f>SUM('3 pr-2'!O36)</f>
        <v>78261</v>
      </c>
      <c r="AL35" s="257"/>
      <c r="AM35" s="257">
        <f>SUM('3 pr-2'!R36)</f>
        <v>78260</v>
      </c>
      <c r="AN35" s="257"/>
      <c r="AO35" s="257">
        <f>SUM('3 pr-2'!U36)</f>
        <v>0</v>
      </c>
      <c r="AP35" s="257"/>
      <c r="AQ35" s="257">
        <f>SUM('3 pr-2'!X36)</f>
        <v>0</v>
      </c>
      <c r="AR35" s="476"/>
      <c r="AS35" s="898">
        <f>SUM('3 pr-2'!AA36)</f>
        <v>886946</v>
      </c>
      <c r="AT35" s="899"/>
      <c r="AU35" s="889"/>
      <c r="AV35" s="20"/>
      <c r="AW35" s="20"/>
      <c r="AX35" s="257"/>
      <c r="AY35" s="257"/>
      <c r="AZ35" s="257"/>
      <c r="BA35" s="257"/>
      <c r="BB35" s="20"/>
      <c r="BC35" s="20"/>
      <c r="BD35" s="257"/>
      <c r="BE35" s="257"/>
      <c r="BF35" s="257"/>
      <c r="BG35" s="257"/>
      <c r="BH35" s="20"/>
      <c r="BI35" s="20"/>
      <c r="BJ35" s="257"/>
      <c r="BK35" s="257"/>
      <c r="BL35" s="257"/>
      <c r="BM35" s="257"/>
      <c r="BN35" s="20"/>
      <c r="BO35" s="20"/>
      <c r="BP35" s="257"/>
      <c r="BQ35" s="257"/>
      <c r="BR35" s="257"/>
      <c r="BS35" s="257"/>
      <c r="BT35" s="20"/>
      <c r="BU35" s="20"/>
      <c r="BV35" s="257"/>
      <c r="BW35" s="257"/>
      <c r="BX35" s="257"/>
      <c r="BY35" s="257"/>
      <c r="BZ35" s="20"/>
      <c r="CA35" s="20"/>
      <c r="CB35" s="257"/>
      <c r="CC35" s="257"/>
      <c r="CD35" s="257"/>
      <c r="CE35" s="257"/>
      <c r="CF35" s="325"/>
      <c r="CG35" s="891">
        <f>SUM('3 pr-2'!AI36)</f>
        <v>43646</v>
      </c>
      <c r="CH35" s="891">
        <v>44196</v>
      </c>
      <c r="CI35" s="58">
        <f>SUM(P35+V35+AB35+AH35)</f>
        <v>886946</v>
      </c>
      <c r="CJ35" s="58">
        <f t="shared" si="119"/>
        <v>0</v>
      </c>
      <c r="CK35" s="900">
        <v>24</v>
      </c>
      <c r="CL35" s="985">
        <f>SUM(AI35/(CH35-CG35))</f>
        <v>1897.2127272727273</v>
      </c>
      <c r="CM35" s="987">
        <f>SUM(AK35/($CH$35-$CG$35))</f>
        <v>142.29272727272726</v>
      </c>
      <c r="CN35" s="987">
        <f>SUM(AM35/($CH$35-$CG$35))</f>
        <v>142.29090909090908</v>
      </c>
      <c r="CO35" s="987">
        <f>SUM(AS35/($CH$35-$CG$35))</f>
        <v>1612.629090909091</v>
      </c>
      <c r="CQ35" s="892">
        <f t="shared" si="120"/>
        <v>1043467</v>
      </c>
      <c r="CR35" s="893">
        <f t="shared" si="121"/>
        <v>886946</v>
      </c>
      <c r="CT35" s="900">
        <f>SUM(CL35/CM35)</f>
        <v>13.333167222499075</v>
      </c>
      <c r="CU35" s="900">
        <f>SUM(CK35*CT35)</f>
        <v>319.99601333997782</v>
      </c>
    </row>
    <row r="36" spans="1:99" s="900" customFormat="1" ht="25.5" thickTop="1" thickBot="1">
      <c r="A36" s="106" t="str">
        <f>CONCATENATE('3 pr-2'!A37:J37)</f>
        <v>1.1.1.2.4</v>
      </c>
      <c r="B36" s="80" t="str">
        <f>CONCATENATE('3 pr-2'!D37)</f>
        <v>Leipalingio viešosios erdvės pritaikymas bendruomenės poreikiams</v>
      </c>
      <c r="C36" s="61">
        <v>0</v>
      </c>
      <c r="D36" s="61">
        <v>0</v>
      </c>
      <c r="E36" s="61">
        <v>0</v>
      </c>
      <c r="F36" s="257">
        <v>0</v>
      </c>
      <c r="G36" s="257">
        <v>0</v>
      </c>
      <c r="H36" s="257">
        <v>0</v>
      </c>
      <c r="I36" s="257">
        <v>0</v>
      </c>
      <c r="J36" s="61">
        <v>0</v>
      </c>
      <c r="K36" s="61">
        <v>0</v>
      </c>
      <c r="L36" s="261">
        <v>0</v>
      </c>
      <c r="M36" s="261">
        <v>0</v>
      </c>
      <c r="N36" s="261">
        <v>0</v>
      </c>
      <c r="O36" s="261">
        <v>0</v>
      </c>
      <c r="P36" s="61">
        <v>0</v>
      </c>
      <c r="Q36" s="65">
        <f>IF(YEAR($CG$36)=2018,($BI$4-$CG$36)*AI$36/($CH$36-$CG$36),0)</f>
        <v>158965.84616302187</v>
      </c>
      <c r="R36" s="261">
        <f>IF(YEAR($CG$36)=2018,($BI$4-$CG$36)*AK$36/($CH$36-$CG$36),0)</f>
        <v>52947.551928429421</v>
      </c>
      <c r="S36" s="261">
        <f>IF(YEAR($CG$36)=2018,($BI$4-$CG$36)*AM$36/($CH$36-$CG$36),0)</f>
        <v>8596.080357852883</v>
      </c>
      <c r="T36" s="261">
        <f>IF(YEAR($CG$36)=2018,($BI$4-$CG$36)*AO$36/($CH$36-$CG$36),0)</f>
        <v>0</v>
      </c>
      <c r="U36" s="261">
        <f>IF(YEAR($CG$36)=2018,($BI$4-$CG$36)*AQ$36/($CH$36-$CG$36),0)</f>
        <v>0</v>
      </c>
      <c r="V36" s="61">
        <f>IF(YEAR($CG$36)=2018,($BI$4-$CG$36)*AS$36/($CH$36-$CG$36),0)</f>
        <v>97422.213876739566</v>
      </c>
      <c r="W36" s="65">
        <f>IF(YEAR($CH$36)=2019,($CH$36-$BI$4)*AI$36/($CH$36-$CG$36),0)</f>
        <v>420453.14383697812</v>
      </c>
      <c r="X36" s="262">
        <f>IF(YEAR($CH$36)=2019,($CH$36-$BI$4)*AK$36/($CH$36-$CG$36),0)</f>
        <v>140042.43807157056</v>
      </c>
      <c r="Y36" s="262">
        <f>IF(YEAR($CH$36)=2019,($CH$36-$BI$4)*AM$36/($CH$36-$CG$36),0)</f>
        <v>22736.009642147117</v>
      </c>
      <c r="Z36" s="262">
        <f>IF(YEAR($CH$36)=2019,($CH$36-$BI$4)*AO$36/($CH$36-$CG$36),0)</f>
        <v>0</v>
      </c>
      <c r="AA36" s="262">
        <f>IF(YEAR($CH$36)=2019,($CH$36-$BI$4)*AQ$36/($CH$36-$CG$36),0)</f>
        <v>0</v>
      </c>
      <c r="AB36" s="61">
        <f>IF(YEAR($CH$36)=2019,($CH$36-$BI$4)*AS$36/($CH$36-$CG$36),0)</f>
        <v>257674.69612326042</v>
      </c>
      <c r="AC36" s="61">
        <v>0</v>
      </c>
      <c r="AD36" s="262">
        <v>0</v>
      </c>
      <c r="AE36" s="262">
        <v>0</v>
      </c>
      <c r="AF36" s="262">
        <v>0</v>
      </c>
      <c r="AG36" s="262">
        <v>0</v>
      </c>
      <c r="AH36" s="61">
        <v>0</v>
      </c>
      <c r="AI36" s="661">
        <f>SUM('3 pr-2'!L37)</f>
        <v>579418.99</v>
      </c>
      <c r="AJ36" s="92"/>
      <c r="AK36" s="257">
        <f>SUM('3 pr-2'!O37)</f>
        <v>192989.99</v>
      </c>
      <c r="AL36" s="257"/>
      <c r="AM36" s="257">
        <f>SUM('3 pr-2'!R37)</f>
        <v>31332.09</v>
      </c>
      <c r="AN36" s="257"/>
      <c r="AO36" s="257">
        <f>SUM('3 pr-2'!U37)</f>
        <v>0</v>
      </c>
      <c r="AP36" s="257"/>
      <c r="AQ36" s="257">
        <f>SUM('3 pr-2'!X37)</f>
        <v>0</v>
      </c>
      <c r="AR36" s="476"/>
      <c r="AS36" s="93">
        <f>SUM('3 pr-2'!AA37)</f>
        <v>355096.91</v>
      </c>
      <c r="AT36" s="432"/>
      <c r="AU36" s="889"/>
      <c r="AV36" s="20"/>
      <c r="AW36" s="20"/>
      <c r="AX36" s="257"/>
      <c r="AY36" s="257"/>
      <c r="AZ36" s="257"/>
      <c r="BA36" s="257"/>
      <c r="BB36" s="20"/>
      <c r="BC36" s="20"/>
      <c r="BD36" s="257"/>
      <c r="BE36" s="257"/>
      <c r="BF36" s="257"/>
      <c r="BG36" s="257"/>
      <c r="BH36" s="20"/>
      <c r="BI36" s="20"/>
      <c r="BJ36" s="257"/>
      <c r="BK36" s="257"/>
      <c r="BL36" s="257"/>
      <c r="BM36" s="257"/>
      <c r="BN36" s="20"/>
      <c r="BO36" s="20"/>
      <c r="BP36" s="257"/>
      <c r="BQ36" s="257"/>
      <c r="BR36" s="257"/>
      <c r="BS36" s="257"/>
      <c r="BT36" s="20"/>
      <c r="BU36" s="20"/>
      <c r="BV36" s="257"/>
      <c r="BW36" s="257"/>
      <c r="BX36" s="257"/>
      <c r="BY36" s="257"/>
      <c r="BZ36" s="20"/>
      <c r="CA36" s="20"/>
      <c r="CB36" s="257"/>
      <c r="CC36" s="257"/>
      <c r="CD36" s="257"/>
      <c r="CE36" s="257"/>
      <c r="CF36" s="325"/>
      <c r="CG36" s="891">
        <f>SUM('3 pr-2'!AI37)</f>
        <v>43327</v>
      </c>
      <c r="CH36" s="891">
        <f>SUM('3 pr-2'!AK37)</f>
        <v>43830</v>
      </c>
      <c r="CI36" s="58">
        <f>SUM(P36+V36+AB36+AH36)</f>
        <v>355096.91</v>
      </c>
      <c r="CJ36" s="58">
        <f t="shared" si="119"/>
        <v>0</v>
      </c>
      <c r="CK36" s="900">
        <v>21</v>
      </c>
      <c r="CL36" s="900">
        <v>365</v>
      </c>
      <c r="CM36" s="900">
        <v>12</v>
      </c>
      <c r="CQ36" s="892">
        <f t="shared" si="120"/>
        <v>579418.99</v>
      </c>
      <c r="CR36" s="893">
        <f t="shared" si="121"/>
        <v>355096.91</v>
      </c>
      <c r="CT36" s="900">
        <f>SUM(CL36/CM36)</f>
        <v>30.416666666666668</v>
      </c>
      <c r="CU36" s="900">
        <f>SUM(CK36*CT36)</f>
        <v>638.75</v>
      </c>
    </row>
    <row r="37" spans="1:99" s="900" customFormat="1" ht="29.25" customHeight="1" thickTop="1" thickBot="1">
      <c r="A37" s="106" t="str">
        <f>CONCATENATE('3 pr-2'!A38:J38)</f>
        <v>1.1.1.2.5</v>
      </c>
      <c r="B37" s="81" t="str">
        <f>CONCATENATE('3 pr-2'!D38)</f>
        <v>Viečiūnų viešosios erdvės pritaikymas bendruomenės poreikiams</v>
      </c>
      <c r="C37" s="61">
        <v>0</v>
      </c>
      <c r="D37" s="61">
        <v>0</v>
      </c>
      <c r="E37" s="61">
        <v>0</v>
      </c>
      <c r="F37" s="257">
        <v>0</v>
      </c>
      <c r="G37" s="257">
        <v>0</v>
      </c>
      <c r="H37" s="257">
        <v>0</v>
      </c>
      <c r="I37" s="257">
        <v>0</v>
      </c>
      <c r="J37" s="61">
        <v>0</v>
      </c>
      <c r="K37" s="61">
        <v>0</v>
      </c>
      <c r="L37" s="261">
        <v>0</v>
      </c>
      <c r="M37" s="261">
        <v>0</v>
      </c>
      <c r="N37" s="261">
        <v>0</v>
      </c>
      <c r="O37" s="261">
        <v>0</v>
      </c>
      <c r="P37" s="65">
        <f>SUM('ketv. 7 '!AM36)</f>
        <v>0</v>
      </c>
      <c r="Q37" s="65">
        <f>SUM(CL37*(W2-CG37))</f>
        <v>200342.10810810811</v>
      </c>
      <c r="R37" s="261">
        <f>SUM(CM37*($W$2-CG37))</f>
        <v>15025.702702702702</v>
      </c>
      <c r="S37" s="261">
        <f>SUM(CN37*($W$2-CG37))</f>
        <v>15025.655135135135</v>
      </c>
      <c r="T37" s="261">
        <v>0</v>
      </c>
      <c r="U37" s="261">
        <v>0</v>
      </c>
      <c r="V37" s="65">
        <f>SUM(CO37*(W$2-CG$37))</f>
        <v>170290.75027027028</v>
      </c>
      <c r="W37" s="65">
        <f>SUM(CL37*($AC$2-$W$2))-CL37</f>
        <v>473535.89189189189</v>
      </c>
      <c r="X37" s="261">
        <f>SUM(CM37*($AC$2-$W$2))-CM37</f>
        <v>35515.2972972973</v>
      </c>
      <c r="Y37" s="261">
        <f>SUM(CN37*($AC$2-$W$2))-CN37</f>
        <v>35515.184864864859</v>
      </c>
      <c r="Z37" s="261">
        <v>0</v>
      </c>
      <c r="AA37" s="261">
        <v>0</v>
      </c>
      <c r="AB37" s="65">
        <f>SUM(CO37*($AC$2-$W$2))-CO37</f>
        <v>402505.40972972976</v>
      </c>
      <c r="AC37" s="61">
        <v>0</v>
      </c>
      <c r="AD37" s="262">
        <v>0</v>
      </c>
      <c r="AE37" s="262">
        <v>0</v>
      </c>
      <c r="AF37" s="262">
        <v>0</v>
      </c>
      <c r="AG37" s="262">
        <v>0</v>
      </c>
      <c r="AH37" s="61">
        <v>0</v>
      </c>
      <c r="AI37" s="661">
        <f>SUM('3 pr-2'!L38)</f>
        <v>673878</v>
      </c>
      <c r="AJ37" s="92"/>
      <c r="AK37" s="257">
        <f>SUM('3 pr-2'!O38)</f>
        <v>50541</v>
      </c>
      <c r="AL37" s="257"/>
      <c r="AM37" s="257">
        <f>SUM('3 pr-2'!R38)</f>
        <v>50540.84</v>
      </c>
      <c r="AN37" s="257"/>
      <c r="AO37" s="257">
        <f>SUM('3 pr-2'!U38)</f>
        <v>0</v>
      </c>
      <c r="AP37" s="257"/>
      <c r="AQ37" s="257">
        <f>SUM('3 pr-2'!X38)</f>
        <v>0</v>
      </c>
      <c r="AR37" s="476"/>
      <c r="AS37" s="93">
        <f>SUM('3 pr-2'!AA38)</f>
        <v>572796.16000000003</v>
      </c>
      <c r="AT37" s="432"/>
      <c r="AU37" s="889"/>
      <c r="AV37" s="20"/>
      <c r="AW37" s="20"/>
      <c r="AX37" s="257"/>
      <c r="AY37" s="257"/>
      <c r="AZ37" s="257"/>
      <c r="BA37" s="257"/>
      <c r="BB37" s="20"/>
      <c r="BC37" s="20"/>
      <c r="BD37" s="257"/>
      <c r="BE37" s="257"/>
      <c r="BF37" s="257"/>
      <c r="BG37" s="257"/>
      <c r="BH37" s="20"/>
      <c r="BI37" s="20"/>
      <c r="BJ37" s="257"/>
      <c r="BK37" s="257"/>
      <c r="BL37" s="257"/>
      <c r="BM37" s="257"/>
      <c r="BN37" s="20"/>
      <c r="BO37" s="20"/>
      <c r="BP37" s="257"/>
      <c r="BQ37" s="257"/>
      <c r="BR37" s="257"/>
      <c r="BS37" s="257"/>
      <c r="BT37" s="20"/>
      <c r="BU37" s="20"/>
      <c r="BV37" s="257"/>
      <c r="BW37" s="257"/>
      <c r="BX37" s="257"/>
      <c r="BY37" s="257"/>
      <c r="BZ37" s="20"/>
      <c r="CA37" s="20"/>
      <c r="CB37" s="257"/>
      <c r="CC37" s="257"/>
      <c r="CD37" s="257"/>
      <c r="CE37" s="257"/>
      <c r="CF37" s="325"/>
      <c r="CG37" s="891">
        <f>SUM('3 pr-2'!AI38)</f>
        <v>43312</v>
      </c>
      <c r="CH37" s="891">
        <f>SUM('3 pr-2'!AK38)</f>
        <v>43830</v>
      </c>
      <c r="CI37" s="58">
        <f>SUM(P37+V37+AB37+AH37)</f>
        <v>572796.16000000003</v>
      </c>
      <c r="CJ37" s="58">
        <f t="shared" si="119"/>
        <v>0</v>
      </c>
      <c r="CK37" s="900">
        <f>SUM(Q3-CG37)</f>
        <v>153</v>
      </c>
      <c r="CL37" s="985">
        <f>SUM(AI37/518)</f>
        <v>1300.9227799227799</v>
      </c>
      <c r="CM37" s="987">
        <f>SUM(AK37/518)</f>
        <v>97.569498069498067</v>
      </c>
      <c r="CN37" s="987">
        <f>SUM(AM37/518)</f>
        <v>97.569189189189188</v>
      </c>
      <c r="CO37" s="987">
        <f>SUM(AS37/518)</f>
        <v>1105.7840926640927</v>
      </c>
      <c r="CP37" s="900">
        <f>SUM(AS37/(CK37+CL37+CM37))</f>
        <v>369.19046786441754</v>
      </c>
      <c r="CQ37" s="892">
        <f t="shared" si="120"/>
        <v>673878</v>
      </c>
      <c r="CR37" s="893">
        <f t="shared" si="121"/>
        <v>572796.16000000003</v>
      </c>
      <c r="CT37" s="900">
        <f>SUM(CL37/CM37)</f>
        <v>13.333293761500563</v>
      </c>
      <c r="CU37" s="900">
        <f>SUM(CK37*CT37)</f>
        <v>2039.9939455095862</v>
      </c>
    </row>
    <row r="38" spans="1:99" ht="27" thickBot="1">
      <c r="A38" s="253" t="str">
        <f>CONCATENATE('3 pr-2'!A39)</f>
        <v>1.1.1.3</v>
      </c>
      <c r="B38" s="103" t="str">
        <f>CONCATENATE('3 pr-2'!B39)</f>
        <v>Priemonė:
Varėnos miesto kompleksinė plėtra</v>
      </c>
      <c r="C38" s="901">
        <f t="shared" ref="C38:J38" si="122">SUM(C39:C43)</f>
        <v>0</v>
      </c>
      <c r="D38" s="901">
        <f t="shared" si="122"/>
        <v>0</v>
      </c>
      <c r="E38" s="901">
        <f t="shared" si="122"/>
        <v>0</v>
      </c>
      <c r="F38" s="901"/>
      <c r="G38" s="901"/>
      <c r="H38" s="901"/>
      <c r="I38" s="901"/>
      <c r="J38" s="901">
        <f t="shared" si="122"/>
        <v>0</v>
      </c>
      <c r="K38" s="901">
        <f t="shared" ref="K38:P38" si="123">SUM(K39:K44)</f>
        <v>1186280.8599999999</v>
      </c>
      <c r="L38" s="901">
        <f t="shared" si="123"/>
        <v>38985.35</v>
      </c>
      <c r="M38" s="901">
        <f t="shared" si="123"/>
        <v>117616.09999999999</v>
      </c>
      <c r="N38" s="901">
        <f t="shared" si="123"/>
        <v>0</v>
      </c>
      <c r="O38" s="901">
        <f t="shared" si="123"/>
        <v>0</v>
      </c>
      <c r="P38" s="901">
        <f t="shared" si="123"/>
        <v>1029679.4099999999</v>
      </c>
      <c r="Q38" s="901">
        <f>SUM(Q39:Q44)</f>
        <v>1309990.3536709435</v>
      </c>
      <c r="R38" s="901">
        <f t="shared" ref="R38:AS38" si="124">SUM(R39:R44)</f>
        <v>150424.70260949936</v>
      </c>
      <c r="S38" s="901">
        <f t="shared" si="124"/>
        <v>69426.778346096049</v>
      </c>
      <c r="T38" s="901">
        <f t="shared" si="124"/>
        <v>0</v>
      </c>
      <c r="U38" s="901">
        <f t="shared" si="124"/>
        <v>0</v>
      </c>
      <c r="V38" s="901">
        <f t="shared" si="124"/>
        <v>1090138.8727153484</v>
      </c>
      <c r="W38" s="901">
        <f t="shared" si="124"/>
        <v>1344426.29138011</v>
      </c>
      <c r="X38" s="901">
        <f t="shared" si="124"/>
        <v>107339.82469583589</v>
      </c>
      <c r="Y38" s="901">
        <f t="shared" si="124"/>
        <v>100304.3050679166</v>
      </c>
      <c r="Z38" s="901">
        <f t="shared" si="124"/>
        <v>0</v>
      </c>
      <c r="AA38" s="901">
        <f t="shared" si="124"/>
        <v>0</v>
      </c>
      <c r="AB38" s="901">
        <f t="shared" si="124"/>
        <v>1136782.1616163575</v>
      </c>
      <c r="AC38" s="901">
        <f t="shared" si="124"/>
        <v>519034.62494894641</v>
      </c>
      <c r="AD38" s="901">
        <f t="shared" si="124"/>
        <v>39450.482694664766</v>
      </c>
      <c r="AE38" s="901">
        <f t="shared" si="124"/>
        <v>38885.126585987367</v>
      </c>
      <c r="AF38" s="901">
        <f t="shared" si="124"/>
        <v>0</v>
      </c>
      <c r="AG38" s="901">
        <f t="shared" si="124"/>
        <v>0</v>
      </c>
      <c r="AH38" s="901">
        <f t="shared" si="124"/>
        <v>440699.01566829428</v>
      </c>
      <c r="AI38" s="902">
        <f t="shared" si="124"/>
        <v>4359732.13</v>
      </c>
      <c r="AJ38" s="901"/>
      <c r="AK38" s="901">
        <f t="shared" si="124"/>
        <v>336200.36</v>
      </c>
      <c r="AL38" s="901"/>
      <c r="AM38" s="901">
        <f t="shared" si="124"/>
        <v>326232.31000000006</v>
      </c>
      <c r="AN38" s="901"/>
      <c r="AO38" s="901">
        <f t="shared" si="124"/>
        <v>0</v>
      </c>
      <c r="AP38" s="901"/>
      <c r="AQ38" s="901">
        <f t="shared" si="124"/>
        <v>0</v>
      </c>
      <c r="AR38" s="901"/>
      <c r="AS38" s="901">
        <f t="shared" si="124"/>
        <v>3697299.46</v>
      </c>
      <c r="AT38" s="901"/>
      <c r="AU38" s="889">
        <v>0</v>
      </c>
      <c r="AV38" s="20">
        <v>0</v>
      </c>
      <c r="AW38" s="20">
        <v>0</v>
      </c>
      <c r="AX38" s="901">
        <v>0</v>
      </c>
      <c r="AY38" s="901">
        <v>0</v>
      </c>
      <c r="AZ38" s="901">
        <v>0</v>
      </c>
      <c r="BA38" s="901">
        <v>0</v>
      </c>
      <c r="BB38" s="20">
        <v>0</v>
      </c>
      <c r="BC38" s="20">
        <v>50</v>
      </c>
      <c r="BD38" s="901">
        <v>50</v>
      </c>
      <c r="BE38" s="901">
        <v>50</v>
      </c>
      <c r="BF38" s="901">
        <v>50</v>
      </c>
      <c r="BG38" s="901">
        <v>50</v>
      </c>
      <c r="BH38" s="20">
        <v>50</v>
      </c>
      <c r="BI38" s="20">
        <v>25</v>
      </c>
      <c r="BJ38" s="901">
        <v>25</v>
      </c>
      <c r="BK38" s="901">
        <v>25</v>
      </c>
      <c r="BL38" s="901">
        <v>25</v>
      </c>
      <c r="BM38" s="901">
        <v>25</v>
      </c>
      <c r="BN38" s="20">
        <v>25</v>
      </c>
      <c r="BO38" s="20">
        <v>25</v>
      </c>
      <c r="BP38" s="901">
        <v>25</v>
      </c>
      <c r="BQ38" s="901">
        <v>25</v>
      </c>
      <c r="BR38" s="901">
        <v>25</v>
      </c>
      <c r="BS38" s="901">
        <v>25</v>
      </c>
      <c r="BT38" s="20">
        <v>25</v>
      </c>
      <c r="BU38" s="20">
        <v>0</v>
      </c>
      <c r="BV38" s="901">
        <v>0</v>
      </c>
      <c r="BW38" s="901">
        <v>0</v>
      </c>
      <c r="BX38" s="901">
        <v>0</v>
      </c>
      <c r="BY38" s="901">
        <v>0</v>
      </c>
      <c r="BZ38" s="20">
        <v>0</v>
      </c>
      <c r="CA38" s="20">
        <v>100</v>
      </c>
      <c r="CB38" s="901">
        <v>100</v>
      </c>
      <c r="CC38" s="901">
        <v>100</v>
      </c>
      <c r="CD38" s="901">
        <v>100</v>
      </c>
      <c r="CE38" s="901">
        <v>100</v>
      </c>
      <c r="CF38" s="325">
        <v>100</v>
      </c>
      <c r="CG38" s="890"/>
      <c r="CH38" s="19"/>
    </row>
    <row r="39" spans="1:99" ht="37.5" thickTop="1" thickBot="1">
      <c r="A39" s="106" t="str">
        <f>CONCATENATE('3 pr-2'!A40:J40)</f>
        <v>1.1.1.3.1</v>
      </c>
      <c r="B39" s="81" t="str">
        <f>CONCATENATE('3 pr-2'!D40)</f>
        <v>Varėnos miesto centrinės dalies modernizavimas ir pritaikymas visuomenės poreikiams (I etapas)</v>
      </c>
      <c r="C39" s="65">
        <v>0</v>
      </c>
      <c r="D39" s="65">
        <v>0</v>
      </c>
      <c r="E39" s="65">
        <v>0</v>
      </c>
      <c r="F39" s="257">
        <v>0</v>
      </c>
      <c r="G39" s="257">
        <v>0</v>
      </c>
      <c r="H39" s="257">
        <f>IF(YEAR($CG$39)=2016,($AW$4-$CG$39)*AO$39/($CH$39-$CG$39),0)</f>
        <v>0</v>
      </c>
      <c r="I39" s="257">
        <f>IF(YEAR($CG$39)=2016,($AW$4-$CG$39)*AQ$39/($CH$39-$CG$39),0)</f>
        <v>0</v>
      </c>
      <c r="J39" s="65">
        <v>0</v>
      </c>
      <c r="K39" s="65">
        <f>SUM('ketv. 7 '!M38)</f>
        <v>1049428.6299999999</v>
      </c>
      <c r="L39" s="261">
        <f>SUM('ketv. 7 '!S38)</f>
        <v>32471.439999999999</v>
      </c>
      <c r="M39" s="261">
        <f>SUM('ketv. 7 '!X38)</f>
        <v>107048.12</v>
      </c>
      <c r="N39" s="261">
        <v>0</v>
      </c>
      <c r="O39" s="261">
        <v>0</v>
      </c>
      <c r="P39" s="65">
        <f>SUM('ketv. 7 '!AM38)</f>
        <v>909909.07</v>
      </c>
      <c r="Q39" s="65">
        <f>SUM(V39+S39+R39)</f>
        <v>467397.0400000001</v>
      </c>
      <c r="R39" s="261">
        <f>SUM(AK39-L39)</f>
        <v>81290.5</v>
      </c>
      <c r="S39" s="261">
        <f>SUM(AM39-M39)</f>
        <v>6713.8000000000029</v>
      </c>
      <c r="T39" s="261">
        <v>0</v>
      </c>
      <c r="U39" s="261">
        <v>0</v>
      </c>
      <c r="V39" s="65">
        <f>SUM(AS39-P39)</f>
        <v>379392.74000000011</v>
      </c>
      <c r="W39" s="65">
        <v>0</v>
      </c>
      <c r="X39" s="261">
        <v>0</v>
      </c>
      <c r="Y39" s="261">
        <v>0</v>
      </c>
      <c r="Z39" s="261">
        <v>0</v>
      </c>
      <c r="AA39" s="261">
        <v>0</v>
      </c>
      <c r="AB39" s="65">
        <v>0</v>
      </c>
      <c r="AC39" s="65">
        <v>0</v>
      </c>
      <c r="AD39" s="261">
        <v>0</v>
      </c>
      <c r="AE39" s="261">
        <v>0</v>
      </c>
      <c r="AF39" s="261">
        <v>0</v>
      </c>
      <c r="AG39" s="261">
        <v>0</v>
      </c>
      <c r="AH39" s="65">
        <v>0</v>
      </c>
      <c r="AI39" s="903">
        <f>SUM('3 pr-2'!L40)</f>
        <v>1516825.67</v>
      </c>
      <c r="AJ39" s="904"/>
      <c r="AK39" s="257">
        <f>SUM('3 pr-2'!O40)</f>
        <v>113761.94</v>
      </c>
      <c r="AL39" s="438"/>
      <c r="AM39" s="257">
        <f>SUM('3 pr-2'!R40)</f>
        <v>113761.92</v>
      </c>
      <c r="AN39" s="438"/>
      <c r="AO39" s="257">
        <f>SUM('3 pr-2'!U40)</f>
        <v>0</v>
      </c>
      <c r="AP39" s="257"/>
      <c r="AQ39" s="257">
        <f>SUM('3 pr-2'!X40)</f>
        <v>0</v>
      </c>
      <c r="AR39" s="257"/>
      <c r="AS39" s="12">
        <f>SUM('3 pr-2'!AA40)</f>
        <v>1289301.81</v>
      </c>
      <c r="AT39" s="905"/>
      <c r="AU39" s="889"/>
      <c r="AV39" s="20"/>
      <c r="AW39" s="20"/>
      <c r="AX39" s="257"/>
      <c r="AY39" s="257"/>
      <c r="AZ39" s="257"/>
      <c r="BA39" s="257"/>
      <c r="BB39" s="20"/>
      <c r="BC39" s="20"/>
      <c r="BD39" s="257"/>
      <c r="BE39" s="257"/>
      <c r="BF39" s="257"/>
      <c r="BG39" s="257"/>
      <c r="BH39" s="20"/>
      <c r="BI39" s="20"/>
      <c r="BJ39" s="257"/>
      <c r="BK39" s="257"/>
      <c r="BL39" s="257"/>
      <c r="BM39" s="257"/>
      <c r="BN39" s="20"/>
      <c r="BO39" s="20"/>
      <c r="BP39" s="257"/>
      <c r="BQ39" s="257"/>
      <c r="BR39" s="257"/>
      <c r="BS39" s="257"/>
      <c r="BT39" s="20"/>
      <c r="BU39" s="20"/>
      <c r="BV39" s="257"/>
      <c r="BW39" s="257"/>
      <c r="BX39" s="257"/>
      <c r="BY39" s="257"/>
      <c r="BZ39" s="20"/>
      <c r="CA39" s="20"/>
      <c r="CB39" s="257"/>
      <c r="CC39" s="257"/>
      <c r="CD39" s="257"/>
      <c r="CE39" s="257"/>
      <c r="CF39" s="325"/>
      <c r="CG39" s="891">
        <f>SUM('3 pr-2'!AI40)</f>
        <v>42735</v>
      </c>
      <c r="CH39" s="891">
        <f>SUM('3 pr-2'!AK40)</f>
        <v>43465</v>
      </c>
      <c r="CI39" s="58">
        <f>SUM(J39+P39+V39+AB39+AH39)</f>
        <v>1289301.81</v>
      </c>
      <c r="CJ39" s="58">
        <f t="shared" si="119"/>
        <v>0</v>
      </c>
      <c r="CK39" s="900">
        <v>24</v>
      </c>
      <c r="CL39" s="900">
        <v>365</v>
      </c>
      <c r="CM39" s="900">
        <v>12</v>
      </c>
      <c r="CN39" s="900"/>
      <c r="CO39" s="900"/>
      <c r="CP39" s="900"/>
      <c r="CQ39" s="900"/>
      <c r="CR39" s="900">
        <f>SUM(CL39/CM39)</f>
        <v>30.416666666666668</v>
      </c>
      <c r="CS39" s="900">
        <f>SUM(CK39*CR39)</f>
        <v>730</v>
      </c>
    </row>
    <row r="40" spans="1:99" ht="37.5" thickTop="1" thickBot="1">
      <c r="A40" s="106" t="str">
        <f>CONCATENATE('3 pr-2'!A41:J41)</f>
        <v>1.1.1.3.2</v>
      </c>
      <c r="B40" s="81" t="str">
        <f>CONCATENATE('3 pr-2'!D41)</f>
        <v>Varėnos miesto centrinės dalies modernizavimas ir pritaikymas visuomenės poreikiams (II etapas)</v>
      </c>
      <c r="C40" s="65">
        <v>0</v>
      </c>
      <c r="D40" s="65">
        <v>0</v>
      </c>
      <c r="E40" s="65">
        <v>0</v>
      </c>
      <c r="F40" s="257">
        <v>0</v>
      </c>
      <c r="G40" s="257">
        <v>0</v>
      </c>
      <c r="H40" s="257">
        <v>0</v>
      </c>
      <c r="I40" s="257">
        <v>0</v>
      </c>
      <c r="J40" s="65">
        <v>0</v>
      </c>
      <c r="K40" s="65">
        <f>SUM('ketv. 7 '!M39)</f>
        <v>136852.22999999998</v>
      </c>
      <c r="L40" s="261">
        <f>SUM('ketv. 7 '!S39)</f>
        <v>6513.91</v>
      </c>
      <c r="M40" s="261">
        <f>SUM('ketv. 7 '!X39)</f>
        <v>10567.98</v>
      </c>
      <c r="N40" s="261">
        <v>0</v>
      </c>
      <c r="O40" s="261">
        <v>0</v>
      </c>
      <c r="P40" s="65">
        <f>SUM('ketv. 7 '!AM39)</f>
        <v>119770.34</v>
      </c>
      <c r="Q40" s="65">
        <f>IF(YEAR($CH$40)&gt;2017,($BI$4-$BC$4)*AJ40/($CH$40-$BC$4),0)</f>
        <v>339125.38500000001</v>
      </c>
      <c r="R40" s="261">
        <f>IF(YEAR($CH$40)&gt;2017,($BI$4-$BC$4)*AL40/($CH$40-$BC$4),0)</f>
        <v>31372.544999999998</v>
      </c>
      <c r="S40" s="261">
        <f>IF(YEAR($CH$40)&gt;2017,($BI$4-$BC$4)*AN40/($CH$40-$BC$4),0)</f>
        <v>24953.010000000002</v>
      </c>
      <c r="T40" s="261">
        <f>IF(YEAR($CH$40)&gt;2017,($BI$4-$BC$4)*AO$40/($CH$40-$CG$40),0)</f>
        <v>0</v>
      </c>
      <c r="U40" s="261">
        <f>IF(YEAR($CH$40)&gt;2017,($BI$4-$BC$4)*AQ$40/($CH$40-$CG$40),0)</f>
        <v>0</v>
      </c>
      <c r="V40" s="65">
        <f>IF(YEAR($CH$40)&gt;2017,($BI$4-$BC$4)*AT40/($CH$40-$BC$4),0)</f>
        <v>282799.83</v>
      </c>
      <c r="W40" s="65">
        <f>IF(YEAR($CH$40)=2019,($CH$40-$BI$4)*AJ40/($CH$40-$BC$4),0)</f>
        <v>339125.38500000001</v>
      </c>
      <c r="X40" s="261">
        <f>IF(YEAR($CH$40)=2019,($CH$40-$BI$4)*AL40/($CH$40-$BC$4),0)</f>
        <v>31372.544999999998</v>
      </c>
      <c r="Y40" s="261">
        <f>IF(YEAR($CH$40)=2019,($CH$40-$BI$4)*AN40/($CH$40-$BC$4),0)</f>
        <v>24953.010000000002</v>
      </c>
      <c r="Z40" s="261">
        <f>IF(YEAR($CH$40)=2019,($CH$40-$BI$4)*AO$40/($CH$40-$CG$40),0)</f>
        <v>0</v>
      </c>
      <c r="AA40" s="261">
        <f>IF(YEAR($CH$40)=2019,($CH$40-$BI$4)*AQ$40/($CH$40-$CG$40),0)</f>
        <v>0</v>
      </c>
      <c r="AB40" s="65">
        <f>IF(YEAR($CH$40)=2019,($CH$40-$BI$4)*AT40/($CH$40-$BC$4),0)</f>
        <v>282799.83</v>
      </c>
      <c r="AC40" s="65">
        <v>0</v>
      </c>
      <c r="AD40" s="261">
        <v>0</v>
      </c>
      <c r="AE40" s="261">
        <v>0</v>
      </c>
      <c r="AF40" s="261">
        <v>0</v>
      </c>
      <c r="AG40" s="261">
        <v>0</v>
      </c>
      <c r="AH40" s="65">
        <v>0</v>
      </c>
      <c r="AI40" s="903">
        <f>SUM('3 pr-2'!L41)</f>
        <v>815103</v>
      </c>
      <c r="AJ40" s="904">
        <f>SUM(AI40-K40)</f>
        <v>678250.77</v>
      </c>
      <c r="AK40" s="257">
        <f>SUM('3 pr-2'!O41)</f>
        <v>69259</v>
      </c>
      <c r="AL40" s="438">
        <f>SUM(AK40-L40)</f>
        <v>62745.09</v>
      </c>
      <c r="AM40" s="257">
        <f>SUM('3 pr-2'!R41)</f>
        <v>60474</v>
      </c>
      <c r="AN40" s="438">
        <f>SUM(AM40-M40)</f>
        <v>49906.020000000004</v>
      </c>
      <c r="AO40" s="257">
        <f>SUM('3 pr-2'!U41)</f>
        <v>0</v>
      </c>
      <c r="AP40" s="257"/>
      <c r="AQ40" s="257">
        <f>SUM('3 pr-2'!X41)</f>
        <v>0</v>
      </c>
      <c r="AR40" s="257"/>
      <c r="AS40" s="12">
        <f>SUM('3 pr-2'!AA41)</f>
        <v>685370</v>
      </c>
      <c r="AT40" s="905">
        <f>SUM(AS40-P40)</f>
        <v>565599.66</v>
      </c>
      <c r="AU40" s="889"/>
      <c r="AV40" s="20"/>
      <c r="AW40" s="20"/>
      <c r="AX40" s="257"/>
      <c r="AY40" s="257"/>
      <c r="AZ40" s="257"/>
      <c r="BA40" s="257"/>
      <c r="BB40" s="20"/>
      <c r="BC40" s="20"/>
      <c r="BD40" s="257"/>
      <c r="BE40" s="257"/>
      <c r="BF40" s="257"/>
      <c r="BG40" s="257"/>
      <c r="BH40" s="20"/>
      <c r="BI40" s="20"/>
      <c r="BJ40" s="257"/>
      <c r="BK40" s="257"/>
      <c r="BL40" s="257"/>
      <c r="BM40" s="257"/>
      <c r="BN40" s="20"/>
      <c r="BO40" s="20"/>
      <c r="BP40" s="257"/>
      <c r="BQ40" s="257"/>
      <c r="BR40" s="257"/>
      <c r="BS40" s="257"/>
      <c r="BT40" s="20"/>
      <c r="BU40" s="20"/>
      <c r="BV40" s="257"/>
      <c r="BW40" s="257"/>
      <c r="BX40" s="257"/>
      <c r="BY40" s="257"/>
      <c r="BZ40" s="20"/>
      <c r="CA40" s="20"/>
      <c r="CB40" s="257"/>
      <c r="CC40" s="257"/>
      <c r="CD40" s="257"/>
      <c r="CE40" s="257"/>
      <c r="CF40" s="325"/>
      <c r="CG40" s="891">
        <f>SUM('3 pr-2'!AI41)</f>
        <v>42978</v>
      </c>
      <c r="CH40" s="891">
        <f>SUM('3 pr-2'!AK41)</f>
        <v>43830</v>
      </c>
      <c r="CI40" s="58">
        <f>SUM(P40+V40+AB40)</f>
        <v>685370</v>
      </c>
      <c r="CJ40" s="58">
        <f t="shared" si="119"/>
        <v>0</v>
      </c>
      <c r="CK40" s="900">
        <v>24</v>
      </c>
      <c r="CL40" s="900">
        <v>365</v>
      </c>
      <c r="CM40" s="900">
        <v>12</v>
      </c>
      <c r="CN40" s="900"/>
      <c r="CO40" s="900"/>
      <c r="CP40" s="900"/>
      <c r="CQ40" s="900"/>
      <c r="CR40" s="900">
        <f>SUM(CL40/CM40)</f>
        <v>30.416666666666668</v>
      </c>
      <c r="CS40" s="900">
        <f>SUM(CK40*CR40)</f>
        <v>730</v>
      </c>
    </row>
    <row r="41" spans="1:99" ht="37.5" thickTop="1" thickBot="1">
      <c r="A41" s="106" t="str">
        <f>CONCATENATE('3 pr-2'!A42:J42)</f>
        <v>1.1.1.3.3</v>
      </c>
      <c r="B41" s="81" t="str">
        <f>CONCATENATE('3 pr-2'!D42)</f>
        <v>Varėnos miesto Dainų slėnio infrastruktūros atnaujinimas ir pritaikymas visuomenės poreikiams</v>
      </c>
      <c r="C41" s="65">
        <v>0</v>
      </c>
      <c r="D41" s="65">
        <v>0</v>
      </c>
      <c r="E41" s="65">
        <v>0</v>
      </c>
      <c r="F41" s="257">
        <v>0</v>
      </c>
      <c r="G41" s="257">
        <v>0</v>
      </c>
      <c r="H41" s="257">
        <v>0</v>
      </c>
      <c r="I41" s="257">
        <v>0</v>
      </c>
      <c r="J41" s="65">
        <v>0</v>
      </c>
      <c r="K41" s="65">
        <f>SUM('ketv. 7 '!M40)</f>
        <v>0</v>
      </c>
      <c r="L41" s="261">
        <f>SUM('ketv. 7 '!S40)</f>
        <v>0</v>
      </c>
      <c r="M41" s="261">
        <f>SUM('ketv. 7 '!X40)</f>
        <v>0</v>
      </c>
      <c r="N41" s="261">
        <v>0</v>
      </c>
      <c r="O41" s="261">
        <v>0</v>
      </c>
      <c r="P41" s="65">
        <f>SUM('ketv. 7 '!AM40)</f>
        <v>0</v>
      </c>
      <c r="Q41" s="65">
        <f>IF(YEAR($Q$3)=YEAR($CG$41),($Q$3-$CG$41)*AI41/($CH$41-$CG$41),0)</f>
        <v>84696.094902857149</v>
      </c>
      <c r="R41" s="261">
        <f>IF(YEAR($Q$3)=YEAR($CG$41),($Q$3-$CG$41)*AK41/($CH$41-$CG$41),0)</f>
        <v>6352.2086399999998</v>
      </c>
      <c r="S41" s="261">
        <f>IF(YEAR($Q$3)=YEAR($CG$41),($Q$3-$CG$41)*AM41/($CH$41-$CG$41),0)</f>
        <v>6352.2069942857142</v>
      </c>
      <c r="T41" s="261">
        <f>IF(YEAR($Q$3)=YEAR($CG$41),($Q$3-$CG$41)*AO41/($CH$41-$CG$41),0)</f>
        <v>0</v>
      </c>
      <c r="U41" s="261">
        <f>IF(YEAR($Q$3)=YEAR($CG$41),($Q$3-$CG$41)*AQ41/($CH$41-$CG$41),0)</f>
        <v>0</v>
      </c>
      <c r="V41" s="65">
        <f>IF(YEAR($Q$3)=YEAR($CG$41),(Q3-CG41)*AS41/($CH$41-$CG$41),0)</f>
        <v>71991.679268571432</v>
      </c>
      <c r="W41" s="65">
        <f>IF(YEAR($W$3)&lt;YEAR($CH$41),($W$3-$Q$3)*AI41/($CH$41-$CG$41),0)</f>
        <v>214681.07388571429</v>
      </c>
      <c r="X41" s="261">
        <f>IF(YEAR($W$3)&lt;YEAR($CH$41),($W$3-$Q$3)*AK41/($CH$41-$CG$41),0)</f>
        <v>16101.0844</v>
      </c>
      <c r="Y41" s="261">
        <f>IF(YEAR($W$3)&lt;YEAR($CH$41),($W$3-$Q$3)*AM41/($CH$41-$CG$41),0)</f>
        <v>16101.080228571429</v>
      </c>
      <c r="Z41" s="261">
        <f>IF(YEAR($W$3)&lt;YEAR($CH$41),($W$3-$Q$3)*AP41/($CH$41-$CG$41),0)</f>
        <v>0</v>
      </c>
      <c r="AA41" s="261">
        <f>IF(YEAR($W$3)&lt;YEAR($CH$41),($W$3-$Q$3)*AQ41/($CH$41-$CG$41),0)</f>
        <v>0</v>
      </c>
      <c r="AB41" s="65">
        <f>IF(YEAR($W$3)&lt;YEAR($CH$41),($W$3-$Q$3)*AS41/($CH$41-$CG$41),0)</f>
        <v>182478.90925714286</v>
      </c>
      <c r="AC41" s="65">
        <f>IF(YEAR($AC$3)=YEAR($CH$41),($CH$41-$W$3)*AI41/($CH$41-$CG$41),0)</f>
        <v>215269.24121142857</v>
      </c>
      <c r="AD41" s="261">
        <f>IF(YEAR($AC$3)=YEAR($CH$41),($CH$41-$W$3)*AK41/($CH$41-$CG$41),0)</f>
        <v>16145.196959999999</v>
      </c>
      <c r="AE41" s="261">
        <f>IF(YEAR($AC$3)=YEAR($CH$41),($CH$41-$W$3)*AM41/($CH$41-$CG$41),0)</f>
        <v>16145.192777142858</v>
      </c>
      <c r="AF41" s="261">
        <f>IF(YEAR($AC$3)=YEAR($CH$41),($CH$41-$W$3)*AP41/($CH$41-$CG$41),0)</f>
        <v>0</v>
      </c>
      <c r="AG41" s="261">
        <f>IF(YEAR($AC$3)=YEAR($CH$41),($CH$41-$W$3)*AQ41/($CH$41-$CG$41),0)</f>
        <v>0</v>
      </c>
      <c r="AH41" s="65">
        <f>IF(YEAR($AC$3)=YEAR($CH$41),($CH$41-$W$3)*AS41/($CH$41-$CG$41),0)</f>
        <v>182978.85147428571</v>
      </c>
      <c r="AI41" s="660">
        <f>SUM('3 pr-2'!L42)</f>
        <v>514646.41000000003</v>
      </c>
      <c r="AJ41" s="904"/>
      <c r="AK41" s="257">
        <f>SUM('3 pr-2'!O42)</f>
        <v>38598.49</v>
      </c>
      <c r="AL41" s="438"/>
      <c r="AM41" s="257">
        <f>SUM('3 pr-2'!R42)</f>
        <v>38598.480000000003</v>
      </c>
      <c r="AN41" s="438"/>
      <c r="AO41" s="257">
        <f>SUM('3 pr-2'!U42)</f>
        <v>0</v>
      </c>
      <c r="AP41" s="257"/>
      <c r="AQ41" s="257">
        <f>SUM('3 pr-2'!X42)</f>
        <v>0</v>
      </c>
      <c r="AR41" s="257"/>
      <c r="AS41" s="16">
        <f>SUM('3 pr-2'!AA42)</f>
        <v>437449.44</v>
      </c>
      <c r="AT41" s="904"/>
      <c r="AU41" s="889">
        <v>0</v>
      </c>
      <c r="AV41" s="20">
        <v>0</v>
      </c>
      <c r="AW41" s="20">
        <v>0</v>
      </c>
      <c r="AX41" s="257"/>
      <c r="AY41" s="257"/>
      <c r="AZ41" s="257"/>
      <c r="BA41" s="257"/>
      <c r="BB41" s="20"/>
      <c r="BC41" s="20"/>
      <c r="BD41" s="257"/>
      <c r="BE41" s="257"/>
      <c r="BF41" s="257"/>
      <c r="BG41" s="257"/>
      <c r="BH41" s="20"/>
      <c r="BI41" s="20"/>
      <c r="BJ41" s="257"/>
      <c r="BK41" s="257"/>
      <c r="BL41" s="257"/>
      <c r="BM41" s="257"/>
      <c r="BN41" s="20"/>
      <c r="BO41" s="20"/>
      <c r="BP41" s="257"/>
      <c r="BQ41" s="257"/>
      <c r="BR41" s="257"/>
      <c r="BS41" s="257"/>
      <c r="BT41" s="20"/>
      <c r="BU41" s="20"/>
      <c r="BV41" s="257"/>
      <c r="BW41" s="257"/>
      <c r="BX41" s="257"/>
      <c r="BY41" s="257"/>
      <c r="BZ41" s="20"/>
      <c r="CA41" s="20"/>
      <c r="CB41" s="257"/>
      <c r="CC41" s="257"/>
      <c r="CD41" s="257"/>
      <c r="CE41" s="257"/>
      <c r="CF41" s="325"/>
      <c r="CG41" s="891">
        <f>SUM('3 pr-2'!AI42)</f>
        <v>43321</v>
      </c>
      <c r="CH41" s="891">
        <f>SUM('3 pr-2'!AK42)</f>
        <v>44196</v>
      </c>
      <c r="CI41" s="58">
        <f>SUM(V41+AB41+AH41)</f>
        <v>437449.44</v>
      </c>
      <c r="CJ41" s="58">
        <f t="shared" si="119"/>
        <v>0</v>
      </c>
    </row>
    <row r="42" spans="1:99" ht="37.5" thickTop="1" thickBot="1">
      <c r="A42" s="106" t="str">
        <f>CONCATENATE('3 pr-2'!A43:J43)</f>
        <v>1.1.1.3.4</v>
      </c>
      <c r="B42" s="81" t="str">
        <f>CONCATENATE('3 pr-2'!D43)</f>
        <v>Karloniškės ežero ir jo prieigų sutvarkymas ir pritaikymas aktyviam poilsiui</v>
      </c>
      <c r="C42" s="65">
        <v>0</v>
      </c>
      <c r="D42" s="65">
        <v>0</v>
      </c>
      <c r="E42" s="65">
        <v>0</v>
      </c>
      <c r="F42" s="257">
        <v>0</v>
      </c>
      <c r="G42" s="257">
        <v>0</v>
      </c>
      <c r="H42" s="257">
        <v>0</v>
      </c>
      <c r="I42" s="257">
        <v>0</v>
      </c>
      <c r="J42" s="65">
        <v>0</v>
      </c>
      <c r="K42" s="65">
        <f>SUM('ketv. 7 '!M41)</f>
        <v>0</v>
      </c>
      <c r="L42" s="261">
        <f>SUM('ketv. 7 '!S41)</f>
        <v>0</v>
      </c>
      <c r="M42" s="261">
        <f>SUM('ketv. 7 '!X41)</f>
        <v>0</v>
      </c>
      <c r="N42" s="261">
        <v>0</v>
      </c>
      <c r="O42" s="261">
        <v>0</v>
      </c>
      <c r="P42" s="65">
        <f>SUM('ketv. 7 '!AM41)</f>
        <v>0</v>
      </c>
      <c r="Q42" s="65">
        <f>SUM(($Q$3-$CG$42)*CN42)</f>
        <v>417865.07142857142</v>
      </c>
      <c r="R42" s="261">
        <f>SUM(($Q$3-$CG$42)*CO42)</f>
        <v>31339.880952380954</v>
      </c>
      <c r="S42" s="261">
        <f>SUM(($Q$3-$CG$42)*CP42)</f>
        <v>31339.880952380954</v>
      </c>
      <c r="T42" s="261">
        <f>IF(YEAR($CH$42)&gt;2017,($BI$4-$BC$4)*AO$42/($CH$42-$CG$42),0)</f>
        <v>0</v>
      </c>
      <c r="U42" s="261">
        <f>IF(YEAR($CH$42)&gt;2017,($BI$4-$BC$4)*AQ$42/($CH$42-$CG$42),0)</f>
        <v>0</v>
      </c>
      <c r="V42" s="65">
        <f>SUM(($Q$3-$CG$42)*CQ42)</f>
        <v>355185.30952380953</v>
      </c>
      <c r="W42" s="65">
        <f>SUM(($CH$42-$Q$3)*CN42)</f>
        <v>459651.57857142854</v>
      </c>
      <c r="X42" s="261">
        <f>SUM(($CH$42-$Q$3)*CO42)</f>
        <v>34473.869047619053</v>
      </c>
      <c r="Y42" s="261">
        <f>SUM(($CH$42-$Q$3)*CP42)</f>
        <v>34473.869047619053</v>
      </c>
      <c r="Z42" s="261">
        <f>IF(YEAR($CH$42)=2019,($CH$42-$BI$4)*AO$42/($CH$42-$CG$42),0)</f>
        <v>0</v>
      </c>
      <c r="AA42" s="261">
        <f>IF(YEAR($CH$42)=2019,($CH$42-$BI$4)*AQ$42/($CH$42-$CG$42),0)</f>
        <v>0</v>
      </c>
      <c r="AB42" s="65">
        <f>SUM(($CH$42-$Q$3)*CQ42)</f>
        <v>390703.8404761905</v>
      </c>
      <c r="AC42" s="65">
        <v>0</v>
      </c>
      <c r="AD42" s="261">
        <v>0</v>
      </c>
      <c r="AE42" s="261">
        <v>0</v>
      </c>
      <c r="AF42" s="261">
        <v>0</v>
      </c>
      <c r="AG42" s="261">
        <v>0</v>
      </c>
      <c r="AH42" s="65">
        <v>0</v>
      </c>
      <c r="AI42" s="906">
        <f>SUM('3 pr-2'!L43)</f>
        <v>877516.65</v>
      </c>
      <c r="AJ42" s="907"/>
      <c r="AK42" s="257">
        <f>SUM('3 pr-2'!O43)</f>
        <v>65813.75</v>
      </c>
      <c r="AL42" s="438"/>
      <c r="AM42" s="257">
        <f>SUM('3 pr-2'!R43)</f>
        <v>65813.75</v>
      </c>
      <c r="AN42" s="438"/>
      <c r="AO42" s="257">
        <f>SUM('3 pr-2'!U43)</f>
        <v>0</v>
      </c>
      <c r="AP42" s="257"/>
      <c r="AQ42" s="257">
        <f>SUM('3 pr-2'!X43)</f>
        <v>0</v>
      </c>
      <c r="AR42" s="477"/>
      <c r="AS42" s="719">
        <f>SUM('3 pr-2'!AA43)</f>
        <v>745889.15</v>
      </c>
      <c r="AT42" s="908"/>
      <c r="AU42" s="889"/>
      <c r="AV42" s="20"/>
      <c r="AW42" s="20"/>
      <c r="AX42" s="257"/>
      <c r="AY42" s="257"/>
      <c r="AZ42" s="257"/>
      <c r="BA42" s="257"/>
      <c r="BB42" s="20"/>
      <c r="BC42" s="20"/>
      <c r="BD42" s="257"/>
      <c r="BE42" s="257"/>
      <c r="BF42" s="257"/>
      <c r="BG42" s="257"/>
      <c r="BH42" s="20"/>
      <c r="BI42" s="20"/>
      <c r="BJ42" s="257"/>
      <c r="BK42" s="257"/>
      <c r="BL42" s="257"/>
      <c r="BM42" s="257"/>
      <c r="BN42" s="20"/>
      <c r="BO42" s="20"/>
      <c r="BP42" s="257"/>
      <c r="BQ42" s="257"/>
      <c r="BR42" s="257"/>
      <c r="BS42" s="257"/>
      <c r="BT42" s="20"/>
      <c r="BU42" s="20"/>
      <c r="BV42" s="257"/>
      <c r="BW42" s="257"/>
      <c r="BX42" s="257"/>
      <c r="BY42" s="257"/>
      <c r="BZ42" s="20"/>
      <c r="CA42" s="20"/>
      <c r="CB42" s="257"/>
      <c r="CC42" s="257"/>
      <c r="CD42" s="257"/>
      <c r="CE42" s="257"/>
      <c r="CF42" s="325"/>
      <c r="CG42" s="891">
        <f>SUM('3 pr-2'!AI43)</f>
        <v>43105</v>
      </c>
      <c r="CH42" s="891">
        <f>SUM('3 pr-2'!AK43)</f>
        <v>43861</v>
      </c>
      <c r="CI42" s="58">
        <f>SUM(J42+P42+V42+AB42+AH42)</f>
        <v>745889.15</v>
      </c>
      <c r="CJ42" s="895">
        <f t="shared" si="119"/>
        <v>0</v>
      </c>
      <c r="CK42" s="900">
        <v>24</v>
      </c>
      <c r="CL42" s="900">
        <v>365</v>
      </c>
      <c r="CM42" s="900">
        <v>12</v>
      </c>
      <c r="CN42" s="983">
        <f>SUM(AI42/($CH$42-$CG$42))</f>
        <v>1160.7363095238095</v>
      </c>
      <c r="CO42" s="983">
        <f>SUM(AK42/($CH$42-$CG$42))</f>
        <v>87.055224867724874</v>
      </c>
      <c r="CP42" s="983">
        <f>SUM(AM42/($CH$42-$CG$42))</f>
        <v>87.055224867724874</v>
      </c>
      <c r="CQ42" s="984">
        <f>SUM(AS42/($CH$42-$CG$42))</f>
        <v>986.62585978835978</v>
      </c>
      <c r="CR42" s="900">
        <f>SUM(CL42/CM42)</f>
        <v>30.416666666666668</v>
      </c>
      <c r="CS42" s="900">
        <f>SUM(CK42*CR42)</f>
        <v>730</v>
      </c>
      <c r="CT42" s="895">
        <f>SUM(K42+Q42+W42+AC42)</f>
        <v>877516.64999999991</v>
      </c>
      <c r="CU42" s="895">
        <f>SUM(CT42-AI42)</f>
        <v>-1.1641532182693481E-10</v>
      </c>
    </row>
    <row r="43" spans="1:99" ht="25.5" thickTop="1" thickBot="1">
      <c r="A43" s="106" t="str">
        <f>CONCATENATE('3 pr-2'!A44:J44)</f>
        <v>1.1.1.3.5</v>
      </c>
      <c r="B43" s="81" t="str">
        <f>CONCATENATE('3 pr-2'!D44)</f>
        <v>Nenaudojamų teritorijų Varėnos mieste sutvarkymas ir pritaikymas verslui</v>
      </c>
      <c r="C43" s="65">
        <v>0</v>
      </c>
      <c r="D43" s="65">
        <v>0</v>
      </c>
      <c r="E43" s="65">
        <v>0</v>
      </c>
      <c r="F43" s="257">
        <v>0</v>
      </c>
      <c r="G43" s="257">
        <v>0</v>
      </c>
      <c r="H43" s="257">
        <v>0</v>
      </c>
      <c r="I43" s="257">
        <v>0</v>
      </c>
      <c r="J43" s="65">
        <v>0</v>
      </c>
      <c r="K43" s="65">
        <f>SUM('ketv. 7 '!M42)</f>
        <v>0</v>
      </c>
      <c r="L43" s="261">
        <f>SUM('ketv. 7 '!S42)</f>
        <v>0</v>
      </c>
      <c r="M43" s="261">
        <f>SUM('ketv. 7 '!X42)</f>
        <v>0</v>
      </c>
      <c r="N43" s="261">
        <v>0</v>
      </c>
      <c r="O43" s="261">
        <v>0</v>
      </c>
      <c r="P43" s="65">
        <f>SUM('ketv. 7 '!AM42)</f>
        <v>0</v>
      </c>
      <c r="Q43" s="65">
        <f>IF(YEAR($Q$3)=YEAR($CG43),($Q$3-$CG43)*AI43/($CH43-$CG43),0)</f>
        <v>213.98002853067047</v>
      </c>
      <c r="R43" s="261">
        <f>IF(YEAR($Q$3)=YEAR($CG43),($Q$3-$CG43)*AK43/($CH43-$CG43),0)</f>
        <v>16.048502139800284</v>
      </c>
      <c r="S43" s="261">
        <f>IF(YEAR($Q$3)=YEAR($CG43),($Q$3-$CG43)*AM43/($CH43-$CG43),0)</f>
        <v>16.048502139800284</v>
      </c>
      <c r="T43" s="261">
        <f>IF(YEAR($Q$3)=YEAR($CG43),($Q$3-$CG43)*AO43/($CH43-$CG43),0)</f>
        <v>0</v>
      </c>
      <c r="U43" s="261">
        <f>IF(YEAR($Q$3)=YEAR($CG43),($Q$3-$CG43)*AQ43/($CH43-$CG43),0)</f>
        <v>0</v>
      </c>
      <c r="V43" s="65">
        <f>IF(YEAR($Q$3)=YEAR($CG43),($Q$3-$CG43)*AS43/($CH43-$CG43),0)</f>
        <v>181.88302425106991</v>
      </c>
      <c r="W43" s="65">
        <f>IF(YEAR($W$3)&lt;YEAR($CH43),($W$3-$Q$3)*AI43/($CH43-$CG43),0)</f>
        <v>78102.710413694716</v>
      </c>
      <c r="X43" s="261">
        <f>IF(YEAR($W$3)&lt;YEAR($CH43),($W$3-$Q$3)*AK43/($CH43-$CG43),0)</f>
        <v>5857.7032810271039</v>
      </c>
      <c r="Y43" s="261">
        <f>IF(YEAR($W$3)&lt;YEAR($CH43),($W$3-$Q$3)*AM43/($CH43-$CG43),0)</f>
        <v>5857.7032810271039</v>
      </c>
      <c r="Z43" s="261">
        <f>IF(YEAR($W$3)&lt;YEAR($CH43),($W$3-$Q$3)*AO43/($CH43-$CG43),0)</f>
        <v>0</v>
      </c>
      <c r="AA43" s="261">
        <f>IF(YEAR($W$3)&lt;YEAR($CH43),($W$3-$Q$3)*AQ43/($CH43-$CG43),0)</f>
        <v>0</v>
      </c>
      <c r="AB43" s="65">
        <f>IF(YEAR($W$3)&lt;YEAR($CH43),($W$3-$Q$3)*AS43/($CH43-$CG43),0)</f>
        <v>66387.303851640507</v>
      </c>
      <c r="AC43" s="65">
        <f>IF(YEAR($AC$3)=YEAR($CH43),($CH43-$W$3)*AI43/($CH43-$CG43),0)</f>
        <v>71683.309557774613</v>
      </c>
      <c r="AD43" s="261">
        <f>IF(YEAR($AC$3)=YEAR($CH43),($CH43-$W$3)*AK43/($CH43-$CG43),0)</f>
        <v>5376.2482168330953</v>
      </c>
      <c r="AE43" s="261">
        <f>IF(YEAR($AC$3)=YEAR($CH43),($CH43-$W$3)*AM43/($CH43-$CG43),0)</f>
        <v>5376.2482168330953</v>
      </c>
      <c r="AF43" s="261">
        <f>IF(YEAR($AC$3)=YEAR($CH43),($CH43-$W$3)*AP43/($CH43-$CG43),0)</f>
        <v>0</v>
      </c>
      <c r="AG43" s="261">
        <f>IF(YEAR($AC$3)=YEAR($CH43),($CH43-$W$3)*AQ43/($CH43-$CG43),0)</f>
        <v>0</v>
      </c>
      <c r="AH43" s="65">
        <f>IF(YEAR($AC$3)=YEAR($CH43),($CH43-$W$3)*AS43/($CH43-$CG43),0)</f>
        <v>60930.813124108419</v>
      </c>
      <c r="AI43" s="662">
        <f>SUM('3 pr-2'!L44)</f>
        <v>150000</v>
      </c>
      <c r="AJ43" s="909"/>
      <c r="AK43" s="257">
        <f>SUM('3 pr-2'!O44)</f>
        <v>11250</v>
      </c>
      <c r="AL43" s="438"/>
      <c r="AM43" s="257">
        <f>SUM('3 pr-2'!R44)</f>
        <v>11250</v>
      </c>
      <c r="AN43" s="438"/>
      <c r="AO43" s="257">
        <f>SUM('3 pr-2'!U44)</f>
        <v>0</v>
      </c>
      <c r="AP43" s="257"/>
      <c r="AQ43" s="257">
        <f>SUM('3 pr-2'!X44)</f>
        <v>0</v>
      </c>
      <c r="AR43" s="257"/>
      <c r="AS43" s="12">
        <f>SUM('3 pr-2'!AA44)</f>
        <v>127500</v>
      </c>
      <c r="AT43" s="905"/>
      <c r="AU43" s="889"/>
      <c r="AV43" s="20"/>
      <c r="AW43" s="20"/>
      <c r="AX43" s="257"/>
      <c r="AY43" s="257"/>
      <c r="AZ43" s="257"/>
      <c r="BA43" s="257"/>
      <c r="BB43" s="20"/>
      <c r="BC43" s="20"/>
      <c r="BD43" s="257"/>
      <c r="BE43" s="257"/>
      <c r="BF43" s="257"/>
      <c r="BG43" s="257"/>
      <c r="BH43" s="20"/>
      <c r="BI43" s="20"/>
      <c r="BJ43" s="257"/>
      <c r="BK43" s="257"/>
      <c r="BL43" s="257"/>
      <c r="BM43" s="257"/>
      <c r="BN43" s="20"/>
      <c r="BO43" s="20"/>
      <c r="BP43" s="257"/>
      <c r="BQ43" s="257"/>
      <c r="BR43" s="257"/>
      <c r="BS43" s="257"/>
      <c r="BT43" s="20"/>
      <c r="BU43" s="20"/>
      <c r="BV43" s="257"/>
      <c r="BW43" s="257"/>
      <c r="BX43" s="257"/>
      <c r="BY43" s="257"/>
      <c r="BZ43" s="20"/>
      <c r="CA43" s="20"/>
      <c r="CB43" s="257"/>
      <c r="CC43" s="257"/>
      <c r="CD43" s="257"/>
      <c r="CE43" s="257"/>
      <c r="CF43" s="325"/>
      <c r="CG43" s="891">
        <f>SUM('3 pr-2'!AI44)</f>
        <v>43464</v>
      </c>
      <c r="CH43" s="891">
        <f>SUM('3 pr-2'!AK44)</f>
        <v>44165</v>
      </c>
      <c r="CI43" s="58">
        <f>SUM(V43+AB43+AH43)</f>
        <v>127500</v>
      </c>
      <c r="CJ43" s="58">
        <f t="shared" ref="CJ43" si="125">SUM(CI43-AS43)</f>
        <v>0</v>
      </c>
    </row>
    <row r="44" spans="1:99" ht="45.75" customHeight="1" thickTop="1" thickBot="1">
      <c r="A44" s="106" t="str">
        <f>CONCATENATE('3 pr-2'!A45:J45)</f>
        <v>1.1.1.3.6</v>
      </c>
      <c r="B44" s="81" t="str">
        <f>CONCATENATE('3 pr-2'!D45)</f>
        <v>Teritorijų prie daugiabučių gyvenamųjų pastatų Varėnos mieste sutvarkymas ir pritaikymas visuomenės poreikiams</v>
      </c>
      <c r="C44" s="65">
        <v>0</v>
      </c>
      <c r="D44" s="65">
        <v>0</v>
      </c>
      <c r="E44" s="65">
        <v>0</v>
      </c>
      <c r="F44" s="257">
        <v>0</v>
      </c>
      <c r="G44" s="257">
        <v>0</v>
      </c>
      <c r="H44" s="257">
        <v>0</v>
      </c>
      <c r="I44" s="257">
        <v>0</v>
      </c>
      <c r="J44" s="65">
        <v>0</v>
      </c>
      <c r="K44" s="65">
        <f>SUM('ketv. 7 '!M43)</f>
        <v>0</v>
      </c>
      <c r="L44" s="261">
        <f>SUM('ketv. 7 '!S43)</f>
        <v>0</v>
      </c>
      <c r="M44" s="261">
        <f>SUM('ketv. 7 '!X43)</f>
        <v>0</v>
      </c>
      <c r="N44" s="261">
        <v>0</v>
      </c>
      <c r="O44" s="261">
        <v>0</v>
      </c>
      <c r="P44" s="65">
        <f>SUM('ketv. 7 '!AM43)</f>
        <v>0</v>
      </c>
      <c r="Q44" s="65">
        <f>IF(YEAR($Q$3)=YEAR($CG44),($Q$3-$CG44)*AI44/($CH44-$CG44),0)</f>
        <v>692.7823109843082</v>
      </c>
      <c r="R44" s="261">
        <f>IF(YEAR($Q$3)=YEAR($CG44),($Q$3-$CG44)*AK44/($CH44-$CG44),0)</f>
        <v>53.519514978601997</v>
      </c>
      <c r="S44" s="261">
        <f>IF(YEAR($Q$3)=YEAR($CG44),($Q$3-$CG44)*AM44/($CH44-$CG44),0)</f>
        <v>51.831897289586308</v>
      </c>
      <c r="T44" s="261">
        <f>IF(YEAR($Q$3)=YEAR($CG44),($Q$3-$CG44)*AO44/($CH44-$CG44),0)</f>
        <v>0</v>
      </c>
      <c r="U44" s="261">
        <f>IF(YEAR($Q$3)=YEAR($CG44),($Q$3-$CG44)*AQ44/($CH44-$CG44),0)</f>
        <v>0</v>
      </c>
      <c r="V44" s="65">
        <f>IF(YEAR($Q$3)=YEAR($CG44),($Q$3-$CG44)*AS44/($CH44-$CG44),0)</f>
        <v>587.43089871611983</v>
      </c>
      <c r="W44" s="65">
        <f>IF(YEAR($W$3)&lt;YEAR($CH44),($W$3-$Q$3)*AI44/($CH44-$CG44),0)</f>
        <v>252865.54350927248</v>
      </c>
      <c r="X44" s="261">
        <f>IF(YEAR($W$3)&lt;YEAR($CH44),($W$3-$Q$3)*AK44/($CH44-$CG44),0)</f>
        <v>19534.622967189727</v>
      </c>
      <c r="Y44" s="261">
        <f>IF(YEAR($W$3)&lt;YEAR($CH44),($W$3-$Q$3)*AM44/($CH44-$CG44),0)</f>
        <v>18918.642510699003</v>
      </c>
      <c r="Z44" s="261">
        <f>IF(YEAR($W$3)&lt;YEAR($CH44),($W$3-$Q$3)*AO44/($CH44-$CG44),0)</f>
        <v>0</v>
      </c>
      <c r="AA44" s="261">
        <f>IF(YEAR($W$3)&lt;YEAR($CH44),($W$3-$Q$3)*AQ44/($CH44-$CG44),0)</f>
        <v>0</v>
      </c>
      <c r="AB44" s="65">
        <f>IF(YEAR($W$3)&lt;YEAR($CH44),($W$3-$Q$3)*AS44/($CH44-$CG44),0)</f>
        <v>214412.27803138376</v>
      </c>
      <c r="AC44" s="65">
        <f>IF(YEAR($AC$3)=YEAR($CH44),($CH44-$W$3)*AI44/($CH44-$CG44),0)</f>
        <v>232082.07417974321</v>
      </c>
      <c r="AD44" s="261">
        <f>IF(YEAR($AC$3)=YEAR($CH44),($CH44-$W$3)*AK44/($CH44-$CG44),0)</f>
        <v>17929.037517831672</v>
      </c>
      <c r="AE44" s="261">
        <f>IF(YEAR($AC$3)=YEAR($CH44),($CH44-$W$3)*AM44/($CH44-$CG44),0)</f>
        <v>17363.685592011414</v>
      </c>
      <c r="AF44" s="261">
        <f>IF(YEAR($AC$3)=YEAR($CH44),($CH44-$W$3)*AP44/($CH44-$CG44),0)</f>
        <v>0</v>
      </c>
      <c r="AG44" s="261">
        <f>IF(YEAR($AC$3)=YEAR($CH44),($CH44-$W$3)*AQ44/($CH44-$CG44),0)</f>
        <v>0</v>
      </c>
      <c r="AH44" s="65">
        <f>IF(YEAR($AC$3)=YEAR($CH44),($CH44-$W$3)*AS44/($CH44-$CG44),0)</f>
        <v>196789.35106990012</v>
      </c>
      <c r="AI44" s="662">
        <f>SUM('3 pr-2'!L45)</f>
        <v>485640.4</v>
      </c>
      <c r="AJ44" s="904"/>
      <c r="AK44" s="257">
        <f>SUM('3 pr-2'!O45)</f>
        <v>37517.18</v>
      </c>
      <c r="AL44" s="438"/>
      <c r="AM44" s="257">
        <f>SUM('3 pr-2'!R45)</f>
        <v>36334.160000000003</v>
      </c>
      <c r="AN44" s="438"/>
      <c r="AO44" s="257">
        <f>SUM('3 pr-2'!U45)</f>
        <v>0</v>
      </c>
      <c r="AP44" s="257"/>
      <c r="AQ44" s="257">
        <f>SUM('3 pr-2'!X45)</f>
        <v>0</v>
      </c>
      <c r="AR44" s="257"/>
      <c r="AS44" s="12">
        <f>SUM('3 pr-2'!AA45)</f>
        <v>411789.06</v>
      </c>
      <c r="AT44" s="905"/>
      <c r="AU44" s="889">
        <v>0</v>
      </c>
      <c r="AV44" s="20">
        <v>0</v>
      </c>
      <c r="AW44" s="20">
        <v>0</v>
      </c>
      <c r="AX44" s="257"/>
      <c r="AY44" s="257"/>
      <c r="AZ44" s="257"/>
      <c r="BA44" s="257"/>
      <c r="BB44" s="20"/>
      <c r="BC44" s="20"/>
      <c r="BD44" s="257"/>
      <c r="BE44" s="257"/>
      <c r="BF44" s="257"/>
      <c r="BG44" s="257"/>
      <c r="BH44" s="20"/>
      <c r="BI44" s="20"/>
      <c r="BJ44" s="257"/>
      <c r="BK44" s="257"/>
      <c r="BL44" s="257"/>
      <c r="BM44" s="257"/>
      <c r="BN44" s="20"/>
      <c r="BO44" s="20"/>
      <c r="BP44" s="257"/>
      <c r="BQ44" s="257"/>
      <c r="BR44" s="257"/>
      <c r="BS44" s="257"/>
      <c r="BT44" s="20"/>
      <c r="BU44" s="20"/>
      <c r="BV44" s="257"/>
      <c r="BW44" s="257"/>
      <c r="BX44" s="257"/>
      <c r="BY44" s="257"/>
      <c r="BZ44" s="20"/>
      <c r="CA44" s="20"/>
      <c r="CB44" s="257"/>
      <c r="CC44" s="257"/>
      <c r="CD44" s="257"/>
      <c r="CE44" s="257"/>
      <c r="CF44" s="325">
        <v>100</v>
      </c>
      <c r="CG44" s="891">
        <f>SUM('3 pr-2'!AI45)</f>
        <v>43464</v>
      </c>
      <c r="CH44" s="891">
        <f>SUM('3 pr-2'!AK45)</f>
        <v>44165</v>
      </c>
      <c r="CI44" s="58">
        <f>SUM(V44+AB44+AH44)</f>
        <v>411789.06</v>
      </c>
      <c r="CJ44" s="58">
        <f t="shared" ref="CJ44" si="126">SUM(CI44-AS44)</f>
        <v>0</v>
      </c>
    </row>
    <row r="45" spans="1:99" ht="42" customHeight="1" thickBot="1">
      <c r="A45" s="253" t="str">
        <f>CONCATENATE('3 pr-2'!A46)</f>
        <v>1.1.1.4</v>
      </c>
      <c r="B45" s="103" t="str">
        <f>CONCATENATE('3 pr-2'!B46)</f>
        <v xml:space="preserve">Priemonė:
Alytaus, Druskininkų ir Lazdijų miestų kompleksinė plėtra
</v>
      </c>
      <c r="C45" s="910">
        <f>SUM(C46:C48)</f>
        <v>0</v>
      </c>
      <c r="D45" s="910">
        <f>SUM(D46:D48)</f>
        <v>0</v>
      </c>
      <c r="E45" s="910">
        <f>SUM(E46:E48)</f>
        <v>0</v>
      </c>
      <c r="F45" s="910">
        <f t="shared" ref="F45:I45" si="127">SUM(F46:F48)</f>
        <v>0</v>
      </c>
      <c r="G45" s="910">
        <f t="shared" si="127"/>
        <v>0</v>
      </c>
      <c r="H45" s="910">
        <f t="shared" si="127"/>
        <v>0</v>
      </c>
      <c r="I45" s="910">
        <f t="shared" si="127"/>
        <v>0</v>
      </c>
      <c r="J45" s="910">
        <f t="shared" ref="J45:Q45" si="128">SUM(J46:J48)</f>
        <v>0</v>
      </c>
      <c r="K45" s="910">
        <f t="shared" si="128"/>
        <v>1263963.08</v>
      </c>
      <c r="L45" s="911">
        <f t="shared" si="128"/>
        <v>68638.62000000001</v>
      </c>
      <c r="M45" s="911">
        <f t="shared" si="128"/>
        <v>96918.01</v>
      </c>
      <c r="N45" s="911">
        <f t="shared" si="128"/>
        <v>0</v>
      </c>
      <c r="O45" s="911">
        <f t="shared" si="128"/>
        <v>0</v>
      </c>
      <c r="P45" s="910">
        <f t="shared" si="128"/>
        <v>1098406.45</v>
      </c>
      <c r="Q45" s="910">
        <f t="shared" si="128"/>
        <v>1167554.6700000004</v>
      </c>
      <c r="R45" s="911"/>
      <c r="S45" s="911"/>
      <c r="T45" s="911"/>
      <c r="U45" s="911"/>
      <c r="V45" s="910">
        <f>SUM(V46:V48)</f>
        <v>570230.0700000003</v>
      </c>
      <c r="W45" s="910">
        <f>SUM(W46:W48)</f>
        <v>0</v>
      </c>
      <c r="X45" s="911"/>
      <c r="Y45" s="911"/>
      <c r="Z45" s="911"/>
      <c r="AA45" s="911"/>
      <c r="AB45" s="910">
        <f>SUM(AB46:AB48)</f>
        <v>0</v>
      </c>
      <c r="AC45" s="910">
        <f>SUM(AC46:AC48)</f>
        <v>0</v>
      </c>
      <c r="AD45" s="911"/>
      <c r="AE45" s="911"/>
      <c r="AF45" s="911"/>
      <c r="AG45" s="911"/>
      <c r="AH45" s="910">
        <f>SUM(AH46:AH48)</f>
        <v>0</v>
      </c>
      <c r="AI45" s="912">
        <f>SUM(AI46:AI48)</f>
        <v>2431517.75</v>
      </c>
      <c r="AJ45" s="910"/>
      <c r="AK45" s="910"/>
      <c r="AL45" s="910"/>
      <c r="AM45" s="910"/>
      <c r="AN45" s="910"/>
      <c r="AO45" s="910"/>
      <c r="AP45" s="910"/>
      <c r="AQ45" s="910"/>
      <c r="AR45" s="910"/>
      <c r="AS45" s="910">
        <f>SUM(AS46:AS48)</f>
        <v>1668636.52</v>
      </c>
      <c r="AT45" s="910"/>
      <c r="AU45" s="889">
        <v>0</v>
      </c>
      <c r="AV45" s="20">
        <v>0</v>
      </c>
      <c r="AW45" s="20">
        <v>25.000000122557147</v>
      </c>
      <c r="AX45" s="910">
        <v>25.000000122557147</v>
      </c>
      <c r="AY45" s="910">
        <v>25.000000122557147</v>
      </c>
      <c r="AZ45" s="910">
        <v>25.000000122557147</v>
      </c>
      <c r="BA45" s="910">
        <v>25.000000122557147</v>
      </c>
      <c r="BB45" s="20">
        <v>25</v>
      </c>
      <c r="BC45" s="20">
        <v>25.000000122557147</v>
      </c>
      <c r="BD45" s="910">
        <v>25.000000122557147</v>
      </c>
      <c r="BE45" s="910">
        <v>25.000000122557147</v>
      </c>
      <c r="BF45" s="910">
        <v>25.000000122557147</v>
      </c>
      <c r="BG45" s="910">
        <v>25.000000122557147</v>
      </c>
      <c r="BH45" s="20">
        <v>25</v>
      </c>
      <c r="BI45" s="20">
        <v>25.000000122557147</v>
      </c>
      <c r="BJ45" s="910">
        <v>25.000000122557147</v>
      </c>
      <c r="BK45" s="910">
        <v>25.000000122557147</v>
      </c>
      <c r="BL45" s="910">
        <v>25.000000122557147</v>
      </c>
      <c r="BM45" s="910">
        <v>25.000000122557147</v>
      </c>
      <c r="BN45" s="20">
        <v>25</v>
      </c>
      <c r="BO45" s="20">
        <v>25.000000122557147</v>
      </c>
      <c r="BP45" s="910">
        <v>25.000000122557147</v>
      </c>
      <c r="BQ45" s="910">
        <v>25.000000122557147</v>
      </c>
      <c r="BR45" s="910">
        <v>25.000000122557147</v>
      </c>
      <c r="BS45" s="910">
        <v>25.000000122557147</v>
      </c>
      <c r="BT45" s="20">
        <v>25</v>
      </c>
      <c r="BU45" s="20">
        <v>0</v>
      </c>
      <c r="BV45" s="910">
        <v>0</v>
      </c>
      <c r="BW45" s="910">
        <v>0</v>
      </c>
      <c r="BX45" s="910">
        <v>0</v>
      </c>
      <c r="BY45" s="910">
        <v>0</v>
      </c>
      <c r="BZ45" s="20">
        <v>0</v>
      </c>
      <c r="CA45" s="20">
        <v>100</v>
      </c>
      <c r="CB45" s="910">
        <v>100</v>
      </c>
      <c r="CC45" s="910">
        <v>100</v>
      </c>
      <c r="CD45" s="910">
        <v>100</v>
      </c>
      <c r="CE45" s="910">
        <v>100</v>
      </c>
      <c r="CF45" s="325">
        <v>100</v>
      </c>
      <c r="CG45" s="19"/>
      <c r="CH45" s="19"/>
    </row>
    <row r="46" spans="1:99" ht="37.5" thickTop="1" thickBot="1">
      <c r="A46" s="106" t="str">
        <f>CONCATENATE('3 pr-2'!A47:J47)</f>
        <v>1.1.1.4.1</v>
      </c>
      <c r="B46" s="105" t="str">
        <f>CONCATENATE('3 pr-2'!D47)</f>
        <v>Buvusios pramoninės teritorijos Pramonės g. 1 Alytuje, pritaikymas verslo vystymui ir plėtrai.</v>
      </c>
      <c r="C46" s="65">
        <v>0</v>
      </c>
      <c r="D46" s="65">
        <v>0</v>
      </c>
      <c r="E46" s="65">
        <v>0</v>
      </c>
      <c r="F46" s="257">
        <v>0</v>
      </c>
      <c r="G46" s="257">
        <v>0</v>
      </c>
      <c r="H46" s="257">
        <v>0</v>
      </c>
      <c r="I46" s="257">
        <v>0</v>
      </c>
      <c r="J46" s="65">
        <v>0</v>
      </c>
      <c r="K46" s="65">
        <f>SUM(P46+M46+L46)</f>
        <v>1252365.01</v>
      </c>
      <c r="L46" s="261">
        <f>SUM('ketv. 7 '!S45)</f>
        <v>67751.570000000007</v>
      </c>
      <c r="M46" s="261">
        <f>SUM('ketv. 7 '!X45)</f>
        <v>96049.55</v>
      </c>
      <c r="N46" s="261">
        <f>IF(YEAR($CG$39)=2016,($BC$4-$AW$4)*AO$39/($CH$39-$CG$39),0)</f>
        <v>0</v>
      </c>
      <c r="O46" s="261">
        <f>IF(YEAR($CG$39)=2016,($BC$4-$AW$4)*AQ$39/($CH$39-$CG$39),0)</f>
        <v>0</v>
      </c>
      <c r="P46" s="65">
        <f>SUM('ketv. 7 '!AM45)</f>
        <v>1088563.8899999999</v>
      </c>
      <c r="Q46" s="65">
        <f>SUM(AI46-K46)</f>
        <v>33695.740000000224</v>
      </c>
      <c r="R46" s="261">
        <f>SUM(AK46-L46)</f>
        <v>28703.000000000015</v>
      </c>
      <c r="S46" s="261">
        <f>SUM(AM46-M46)</f>
        <v>405.0000000000291</v>
      </c>
      <c r="T46" s="261">
        <f>SUM(AO46-N46)</f>
        <v>0</v>
      </c>
      <c r="U46" s="261">
        <f>SUM(AQ46-O46)</f>
        <v>0</v>
      </c>
      <c r="V46" s="65">
        <f>SUM(AS46-P46)</f>
        <v>4587.7400000002235</v>
      </c>
      <c r="W46" s="65">
        <v>0</v>
      </c>
      <c r="X46" s="261">
        <v>0</v>
      </c>
      <c r="Y46" s="261">
        <v>0</v>
      </c>
      <c r="Z46" s="261">
        <v>0</v>
      </c>
      <c r="AA46" s="261">
        <v>0</v>
      </c>
      <c r="AB46" s="65">
        <v>0</v>
      </c>
      <c r="AC46" s="65">
        <v>0</v>
      </c>
      <c r="AD46" s="261">
        <v>0</v>
      </c>
      <c r="AE46" s="261">
        <v>0</v>
      </c>
      <c r="AF46" s="261">
        <v>0</v>
      </c>
      <c r="AG46" s="261">
        <v>0</v>
      </c>
      <c r="AH46" s="65">
        <v>0</v>
      </c>
      <c r="AI46" s="660">
        <f>SUM('3 pr-2'!L47)</f>
        <v>1286060.7500000002</v>
      </c>
      <c r="AJ46" s="913"/>
      <c r="AK46" s="257">
        <f>SUM('3 pr-2'!O47)</f>
        <v>96454.570000000022</v>
      </c>
      <c r="AL46" s="438"/>
      <c r="AM46" s="257">
        <f>SUM('3 pr-2'!R47)</f>
        <v>96454.550000000032</v>
      </c>
      <c r="AN46" s="438"/>
      <c r="AO46" s="257">
        <f>SUM('3 pr-2'!U47)</f>
        <v>0</v>
      </c>
      <c r="AP46" s="257"/>
      <c r="AQ46" s="257">
        <f>SUM('3 pr-2'!X47)</f>
        <v>0</v>
      </c>
      <c r="AR46" s="257"/>
      <c r="AS46" s="2">
        <f>SUM('3 pr-2'!AA47)</f>
        <v>1093151.6300000001</v>
      </c>
      <c r="AT46" s="913"/>
      <c r="AU46" s="889"/>
      <c r="AV46" s="20"/>
      <c r="AW46" s="20"/>
      <c r="AX46" s="257"/>
      <c r="AY46" s="257"/>
      <c r="AZ46" s="257"/>
      <c r="BA46" s="257"/>
      <c r="BB46" s="20"/>
      <c r="BC46" s="20"/>
      <c r="BD46" s="257"/>
      <c r="BE46" s="257"/>
      <c r="BF46" s="257"/>
      <c r="BG46" s="257"/>
      <c r="BH46" s="20"/>
      <c r="BI46" s="20"/>
      <c r="BJ46" s="257"/>
      <c r="BK46" s="257"/>
      <c r="BL46" s="257"/>
      <c r="BM46" s="257"/>
      <c r="BN46" s="20"/>
      <c r="BO46" s="20"/>
      <c r="BP46" s="257"/>
      <c r="BQ46" s="257"/>
      <c r="BR46" s="257"/>
      <c r="BS46" s="257"/>
      <c r="BT46" s="20"/>
      <c r="BU46" s="20"/>
      <c r="BV46" s="257"/>
      <c r="BW46" s="257"/>
      <c r="BX46" s="257"/>
      <c r="BY46" s="257"/>
      <c r="BZ46" s="20"/>
      <c r="CA46" s="20"/>
      <c r="CB46" s="257"/>
      <c r="CC46" s="257"/>
      <c r="CD46" s="257"/>
      <c r="CE46" s="257"/>
      <c r="CF46" s="325"/>
      <c r="CG46" s="891">
        <f>SUM('3 pr-2'!AI47)</f>
        <v>42735</v>
      </c>
      <c r="CH46" s="891">
        <f>SUM('3 pr-2'!AK47)</f>
        <v>43281</v>
      </c>
      <c r="CI46" s="58">
        <f>SUM(P46+V46)</f>
        <v>1093151.6300000001</v>
      </c>
      <c r="CJ46" s="58">
        <f t="shared" ref="CJ46:CJ54" si="129">SUM(CI46-AS46)</f>
        <v>0</v>
      </c>
    </row>
    <row r="47" spans="1:99" ht="25.5" thickTop="1" thickBot="1">
      <c r="A47" s="106" t="str">
        <f>CONCATENATE('3 pr-2'!A48:J48)</f>
        <v>1.1.1.4.2</v>
      </c>
      <c r="B47" s="105" t="str">
        <f>CONCATENATE('3 pr-2'!D48)</f>
        <v>Amatų centro „Menų kalvė“ Druskininkuose įkūrimas</v>
      </c>
      <c r="C47" s="61">
        <v>0</v>
      </c>
      <c r="D47" s="61">
        <v>0</v>
      </c>
      <c r="E47" s="65">
        <v>0</v>
      </c>
      <c r="F47" s="257">
        <v>0</v>
      </c>
      <c r="G47" s="257">
        <v>0</v>
      </c>
      <c r="H47" s="257">
        <v>0</v>
      </c>
      <c r="I47" s="257">
        <v>0</v>
      </c>
      <c r="J47" s="65">
        <v>0</v>
      </c>
      <c r="K47" s="65">
        <f>SUM(P47+M47+L47)</f>
        <v>62.480000000000004</v>
      </c>
      <c r="L47" s="261">
        <f>SUM('ketv. 7 '!S46)</f>
        <v>21.88</v>
      </c>
      <c r="M47" s="261">
        <f>SUM('ketv. 7 '!X46)</f>
        <v>3.29</v>
      </c>
      <c r="N47" s="261">
        <f>IF(YEAR($CG$39)=2016,($BC$4-$AW$4)*AO$39/($CH$39-$CG$39),0)</f>
        <v>0</v>
      </c>
      <c r="O47" s="261">
        <f>IF(YEAR($CG$39)=2016,($BC$4-$AW$4)*AQ$39/($CH$39-$CG$39),0)</f>
        <v>0</v>
      </c>
      <c r="P47" s="65">
        <f>SUM('ketv. 7 '!AM46)</f>
        <v>37.31</v>
      </c>
      <c r="Q47" s="65">
        <f t="shared" ref="Q47:S47" si="130">SUM(CL47*($W$2-$Q$2))</f>
        <v>801887.52000000014</v>
      </c>
      <c r="R47" s="261">
        <f t="shared" si="130"/>
        <v>493409.12</v>
      </c>
      <c r="S47" s="261">
        <f t="shared" si="130"/>
        <v>25011.77</v>
      </c>
      <c r="T47" s="261">
        <f t="shared" ref="T47:T48" si="131">SUM(AO47-N47)</f>
        <v>0</v>
      </c>
      <c r="U47" s="261">
        <f t="shared" ref="U47:U48" si="132">SUM(AQ47-O47)</f>
        <v>0</v>
      </c>
      <c r="V47" s="65">
        <f>SUM(CO47*($W$2-$Q$2))</f>
        <v>283466.63</v>
      </c>
      <c r="W47" s="65">
        <f>SUM(CL47*($CH$47-$W$2))+CL47</f>
        <v>0</v>
      </c>
      <c r="X47" s="261">
        <f>SUM(CM47*($CH$47-$W$2))+CM47</f>
        <v>0</v>
      </c>
      <c r="Y47" s="261">
        <f>SUM(CN47*($CH$47-$W$2))+CN47</f>
        <v>0</v>
      </c>
      <c r="Z47" s="261">
        <v>0</v>
      </c>
      <c r="AA47" s="261">
        <v>0</v>
      </c>
      <c r="AB47" s="65">
        <f>SUM(CO47*($CH$47-$W$2))+CO47</f>
        <v>0</v>
      </c>
      <c r="AC47" s="61">
        <v>0</v>
      </c>
      <c r="AD47" s="262">
        <v>0</v>
      </c>
      <c r="AE47" s="262">
        <v>0</v>
      </c>
      <c r="AF47" s="262">
        <v>0</v>
      </c>
      <c r="AG47" s="262">
        <v>0</v>
      </c>
      <c r="AH47" s="65">
        <v>0</v>
      </c>
      <c r="AI47" s="660">
        <f>SUM('3 pr-2'!L48)</f>
        <v>801950</v>
      </c>
      <c r="AJ47" s="913">
        <f>SUM(AI47-K47)</f>
        <v>801887.52</v>
      </c>
      <c r="AK47" s="257">
        <f>SUM('3 pr-2'!O48)</f>
        <v>493431</v>
      </c>
      <c r="AL47" s="438">
        <f>SUM(AK47-L47)</f>
        <v>493409.12</v>
      </c>
      <c r="AM47" s="257">
        <f>SUM('3 pr-2'!R48)</f>
        <v>25015.06</v>
      </c>
      <c r="AN47" s="438">
        <f>SUM(AM47-M47)</f>
        <v>25011.77</v>
      </c>
      <c r="AO47" s="257">
        <f>SUM('3 pr-2'!U48)</f>
        <v>0</v>
      </c>
      <c r="AP47" s="257"/>
      <c r="AQ47" s="257">
        <f>SUM('3 pr-2'!X48)</f>
        <v>0</v>
      </c>
      <c r="AR47" s="257"/>
      <c r="AS47" s="2">
        <f>SUM('3 pr-2'!AA48)</f>
        <v>283503.94</v>
      </c>
      <c r="AT47" s="913">
        <f>SUM(AS47-P47)</f>
        <v>283466.63</v>
      </c>
      <c r="AU47" s="889"/>
      <c r="AV47" s="20"/>
      <c r="AW47" s="20"/>
      <c r="AX47" s="257"/>
      <c r="AY47" s="257"/>
      <c r="AZ47" s="257"/>
      <c r="BA47" s="257"/>
      <c r="BB47" s="20"/>
      <c r="BC47" s="914"/>
      <c r="BD47" s="257"/>
      <c r="BE47" s="257"/>
      <c r="BF47" s="257"/>
      <c r="BG47" s="257"/>
      <c r="BH47" s="914"/>
      <c r="BI47" s="914"/>
      <c r="BJ47" s="257"/>
      <c r="BK47" s="257"/>
      <c r="BL47" s="257"/>
      <c r="BM47" s="257"/>
      <c r="BN47" s="914"/>
      <c r="BO47" s="914"/>
      <c r="BP47" s="257"/>
      <c r="BQ47" s="257"/>
      <c r="BR47" s="257"/>
      <c r="BS47" s="257"/>
      <c r="BT47" s="20"/>
      <c r="BU47" s="20"/>
      <c r="BV47" s="257"/>
      <c r="BW47" s="257"/>
      <c r="BX47" s="257"/>
      <c r="BY47" s="257"/>
      <c r="BZ47" s="20"/>
      <c r="CA47" s="20"/>
      <c r="CB47" s="257"/>
      <c r="CC47" s="257"/>
      <c r="CD47" s="257"/>
      <c r="CE47" s="257"/>
      <c r="CF47" s="325"/>
      <c r="CG47" s="891">
        <f>SUM('3 pr-2'!AI48)</f>
        <v>42689</v>
      </c>
      <c r="CH47" s="891">
        <f>SUM('3 pr-2'!AK48)</f>
        <v>43465</v>
      </c>
      <c r="CI47" s="58">
        <f>SUM(P47+V47+AB47)</f>
        <v>283503.94</v>
      </c>
      <c r="CJ47" s="58">
        <f t="shared" si="129"/>
        <v>0</v>
      </c>
      <c r="CL47" s="985">
        <f>SUM(AJ47/($CH$47-$K$3))</f>
        <v>2196.9521095890414</v>
      </c>
      <c r="CM47" s="985">
        <f>SUM(AL47/($CH$47-$K$3))</f>
        <v>1351.8058082191781</v>
      </c>
      <c r="CN47" s="985">
        <f>SUM(AN47/($CH$47-$K$3))</f>
        <v>68.525397260273976</v>
      </c>
      <c r="CO47" s="985">
        <f>SUM(AT47/($CH$47-$K$3))</f>
        <v>776.62090410958911</v>
      </c>
    </row>
    <row r="48" spans="1:99" ht="25.5" thickTop="1" thickBot="1">
      <c r="A48" s="106" t="str">
        <f>CONCATENATE('3 pr-2'!A49:J49)</f>
        <v>1.1.1.4.3</v>
      </c>
      <c r="B48" s="105" t="str">
        <f>CONCATENATE('3 pr-2'!D49)</f>
        <v>Lazdijų miesto kompleksinė infrastruktūros plėtra, III etapas</v>
      </c>
      <c r="C48" s="61">
        <v>0</v>
      </c>
      <c r="D48" s="61">
        <v>0</v>
      </c>
      <c r="E48" s="65">
        <v>0</v>
      </c>
      <c r="F48" s="257">
        <v>0</v>
      </c>
      <c r="G48" s="257">
        <v>0</v>
      </c>
      <c r="H48" s="257">
        <v>0</v>
      </c>
      <c r="I48" s="257">
        <v>0</v>
      </c>
      <c r="J48" s="65">
        <v>0</v>
      </c>
      <c r="K48" s="65">
        <f>SUM(P48+M48+L48)</f>
        <v>11535.59</v>
      </c>
      <c r="L48" s="261">
        <f>SUM('ketv. 7 '!S47)</f>
        <v>865.17</v>
      </c>
      <c r="M48" s="261">
        <f>SUM('ketv. 7 '!X47)</f>
        <v>865.17</v>
      </c>
      <c r="N48" s="261">
        <f>IF(YEAR($CG$39)=2016,($BC$4-$AW$4)*AO$39/($CH$39-$CG$39),0)</f>
        <v>0</v>
      </c>
      <c r="O48" s="261">
        <f>IF(YEAR($CG$39)=2016,($BC$4-$AW$4)*AQ$39/($CH$39-$CG$39),0)</f>
        <v>0</v>
      </c>
      <c r="P48" s="65">
        <f>SUM('ketv. 7 '!AM47)</f>
        <v>9805.25</v>
      </c>
      <c r="Q48" s="65">
        <f>SUM(AJ48)</f>
        <v>331971.40999999997</v>
      </c>
      <c r="R48" s="261">
        <f>SUM(AL48)</f>
        <v>24897.86</v>
      </c>
      <c r="S48" s="261">
        <f>SUM(AN48)</f>
        <v>24897.850000000002</v>
      </c>
      <c r="T48" s="261">
        <f t="shared" si="131"/>
        <v>0</v>
      </c>
      <c r="U48" s="261">
        <f t="shared" si="132"/>
        <v>0</v>
      </c>
      <c r="V48" s="65">
        <f>SUM(AT48)</f>
        <v>282175.7</v>
      </c>
      <c r="W48" s="65">
        <v>0</v>
      </c>
      <c r="X48" s="261">
        <v>0</v>
      </c>
      <c r="Y48" s="261">
        <v>0</v>
      </c>
      <c r="Z48" s="261">
        <v>0</v>
      </c>
      <c r="AA48" s="261">
        <v>0</v>
      </c>
      <c r="AB48" s="65">
        <v>0</v>
      </c>
      <c r="AC48" s="61">
        <v>0</v>
      </c>
      <c r="AD48" s="262">
        <v>0</v>
      </c>
      <c r="AE48" s="262">
        <v>0</v>
      </c>
      <c r="AF48" s="262">
        <v>0</v>
      </c>
      <c r="AG48" s="262">
        <v>0</v>
      </c>
      <c r="AH48" s="65">
        <v>0</v>
      </c>
      <c r="AI48" s="660">
        <f>SUM('3 pr-2'!L49)</f>
        <v>343507</v>
      </c>
      <c r="AJ48" s="913">
        <f>SUM(AI48-K48)</f>
        <v>331971.40999999997</v>
      </c>
      <c r="AK48" s="257">
        <f>SUM('3 pr-2'!O49)</f>
        <v>25763.03</v>
      </c>
      <c r="AL48" s="438">
        <f>SUM(AK48-L48)</f>
        <v>24897.86</v>
      </c>
      <c r="AM48" s="257">
        <f>SUM('3 pr-2'!R49)</f>
        <v>25763.02</v>
      </c>
      <c r="AN48" s="438">
        <f>SUM(AM48-M48)</f>
        <v>24897.850000000002</v>
      </c>
      <c r="AO48" s="257">
        <f>SUM('3 pr-2'!U49)</f>
        <v>0</v>
      </c>
      <c r="AP48" s="257"/>
      <c r="AQ48" s="257">
        <f>SUM('3 pr-2'!X49)</f>
        <v>0</v>
      </c>
      <c r="AR48" s="257"/>
      <c r="AS48" s="2">
        <f>SUM('3 pr-2'!AA49)</f>
        <v>291980.95</v>
      </c>
      <c r="AT48" s="913">
        <f>SUM(AS48-P48)</f>
        <v>282175.7</v>
      </c>
      <c r="AU48" s="889"/>
      <c r="AV48" s="20"/>
      <c r="AW48" s="914"/>
      <c r="AX48" s="257"/>
      <c r="AY48" s="257"/>
      <c r="AZ48" s="257"/>
      <c r="BA48" s="257"/>
      <c r="BB48" s="914"/>
      <c r="BC48" s="914"/>
      <c r="BD48" s="257"/>
      <c r="BE48" s="257"/>
      <c r="BF48" s="257"/>
      <c r="BG48" s="257"/>
      <c r="BH48" s="914"/>
      <c r="BI48" s="20"/>
      <c r="BJ48" s="257"/>
      <c r="BK48" s="257"/>
      <c r="BL48" s="257"/>
      <c r="BM48" s="257"/>
      <c r="BN48" s="20"/>
      <c r="BO48" s="20"/>
      <c r="BP48" s="257"/>
      <c r="BQ48" s="257"/>
      <c r="BR48" s="257"/>
      <c r="BS48" s="257"/>
      <c r="BT48" s="20"/>
      <c r="BU48" s="20"/>
      <c r="BV48" s="257"/>
      <c r="BW48" s="257"/>
      <c r="BX48" s="257"/>
      <c r="BY48" s="257"/>
      <c r="BZ48" s="20"/>
      <c r="CA48" s="20"/>
      <c r="CB48" s="257"/>
      <c r="CC48" s="257"/>
      <c r="CD48" s="257"/>
      <c r="CE48" s="257"/>
      <c r="CF48" s="325"/>
      <c r="CG48" s="891">
        <f>SUM('3 pr-2'!AI49)</f>
        <v>42674</v>
      </c>
      <c r="CH48" s="891">
        <f>SUM('3 pr-2'!AK49)</f>
        <v>43465</v>
      </c>
      <c r="CI48" s="58">
        <f>SUM(P48+V48+AB48)</f>
        <v>291980.95</v>
      </c>
      <c r="CJ48" s="58">
        <f t="shared" si="129"/>
        <v>0</v>
      </c>
      <c r="CL48" s="985">
        <f>SUM(AJ48/($CH$48-$Q$2))</f>
        <v>912.00936813186809</v>
      </c>
      <c r="CM48" s="985">
        <f>SUM(AL48/($CH$48-$Q$2))</f>
        <v>68.400714285714287</v>
      </c>
      <c r="CN48" s="985">
        <f>SUM(AN48/($CH$48-$Q$2))</f>
        <v>68.400686813186823</v>
      </c>
      <c r="CO48" s="985">
        <f>SUM(AT48/($CH$48-$Q$2))</f>
        <v>775.20796703296708</v>
      </c>
      <c r="CP48" s="58">
        <f>SUM(K48+Q48+W48+AC48)-K48</f>
        <v>331971.40999999997</v>
      </c>
      <c r="CQ48" s="58">
        <f>SUM(CP48-AJ48)</f>
        <v>0</v>
      </c>
    </row>
    <row r="49" spans="1:98" ht="65.25" thickBot="1">
      <c r="A49" s="253" t="str">
        <f>CONCATENATE('3 pr-2'!A50)</f>
        <v>1.1.1.5</v>
      </c>
      <c r="B49" s="103" t="str">
        <f>CONCATENATE('3 pr-2'!B50)</f>
        <v xml:space="preserve">Priemonė:
Geriamojo vandens tiekimo ir nuotekų tvarkymo sistemų renovavimas ir plėtra, įmonių valdymo tobulinimas </v>
      </c>
      <c r="C49" s="910">
        <f t="shared" ref="C49:AS49" si="133">SUM(C50:C54)</f>
        <v>0</v>
      </c>
      <c r="D49" s="910">
        <f t="shared" si="133"/>
        <v>0</v>
      </c>
      <c r="E49" s="910">
        <f t="shared" si="133"/>
        <v>835238.47455074196</v>
      </c>
      <c r="F49" s="910">
        <f t="shared" si="133"/>
        <v>0</v>
      </c>
      <c r="G49" s="910">
        <f t="shared" si="133"/>
        <v>0</v>
      </c>
      <c r="H49" s="910">
        <f t="shared" si="133"/>
        <v>466522.92455074203</v>
      </c>
      <c r="I49" s="910">
        <f t="shared" si="133"/>
        <v>0</v>
      </c>
      <c r="J49" s="910">
        <f t="shared" si="133"/>
        <v>368715.55</v>
      </c>
      <c r="K49" s="910">
        <f t="shared" si="133"/>
        <v>1372598.49</v>
      </c>
      <c r="L49" s="911">
        <f t="shared" ref="L49:O49" si="134">SUM(L50:L54)</f>
        <v>0</v>
      </c>
      <c r="M49" s="911">
        <f t="shared" si="134"/>
        <v>0</v>
      </c>
      <c r="N49" s="911">
        <f t="shared" si="134"/>
        <v>432127.44999999995</v>
      </c>
      <c r="O49" s="911">
        <f t="shared" si="134"/>
        <v>0</v>
      </c>
      <c r="P49" s="910">
        <f t="shared" si="133"/>
        <v>940471.04</v>
      </c>
      <c r="Q49" s="910">
        <f t="shared" si="133"/>
        <v>4740567.4727964727</v>
      </c>
      <c r="R49" s="911"/>
      <c r="S49" s="911"/>
      <c r="T49" s="911"/>
      <c r="U49" s="911"/>
      <c r="V49" s="910">
        <f t="shared" si="133"/>
        <v>2544812.8010671129</v>
      </c>
      <c r="W49" s="910">
        <f t="shared" si="133"/>
        <v>4461544.8692433592</v>
      </c>
      <c r="X49" s="911"/>
      <c r="Y49" s="911"/>
      <c r="Z49" s="911"/>
      <c r="AA49" s="911"/>
      <c r="AB49" s="910">
        <f t="shared" si="133"/>
        <v>2406953.686968944</v>
      </c>
      <c r="AC49" s="910">
        <f t="shared" si="133"/>
        <v>4939773.8234094242</v>
      </c>
      <c r="AD49" s="911"/>
      <c r="AE49" s="911"/>
      <c r="AF49" s="911"/>
      <c r="AG49" s="911"/>
      <c r="AH49" s="910">
        <f t="shared" si="133"/>
        <v>2641011.221963943</v>
      </c>
      <c r="AI49" s="912">
        <f t="shared" si="133"/>
        <v>16349723.129999999</v>
      </c>
      <c r="AJ49" s="910"/>
      <c r="AK49" s="910"/>
      <c r="AL49" s="910"/>
      <c r="AM49" s="910"/>
      <c r="AN49" s="910"/>
      <c r="AO49" s="910"/>
      <c r="AP49" s="910"/>
      <c r="AQ49" s="910"/>
      <c r="AR49" s="910"/>
      <c r="AS49" s="910">
        <f t="shared" si="133"/>
        <v>8901964.3000000007</v>
      </c>
      <c r="AT49" s="910"/>
      <c r="AU49" s="889">
        <v>0</v>
      </c>
      <c r="AV49" s="20">
        <v>0</v>
      </c>
      <c r="AW49" s="20">
        <v>0</v>
      </c>
      <c r="AX49" s="910">
        <v>0</v>
      </c>
      <c r="AY49" s="910">
        <v>0</v>
      </c>
      <c r="AZ49" s="910">
        <v>0</v>
      </c>
      <c r="BA49" s="910">
        <v>0</v>
      </c>
      <c r="BB49" s="20">
        <v>0</v>
      </c>
      <c r="BC49" s="20">
        <v>40</v>
      </c>
      <c r="BD49" s="910">
        <v>40</v>
      </c>
      <c r="BE49" s="910">
        <v>40</v>
      </c>
      <c r="BF49" s="910">
        <v>40</v>
      </c>
      <c r="BG49" s="910">
        <v>40</v>
      </c>
      <c r="BH49" s="20">
        <v>40</v>
      </c>
      <c r="BI49" s="20">
        <v>40</v>
      </c>
      <c r="BJ49" s="910">
        <v>40</v>
      </c>
      <c r="BK49" s="910">
        <v>40</v>
      </c>
      <c r="BL49" s="910">
        <v>40</v>
      </c>
      <c r="BM49" s="910">
        <v>40</v>
      </c>
      <c r="BN49" s="20">
        <v>40</v>
      </c>
      <c r="BO49" s="20">
        <v>20</v>
      </c>
      <c r="BP49" s="910">
        <v>20</v>
      </c>
      <c r="BQ49" s="910">
        <v>20</v>
      </c>
      <c r="BR49" s="910">
        <v>20</v>
      </c>
      <c r="BS49" s="910">
        <v>20</v>
      </c>
      <c r="BT49" s="20">
        <v>20</v>
      </c>
      <c r="BU49" s="20">
        <v>0</v>
      </c>
      <c r="BV49" s="910">
        <v>0</v>
      </c>
      <c r="BW49" s="910">
        <v>0</v>
      </c>
      <c r="BX49" s="910">
        <v>0</v>
      </c>
      <c r="BY49" s="910">
        <v>0</v>
      </c>
      <c r="BZ49" s="20">
        <v>0</v>
      </c>
      <c r="CA49" s="20">
        <v>100</v>
      </c>
      <c r="CB49" s="910">
        <v>100</v>
      </c>
      <c r="CC49" s="910">
        <v>100</v>
      </c>
      <c r="CD49" s="910">
        <v>100</v>
      </c>
      <c r="CE49" s="910">
        <v>100</v>
      </c>
      <c r="CF49" s="325">
        <v>100</v>
      </c>
      <c r="CG49" s="890"/>
      <c r="CH49" s="19"/>
    </row>
    <row r="50" spans="1:98" ht="36.75" thickBot="1">
      <c r="A50" s="6" t="str">
        <f>CONCATENATE('3 pr-2'!A51)</f>
        <v>1.1.1.5.1</v>
      </c>
      <c r="B50" s="6" t="str">
        <f>CONCATENATE('3 pr-2'!D51)</f>
        <v>Geriamojo vandens tiekimo ir nuotekų tvarkymo sistemų renovavimas ir plėtra Varėnos rajone</v>
      </c>
      <c r="C50" s="65">
        <v>0</v>
      </c>
      <c r="D50" s="65">
        <v>0</v>
      </c>
      <c r="E50" s="65">
        <v>0</v>
      </c>
      <c r="F50" s="257">
        <v>0</v>
      </c>
      <c r="G50" s="257">
        <v>0</v>
      </c>
      <c r="H50" s="257">
        <v>0</v>
      </c>
      <c r="I50" s="257">
        <v>0</v>
      </c>
      <c r="J50" s="65">
        <v>0</v>
      </c>
      <c r="K50" s="65">
        <v>302669.49</v>
      </c>
      <c r="L50" s="261">
        <v>0</v>
      </c>
      <c r="M50" s="261">
        <v>0</v>
      </c>
      <c r="N50" s="261">
        <v>140468.96</v>
      </c>
      <c r="O50" s="261">
        <v>0</v>
      </c>
      <c r="P50" s="65">
        <v>162200.53</v>
      </c>
      <c r="Q50" s="65">
        <f>IF(YEAR($CG50)=2017,($Q$3-$K$3)*$AJ50/($CH50-$BC$4),0)</f>
        <v>869197.59265350865</v>
      </c>
      <c r="R50" s="257">
        <v>0</v>
      </c>
      <c r="S50" s="257">
        <v>0</v>
      </c>
      <c r="T50" s="257">
        <f>IF(YEAR($CG50)=2017,($Q$3-$K$3)*$AP50/($CH50-$BC$4),0)</f>
        <v>288068.07351973688</v>
      </c>
      <c r="U50" s="257">
        <v>0</v>
      </c>
      <c r="V50" s="65">
        <f>IF(YEAR($CG50)=2017,($Q$3-$K$3)*$AT50/($CH50-$BC$4),0)</f>
        <v>581129.51913377189</v>
      </c>
      <c r="W50" s="65">
        <f>IF(YEAR($CH50)=2020,($W$3-$Q$3)*$AJ50/($CH50-$BC$4),0)</f>
        <v>869197.59265350865</v>
      </c>
      <c r="X50" s="261">
        <v>0</v>
      </c>
      <c r="Y50" s="261">
        <v>0</v>
      </c>
      <c r="Z50" s="261">
        <f>IF(YEAR($CH50)=2020,($W$3-$Q$3)*$AP50/($CH50-$BC$4),0)</f>
        <v>288068.07351973688</v>
      </c>
      <c r="AA50" s="261">
        <v>0</v>
      </c>
      <c r="AB50" s="65">
        <f>IF(YEAR($CH50)=2020,($W$3-$Q$3)*$AT50/($CH50-$BC$4),0)</f>
        <v>581129.51913377189</v>
      </c>
      <c r="AC50" s="65">
        <f>IF(YEAR($AC$3)=YEAR($CH50),($CH50-$W$3)*AJ50/($CH50-$K$3),0)</f>
        <v>433408.1146929824</v>
      </c>
      <c r="AD50" s="261">
        <f>IF(YEAR($AC$3)=YEAR($CH$50),($CH$50-$W$3)*AL50/($CH$50-$K$3),0)</f>
        <v>0</v>
      </c>
      <c r="AE50" s="261">
        <f>IF(YEAR($AC$3)=YEAR($CH$50),($CH$50-$W$3)*AN50/($CH$50-$K$3),0)</f>
        <v>0</v>
      </c>
      <c r="AF50" s="261">
        <f>IF(YEAR($AC$3)=YEAR($CH50),($CH50-$W$3)*$AP50/($CH50-$K$3),0)</f>
        <v>143639.42296052634</v>
      </c>
      <c r="AG50" s="261">
        <f>IF(YEAR($AC$3)=YEAR($CH$50),($CH$50-$W$3)*AR50/($CH$50-$K$3),0)</f>
        <v>0</v>
      </c>
      <c r="AH50" s="65">
        <f>IF(YEAR($AC$3)=YEAR($CH50),($CH50-$W$3)*AT50/($CH50-$K$3),0)</f>
        <v>289768.69173245615</v>
      </c>
      <c r="AI50" s="662">
        <f>SUM('3 pr-2'!L51)</f>
        <v>2474472.79</v>
      </c>
      <c r="AJ50" s="904">
        <f>SUM(AI50-K50)</f>
        <v>2171803.2999999998</v>
      </c>
      <c r="AK50" s="257">
        <f>SUM('3 pr-2'!O51)</f>
        <v>0</v>
      </c>
      <c r="AL50" s="438"/>
      <c r="AM50" s="257">
        <f>SUM('3 pr-2'!R51)</f>
        <v>0</v>
      </c>
      <c r="AN50" s="438"/>
      <c r="AO50" s="257">
        <f>SUM('3 pr-2'!U51)</f>
        <v>860244.53</v>
      </c>
      <c r="AP50" s="438">
        <f>SUM(AO50-N50)</f>
        <v>719775.57000000007</v>
      </c>
      <c r="AQ50" s="257">
        <f>SUM('3 pr-2'!X51)</f>
        <v>0</v>
      </c>
      <c r="AR50" s="257"/>
      <c r="AS50" s="12">
        <f>SUM('3 pr-2'!AA51)</f>
        <v>1614228.26</v>
      </c>
      <c r="AT50" s="905">
        <f>SUM(AS50-P50)</f>
        <v>1452027.73</v>
      </c>
      <c r="AU50" s="889"/>
      <c r="AV50" s="20"/>
      <c r="AW50" s="914"/>
      <c r="AX50" s="257"/>
      <c r="AY50" s="257"/>
      <c r="AZ50" s="257"/>
      <c r="BA50" s="257"/>
      <c r="BB50" s="914"/>
      <c r="BC50" s="914"/>
      <c r="BD50" s="257"/>
      <c r="BE50" s="257"/>
      <c r="BF50" s="257"/>
      <c r="BG50" s="257"/>
      <c r="BH50" s="914"/>
      <c r="BI50" s="914"/>
      <c r="BJ50" s="257"/>
      <c r="BK50" s="257"/>
      <c r="BL50" s="257"/>
      <c r="BM50" s="257"/>
      <c r="BN50" s="914"/>
      <c r="BO50" s="914"/>
      <c r="BP50" s="257"/>
      <c r="BQ50" s="257"/>
      <c r="BR50" s="257"/>
      <c r="BS50" s="257"/>
      <c r="BT50" s="914"/>
      <c r="BU50" s="20"/>
      <c r="BV50" s="257"/>
      <c r="BW50" s="257"/>
      <c r="BX50" s="257"/>
      <c r="BY50" s="257"/>
      <c r="BZ50" s="20"/>
      <c r="CA50" s="20"/>
      <c r="CB50" s="257"/>
      <c r="CC50" s="257"/>
      <c r="CD50" s="257"/>
      <c r="CE50" s="257"/>
      <c r="CF50" s="325"/>
      <c r="CG50" s="891">
        <f>SUM('3 pr-2'!AI51)</f>
        <v>42766</v>
      </c>
      <c r="CH50" s="891">
        <f>SUM('3 pr-2'!AK51)</f>
        <v>44012</v>
      </c>
      <c r="CI50" s="58">
        <f>SUM(J50+P50+V50+AB50+AH50)</f>
        <v>1614228.26</v>
      </c>
      <c r="CJ50" s="58">
        <f t="shared" si="129"/>
        <v>0</v>
      </c>
      <c r="CQ50" s="892">
        <f t="shared" ref="CQ50:CQ52" si="135">SUM(E50+K50+Q50+W50+AC50)</f>
        <v>2474472.7899999996</v>
      </c>
      <c r="CR50" s="893">
        <f>SUM(J50+P50+V50+AB50+AH50)</f>
        <v>1614228.26</v>
      </c>
    </row>
    <row r="51" spans="1:98" ht="29.25" customHeight="1" thickBot="1">
      <c r="A51" s="6" t="str">
        <f>CONCATENATE('3 pr-2'!A52)</f>
        <v>1.1.1.5.2.</v>
      </c>
      <c r="B51" s="6" t="str">
        <f>CONCATENATE('3 pr-2'!D52)</f>
        <v>Geriamojo vandens ir nuotekų tvarkymo sistemų renovavimas Alytaus mieste</v>
      </c>
      <c r="C51" s="65">
        <v>0</v>
      </c>
      <c r="D51" s="65">
        <v>0</v>
      </c>
      <c r="E51" s="65">
        <f>SUM(F51:J51)</f>
        <v>835238.47455074196</v>
      </c>
      <c r="F51" s="257">
        <v>0</v>
      </c>
      <c r="G51" s="257">
        <v>0</v>
      </c>
      <c r="H51" s="257">
        <v>466522.92455074203</v>
      </c>
      <c r="I51" s="257">
        <v>0</v>
      </c>
      <c r="J51" s="65">
        <v>368715.55</v>
      </c>
      <c r="K51" s="65">
        <v>369436.50000000006</v>
      </c>
      <c r="L51" s="261">
        <v>0</v>
      </c>
      <c r="M51" s="261">
        <v>0</v>
      </c>
      <c r="N51" s="261"/>
      <c r="O51" s="261">
        <v>0</v>
      </c>
      <c r="P51" s="65">
        <v>369436.50000000006</v>
      </c>
      <c r="Q51" s="65">
        <f>IF(YEAR($CG51)=2017,($BI$4-$BC$4)*$AJ51/($CH51-$BC$4),0)</f>
        <v>1500471.008483086</v>
      </c>
      <c r="R51" s="261">
        <v>0</v>
      </c>
      <c r="S51" s="261">
        <v>0</v>
      </c>
      <c r="T51" s="257">
        <f>IF(YEAR($CG51)=2017,($BI$4-$BC$4)*$AP51/($CH51-$BC$4),0)</f>
        <v>847526.92181641934</v>
      </c>
      <c r="U51" s="261">
        <v>0</v>
      </c>
      <c r="V51" s="65">
        <f>IF(YEAR($CG51)=2017,($BI$4-$BC$4)*$AT51/($CH51-$BC$4),0)</f>
        <v>652944.08666666679</v>
      </c>
      <c r="W51" s="65">
        <f>IF(YEAR($CH51)=2020,($W$3-$Q$3)*$AJ51/($CH51-$BC$4),0)</f>
        <v>1500471.008483086</v>
      </c>
      <c r="X51" s="261">
        <v>0</v>
      </c>
      <c r="Y51" s="261">
        <v>0</v>
      </c>
      <c r="Z51" s="261">
        <f>IF(YEAR($CH51)=2020,($W$3-$Q$3)*$AP51/($CH51-$BC$4),0)</f>
        <v>847526.92181641934</v>
      </c>
      <c r="AA51" s="261">
        <v>0</v>
      </c>
      <c r="AB51" s="65">
        <f>IF(YEAR($CH51)=2020,($W$3-$Q$3)*$AT51/($CH51-$BC$4),0)</f>
        <v>652944.08666666679</v>
      </c>
      <c r="AC51" s="65">
        <f>IF(YEAR($AC$3)=YEAR($CH51),($CH51-$W$3)*AJ51/($CH51-$K$3),0)</f>
        <v>1500471.008483086</v>
      </c>
      <c r="AD51" s="261">
        <f>IF(YEAR($AC$3)=YEAR($CH$50),($CH$50-$W$3)*AL51/($CH$50-$K$3),0)</f>
        <v>0</v>
      </c>
      <c r="AE51" s="261">
        <f>IF(YEAR($AC$3)=YEAR($CH$50),($CH$50-$W$3)*AN51/($CH$50-$K$3),0)</f>
        <v>0</v>
      </c>
      <c r="AF51" s="261">
        <f>IF(YEAR($AC$3)=YEAR($CH51),($CH51-$W$3)*$AP51/($CH51-$K$3),0)</f>
        <v>847526.92181641934</v>
      </c>
      <c r="AG51" s="261">
        <f>IF(YEAR($AC$3)=YEAR($CH$50),($CH$50-$W$3)*AR51/($CH$50-$K$3),0)</f>
        <v>0</v>
      </c>
      <c r="AH51" s="65">
        <f>IF(YEAR($AC$3)=YEAR($CH51),($CH51-$W$3)*AT51/($CH51-$K$3),0)</f>
        <v>652944.08666666679</v>
      </c>
      <c r="AI51" s="662">
        <f>SUM('3 pr-2'!L52)</f>
        <v>5706088</v>
      </c>
      <c r="AJ51" s="904">
        <f>SUM(AI51-E51-K51)</f>
        <v>4501413.0254492583</v>
      </c>
      <c r="AK51" s="257">
        <f>SUM('3 pr-2'!O52)</f>
        <v>0</v>
      </c>
      <c r="AL51" s="438"/>
      <c r="AM51" s="257">
        <f>SUM('3 pr-2'!R52)</f>
        <v>0</v>
      </c>
      <c r="AN51" s="438"/>
      <c r="AO51" s="257">
        <f>SUM('3 pr-2'!U52)</f>
        <v>3009103.69</v>
      </c>
      <c r="AP51" s="904">
        <f>SUM(AO51-H51-N51)</f>
        <v>2542580.765449258</v>
      </c>
      <c r="AQ51" s="257">
        <f>SUM('3 pr-2'!X52)</f>
        <v>0</v>
      </c>
      <c r="AR51" s="257"/>
      <c r="AS51" s="12">
        <f>SUM('3 pr-2'!AA52)</f>
        <v>2696984.31</v>
      </c>
      <c r="AT51" s="905">
        <f>SUM(AS51-J51-P51)</f>
        <v>1958832.2600000002</v>
      </c>
      <c r="AU51" s="889"/>
      <c r="AV51" s="20"/>
      <c r="AW51" s="20"/>
      <c r="AX51" s="257"/>
      <c r="AY51" s="257"/>
      <c r="AZ51" s="257"/>
      <c r="BA51" s="257"/>
      <c r="BB51" s="20"/>
      <c r="BC51" s="914"/>
      <c r="BD51" s="257"/>
      <c r="BE51" s="257"/>
      <c r="BF51" s="257"/>
      <c r="BG51" s="257"/>
      <c r="BH51" s="914"/>
      <c r="BI51" s="914"/>
      <c r="BJ51" s="257"/>
      <c r="BK51" s="257"/>
      <c r="BL51" s="257"/>
      <c r="BM51" s="257"/>
      <c r="BN51" s="914"/>
      <c r="BO51" s="20"/>
      <c r="BP51" s="257"/>
      <c r="BQ51" s="257"/>
      <c r="BR51" s="257"/>
      <c r="BS51" s="257"/>
      <c r="BT51" s="20"/>
      <c r="BU51" s="20"/>
      <c r="BV51" s="257"/>
      <c r="BW51" s="257"/>
      <c r="BX51" s="257"/>
      <c r="BY51" s="257"/>
      <c r="BZ51" s="20"/>
      <c r="CA51" s="20"/>
      <c r="CB51" s="257"/>
      <c r="CC51" s="257"/>
      <c r="CD51" s="257"/>
      <c r="CE51" s="257"/>
      <c r="CF51" s="325"/>
      <c r="CG51" s="891">
        <f>SUM('3 pr-2'!AI52)</f>
        <v>42736</v>
      </c>
      <c r="CH51" s="891">
        <f>SUM('3 pr-2'!AK52)</f>
        <v>44195</v>
      </c>
      <c r="CI51" s="58">
        <f t="shared" ref="CI51:CI54" si="136">SUM(J51+P51+V51+AB51+AH51)</f>
        <v>2696984.3100000005</v>
      </c>
      <c r="CJ51" s="58">
        <f t="shared" si="129"/>
        <v>4.6566128730773926E-10</v>
      </c>
      <c r="CQ51" s="892">
        <f t="shared" si="135"/>
        <v>5706088</v>
      </c>
      <c r="CR51" s="893">
        <f>SUM(J51+P51+V51+AB51+AH51)</f>
        <v>2696984.3100000005</v>
      </c>
    </row>
    <row r="52" spans="1:98" ht="36.75" thickBot="1">
      <c r="A52" s="6" t="str">
        <f>CONCATENATE('3 pr-2'!A53)</f>
        <v>1.1.1.5.3</v>
      </c>
      <c r="B52" s="6" t="str">
        <f>CONCATENATE('3 pr-2'!D53)</f>
        <v>Geriamojo vandens tiekimo ir nuotekų tvarkymo sistemų renovavimas ir plėtra Lazdijų rajono savivaldybėje</v>
      </c>
      <c r="C52" s="65">
        <v>0</v>
      </c>
      <c r="D52" s="65">
        <v>0</v>
      </c>
      <c r="E52" s="65">
        <v>0</v>
      </c>
      <c r="F52" s="257">
        <v>0</v>
      </c>
      <c r="G52" s="257">
        <v>0</v>
      </c>
      <c r="H52" s="257">
        <v>0</v>
      </c>
      <c r="I52" s="257">
        <v>0</v>
      </c>
      <c r="J52" s="65">
        <v>0</v>
      </c>
      <c r="K52" s="65">
        <v>419547</v>
      </c>
      <c r="L52" s="261">
        <v>0</v>
      </c>
      <c r="M52" s="261">
        <v>0</v>
      </c>
      <c r="N52" s="261">
        <v>146096.98000000001</v>
      </c>
      <c r="O52" s="261">
        <v>0</v>
      </c>
      <c r="P52" s="65">
        <v>273450.02</v>
      </c>
      <c r="Q52" s="65">
        <f>IF(YEAR($CG52)=2017,($BI$4-$BC$4)*$AJ52/($CH52-$BC$4),0)</f>
        <v>680450.07344322349</v>
      </c>
      <c r="R52" s="261">
        <v>0</v>
      </c>
      <c r="S52" s="261">
        <v>0</v>
      </c>
      <c r="T52" s="257">
        <f>IF(YEAR($CG52)=2017,($BI$4-$BC$4)*$AP52/($CH52-$BC$4),0)</f>
        <v>331058.18205128209</v>
      </c>
      <c r="U52" s="261">
        <v>0</v>
      </c>
      <c r="V52" s="65">
        <f>IF(YEAR($CG52)=2017,($BI$4-$BC$4)*$AT52/($CH52-$BC$4),0)</f>
        <v>349391.89139194135</v>
      </c>
      <c r="W52" s="65">
        <f>IF(YEAR($CH52)=2019,($CH52-$BI$4)*$AJ52/($CH52-$BC$4),0)</f>
        <v>337428.66655677656</v>
      </c>
      <c r="X52" s="261">
        <v>0</v>
      </c>
      <c r="Y52" s="261">
        <v>0</v>
      </c>
      <c r="Z52" s="261">
        <f>IF(YEAR($CH52)=2019,($CH52-$BI$4)*$AP52/($CH52-$BC$4),0)</f>
        <v>164168.57794871795</v>
      </c>
      <c r="AA52" s="261">
        <v>0</v>
      </c>
      <c r="AB52" s="65">
        <f>IF(YEAR($CH52)=2019,($CH52-$BI$4)*$AT52/($CH52-$BC$4),0)</f>
        <v>173260.08860805861</v>
      </c>
      <c r="AC52" s="65">
        <v>0</v>
      </c>
      <c r="AD52" s="261">
        <v>0</v>
      </c>
      <c r="AE52" s="261">
        <v>0</v>
      </c>
      <c r="AF52" s="261">
        <v>0</v>
      </c>
      <c r="AG52" s="261">
        <v>0</v>
      </c>
      <c r="AH52" s="65">
        <v>0</v>
      </c>
      <c r="AI52" s="662">
        <f>SUM('3 pr-2'!L53)</f>
        <v>1437425.74</v>
      </c>
      <c r="AJ52" s="904">
        <f>SUM(AI52-E52-K52)</f>
        <v>1017878.74</v>
      </c>
      <c r="AK52" s="257">
        <f>SUM('3 pr-2'!O53)</f>
        <v>0</v>
      </c>
      <c r="AL52" s="438"/>
      <c r="AM52" s="257">
        <f>SUM('3 pr-2'!R53)</f>
        <v>0</v>
      </c>
      <c r="AN52" s="438"/>
      <c r="AO52" s="257">
        <f>SUM('3 pr-2'!U53)</f>
        <v>641323.74</v>
      </c>
      <c r="AP52" s="904">
        <f>SUM(AO52-H52-N52)</f>
        <v>495226.76</v>
      </c>
      <c r="AQ52" s="257">
        <f>SUM('3 pr-2'!X53)</f>
        <v>0</v>
      </c>
      <c r="AR52" s="257"/>
      <c r="AS52" s="12">
        <f>SUM('3 pr-2'!AA53)</f>
        <v>796102</v>
      </c>
      <c r="AT52" s="905">
        <f>SUM(AS52-J52-P52)</f>
        <v>522651.98</v>
      </c>
      <c r="AU52" s="889"/>
      <c r="AV52" s="20"/>
      <c r="AW52" s="914"/>
      <c r="AX52" s="257"/>
      <c r="AY52" s="257"/>
      <c r="AZ52" s="257"/>
      <c r="BA52" s="257"/>
      <c r="BB52" s="914"/>
      <c r="BC52" s="914"/>
      <c r="BD52" s="257"/>
      <c r="BE52" s="257"/>
      <c r="BF52" s="257"/>
      <c r="BG52" s="257"/>
      <c r="BH52" s="914"/>
      <c r="BI52" s="914"/>
      <c r="BJ52" s="257"/>
      <c r="BK52" s="257"/>
      <c r="BL52" s="257"/>
      <c r="BM52" s="257"/>
      <c r="BN52" s="914"/>
      <c r="BO52" s="20"/>
      <c r="BP52" s="257"/>
      <c r="BQ52" s="257"/>
      <c r="BR52" s="257"/>
      <c r="BS52" s="257"/>
      <c r="BT52" s="20"/>
      <c r="BU52" s="20"/>
      <c r="BV52" s="257"/>
      <c r="BW52" s="257"/>
      <c r="BX52" s="257"/>
      <c r="BY52" s="257"/>
      <c r="BZ52" s="20"/>
      <c r="CA52" s="20"/>
      <c r="CB52" s="257"/>
      <c r="CC52" s="257"/>
      <c r="CD52" s="257"/>
      <c r="CE52" s="257"/>
      <c r="CF52" s="325"/>
      <c r="CG52" s="891">
        <f>SUM('3 pr-2'!AI53)</f>
        <v>42825</v>
      </c>
      <c r="CH52" s="891">
        <f>SUM('3 pr-2'!AK53)</f>
        <v>43646</v>
      </c>
      <c r="CI52" s="58">
        <f t="shared" si="136"/>
        <v>796102</v>
      </c>
      <c r="CJ52" s="58">
        <f t="shared" si="129"/>
        <v>0</v>
      </c>
      <c r="CQ52" s="892">
        <f t="shared" si="135"/>
        <v>1437425.74</v>
      </c>
      <c r="CR52" s="893">
        <f>SUM(J52+P52+V52+AB52+AH52)</f>
        <v>796102</v>
      </c>
    </row>
    <row r="53" spans="1:98" ht="36.75" thickBot="1">
      <c r="A53" s="6" t="str">
        <f>CONCATENATE('3 pr-2'!A54)</f>
        <v>1.1.1.5.4.</v>
      </c>
      <c r="B53" s="6" t="str">
        <f>CONCATENATE('3 pr-2'!D54)</f>
        <v>Vandens tiekimo ir nuotekų šalinimo infrastruktūros renovavimas ir plėtra Druskininkų savivaldybėje</v>
      </c>
      <c r="C53" s="65">
        <v>0</v>
      </c>
      <c r="D53" s="65">
        <v>0</v>
      </c>
      <c r="E53" s="65">
        <v>0</v>
      </c>
      <c r="F53" s="257">
        <v>0</v>
      </c>
      <c r="G53" s="257">
        <v>0</v>
      </c>
      <c r="H53" s="257">
        <v>0</v>
      </c>
      <c r="I53" s="257">
        <v>0</v>
      </c>
      <c r="J53" s="65">
        <v>0</v>
      </c>
      <c r="K53" s="65">
        <v>170787.75</v>
      </c>
      <c r="L53" s="261">
        <v>0</v>
      </c>
      <c r="M53" s="261">
        <v>0</v>
      </c>
      <c r="N53" s="261">
        <v>82263.039999999994</v>
      </c>
      <c r="O53" s="261">
        <v>0</v>
      </c>
      <c r="P53" s="65">
        <v>88524.71</v>
      </c>
      <c r="Q53" s="65">
        <f>SUM(CJ53*CN53)</f>
        <v>1246631.0098833218</v>
      </c>
      <c r="R53" s="261">
        <v>0</v>
      </c>
      <c r="S53" s="261">
        <v>0</v>
      </c>
      <c r="T53" s="257">
        <f>SUM(CO53*CJ53)</f>
        <v>550696.48189430335</v>
      </c>
      <c r="U53" s="261">
        <v>0</v>
      </c>
      <c r="V53" s="65">
        <f>SUM(CJ53*CP53)</f>
        <v>695934.52798901848</v>
      </c>
      <c r="W53" s="65">
        <f>SUM(CK53*CN53)</f>
        <v>1246631.0098833218</v>
      </c>
      <c r="X53" s="261">
        <v>0</v>
      </c>
      <c r="Y53" s="261">
        <v>0</v>
      </c>
      <c r="Z53" s="261">
        <f>SUM(CK53*CO53)</f>
        <v>550696.48189430335</v>
      </c>
      <c r="AA53" s="261">
        <v>0</v>
      </c>
      <c r="AB53" s="65">
        <f>SUM(CK53*CP53)</f>
        <v>695934.52798901848</v>
      </c>
      <c r="AC53" s="65">
        <f>SUM(CN53*(CL53+CM53))</f>
        <v>2496686.830233356</v>
      </c>
      <c r="AD53" s="261">
        <v>0</v>
      </c>
      <c r="AE53" s="261">
        <v>0</v>
      </c>
      <c r="AF53" s="261">
        <f>SUM(CO53*(CL53+CM53))</f>
        <v>1102905.8662113934</v>
      </c>
      <c r="AG53" s="261">
        <v>0</v>
      </c>
      <c r="AH53" s="65">
        <f>SUM(CP53*(CL53+CM53))</f>
        <v>1393780.9640219628</v>
      </c>
      <c r="AI53" s="662">
        <f>SUM('3 pr-2'!L54)</f>
        <v>5160736.5999999996</v>
      </c>
      <c r="AJ53" s="904">
        <f>SUM(AI53-E53-K53)</f>
        <v>4989948.8499999996</v>
      </c>
      <c r="AK53" s="257">
        <f>SUM('3 pr-2'!O54)</f>
        <v>0</v>
      </c>
      <c r="AL53" s="438"/>
      <c r="AM53" s="257">
        <f>SUM('3 pr-2'!R54)</f>
        <v>0</v>
      </c>
      <c r="AN53" s="438"/>
      <c r="AO53" s="257">
        <f>SUM('3 pr-2'!U54)</f>
        <v>2286561.87</v>
      </c>
      <c r="AP53" s="904">
        <f>SUM(AO53-H53-N53)</f>
        <v>2204298.83</v>
      </c>
      <c r="AQ53" s="257">
        <f>SUM('3 pr-2'!X54)</f>
        <v>0</v>
      </c>
      <c r="AR53" s="257"/>
      <c r="AS53" s="12">
        <f>SUM('3 pr-2'!AA54)</f>
        <v>2874174.73</v>
      </c>
      <c r="AT53" s="905">
        <f>SUM(AS53-J53-P53)</f>
        <v>2785650.02</v>
      </c>
      <c r="AU53" s="889"/>
      <c r="AV53" s="20"/>
      <c r="AW53" s="914"/>
      <c r="AX53" s="257"/>
      <c r="AY53" s="257"/>
      <c r="AZ53" s="257"/>
      <c r="BA53" s="257"/>
      <c r="BB53" s="914"/>
      <c r="BC53" s="914"/>
      <c r="BD53" s="257"/>
      <c r="BE53" s="257"/>
      <c r="BF53" s="257"/>
      <c r="BG53" s="257"/>
      <c r="BH53" s="914"/>
      <c r="BI53" s="914"/>
      <c r="BJ53" s="257"/>
      <c r="BK53" s="257"/>
      <c r="BL53" s="257"/>
      <c r="BM53" s="257"/>
      <c r="BN53" s="914"/>
      <c r="BO53" s="20"/>
      <c r="BP53" s="257"/>
      <c r="BQ53" s="257"/>
      <c r="BR53" s="257"/>
      <c r="BS53" s="257"/>
      <c r="BT53" s="20"/>
      <c r="BU53" s="20"/>
      <c r="BV53" s="257"/>
      <c r="BW53" s="257"/>
      <c r="BX53" s="257"/>
      <c r="BY53" s="257"/>
      <c r="BZ53" s="20"/>
      <c r="CA53" s="20"/>
      <c r="CB53" s="257"/>
      <c r="CC53" s="257"/>
      <c r="CD53" s="257"/>
      <c r="CE53" s="257"/>
      <c r="CF53" s="325"/>
      <c r="CG53" s="891">
        <f>SUM('3 pr-2'!AI54)</f>
        <v>42824</v>
      </c>
      <c r="CH53" s="891">
        <f>SUM('3 pr-2'!AK54)</f>
        <v>44440</v>
      </c>
      <c r="CI53" s="58">
        <f t="shared" si="136"/>
        <v>2874174.7299999995</v>
      </c>
      <c r="CJ53" s="58">
        <f>SUM(Q3-Q2)</f>
        <v>364</v>
      </c>
      <c r="CK53" s="21">
        <f>SUM(W3-W2)</f>
        <v>364</v>
      </c>
      <c r="CL53" s="799">
        <f>SUM(AC3-AC2)</f>
        <v>365</v>
      </c>
      <c r="CM53" s="21">
        <f>SUM(CS53-CT53)</f>
        <v>364</v>
      </c>
      <c r="CN53" s="21">
        <f>SUM(AJ53/(CJ53+CK53+CL53+CM53))</f>
        <v>3424.8104667124226</v>
      </c>
      <c r="CO53" s="21">
        <f>SUM(AP53/(CJ53+CK53+CL53+CM53))</f>
        <v>1512.9024227865477</v>
      </c>
      <c r="CP53" s="21">
        <f>SUM(AT53/(CJ53+CK53+CL53+CM53))</f>
        <v>1911.9080439258751</v>
      </c>
      <c r="CQ53" s="892">
        <f t="shared" ref="CQ53:CQ54" si="137">SUM(E53+K53+Q53+W53+AC53)</f>
        <v>5160736.5999999996</v>
      </c>
      <c r="CR53" s="893">
        <f>SUM(J53+P53+V53+AB53+AH53)</f>
        <v>2874174.7299999995</v>
      </c>
      <c r="CS53" s="915">
        <v>44561</v>
      </c>
      <c r="CT53" s="915">
        <v>44197</v>
      </c>
    </row>
    <row r="54" spans="1:98" ht="36.75" thickBot="1">
      <c r="A54" s="6" t="str">
        <f>CONCATENATE('3 pr-2'!A55)</f>
        <v>1.1.1.5.5.</v>
      </c>
      <c r="B54" s="6" t="str">
        <f>CONCATENATE('3 pr-2'!D55)</f>
        <v>Vandens tiekimo ir nuotekų tvarkymo infrastruktūros plėtra Alytaus rajone (Krokialaukyje)</v>
      </c>
      <c r="C54" s="65">
        <v>0</v>
      </c>
      <c r="D54" s="65">
        <v>0</v>
      </c>
      <c r="E54" s="65">
        <v>0</v>
      </c>
      <c r="F54" s="257">
        <v>0</v>
      </c>
      <c r="G54" s="257">
        <v>0</v>
      </c>
      <c r="H54" s="257">
        <v>0</v>
      </c>
      <c r="I54" s="257">
        <v>0</v>
      </c>
      <c r="J54" s="65">
        <v>0</v>
      </c>
      <c r="K54" s="65">
        <f>SUM(L54:P54)</f>
        <v>110157.75</v>
      </c>
      <c r="L54" s="261">
        <f>SUM('ketv. 7 '!R53)</f>
        <v>0</v>
      </c>
      <c r="M54" s="261">
        <f>SUM('ketv. 7 '!W53)</f>
        <v>0</v>
      </c>
      <c r="N54" s="261">
        <f>SUM('ketv. 7 '!AB53)</f>
        <v>63298.47</v>
      </c>
      <c r="O54" s="261">
        <f>SUM('ketv. 7 '!AG53)</f>
        <v>0</v>
      </c>
      <c r="P54" s="65">
        <f>SUM('ketv. 7 '!AL53)</f>
        <v>46859.28</v>
      </c>
      <c r="Q54" s="65">
        <f>SUM(($Q$3-$CG$54)*CL54)</f>
        <v>443817.78833333339</v>
      </c>
      <c r="R54" s="261">
        <f>SUM(($Q$3-$CG$54)*CM54)</f>
        <v>0</v>
      </c>
      <c r="S54" s="261">
        <f>SUM(($Q$3-$CG$54)*CN54)</f>
        <v>0</v>
      </c>
      <c r="T54" s="257">
        <f>SUM(($Q$3-$CG$54)*CO54)</f>
        <v>178405.01244761905</v>
      </c>
      <c r="U54" s="261">
        <f>SUM(($Q$3-$CG$54)*CS54)</f>
        <v>0</v>
      </c>
      <c r="V54" s="65">
        <f>SUM(($Q$3-$CG$54)*CP54)</f>
        <v>265412.77588571428</v>
      </c>
      <c r="W54" s="65">
        <f>SUM($W$3-$Q$3)*CL54</f>
        <v>507816.59166666667</v>
      </c>
      <c r="X54" s="261">
        <f>SUM($W$3-$Q$3)*CM54</f>
        <v>0</v>
      </c>
      <c r="Y54" s="261">
        <f>SUM($W$3-$Q$3)*CN54</f>
        <v>0</v>
      </c>
      <c r="Z54" s="261">
        <f>SUM($W$3-$Q$3)*CO54</f>
        <v>204131.1270952381</v>
      </c>
      <c r="AA54" s="261">
        <f>SUM($W$3-$Q$3)*CS54</f>
        <v>0</v>
      </c>
      <c r="AB54" s="65">
        <f>SUM($W$3-$Q$3)*CP54</f>
        <v>303685.46457142854</v>
      </c>
      <c r="AC54" s="65">
        <f>SUM($CH$54-$W$3)*CL54</f>
        <v>509207.87000000005</v>
      </c>
      <c r="AD54" s="261">
        <f>SUM($CH$54-$W$3)*CM54</f>
        <v>0</v>
      </c>
      <c r="AE54" s="261">
        <f>SUM($CH$54-$W$3)*CN54</f>
        <v>0</v>
      </c>
      <c r="AF54" s="261">
        <f>SUM($CH$54-$W$3)*CO54</f>
        <v>204690.39045714287</v>
      </c>
      <c r="AG54" s="261">
        <f>SUM($CH$54-$W$3)*CS54</f>
        <v>0</v>
      </c>
      <c r="AH54" s="65">
        <f>SUM($CH$54-$W$3)*CP54</f>
        <v>304517.47954285709</v>
      </c>
      <c r="AI54" s="662">
        <f>SUM('3 pr-2'!L55)</f>
        <v>1571000</v>
      </c>
      <c r="AJ54" s="904">
        <f>SUM(AI54-E54-K54)</f>
        <v>1460842.25</v>
      </c>
      <c r="AK54" s="257">
        <f>SUM('3 pr-2'!O55)</f>
        <v>0</v>
      </c>
      <c r="AL54" s="438">
        <f>SUM(AK54-L54)</f>
        <v>0</v>
      </c>
      <c r="AM54" s="257">
        <f>SUM('3 pr-2'!R55)</f>
        <v>0</v>
      </c>
      <c r="AN54" s="438"/>
      <c r="AO54" s="257">
        <f>SUM('3 pr-2'!U55)</f>
        <v>650525</v>
      </c>
      <c r="AP54" s="904">
        <f>SUM(AO54-H54-N54)</f>
        <v>587226.53</v>
      </c>
      <c r="AQ54" s="257">
        <f>SUM('3 pr-2'!X55)</f>
        <v>0</v>
      </c>
      <c r="AR54" s="257"/>
      <c r="AS54" s="12">
        <f>SUM('3 pr-2'!AA55)</f>
        <v>920475</v>
      </c>
      <c r="AT54" s="905">
        <f>SUM(AS54-J54-P54)</f>
        <v>873615.72</v>
      </c>
      <c r="AU54" s="889"/>
      <c r="AV54" s="20"/>
      <c r="AW54" s="914"/>
      <c r="AX54" s="257"/>
      <c r="AY54" s="257"/>
      <c r="AZ54" s="257"/>
      <c r="BA54" s="257"/>
      <c r="BB54" s="914"/>
      <c r="BC54" s="914"/>
      <c r="BD54" s="257"/>
      <c r="BE54" s="257"/>
      <c r="BF54" s="257"/>
      <c r="BG54" s="257"/>
      <c r="BH54" s="914"/>
      <c r="BI54" s="914"/>
      <c r="BJ54" s="257"/>
      <c r="BK54" s="257"/>
      <c r="BL54" s="257"/>
      <c r="BM54" s="257"/>
      <c r="BN54" s="914"/>
      <c r="BO54" s="20"/>
      <c r="BP54" s="257"/>
      <c r="BQ54" s="257"/>
      <c r="BR54" s="257"/>
      <c r="BS54" s="257"/>
      <c r="BT54" s="20"/>
      <c r="BU54" s="20"/>
      <c r="BV54" s="257"/>
      <c r="BW54" s="257"/>
      <c r="BX54" s="257"/>
      <c r="BY54" s="257"/>
      <c r="BZ54" s="20"/>
      <c r="CA54" s="20"/>
      <c r="CB54" s="257"/>
      <c r="CC54" s="257"/>
      <c r="CD54" s="257"/>
      <c r="CE54" s="257"/>
      <c r="CF54" s="325"/>
      <c r="CG54" s="891">
        <f>SUM('3 pr-2'!AI55)</f>
        <v>43146</v>
      </c>
      <c r="CH54" s="891">
        <f>SUM('3 pr-2'!AK55)</f>
        <v>44196</v>
      </c>
      <c r="CI54" s="58">
        <f t="shared" si="136"/>
        <v>920474.99999999977</v>
      </c>
      <c r="CJ54" s="58">
        <f t="shared" si="129"/>
        <v>-2.3283064365386963E-10</v>
      </c>
      <c r="CL54" s="985">
        <f>SUM(AJ54/($CH$54-$CG$54))</f>
        <v>1391.2783333333334</v>
      </c>
      <c r="CM54" s="985">
        <f>SUM(AL54/($CH$54-$CG$54))</f>
        <v>0</v>
      </c>
      <c r="CN54" s="986">
        <f>SUM(AN54/($CH$54-$CG$54))</f>
        <v>0</v>
      </c>
      <c r="CO54" s="987">
        <f>SUM(AP54/($CH$54-$CG$54))</f>
        <v>559.26336190476195</v>
      </c>
      <c r="CP54" s="987">
        <f>SUM(AT54/($CH$54-$CG$54))</f>
        <v>832.01497142857136</v>
      </c>
      <c r="CQ54" s="892">
        <f t="shared" si="137"/>
        <v>1571000</v>
      </c>
      <c r="CR54" s="893">
        <f>SUM(J54+P54+V54+AB54+AH54)</f>
        <v>920474.99999999977</v>
      </c>
    </row>
    <row r="55" spans="1:98" ht="29.25" customHeight="1" thickBot="1">
      <c r="A55" s="253" t="str">
        <f>CONCATENATE('3 pr-2'!A56)</f>
        <v>1.1.1.6</v>
      </c>
      <c r="B55" s="103" t="str">
        <f>CONCATENATE('3 pr-2'!B56)</f>
        <v>Priemonė:
Paviršinių nuotekų sistemų tvarkymas</v>
      </c>
      <c r="C55" s="910">
        <f t="shared" ref="C55:D55" si="138">SUM(C56:C56)</f>
        <v>0</v>
      </c>
      <c r="D55" s="910">
        <f t="shared" si="138"/>
        <v>0</v>
      </c>
      <c r="E55" s="910">
        <f t="shared" ref="E55:AS55" si="139">SUM(E56:E56)</f>
        <v>0</v>
      </c>
      <c r="F55" s="910"/>
      <c r="G55" s="910"/>
      <c r="H55" s="910"/>
      <c r="I55" s="910"/>
      <c r="J55" s="910">
        <f t="shared" si="139"/>
        <v>0</v>
      </c>
      <c r="K55" s="910">
        <f t="shared" si="139"/>
        <v>915098.59000000008</v>
      </c>
      <c r="L55" s="911">
        <f t="shared" si="139"/>
        <v>0</v>
      </c>
      <c r="M55" s="911">
        <f t="shared" si="139"/>
        <v>0</v>
      </c>
      <c r="N55" s="911">
        <f t="shared" si="139"/>
        <v>137264.79</v>
      </c>
      <c r="O55" s="911">
        <f t="shared" si="139"/>
        <v>0</v>
      </c>
      <c r="P55" s="910">
        <f t="shared" si="139"/>
        <v>777833.8</v>
      </c>
      <c r="Q55" s="910">
        <f t="shared" si="139"/>
        <v>1024350.1604014598</v>
      </c>
      <c r="R55" s="911"/>
      <c r="S55" s="911"/>
      <c r="T55" s="911"/>
      <c r="U55" s="911"/>
      <c r="V55" s="910">
        <f t="shared" si="139"/>
        <v>870697.6390054744</v>
      </c>
      <c r="W55" s="910">
        <f t="shared" si="139"/>
        <v>1024350.1604014598</v>
      </c>
      <c r="X55" s="911"/>
      <c r="Y55" s="911"/>
      <c r="Z55" s="911"/>
      <c r="AA55" s="911"/>
      <c r="AB55" s="910">
        <f t="shared" si="139"/>
        <v>870697.6390054744</v>
      </c>
      <c r="AC55" s="910">
        <f t="shared" si="139"/>
        <v>1027156.5991970802</v>
      </c>
      <c r="AD55" s="911"/>
      <c r="AE55" s="911"/>
      <c r="AF55" s="911"/>
      <c r="AG55" s="911"/>
      <c r="AH55" s="910">
        <f t="shared" si="139"/>
        <v>873083.11198905099</v>
      </c>
      <c r="AI55" s="912">
        <f t="shared" si="139"/>
        <v>3990955.51</v>
      </c>
      <c r="AJ55" s="910"/>
      <c r="AK55" s="910"/>
      <c r="AL55" s="910"/>
      <c r="AM55" s="910"/>
      <c r="AN55" s="910"/>
      <c r="AO55" s="910"/>
      <c r="AP55" s="910"/>
      <c r="AQ55" s="910"/>
      <c r="AR55" s="910"/>
      <c r="AS55" s="910">
        <f t="shared" si="139"/>
        <v>3392312.19</v>
      </c>
      <c r="AT55" s="910"/>
      <c r="AU55" s="889">
        <v>0</v>
      </c>
      <c r="AV55" s="20">
        <v>0</v>
      </c>
      <c r="AW55" s="20">
        <v>100</v>
      </c>
      <c r="AX55" s="910">
        <v>100</v>
      </c>
      <c r="AY55" s="910">
        <v>100</v>
      </c>
      <c r="AZ55" s="910">
        <v>100</v>
      </c>
      <c r="BA55" s="910">
        <v>100</v>
      </c>
      <c r="BB55" s="20">
        <v>100</v>
      </c>
      <c r="BC55" s="20">
        <v>0</v>
      </c>
      <c r="BD55" s="910">
        <v>0</v>
      </c>
      <c r="BE55" s="910">
        <v>0</v>
      </c>
      <c r="BF55" s="910">
        <v>0</v>
      </c>
      <c r="BG55" s="910">
        <v>0</v>
      </c>
      <c r="BH55" s="20">
        <v>0</v>
      </c>
      <c r="BI55" s="20">
        <v>0</v>
      </c>
      <c r="BJ55" s="910">
        <v>0</v>
      </c>
      <c r="BK55" s="910">
        <v>0</v>
      </c>
      <c r="BL55" s="910">
        <v>0</v>
      </c>
      <c r="BM55" s="910">
        <v>0</v>
      </c>
      <c r="BN55" s="20">
        <v>0</v>
      </c>
      <c r="BO55" s="20">
        <v>0</v>
      </c>
      <c r="BP55" s="910">
        <v>0</v>
      </c>
      <c r="BQ55" s="910">
        <v>0</v>
      </c>
      <c r="BR55" s="910">
        <v>0</v>
      </c>
      <c r="BS55" s="910">
        <v>0</v>
      </c>
      <c r="BT55" s="20">
        <v>0</v>
      </c>
      <c r="BU55" s="20">
        <v>0</v>
      </c>
      <c r="BV55" s="910">
        <v>0</v>
      </c>
      <c r="BW55" s="910">
        <v>0</v>
      </c>
      <c r="BX55" s="910">
        <v>0</v>
      </c>
      <c r="BY55" s="910">
        <v>0</v>
      </c>
      <c r="BZ55" s="20">
        <v>0</v>
      </c>
      <c r="CA55" s="20">
        <v>100</v>
      </c>
      <c r="CB55" s="910">
        <v>100</v>
      </c>
      <c r="CC55" s="910">
        <v>100</v>
      </c>
      <c r="CD55" s="910">
        <v>100</v>
      </c>
      <c r="CE55" s="910">
        <v>100</v>
      </c>
      <c r="CF55" s="325">
        <v>100</v>
      </c>
      <c r="CG55" s="19"/>
      <c r="CH55" s="19"/>
    </row>
    <row r="56" spans="1:98" s="916" customFormat="1" ht="29.25" customHeight="1" thickBot="1">
      <c r="A56" s="6" t="str">
        <f>CONCATENATE('3 pr-2'!A57)</f>
        <v>1.1.1.6.1</v>
      </c>
      <c r="B56" s="6" t="str">
        <f>CONCATENATE('3 pr-2'!D57)</f>
        <v>Paviršinių nuotekų sistemų tvarkymas Alytaus mieste</v>
      </c>
      <c r="C56" s="61">
        <f>SUM(AI56*AU56/CA56)</f>
        <v>0</v>
      </c>
      <c r="D56" s="61">
        <f t="shared" ref="D56" si="140">SUM(AS56*AV56/CF56)</f>
        <v>0</v>
      </c>
      <c r="E56" s="61">
        <f>SUM(AI56*AW56/CA56)</f>
        <v>0</v>
      </c>
      <c r="F56" s="257">
        <f t="shared" ref="F56" si="141">SUM(AK56*AX56/CB56)</f>
        <v>0</v>
      </c>
      <c r="G56" s="257">
        <f t="shared" ref="G56" si="142">SUM(AM56*AY56/CC56)</f>
        <v>0</v>
      </c>
      <c r="H56" s="257">
        <f t="shared" ref="H56" si="143">SUM(AO56*AZ56/CD56)</f>
        <v>0</v>
      </c>
      <c r="I56" s="257">
        <f t="shared" ref="I56" si="144">SUM(AQ56*BA56/CE56)</f>
        <v>0</v>
      </c>
      <c r="J56" s="61">
        <f t="shared" ref="J56" si="145">SUM(AS56*BB56/CF56)</f>
        <v>0</v>
      </c>
      <c r="K56" s="65">
        <f>SUM('ketv. 7 '!M55)</f>
        <v>915098.59000000008</v>
      </c>
      <c r="L56" s="261">
        <f t="shared" ref="L56" si="146">SUM(AK56*BD56/CB56)</f>
        <v>0</v>
      </c>
      <c r="M56" s="261">
        <f t="shared" ref="M56" si="147">SUM(AM56*BE56/CC56)</f>
        <v>0</v>
      </c>
      <c r="N56" s="261">
        <f>SUM('ketv. 7 '!AC55)</f>
        <v>137264.79</v>
      </c>
      <c r="O56" s="261">
        <f t="shared" ref="O56" si="148">SUM(AQ56*BG56/CE56)</f>
        <v>0</v>
      </c>
      <c r="P56" s="65">
        <f>SUM('ketv. 7 '!AM55)</f>
        <v>777833.8</v>
      </c>
      <c r="Q56" s="65">
        <f>SUM(CL56*(W2-Q2))</f>
        <v>1024350.1604014598</v>
      </c>
      <c r="R56" s="257">
        <v>0</v>
      </c>
      <c r="S56" s="257">
        <v>0</v>
      </c>
      <c r="T56" s="257">
        <f>SUM(CO56*(W2-Q2))</f>
        <v>153652.52139598539</v>
      </c>
      <c r="U56" s="257">
        <v>0</v>
      </c>
      <c r="V56" s="65">
        <f>SUM(CP56*(W2-Q2))</f>
        <v>870697.6390054744</v>
      </c>
      <c r="W56" s="65">
        <f>SUM(CL56*(AC2-W2))</f>
        <v>1024350.1604014598</v>
      </c>
      <c r="X56" s="257">
        <v>0</v>
      </c>
      <c r="Y56" s="257">
        <v>0</v>
      </c>
      <c r="Z56" s="257">
        <f>SUM(CO56*(AC2-W2))</f>
        <v>153652.52139598539</v>
      </c>
      <c r="AA56" s="257">
        <v>0</v>
      </c>
      <c r="AB56" s="65">
        <f>SUM(CP56*(AC2-W2))</f>
        <v>870697.6390054744</v>
      </c>
      <c r="AC56" s="65">
        <f>SUM(CL56*(CH56-W3))</f>
        <v>1027156.5991970802</v>
      </c>
      <c r="AD56" s="261">
        <v>0</v>
      </c>
      <c r="AE56" s="261">
        <v>0</v>
      </c>
      <c r="AF56" s="261">
        <f>SUM(CO56*(CH56-W3))</f>
        <v>154073.48720802917</v>
      </c>
      <c r="AG56" s="261">
        <v>0</v>
      </c>
      <c r="AH56" s="65">
        <f>SUM(CP56*(CH56-W3))</f>
        <v>873083.11198905099</v>
      </c>
      <c r="AI56" s="663">
        <f>SUM('3 pr-2'!L57)</f>
        <v>3990955.51</v>
      </c>
      <c r="AJ56" s="904">
        <f>SUM(AI56-E56-K56)</f>
        <v>3075856.92</v>
      </c>
      <c r="AK56" s="257">
        <f>SUM('3 pr-2'!O57)</f>
        <v>0</v>
      </c>
      <c r="AL56" s="438">
        <f>SUM(AK56-L56)</f>
        <v>0</v>
      </c>
      <c r="AM56" s="257">
        <f>SUM('3 pr-2'!R57)</f>
        <v>0</v>
      </c>
      <c r="AN56" s="438"/>
      <c r="AO56" s="257">
        <f>SUM('3 pr-2'!U57)</f>
        <v>598643.31999999995</v>
      </c>
      <c r="AP56" s="904">
        <f>SUM(AO56-H56-N56)</f>
        <v>461378.52999999991</v>
      </c>
      <c r="AQ56" s="257">
        <f>SUM('3 pr-2'!X57)</f>
        <v>0</v>
      </c>
      <c r="AR56" s="476"/>
      <c r="AS56" s="94">
        <f>SUM('3 pr-2'!AA57)</f>
        <v>3392312.19</v>
      </c>
      <c r="AT56" s="905">
        <f>SUM(AS56-J56-P56)</f>
        <v>2614478.3899999997</v>
      </c>
      <c r="AU56" s="889">
        <v>0</v>
      </c>
      <c r="AV56" s="20">
        <v>0</v>
      </c>
      <c r="AW56" s="20">
        <v>0</v>
      </c>
      <c r="AX56" s="258">
        <v>0</v>
      </c>
      <c r="AY56" s="258">
        <v>0</v>
      </c>
      <c r="AZ56" s="258">
        <v>0</v>
      </c>
      <c r="BA56" s="258">
        <v>0</v>
      </c>
      <c r="BB56" s="20">
        <v>0</v>
      </c>
      <c r="BC56" s="914">
        <v>20</v>
      </c>
      <c r="BD56" s="258">
        <v>20</v>
      </c>
      <c r="BE56" s="258">
        <v>20</v>
      </c>
      <c r="BF56" s="258">
        <v>20</v>
      </c>
      <c r="BG56" s="258">
        <v>20</v>
      </c>
      <c r="BH56" s="914">
        <v>20</v>
      </c>
      <c r="BI56" s="914">
        <v>30</v>
      </c>
      <c r="BJ56" s="258">
        <v>30</v>
      </c>
      <c r="BK56" s="258">
        <v>30</v>
      </c>
      <c r="BL56" s="258">
        <v>30</v>
      </c>
      <c r="BM56" s="258">
        <v>30</v>
      </c>
      <c r="BN56" s="914">
        <v>30</v>
      </c>
      <c r="BO56" s="914">
        <v>30</v>
      </c>
      <c r="BP56" s="258">
        <v>30</v>
      </c>
      <c r="BQ56" s="258">
        <v>30</v>
      </c>
      <c r="BR56" s="258">
        <v>30</v>
      </c>
      <c r="BS56" s="258">
        <v>30</v>
      </c>
      <c r="BT56" s="914">
        <v>30</v>
      </c>
      <c r="BU56" s="914">
        <v>10</v>
      </c>
      <c r="BV56" s="258">
        <v>10</v>
      </c>
      <c r="BW56" s="258">
        <v>10</v>
      </c>
      <c r="BX56" s="258">
        <v>10</v>
      </c>
      <c r="BY56" s="258">
        <v>10</v>
      </c>
      <c r="BZ56" s="914">
        <v>10</v>
      </c>
      <c r="CA56" s="20">
        <v>100</v>
      </c>
      <c r="CB56" s="258">
        <v>100</v>
      </c>
      <c r="CC56" s="258">
        <v>100</v>
      </c>
      <c r="CD56" s="258">
        <v>100</v>
      </c>
      <c r="CE56" s="258">
        <v>100</v>
      </c>
      <c r="CF56" s="325">
        <v>100</v>
      </c>
      <c r="CG56" s="891">
        <f>SUM('3 pr-2'!AI57)</f>
        <v>42825</v>
      </c>
      <c r="CH56" s="891">
        <f>SUM('3 pr-2'!AK57)</f>
        <v>44196</v>
      </c>
      <c r="CI56" s="58">
        <f>SUM(J56+P56+V56+AB56+AH56)</f>
        <v>3392312.19</v>
      </c>
      <c r="CJ56" s="916">
        <v>0</v>
      </c>
      <c r="CL56" s="985">
        <f>SUM(AJ56/($CH$56-$K$3))</f>
        <v>2806.4387956204378</v>
      </c>
      <c r="CM56" s="985">
        <f>SUM(AL56/($CH$56-$K$3))</f>
        <v>0</v>
      </c>
      <c r="CN56" s="986">
        <f>SUM(AN56/($CH$67-$CG$67))</f>
        <v>0</v>
      </c>
      <c r="CO56" s="987">
        <f>SUM(AP56/($CH$56-$K$3))</f>
        <v>420.96581204379555</v>
      </c>
      <c r="CP56" s="987">
        <f>SUM(AT56/($CH$56-$K$3))</f>
        <v>2385.472983576642</v>
      </c>
      <c r="CQ56" s="892">
        <f t="shared" ref="CQ56" si="149">SUM(E56+K56+Q56+W56+AC56)</f>
        <v>3990955.51</v>
      </c>
      <c r="CR56" s="893">
        <f>SUM(J56+P56+V56+AB56+AH56)</f>
        <v>3392312.19</v>
      </c>
    </row>
    <row r="57" spans="1:98" ht="24" customHeight="1" thickBot="1">
      <c r="A57" s="253" t="str">
        <f>CONCATENATE('3 pr-2'!A58)</f>
        <v>1.1.1.7</v>
      </c>
      <c r="B57" s="103" t="str">
        <f>CONCATENATE('3 pr-2'!B58)</f>
        <v>Priemonė:
Savivaldybes jungiančių turizmo trasų ir turizmo maršrutų informacinės infrastruktūros plėtra</v>
      </c>
      <c r="C57" s="910">
        <f t="shared" ref="C57:AS57" si="150">SUM(C58:C60)</f>
        <v>0</v>
      </c>
      <c r="D57" s="910">
        <f t="shared" si="150"/>
        <v>0</v>
      </c>
      <c r="E57" s="910">
        <f t="shared" si="150"/>
        <v>0</v>
      </c>
      <c r="F57" s="910"/>
      <c r="G57" s="910"/>
      <c r="H57" s="910"/>
      <c r="I57" s="910"/>
      <c r="J57" s="910">
        <f t="shared" si="150"/>
        <v>0</v>
      </c>
      <c r="K57" s="910">
        <f t="shared" si="150"/>
        <v>64571.529999999992</v>
      </c>
      <c r="L57" s="911">
        <f t="shared" ref="L57:O57" si="151">SUM(L58:L60)</f>
        <v>9685.73</v>
      </c>
      <c r="M57" s="911">
        <f t="shared" si="151"/>
        <v>0</v>
      </c>
      <c r="N57" s="911">
        <f t="shared" si="151"/>
        <v>0</v>
      </c>
      <c r="O57" s="911">
        <f t="shared" si="151"/>
        <v>0</v>
      </c>
      <c r="P57" s="910">
        <f t="shared" si="150"/>
        <v>54885.799999999996</v>
      </c>
      <c r="Q57" s="910">
        <f t="shared" si="150"/>
        <v>374366.8068344451</v>
      </c>
      <c r="R57" s="911"/>
      <c r="S57" s="911"/>
      <c r="T57" s="911"/>
      <c r="U57" s="911"/>
      <c r="V57" s="910">
        <f t="shared" si="150"/>
        <v>318211.78618556703</v>
      </c>
      <c r="W57" s="910">
        <f t="shared" si="150"/>
        <v>132664.85842551006</v>
      </c>
      <c r="X57" s="911"/>
      <c r="Y57" s="911"/>
      <c r="Z57" s="911"/>
      <c r="AA57" s="911"/>
      <c r="AB57" s="910">
        <f t="shared" si="150"/>
        <v>112765.12978539488</v>
      </c>
      <c r="AC57" s="910">
        <f t="shared" si="150"/>
        <v>147714.45179886839</v>
      </c>
      <c r="AD57" s="911"/>
      <c r="AE57" s="911"/>
      <c r="AF57" s="911"/>
      <c r="AG57" s="911"/>
      <c r="AH57" s="910">
        <f t="shared" si="150"/>
        <v>125557.28402903811</v>
      </c>
      <c r="AI57" s="912">
        <f t="shared" si="150"/>
        <v>719317.64705882361</v>
      </c>
      <c r="AJ57" s="910"/>
      <c r="AK57" s="910"/>
      <c r="AL57" s="910"/>
      <c r="AM57" s="910"/>
      <c r="AN57" s="910"/>
      <c r="AO57" s="910"/>
      <c r="AP57" s="910"/>
      <c r="AQ57" s="910"/>
      <c r="AR57" s="910"/>
      <c r="AS57" s="910">
        <f t="shared" si="150"/>
        <v>611420</v>
      </c>
      <c r="AT57" s="910"/>
      <c r="AU57" s="889">
        <v>0</v>
      </c>
      <c r="AV57" s="20">
        <v>0</v>
      </c>
      <c r="AW57" s="20"/>
      <c r="AX57" s="910"/>
      <c r="AY57" s="910"/>
      <c r="AZ57" s="910"/>
      <c r="BA57" s="910"/>
      <c r="BB57" s="20"/>
      <c r="BC57" s="20"/>
      <c r="BD57" s="910"/>
      <c r="BE57" s="910"/>
      <c r="BF57" s="910"/>
      <c r="BG57" s="910"/>
      <c r="BH57" s="20"/>
      <c r="BI57" s="20"/>
      <c r="BJ57" s="910"/>
      <c r="BK57" s="910"/>
      <c r="BL57" s="910"/>
      <c r="BM57" s="910"/>
      <c r="BN57" s="20"/>
      <c r="BO57" s="20">
        <v>0</v>
      </c>
      <c r="BP57" s="910">
        <v>0</v>
      </c>
      <c r="BQ57" s="910">
        <v>0</v>
      </c>
      <c r="BR57" s="910">
        <v>0</v>
      </c>
      <c r="BS57" s="910">
        <v>0</v>
      </c>
      <c r="BT57" s="20">
        <v>0</v>
      </c>
      <c r="BU57" s="20">
        <v>0</v>
      </c>
      <c r="BV57" s="910">
        <v>0</v>
      </c>
      <c r="BW57" s="910">
        <v>0</v>
      </c>
      <c r="BX57" s="910">
        <v>0</v>
      </c>
      <c r="BY57" s="910">
        <v>0</v>
      </c>
      <c r="BZ57" s="20">
        <v>0</v>
      </c>
      <c r="CA57" s="20">
        <v>100</v>
      </c>
      <c r="CB57" s="910">
        <v>100</v>
      </c>
      <c r="CC57" s="910">
        <v>100</v>
      </c>
      <c r="CD57" s="910">
        <v>100</v>
      </c>
      <c r="CE57" s="910">
        <v>100</v>
      </c>
      <c r="CF57" s="325">
        <v>100</v>
      </c>
      <c r="CG57" s="19"/>
      <c r="CH57" s="19"/>
      <c r="CR57" s="58">
        <f>SUM(AS56-CR56)</f>
        <v>0</v>
      </c>
    </row>
    <row r="58" spans="1:98" ht="36.75" customHeight="1" thickBot="1">
      <c r="A58" s="6" t="str">
        <f>CONCATENATE('3 pr-2'!A59)</f>
        <v>1.1.1.7.1</v>
      </c>
      <c r="B58" s="6" t="str">
        <f>CONCATENATE('3 pr-2'!D59)</f>
        <v>Alytaus regiono turizmo informacinės infrastruktūros plėtra</v>
      </c>
      <c r="C58" s="65">
        <v>0</v>
      </c>
      <c r="D58" s="65">
        <v>0</v>
      </c>
      <c r="E58" s="65">
        <v>0</v>
      </c>
      <c r="F58" s="257">
        <v>0</v>
      </c>
      <c r="G58" s="257">
        <v>0</v>
      </c>
      <c r="H58" s="257">
        <v>0</v>
      </c>
      <c r="I58" s="257">
        <v>0</v>
      </c>
      <c r="J58" s="65">
        <v>0</v>
      </c>
      <c r="K58" s="65">
        <f>SUM(L58:P58)</f>
        <v>8421.6</v>
      </c>
      <c r="L58" s="261">
        <f>SUM('ketv. 7 '!R57)</f>
        <v>1263.24</v>
      </c>
      <c r="M58" s="261">
        <f>SUM('ketv. 7 '!W57)</f>
        <v>0</v>
      </c>
      <c r="N58" s="261">
        <f>SUM('ketv. 7 '!AB57)</f>
        <v>0</v>
      </c>
      <c r="O58" s="261">
        <f>SUM('ketv. 7 '!AG57)</f>
        <v>0</v>
      </c>
      <c r="P58" s="65">
        <f>SUM('ketv. 7 '!AL57)</f>
        <v>7158.36</v>
      </c>
      <c r="Q58" s="65">
        <f>IF(YEAR($CG58)=2017,($BI$4-$BC$4)*$AJ58/($CH58-$BC$4),0)</f>
        <v>199801.92941176472</v>
      </c>
      <c r="R58" s="261">
        <f>IF(YEAR($CG58)=2017,($BI$4-$BC$4)*$AL58/($CH58-$BC$4),0)</f>
        <v>29970.289411764705</v>
      </c>
      <c r="S58" s="261">
        <f>IF(YEAR($CG58)=2017,($BI$4-$BC$4)*$AN58/($CH58-$BC$4),0)</f>
        <v>0</v>
      </c>
      <c r="T58" s="257">
        <f>IF(YEAR($CG58)=2017,($BI$4-$BC$4)*$AP58/($CH58-$BC$4),0)</f>
        <v>0</v>
      </c>
      <c r="U58" s="257">
        <f>IF(YEAR($CG58)=2017,($BI$4-$BC$4)*$AR58/($CH58-$BC$4),0)</f>
        <v>0</v>
      </c>
      <c r="V58" s="65">
        <f>IF(YEAR($CG58)=2017,($BI$4-$BC$4)*$AT58/($CH58-$BC$4),0)</f>
        <v>169831.64</v>
      </c>
      <c r="W58" s="65">
        <f>IF(YEAR($CH58)=2019,($CH58-$BI$4)*$AJ58/($CH58-$BC$4),0)</f>
        <v>0</v>
      </c>
      <c r="X58" s="261">
        <f>IF(YEAR($CH58)=2019,($CH58-$BI$4)*$AL58/($CH58-$BC$4),0)</f>
        <v>0</v>
      </c>
      <c r="Y58" s="261">
        <f>IF(YEAR($CH58)=2019,($CH58-$BI$4)*$AN58/($CH58-$BC$4),0)</f>
        <v>0</v>
      </c>
      <c r="Z58" s="261">
        <f>IF(YEAR($CH58)=2019,($CH58-$BI$4)*$AP58/($CH58-$BC$4),0)</f>
        <v>0</v>
      </c>
      <c r="AA58" s="261">
        <f>IF(YEAR($CH58)=2019,($CH58-$BI$4)*$AR58/($CH58-$BC$4),0)</f>
        <v>0</v>
      </c>
      <c r="AB58" s="65">
        <f>IF(YEAR($CH58)=2019,($CH58-$BI$4)*$AT58/($CH58-$BC$4),0)</f>
        <v>0</v>
      </c>
      <c r="AC58" s="65">
        <v>0</v>
      </c>
      <c r="AD58" s="261">
        <v>0</v>
      </c>
      <c r="AE58" s="261">
        <v>0</v>
      </c>
      <c r="AF58" s="261">
        <v>0</v>
      </c>
      <c r="AG58" s="261">
        <v>0</v>
      </c>
      <c r="AH58" s="65">
        <v>0</v>
      </c>
      <c r="AI58" s="903">
        <f>SUM('3 pr-2'!L59)</f>
        <v>208223.52941176473</v>
      </c>
      <c r="AJ58" s="904">
        <f t="shared" ref="AJ58:AJ60" si="152">SUM(AI58-E58-K58)</f>
        <v>199801.92941176472</v>
      </c>
      <c r="AK58" s="257">
        <f>SUM('3 pr-2'!O59)</f>
        <v>31233.529411764706</v>
      </c>
      <c r="AL58" s="438">
        <f t="shared" ref="AL58:AN60" si="153">SUM(AK58-L58)</f>
        <v>29970.289411764705</v>
      </c>
      <c r="AM58" s="257">
        <f>SUM('3 pr-2'!R59)</f>
        <v>0</v>
      </c>
      <c r="AN58" s="438">
        <f t="shared" si="153"/>
        <v>0</v>
      </c>
      <c r="AO58" s="257">
        <f>SUM('3 pr-2'!U59)</f>
        <v>0</v>
      </c>
      <c r="AP58" s="904">
        <f t="shared" ref="AP58:AP60" si="154">SUM(AO58-H58-N58)</f>
        <v>0</v>
      </c>
      <c r="AQ58" s="257">
        <f>SUM('3 pr-2'!X59)</f>
        <v>0</v>
      </c>
      <c r="AR58" s="257"/>
      <c r="AS58" s="12">
        <f>SUM('3 pr-2'!AA59)</f>
        <v>176990</v>
      </c>
      <c r="AT58" s="905">
        <f t="shared" ref="AT58:AT60" si="155">SUM(AS58-J58-P58)</f>
        <v>169831.64</v>
      </c>
      <c r="AU58" s="889"/>
      <c r="AV58" s="20"/>
      <c r="AW58" s="20"/>
      <c r="AX58" s="257"/>
      <c r="AY58" s="257"/>
      <c r="AZ58" s="257"/>
      <c r="BA58" s="257"/>
      <c r="BB58" s="20"/>
      <c r="BC58" s="20"/>
      <c r="BD58" s="257"/>
      <c r="BE58" s="257"/>
      <c r="BF58" s="257"/>
      <c r="BG58" s="257"/>
      <c r="BH58" s="20"/>
      <c r="BI58" s="20"/>
      <c r="BJ58" s="257"/>
      <c r="BK58" s="257"/>
      <c r="BL58" s="257"/>
      <c r="BM58" s="257"/>
      <c r="BN58" s="20"/>
      <c r="BO58" s="20"/>
      <c r="BP58" s="257"/>
      <c r="BQ58" s="257"/>
      <c r="BR58" s="257"/>
      <c r="BS58" s="257"/>
      <c r="BT58" s="20"/>
      <c r="BU58" s="20"/>
      <c r="BV58" s="257"/>
      <c r="BW58" s="257"/>
      <c r="BX58" s="257"/>
      <c r="BY58" s="257"/>
      <c r="BZ58" s="20"/>
      <c r="CA58" s="20"/>
      <c r="CB58" s="257"/>
      <c r="CC58" s="257"/>
      <c r="CD58" s="257"/>
      <c r="CE58" s="257"/>
      <c r="CF58" s="325"/>
      <c r="CG58" s="891">
        <f>SUM('3 pr-2'!AI59)</f>
        <v>42840</v>
      </c>
      <c r="CH58" s="891">
        <f>SUM('3 pr-2'!AK59)</f>
        <v>43465</v>
      </c>
      <c r="CI58" s="58">
        <f t="shared" ref="CI58" si="156">SUM(J58+P58+V58+AB58+AH58)</f>
        <v>176990</v>
      </c>
      <c r="CJ58" s="58">
        <f t="shared" ref="CJ58" si="157">SUM(CI58-AS58)</f>
        <v>0</v>
      </c>
    </row>
    <row r="59" spans="1:98" ht="36.75" thickBot="1">
      <c r="A59" s="6" t="str">
        <f>CONCATENATE('3 pr-2'!A60)</f>
        <v>1.1.1.7.2</v>
      </c>
      <c r="B59" s="6" t="str">
        <f>CONCATENATE('3 pr-2'!D60)</f>
        <v>Turizmo trasų ir maršrutų informacinės infrastruktūros plėtra Lazdijų, Varėnos rajonų ir Druskininkų savivaldybėse</v>
      </c>
      <c r="C59" s="65">
        <v>0</v>
      </c>
      <c r="D59" s="65">
        <v>0</v>
      </c>
      <c r="E59" s="65">
        <v>0</v>
      </c>
      <c r="F59" s="257">
        <v>0</v>
      </c>
      <c r="G59" s="257">
        <v>0</v>
      </c>
      <c r="H59" s="257">
        <v>0</v>
      </c>
      <c r="I59" s="257">
        <v>0</v>
      </c>
      <c r="J59" s="65">
        <v>0</v>
      </c>
      <c r="K59" s="65">
        <f>SUM(L59:P59)</f>
        <v>56149.929999999993</v>
      </c>
      <c r="L59" s="261">
        <f>SUM('ketv. 7 '!R58)</f>
        <v>8422.49</v>
      </c>
      <c r="M59" s="261">
        <f>SUM('ketv. 7 '!W58)</f>
        <v>0</v>
      </c>
      <c r="N59" s="261">
        <f>SUM('ketv. 7 '!AB58)</f>
        <v>0</v>
      </c>
      <c r="O59" s="261">
        <f>SUM('ketv. 7 '!AG58)</f>
        <v>0</v>
      </c>
      <c r="P59" s="65">
        <f>SUM('ketv. 7 '!AL58)</f>
        <v>47727.439999999995</v>
      </c>
      <c r="Q59" s="65">
        <f>IF(YEAR($CG59)=2017,($BI$4-$BC$4)*$AJ59/($CH59-$BC$4),0)</f>
        <v>174564.87742268041</v>
      </c>
      <c r="R59" s="261">
        <f>IF(YEAR($CG59)=2017,($BI$4-$BC$4)*$AL59/($CH59-$BC$4),0)</f>
        <v>26184.731237113403</v>
      </c>
      <c r="S59" s="261">
        <f>IF(YEAR($CG59)=2017,($BI$4-$BC$4)*$AN59/($CH59-$BC$4),0)</f>
        <v>0</v>
      </c>
      <c r="T59" s="257">
        <f>IF(YEAR($CG59)=2017,($BI$4-$BC$4)*$AP59/($CH59-$BC$4),0)</f>
        <v>0</v>
      </c>
      <c r="U59" s="257">
        <f>IF(YEAR($CG59)=2017,($BI$4-$BC$4)*$AR59/($CH59-$BC$4),0)</f>
        <v>0</v>
      </c>
      <c r="V59" s="65">
        <f>IF(YEAR($CG59)=2017,($BI$4-$BC$4)*$AT59/($CH59-$BC$4),0)</f>
        <v>148380.14618556702</v>
      </c>
      <c r="W59" s="65">
        <f t="shared" ref="W59" si="158">IF(YEAR($CH59)=2019,($CH59-$BI$4)*$AJ59/($CH59-$BC$4),0)</f>
        <v>57391.192577319591</v>
      </c>
      <c r="X59" s="261">
        <f>IF(YEAR($CH59)=2019,($CH59-$BI$4)*$AL59/($CH59-$BC$4),0)</f>
        <v>8608.6787628865986</v>
      </c>
      <c r="Y59" s="261">
        <f>IF(YEAR($CH59)=2019,($CH59-$BI$4)*$AN59/($CH59-$BC$4),0)</f>
        <v>0</v>
      </c>
      <c r="Z59" s="261">
        <f>IF(YEAR($CH59)=2019,($CH59-$BI$4)*$AP59/($CH59-$BC$4),0)</f>
        <v>0</v>
      </c>
      <c r="AA59" s="261">
        <f>IF(YEAR($CH59)=2019,($CH59-$BI$4)*$AR59/($CH59-$BC$4),0)</f>
        <v>0</v>
      </c>
      <c r="AB59" s="65">
        <f>IF(YEAR($CH59)=2019,($CH59-$BI$4)*$AT59/($CH59-$BC$4),0)</f>
        <v>48782.51381443299</v>
      </c>
      <c r="AC59" s="65">
        <v>0</v>
      </c>
      <c r="AD59" s="261">
        <v>0</v>
      </c>
      <c r="AE59" s="261">
        <v>0</v>
      </c>
      <c r="AF59" s="261">
        <v>0</v>
      </c>
      <c r="AG59" s="261">
        <v>0</v>
      </c>
      <c r="AH59" s="65">
        <v>0</v>
      </c>
      <c r="AI59" s="903">
        <f>SUM('3 pr-2'!L60)</f>
        <v>288106</v>
      </c>
      <c r="AJ59" s="904">
        <f t="shared" si="152"/>
        <v>231956.07</v>
      </c>
      <c r="AK59" s="257">
        <f>SUM('3 pr-2'!O60)</f>
        <v>43215.9</v>
      </c>
      <c r="AL59" s="438">
        <f t="shared" si="153"/>
        <v>34793.410000000003</v>
      </c>
      <c r="AM59" s="257">
        <f>SUM('3 pr-2'!R60)</f>
        <v>0</v>
      </c>
      <c r="AN59" s="438">
        <f t="shared" si="153"/>
        <v>0</v>
      </c>
      <c r="AO59" s="257">
        <f>SUM('3 pr-2'!U60)</f>
        <v>0</v>
      </c>
      <c r="AP59" s="904">
        <f t="shared" si="154"/>
        <v>0</v>
      </c>
      <c r="AQ59" s="257">
        <f>SUM('3 pr-2'!X60)</f>
        <v>0</v>
      </c>
      <c r="AR59" s="257"/>
      <c r="AS59" s="12">
        <f>SUM('3 pr-2'!AA60)</f>
        <v>244890.1</v>
      </c>
      <c r="AT59" s="905">
        <f t="shared" si="155"/>
        <v>197162.66</v>
      </c>
      <c r="AU59" s="889"/>
      <c r="AV59" s="20"/>
      <c r="AW59" s="20"/>
      <c r="AX59" s="257"/>
      <c r="AY59" s="257"/>
      <c r="AZ59" s="257"/>
      <c r="BA59" s="257"/>
      <c r="BB59" s="20"/>
      <c r="BC59" s="20"/>
      <c r="BD59" s="257"/>
      <c r="BE59" s="257"/>
      <c r="BF59" s="257"/>
      <c r="BG59" s="257"/>
      <c r="BH59" s="20"/>
      <c r="BI59" s="20"/>
      <c r="BJ59" s="257"/>
      <c r="BK59" s="257"/>
      <c r="BL59" s="257"/>
      <c r="BM59" s="257"/>
      <c r="BN59" s="20"/>
      <c r="BO59" s="20"/>
      <c r="BP59" s="257"/>
      <c r="BQ59" s="257"/>
      <c r="BR59" s="257"/>
      <c r="BS59" s="257"/>
      <c r="BT59" s="20"/>
      <c r="BU59" s="20"/>
      <c r="BV59" s="257"/>
      <c r="BW59" s="257"/>
      <c r="BX59" s="257"/>
      <c r="BY59" s="257"/>
      <c r="BZ59" s="20"/>
      <c r="CA59" s="20"/>
      <c r="CB59" s="257"/>
      <c r="CC59" s="257"/>
      <c r="CD59" s="257"/>
      <c r="CE59" s="257"/>
      <c r="CF59" s="325"/>
      <c r="CG59" s="891">
        <f>SUM('3 pr-2'!AI60)</f>
        <v>42825</v>
      </c>
      <c r="CH59" s="891">
        <f>SUM('3 pr-2'!AK60)</f>
        <v>43585</v>
      </c>
      <c r="CI59" s="58">
        <f t="shared" ref="CI59:CI60" si="159">SUM(J59+P59+V59+AB59+AH59)</f>
        <v>244890.1</v>
      </c>
      <c r="CJ59" s="58">
        <f t="shared" ref="CJ59:CJ71" si="160">SUM(CI59-AS59)</f>
        <v>0</v>
      </c>
    </row>
    <row r="60" spans="1:98" ht="48.75" thickBot="1">
      <c r="A60" s="6" t="str">
        <f>CONCATENATE('3 pr-2'!A61)</f>
        <v>1.1.1.7.3</v>
      </c>
      <c r="B60" s="6" t="str">
        <f>CONCATENATE('3 pr-2'!D61)</f>
        <v>Turizmo trasų ir maršrutų informacinės infrastruktūros plėtra Lazdijų, Varėnos rajonų ir Druskininkų savivaldybėse, II etapas</v>
      </c>
      <c r="C60" s="65">
        <v>0</v>
      </c>
      <c r="D60" s="65">
        <v>0</v>
      </c>
      <c r="E60" s="65">
        <v>0</v>
      </c>
      <c r="F60" s="257">
        <v>0</v>
      </c>
      <c r="G60" s="257">
        <v>0</v>
      </c>
      <c r="H60" s="257">
        <v>0</v>
      </c>
      <c r="I60" s="257">
        <v>0</v>
      </c>
      <c r="J60" s="65">
        <v>0</v>
      </c>
      <c r="K60" s="65">
        <v>0</v>
      </c>
      <c r="L60" s="261">
        <v>0</v>
      </c>
      <c r="M60" s="261">
        <v>0</v>
      </c>
      <c r="N60" s="261">
        <v>0</v>
      </c>
      <c r="O60" s="261">
        <v>0</v>
      </c>
      <c r="P60" s="326">
        <v>0</v>
      </c>
      <c r="Q60" s="326">
        <v>0</v>
      </c>
      <c r="R60" s="261">
        <v>0</v>
      </c>
      <c r="S60" s="261">
        <v>0</v>
      </c>
      <c r="T60" s="261">
        <v>0</v>
      </c>
      <c r="U60" s="261">
        <v>0</v>
      </c>
      <c r="V60" s="326">
        <v>0</v>
      </c>
      <c r="W60" s="65">
        <f>SUM(($AC$2-$CG$60)*CL60)</f>
        <v>75273.66584819046</v>
      </c>
      <c r="X60" s="261">
        <f>SUM(($AC$2-$CG$60)*CM60)</f>
        <v>11291.049877228568</v>
      </c>
      <c r="Y60" s="261">
        <f>IF(YEAR($CH$60)=2020,($W$3-$CG$60)*$AN60/($CH$60-$CG$60),0)</f>
        <v>0</v>
      </c>
      <c r="Z60" s="261">
        <f>IF(YEAR($CH$60)=2020,($W$3-$CG$60)*$AP60/($CH$60-$CG$60),0)</f>
        <v>0</v>
      </c>
      <c r="AA60" s="261">
        <f>IF(YEAR($CH$60)=2020,($W$3-$CG$60)*$AR60/($CH$60-$CG$60),0)</f>
        <v>0</v>
      </c>
      <c r="AB60" s="65">
        <f>SUM(($AC$2-$CG$60)*CP60)</f>
        <v>63982.615970961888</v>
      </c>
      <c r="AC60" s="65">
        <f>SUM(($CH$60-$AC$2)*CL60)</f>
        <v>147714.45179886839</v>
      </c>
      <c r="AD60" s="261">
        <f>SUM(($CH$60-$AC$2)*CM60)</f>
        <v>22157.167769830256</v>
      </c>
      <c r="AE60" s="261">
        <f>IF(YEAR($AC$3)=YEAR($CH60),($CH60-$W$3)*AN60/($CH$60-$CG$60),0)</f>
        <v>0</v>
      </c>
      <c r="AF60" s="261">
        <f>IF(YEAR($AC$3)=YEAR($CH60),($CH60-$W$3)*AP60/($CH$60-$CG$60),0)</f>
        <v>0</v>
      </c>
      <c r="AG60" s="261">
        <f>IF(YEAR($AC$3)=YEAR($CH60),($CH60-$W$3)*AR60/($CH$60-$CG$60),0)</f>
        <v>0</v>
      </c>
      <c r="AH60" s="65">
        <f>SUM(($CH$60-$AC$2)*CP60)</f>
        <v>125557.28402903811</v>
      </c>
      <c r="AI60" s="903">
        <f>SUM('3 pr-2'!L61)</f>
        <v>222988.11764705885</v>
      </c>
      <c r="AJ60" s="904">
        <f t="shared" si="152"/>
        <v>222988.11764705885</v>
      </c>
      <c r="AK60" s="257">
        <f>SUM('3 pr-2'!O61)</f>
        <v>33448.217647058824</v>
      </c>
      <c r="AL60" s="438">
        <f t="shared" si="153"/>
        <v>33448.217647058824</v>
      </c>
      <c r="AM60" s="257">
        <f>SUM('3 pr-2'!R61)</f>
        <v>0</v>
      </c>
      <c r="AN60" s="438">
        <f t="shared" si="153"/>
        <v>0</v>
      </c>
      <c r="AO60" s="257">
        <f>SUM('3 pr-2'!U61)</f>
        <v>0</v>
      </c>
      <c r="AP60" s="904">
        <f t="shared" si="154"/>
        <v>0</v>
      </c>
      <c r="AQ60" s="257">
        <f>SUM('3 pr-2'!X61)</f>
        <v>0</v>
      </c>
      <c r="AR60" s="257"/>
      <c r="AS60" s="12">
        <f>SUM('3 pr-2'!AA61)</f>
        <v>189539.9</v>
      </c>
      <c r="AT60" s="905">
        <f t="shared" si="155"/>
        <v>189539.9</v>
      </c>
      <c r="AU60" s="889">
        <v>0</v>
      </c>
      <c r="AV60" s="20">
        <v>0</v>
      </c>
      <c r="AW60" s="20">
        <v>0</v>
      </c>
      <c r="AX60" s="257">
        <v>0</v>
      </c>
      <c r="AY60" s="257">
        <v>0</v>
      </c>
      <c r="AZ60" s="257">
        <v>0</v>
      </c>
      <c r="BA60" s="257">
        <v>0</v>
      </c>
      <c r="BB60" s="20">
        <v>0</v>
      </c>
      <c r="BC60" s="20">
        <v>0</v>
      </c>
      <c r="BD60" s="257">
        <v>0</v>
      </c>
      <c r="BE60" s="257">
        <v>0</v>
      </c>
      <c r="BF60" s="257">
        <v>0</v>
      </c>
      <c r="BG60" s="257">
        <v>0</v>
      </c>
      <c r="BH60" s="20">
        <v>0</v>
      </c>
      <c r="BI60" s="20">
        <v>10</v>
      </c>
      <c r="BJ60" s="257">
        <v>10</v>
      </c>
      <c r="BK60" s="257">
        <v>10</v>
      </c>
      <c r="BL60" s="257">
        <v>10</v>
      </c>
      <c r="BM60" s="257">
        <v>10</v>
      </c>
      <c r="BN60" s="20">
        <v>10</v>
      </c>
      <c r="BO60" s="20">
        <v>60</v>
      </c>
      <c r="BP60" s="257">
        <v>60</v>
      </c>
      <c r="BQ60" s="257">
        <v>60</v>
      </c>
      <c r="BR60" s="257">
        <v>60</v>
      </c>
      <c r="BS60" s="257">
        <v>60</v>
      </c>
      <c r="BT60" s="20">
        <v>60</v>
      </c>
      <c r="BU60" s="20">
        <v>30</v>
      </c>
      <c r="BV60" s="257">
        <v>30</v>
      </c>
      <c r="BW60" s="257">
        <v>30</v>
      </c>
      <c r="BX60" s="257">
        <v>30</v>
      </c>
      <c r="BY60" s="257">
        <v>30</v>
      </c>
      <c r="BZ60" s="20">
        <v>30</v>
      </c>
      <c r="CA60" s="20">
        <v>100</v>
      </c>
      <c r="CB60" s="257">
        <v>100</v>
      </c>
      <c r="CC60" s="257">
        <v>100</v>
      </c>
      <c r="CD60" s="257">
        <v>100</v>
      </c>
      <c r="CE60" s="257">
        <v>100</v>
      </c>
      <c r="CF60" s="325">
        <v>100</v>
      </c>
      <c r="CG60" s="891">
        <f>SUM('3 pr-2'!AI61)</f>
        <v>43645</v>
      </c>
      <c r="CH60" s="891">
        <v>44196</v>
      </c>
      <c r="CI60" s="58">
        <f t="shared" si="159"/>
        <v>189539.9</v>
      </c>
      <c r="CJ60" s="58">
        <f t="shared" si="160"/>
        <v>0</v>
      </c>
      <c r="CK60" s="21">
        <f>SUM(CH60-CG60)</f>
        <v>551</v>
      </c>
      <c r="CL60" s="985">
        <f>SUM(AI60/($CH$60-$CG$60))</f>
        <v>404.69712821607777</v>
      </c>
      <c r="CM60" s="987">
        <f>SUM(AK60/($CH$60-$CG$60))</f>
        <v>60.704569232411657</v>
      </c>
      <c r="CN60" s="987">
        <f>SUM(AM60/($CH$60-$CG$60))</f>
        <v>0</v>
      </c>
      <c r="CO60" s="987">
        <f>SUM(AO60/($CH$60-$CG$60))</f>
        <v>0</v>
      </c>
      <c r="CP60" s="987">
        <f>SUM(AS60/($CH$60-$CG$60))</f>
        <v>343.99255898366607</v>
      </c>
      <c r="CR60" s="21">
        <f>SUM(CM60*CL60)</f>
        <v>24566.964837951069</v>
      </c>
    </row>
    <row r="61" spans="1:98" ht="39.75" thickBot="1">
      <c r="A61" s="253" t="str">
        <f>CONCATENATE('3 pr-2'!A62)</f>
        <v>1.1.1.8</v>
      </c>
      <c r="B61" s="103" t="str">
        <f>CONCATENATE('3 pr-2'!B62)</f>
        <v>Priemonė:
Modernizuoti savivaldybių kultūros infrastruktūrą</v>
      </c>
      <c r="C61" s="910">
        <f>SUM(C62:C65)</f>
        <v>0</v>
      </c>
      <c r="D61" s="910">
        <f>SUM(D62:D65)</f>
        <v>0</v>
      </c>
      <c r="E61" s="910">
        <f>SUM(E62:E65)</f>
        <v>0</v>
      </c>
      <c r="F61" s="910">
        <f t="shared" ref="F61:I61" si="161">SUM(F62:F65)</f>
        <v>0</v>
      </c>
      <c r="G61" s="910">
        <f t="shared" si="161"/>
        <v>0</v>
      </c>
      <c r="H61" s="910">
        <f t="shared" si="161"/>
        <v>0</v>
      </c>
      <c r="I61" s="910">
        <f t="shared" si="161"/>
        <v>0</v>
      </c>
      <c r="J61" s="910">
        <f t="shared" ref="J61:U61" si="162">SUM(J62:J65)</f>
        <v>0</v>
      </c>
      <c r="K61" s="910">
        <f t="shared" si="162"/>
        <v>284080.76</v>
      </c>
      <c r="L61" s="911">
        <f t="shared" si="162"/>
        <v>14354.630000000001</v>
      </c>
      <c r="M61" s="911">
        <f t="shared" si="162"/>
        <v>5651.88</v>
      </c>
      <c r="N61" s="911">
        <f t="shared" si="162"/>
        <v>0</v>
      </c>
      <c r="O61" s="911">
        <f t="shared" si="162"/>
        <v>0</v>
      </c>
      <c r="P61" s="910">
        <f t="shared" si="162"/>
        <v>264074.25</v>
      </c>
      <c r="Q61" s="910">
        <f t="shared" si="162"/>
        <v>1270009.7496220472</v>
      </c>
      <c r="R61" s="910">
        <f t="shared" si="162"/>
        <v>318340.94530152372</v>
      </c>
      <c r="S61" s="910">
        <f t="shared" si="162"/>
        <v>-5651.88</v>
      </c>
      <c r="T61" s="910">
        <f t="shared" si="162"/>
        <v>0</v>
      </c>
      <c r="U61" s="910">
        <f t="shared" si="162"/>
        <v>0</v>
      </c>
      <c r="V61" s="910">
        <f>SUM(V62:V65)</f>
        <v>631313.68407361</v>
      </c>
      <c r="W61" s="910">
        <f>SUM(W62:W65)</f>
        <v>418745.0003779527</v>
      </c>
      <c r="X61" s="910">
        <f t="shared" ref="X61:AA61" si="163">SUM(X62:X65)</f>
        <v>115969.23445156266</v>
      </c>
      <c r="Y61" s="910">
        <f t="shared" si="163"/>
        <v>0</v>
      </c>
      <c r="Z61" s="910">
        <f t="shared" si="163"/>
        <v>0</v>
      </c>
      <c r="AA61" s="910">
        <f t="shared" si="163"/>
        <v>0</v>
      </c>
      <c r="AB61" s="910">
        <f>SUM(AB62:AB65)</f>
        <v>302775.76592639001</v>
      </c>
      <c r="AC61" s="910">
        <f>SUM(AC62:AC65)</f>
        <v>0</v>
      </c>
      <c r="AD61" s="910">
        <f t="shared" ref="AD61:AG61" si="164">SUM(AD62:AD65)</f>
        <v>0</v>
      </c>
      <c r="AE61" s="910">
        <f t="shared" si="164"/>
        <v>0</v>
      </c>
      <c r="AF61" s="910">
        <f t="shared" si="164"/>
        <v>0</v>
      </c>
      <c r="AG61" s="910">
        <f t="shared" si="164"/>
        <v>0</v>
      </c>
      <c r="AH61" s="910">
        <f>SUM(AH62:AH65)</f>
        <v>0</v>
      </c>
      <c r="AI61" s="912">
        <f>SUM(AI62:AI65)</f>
        <v>1972835.5100000002</v>
      </c>
      <c r="AJ61" s="910"/>
      <c r="AK61" s="910">
        <f t="shared" ref="AK61:AQ61" si="165">SUM(AK62:AK65)</f>
        <v>422270.99</v>
      </c>
      <c r="AL61" s="910"/>
      <c r="AM61" s="910">
        <f t="shared" si="165"/>
        <v>0</v>
      </c>
      <c r="AN61" s="910"/>
      <c r="AO61" s="910">
        <f t="shared" si="165"/>
        <v>0</v>
      </c>
      <c r="AP61" s="910"/>
      <c r="AQ61" s="910">
        <f t="shared" si="165"/>
        <v>352400.82</v>
      </c>
      <c r="AR61" s="910"/>
      <c r="AS61" s="910">
        <f>SUM(AS62:AS65)</f>
        <v>1198163.7</v>
      </c>
      <c r="AT61" s="910"/>
      <c r="AU61" s="894">
        <v>0</v>
      </c>
      <c r="AV61" s="914">
        <v>0</v>
      </c>
      <c r="AW61" s="914"/>
      <c r="AX61" s="910"/>
      <c r="AY61" s="910"/>
      <c r="AZ61" s="910"/>
      <c r="BA61" s="910"/>
      <c r="BB61" s="914"/>
      <c r="BC61" s="914"/>
      <c r="BD61" s="910"/>
      <c r="BE61" s="910"/>
      <c r="BF61" s="910"/>
      <c r="BG61" s="910"/>
      <c r="BH61" s="914"/>
      <c r="BI61" s="914"/>
      <c r="BJ61" s="910"/>
      <c r="BK61" s="910"/>
      <c r="BL61" s="910"/>
      <c r="BM61" s="910"/>
      <c r="BN61" s="914"/>
      <c r="BO61" s="914"/>
      <c r="BP61" s="910"/>
      <c r="BQ61" s="910"/>
      <c r="BR61" s="910"/>
      <c r="BS61" s="910"/>
      <c r="BT61" s="914"/>
      <c r="BU61" s="914"/>
      <c r="BV61" s="910"/>
      <c r="BW61" s="910"/>
      <c r="BX61" s="910"/>
      <c r="BY61" s="910"/>
      <c r="BZ61" s="914"/>
      <c r="CA61" s="20">
        <v>100</v>
      </c>
      <c r="CB61" s="910">
        <v>100</v>
      </c>
      <c r="CC61" s="910">
        <v>100</v>
      </c>
      <c r="CD61" s="910">
        <v>100</v>
      </c>
      <c r="CE61" s="910">
        <v>100</v>
      </c>
      <c r="CF61" s="325">
        <v>100</v>
      </c>
      <c r="CG61" s="19"/>
      <c r="CH61" s="19"/>
    </row>
    <row r="62" spans="1:98" ht="24.75" thickBot="1">
      <c r="A62" s="6" t="str">
        <f>CONCATENATE('3 pr-2'!A63)</f>
        <v>1.1.1.8.1</v>
      </c>
      <c r="B62" s="6" t="str">
        <f>CONCATENATE('3 pr-2'!D63)</f>
        <v>Kultūros įstaigų infrastruktūros modernizavimas Varėnos mieste</v>
      </c>
      <c r="C62" s="65">
        <v>0</v>
      </c>
      <c r="D62" s="65">
        <v>0</v>
      </c>
      <c r="E62" s="65">
        <v>0</v>
      </c>
      <c r="F62" s="257">
        <v>0</v>
      </c>
      <c r="G62" s="257">
        <v>0</v>
      </c>
      <c r="H62" s="257">
        <v>0</v>
      </c>
      <c r="I62" s="257">
        <v>0</v>
      </c>
      <c r="J62" s="65">
        <v>0</v>
      </c>
      <c r="K62" s="65">
        <f>SUM('ketv. 7 '!M61)</f>
        <v>171518.59000000003</v>
      </c>
      <c r="L62" s="261">
        <f>SUM('ketv. 7 '!S61)</f>
        <v>12248.45</v>
      </c>
      <c r="M62" s="261">
        <f>SUM('ketv. 7 '!X61)</f>
        <v>0</v>
      </c>
      <c r="N62" s="261">
        <v>0</v>
      </c>
      <c r="O62" s="261">
        <v>0</v>
      </c>
      <c r="P62" s="65">
        <f>SUM('ketv. 7 '!AM61)</f>
        <v>159270.14000000001</v>
      </c>
      <c r="Q62" s="65">
        <f>SUM(($W$2-$Q$2)*CL62)</f>
        <v>136409.25547520659</v>
      </c>
      <c r="R62" s="261">
        <f>SUM(($W$2-Q2)*CM62)</f>
        <v>30626.59194214876</v>
      </c>
      <c r="S62" s="261">
        <f>SUM(($W$2-$Q$2)*CN62)</f>
        <v>0</v>
      </c>
      <c r="T62" s="257">
        <v>0</v>
      </c>
      <c r="U62" s="257">
        <v>0</v>
      </c>
      <c r="V62" s="65">
        <f>SUM(($W$2-Q2)*CP62)</f>
        <v>105782.66353305783</v>
      </c>
      <c r="W62" s="65">
        <f>SUM(($CH$62-W2)*CL62)</f>
        <v>44473.154524793383</v>
      </c>
      <c r="X62" s="261">
        <f>SUM(($CH$62-W2)*CM62)</f>
        <v>9985.1080578512392</v>
      </c>
      <c r="Y62" s="261">
        <f>SUM(($CH$62-$Q$3)*CN62)</f>
        <v>0</v>
      </c>
      <c r="Z62" s="261">
        <v>0</v>
      </c>
      <c r="AA62" s="261">
        <v>0</v>
      </c>
      <c r="AB62" s="65">
        <f>SUM(($CH$62-W2)*CP62)</f>
        <v>34488.046466942142</v>
      </c>
      <c r="AC62" s="65">
        <v>0</v>
      </c>
      <c r="AD62" s="261">
        <v>0</v>
      </c>
      <c r="AE62" s="261">
        <v>0</v>
      </c>
      <c r="AF62" s="261">
        <v>0</v>
      </c>
      <c r="AG62" s="261">
        <v>0</v>
      </c>
      <c r="AH62" s="65">
        <v>0</v>
      </c>
      <c r="AI62" s="662">
        <f>SUM('3 pr-2'!L63)</f>
        <v>352401</v>
      </c>
      <c r="AJ62" s="904">
        <f>SUM(AI62-E62-K62)</f>
        <v>180882.40999999997</v>
      </c>
      <c r="AK62" s="257">
        <f>SUM('3 pr-2'!O63)</f>
        <v>52860.15</v>
      </c>
      <c r="AL62" s="438">
        <f>SUM(AK62-L62)</f>
        <v>40611.699999999997</v>
      </c>
      <c r="AM62" s="257">
        <f>SUM('3 pr-2'!R63)</f>
        <v>0</v>
      </c>
      <c r="AN62" s="438">
        <f>SUM(AM62-M62)</f>
        <v>0</v>
      </c>
      <c r="AO62" s="257">
        <f>SUM('3 pr-2'!U63)</f>
        <v>0</v>
      </c>
      <c r="AP62" s="904">
        <f>SUM(AO62-H62-N62)</f>
        <v>0</v>
      </c>
      <c r="AQ62" s="257">
        <f>SUM('3 pr-2'!X63)</f>
        <v>0</v>
      </c>
      <c r="AR62" s="257"/>
      <c r="AS62" s="5">
        <f>SUM('3 pr-2'!AA63)</f>
        <v>299540.84999999998</v>
      </c>
      <c r="AT62" s="905">
        <f>SUM(AS62-J62-P62)</f>
        <v>140270.70999999996</v>
      </c>
      <c r="AU62" s="889">
        <f>SUM(J62+P62+V62)</f>
        <v>265052.80353305786</v>
      </c>
      <c r="AV62" s="20"/>
      <c r="AW62" s="20"/>
      <c r="AX62" s="257"/>
      <c r="AY62" s="257"/>
      <c r="AZ62" s="257"/>
      <c r="BA62" s="257"/>
      <c r="BB62" s="20"/>
      <c r="BC62" s="20"/>
      <c r="BD62" s="257"/>
      <c r="BE62" s="257"/>
      <c r="BF62" s="257"/>
      <c r="BG62" s="257"/>
      <c r="BH62" s="20"/>
      <c r="BI62" s="20"/>
      <c r="BJ62" s="257"/>
      <c r="BK62" s="257"/>
      <c r="BL62" s="257"/>
      <c r="BM62" s="257"/>
      <c r="BN62" s="20"/>
      <c r="BO62" s="20"/>
      <c r="BP62" s="257"/>
      <c r="BQ62" s="257"/>
      <c r="BR62" s="257"/>
      <c r="BS62" s="257"/>
      <c r="BT62" s="20"/>
      <c r="BU62" s="20"/>
      <c r="BV62" s="257"/>
      <c r="BW62" s="257"/>
      <c r="BX62" s="257"/>
      <c r="BY62" s="257"/>
      <c r="BZ62" s="20"/>
      <c r="CA62" s="20"/>
      <c r="CB62" s="257"/>
      <c r="CC62" s="257"/>
      <c r="CD62" s="257"/>
      <c r="CE62" s="257"/>
      <c r="CF62" s="325"/>
      <c r="CG62" s="891">
        <f>SUM('3 pr-2'!AI63)</f>
        <v>42855</v>
      </c>
      <c r="CH62" s="891">
        <f>SUM('3 pr-2'!AK63)</f>
        <v>43585</v>
      </c>
      <c r="CI62" s="58">
        <f>SUM(P62+V62+AB62)</f>
        <v>299540.84999999998</v>
      </c>
      <c r="CJ62" s="58">
        <f t="shared" si="160"/>
        <v>0</v>
      </c>
      <c r="CL62" s="985">
        <f>SUM(AJ62/484)</f>
        <v>373.72398760330572</v>
      </c>
      <c r="CM62" s="985">
        <f>SUM(AL62/484)</f>
        <v>83.908471074380159</v>
      </c>
      <c r="CN62" s="985">
        <f>SUM(AN62/($CH$62-$K$3))</f>
        <v>0</v>
      </c>
      <c r="CO62" s="985">
        <f>SUM(AN62/($CH$62-$K$3))</f>
        <v>0</v>
      </c>
      <c r="CP62" s="987">
        <f>SUM(AT62/484)</f>
        <v>289.81551652892557</v>
      </c>
      <c r="CR62" s="21">
        <f>SUM(CJ62/CP62)</f>
        <v>0</v>
      </c>
    </row>
    <row r="63" spans="1:98" ht="40.5" customHeight="1" thickBot="1">
      <c r="A63" s="6" t="str">
        <f>CONCATENATE('3 pr-2'!A64)</f>
        <v>1.1.1.8.2</v>
      </c>
      <c r="B63" s="6" t="str">
        <f>CONCATENATE('3 pr-2'!D64)</f>
        <v>VšĮ Alytaus kultūros ir komunikacijos centro pastato Alytuje, Pramonės g. 1B, rekonstravimas</v>
      </c>
      <c r="C63" s="65">
        <v>0</v>
      </c>
      <c r="D63" s="65">
        <v>0</v>
      </c>
      <c r="E63" s="65">
        <v>0</v>
      </c>
      <c r="F63" s="257">
        <v>0</v>
      </c>
      <c r="G63" s="257">
        <v>0</v>
      </c>
      <c r="H63" s="257">
        <v>0</v>
      </c>
      <c r="I63" s="257">
        <v>0</v>
      </c>
      <c r="J63" s="65">
        <v>0</v>
      </c>
      <c r="K63" s="65">
        <f>SUM('ketv. 7 '!M62)</f>
        <v>92562.17</v>
      </c>
      <c r="L63" s="261">
        <f>SUM('ketv. 7 '!S62)</f>
        <v>2106.1799999999998</v>
      </c>
      <c r="M63" s="261">
        <f>SUM('ketv. 7 '!X62)</f>
        <v>5651.88</v>
      </c>
      <c r="N63" s="261">
        <v>0</v>
      </c>
      <c r="O63" s="261">
        <v>0</v>
      </c>
      <c r="P63" s="65">
        <f>SUM('ketv. 7 '!AM62)</f>
        <v>84804.11</v>
      </c>
      <c r="Q63" s="65">
        <f>IF(YEAR($CG63)=2017,($BI$4-$BC$4)*$AJ63/($CH63-$BC$4),0)</f>
        <v>690701.99</v>
      </c>
      <c r="R63" s="261">
        <f>IF(YEAR($CG63)=2017,($BI$4-$BC$4)*$AL63/($CH63-$BC$4),0)</f>
        <v>129216.15999999999</v>
      </c>
      <c r="S63" s="261">
        <f>IF(YEAR($CG63)=2017,($BI$4-$BC$4)*$AN63/($CH63-$BC$4),0)</f>
        <v>-5651.88</v>
      </c>
      <c r="T63" s="257">
        <f>IF(YEAR($CG63)=2017,($BI$4-$BC$4)*$AP63/($CH63-$BC$4),0)</f>
        <v>0</v>
      </c>
      <c r="U63" s="257">
        <f>IF(YEAR($CG63)=2017,($BI$4-$BC$4)*$AR63/($CH63-$BC$4),0)</f>
        <v>0</v>
      </c>
      <c r="V63" s="65">
        <f>IF(YEAR($CG63)=2017,($BI$4-$BC$4)*$AT63/($CH63-$BC$4),0)</f>
        <v>214736.89</v>
      </c>
      <c r="W63" s="65">
        <v>0</v>
      </c>
      <c r="X63" s="261">
        <v>0</v>
      </c>
      <c r="Y63" s="261">
        <v>0</v>
      </c>
      <c r="Z63" s="261">
        <v>0</v>
      </c>
      <c r="AA63" s="261">
        <v>0</v>
      </c>
      <c r="AB63" s="65">
        <v>0</v>
      </c>
      <c r="AC63" s="65">
        <v>0</v>
      </c>
      <c r="AD63" s="261">
        <v>0</v>
      </c>
      <c r="AE63" s="261">
        <v>0</v>
      </c>
      <c r="AF63" s="261">
        <v>0</v>
      </c>
      <c r="AG63" s="261">
        <v>0</v>
      </c>
      <c r="AH63" s="65">
        <v>0</v>
      </c>
      <c r="AI63" s="662">
        <f>SUM('3 pr-2'!L64)</f>
        <v>783264.16</v>
      </c>
      <c r="AJ63" s="904">
        <f>SUM(AI63-K63)</f>
        <v>690701.99</v>
      </c>
      <c r="AK63" s="257">
        <f>SUM('3 pr-2'!O64)</f>
        <v>131322.34</v>
      </c>
      <c r="AL63" s="438">
        <f>SUM(AK63-L63)</f>
        <v>129216.16</v>
      </c>
      <c r="AM63" s="257">
        <f>SUM('3 pr-2'!R64)</f>
        <v>0</v>
      </c>
      <c r="AN63" s="438">
        <f>SUM(AM63-M63)</f>
        <v>-5651.88</v>
      </c>
      <c r="AO63" s="257">
        <f>SUM('3 pr-2'!U64)</f>
        <v>0</v>
      </c>
      <c r="AP63" s="438">
        <f>SUM(AO63-O63)</f>
        <v>0</v>
      </c>
      <c r="AQ63" s="257">
        <f>SUM('3 pr-2'!X64)</f>
        <v>352400.82</v>
      </c>
      <c r="AR63" s="257"/>
      <c r="AS63" s="5">
        <f>SUM('3 pr-2'!AA64)</f>
        <v>299541</v>
      </c>
      <c r="AT63" s="438">
        <f>SUM(AS63-P63)</f>
        <v>214736.89</v>
      </c>
      <c r="AU63" s="889">
        <f>SUM(J63+P63+V63)</f>
        <v>299541</v>
      </c>
      <c r="AV63" s="20"/>
      <c r="AW63" s="20"/>
      <c r="AX63" s="257"/>
      <c r="AY63" s="257"/>
      <c r="AZ63" s="257"/>
      <c r="BA63" s="257"/>
      <c r="BB63" s="20"/>
      <c r="BC63" s="20"/>
      <c r="BD63" s="257"/>
      <c r="BE63" s="257"/>
      <c r="BF63" s="257"/>
      <c r="BG63" s="257"/>
      <c r="BH63" s="20"/>
      <c r="BI63" s="20"/>
      <c r="BJ63" s="257"/>
      <c r="BK63" s="257"/>
      <c r="BL63" s="257"/>
      <c r="BM63" s="257"/>
      <c r="BN63" s="20"/>
      <c r="BO63" s="20"/>
      <c r="BP63" s="257"/>
      <c r="BQ63" s="257"/>
      <c r="BR63" s="257"/>
      <c r="BS63" s="257"/>
      <c r="BT63" s="20"/>
      <c r="BU63" s="20"/>
      <c r="BV63" s="257"/>
      <c r="BW63" s="257"/>
      <c r="BX63" s="257"/>
      <c r="BY63" s="257"/>
      <c r="BZ63" s="20"/>
      <c r="CA63" s="20"/>
      <c r="CB63" s="257"/>
      <c r="CC63" s="257"/>
      <c r="CD63" s="257"/>
      <c r="CE63" s="257"/>
      <c r="CF63" s="325"/>
      <c r="CG63" s="891">
        <f>SUM('3 pr-2'!AI64)</f>
        <v>42855</v>
      </c>
      <c r="CH63" s="891">
        <f>SUM('3 pr-2'!AK64)</f>
        <v>43465</v>
      </c>
      <c r="CI63" s="58">
        <f>SUM(P63+V63)</f>
        <v>299541</v>
      </c>
      <c r="CJ63" s="58">
        <f t="shared" si="160"/>
        <v>0</v>
      </c>
    </row>
    <row r="64" spans="1:98" ht="48.75" thickBot="1">
      <c r="A64" s="6" t="str">
        <f>CONCATENATE('3 pr-2'!A65)</f>
        <v>1.1.1.8.3</v>
      </c>
      <c r="B64" s="6" t="str">
        <f>CONCATENATE('3 pr-2'!D65)</f>
        <v>Druskininkų kultūros centro lauko scenos, Vilniaus al. 24, Druskininkai, modernizavimas ir pritaikymas kultūros poreikiams</v>
      </c>
      <c r="C64" s="65">
        <v>0</v>
      </c>
      <c r="D64" s="65">
        <v>0</v>
      </c>
      <c r="E64" s="65">
        <v>0</v>
      </c>
      <c r="F64" s="257">
        <v>0</v>
      </c>
      <c r="G64" s="257">
        <v>0</v>
      </c>
      <c r="H64" s="257">
        <v>0</v>
      </c>
      <c r="I64" s="257">
        <v>0</v>
      </c>
      <c r="J64" s="65">
        <v>0</v>
      </c>
      <c r="K64" s="65">
        <f>SUM('ketv. 7 '!M63)</f>
        <v>20000</v>
      </c>
      <c r="L64" s="261">
        <f>SUM('ketv. 7 '!S63)</f>
        <v>0</v>
      </c>
      <c r="M64" s="261">
        <f>SUM('ketv. 7 '!X63)</f>
        <v>0</v>
      </c>
      <c r="N64" s="261">
        <v>0</v>
      </c>
      <c r="O64" s="261">
        <v>0</v>
      </c>
      <c r="P64" s="65">
        <f>SUM('ketv. 7 '!AM63)</f>
        <v>20000</v>
      </c>
      <c r="Q64" s="65">
        <f>SUM((W3-Q3)*CL64)</f>
        <v>166428.48422496571</v>
      </c>
      <c r="R64" s="261">
        <f>SUM((W3-Q2)*CM64)</f>
        <v>52860.150000000009</v>
      </c>
      <c r="S64" s="261">
        <f>IF(YEAR($CG64)=2017,($BI$4-$BC$4)*$AN64/($CH64-$BC$4),0)</f>
        <v>0</v>
      </c>
      <c r="T64" s="257">
        <f>IF(YEAR($CG64)=2017,($BI$4-$BC$4)*$AP64/($CH64-$BC$4),0)</f>
        <v>0</v>
      </c>
      <c r="U64" s="257">
        <f>IF(YEAR($CG64)=2017,($BI$4-$BC$4)*$AR64/($CH64-$BC$4),0)</f>
        <v>0</v>
      </c>
      <c r="V64" s="65">
        <f>SUM((W3-Q3)*CP64)</f>
        <v>139962.15397805211</v>
      </c>
      <c r="W64" s="65">
        <f>SUM((AC2-W2-1)*CL64)</f>
        <v>165972.51577503429</v>
      </c>
      <c r="X64" s="261">
        <f>SUM(AC2-W2-1)*CM64</f>
        <v>26393.819753086424</v>
      </c>
      <c r="Y64" s="261">
        <v>0</v>
      </c>
      <c r="Z64" s="261">
        <v>0</v>
      </c>
      <c r="AA64" s="261">
        <v>0</v>
      </c>
      <c r="AB64" s="65">
        <f>SUM(AC2-W2-1)*CP64</f>
        <v>139578.69602194786</v>
      </c>
      <c r="AC64" s="65">
        <v>0</v>
      </c>
      <c r="AD64" s="261">
        <v>0</v>
      </c>
      <c r="AE64" s="261">
        <v>0</v>
      </c>
      <c r="AF64" s="261">
        <v>0</v>
      </c>
      <c r="AG64" s="261">
        <v>0</v>
      </c>
      <c r="AH64" s="65">
        <v>0</v>
      </c>
      <c r="AI64" s="662">
        <f>SUM('3 pr-2'!L65)</f>
        <v>352401</v>
      </c>
      <c r="AJ64" s="904">
        <f>SUM(AI64-K64)</f>
        <v>332401</v>
      </c>
      <c r="AK64" s="257">
        <f>SUM('3 pr-2'!O65)</f>
        <v>52860.15</v>
      </c>
      <c r="AL64" s="438">
        <f>SUM(AK64-L64)</f>
        <v>52860.15</v>
      </c>
      <c r="AM64" s="257">
        <f>SUM('3 pr-2'!R65)</f>
        <v>0</v>
      </c>
      <c r="AN64" s="438">
        <f>SUM(AM64-M64)</f>
        <v>0</v>
      </c>
      <c r="AO64" s="257">
        <f>SUM('3 pr-2'!U65)</f>
        <v>0</v>
      </c>
      <c r="AP64" s="438">
        <f>SUM(AO64-O64)</f>
        <v>0</v>
      </c>
      <c r="AQ64" s="257">
        <f>SUM('3 pr-2'!X65)</f>
        <v>0</v>
      </c>
      <c r="AR64" s="257"/>
      <c r="AS64" s="5">
        <f>SUM('3 pr-2'!AA65)</f>
        <v>299540.84999999998</v>
      </c>
      <c r="AT64" s="438">
        <f>SUM(AS64-P64)</f>
        <v>279540.84999999998</v>
      </c>
      <c r="AU64" s="889">
        <f>SUM(J64+P64+V64)</f>
        <v>159962.15397805211</v>
      </c>
      <c r="AV64" s="20"/>
      <c r="AW64" s="20"/>
      <c r="AX64" s="257"/>
      <c r="AY64" s="257"/>
      <c r="AZ64" s="257"/>
      <c r="BA64" s="257"/>
      <c r="BB64" s="20"/>
      <c r="BC64" s="20"/>
      <c r="BD64" s="257"/>
      <c r="BE64" s="257"/>
      <c r="BF64" s="257"/>
      <c r="BG64" s="257"/>
      <c r="BH64" s="20"/>
      <c r="BI64" s="20"/>
      <c r="BJ64" s="257"/>
      <c r="BK64" s="257"/>
      <c r="BL64" s="257"/>
      <c r="BM64" s="257"/>
      <c r="BN64" s="20"/>
      <c r="BO64" s="20"/>
      <c r="BP64" s="257"/>
      <c r="BQ64" s="257"/>
      <c r="BR64" s="257"/>
      <c r="BS64" s="257"/>
      <c r="BT64" s="20"/>
      <c r="BU64" s="20"/>
      <c r="BV64" s="257"/>
      <c r="BW64" s="257"/>
      <c r="BX64" s="257"/>
      <c r="BY64" s="257"/>
      <c r="BZ64" s="20"/>
      <c r="CA64" s="20"/>
      <c r="CB64" s="257"/>
      <c r="CC64" s="257"/>
      <c r="CD64" s="257"/>
      <c r="CE64" s="257"/>
      <c r="CF64" s="325"/>
      <c r="CG64" s="891">
        <f>SUM('3 pr-2'!AI65)</f>
        <v>42870</v>
      </c>
      <c r="CH64" s="891">
        <f>SUM('3 pr-2'!AK65)</f>
        <v>43830</v>
      </c>
      <c r="CI64" s="58">
        <f>SUM(P64+V64+AB64+AH64)</f>
        <v>299540.84999999998</v>
      </c>
      <c r="CJ64" s="58">
        <f t="shared" si="160"/>
        <v>0</v>
      </c>
      <c r="CL64" s="985">
        <f>SUM(AJ64/($CH$64-$Q$2))</f>
        <v>455.96844993141292</v>
      </c>
      <c r="CM64" s="987">
        <f>SUM(AL64/($CH$64-$Q$2))</f>
        <v>72.510493827160502</v>
      </c>
      <c r="CN64" s="987">
        <f>SUM(AM64/($CH$60-$CG$60))</f>
        <v>0</v>
      </c>
      <c r="CO64" s="987">
        <f>SUM(AO64/($CH$60-$CG$60))</f>
        <v>0</v>
      </c>
      <c r="CP64" s="987">
        <f>SUM(AT64/($CH$64-$Q$2))</f>
        <v>383.45795610425239</v>
      </c>
      <c r="CQ64" s="1259">
        <f t="shared" ref="CQ64" si="166">SUM(E64+K64+Q64+W64+AC64)</f>
        <v>352401</v>
      </c>
      <c r="CR64" s="1259">
        <f>SUM(J64+P64+V64+AB64+AH64)</f>
        <v>299540.84999999998</v>
      </c>
    </row>
    <row r="65" spans="1:100" ht="36.75" thickBot="1">
      <c r="A65" s="6" t="str">
        <f>CONCATENATE('3 pr-2'!A66)</f>
        <v>1.1.1.8.4</v>
      </c>
      <c r="B65" s="6" t="str">
        <f>CONCATENATE('3 pr-2'!D66)</f>
        <v>Pastato rekonstrukcija ir pritaikymas kultūrinėms, muziejinėms ir edukacinėms reikmėms</v>
      </c>
      <c r="C65" s="65">
        <v>0</v>
      </c>
      <c r="D65" s="65">
        <v>0</v>
      </c>
      <c r="E65" s="65">
        <v>0</v>
      </c>
      <c r="F65" s="257">
        <v>0</v>
      </c>
      <c r="G65" s="257">
        <v>0</v>
      </c>
      <c r="H65" s="257">
        <v>0</v>
      </c>
      <c r="I65" s="257">
        <v>0</v>
      </c>
      <c r="J65" s="65">
        <v>0</v>
      </c>
      <c r="K65" s="65">
        <f>SUM('ketv. 7 '!M64)</f>
        <v>0</v>
      </c>
      <c r="L65" s="261">
        <f>SUM('ketv. 7 '!S64)</f>
        <v>0</v>
      </c>
      <c r="M65" s="261">
        <f>SUM('ketv. 7 '!X64)</f>
        <v>0</v>
      </c>
      <c r="N65" s="261">
        <v>0</v>
      </c>
      <c r="O65" s="261">
        <v>0</v>
      </c>
      <c r="P65" s="65">
        <f>SUM('ketv. 7 '!AM64)</f>
        <v>0</v>
      </c>
      <c r="Q65" s="65">
        <f>SUM(365*CL65)</f>
        <v>276470.01992187498</v>
      </c>
      <c r="R65" s="261">
        <f>SUM(365*CM65)</f>
        <v>105638.04335937499</v>
      </c>
      <c r="S65" s="261">
        <f>SUM(($W$2-$Q$2)*CN65)</f>
        <v>0</v>
      </c>
      <c r="T65" s="257">
        <f>IF(YEAR($CG65)=2018,($W2-$CG65)*$AP65/($CH65-$CG65),0)</f>
        <v>0</v>
      </c>
      <c r="U65" s="257">
        <f>IF(YEAR($CG65)=2018,($W2-$CG65)*$AR65/($CH65-$CG65),0)</f>
        <v>0</v>
      </c>
      <c r="V65" s="65">
        <f>SUM(365*CP65)</f>
        <v>170831.9765625</v>
      </c>
      <c r="W65" s="65">
        <f>SUM(275*CL65)</f>
        <v>208299.330078125</v>
      </c>
      <c r="X65" s="261">
        <f>SUM(275*CM65)</f>
        <v>79590.306640625</v>
      </c>
      <c r="Y65" s="261">
        <f>SUM(($CH$65-$W$2)*CN65)</f>
        <v>0</v>
      </c>
      <c r="Z65" s="261">
        <f>IF(YEAR($CH$65)=2020,(W3-Q3)*$AP65/($CH$65-$CG$65),0)</f>
        <v>0</v>
      </c>
      <c r="AA65" s="261">
        <f>IF(YEAR($CH$65)=2020,(W3-Q3)*$AR65/($CH$65-$CG$65),0)</f>
        <v>0</v>
      </c>
      <c r="AB65" s="65">
        <f>SUM(275*CP65)</f>
        <v>128709.0234375</v>
      </c>
      <c r="AC65" s="65">
        <f>IF(YEAR($AC$3)=YEAR($CH65),($CH$65-$AC$2)*$AJ$65/($CH$65-$CG$65),0)</f>
        <v>0</v>
      </c>
      <c r="AD65" s="261">
        <f>IF(YEAR($AC$3)=YEAR($CH65),($CH$65-$AC$2)*$AL$65/($CH$65-$CG$65),0)</f>
        <v>0</v>
      </c>
      <c r="AE65" s="261">
        <f>IF(YEAR($AC$3)=YEAR($CH65),($CH$65-$AC$2)*$AN$65/($CH$65-$CG$65),0)</f>
        <v>0</v>
      </c>
      <c r="AF65" s="261">
        <f>IF(YEAR($AC$3)=YEAR($CH65),($CH$65-$AC$2)*$AP$65/($CH$65-$CG$65),0)</f>
        <v>0</v>
      </c>
      <c r="AG65" s="261">
        <f>IF(YEAR($AC$3)=YEAR($CH65),($CH$65-$AC$2)*$AR$65/($CH$65-$CG$65),0)</f>
        <v>0</v>
      </c>
      <c r="AH65" s="65">
        <f>IF(YEAR($AC$3)=YEAR($CH65),($CH$65-AC2)*$AT$65/($CH$65-$CG$65),0)</f>
        <v>0</v>
      </c>
      <c r="AI65" s="662">
        <f>SUM('3 pr-2'!L66)</f>
        <v>484769.35</v>
      </c>
      <c r="AJ65" s="904">
        <f>SUM(AI65-K65)</f>
        <v>484769.35</v>
      </c>
      <c r="AK65" s="257">
        <f>SUM('3 pr-2'!O66)</f>
        <v>185228.35</v>
      </c>
      <c r="AL65" s="438">
        <f>SUM(AK65-L65)</f>
        <v>185228.35</v>
      </c>
      <c r="AM65" s="257">
        <f>SUM('3 pr-2'!R66)</f>
        <v>0</v>
      </c>
      <c r="AN65" s="438">
        <f>SUM(AM65-M65)</f>
        <v>0</v>
      </c>
      <c r="AO65" s="257">
        <f>SUM('3 pr-2'!U66)</f>
        <v>0</v>
      </c>
      <c r="AP65" s="438">
        <f>SUM(AO65-O65)</f>
        <v>0</v>
      </c>
      <c r="AQ65" s="257">
        <f>SUM('3 pr-2'!X66)</f>
        <v>0</v>
      </c>
      <c r="AR65" s="257"/>
      <c r="AS65" s="5">
        <f>SUM('3 pr-2'!AA66)</f>
        <v>299541</v>
      </c>
      <c r="AT65" s="438">
        <f>SUM(AS65-P65)</f>
        <v>299541</v>
      </c>
      <c r="AU65" s="889">
        <f>SUM(J65+P65+V65+AB65)</f>
        <v>299541</v>
      </c>
      <c r="AV65" s="20"/>
      <c r="AW65" s="20"/>
      <c r="AX65" s="257"/>
      <c r="AY65" s="257"/>
      <c r="AZ65" s="257"/>
      <c r="BA65" s="257"/>
      <c r="BB65" s="20"/>
      <c r="BC65" s="20"/>
      <c r="BD65" s="257"/>
      <c r="BE65" s="257"/>
      <c r="BF65" s="257"/>
      <c r="BG65" s="257"/>
      <c r="BH65" s="20"/>
      <c r="BI65" s="20"/>
      <c r="BJ65" s="257"/>
      <c r="BK65" s="257"/>
      <c r="BL65" s="257"/>
      <c r="BM65" s="257"/>
      <c r="BN65" s="20"/>
      <c r="BO65" s="20"/>
      <c r="BP65" s="257"/>
      <c r="BQ65" s="257"/>
      <c r="BR65" s="257"/>
      <c r="BS65" s="257"/>
      <c r="BT65" s="20"/>
      <c r="BU65" s="20"/>
      <c r="BV65" s="257"/>
      <c r="BW65" s="257"/>
      <c r="BX65" s="257"/>
      <c r="BY65" s="257"/>
      <c r="BZ65" s="20"/>
      <c r="CA65" s="20"/>
      <c r="CB65" s="257"/>
      <c r="CC65" s="257"/>
      <c r="CD65" s="257"/>
      <c r="CE65" s="257"/>
      <c r="CF65" s="325"/>
      <c r="CG65" s="891">
        <f>SUM('3 pr-2'!AI66)</f>
        <v>43190</v>
      </c>
      <c r="CH65" s="891">
        <f>SUM('3 pr-2'!AK66)</f>
        <v>43830</v>
      </c>
      <c r="CI65" s="58">
        <f>SUM(P65+V65+AB65+AH65)</f>
        <v>299541</v>
      </c>
      <c r="CJ65" s="58">
        <f t="shared" si="160"/>
        <v>0</v>
      </c>
      <c r="CL65" s="985">
        <f>SUM(AJ65/640)</f>
        <v>757.45210937499996</v>
      </c>
      <c r="CM65" s="985">
        <f>SUM(AL65/640)</f>
        <v>289.41929687499999</v>
      </c>
      <c r="CN65" s="985">
        <f>SUM(AN65/640)</f>
        <v>0</v>
      </c>
      <c r="CO65" s="985">
        <f>SUM(AN65/($CH$62-$K$3))</f>
        <v>0</v>
      </c>
      <c r="CP65" s="987">
        <f>SUM(AT65/640)</f>
        <v>468.03281249999998</v>
      </c>
      <c r="CQ65" s="21">
        <v>640</v>
      </c>
      <c r="CR65" s="21">
        <f>SUM(W2-Q2)</f>
        <v>365</v>
      </c>
      <c r="CS65" s="21">
        <f>SUM(CQ65-CR65)</f>
        <v>275</v>
      </c>
    </row>
    <row r="66" spans="1:100" ht="29.25" customHeight="1" thickBot="1">
      <c r="A66" s="253" t="str">
        <f>CONCATENATE('3 pr-2'!A67)</f>
        <v>1.1.1.9</v>
      </c>
      <c r="B66" s="103" t="str">
        <f>CONCATENATE('3 pr-2'!B67)</f>
        <v>Priemonė:
Aktualizuoti savivaldybių kultūros paveldo objektus</v>
      </c>
      <c r="C66" s="910">
        <f>SUM(C67:C71)</f>
        <v>0</v>
      </c>
      <c r="D66" s="910">
        <f>SUM(D67:D71)</f>
        <v>0</v>
      </c>
      <c r="E66" s="910">
        <f>SUM(E67:E71)</f>
        <v>0</v>
      </c>
      <c r="F66" s="910"/>
      <c r="G66" s="910"/>
      <c r="H66" s="910"/>
      <c r="I66" s="910"/>
      <c r="J66" s="910">
        <f t="shared" ref="J66:U66" si="167">SUM(J67:J71)</f>
        <v>0</v>
      </c>
      <c r="K66" s="910">
        <f t="shared" si="167"/>
        <v>0</v>
      </c>
      <c r="L66" s="911">
        <f>SUM(L67:L71)</f>
        <v>0</v>
      </c>
      <c r="M66" s="911">
        <f t="shared" si="167"/>
        <v>0</v>
      </c>
      <c r="N66" s="911">
        <f t="shared" si="167"/>
        <v>0</v>
      </c>
      <c r="O66" s="911">
        <f t="shared" si="167"/>
        <v>0</v>
      </c>
      <c r="P66" s="910">
        <f t="shared" si="167"/>
        <v>0</v>
      </c>
      <c r="Q66" s="910">
        <f t="shared" si="167"/>
        <v>381931.07989224407</v>
      </c>
      <c r="R66" s="910">
        <f t="shared" si="167"/>
        <v>110709.12222108491</v>
      </c>
      <c r="S66" s="910">
        <f t="shared" si="167"/>
        <v>0</v>
      </c>
      <c r="T66" s="910">
        <f t="shared" si="167"/>
        <v>0</v>
      </c>
      <c r="U66" s="910">
        <f t="shared" si="167"/>
        <v>0</v>
      </c>
      <c r="V66" s="910">
        <f>SUM(V67:V71)</f>
        <v>271221.95767115918</v>
      </c>
      <c r="W66" s="910">
        <f>SUM(W67:W71)</f>
        <v>704599.7902763742</v>
      </c>
      <c r="X66" s="910">
        <f>SUM(X67:X71)</f>
        <v>202326.67862669026</v>
      </c>
      <c r="Y66" s="910">
        <f t="shared" ref="Y66:AA66" si="168">SUM(Y67:Y71)</f>
        <v>0</v>
      </c>
      <c r="Z66" s="910">
        <f t="shared" si="168"/>
        <v>0</v>
      </c>
      <c r="AA66" s="910">
        <f t="shared" si="168"/>
        <v>0</v>
      </c>
      <c r="AB66" s="910">
        <f>SUM(AB67:AB71)</f>
        <v>502273.11164968391</v>
      </c>
      <c r="AC66" s="910">
        <f>SUM(AC67:AC71)</f>
        <v>375410.24983138172</v>
      </c>
      <c r="AD66" s="910">
        <f>SUM(AD67:AD71)</f>
        <v>125039.65915222482</v>
      </c>
      <c r="AE66" s="910">
        <f t="shared" ref="AE66:AG66" si="169">SUM(AE67:AE71)</f>
        <v>0</v>
      </c>
      <c r="AF66" s="910">
        <f t="shared" si="169"/>
        <v>0</v>
      </c>
      <c r="AG66" s="910">
        <f t="shared" si="169"/>
        <v>0</v>
      </c>
      <c r="AH66" s="910">
        <f>SUM(AH67:AH71)</f>
        <v>250370.59067915691</v>
      </c>
      <c r="AI66" s="912">
        <f>SUM(AI67:AI71)</f>
        <v>1461941.12</v>
      </c>
      <c r="AJ66" s="910"/>
      <c r="AK66" s="910">
        <f t="shared" ref="AK66:AQ66" si="170">SUM(AK67:AK71)</f>
        <v>438075.46</v>
      </c>
      <c r="AL66" s="910"/>
      <c r="AM66" s="910">
        <f t="shared" si="170"/>
        <v>0</v>
      </c>
      <c r="AN66" s="910"/>
      <c r="AO66" s="910">
        <f t="shared" si="170"/>
        <v>0</v>
      </c>
      <c r="AP66" s="910"/>
      <c r="AQ66" s="910">
        <f t="shared" si="170"/>
        <v>0</v>
      </c>
      <c r="AR66" s="910"/>
      <c r="AS66" s="910">
        <f>SUM(AS67:AS71)</f>
        <v>1023865.66</v>
      </c>
      <c r="AT66" s="910"/>
      <c r="AU66" s="894">
        <v>0</v>
      </c>
      <c r="AV66" s="914">
        <v>0</v>
      </c>
      <c r="AW66" s="914">
        <v>0</v>
      </c>
      <c r="AX66" s="910">
        <v>0</v>
      </c>
      <c r="AY66" s="910">
        <v>0</v>
      </c>
      <c r="AZ66" s="910">
        <v>0</v>
      </c>
      <c r="BA66" s="910">
        <v>0</v>
      </c>
      <c r="BB66" s="914">
        <v>0</v>
      </c>
      <c r="BC66" s="914">
        <v>0</v>
      </c>
      <c r="BD66" s="910">
        <v>0</v>
      </c>
      <c r="BE66" s="910">
        <v>0</v>
      </c>
      <c r="BF66" s="910">
        <v>0</v>
      </c>
      <c r="BG66" s="910">
        <v>0</v>
      </c>
      <c r="BH66" s="914">
        <v>0</v>
      </c>
      <c r="BI66" s="914">
        <v>40</v>
      </c>
      <c r="BJ66" s="910">
        <v>40</v>
      </c>
      <c r="BK66" s="910">
        <v>40</v>
      </c>
      <c r="BL66" s="910">
        <v>40</v>
      </c>
      <c r="BM66" s="910">
        <v>40</v>
      </c>
      <c r="BN66" s="914">
        <v>40</v>
      </c>
      <c r="BO66" s="914">
        <v>40</v>
      </c>
      <c r="BP66" s="910">
        <v>40</v>
      </c>
      <c r="BQ66" s="910">
        <v>40</v>
      </c>
      <c r="BR66" s="910">
        <v>40</v>
      </c>
      <c r="BS66" s="910">
        <v>40</v>
      </c>
      <c r="BT66" s="914">
        <v>40</v>
      </c>
      <c r="BU66" s="914">
        <v>20</v>
      </c>
      <c r="BV66" s="910">
        <v>20</v>
      </c>
      <c r="BW66" s="910">
        <v>20</v>
      </c>
      <c r="BX66" s="910">
        <v>20</v>
      </c>
      <c r="BY66" s="910">
        <v>20</v>
      </c>
      <c r="BZ66" s="914">
        <v>20</v>
      </c>
      <c r="CA66" s="20">
        <v>100</v>
      </c>
      <c r="CB66" s="910">
        <v>100</v>
      </c>
      <c r="CC66" s="910">
        <v>100</v>
      </c>
      <c r="CD66" s="910">
        <v>100</v>
      </c>
      <c r="CE66" s="910">
        <v>100</v>
      </c>
      <c r="CF66" s="325">
        <v>100</v>
      </c>
      <c r="CG66" s="19"/>
      <c r="CH66" s="19"/>
    </row>
    <row r="67" spans="1:100" ht="39.75" thickBot="1">
      <c r="A67" s="8" t="str">
        <f>CONCATENATE('3 pr-2'!A68)</f>
        <v>1.1.1.9.1</v>
      </c>
      <c r="B67" s="108" t="str">
        <f>CONCATENATE('3 pr-2'!D68)</f>
        <v>Buvusios sinagogos pastato Kauno g. 9A Alytuje rekonstravimas ir aplinkinės teritorijos sutvarkymas</v>
      </c>
      <c r="C67" s="65">
        <v>0</v>
      </c>
      <c r="D67" s="65">
        <v>0</v>
      </c>
      <c r="E67" s="65">
        <v>0</v>
      </c>
      <c r="F67" s="257">
        <v>0</v>
      </c>
      <c r="G67" s="257">
        <v>0</v>
      </c>
      <c r="H67" s="257">
        <v>0</v>
      </c>
      <c r="I67" s="257">
        <v>0</v>
      </c>
      <c r="J67" s="65">
        <v>0</v>
      </c>
      <c r="K67" s="65">
        <f>SUM('ketv. 7 '!M66)</f>
        <v>0</v>
      </c>
      <c r="L67" s="261">
        <f>SUM('ketv. 7 '!S66)</f>
        <v>0</v>
      </c>
      <c r="M67" s="261">
        <f>SUM('ketv. 7 '!X66)</f>
        <v>0</v>
      </c>
      <c r="N67" s="261">
        <f>SUM('ketv. 7 '!AB66)</f>
        <v>0</v>
      </c>
      <c r="O67" s="261">
        <f>SUM('ketv. 7 '!AG66)</f>
        <v>0</v>
      </c>
      <c r="P67" s="65">
        <f>SUM('ketv. 7 '!AM66)</f>
        <v>0</v>
      </c>
      <c r="Q67" s="65">
        <f>SUM(($Q$3-CG67)*CL67)</f>
        <v>89397.890098360658</v>
      </c>
      <c r="R67" s="261">
        <f>SUM(($Q$3-$CG$67)*CM67)</f>
        <v>47961.492284153006</v>
      </c>
      <c r="S67" s="261">
        <f>IF(YEAR($CG$67)=2018,($BI$4-$CG$67)*AM$67/($CH$67-$CG$67),0)</f>
        <v>0</v>
      </c>
      <c r="T67" s="261">
        <f>IF(YEAR($CG$67)=2018,($BI$4-$CG$67)*AO$67/($CH$67-$CG$67),0)</f>
        <v>0</v>
      </c>
      <c r="U67" s="261">
        <f>IF(YEAR($CG$67)=2018,($BI$4-$CG$67)*AQ$67/($CH$67-$CG$67),0)</f>
        <v>0</v>
      </c>
      <c r="V67" s="65">
        <f>SUM(($Q$3-$CG$67)*CO67)</f>
        <v>41436.397814207652</v>
      </c>
      <c r="W67" s="65">
        <f>SUM(($W$3-$Q$3)*CL67)</f>
        <v>177338.20590163936</v>
      </c>
      <c r="X67" s="261">
        <f>SUM(($W$3-$Q$3)*CM67)</f>
        <v>95141.003715846993</v>
      </c>
      <c r="Y67" s="261">
        <f>IF(YEAR($CH$67)&gt;2019,($BO$4-$BI$4)*AM$67/($CH$67-$CG$67),0)</f>
        <v>0</v>
      </c>
      <c r="Z67" s="261">
        <f>IF(YEAR($CH$67)&gt;2019,($BO$4-$BI$4)*AO$67/($CH$67-$CG$67),0)</f>
        <v>0</v>
      </c>
      <c r="AA67" s="261">
        <f>IF(YEAR($CH$67)&gt;2019,($BO$4-$BI$4)*AQ$67/($CH$67-$CG$67),0)</f>
        <v>0</v>
      </c>
      <c r="AB67" s="65">
        <f>SUM(($W$3-$Q$3)*CO67)</f>
        <v>82197.202185792354</v>
      </c>
      <c r="AC67" s="65">
        <f>SUM((CH67-$W$3)*CL67)</f>
        <v>177824.06400000001</v>
      </c>
      <c r="AD67" s="261">
        <f>SUM(($CH$67-$W$3)*CM67)</f>
        <v>95401.664000000004</v>
      </c>
      <c r="AE67" s="261">
        <f>IF(YEAR($CH$67)=2020,($CH$67-$BO$4)*AM$67/($CH$67-$CG$67),0)</f>
        <v>0</v>
      </c>
      <c r="AF67" s="261">
        <f>IF(YEAR($CH$67)=2020,($CH$67-$BO$4)*AO$67/($CH$67-$CG$67),0)</f>
        <v>0</v>
      </c>
      <c r="AG67" s="261">
        <f>IF(YEAR($CH$67)=2020,($CH$67-$BO$4)*AQ$67/($CH$67-$CG$67),0)</f>
        <v>0</v>
      </c>
      <c r="AH67" s="65">
        <f>SUM(($CH$67-$W$3)*CO67)</f>
        <v>82422.400000000009</v>
      </c>
      <c r="AI67" s="664">
        <f>SUM('3 pr-2'!L68)</f>
        <v>444560.16000000003</v>
      </c>
      <c r="AJ67" s="904">
        <f t="shared" ref="AJ67:AJ71" si="171">SUM(AI67-K67)</f>
        <v>444560.16000000003</v>
      </c>
      <c r="AK67" s="257">
        <f>SUM('3 pr-2'!O68)</f>
        <v>238504.16</v>
      </c>
      <c r="AL67" s="438">
        <f>SUM(AK67-L67)</f>
        <v>238504.16</v>
      </c>
      <c r="AM67" s="257">
        <f>SUM('3 pr-2'!R68)</f>
        <v>0</v>
      </c>
      <c r="AN67" s="438">
        <f t="shared" ref="AN67:AN71" si="172">SUM(AM67-M67)</f>
        <v>0</v>
      </c>
      <c r="AO67" s="257">
        <f>SUM('3 pr-2'!U68)</f>
        <v>0</v>
      </c>
      <c r="AP67" s="438">
        <f t="shared" ref="AP67:AP71" si="173">SUM(AO67-O67)</f>
        <v>0</v>
      </c>
      <c r="AQ67" s="257">
        <f>SUM('3 pr-2'!X68)</f>
        <v>0</v>
      </c>
      <c r="AR67" s="257"/>
      <c r="AS67" s="654">
        <f>SUM('3 pr-2'!AA68)</f>
        <v>206056</v>
      </c>
      <c r="AT67" s="438">
        <f t="shared" ref="AT67:AT71" si="174">SUM(AS67-P67)</f>
        <v>206056</v>
      </c>
      <c r="AU67" s="894"/>
      <c r="AV67" s="914"/>
      <c r="AW67" s="914"/>
      <c r="AX67" s="257"/>
      <c r="AY67" s="257"/>
      <c r="AZ67" s="257"/>
      <c r="BA67" s="257"/>
      <c r="BB67" s="914"/>
      <c r="BC67" s="914"/>
      <c r="BD67" s="257"/>
      <c r="BE67" s="257"/>
      <c r="BF67" s="257"/>
      <c r="BG67" s="257"/>
      <c r="BH67" s="914"/>
      <c r="BI67" s="914"/>
      <c r="BJ67" s="257"/>
      <c r="BK67" s="257"/>
      <c r="BL67" s="257"/>
      <c r="BM67" s="257"/>
      <c r="BN67" s="914"/>
      <c r="BO67" s="914"/>
      <c r="BP67" s="257"/>
      <c r="BQ67" s="257"/>
      <c r="BR67" s="257"/>
      <c r="BS67" s="257"/>
      <c r="BT67" s="914"/>
      <c r="BU67" s="914"/>
      <c r="BV67" s="257"/>
      <c r="BW67" s="257"/>
      <c r="BX67" s="257"/>
      <c r="BY67" s="257"/>
      <c r="BZ67" s="914"/>
      <c r="CA67" s="20"/>
      <c r="CB67" s="257"/>
      <c r="CC67" s="257"/>
      <c r="CD67" s="257"/>
      <c r="CE67" s="257"/>
      <c r="CF67" s="325">
        <v>100</v>
      </c>
      <c r="CG67" s="891">
        <f>SUM('3 pr-2'!AI68)</f>
        <v>43281</v>
      </c>
      <c r="CH67" s="891">
        <f>SUM('3 pr-2'!AK68)</f>
        <v>44196</v>
      </c>
      <c r="CI67" s="58">
        <f>SUM(P67+V67+AB67+AH67)</f>
        <v>206056</v>
      </c>
      <c r="CJ67" s="58">
        <f t="shared" si="160"/>
        <v>0</v>
      </c>
      <c r="CL67" s="985">
        <f>SUM(AI67/($CH$67-$CG$67))</f>
        <v>485.85809836065579</v>
      </c>
      <c r="CM67" s="987">
        <f>SUM(AK67/($CH$67-$CG$67))</f>
        <v>260.66028415300548</v>
      </c>
      <c r="CN67" s="986">
        <f>SUM(AM67/($CH$67-$CG$67))</f>
        <v>0</v>
      </c>
      <c r="CO67" s="987">
        <f>SUM(AS67/($CH$67-$CG$67))</f>
        <v>225.19781420765028</v>
      </c>
      <c r="CQ67" s="892">
        <f t="shared" ref="CQ67" si="175">SUM(E67+K67+Q67+W67+AC67)</f>
        <v>444560.16000000003</v>
      </c>
      <c r="CR67" s="893">
        <f>SUM(J67+P67+V67+AB67+AH67)</f>
        <v>206056</v>
      </c>
    </row>
    <row r="68" spans="1:100" ht="52.5" thickBot="1">
      <c r="A68" s="8" t="str">
        <f>CONCATENATE('3 pr-2'!A69)</f>
        <v>1.1.1.9.2</v>
      </c>
      <c r="B68" s="108" t="str">
        <f>CONCATENATE('3 pr-2'!D69)</f>
        <v>Mažosios dailės galerijos, M.K.Čiurlionio g. 37, Druskininkai, modernizavimas ir pritaikymas kultūros poreikiams</v>
      </c>
      <c r="C68" s="65">
        <v>0</v>
      </c>
      <c r="D68" s="65">
        <v>0</v>
      </c>
      <c r="E68" s="65">
        <v>0</v>
      </c>
      <c r="F68" s="257">
        <v>0</v>
      </c>
      <c r="G68" s="257">
        <v>0</v>
      </c>
      <c r="H68" s="257">
        <v>0</v>
      </c>
      <c r="I68" s="257">
        <v>0</v>
      </c>
      <c r="J68" s="65">
        <v>0</v>
      </c>
      <c r="K68" s="65">
        <f>SUM('ketv. 7 '!M67)</f>
        <v>0</v>
      </c>
      <c r="L68" s="261">
        <f>SUM('ketv. 7 '!S67)</f>
        <v>0</v>
      </c>
      <c r="M68" s="261">
        <f>SUM('ketv. 7 '!X67)</f>
        <v>0</v>
      </c>
      <c r="N68" s="261">
        <f>SUM('ketv. 7 '!AB67)</f>
        <v>0</v>
      </c>
      <c r="O68" s="261">
        <f>SUM('ketv. 7 '!AG67)</f>
        <v>0</v>
      </c>
      <c r="P68" s="65">
        <f>SUM('ketv. 7 '!AM67)</f>
        <v>0</v>
      </c>
      <c r="Q68" s="65">
        <f>SUM($Q$3-CG68)*CL68</f>
        <v>119588.11231441048</v>
      </c>
      <c r="R68" s="257">
        <f>SUM($Q$3-$CG$68)*CM68</f>
        <v>36805.789170305674</v>
      </c>
      <c r="S68" s="257">
        <f>SUM($Q$3-$CG$68)*CN68</f>
        <v>0</v>
      </c>
      <c r="T68" s="257">
        <f>IF(YEAR($CG68)=2018,($BI$4-$CG68)*$AO68/($CH68-$CG68),0)</f>
        <v>0</v>
      </c>
      <c r="U68" s="257">
        <f>IF(YEAR($CG68)=2018,($BI$4-$CG68)*$AQ68/($CH68-$CG68),0)</f>
        <v>0</v>
      </c>
      <c r="V68" s="65">
        <f>SUM($Q$3-$CG$68)*CO68</f>
        <v>82782.323144104797</v>
      </c>
      <c r="W68" s="65">
        <f>IF(YEAR($CH$68)=2019,($CH$68-$BI$4)*AI$68/($CH$68-$CG$68),0)</f>
        <v>178082.29768558952</v>
      </c>
      <c r="X68" s="261">
        <f>IF(YEAR($CH$68)=2019,($CH$68-$BI$4)*AK$68/($CH$68-$CG$68),0)</f>
        <v>54808.620829694322</v>
      </c>
      <c r="Y68" s="261">
        <f>IF(YEAR($CH$68)=2019,($CH$68-$BI$4)*AM$68/($CH$68-$CG$68),0)</f>
        <v>0</v>
      </c>
      <c r="Z68" s="261">
        <f>IF(YEAR($CH$68)=2019,($CH$68-$BI$4)*AO$68/($CH$68-$CG$68),0)</f>
        <v>0</v>
      </c>
      <c r="AA68" s="261">
        <f>IF(YEAR($CH$68)=2019,($CH$68-$BI$4)*AQ$68/($CH$68-$CG$68),0)</f>
        <v>0</v>
      </c>
      <c r="AB68" s="65">
        <f>IF(YEAR($CH$68)=2019,($CH$68-$BI$4)*AS$68/($CH$68-$CG$68),0)</f>
        <v>123273.6768558952</v>
      </c>
      <c r="AC68" s="65">
        <v>0</v>
      </c>
      <c r="AD68" s="261">
        <v>0</v>
      </c>
      <c r="AE68" s="261">
        <v>0</v>
      </c>
      <c r="AF68" s="261">
        <v>0</v>
      </c>
      <c r="AG68" s="261">
        <v>0</v>
      </c>
      <c r="AH68" s="65">
        <v>0</v>
      </c>
      <c r="AI68" s="664">
        <f>SUM('3 pr-2'!L69)</f>
        <v>297670.41000000003</v>
      </c>
      <c r="AJ68" s="904">
        <f t="shared" si="171"/>
        <v>297670.41000000003</v>
      </c>
      <c r="AK68" s="257">
        <f>SUM('3 pr-2'!O69)</f>
        <v>91614.41</v>
      </c>
      <c r="AL68" s="438">
        <f t="shared" ref="AL68:AL71" si="176">SUM(AK68-L68)</f>
        <v>91614.41</v>
      </c>
      <c r="AM68" s="257">
        <f>SUM('3 pr-2'!R69)</f>
        <v>0</v>
      </c>
      <c r="AN68" s="438">
        <f t="shared" si="172"/>
        <v>0</v>
      </c>
      <c r="AO68" s="257">
        <f>SUM('3 pr-2'!U69)</f>
        <v>0</v>
      </c>
      <c r="AP68" s="438">
        <f t="shared" si="173"/>
        <v>0</v>
      </c>
      <c r="AQ68" s="257">
        <f>SUM('3 pr-2'!X69)</f>
        <v>0</v>
      </c>
      <c r="AR68" s="257"/>
      <c r="AS68" s="654">
        <f>SUM('3 pr-2'!AA69)</f>
        <v>206056</v>
      </c>
      <c r="AT68" s="438">
        <f t="shared" si="174"/>
        <v>206056</v>
      </c>
      <c r="AU68" s="894"/>
      <c r="AV68" s="914"/>
      <c r="AW68" s="914"/>
      <c r="AX68" s="257"/>
      <c r="AY68" s="257"/>
      <c r="AZ68" s="257"/>
      <c r="BA68" s="257"/>
      <c r="BB68" s="914"/>
      <c r="BC68" s="914"/>
      <c r="BD68" s="257"/>
      <c r="BE68" s="257"/>
      <c r="BF68" s="257"/>
      <c r="BG68" s="257"/>
      <c r="BH68" s="914"/>
      <c r="BI68" s="914"/>
      <c r="BJ68" s="257"/>
      <c r="BK68" s="257"/>
      <c r="BL68" s="257"/>
      <c r="BM68" s="257"/>
      <c r="BN68" s="914"/>
      <c r="BO68" s="914"/>
      <c r="BP68" s="257"/>
      <c r="BQ68" s="257"/>
      <c r="BR68" s="257"/>
      <c r="BS68" s="257"/>
      <c r="BT68" s="914"/>
      <c r="BU68" s="914"/>
      <c r="BV68" s="257"/>
      <c r="BW68" s="257"/>
      <c r="BX68" s="257"/>
      <c r="BY68" s="257"/>
      <c r="BZ68" s="914"/>
      <c r="CA68" s="20"/>
      <c r="CB68" s="257"/>
      <c r="CC68" s="257"/>
      <c r="CD68" s="257"/>
      <c r="CE68" s="257"/>
      <c r="CF68" s="325"/>
      <c r="CG68" s="891">
        <f>SUM('3 pr-2'!AI69)</f>
        <v>43281</v>
      </c>
      <c r="CH68" s="891">
        <f>SUM('3 pr-2'!AK69)</f>
        <v>43739</v>
      </c>
      <c r="CI68" s="58">
        <f>SUM(P68+V68+AB68+AH68)</f>
        <v>206056</v>
      </c>
      <c r="CJ68" s="58">
        <f t="shared" si="160"/>
        <v>0</v>
      </c>
      <c r="CL68" s="985">
        <f>SUM(AI68/(CH68-CG68))</f>
        <v>649.93539301310045</v>
      </c>
      <c r="CM68" s="987">
        <f>SUM(AK68/($CH$68-$CG$68))</f>
        <v>200.03146288209606</v>
      </c>
      <c r="CN68" s="986">
        <f>SUM(AM68/($CH$68-$CG$68))</f>
        <v>0</v>
      </c>
      <c r="CO68" s="987">
        <f>SUM(AS68/($CH$68-$CG$68))</f>
        <v>449.90393013100436</v>
      </c>
      <c r="CQ68" s="892">
        <f t="shared" ref="CQ68:CQ71" si="177">SUM(E68+K68+Q68+W68+AC68)</f>
        <v>297670.41000000003</v>
      </c>
      <c r="CR68" s="893">
        <f t="shared" ref="CR68:CR71" si="178">SUM(J68+P68+V68+AB68+AH68)</f>
        <v>206056</v>
      </c>
    </row>
    <row r="69" spans="1:100" ht="27" thickBot="1">
      <c r="A69" s="8" t="str">
        <f>CONCATENATE('3 pr-2'!A70)</f>
        <v>1.1.1.9.3</v>
      </c>
      <c r="B69" s="108" t="str">
        <f>CONCATENATE('3 pr-2'!D70)</f>
        <v>Motiejaus Gustaičio memorialinio namo kompleksinis sutvarkymas</v>
      </c>
      <c r="C69" s="61">
        <v>0</v>
      </c>
      <c r="D69" s="61">
        <v>0</v>
      </c>
      <c r="E69" s="61">
        <v>0</v>
      </c>
      <c r="F69" s="257">
        <v>0</v>
      </c>
      <c r="G69" s="257">
        <v>0</v>
      </c>
      <c r="H69" s="257">
        <v>0</v>
      </c>
      <c r="I69" s="257">
        <v>0</v>
      </c>
      <c r="J69" s="61">
        <v>0</v>
      </c>
      <c r="K69" s="65">
        <f>SUM('ketv. 7 '!M68)</f>
        <v>0</v>
      </c>
      <c r="L69" s="261">
        <f>SUM('ketv. 7 '!S68)</f>
        <v>0</v>
      </c>
      <c r="M69" s="261">
        <f>SUM('ketv. 7 '!X68)</f>
        <v>0</v>
      </c>
      <c r="N69" s="261">
        <f>SUM('ketv. 7 '!AB68)</f>
        <v>0</v>
      </c>
      <c r="O69" s="261">
        <f>SUM('ketv. 7 '!AG68)</f>
        <v>0</v>
      </c>
      <c r="P69" s="65">
        <f>SUM('ketv. 7 '!AM68)</f>
        <v>0</v>
      </c>
      <c r="Q69" s="65">
        <f>SUM(CT69*CL69)</f>
        <v>90542.03614457832</v>
      </c>
      <c r="R69" s="257">
        <f>SUM(CT69*CM69)</f>
        <v>13581.361445783134</v>
      </c>
      <c r="S69" s="257">
        <f>IF(YEAR($CG69)=2018,($BI$4-$CG69)*$AM69/($CH69-$CG69),0)</f>
        <v>0</v>
      </c>
      <c r="T69" s="257">
        <f>IF(YEAR($CG69)=2018,($BI$4-$CG69)*$AO69/($CH69-$CG69),0)</f>
        <v>0</v>
      </c>
      <c r="U69" s="257">
        <f>IF(YEAR($CG69)=2018,($BI$4-$CG69)*$AQ69/($CH69-$CG69),0)</f>
        <v>0</v>
      </c>
      <c r="V69" s="65">
        <f>SUM(CT69*CO69)</f>
        <v>76960.674698795177</v>
      </c>
      <c r="W69" s="65">
        <f>SUM(364*CL69)</f>
        <v>151876.96385542169</v>
      </c>
      <c r="X69" s="257">
        <f>SUM(364*CM69)</f>
        <v>22781.638554216868</v>
      </c>
      <c r="Y69" s="261">
        <f>IF(YEAR($CH69)=2019,($CH69-$BI$4)*$AM69/($CH69-$CG69),0)</f>
        <v>0</v>
      </c>
      <c r="Z69" s="261">
        <f>IF(YEAR($CH69)=2019,($CH69-$BI$4)*$AO69/($CH69-$CG69),0)</f>
        <v>0</v>
      </c>
      <c r="AA69" s="261">
        <f>IF(YEAR($CH69)=2019,($CH69-$BI$4)*$AQ69/($CH69-$CG69),0)</f>
        <v>0</v>
      </c>
      <c r="AB69" s="65">
        <f>SUM(364*CO69)</f>
        <v>129095.32530120482</v>
      </c>
      <c r="AC69" s="65">
        <f>SUM(CV69*CL69)</f>
        <v>0</v>
      </c>
      <c r="AD69" s="261">
        <f>SUM(CV69*CM69)</f>
        <v>0</v>
      </c>
      <c r="AE69" s="261">
        <v>0</v>
      </c>
      <c r="AF69" s="261">
        <v>0</v>
      </c>
      <c r="AG69" s="261">
        <v>0</v>
      </c>
      <c r="AH69" s="65">
        <f>SUM(CV69*CO69)</f>
        <v>0</v>
      </c>
      <c r="AI69" s="664">
        <f>SUM('3 pr-2'!L70)</f>
        <v>242419</v>
      </c>
      <c r="AJ69" s="904">
        <f t="shared" si="171"/>
        <v>242419</v>
      </c>
      <c r="AK69" s="257">
        <f>SUM('3 pr-2'!O70)</f>
        <v>36363</v>
      </c>
      <c r="AL69" s="438">
        <f t="shared" si="176"/>
        <v>36363</v>
      </c>
      <c r="AM69" s="257">
        <f>SUM('3 pr-2'!R70)</f>
        <v>0</v>
      </c>
      <c r="AN69" s="438">
        <f t="shared" si="172"/>
        <v>0</v>
      </c>
      <c r="AO69" s="257">
        <f>SUM('3 pr-2'!U70)</f>
        <v>0</v>
      </c>
      <c r="AP69" s="438">
        <f t="shared" si="173"/>
        <v>0</v>
      </c>
      <c r="AQ69" s="257">
        <f>SUM('3 pr-2'!X70)</f>
        <v>0</v>
      </c>
      <c r="AR69" s="257"/>
      <c r="AS69" s="654">
        <f>SUM('3 pr-2'!AA70)</f>
        <v>206056</v>
      </c>
      <c r="AT69" s="438">
        <f t="shared" si="174"/>
        <v>206056</v>
      </c>
      <c r="AU69" s="894"/>
      <c r="AV69" s="914"/>
      <c r="AW69" s="914"/>
      <c r="AX69" s="257"/>
      <c r="AY69" s="257"/>
      <c r="AZ69" s="257"/>
      <c r="BA69" s="257"/>
      <c r="BB69" s="914"/>
      <c r="BC69" s="914"/>
      <c r="BD69" s="257"/>
      <c r="BE69" s="257"/>
      <c r="BF69" s="257"/>
      <c r="BG69" s="257"/>
      <c r="BH69" s="914"/>
      <c r="BI69" s="914"/>
      <c r="BJ69" s="257"/>
      <c r="BK69" s="257"/>
      <c r="BL69" s="257"/>
      <c r="BM69" s="257"/>
      <c r="BN69" s="914"/>
      <c r="BO69" s="914"/>
      <c r="BP69" s="257"/>
      <c r="BQ69" s="257"/>
      <c r="BR69" s="257"/>
      <c r="BS69" s="257"/>
      <c r="BT69" s="914"/>
      <c r="BU69" s="914"/>
      <c r="BV69" s="257"/>
      <c r="BW69" s="257"/>
      <c r="BX69" s="257"/>
      <c r="BY69" s="257"/>
      <c r="BZ69" s="914"/>
      <c r="CA69" s="20"/>
      <c r="CB69" s="257"/>
      <c r="CC69" s="257"/>
      <c r="CD69" s="257"/>
      <c r="CE69" s="257"/>
      <c r="CF69" s="325"/>
      <c r="CG69" s="891">
        <f>SUM('3 pr-2'!AI70)</f>
        <v>43249</v>
      </c>
      <c r="CH69" s="891">
        <f>SUM('3 pr-2'!AK70)</f>
        <v>43830</v>
      </c>
      <c r="CI69" s="58">
        <f>SUM(P69+V69+AB69+AH69)</f>
        <v>206056</v>
      </c>
      <c r="CJ69" s="58">
        <f t="shared" si="160"/>
        <v>0</v>
      </c>
      <c r="CL69" s="985">
        <f>SUM(AJ69/(CH69-CG69))</f>
        <v>417.24440619621345</v>
      </c>
      <c r="CM69" s="985">
        <f>SUM(AK69/($CH$69-$CG$69))</f>
        <v>62.586919104991395</v>
      </c>
      <c r="CN69" s="985">
        <f>SUM(AM69/($CH$69-$CG$69))</f>
        <v>0</v>
      </c>
      <c r="CO69" s="987">
        <f>SUM(AS69/($CH$69-$CG$69))</f>
        <v>354.65748709122204</v>
      </c>
      <c r="CQ69" s="892">
        <f t="shared" si="177"/>
        <v>242419</v>
      </c>
      <c r="CR69" s="893">
        <f t="shared" si="178"/>
        <v>206056</v>
      </c>
      <c r="CS69" s="21">
        <f>SUM(CH69-CG69)</f>
        <v>581</v>
      </c>
      <c r="CT69" s="21">
        <f>SUM(CS69-CU69)</f>
        <v>217</v>
      </c>
      <c r="CU69" s="21">
        <v>364</v>
      </c>
      <c r="CV69" s="21">
        <v>0</v>
      </c>
    </row>
    <row r="70" spans="1:100" ht="39.75" thickBot="1">
      <c r="A70" s="8" t="str">
        <f>CONCATENATE('3 pr-2'!A71)</f>
        <v>1.1.1.9.4</v>
      </c>
      <c r="B70" s="108" t="str">
        <f>CONCATENATE('3 pr-2'!D71)</f>
        <v>Kurnėnų Lauryno Radziukyno mokyklos pritaikymas kultūrinėms ir turistinėms reikmėms</v>
      </c>
      <c r="C70" s="61">
        <v>0</v>
      </c>
      <c r="D70" s="61">
        <v>0</v>
      </c>
      <c r="E70" s="61">
        <v>0</v>
      </c>
      <c r="F70" s="257">
        <v>0</v>
      </c>
      <c r="G70" s="257">
        <v>0</v>
      </c>
      <c r="H70" s="257">
        <v>0</v>
      </c>
      <c r="I70" s="257">
        <v>0</v>
      </c>
      <c r="J70" s="61">
        <v>0</v>
      </c>
      <c r="K70" s="65">
        <f>SUM('ketv. 7 '!M69)</f>
        <v>0</v>
      </c>
      <c r="L70" s="261">
        <f>SUM('ketv. 7 '!S69)</f>
        <v>0</v>
      </c>
      <c r="M70" s="261">
        <f>SUM('ketv. 7 '!X69)</f>
        <v>0</v>
      </c>
      <c r="N70" s="261">
        <f>SUM('ketv. 7 '!AB69)</f>
        <v>0</v>
      </c>
      <c r="O70" s="261">
        <f>SUM('ketv. 7 '!AG69)</f>
        <v>0</v>
      </c>
      <c r="P70" s="65">
        <f>SUM('ketv. 7 '!AM69)</f>
        <v>0</v>
      </c>
      <c r="Q70" s="65">
        <f>SUM(W2-CG70)*CL70</f>
        <v>47487.892622950814</v>
      </c>
      <c r="R70" s="257">
        <f>SUM(W2-CG70)*CM70</f>
        <v>7123.1854098360654</v>
      </c>
      <c r="S70" s="257">
        <f>IF(YEAR($CG70)=2018,($BI$4-$CG70)*$AM70/($CH70-$CG70),0)</f>
        <v>0</v>
      </c>
      <c r="T70" s="257">
        <f>IF(YEAR($CG70)=2018,($BI$4-$CG70)*$AO70/($CH70-$CG70),0)</f>
        <v>0</v>
      </c>
      <c r="U70" s="257">
        <f>IF(YEAR($CG70)=2018,($BI$4-$CG70)*$AQ70/($CH70-$CG70),0)</f>
        <v>0</v>
      </c>
      <c r="V70" s="65">
        <f>(W2-CG70)*CO70</f>
        <v>40364.707213114758</v>
      </c>
      <c r="W70" s="65">
        <f>(AC2-W2)*CL70</f>
        <v>93692.328688524576</v>
      </c>
      <c r="X70" s="257">
        <f>(AC2-W2)*CM70</f>
        <v>14053.852295081968</v>
      </c>
      <c r="Y70" s="257">
        <f>IF(YEAR($CH70)&gt;2019,($BO$4-$BI$4)*AM$71/($CH70-$CG70),0)</f>
        <v>0</v>
      </c>
      <c r="Z70" s="257">
        <f>IF(YEAR($CH70)&gt;2019,($BO$4-$BI$4)*AO$71/($CH70-$CG70),0)</f>
        <v>0</v>
      </c>
      <c r="AA70" s="257">
        <f>IF(YEAR($CH70)&gt;2019,($BO$4-$BI$4)*AQ$71/($CH70-$CG70),0)</f>
        <v>0</v>
      </c>
      <c r="AB70" s="65">
        <f>(AC2-W2)*CO70</f>
        <v>79638.47639344263</v>
      </c>
      <c r="AC70" s="65">
        <f>SUM(AC3-AC2)*CL70</f>
        <v>93692.328688524576</v>
      </c>
      <c r="AD70" s="261">
        <f>SUM(AC3-AC2)*CM70</f>
        <v>14053.852295081968</v>
      </c>
      <c r="AE70" s="261">
        <f>IF(YEAR($CH70)=2020,($CH70-$BO$4)*$AM70/($CH70-$CG70),0)</f>
        <v>0</v>
      </c>
      <c r="AF70" s="261">
        <f>IF(YEAR($CH70)=2020,($CH70-$BO$4)*$AO70/($CH70-$CG70),0)</f>
        <v>0</v>
      </c>
      <c r="AG70" s="261">
        <f>IF(YEAR($CH70)=2020,($CH70-$BO$4)*$AQ70/($CH70-$CG70),0)</f>
        <v>0</v>
      </c>
      <c r="AH70" s="65">
        <f>SUM(AC3-AC2)*CO70</f>
        <v>79638.47639344263</v>
      </c>
      <c r="AI70" s="664">
        <f>SUM('3 pr-2'!L71)</f>
        <v>234872.55</v>
      </c>
      <c r="AJ70" s="904">
        <f t="shared" si="171"/>
        <v>234872.55</v>
      </c>
      <c r="AK70" s="257">
        <f>SUM('3 pr-2'!O71)</f>
        <v>35230.89</v>
      </c>
      <c r="AL70" s="438">
        <f t="shared" si="176"/>
        <v>35230.89</v>
      </c>
      <c r="AM70" s="257">
        <f>SUM('3 pr-2'!R71)</f>
        <v>0</v>
      </c>
      <c r="AN70" s="438">
        <f t="shared" si="172"/>
        <v>0</v>
      </c>
      <c r="AO70" s="257">
        <f>SUM('3 pr-2'!U71)</f>
        <v>0</v>
      </c>
      <c r="AP70" s="438">
        <f t="shared" si="173"/>
        <v>0</v>
      </c>
      <c r="AQ70" s="257">
        <f>SUM('3 pr-2'!X71)</f>
        <v>0</v>
      </c>
      <c r="AR70" s="257"/>
      <c r="AS70" s="654">
        <f>SUM('3 pr-2'!AA71)</f>
        <v>199641.66</v>
      </c>
      <c r="AT70" s="438">
        <f t="shared" si="174"/>
        <v>199641.66</v>
      </c>
      <c r="AU70" s="894"/>
      <c r="AV70" s="914"/>
      <c r="AW70" s="914"/>
      <c r="AX70" s="257"/>
      <c r="AY70" s="257"/>
      <c r="AZ70" s="257"/>
      <c r="BA70" s="257"/>
      <c r="BB70" s="914"/>
      <c r="BC70" s="914"/>
      <c r="BD70" s="257"/>
      <c r="BE70" s="257"/>
      <c r="BF70" s="257"/>
      <c r="BG70" s="257"/>
      <c r="BH70" s="914"/>
      <c r="BI70" s="914"/>
      <c r="BJ70" s="257"/>
      <c r="BK70" s="257"/>
      <c r="BL70" s="257"/>
      <c r="BM70" s="257"/>
      <c r="BN70" s="914"/>
      <c r="BO70" s="914"/>
      <c r="BP70" s="257"/>
      <c r="BQ70" s="257"/>
      <c r="BR70" s="257"/>
      <c r="BS70" s="257"/>
      <c r="BT70" s="914"/>
      <c r="BU70" s="914"/>
      <c r="BV70" s="257"/>
      <c r="BW70" s="257"/>
      <c r="BX70" s="257"/>
      <c r="BY70" s="257"/>
      <c r="BZ70" s="914"/>
      <c r="CA70" s="20"/>
      <c r="CB70" s="257"/>
      <c r="CC70" s="257"/>
      <c r="CD70" s="257"/>
      <c r="CE70" s="257"/>
      <c r="CF70" s="325"/>
      <c r="CG70" s="891">
        <f>SUM('3 pr-2'!AI71)</f>
        <v>43281</v>
      </c>
      <c r="CH70" s="891">
        <f>SUM('3 pr-2'!AK71)</f>
        <v>44196</v>
      </c>
      <c r="CI70" s="58">
        <f>SUM(P70+V70+AB70+AH70)</f>
        <v>199641.66000000003</v>
      </c>
      <c r="CJ70" s="58">
        <f t="shared" si="160"/>
        <v>2.9103830456733704E-11</v>
      </c>
      <c r="CK70" s="21">
        <f>SUM(AC3-CG70)</f>
        <v>915</v>
      </c>
      <c r="CL70" s="985">
        <f>AI70/CK70</f>
        <v>256.6913114754098</v>
      </c>
      <c r="CM70" s="985">
        <f>AK70/CK70</f>
        <v>38.503704918032788</v>
      </c>
      <c r="CN70" s="985">
        <f>SUM(AM70/($CH$70-$CG$70))</f>
        <v>0</v>
      </c>
      <c r="CO70" s="987">
        <f>AS70/CK70</f>
        <v>218.18760655737705</v>
      </c>
      <c r="CQ70" s="892">
        <f t="shared" si="177"/>
        <v>234872.54999999996</v>
      </c>
      <c r="CR70" s="893">
        <f t="shared" si="178"/>
        <v>199641.66000000003</v>
      </c>
    </row>
    <row r="71" spans="1:100" ht="27" customHeight="1" thickBot="1">
      <c r="A71" s="8" t="str">
        <f>CONCATENATE('3 pr-2'!A72)</f>
        <v>1.1.1.9.5</v>
      </c>
      <c r="B71" s="108" t="str">
        <f>CONCATENATE('3 pr-2'!D72)</f>
        <v>Vinco Krėvės-Mickevičiaus memorialinio muziejaus atnaujinimas</v>
      </c>
      <c r="C71" s="61">
        <v>0</v>
      </c>
      <c r="D71" s="61">
        <v>0</v>
      </c>
      <c r="E71" s="61">
        <v>0</v>
      </c>
      <c r="F71" s="257">
        <v>0</v>
      </c>
      <c r="G71" s="257">
        <v>0</v>
      </c>
      <c r="H71" s="257">
        <v>0</v>
      </c>
      <c r="I71" s="257">
        <v>0</v>
      </c>
      <c r="J71" s="61">
        <v>0</v>
      </c>
      <c r="K71" s="65">
        <f>SUM('ketv. 7 '!M70)</f>
        <v>0</v>
      </c>
      <c r="L71" s="261">
        <f>SUM('ketv. 7 '!S70)</f>
        <v>0</v>
      </c>
      <c r="M71" s="261">
        <f>SUM('ketv. 7 '!X70)</f>
        <v>0</v>
      </c>
      <c r="N71" s="261">
        <v>0</v>
      </c>
      <c r="O71" s="261">
        <v>0</v>
      </c>
      <c r="P71" s="65">
        <f>SUM('ketv. 7 '!AM70)</f>
        <v>0</v>
      </c>
      <c r="Q71" s="65">
        <f>SUM(($Q$3-$CG$71)*CL71)</f>
        <v>34915.148711943795</v>
      </c>
      <c r="R71" s="257">
        <f>SUM(($Q$3-$CG$71)*CM71)</f>
        <v>5237.2939110070256</v>
      </c>
      <c r="S71" s="257">
        <f>IF(YEAR($CG71)=2018,($BI$4-$CG71)*$AM71/($CH71-$CG71),0)</f>
        <v>0</v>
      </c>
      <c r="T71" s="257">
        <f>IF(YEAR($CG71)=2018,($BI$4-$CG71)*$AO71/($CH71-$CG71),0)</f>
        <v>0</v>
      </c>
      <c r="U71" s="257">
        <f>IF(YEAR($CG71)=2018,($BI$4-$CG71)*$AQ71/($CH71-$CG71),0)</f>
        <v>0</v>
      </c>
      <c r="V71" s="65">
        <f>SUM(($Q$3-$CG$71)*CO71)</f>
        <v>29677.854800936766</v>
      </c>
      <c r="W71" s="65">
        <f>SUM(($W$3-$Q$3)*CL71)</f>
        <v>103609.99414519906</v>
      </c>
      <c r="X71" s="261">
        <f>SUM(($W$3-$Q$3)*CM71)</f>
        <v>15541.563231850118</v>
      </c>
      <c r="Y71" s="257">
        <f>IF(YEAR($CH71)&gt;2019,($BO$4-$BI$4)*AM$71/($CH71-$CG71),0)</f>
        <v>0</v>
      </c>
      <c r="Z71" s="257">
        <f>IF(YEAR($CH71)&gt;2019,($BO$4-$BI$4)*AO$71/($CH71-$CG71),0)</f>
        <v>0</v>
      </c>
      <c r="AA71" s="257">
        <f>IF(YEAR($CH71)&gt;2019,($BO$4-$BI$4)*AQ$71/($CH71-$CG71),0)</f>
        <v>0</v>
      </c>
      <c r="AB71" s="65">
        <f>SUM(($W$3-$Q$3)*CO71)</f>
        <v>88068.430913348944</v>
      </c>
      <c r="AC71" s="65">
        <f>SUM(($CH$71-$W$3)*CL71)</f>
        <v>103893.85714285714</v>
      </c>
      <c r="AD71" s="261">
        <f>SUM(($CH$71-$W$3)*CM71)</f>
        <v>15584.142857142857</v>
      </c>
      <c r="AE71" s="261">
        <f>SUM(($CH$71-$W$3)*CN71)</f>
        <v>0</v>
      </c>
      <c r="AF71" s="261">
        <f>IF(YEAR($CH71)=2020,($CH71-$BO$4)*$AO71/($CH71-$CG71),0)</f>
        <v>0</v>
      </c>
      <c r="AG71" s="261">
        <f>IF(YEAR($CH71)=2020,($CH71-$BO$4)*$AQ71/($CH71-$CG71),0)</f>
        <v>0</v>
      </c>
      <c r="AH71" s="65">
        <f>SUM(($CH$71-$W$3)*CO71)</f>
        <v>88309.71428571429</v>
      </c>
      <c r="AI71" s="664">
        <f>SUM('3 pr-2'!L72)</f>
        <v>242419</v>
      </c>
      <c r="AJ71" s="904">
        <f t="shared" si="171"/>
        <v>242419</v>
      </c>
      <c r="AK71" s="257">
        <f>SUM('3 pr-2'!O72)</f>
        <v>36363</v>
      </c>
      <c r="AL71" s="438">
        <f t="shared" si="176"/>
        <v>36363</v>
      </c>
      <c r="AM71" s="257">
        <f>SUM('3 pr-2'!R72)</f>
        <v>0</v>
      </c>
      <c r="AN71" s="438">
        <f t="shared" si="172"/>
        <v>0</v>
      </c>
      <c r="AO71" s="257">
        <f>SUM('3 pr-2'!U72)</f>
        <v>0</v>
      </c>
      <c r="AP71" s="438">
        <f t="shared" si="173"/>
        <v>0</v>
      </c>
      <c r="AQ71" s="257">
        <f>SUM('3 pr-2'!X72)</f>
        <v>0</v>
      </c>
      <c r="AR71" s="257"/>
      <c r="AS71" s="654">
        <f>SUM('3 pr-2'!AA72)</f>
        <v>206056</v>
      </c>
      <c r="AT71" s="438">
        <f t="shared" si="174"/>
        <v>206056</v>
      </c>
      <c r="AU71" s="894"/>
      <c r="AV71" s="914"/>
      <c r="AW71" s="914"/>
      <c r="AX71" s="257"/>
      <c r="AY71" s="257"/>
      <c r="AZ71" s="257"/>
      <c r="BA71" s="257"/>
      <c r="BB71" s="914"/>
      <c r="BC71" s="914"/>
      <c r="BD71" s="257"/>
      <c r="BE71" s="257"/>
      <c r="BF71" s="257"/>
      <c r="BG71" s="257"/>
      <c r="BH71" s="914"/>
      <c r="BI71" s="914"/>
      <c r="BJ71" s="257"/>
      <c r="BK71" s="257"/>
      <c r="BL71" s="257"/>
      <c r="BM71" s="257"/>
      <c r="BN71" s="914"/>
      <c r="BO71" s="914"/>
      <c r="BP71" s="257"/>
      <c r="BQ71" s="257"/>
      <c r="BR71" s="257"/>
      <c r="BS71" s="257"/>
      <c r="BT71" s="914"/>
      <c r="BU71" s="914"/>
      <c r="BV71" s="257"/>
      <c r="BW71" s="257"/>
      <c r="BX71" s="257"/>
      <c r="BY71" s="257"/>
      <c r="BZ71" s="914"/>
      <c r="CA71" s="20"/>
      <c r="CB71" s="257"/>
      <c r="CC71" s="257"/>
      <c r="CD71" s="257"/>
      <c r="CE71" s="257"/>
      <c r="CF71" s="325"/>
      <c r="CG71" s="891">
        <f>SUM('3 pr-2'!AI72)</f>
        <v>43342</v>
      </c>
      <c r="CH71" s="891">
        <f>SUM('3 pr-2'!AK72)</f>
        <v>44196</v>
      </c>
      <c r="CI71" s="58">
        <f>SUM(P71+V71+AB71+AH71)</f>
        <v>206056</v>
      </c>
      <c r="CJ71" s="58">
        <f t="shared" si="160"/>
        <v>0</v>
      </c>
      <c r="CL71" s="985">
        <f>SUM(AI71/($CH$71-$CG$71))</f>
        <v>283.86299765807962</v>
      </c>
      <c r="CM71" s="985">
        <f>SUM(AK71/($CH$71-$CG$71))</f>
        <v>42.579625292740047</v>
      </c>
      <c r="CN71" s="985">
        <f>SUM(AM71/($CH$71-$CG$71))</f>
        <v>0</v>
      </c>
      <c r="CO71" s="987">
        <f>SUM(AS71/($CH$71-$CG$71))</f>
        <v>241.28337236533957</v>
      </c>
      <c r="CQ71" s="892">
        <f t="shared" si="177"/>
        <v>242419</v>
      </c>
      <c r="CR71" s="893">
        <f t="shared" si="178"/>
        <v>206056</v>
      </c>
    </row>
    <row r="72" spans="1:100" ht="52.5" thickBot="1">
      <c r="A72" s="255" t="str">
        <f>CONCATENATE('3 pr-2'!A73)</f>
        <v>1.1.2.</v>
      </c>
      <c r="B72" s="101" t="str">
        <f>CONCATENATE('3 pr-2'!B73)</f>
        <v>Uždavinys:
Pagerinti darbo jėgos judėjimo galimybes gerinant susisiekimo sistemas</v>
      </c>
      <c r="C72" s="917">
        <f>SUM(C73+C78+C85+C91)</f>
        <v>0</v>
      </c>
      <c r="D72" s="917">
        <f>SUM(D73+D78+D85+D91)</f>
        <v>0</v>
      </c>
      <c r="E72" s="917">
        <f>SUM(E73+E78+E85+E91)</f>
        <v>0</v>
      </c>
      <c r="F72" s="917"/>
      <c r="G72" s="917"/>
      <c r="H72" s="917"/>
      <c r="I72" s="917"/>
      <c r="J72" s="917">
        <f t="shared" ref="J72:Q72" si="179">SUM(J73+J78+J85+J91)</f>
        <v>0</v>
      </c>
      <c r="K72" s="917">
        <f t="shared" si="179"/>
        <v>959669.18</v>
      </c>
      <c r="L72" s="918">
        <f t="shared" si="179"/>
        <v>111405.20999999999</v>
      </c>
      <c r="M72" s="918">
        <f t="shared" si="179"/>
        <v>0</v>
      </c>
      <c r="N72" s="918">
        <f t="shared" si="179"/>
        <v>0</v>
      </c>
      <c r="O72" s="918">
        <f t="shared" si="179"/>
        <v>32545.37</v>
      </c>
      <c r="P72" s="917">
        <f t="shared" si="179"/>
        <v>815718.60000000009</v>
      </c>
      <c r="Q72" s="917">
        <f t="shared" si="179"/>
        <v>1917552.6622705993</v>
      </c>
      <c r="R72" s="918"/>
      <c r="S72" s="918"/>
      <c r="T72" s="918"/>
      <c r="U72" s="918"/>
      <c r="V72" s="917">
        <f>SUM(V73+V78+V85+V91)</f>
        <v>1295442.8256314702</v>
      </c>
      <c r="W72" s="917">
        <f>SUM(W73+W78+W85+W91)</f>
        <v>3281752.1516868011</v>
      </c>
      <c r="X72" s="918"/>
      <c r="Y72" s="918"/>
      <c r="Z72" s="918"/>
      <c r="AA72" s="918"/>
      <c r="AB72" s="917">
        <f>SUM(AB73+AB78+AB85+AB91)</f>
        <v>2161324.2299640337</v>
      </c>
      <c r="AC72" s="917">
        <f>SUM(AC73+AC78+AC85+AC91)</f>
        <v>2558783.1360425996</v>
      </c>
      <c r="AD72" s="918"/>
      <c r="AE72" s="918"/>
      <c r="AF72" s="918"/>
      <c r="AG72" s="918"/>
      <c r="AH72" s="917">
        <f>SUM(AH73+AH78+AH85+AH91)</f>
        <v>2052681.9144044963</v>
      </c>
      <c r="AI72" s="919">
        <f>SUM(AI73+AI78+AI85+AI91)</f>
        <v>8717757.129999999</v>
      </c>
      <c r="AJ72" s="917"/>
      <c r="AK72" s="917"/>
      <c r="AL72" s="917"/>
      <c r="AM72" s="917"/>
      <c r="AN72" s="917"/>
      <c r="AO72" s="917"/>
      <c r="AP72" s="917"/>
      <c r="AQ72" s="917"/>
      <c r="AR72" s="917"/>
      <c r="AS72" s="917">
        <f>SUM(AS73+AS78+AS85+AS91)</f>
        <v>6325167.5700000003</v>
      </c>
      <c r="AT72" s="920"/>
      <c r="AX72" s="917"/>
      <c r="AY72" s="917"/>
      <c r="AZ72" s="917"/>
      <c r="BA72" s="917"/>
      <c r="BD72" s="917"/>
      <c r="BE72" s="917"/>
      <c r="BF72" s="917"/>
      <c r="BG72" s="917"/>
      <c r="BJ72" s="917"/>
      <c r="BK72" s="917"/>
      <c r="BL72" s="917"/>
      <c r="BM72" s="917"/>
      <c r="BP72" s="917"/>
      <c r="BQ72" s="917"/>
      <c r="BR72" s="917"/>
      <c r="BS72" s="917"/>
      <c r="BV72" s="917"/>
      <c r="BW72" s="917"/>
      <c r="BX72" s="917"/>
      <c r="BY72" s="917"/>
      <c r="CB72" s="917"/>
      <c r="CC72" s="917"/>
      <c r="CD72" s="917"/>
      <c r="CE72" s="917"/>
      <c r="CG72" s="892"/>
      <c r="CH72" s="19"/>
    </row>
    <row r="73" spans="1:100" ht="52.5" thickBot="1">
      <c r="A73" s="253" t="str">
        <f>CONCATENATE('3 pr-2'!A74)</f>
        <v>1.1.2.1</v>
      </c>
      <c r="B73" s="103" t="str">
        <f>CONCATENATE('3 pr-2'!B74)</f>
        <v>Priemonė:
Vietinio susisiekimo viešojo transporto priemonių parko atnaujinimas</v>
      </c>
      <c r="C73" s="910">
        <f>SUM(C74:C77)</f>
        <v>0</v>
      </c>
      <c r="D73" s="910">
        <f>SUM(D74:D77)</f>
        <v>0</v>
      </c>
      <c r="E73" s="910">
        <f>SUM(E74:E77)</f>
        <v>0</v>
      </c>
      <c r="F73" s="910"/>
      <c r="G73" s="910"/>
      <c r="H73" s="910"/>
      <c r="I73" s="910"/>
      <c r="J73" s="910">
        <f t="shared" ref="J73:Q73" si="180">SUM(J74:J77)</f>
        <v>0</v>
      </c>
      <c r="K73" s="910">
        <f t="shared" si="180"/>
        <v>0</v>
      </c>
      <c r="L73" s="911">
        <f t="shared" si="180"/>
        <v>0</v>
      </c>
      <c r="M73" s="911">
        <f t="shared" si="180"/>
        <v>0</v>
      </c>
      <c r="N73" s="911">
        <f t="shared" si="180"/>
        <v>0</v>
      </c>
      <c r="O73" s="911">
        <f t="shared" si="180"/>
        <v>0</v>
      </c>
      <c r="P73" s="910">
        <f t="shared" si="180"/>
        <v>0</v>
      </c>
      <c r="Q73" s="910">
        <f t="shared" si="180"/>
        <v>79069.408155630386</v>
      </c>
      <c r="R73" s="911"/>
      <c r="S73" s="911"/>
      <c r="T73" s="911"/>
      <c r="U73" s="911"/>
      <c r="V73" s="910">
        <f>SUM(V74:V77)</f>
        <v>43236.777902481605</v>
      </c>
      <c r="W73" s="910">
        <f>SUM(W74:W77)</f>
        <v>1045806.8732550266</v>
      </c>
      <c r="X73" s="911"/>
      <c r="Y73" s="911"/>
      <c r="Z73" s="911"/>
      <c r="AA73" s="911"/>
      <c r="AB73" s="910">
        <f>SUM(AB74:AB77)</f>
        <v>591793.28236949176</v>
      </c>
      <c r="AC73" s="910">
        <f>SUM(AC74:AC77)</f>
        <v>881105.71858934313</v>
      </c>
      <c r="AD73" s="911"/>
      <c r="AE73" s="911"/>
      <c r="AF73" s="911"/>
      <c r="AG73" s="911"/>
      <c r="AH73" s="910">
        <f>SUM(AH74:AH77)</f>
        <v>628241.93972802663</v>
      </c>
      <c r="AI73" s="912">
        <f>SUM(AI74:AI77)</f>
        <v>2005982</v>
      </c>
      <c r="AJ73" s="910"/>
      <c r="AK73" s="910"/>
      <c r="AL73" s="910"/>
      <c r="AM73" s="910"/>
      <c r="AN73" s="910"/>
      <c r="AO73" s="910"/>
      <c r="AP73" s="910"/>
      <c r="AQ73" s="910"/>
      <c r="AR73" s="910"/>
      <c r="AS73" s="910">
        <f>SUM(AS74:AS77)</f>
        <v>1263272</v>
      </c>
      <c r="AT73" s="921"/>
      <c r="AU73" s="19">
        <v>0</v>
      </c>
      <c r="AV73" s="19">
        <v>0</v>
      </c>
      <c r="AW73" s="19">
        <v>0</v>
      </c>
      <c r="AX73" s="910">
        <v>0</v>
      </c>
      <c r="AY73" s="910">
        <v>0</v>
      </c>
      <c r="AZ73" s="910">
        <v>0</v>
      </c>
      <c r="BA73" s="910">
        <v>0</v>
      </c>
      <c r="BB73" s="19">
        <v>0</v>
      </c>
      <c r="BC73" s="19">
        <v>20</v>
      </c>
      <c r="BD73" s="910">
        <v>20</v>
      </c>
      <c r="BE73" s="910">
        <v>20</v>
      </c>
      <c r="BF73" s="910">
        <v>20</v>
      </c>
      <c r="BG73" s="910">
        <v>20</v>
      </c>
      <c r="BH73" s="19">
        <v>20</v>
      </c>
      <c r="BI73" s="19">
        <v>80</v>
      </c>
      <c r="BJ73" s="910">
        <v>80</v>
      </c>
      <c r="BK73" s="910">
        <v>80</v>
      </c>
      <c r="BL73" s="910">
        <v>80</v>
      </c>
      <c r="BM73" s="910">
        <v>80</v>
      </c>
      <c r="BN73" s="19">
        <v>80</v>
      </c>
      <c r="BO73" s="19">
        <v>0</v>
      </c>
      <c r="BP73" s="910">
        <v>0</v>
      </c>
      <c r="BQ73" s="910">
        <v>0</v>
      </c>
      <c r="BR73" s="910">
        <v>0</v>
      </c>
      <c r="BS73" s="910">
        <v>0</v>
      </c>
      <c r="BT73" s="19">
        <v>0</v>
      </c>
      <c r="BU73" s="19">
        <v>0</v>
      </c>
      <c r="BV73" s="910">
        <v>0</v>
      </c>
      <c r="BW73" s="910">
        <v>0</v>
      </c>
      <c r="BX73" s="910">
        <v>0</v>
      </c>
      <c r="BY73" s="910">
        <v>0</v>
      </c>
      <c r="BZ73" s="19">
        <v>0</v>
      </c>
      <c r="CA73" s="20">
        <v>100</v>
      </c>
      <c r="CB73" s="910">
        <v>100</v>
      </c>
      <c r="CC73" s="910">
        <v>100</v>
      </c>
      <c r="CD73" s="910">
        <v>100</v>
      </c>
      <c r="CE73" s="910">
        <v>100</v>
      </c>
      <c r="CF73" s="325">
        <v>100</v>
      </c>
      <c r="CG73" s="19"/>
      <c r="CH73" s="19"/>
    </row>
    <row r="74" spans="1:100" ht="42.75" customHeight="1" thickBot="1">
      <c r="A74" s="8" t="str">
        <f>CONCATENATE('3 pr-2'!A75)</f>
        <v>1.1.2.1.1</v>
      </c>
      <c r="B74" s="96" t="str">
        <f>CONCATENATE('3 pr-2'!D75)</f>
        <v>Nekenksmingų aplinkai viešojo transporto priemonių įsigijimas Alytaus mieste</v>
      </c>
      <c r="C74" s="61">
        <v>0</v>
      </c>
      <c r="D74" s="65">
        <v>0</v>
      </c>
      <c r="E74" s="65">
        <v>0</v>
      </c>
      <c r="F74" s="257">
        <v>0</v>
      </c>
      <c r="G74" s="257">
        <v>0</v>
      </c>
      <c r="H74" s="257">
        <v>0</v>
      </c>
      <c r="I74" s="257">
        <v>0</v>
      </c>
      <c r="J74" s="65">
        <v>0</v>
      </c>
      <c r="K74" s="65">
        <v>0</v>
      </c>
      <c r="L74" s="261">
        <v>0</v>
      </c>
      <c r="M74" s="261">
        <v>0</v>
      </c>
      <c r="N74" s="261">
        <v>0</v>
      </c>
      <c r="O74" s="261">
        <v>0</v>
      </c>
      <c r="P74" s="65">
        <v>0</v>
      </c>
      <c r="Q74" s="65">
        <f>IF(YEAR($CG74)=2018,($BI$4-$CG74)*$AI74/($CH74-$CG74),0)</f>
        <v>0</v>
      </c>
      <c r="R74" s="257">
        <f>IF(YEAR($CG74)=2018,($BI$4-$CG74)*$AK74/($CH74-$CG74),0)</f>
        <v>0</v>
      </c>
      <c r="S74" s="257">
        <f>IF(YEAR($CG$74)=2018,($BI$4-$CG$74)*AM$74/($CH$74-$CG$74),0)</f>
        <v>0</v>
      </c>
      <c r="T74" s="257">
        <f>IF(YEAR($CG$74)=2018,($BI$4-$CG$74)*AO$74/($CH$74-$CG$74),0)</f>
        <v>0</v>
      </c>
      <c r="U74" s="257">
        <f>IF(YEAR($CG$74)=2018,($BI$4-$CG$74)*AQ$74/($CH$74-$CG$74),0)</f>
        <v>0</v>
      </c>
      <c r="V74" s="65">
        <f>IF(YEAR($CG$74)=2018,($BI$4-$CG$74)*AS$74/($CH$74-$CG$74),0)</f>
        <v>0</v>
      </c>
      <c r="W74" s="65">
        <f>SUM(CI74*CL74)</f>
        <v>58558.576802507843</v>
      </c>
      <c r="X74" s="257">
        <f>SUM(CI74*CM74)</f>
        <v>8783.8369905956115</v>
      </c>
      <c r="Y74" s="257">
        <f>IF(YEAR($CH74)&lt;$CH74,($W$3-$Q$3)*$AM74/($CH74-$CG74),0)</f>
        <v>0</v>
      </c>
      <c r="Z74" s="257">
        <f>IF(YEAR($CH74)&lt;$CH74,($W$3-$Q$3)*$AO74/($CH74-$CG74),0)</f>
        <v>0</v>
      </c>
      <c r="AA74" s="257">
        <f>IF(YEAR($CH74)&lt;$CH74,($W$3-CG74)*$AQ74/($CH74-$CG74),0)</f>
        <v>0</v>
      </c>
      <c r="AB74" s="65">
        <f>SUM(CI74*CN74)</f>
        <v>49774.739811912223</v>
      </c>
      <c r="AC74" s="65">
        <f>SUM(CJ74*CL74)</f>
        <v>347532.4231974922</v>
      </c>
      <c r="AD74" s="261">
        <f>SUM(CJ74*CM74)</f>
        <v>52130.163009404387</v>
      </c>
      <c r="AE74" s="257">
        <f>IF(YEAR($CH$74)=2020,($BU$4-$CH$74)*AM$74/($CH$74-$CG$74),0)</f>
        <v>0</v>
      </c>
      <c r="AF74" s="257">
        <f>IF(YEAR($CH$74)=2020,($BU$4-$CH$74)*AO$74/($CH$74-$CG$74),0)</f>
        <v>0</v>
      </c>
      <c r="AG74" s="257">
        <f>IF(YEAR($CH$74)=2020,($BU$4-$CH$74)*AQ$74/($CH$74-$CG$74),0)</f>
        <v>0</v>
      </c>
      <c r="AH74" s="65">
        <f>SUM(CJ74*CN74)</f>
        <v>295402.26018808776</v>
      </c>
      <c r="AI74" s="662">
        <f>SUM('3 pr-2'!L75)</f>
        <v>406091</v>
      </c>
      <c r="AJ74" s="904">
        <f t="shared" ref="AJ74:AJ77" si="181">SUM(AI74-K74)</f>
        <v>406091</v>
      </c>
      <c r="AK74" s="257">
        <f>SUM('3 pr-2'!O75)</f>
        <v>60914</v>
      </c>
      <c r="AL74" s="438">
        <f t="shared" ref="AL74:AL77" si="182">SUM(AK74-L74)</f>
        <v>60914</v>
      </c>
      <c r="AM74" s="257">
        <f>SUM('3 pr-2'!R75)</f>
        <v>0</v>
      </c>
      <c r="AN74" s="438">
        <f t="shared" ref="AN74:AN97" si="183">SUM(AM74-M74)</f>
        <v>0</v>
      </c>
      <c r="AO74" s="257">
        <f>SUM('3 pr-2'!U75)</f>
        <v>0</v>
      </c>
      <c r="AP74" s="438">
        <f t="shared" ref="AP74:AP97" si="184">SUM(AO74-O74)</f>
        <v>0</v>
      </c>
      <c r="AQ74" s="257">
        <f>SUM('3 pr-2'!X75)</f>
        <v>0</v>
      </c>
      <c r="AR74" s="257"/>
      <c r="AS74" s="5">
        <f>SUM('3 pr-2'!AA75)</f>
        <v>345177</v>
      </c>
      <c r="AT74" s="438">
        <f t="shared" ref="AT74:AT77" si="185">SUM(AS74-P74)</f>
        <v>345177</v>
      </c>
      <c r="AU74" s="922">
        <f>SUM(V74+AB74+AH74)</f>
        <v>345177</v>
      </c>
      <c r="AV74" s="19"/>
      <c r="AW74" s="19"/>
      <c r="AX74" s="257"/>
      <c r="AY74" s="257"/>
      <c r="AZ74" s="257"/>
      <c r="BA74" s="257"/>
      <c r="BB74" s="19"/>
      <c r="BC74" s="19"/>
      <c r="BD74" s="257"/>
      <c r="BE74" s="257"/>
      <c r="BF74" s="257"/>
      <c r="BG74" s="257"/>
      <c r="BH74" s="19"/>
      <c r="BI74" s="19"/>
      <c r="BJ74" s="257"/>
      <c r="BK74" s="257"/>
      <c r="BL74" s="257"/>
      <c r="BM74" s="257"/>
      <c r="BN74" s="19"/>
      <c r="BO74" s="19"/>
      <c r="BP74" s="257"/>
      <c r="BQ74" s="257"/>
      <c r="BR74" s="257"/>
      <c r="BS74" s="257"/>
      <c r="BT74" s="19"/>
      <c r="BU74" s="19"/>
      <c r="BV74" s="257"/>
      <c r="BW74" s="257"/>
      <c r="BX74" s="257"/>
      <c r="BY74" s="257"/>
      <c r="BZ74" s="19"/>
      <c r="CA74" s="20"/>
      <c r="CB74" s="257"/>
      <c r="CC74" s="257"/>
      <c r="CD74" s="257"/>
      <c r="CE74" s="257"/>
      <c r="CF74" s="325"/>
      <c r="CG74" s="891">
        <f>SUM('3 pr-2'!AI75)</f>
        <v>43738</v>
      </c>
      <c r="CH74" s="891">
        <f>SUM('3 pr-2'!AK75)</f>
        <v>44377</v>
      </c>
      <c r="CI74" s="58">
        <f>SUM($W$3-CG74)</f>
        <v>92</v>
      </c>
      <c r="CJ74" s="58">
        <f>SUM(CH74-$AC$2)</f>
        <v>546</v>
      </c>
      <c r="CL74" s="21">
        <f>SUM(AI74/(CI74+CJ74+CK74))</f>
        <v>636.50626959247654</v>
      </c>
      <c r="CM74" s="21">
        <f>SUM(AK74/(CI74+CJ74+CK74))</f>
        <v>95.476489028213166</v>
      </c>
      <c r="CN74" s="21">
        <f>SUM(AS74/(CI74+CJ74+CK74))</f>
        <v>541.02978056426332</v>
      </c>
      <c r="CQ74" s="892">
        <f t="shared" ref="CQ74" si="186">SUM(E74+K74+Q74+W74+AC74)</f>
        <v>406091.00000000006</v>
      </c>
      <c r="CR74" s="893">
        <f t="shared" ref="CR74" si="187">SUM(J74+P74+V74+AB74+AH74)</f>
        <v>345177</v>
      </c>
    </row>
    <row r="75" spans="1:100" ht="39" customHeight="1" thickBot="1">
      <c r="A75" s="8" t="str">
        <f>CONCATENATE('3 pr-2'!A76)</f>
        <v>1.1.2.1.2</v>
      </c>
      <c r="B75" s="13" t="str">
        <f>CONCATENATE('3 pr-2'!D76)</f>
        <v>Vietinio susisiekimo transporto priemonių įsigijimas</v>
      </c>
      <c r="C75" s="61">
        <v>0</v>
      </c>
      <c r="D75" s="65">
        <v>0</v>
      </c>
      <c r="E75" s="65">
        <v>0</v>
      </c>
      <c r="F75" s="257">
        <v>0</v>
      </c>
      <c r="G75" s="257">
        <v>0</v>
      </c>
      <c r="H75" s="257">
        <v>0</v>
      </c>
      <c r="I75" s="257">
        <v>0</v>
      </c>
      <c r="J75" s="65">
        <v>0</v>
      </c>
      <c r="K75" s="65">
        <v>0</v>
      </c>
      <c r="L75" s="261">
        <v>0</v>
      </c>
      <c r="M75" s="261">
        <v>0</v>
      </c>
      <c r="N75" s="261">
        <v>0</v>
      </c>
      <c r="O75" s="261">
        <v>0</v>
      </c>
      <c r="P75" s="65">
        <v>0</v>
      </c>
      <c r="Q75" s="65">
        <f>IF(YEAR($CG75)=2018,($W$2-$CG75)*$AI75/($CH75-$CG75),0)</f>
        <v>0</v>
      </c>
      <c r="R75" s="257">
        <f>IF(YEAR($CG75)=2018,($W$2-$CG75)*$AK75/($CH75-$CG75),0)</f>
        <v>0</v>
      </c>
      <c r="S75" s="257">
        <f>IF(YEAR($CG$75)=2018,(W2-CG75)*AM$75/($CH$75-$CG$75),0)</f>
        <v>0</v>
      </c>
      <c r="T75" s="257">
        <f>IF(YEAR($CG75)=2018,($W$2-$CG75)*$AO75/($CH75-$CG75),0)</f>
        <v>0</v>
      </c>
      <c r="U75" s="257">
        <f>IF(YEAR($CG75)=2018,($W$2-$CG75)*$AQ75/($CH75-$CG75),0)</f>
        <v>0</v>
      </c>
      <c r="V75" s="65">
        <f>IF(YEAR($CG75)=2018,($W$2-$CG75)*$AS75/($CH75-$CG75),0)</f>
        <v>0</v>
      </c>
      <c r="W75" s="65">
        <f>SUM(CI75*CL75)</f>
        <v>83734.659340659331</v>
      </c>
      <c r="X75" s="257">
        <f>SUM(CI75*CM75)</f>
        <v>22507.058608058607</v>
      </c>
      <c r="Y75" s="257">
        <v>0</v>
      </c>
      <c r="Z75" s="257">
        <v>0</v>
      </c>
      <c r="AA75" s="257">
        <v>0</v>
      </c>
      <c r="AB75" s="65">
        <f>SUM(CI75*CN75)</f>
        <v>46715.948717948719</v>
      </c>
      <c r="AC75" s="65">
        <f>SUM(CJ75*CL75)</f>
        <v>413212.34065934061</v>
      </c>
      <c r="AD75" s="261">
        <f>SUM(CJ75*CM75)</f>
        <v>111067.44139194139</v>
      </c>
      <c r="AE75" s="261">
        <v>0</v>
      </c>
      <c r="AF75" s="261">
        <v>0</v>
      </c>
      <c r="AG75" s="261">
        <v>0</v>
      </c>
      <c r="AH75" s="65">
        <f>SUM(CJ75*CN75)</f>
        <v>230533.05128205128</v>
      </c>
      <c r="AI75" s="662">
        <f>SUM('3 pr-2'!L76)</f>
        <v>496947</v>
      </c>
      <c r="AJ75" s="904">
        <f t="shared" si="181"/>
        <v>496947</v>
      </c>
      <c r="AK75" s="257">
        <f>SUM('3 pr-2'!O76)</f>
        <v>133574.5</v>
      </c>
      <c r="AL75" s="438">
        <f t="shared" si="182"/>
        <v>133574.5</v>
      </c>
      <c r="AM75" s="257">
        <f>SUM('3 pr-2'!R76)</f>
        <v>0</v>
      </c>
      <c r="AN75" s="438">
        <f t="shared" si="183"/>
        <v>0</v>
      </c>
      <c r="AO75" s="257">
        <f>SUM('3 pr-2'!U76)</f>
        <v>86123.5</v>
      </c>
      <c r="AP75" s="438">
        <f t="shared" si="184"/>
        <v>86123.5</v>
      </c>
      <c r="AQ75" s="257">
        <f>SUM('3 pr-2'!X76)</f>
        <v>0</v>
      </c>
      <c r="AR75" s="257"/>
      <c r="AS75" s="5">
        <f>SUM('3 pr-2'!AA76)</f>
        <v>277249</v>
      </c>
      <c r="AT75" s="438">
        <f t="shared" si="185"/>
        <v>277249</v>
      </c>
      <c r="AU75" s="922">
        <f>SUM(V75+AB75+AH75)</f>
        <v>277249</v>
      </c>
      <c r="AV75" s="19"/>
      <c r="AW75" s="19"/>
      <c r="AX75" s="257"/>
      <c r="AY75" s="257"/>
      <c r="AZ75" s="257"/>
      <c r="BA75" s="257"/>
      <c r="BB75" s="19"/>
      <c r="BC75" s="19"/>
      <c r="BD75" s="257"/>
      <c r="BE75" s="257"/>
      <c r="BF75" s="257"/>
      <c r="BG75" s="257"/>
      <c r="BH75" s="19"/>
      <c r="BI75" s="19"/>
      <c r="BJ75" s="257"/>
      <c r="BK75" s="257"/>
      <c r="BL75" s="257"/>
      <c r="BM75" s="257"/>
      <c r="BN75" s="19"/>
      <c r="BO75" s="19"/>
      <c r="BP75" s="257"/>
      <c r="BQ75" s="257"/>
      <c r="BR75" s="257"/>
      <c r="BS75" s="257"/>
      <c r="BT75" s="19"/>
      <c r="BU75" s="19"/>
      <c r="BV75" s="257"/>
      <c r="BW75" s="257"/>
      <c r="BX75" s="257"/>
      <c r="BY75" s="257"/>
      <c r="BZ75" s="19"/>
      <c r="CA75" s="20"/>
      <c r="CB75" s="257"/>
      <c r="CC75" s="257"/>
      <c r="CD75" s="257"/>
      <c r="CE75" s="257"/>
      <c r="CF75" s="325"/>
      <c r="CG75" s="891">
        <f>SUM('3 pr-2'!AI76)</f>
        <v>43738</v>
      </c>
      <c r="CH75" s="891">
        <f>SUM('3 pr-2'!AK76)</f>
        <v>44285</v>
      </c>
      <c r="CI75" s="58">
        <f>SUM($W$3-CG75)</f>
        <v>92</v>
      </c>
      <c r="CJ75" s="58">
        <f>SUM(CH75-$AC$2)</f>
        <v>454</v>
      </c>
      <c r="CL75" s="21">
        <f>SUM(AI75/(CI75+CJ75+CK75))</f>
        <v>910.15934065934061</v>
      </c>
      <c r="CM75" s="21">
        <f>SUM(AK75/(CI75+CJ75+CK75))</f>
        <v>244.6419413919414</v>
      </c>
      <c r="CN75" s="21">
        <f>SUM(AS75/(CI75+CJ75+CK75))</f>
        <v>507.78205128205127</v>
      </c>
      <c r="CQ75" s="892">
        <f t="shared" ref="CQ75:CQ77" si="188">SUM(E75+K75+Q75+W75+AC75)</f>
        <v>496946.99999999994</v>
      </c>
      <c r="CR75" s="893">
        <f t="shared" ref="CR75:CR77" si="189">SUM(J75+P75+V75+AB75+AH75)</f>
        <v>277249</v>
      </c>
    </row>
    <row r="76" spans="1:100" ht="29.25" customHeight="1" thickBot="1">
      <c r="A76" s="8" t="str">
        <f>CONCATENATE('3 pr-2'!A77)</f>
        <v>1.1.2.1.3</v>
      </c>
      <c r="B76" s="8" t="str">
        <f>CONCATENATE('3 pr-2'!D77)</f>
        <v>Ekologiškų transporto priemonių įsigijimas Druskininkų savivaldybėje</v>
      </c>
      <c r="C76" s="61">
        <v>0</v>
      </c>
      <c r="D76" s="65">
        <v>0</v>
      </c>
      <c r="E76" s="65">
        <v>0</v>
      </c>
      <c r="F76" s="257">
        <v>0</v>
      </c>
      <c r="G76" s="257">
        <v>0</v>
      </c>
      <c r="H76" s="257">
        <v>0</v>
      </c>
      <c r="I76" s="257">
        <v>0</v>
      </c>
      <c r="J76" s="65">
        <v>0</v>
      </c>
      <c r="K76" s="65">
        <v>0</v>
      </c>
      <c r="L76" s="261">
        <v>0</v>
      </c>
      <c r="M76" s="261">
        <v>0</v>
      </c>
      <c r="N76" s="261">
        <v>0</v>
      </c>
      <c r="O76" s="261">
        <v>0</v>
      </c>
      <c r="P76" s="65">
        <v>0</v>
      </c>
      <c r="Q76" s="65">
        <f>IF(YEAR($CG76)=2018,($W$2-$CG76)*$AI76/($CH76-$CG76),0)</f>
        <v>67898.181818181823</v>
      </c>
      <c r="R76" s="257">
        <f>IF(YEAR($CG$76)=2018,($W$2-$CG76)*AK$76/($CH$76-$CG$76),0)</f>
        <v>0</v>
      </c>
      <c r="S76" s="257">
        <f>IF(YEAR($CG$76)=2018,($BI$4-$CG$76)*AM$76/($CH$76-$CG$76),0)</f>
        <v>0</v>
      </c>
      <c r="T76" s="257">
        <f>IF(YEAR($CG76)=2018,($W$2-$CG76)*$AO76/($CH76-$CG76),0)</f>
        <v>34156.929292929293</v>
      </c>
      <c r="U76" s="257">
        <f>IF(YEAR($CG76)=2018,($W$2-$CG76)*$AQ76/($CH76-$CG76),0)</f>
        <v>0</v>
      </c>
      <c r="V76" s="65">
        <f>IF(YEAR($CG76)=2018,($W$2-$CG76)*$AS76/($CH76-$CG76),0)</f>
        <v>33741.252525252523</v>
      </c>
      <c r="W76" s="65">
        <f>IF(YEAR($CH76)=2019,($CH76-$W$2)*$AJ76/($CH76-$CG76))</f>
        <v>772341.81818181823</v>
      </c>
      <c r="X76" s="257">
        <f>IF(YEAR($CH76)=2019,($CH75-$W$2)*$AK76/($CH76-$CG76))</f>
        <v>0</v>
      </c>
      <c r="Y76" s="257">
        <f>IF(YEAR($CH76)=2019,($CH76-$W$2)*$AM76/($CH76-$CG76))</f>
        <v>0</v>
      </c>
      <c r="Z76" s="257">
        <f>IF(YEAR($CH76)=2019,($CH76-$W$2)*$AO76/($CH76-$CG76))</f>
        <v>388535.0707070707</v>
      </c>
      <c r="AA76" s="257">
        <f>IF(YEAR($CH76)=2019,($CH76-$W$2)*$AQ76/($CH76-$CG76))</f>
        <v>0</v>
      </c>
      <c r="AB76" s="65">
        <f>IF(YEAR($CH76)=2019,($CH76-$W$2)*$AT76/($CH76-$CG76))</f>
        <v>383806.74747474748</v>
      </c>
      <c r="AC76" s="65">
        <v>0</v>
      </c>
      <c r="AD76" s="261">
        <v>0</v>
      </c>
      <c r="AE76" s="261">
        <v>0</v>
      </c>
      <c r="AF76" s="261">
        <v>0</v>
      </c>
      <c r="AG76" s="261">
        <v>0</v>
      </c>
      <c r="AH76" s="65">
        <v>0</v>
      </c>
      <c r="AI76" s="662">
        <f>SUM('3 pr-2'!L77)</f>
        <v>840240</v>
      </c>
      <c r="AJ76" s="904">
        <f t="shared" si="181"/>
        <v>840240</v>
      </c>
      <c r="AK76" s="257">
        <f>SUM('3 pr-2'!O77)</f>
        <v>0</v>
      </c>
      <c r="AL76" s="438">
        <f t="shared" si="182"/>
        <v>0</v>
      </c>
      <c r="AM76" s="257">
        <f>SUM('3 pr-2'!R77)</f>
        <v>0</v>
      </c>
      <c r="AN76" s="438">
        <f t="shared" si="183"/>
        <v>0</v>
      </c>
      <c r="AO76" s="257">
        <f>SUM('3 pr-2'!U77)</f>
        <v>422692</v>
      </c>
      <c r="AP76" s="438">
        <f t="shared" si="184"/>
        <v>422692</v>
      </c>
      <c r="AQ76" s="257">
        <f>SUM('3 pr-2'!X77)</f>
        <v>0</v>
      </c>
      <c r="AR76" s="257"/>
      <c r="AS76" s="5">
        <f>SUM('3 pr-2'!AA77)</f>
        <v>417548</v>
      </c>
      <c r="AT76" s="438">
        <f t="shared" si="185"/>
        <v>417548</v>
      </c>
      <c r="AU76" s="922">
        <f>SUM(V76+AB76+AH76)</f>
        <v>417548</v>
      </c>
      <c r="AV76" s="19"/>
      <c r="AW76" s="19"/>
      <c r="AX76" s="257"/>
      <c r="AY76" s="257"/>
      <c r="AZ76" s="257"/>
      <c r="BA76" s="257"/>
      <c r="BB76" s="19"/>
      <c r="BC76" s="19"/>
      <c r="BD76" s="257"/>
      <c r="BE76" s="257"/>
      <c r="BF76" s="257"/>
      <c r="BG76" s="257"/>
      <c r="BH76" s="19"/>
      <c r="BI76" s="19"/>
      <c r="BJ76" s="257"/>
      <c r="BK76" s="257"/>
      <c r="BL76" s="257"/>
      <c r="BM76" s="257"/>
      <c r="BN76" s="19"/>
      <c r="BO76" s="19"/>
      <c r="BP76" s="257"/>
      <c r="BQ76" s="257"/>
      <c r="BR76" s="257"/>
      <c r="BS76" s="257"/>
      <c r="BT76" s="19"/>
      <c r="BU76" s="19"/>
      <c r="BV76" s="257"/>
      <c r="BW76" s="257"/>
      <c r="BX76" s="257"/>
      <c r="BY76" s="257"/>
      <c r="BZ76" s="19"/>
      <c r="CA76" s="20"/>
      <c r="CB76" s="257"/>
      <c r="CC76" s="257"/>
      <c r="CD76" s="257"/>
      <c r="CE76" s="257"/>
      <c r="CF76" s="325"/>
      <c r="CG76" s="891">
        <f>SUM('3 pr-2'!AI77)</f>
        <v>43434</v>
      </c>
      <c r="CH76" s="891">
        <f>SUM('3 pr-2'!AK77)</f>
        <v>43830</v>
      </c>
      <c r="CI76" s="58">
        <f>SUM(V76+AB76)</f>
        <v>417548</v>
      </c>
      <c r="CJ76" s="58">
        <f t="shared" ref="CJ76" si="190">SUM(CI76-AS76)</f>
        <v>0</v>
      </c>
      <c r="CQ76" s="892">
        <f t="shared" si="188"/>
        <v>840240</v>
      </c>
      <c r="CR76" s="893">
        <f t="shared" si="189"/>
        <v>417548</v>
      </c>
    </row>
    <row r="77" spans="1:100" ht="29.25" customHeight="1" thickBot="1">
      <c r="A77" s="18" t="str">
        <f>CONCATENATE('3 pr-2'!A78)</f>
        <v>1.1.2.1.4</v>
      </c>
      <c r="B77" s="18" t="str">
        <f>CONCATENATE('3 pr-2'!D78)</f>
        <v>Ekologiškų transporto priemonių įsigijimas Lazdijų rajono savivaldybėje</v>
      </c>
      <c r="C77" s="61">
        <v>0</v>
      </c>
      <c r="D77" s="65">
        <v>0</v>
      </c>
      <c r="E77" s="65">
        <v>0</v>
      </c>
      <c r="F77" s="257">
        <v>0</v>
      </c>
      <c r="G77" s="257">
        <v>0</v>
      </c>
      <c r="H77" s="257">
        <v>0</v>
      </c>
      <c r="I77" s="257">
        <v>0</v>
      </c>
      <c r="J77" s="65">
        <v>0</v>
      </c>
      <c r="K77" s="65">
        <v>0</v>
      </c>
      <c r="L77" s="261">
        <v>0</v>
      </c>
      <c r="M77" s="261">
        <v>0</v>
      </c>
      <c r="N77" s="261">
        <v>0</v>
      </c>
      <c r="O77" s="261">
        <v>0</v>
      </c>
      <c r="P77" s="65">
        <v>0</v>
      </c>
      <c r="Q77" s="65">
        <f>SUM(CI77*CL77)</f>
        <v>11171.226337448559</v>
      </c>
      <c r="R77" s="257">
        <f>SUM(CI77*CM77)</f>
        <v>1675.7009602194787</v>
      </c>
      <c r="S77" s="257">
        <f>IF(YEAR($CG$77)=2018,($BI$4-$CG$77)*AM$77/($CH$77-$CG$77),0)</f>
        <v>0</v>
      </c>
      <c r="T77" s="257">
        <f>IF(YEAR($CG77)=2018,($W$2-$CG77)*$AO77/($CH77-$CG77),0)</f>
        <v>0</v>
      </c>
      <c r="U77" s="257">
        <f>IF(YEAR($CG77)=2018,($W$2-$CG77)*$AQ77/($CH77-$CG77),0)</f>
        <v>0</v>
      </c>
      <c r="V77" s="65">
        <f>SUM(CI77*CN77)</f>
        <v>9495.5253772290816</v>
      </c>
      <c r="W77" s="65">
        <f>SUM(CJ77*CL77)</f>
        <v>131171.81893004116</v>
      </c>
      <c r="X77" s="257">
        <f>SUM(CJ77*CM77)</f>
        <v>19675.97256515775</v>
      </c>
      <c r="Y77" s="257">
        <v>0</v>
      </c>
      <c r="Z77" s="257">
        <v>0</v>
      </c>
      <c r="AA77" s="257">
        <v>0</v>
      </c>
      <c r="AB77" s="65">
        <f>SUM(CJ77*CN77)</f>
        <v>111495.8463648834</v>
      </c>
      <c r="AC77" s="65">
        <f>SUM(CK77*CL77)</f>
        <v>120360.95473251029</v>
      </c>
      <c r="AD77" s="261">
        <f>SUM(CK77*CM77)</f>
        <v>18054.326474622772</v>
      </c>
      <c r="AE77" s="261">
        <v>0</v>
      </c>
      <c r="AF77" s="261">
        <v>0</v>
      </c>
      <c r="AG77" s="261">
        <v>0</v>
      </c>
      <c r="AH77" s="65">
        <f>SUM(CK77*CN77)</f>
        <v>102306.62825788753</v>
      </c>
      <c r="AI77" s="662">
        <f>SUM('3 pr-2'!L78)</f>
        <v>262704</v>
      </c>
      <c r="AJ77" s="904">
        <f t="shared" si="181"/>
        <v>262704</v>
      </c>
      <c r="AK77" s="257">
        <f>SUM('3 pr-2'!O78)</f>
        <v>39406</v>
      </c>
      <c r="AL77" s="438">
        <f t="shared" si="182"/>
        <v>39406</v>
      </c>
      <c r="AM77" s="257">
        <f>SUM('3 pr-2'!R78)</f>
        <v>0</v>
      </c>
      <c r="AN77" s="438">
        <f t="shared" si="183"/>
        <v>0</v>
      </c>
      <c r="AO77" s="257">
        <f>SUM('3 pr-2'!U78)</f>
        <v>0</v>
      </c>
      <c r="AP77" s="438">
        <f t="shared" si="184"/>
        <v>0</v>
      </c>
      <c r="AQ77" s="257">
        <f>SUM('3 pr-2'!X78)</f>
        <v>0</v>
      </c>
      <c r="AR77" s="257"/>
      <c r="AS77" s="5">
        <f>SUM('3 pr-2'!AA78)</f>
        <v>223298</v>
      </c>
      <c r="AT77" s="438">
        <f t="shared" si="185"/>
        <v>223298</v>
      </c>
      <c r="AU77" s="922">
        <f>SUM(V77+AB77+AH77)</f>
        <v>223298</v>
      </c>
      <c r="AV77" s="19"/>
      <c r="AW77" s="19"/>
      <c r="AX77" s="257"/>
      <c r="AY77" s="257"/>
      <c r="AZ77" s="257"/>
      <c r="BA77" s="257"/>
      <c r="BB77" s="19"/>
      <c r="BC77" s="19"/>
      <c r="BD77" s="257"/>
      <c r="BE77" s="257"/>
      <c r="BF77" s="257"/>
      <c r="BG77" s="257"/>
      <c r="BH77" s="19"/>
      <c r="BI77" s="19"/>
      <c r="BJ77" s="257"/>
      <c r="BK77" s="257"/>
      <c r="BL77" s="257"/>
      <c r="BM77" s="257"/>
      <c r="BN77" s="19"/>
      <c r="BO77" s="19"/>
      <c r="BP77" s="257"/>
      <c r="BQ77" s="257"/>
      <c r="BR77" s="257"/>
      <c r="BS77" s="257"/>
      <c r="BT77" s="19"/>
      <c r="BU77" s="19"/>
      <c r="BV77" s="257"/>
      <c r="BW77" s="257"/>
      <c r="BX77" s="257"/>
      <c r="BY77" s="257"/>
      <c r="BZ77" s="19"/>
      <c r="CA77" s="20"/>
      <c r="CB77" s="257"/>
      <c r="CC77" s="257"/>
      <c r="CD77" s="257"/>
      <c r="CE77" s="257"/>
      <c r="CF77" s="325"/>
      <c r="CG77" s="891">
        <f>SUM('3 pr-2'!AI78)</f>
        <v>43434</v>
      </c>
      <c r="CH77" s="891">
        <f>SUM('3 pr-2'!AK78)</f>
        <v>44165</v>
      </c>
      <c r="CI77" s="58">
        <f>SUM(Q3-CG77)</f>
        <v>31</v>
      </c>
      <c r="CJ77" s="58">
        <f>SUM(W3-W2)</f>
        <v>364</v>
      </c>
      <c r="CK77" s="21">
        <f>SUM(CH77-AC2)</f>
        <v>334</v>
      </c>
      <c r="CL77" s="21">
        <f>SUM(AI77/(CI77+CJ77+CK77))</f>
        <v>360.36213991769546</v>
      </c>
      <c r="CM77" s="21">
        <f>SUM(AK77/(CI77+CJ77+CK77))</f>
        <v>54.054869684499316</v>
      </c>
      <c r="CN77" s="21">
        <f>SUM(AS77/(CI77+CJ77+CK77))</f>
        <v>306.30727023319616</v>
      </c>
      <c r="CQ77" s="892">
        <f t="shared" si="188"/>
        <v>262704</v>
      </c>
      <c r="CR77" s="893">
        <f t="shared" si="189"/>
        <v>223298</v>
      </c>
    </row>
    <row r="78" spans="1:100" ht="29.25" customHeight="1" thickBot="1">
      <c r="A78" s="253" t="str">
        <f>CONCATENATE('3 pr-2'!A79)</f>
        <v>1.1.2.2</v>
      </c>
      <c r="B78" s="103" t="str">
        <f>CONCATENATE('3 pr-2'!D79)</f>
        <v/>
      </c>
      <c r="C78" s="923">
        <f t="shared" ref="C78:J78" si="191">SUM(C79:C82)</f>
        <v>0</v>
      </c>
      <c r="D78" s="923">
        <f t="shared" si="191"/>
        <v>0</v>
      </c>
      <c r="E78" s="923">
        <f t="shared" si="191"/>
        <v>0</v>
      </c>
      <c r="F78" s="923"/>
      <c r="G78" s="923"/>
      <c r="H78" s="923"/>
      <c r="I78" s="923"/>
      <c r="J78" s="923">
        <f t="shared" si="191"/>
        <v>0</v>
      </c>
      <c r="K78" s="923">
        <f t="shared" ref="K78:L78" si="192">SUM(K79:K84)</f>
        <v>37182.800000000003</v>
      </c>
      <c r="L78" s="924">
        <f t="shared" si="192"/>
        <v>5577.42</v>
      </c>
      <c r="M78" s="924">
        <f t="shared" ref="M78:O78" si="193">SUM(M79:M82)</f>
        <v>0</v>
      </c>
      <c r="N78" s="924">
        <f t="shared" si="193"/>
        <v>0</v>
      </c>
      <c r="O78" s="924">
        <f t="shared" si="193"/>
        <v>0</v>
      </c>
      <c r="P78" s="923">
        <f t="shared" ref="P78:Q78" si="194">SUM(P79:P84)</f>
        <v>31605.38</v>
      </c>
      <c r="Q78" s="923">
        <f t="shared" si="194"/>
        <v>13455.199999999997</v>
      </c>
      <c r="R78" s="924"/>
      <c r="S78" s="924"/>
      <c r="T78" s="924"/>
      <c r="U78" s="924"/>
      <c r="V78" s="923">
        <f t="shared" ref="V78:W78" si="195">SUM(V79:V84)</f>
        <v>11436.919999999998</v>
      </c>
      <c r="W78" s="923">
        <f t="shared" si="195"/>
        <v>361069.43844992103</v>
      </c>
      <c r="X78" s="924"/>
      <c r="Y78" s="924"/>
      <c r="Z78" s="924"/>
      <c r="AA78" s="924"/>
      <c r="AB78" s="923">
        <f t="shared" ref="AB78:AC78" si="196">SUM(AB79:AB84)</f>
        <v>306909.07442374527</v>
      </c>
      <c r="AC78" s="923">
        <f t="shared" si="196"/>
        <v>1483235.8015500789</v>
      </c>
      <c r="AD78" s="924"/>
      <c r="AE78" s="924"/>
      <c r="AF78" s="924"/>
      <c r="AG78" s="924"/>
      <c r="AH78" s="923">
        <f>SUM(AH79:AH84)</f>
        <v>1260750.7255762548</v>
      </c>
      <c r="AI78" s="925">
        <f>SUM(AI79:AI84)</f>
        <v>1894943.24</v>
      </c>
      <c r="AJ78" s="923"/>
      <c r="AK78" s="923"/>
      <c r="AL78" s="923"/>
      <c r="AM78" s="923"/>
      <c r="AN78" s="923"/>
      <c r="AO78" s="923"/>
      <c r="AP78" s="923"/>
      <c r="AQ78" s="923"/>
      <c r="AR78" s="923"/>
      <c r="AS78" s="923">
        <f>SUM(AS79:AS84)</f>
        <v>1610702.1</v>
      </c>
      <c r="AT78" s="923"/>
      <c r="AU78" s="926">
        <v>0</v>
      </c>
      <c r="AV78" s="926">
        <v>0</v>
      </c>
      <c r="AW78" s="926">
        <v>0</v>
      </c>
      <c r="AX78" s="923">
        <v>0</v>
      </c>
      <c r="AY78" s="923">
        <v>0</v>
      </c>
      <c r="AZ78" s="923">
        <v>0</v>
      </c>
      <c r="BA78" s="923">
        <v>0</v>
      </c>
      <c r="BB78" s="926">
        <v>0</v>
      </c>
      <c r="BC78" s="926">
        <v>0</v>
      </c>
      <c r="BD78" s="923">
        <v>0</v>
      </c>
      <c r="BE78" s="923">
        <v>0</v>
      </c>
      <c r="BF78" s="923">
        <v>0</v>
      </c>
      <c r="BG78" s="923">
        <v>0</v>
      </c>
      <c r="BH78" s="926">
        <v>0</v>
      </c>
      <c r="BI78" s="926">
        <v>20</v>
      </c>
      <c r="BJ78" s="923">
        <v>20</v>
      </c>
      <c r="BK78" s="923">
        <v>20</v>
      </c>
      <c r="BL78" s="923">
        <v>20</v>
      </c>
      <c r="BM78" s="923">
        <v>20</v>
      </c>
      <c r="BN78" s="926">
        <v>20</v>
      </c>
      <c r="BO78" s="926">
        <v>50</v>
      </c>
      <c r="BP78" s="923">
        <v>50</v>
      </c>
      <c r="BQ78" s="923">
        <v>50</v>
      </c>
      <c r="BR78" s="923">
        <v>50</v>
      </c>
      <c r="BS78" s="923">
        <v>50</v>
      </c>
      <c r="BT78" s="926">
        <v>50</v>
      </c>
      <c r="BU78" s="926">
        <v>30</v>
      </c>
      <c r="BV78" s="923">
        <v>30</v>
      </c>
      <c r="BW78" s="923">
        <v>30</v>
      </c>
      <c r="BX78" s="923">
        <v>30</v>
      </c>
      <c r="BY78" s="923">
        <v>30</v>
      </c>
      <c r="BZ78" s="926">
        <v>30</v>
      </c>
      <c r="CA78" s="20">
        <v>100</v>
      </c>
      <c r="CB78" s="923">
        <v>100</v>
      </c>
      <c r="CC78" s="923">
        <v>100</v>
      </c>
      <c r="CD78" s="923">
        <v>100</v>
      </c>
      <c r="CE78" s="923">
        <v>100</v>
      </c>
      <c r="CF78" s="325">
        <v>100</v>
      </c>
      <c r="CG78" s="19"/>
      <c r="CH78" s="19"/>
      <c r="CI78" s="19"/>
      <c r="CJ78" s="19"/>
      <c r="CK78" s="19"/>
      <c r="CL78" s="19"/>
      <c r="CM78" s="19" t="s">
        <v>1436</v>
      </c>
      <c r="CN78" s="19"/>
      <c r="CO78" s="19"/>
      <c r="CP78" s="19"/>
      <c r="CQ78" s="19"/>
      <c r="CR78" s="19" t="s">
        <v>1397</v>
      </c>
      <c r="CS78" s="19"/>
    </row>
    <row r="79" spans="1:100" ht="24.75" thickBot="1">
      <c r="A79" s="8" t="str">
        <f>CONCATENATE('3 pr-2'!A80)</f>
        <v>1.1.2.2.1</v>
      </c>
      <c r="B79" s="8" t="str">
        <f>CONCATENATE('3 pr-2'!D80)</f>
        <v>Darnaus judumo priemonių diegimas Alytaus mieste</v>
      </c>
      <c r="C79" s="65">
        <f>SUM(AI79*AU79/CA79)</f>
        <v>0</v>
      </c>
      <c r="D79" s="65">
        <f t="shared" ref="D79:D81" si="197">SUM(AS79*AV79/CF79)</f>
        <v>0</v>
      </c>
      <c r="E79" s="65">
        <f>SUM(AI79*AW79/CA79)</f>
        <v>0</v>
      </c>
      <c r="F79" s="257">
        <f t="shared" ref="F79:F82" si="198">SUM(AK79*AX79/CB79)</f>
        <v>0</v>
      </c>
      <c r="G79" s="257">
        <f t="shared" ref="G79:G82" si="199">SUM(AM79*AY79/CC79)</f>
        <v>0</v>
      </c>
      <c r="H79" s="257">
        <f t="shared" ref="H79:H82" si="200">SUM(AO79*AZ79/CD79)</f>
        <v>0</v>
      </c>
      <c r="I79" s="257">
        <f t="shared" ref="I79:I82" si="201">SUM(AQ79*BA79/CE79)</f>
        <v>0</v>
      </c>
      <c r="J79" s="65">
        <f t="shared" ref="J79:J81" si="202">SUM(AS79*BB79/CF79)</f>
        <v>0</v>
      </c>
      <c r="K79" s="65">
        <f t="shared" ref="K79" si="203">SUM(L79:P79)</f>
        <v>0</v>
      </c>
      <c r="L79" s="261">
        <f>SUM('ketv. 7 '!R78)</f>
        <v>0</v>
      </c>
      <c r="M79" s="261">
        <f>SUM('ketv. 7 '!W78)</f>
        <v>0</v>
      </c>
      <c r="N79" s="261">
        <f>SUM('ketv. 7 '!AB78)</f>
        <v>0</v>
      </c>
      <c r="O79" s="261">
        <f>SUM('ketv. 7 '!AG78)</f>
        <v>0</v>
      </c>
      <c r="P79" s="65">
        <f>SUM('ketv. 7 '!AL78)</f>
        <v>0</v>
      </c>
      <c r="Q79" s="65">
        <f>IF(YEAR($CG79)=2018,($BI$4-$CG79)*$AI79/($CH79-$CG79),0)</f>
        <v>0</v>
      </c>
      <c r="R79" s="257">
        <f>IF(YEAR($CG79)=2018,($BI$4-$CG79)*$AK79/($CH79-$CG79),0)</f>
        <v>0</v>
      </c>
      <c r="S79" s="257">
        <f>IF(YEAR($CG$74)=2018,($BI$4-$CG$74)*AM$74/($CH$74-$CG$74),0)</f>
        <v>0</v>
      </c>
      <c r="T79" s="257">
        <f>IF(YEAR($CG$74)=2018,($BI$4-$CG$74)*AO$74/($CH$74-$CG$74),0)</f>
        <v>0</v>
      </c>
      <c r="U79" s="257">
        <f>IF(YEAR($CG$74)=2018,($BI$4-$CG$74)*AQ$74/($CH$74-$CG$74),0)</f>
        <v>0</v>
      </c>
      <c r="V79" s="65">
        <f>IF(YEAR($CG$74)=2018,($BI$4-$CG$74)*AS$74/($CH$74-$CG$74),0)</f>
        <v>0</v>
      </c>
      <c r="W79" s="65">
        <f>SUM(X79:AB79)</f>
        <v>174905.62006578947</v>
      </c>
      <c r="X79" s="257">
        <f>SUM(CR79*CJ79)</f>
        <v>26235.78947368421</v>
      </c>
      <c r="Y79" s="257">
        <v>0</v>
      </c>
      <c r="Z79" s="257">
        <v>0</v>
      </c>
      <c r="AA79" s="257">
        <v>0</v>
      </c>
      <c r="AB79" s="65">
        <f>SUM(CM79*CJ79)</f>
        <v>148669.83059210525</v>
      </c>
      <c r="AC79" s="65">
        <f>SUM(AD79:AH79)</f>
        <v>968563.37993421056</v>
      </c>
      <c r="AD79" s="257">
        <f>SUM(CR79*CK79)</f>
        <v>145284.21052631579</v>
      </c>
      <c r="AE79" s="257">
        <v>0</v>
      </c>
      <c r="AF79" s="257">
        <v>0</v>
      </c>
      <c r="AG79" s="257">
        <v>0</v>
      </c>
      <c r="AH79" s="65">
        <f>SUM(CM79*CK79)</f>
        <v>823279.16940789472</v>
      </c>
      <c r="AI79" s="662">
        <f>SUM('3 pr-2'!L80)</f>
        <v>1143469</v>
      </c>
      <c r="AJ79" s="904">
        <f t="shared" ref="AJ79:AJ82" si="204">SUM(AI79-K79)</f>
        <v>1143469</v>
      </c>
      <c r="AK79" s="257">
        <f>SUM('3 pr-2'!O80)</f>
        <v>171520</v>
      </c>
      <c r="AL79" s="438">
        <f t="shared" ref="AL79:AL98" si="205">SUM(AK79-L79)</f>
        <v>171520</v>
      </c>
      <c r="AM79" s="257">
        <f>SUM('3 pr-2'!R80)</f>
        <v>0</v>
      </c>
      <c r="AN79" s="438">
        <f t="shared" si="183"/>
        <v>0</v>
      </c>
      <c r="AO79" s="257">
        <f>SUM('3 pr-2'!U80)</f>
        <v>0</v>
      </c>
      <c r="AP79" s="438">
        <f t="shared" si="184"/>
        <v>0</v>
      </c>
      <c r="AQ79" s="257">
        <f>SUM('3 pr-2'!X80)</f>
        <v>0</v>
      </c>
      <c r="AR79" s="257"/>
      <c r="AS79" s="5">
        <f>SUM('3 pr-2'!AA80)</f>
        <v>971949</v>
      </c>
      <c r="AT79" s="438">
        <f t="shared" ref="AT79:AT82" si="206">SUM(AS79-P79)</f>
        <v>971949</v>
      </c>
      <c r="AU79" s="19">
        <v>0</v>
      </c>
      <c r="AV79" s="19">
        <v>0</v>
      </c>
      <c r="AW79" s="19">
        <v>0</v>
      </c>
      <c r="AX79" s="257">
        <v>0</v>
      </c>
      <c r="AY79" s="257">
        <v>0</v>
      </c>
      <c r="AZ79" s="257">
        <v>0</v>
      </c>
      <c r="BA79" s="257">
        <v>0</v>
      </c>
      <c r="BB79" s="19">
        <v>0</v>
      </c>
      <c r="BC79" s="19">
        <v>0</v>
      </c>
      <c r="BD79" s="257">
        <v>0</v>
      </c>
      <c r="BE79" s="257">
        <v>0</v>
      </c>
      <c r="BF79" s="257">
        <v>0</v>
      </c>
      <c r="BG79" s="257">
        <v>0</v>
      </c>
      <c r="BH79" s="19">
        <v>0</v>
      </c>
      <c r="BI79" s="19">
        <v>20</v>
      </c>
      <c r="BJ79" s="257">
        <v>20</v>
      </c>
      <c r="BK79" s="257">
        <v>20</v>
      </c>
      <c r="BL79" s="257">
        <v>20</v>
      </c>
      <c r="BM79" s="257">
        <v>20</v>
      </c>
      <c r="BN79" s="19">
        <v>20</v>
      </c>
      <c r="BO79" s="19">
        <v>50</v>
      </c>
      <c r="BP79" s="257">
        <v>50</v>
      </c>
      <c r="BQ79" s="257">
        <v>50</v>
      </c>
      <c r="BR79" s="257">
        <v>50</v>
      </c>
      <c r="BS79" s="257">
        <v>50</v>
      </c>
      <c r="BT79" s="19">
        <v>50</v>
      </c>
      <c r="BU79" s="19">
        <v>30</v>
      </c>
      <c r="BV79" s="257">
        <v>30</v>
      </c>
      <c r="BW79" s="257">
        <v>30</v>
      </c>
      <c r="BX79" s="257">
        <v>30</v>
      </c>
      <c r="BY79" s="257">
        <v>30</v>
      </c>
      <c r="BZ79" s="19">
        <v>30</v>
      </c>
      <c r="CA79" s="20">
        <v>100</v>
      </c>
      <c r="CB79" s="257">
        <v>100</v>
      </c>
      <c r="CC79" s="257">
        <v>100</v>
      </c>
      <c r="CD79" s="257">
        <v>100</v>
      </c>
      <c r="CE79" s="257">
        <v>100</v>
      </c>
      <c r="CF79" s="325">
        <v>100</v>
      </c>
      <c r="CG79" s="891">
        <f>SUM('3 pr-2'!AI80)</f>
        <v>43738</v>
      </c>
      <c r="CH79" s="891">
        <f>SUM('3 pr-2'!AK80)</f>
        <v>44346</v>
      </c>
      <c r="CI79" s="892">
        <f>SUM(CH79-CG79)</f>
        <v>608</v>
      </c>
      <c r="CJ79" s="927">
        <f>SUM($AC$2-CG79)</f>
        <v>93</v>
      </c>
      <c r="CK79" s="928">
        <f>SUM(CH79-$AC$2)</f>
        <v>515</v>
      </c>
      <c r="CL79" s="892">
        <f>SUM(CJ79:CK79)</f>
        <v>608</v>
      </c>
      <c r="CM79" s="19">
        <f>SUM(AS79/CL79)</f>
        <v>1598.6003289473683</v>
      </c>
      <c r="CN79" s="19"/>
      <c r="CO79" s="19"/>
      <c r="CP79" s="19"/>
      <c r="CQ79" s="19"/>
      <c r="CR79" s="19">
        <f>SUM(AK79/CL79)</f>
        <v>282.10526315789474</v>
      </c>
      <c r="CS79" s="892">
        <f>SUM(J79+P79+V79+AB79+AH79)</f>
        <v>971949</v>
      </c>
    </row>
    <row r="80" spans="1:100" ht="29.25" customHeight="1" thickBot="1">
      <c r="A80" s="8" t="str">
        <f>CONCATENATE('3 pr-2'!A81)</f>
        <v>1.1.2.2.2</v>
      </c>
      <c r="B80" s="8" t="str">
        <f>CONCATENATE('3 pr-2'!D81)</f>
        <v>Alytaus miesto darnaus judumo plano parengimas</v>
      </c>
      <c r="C80" s="65">
        <f>SUM(AI80*AU80/CA80)</f>
        <v>0</v>
      </c>
      <c r="D80" s="65">
        <f t="shared" si="197"/>
        <v>0</v>
      </c>
      <c r="E80" s="65">
        <f>SUM(AI80*AW80/CA80)</f>
        <v>0</v>
      </c>
      <c r="F80" s="257">
        <f t="shared" si="198"/>
        <v>0</v>
      </c>
      <c r="G80" s="257">
        <f t="shared" si="199"/>
        <v>0</v>
      </c>
      <c r="H80" s="257">
        <f t="shared" si="200"/>
        <v>0</v>
      </c>
      <c r="I80" s="257">
        <f t="shared" si="201"/>
        <v>0</v>
      </c>
      <c r="J80" s="65">
        <f t="shared" si="202"/>
        <v>0</v>
      </c>
      <c r="K80" s="65">
        <f>SUM('ketv. 7 '!M79)</f>
        <v>20182.800000000003</v>
      </c>
      <c r="L80" s="261">
        <f>SUM('ketv. 7 '!S79)</f>
        <v>3027.42</v>
      </c>
      <c r="M80" s="261">
        <f>SUM('ketv. 7 '!W79)</f>
        <v>0</v>
      </c>
      <c r="N80" s="261">
        <f>SUM('ketv. 7 '!AB79)</f>
        <v>0</v>
      </c>
      <c r="O80" s="261">
        <f>SUM('ketv. 7 '!AG79)</f>
        <v>0</v>
      </c>
      <c r="P80" s="65">
        <f>SUM('ketv. 7 '!AM79)</f>
        <v>17155.38</v>
      </c>
      <c r="Q80" s="65">
        <f>SUM(R80:V80)</f>
        <v>13455.199999999997</v>
      </c>
      <c r="R80" s="257">
        <f>SUM(AK80-L80)</f>
        <v>2018.2799999999997</v>
      </c>
      <c r="S80" s="261">
        <f t="shared" ref="S80:S82" si="207">SUM(AM80*BK80/CC80)</f>
        <v>0</v>
      </c>
      <c r="T80" s="261">
        <f t="shared" ref="T80:T82" si="208">SUM(AO80*BL80/CD80)</f>
        <v>0</v>
      </c>
      <c r="U80" s="261">
        <f t="shared" ref="U80:U82" si="209">SUM(AQ80*BM80/CE80)</f>
        <v>0</v>
      </c>
      <c r="V80" s="65">
        <f>SUM(AS80-P80)</f>
        <v>11436.919999999998</v>
      </c>
      <c r="W80" s="65">
        <f>SUM(AI80*BO80/CA80)</f>
        <v>0</v>
      </c>
      <c r="X80" s="261">
        <f t="shared" ref="X80:X82" si="210">SUM(AK80*BP80/CB80)</f>
        <v>0</v>
      </c>
      <c r="Y80" s="261">
        <f t="shared" ref="Y80:Y82" si="211">SUM(AM80*BQ80/CC80)</f>
        <v>0</v>
      </c>
      <c r="Z80" s="261">
        <f t="shared" ref="Z80:Z82" si="212">SUM(AO80*BR80/CD80)</f>
        <v>0</v>
      </c>
      <c r="AA80" s="261">
        <f t="shared" ref="AA80:AA82" si="213">SUM(AQ80*BS80/CE80)</f>
        <v>0</v>
      </c>
      <c r="AB80" s="65">
        <f t="shared" ref="AB80" si="214">SUM(AS80*BT80/CF80)</f>
        <v>0</v>
      </c>
      <c r="AC80" s="65">
        <f>SUM(AI80*BU80/CA80)</f>
        <v>0</v>
      </c>
      <c r="AD80" s="261">
        <f t="shared" ref="AD80:AD82" si="215">SUM(AK80*BV80/CB80)</f>
        <v>0</v>
      </c>
      <c r="AE80" s="261">
        <f t="shared" ref="AE80:AE82" si="216">SUM(AM80*BW80/CC80)</f>
        <v>0</v>
      </c>
      <c r="AF80" s="261">
        <f t="shared" ref="AF80:AF82" si="217">SUM(AO80*BX80/CD80)</f>
        <v>0</v>
      </c>
      <c r="AG80" s="261">
        <f t="shared" ref="AG80:AG82" si="218">SUM(AQ80*BY80/CE80)</f>
        <v>0</v>
      </c>
      <c r="AH80" s="65">
        <f t="shared" ref="AH80" si="219">SUM(AS80*BZ80/CF80)</f>
        <v>0</v>
      </c>
      <c r="AI80" s="662">
        <f>SUM('3 pr-2'!L81)</f>
        <v>33638</v>
      </c>
      <c r="AJ80" s="904">
        <f t="shared" si="204"/>
        <v>13455.199999999997</v>
      </c>
      <c r="AK80" s="257">
        <f>SUM('3 pr-2'!O81)</f>
        <v>5045.7</v>
      </c>
      <c r="AL80" s="438">
        <f t="shared" si="205"/>
        <v>2018.2799999999997</v>
      </c>
      <c r="AM80" s="257">
        <f>SUM('3 pr-2'!R81)</f>
        <v>0</v>
      </c>
      <c r="AN80" s="438">
        <f t="shared" si="183"/>
        <v>0</v>
      </c>
      <c r="AO80" s="257">
        <f>SUM('3 pr-2'!U81)</f>
        <v>0</v>
      </c>
      <c r="AP80" s="438">
        <f t="shared" si="184"/>
        <v>0</v>
      </c>
      <c r="AQ80" s="257">
        <f>SUM('3 pr-2'!X81)</f>
        <v>0</v>
      </c>
      <c r="AR80" s="257"/>
      <c r="AS80" s="5">
        <f>SUM('3 pr-2'!AA81)</f>
        <v>28592.3</v>
      </c>
      <c r="AT80" s="438">
        <f t="shared" si="206"/>
        <v>11436.919999999998</v>
      </c>
      <c r="AU80" s="19">
        <v>0</v>
      </c>
      <c r="AV80" s="19">
        <v>0</v>
      </c>
      <c r="AW80" s="19">
        <v>0</v>
      </c>
      <c r="AX80" s="257">
        <v>0</v>
      </c>
      <c r="AY80" s="257">
        <v>0</v>
      </c>
      <c r="AZ80" s="257">
        <v>0</v>
      </c>
      <c r="BA80" s="257">
        <v>0</v>
      </c>
      <c r="BB80" s="19">
        <v>0</v>
      </c>
      <c r="BC80" s="19">
        <v>0</v>
      </c>
      <c r="BD80" s="257">
        <v>0</v>
      </c>
      <c r="BE80" s="257">
        <v>0</v>
      </c>
      <c r="BF80" s="257">
        <v>0</v>
      </c>
      <c r="BG80" s="257">
        <v>0</v>
      </c>
      <c r="BH80" s="19">
        <v>0</v>
      </c>
      <c r="BI80" s="19">
        <v>100</v>
      </c>
      <c r="BJ80" s="257">
        <v>100</v>
      </c>
      <c r="BK80" s="257">
        <v>100</v>
      </c>
      <c r="BL80" s="257">
        <v>100</v>
      </c>
      <c r="BM80" s="257">
        <v>100</v>
      </c>
      <c r="BN80" s="19">
        <v>100</v>
      </c>
      <c r="BO80" s="19">
        <v>0</v>
      </c>
      <c r="BP80" s="257">
        <v>0</v>
      </c>
      <c r="BQ80" s="257">
        <v>0</v>
      </c>
      <c r="BR80" s="257">
        <v>0</v>
      </c>
      <c r="BS80" s="257">
        <v>0</v>
      </c>
      <c r="BT80" s="19">
        <v>0</v>
      </c>
      <c r="BU80" s="19">
        <v>0</v>
      </c>
      <c r="BV80" s="257">
        <v>0</v>
      </c>
      <c r="BW80" s="257">
        <v>0</v>
      </c>
      <c r="BX80" s="257">
        <v>0</v>
      </c>
      <c r="BY80" s="257">
        <v>0</v>
      </c>
      <c r="BZ80" s="19">
        <v>0</v>
      </c>
      <c r="CA80" s="20">
        <v>100</v>
      </c>
      <c r="CB80" s="257">
        <v>100</v>
      </c>
      <c r="CC80" s="257">
        <v>100</v>
      </c>
      <c r="CD80" s="257">
        <v>100</v>
      </c>
      <c r="CE80" s="257">
        <v>100</v>
      </c>
      <c r="CF80" s="325">
        <v>100</v>
      </c>
      <c r="CG80" s="891">
        <f>SUM('3 pr-2'!AI81)</f>
        <v>42947</v>
      </c>
      <c r="CH80" s="891">
        <f>SUM('3 pr-2'!AK81)</f>
        <v>43464</v>
      </c>
      <c r="CI80" s="892"/>
      <c r="CJ80" s="927"/>
      <c r="CK80" s="928"/>
      <c r="CL80" s="19"/>
      <c r="CM80" s="19"/>
      <c r="CN80" s="19"/>
      <c r="CO80" s="19"/>
      <c r="CP80" s="19"/>
      <c r="CQ80" s="19"/>
      <c r="CR80" s="19"/>
      <c r="CS80" s="19"/>
    </row>
    <row r="81" spans="1:98" ht="29.25" customHeight="1" thickBot="1">
      <c r="A81" s="8" t="str">
        <f>CONCATENATE('3 pr-2'!A82)</f>
        <v>1.1.2.2.3</v>
      </c>
      <c r="B81" s="8" t="str">
        <f>CONCATENATE('3 pr-2'!D82)</f>
        <v>Intelektinių transporto sistemų diegimas Druskininkuose</v>
      </c>
      <c r="C81" s="65">
        <f>SUM(AI81*AU81/CA81)</f>
        <v>0</v>
      </c>
      <c r="D81" s="65">
        <f t="shared" si="197"/>
        <v>0</v>
      </c>
      <c r="E81" s="65">
        <f>SUM(AI81*AW81/CA81)</f>
        <v>0</v>
      </c>
      <c r="F81" s="257">
        <f t="shared" si="198"/>
        <v>0</v>
      </c>
      <c r="G81" s="257">
        <f t="shared" si="199"/>
        <v>0</v>
      </c>
      <c r="H81" s="257">
        <f t="shared" si="200"/>
        <v>0</v>
      </c>
      <c r="I81" s="257">
        <f t="shared" si="201"/>
        <v>0</v>
      </c>
      <c r="J81" s="65">
        <f t="shared" si="202"/>
        <v>0</v>
      </c>
      <c r="K81" s="65">
        <f t="shared" ref="K81" si="220">SUM(L81:P81)</f>
        <v>0</v>
      </c>
      <c r="L81" s="261">
        <f>SUM('ketv. 7 '!R80)</f>
        <v>0</v>
      </c>
      <c r="M81" s="261">
        <f>SUM('ketv. 7 '!W80)</f>
        <v>0</v>
      </c>
      <c r="N81" s="261">
        <f>SUM('ketv. 7 '!AB80)</f>
        <v>0</v>
      </c>
      <c r="O81" s="261">
        <f>SUM('ketv. 7 '!AG80)</f>
        <v>0</v>
      </c>
      <c r="P81" s="65">
        <f>SUM('ketv. 7 '!AL80)</f>
        <v>0</v>
      </c>
      <c r="Q81" s="65">
        <f>IF(YEAR($CG$81)=2018,($W$2-$CG$81)*$AI$81/($CH$81-$CG$81),0)</f>
        <v>0</v>
      </c>
      <c r="R81" s="257">
        <f>IF(YEAR($CG$81)=2018,($W$2-$CG$81)*$AK$81/($CH$81-$CG$81),0)</f>
        <v>0</v>
      </c>
      <c r="S81" s="257">
        <f>IF(YEAR($CG$81)=2018,($W$2-$CG$81)*$AM$81/($CH$81-$CG$81),0)</f>
        <v>0</v>
      </c>
      <c r="T81" s="257">
        <f>IF(YEAR($CG$81)=2018,($W$2-$CG$81)*$AO$81/($CH$81-$CG$81),0)</f>
        <v>0</v>
      </c>
      <c r="U81" s="257">
        <f>IF(YEAR($CG$81)=2018,($W$2-$CG$81)*$AQ$81/($CH$81-$CG$81),0)</f>
        <v>0</v>
      </c>
      <c r="V81" s="65">
        <f>IF(YEAR($CG$81)=2018,($W$2-$CG$81)*$AT$81/($CH$81-$CG$81),0)</f>
        <v>0</v>
      </c>
      <c r="W81" s="65">
        <f>SUM(X81:AB81)</f>
        <v>72170.107692307676</v>
      </c>
      <c r="X81" s="257">
        <f>SUM(CR81*CJ81)</f>
        <v>10825.517948717947</v>
      </c>
      <c r="Y81" s="257">
        <v>0</v>
      </c>
      <c r="Z81" s="257">
        <v>0</v>
      </c>
      <c r="AA81" s="257">
        <v>0</v>
      </c>
      <c r="AB81" s="65">
        <f>SUM(CM81*CJ81)</f>
        <v>61344.589743589735</v>
      </c>
      <c r="AC81" s="65">
        <f>SUM(AD81:AH81)</f>
        <v>88666.1323076923</v>
      </c>
      <c r="AD81" s="257">
        <f>SUM(CR81*CK81)</f>
        <v>13299.92205128205</v>
      </c>
      <c r="AE81" s="257">
        <v>0</v>
      </c>
      <c r="AF81" s="257">
        <v>0</v>
      </c>
      <c r="AG81" s="257">
        <v>0</v>
      </c>
      <c r="AH81" s="65">
        <f>SUM(CM81*CK81)</f>
        <v>75366.210256410253</v>
      </c>
      <c r="AI81" s="662">
        <f>SUM('3 pr-2'!L82)</f>
        <v>160836.24</v>
      </c>
      <c r="AJ81" s="904">
        <f t="shared" si="204"/>
        <v>160836.24</v>
      </c>
      <c r="AK81" s="257">
        <f>SUM('3 pr-2'!O82)</f>
        <v>24125.439999999999</v>
      </c>
      <c r="AL81" s="438">
        <f t="shared" si="205"/>
        <v>24125.439999999999</v>
      </c>
      <c r="AM81" s="257">
        <f>SUM('3 pr-2'!R82)</f>
        <v>0</v>
      </c>
      <c r="AN81" s="438">
        <f t="shared" si="183"/>
        <v>0</v>
      </c>
      <c r="AO81" s="257">
        <f>SUM('3 pr-2'!U82)</f>
        <v>0</v>
      </c>
      <c r="AP81" s="438">
        <f t="shared" si="184"/>
        <v>0</v>
      </c>
      <c r="AQ81" s="257">
        <f>SUM('3 pr-2'!X82)</f>
        <v>0</v>
      </c>
      <c r="AR81" s="257"/>
      <c r="AS81" s="5">
        <f>SUM('3 pr-2'!AA82)</f>
        <v>136710.79999999999</v>
      </c>
      <c r="AT81" s="438">
        <f t="shared" si="206"/>
        <v>136710.79999999999</v>
      </c>
      <c r="AU81" s="19">
        <v>0</v>
      </c>
      <c r="AV81" s="19">
        <v>0</v>
      </c>
      <c r="AW81" s="19">
        <v>0</v>
      </c>
      <c r="AX81" s="257">
        <v>0</v>
      </c>
      <c r="AY81" s="257">
        <v>0</v>
      </c>
      <c r="AZ81" s="257">
        <v>0</v>
      </c>
      <c r="BA81" s="257">
        <v>0</v>
      </c>
      <c r="BB81" s="19">
        <v>0</v>
      </c>
      <c r="BC81" s="19">
        <v>0</v>
      </c>
      <c r="BD81" s="257">
        <v>0</v>
      </c>
      <c r="BE81" s="257">
        <v>0</v>
      </c>
      <c r="BF81" s="257">
        <v>0</v>
      </c>
      <c r="BG81" s="257">
        <v>0</v>
      </c>
      <c r="BH81" s="19">
        <v>0</v>
      </c>
      <c r="BI81" s="19">
        <v>20</v>
      </c>
      <c r="BJ81" s="257">
        <v>20</v>
      </c>
      <c r="BK81" s="257">
        <v>20</v>
      </c>
      <c r="BL81" s="257">
        <v>20</v>
      </c>
      <c r="BM81" s="257">
        <v>20</v>
      </c>
      <c r="BN81" s="19">
        <v>20</v>
      </c>
      <c r="BO81" s="19">
        <v>50</v>
      </c>
      <c r="BP81" s="257">
        <v>50</v>
      </c>
      <c r="BQ81" s="257">
        <v>50</v>
      </c>
      <c r="BR81" s="257">
        <v>50</v>
      </c>
      <c r="BS81" s="257">
        <v>50</v>
      </c>
      <c r="BT81" s="19">
        <v>50</v>
      </c>
      <c r="BU81" s="19">
        <v>30</v>
      </c>
      <c r="BV81" s="257">
        <v>30</v>
      </c>
      <c r="BW81" s="257">
        <v>30</v>
      </c>
      <c r="BX81" s="257">
        <v>30</v>
      </c>
      <c r="BY81" s="257">
        <v>30</v>
      </c>
      <c r="BZ81" s="19">
        <v>30</v>
      </c>
      <c r="CA81" s="20">
        <v>100</v>
      </c>
      <c r="CB81" s="257">
        <v>100</v>
      </c>
      <c r="CC81" s="257">
        <v>100</v>
      </c>
      <c r="CD81" s="257">
        <v>100</v>
      </c>
      <c r="CE81" s="257">
        <v>100</v>
      </c>
      <c r="CF81" s="325">
        <v>100</v>
      </c>
      <c r="CG81" s="891">
        <f>SUM('3 pr-2'!AI82)</f>
        <v>43691</v>
      </c>
      <c r="CH81" s="891">
        <f>SUM('3 pr-2'!AK82)</f>
        <v>44003</v>
      </c>
      <c r="CI81" s="892">
        <f>SUM(CH81-CG81)</f>
        <v>312</v>
      </c>
      <c r="CJ81" s="927">
        <f>SUM($AC$2-CG81)</f>
        <v>140</v>
      </c>
      <c r="CK81" s="928">
        <f>SUM(CH81-$AC$2)</f>
        <v>172</v>
      </c>
      <c r="CL81" s="892">
        <f>SUM(CJ81:CK81)</f>
        <v>312</v>
      </c>
      <c r="CM81" s="19">
        <f>SUM(AS81/CL81)</f>
        <v>438.17564102564097</v>
      </c>
      <c r="CN81" s="19"/>
      <c r="CO81" s="19"/>
      <c r="CP81" s="19"/>
      <c r="CQ81" s="19"/>
      <c r="CR81" s="19">
        <f>SUM(AK81/CL81)</f>
        <v>77.325128205128195</v>
      </c>
      <c r="CS81" s="19"/>
    </row>
    <row r="82" spans="1:98" ht="29.25" customHeight="1" thickBot="1">
      <c r="A82" s="8" t="str">
        <f>CONCATENATE('3 pr-2'!A83)</f>
        <v>1.1.2.2.4</v>
      </c>
      <c r="B82" s="8" t="str">
        <f>CONCATENATE('3 pr-2'!D83)</f>
        <v>Darnaus judumo plano Druskininkuose parengimas</v>
      </c>
      <c r="C82" s="65">
        <f>SUM(AI82*AU82/CA82)</f>
        <v>0</v>
      </c>
      <c r="D82" s="65">
        <f t="shared" ref="D82" si="221">SUM(AS82*AV82/CF82)</f>
        <v>0</v>
      </c>
      <c r="E82" s="65">
        <f>SUM(AI82*AW82/CA82)</f>
        <v>0</v>
      </c>
      <c r="F82" s="257">
        <f t="shared" si="198"/>
        <v>0</v>
      </c>
      <c r="G82" s="257">
        <f t="shared" si="199"/>
        <v>0</v>
      </c>
      <c r="H82" s="257">
        <f t="shared" si="200"/>
        <v>0</v>
      </c>
      <c r="I82" s="257">
        <f t="shared" si="201"/>
        <v>0</v>
      </c>
      <c r="J82" s="65">
        <f t="shared" ref="J82" si="222">SUM(AS82*BB82/CF82)</f>
        <v>0</v>
      </c>
      <c r="K82" s="65">
        <f>SUM('ketv. 7 '!M81)</f>
        <v>17000</v>
      </c>
      <c r="L82" s="261">
        <f>SUM('ketv. 7 '!S81)</f>
        <v>2550</v>
      </c>
      <c r="M82" s="261">
        <f>SUM('ketv. 7 '!W81)</f>
        <v>0</v>
      </c>
      <c r="N82" s="261">
        <f>SUM('ketv. 7 '!AB81)</f>
        <v>0</v>
      </c>
      <c r="O82" s="261">
        <f>SUM('ketv. 7 '!AG81)</f>
        <v>0</v>
      </c>
      <c r="P82" s="65">
        <f>SUM('ketv. 7 '!AM81)</f>
        <v>14450</v>
      </c>
      <c r="Q82" s="65">
        <f>SUM(AI82*BI82/CA82)</f>
        <v>0</v>
      </c>
      <c r="R82" s="261">
        <f>SUM(AK82*BJ82/CB82)</f>
        <v>0</v>
      </c>
      <c r="S82" s="261">
        <f t="shared" si="207"/>
        <v>0</v>
      </c>
      <c r="T82" s="261">
        <f t="shared" si="208"/>
        <v>0</v>
      </c>
      <c r="U82" s="261">
        <f t="shared" si="209"/>
        <v>0</v>
      </c>
      <c r="V82" s="65">
        <f t="shared" ref="V82" si="223">SUM(AS82*BN82/CF82)</f>
        <v>0</v>
      </c>
      <c r="W82" s="65">
        <f>SUM(AI82*BO82/CA82)</f>
        <v>0</v>
      </c>
      <c r="X82" s="261">
        <f t="shared" si="210"/>
        <v>0</v>
      </c>
      <c r="Y82" s="261">
        <f t="shared" si="211"/>
        <v>0</v>
      </c>
      <c r="Z82" s="261">
        <f t="shared" si="212"/>
        <v>0</v>
      </c>
      <c r="AA82" s="261">
        <f t="shared" si="213"/>
        <v>0</v>
      </c>
      <c r="AB82" s="65">
        <f t="shared" ref="AB82" si="224">SUM(AS82*BT82/CF82)</f>
        <v>0</v>
      </c>
      <c r="AC82" s="65">
        <f>SUM(AI82*BU82/CA82)</f>
        <v>0</v>
      </c>
      <c r="AD82" s="261">
        <f t="shared" si="215"/>
        <v>0</v>
      </c>
      <c r="AE82" s="261">
        <f t="shared" si="216"/>
        <v>0</v>
      </c>
      <c r="AF82" s="261">
        <f t="shared" si="217"/>
        <v>0</v>
      </c>
      <c r="AG82" s="261">
        <f t="shared" si="218"/>
        <v>0</v>
      </c>
      <c r="AH82" s="65">
        <f t="shared" ref="AH82" si="225">SUM(AS82*BZ82/CF82)</f>
        <v>0</v>
      </c>
      <c r="AI82" s="662">
        <f>SUM('3 pr-2'!L83)</f>
        <v>17000</v>
      </c>
      <c r="AJ82" s="904">
        <f t="shared" si="204"/>
        <v>0</v>
      </c>
      <c r="AK82" s="257">
        <f>SUM('3 pr-2'!O83)</f>
        <v>2550</v>
      </c>
      <c r="AL82" s="438">
        <f t="shared" si="205"/>
        <v>0</v>
      </c>
      <c r="AM82" s="257">
        <f>SUM('3 pr-2'!R83)</f>
        <v>0</v>
      </c>
      <c r="AN82" s="438">
        <f t="shared" si="183"/>
        <v>0</v>
      </c>
      <c r="AO82" s="257">
        <f>SUM('3 pr-2'!U83)</f>
        <v>0</v>
      </c>
      <c r="AP82" s="438">
        <f t="shared" si="184"/>
        <v>0</v>
      </c>
      <c r="AQ82" s="257">
        <f>SUM('3 pr-2'!X83)</f>
        <v>0</v>
      </c>
      <c r="AR82" s="257"/>
      <c r="AS82" s="5">
        <f>SUM('3 pr-2'!AA83)</f>
        <v>14450</v>
      </c>
      <c r="AT82" s="438">
        <f t="shared" si="206"/>
        <v>0</v>
      </c>
      <c r="AU82" s="19">
        <v>0</v>
      </c>
      <c r="AV82" s="19">
        <v>0</v>
      </c>
      <c r="AW82" s="19">
        <v>0</v>
      </c>
      <c r="AX82" s="257">
        <v>0</v>
      </c>
      <c r="AY82" s="257">
        <v>0</v>
      </c>
      <c r="AZ82" s="257">
        <v>0</v>
      </c>
      <c r="BA82" s="257">
        <v>0</v>
      </c>
      <c r="BB82" s="19">
        <v>0</v>
      </c>
      <c r="BC82" s="19">
        <v>100</v>
      </c>
      <c r="BD82" s="257">
        <v>100</v>
      </c>
      <c r="BE82" s="257">
        <v>100</v>
      </c>
      <c r="BF82" s="257">
        <v>100</v>
      </c>
      <c r="BG82" s="257">
        <v>100</v>
      </c>
      <c r="BH82" s="19">
        <v>100</v>
      </c>
      <c r="BI82" s="19">
        <v>0</v>
      </c>
      <c r="BJ82" s="257">
        <v>0</v>
      </c>
      <c r="BK82" s="257">
        <v>0</v>
      </c>
      <c r="BL82" s="257">
        <v>0</v>
      </c>
      <c r="BM82" s="257">
        <v>0</v>
      </c>
      <c r="BN82" s="19">
        <v>0</v>
      </c>
      <c r="BO82" s="19">
        <v>0</v>
      </c>
      <c r="BP82" s="257">
        <v>0</v>
      </c>
      <c r="BQ82" s="257">
        <v>0</v>
      </c>
      <c r="BR82" s="257">
        <v>0</v>
      </c>
      <c r="BS82" s="257">
        <v>0</v>
      </c>
      <c r="BT82" s="19">
        <v>0</v>
      </c>
      <c r="BU82" s="19">
        <v>0</v>
      </c>
      <c r="BV82" s="257">
        <v>0</v>
      </c>
      <c r="BW82" s="257">
        <v>0</v>
      </c>
      <c r="BX82" s="257">
        <v>0</v>
      </c>
      <c r="BY82" s="257">
        <v>0</v>
      </c>
      <c r="BZ82" s="19">
        <v>0</v>
      </c>
      <c r="CA82" s="20">
        <v>100</v>
      </c>
      <c r="CB82" s="257">
        <v>100</v>
      </c>
      <c r="CC82" s="257">
        <v>100</v>
      </c>
      <c r="CD82" s="257">
        <v>100</v>
      </c>
      <c r="CE82" s="257">
        <v>100</v>
      </c>
      <c r="CF82" s="325">
        <v>100</v>
      </c>
      <c r="CG82" s="891">
        <f>SUM('3 pr-2'!AI83)</f>
        <v>42825</v>
      </c>
      <c r="CH82" s="891">
        <f>SUM('3 pr-2'!AK83)</f>
        <v>43100</v>
      </c>
      <c r="CI82" s="892"/>
      <c r="CJ82" s="927"/>
      <c r="CK82" s="928"/>
      <c r="CL82" s="19"/>
      <c r="CM82" s="19"/>
      <c r="CN82" s="19"/>
      <c r="CO82" s="19"/>
      <c r="CP82" s="19"/>
      <c r="CQ82" s="19"/>
      <c r="CR82" s="19"/>
      <c r="CS82" s="19"/>
    </row>
    <row r="83" spans="1:98" ht="29.25" customHeight="1" thickBot="1">
      <c r="A83" s="8" t="str">
        <f>CONCATENATE('3 pr-2'!A84)</f>
        <v>1.1.2.2.5</v>
      </c>
      <c r="B83" s="8" t="str">
        <f>CONCATENATE('3 pr-2'!D84)</f>
        <v>Viešojo transporto organizavimo tobulinimas rekonstruojant Druskininkų miesto gatvių infrastruktūrą</v>
      </c>
      <c r="C83" s="65">
        <v>0</v>
      </c>
      <c r="D83" s="65">
        <v>0</v>
      </c>
      <c r="E83" s="65">
        <v>0</v>
      </c>
      <c r="F83" s="257">
        <v>0</v>
      </c>
      <c r="G83" s="257">
        <v>0</v>
      </c>
      <c r="H83" s="257">
        <v>0</v>
      </c>
      <c r="I83" s="257">
        <v>0</v>
      </c>
      <c r="J83" s="65">
        <v>0</v>
      </c>
      <c r="K83" s="65">
        <v>0</v>
      </c>
      <c r="L83" s="261">
        <v>0</v>
      </c>
      <c r="M83" s="261">
        <v>0</v>
      </c>
      <c r="N83" s="261">
        <v>0</v>
      </c>
      <c r="O83" s="261">
        <v>0</v>
      </c>
      <c r="P83" s="65">
        <v>0</v>
      </c>
      <c r="Q83" s="65">
        <v>0</v>
      </c>
      <c r="R83" s="261">
        <v>0</v>
      </c>
      <c r="S83" s="261">
        <v>0</v>
      </c>
      <c r="T83" s="261">
        <v>0</v>
      </c>
      <c r="U83" s="261">
        <v>0</v>
      </c>
      <c r="V83" s="65">
        <v>0</v>
      </c>
      <c r="W83" s="65">
        <f>SUM(CJ83*CL83)</f>
        <v>113993.71069182389</v>
      </c>
      <c r="X83" s="261">
        <f>SUM(W83-AB83)</f>
        <v>17099.05660377357</v>
      </c>
      <c r="Y83" s="261">
        <f>SUM(AM83)</f>
        <v>0</v>
      </c>
      <c r="Z83" s="261">
        <f>SUM(AO83)</f>
        <v>0</v>
      </c>
      <c r="AA83" s="261">
        <f>SUM(AQ83)</f>
        <v>0</v>
      </c>
      <c r="AB83" s="65">
        <f>SUM(CJ83*CM83)</f>
        <v>96894.654088050316</v>
      </c>
      <c r="AC83" s="65">
        <f>SUM(CK83*CL83)</f>
        <v>176006.28930817608</v>
      </c>
      <c r="AD83" s="261">
        <f>SUM(AC83-AH83)</f>
        <v>26400.943396226387</v>
      </c>
      <c r="AE83" s="261">
        <v>0</v>
      </c>
      <c r="AF83" s="261">
        <v>0</v>
      </c>
      <c r="AG83" s="261">
        <v>0</v>
      </c>
      <c r="AH83" s="65">
        <f>SUM(CK83*CM83)</f>
        <v>149605.3459119497</v>
      </c>
      <c r="AI83" s="662">
        <f>SUM('3 pr-2'!L84)</f>
        <v>290000</v>
      </c>
      <c r="AJ83" s="904"/>
      <c r="AK83" s="257">
        <f>SUM('3 pr-2'!O84)</f>
        <v>43500</v>
      </c>
      <c r="AL83" s="438"/>
      <c r="AM83" s="257">
        <f>SUM('3 pr-2'!R84)</f>
        <v>0</v>
      </c>
      <c r="AN83" s="438"/>
      <c r="AO83" s="257">
        <f>SUM('3 pr-2'!U84)</f>
        <v>0</v>
      </c>
      <c r="AP83" s="438"/>
      <c r="AQ83" s="257">
        <f>SUM('3 pr-2'!X84)</f>
        <v>0</v>
      </c>
      <c r="AR83" s="257"/>
      <c r="AS83" s="5">
        <f>SUM('3 pr-2'!AA84)</f>
        <v>246500</v>
      </c>
      <c r="AT83" s="823"/>
      <c r="AU83" s="929"/>
      <c r="AV83" s="19"/>
      <c r="AW83" s="19"/>
      <c r="AX83" s="257"/>
      <c r="AY83" s="257"/>
      <c r="AZ83" s="257"/>
      <c r="BA83" s="257"/>
      <c r="BB83" s="19"/>
      <c r="BC83" s="19"/>
      <c r="BD83" s="257"/>
      <c r="BE83" s="257"/>
      <c r="BF83" s="257"/>
      <c r="BG83" s="257"/>
      <c r="BH83" s="19"/>
      <c r="BI83" s="19"/>
      <c r="BJ83" s="257"/>
      <c r="BK83" s="257"/>
      <c r="BL83" s="257"/>
      <c r="BM83" s="257"/>
      <c r="BN83" s="19"/>
      <c r="BO83" s="19"/>
      <c r="BP83" s="257"/>
      <c r="BQ83" s="257"/>
      <c r="BR83" s="257"/>
      <c r="BS83" s="257"/>
      <c r="BT83" s="19"/>
      <c r="BU83" s="19"/>
      <c r="BV83" s="257"/>
      <c r="BW83" s="257"/>
      <c r="BX83" s="257"/>
      <c r="BY83" s="257"/>
      <c r="BZ83" s="19"/>
      <c r="CA83" s="20"/>
      <c r="CB83" s="257"/>
      <c r="CC83" s="257"/>
      <c r="CD83" s="257"/>
      <c r="CE83" s="257"/>
      <c r="CF83" s="325"/>
      <c r="CG83" s="891">
        <f>SUM('3 pr-2'!AI84)</f>
        <v>43706</v>
      </c>
      <c r="CH83" s="891">
        <f>SUM('3 pr-2'!AK84)</f>
        <v>44003</v>
      </c>
      <c r="CI83" s="892">
        <f>SUM(CJ83+CK83)</f>
        <v>318</v>
      </c>
      <c r="CJ83" s="927">
        <f>SUM(AC2-CG83)</f>
        <v>125</v>
      </c>
      <c r="CK83" s="928">
        <f>SUM(AC3-CH83)</f>
        <v>193</v>
      </c>
      <c r="CL83" s="19">
        <f>SUM(AI83/CI83)</f>
        <v>911.94968553459114</v>
      </c>
      <c r="CM83" s="19">
        <f>SUM(AS83/CI83)</f>
        <v>775.15723270440253</v>
      </c>
      <c r="CN83" s="19"/>
      <c r="CO83" s="19"/>
      <c r="CP83" s="19"/>
      <c r="CQ83" s="19"/>
      <c r="CR83" s="892">
        <f>SUM(W83+AC83)</f>
        <v>290000</v>
      </c>
      <c r="CS83" s="892">
        <f>SUM(AH83+AB83)</f>
        <v>246500</v>
      </c>
    </row>
    <row r="84" spans="1:98" ht="29.25" customHeight="1" thickBot="1">
      <c r="A84" s="8" t="str">
        <f>CONCATENATE('3 pr-2'!A85)</f>
        <v>1.1.2.2.6</v>
      </c>
      <c r="B84" s="8" t="str">
        <f>CONCATENATE('3 pr-2'!D85)</f>
        <v>Vandens transporto infrastruktūros įrengimas skatinant kitų rūšių transportą</v>
      </c>
      <c r="C84" s="65">
        <v>0</v>
      </c>
      <c r="D84" s="65">
        <v>0</v>
      </c>
      <c r="E84" s="65">
        <v>0</v>
      </c>
      <c r="F84" s="257">
        <v>0</v>
      </c>
      <c r="G84" s="257">
        <v>0</v>
      </c>
      <c r="H84" s="257">
        <v>0</v>
      </c>
      <c r="I84" s="257">
        <v>0</v>
      </c>
      <c r="J84" s="65">
        <v>0</v>
      </c>
      <c r="K84" s="65">
        <v>0</v>
      </c>
      <c r="L84" s="261">
        <v>0</v>
      </c>
      <c r="M84" s="261">
        <v>0</v>
      </c>
      <c r="N84" s="261">
        <v>0</v>
      </c>
      <c r="O84" s="261">
        <v>0</v>
      </c>
      <c r="P84" s="65">
        <v>0</v>
      </c>
      <c r="Q84" s="65">
        <v>0</v>
      </c>
      <c r="R84" s="261">
        <v>0</v>
      </c>
      <c r="S84" s="261">
        <v>0</v>
      </c>
      <c r="T84" s="261">
        <v>0</v>
      </c>
      <c r="U84" s="261">
        <v>0</v>
      </c>
      <c r="V84" s="65">
        <v>0</v>
      </c>
      <c r="W84" s="65">
        <v>0</v>
      </c>
      <c r="X84" s="261">
        <v>0</v>
      </c>
      <c r="Y84" s="261">
        <v>0</v>
      </c>
      <c r="Z84" s="261">
        <v>0</v>
      </c>
      <c r="AA84" s="261">
        <v>0</v>
      </c>
      <c r="AB84" s="65">
        <v>0</v>
      </c>
      <c r="AC84" s="65">
        <f>SUM(AI84)</f>
        <v>250000</v>
      </c>
      <c r="AD84" s="261">
        <f>SUM(AK84)</f>
        <v>37500</v>
      </c>
      <c r="AE84" s="261">
        <f>SUM(AM84)</f>
        <v>0</v>
      </c>
      <c r="AF84" s="261">
        <f>SUM(AO84)</f>
        <v>0</v>
      </c>
      <c r="AG84" s="261">
        <f>SUM(AQ84)</f>
        <v>0</v>
      </c>
      <c r="AH84" s="65">
        <f>SUM(AS84)</f>
        <v>212500</v>
      </c>
      <c r="AI84" s="662">
        <f>SUM('3 pr-2'!L85)</f>
        <v>250000</v>
      </c>
      <c r="AJ84" s="904"/>
      <c r="AK84" s="257">
        <f>SUM('3 pr-2'!O85)</f>
        <v>37500</v>
      </c>
      <c r="AL84" s="438"/>
      <c r="AM84" s="257">
        <f>SUM('3 pr-2'!R85)</f>
        <v>0</v>
      </c>
      <c r="AN84" s="438"/>
      <c r="AO84" s="257">
        <f>SUM('3 pr-2'!U85)</f>
        <v>0</v>
      </c>
      <c r="AP84" s="438"/>
      <c r="AQ84" s="257">
        <f>SUM('3 pr-2'!X85)</f>
        <v>0</v>
      </c>
      <c r="AR84" s="257"/>
      <c r="AS84" s="5">
        <f>SUM('3 pr-2'!AA85)</f>
        <v>212500</v>
      </c>
      <c r="AT84" s="823"/>
      <c r="AU84" s="929"/>
      <c r="AV84" s="19"/>
      <c r="AW84" s="19"/>
      <c r="AX84" s="257"/>
      <c r="AY84" s="257"/>
      <c r="AZ84" s="257"/>
      <c r="BA84" s="257"/>
      <c r="BB84" s="19"/>
      <c r="BC84" s="19"/>
      <c r="BD84" s="257"/>
      <c r="BE84" s="257"/>
      <c r="BF84" s="257"/>
      <c r="BG84" s="257"/>
      <c r="BH84" s="19"/>
      <c r="BI84" s="19"/>
      <c r="BJ84" s="257"/>
      <c r="BK84" s="257"/>
      <c r="BL84" s="257"/>
      <c r="BM84" s="257"/>
      <c r="BN84" s="19"/>
      <c r="BO84" s="19"/>
      <c r="BP84" s="257"/>
      <c r="BQ84" s="257"/>
      <c r="BR84" s="257"/>
      <c r="BS84" s="257"/>
      <c r="BT84" s="19"/>
      <c r="BU84" s="19"/>
      <c r="BV84" s="257"/>
      <c r="BW84" s="257"/>
      <c r="BX84" s="257"/>
      <c r="BY84" s="257"/>
      <c r="BZ84" s="19"/>
      <c r="CA84" s="20"/>
      <c r="CB84" s="257"/>
      <c r="CC84" s="257"/>
      <c r="CD84" s="257"/>
      <c r="CE84" s="257"/>
      <c r="CF84" s="325"/>
      <c r="CG84" s="891">
        <f>SUM('3 pr-2'!AI85)</f>
        <v>43797</v>
      </c>
      <c r="CH84" s="891">
        <f>SUM('3 pr-2'!AK85)</f>
        <v>44501</v>
      </c>
      <c r="CI84" s="892"/>
      <c r="CJ84" s="927"/>
      <c r="CK84" s="928"/>
      <c r="CL84" s="19"/>
      <c r="CM84" s="19"/>
      <c r="CN84" s="19"/>
      <c r="CO84" s="19"/>
      <c r="CP84" s="19"/>
      <c r="CQ84" s="19"/>
      <c r="CR84" s="19"/>
      <c r="CS84" s="19"/>
    </row>
    <row r="85" spans="1:98" ht="39.75" thickBot="1">
      <c r="A85" s="253" t="str">
        <f>CONCATENATE('3 pr-2'!A86)</f>
        <v>1.1.2.3</v>
      </c>
      <c r="B85" s="103" t="str">
        <f>CONCATENATE('3 pr-2'!B86)</f>
        <v>Priemonė:
Pėsčiųjų ir dviračių takų rekonstrukcija ir plėtra</v>
      </c>
      <c r="C85" s="923">
        <f>SUM(C86:C90)</f>
        <v>0</v>
      </c>
      <c r="D85" s="923">
        <f>SUM(D86:D90)</f>
        <v>0</v>
      </c>
      <c r="E85" s="923">
        <f>SUM(E86:E90)</f>
        <v>0</v>
      </c>
      <c r="F85" s="923"/>
      <c r="G85" s="923"/>
      <c r="H85" s="923"/>
      <c r="I85" s="923"/>
      <c r="J85" s="923">
        <f t="shared" ref="J85:U85" si="226">SUM(J86:J90)</f>
        <v>0</v>
      </c>
      <c r="K85" s="923">
        <f t="shared" si="226"/>
        <v>48895.060000000005</v>
      </c>
      <c r="L85" s="923">
        <f t="shared" si="226"/>
        <v>7334.26</v>
      </c>
      <c r="M85" s="923">
        <f t="shared" si="226"/>
        <v>0</v>
      </c>
      <c r="N85" s="923">
        <f t="shared" si="226"/>
        <v>0</v>
      </c>
      <c r="O85" s="923">
        <f t="shared" si="226"/>
        <v>0</v>
      </c>
      <c r="P85" s="923">
        <f t="shared" si="226"/>
        <v>41560.800000000003</v>
      </c>
      <c r="Q85" s="923">
        <f t="shared" si="226"/>
        <v>202492.85078468983</v>
      </c>
      <c r="R85" s="923">
        <f t="shared" si="226"/>
        <v>33547.282861888394</v>
      </c>
      <c r="S85" s="923">
        <f t="shared" si="226"/>
        <v>0</v>
      </c>
      <c r="T85" s="923">
        <f t="shared" si="226"/>
        <v>0</v>
      </c>
      <c r="U85" s="923">
        <f t="shared" si="226"/>
        <v>0</v>
      </c>
      <c r="V85" s="923">
        <f>SUM(V86:V90)</f>
        <v>168945.56792280148</v>
      </c>
      <c r="W85" s="923">
        <f>SUM(W86:W90)</f>
        <v>188843.77436140284</v>
      </c>
      <c r="X85" s="923"/>
      <c r="Y85" s="923"/>
      <c r="Z85" s="923"/>
      <c r="AA85" s="923"/>
      <c r="AB85" s="923">
        <f>SUM(AB86:AB90)</f>
        <v>155127.22192771346</v>
      </c>
      <c r="AC85" s="923">
        <f>SUM(AC86:AC90)</f>
        <v>60721.364853907296</v>
      </c>
      <c r="AD85" s="923"/>
      <c r="AE85" s="923"/>
      <c r="AF85" s="923"/>
      <c r="AG85" s="923"/>
      <c r="AH85" s="923">
        <f>SUM(AH86:AH90)</f>
        <v>50027.100149485079</v>
      </c>
      <c r="AI85" s="925">
        <f>SUM(AI86:AI90)</f>
        <v>500953.05</v>
      </c>
      <c r="AJ85" s="923"/>
      <c r="AK85" s="923"/>
      <c r="AL85" s="923"/>
      <c r="AM85" s="923"/>
      <c r="AN85" s="923"/>
      <c r="AO85" s="923"/>
      <c r="AP85" s="923"/>
      <c r="AQ85" s="923"/>
      <c r="AR85" s="923"/>
      <c r="AS85" s="923">
        <f>SUM(AS86:AS90)</f>
        <v>415660.69</v>
      </c>
      <c r="AT85" s="930"/>
      <c r="AU85" s="19">
        <v>0</v>
      </c>
      <c r="AV85" s="19">
        <v>0</v>
      </c>
      <c r="AW85" s="19">
        <v>10</v>
      </c>
      <c r="AX85" s="923">
        <v>10</v>
      </c>
      <c r="AY85" s="923">
        <v>10</v>
      </c>
      <c r="AZ85" s="923">
        <v>10</v>
      </c>
      <c r="BA85" s="923">
        <v>10</v>
      </c>
      <c r="BB85" s="19">
        <v>10</v>
      </c>
      <c r="BC85" s="19">
        <v>25</v>
      </c>
      <c r="BD85" s="923">
        <v>25</v>
      </c>
      <c r="BE85" s="923">
        <v>25</v>
      </c>
      <c r="BF85" s="923">
        <v>25</v>
      </c>
      <c r="BG85" s="923">
        <v>25</v>
      </c>
      <c r="BH85" s="19">
        <v>25</v>
      </c>
      <c r="BI85" s="19">
        <v>30</v>
      </c>
      <c r="BJ85" s="923">
        <v>30</v>
      </c>
      <c r="BK85" s="923">
        <v>30</v>
      </c>
      <c r="BL85" s="923">
        <v>30</v>
      </c>
      <c r="BM85" s="923">
        <v>30</v>
      </c>
      <c r="BN85" s="19">
        <v>30</v>
      </c>
      <c r="BO85" s="19">
        <v>20</v>
      </c>
      <c r="BP85" s="923">
        <v>20</v>
      </c>
      <c r="BQ85" s="923">
        <v>20</v>
      </c>
      <c r="BR85" s="923">
        <v>20</v>
      </c>
      <c r="BS85" s="923">
        <v>20</v>
      </c>
      <c r="BT85" s="19">
        <v>20</v>
      </c>
      <c r="BU85" s="19">
        <v>15</v>
      </c>
      <c r="BV85" s="923">
        <v>15</v>
      </c>
      <c r="BW85" s="923">
        <v>15</v>
      </c>
      <c r="BX85" s="923">
        <v>15</v>
      </c>
      <c r="BY85" s="923">
        <v>15</v>
      </c>
      <c r="BZ85" s="19">
        <v>15</v>
      </c>
      <c r="CA85" s="20">
        <v>100</v>
      </c>
      <c r="CB85" s="923">
        <v>100</v>
      </c>
      <c r="CC85" s="923">
        <v>100</v>
      </c>
      <c r="CD85" s="923">
        <v>100</v>
      </c>
      <c r="CE85" s="923">
        <v>100</v>
      </c>
      <c r="CF85" s="325">
        <v>100</v>
      </c>
      <c r="CG85" s="19"/>
      <c r="CH85" s="19"/>
      <c r="CQ85" s="21">
        <v>2018</v>
      </c>
      <c r="CR85" s="21">
        <v>2019</v>
      </c>
      <c r="CS85" s="21">
        <v>2020</v>
      </c>
    </row>
    <row r="86" spans="1:98" ht="36.75" thickBot="1">
      <c r="A86" s="8" t="str">
        <f>CONCATENATE('3 pr-2'!A87)</f>
        <v>1.1.2.3.1</v>
      </c>
      <c r="B86" s="8" t="str">
        <f>CONCATENATE('3 pr-2'!D87)</f>
        <v>Dviračių ir pėsčiųjų takų įrengimas Varėnos miesto J. Basanavičiaus ir Žiedo gatvėse</v>
      </c>
      <c r="C86" s="65">
        <v>0</v>
      </c>
      <c r="D86" s="65">
        <v>0</v>
      </c>
      <c r="E86" s="65">
        <v>0</v>
      </c>
      <c r="F86" s="257">
        <v>0</v>
      </c>
      <c r="G86" s="257">
        <v>0</v>
      </c>
      <c r="H86" s="257">
        <v>0</v>
      </c>
      <c r="I86" s="257">
        <v>0</v>
      </c>
      <c r="J86" s="65">
        <v>0</v>
      </c>
      <c r="K86" s="326">
        <f>SUM('ketv. 7 '!M85)</f>
        <v>0</v>
      </c>
      <c r="L86" s="261">
        <f>SUM('ketv. 7 '!S85)</f>
        <v>0</v>
      </c>
      <c r="M86" s="261">
        <v>0</v>
      </c>
      <c r="N86" s="261">
        <v>0</v>
      </c>
      <c r="O86" s="261">
        <v>0</v>
      </c>
      <c r="P86" s="65">
        <f>SUM('ketv. 7 '!AM85)</f>
        <v>0</v>
      </c>
      <c r="Q86" s="65">
        <f>SUM(CL86*CQ86)</f>
        <v>30844.381997804612</v>
      </c>
      <c r="R86" s="261">
        <f>SUM(CM86*CQ86)</f>
        <v>4626.6871569703626</v>
      </c>
      <c r="S86" s="261">
        <v>0</v>
      </c>
      <c r="T86" s="261">
        <v>0</v>
      </c>
      <c r="U86" s="261">
        <v>0</v>
      </c>
      <c r="V86" s="65">
        <f>SUM(CO86*CQ86)</f>
        <v>26217.69484083425</v>
      </c>
      <c r="W86" s="65">
        <f>SUM(CL86*CR86)</f>
        <v>41390.439077936331</v>
      </c>
      <c r="X86" s="261">
        <f>SUM(CM86*CR86)</f>
        <v>6208.6059275521402</v>
      </c>
      <c r="Y86" s="261">
        <v>0</v>
      </c>
      <c r="Z86" s="261">
        <v>0</v>
      </c>
      <c r="AA86" s="261">
        <v>0</v>
      </c>
      <c r="AB86" s="65">
        <f>SUM(CO86*CR86)</f>
        <v>35181.833150384198</v>
      </c>
      <c r="AC86" s="65">
        <f>SUM(CL86*CS86)</f>
        <v>31071.178924259057</v>
      </c>
      <c r="AD86" s="261">
        <f>SUM(CM86*CS86)</f>
        <v>4660.7069154774972</v>
      </c>
      <c r="AE86" s="261">
        <v>0</v>
      </c>
      <c r="AF86" s="261">
        <v>0</v>
      </c>
      <c r="AG86" s="261">
        <v>0</v>
      </c>
      <c r="AH86" s="65">
        <f>SUM(CO86*CS86)</f>
        <v>26410.472008781559</v>
      </c>
      <c r="AI86" s="903">
        <f>SUM('3 pr-2'!L87)</f>
        <v>103306</v>
      </c>
      <c r="AJ86" s="904">
        <f t="shared" ref="AJ86:AJ98" si="227">SUM(AI86-K86)</f>
        <v>103306</v>
      </c>
      <c r="AK86" s="257">
        <f>SUM('3 pr-2'!O87)</f>
        <v>15496</v>
      </c>
      <c r="AL86" s="438">
        <f t="shared" si="205"/>
        <v>15496</v>
      </c>
      <c r="AM86" s="257">
        <f>SUM('3 pr-2'!R87)</f>
        <v>0</v>
      </c>
      <c r="AN86" s="438">
        <f t="shared" si="183"/>
        <v>0</v>
      </c>
      <c r="AO86" s="257">
        <f>SUM('3 pr-2'!U87)</f>
        <v>0</v>
      </c>
      <c r="AP86" s="438">
        <f t="shared" si="184"/>
        <v>0</v>
      </c>
      <c r="AQ86" s="257">
        <f>SUM('3 pr-2'!X87)</f>
        <v>0</v>
      </c>
      <c r="AR86" s="257"/>
      <c r="AS86" s="12">
        <f>SUM('3 pr-2'!AA87)</f>
        <v>87810</v>
      </c>
      <c r="AT86" s="438">
        <f t="shared" ref="AT86:AT98" si="228">SUM(AS86-P86)</f>
        <v>87810</v>
      </c>
      <c r="AU86" s="889"/>
      <c r="AV86" s="20"/>
      <c r="AW86" s="20"/>
      <c r="AX86" s="257"/>
      <c r="AY86" s="257"/>
      <c r="AZ86" s="257"/>
      <c r="BA86" s="257"/>
      <c r="BB86" s="20"/>
      <c r="BC86" s="914"/>
      <c r="BD86" s="257"/>
      <c r="BE86" s="257"/>
      <c r="BF86" s="257"/>
      <c r="BG86" s="257"/>
      <c r="BH86" s="914"/>
      <c r="BI86" s="914"/>
      <c r="BJ86" s="257"/>
      <c r="BK86" s="257"/>
      <c r="BL86" s="257"/>
      <c r="BM86" s="257"/>
      <c r="BN86" s="914"/>
      <c r="BO86" s="20"/>
      <c r="BP86" s="257"/>
      <c r="BQ86" s="257"/>
      <c r="BR86" s="257"/>
      <c r="BS86" s="257"/>
      <c r="BT86" s="20"/>
      <c r="BU86" s="20"/>
      <c r="BV86" s="257"/>
      <c r="BW86" s="257"/>
      <c r="BX86" s="257"/>
      <c r="BY86" s="257"/>
      <c r="BZ86" s="20"/>
      <c r="CA86" s="20"/>
      <c r="CB86" s="257"/>
      <c r="CC86" s="257"/>
      <c r="CD86" s="257"/>
      <c r="CE86" s="257"/>
      <c r="CF86" s="325"/>
      <c r="CG86" s="891">
        <f>SUM('3 pr-2'!AI87)</f>
        <v>43193</v>
      </c>
      <c r="CH86" s="891">
        <f>SUM('3 pr-2'!AK87)</f>
        <v>44104</v>
      </c>
      <c r="CI86" s="58">
        <f>SUM(J86+P86+V86+AB86+AH86)</f>
        <v>87810</v>
      </c>
      <c r="CJ86" s="58">
        <f>SUM(AT86-CI86)</f>
        <v>0</v>
      </c>
      <c r="CL86" s="985">
        <f>SUM(AJ86/CP86)</f>
        <v>113.39846322722283</v>
      </c>
      <c r="CM86" s="985">
        <f>SUM(AK86/CP86)</f>
        <v>17.009879253567508</v>
      </c>
      <c r="CN86" s="985">
        <f>SUM(AM86/($CH$69-$CG$69))</f>
        <v>0</v>
      </c>
      <c r="CO86" s="987">
        <f>SUM(AT86/CP86)</f>
        <v>96.388583973655329</v>
      </c>
      <c r="CP86" s="21">
        <f>SUM(CH86-CG86)</f>
        <v>911</v>
      </c>
      <c r="CQ86" s="21">
        <f>SUM(Q3-CG86)</f>
        <v>272</v>
      </c>
      <c r="CR86" s="21">
        <f>SUM(W3-Q3)</f>
        <v>365</v>
      </c>
      <c r="CS86" s="21">
        <f>SUM(CH86-W3)</f>
        <v>274</v>
      </c>
      <c r="CT86" s="21">
        <f>SUM(CQ86:CS86)</f>
        <v>911</v>
      </c>
    </row>
    <row r="87" spans="1:98" ht="36.75" thickBot="1">
      <c r="A87" s="8" t="str">
        <f>CONCATENATE('3 pr-2'!A88)</f>
        <v>1.1.2.3.2</v>
      </c>
      <c r="B87" s="8" t="str">
        <f>CONCATENATE('3 pr-2'!D88)</f>
        <v>Dviračių trasų infrastruktūros įrengimas nuo Putinų g. žiedo Pramonės gatvėje, Alytaus mieste</v>
      </c>
      <c r="C87" s="65">
        <v>0</v>
      </c>
      <c r="D87" s="65">
        <v>0</v>
      </c>
      <c r="E87" s="65">
        <v>0</v>
      </c>
      <c r="F87" s="257">
        <v>0</v>
      </c>
      <c r="G87" s="257">
        <v>0</v>
      </c>
      <c r="H87" s="257">
        <v>0</v>
      </c>
      <c r="I87" s="257">
        <v>0</v>
      </c>
      <c r="J87" s="65">
        <v>0</v>
      </c>
      <c r="K87" s="326">
        <f>SUM('ketv. 7 '!M86)</f>
        <v>48895.060000000005</v>
      </c>
      <c r="L87" s="261">
        <f>SUM('ketv. 7 '!S86)</f>
        <v>7334.26</v>
      </c>
      <c r="M87" s="257">
        <v>0</v>
      </c>
      <c r="N87" s="257">
        <v>0</v>
      </c>
      <c r="O87" s="257">
        <v>0</v>
      </c>
      <c r="P87" s="65">
        <f>SUM('ketv. 7 '!AM86)</f>
        <v>41560.800000000003</v>
      </c>
      <c r="Q87" s="65">
        <f>SUM(R87:V87)</f>
        <v>84775.01</v>
      </c>
      <c r="R87" s="261">
        <f>SUM(AK87-L87)</f>
        <v>12716.249999999998</v>
      </c>
      <c r="S87" s="261">
        <v>0</v>
      </c>
      <c r="T87" s="261">
        <v>0</v>
      </c>
      <c r="U87" s="261">
        <v>0</v>
      </c>
      <c r="V87" s="65">
        <f>SUM(AS87-P87)</f>
        <v>72058.759999999995</v>
      </c>
      <c r="W87" s="65">
        <v>0</v>
      </c>
      <c r="X87" s="261">
        <v>0</v>
      </c>
      <c r="Y87" s="261">
        <v>0</v>
      </c>
      <c r="Z87" s="261">
        <v>0</v>
      </c>
      <c r="AA87" s="261">
        <v>0</v>
      </c>
      <c r="AB87" s="65">
        <v>0</v>
      </c>
      <c r="AC87" s="65">
        <v>0</v>
      </c>
      <c r="AD87" s="261">
        <v>0</v>
      </c>
      <c r="AE87" s="261">
        <v>0</v>
      </c>
      <c r="AF87" s="261">
        <v>0</v>
      </c>
      <c r="AG87" s="261">
        <v>0</v>
      </c>
      <c r="AH87" s="65">
        <v>0</v>
      </c>
      <c r="AI87" s="903">
        <f>SUM('3 pr-2'!L88)</f>
        <v>133670.07</v>
      </c>
      <c r="AJ87" s="904">
        <f t="shared" si="227"/>
        <v>84775.010000000009</v>
      </c>
      <c r="AK87" s="257">
        <f>SUM('3 pr-2'!O88)</f>
        <v>20050.509999999998</v>
      </c>
      <c r="AL87" s="438">
        <f t="shared" si="205"/>
        <v>12716.249999999998</v>
      </c>
      <c r="AM87" s="257">
        <f>SUM('3 pr-2'!R88)</f>
        <v>0</v>
      </c>
      <c r="AN87" s="438">
        <f t="shared" si="183"/>
        <v>0</v>
      </c>
      <c r="AO87" s="257">
        <f>SUM('3 pr-2'!U88)</f>
        <v>0</v>
      </c>
      <c r="AP87" s="438">
        <f t="shared" si="184"/>
        <v>0</v>
      </c>
      <c r="AQ87" s="257">
        <f>SUM('3 pr-2'!X88)</f>
        <v>0</v>
      </c>
      <c r="AR87" s="257"/>
      <c r="AS87" s="12">
        <f>SUM('3 pr-2'!AA88)</f>
        <v>113619.56</v>
      </c>
      <c r="AT87" s="438">
        <f t="shared" si="228"/>
        <v>72058.759999999995</v>
      </c>
      <c r="AU87" s="889"/>
      <c r="AV87" s="20"/>
      <c r="AW87" s="20"/>
      <c r="AX87" s="257"/>
      <c r="AY87" s="257"/>
      <c r="AZ87" s="257"/>
      <c r="BA87" s="257"/>
      <c r="BB87" s="20"/>
      <c r="BC87" s="914"/>
      <c r="BD87" s="257"/>
      <c r="BE87" s="257"/>
      <c r="BF87" s="257"/>
      <c r="BG87" s="257"/>
      <c r="BH87" s="914"/>
      <c r="BI87" s="914"/>
      <c r="BJ87" s="257"/>
      <c r="BK87" s="257"/>
      <c r="BL87" s="257"/>
      <c r="BM87" s="257"/>
      <c r="BN87" s="914"/>
      <c r="BO87" s="20"/>
      <c r="BP87" s="257"/>
      <c r="BQ87" s="257"/>
      <c r="BR87" s="257"/>
      <c r="BS87" s="257"/>
      <c r="BT87" s="20"/>
      <c r="BU87" s="20"/>
      <c r="BV87" s="257"/>
      <c r="BW87" s="257"/>
      <c r="BX87" s="257"/>
      <c r="BY87" s="257"/>
      <c r="BZ87" s="20"/>
      <c r="CA87" s="20"/>
      <c r="CB87" s="257"/>
      <c r="CC87" s="257"/>
      <c r="CD87" s="257"/>
      <c r="CE87" s="257"/>
      <c r="CF87" s="325"/>
      <c r="CG87" s="891">
        <f>SUM('3 pr-2'!AI88)</f>
        <v>42978</v>
      </c>
      <c r="CH87" s="891">
        <f>SUM('3 pr-2'!AK88)</f>
        <v>43465</v>
      </c>
      <c r="CI87" s="58">
        <f t="shared" ref="CI87" si="229">SUM(P87+V87+AB87+AH87)</f>
        <v>113619.56</v>
      </c>
      <c r="CJ87" s="21">
        <f>SUM(AI87/(CH87-CG87))</f>
        <v>274.4765297741273</v>
      </c>
      <c r="CK87" s="21">
        <f>SUM(AK87/(CH87-CG87))</f>
        <v>41.171478439425051</v>
      </c>
      <c r="CL87" s="21">
        <f>SUM(AS87/(CH87-CG87))</f>
        <v>233.30505133470226</v>
      </c>
    </row>
    <row r="88" spans="1:98" ht="36.75" thickBot="1">
      <c r="A88" s="8" t="str">
        <f>CONCATENATE('3 pr-2'!A89)</f>
        <v>1.1.2.3.3</v>
      </c>
      <c r="B88" s="8" t="str">
        <f>CONCATENATE('3 pr-2'!D89)</f>
        <v>Dviračių ir pėsčiųjų takų plėtra Lazdijų miesto Turistų gatvėje iki sodų bendrijos „Baltasis“ Lazdijų seniūnijoje</v>
      </c>
      <c r="C88" s="65">
        <v>0</v>
      </c>
      <c r="D88" s="65">
        <v>0</v>
      </c>
      <c r="E88" s="65">
        <v>0</v>
      </c>
      <c r="F88" s="257">
        <v>0</v>
      </c>
      <c r="G88" s="257">
        <v>0</v>
      </c>
      <c r="H88" s="257">
        <v>0</v>
      </c>
      <c r="I88" s="257">
        <v>0</v>
      </c>
      <c r="J88" s="65">
        <v>0</v>
      </c>
      <c r="K88" s="326">
        <f>SUM('ketv. 7 '!M87)</f>
        <v>0</v>
      </c>
      <c r="L88" s="261">
        <f>SUM('ketv. 7 '!S87)</f>
        <v>0</v>
      </c>
      <c r="M88" s="257">
        <v>0</v>
      </c>
      <c r="N88" s="257">
        <v>0</v>
      </c>
      <c r="O88" s="257">
        <v>0</v>
      </c>
      <c r="P88" s="65">
        <f>SUM('ketv. 7 '!AM87)</f>
        <v>0</v>
      </c>
      <c r="Q88" s="65">
        <f>IF(YEAR($CG88)=2017,($BI$4-$BC$4)*$AJ88/($CH88-$BC$4),0)</f>
        <v>46969.21</v>
      </c>
      <c r="R88" s="257">
        <f>IF(YEAR($CG$88)=2017,($BI$4-$BC$4)*AL$88/($CH$88-$BC$4),0)</f>
        <v>10218.709999999999</v>
      </c>
      <c r="S88" s="257">
        <v>0</v>
      </c>
      <c r="T88" s="261">
        <v>0</v>
      </c>
      <c r="U88" s="261">
        <v>0</v>
      </c>
      <c r="V88" s="65">
        <f>IF(YEAR($CG$88)=2017,($BI$4-$BC$4)*AT$88/($CH$88-$BC$4),0)</f>
        <v>36750.5</v>
      </c>
      <c r="W88" s="65">
        <f>IF(YEAR($CH88)=2019,($CH$88-$BI$4)*AJ$88/($CH$88-$BC$4),0)</f>
        <v>46969.21</v>
      </c>
      <c r="X88" s="261">
        <f>IF(YEAR($CH88)=2019,($CH$88-$BI$4)*AL$88/($CH$88-$BC$4),0)</f>
        <v>10218.709999999999</v>
      </c>
      <c r="Y88" s="261">
        <f>IF(YEAR($CH$88)=2019,($CH$88-$BI$4)*AM$88/($CH$88-$CG$88),0)</f>
        <v>0</v>
      </c>
      <c r="Z88" s="261">
        <f>IF(YEAR($CH$88)=2019,($CH$88-$BI$4)*AO$88/($CH$88-$CG$88),0)</f>
        <v>0</v>
      </c>
      <c r="AA88" s="261">
        <f>IF(YEAR($CH$88)=2019,($CH$88-$BI$4)*AQ$88/($CH$88-$CG$88),0)</f>
        <v>0</v>
      </c>
      <c r="AB88" s="65">
        <f>IF(YEAR($CH88)=2019,($CH$88-$BI$4)*AT$88/($CH$88-$BC$4),0)</f>
        <v>36750.5</v>
      </c>
      <c r="AC88" s="65">
        <v>0</v>
      </c>
      <c r="AD88" s="261">
        <v>0</v>
      </c>
      <c r="AE88" s="261">
        <v>0</v>
      </c>
      <c r="AF88" s="261">
        <v>0</v>
      </c>
      <c r="AG88" s="261">
        <v>0</v>
      </c>
      <c r="AH88" s="65">
        <v>0</v>
      </c>
      <c r="AI88" s="903">
        <f>SUM('3 pr-2'!L89)</f>
        <v>93938.42</v>
      </c>
      <c r="AJ88" s="904">
        <f t="shared" si="227"/>
        <v>93938.42</v>
      </c>
      <c r="AK88" s="257">
        <f>SUM('3 pr-2'!O89)</f>
        <v>20437.419999999998</v>
      </c>
      <c r="AL88" s="438">
        <f t="shared" si="205"/>
        <v>20437.419999999998</v>
      </c>
      <c r="AM88" s="257">
        <f>SUM('3 pr-2'!R89)</f>
        <v>0</v>
      </c>
      <c r="AN88" s="438">
        <f t="shared" si="183"/>
        <v>0</v>
      </c>
      <c r="AO88" s="257">
        <f>SUM('3 pr-2'!U89)</f>
        <v>0</v>
      </c>
      <c r="AP88" s="438">
        <f t="shared" si="184"/>
        <v>0</v>
      </c>
      <c r="AQ88" s="257">
        <f>SUM('3 pr-2'!X89)</f>
        <v>0</v>
      </c>
      <c r="AR88" s="257"/>
      <c r="AS88" s="12">
        <f>SUM('3 pr-2'!AA89)</f>
        <v>73501</v>
      </c>
      <c r="AT88" s="438">
        <f t="shared" si="228"/>
        <v>73501</v>
      </c>
      <c r="AU88" s="889"/>
      <c r="AV88" s="20"/>
      <c r="AW88" s="20"/>
      <c r="AX88" s="257"/>
      <c r="AY88" s="257"/>
      <c r="AZ88" s="257"/>
      <c r="BA88" s="257"/>
      <c r="BB88" s="20"/>
      <c r="BC88" s="914"/>
      <c r="BD88" s="257"/>
      <c r="BE88" s="257"/>
      <c r="BF88" s="257"/>
      <c r="BG88" s="257"/>
      <c r="BH88" s="914"/>
      <c r="BI88" s="914"/>
      <c r="BJ88" s="257"/>
      <c r="BK88" s="257"/>
      <c r="BL88" s="257"/>
      <c r="BM88" s="257"/>
      <c r="BN88" s="914"/>
      <c r="BO88" s="914"/>
      <c r="BP88" s="257"/>
      <c r="BQ88" s="257"/>
      <c r="BR88" s="257"/>
      <c r="BS88" s="257"/>
      <c r="BT88" s="914"/>
      <c r="BU88" s="20"/>
      <c r="BV88" s="257"/>
      <c r="BW88" s="257"/>
      <c r="BX88" s="257"/>
      <c r="BY88" s="257"/>
      <c r="BZ88" s="20"/>
      <c r="CA88" s="20"/>
      <c r="CB88" s="257"/>
      <c r="CC88" s="257"/>
      <c r="CD88" s="257"/>
      <c r="CE88" s="257"/>
      <c r="CF88" s="325"/>
      <c r="CG88" s="891">
        <f>SUM('3 pr-2'!AI89)</f>
        <v>43100</v>
      </c>
      <c r="CH88" s="891">
        <f>SUM('3 pr-2'!AK89)</f>
        <v>43830</v>
      </c>
      <c r="CI88" s="58">
        <f>SUM(P88+V88+AB88+AH88)</f>
        <v>73501</v>
      </c>
      <c r="CJ88" s="21">
        <f>SUM(AI88/(CH88-CG88))</f>
        <v>128.68276712328768</v>
      </c>
      <c r="CK88" s="21">
        <f>SUM(AK88/(CH88-CG88))</f>
        <v>27.996465753424655</v>
      </c>
      <c r="CL88" s="21">
        <f>SUM(AS88/(CH88-CG88))</f>
        <v>100.68630136986302</v>
      </c>
    </row>
    <row r="89" spans="1:98" ht="24.75" thickBot="1">
      <c r="A89" s="8" t="str">
        <f>CONCATENATE('3 pr-2'!A90)</f>
        <v>1.1.2.3.4</v>
      </c>
      <c r="B89" s="8" t="str">
        <f>CONCATENATE('3 pr-2'!D90)</f>
        <v>Pėsčiųjų ir dviračių takų plėtra Simno seniūnijoje</v>
      </c>
      <c r="C89" s="65">
        <v>0</v>
      </c>
      <c r="D89" s="65">
        <v>0</v>
      </c>
      <c r="E89" s="65">
        <v>0</v>
      </c>
      <c r="F89" s="257">
        <v>0</v>
      </c>
      <c r="G89" s="257">
        <v>0</v>
      </c>
      <c r="H89" s="257">
        <v>0</v>
      </c>
      <c r="I89" s="257">
        <v>0</v>
      </c>
      <c r="J89" s="65">
        <v>0</v>
      </c>
      <c r="K89" s="326">
        <f>SUM('ketv. 7 '!M88)</f>
        <v>0</v>
      </c>
      <c r="L89" s="261">
        <f>SUM('ketv. 7 '!S88)</f>
        <v>0</v>
      </c>
      <c r="M89" s="257">
        <v>0</v>
      </c>
      <c r="N89" s="257">
        <v>0</v>
      </c>
      <c r="O89" s="257">
        <v>0</v>
      </c>
      <c r="P89" s="65">
        <f>SUM('ketv. 7 '!AM88)</f>
        <v>0</v>
      </c>
      <c r="Q89" s="65">
        <f>SUM(CJ89*(W2-CG89))</f>
        <v>39904.248786885248</v>
      </c>
      <c r="R89" s="261">
        <f>SUM(CK89*(W2-CG89))</f>
        <v>5985.6357049180324</v>
      </c>
      <c r="S89" s="261">
        <f>IF(YEAR($CH$89)=2018,($CH$89-$BC$4)*AM$89/($CH$89-$CG$89),0)</f>
        <v>0</v>
      </c>
      <c r="T89" s="261">
        <f>IF(YEAR($CH$89)=2018,($CH$89-$BC$4)*AO$89/($CH$89-$CG$89),0)</f>
        <v>0</v>
      </c>
      <c r="U89" s="261">
        <f>IF(YEAR($CH$89)=2018,($CH$89-$BC$4)*AQ$89/($CH$89-$CG$89),0)</f>
        <v>0</v>
      </c>
      <c r="V89" s="65">
        <f>SUM(CL89*(W2-CG89))</f>
        <v>33918.613081967218</v>
      </c>
      <c r="W89" s="65">
        <f>SUM(CJ89*(CH89-W2))</f>
        <v>59045.311213114757</v>
      </c>
      <c r="X89" s="261">
        <f>SUM(CK89*(CH89-W2))</f>
        <v>8856.794295081967</v>
      </c>
      <c r="Y89" s="261">
        <v>0</v>
      </c>
      <c r="Z89" s="261">
        <v>0</v>
      </c>
      <c r="AA89" s="261">
        <v>0</v>
      </c>
      <c r="AB89" s="65">
        <f>SUM(CL89*(CH89-W2))</f>
        <v>50188.516918032794</v>
      </c>
      <c r="AC89" s="65">
        <v>0</v>
      </c>
      <c r="AD89" s="261">
        <v>0</v>
      </c>
      <c r="AE89" s="261">
        <v>0</v>
      </c>
      <c r="AF89" s="261">
        <v>0</v>
      </c>
      <c r="AG89" s="261">
        <v>0</v>
      </c>
      <c r="AH89" s="65">
        <v>0</v>
      </c>
      <c r="AI89" s="903">
        <f>SUM('3 pr-2'!L90)</f>
        <v>98949.56</v>
      </c>
      <c r="AJ89" s="904">
        <f t="shared" si="227"/>
        <v>98949.56</v>
      </c>
      <c r="AK89" s="257">
        <f>SUM('3 pr-2'!O90)</f>
        <v>14842.43</v>
      </c>
      <c r="AL89" s="438">
        <f t="shared" si="205"/>
        <v>14842.43</v>
      </c>
      <c r="AM89" s="257">
        <f>SUM('3 pr-2'!R90)</f>
        <v>0</v>
      </c>
      <c r="AN89" s="438">
        <f t="shared" si="183"/>
        <v>0</v>
      </c>
      <c r="AO89" s="257">
        <f>SUM('3 pr-2'!U90)</f>
        <v>0</v>
      </c>
      <c r="AP89" s="438">
        <f t="shared" si="184"/>
        <v>0</v>
      </c>
      <c r="AQ89" s="257">
        <f>SUM('3 pr-2'!X90)</f>
        <v>0</v>
      </c>
      <c r="AR89" s="257"/>
      <c r="AS89" s="12">
        <f>SUM('3 pr-2'!AA90)</f>
        <v>84107.13</v>
      </c>
      <c r="AT89" s="438">
        <f t="shared" si="228"/>
        <v>84107.13</v>
      </c>
      <c r="AU89" s="889"/>
      <c r="AV89" s="20"/>
      <c r="AW89" s="20"/>
      <c r="AX89" s="257"/>
      <c r="AY89" s="257"/>
      <c r="AZ89" s="257"/>
      <c r="BA89" s="257"/>
      <c r="BB89" s="20"/>
      <c r="BC89" s="914"/>
      <c r="BD89" s="257"/>
      <c r="BE89" s="257"/>
      <c r="BF89" s="257"/>
      <c r="BG89" s="257"/>
      <c r="BH89" s="914"/>
      <c r="BI89" s="914"/>
      <c r="BJ89" s="257"/>
      <c r="BK89" s="257"/>
      <c r="BL89" s="257"/>
      <c r="BM89" s="257"/>
      <c r="BN89" s="914"/>
      <c r="BO89" s="20"/>
      <c r="BP89" s="257"/>
      <c r="BQ89" s="257"/>
      <c r="BR89" s="257"/>
      <c r="BS89" s="257"/>
      <c r="BT89" s="20"/>
      <c r="BU89" s="20"/>
      <c r="BV89" s="257"/>
      <c r="BW89" s="257"/>
      <c r="BX89" s="257"/>
      <c r="BY89" s="257"/>
      <c r="BZ89" s="20"/>
      <c r="CA89" s="20"/>
      <c r="CB89" s="257"/>
      <c r="CC89" s="257"/>
      <c r="CD89" s="257"/>
      <c r="CE89" s="257"/>
      <c r="CF89" s="325"/>
      <c r="CG89" s="891">
        <f>SUM('3 pr-2'!AI90)</f>
        <v>43220</v>
      </c>
      <c r="CH89" s="891">
        <f>SUM('3 pr-2'!AK90)</f>
        <v>43830</v>
      </c>
      <c r="CI89" s="58">
        <f>SUM(P89+V89+AB89+AH89)</f>
        <v>84107.13</v>
      </c>
      <c r="CJ89" s="21">
        <f>SUM(AI89/(CH89-CG89))</f>
        <v>162.21239344262295</v>
      </c>
      <c r="CK89" s="21">
        <f>SUM(AK89/(CH89-CG89))</f>
        <v>24.331852459016392</v>
      </c>
      <c r="CL89" s="21">
        <f>SUM(AS89/(CH89-CG89))</f>
        <v>137.88054098360658</v>
      </c>
    </row>
    <row r="90" spans="1:98" ht="36.75" thickBot="1">
      <c r="A90" s="8" t="str">
        <f>CONCATENATE('3 pr-2'!A91)</f>
        <v>1.1.2.3.5</v>
      </c>
      <c r="B90" s="8" t="str">
        <f>CONCATENATE('3 pr-2'!D91)</f>
        <v>Dviračių ir pėsčiųjų tako, esančio šalia Ratnyčios upelio Druskininkų mieste, rekonstrukcija</v>
      </c>
      <c r="C90" s="65">
        <v>0</v>
      </c>
      <c r="D90" s="65">
        <v>0</v>
      </c>
      <c r="E90" s="65">
        <v>0</v>
      </c>
      <c r="F90" s="257">
        <v>0</v>
      </c>
      <c r="G90" s="257">
        <v>0</v>
      </c>
      <c r="H90" s="257">
        <v>0</v>
      </c>
      <c r="I90" s="257">
        <v>0</v>
      </c>
      <c r="J90" s="65">
        <v>0</v>
      </c>
      <c r="K90" s="326">
        <f>SUM('ketv. 7 '!M89)</f>
        <v>0</v>
      </c>
      <c r="L90" s="261">
        <f>SUM('ketv. 7 '!S89)</f>
        <v>0</v>
      </c>
      <c r="M90" s="261">
        <v>0</v>
      </c>
      <c r="N90" s="261">
        <v>0</v>
      </c>
      <c r="O90" s="261">
        <v>0</v>
      </c>
      <c r="P90" s="65">
        <f>SUM('ketv. 7 '!AM89)</f>
        <v>0</v>
      </c>
      <c r="Q90" s="65">
        <v>0</v>
      </c>
      <c r="R90" s="257">
        <v>0</v>
      </c>
      <c r="S90" s="257">
        <v>0</v>
      </c>
      <c r="T90" s="257">
        <v>0</v>
      </c>
      <c r="U90" s="257">
        <v>0</v>
      </c>
      <c r="V90" s="65">
        <v>0</v>
      </c>
      <c r="W90" s="65">
        <f>SUM(CJ90*(AC2-CG90))</f>
        <v>41438.814070351757</v>
      </c>
      <c r="X90" s="261">
        <f>SUM(CK90*(AC2-CG90))</f>
        <v>8432.442211055275</v>
      </c>
      <c r="Y90" s="261">
        <v>0</v>
      </c>
      <c r="Z90" s="261">
        <v>0</v>
      </c>
      <c r="AA90" s="261">
        <v>0</v>
      </c>
      <c r="AB90" s="65">
        <f>SUM(CL90*(AC2-CG90))</f>
        <v>33006.37185929648</v>
      </c>
      <c r="AC90" s="65">
        <f>SUM(CJ90*(CH90-AC2))</f>
        <v>29650.18592964824</v>
      </c>
      <c r="AD90" s="261">
        <f>SUM(CK90*(CH90-AC2))</f>
        <v>6033.5577889447231</v>
      </c>
      <c r="AE90" s="261">
        <v>0</v>
      </c>
      <c r="AF90" s="261">
        <v>0</v>
      </c>
      <c r="AG90" s="261">
        <v>0</v>
      </c>
      <c r="AH90" s="65">
        <f>SUM(CL90*(CH90-AC2))</f>
        <v>23616.628140703517</v>
      </c>
      <c r="AI90" s="903">
        <f>SUM('3 pr-2'!L91)</f>
        <v>71089</v>
      </c>
      <c r="AJ90" s="904">
        <f t="shared" si="227"/>
        <v>71089</v>
      </c>
      <c r="AK90" s="257">
        <f>SUM('3 pr-2'!O91)</f>
        <v>14466</v>
      </c>
      <c r="AL90" s="438">
        <f t="shared" si="205"/>
        <v>14466</v>
      </c>
      <c r="AM90" s="257">
        <f>SUM('3 pr-2'!R91)</f>
        <v>0</v>
      </c>
      <c r="AN90" s="438">
        <f t="shared" si="183"/>
        <v>0</v>
      </c>
      <c r="AO90" s="257">
        <f>SUM('3 pr-2'!U91)</f>
        <v>0</v>
      </c>
      <c r="AP90" s="438">
        <f>SUM(AO90-N90)</f>
        <v>0</v>
      </c>
      <c r="AQ90" s="257">
        <f>SUM('3 pr-2'!X91)</f>
        <v>0</v>
      </c>
      <c r="AR90" s="257"/>
      <c r="AS90" s="12">
        <f>SUM('3 pr-2'!AA91)</f>
        <v>56623</v>
      </c>
      <c r="AT90" s="438">
        <f t="shared" si="228"/>
        <v>56623</v>
      </c>
      <c r="AU90" s="889"/>
      <c r="AV90" s="20"/>
      <c r="AW90" s="20"/>
      <c r="AX90" s="257"/>
      <c r="AY90" s="257"/>
      <c r="AZ90" s="257"/>
      <c r="BA90" s="257"/>
      <c r="BB90" s="20"/>
      <c r="BC90" s="20"/>
      <c r="BD90" s="257"/>
      <c r="BE90" s="257"/>
      <c r="BF90" s="257"/>
      <c r="BG90" s="257"/>
      <c r="BH90" s="20"/>
      <c r="BI90" s="914"/>
      <c r="BJ90" s="257"/>
      <c r="BK90" s="257"/>
      <c r="BL90" s="257"/>
      <c r="BM90" s="257"/>
      <c r="BN90" s="914"/>
      <c r="BO90" s="20"/>
      <c r="BP90" s="257"/>
      <c r="BQ90" s="257"/>
      <c r="BR90" s="257"/>
      <c r="BS90" s="257"/>
      <c r="BT90" s="20"/>
      <c r="BU90" s="20"/>
      <c r="BV90" s="257"/>
      <c r="BW90" s="257"/>
      <c r="BX90" s="257"/>
      <c r="BY90" s="257"/>
      <c r="BZ90" s="20"/>
      <c r="CA90" s="20"/>
      <c r="CB90" s="257"/>
      <c r="CC90" s="257"/>
      <c r="CD90" s="257"/>
      <c r="CE90" s="257"/>
      <c r="CF90" s="325"/>
      <c r="CG90" s="891">
        <f>SUM('3 pr-2'!AI91)</f>
        <v>43599</v>
      </c>
      <c r="CH90" s="891">
        <f>SUM('3 pr-2'!AK91)</f>
        <v>43997</v>
      </c>
      <c r="CI90" s="58">
        <f>SUM(P90+V90+AB90+AH90)</f>
        <v>56623</v>
      </c>
      <c r="CJ90" s="21">
        <f>SUM(AI90/(CH90-CG90))</f>
        <v>178.61557788944722</v>
      </c>
      <c r="CK90" s="21">
        <f>SUM(AK90/(CH90-CG90))</f>
        <v>36.346733668341706</v>
      </c>
      <c r="CL90" s="21">
        <f>SUM(AS90/(CH90-CG90))</f>
        <v>142.26884422110552</v>
      </c>
    </row>
    <row r="91" spans="1:98" ht="39.75" thickBot="1">
      <c r="A91" s="253" t="str">
        <f>CONCATENATE('3 pr-2'!A92)</f>
        <v>1.1.2.4</v>
      </c>
      <c r="B91" s="103" t="str">
        <f>CONCATENATE('3 pr-2'!B92)</f>
        <v>Priemonė:
Vietinių kelių techninių parametrų ir eismo saugos gerinimas</v>
      </c>
      <c r="C91" s="910">
        <f t="shared" ref="C91:AA91" si="230">SUM(C92:C98)</f>
        <v>0</v>
      </c>
      <c r="D91" s="910">
        <f t="shared" si="230"/>
        <v>0</v>
      </c>
      <c r="E91" s="910">
        <f t="shared" si="230"/>
        <v>0</v>
      </c>
      <c r="F91" s="910">
        <f t="shared" si="230"/>
        <v>0</v>
      </c>
      <c r="G91" s="910">
        <f t="shared" si="230"/>
        <v>0</v>
      </c>
      <c r="H91" s="910">
        <f t="shared" si="230"/>
        <v>0</v>
      </c>
      <c r="I91" s="910">
        <f t="shared" si="230"/>
        <v>0</v>
      </c>
      <c r="J91" s="910">
        <f t="shared" si="230"/>
        <v>0</v>
      </c>
      <c r="K91" s="910">
        <f t="shared" si="230"/>
        <v>873591.32000000007</v>
      </c>
      <c r="L91" s="910">
        <f t="shared" si="230"/>
        <v>98493.53</v>
      </c>
      <c r="M91" s="910">
        <f t="shared" si="230"/>
        <v>0</v>
      </c>
      <c r="N91" s="910">
        <f t="shared" si="230"/>
        <v>0</v>
      </c>
      <c r="O91" s="910">
        <f t="shared" si="230"/>
        <v>32545.37</v>
      </c>
      <c r="P91" s="910">
        <f t="shared" si="230"/>
        <v>742552.42</v>
      </c>
      <c r="Q91" s="910">
        <f t="shared" si="230"/>
        <v>1622535.2033302791</v>
      </c>
      <c r="R91" s="910">
        <f t="shared" si="230"/>
        <v>529438.67941825243</v>
      </c>
      <c r="S91" s="910">
        <f t="shared" si="230"/>
        <v>0</v>
      </c>
      <c r="T91" s="910">
        <f t="shared" si="230"/>
        <v>0</v>
      </c>
      <c r="U91" s="910">
        <f t="shared" si="230"/>
        <v>10056.527901459855</v>
      </c>
      <c r="V91" s="910">
        <f t="shared" si="230"/>
        <v>1071823.5598061872</v>
      </c>
      <c r="W91" s="910">
        <f t="shared" si="230"/>
        <v>1686032.0656204508</v>
      </c>
      <c r="X91" s="910">
        <f t="shared" si="230"/>
        <v>579346.92176787893</v>
      </c>
      <c r="Y91" s="910">
        <f t="shared" si="230"/>
        <v>0</v>
      </c>
      <c r="Z91" s="910">
        <f t="shared" si="230"/>
        <v>0</v>
      </c>
      <c r="AA91" s="910">
        <f t="shared" si="230"/>
        <v>10029.051049270074</v>
      </c>
      <c r="AB91" s="910">
        <f>SUM(AB92:AB98)</f>
        <v>1107494.6512430829</v>
      </c>
      <c r="AC91" s="910">
        <f t="shared" ref="AC91:AG91" si="231">SUM(AC92:AC98)</f>
        <v>133720.25104927007</v>
      </c>
      <c r="AD91" s="910">
        <f t="shared" si="231"/>
        <v>20867.609489051094</v>
      </c>
      <c r="AE91" s="910">
        <f t="shared" si="231"/>
        <v>0</v>
      </c>
      <c r="AF91" s="910">
        <f t="shared" si="231"/>
        <v>0</v>
      </c>
      <c r="AG91" s="910">
        <f t="shared" si="231"/>
        <v>10029.051049270074</v>
      </c>
      <c r="AH91" s="910">
        <f t="shared" ref="AH91" si="232">SUM(AH92:AH98)</f>
        <v>113662.14895072993</v>
      </c>
      <c r="AI91" s="912">
        <f t="shared" ref="AI91" si="233">SUM(AI92:AI98)</f>
        <v>4315878.84</v>
      </c>
      <c r="AJ91" s="910">
        <f t="shared" ref="AJ91" si="234">SUM(AJ92:AJ98)</f>
        <v>3442287.52</v>
      </c>
      <c r="AK91" s="910">
        <f t="shared" ref="AK91" si="235">SUM(AK92:AK98)</f>
        <v>1217686.06</v>
      </c>
      <c r="AL91" s="910">
        <f t="shared" ref="AL91" si="236">SUM(AL92:AL98)</f>
        <v>1119192.53</v>
      </c>
      <c r="AM91" s="910">
        <f t="shared" ref="AM91" si="237">SUM(AM92:AM98)</f>
        <v>0</v>
      </c>
      <c r="AN91" s="910">
        <f t="shared" ref="AN91" si="238">SUM(AN92:AN98)</f>
        <v>0</v>
      </c>
      <c r="AO91" s="910">
        <f t="shared" ref="AO91" si="239">SUM(AO92:AO98)</f>
        <v>0</v>
      </c>
      <c r="AP91" s="910">
        <f t="shared" ref="AP91" si="240">SUM(AP92:AP98)</f>
        <v>0</v>
      </c>
      <c r="AQ91" s="910">
        <f t="shared" ref="AQ91" si="241">SUM(AQ92:AQ98)</f>
        <v>62660</v>
      </c>
      <c r="AR91" s="910">
        <f t="shared" ref="AR91" si="242">SUM(AR92:AR98)</f>
        <v>30114.63</v>
      </c>
      <c r="AS91" s="910">
        <f t="shared" ref="AS91" si="243">SUM(AS92:AS98)</f>
        <v>3035532.7800000003</v>
      </c>
      <c r="AT91" s="910"/>
      <c r="AU91" s="889">
        <v>0</v>
      </c>
      <c r="AV91" s="20">
        <v>0</v>
      </c>
      <c r="AW91" s="20">
        <v>0</v>
      </c>
      <c r="AX91" s="910">
        <v>0</v>
      </c>
      <c r="AY91" s="910">
        <v>0</v>
      </c>
      <c r="AZ91" s="910">
        <v>0</v>
      </c>
      <c r="BA91" s="910">
        <v>0</v>
      </c>
      <c r="BB91" s="20">
        <v>0</v>
      </c>
      <c r="BC91" s="20">
        <v>20</v>
      </c>
      <c r="BD91" s="910">
        <v>20</v>
      </c>
      <c r="BE91" s="910">
        <v>20</v>
      </c>
      <c r="BF91" s="910">
        <v>20</v>
      </c>
      <c r="BG91" s="910">
        <v>20</v>
      </c>
      <c r="BH91" s="20">
        <v>20</v>
      </c>
      <c r="BI91" s="20">
        <v>30</v>
      </c>
      <c r="BJ91" s="910">
        <v>30</v>
      </c>
      <c r="BK91" s="910">
        <v>30</v>
      </c>
      <c r="BL91" s="910">
        <v>30</v>
      </c>
      <c r="BM91" s="910">
        <v>30</v>
      </c>
      <c r="BN91" s="20">
        <v>30</v>
      </c>
      <c r="BO91" s="20">
        <v>30</v>
      </c>
      <c r="BP91" s="910">
        <v>30</v>
      </c>
      <c r="BQ91" s="910">
        <v>30</v>
      </c>
      <c r="BR91" s="910">
        <v>30</v>
      </c>
      <c r="BS91" s="910">
        <v>30</v>
      </c>
      <c r="BT91" s="20">
        <v>30</v>
      </c>
      <c r="BU91" s="20">
        <v>20</v>
      </c>
      <c r="BV91" s="910">
        <v>20</v>
      </c>
      <c r="BW91" s="910">
        <v>20</v>
      </c>
      <c r="BX91" s="910">
        <v>20</v>
      </c>
      <c r="BY91" s="910">
        <v>20</v>
      </c>
      <c r="BZ91" s="20">
        <v>20</v>
      </c>
      <c r="CA91" s="20">
        <v>100</v>
      </c>
      <c r="CB91" s="910">
        <v>100</v>
      </c>
      <c r="CC91" s="910">
        <v>100</v>
      </c>
      <c r="CD91" s="910">
        <v>100</v>
      </c>
      <c r="CE91" s="910">
        <v>100</v>
      </c>
      <c r="CF91" s="325">
        <v>100</v>
      </c>
      <c r="CG91" s="890"/>
      <c r="CH91" s="19"/>
    </row>
    <row r="92" spans="1:98" ht="36.75" thickBot="1">
      <c r="A92" s="8" t="str">
        <f>CONCATENATE('3 pr-2'!A93)</f>
        <v>1.1.2.4.1</v>
      </c>
      <c r="B92" s="8" t="str">
        <f>CONCATENATE('3 pr-2'!D93)</f>
        <v>Varėnos miesto J. Basanavičiaus, Savanorių, M. K. Čiurlionio gatvių rekonstrukcija</v>
      </c>
      <c r="C92" s="65">
        <v>0</v>
      </c>
      <c r="D92" s="65">
        <v>0</v>
      </c>
      <c r="E92" s="65">
        <v>0</v>
      </c>
      <c r="F92" s="257">
        <v>0</v>
      </c>
      <c r="G92" s="257">
        <v>0</v>
      </c>
      <c r="H92" s="257">
        <v>0</v>
      </c>
      <c r="I92" s="257">
        <v>0</v>
      </c>
      <c r="J92" s="65">
        <v>0</v>
      </c>
      <c r="K92" s="65">
        <f>SUM('ketv. 7 '!M91)</f>
        <v>433936.89</v>
      </c>
      <c r="L92" s="261">
        <f>SUM('ketv. 7 '!S91)</f>
        <v>32545.37</v>
      </c>
      <c r="M92" s="261">
        <f>IF(YEAR($CG$92)=2017,($BC$4-$CG$92)*AM$92/($CH$92-$CG$92))</f>
        <v>0</v>
      </c>
      <c r="N92" s="261">
        <f>IF(YEAR($CG$92)=2017,($BC$4-$CG$92)*AO$92/($CH$92-$CG$92))</f>
        <v>0</v>
      </c>
      <c r="O92" s="261">
        <f>SUM('ketv. 7 '!AH91)</f>
        <v>32545.37</v>
      </c>
      <c r="P92" s="65">
        <f>SUM('ketv. 7 '!AM91)</f>
        <v>368846.15</v>
      </c>
      <c r="Q92" s="65">
        <f>CL92*366</f>
        <v>134086.60790145985</v>
      </c>
      <c r="R92" s="261">
        <f>CM92*366</f>
        <v>20924.781021897812</v>
      </c>
      <c r="S92" s="261">
        <f>IF(YEAR($CH92)&gt;2018,($BI$4-$BC$4)*$AN92/($CH92-$BC$4),0)</f>
        <v>0</v>
      </c>
      <c r="T92" s="261">
        <f>IF(YEAR($CH92)&gt;2018,($BI$4-$BC$4)*$AP92/($CH92-$BC$4),0)</f>
        <v>0</v>
      </c>
      <c r="U92" s="261">
        <f>CN92*366</f>
        <v>10056.527901459855</v>
      </c>
      <c r="V92" s="65">
        <f>CO92*366</f>
        <v>113973.55209854014</v>
      </c>
      <c r="W92" s="65">
        <f>CL92*365</f>
        <v>133720.25104927007</v>
      </c>
      <c r="X92" s="261">
        <f>CM92*365</f>
        <v>20867.609489051094</v>
      </c>
      <c r="Y92" s="261">
        <f>IF(YEAR($CH92)=2019,($CH92-$BI$4)*AN$92/($CH92-$BC$4),0)</f>
        <v>0</v>
      </c>
      <c r="Z92" s="261">
        <f>IF(YEAR($CH92)=2019,($CH92-$BI$4)*$AP92/($CH92-$BC$4),0)</f>
        <v>0</v>
      </c>
      <c r="AA92" s="261">
        <f>CN92*365</f>
        <v>10029.051049270074</v>
      </c>
      <c r="AB92" s="65">
        <f>CO92*365</f>
        <v>113662.14895072993</v>
      </c>
      <c r="AC92" s="65">
        <f>CL92*365</f>
        <v>133720.25104927007</v>
      </c>
      <c r="AD92" s="261">
        <f>CM92*365</f>
        <v>20867.609489051094</v>
      </c>
      <c r="AE92" s="261">
        <v>0</v>
      </c>
      <c r="AF92" s="261">
        <v>0</v>
      </c>
      <c r="AG92" s="261">
        <f>CN92*365</f>
        <v>10029.051049270074</v>
      </c>
      <c r="AH92" s="65">
        <f>CO92*365</f>
        <v>113662.14895072993</v>
      </c>
      <c r="AI92" s="664">
        <f>SUM('3 pr-2'!L93)</f>
        <v>835464</v>
      </c>
      <c r="AJ92" s="904">
        <f t="shared" si="227"/>
        <v>401527.11</v>
      </c>
      <c r="AK92" s="257">
        <f>SUM('3 pr-2'!O93)</f>
        <v>62660</v>
      </c>
      <c r="AL92" s="438">
        <f t="shared" si="205"/>
        <v>30114.63</v>
      </c>
      <c r="AM92" s="257">
        <f>SUM('3 pr-2'!R93)</f>
        <v>0</v>
      </c>
      <c r="AN92" s="438">
        <f t="shared" si="183"/>
        <v>0</v>
      </c>
      <c r="AO92" s="257">
        <f>SUM('3 pr-2'!U93)</f>
        <v>0</v>
      </c>
      <c r="AP92" s="438">
        <f>SUM(AO92-N92)</f>
        <v>0</v>
      </c>
      <c r="AQ92" s="257">
        <f>SUM('3 pr-2'!X93)</f>
        <v>62660</v>
      </c>
      <c r="AR92" s="476">
        <f>SUM(AQ92-O92)</f>
        <v>30114.63</v>
      </c>
      <c r="AS92" s="328">
        <f>SUM('3 pr-2'!AA93)</f>
        <v>710144</v>
      </c>
      <c r="AT92" s="438">
        <f t="shared" si="228"/>
        <v>341297.85</v>
      </c>
      <c r="AU92" s="894"/>
      <c r="AV92" s="914"/>
      <c r="AW92" s="914"/>
      <c r="AX92" s="258"/>
      <c r="AY92" s="258"/>
      <c r="AZ92" s="258"/>
      <c r="BA92" s="258"/>
      <c r="BB92" s="914"/>
      <c r="BC92" s="914"/>
      <c r="BD92" s="258"/>
      <c r="BE92" s="258"/>
      <c r="BF92" s="258"/>
      <c r="BG92" s="258"/>
      <c r="BH92" s="914"/>
      <c r="BI92" s="914"/>
      <c r="BJ92" s="258"/>
      <c r="BK92" s="258"/>
      <c r="BL92" s="258"/>
      <c r="BM92" s="258"/>
      <c r="BN92" s="914"/>
      <c r="BO92" s="914"/>
      <c r="BP92" s="258"/>
      <c r="BQ92" s="258"/>
      <c r="BR92" s="258"/>
      <c r="BS92" s="258"/>
      <c r="BT92" s="914"/>
      <c r="BU92" s="914"/>
      <c r="BV92" s="258"/>
      <c r="BW92" s="258"/>
      <c r="BX92" s="258"/>
      <c r="BY92" s="258"/>
      <c r="BZ92" s="914"/>
      <c r="CA92" s="20"/>
      <c r="CB92" s="258"/>
      <c r="CC92" s="258"/>
      <c r="CD92" s="258"/>
      <c r="CE92" s="258"/>
      <c r="CF92" s="325"/>
      <c r="CG92" s="931">
        <f>SUM('3 pr-2'!AI93)</f>
        <v>42993</v>
      </c>
      <c r="CH92" s="931">
        <f>SUM('3 pr-2'!AK93)</f>
        <v>44196</v>
      </c>
      <c r="CI92" s="58">
        <f>SUM(P92+V92+AB92+AH92)</f>
        <v>710144</v>
      </c>
      <c r="CJ92" s="58">
        <f>SUM(CI92-AS92)</f>
        <v>0</v>
      </c>
      <c r="CK92" s="58">
        <f>SUM(K92+Q92+W92+AC92)</f>
        <v>835464</v>
      </c>
      <c r="CL92" s="985">
        <f>SUM(AJ92/1096)</f>
        <v>366.35685218978102</v>
      </c>
      <c r="CM92" s="985">
        <f>SUM(AK92/1096)</f>
        <v>57.17153284671533</v>
      </c>
      <c r="CN92" s="985">
        <f>SUM(AR92/1096)</f>
        <v>27.476852189781024</v>
      </c>
      <c r="CO92" s="987">
        <f>SUM(AT92/1096)</f>
        <v>311.40314781021897</v>
      </c>
      <c r="CP92" s="21">
        <f>SUM(CH92-Q2)</f>
        <v>1095</v>
      </c>
      <c r="CQ92" s="21">
        <v>365</v>
      </c>
      <c r="CR92" s="21">
        <v>365</v>
      </c>
      <c r="CS92" s="21">
        <f>SUM(CP92-CQ92-CR92)</f>
        <v>365</v>
      </c>
    </row>
    <row r="93" spans="1:98" ht="24.75" thickBot="1">
      <c r="A93" s="8" t="str">
        <f>CONCATENATE('3 pr-2'!A94)</f>
        <v>1.1.2.4.2</v>
      </c>
      <c r="B93" s="8" t="str">
        <f>CONCATENATE('3 pr-2'!D94)</f>
        <v>Perspektyvinės gatvės nuo Pramonės g. iki Naujosios g. Alytuje įrengimas</v>
      </c>
      <c r="C93" s="65">
        <v>0</v>
      </c>
      <c r="D93" s="65">
        <v>0</v>
      </c>
      <c r="E93" s="65">
        <v>0</v>
      </c>
      <c r="F93" s="257">
        <v>0</v>
      </c>
      <c r="G93" s="257">
        <v>0</v>
      </c>
      <c r="H93" s="257">
        <v>0</v>
      </c>
      <c r="I93" s="257">
        <v>0</v>
      </c>
      <c r="J93" s="65">
        <v>0</v>
      </c>
      <c r="K93" s="65">
        <f>SUM('ketv. 7 '!M92)</f>
        <v>439654.43000000005</v>
      </c>
      <c r="L93" s="261">
        <f>SUM('ketv. 7 '!S92)</f>
        <v>65948.160000000003</v>
      </c>
      <c r="M93" s="261">
        <f>IF(YEAR($CG$92)=2017,($BC$4-$CG$92)*AM$92/($CH$92-$CG$92))</f>
        <v>0</v>
      </c>
      <c r="N93" s="261">
        <f>IF(YEAR($CG$92)=2017,($BC$4-$CG$92)*AO$92/($CH$92-$CG$92))</f>
        <v>0</v>
      </c>
      <c r="O93" s="261">
        <f>SUM('ketv. 7 '!AH92)</f>
        <v>0</v>
      </c>
      <c r="P93" s="65">
        <f>SUM('ketv. 7 '!AM92)</f>
        <v>373706.27</v>
      </c>
      <c r="Q93" s="65">
        <f>CL93*365</f>
        <v>440272.63</v>
      </c>
      <c r="R93" s="261">
        <f>CM93*365</f>
        <v>43956.210675182476</v>
      </c>
      <c r="S93" s="261">
        <f t="shared" ref="S93:S97" si="244">IF(YEAR($CH93)&gt;2018,($BI$4-$BC$4)*$AN93/($CH93-$BC$4),0)</f>
        <v>0</v>
      </c>
      <c r="T93" s="261">
        <f t="shared" ref="T93:T97" si="245">IF(YEAR($CH93)&gt;2018,($BI$4-$BC$4)*$AP93/($CH93-$BC$4),0)</f>
        <v>0</v>
      </c>
      <c r="U93" s="261">
        <f t="shared" ref="U93:U97" si="246">IF(YEAR($CH93)&gt;2018,($BI$4-$BC$4)*$AR93/($CH93-$BC$4),0)</f>
        <v>0</v>
      </c>
      <c r="V93" s="65">
        <f>CO93*365</f>
        <v>374231.73000000004</v>
      </c>
      <c r="W93" s="65">
        <f>IF(YEAR($CH93)=2019,($CH93-$BI$4)*$AJ93/($CH93-$BC$4),0)</f>
        <v>0</v>
      </c>
      <c r="X93" s="261">
        <f>IF(YEAR($CH93)=2019,($CH93-$BI$4)*$AL93/($CH93-$BC$4),0)</f>
        <v>0</v>
      </c>
      <c r="Y93" s="261">
        <f>IF(YEAR($CH93)=2019,($CH93-$BI$4)*AN$92/($CH93-$BC$4),0)</f>
        <v>0</v>
      </c>
      <c r="Z93" s="261">
        <f>IF(YEAR($CH93)=2019,($CH93-$BI$4)*$AP93/($CH93-$BC$4),0)</f>
        <v>0</v>
      </c>
      <c r="AA93" s="261">
        <f>IF(YEAR($CH93)=2019,($CH93-$BI$4)*$AR93/($CH93-$BC$4),0)</f>
        <v>0</v>
      </c>
      <c r="AB93" s="65">
        <f>IF(YEAR($CH93)=2019,($CH93-$BI$4)*$AT93/($CH93-$BC$4),0)</f>
        <v>0</v>
      </c>
      <c r="AC93" s="65">
        <v>0</v>
      </c>
      <c r="AD93" s="261">
        <v>0</v>
      </c>
      <c r="AE93" s="261">
        <v>0</v>
      </c>
      <c r="AF93" s="261">
        <v>0</v>
      </c>
      <c r="AG93" s="261">
        <v>0</v>
      </c>
      <c r="AH93" s="65">
        <v>0</v>
      </c>
      <c r="AI93" s="664">
        <f>SUM('3 pr-2'!L94)</f>
        <v>879927.06</v>
      </c>
      <c r="AJ93" s="904">
        <f t="shared" si="227"/>
        <v>440272.63</v>
      </c>
      <c r="AK93" s="257">
        <f>SUM('3 pr-2'!O94)</f>
        <v>131989.06</v>
      </c>
      <c r="AL93" s="438">
        <f t="shared" si="205"/>
        <v>66040.899999999994</v>
      </c>
      <c r="AM93" s="257">
        <f>SUM('3 pr-2'!R94)</f>
        <v>0</v>
      </c>
      <c r="AN93" s="438">
        <f t="shared" si="183"/>
        <v>0</v>
      </c>
      <c r="AO93" s="257">
        <f>SUM('3 pr-2'!U94)</f>
        <v>0</v>
      </c>
      <c r="AP93" s="438">
        <f t="shared" si="184"/>
        <v>0</v>
      </c>
      <c r="AQ93" s="257">
        <f>SUM('3 pr-2'!X94)</f>
        <v>0</v>
      </c>
      <c r="AR93" s="476"/>
      <c r="AS93" s="328">
        <f>SUM('3 pr-2'!AA94)</f>
        <v>747938</v>
      </c>
      <c r="AT93" s="438">
        <f t="shared" si="228"/>
        <v>374231.73</v>
      </c>
      <c r="AU93" s="894"/>
      <c r="AV93" s="914"/>
      <c r="AW93" s="914"/>
      <c r="AX93" s="258"/>
      <c r="AY93" s="258"/>
      <c r="AZ93" s="258"/>
      <c r="BA93" s="258"/>
      <c r="BB93" s="914"/>
      <c r="BC93" s="914"/>
      <c r="BD93" s="258"/>
      <c r="BE93" s="258"/>
      <c r="BF93" s="258"/>
      <c r="BG93" s="258"/>
      <c r="BH93" s="914"/>
      <c r="BI93" s="914"/>
      <c r="BJ93" s="258"/>
      <c r="BK93" s="258"/>
      <c r="BL93" s="258"/>
      <c r="BM93" s="258"/>
      <c r="BN93" s="914"/>
      <c r="BO93" s="914"/>
      <c r="BP93" s="258"/>
      <c r="BQ93" s="258"/>
      <c r="BR93" s="258"/>
      <c r="BS93" s="258"/>
      <c r="BT93" s="914"/>
      <c r="BU93" s="914"/>
      <c r="BV93" s="258"/>
      <c r="BW93" s="258"/>
      <c r="BX93" s="258"/>
      <c r="BY93" s="258"/>
      <c r="BZ93" s="914"/>
      <c r="CA93" s="20"/>
      <c r="CB93" s="258"/>
      <c r="CC93" s="258"/>
      <c r="CD93" s="258"/>
      <c r="CE93" s="258"/>
      <c r="CF93" s="325"/>
      <c r="CG93" s="931">
        <f>SUM('3 pr-2'!AI94)</f>
        <v>42931</v>
      </c>
      <c r="CH93" s="931">
        <f>SUM('3 pr-2'!AK94)</f>
        <v>43465</v>
      </c>
      <c r="CI93" s="58">
        <f>SUM(P93+V93+AB93+AH93)</f>
        <v>747938</v>
      </c>
      <c r="CJ93" s="58">
        <f>SUM(CI93-AS93)</f>
        <v>0</v>
      </c>
      <c r="CK93" s="58">
        <f t="shared" ref="CK93:CK98" si="247">SUM(K93+Q93+W93+AC93)</f>
        <v>879927.06</v>
      </c>
      <c r="CL93" s="985">
        <f>SUM(AJ93/365)</f>
        <v>1206.2263835616438</v>
      </c>
      <c r="CM93" s="985">
        <f>SUM(AK93/1096)</f>
        <v>120.42797445255474</v>
      </c>
      <c r="CN93" s="985">
        <f>SUM(AR93/1096)</f>
        <v>0</v>
      </c>
      <c r="CO93" s="987">
        <f>SUM(AT93/365)</f>
        <v>1025.2924109589042</v>
      </c>
      <c r="CP93" s="21">
        <f>SUM(CH93-K3)</f>
        <v>365</v>
      </c>
    </row>
    <row r="94" spans="1:98" ht="24.75" thickBot="1">
      <c r="A94" s="8" t="str">
        <f>CONCATENATE('3 pr-2'!A95)</f>
        <v>1.1.2.4.3.</v>
      </c>
      <c r="B94" s="8" t="str">
        <f>CONCATENATE('3 pr-2'!D95)</f>
        <v>Saugaus eismo priemonių diegimas Alytaus mieste</v>
      </c>
      <c r="C94" s="65">
        <v>0</v>
      </c>
      <c r="D94" s="65">
        <v>0</v>
      </c>
      <c r="E94" s="65">
        <v>0</v>
      </c>
      <c r="F94" s="257">
        <v>0</v>
      </c>
      <c r="G94" s="257">
        <v>0</v>
      </c>
      <c r="H94" s="257">
        <v>0</v>
      </c>
      <c r="I94" s="257">
        <v>0</v>
      </c>
      <c r="J94" s="65">
        <v>0</v>
      </c>
      <c r="K94" s="65">
        <f>SUM('ketv. 7 '!M93)</f>
        <v>0</v>
      </c>
      <c r="L94" s="261">
        <f>SUM('ketv. 7 '!S93)</f>
        <v>0</v>
      </c>
      <c r="M94" s="261">
        <f>IF(YEAR($CG$92)=2017,($BC$4-$CG$92)*AM$92/($CH$92-$CG$92))</f>
        <v>0</v>
      </c>
      <c r="N94" s="261">
        <f>IF(YEAR($CG$92)=2017,($BC$4-$CG$92)*AO$92/($CH$92-$CG$92))</f>
        <v>0</v>
      </c>
      <c r="O94" s="261">
        <f>SUM('ketv. 7 '!AH93)</f>
        <v>0</v>
      </c>
      <c r="P94" s="65">
        <f>SUM('ketv. 7 '!AM93)</f>
        <v>0</v>
      </c>
      <c r="Q94" s="65">
        <f>CL94*30</f>
        <v>20821.275949367089</v>
      </c>
      <c r="R94" s="261">
        <f>CM94*30</f>
        <v>3123.1913924050627</v>
      </c>
      <c r="S94" s="261">
        <f t="shared" si="244"/>
        <v>0</v>
      </c>
      <c r="T94" s="261">
        <f t="shared" si="245"/>
        <v>0</v>
      </c>
      <c r="U94" s="261">
        <f t="shared" si="246"/>
        <v>0</v>
      </c>
      <c r="V94" s="65">
        <f>CO94*30</f>
        <v>17698.084556962025</v>
      </c>
      <c r="W94" s="65">
        <f>CL94*365</f>
        <v>253325.5240506329</v>
      </c>
      <c r="X94" s="261">
        <f>CM94*365</f>
        <v>37998.828607594929</v>
      </c>
      <c r="Y94" s="261">
        <f>IF(YEAR($CH94)=2019,($CH94-$BI$4)*AN$92/($CH94-$BC$4),0)</f>
        <v>0</v>
      </c>
      <c r="Z94" s="261">
        <f>IF(YEAR($CH94)=2019,($CH94-$BI$4)*$AP94/($CH94-$BC$4),0)</f>
        <v>0</v>
      </c>
      <c r="AA94" s="261">
        <f>IF(YEAR($CH94)=2019,($CH94-$BI$4)*$AR94/($CH94-$BC$4),0)</f>
        <v>0</v>
      </c>
      <c r="AB94" s="65">
        <f>CO94*365</f>
        <v>215326.69544303796</v>
      </c>
      <c r="AC94" s="61">
        <v>0</v>
      </c>
      <c r="AD94" s="262">
        <v>0</v>
      </c>
      <c r="AE94" s="262">
        <v>0</v>
      </c>
      <c r="AF94" s="262">
        <v>0</v>
      </c>
      <c r="AG94" s="262">
        <v>0</v>
      </c>
      <c r="AH94" s="61">
        <v>0</v>
      </c>
      <c r="AI94" s="664">
        <f>SUM('3 pr-2'!L95)</f>
        <v>274146.8</v>
      </c>
      <c r="AJ94" s="904">
        <f t="shared" si="227"/>
        <v>274146.8</v>
      </c>
      <c r="AK94" s="257">
        <f>SUM('3 pr-2'!O95)</f>
        <v>41122.019999999997</v>
      </c>
      <c r="AL94" s="438">
        <f t="shared" si="205"/>
        <v>41122.019999999997</v>
      </c>
      <c r="AM94" s="257">
        <f>SUM('3 pr-2'!R95)</f>
        <v>0</v>
      </c>
      <c r="AN94" s="438">
        <f t="shared" si="183"/>
        <v>0</v>
      </c>
      <c r="AO94" s="257">
        <f>SUM('3 pr-2'!U95)</f>
        <v>0</v>
      </c>
      <c r="AP94" s="438">
        <f t="shared" si="184"/>
        <v>0</v>
      </c>
      <c r="AQ94" s="257">
        <f>SUM('3 pr-2'!X95)</f>
        <v>0</v>
      </c>
      <c r="AR94" s="476"/>
      <c r="AS94" s="328">
        <f>SUM('3 pr-2'!AA95)</f>
        <v>233024.78</v>
      </c>
      <c r="AT94" s="438">
        <f t="shared" si="228"/>
        <v>233024.78</v>
      </c>
      <c r="AU94" s="894"/>
      <c r="AV94" s="914"/>
      <c r="AW94" s="914"/>
      <c r="AX94" s="258"/>
      <c r="AY94" s="258"/>
      <c r="AZ94" s="258"/>
      <c r="BA94" s="258"/>
      <c r="BB94" s="914"/>
      <c r="BC94" s="914"/>
      <c r="BD94" s="258"/>
      <c r="BE94" s="258"/>
      <c r="BF94" s="258"/>
      <c r="BG94" s="258"/>
      <c r="BH94" s="914"/>
      <c r="BI94" s="914"/>
      <c r="BJ94" s="258"/>
      <c r="BK94" s="258"/>
      <c r="BL94" s="258"/>
      <c r="BM94" s="258"/>
      <c r="BN94" s="914"/>
      <c r="BO94" s="914"/>
      <c r="BP94" s="258"/>
      <c r="BQ94" s="258"/>
      <c r="BR94" s="258"/>
      <c r="BS94" s="258"/>
      <c r="BT94" s="914"/>
      <c r="BU94" s="914"/>
      <c r="BV94" s="258"/>
      <c r="BW94" s="258"/>
      <c r="BX94" s="258"/>
      <c r="BY94" s="258"/>
      <c r="BZ94" s="914"/>
      <c r="CA94" s="20"/>
      <c r="CB94" s="258"/>
      <c r="CC94" s="258"/>
      <c r="CD94" s="258"/>
      <c r="CE94" s="258"/>
      <c r="CF94" s="325"/>
      <c r="CG94" s="931">
        <f>SUM('3 pr-2'!AI95)</f>
        <v>43419</v>
      </c>
      <c r="CH94" s="931">
        <f>SUM('3 pr-2'!AK95)</f>
        <v>43829</v>
      </c>
      <c r="CI94" s="58">
        <f t="shared" ref="CI94:CI98" si="248">SUM(P94+V94+AB94+AH94)</f>
        <v>233024.77999999997</v>
      </c>
      <c r="CJ94" s="58">
        <f>SUM(CI94-AS94)</f>
        <v>-2.9103830456733704E-11</v>
      </c>
      <c r="CK94" s="58">
        <f t="shared" si="247"/>
        <v>274146.8</v>
      </c>
      <c r="CL94" s="985">
        <f>SUM(AJ94/395)</f>
        <v>694.04253164556962</v>
      </c>
      <c r="CM94" s="985">
        <f>SUM(AK94/395)</f>
        <v>104.10637974683543</v>
      </c>
      <c r="CN94" s="985">
        <f>SUM(AR94/1096)</f>
        <v>0</v>
      </c>
      <c r="CO94" s="987">
        <f>SUM(AT94/395)</f>
        <v>589.93615189873412</v>
      </c>
      <c r="CP94" s="21">
        <f>SUM(CH94-CG94)</f>
        <v>410</v>
      </c>
      <c r="CQ94" s="21">
        <v>30</v>
      </c>
      <c r="CR94" s="21">
        <v>365</v>
      </c>
    </row>
    <row r="95" spans="1:98" ht="24.75" thickBot="1">
      <c r="A95" s="8" t="str">
        <f>CONCATENATE('3 pr-2'!A96)</f>
        <v>1.1.2.4.4</v>
      </c>
      <c r="B95" s="8" t="str">
        <f>CONCATENATE('3 pr-2'!D96)</f>
        <v>Eismo saugos priemonių diegimas Alytaus rajono savivaldybėje</v>
      </c>
      <c r="C95" s="65">
        <v>0</v>
      </c>
      <c r="D95" s="65">
        <v>0</v>
      </c>
      <c r="E95" s="65">
        <v>0</v>
      </c>
      <c r="F95" s="257">
        <v>0</v>
      </c>
      <c r="G95" s="257">
        <v>0</v>
      </c>
      <c r="H95" s="257">
        <v>0</v>
      </c>
      <c r="I95" s="257">
        <v>0</v>
      </c>
      <c r="J95" s="65">
        <v>0</v>
      </c>
      <c r="K95" s="65">
        <f>SUM('ketv. 7 '!M94)</f>
        <v>0</v>
      </c>
      <c r="L95" s="261">
        <f>SUM('ketv. 7 '!S94)</f>
        <v>0</v>
      </c>
      <c r="M95" s="261">
        <f>IF(YEAR($CG$95)=2017,($BC$4-$CG$95)*AM$95/($CH$95-$CG$95),0)</f>
        <v>0</v>
      </c>
      <c r="N95" s="261">
        <f>IF(YEAR($CG$95)=2017,($BC$4-$CG$95)*AO$95/($CH$95-$CG$95),0)</f>
        <v>0</v>
      </c>
      <c r="O95" s="261">
        <f>SUM('ketv. 7 '!AH94)</f>
        <v>0</v>
      </c>
      <c r="P95" s="65">
        <f>SUM('ketv. 7 '!AM94)</f>
        <v>0</v>
      </c>
      <c r="Q95" s="65">
        <f>SUM($CL$95*92)</f>
        <v>69269.189479452049</v>
      </c>
      <c r="R95" s="261">
        <f>SUM(CM95*92)</f>
        <v>18645.49632876712</v>
      </c>
      <c r="S95" s="261">
        <f>IF(YEAR($CH95)&gt;2018,($BI$4-$CG$95)*$AN95/($CH95-$CG$95),0)</f>
        <v>0</v>
      </c>
      <c r="T95" s="261">
        <f>IF(YEAR($CH95)&gt;2018,($BI$4-$CG$95)*$AP95/($CH95-$CG$95),0)</f>
        <v>0</v>
      </c>
      <c r="U95" s="261">
        <f>IF(YEAR($CH95)&gt;2018,($BI$4-$CG$95)*$AR95/($CH95-$CG$95),0)</f>
        <v>0</v>
      </c>
      <c r="V95" s="65">
        <f>SUM(CO95*92)</f>
        <v>50623.693150684929</v>
      </c>
      <c r="W95" s="65">
        <f>SUM(CL95*273)</f>
        <v>205548.79052054792</v>
      </c>
      <c r="X95" s="261">
        <f>SUM(CM95*273)</f>
        <v>55328.483671232869</v>
      </c>
      <c r="Y95" s="261">
        <f>IF(YEAR($CH95)&gt;2019,($BO$4-$BI$4)*AN$92/($CH95-$CG$95),0)</f>
        <v>0</v>
      </c>
      <c r="Z95" s="261">
        <f>IF(YEAR($CH95)&gt;2019,($BO$4-$BI$4)*$AP95/($CH95-$CG$95),0)</f>
        <v>0</v>
      </c>
      <c r="AA95" s="261">
        <f>IF(YEAR($CH95)&gt;2019,($BO$4-$BI$4)*$AR95/($CH95-$CG$95),0)</f>
        <v>0</v>
      </c>
      <c r="AB95" s="65">
        <f>SUM(CO95*273)</f>
        <v>150220.30684931506</v>
      </c>
      <c r="AC95" s="65">
        <f>IF(YEAR($CH$95)=2020,($CH$95-$BO$4)*AI$95/($CH$95-$CG$95),0)</f>
        <v>0</v>
      </c>
      <c r="AD95" s="257">
        <f>IF(YEAR($CH$95)=2020,($CH$95-$BO$4)*AK$95/($CH$95-$CG$95),0)</f>
        <v>0</v>
      </c>
      <c r="AE95" s="257">
        <f>IF(YEAR($CH$95)=2020,($CH$95-$BO$4)*AM$95/($CH$95-$CG$95),0)</f>
        <v>0</v>
      </c>
      <c r="AF95" s="257">
        <f>IF(YEAR($CH$95)=2020,($CH$95-$BO$4)*AO$95/($CH$95-$CG$95),0)</f>
        <v>0</v>
      </c>
      <c r="AG95" s="257">
        <f>IF(YEAR($CH$95)=2020,($CH$95-$BO$4)*AQ$95/($CH$95-$CG$95),0)</f>
        <v>0</v>
      </c>
      <c r="AH95" s="65">
        <f>IF(YEAR($CH$95)=2020,($CH$95-$BO$4)*AS$95/($CH$95-$CG$95),0)</f>
        <v>0</v>
      </c>
      <c r="AI95" s="664">
        <f>SUM('3 pr-2'!L96)</f>
        <v>274817.98</v>
      </c>
      <c r="AJ95" s="904">
        <f t="shared" si="227"/>
        <v>274817.98</v>
      </c>
      <c r="AK95" s="257">
        <f>SUM('3 pr-2'!O96)</f>
        <v>73973.98</v>
      </c>
      <c r="AL95" s="438">
        <f t="shared" si="205"/>
        <v>73973.98</v>
      </c>
      <c r="AM95" s="257">
        <f>SUM('3 pr-2'!R96)</f>
        <v>0</v>
      </c>
      <c r="AN95" s="438">
        <f t="shared" si="183"/>
        <v>0</v>
      </c>
      <c r="AO95" s="257">
        <f>SUM('3 pr-2'!U96)</f>
        <v>0</v>
      </c>
      <c r="AP95" s="438">
        <f t="shared" si="184"/>
        <v>0</v>
      </c>
      <c r="AQ95" s="257">
        <f>SUM('3 pr-2'!X96)</f>
        <v>0</v>
      </c>
      <c r="AR95" s="476"/>
      <c r="AS95" s="328">
        <f>SUM('3 pr-2'!AA96)</f>
        <v>200844</v>
      </c>
      <c r="AT95" s="438">
        <f t="shared" si="228"/>
        <v>200844</v>
      </c>
      <c r="AU95" s="894"/>
      <c r="AV95" s="914"/>
      <c r="AW95" s="914"/>
      <c r="AX95" s="258"/>
      <c r="AY95" s="258"/>
      <c r="AZ95" s="258"/>
      <c r="BA95" s="258"/>
      <c r="BB95" s="914"/>
      <c r="BC95" s="914"/>
      <c r="BD95" s="258"/>
      <c r="BE95" s="258"/>
      <c r="BF95" s="258"/>
      <c r="BG95" s="258"/>
      <c r="BH95" s="914"/>
      <c r="BI95" s="914"/>
      <c r="BJ95" s="258"/>
      <c r="BK95" s="258"/>
      <c r="BL95" s="258"/>
      <c r="BM95" s="258"/>
      <c r="BN95" s="914"/>
      <c r="BO95" s="914"/>
      <c r="BP95" s="258"/>
      <c r="BQ95" s="258"/>
      <c r="BR95" s="258"/>
      <c r="BS95" s="258"/>
      <c r="BT95" s="914"/>
      <c r="BU95" s="914"/>
      <c r="BV95" s="258"/>
      <c r="BW95" s="258"/>
      <c r="BX95" s="258"/>
      <c r="BY95" s="258"/>
      <c r="BZ95" s="914"/>
      <c r="CA95" s="20"/>
      <c r="CB95" s="258"/>
      <c r="CC95" s="258"/>
      <c r="CD95" s="258"/>
      <c r="CE95" s="258"/>
      <c r="CF95" s="325"/>
      <c r="CG95" s="931">
        <f>SUM('3 pr-2'!AI96)</f>
        <v>43373</v>
      </c>
      <c r="CH95" s="931">
        <f>SUM('3 pr-2'!AK96)</f>
        <v>43738</v>
      </c>
      <c r="CI95" s="58">
        <f>SUM(J95+P95+V95+AB95+AH95)</f>
        <v>200844</v>
      </c>
      <c r="CJ95" s="21">
        <f>SUM(AT95-CI95)</f>
        <v>0</v>
      </c>
      <c r="CK95" s="58">
        <f t="shared" si="247"/>
        <v>274817.98</v>
      </c>
      <c r="CL95" s="985">
        <f>SUM(AJ95/365)</f>
        <v>752.92597260273965</v>
      </c>
      <c r="CM95" s="985">
        <f>SUM(AK95/365)</f>
        <v>202.66843835616436</v>
      </c>
      <c r="CN95" s="985">
        <f>SUM(AN95/365)</f>
        <v>0</v>
      </c>
      <c r="CO95" s="987">
        <f>SUM(AT95/365)</f>
        <v>550.25753424657535</v>
      </c>
      <c r="CP95" s="21">
        <f>SUM(CH95-CG95)</f>
        <v>365</v>
      </c>
      <c r="CQ95" s="21">
        <v>92</v>
      </c>
      <c r="CR95" s="21">
        <v>273</v>
      </c>
    </row>
    <row r="96" spans="1:98" ht="24.75" thickBot="1">
      <c r="A96" s="8" t="str">
        <f>CONCATENATE('3 pr-2'!A97)</f>
        <v>1.1.2.4.5</v>
      </c>
      <c r="B96" s="8" t="str">
        <f>CONCATENATE('3 pr-2'!D97)</f>
        <v>M.K. Čiurlionio gatvės atkarpos Druskininkų m. rekonstrukcija</v>
      </c>
      <c r="C96" s="65">
        <v>0</v>
      </c>
      <c r="D96" s="65">
        <v>0</v>
      </c>
      <c r="E96" s="65">
        <v>0</v>
      </c>
      <c r="F96" s="257">
        <v>0</v>
      </c>
      <c r="G96" s="257">
        <v>0</v>
      </c>
      <c r="H96" s="257">
        <v>0</v>
      </c>
      <c r="I96" s="257">
        <v>0</v>
      </c>
      <c r="J96" s="65">
        <v>0</v>
      </c>
      <c r="K96" s="65">
        <f>SUM('ketv. 7 '!M95)</f>
        <v>0</v>
      </c>
      <c r="L96" s="261">
        <f>SUM('ketv. 7 '!S95)</f>
        <v>0</v>
      </c>
      <c r="M96" s="261">
        <f>IF(YEAR($CG$96)=2017,($BC$4-$CG$96)*AM$96/($CH$96-$CG$96),0)</f>
        <v>0</v>
      </c>
      <c r="N96" s="261">
        <f>IF(YEAR($CG$96)=2017,($BC$4-$CG$96)*AO$96/($CH$96-$CG$96),0)</f>
        <v>0</v>
      </c>
      <c r="O96" s="261">
        <f>SUM('ketv. 7 '!AH95)</f>
        <v>0</v>
      </c>
      <c r="P96" s="65">
        <f>SUM('ketv. 7 '!AM95)</f>
        <v>0</v>
      </c>
      <c r="Q96" s="65">
        <f t="shared" ref="Q96:Q97" si="249">IF(YEAR($CH96)&gt;2018,($BI$4-$BC$4)*$AJ96/($CH96-$BC$4),0)</f>
        <v>578118.5</v>
      </c>
      <c r="R96" s="261">
        <f t="shared" ref="R96:R97" si="250">IF(YEAR($CH96)&gt;2018,($BI$4-$BC$4)*$AL96/($CH96-$BC$4),0)</f>
        <v>385794</v>
      </c>
      <c r="S96" s="261">
        <f t="shared" si="244"/>
        <v>0</v>
      </c>
      <c r="T96" s="261">
        <f t="shared" si="245"/>
        <v>0</v>
      </c>
      <c r="U96" s="261">
        <f t="shared" si="246"/>
        <v>0</v>
      </c>
      <c r="V96" s="65">
        <f t="shared" ref="V96:V97" si="251">IF(YEAR($CH96)&gt;2018,($BI$4-$BC$4)*$AT96/($CH96-$BC$4),0)</f>
        <v>192324.5</v>
      </c>
      <c r="W96" s="65">
        <f>IF(YEAR($CH96)=2019,($CH96-$BI$4)*$AJ96/($CH96-$BC$4),0)</f>
        <v>578118.5</v>
      </c>
      <c r="X96" s="261">
        <f>IF(YEAR($CH96)=2019,($CH96-$BI$4)*$AL96/($CH96-$BC$4),0)</f>
        <v>385794</v>
      </c>
      <c r="Y96" s="261">
        <f>IF(YEAR($CH96)=2019,($CH96-$BI$4)*AN$92/($CH96-$BC$4),0)</f>
        <v>0</v>
      </c>
      <c r="Z96" s="261">
        <f>IF(YEAR($CH96)=2019,($CH96-$BI$4)*$AP96/($CH96-$BC$4),0)</f>
        <v>0</v>
      </c>
      <c r="AA96" s="261">
        <f>IF(YEAR($CH96)=2019,($CH96-$BI$4)*$AR96/($CH96-$BC$4),0)</f>
        <v>0</v>
      </c>
      <c r="AB96" s="65">
        <f>IF(YEAR($CH96)=2019,($CH96-$BI$4)*$AT96/($CH96-$BC$4),0)</f>
        <v>192324.5</v>
      </c>
      <c r="AC96" s="61">
        <v>0</v>
      </c>
      <c r="AD96" s="262">
        <v>0</v>
      </c>
      <c r="AE96" s="262">
        <v>0</v>
      </c>
      <c r="AF96" s="262">
        <v>0</v>
      </c>
      <c r="AG96" s="262">
        <v>0</v>
      </c>
      <c r="AH96" s="61">
        <v>0</v>
      </c>
      <c r="AI96" s="664">
        <f>SUM('3 pr-2'!L97)</f>
        <v>1156237</v>
      </c>
      <c r="AJ96" s="904">
        <f t="shared" si="227"/>
        <v>1156237</v>
      </c>
      <c r="AK96" s="257">
        <f>SUM('3 pr-2'!O97)</f>
        <v>771588</v>
      </c>
      <c r="AL96" s="438">
        <f t="shared" si="205"/>
        <v>771588</v>
      </c>
      <c r="AM96" s="257">
        <f>SUM('3 pr-2'!R97)</f>
        <v>0</v>
      </c>
      <c r="AN96" s="438">
        <f t="shared" si="183"/>
        <v>0</v>
      </c>
      <c r="AO96" s="257">
        <f>SUM('3 pr-2'!U97)</f>
        <v>0</v>
      </c>
      <c r="AP96" s="438">
        <f t="shared" si="184"/>
        <v>0</v>
      </c>
      <c r="AQ96" s="257">
        <f>SUM('3 pr-2'!X97)</f>
        <v>0</v>
      </c>
      <c r="AR96" s="476"/>
      <c r="AS96" s="328">
        <f>SUM('3 pr-2'!AA97)</f>
        <v>384649</v>
      </c>
      <c r="AT96" s="438">
        <f t="shared" si="228"/>
        <v>384649</v>
      </c>
      <c r="AU96" s="894"/>
      <c r="AV96" s="914"/>
      <c r="AW96" s="914"/>
      <c r="AX96" s="258"/>
      <c r="AY96" s="258"/>
      <c r="AZ96" s="258"/>
      <c r="BA96" s="258"/>
      <c r="BB96" s="914"/>
      <c r="BC96" s="914"/>
      <c r="BD96" s="258"/>
      <c r="BE96" s="258"/>
      <c r="BF96" s="258"/>
      <c r="BG96" s="258"/>
      <c r="BH96" s="914"/>
      <c r="BI96" s="914"/>
      <c r="BJ96" s="258"/>
      <c r="BK96" s="258"/>
      <c r="BL96" s="258"/>
      <c r="BM96" s="258"/>
      <c r="BN96" s="914"/>
      <c r="BO96" s="914"/>
      <c r="BP96" s="258"/>
      <c r="BQ96" s="258"/>
      <c r="BR96" s="258"/>
      <c r="BS96" s="258"/>
      <c r="BT96" s="914"/>
      <c r="BU96" s="914"/>
      <c r="BV96" s="258"/>
      <c r="BW96" s="258"/>
      <c r="BX96" s="258"/>
      <c r="BY96" s="258"/>
      <c r="BZ96" s="914"/>
      <c r="CA96" s="20"/>
      <c r="CB96" s="258"/>
      <c r="CC96" s="258"/>
      <c r="CD96" s="258"/>
      <c r="CE96" s="258"/>
      <c r="CF96" s="325"/>
      <c r="CG96" s="931">
        <f>SUM('3 pr-2'!AI97)</f>
        <v>43419</v>
      </c>
      <c r="CH96" s="931">
        <f>SUM('3 pr-2'!AK97)</f>
        <v>43830</v>
      </c>
      <c r="CI96" s="58">
        <f t="shared" si="248"/>
        <v>384649</v>
      </c>
      <c r="CK96" s="58">
        <f t="shared" si="247"/>
        <v>1156237</v>
      </c>
    </row>
    <row r="97" spans="1:96" ht="48.75" thickBot="1">
      <c r="A97" s="8" t="str">
        <f>CONCATENATE('3 pr-2'!A98)</f>
        <v>1.1.2.4.6</v>
      </c>
      <c r="B97" s="8" t="str">
        <f>CONCATENATE('3 pr-2'!D98)</f>
        <v>Lazdijų miesto Seinų ir Lazdijos gatvių bei vietinės reikšmės kelio nuo Janonio gatvės iki Lazdijų hipodromo rekonstravimas</v>
      </c>
      <c r="C97" s="65">
        <v>0</v>
      </c>
      <c r="D97" s="65">
        <v>0</v>
      </c>
      <c r="E97" s="65">
        <v>0</v>
      </c>
      <c r="F97" s="257">
        <v>0</v>
      </c>
      <c r="G97" s="257">
        <v>0</v>
      </c>
      <c r="H97" s="257">
        <v>0</v>
      </c>
      <c r="I97" s="257">
        <v>0</v>
      </c>
      <c r="J97" s="65">
        <v>0</v>
      </c>
      <c r="K97" s="65">
        <f>SUM('ketv. 7 '!M96)</f>
        <v>0</v>
      </c>
      <c r="L97" s="261">
        <f>SUM('ketv. 7 '!S96)</f>
        <v>0</v>
      </c>
      <c r="M97" s="261">
        <f>IF(YEAR($CG$96)=2017,($BC$4-$CG$96)*AM$96/($CH$96-$CG$96),0)</f>
        <v>0</v>
      </c>
      <c r="N97" s="261">
        <f>IF(YEAR($CG$96)=2017,($BC$4-$CG$96)*AO$96/($CH$96-$CG$96),0)</f>
        <v>0</v>
      </c>
      <c r="O97" s="261">
        <f>SUM('ketv. 7 '!AH96)</f>
        <v>0</v>
      </c>
      <c r="P97" s="65">
        <f>SUM('ketv. 7 '!AM96)</f>
        <v>0</v>
      </c>
      <c r="Q97" s="65">
        <f t="shared" si="249"/>
        <v>379967</v>
      </c>
      <c r="R97" s="261">
        <f t="shared" si="250"/>
        <v>56995</v>
      </c>
      <c r="S97" s="261">
        <f t="shared" si="244"/>
        <v>0</v>
      </c>
      <c r="T97" s="261">
        <f t="shared" si="245"/>
        <v>0</v>
      </c>
      <c r="U97" s="261">
        <f t="shared" si="246"/>
        <v>0</v>
      </c>
      <c r="V97" s="65">
        <f t="shared" si="251"/>
        <v>322972</v>
      </c>
      <c r="W97" s="65">
        <f>IF(YEAR($CH97)=2019,($CH97-$BI$4)*$AJ97/($CH97-$BC$4),0)</f>
        <v>379967</v>
      </c>
      <c r="X97" s="261">
        <f>IF(YEAR($CH97)=2019,($CH97-$BI$4)*$AL97/($CH97-$BC$4),0)</f>
        <v>56995</v>
      </c>
      <c r="Y97" s="261">
        <f>IF(YEAR($CH97)=2019,($CH97-$BI$4)*AN$92/($CH97-$BC$4),0)</f>
        <v>0</v>
      </c>
      <c r="Z97" s="261">
        <f>IF(YEAR($CH97)=2019,($CH97-$BI$4)*$AP97/($CH97-$BC$4),0)</f>
        <v>0</v>
      </c>
      <c r="AA97" s="261">
        <f>IF(YEAR($CH97)=2019,($CH97-$BI$4)*$AR97/($CH97-$BC$4),0)</f>
        <v>0</v>
      </c>
      <c r="AB97" s="65">
        <f>IF(YEAR($CH97)=2019,($CH97-$BI$4)*$AT97/($CH97-$BC$4),0)</f>
        <v>322972</v>
      </c>
      <c r="AC97" s="61">
        <v>0</v>
      </c>
      <c r="AD97" s="262">
        <v>0</v>
      </c>
      <c r="AE97" s="262">
        <v>0</v>
      </c>
      <c r="AF97" s="262">
        <v>0</v>
      </c>
      <c r="AG97" s="262">
        <v>0</v>
      </c>
      <c r="AH97" s="61">
        <v>0</v>
      </c>
      <c r="AI97" s="664">
        <f>SUM('3 pr-2'!L98)</f>
        <v>759934</v>
      </c>
      <c r="AJ97" s="904">
        <f t="shared" si="227"/>
        <v>759934</v>
      </c>
      <c r="AK97" s="257">
        <f>SUM('3 pr-2'!O98)</f>
        <v>113990</v>
      </c>
      <c r="AL97" s="438">
        <f t="shared" si="205"/>
        <v>113990</v>
      </c>
      <c r="AM97" s="257">
        <f>SUM('3 pr-2'!R98)</f>
        <v>0</v>
      </c>
      <c r="AN97" s="438">
        <f t="shared" si="183"/>
        <v>0</v>
      </c>
      <c r="AO97" s="257">
        <f>SUM('3 pr-2'!U98)</f>
        <v>0</v>
      </c>
      <c r="AP97" s="438">
        <f t="shared" si="184"/>
        <v>0</v>
      </c>
      <c r="AQ97" s="257">
        <f>SUM('3 pr-2'!X98)</f>
        <v>0</v>
      </c>
      <c r="AR97" s="476"/>
      <c r="AS97" s="328">
        <f>SUM('3 pr-2'!AA98)</f>
        <v>645944</v>
      </c>
      <c r="AT97" s="438">
        <f t="shared" si="228"/>
        <v>645944</v>
      </c>
      <c r="AU97" s="894"/>
      <c r="AV97" s="914"/>
      <c r="AW97" s="914"/>
      <c r="AX97" s="258"/>
      <c r="AY97" s="258"/>
      <c r="AZ97" s="258"/>
      <c r="BA97" s="258"/>
      <c r="BB97" s="914"/>
      <c r="BC97" s="914"/>
      <c r="BD97" s="258"/>
      <c r="BE97" s="258"/>
      <c r="BF97" s="258"/>
      <c r="BG97" s="258"/>
      <c r="BH97" s="914"/>
      <c r="BI97" s="914"/>
      <c r="BJ97" s="258"/>
      <c r="BK97" s="258"/>
      <c r="BL97" s="258"/>
      <c r="BM97" s="258"/>
      <c r="BN97" s="914"/>
      <c r="BO97" s="914"/>
      <c r="BP97" s="258"/>
      <c r="BQ97" s="258"/>
      <c r="BR97" s="258"/>
      <c r="BS97" s="258"/>
      <c r="BT97" s="914"/>
      <c r="BU97" s="914"/>
      <c r="BV97" s="258"/>
      <c r="BW97" s="258"/>
      <c r="BX97" s="258"/>
      <c r="BY97" s="258"/>
      <c r="BZ97" s="914"/>
      <c r="CA97" s="20"/>
      <c r="CB97" s="258"/>
      <c r="CC97" s="258"/>
      <c r="CD97" s="258"/>
      <c r="CE97" s="258"/>
      <c r="CF97" s="325"/>
      <c r="CG97" s="931">
        <f>SUM('3 pr-2'!AI98)</f>
        <v>43217</v>
      </c>
      <c r="CH97" s="931">
        <f>SUM('3 pr-2'!AK98)</f>
        <v>43830</v>
      </c>
      <c r="CI97" s="58">
        <f t="shared" si="248"/>
        <v>645944</v>
      </c>
      <c r="CK97" s="58">
        <f t="shared" si="247"/>
        <v>759934</v>
      </c>
    </row>
    <row r="98" spans="1:96" ht="24.75" thickBot="1">
      <c r="A98" s="8" t="str">
        <f>CONCATENATE('3 pr-2'!A99)</f>
        <v>1.1.2.4.7</v>
      </c>
      <c r="B98" s="8" t="str">
        <f>CONCATENATE('3 pr-2'!D99)</f>
        <v>Eismo saugumo priemonių diegimas Druskininkų savivaldybėje</v>
      </c>
      <c r="C98" s="65"/>
      <c r="D98" s="65"/>
      <c r="E98" s="65"/>
      <c r="F98" s="257"/>
      <c r="G98" s="257"/>
      <c r="H98" s="257"/>
      <c r="I98" s="257"/>
      <c r="J98" s="65"/>
      <c r="K98" s="65">
        <f>SUM('ketv. 7 '!M97)</f>
        <v>0</v>
      </c>
      <c r="L98" s="261">
        <f>SUM('ketv. 7 '!S97)</f>
        <v>0</v>
      </c>
      <c r="M98" s="261"/>
      <c r="N98" s="261"/>
      <c r="O98" s="261">
        <f>SUM('ketv. 7 '!AH97)</f>
        <v>0</v>
      </c>
      <c r="P98" s="65">
        <f>SUM('ketv. 7 '!AM97)</f>
        <v>0</v>
      </c>
      <c r="Q98" s="65"/>
      <c r="R98" s="261"/>
      <c r="S98" s="261"/>
      <c r="T98" s="261"/>
      <c r="U98" s="261"/>
      <c r="V98" s="65"/>
      <c r="W98" s="65">
        <f>SUM('3 pr-2'!L99)</f>
        <v>135352</v>
      </c>
      <c r="X98" s="261">
        <f>SUM('3 pr-2'!O99)</f>
        <v>22363</v>
      </c>
      <c r="Y98" s="261">
        <f>SUM('3 pr-2'!R99)</f>
        <v>0</v>
      </c>
      <c r="Z98" s="261">
        <f>SUM('3 pr-2'!U99)</f>
        <v>0</v>
      </c>
      <c r="AA98" s="261">
        <f>SUM('3 pr-2'!X99)</f>
        <v>0</v>
      </c>
      <c r="AB98" s="65">
        <f>SUM('3 pr-2'!AA99)</f>
        <v>112989</v>
      </c>
      <c r="AC98" s="61"/>
      <c r="AD98" s="262"/>
      <c r="AE98" s="262"/>
      <c r="AF98" s="262"/>
      <c r="AG98" s="262"/>
      <c r="AH98" s="61"/>
      <c r="AI98" s="664">
        <f>SUM('3 pr-2'!L99)</f>
        <v>135352</v>
      </c>
      <c r="AJ98" s="904">
        <f t="shared" si="227"/>
        <v>135352</v>
      </c>
      <c r="AK98" s="257">
        <f>SUM('3 pr-2'!O99)</f>
        <v>22363</v>
      </c>
      <c r="AL98" s="438">
        <f t="shared" si="205"/>
        <v>22363</v>
      </c>
      <c r="AM98" s="257">
        <f>SUM('3 pr-2'!R99)</f>
        <v>0</v>
      </c>
      <c r="AN98" s="438">
        <f t="shared" ref="AN98" si="252">SUM(AM98-M98)</f>
        <v>0</v>
      </c>
      <c r="AO98" s="257">
        <f>SUM('3 pr-2'!U99)</f>
        <v>0</v>
      </c>
      <c r="AP98" s="438">
        <f t="shared" ref="AP98" si="253">SUM(AO98-O98)</f>
        <v>0</v>
      </c>
      <c r="AQ98" s="257">
        <f>SUM('3 pr-2'!X99)</f>
        <v>0</v>
      </c>
      <c r="AR98" s="476"/>
      <c r="AS98" s="328">
        <f>SUM('3 pr-2'!AA99)</f>
        <v>112989</v>
      </c>
      <c r="AT98" s="438">
        <f t="shared" si="228"/>
        <v>112989</v>
      </c>
      <c r="AU98" s="932"/>
      <c r="AV98" s="932"/>
      <c r="AW98" s="932"/>
      <c r="AX98" s="933"/>
      <c r="AY98" s="933"/>
      <c r="AZ98" s="933"/>
      <c r="BA98" s="933"/>
      <c r="BB98" s="932"/>
      <c r="BC98" s="932"/>
      <c r="BD98" s="933"/>
      <c r="BE98" s="933"/>
      <c r="BF98" s="933"/>
      <c r="BG98" s="933"/>
      <c r="BH98" s="932"/>
      <c r="BI98" s="932"/>
      <c r="BJ98" s="933"/>
      <c r="BK98" s="933"/>
      <c r="BL98" s="933"/>
      <c r="BM98" s="933"/>
      <c r="BN98" s="932"/>
      <c r="BO98" s="932"/>
      <c r="BP98" s="933"/>
      <c r="BQ98" s="933"/>
      <c r="BR98" s="933"/>
      <c r="BS98" s="933"/>
      <c r="BT98" s="932"/>
      <c r="BU98" s="932"/>
      <c r="BV98" s="933"/>
      <c r="BW98" s="933"/>
      <c r="BX98" s="933"/>
      <c r="BY98" s="933"/>
      <c r="BZ98" s="932"/>
      <c r="CA98" s="934"/>
      <c r="CB98" s="933"/>
      <c r="CC98" s="933"/>
      <c r="CD98" s="933"/>
      <c r="CE98" s="933"/>
      <c r="CF98" s="935"/>
      <c r="CG98" s="931">
        <f>SUM('3 pr-2'!AI99)</f>
        <v>43585</v>
      </c>
      <c r="CH98" s="931">
        <f>SUM('3 pr-2'!AK99)</f>
        <v>43830</v>
      </c>
      <c r="CI98" s="58">
        <f t="shared" si="248"/>
        <v>112989</v>
      </c>
      <c r="CK98" s="58">
        <f t="shared" si="247"/>
        <v>135352</v>
      </c>
    </row>
    <row r="99" spans="1:96" ht="39.75" thickBot="1">
      <c r="A99" s="113" t="str">
        <f>CONCATENATE('3 pr-2'!A100)</f>
        <v>2.1.</v>
      </c>
      <c r="B99" s="101" t="str">
        <f>CONCATENATE('3 pr-2'!B100)</f>
        <v>Tikslas:
GERINTI VIEŠŲJŲ  PASLAUGŲ KOKYBĘ IR PRIEINAMUMĄ</v>
      </c>
      <c r="C99" s="936">
        <f>SUM(C100+C119+C146+C159)</f>
        <v>0</v>
      </c>
      <c r="D99" s="936">
        <f>SUM(D100+D119+D146+D159)</f>
        <v>0</v>
      </c>
      <c r="E99" s="936">
        <f>SUM(E100+E119+E146+E159)</f>
        <v>272169.55999999994</v>
      </c>
      <c r="F99" s="936"/>
      <c r="G99" s="936"/>
      <c r="H99" s="936"/>
      <c r="I99" s="936"/>
      <c r="J99" s="936">
        <f t="shared" ref="J99:Q99" si="254">SUM(J100+J119+J146+J159)</f>
        <v>239547.65159038958</v>
      </c>
      <c r="K99" s="936">
        <f t="shared" si="254"/>
        <v>1171598</v>
      </c>
      <c r="L99" s="937">
        <f t="shared" si="254"/>
        <v>107101.09159038957</v>
      </c>
      <c r="M99" s="937">
        <f t="shared" si="254"/>
        <v>2764.7</v>
      </c>
      <c r="N99" s="937">
        <f t="shared" si="254"/>
        <v>0</v>
      </c>
      <c r="O99" s="937">
        <f t="shared" si="254"/>
        <v>0</v>
      </c>
      <c r="P99" s="936">
        <f t="shared" si="254"/>
        <v>1061732.2084096104</v>
      </c>
      <c r="Q99" s="936">
        <f t="shared" si="254"/>
        <v>4974116.6754301395</v>
      </c>
      <c r="R99" s="937"/>
      <c r="S99" s="937"/>
      <c r="T99" s="937"/>
      <c r="U99" s="937"/>
      <c r="V99" s="936">
        <f>SUM(V100+V119+V146+V159)</f>
        <v>3909798.156965707</v>
      </c>
      <c r="W99" s="936">
        <f>SUM(W100+W119+W146+W159)</f>
        <v>4439652.4167544954</v>
      </c>
      <c r="X99" s="937"/>
      <c r="Y99" s="937"/>
      <c r="Z99" s="937"/>
      <c r="AA99" s="937"/>
      <c r="AB99" s="936">
        <f>SUM(AB100+AB119+AB146+AB159)</f>
        <v>3560337.9342918256</v>
      </c>
      <c r="AC99" s="936">
        <f>SUM(AC100+AC119+AC146+AC159)</f>
        <v>1735427.1078153658</v>
      </c>
      <c r="AD99" s="937"/>
      <c r="AE99" s="937"/>
      <c r="AF99" s="937"/>
      <c r="AG99" s="937"/>
      <c r="AH99" s="936">
        <f>SUM(AH100+AH119+AH146+AH159)</f>
        <v>1473873.7587424675</v>
      </c>
      <c r="AI99" s="880">
        <f>SUM(AI100+AI119+AI146+AI159)</f>
        <v>12592963.76</v>
      </c>
      <c r="AJ99" s="936"/>
      <c r="AK99" s="936"/>
      <c r="AL99" s="936"/>
      <c r="AM99" s="936"/>
      <c r="AN99" s="936"/>
      <c r="AO99" s="936"/>
      <c r="AP99" s="936"/>
      <c r="AQ99" s="936"/>
      <c r="AR99" s="936"/>
      <c r="AS99" s="936">
        <f>SUM(AS100+AS119+AS146+AS159)</f>
        <v>10245289.709999999</v>
      </c>
      <c r="AT99" s="938"/>
      <c r="AX99" s="936"/>
      <c r="AY99" s="936"/>
      <c r="AZ99" s="936"/>
      <c r="BA99" s="936"/>
      <c r="BD99" s="936"/>
      <c r="BE99" s="936"/>
      <c r="BF99" s="936"/>
      <c r="BG99" s="936"/>
      <c r="BJ99" s="936"/>
      <c r="BK99" s="936"/>
      <c r="BL99" s="936"/>
      <c r="BM99" s="936"/>
      <c r="BP99" s="936"/>
      <c r="BQ99" s="936"/>
      <c r="BR99" s="936"/>
      <c r="BS99" s="936"/>
      <c r="BV99" s="936"/>
      <c r="BW99" s="936"/>
      <c r="BX99" s="936"/>
      <c r="BY99" s="936"/>
      <c r="CB99" s="936"/>
      <c r="CC99" s="936"/>
      <c r="CD99" s="936"/>
      <c r="CE99" s="936"/>
      <c r="CG99" s="19"/>
      <c r="CH99" s="19"/>
    </row>
    <row r="100" spans="1:96" ht="78" thickBot="1">
      <c r="A100" s="113" t="str">
        <f>CONCATENATE('3 pr-2'!A101)</f>
        <v>2.1.1.</v>
      </c>
      <c r="B100" s="102" t="str">
        <f>CONCATENATE('3 pr-2'!B101)</f>
        <v xml:space="preserve">Uždavinys:
Bendrojo ugdymo ir neformaliojo švietimo įstaigų (ypač vykdančių ikimokyklinio ir priešmokyklinio ugdymo programas) tinklo veiklos efektyvumo didinimas </v>
      </c>
      <c r="C100" s="939">
        <f t="shared" ref="C100:AS100" si="255">SUM(C101+C107+C113)</f>
        <v>0</v>
      </c>
      <c r="D100" s="939">
        <f t="shared" si="255"/>
        <v>0</v>
      </c>
      <c r="E100" s="939">
        <f t="shared" si="255"/>
        <v>0</v>
      </c>
      <c r="F100" s="939"/>
      <c r="G100" s="939"/>
      <c r="H100" s="939"/>
      <c r="I100" s="939"/>
      <c r="J100" s="939">
        <f t="shared" si="255"/>
        <v>0</v>
      </c>
      <c r="K100" s="939">
        <f t="shared" si="255"/>
        <v>0</v>
      </c>
      <c r="L100" s="940">
        <f t="shared" ref="L100:O100" si="256">SUM(L101+L107+L113)</f>
        <v>0</v>
      </c>
      <c r="M100" s="940">
        <f t="shared" si="256"/>
        <v>0</v>
      </c>
      <c r="N100" s="940">
        <f t="shared" si="256"/>
        <v>0</v>
      </c>
      <c r="O100" s="940">
        <f t="shared" si="256"/>
        <v>0</v>
      </c>
      <c r="P100" s="939">
        <f t="shared" si="255"/>
        <v>0</v>
      </c>
      <c r="Q100" s="939">
        <f t="shared" si="255"/>
        <v>2547061.0555623714</v>
      </c>
      <c r="R100" s="940"/>
      <c r="S100" s="940"/>
      <c r="T100" s="940"/>
      <c r="U100" s="940"/>
      <c r="V100" s="939">
        <f t="shared" si="255"/>
        <v>2011334.1751343193</v>
      </c>
      <c r="W100" s="939">
        <f t="shared" si="255"/>
        <v>2214890.7158290483</v>
      </c>
      <c r="X100" s="940"/>
      <c r="Y100" s="940"/>
      <c r="Z100" s="940"/>
      <c r="AA100" s="940"/>
      <c r="AB100" s="939">
        <f t="shared" si="255"/>
        <v>1743774.8036049455</v>
      </c>
      <c r="AC100" s="939">
        <f t="shared" si="255"/>
        <v>14915.588608580376</v>
      </c>
      <c r="AD100" s="940"/>
      <c r="AE100" s="940"/>
      <c r="AF100" s="940"/>
      <c r="AG100" s="940"/>
      <c r="AH100" s="939">
        <f t="shared" si="255"/>
        <v>11863.021260735077</v>
      </c>
      <c r="AI100" s="884">
        <f t="shared" si="255"/>
        <v>4776867.3599999994</v>
      </c>
      <c r="AJ100" s="939"/>
      <c r="AK100" s="939"/>
      <c r="AL100" s="939"/>
      <c r="AM100" s="939"/>
      <c r="AN100" s="939"/>
      <c r="AO100" s="939"/>
      <c r="AP100" s="939"/>
      <c r="AQ100" s="939"/>
      <c r="AR100" s="939"/>
      <c r="AS100" s="939">
        <f t="shared" si="255"/>
        <v>3766972</v>
      </c>
      <c r="AT100" s="941"/>
      <c r="AX100" s="939"/>
      <c r="AY100" s="939"/>
      <c r="AZ100" s="939"/>
      <c r="BA100" s="939"/>
      <c r="BD100" s="939"/>
      <c r="BE100" s="939"/>
      <c r="BF100" s="939"/>
      <c r="BG100" s="939"/>
      <c r="BJ100" s="939"/>
      <c r="BK100" s="939"/>
      <c r="BL100" s="939"/>
      <c r="BM100" s="939"/>
      <c r="BP100" s="939"/>
      <c r="BQ100" s="939"/>
      <c r="BR100" s="939"/>
      <c r="BS100" s="939"/>
      <c r="BV100" s="939"/>
      <c r="BW100" s="939"/>
      <c r="BX100" s="939"/>
      <c r="BY100" s="939"/>
      <c r="CB100" s="939"/>
      <c r="CC100" s="939"/>
      <c r="CD100" s="939"/>
      <c r="CE100" s="939"/>
      <c r="CG100" s="19"/>
      <c r="CH100" s="19"/>
    </row>
    <row r="101" spans="1:96" ht="39.75" thickBot="1">
      <c r="A101" s="253" t="str">
        <f>CONCATENATE('3 pr-2'!A102)</f>
        <v>2.1.1.1</v>
      </c>
      <c r="B101" s="103" t="str">
        <f>CONCATENATE('3 pr-2'!B102)</f>
        <v>Priemonė:
Mokyklų tinklo efektyvumo didinimas</v>
      </c>
      <c r="C101" s="910">
        <f t="shared" ref="C101:AS101" si="257">SUM(C102:C106)</f>
        <v>0</v>
      </c>
      <c r="D101" s="910">
        <f t="shared" si="257"/>
        <v>0</v>
      </c>
      <c r="E101" s="910">
        <f t="shared" si="257"/>
        <v>0</v>
      </c>
      <c r="F101" s="910"/>
      <c r="G101" s="910"/>
      <c r="H101" s="910"/>
      <c r="I101" s="910"/>
      <c r="J101" s="910">
        <f t="shared" si="257"/>
        <v>0</v>
      </c>
      <c r="K101" s="910">
        <f t="shared" si="257"/>
        <v>0</v>
      </c>
      <c r="L101" s="911">
        <f t="shared" ref="L101:O101" si="258">SUM(L102:L106)</f>
        <v>0</v>
      </c>
      <c r="M101" s="911">
        <f t="shared" si="258"/>
        <v>0</v>
      </c>
      <c r="N101" s="911">
        <f t="shared" si="258"/>
        <v>0</v>
      </c>
      <c r="O101" s="911">
        <f t="shared" si="258"/>
        <v>0</v>
      </c>
      <c r="P101" s="910">
        <f t="shared" si="257"/>
        <v>0</v>
      </c>
      <c r="Q101" s="910">
        <f t="shared" si="257"/>
        <v>700931.44465637743</v>
      </c>
      <c r="R101" s="911"/>
      <c r="S101" s="911"/>
      <c r="T101" s="911"/>
      <c r="U101" s="911"/>
      <c r="V101" s="910">
        <f t="shared" si="257"/>
        <v>595790.48269981251</v>
      </c>
      <c r="W101" s="910">
        <f t="shared" si="257"/>
        <v>643043.96534362272</v>
      </c>
      <c r="X101" s="911"/>
      <c r="Y101" s="911"/>
      <c r="Z101" s="911"/>
      <c r="AA101" s="911"/>
      <c r="AB101" s="910">
        <f t="shared" si="257"/>
        <v>546586.51730018738</v>
      </c>
      <c r="AC101" s="910">
        <f t="shared" si="257"/>
        <v>0</v>
      </c>
      <c r="AD101" s="911"/>
      <c r="AE101" s="911"/>
      <c r="AF101" s="911"/>
      <c r="AG101" s="911"/>
      <c r="AH101" s="910">
        <f t="shared" si="257"/>
        <v>0</v>
      </c>
      <c r="AI101" s="912">
        <f t="shared" si="257"/>
        <v>1343975.4100000001</v>
      </c>
      <c r="AJ101" s="910"/>
      <c r="AK101" s="910"/>
      <c r="AL101" s="910"/>
      <c r="AM101" s="910"/>
      <c r="AN101" s="910"/>
      <c r="AO101" s="910"/>
      <c r="AP101" s="910"/>
      <c r="AQ101" s="910"/>
      <c r="AR101" s="910"/>
      <c r="AS101" s="910">
        <f t="shared" si="257"/>
        <v>1142377</v>
      </c>
      <c r="AT101" s="910"/>
      <c r="AU101" s="889">
        <v>0</v>
      </c>
      <c r="AV101" s="20">
        <v>0</v>
      </c>
      <c r="AW101" s="20">
        <v>33.333333333333336</v>
      </c>
      <c r="AX101" s="910">
        <v>33.333333333333336</v>
      </c>
      <c r="AY101" s="910">
        <v>33.333333333333336</v>
      </c>
      <c r="AZ101" s="910">
        <v>33.333333333333336</v>
      </c>
      <c r="BA101" s="910">
        <v>33.333333333333336</v>
      </c>
      <c r="BB101" s="20">
        <v>33.333333333333336</v>
      </c>
      <c r="BC101" s="20">
        <v>33.333333333333336</v>
      </c>
      <c r="BD101" s="910">
        <v>33.333333333333336</v>
      </c>
      <c r="BE101" s="910">
        <v>33.333333333333336</v>
      </c>
      <c r="BF101" s="910">
        <v>33.333333333333336</v>
      </c>
      <c r="BG101" s="910">
        <v>33.333333333333336</v>
      </c>
      <c r="BH101" s="20">
        <v>33.333333333333336</v>
      </c>
      <c r="BI101" s="20">
        <v>33.333333333333336</v>
      </c>
      <c r="BJ101" s="910">
        <v>33.333333333333336</v>
      </c>
      <c r="BK101" s="910">
        <v>33.333333333333336</v>
      </c>
      <c r="BL101" s="910">
        <v>33.333333333333336</v>
      </c>
      <c r="BM101" s="910">
        <v>33.333333333333336</v>
      </c>
      <c r="BN101" s="20">
        <v>33.333333333333336</v>
      </c>
      <c r="BO101" s="20">
        <v>0</v>
      </c>
      <c r="BP101" s="910">
        <v>0</v>
      </c>
      <c r="BQ101" s="910">
        <v>0</v>
      </c>
      <c r="BR101" s="910">
        <v>0</v>
      </c>
      <c r="BS101" s="910">
        <v>0</v>
      </c>
      <c r="BT101" s="20">
        <v>0</v>
      </c>
      <c r="BU101" s="20">
        <v>0</v>
      </c>
      <c r="BV101" s="910">
        <v>0</v>
      </c>
      <c r="BW101" s="910">
        <v>0</v>
      </c>
      <c r="BX101" s="910">
        <v>0</v>
      </c>
      <c r="BY101" s="910">
        <v>0</v>
      </c>
      <c r="BZ101" s="20">
        <v>0</v>
      </c>
      <c r="CA101" s="20">
        <v>100</v>
      </c>
      <c r="CB101" s="910">
        <v>100</v>
      </c>
      <c r="CC101" s="910">
        <v>100</v>
      </c>
      <c r="CD101" s="910">
        <v>100</v>
      </c>
      <c r="CE101" s="910">
        <v>100</v>
      </c>
      <c r="CF101" s="325">
        <v>100</v>
      </c>
      <c r="CG101" s="19"/>
      <c r="CH101" s="19"/>
    </row>
    <row r="102" spans="1:96" ht="48.75" thickBot="1">
      <c r="A102" s="6" t="str">
        <f>CONCATENATE('3 pr-2'!A103)</f>
        <v>2.1.1.1.1</v>
      </c>
      <c r="B102" s="8" t="str">
        <f>CONCATENATE('3 pr-2'!D103)</f>
        <v>Varėnos r. Merkinės Vinco Krėvės gimnazijos laisvų patalpų pritaikymas ikimokyklinio ir priešmokyklinio ugdymo grupėms įrengti</v>
      </c>
      <c r="C102" s="65">
        <v>0</v>
      </c>
      <c r="D102" s="65">
        <v>0</v>
      </c>
      <c r="E102" s="65">
        <v>0</v>
      </c>
      <c r="F102" s="257">
        <v>0</v>
      </c>
      <c r="G102" s="257">
        <v>0</v>
      </c>
      <c r="H102" s="257">
        <v>0</v>
      </c>
      <c r="I102" s="257">
        <v>0</v>
      </c>
      <c r="J102" s="65">
        <v>0</v>
      </c>
      <c r="K102" s="65">
        <v>0</v>
      </c>
      <c r="L102" s="261">
        <v>0</v>
      </c>
      <c r="M102" s="261">
        <v>0</v>
      </c>
      <c r="N102" s="261">
        <v>0</v>
      </c>
      <c r="O102" s="261">
        <v>0</v>
      </c>
      <c r="P102" s="65">
        <v>0</v>
      </c>
      <c r="Q102" s="65">
        <f>SUM($Q$3-CG102)*CK102</f>
        <v>107598.37868162693</v>
      </c>
      <c r="R102" s="261">
        <f>SUM($Q$3-$CG$102)*CL102</f>
        <v>8069.8906030855533</v>
      </c>
      <c r="S102" s="261">
        <f>SUM($Q$3-$CG$102)*CM102</f>
        <v>8069.8906030855533</v>
      </c>
      <c r="T102" s="261">
        <f>IF(YEAR($CG$102)=2018,($BI$4-$CG$102)*AO$102/($CH$102-$CG$102))</f>
        <v>0</v>
      </c>
      <c r="U102" s="261">
        <f>IF(YEAR($CG$102)=2018,($BI$4-$CG$102)*AQ$102/($CH$102-$CG$102))</f>
        <v>0</v>
      </c>
      <c r="V102" s="326">
        <f>SUM($Q$3-$CG$102)*CN102</f>
        <v>91458.597475455812</v>
      </c>
      <c r="W102" s="65">
        <f>SUM(CH102-$Q$3)*CK102</f>
        <v>112854.62131837307</v>
      </c>
      <c r="X102" s="261">
        <f>SUM($CH$102-$Q$3)*CL102</f>
        <v>8464.1093969144458</v>
      </c>
      <c r="Y102" s="261">
        <f>SUM($CH$102-$Q$3)*CM102</f>
        <v>8464.1093969144458</v>
      </c>
      <c r="Z102" s="261">
        <f>IF(YEAR($CH$102)&gt;2018,($BO$4-$BI$4)*AO$102/($CH$102-$CG$102),0)</f>
        <v>0</v>
      </c>
      <c r="AA102" s="261">
        <f>IF(YEAR($CH$102)&gt;2018,($BO$4-$BI$4)*AQ$102/($CH$102-$CG$102),0)</f>
        <v>0</v>
      </c>
      <c r="AB102" s="326">
        <f>SUM($CH$102-$Q$3)*CN102</f>
        <v>95926.402524544174</v>
      </c>
      <c r="AC102" s="326">
        <f>IF(YEAR($CH$102)=2020,($CH$102-$BO$4)*AI$102/($CH$102-$CG$102),0)</f>
        <v>0</v>
      </c>
      <c r="AD102" s="261">
        <f>IF(YEAR($CH$102)=2020,($CH$102-$BO$4)*AK$102/($CH$102-$CG$102),0)</f>
        <v>0</v>
      </c>
      <c r="AE102" s="261">
        <f>IF(YEAR($CH$102)=2020,($CH$102-$BO$4)*AM$102/($CH$102-$CG$102),0)</f>
        <v>0</v>
      </c>
      <c r="AF102" s="261">
        <f>IF(YEAR($CH$102)=2020,($CH$102-$BO$4)*AO$102/($CH$102-$CG$102),0)</f>
        <v>0</v>
      </c>
      <c r="AG102" s="261">
        <f>IF(YEAR($CH$102)=2020,($CH$102-$BO$4)*AQ$102/($CH$102-$CG$102),0)</f>
        <v>0</v>
      </c>
      <c r="AH102" s="326">
        <f>IF(YEAR($CH$102)=2020,($CH$102-$BO$4)*AS$102/($CH$102-$CG$102),0)</f>
        <v>0</v>
      </c>
      <c r="AI102" s="664">
        <f>SUM('3 pr-2'!L103)</f>
        <v>220453</v>
      </c>
      <c r="AJ102" s="327"/>
      <c r="AK102" s="257">
        <f>SUM('3 pr-2'!O103)</f>
        <v>16534</v>
      </c>
      <c r="AL102" s="257"/>
      <c r="AM102" s="257">
        <f>SUM('3 pr-2'!R103)</f>
        <v>16534</v>
      </c>
      <c r="AN102" s="257"/>
      <c r="AO102" s="257">
        <f>SUM('3 pr-2'!U103)</f>
        <v>0</v>
      </c>
      <c r="AP102" s="257"/>
      <c r="AQ102" s="257">
        <f>SUM('3 pr-2'!X103)</f>
        <v>0</v>
      </c>
      <c r="AR102" s="476"/>
      <c r="AS102" s="328">
        <f>SUM('3 pr-2'!AA103)</f>
        <v>187385</v>
      </c>
      <c r="AT102" s="433"/>
      <c r="AU102" s="889">
        <v>0</v>
      </c>
      <c r="AV102" s="20">
        <v>0</v>
      </c>
      <c r="AW102" s="20">
        <v>0</v>
      </c>
      <c r="AX102" s="258">
        <v>0</v>
      </c>
      <c r="AY102" s="258">
        <v>0</v>
      </c>
      <c r="AZ102" s="258">
        <v>0</v>
      </c>
      <c r="BA102" s="258">
        <v>0</v>
      </c>
      <c r="BB102" s="20">
        <v>0</v>
      </c>
      <c r="BC102" s="20">
        <v>0</v>
      </c>
      <c r="BD102" s="258">
        <v>0</v>
      </c>
      <c r="BE102" s="258">
        <v>0</v>
      </c>
      <c r="BF102" s="258">
        <v>0</v>
      </c>
      <c r="BG102" s="258">
        <v>0</v>
      </c>
      <c r="BH102" s="20">
        <v>0</v>
      </c>
      <c r="BI102" s="20">
        <v>50</v>
      </c>
      <c r="BJ102" s="258">
        <v>50</v>
      </c>
      <c r="BK102" s="258">
        <v>50</v>
      </c>
      <c r="BL102" s="258">
        <v>50</v>
      </c>
      <c r="BM102" s="258">
        <v>50</v>
      </c>
      <c r="BN102" s="20">
        <v>50</v>
      </c>
      <c r="BO102" s="20">
        <v>40</v>
      </c>
      <c r="BP102" s="258">
        <v>40</v>
      </c>
      <c r="BQ102" s="258">
        <v>40</v>
      </c>
      <c r="BR102" s="258">
        <v>40</v>
      </c>
      <c r="BS102" s="258">
        <v>40</v>
      </c>
      <c r="BT102" s="20">
        <v>40</v>
      </c>
      <c r="BU102" s="20">
        <v>10</v>
      </c>
      <c r="BV102" s="258">
        <v>10</v>
      </c>
      <c r="BW102" s="258">
        <v>10</v>
      </c>
      <c r="BX102" s="258">
        <v>10</v>
      </c>
      <c r="BY102" s="258">
        <v>10</v>
      </c>
      <c r="BZ102" s="20">
        <v>10</v>
      </c>
      <c r="CA102" s="20">
        <v>100</v>
      </c>
      <c r="CB102" s="258">
        <v>100</v>
      </c>
      <c r="CC102" s="258">
        <v>100</v>
      </c>
      <c r="CD102" s="258">
        <v>100</v>
      </c>
      <c r="CE102" s="258">
        <v>100</v>
      </c>
      <c r="CF102" s="325">
        <v>100</v>
      </c>
      <c r="CG102" s="891">
        <f>SUM('3 pr-2'!AI103)</f>
        <v>43117</v>
      </c>
      <c r="CH102" s="942">
        <f>SUM('3 pr-2'!AK103)</f>
        <v>43830</v>
      </c>
      <c r="CI102" s="58">
        <f>SUM(J102+P102+V102+AB102+AH102)</f>
        <v>187385</v>
      </c>
      <c r="CJ102" s="900"/>
      <c r="CK102" s="985">
        <f>SUM(AI102/($CH$102-$CG$102))</f>
        <v>309.19074333800842</v>
      </c>
      <c r="CL102" s="985">
        <f>SUM(AK102/($CH$102-$CG$102))</f>
        <v>23.189340813464234</v>
      </c>
      <c r="CM102" s="985">
        <f>SUM(AM102/($CH$102-$CG$102))</f>
        <v>23.189340813464234</v>
      </c>
      <c r="CN102" s="987">
        <f>SUM(AS102/($CH$102-$CG$102))</f>
        <v>262.81206171107993</v>
      </c>
      <c r="CO102" s="900"/>
      <c r="CP102" s="900"/>
      <c r="CQ102" s="900"/>
      <c r="CR102" s="900"/>
    </row>
    <row r="103" spans="1:96" ht="36.75" thickBot="1">
      <c r="A103" s="6" t="str">
        <f>CONCATENATE('3 pr-2'!A104)</f>
        <v>2.1.1.1.2</v>
      </c>
      <c r="B103" s="8" t="str">
        <f>CONCATENATE('3 pr-2'!D104)</f>
        <v>Alytaus rajono bendrojo ugdymo įstaigų aprūpinimas gamtos, technologijų, menų ir kitų mokslų laboratorijų įranga</v>
      </c>
      <c r="C103" s="65">
        <v>0</v>
      </c>
      <c r="D103" s="65">
        <v>0</v>
      </c>
      <c r="E103" s="65">
        <v>0</v>
      </c>
      <c r="F103" s="257">
        <v>0</v>
      </c>
      <c r="G103" s="257">
        <v>0</v>
      </c>
      <c r="H103" s="257">
        <v>0</v>
      </c>
      <c r="I103" s="257">
        <v>0</v>
      </c>
      <c r="J103" s="65">
        <v>0</v>
      </c>
      <c r="K103" s="65">
        <v>0</v>
      </c>
      <c r="L103" s="261">
        <v>0</v>
      </c>
      <c r="M103" s="261">
        <v>0</v>
      </c>
      <c r="N103" s="261">
        <v>0</v>
      </c>
      <c r="O103" s="261">
        <v>0</v>
      </c>
      <c r="P103" s="65">
        <v>0</v>
      </c>
      <c r="Q103" s="65">
        <f>SUM($Q$3-$CG$103)*CK103</f>
        <v>91102.487270531405</v>
      </c>
      <c r="R103" s="261">
        <f>SUM($Q$3-$CG$103)*CL103</f>
        <v>6832.690169082126</v>
      </c>
      <c r="S103" s="261">
        <f>SUM($Q$3-$CG$103)*CM103</f>
        <v>6833.1932367149757</v>
      </c>
      <c r="T103" s="261">
        <f>IF(YEAR($CG$103)=2018,($BI$4-$CG$103)*AO$103/($CH$103-$CG$103),0)</f>
        <v>0</v>
      </c>
      <c r="U103" s="261">
        <f>IF(YEAR($CG$103)=2018,($BI$4-$CG$103)*AQ$103/($CH$103-$CG$103),0)</f>
        <v>0</v>
      </c>
      <c r="V103" s="326">
        <f>SUM($Q$3-$CG$103)*CN103</f>
        <v>77436.603864734294</v>
      </c>
      <c r="W103" s="326">
        <f>SUM($CH$103-$Q$3)*CK103</f>
        <v>15742.922729468599</v>
      </c>
      <c r="X103" s="261">
        <f>SUM($CH$103-$Q$3)*CL103</f>
        <v>1180.7198309178743</v>
      </c>
      <c r="Y103" s="261">
        <f>SUM($CH$103-$Q$3)*CM103</f>
        <v>1180.8067632850241</v>
      </c>
      <c r="Z103" s="261">
        <f>IF(YEAR($CH$103)=2019,($CH$103-$BI$4)*AO$103/($CH$103-$CG$103),0)</f>
        <v>0</v>
      </c>
      <c r="AA103" s="261">
        <f>IF(YEAR($CH$103)=2019,($CH$103-$BI$4)*AQ$103/($CH$103-$CG$103),0)</f>
        <v>0</v>
      </c>
      <c r="AB103" s="326">
        <f>SUM($CH$103-$Q$3)*CN103</f>
        <v>13381.396135265701</v>
      </c>
      <c r="AC103" s="326">
        <v>0</v>
      </c>
      <c r="AD103" s="261">
        <v>0</v>
      </c>
      <c r="AE103" s="261">
        <v>0</v>
      </c>
      <c r="AF103" s="261">
        <v>0</v>
      </c>
      <c r="AG103" s="261">
        <v>0</v>
      </c>
      <c r="AH103" s="326">
        <v>0</v>
      </c>
      <c r="AI103" s="664">
        <f>SUM('3 pr-2'!L104)</f>
        <v>106845.41</v>
      </c>
      <c r="AJ103" s="327"/>
      <c r="AK103" s="257">
        <f>SUM('3 pr-2'!O104)</f>
        <v>8013.41</v>
      </c>
      <c r="AL103" s="257"/>
      <c r="AM103" s="257">
        <f>SUM('3 pr-2'!R104)</f>
        <v>8014</v>
      </c>
      <c r="AN103" s="257"/>
      <c r="AO103" s="257">
        <f>SUM('3 pr-2'!U104)</f>
        <v>0</v>
      </c>
      <c r="AP103" s="257"/>
      <c r="AQ103" s="257">
        <f>SUM('3 pr-2'!X104)</f>
        <v>0</v>
      </c>
      <c r="AR103" s="476"/>
      <c r="AS103" s="328">
        <f>SUM('3 pr-2'!AA104)</f>
        <v>90818</v>
      </c>
      <c r="AT103" s="433"/>
      <c r="AU103" s="889"/>
      <c r="AV103" s="20"/>
      <c r="AW103" s="20"/>
      <c r="AX103" s="258"/>
      <c r="AY103" s="258"/>
      <c r="AZ103" s="258"/>
      <c r="BA103" s="258"/>
      <c r="BB103" s="20"/>
      <c r="BC103" s="20"/>
      <c r="BD103" s="258"/>
      <c r="BE103" s="258"/>
      <c r="BF103" s="258"/>
      <c r="BG103" s="258"/>
      <c r="BH103" s="20"/>
      <c r="BI103" s="20"/>
      <c r="BJ103" s="258"/>
      <c r="BK103" s="258"/>
      <c r="BL103" s="258"/>
      <c r="BM103" s="258"/>
      <c r="BN103" s="20"/>
      <c r="BO103" s="20"/>
      <c r="BP103" s="258"/>
      <c r="BQ103" s="258"/>
      <c r="BR103" s="258"/>
      <c r="BS103" s="258"/>
      <c r="BT103" s="20"/>
      <c r="BU103" s="20"/>
      <c r="BV103" s="258"/>
      <c r="BW103" s="258"/>
      <c r="BX103" s="258"/>
      <c r="BY103" s="258"/>
      <c r="BZ103" s="20"/>
      <c r="CA103" s="20"/>
      <c r="CB103" s="258"/>
      <c r="CC103" s="258"/>
      <c r="CD103" s="258"/>
      <c r="CE103" s="258"/>
      <c r="CF103" s="325"/>
      <c r="CG103" s="891">
        <f>SUM('3 pr-2'!AI104)</f>
        <v>43112</v>
      </c>
      <c r="CH103" s="942">
        <f>SUM('3 pr-2'!AK104)</f>
        <v>43526</v>
      </c>
      <c r="CI103" s="58">
        <f>SUM(J103+P103+V103+AB103+AH103)</f>
        <v>90818</v>
      </c>
      <c r="CJ103" s="900"/>
      <c r="CK103" s="985">
        <f>SUM(AI103/($CH$103-$CG$103))</f>
        <v>258.08070048309179</v>
      </c>
      <c r="CL103" s="985">
        <f>SUM(AK103/($CH$103-$CG$103))</f>
        <v>19.356062801932367</v>
      </c>
      <c r="CM103" s="985">
        <f>SUM(AM103/($CH$103-$CG$103))</f>
        <v>19.357487922705314</v>
      </c>
      <c r="CN103" s="987">
        <f>SUM(AS103/($CH$103-$CG$103))</f>
        <v>219.3671497584541</v>
      </c>
      <c r="CO103" s="900"/>
      <c r="CP103" s="900"/>
      <c r="CQ103" s="900"/>
      <c r="CR103" s="900"/>
    </row>
    <row r="104" spans="1:96" ht="36.75" thickBot="1">
      <c r="A104" s="6" t="str">
        <f>CONCATENATE('3 pr-2'!A105)</f>
        <v>2.1.1.1.3</v>
      </c>
      <c r="B104" s="8" t="str">
        <f>CONCATENATE('3 pr-2'!D105)</f>
        <v>Modernių ir saugių erdvių kūrimas Dzūkijos pagrindinėje mokykloje, Alytuje</v>
      </c>
      <c r="C104" s="65">
        <v>0</v>
      </c>
      <c r="D104" s="65">
        <v>0</v>
      </c>
      <c r="E104" s="65">
        <v>0</v>
      </c>
      <c r="F104" s="257">
        <v>0</v>
      </c>
      <c r="G104" s="257">
        <v>0</v>
      </c>
      <c r="H104" s="257">
        <v>0</v>
      </c>
      <c r="I104" s="257">
        <v>0</v>
      </c>
      <c r="J104" s="65">
        <v>0</v>
      </c>
      <c r="K104" s="65">
        <v>0</v>
      </c>
      <c r="L104" s="261">
        <v>0</v>
      </c>
      <c r="M104" s="261">
        <v>0</v>
      </c>
      <c r="N104" s="261">
        <v>0</v>
      </c>
      <c r="O104" s="261">
        <v>0</v>
      </c>
      <c r="P104" s="65">
        <v>0</v>
      </c>
      <c r="Q104" s="65">
        <f>SUM($Q$3-$CG$104)*CK104</f>
        <v>309969.38639652677</v>
      </c>
      <c r="R104" s="261">
        <f>SUM($Q$3-$CG$104)*CL104</f>
        <v>23247.904486251809</v>
      </c>
      <c r="S104" s="261">
        <f>SUM($Q$3-$CG$104)*CM104</f>
        <v>23247.904486251809</v>
      </c>
      <c r="T104" s="261">
        <f>IF(YEAR($CG$104)=2018,($BI$4-$CG$104)*AO$104/($CH$104-$CG$104))</f>
        <v>0</v>
      </c>
      <c r="U104" s="261">
        <f>IF(YEAR($CG$104)=2018,($BI$4-$CG$104)*AQ$104/($CH$104-$CG$104))</f>
        <v>0</v>
      </c>
      <c r="V104" s="326">
        <f>SUM($Q$3-$CG$104)*CN104</f>
        <v>263473.57742402313</v>
      </c>
      <c r="W104" s="65">
        <f>SUM($CH$104-$Q$3)*CK104</f>
        <v>347051.61360347323</v>
      </c>
      <c r="X104" s="261">
        <f>SUM($CH$104-$Q$3)*CL104</f>
        <v>26029.095513748194</v>
      </c>
      <c r="Y104" s="261">
        <f>SUM($CH$104-$Q$3)*CM104</f>
        <v>26029.095513748194</v>
      </c>
      <c r="Z104" s="261">
        <f>IF(YEAR($CH$104)&gt;2018,($BO$4-$BI$4)*AO$104/($CH$104-$CG$104),0)</f>
        <v>0</v>
      </c>
      <c r="AA104" s="261">
        <f>IF(YEAR($CH$104)&gt;2018,($BO$4-$BI$4)*AQ$104/($CH$104-$CG$104),0)</f>
        <v>0</v>
      </c>
      <c r="AB104" s="326">
        <f>SUM($CH$104-$Q$3)*CN104</f>
        <v>294993.42257597682</v>
      </c>
      <c r="AC104" s="326">
        <f>IF(YEAR($CH$104)=2020,($CH$104-$BO$4)*AI$104/($CH$104-$CG$104),0)</f>
        <v>0</v>
      </c>
      <c r="AD104" s="261">
        <f>IF(YEAR($CH$104)=2020,($CH$104-$BO$4)*AK$104/($CH$104-$CG$104),0)</f>
        <v>0</v>
      </c>
      <c r="AE104" s="261">
        <f>IF(YEAR($CH$104)=2020,($CH$104-$BO$4)*AM$104/($CH$104-$CG$104),0)</f>
        <v>0</v>
      </c>
      <c r="AF104" s="261">
        <f>IF(YEAR($CH$104)=2020,($CH$104-$BO$4)*AO$104/($CH$104-$CG$104),0)</f>
        <v>0</v>
      </c>
      <c r="AG104" s="261">
        <f>IF(YEAR($CH$104)=2020,($CH$104-$BO$4)*AQ$104/($CH$104-$CG$104),0)</f>
        <v>0</v>
      </c>
      <c r="AH104" s="326">
        <f>IF(YEAR($CH$104)=2020,($CH$104-$BO$4)*AS$104/($CH$104-$CG$104),0)</f>
        <v>0</v>
      </c>
      <c r="AI104" s="664">
        <f>SUM('3 pr-2'!L105)</f>
        <v>657021</v>
      </c>
      <c r="AJ104" s="327"/>
      <c r="AK104" s="257">
        <f>SUM('3 pr-2'!O105)</f>
        <v>49277</v>
      </c>
      <c r="AL104" s="257"/>
      <c r="AM104" s="257">
        <f>SUM('3 pr-2'!R105)</f>
        <v>49277</v>
      </c>
      <c r="AN104" s="257"/>
      <c r="AO104" s="257">
        <f>SUM('3 pr-2'!U105)</f>
        <v>0</v>
      </c>
      <c r="AP104" s="257"/>
      <c r="AQ104" s="257">
        <f>SUM('3 pr-2'!X105)</f>
        <v>0</v>
      </c>
      <c r="AR104" s="476"/>
      <c r="AS104" s="328">
        <f>SUM('3 pr-2'!AA105)</f>
        <v>558467</v>
      </c>
      <c r="AT104" s="433"/>
      <c r="AU104" s="889"/>
      <c r="AV104" s="20"/>
      <c r="AW104" s="20"/>
      <c r="AX104" s="258"/>
      <c r="AY104" s="258"/>
      <c r="AZ104" s="258"/>
      <c r="BA104" s="258"/>
      <c r="BB104" s="20"/>
      <c r="BC104" s="20"/>
      <c r="BD104" s="258"/>
      <c r="BE104" s="258"/>
      <c r="BF104" s="258"/>
      <c r="BG104" s="258"/>
      <c r="BH104" s="20"/>
      <c r="BI104" s="20"/>
      <c r="BJ104" s="258"/>
      <c r="BK104" s="258"/>
      <c r="BL104" s="258"/>
      <c r="BM104" s="258"/>
      <c r="BN104" s="20"/>
      <c r="BO104" s="20"/>
      <c r="BP104" s="258"/>
      <c r="BQ104" s="258"/>
      <c r="BR104" s="258"/>
      <c r="BS104" s="258"/>
      <c r="BT104" s="20"/>
      <c r="BU104" s="20"/>
      <c r="BV104" s="258"/>
      <c r="BW104" s="258"/>
      <c r="BX104" s="258"/>
      <c r="BY104" s="258"/>
      <c r="BZ104" s="20"/>
      <c r="CA104" s="20"/>
      <c r="CB104" s="258"/>
      <c r="CC104" s="258"/>
      <c r="CD104" s="258"/>
      <c r="CE104" s="258"/>
      <c r="CF104" s="325"/>
      <c r="CG104" s="891">
        <f>SUM('3 pr-2'!AI105)</f>
        <v>43139</v>
      </c>
      <c r="CH104" s="942">
        <f>SUM('3 pr-2'!AK105)</f>
        <v>43830</v>
      </c>
      <c r="CI104" s="58">
        <f>SUM(J104+P104+V104+AB104+AH104)</f>
        <v>558467</v>
      </c>
      <c r="CJ104" s="900"/>
      <c r="CK104" s="985">
        <f>SUM(AI104/($CH$104-$CG$104))</f>
        <v>950.8263386396527</v>
      </c>
      <c r="CL104" s="985">
        <f>SUM(AK104/($CH$104-$CG$104))</f>
        <v>71.312590448625187</v>
      </c>
      <c r="CM104" s="985">
        <f>SUM(AM104/($CH$104-$CG$104))</f>
        <v>71.312590448625187</v>
      </c>
      <c r="CN104" s="987">
        <f>SUM(AS104/($CH$104-$CG$104))</f>
        <v>808.2011577424023</v>
      </c>
      <c r="CO104" s="900"/>
      <c r="CP104" s="900"/>
      <c r="CQ104" s="900"/>
      <c r="CR104" s="900"/>
    </row>
    <row r="105" spans="1:96" ht="36.75" thickBot="1">
      <c r="A105" s="6" t="str">
        <f>CONCATENATE('3 pr-2'!A106)</f>
        <v>2.1.1.1.4</v>
      </c>
      <c r="B105" s="8" t="str">
        <f>CONCATENATE('3 pr-2'!D106)</f>
        <v>Modernių ir saugių erdvių sukūrimas bendrojo ugdymo mokyklose Druskininkų sav.</v>
      </c>
      <c r="C105" s="65">
        <v>0</v>
      </c>
      <c r="D105" s="65">
        <v>0</v>
      </c>
      <c r="E105" s="65">
        <v>0</v>
      </c>
      <c r="F105" s="257">
        <v>0</v>
      </c>
      <c r="G105" s="257">
        <v>0</v>
      </c>
      <c r="H105" s="257">
        <v>0</v>
      </c>
      <c r="I105" s="257">
        <v>0</v>
      </c>
      <c r="J105" s="65">
        <v>0</v>
      </c>
      <c r="K105" s="65">
        <f>IF(YEAR($CG$105)=2017,($BC$4-$CG$105)*AI$105/($CH$105-$CG$105))</f>
        <v>0</v>
      </c>
      <c r="L105" s="261">
        <f>IF(YEAR($CG$105)=2017,($BC$4-$CG$105)*AK$105/($CH$105-$CG$105))</f>
        <v>0</v>
      </c>
      <c r="M105" s="261">
        <f>IF(YEAR($CG$105)=2017,($BC$4-$CG$105)*AM$105/($CH$105-$CG$105))</f>
        <v>0</v>
      </c>
      <c r="N105" s="261">
        <f>IF(YEAR($CG$105)=2017,($BC$4-$CG$105)*AO$105/($CH$105-$CG$105))</f>
        <v>0</v>
      </c>
      <c r="O105" s="261">
        <f>IF(YEAR($CG$105)=2017,($BC$4-$CG$105)*AQ$105/($CH$105-$CG$105))</f>
        <v>0</v>
      </c>
      <c r="P105" s="65">
        <f>IF(YEAR($CG$105)=2017,($BC$4-$CG$105)*AS$105/($CH$105-$CG$105))</f>
        <v>0</v>
      </c>
      <c r="Q105" s="65">
        <f>SUM($Q$3-$CG$105)*CK105</f>
        <v>81938.5</v>
      </c>
      <c r="R105" s="261">
        <f>SUM($Q$3-$CG$105)*CL105</f>
        <v>6145.5</v>
      </c>
      <c r="S105" s="261">
        <f>SUM($Q$3-$CG$105)*CM105</f>
        <v>6145.5</v>
      </c>
      <c r="T105" s="261">
        <f>IF(YEAR($CH$105)&gt;2018,($BI$4-$BC$4)*AO$105/($CH$105-$CG$105),0)</f>
        <v>0</v>
      </c>
      <c r="U105" s="261">
        <f>IF(YEAR($CH$105)&gt;2018,($BI$4-$BC$4)*AQ$105/($CH$105-$CG$105),0)</f>
        <v>0</v>
      </c>
      <c r="V105" s="326">
        <f>SUM($Q$3-$CG$105)*CN105</f>
        <v>69647.5</v>
      </c>
      <c r="W105" s="65">
        <f>SUM($CH$105-$Q$3)*CK105</f>
        <v>81938.5</v>
      </c>
      <c r="X105" s="261">
        <f>SUM($CH$105-$Q$3)*CL105</f>
        <v>6145.5</v>
      </c>
      <c r="Y105" s="261">
        <f>SUM($CH$105-$Q$3)*CM105</f>
        <v>6145.5</v>
      </c>
      <c r="Z105" s="261">
        <f>IF(YEAR($CH$105)=2019,($CH$105-$BI$4)*AO$105/($CH$105-$CG$105),0)</f>
        <v>0</v>
      </c>
      <c r="AA105" s="261">
        <f>IF(YEAR($CH$105)=2019,($CH$105-$BI$4)*AQ$105/($CH$105-$CG$105),0)</f>
        <v>0</v>
      </c>
      <c r="AB105" s="326">
        <f>SUM($CH$105-$Q$3)*CN105</f>
        <v>69647.5</v>
      </c>
      <c r="AC105" s="326">
        <v>0</v>
      </c>
      <c r="AD105" s="261">
        <v>0</v>
      </c>
      <c r="AE105" s="261">
        <v>0</v>
      </c>
      <c r="AF105" s="261">
        <v>0</v>
      </c>
      <c r="AG105" s="261">
        <v>0</v>
      </c>
      <c r="AH105" s="326">
        <v>0</v>
      </c>
      <c r="AI105" s="664">
        <f>SUM('3 pr-2'!L106)</f>
        <v>163877</v>
      </c>
      <c r="AJ105" s="327"/>
      <c r="AK105" s="257">
        <f>SUM('3 pr-2'!O106)</f>
        <v>12291</v>
      </c>
      <c r="AL105" s="257"/>
      <c r="AM105" s="257">
        <f>SUM('3 pr-2'!R106)</f>
        <v>12291</v>
      </c>
      <c r="AN105" s="257"/>
      <c r="AO105" s="257">
        <f>SUM('3 pr-2'!U106)</f>
        <v>0</v>
      </c>
      <c r="AP105" s="257"/>
      <c r="AQ105" s="257">
        <f>SUM('3 pr-2'!X106)</f>
        <v>0</v>
      </c>
      <c r="AR105" s="476"/>
      <c r="AS105" s="328">
        <f>SUM('3 pr-2'!AA106)</f>
        <v>139295</v>
      </c>
      <c r="AT105" s="433"/>
      <c r="AU105" s="889"/>
      <c r="AV105" s="20"/>
      <c r="AW105" s="20"/>
      <c r="AX105" s="258"/>
      <c r="AY105" s="258"/>
      <c r="AZ105" s="258"/>
      <c r="BA105" s="258"/>
      <c r="BB105" s="20"/>
      <c r="BC105" s="20"/>
      <c r="BD105" s="258"/>
      <c r="BE105" s="258"/>
      <c r="BF105" s="258"/>
      <c r="BG105" s="258"/>
      <c r="BH105" s="20"/>
      <c r="BI105" s="20"/>
      <c r="BJ105" s="258"/>
      <c r="BK105" s="258"/>
      <c r="BL105" s="258"/>
      <c r="BM105" s="258"/>
      <c r="BN105" s="20"/>
      <c r="BO105" s="20"/>
      <c r="BP105" s="258"/>
      <c r="BQ105" s="258"/>
      <c r="BR105" s="258"/>
      <c r="BS105" s="258"/>
      <c r="BT105" s="20"/>
      <c r="BU105" s="20"/>
      <c r="BV105" s="258"/>
      <c r="BW105" s="258"/>
      <c r="BX105" s="258"/>
      <c r="BY105" s="258"/>
      <c r="BZ105" s="20"/>
      <c r="CA105" s="20"/>
      <c r="CB105" s="258"/>
      <c r="CC105" s="258"/>
      <c r="CD105" s="258"/>
      <c r="CE105" s="258"/>
      <c r="CF105" s="325"/>
      <c r="CG105" s="891">
        <f>SUM('3 pr-2'!AI106)</f>
        <v>43100</v>
      </c>
      <c r="CH105" s="942">
        <f>SUM('3 pr-2'!AK106)</f>
        <v>43830</v>
      </c>
      <c r="CI105" s="58">
        <f>SUM(J105+P105+V105+AB105+AH105)</f>
        <v>139295</v>
      </c>
      <c r="CJ105" s="900"/>
      <c r="CK105" s="985">
        <f>SUM(AI105/($CH$105-$CG$105))</f>
        <v>224.4890410958904</v>
      </c>
      <c r="CL105" s="985">
        <f>SUM(AK105/($CH$105-$CG$105))</f>
        <v>16.836986301369862</v>
      </c>
      <c r="CM105" s="985">
        <f>SUM(AM105/($CH$105-$CG$105))</f>
        <v>16.836986301369862</v>
      </c>
      <c r="CN105" s="987">
        <f>SUM(AS105/($CH$105-$CG$105))</f>
        <v>190.81506849315068</v>
      </c>
      <c r="CO105" s="900"/>
      <c r="CP105" s="900"/>
      <c r="CQ105" s="900"/>
      <c r="CR105" s="900"/>
    </row>
    <row r="106" spans="1:96" ht="39.75" customHeight="1" thickBot="1">
      <c r="A106" s="6" t="str">
        <f>CONCATENATE('3 pr-2'!A107)</f>
        <v>2.1.1.1.5</v>
      </c>
      <c r="B106" s="8" t="str">
        <f>CONCATENATE('3 pr-2'!D107)</f>
        <v>Modernių ir saugių erdvių sukūrimas bendrojo ugdymo įstaigose Lazdijų rajono savivaldybėje</v>
      </c>
      <c r="C106" s="65">
        <v>0</v>
      </c>
      <c r="D106" s="65">
        <v>0</v>
      </c>
      <c r="E106" s="65">
        <v>0</v>
      </c>
      <c r="F106" s="257">
        <v>0</v>
      </c>
      <c r="G106" s="257">
        <v>0</v>
      </c>
      <c r="H106" s="257">
        <v>0</v>
      </c>
      <c r="I106" s="257">
        <v>0</v>
      </c>
      <c r="J106" s="65">
        <v>0</v>
      </c>
      <c r="K106" s="65">
        <v>0</v>
      </c>
      <c r="L106" s="261">
        <v>0</v>
      </c>
      <c r="M106" s="261">
        <v>0</v>
      </c>
      <c r="N106" s="261">
        <v>0</v>
      </c>
      <c r="O106" s="261">
        <v>0</v>
      </c>
      <c r="P106" s="65">
        <v>0</v>
      </c>
      <c r="Q106" s="65">
        <f>SUM($Q$3-$CG$106)*CK106</f>
        <v>110322.69230769231</v>
      </c>
      <c r="R106" s="261">
        <f>SUM($Q$3-$CG$106)*CL106</f>
        <v>8274.5259391771015</v>
      </c>
      <c r="S106" s="261">
        <f>SUM($Q$3-$CG$106)*CM106</f>
        <v>8273.9624329159215</v>
      </c>
      <c r="T106" s="261">
        <f>IF(YEAR($CH$106)&gt;2018,($BI$4-$BC$4)*AO$106/($CH$106-$CG$106),0)</f>
        <v>0</v>
      </c>
      <c r="U106" s="261">
        <f>IF(YEAR($CH$106)&gt;2018,($BI$4-$BC$4)*AQ$106/($CH$106-$CG$106),0)</f>
        <v>0</v>
      </c>
      <c r="V106" s="326">
        <f>SUM($Q$3-$CG$106)*CN106</f>
        <v>93774.203935599289</v>
      </c>
      <c r="W106" s="65">
        <f>SUM($CH$106-$Q$3)*CK106</f>
        <v>85456.307692307688</v>
      </c>
      <c r="X106" s="261">
        <f>SUM($CH$106-$Q$3)*CL106</f>
        <v>6409.4740608228985</v>
      </c>
      <c r="Y106" s="261">
        <f>SUM($CH$106-$Q$3)*CM106</f>
        <v>6409.0375670840785</v>
      </c>
      <c r="Z106" s="261">
        <f>IF(YEAR($CH$106)=2019,($CH$106-$BI$4)*AO$106/($CH$106-$CG$106),0)</f>
        <v>0</v>
      </c>
      <c r="AA106" s="261">
        <f>IF(YEAR($CH$106)=2019,($CH$106-$BI$4)*AQ$106/($CH$106-$CG$106),0)</f>
        <v>0</v>
      </c>
      <c r="AB106" s="326">
        <f>SUM($CH$106-$Q$3)*CN106</f>
        <v>72637.796064400711</v>
      </c>
      <c r="AC106" s="277">
        <v>0</v>
      </c>
      <c r="AD106" s="262">
        <v>0</v>
      </c>
      <c r="AE106" s="262">
        <v>0</v>
      </c>
      <c r="AF106" s="262">
        <v>0</v>
      </c>
      <c r="AG106" s="262">
        <v>0</v>
      </c>
      <c r="AH106" s="277">
        <v>0</v>
      </c>
      <c r="AI106" s="664">
        <f>SUM('3 pr-2'!L107)</f>
        <v>195779</v>
      </c>
      <c r="AJ106" s="327"/>
      <c r="AK106" s="257">
        <f>SUM('3 pr-2'!O107)</f>
        <v>14684</v>
      </c>
      <c r="AL106" s="257"/>
      <c r="AM106" s="257">
        <f>SUM('3 pr-2'!R107)</f>
        <v>14683</v>
      </c>
      <c r="AN106" s="257"/>
      <c r="AO106" s="257">
        <f>SUM('3 pr-2'!U107)</f>
        <v>0</v>
      </c>
      <c r="AP106" s="257"/>
      <c r="AQ106" s="257">
        <f>SUM('3 pr-2'!X107)</f>
        <v>0</v>
      </c>
      <c r="AR106" s="476"/>
      <c r="AS106" s="328">
        <f>SUM('3 pr-2'!AA107)</f>
        <v>166412</v>
      </c>
      <c r="AT106" s="433"/>
      <c r="AU106" s="889"/>
      <c r="AV106" s="20"/>
      <c r="AW106" s="20"/>
      <c r="AX106" s="258"/>
      <c r="AY106" s="258"/>
      <c r="AZ106" s="258"/>
      <c r="BA106" s="258"/>
      <c r="BB106" s="20"/>
      <c r="BC106" s="20"/>
      <c r="BD106" s="258"/>
      <c r="BE106" s="258"/>
      <c r="BF106" s="258"/>
      <c r="BG106" s="258"/>
      <c r="BH106" s="20"/>
      <c r="BI106" s="20"/>
      <c r="BJ106" s="258"/>
      <c r="BK106" s="258"/>
      <c r="BL106" s="258"/>
      <c r="BM106" s="258"/>
      <c r="BN106" s="20"/>
      <c r="BO106" s="20"/>
      <c r="BP106" s="258"/>
      <c r="BQ106" s="258"/>
      <c r="BR106" s="258"/>
      <c r="BS106" s="258"/>
      <c r="BT106" s="20"/>
      <c r="BU106" s="20"/>
      <c r="BV106" s="258"/>
      <c r="BW106" s="258"/>
      <c r="BX106" s="258"/>
      <c r="BY106" s="258"/>
      <c r="BZ106" s="20"/>
      <c r="CA106" s="20"/>
      <c r="CB106" s="258"/>
      <c r="CC106" s="258"/>
      <c r="CD106" s="258"/>
      <c r="CE106" s="258"/>
      <c r="CF106" s="325"/>
      <c r="CG106" s="891">
        <f>SUM('3 pr-2'!AI107)</f>
        <v>43150</v>
      </c>
      <c r="CH106" s="942">
        <f>SUM('3 pr-2'!AK107)</f>
        <v>43709</v>
      </c>
      <c r="CI106" s="58">
        <f>SUM(J106+P106+V106+AB106+AH106)</f>
        <v>166412</v>
      </c>
      <c r="CJ106" s="900"/>
      <c r="CK106" s="985">
        <f>SUM(AI106/($CH$106-$CG$106))</f>
        <v>350.23076923076923</v>
      </c>
      <c r="CL106" s="985">
        <f>SUM(AK106/($CH$106-$CG$106))</f>
        <v>26.268336314847943</v>
      </c>
      <c r="CM106" s="985">
        <f>SUM(AM106/($CH$106-$CG$106))</f>
        <v>26.266547406082289</v>
      </c>
      <c r="CN106" s="987">
        <f>SUM(AS106/($CH$106-$CG$106))</f>
        <v>297.695885509839</v>
      </c>
      <c r="CO106" s="900"/>
      <c r="CP106" s="900"/>
      <c r="CQ106" s="900"/>
      <c r="CR106" s="900"/>
    </row>
    <row r="107" spans="1:96" ht="39.75" thickBot="1">
      <c r="A107" s="253" t="str">
        <f>CONCATENATE('3 pr-2'!A108)</f>
        <v>2.1.1.2</v>
      </c>
      <c r="B107" s="103" t="str">
        <f>CONCATENATE('3 pr-2'!B108)</f>
        <v>Priemonė:
Neformaliojo švietimo infrastruktūros tobulinimas</v>
      </c>
      <c r="C107" s="943">
        <f t="shared" ref="C107:AS107" si="259">SUM(C108:C112)</f>
        <v>0</v>
      </c>
      <c r="D107" s="943">
        <f t="shared" si="259"/>
        <v>0</v>
      </c>
      <c r="E107" s="943">
        <f t="shared" si="259"/>
        <v>0</v>
      </c>
      <c r="F107" s="943"/>
      <c r="G107" s="943"/>
      <c r="H107" s="943"/>
      <c r="I107" s="943"/>
      <c r="J107" s="943">
        <f t="shared" si="259"/>
        <v>0</v>
      </c>
      <c r="K107" s="943">
        <f t="shared" si="259"/>
        <v>0</v>
      </c>
      <c r="L107" s="944">
        <f t="shared" ref="L107:O107" si="260">SUM(L108:L112)</f>
        <v>0</v>
      </c>
      <c r="M107" s="944">
        <f t="shared" si="260"/>
        <v>0</v>
      </c>
      <c r="N107" s="944">
        <f t="shared" si="260"/>
        <v>0</v>
      </c>
      <c r="O107" s="944">
        <f t="shared" si="260"/>
        <v>0</v>
      </c>
      <c r="P107" s="943">
        <f t="shared" si="259"/>
        <v>0</v>
      </c>
      <c r="Q107" s="943">
        <f t="shared" si="259"/>
        <v>1066881.8127734459</v>
      </c>
      <c r="R107" s="944"/>
      <c r="S107" s="944"/>
      <c r="T107" s="944"/>
      <c r="U107" s="944"/>
      <c r="V107" s="943">
        <f t="shared" si="259"/>
        <v>811266.92137749726</v>
      </c>
      <c r="W107" s="943">
        <f t="shared" si="259"/>
        <v>904641.99769230769</v>
      </c>
      <c r="X107" s="944"/>
      <c r="Y107" s="944"/>
      <c r="Z107" s="944"/>
      <c r="AA107" s="944"/>
      <c r="AB107" s="943">
        <f t="shared" si="259"/>
        <v>673269.91149921506</v>
      </c>
      <c r="AC107" s="943">
        <f t="shared" si="259"/>
        <v>2346.3695342465753</v>
      </c>
      <c r="AD107" s="944"/>
      <c r="AE107" s="944"/>
      <c r="AF107" s="944"/>
      <c r="AG107" s="944"/>
      <c r="AH107" s="943">
        <f t="shared" si="259"/>
        <v>1470.1671232876713</v>
      </c>
      <c r="AI107" s="945">
        <f t="shared" si="259"/>
        <v>1973870.18</v>
      </c>
      <c r="AJ107" s="943"/>
      <c r="AK107" s="943"/>
      <c r="AL107" s="943"/>
      <c r="AM107" s="943"/>
      <c r="AN107" s="943"/>
      <c r="AO107" s="943"/>
      <c r="AP107" s="943"/>
      <c r="AQ107" s="943"/>
      <c r="AR107" s="943"/>
      <c r="AS107" s="943">
        <f t="shared" si="259"/>
        <v>1486007</v>
      </c>
      <c r="AT107" s="943"/>
      <c r="AU107" s="889">
        <v>0</v>
      </c>
      <c r="AV107" s="20">
        <v>0</v>
      </c>
      <c r="AW107" s="20">
        <v>0</v>
      </c>
      <c r="AX107" s="943">
        <v>0</v>
      </c>
      <c r="AY107" s="943">
        <v>0</v>
      </c>
      <c r="AZ107" s="943">
        <v>0</v>
      </c>
      <c r="BA107" s="943">
        <v>0</v>
      </c>
      <c r="BB107" s="20">
        <v>0</v>
      </c>
      <c r="BC107" s="20">
        <v>0</v>
      </c>
      <c r="BD107" s="943">
        <v>0</v>
      </c>
      <c r="BE107" s="943">
        <v>0</v>
      </c>
      <c r="BF107" s="943">
        <v>0</v>
      </c>
      <c r="BG107" s="943">
        <v>0</v>
      </c>
      <c r="BH107" s="20">
        <v>0</v>
      </c>
      <c r="BI107" s="20">
        <v>52.810447312230274</v>
      </c>
      <c r="BJ107" s="943">
        <v>52.810447312230274</v>
      </c>
      <c r="BK107" s="943">
        <v>52.810447312230274</v>
      </c>
      <c r="BL107" s="943">
        <v>52.810447312230274</v>
      </c>
      <c r="BM107" s="943">
        <v>52.810447312230274</v>
      </c>
      <c r="BN107" s="20">
        <v>52.810447312230274</v>
      </c>
      <c r="BO107" s="20">
        <v>34.626910065820596</v>
      </c>
      <c r="BP107" s="943">
        <v>34.626910065820596</v>
      </c>
      <c r="BQ107" s="943">
        <v>34.626910065820596</v>
      </c>
      <c r="BR107" s="943">
        <v>34.626910065820596</v>
      </c>
      <c r="BS107" s="943">
        <v>34.626910065820596</v>
      </c>
      <c r="BT107" s="20">
        <v>34.626910065820596</v>
      </c>
      <c r="BU107" s="20">
        <v>12.562642621949127</v>
      </c>
      <c r="BV107" s="943">
        <v>12.562642621949127</v>
      </c>
      <c r="BW107" s="943">
        <v>12.562642621949127</v>
      </c>
      <c r="BX107" s="943">
        <v>12.562642621949127</v>
      </c>
      <c r="BY107" s="943">
        <v>12.562642621949127</v>
      </c>
      <c r="BZ107" s="20">
        <v>12.562642621949127</v>
      </c>
      <c r="CA107" s="20">
        <v>100</v>
      </c>
      <c r="CB107" s="943">
        <v>100</v>
      </c>
      <c r="CC107" s="943">
        <v>100</v>
      </c>
      <c r="CD107" s="943">
        <v>100</v>
      </c>
      <c r="CE107" s="943">
        <v>100</v>
      </c>
      <c r="CF107" s="325">
        <v>100</v>
      </c>
      <c r="CG107" s="19"/>
      <c r="CH107" s="19"/>
    </row>
    <row r="108" spans="1:96" ht="36.75" thickBot="1">
      <c r="A108" s="6" t="str">
        <f>CONCATENATE('3 pr-2'!A109)</f>
        <v>2.1.1.2.1</v>
      </c>
      <c r="B108" s="8" t="str">
        <f>CONCATENATE('3 pr-2'!D109)</f>
        <v>Varėnos moksleivių kūrybos centro pastato J.Basanavičiaus g. 38, Varėnoje, modernizavimas</v>
      </c>
      <c r="C108" s="65">
        <v>0</v>
      </c>
      <c r="D108" s="65">
        <v>0</v>
      </c>
      <c r="E108" s="65">
        <v>0</v>
      </c>
      <c r="F108" s="257">
        <v>0</v>
      </c>
      <c r="G108" s="257">
        <v>0</v>
      </c>
      <c r="H108" s="257">
        <v>0</v>
      </c>
      <c r="I108" s="257">
        <v>0</v>
      </c>
      <c r="J108" s="65">
        <v>0</v>
      </c>
      <c r="K108" s="65">
        <v>0</v>
      </c>
      <c r="L108" s="261">
        <v>0</v>
      </c>
      <c r="M108" s="261">
        <v>0</v>
      </c>
      <c r="N108" s="261">
        <v>0</v>
      </c>
      <c r="O108" s="261">
        <v>0</v>
      </c>
      <c r="P108" s="65">
        <v>0</v>
      </c>
      <c r="Q108" s="65">
        <f>SUM($Q$3-$CG$108)*CK108</f>
        <v>218775.5</v>
      </c>
      <c r="R108" s="261">
        <f>SUM($Q$3-$K$3)*CL108</f>
        <v>32816.5</v>
      </c>
      <c r="S108" s="261">
        <f>SUM($Q$3-$K$3)*CM108</f>
        <v>0</v>
      </c>
      <c r="T108" s="261">
        <v>0</v>
      </c>
      <c r="U108" s="261">
        <v>0</v>
      </c>
      <c r="V108" s="326">
        <f>SUM($Q$3-$K$3)*CN108</f>
        <v>185959</v>
      </c>
      <c r="W108" s="65">
        <f>SUM($W$3-$Q$3)*CK108</f>
        <v>218775.5</v>
      </c>
      <c r="X108" s="261">
        <f>SUM($W$3-$Q$3)*CL108</f>
        <v>32816.5</v>
      </c>
      <c r="Y108" s="261">
        <f>SUM($W$3-$Q$3)*CM108</f>
        <v>0</v>
      </c>
      <c r="Z108" s="261">
        <f>IF(YEAR($CH$108)&gt;2018,($BO$4-$BI$4)*AO$108/($CH$108-$CG$108),0)</f>
        <v>0</v>
      </c>
      <c r="AA108" s="261">
        <f>IF(YEAR($CH$108)&gt;2018,($BO$4-$BI$4)*AQ$108/($CH$108-$CG$108),0)</f>
        <v>0</v>
      </c>
      <c r="AB108" s="326">
        <f>SUM($W$3-$Q$3)*CN108</f>
        <v>185959</v>
      </c>
      <c r="AC108" s="326">
        <f>IF(YEAR($CH$108)=2020,($CH$108-$BO$4)*AI$108/($CH$108-$CG$108),0)</f>
        <v>0</v>
      </c>
      <c r="AD108" s="261">
        <f>IF(YEAR($CH$108)=2020,($CH$108-$BO$4)*AK$108/($CH$108-$CG$108),0)</f>
        <v>0</v>
      </c>
      <c r="AE108" s="261">
        <f>IF(YEAR($CH$108)=2020,($CH$108-$BO$4)*AM$108/($CH$108-$CG$108),0)</f>
        <v>0</v>
      </c>
      <c r="AF108" s="261">
        <f>IF(YEAR($CH$108)=2020,($CH$108-$BO$4)*AO$108/($CH$108-$CG$108),0)</f>
        <v>0</v>
      </c>
      <c r="AG108" s="261">
        <f>IF(YEAR($CH$108)=2020,($CH$108-$BO$4)*AQ$108/($CH$108-$CG$108),0)</f>
        <v>0</v>
      </c>
      <c r="AH108" s="326">
        <f>IF(YEAR($CH$108)=2020,($CH$108-$BO$4)*AS$108/($CH$108-$CG$108),0)</f>
        <v>0</v>
      </c>
      <c r="AI108" s="664">
        <f>SUM('3 pr-2'!L109)</f>
        <v>437551</v>
      </c>
      <c r="AJ108" s="327"/>
      <c r="AK108" s="257">
        <f>SUM('3 pr-2'!O109)</f>
        <v>65633</v>
      </c>
      <c r="AL108" s="257"/>
      <c r="AM108" s="257">
        <f>SUM('3 pr-2'!R109)</f>
        <v>0</v>
      </c>
      <c r="AN108" s="257"/>
      <c r="AO108" s="257">
        <f>SUM('3 pr-2'!U109)</f>
        <v>0</v>
      </c>
      <c r="AP108" s="257"/>
      <c r="AQ108" s="257">
        <f>SUM('3 pr-2'!X109)</f>
        <v>0</v>
      </c>
      <c r="AR108" s="476"/>
      <c r="AS108" s="328">
        <f>SUM('3 pr-2'!AA109)</f>
        <v>371918</v>
      </c>
      <c r="AT108" s="433"/>
      <c r="AU108" s="889"/>
      <c r="AV108" s="20"/>
      <c r="AW108" s="20"/>
      <c r="AX108" s="258"/>
      <c r="AY108" s="258"/>
      <c r="AZ108" s="258"/>
      <c r="BA108" s="258"/>
      <c r="BB108" s="20"/>
      <c r="BC108" s="20"/>
      <c r="BD108" s="258"/>
      <c r="BE108" s="258"/>
      <c r="BF108" s="258"/>
      <c r="BG108" s="258"/>
      <c r="BH108" s="20"/>
      <c r="BI108" s="20"/>
      <c r="BJ108" s="258"/>
      <c r="BK108" s="258"/>
      <c r="BL108" s="258"/>
      <c r="BM108" s="258"/>
      <c r="BN108" s="20"/>
      <c r="BO108" s="20"/>
      <c r="BP108" s="258"/>
      <c r="BQ108" s="258"/>
      <c r="BR108" s="258"/>
      <c r="BS108" s="258"/>
      <c r="BT108" s="20"/>
      <c r="BU108" s="20"/>
      <c r="BV108" s="258"/>
      <c r="BW108" s="258"/>
      <c r="BX108" s="258"/>
      <c r="BY108" s="258"/>
      <c r="BZ108" s="20"/>
      <c r="CA108" s="20"/>
      <c r="CB108" s="258"/>
      <c r="CC108" s="258"/>
      <c r="CD108" s="258"/>
      <c r="CE108" s="258"/>
      <c r="CF108" s="325"/>
      <c r="CG108" s="891">
        <f>SUM('3 pr-2'!AI109)</f>
        <v>43100</v>
      </c>
      <c r="CH108" s="942">
        <f>SUM('3 pr-2'!AK109)</f>
        <v>43830</v>
      </c>
      <c r="CI108" s="58">
        <f>SUM(J108+P108+V108+AB108+AH108)</f>
        <v>371918</v>
      </c>
      <c r="CJ108" s="900"/>
      <c r="CK108" s="985">
        <f>SUM(AI108/($CH$108-$CG$108))</f>
        <v>599.38493150684928</v>
      </c>
      <c r="CL108" s="985">
        <f>SUM(AK108/($CH$108-$CG$108))</f>
        <v>89.908219178082192</v>
      </c>
      <c r="CM108" s="985">
        <f>SUM(AM108/($CH$108-$CG$108))</f>
        <v>0</v>
      </c>
      <c r="CN108" s="987">
        <f>SUM(AS108/($CH$108-$CG$108))</f>
        <v>509.47671232876712</v>
      </c>
      <c r="CO108" s="900"/>
      <c r="CP108" s="900"/>
      <c r="CQ108" s="900"/>
      <c r="CR108" s="900">
        <f>SUM(CJ108*CM108)</f>
        <v>0</v>
      </c>
    </row>
    <row r="109" spans="1:96" ht="29.25" customHeight="1" thickBot="1">
      <c r="A109" s="6" t="str">
        <f>CONCATENATE('3 pr-2'!A110)</f>
        <v>2.1.1.2.2</v>
      </c>
      <c r="B109" s="8" t="str">
        <f>CONCATENATE('3 pr-2'!D110)</f>
        <v>Alytaus r. meno ir sporto mokyklos edukacinių erdvių įkūrimas ir atnaujinimas</v>
      </c>
      <c r="C109" s="65">
        <v>0</v>
      </c>
      <c r="D109" s="65">
        <v>0</v>
      </c>
      <c r="E109" s="65">
        <v>0</v>
      </c>
      <c r="F109" s="257">
        <v>0</v>
      </c>
      <c r="G109" s="257">
        <v>0</v>
      </c>
      <c r="H109" s="257">
        <v>0</v>
      </c>
      <c r="I109" s="257">
        <v>0</v>
      </c>
      <c r="J109" s="65">
        <v>0</v>
      </c>
      <c r="K109" s="65">
        <v>0</v>
      </c>
      <c r="L109" s="261">
        <v>0</v>
      </c>
      <c r="M109" s="261">
        <v>0</v>
      </c>
      <c r="N109" s="261">
        <v>0</v>
      </c>
      <c r="O109" s="261">
        <v>0</v>
      </c>
      <c r="P109" s="65">
        <v>0</v>
      </c>
      <c r="Q109" s="65">
        <f>SUM($Q$3-$CG$109)*CK109</f>
        <v>425866.07046575344</v>
      </c>
      <c r="R109" s="261">
        <f>SUM($Q$3-$CG$109)*CL109</f>
        <v>159030.73758904109</v>
      </c>
      <c r="S109" s="261">
        <f>SUM($Q$3-$CG$109)*CM109</f>
        <v>0</v>
      </c>
      <c r="T109" s="261">
        <f>IF(YEAR($CG$109)=2018,($BI$4-$CG$109)*AO$109/($CH$109-$CG$109))</f>
        <v>0</v>
      </c>
      <c r="U109" s="261">
        <f>IF(YEAR($CG$109)=2018,($BI$4-$CG$109)*AQ$109/($CH$109-$CG$109))</f>
        <v>0</v>
      </c>
      <c r="V109" s="326">
        <f>SUM($Q$3-$CG$109)*CN109</f>
        <v>266835.33287671232</v>
      </c>
      <c r="W109" s="65">
        <f>SUM($W$3-$Q$3)*CK109</f>
        <v>428212.44</v>
      </c>
      <c r="X109" s="261">
        <f t="shared" ref="X109" si="261">SUM($W$3-$Q$3)*CL109</f>
        <v>159906.94</v>
      </c>
      <c r="Y109" s="261">
        <f t="shared" ref="Y109" si="262">SUM($W$3-$Q$3)*CM109</f>
        <v>0</v>
      </c>
      <c r="Z109" s="261">
        <f>IF(YEAR($CH$109)&gt;2018,($BO$4-$BI$4)*AO$109/($CH$109-$CG$109),0)</f>
        <v>0</v>
      </c>
      <c r="AA109" s="261">
        <f>IF(YEAR($CH$109)&gt;2018,($BO$4-$BI$4)*AQ$109/($CH$109-$CG$109),0)</f>
        <v>0</v>
      </c>
      <c r="AB109" s="326">
        <f t="shared" ref="AB109" si="263">SUM($W$3-$Q$3)*CN109</f>
        <v>268305.5</v>
      </c>
      <c r="AC109" s="326">
        <f>IF(YEAR($CH$109)=2020,($CH$109-$BO$4)*AI$109/($CH$109-$CG$109),0)</f>
        <v>2346.3695342465753</v>
      </c>
      <c r="AD109" s="261">
        <f>IF(YEAR($CH$109)=2020,($CH$109-$BO$4)*AK$109/($CH$109-$CG$109),0)</f>
        <v>876.20241095890412</v>
      </c>
      <c r="AE109" s="261">
        <f>IF(YEAR($CH$109)=2020,($CH$109-$BO$4)*AM$109/($CH$109-$CG$109),0)</f>
        <v>0</v>
      </c>
      <c r="AF109" s="261">
        <f>IF(YEAR($CH$109)=2020,($CH$109-$BO$4)*AO$109/($CH$109-$CG$109),0)</f>
        <v>0</v>
      </c>
      <c r="AG109" s="261">
        <f>IF(YEAR($CH$109)=2020,($CH$109-$BO$4)*AQ$109/($CH$109-$CG$109),0)</f>
        <v>0</v>
      </c>
      <c r="AH109" s="326">
        <f>IF(YEAR($CH$109)=2020,($CH$109-$BO$4)*AS$109/($CH$109-$CG$109),0)</f>
        <v>1470.1671232876713</v>
      </c>
      <c r="AI109" s="664">
        <f>SUM('3 pr-2'!L110)</f>
        <v>856424.88</v>
      </c>
      <c r="AJ109" s="327"/>
      <c r="AK109" s="257">
        <f>SUM('3 pr-2'!O110)</f>
        <v>319813.88</v>
      </c>
      <c r="AL109" s="257"/>
      <c r="AM109" s="257">
        <f>SUM('3 pr-2'!R110)</f>
        <v>0</v>
      </c>
      <c r="AN109" s="257"/>
      <c r="AO109" s="257">
        <f>SUM('3 pr-2'!U110)</f>
        <v>0</v>
      </c>
      <c r="AP109" s="257"/>
      <c r="AQ109" s="257">
        <f>SUM('3 pr-2'!X110)</f>
        <v>0</v>
      </c>
      <c r="AR109" s="476"/>
      <c r="AS109" s="328">
        <f>SUM('3 pr-2'!AA110)</f>
        <v>536611</v>
      </c>
      <c r="AT109" s="433"/>
      <c r="AU109" s="889"/>
      <c r="AV109" s="20"/>
      <c r="AW109" s="20"/>
      <c r="AX109" s="258"/>
      <c r="AY109" s="258"/>
      <c r="AZ109" s="258"/>
      <c r="BA109" s="258"/>
      <c r="BB109" s="20"/>
      <c r="BC109" s="20"/>
      <c r="BD109" s="258"/>
      <c r="BE109" s="258"/>
      <c r="BF109" s="258"/>
      <c r="BG109" s="258"/>
      <c r="BH109" s="20"/>
      <c r="BI109" s="20"/>
      <c r="BJ109" s="258"/>
      <c r="BK109" s="258"/>
      <c r="BL109" s="258"/>
      <c r="BM109" s="258"/>
      <c r="BN109" s="20"/>
      <c r="BO109" s="20"/>
      <c r="BP109" s="258"/>
      <c r="BQ109" s="258"/>
      <c r="BR109" s="258"/>
      <c r="BS109" s="258"/>
      <c r="BT109" s="20"/>
      <c r="BU109" s="20"/>
      <c r="BV109" s="258"/>
      <c r="BW109" s="258"/>
      <c r="BX109" s="258"/>
      <c r="BY109" s="258"/>
      <c r="BZ109" s="20"/>
      <c r="CA109" s="20"/>
      <c r="CB109" s="258"/>
      <c r="CC109" s="258"/>
      <c r="CD109" s="258"/>
      <c r="CE109" s="258"/>
      <c r="CF109" s="325"/>
      <c r="CG109" s="891">
        <v>43102</v>
      </c>
      <c r="CH109" s="942">
        <f>SUM('3 pr-2'!AK110)</f>
        <v>43832</v>
      </c>
      <c r="CI109" s="58">
        <f>SUM(J109+P109+V109+AB109+AH109)</f>
        <v>536611</v>
      </c>
      <c r="CJ109" s="900"/>
      <c r="CK109" s="985">
        <f>SUM(AI109/($CH$109-$CG$109))</f>
        <v>1173.1847671232877</v>
      </c>
      <c r="CL109" s="985">
        <f>SUM(AK109/($CH$109-$CG$109))</f>
        <v>438.10120547945206</v>
      </c>
      <c r="CM109" s="985">
        <f>SUM(AM109/($CH$109-$CG$109))</f>
        <v>0</v>
      </c>
      <c r="CN109" s="987">
        <f>SUM(AS109/($CH$109-$CG$109))</f>
        <v>735.08356164383565</v>
      </c>
      <c r="CO109" s="900"/>
      <c r="CP109" s="900"/>
      <c r="CQ109" s="900"/>
      <c r="CR109" s="900">
        <f>SUM(CJ109*CM109)</f>
        <v>0</v>
      </c>
    </row>
    <row r="110" spans="1:96" ht="36.75" thickBot="1">
      <c r="A110" s="6" t="str">
        <f>CONCATENATE('3 pr-2'!A111)</f>
        <v>2.1.1.2.3</v>
      </c>
      <c r="B110" s="8" t="str">
        <f>CONCATENATE('3 pr-2'!D111)</f>
        <v>Alytaus muzikos mokyklos pastato modernizavimas ir ugdymo aplinkos gerinimas</v>
      </c>
      <c r="C110" s="65">
        <v>0</v>
      </c>
      <c r="D110" s="65">
        <v>0</v>
      </c>
      <c r="E110" s="65">
        <v>0</v>
      </c>
      <c r="F110" s="257">
        <v>0</v>
      </c>
      <c r="G110" s="257">
        <v>0</v>
      </c>
      <c r="H110" s="257">
        <v>0</v>
      </c>
      <c r="I110" s="257">
        <v>0</v>
      </c>
      <c r="J110" s="65">
        <v>0</v>
      </c>
      <c r="K110" s="65">
        <v>0</v>
      </c>
      <c r="L110" s="261">
        <v>0</v>
      </c>
      <c r="M110" s="261">
        <v>0</v>
      </c>
      <c r="N110" s="261">
        <v>0</v>
      </c>
      <c r="O110" s="261">
        <v>0</v>
      </c>
      <c r="P110" s="65">
        <v>0</v>
      </c>
      <c r="Q110" s="65">
        <f>SUM($Q$3-$CG$110)*CK110</f>
        <v>198143.15109890111</v>
      </c>
      <c r="R110" s="261">
        <f>SUM($Q$3-$CG$110)*CL110</f>
        <v>29721.622252747253</v>
      </c>
      <c r="S110" s="261">
        <f>SUM($Q$3-$CG$110)*CM110</f>
        <v>0</v>
      </c>
      <c r="T110" s="261">
        <f>IF(YEAR($CG$110)=2018,($BI$4-$CG$110)*AO$110/($CH$110-$CG$110))</f>
        <v>0</v>
      </c>
      <c r="U110" s="261">
        <f>IF(YEAR($CG$110)=2018,($BI$4-$CG$110)*AQ$110/($CH$110-$CG$110))</f>
        <v>0</v>
      </c>
      <c r="V110" s="326">
        <f>SUM($Q$3-$CG$110)*CN110</f>
        <v>168421.52884615384</v>
      </c>
      <c r="W110" s="65">
        <f>SUM($CH$110-$Q$3)*CK110</f>
        <v>199234.84890109891</v>
      </c>
      <c r="X110" s="261">
        <f>SUM($CH$110-$Q$3)*CL110</f>
        <v>29885.377747252747</v>
      </c>
      <c r="Y110" s="261">
        <f>SUM($CH$110-$Q$3)*CM110</f>
        <v>0</v>
      </c>
      <c r="Z110" s="261">
        <f>IF(YEAR($CH$110)&gt;2018,($BO$4-$BI$4)*AO$110/($CH$110-$CG$110),0)</f>
        <v>0</v>
      </c>
      <c r="AA110" s="261">
        <f>IF(YEAR($CH$110)&gt;2018,($BO$4-$BI$4)*AQ$110/($CH$110-$CG$110),0)</f>
        <v>0</v>
      </c>
      <c r="AB110" s="326">
        <f>SUM($CH$110-$Q$3)*CN110</f>
        <v>169349.47115384616</v>
      </c>
      <c r="AC110" s="326">
        <f>IF(YEAR($CH$110)=2020,($CH$110-$BO$4)*AI$110/($CH$110-$CG$110),0)</f>
        <v>0</v>
      </c>
      <c r="AD110" s="261">
        <f>IF(YEAR($CH$110)=2020,($CH$110-$BO$4)*AK$110/($CH$110-$CG$110),0)</f>
        <v>0</v>
      </c>
      <c r="AE110" s="261">
        <f>IF(YEAR($CH$110)=2020,($CH$110-$BO$4)*AM$110/($CH$110-$CG$110),0)</f>
        <v>0</v>
      </c>
      <c r="AF110" s="261">
        <f>IF(YEAR($CH$110)=2020,($CH$110-$BO$4)*AO$110/($CH$110-$CG$110),0)</f>
        <v>0</v>
      </c>
      <c r="AG110" s="261">
        <f>IF(YEAR($CH$110)=2020,($CH$110-$BO$4)*AQ$110/($CH$110-$CG$110),0)</f>
        <v>0</v>
      </c>
      <c r="AH110" s="326">
        <f>IF(YEAR($CH$110)=2020,($CH$110-$BO$4)*AS$110/($CH$110-$CG$110),0)</f>
        <v>0</v>
      </c>
      <c r="AI110" s="664">
        <f>SUM('3 pr-2'!L111)</f>
        <v>397378</v>
      </c>
      <c r="AJ110" s="327"/>
      <c r="AK110" s="257">
        <f>SUM('3 pr-2'!O111)</f>
        <v>59607</v>
      </c>
      <c r="AL110" s="257"/>
      <c r="AM110" s="257">
        <f>SUM('3 pr-2'!R111)</f>
        <v>0</v>
      </c>
      <c r="AN110" s="257"/>
      <c r="AO110" s="257">
        <f>SUM('3 pr-2'!U111)</f>
        <v>0</v>
      </c>
      <c r="AP110" s="257"/>
      <c r="AQ110" s="257">
        <f>SUM('3 pr-2'!X111)</f>
        <v>0</v>
      </c>
      <c r="AR110" s="476"/>
      <c r="AS110" s="328">
        <f>SUM('3 pr-2'!AA111)</f>
        <v>337771</v>
      </c>
      <c r="AT110" s="433"/>
      <c r="AU110" s="889"/>
      <c r="AV110" s="20"/>
      <c r="AW110" s="20"/>
      <c r="AX110" s="258"/>
      <c r="AY110" s="258"/>
      <c r="AZ110" s="258"/>
      <c r="BA110" s="258"/>
      <c r="BB110" s="20"/>
      <c r="BC110" s="20"/>
      <c r="BD110" s="258"/>
      <c r="BE110" s="258"/>
      <c r="BF110" s="258"/>
      <c r="BG110" s="258"/>
      <c r="BH110" s="20"/>
      <c r="BI110" s="20"/>
      <c r="BJ110" s="258"/>
      <c r="BK110" s="258"/>
      <c r="BL110" s="258"/>
      <c r="BM110" s="258"/>
      <c r="BN110" s="20"/>
      <c r="BO110" s="20"/>
      <c r="BP110" s="258"/>
      <c r="BQ110" s="258"/>
      <c r="BR110" s="258"/>
      <c r="BS110" s="258"/>
      <c r="BT110" s="20"/>
      <c r="BU110" s="20"/>
      <c r="BV110" s="258"/>
      <c r="BW110" s="258"/>
      <c r="BX110" s="258"/>
      <c r="BY110" s="258"/>
      <c r="BZ110" s="20"/>
      <c r="CA110" s="20"/>
      <c r="CB110" s="258"/>
      <c r="CC110" s="258"/>
      <c r="CD110" s="258"/>
      <c r="CE110" s="258"/>
      <c r="CF110" s="325"/>
      <c r="CG110" s="891">
        <v>43102</v>
      </c>
      <c r="CH110" s="942">
        <f>SUM('3 pr-2'!AK111)</f>
        <v>43830</v>
      </c>
      <c r="CI110" s="58">
        <f>SUM(J110+P110+V110+AB110+AH110)</f>
        <v>337771</v>
      </c>
      <c r="CJ110" s="900"/>
      <c r="CK110" s="985">
        <f>SUM(AI110/($CH$110-$CG$110))</f>
        <v>545.84890109890114</v>
      </c>
      <c r="CL110" s="985">
        <f>SUM(AK110/($CH$110-$CG$110))</f>
        <v>81.877747252747255</v>
      </c>
      <c r="CM110" s="985">
        <f>SUM(AM110/($CH$110-$CG$110))</f>
        <v>0</v>
      </c>
      <c r="CN110" s="987">
        <f>SUM(AS110/($CH$110-$CG$110))</f>
        <v>463.97115384615387</v>
      </c>
      <c r="CO110" s="900"/>
      <c r="CP110" s="900"/>
      <c r="CQ110" s="900"/>
      <c r="CR110" s="900">
        <f>SUM(CJ110*CM110)</f>
        <v>0</v>
      </c>
    </row>
    <row r="111" spans="1:96" ht="24.75" thickBot="1">
      <c r="A111" s="6" t="str">
        <f>CONCATENATE('3 pr-2'!A112)</f>
        <v>2.1.1.2.4</v>
      </c>
      <c r="B111" s="8" t="str">
        <f>CONCATENATE('3 pr-2'!D112)</f>
        <v>Druskininkų M. K. Čiurlionio meno mokyklos infrastruktūros tobulinimas</v>
      </c>
      <c r="C111" s="65">
        <v>0</v>
      </c>
      <c r="D111" s="65">
        <v>0</v>
      </c>
      <c r="E111" s="65">
        <v>0</v>
      </c>
      <c r="F111" s="257">
        <v>0</v>
      </c>
      <c r="G111" s="257">
        <v>0</v>
      </c>
      <c r="H111" s="257">
        <v>0</v>
      </c>
      <c r="I111" s="257">
        <v>0</v>
      </c>
      <c r="J111" s="65">
        <v>0</v>
      </c>
      <c r="K111" s="65">
        <f>IF(YEAR($CG$111)=2017,($BC$4-$CG$111)*AI$111/($CH$111-$CG$111),0)</f>
        <v>0</v>
      </c>
      <c r="L111" s="261">
        <f>IF(YEAR($CG$111)=2017,($BC$4-$CG$111)*AK$111/($CH$111-$CG$111),0)</f>
        <v>0</v>
      </c>
      <c r="M111" s="261">
        <f>IF(YEAR($CG$111)=2017,($BC$4-$CG$111)*AM$111/($CH$111-$CG$111),0)</f>
        <v>0</v>
      </c>
      <c r="N111" s="261">
        <f>IF(YEAR($CG$111)=2017,($BC$4-$CG$111)*AO$111/($CH$111-$CG$111),0)</f>
        <v>0</v>
      </c>
      <c r="O111" s="261">
        <f>IF(YEAR($CG$111)=2017,($BC$4-$CG$111)*AQ$111/($CH$111-$CG$111),0)</f>
        <v>0</v>
      </c>
      <c r="P111" s="65">
        <f>IF(YEAR($CG$111)=2017,($BC$4-$CG$111)*AS$111/($CH$111-$CG$111),0)</f>
        <v>0</v>
      </c>
      <c r="Q111" s="65">
        <f>SUM($CH$111-$CG$111)*CK111</f>
        <v>146702.29999999999</v>
      </c>
      <c r="R111" s="261">
        <f>SUM($CH$111-$CG$111)*CL111</f>
        <v>22436.3</v>
      </c>
      <c r="S111" s="261">
        <f>SUM($CH$111-$CG$111)*CM111</f>
        <v>0</v>
      </c>
      <c r="T111" s="261">
        <f>IF(YEAR($CH$111)=2018,($CH$111-$BC$4)*AO$111/($CH$111-$CG$111),0)</f>
        <v>0</v>
      </c>
      <c r="U111" s="261">
        <f>IF(YEAR($CH$111)=2018,($CH$111-$BC$4)*AQ$111/($CH$111-$CG$111),0)</f>
        <v>0</v>
      </c>
      <c r="V111" s="326">
        <f>SUM($CH$111-$CG$111)*CN111</f>
        <v>124265.99999999999</v>
      </c>
      <c r="W111" s="65">
        <v>0</v>
      </c>
      <c r="X111" s="261">
        <v>0</v>
      </c>
      <c r="Y111" s="261">
        <v>0</v>
      </c>
      <c r="Z111" s="257">
        <v>0</v>
      </c>
      <c r="AA111" s="257">
        <v>0</v>
      </c>
      <c r="AB111" s="326">
        <v>0</v>
      </c>
      <c r="AC111" s="65">
        <v>0</v>
      </c>
      <c r="AD111" s="257">
        <v>0</v>
      </c>
      <c r="AE111" s="257">
        <v>0</v>
      </c>
      <c r="AF111" s="257">
        <v>0</v>
      </c>
      <c r="AG111" s="257">
        <v>0</v>
      </c>
      <c r="AH111" s="65">
        <v>0</v>
      </c>
      <c r="AI111" s="664">
        <f>SUM('3 pr-2'!L112)</f>
        <v>146702.29999999999</v>
      </c>
      <c r="AJ111" s="327"/>
      <c r="AK111" s="257">
        <f>SUM('3 pr-2'!O112)</f>
        <v>22436.3</v>
      </c>
      <c r="AL111" s="257"/>
      <c r="AM111" s="257">
        <f>SUM('3 pr-2'!R112)</f>
        <v>0</v>
      </c>
      <c r="AN111" s="257"/>
      <c r="AO111" s="257">
        <f>SUM('3 pr-2'!U112)</f>
        <v>0</v>
      </c>
      <c r="AP111" s="257"/>
      <c r="AQ111" s="257">
        <f>SUM('3 pr-2'!X112)</f>
        <v>0</v>
      </c>
      <c r="AR111" s="476"/>
      <c r="AS111" s="328">
        <f>SUM('3 pr-2'!AA112)</f>
        <v>124266</v>
      </c>
      <c r="AT111" s="433"/>
      <c r="AU111" s="889"/>
      <c r="AV111" s="20"/>
      <c r="AW111" s="20"/>
      <c r="AX111" s="258"/>
      <c r="AY111" s="258"/>
      <c r="AZ111" s="258"/>
      <c r="BA111" s="258"/>
      <c r="BB111" s="20"/>
      <c r="BC111" s="20"/>
      <c r="BD111" s="258"/>
      <c r="BE111" s="258"/>
      <c r="BF111" s="258"/>
      <c r="BG111" s="258"/>
      <c r="BH111" s="20"/>
      <c r="BI111" s="20"/>
      <c r="BJ111" s="258"/>
      <c r="BK111" s="258"/>
      <c r="BL111" s="258"/>
      <c r="BM111" s="258"/>
      <c r="BN111" s="20"/>
      <c r="BO111" s="20"/>
      <c r="BP111" s="258"/>
      <c r="BQ111" s="258"/>
      <c r="BR111" s="258"/>
      <c r="BS111" s="258"/>
      <c r="BT111" s="20"/>
      <c r="BU111" s="20"/>
      <c r="BV111" s="258"/>
      <c r="BW111" s="258"/>
      <c r="BX111" s="258"/>
      <c r="BY111" s="258"/>
      <c r="BZ111" s="20"/>
      <c r="CA111" s="20"/>
      <c r="CB111" s="258"/>
      <c r="CC111" s="258"/>
      <c r="CD111" s="258"/>
      <c r="CE111" s="258"/>
      <c r="CF111" s="325"/>
      <c r="CG111" s="891">
        <v>43102</v>
      </c>
      <c r="CH111" s="942">
        <f>SUM('3 pr-2'!AK112)</f>
        <v>43449</v>
      </c>
      <c r="CI111" s="58">
        <f>SUM(J111+P111+V111+AB111+AH111)</f>
        <v>124265.99999999999</v>
      </c>
      <c r="CJ111" s="900"/>
      <c r="CK111" s="985">
        <f>SUM(AI111/($CH$111-$CG$111))</f>
        <v>422.77319884726222</v>
      </c>
      <c r="CL111" s="985">
        <f>SUM(AK111/($CH$111-$CG$111))</f>
        <v>64.657925072046112</v>
      </c>
      <c r="CM111" s="985">
        <f>SUM(AM111/($CH$111-$CG$111))</f>
        <v>0</v>
      </c>
      <c r="CN111" s="987">
        <f>SUM(AS111/($CH$111-$CG$111))</f>
        <v>358.11527377521611</v>
      </c>
      <c r="CO111" s="900"/>
      <c r="CP111" s="900"/>
      <c r="CQ111" s="900"/>
      <c r="CR111" s="900">
        <f>SUM(CJ111*CM111)</f>
        <v>0</v>
      </c>
    </row>
    <row r="112" spans="1:96" ht="36" customHeight="1" thickBot="1">
      <c r="A112" s="6" t="str">
        <f>CONCATENATE('3 pr-2'!A113)</f>
        <v>2.1.1.2.5</v>
      </c>
      <c r="B112" s="8" t="str">
        <f>CONCATENATE('3 pr-2'!D113)</f>
        <v>Neformaliojo švietimo įstaigų Lazdijų rajono savivaldybėje infrastruktūros tobulinimas</v>
      </c>
      <c r="C112" s="65">
        <v>0</v>
      </c>
      <c r="D112" s="65">
        <v>0</v>
      </c>
      <c r="E112" s="65">
        <v>0</v>
      </c>
      <c r="F112" s="257">
        <v>0</v>
      </c>
      <c r="G112" s="257">
        <v>0</v>
      </c>
      <c r="H112" s="257">
        <v>0</v>
      </c>
      <c r="I112" s="257">
        <v>0</v>
      </c>
      <c r="J112" s="65">
        <v>0</v>
      </c>
      <c r="K112" s="65">
        <f>IF(YEAR($CG$112)=2017,($BC$4-$CG$112)*AI$112/($CH$112-$CG$112),0)</f>
        <v>0</v>
      </c>
      <c r="L112" s="261">
        <f>IF(YEAR($CG$112)=2017,($BC$4-$CG$112)*AK$112/($CH$112-$CG$112),0)</f>
        <v>0</v>
      </c>
      <c r="M112" s="261">
        <f>IF(YEAR($CG$112)=2017,($BC$4-$CG$112)*AM$112/($CH$112-$CG$112),0)</f>
        <v>0</v>
      </c>
      <c r="N112" s="261">
        <f>IF(YEAR($CG$112)=2017,($BC$4-$CG$112)*AO$112/($CH$112-$CG$112),0)</f>
        <v>0</v>
      </c>
      <c r="O112" s="261">
        <f>IF(YEAR($CG$112)=2017,($BC$4-$CG$112)*AQ$112/($CH$112-$CG$112),0)</f>
        <v>0</v>
      </c>
      <c r="P112" s="65">
        <f>IF(YEAR($CG$112)=2017,($BC$4-$CG$112)*AS$112/($CH$112-$CG$112),0)</f>
        <v>0</v>
      </c>
      <c r="Q112" s="65">
        <f>SUM($Q$3-CG112)*CK112</f>
        <v>77394.791208791212</v>
      </c>
      <c r="R112" s="261">
        <f>SUM($Q$3-$CG$112)*CL112</f>
        <v>11609.731554160126</v>
      </c>
      <c r="S112" s="261">
        <f>SUM($Q$3-$CG$112)*CM112</f>
        <v>0</v>
      </c>
      <c r="T112" s="261">
        <f>IF(YEAR($CH$112)=2018,($CH$112-$BC$4)*AO$112/($CH$112-$CG$112),0)</f>
        <v>0</v>
      </c>
      <c r="U112" s="261">
        <f>IF(YEAR($CH$112)=2018,($CH$112-$BC$4)*AQ$112/($CH$112-$CG$112),0)</f>
        <v>0</v>
      </c>
      <c r="V112" s="326">
        <f>SUM($Q$3-$CG$112)*CN112</f>
        <v>65785.059654631084</v>
      </c>
      <c r="W112" s="65">
        <f>SUM($CH$112-$Q$3)*CK112</f>
        <v>58419.208791208795</v>
      </c>
      <c r="X112" s="261">
        <f>SUM($CH$112-$Q$3)*CL112</f>
        <v>8763.2684458398744</v>
      </c>
      <c r="Y112" s="261">
        <f>SUM($CH$112-$Q$3)*CM112</f>
        <v>0</v>
      </c>
      <c r="Z112" s="257">
        <v>0</v>
      </c>
      <c r="AA112" s="257">
        <v>0</v>
      </c>
      <c r="AB112" s="326">
        <f>SUM($CH$112-$Q$3)*CN112</f>
        <v>49655.940345368916</v>
      </c>
      <c r="AC112" s="65">
        <v>0</v>
      </c>
      <c r="AD112" s="257">
        <v>0</v>
      </c>
      <c r="AE112" s="257">
        <v>0</v>
      </c>
      <c r="AF112" s="257">
        <v>0</v>
      </c>
      <c r="AG112" s="257">
        <v>0</v>
      </c>
      <c r="AH112" s="65">
        <v>0</v>
      </c>
      <c r="AI112" s="664">
        <f>SUM('3 pr-2'!L113)</f>
        <v>135814</v>
      </c>
      <c r="AJ112" s="327"/>
      <c r="AK112" s="257">
        <f>SUM('3 pr-2'!O113)</f>
        <v>20373</v>
      </c>
      <c r="AL112" s="257"/>
      <c r="AM112" s="257">
        <f>SUM('3 pr-2'!R113)</f>
        <v>0</v>
      </c>
      <c r="AN112" s="257"/>
      <c r="AO112" s="257">
        <f>SUM('3 pr-2'!U113)</f>
        <v>0</v>
      </c>
      <c r="AP112" s="257"/>
      <c r="AQ112" s="257">
        <f>SUM('3 pr-2'!X113)</f>
        <v>0</v>
      </c>
      <c r="AR112" s="476"/>
      <c r="AS112" s="328">
        <f>SUM('3 pr-2'!AA113)</f>
        <v>115441</v>
      </c>
      <c r="AT112" s="433"/>
      <c r="AU112" s="889"/>
      <c r="AV112" s="20"/>
      <c r="AW112" s="20"/>
      <c r="AX112" s="258"/>
      <c r="AY112" s="258"/>
      <c r="AZ112" s="258"/>
      <c r="BA112" s="258"/>
      <c r="BB112" s="20"/>
      <c r="BC112" s="20"/>
      <c r="BD112" s="258"/>
      <c r="BE112" s="258"/>
      <c r="BF112" s="258"/>
      <c r="BG112" s="258"/>
      <c r="BH112" s="20"/>
      <c r="BI112" s="20"/>
      <c r="BJ112" s="258"/>
      <c r="BK112" s="258"/>
      <c r="BL112" s="258"/>
      <c r="BM112" s="258"/>
      <c r="BN112" s="20"/>
      <c r="BO112" s="20"/>
      <c r="BP112" s="258"/>
      <c r="BQ112" s="258"/>
      <c r="BR112" s="258"/>
      <c r="BS112" s="258"/>
      <c r="BT112" s="20"/>
      <c r="BU112" s="20"/>
      <c r="BV112" s="258"/>
      <c r="BW112" s="258"/>
      <c r="BX112" s="258"/>
      <c r="BY112" s="258"/>
      <c r="BZ112" s="20"/>
      <c r="CA112" s="20"/>
      <c r="CB112" s="258"/>
      <c r="CC112" s="258"/>
      <c r="CD112" s="258"/>
      <c r="CE112" s="258"/>
      <c r="CF112" s="325"/>
      <c r="CG112" s="891">
        <v>43102</v>
      </c>
      <c r="CH112" s="942">
        <f>SUM('3 pr-2'!AK113)</f>
        <v>43739</v>
      </c>
      <c r="CI112" s="58">
        <f>SUM(J112+P112+V112+AB112+AH112)</f>
        <v>115441</v>
      </c>
      <c r="CJ112" s="900"/>
      <c r="CK112" s="985">
        <f>SUM(AI112/($CH$112-$CG$112))</f>
        <v>213.20879120879121</v>
      </c>
      <c r="CL112" s="985">
        <f>SUM(AK112/($CH$112-$CG$112))</f>
        <v>31.982731554160125</v>
      </c>
      <c r="CM112" s="985">
        <f>SUM(AM112/($CH$112-$CG$112))</f>
        <v>0</v>
      </c>
      <c r="CN112" s="987">
        <f>SUM(AS112/($CH$112-$CG$112))</f>
        <v>181.22605965463109</v>
      </c>
      <c r="CO112" s="900"/>
      <c r="CP112" s="900"/>
      <c r="CQ112" s="900"/>
      <c r="CR112" s="900">
        <f>SUM(CJ112*CM112)</f>
        <v>0</v>
      </c>
    </row>
    <row r="113" spans="1:98" ht="39.75" thickBot="1">
      <c r="A113" s="253" t="str">
        <f>CONCATENATE('3 pr-2'!A114)</f>
        <v>2.1.1.3</v>
      </c>
      <c r="B113" s="103" t="str">
        <f>CONCATENATE('3 pr-2'!B114)</f>
        <v>Priemonė:
Ikimokyklinio ir priešmokyklinio ugdymo prieinamumo didinimas</v>
      </c>
      <c r="C113" s="943">
        <f>SUM(C114:C118)</f>
        <v>0</v>
      </c>
      <c r="D113" s="943">
        <f t="shared" ref="D113:AS113" si="264">SUM(D114:D118)</f>
        <v>0</v>
      </c>
      <c r="E113" s="943">
        <f t="shared" si="264"/>
        <v>0</v>
      </c>
      <c r="F113" s="943"/>
      <c r="G113" s="943"/>
      <c r="H113" s="943"/>
      <c r="I113" s="943"/>
      <c r="J113" s="943">
        <f t="shared" si="264"/>
        <v>0</v>
      </c>
      <c r="K113" s="943">
        <f t="shared" si="264"/>
        <v>0</v>
      </c>
      <c r="L113" s="944">
        <f t="shared" ref="L113:O113" si="265">SUM(L114:L118)</f>
        <v>0</v>
      </c>
      <c r="M113" s="944">
        <f t="shared" si="265"/>
        <v>0</v>
      </c>
      <c r="N113" s="944">
        <f t="shared" si="265"/>
        <v>0</v>
      </c>
      <c r="O113" s="944">
        <f t="shared" si="265"/>
        <v>0</v>
      </c>
      <c r="P113" s="943">
        <f t="shared" si="264"/>
        <v>0</v>
      </c>
      <c r="Q113" s="943">
        <f t="shared" si="264"/>
        <v>779247.79813254834</v>
      </c>
      <c r="R113" s="944"/>
      <c r="S113" s="944"/>
      <c r="T113" s="944"/>
      <c r="U113" s="944"/>
      <c r="V113" s="943">
        <f t="shared" si="264"/>
        <v>604276.77105700958</v>
      </c>
      <c r="W113" s="943">
        <f t="shared" si="264"/>
        <v>667204.75279311812</v>
      </c>
      <c r="X113" s="944"/>
      <c r="Y113" s="944"/>
      <c r="Z113" s="944"/>
      <c r="AA113" s="944"/>
      <c r="AB113" s="943">
        <f t="shared" si="264"/>
        <v>523918.37480554316</v>
      </c>
      <c r="AC113" s="943">
        <f t="shared" si="264"/>
        <v>12569.219074333801</v>
      </c>
      <c r="AD113" s="944"/>
      <c r="AE113" s="944"/>
      <c r="AF113" s="944"/>
      <c r="AG113" s="944"/>
      <c r="AH113" s="943">
        <f t="shared" si="264"/>
        <v>10392.854137447406</v>
      </c>
      <c r="AI113" s="945">
        <f t="shared" si="264"/>
        <v>1459021.7699999998</v>
      </c>
      <c r="AJ113" s="943"/>
      <c r="AK113" s="943"/>
      <c r="AL113" s="943"/>
      <c r="AM113" s="943"/>
      <c r="AN113" s="943"/>
      <c r="AO113" s="943"/>
      <c r="AP113" s="943"/>
      <c r="AQ113" s="943"/>
      <c r="AR113" s="943"/>
      <c r="AS113" s="943">
        <f t="shared" si="264"/>
        <v>1138588</v>
      </c>
      <c r="AT113" s="943"/>
      <c r="AU113" s="889"/>
      <c r="AV113" s="20"/>
      <c r="AW113" s="20"/>
      <c r="AX113" s="943"/>
      <c r="AY113" s="943"/>
      <c r="AZ113" s="943"/>
      <c r="BA113" s="943"/>
      <c r="BB113" s="20"/>
      <c r="BC113" s="20"/>
      <c r="BD113" s="943"/>
      <c r="BE113" s="943"/>
      <c r="BF113" s="943"/>
      <c r="BG113" s="943"/>
      <c r="BH113" s="20"/>
      <c r="BI113" s="20"/>
      <c r="BJ113" s="943"/>
      <c r="BK113" s="943"/>
      <c r="BL113" s="943"/>
      <c r="BM113" s="943"/>
      <c r="BN113" s="20"/>
      <c r="BO113" s="20"/>
      <c r="BP113" s="943"/>
      <c r="BQ113" s="943"/>
      <c r="BR113" s="943"/>
      <c r="BS113" s="943"/>
      <c r="BT113" s="20"/>
      <c r="BU113" s="20"/>
      <c r="BV113" s="943"/>
      <c r="BW113" s="943"/>
      <c r="BX113" s="943"/>
      <c r="BY113" s="943"/>
      <c r="BZ113" s="20"/>
      <c r="CA113" s="20"/>
      <c r="CB113" s="943"/>
      <c r="CC113" s="943"/>
      <c r="CD113" s="943"/>
      <c r="CE113" s="943"/>
      <c r="CF113" s="325"/>
      <c r="CG113" s="19"/>
      <c r="CH113" s="19"/>
    </row>
    <row r="114" spans="1:98" ht="24.75" thickBot="1">
      <c r="A114" s="6" t="str">
        <f>CONCATENATE('3 pr-2'!A115)</f>
        <v>2.1.1.3.1</v>
      </c>
      <c r="B114" s="8" t="str">
        <f>CONCATENATE('3 pr-2'!D115)</f>
        <v>Varėnos "Pasakos" vaikų lopšelio-darželio pastato modernizavimas</v>
      </c>
      <c r="C114" s="65">
        <v>0</v>
      </c>
      <c r="D114" s="65">
        <v>0</v>
      </c>
      <c r="E114" s="65">
        <v>0</v>
      </c>
      <c r="F114" s="257">
        <v>0</v>
      </c>
      <c r="G114" s="257">
        <v>0</v>
      </c>
      <c r="H114" s="257">
        <v>0</v>
      </c>
      <c r="I114" s="257">
        <v>0</v>
      </c>
      <c r="J114" s="65">
        <v>0</v>
      </c>
      <c r="K114" s="65">
        <v>0</v>
      </c>
      <c r="L114" s="261">
        <v>0</v>
      </c>
      <c r="M114" s="261">
        <v>0</v>
      </c>
      <c r="N114" s="261">
        <v>0</v>
      </c>
      <c r="O114" s="261">
        <v>0</v>
      </c>
      <c r="P114" s="65">
        <v>0</v>
      </c>
      <c r="Q114" s="65">
        <f>SUM($Q$3-CG114)*CK114</f>
        <v>225246.80073126144</v>
      </c>
      <c r="R114" s="261">
        <f>SUM($Q$3-$CG$114)*CL114</f>
        <v>34908.383912248632</v>
      </c>
      <c r="S114" s="261">
        <f>SUM($Q$3-$CG$114)*CM114</f>
        <v>15433.058500914078</v>
      </c>
      <c r="T114" s="261">
        <f>IF(YEAR($CG$114)=2018,($BI$4-$CG$114)*AO$114/($CH$114-$CG$114),0)</f>
        <v>0</v>
      </c>
      <c r="U114" s="261">
        <f>IF(YEAR($CG$114)=2018,($BI$4-$CG$114)*AQ$114/($CH$114-$CG$114),0)</f>
        <v>0</v>
      </c>
      <c r="V114" s="277">
        <f>SUM($Q$3-$CG$114)*CN114</f>
        <v>174905.3583180987</v>
      </c>
      <c r="W114" s="65">
        <f>SUM(CH114-$Q$3)*CK114</f>
        <v>144753.19926873856</v>
      </c>
      <c r="X114" s="262">
        <f>SUM($CH$114-$Q$3)*CL114</f>
        <v>22433.616087751372</v>
      </c>
      <c r="Y114" s="262">
        <f>SUM($CH$114-$Q$3)*CM114</f>
        <v>9917.9414990859241</v>
      </c>
      <c r="Z114" s="262">
        <f>IF(YEAR($CH$114)=2019,($CH$114-$BI$4)*AO$114/($CH$114-$CG$114),0)</f>
        <v>0</v>
      </c>
      <c r="AA114" s="262">
        <f>IF(YEAR($CH$114)=2019,($CH$114-$BI$4)*AQ$114/($CH$114-$CG$114),0)</f>
        <v>0</v>
      </c>
      <c r="AB114" s="277">
        <f>SUM($CH$114-$Q$3)*CN114</f>
        <v>112401.64168190127</v>
      </c>
      <c r="AC114" s="277">
        <v>0</v>
      </c>
      <c r="AD114" s="262">
        <v>0</v>
      </c>
      <c r="AE114" s="262">
        <v>0</v>
      </c>
      <c r="AF114" s="262">
        <v>0</v>
      </c>
      <c r="AG114" s="262">
        <v>0</v>
      </c>
      <c r="AH114" s="277">
        <v>0</v>
      </c>
      <c r="AI114" s="663">
        <f>SUM('3 pr-2'!L115)</f>
        <v>370000</v>
      </c>
      <c r="AJ114" s="73"/>
      <c r="AK114" s="257">
        <f>SUM('3 pr-2'!O115)</f>
        <v>57342</v>
      </c>
      <c r="AL114" s="257"/>
      <c r="AM114" s="257">
        <f>SUM('3 pr-2'!R115)</f>
        <v>25351</v>
      </c>
      <c r="AN114" s="257"/>
      <c r="AO114" s="257">
        <f>SUM('3 pr-2'!U115)</f>
        <v>0</v>
      </c>
      <c r="AP114" s="257"/>
      <c r="AQ114" s="257">
        <f>SUM('3 pr-2'!X115)</f>
        <v>0</v>
      </c>
      <c r="AR114" s="476"/>
      <c r="AS114" s="94">
        <f>SUM('3 pr-2'!AA115)</f>
        <v>287307</v>
      </c>
      <c r="AT114" s="434"/>
      <c r="AU114" s="889"/>
      <c r="AV114" s="20"/>
      <c r="AW114" s="20"/>
      <c r="AX114" s="258"/>
      <c r="AY114" s="258"/>
      <c r="AZ114" s="258"/>
      <c r="BA114" s="258"/>
      <c r="BB114" s="20"/>
      <c r="BC114" s="20"/>
      <c r="BD114" s="258"/>
      <c r="BE114" s="258"/>
      <c r="BF114" s="258"/>
      <c r="BG114" s="258"/>
      <c r="BH114" s="20"/>
      <c r="BI114" s="20"/>
      <c r="BJ114" s="258"/>
      <c r="BK114" s="258"/>
      <c r="BL114" s="258"/>
      <c r="BM114" s="258"/>
      <c r="BN114" s="20"/>
      <c r="BO114" s="20"/>
      <c r="BP114" s="258"/>
      <c r="BQ114" s="258"/>
      <c r="BR114" s="258"/>
      <c r="BS114" s="258"/>
      <c r="BT114" s="20"/>
      <c r="BU114" s="20"/>
      <c r="BV114" s="258"/>
      <c r="BW114" s="258"/>
      <c r="BX114" s="258"/>
      <c r="BY114" s="258"/>
      <c r="BZ114" s="20"/>
      <c r="CA114" s="20"/>
      <c r="CB114" s="258"/>
      <c r="CC114" s="258"/>
      <c r="CD114" s="258"/>
      <c r="CE114" s="258"/>
      <c r="CF114" s="325"/>
      <c r="CG114" s="891">
        <v>43132</v>
      </c>
      <c r="CH114" s="942">
        <f>SUM('3 pr-2'!AK115)</f>
        <v>43679</v>
      </c>
      <c r="CI114" s="58">
        <f>SUM(J114+P114+V114+AB114+AH114)</f>
        <v>287307</v>
      </c>
      <c r="CJ114" s="900"/>
      <c r="CK114" s="985">
        <f>SUM(AI114/($CH$114-$CG$114))</f>
        <v>676.41681901279708</v>
      </c>
      <c r="CL114" s="985">
        <f>SUM(AK114/($CH$114-$CG$114))</f>
        <v>104.82998171846435</v>
      </c>
      <c r="CM114" s="985">
        <f>SUM(AM114/($CH$114-$CG$114))</f>
        <v>46.345521023765997</v>
      </c>
      <c r="CN114" s="987">
        <f>SUM(AS114/($CH$114-$CG$114))</f>
        <v>525.2413162705667</v>
      </c>
      <c r="CO114" s="900"/>
      <c r="CP114" s="900"/>
      <c r="CQ114" s="900"/>
      <c r="CR114" s="900">
        <f>SUM(CJ114*CM114)</f>
        <v>0</v>
      </c>
    </row>
    <row r="115" spans="1:98" ht="48.75" thickBot="1">
      <c r="A115" s="6" t="str">
        <f>CONCATENATE('3 pr-2'!A116)</f>
        <v>2.1.1.3.2</v>
      </c>
      <c r="B115" s="8" t="str">
        <f>CONCATENATE('3 pr-2'!D116)</f>
        <v>Alytaus r. ikimokyklinio ir priešmokyklinio ugdymo prieinamumo didinimas įkuriant ir atnaujinant edukacines erdves</v>
      </c>
      <c r="C115" s="65">
        <v>0</v>
      </c>
      <c r="D115" s="65">
        <v>0</v>
      </c>
      <c r="E115" s="65">
        <v>0</v>
      </c>
      <c r="F115" s="257">
        <v>0</v>
      </c>
      <c r="G115" s="257">
        <v>0</v>
      </c>
      <c r="H115" s="257">
        <v>0</v>
      </c>
      <c r="I115" s="257">
        <v>0</v>
      </c>
      <c r="J115" s="65">
        <v>0</v>
      </c>
      <c r="K115" s="65">
        <v>0</v>
      </c>
      <c r="L115" s="261">
        <v>0</v>
      </c>
      <c r="M115" s="261">
        <v>0</v>
      </c>
      <c r="N115" s="261">
        <v>0</v>
      </c>
      <c r="O115" s="261">
        <v>0</v>
      </c>
      <c r="P115" s="65">
        <v>0</v>
      </c>
      <c r="Q115" s="65">
        <f>SUM($Q$3-$CG$115)*CK115</f>
        <v>279036.66345021041</v>
      </c>
      <c r="R115" s="261">
        <f>SUM($Q$3-$CG$115)*CL115</f>
        <v>27957.932734922862</v>
      </c>
      <c r="S115" s="261">
        <f>SUM($Q$3-$CG$115)*CM115</f>
        <v>20357.368863955118</v>
      </c>
      <c r="T115" s="261">
        <f>IF(YEAR($CG$115)=2018,($BI$4-$CG$115)*AO$115/($CH$115-$CG$115))</f>
        <v>0</v>
      </c>
      <c r="U115" s="261">
        <f>IF(YEAR($CG$115)=2018,($BI$4-$CG$115)*AQ$115/($CH$115-$CG$115))</f>
        <v>0</v>
      </c>
      <c r="V115" s="326">
        <f>SUM($Q$3-$CG$115)*CN115</f>
        <v>230721.36185133242</v>
      </c>
      <c r="W115" s="65">
        <f>SUM($W$3-$Q$3)*CK115</f>
        <v>305850.99747545586</v>
      </c>
      <c r="X115" s="261">
        <f>SUM($W$3-$Q$3)*CL115</f>
        <v>30644.5809256662</v>
      </c>
      <c r="Y115" s="261">
        <f>SUM($W$3-$Q$3)*CM115</f>
        <v>22313.632538569425</v>
      </c>
      <c r="Z115" s="261">
        <f>IF(YEAR($CH$115)&gt;2018,($BO$4-$BI$4)*AO$115/($CH$115-$CG$115),0)</f>
        <v>0</v>
      </c>
      <c r="AA115" s="261">
        <f>IF(YEAR($CH$115)&gt;2018,($BO$4-$BI$4)*AQ$115/($CH$115-$CG$115),0)</f>
        <v>0</v>
      </c>
      <c r="AB115" s="326">
        <f>SUM($W$3-$Q$3)*CN115</f>
        <v>252892.78401122021</v>
      </c>
      <c r="AC115" s="326">
        <f>SUM($CH$115-$W$3)*CK115</f>
        <v>12569.219074333801</v>
      </c>
      <c r="AD115" s="261">
        <f>SUM($CH$115-$W$3)*CL115</f>
        <v>1259.3663394109396</v>
      </c>
      <c r="AE115" s="261">
        <f>SUM($CH$115-$W$3)*CM115</f>
        <v>916.99859747545577</v>
      </c>
      <c r="AF115" s="261">
        <f>IF(YEAR($CH$115)=2020,($CH$115-$BO$4)*AO$115/($CH$115-$CG$115),0)</f>
        <v>0</v>
      </c>
      <c r="AG115" s="261">
        <f>IF(YEAR($CH$115)=2020,($CH$115-$BO$4)*AQ$115/($CH$115-$CG$115),0)</f>
        <v>0</v>
      </c>
      <c r="AH115" s="326">
        <f>SUM($CH$115-$W$3)*CN115</f>
        <v>10392.854137447406</v>
      </c>
      <c r="AI115" s="664">
        <f>SUM('3 pr-2'!L116)</f>
        <v>597456.88</v>
      </c>
      <c r="AJ115" s="327"/>
      <c r="AK115" s="257">
        <f>SUM('3 pr-2'!O116)</f>
        <v>59861.88</v>
      </c>
      <c r="AL115" s="257"/>
      <c r="AM115" s="257">
        <f>SUM('3 pr-2'!R116)</f>
        <v>43588</v>
      </c>
      <c r="AN115" s="257"/>
      <c r="AO115" s="257">
        <f>SUM('3 pr-2'!U116)</f>
        <v>0</v>
      </c>
      <c r="AP115" s="257"/>
      <c r="AQ115" s="257">
        <f>SUM('3 pr-2'!X116)</f>
        <v>0</v>
      </c>
      <c r="AR115" s="476"/>
      <c r="AS115" s="328">
        <f>SUM('3 pr-2'!AA116)</f>
        <v>494007</v>
      </c>
      <c r="AT115" s="433"/>
      <c r="AU115" s="889"/>
      <c r="AV115" s="20"/>
      <c r="AW115" s="20"/>
      <c r="AX115" s="258"/>
      <c r="AY115" s="258"/>
      <c r="AZ115" s="258"/>
      <c r="BA115" s="258"/>
      <c r="BB115" s="20"/>
      <c r="BC115" s="20"/>
      <c r="BD115" s="258"/>
      <c r="BE115" s="258"/>
      <c r="BF115" s="258"/>
      <c r="BG115" s="258"/>
      <c r="BH115" s="20"/>
      <c r="BI115" s="20"/>
      <c r="BJ115" s="258"/>
      <c r="BK115" s="258"/>
      <c r="BL115" s="258"/>
      <c r="BM115" s="258"/>
      <c r="BN115" s="20"/>
      <c r="BO115" s="20"/>
      <c r="BP115" s="258"/>
      <c r="BQ115" s="258"/>
      <c r="BR115" s="258"/>
      <c r="BS115" s="258"/>
      <c r="BT115" s="20"/>
      <c r="BU115" s="20"/>
      <c r="BV115" s="258"/>
      <c r="BW115" s="258"/>
      <c r="BX115" s="258"/>
      <c r="BY115" s="258"/>
      <c r="BZ115" s="20"/>
      <c r="CA115" s="20"/>
      <c r="CB115" s="258"/>
      <c r="CC115" s="258"/>
      <c r="CD115" s="258"/>
      <c r="CE115" s="258"/>
      <c r="CF115" s="325"/>
      <c r="CG115" s="891">
        <v>43132</v>
      </c>
      <c r="CH115" s="942">
        <f>SUM('3 pr-2'!AK116)</f>
        <v>43845</v>
      </c>
      <c r="CI115" s="58">
        <f>SUM(J115+P115+V115+AB115+AH115)</f>
        <v>494007.00000000006</v>
      </c>
      <c r="CJ115" s="900"/>
      <c r="CK115" s="985">
        <f>SUM(AI115/($CH$115-$CG$115))</f>
        <v>837.94793828892011</v>
      </c>
      <c r="CL115" s="985">
        <f>SUM(AK115/($CH$115-$CG$115))</f>
        <v>83.957755960729315</v>
      </c>
      <c r="CM115" s="985">
        <f>SUM(AM115/($CH$115-$CG$115))</f>
        <v>61.133239831697054</v>
      </c>
      <c r="CN115" s="987">
        <f>SUM(AS115/($CH$115-$CG$115))</f>
        <v>692.85694249649373</v>
      </c>
      <c r="CO115" s="900"/>
      <c r="CP115" s="900"/>
      <c r="CQ115" s="900"/>
      <c r="CR115" s="900">
        <f>SUM(CJ115*CM115)</f>
        <v>0</v>
      </c>
    </row>
    <row r="116" spans="1:98" ht="24.75" thickBot="1">
      <c r="A116" s="6" t="str">
        <f>CONCATENATE('3 pr-2'!A117)</f>
        <v>2.1.1.3.3</v>
      </c>
      <c r="B116" s="8" t="str">
        <f>CONCATENATE('3 pr-2'!D117)</f>
        <v>Alytaus lopšelio-darželio „Girinukas“ ugdymo aplinkos modernizavimas</v>
      </c>
      <c r="C116" s="61">
        <v>0</v>
      </c>
      <c r="D116" s="61">
        <v>0</v>
      </c>
      <c r="E116" s="61">
        <v>0</v>
      </c>
      <c r="F116" s="257">
        <v>0</v>
      </c>
      <c r="G116" s="257">
        <v>0</v>
      </c>
      <c r="H116" s="257">
        <v>0</v>
      </c>
      <c r="I116" s="257">
        <v>0</v>
      </c>
      <c r="J116" s="61">
        <v>0</v>
      </c>
      <c r="K116" s="61">
        <v>0</v>
      </c>
      <c r="L116" s="261">
        <v>0</v>
      </c>
      <c r="M116" s="261">
        <v>0</v>
      </c>
      <c r="N116" s="261">
        <v>0</v>
      </c>
      <c r="O116" s="261">
        <v>0</v>
      </c>
      <c r="P116" s="61">
        <v>0</v>
      </c>
      <c r="Q116" s="65">
        <f>SUM($Q$3-$CG$116)*CK116</f>
        <v>99755.288888888885</v>
      </c>
      <c r="R116" s="261">
        <f>SUM($Q$3-$CG$116)*CL116</f>
        <v>7481.6740740740743</v>
      </c>
      <c r="S116" s="261">
        <f>SUM($Q$3-$CG$116)*CM116</f>
        <v>7481.6740740740743</v>
      </c>
      <c r="T116" s="261">
        <f>IF(YEAR($CG$116)=2018,($BI$4-$CG$116)*AO$116/($CH$116-$CG$116),0)</f>
        <v>0</v>
      </c>
      <c r="U116" s="261">
        <f>IF(YEAR($CG$116)=2018,($BI$4-$CG$116)*AQ$116/($CH$116-$CG$116),0)</f>
        <v>0</v>
      </c>
      <c r="V116" s="326">
        <f>SUM($Q$3-$CG$116)*CN116</f>
        <v>84791.940740740742</v>
      </c>
      <c r="W116" s="65">
        <f>SUM($CH$116-$Q$3)*CK116</f>
        <v>82230.711111111115</v>
      </c>
      <c r="X116" s="262">
        <f>SUM($CH$116-$Q$3)*CL116</f>
        <v>6167.3259259259257</v>
      </c>
      <c r="Y116" s="262">
        <f>SUM($CH$116-$Q$3)*CM116</f>
        <v>6167.3259259259257</v>
      </c>
      <c r="Z116" s="262">
        <f>IF(YEAR($CH$116)=2019,($CH$116-$BI$4)*AO$116/($CH$116-$CG$116),0)</f>
        <v>0</v>
      </c>
      <c r="AA116" s="262">
        <f>IF(YEAR($CH$116)=2019,($CH$116-$BI$4)*AQ$116/($CH$116-$CG$116),0)</f>
        <v>0</v>
      </c>
      <c r="AB116" s="277">
        <f>SUM($CH$116-$Q$3)*CN116</f>
        <v>69896.059259259258</v>
      </c>
      <c r="AC116" s="277">
        <v>0</v>
      </c>
      <c r="AD116" s="262">
        <v>0</v>
      </c>
      <c r="AE116" s="262">
        <v>0</v>
      </c>
      <c r="AF116" s="262">
        <v>0</v>
      </c>
      <c r="AG116" s="262">
        <v>0</v>
      </c>
      <c r="AH116" s="277">
        <v>0</v>
      </c>
      <c r="AI116" s="664">
        <f>SUM('3 pr-2'!L117)</f>
        <v>181986</v>
      </c>
      <c r="AJ116" s="327"/>
      <c r="AK116" s="257">
        <f>SUM('3 pr-2'!O117)</f>
        <v>13649</v>
      </c>
      <c r="AL116" s="257"/>
      <c r="AM116" s="257">
        <f>SUM('3 pr-2'!R117)</f>
        <v>13649</v>
      </c>
      <c r="AN116" s="257"/>
      <c r="AO116" s="257">
        <f>SUM('3 pr-2'!U117)</f>
        <v>0</v>
      </c>
      <c r="AP116" s="257"/>
      <c r="AQ116" s="257">
        <f>SUM('3 pr-2'!X117)</f>
        <v>0</v>
      </c>
      <c r="AR116" s="476"/>
      <c r="AS116" s="328">
        <f>SUM('3 pr-2'!AA117)</f>
        <v>154688</v>
      </c>
      <c r="AT116" s="433"/>
      <c r="AU116" s="889"/>
      <c r="AV116" s="20"/>
      <c r="AW116" s="20"/>
      <c r="AX116" s="258"/>
      <c r="AY116" s="258"/>
      <c r="AZ116" s="258"/>
      <c r="BA116" s="258"/>
      <c r="BB116" s="20"/>
      <c r="BC116" s="20"/>
      <c r="BD116" s="258"/>
      <c r="BE116" s="258"/>
      <c r="BF116" s="258"/>
      <c r="BG116" s="258"/>
      <c r="BH116" s="20"/>
      <c r="BI116" s="20"/>
      <c r="BJ116" s="258"/>
      <c r="BK116" s="258"/>
      <c r="BL116" s="258"/>
      <c r="BM116" s="258"/>
      <c r="BN116" s="20"/>
      <c r="BO116" s="20"/>
      <c r="BP116" s="258"/>
      <c r="BQ116" s="258"/>
      <c r="BR116" s="258"/>
      <c r="BS116" s="258"/>
      <c r="BT116" s="20"/>
      <c r="BU116" s="20"/>
      <c r="BV116" s="258"/>
      <c r="BW116" s="258"/>
      <c r="BX116" s="258"/>
      <c r="BY116" s="258"/>
      <c r="BZ116" s="20"/>
      <c r="CA116" s="20"/>
      <c r="CB116" s="258"/>
      <c r="CC116" s="258"/>
      <c r="CD116" s="258"/>
      <c r="CE116" s="258"/>
      <c r="CF116" s="325"/>
      <c r="CG116" s="891">
        <v>43132</v>
      </c>
      <c r="CH116" s="942">
        <f>SUM('3 pr-2'!AK117)</f>
        <v>43739.5</v>
      </c>
      <c r="CI116" s="58">
        <f>SUM(J116+P116+V116+AB116+AH116)</f>
        <v>154688</v>
      </c>
      <c r="CJ116" s="900"/>
      <c r="CK116" s="985">
        <f>SUM(AI116/($CH$116-$CG$116))</f>
        <v>299.56543209876543</v>
      </c>
      <c r="CL116" s="985">
        <f>SUM(AK116/($CH$116-$CG$116))</f>
        <v>22.467489711934157</v>
      </c>
      <c r="CM116" s="985">
        <f>SUM(AM116/($CH$116-$CG$116))</f>
        <v>22.467489711934157</v>
      </c>
      <c r="CN116" s="987">
        <f>SUM(AS116/($CH$116-$CG$116))</f>
        <v>254.63045267489713</v>
      </c>
      <c r="CO116" s="900"/>
      <c r="CP116" s="900"/>
      <c r="CQ116" s="900"/>
      <c r="CR116" s="900">
        <f>SUM(CJ116*CM116)</f>
        <v>0</v>
      </c>
    </row>
    <row r="117" spans="1:98" ht="48.75" thickBot="1">
      <c r="A117" s="6" t="str">
        <f>CONCATENATE('3 pr-2'!A118)</f>
        <v>2.1.1.3.4</v>
      </c>
      <c r="B117" s="8" t="str">
        <f>CONCATENATE('3 pr-2'!D118)</f>
        <v>Druskininkų sav. Viečiūnų progimnazijos ikimokyklinio ugdymo skyriaus „Linelis“ ugdymo prieinamumo didinimas</v>
      </c>
      <c r="C117" s="65">
        <v>0</v>
      </c>
      <c r="D117" s="65">
        <v>0</v>
      </c>
      <c r="E117" s="65">
        <v>0</v>
      </c>
      <c r="F117" s="257">
        <v>0</v>
      </c>
      <c r="G117" s="257">
        <v>0</v>
      </c>
      <c r="H117" s="257">
        <v>0</v>
      </c>
      <c r="I117" s="257">
        <v>0</v>
      </c>
      <c r="J117" s="65">
        <v>0</v>
      </c>
      <c r="K117" s="65">
        <v>0</v>
      </c>
      <c r="L117" s="261">
        <v>0</v>
      </c>
      <c r="M117" s="261">
        <v>0</v>
      </c>
      <c r="N117" s="261">
        <v>0</v>
      </c>
      <c r="O117" s="261">
        <v>0</v>
      </c>
      <c r="P117" s="65">
        <v>0</v>
      </c>
      <c r="Q117" s="65">
        <f>SUM($Q$3-$CG$117)*CK117</f>
        <v>101941.24946086956</v>
      </c>
      <c r="R117" s="261">
        <f>SUM($Q$3-$CG$117)*CL117</f>
        <v>45804.399026086947</v>
      </c>
      <c r="S117" s="261">
        <f>SUM($Q$3-$CG$117)*CM117</f>
        <v>4551.3860869565215</v>
      </c>
      <c r="T117" s="261">
        <f>IF(YEAR($CG$117)=2018,($BI$4-$CG$117)*AO$117/($CH$117-$CG$117),0)</f>
        <v>0</v>
      </c>
      <c r="U117" s="261">
        <f>IF(YEAR($CG$117)=2018,($BI$4-$CG$117)*AQ$117/($CH$117-$CG$117),0)</f>
        <v>0</v>
      </c>
      <c r="V117" s="326">
        <f>SUM($Q$3-$CG$117)*CN117</f>
        <v>51585.464347826084</v>
      </c>
      <c r="W117" s="65">
        <f>SUM($CH$117-$Q$3)*CK117</f>
        <v>74083.430539130422</v>
      </c>
      <c r="X117" s="261">
        <f>SUM($CH$117-$Q$3)*CL117</f>
        <v>33287.280973913039</v>
      </c>
      <c r="Y117" s="261">
        <f>SUM($CH$117-$Q$3)*CM117</f>
        <v>3307.6139130434781</v>
      </c>
      <c r="Z117" s="261">
        <f>IF(YEAR($CH$117)=2019,($CH$117-$BI$4)*AO$117/($CH$117-$CG$117),0)</f>
        <v>0</v>
      </c>
      <c r="AA117" s="261">
        <f>IF(YEAR($CH$117)=2019,($CH$117-$BI$4)*AQ$117/($CH$117-$CG$117),0)</f>
        <v>0</v>
      </c>
      <c r="AB117" s="326">
        <f>SUM($CH$117-$Q$3)*CN117</f>
        <v>37488.535652173909</v>
      </c>
      <c r="AC117" s="326">
        <v>0</v>
      </c>
      <c r="AD117" s="261">
        <v>0</v>
      </c>
      <c r="AE117" s="261">
        <v>0</v>
      </c>
      <c r="AF117" s="261">
        <v>0</v>
      </c>
      <c r="AG117" s="261">
        <v>0</v>
      </c>
      <c r="AH117" s="326">
        <v>0</v>
      </c>
      <c r="AI117" s="663">
        <f>SUM('3 pr-2'!L118)</f>
        <v>176024.68</v>
      </c>
      <c r="AJ117" s="73"/>
      <c r="AK117" s="257">
        <f>SUM('3 pr-2'!O118)</f>
        <v>79091.679999999993</v>
      </c>
      <c r="AL117" s="257"/>
      <c r="AM117" s="257">
        <f>SUM('3 pr-2'!R118)</f>
        <v>7859</v>
      </c>
      <c r="AN117" s="257"/>
      <c r="AO117" s="257">
        <f>SUM('3 pr-2'!U118)</f>
        <v>0</v>
      </c>
      <c r="AP117" s="257"/>
      <c r="AQ117" s="257">
        <f>SUM('3 pr-2'!X118)</f>
        <v>0</v>
      </c>
      <c r="AR117" s="476"/>
      <c r="AS117" s="94">
        <f>SUM('3 pr-2'!AA118)</f>
        <v>89074</v>
      </c>
      <c r="AT117" s="434"/>
      <c r="AU117" s="889"/>
      <c r="AV117" s="20"/>
      <c r="AW117" s="20"/>
      <c r="AX117" s="258"/>
      <c r="AY117" s="258"/>
      <c r="AZ117" s="258"/>
      <c r="BA117" s="258"/>
      <c r="BB117" s="20"/>
      <c r="BC117" s="20"/>
      <c r="BD117" s="258"/>
      <c r="BE117" s="258"/>
      <c r="BF117" s="258"/>
      <c r="BG117" s="258"/>
      <c r="BH117" s="20"/>
      <c r="BI117" s="20"/>
      <c r="BJ117" s="258"/>
      <c r="BK117" s="258"/>
      <c r="BL117" s="258"/>
      <c r="BM117" s="258"/>
      <c r="BN117" s="20"/>
      <c r="BO117" s="20"/>
      <c r="BP117" s="258"/>
      <c r="BQ117" s="258"/>
      <c r="BR117" s="258"/>
      <c r="BS117" s="258"/>
      <c r="BT117" s="20"/>
      <c r="BU117" s="20"/>
      <c r="BV117" s="258"/>
      <c r="BW117" s="258"/>
      <c r="BX117" s="258"/>
      <c r="BY117" s="258"/>
      <c r="BZ117" s="20"/>
      <c r="CA117" s="20"/>
      <c r="CB117" s="258"/>
      <c r="CC117" s="258"/>
      <c r="CD117" s="258"/>
      <c r="CE117" s="258"/>
      <c r="CF117" s="325"/>
      <c r="CG117" s="891">
        <v>43132</v>
      </c>
      <c r="CH117" s="942">
        <f>SUM('3 pr-2'!AK118)</f>
        <v>43707</v>
      </c>
      <c r="CI117" s="58">
        <f>SUM(J117+P117+V117+AB117+AH117)</f>
        <v>89074</v>
      </c>
      <c r="CJ117" s="900"/>
      <c r="CK117" s="985">
        <f>SUM(AI117/($CH$117-$CG$117))</f>
        <v>306.12987826086953</v>
      </c>
      <c r="CL117" s="985">
        <f>SUM(AK117/($CH$117-$CG$117))</f>
        <v>137.55074782608693</v>
      </c>
      <c r="CM117" s="985">
        <f>SUM(AM117/($CH$117-$CG$117))</f>
        <v>13.667826086956522</v>
      </c>
      <c r="CN117" s="987">
        <f>SUM(AS117/($CH$117-$CG$117))</f>
        <v>154.91130434782607</v>
      </c>
      <c r="CO117" s="900"/>
      <c r="CP117" s="900"/>
      <c r="CQ117" s="900"/>
      <c r="CR117" s="900">
        <f>SUM(CJ117*CM117)</f>
        <v>0</v>
      </c>
    </row>
    <row r="118" spans="1:98" ht="36.75" thickBot="1">
      <c r="A118" s="6" t="str">
        <f>CONCATENATE('3 pr-2'!A119)</f>
        <v>2.1.1.3.5</v>
      </c>
      <c r="B118" s="8" t="str">
        <f>CONCATENATE('3 pr-2'!D119)</f>
        <v>Ikimokyklinio ir priešmokyklinio ugdymo įstaigų Lazdijų rajono savivaldybėje modernizavimas</v>
      </c>
      <c r="C118" s="65">
        <v>0</v>
      </c>
      <c r="D118" s="65">
        <v>0</v>
      </c>
      <c r="E118" s="65">
        <v>0</v>
      </c>
      <c r="F118" s="257">
        <v>0</v>
      </c>
      <c r="G118" s="257">
        <v>0</v>
      </c>
      <c r="H118" s="257">
        <v>0</v>
      </c>
      <c r="I118" s="257">
        <v>0</v>
      </c>
      <c r="J118" s="65">
        <v>0</v>
      </c>
      <c r="K118" s="65">
        <v>0</v>
      </c>
      <c r="L118" s="261">
        <v>0</v>
      </c>
      <c r="M118" s="261">
        <v>0</v>
      </c>
      <c r="N118" s="261">
        <v>0</v>
      </c>
      <c r="O118" s="261">
        <v>0</v>
      </c>
      <c r="P118" s="65">
        <v>0</v>
      </c>
      <c r="Q118" s="65">
        <f>SUM($Q$3-CG118)*CK118</f>
        <v>73267.79560131795</v>
      </c>
      <c r="R118" s="261">
        <f>IF(YEAR($CG$118)=2018,($BI$4-$CG$118)*AK$118/($CH$118-$CG$118),0)</f>
        <v>5500.3755024711691</v>
      </c>
      <c r="S118" s="261">
        <f>IF(YEAR($CG$118)=2018,($BI$4-$CG$118)*AM$118/($CH$118-$CG$118),0)</f>
        <v>5494.7742998352551</v>
      </c>
      <c r="T118" s="261">
        <f>IF(YEAR($CG$118)=2018,($BI$4-$CG$118)*AO$118/($CH$118-$CG$118),0)</f>
        <v>0</v>
      </c>
      <c r="U118" s="261">
        <f>IF(YEAR($CG$118)=2018,($BI$4-$CG$118)*AQ$118/($CH$118-$CG$118),0)</f>
        <v>0</v>
      </c>
      <c r="V118" s="326">
        <f>IF(YEAR($CG$118)=2018,($BI$4-$CG$118)*AS$118/($CH$118-$CG$118),0)</f>
        <v>62272.64579901153</v>
      </c>
      <c r="W118" s="65">
        <f>SUM($CH$118-$Q$3)*CK118</f>
        <v>60286.414398682042</v>
      </c>
      <c r="X118" s="261">
        <f>SUM($CH$118-$Q$3)*CL118</f>
        <v>4525.8344975288301</v>
      </c>
      <c r="Y118" s="261">
        <f>SUM($CH$118-$Q$3)*CM118</f>
        <v>4521.225700164744</v>
      </c>
      <c r="Z118" s="261">
        <f>IF(YEAR($CH$118)=2019,($CH$118-$BI$4)*AO$118/($CH$118-$CG$118),0)</f>
        <v>0</v>
      </c>
      <c r="AA118" s="261">
        <f>IF(YEAR($CH$118)=2019,($CH$118-$BI$4)*AQ$118/($CH$118-$CG$118),0)</f>
        <v>0</v>
      </c>
      <c r="AB118" s="326">
        <f>SUM($CH$118-$Q$3)*CN118</f>
        <v>51239.35420098847</v>
      </c>
      <c r="AC118" s="326">
        <v>0</v>
      </c>
      <c r="AD118" s="261">
        <v>0</v>
      </c>
      <c r="AE118" s="261">
        <v>0</v>
      </c>
      <c r="AF118" s="261">
        <v>0</v>
      </c>
      <c r="AG118" s="261">
        <v>0</v>
      </c>
      <c r="AH118" s="326">
        <v>0</v>
      </c>
      <c r="AI118" s="663">
        <f>SUM('3 pr-2'!L119)</f>
        <v>133554.21</v>
      </c>
      <c r="AJ118" s="73"/>
      <c r="AK118" s="257">
        <f>SUM('3 pr-2'!O119)</f>
        <v>10026.209999999999</v>
      </c>
      <c r="AL118" s="257"/>
      <c r="AM118" s="257">
        <f>SUM('3 pr-2'!R119)</f>
        <v>10016</v>
      </c>
      <c r="AN118" s="257"/>
      <c r="AO118" s="257">
        <f>SUM('3 pr-2'!U119)</f>
        <v>0</v>
      </c>
      <c r="AP118" s="257"/>
      <c r="AQ118" s="257">
        <f>SUM('3 pr-2'!X119)</f>
        <v>0</v>
      </c>
      <c r="AR118" s="476"/>
      <c r="AS118" s="94">
        <f>SUM('3 pr-2'!AA119)</f>
        <v>113512</v>
      </c>
      <c r="AT118" s="434"/>
      <c r="AU118" s="889"/>
      <c r="AV118" s="20"/>
      <c r="AW118" s="20"/>
      <c r="AX118" s="258"/>
      <c r="AY118" s="258"/>
      <c r="AZ118" s="258"/>
      <c r="BA118" s="258"/>
      <c r="BB118" s="20"/>
      <c r="BC118" s="20"/>
      <c r="BD118" s="258"/>
      <c r="BE118" s="258"/>
      <c r="BF118" s="258"/>
      <c r="BG118" s="258"/>
      <c r="BH118" s="20"/>
      <c r="BI118" s="20"/>
      <c r="BJ118" s="258"/>
      <c r="BK118" s="258"/>
      <c r="BL118" s="258"/>
      <c r="BM118" s="258"/>
      <c r="BN118" s="20"/>
      <c r="BO118" s="20"/>
      <c r="BP118" s="258"/>
      <c r="BQ118" s="258"/>
      <c r="BR118" s="258"/>
      <c r="BS118" s="258"/>
      <c r="BT118" s="20"/>
      <c r="BU118" s="20"/>
      <c r="BV118" s="258"/>
      <c r="BW118" s="258"/>
      <c r="BX118" s="258"/>
      <c r="BY118" s="258"/>
      <c r="BZ118" s="20"/>
      <c r="CA118" s="20"/>
      <c r="CB118" s="258"/>
      <c r="CC118" s="258"/>
      <c r="CD118" s="258"/>
      <c r="CE118" s="258"/>
      <c r="CF118" s="325"/>
      <c r="CG118" s="891">
        <v>43132</v>
      </c>
      <c r="CH118" s="942">
        <f>SUM('3 pr-2'!AK119)</f>
        <v>43739</v>
      </c>
      <c r="CI118" s="58">
        <f>SUM(J118+P118+V118+AB118+AH118)</f>
        <v>113512</v>
      </c>
      <c r="CJ118" s="900"/>
      <c r="CK118" s="985">
        <f>SUM(AI118/($CH$118-$CG$118))</f>
        <v>220.02341021416802</v>
      </c>
      <c r="CL118" s="985">
        <f>SUM(AK118/($CH$118-$CG$118))</f>
        <v>16.517644151565072</v>
      </c>
      <c r="CM118" s="985">
        <f>SUM(AM118/($CH$118-$CG$118))</f>
        <v>16.500823723228994</v>
      </c>
      <c r="CN118" s="987">
        <f>SUM(AS118/($CH$118-$CG$118))</f>
        <v>187.00494233937397</v>
      </c>
      <c r="CO118" s="900"/>
      <c r="CP118" s="900"/>
      <c r="CQ118" s="900"/>
      <c r="CR118" s="900">
        <f>SUM(CJ118*CM118)</f>
        <v>0</v>
      </c>
    </row>
    <row r="119" spans="1:98" ht="78" thickBot="1">
      <c r="A119" s="254" t="str">
        <f>CONCATENATE('3 pr-2'!A120)</f>
        <v>2.1.2.</v>
      </c>
      <c r="B119" s="102" t="str">
        <f>CONCATENATE('3 pr-2'!B120)</f>
        <v>Uždavinys:
Sveikatos netolygumų sumažinimas, gerinant sveikatos priežiūros kokybę ir prieinamumą tikslinėms gyventojų grupėms ir sveiko senėjimo skatinimas</v>
      </c>
      <c r="C119" s="95">
        <f t="shared" ref="C119:AQ119" si="266">SUM(C120+C134+C140)</f>
        <v>0</v>
      </c>
      <c r="D119" s="95">
        <f t="shared" si="266"/>
        <v>0</v>
      </c>
      <c r="E119" s="95">
        <f t="shared" si="266"/>
        <v>0</v>
      </c>
      <c r="F119" s="95">
        <f t="shared" si="266"/>
        <v>0</v>
      </c>
      <c r="G119" s="95">
        <f t="shared" si="266"/>
        <v>0</v>
      </c>
      <c r="H119" s="95">
        <f t="shared" si="266"/>
        <v>0</v>
      </c>
      <c r="I119" s="95">
        <f t="shared" si="266"/>
        <v>0</v>
      </c>
      <c r="J119" s="95">
        <f t="shared" si="266"/>
        <v>0</v>
      </c>
      <c r="K119" s="95">
        <f t="shared" si="266"/>
        <v>0</v>
      </c>
      <c r="L119" s="95">
        <f t="shared" si="266"/>
        <v>0</v>
      </c>
      <c r="M119" s="95">
        <f t="shared" si="266"/>
        <v>0</v>
      </c>
      <c r="N119" s="95">
        <f t="shared" si="266"/>
        <v>0</v>
      </c>
      <c r="O119" s="95">
        <f t="shared" si="266"/>
        <v>0</v>
      </c>
      <c r="P119" s="95">
        <f t="shared" si="266"/>
        <v>0</v>
      </c>
      <c r="Q119" s="95">
        <f t="shared" si="266"/>
        <v>114035.88865635017</v>
      </c>
      <c r="R119" s="95">
        <f t="shared" si="266"/>
        <v>413.38130008886935</v>
      </c>
      <c r="S119" s="95">
        <f t="shared" si="266"/>
        <v>604.76144752214248</v>
      </c>
      <c r="T119" s="95">
        <f t="shared" si="266"/>
        <v>0</v>
      </c>
      <c r="U119" s="95">
        <f t="shared" si="266"/>
        <v>126.91117700729927</v>
      </c>
      <c r="V119" s="95">
        <f t="shared" si="266"/>
        <v>96865.049029551548</v>
      </c>
      <c r="W119" s="95">
        <f t="shared" si="266"/>
        <v>1051908.2459416986</v>
      </c>
      <c r="X119" s="95">
        <f t="shared" si="266"/>
        <v>1410.1324722657691</v>
      </c>
      <c r="Y119" s="95">
        <f t="shared" si="266"/>
        <v>2062.9712929493644</v>
      </c>
      <c r="Z119" s="95">
        <f t="shared" si="266"/>
        <v>0</v>
      </c>
      <c r="AA119" s="95">
        <f t="shared" si="266"/>
        <v>432.92130474452551</v>
      </c>
      <c r="AB119" s="95">
        <f t="shared" si="266"/>
        <v>893897.20041853969</v>
      </c>
      <c r="AC119" s="95">
        <f t="shared" si="266"/>
        <v>1341641.6154019514</v>
      </c>
      <c r="AD119" s="95">
        <f t="shared" si="266"/>
        <v>1772.5762276453613</v>
      </c>
      <c r="AE119" s="95">
        <f t="shared" si="266"/>
        <v>2888.7072595284935</v>
      </c>
      <c r="AF119" s="95">
        <f t="shared" si="266"/>
        <v>0</v>
      </c>
      <c r="AG119" s="95">
        <f t="shared" si="266"/>
        <v>740.1175182481752</v>
      </c>
      <c r="AH119" s="95">
        <f t="shared" si="266"/>
        <v>1140012.8305519088</v>
      </c>
      <c r="AI119" s="665">
        <f t="shared" si="266"/>
        <v>2507585.75</v>
      </c>
      <c r="AJ119" s="95">
        <f t="shared" si="266"/>
        <v>0</v>
      </c>
      <c r="AK119" s="95">
        <f t="shared" si="266"/>
        <v>72044.09</v>
      </c>
      <c r="AL119" s="95">
        <f t="shared" si="266"/>
        <v>0</v>
      </c>
      <c r="AM119" s="95">
        <f t="shared" si="266"/>
        <v>114110.96</v>
      </c>
      <c r="AN119" s="95">
        <f t="shared" si="266"/>
        <v>0</v>
      </c>
      <c r="AO119" s="95">
        <f t="shared" si="266"/>
        <v>40107.979999999996</v>
      </c>
      <c r="AP119" s="95">
        <f t="shared" si="266"/>
        <v>0</v>
      </c>
      <c r="AQ119" s="95">
        <f t="shared" si="266"/>
        <v>1299.95</v>
      </c>
      <c r="AR119" s="95"/>
      <c r="AS119" s="95">
        <f>SUM(AS120+AS134+AS140)</f>
        <v>2130775.08</v>
      </c>
      <c r="AT119" s="95">
        <f>SUM(AT120+AT134+AT140)</f>
        <v>0</v>
      </c>
      <c r="AX119" s="95"/>
      <c r="AY119" s="95"/>
      <c r="AZ119" s="95"/>
      <c r="BA119" s="95"/>
      <c r="BD119" s="95"/>
      <c r="BE119" s="95"/>
      <c r="BF119" s="95"/>
      <c r="BG119" s="95"/>
      <c r="BJ119" s="95"/>
      <c r="BK119" s="95"/>
      <c r="BL119" s="95"/>
      <c r="BM119" s="95"/>
      <c r="BP119" s="95"/>
      <c r="BQ119" s="95"/>
      <c r="BR119" s="95"/>
      <c r="BS119" s="95"/>
      <c r="BV119" s="95"/>
      <c r="BW119" s="95"/>
      <c r="BX119" s="95"/>
      <c r="BY119" s="95"/>
      <c r="CB119" s="95"/>
      <c r="CC119" s="95"/>
      <c r="CD119" s="95"/>
      <c r="CE119" s="95"/>
      <c r="CG119" s="19"/>
      <c r="CH119" s="19"/>
    </row>
    <row r="120" spans="1:98" ht="65.25" thickBot="1">
      <c r="A120" s="253" t="str">
        <f>CONCATENATE('3 pr-2'!A121)</f>
        <v>2.1.2.1</v>
      </c>
      <c r="B120" s="103" t="str">
        <f>CONCATENATE('3 pr-2'!B121)</f>
        <v>Priemonė:
Pirminės asmens ir visuomenės sveikatos priežiūros veiklos efektyvumo didinimas gerinant jų infrastruktūrą</v>
      </c>
      <c r="C120" s="910">
        <f t="shared" ref="C120:P120" si="267">SUM(C121:C133)</f>
        <v>0</v>
      </c>
      <c r="D120" s="910">
        <f t="shared" si="267"/>
        <v>0</v>
      </c>
      <c r="E120" s="910">
        <f t="shared" si="267"/>
        <v>0</v>
      </c>
      <c r="F120" s="910">
        <f t="shared" si="267"/>
        <v>0</v>
      </c>
      <c r="G120" s="910">
        <f t="shared" si="267"/>
        <v>0</v>
      </c>
      <c r="H120" s="910">
        <f t="shared" si="267"/>
        <v>0</v>
      </c>
      <c r="I120" s="910">
        <f t="shared" si="267"/>
        <v>0</v>
      </c>
      <c r="J120" s="910">
        <f t="shared" si="267"/>
        <v>0</v>
      </c>
      <c r="K120" s="910">
        <f t="shared" si="267"/>
        <v>0</v>
      </c>
      <c r="L120" s="910">
        <f t="shared" si="267"/>
        <v>0</v>
      </c>
      <c r="M120" s="910">
        <f t="shared" si="267"/>
        <v>0</v>
      </c>
      <c r="N120" s="910">
        <f t="shared" si="267"/>
        <v>0</v>
      </c>
      <c r="O120" s="910">
        <f t="shared" si="267"/>
        <v>0</v>
      </c>
      <c r="P120" s="910">
        <f t="shared" si="267"/>
        <v>0</v>
      </c>
      <c r="Q120" s="910">
        <f t="shared" ref="Q120:U120" si="268">SUM(Q121:Q133)</f>
        <v>0</v>
      </c>
      <c r="R120" s="910">
        <f t="shared" si="268"/>
        <v>0</v>
      </c>
      <c r="S120" s="910">
        <f t="shared" si="268"/>
        <v>0</v>
      </c>
      <c r="T120" s="910">
        <f t="shared" si="268"/>
        <v>0</v>
      </c>
      <c r="U120" s="910">
        <f t="shared" si="268"/>
        <v>0</v>
      </c>
      <c r="V120" s="910">
        <f>SUM(V121:V133)</f>
        <v>0</v>
      </c>
      <c r="W120" s="946">
        <f>SUM(W121:W133)</f>
        <v>662907.31734760688</v>
      </c>
      <c r="X120" s="947"/>
      <c r="Y120" s="947"/>
      <c r="Z120" s="947"/>
      <c r="AA120" s="947"/>
      <c r="AB120" s="946">
        <f>SUM(AB121:AB133)</f>
        <v>563469.69671960222</v>
      </c>
      <c r="AC120" s="946">
        <f>SUM(AC121:AC133)</f>
        <v>784480.71265239303</v>
      </c>
      <c r="AD120" s="947"/>
      <c r="AE120" s="947"/>
      <c r="AF120" s="947"/>
      <c r="AG120" s="947"/>
      <c r="AH120" s="946">
        <f>SUM(AH121:AH133)</f>
        <v>666807.83328039781</v>
      </c>
      <c r="AI120" s="912">
        <f>SUM(AI121:AI133)</f>
        <v>1447388.03</v>
      </c>
      <c r="AJ120" s="910"/>
      <c r="AK120" s="912">
        <f>SUM(AK121:AK133)</f>
        <v>68448</v>
      </c>
      <c r="AL120" s="910"/>
      <c r="AM120" s="912">
        <f>SUM(AM121:AM133)</f>
        <v>108554.52</v>
      </c>
      <c r="AN120" s="910"/>
      <c r="AO120" s="912">
        <f>SUM(AO121:AO133)</f>
        <v>40107.979999999996</v>
      </c>
      <c r="AP120" s="910"/>
      <c r="AQ120" s="912">
        <f>SUM(AQ121:AQ132)</f>
        <v>0</v>
      </c>
      <c r="AR120" s="910"/>
      <c r="AS120" s="912">
        <f>SUM(AS121:AS133)</f>
        <v>1230277.5299999998</v>
      </c>
      <c r="AT120" s="910"/>
      <c r="AU120" s="889">
        <v>0</v>
      </c>
      <c r="AV120" s="20">
        <v>0</v>
      </c>
      <c r="AW120" s="20">
        <v>0</v>
      </c>
      <c r="AX120" s="901">
        <v>0</v>
      </c>
      <c r="AY120" s="901">
        <v>0</v>
      </c>
      <c r="AZ120" s="901">
        <v>0</v>
      </c>
      <c r="BA120" s="901">
        <v>0</v>
      </c>
      <c r="BB120" s="20">
        <v>0</v>
      </c>
      <c r="BC120" s="20">
        <v>49.999999415680001</v>
      </c>
      <c r="BD120" s="901">
        <v>49.999999415680001</v>
      </c>
      <c r="BE120" s="901">
        <v>49.999999415680001</v>
      </c>
      <c r="BF120" s="901">
        <v>49.999999415680001</v>
      </c>
      <c r="BG120" s="901">
        <v>49.999999415680001</v>
      </c>
      <c r="BH120" s="20">
        <v>50</v>
      </c>
      <c r="BI120" s="20">
        <v>49.999999415680001</v>
      </c>
      <c r="BJ120" s="901">
        <v>49.999999415680001</v>
      </c>
      <c r="BK120" s="901">
        <v>49.999999415680001</v>
      </c>
      <c r="BL120" s="901">
        <v>49.999999415680001</v>
      </c>
      <c r="BM120" s="901">
        <v>49.999999415680001</v>
      </c>
      <c r="BN120" s="20">
        <v>50</v>
      </c>
      <c r="BO120" s="20">
        <v>0</v>
      </c>
      <c r="BP120" s="901">
        <v>0</v>
      </c>
      <c r="BQ120" s="901">
        <v>0</v>
      </c>
      <c r="BR120" s="901">
        <v>0</v>
      </c>
      <c r="BS120" s="901">
        <v>0</v>
      </c>
      <c r="BT120" s="20">
        <v>0</v>
      </c>
      <c r="BU120" s="20">
        <v>0</v>
      </c>
      <c r="BV120" s="901">
        <v>0</v>
      </c>
      <c r="BW120" s="901">
        <v>0</v>
      </c>
      <c r="BX120" s="901">
        <v>0</v>
      </c>
      <c r="BY120" s="901">
        <v>0</v>
      </c>
      <c r="BZ120" s="20">
        <v>0</v>
      </c>
      <c r="CA120" s="20">
        <v>100</v>
      </c>
      <c r="CB120" s="901">
        <v>100</v>
      </c>
      <c r="CC120" s="901">
        <v>100</v>
      </c>
      <c r="CD120" s="901">
        <v>100</v>
      </c>
      <c r="CE120" s="901">
        <v>100</v>
      </c>
      <c r="CF120" s="325">
        <v>100</v>
      </c>
      <c r="CG120" s="19"/>
      <c r="CH120" s="948"/>
      <c r="CI120" s="949"/>
      <c r="CJ120" s="950">
        <v>2019</v>
      </c>
      <c r="CK120" s="950">
        <v>2020</v>
      </c>
      <c r="CL120" s="950">
        <v>2021</v>
      </c>
      <c r="CM120" s="951" t="s">
        <v>1436</v>
      </c>
      <c r="CN120" s="951"/>
      <c r="CO120" s="951"/>
      <c r="CP120" s="951"/>
      <c r="CQ120" s="951"/>
      <c r="CR120" s="951" t="s">
        <v>1398</v>
      </c>
      <c r="CS120" s="952" t="s">
        <v>1397</v>
      </c>
      <c r="CT120" s="952" t="s">
        <v>1437</v>
      </c>
    </row>
    <row r="121" spans="1:98" ht="48.75" thickBot="1">
      <c r="A121" s="6" t="str">
        <f>CONCATENATE('3 pr-2'!A122)</f>
        <v>2.1.2.1.1</v>
      </c>
      <c r="B121" s="8" t="str">
        <f>CONCATENATE('3 pr-2'!D122)</f>
        <v>Alytaus poliklinikos teikiamų pirminės sveikatos priežiūros paslaugų prieinamumo didinimas ir kokybės gerinimas</v>
      </c>
      <c r="C121" s="65">
        <v>0</v>
      </c>
      <c r="D121" s="65">
        <v>0</v>
      </c>
      <c r="E121" s="65">
        <v>0</v>
      </c>
      <c r="F121" s="257">
        <v>0</v>
      </c>
      <c r="G121" s="257">
        <v>0</v>
      </c>
      <c r="H121" s="257">
        <v>0</v>
      </c>
      <c r="I121" s="257">
        <v>0</v>
      </c>
      <c r="J121" s="65">
        <v>0</v>
      </c>
      <c r="K121" s="65">
        <v>0</v>
      </c>
      <c r="L121" s="261">
        <v>0</v>
      </c>
      <c r="M121" s="261">
        <v>0</v>
      </c>
      <c r="N121" s="261">
        <v>0</v>
      </c>
      <c r="O121" s="261">
        <v>0</v>
      </c>
      <c r="P121" s="65">
        <v>0</v>
      </c>
      <c r="Q121" s="65">
        <v>0</v>
      </c>
      <c r="R121" s="261">
        <v>0</v>
      </c>
      <c r="S121" s="261">
        <v>0</v>
      </c>
      <c r="T121" s="261">
        <v>0</v>
      </c>
      <c r="U121" s="261">
        <f t="shared" ref="U121" si="269">SUM(AQ121*BM121/CE121)</f>
        <v>0</v>
      </c>
      <c r="V121" s="65">
        <v>0</v>
      </c>
      <c r="W121" s="65">
        <f t="shared" ref="W121:W132" si="270">SUM(X121:AB121)</f>
        <v>185708.72425249169</v>
      </c>
      <c r="X121" s="257">
        <f t="shared" ref="X121:X132" si="271">SUM(CS121*CJ121)</f>
        <v>13928.265780730897</v>
      </c>
      <c r="Y121" s="257">
        <f t="shared" ref="Y121:Y132" si="272">SUM(CR121*CJ121)</f>
        <v>13927.86046511628</v>
      </c>
      <c r="Z121" s="257">
        <v>0</v>
      </c>
      <c r="AA121" s="257">
        <v>0</v>
      </c>
      <c r="AB121" s="65">
        <f t="shared" ref="AB121:AB132" si="273">SUM(CM121*CJ121)</f>
        <v>157852.59800664452</v>
      </c>
      <c r="AC121" s="65">
        <f t="shared" ref="AC121:AC132" si="274">SUM(AD121:AH121)</f>
        <v>272474.27574750828</v>
      </c>
      <c r="AD121" s="257">
        <f t="shared" ref="AD121:AD132" si="275">SUM(CS121*CK121)</f>
        <v>20435.734219269103</v>
      </c>
      <c r="AE121" s="257">
        <f t="shared" ref="AE121:AE132" si="276">SUM(CR121*CK121)</f>
        <v>20435.139534883721</v>
      </c>
      <c r="AF121" s="257">
        <f t="shared" ref="AF121" si="277">SUM(AO121*BX121/CD121)</f>
        <v>0</v>
      </c>
      <c r="AG121" s="257">
        <v>0</v>
      </c>
      <c r="AH121" s="65">
        <f t="shared" ref="AH121:AH132" si="278">SUM(CM121*CK121)</f>
        <v>231603.40199335548</v>
      </c>
      <c r="AI121" s="664">
        <f>SUM('3 pr-2'!L122)</f>
        <v>458183</v>
      </c>
      <c r="AJ121" s="327"/>
      <c r="AK121" s="257">
        <f>SUM('3 pr-2'!O122)</f>
        <v>34364</v>
      </c>
      <c r="AL121" s="257"/>
      <c r="AM121" s="257">
        <f>SUM('3 pr-2'!R122)</f>
        <v>34363</v>
      </c>
      <c r="AN121" s="257"/>
      <c r="AO121" s="257">
        <f>SUM('3 pr-2'!U122)</f>
        <v>0</v>
      </c>
      <c r="AP121" s="257"/>
      <c r="AQ121" s="257">
        <f>SUM('3 pr-2'!X122)</f>
        <v>0</v>
      </c>
      <c r="AR121" s="476"/>
      <c r="AS121" s="328">
        <f>SUM('3 pr-2'!AA122)</f>
        <v>389456</v>
      </c>
      <c r="AT121" s="434"/>
      <c r="AU121" s="889">
        <v>0</v>
      </c>
      <c r="AV121" s="20">
        <v>0</v>
      </c>
      <c r="AW121" s="20">
        <v>0</v>
      </c>
      <c r="AX121" s="258">
        <v>0</v>
      </c>
      <c r="AY121" s="258">
        <v>0</v>
      </c>
      <c r="AZ121" s="258">
        <v>0</v>
      </c>
      <c r="BA121" s="258">
        <v>0</v>
      </c>
      <c r="BB121" s="20">
        <v>0</v>
      </c>
      <c r="BC121" s="20">
        <v>0</v>
      </c>
      <c r="BD121" s="258">
        <v>0</v>
      </c>
      <c r="BE121" s="258">
        <v>0</v>
      </c>
      <c r="BF121" s="258">
        <v>0</v>
      </c>
      <c r="BG121" s="258">
        <v>0</v>
      </c>
      <c r="BH121" s="20">
        <v>0</v>
      </c>
      <c r="BI121" s="20">
        <v>49.999999415680001</v>
      </c>
      <c r="BJ121" s="258">
        <v>49.999999415680001</v>
      </c>
      <c r="BK121" s="258">
        <v>49.999999415680001</v>
      </c>
      <c r="BL121" s="258">
        <v>49.999999415680001</v>
      </c>
      <c r="BM121" s="258">
        <v>49.999999415680001</v>
      </c>
      <c r="BN121" s="20">
        <v>50</v>
      </c>
      <c r="BO121" s="20">
        <v>49.999999415680001</v>
      </c>
      <c r="BP121" s="258">
        <v>49.999999415680001</v>
      </c>
      <c r="BQ121" s="258">
        <v>49.999999415680001</v>
      </c>
      <c r="BR121" s="258">
        <v>49.999999415680001</v>
      </c>
      <c r="BS121" s="258">
        <v>49.999999415680001</v>
      </c>
      <c r="BT121" s="20">
        <v>50</v>
      </c>
      <c r="BU121" s="20">
        <v>0</v>
      </c>
      <c r="BV121" s="258">
        <v>0</v>
      </c>
      <c r="BW121" s="258">
        <v>0</v>
      </c>
      <c r="BX121" s="258">
        <v>0</v>
      </c>
      <c r="BY121" s="258">
        <v>0</v>
      </c>
      <c r="BZ121" s="20">
        <v>0</v>
      </c>
      <c r="CA121" s="20">
        <v>100</v>
      </c>
      <c r="CB121" s="258">
        <v>100</v>
      </c>
      <c r="CC121" s="258">
        <v>100</v>
      </c>
      <c r="CD121" s="258">
        <v>100</v>
      </c>
      <c r="CE121" s="258">
        <v>100</v>
      </c>
      <c r="CF121" s="325">
        <v>100</v>
      </c>
      <c r="CG121" s="931">
        <f>SUM('3 pr-2'!AI122)</f>
        <v>43464</v>
      </c>
      <c r="CH121" s="931">
        <f>SUM('3 pr-2'!AK122)</f>
        <v>44367</v>
      </c>
      <c r="CI121" s="953">
        <f>SUM(CH121-CG121)</f>
        <v>903</v>
      </c>
      <c r="CJ121" s="953">
        <f>SUM(W3-CG121)</f>
        <v>366</v>
      </c>
      <c r="CK121" s="953">
        <f>SUM(CH121-W3)</f>
        <v>537</v>
      </c>
      <c r="CL121" s="953">
        <f t="shared" ref="CL121:CL132" si="279">SUM(CJ121:CK121)</f>
        <v>903</v>
      </c>
      <c r="CM121" s="953">
        <f t="shared" ref="CM121:CM132" si="280">SUM(AS121/CL121)</f>
        <v>431.29125138427463</v>
      </c>
      <c r="CN121" s="953"/>
      <c r="CO121" s="953"/>
      <c r="CP121" s="953"/>
      <c r="CQ121" s="953"/>
      <c r="CR121" s="953">
        <f t="shared" ref="CR121:CR132" si="281">SUM(AM121/CL121)</f>
        <v>38.054263565891475</v>
      </c>
      <c r="CS121" s="953">
        <f t="shared" ref="CS121:CS132" si="282">SUM(AK121/CL121)</f>
        <v>38.055370985603545</v>
      </c>
      <c r="CT121" s="953">
        <f>SUM(AO121/CL121)</f>
        <v>0</v>
      </c>
    </row>
    <row r="122" spans="1:98" ht="36.75" thickBot="1">
      <c r="A122" s="6" t="str">
        <f>CONCATENATE('3 pr-2'!A123)</f>
        <v>2.1.2.1.2</v>
      </c>
      <c r="B122" s="8" t="str">
        <f>CONCATENATE('3 pr-2'!D123)</f>
        <v>Sveikatos priežiūros paslaugų modernizavimas bei optimizavimas pirminės sveikatos priežiūros centre</v>
      </c>
      <c r="C122" s="65">
        <v>0</v>
      </c>
      <c r="D122" s="65">
        <v>0</v>
      </c>
      <c r="E122" s="65">
        <v>0</v>
      </c>
      <c r="F122" s="257">
        <v>0</v>
      </c>
      <c r="G122" s="257">
        <v>0</v>
      </c>
      <c r="H122" s="257">
        <v>0</v>
      </c>
      <c r="I122" s="257">
        <v>0</v>
      </c>
      <c r="J122" s="65">
        <v>0</v>
      </c>
      <c r="K122" s="65">
        <v>0</v>
      </c>
      <c r="L122" s="261">
        <v>0</v>
      </c>
      <c r="M122" s="261">
        <v>0</v>
      </c>
      <c r="N122" s="261">
        <v>0</v>
      </c>
      <c r="O122" s="261">
        <v>0</v>
      </c>
      <c r="P122" s="65">
        <v>0</v>
      </c>
      <c r="Q122" s="65">
        <v>0</v>
      </c>
      <c r="R122" s="261">
        <v>0</v>
      </c>
      <c r="S122" s="261">
        <v>0</v>
      </c>
      <c r="T122" s="261">
        <v>0</v>
      </c>
      <c r="U122" s="261">
        <v>0</v>
      </c>
      <c r="V122" s="65">
        <v>0</v>
      </c>
      <c r="W122" s="65">
        <f t="shared" si="270"/>
        <v>25143.556771545831</v>
      </c>
      <c r="X122" s="257">
        <f t="shared" si="271"/>
        <v>1885.9165526675788</v>
      </c>
      <c r="Y122" s="257">
        <f t="shared" si="272"/>
        <v>1885.9165526675788</v>
      </c>
      <c r="Z122" s="257">
        <v>0</v>
      </c>
      <c r="AA122" s="257">
        <v>0</v>
      </c>
      <c r="AB122" s="65">
        <f t="shared" si="273"/>
        <v>21371.723666210673</v>
      </c>
      <c r="AC122" s="65">
        <f t="shared" si="274"/>
        <v>25212.443228454173</v>
      </c>
      <c r="AD122" s="257">
        <f t="shared" si="275"/>
        <v>1891.0834473324214</v>
      </c>
      <c r="AE122" s="257">
        <f t="shared" si="276"/>
        <v>1891.0834473324214</v>
      </c>
      <c r="AF122" s="257">
        <f t="shared" ref="AF122" si="283">SUM(AO122*BX122/CD122)</f>
        <v>0</v>
      </c>
      <c r="AG122" s="257">
        <v>0</v>
      </c>
      <c r="AH122" s="65">
        <f t="shared" si="278"/>
        <v>21430.27633378933</v>
      </c>
      <c r="AI122" s="664">
        <f>SUM('3 pr-2'!L123)</f>
        <v>50356</v>
      </c>
      <c r="AJ122" s="73"/>
      <c r="AK122" s="257">
        <f>SUM('3 pr-2'!O123)</f>
        <v>3777</v>
      </c>
      <c r="AL122" s="257"/>
      <c r="AM122" s="257">
        <f>SUM('3 pr-2'!R123)</f>
        <v>3777</v>
      </c>
      <c r="AN122" s="257"/>
      <c r="AO122" s="257">
        <f>SUM('3 pr-2'!U123)</f>
        <v>0</v>
      </c>
      <c r="AP122" s="257"/>
      <c r="AQ122" s="257">
        <f>SUM('3 pr-2'!X123)</f>
        <v>0</v>
      </c>
      <c r="AR122" s="476"/>
      <c r="AS122" s="94">
        <f>SUM('3 pr-2'!AA123)</f>
        <v>42802</v>
      </c>
      <c r="AT122" s="434"/>
      <c r="AU122" s="889">
        <v>0</v>
      </c>
      <c r="AV122" s="20">
        <v>0</v>
      </c>
      <c r="AW122" s="20">
        <v>0</v>
      </c>
      <c r="AX122" s="258">
        <v>0</v>
      </c>
      <c r="AY122" s="258">
        <v>0</v>
      </c>
      <c r="AZ122" s="258">
        <v>0</v>
      </c>
      <c r="BA122" s="258">
        <v>0</v>
      </c>
      <c r="BB122" s="20">
        <v>0</v>
      </c>
      <c r="BC122" s="20">
        <v>0</v>
      </c>
      <c r="BD122" s="258">
        <v>0</v>
      </c>
      <c r="BE122" s="258">
        <v>0</v>
      </c>
      <c r="BF122" s="258">
        <v>0</v>
      </c>
      <c r="BG122" s="258">
        <v>0</v>
      </c>
      <c r="BH122" s="20">
        <v>0</v>
      </c>
      <c r="BI122" s="20">
        <v>49.999999415680001</v>
      </c>
      <c r="BJ122" s="258">
        <v>49.999999415680001</v>
      </c>
      <c r="BK122" s="258">
        <v>49.999999415680001</v>
      </c>
      <c r="BL122" s="258">
        <v>49.999999415680001</v>
      </c>
      <c r="BM122" s="258">
        <v>49.999999415680001</v>
      </c>
      <c r="BN122" s="20">
        <v>50</v>
      </c>
      <c r="BO122" s="20">
        <v>49.999999415680001</v>
      </c>
      <c r="BP122" s="258">
        <v>49.999999415680001</v>
      </c>
      <c r="BQ122" s="258">
        <v>49.999999415680001</v>
      </c>
      <c r="BR122" s="258">
        <v>49.999999415680001</v>
      </c>
      <c r="BS122" s="258">
        <v>49.999999415680001</v>
      </c>
      <c r="BT122" s="20">
        <v>50</v>
      </c>
      <c r="BU122" s="20">
        <v>0</v>
      </c>
      <c r="BV122" s="258">
        <v>0</v>
      </c>
      <c r="BW122" s="258">
        <v>0</v>
      </c>
      <c r="BX122" s="258">
        <v>0</v>
      </c>
      <c r="BY122" s="258">
        <v>0</v>
      </c>
      <c r="BZ122" s="20">
        <v>0</v>
      </c>
      <c r="CA122" s="20">
        <v>100</v>
      </c>
      <c r="CB122" s="258">
        <v>100</v>
      </c>
      <c r="CC122" s="258">
        <v>100</v>
      </c>
      <c r="CD122" s="258">
        <v>100</v>
      </c>
      <c r="CE122" s="258">
        <v>100</v>
      </c>
      <c r="CF122" s="325">
        <v>100</v>
      </c>
      <c r="CG122" s="931">
        <f>SUM('3 pr-2'!AI123)</f>
        <v>43465</v>
      </c>
      <c r="CH122" s="931">
        <f>SUM('3 pr-2'!AK123)</f>
        <v>44196</v>
      </c>
      <c r="CI122" s="19">
        <f>SUM(CH122-CG122)</f>
        <v>731</v>
      </c>
      <c r="CJ122" s="19">
        <f>SUM($W$3-CG122)</f>
        <v>365</v>
      </c>
      <c r="CK122" s="19">
        <f>SUM($AC$3-$W$3)</f>
        <v>366</v>
      </c>
      <c r="CL122" s="953">
        <f t="shared" si="279"/>
        <v>731</v>
      </c>
      <c r="CM122" s="953">
        <f t="shared" si="280"/>
        <v>58.552667578659374</v>
      </c>
      <c r="CN122" s="953"/>
      <c r="CO122" s="953"/>
      <c r="CP122" s="953"/>
      <c r="CQ122" s="953"/>
      <c r="CR122" s="953">
        <f t="shared" si="281"/>
        <v>5.1668946648426815</v>
      </c>
      <c r="CS122" s="953">
        <f t="shared" si="282"/>
        <v>5.1668946648426815</v>
      </c>
      <c r="CT122" s="953">
        <f>SUM(AO122/CL122)</f>
        <v>0</v>
      </c>
    </row>
    <row r="123" spans="1:98" ht="48.75" thickBot="1">
      <c r="A123" s="6" t="str">
        <f>CONCATENATE('3 pr-2'!A124)</f>
        <v>2.1.2.1.3</v>
      </c>
      <c r="B123" s="8" t="str">
        <f>CONCATENATE('3 pr-2'!D124)</f>
        <v>UAB "MediCA klinika" teikiamų pirminės asmens sveikatos priežiūros paslaugų efektyvumo didinimas Alytaus miesto savivaldybėje</v>
      </c>
      <c r="C123" s="65">
        <v>0</v>
      </c>
      <c r="D123" s="65">
        <v>0</v>
      </c>
      <c r="E123" s="65">
        <v>0</v>
      </c>
      <c r="F123" s="257">
        <v>0</v>
      </c>
      <c r="G123" s="257">
        <v>0</v>
      </c>
      <c r="H123" s="257">
        <v>0</v>
      </c>
      <c r="I123" s="257">
        <v>0</v>
      </c>
      <c r="J123" s="65">
        <v>0</v>
      </c>
      <c r="K123" s="65">
        <v>0</v>
      </c>
      <c r="L123" s="261">
        <v>0</v>
      </c>
      <c r="M123" s="261">
        <v>0</v>
      </c>
      <c r="N123" s="261">
        <v>0</v>
      </c>
      <c r="O123" s="261">
        <v>0</v>
      </c>
      <c r="P123" s="65">
        <v>0</v>
      </c>
      <c r="Q123" s="65">
        <v>0</v>
      </c>
      <c r="R123" s="261">
        <v>0</v>
      </c>
      <c r="S123" s="261">
        <v>0</v>
      </c>
      <c r="T123" s="261">
        <v>0</v>
      </c>
      <c r="U123" s="261">
        <v>0</v>
      </c>
      <c r="V123" s="65">
        <v>0</v>
      </c>
      <c r="W123" s="65">
        <f t="shared" si="270"/>
        <v>41676.908344733238</v>
      </c>
      <c r="X123" s="257">
        <f t="shared" si="271"/>
        <v>0</v>
      </c>
      <c r="Y123" s="257">
        <f t="shared" si="272"/>
        <v>3125.7181942544462</v>
      </c>
      <c r="Z123" s="261">
        <f t="shared" ref="Z123:Z132" si="284">SUM(CJ123*CT123)</f>
        <v>3125.7181942544462</v>
      </c>
      <c r="AA123" s="261">
        <v>0</v>
      </c>
      <c r="AB123" s="65">
        <f t="shared" si="273"/>
        <v>35425.471956224348</v>
      </c>
      <c r="AC123" s="65">
        <f t="shared" si="274"/>
        <v>41791.091655266755</v>
      </c>
      <c r="AD123" s="257">
        <f t="shared" si="275"/>
        <v>0</v>
      </c>
      <c r="AE123" s="257">
        <f t="shared" si="276"/>
        <v>3134.2818057455543</v>
      </c>
      <c r="AF123" s="261">
        <f t="shared" ref="AF123:AF132" si="285">SUM(CT123*CK123)</f>
        <v>3134.2818057455543</v>
      </c>
      <c r="AG123" s="257">
        <v>0</v>
      </c>
      <c r="AH123" s="65">
        <f t="shared" si="278"/>
        <v>35522.528043775645</v>
      </c>
      <c r="AI123" s="664">
        <f>SUM('3 pr-2'!L124)</f>
        <v>83468</v>
      </c>
      <c r="AJ123" s="73"/>
      <c r="AK123" s="257">
        <f>SUM('3 pr-2'!O124)</f>
        <v>0</v>
      </c>
      <c r="AL123" s="257"/>
      <c r="AM123" s="257">
        <f>SUM('3 pr-2'!R124)</f>
        <v>6260</v>
      </c>
      <c r="AN123" s="257"/>
      <c r="AO123" s="257">
        <f>SUM('3 pr-2'!U124)</f>
        <v>6260</v>
      </c>
      <c r="AP123" s="257"/>
      <c r="AQ123" s="257">
        <f>SUM('3 pr-2'!X124)</f>
        <v>0</v>
      </c>
      <c r="AR123" s="476"/>
      <c r="AS123" s="94">
        <f>SUM('3 pr-2'!AA124)</f>
        <v>70948</v>
      </c>
      <c r="AT123" s="434"/>
      <c r="AU123" s="889">
        <v>0</v>
      </c>
      <c r="AV123" s="20">
        <v>0</v>
      </c>
      <c r="AW123" s="20">
        <v>0</v>
      </c>
      <c r="AX123" s="258">
        <v>0</v>
      </c>
      <c r="AY123" s="258">
        <v>0</v>
      </c>
      <c r="AZ123" s="258">
        <v>0</v>
      </c>
      <c r="BA123" s="258">
        <v>0</v>
      </c>
      <c r="BB123" s="20">
        <v>0</v>
      </c>
      <c r="BC123" s="20">
        <v>0</v>
      </c>
      <c r="BD123" s="258">
        <v>0</v>
      </c>
      <c r="BE123" s="258">
        <v>0</v>
      </c>
      <c r="BF123" s="258">
        <v>0</v>
      </c>
      <c r="BG123" s="258">
        <v>0</v>
      </c>
      <c r="BH123" s="20">
        <v>0</v>
      </c>
      <c r="BI123" s="20">
        <v>49.999999415680001</v>
      </c>
      <c r="BJ123" s="258">
        <v>49.999999415680001</v>
      </c>
      <c r="BK123" s="258">
        <v>49.999999415680001</v>
      </c>
      <c r="BL123" s="258">
        <v>49.999999415680001</v>
      </c>
      <c r="BM123" s="258">
        <v>49.999999415680001</v>
      </c>
      <c r="BN123" s="20">
        <v>50</v>
      </c>
      <c r="BO123" s="20">
        <v>49.999999415680001</v>
      </c>
      <c r="BP123" s="258">
        <v>49.999999415680001</v>
      </c>
      <c r="BQ123" s="258">
        <v>49.999999415680001</v>
      </c>
      <c r="BR123" s="258">
        <v>49.999999415680001</v>
      </c>
      <c r="BS123" s="258">
        <v>49.999999415680001</v>
      </c>
      <c r="BT123" s="20">
        <v>50</v>
      </c>
      <c r="BU123" s="20">
        <v>0</v>
      </c>
      <c r="BV123" s="258">
        <v>0</v>
      </c>
      <c r="BW123" s="258">
        <v>0</v>
      </c>
      <c r="BX123" s="258">
        <v>0</v>
      </c>
      <c r="BY123" s="258">
        <v>0</v>
      </c>
      <c r="BZ123" s="20">
        <v>0</v>
      </c>
      <c r="CA123" s="20">
        <v>100</v>
      </c>
      <c r="CB123" s="258">
        <v>100</v>
      </c>
      <c r="CC123" s="258">
        <v>100</v>
      </c>
      <c r="CD123" s="258">
        <v>100</v>
      </c>
      <c r="CE123" s="258">
        <v>100</v>
      </c>
      <c r="CF123" s="325">
        <v>100</v>
      </c>
      <c r="CG123" s="931">
        <f>SUM('3 pr-2'!AI124)</f>
        <v>43465</v>
      </c>
      <c r="CH123" s="931">
        <f>SUM('3 pr-2'!AK124)</f>
        <v>44196</v>
      </c>
      <c r="CI123" s="19">
        <f>SUM(CH123-CG123)</f>
        <v>731</v>
      </c>
      <c r="CJ123" s="19">
        <f>SUM($W$3-CG123)</f>
        <v>365</v>
      </c>
      <c r="CK123" s="19">
        <f>SUM($AC$3-$W$3)</f>
        <v>366</v>
      </c>
      <c r="CL123" s="953">
        <f t="shared" si="279"/>
        <v>731</v>
      </c>
      <c r="CM123" s="953">
        <f t="shared" si="280"/>
        <v>97.056087551299584</v>
      </c>
      <c r="CN123" s="953"/>
      <c r="CO123" s="953"/>
      <c r="CP123" s="953"/>
      <c r="CQ123" s="953"/>
      <c r="CR123" s="953">
        <f t="shared" si="281"/>
        <v>8.5636114911080714</v>
      </c>
      <c r="CS123" s="953">
        <f t="shared" si="282"/>
        <v>0</v>
      </c>
      <c r="CT123" s="953">
        <f>SUM(AO123/CL123)</f>
        <v>8.5636114911080714</v>
      </c>
    </row>
    <row r="124" spans="1:98" ht="24.75" thickBot="1">
      <c r="A124" s="6" t="str">
        <f>CONCATENATE('3 pr-2'!A125)</f>
        <v>2.1.2.1.4</v>
      </c>
      <c r="B124" s="8" t="str">
        <f>CONCATENATE('3 pr-2'!D125)</f>
        <v>UAB "Pagalba ligoniui" teikiamų paslaugų efektyvumo didinimas</v>
      </c>
      <c r="C124" s="65">
        <v>0</v>
      </c>
      <c r="D124" s="65">
        <v>0</v>
      </c>
      <c r="E124" s="65">
        <v>0</v>
      </c>
      <c r="F124" s="257">
        <v>0</v>
      </c>
      <c r="G124" s="257">
        <v>0</v>
      </c>
      <c r="H124" s="257">
        <v>0</v>
      </c>
      <c r="I124" s="257">
        <v>0</v>
      </c>
      <c r="J124" s="65">
        <v>0</v>
      </c>
      <c r="K124" s="65">
        <v>0</v>
      </c>
      <c r="L124" s="261">
        <v>0</v>
      </c>
      <c r="M124" s="261">
        <v>0</v>
      </c>
      <c r="N124" s="261">
        <v>0</v>
      </c>
      <c r="O124" s="261">
        <v>0</v>
      </c>
      <c r="P124" s="65">
        <v>0</v>
      </c>
      <c r="Q124" s="65">
        <v>0</v>
      </c>
      <c r="R124" s="261">
        <v>0</v>
      </c>
      <c r="S124" s="261">
        <v>0</v>
      </c>
      <c r="T124" s="261">
        <v>0</v>
      </c>
      <c r="U124" s="261">
        <v>0</v>
      </c>
      <c r="V124" s="65">
        <v>0</v>
      </c>
      <c r="W124" s="65">
        <f t="shared" si="270"/>
        <v>14457.806523722626</v>
      </c>
      <c r="X124" s="257">
        <f t="shared" si="271"/>
        <v>0</v>
      </c>
      <c r="Y124" s="257">
        <f t="shared" si="272"/>
        <v>1084.3330748175181</v>
      </c>
      <c r="Z124" s="261">
        <f t="shared" si="284"/>
        <v>1084.3364051094891</v>
      </c>
      <c r="AA124" s="261">
        <v>0</v>
      </c>
      <c r="AB124" s="65">
        <f t="shared" si="273"/>
        <v>12289.137043795619</v>
      </c>
      <c r="AC124" s="65">
        <f t="shared" si="274"/>
        <v>28955.22347627737</v>
      </c>
      <c r="AD124" s="257">
        <f t="shared" si="275"/>
        <v>0</v>
      </c>
      <c r="AE124" s="257">
        <f t="shared" si="276"/>
        <v>2171.6369251824813</v>
      </c>
      <c r="AF124" s="261">
        <f t="shared" si="285"/>
        <v>2171.6435948905109</v>
      </c>
      <c r="AG124" s="257">
        <v>0</v>
      </c>
      <c r="AH124" s="65">
        <f t="shared" si="278"/>
        <v>24611.942956204377</v>
      </c>
      <c r="AI124" s="664">
        <f>SUM('3 pr-2'!L125)</f>
        <v>43413.03</v>
      </c>
      <c r="AJ124" s="73"/>
      <c r="AK124" s="257">
        <f>SUM('3 pr-2'!O125)</f>
        <v>0</v>
      </c>
      <c r="AL124" s="257"/>
      <c r="AM124" s="257">
        <f>SUM('3 pr-2'!R125)</f>
        <v>3255.97</v>
      </c>
      <c r="AN124" s="257"/>
      <c r="AO124" s="257">
        <f>SUM('3 pr-2'!U125)</f>
        <v>3255.98</v>
      </c>
      <c r="AP124" s="257"/>
      <c r="AQ124" s="257">
        <f>SUM('3 pr-2'!X125)</f>
        <v>0</v>
      </c>
      <c r="AR124" s="476"/>
      <c r="AS124" s="94">
        <f>SUM('3 pr-2'!AA125)</f>
        <v>36901.08</v>
      </c>
      <c r="AT124" s="434"/>
      <c r="AU124" s="889">
        <v>0</v>
      </c>
      <c r="AV124" s="20">
        <v>0</v>
      </c>
      <c r="AW124" s="20">
        <v>0</v>
      </c>
      <c r="AX124" s="258">
        <v>0</v>
      </c>
      <c r="AY124" s="258">
        <v>0</v>
      </c>
      <c r="AZ124" s="258">
        <v>0</v>
      </c>
      <c r="BA124" s="258">
        <v>0</v>
      </c>
      <c r="BB124" s="20">
        <v>0</v>
      </c>
      <c r="BC124" s="20">
        <v>0</v>
      </c>
      <c r="BD124" s="258">
        <v>0</v>
      </c>
      <c r="BE124" s="258">
        <v>0</v>
      </c>
      <c r="BF124" s="258">
        <v>0</v>
      </c>
      <c r="BG124" s="258">
        <v>0</v>
      </c>
      <c r="BH124" s="20">
        <v>0</v>
      </c>
      <c r="BI124" s="20">
        <v>49.999999415680001</v>
      </c>
      <c r="BJ124" s="258">
        <v>49.999999415680001</v>
      </c>
      <c r="BK124" s="258">
        <v>49.999999415680001</v>
      </c>
      <c r="BL124" s="258">
        <v>49.999999415680001</v>
      </c>
      <c r="BM124" s="258">
        <v>49.999999415680001</v>
      </c>
      <c r="BN124" s="20">
        <v>50</v>
      </c>
      <c r="BO124" s="20">
        <v>49.999999415680001</v>
      </c>
      <c r="BP124" s="258">
        <v>49.999999415680001</v>
      </c>
      <c r="BQ124" s="258">
        <v>49.999999415680001</v>
      </c>
      <c r="BR124" s="258">
        <v>49.999999415680001</v>
      </c>
      <c r="BS124" s="258">
        <v>49.999999415680001</v>
      </c>
      <c r="BT124" s="20">
        <v>50</v>
      </c>
      <c r="BU124" s="20">
        <v>0</v>
      </c>
      <c r="BV124" s="258">
        <v>0</v>
      </c>
      <c r="BW124" s="258">
        <v>0</v>
      </c>
      <c r="BX124" s="258">
        <v>0</v>
      </c>
      <c r="BY124" s="258">
        <v>0</v>
      </c>
      <c r="BZ124" s="20">
        <v>0</v>
      </c>
      <c r="CA124" s="20">
        <v>100</v>
      </c>
      <c r="CB124" s="258">
        <v>100</v>
      </c>
      <c r="CC124" s="258">
        <v>100</v>
      </c>
      <c r="CD124" s="258">
        <v>100</v>
      </c>
      <c r="CE124" s="258">
        <v>100</v>
      </c>
      <c r="CF124" s="325">
        <v>100</v>
      </c>
      <c r="CG124" s="931">
        <f>SUM('3 pr-2'!AI125)</f>
        <v>43465</v>
      </c>
      <c r="CH124" s="931">
        <f>SUM('3 pr-2'!AK125)</f>
        <v>44561</v>
      </c>
      <c r="CI124" s="19">
        <f>SUM(CH124-CG124)</f>
        <v>1096</v>
      </c>
      <c r="CJ124" s="19">
        <f t="shared" ref="CJ124:CJ132" si="286">SUM($W$3-CG124)</f>
        <v>365</v>
      </c>
      <c r="CK124" s="19">
        <f>SUM(CH124-$W$3)</f>
        <v>731</v>
      </c>
      <c r="CL124" s="953">
        <f t="shared" si="279"/>
        <v>1096</v>
      </c>
      <c r="CM124" s="953">
        <f t="shared" si="280"/>
        <v>33.668868613138685</v>
      </c>
      <c r="CN124" s="953"/>
      <c r="CO124" s="953"/>
      <c r="CP124" s="953"/>
      <c r="CQ124" s="953"/>
      <c r="CR124" s="953">
        <f t="shared" si="281"/>
        <v>2.9707755474452551</v>
      </c>
      <c r="CS124" s="953">
        <f t="shared" si="282"/>
        <v>0</v>
      </c>
      <c r="CT124" s="953">
        <f>SUM(AO124/CL124)</f>
        <v>2.9707846715328468</v>
      </c>
    </row>
    <row r="125" spans="1:98" ht="36.75" thickBot="1">
      <c r="A125" s="6" t="str">
        <f>CONCATENATE('3 pr-2'!A126)</f>
        <v>2.1.2.1.5</v>
      </c>
      <c r="B125" s="8" t="str">
        <f>CONCATENATE('3 pr-2'!D126)</f>
        <v>Pirminės asmens sveikatos priežiūros veiklos efektyvumo didinimas Alytaus rajono savivaldybėje</v>
      </c>
      <c r="C125" s="65">
        <v>0</v>
      </c>
      <c r="D125" s="65">
        <v>0</v>
      </c>
      <c r="E125" s="65">
        <v>0</v>
      </c>
      <c r="F125" s="257">
        <v>0</v>
      </c>
      <c r="G125" s="257">
        <v>0</v>
      </c>
      <c r="H125" s="257">
        <v>0</v>
      </c>
      <c r="I125" s="257">
        <v>0</v>
      </c>
      <c r="J125" s="65">
        <v>0</v>
      </c>
      <c r="K125" s="65">
        <v>0</v>
      </c>
      <c r="L125" s="261">
        <v>0</v>
      </c>
      <c r="M125" s="261">
        <v>0</v>
      </c>
      <c r="N125" s="261">
        <v>0</v>
      </c>
      <c r="O125" s="261">
        <v>0</v>
      </c>
      <c r="P125" s="65">
        <v>0</v>
      </c>
      <c r="Q125" s="65">
        <v>0</v>
      </c>
      <c r="R125" s="261">
        <v>0</v>
      </c>
      <c r="S125" s="261">
        <v>0</v>
      </c>
      <c r="T125" s="261">
        <v>0</v>
      </c>
      <c r="U125" s="261">
        <v>0</v>
      </c>
      <c r="V125" s="65">
        <v>0</v>
      </c>
      <c r="W125" s="65">
        <f t="shared" si="270"/>
        <v>89853.329153605024</v>
      </c>
      <c r="X125" s="257">
        <f t="shared" si="271"/>
        <v>6739.1567398119123</v>
      </c>
      <c r="Y125" s="257">
        <f t="shared" si="272"/>
        <v>6739.1567398119123</v>
      </c>
      <c r="Z125" s="261">
        <f t="shared" si="284"/>
        <v>0</v>
      </c>
      <c r="AA125" s="261">
        <v>0</v>
      </c>
      <c r="AB125" s="65">
        <f t="shared" si="273"/>
        <v>76375.015673981194</v>
      </c>
      <c r="AC125" s="65">
        <f t="shared" si="274"/>
        <v>81782.670846394976</v>
      </c>
      <c r="AD125" s="257">
        <f t="shared" si="275"/>
        <v>6133.8432601880877</v>
      </c>
      <c r="AE125" s="257">
        <f t="shared" si="276"/>
        <v>6133.8432601880877</v>
      </c>
      <c r="AF125" s="261">
        <f t="shared" si="285"/>
        <v>0</v>
      </c>
      <c r="AG125" s="257">
        <v>0</v>
      </c>
      <c r="AH125" s="65">
        <f t="shared" si="278"/>
        <v>69514.984326018806</v>
      </c>
      <c r="AI125" s="664">
        <f>SUM('3 pr-2'!L126)</f>
        <v>171636</v>
      </c>
      <c r="AJ125" s="73"/>
      <c r="AK125" s="257">
        <f>SUM('3 pr-2'!O126)</f>
        <v>12873</v>
      </c>
      <c r="AL125" s="257"/>
      <c r="AM125" s="257">
        <f>SUM('3 pr-2'!R126)</f>
        <v>12873</v>
      </c>
      <c r="AN125" s="257"/>
      <c r="AO125" s="257">
        <f>SUM('3 pr-2'!U126)</f>
        <v>0</v>
      </c>
      <c r="AP125" s="257"/>
      <c r="AQ125" s="257">
        <f>SUM('3 pr-2'!X126)</f>
        <v>0</v>
      </c>
      <c r="AR125" s="476"/>
      <c r="AS125" s="94">
        <f>SUM('3 pr-2'!AA126)</f>
        <v>145890</v>
      </c>
      <c r="AT125" s="434"/>
      <c r="AU125" s="889">
        <v>0</v>
      </c>
      <c r="AV125" s="20">
        <v>0</v>
      </c>
      <c r="AW125" s="20">
        <v>0</v>
      </c>
      <c r="AX125" s="258">
        <v>0</v>
      </c>
      <c r="AY125" s="258">
        <v>0</v>
      </c>
      <c r="AZ125" s="258">
        <v>0</v>
      </c>
      <c r="BA125" s="258">
        <v>0</v>
      </c>
      <c r="BB125" s="20">
        <v>0</v>
      </c>
      <c r="BC125" s="20">
        <v>0</v>
      </c>
      <c r="BD125" s="258">
        <v>0</v>
      </c>
      <c r="BE125" s="258">
        <v>0</v>
      </c>
      <c r="BF125" s="258">
        <v>0</v>
      </c>
      <c r="BG125" s="258">
        <v>0</v>
      </c>
      <c r="BH125" s="20">
        <v>0</v>
      </c>
      <c r="BI125" s="20">
        <v>49.999999415680001</v>
      </c>
      <c r="BJ125" s="258">
        <v>49.999999415680001</v>
      </c>
      <c r="BK125" s="258">
        <v>49.999999415680001</v>
      </c>
      <c r="BL125" s="258">
        <v>49.999999415680001</v>
      </c>
      <c r="BM125" s="258">
        <v>49.999999415680001</v>
      </c>
      <c r="BN125" s="20">
        <v>50</v>
      </c>
      <c r="BO125" s="20">
        <v>49.999999415680001</v>
      </c>
      <c r="BP125" s="258">
        <v>49.999999415680001</v>
      </c>
      <c r="BQ125" s="258">
        <v>49.999999415680001</v>
      </c>
      <c r="BR125" s="258">
        <v>49.999999415680001</v>
      </c>
      <c r="BS125" s="258">
        <v>49.999999415680001</v>
      </c>
      <c r="BT125" s="20">
        <v>50</v>
      </c>
      <c r="BU125" s="20">
        <v>0</v>
      </c>
      <c r="BV125" s="258">
        <v>0</v>
      </c>
      <c r="BW125" s="258">
        <v>0</v>
      </c>
      <c r="BX125" s="258">
        <v>0</v>
      </c>
      <c r="BY125" s="258">
        <v>0</v>
      </c>
      <c r="BZ125" s="20">
        <v>0</v>
      </c>
      <c r="CA125" s="20">
        <v>100</v>
      </c>
      <c r="CB125" s="258">
        <v>100</v>
      </c>
      <c r="CC125" s="258">
        <v>100</v>
      </c>
      <c r="CD125" s="258">
        <v>100</v>
      </c>
      <c r="CE125" s="258">
        <v>100</v>
      </c>
      <c r="CF125" s="325">
        <v>100</v>
      </c>
      <c r="CG125" s="931">
        <f>SUM('3 pr-2'!AI126)</f>
        <v>43496</v>
      </c>
      <c r="CH125" s="931">
        <f>SUM('3 pr-2'!AK126)</f>
        <v>44134</v>
      </c>
      <c r="CI125" s="19">
        <f>SUM(CH125-CG125)</f>
        <v>638</v>
      </c>
      <c r="CJ125" s="19">
        <f t="shared" si="286"/>
        <v>334</v>
      </c>
      <c r="CK125" s="19">
        <f>SUM(CH125-$W$3)</f>
        <v>304</v>
      </c>
      <c r="CL125" s="953">
        <f t="shared" si="279"/>
        <v>638</v>
      </c>
      <c r="CM125" s="953">
        <f t="shared" si="280"/>
        <v>228.66771159874608</v>
      </c>
      <c r="CN125" s="953"/>
      <c r="CO125" s="953"/>
      <c r="CP125" s="953"/>
      <c r="CQ125" s="953"/>
      <c r="CR125" s="953">
        <f t="shared" si="281"/>
        <v>20.177115987460816</v>
      </c>
      <c r="CS125" s="953">
        <f t="shared" si="282"/>
        <v>20.177115987460816</v>
      </c>
      <c r="CT125" s="953">
        <f t="shared" ref="CT125:CT126" si="287">SUM(AO125/CL125)</f>
        <v>0</v>
      </c>
    </row>
    <row r="126" spans="1:98" ht="24.75" thickBot="1">
      <c r="A126" s="6" t="str">
        <f>CONCATENATE('3 pr-2'!A127)</f>
        <v>2.1.2.1.6</v>
      </c>
      <c r="B126" s="8" t="str">
        <f>CONCATENATE('3 pr-2'!D127)</f>
        <v>Sveikatos priežiūros paslaugų gerinimas UAB „Disolis“</v>
      </c>
      <c r="C126" s="65">
        <v>0</v>
      </c>
      <c r="D126" s="65">
        <v>0</v>
      </c>
      <c r="E126" s="65">
        <v>0</v>
      </c>
      <c r="F126" s="257">
        <v>0</v>
      </c>
      <c r="G126" s="257">
        <v>0</v>
      </c>
      <c r="H126" s="257">
        <v>0</v>
      </c>
      <c r="I126" s="257">
        <v>0</v>
      </c>
      <c r="J126" s="65">
        <v>0</v>
      </c>
      <c r="K126" s="65">
        <v>0</v>
      </c>
      <c r="L126" s="261">
        <v>0</v>
      </c>
      <c r="M126" s="261">
        <v>0</v>
      </c>
      <c r="N126" s="261">
        <v>0</v>
      </c>
      <c r="O126" s="261">
        <v>0</v>
      </c>
      <c r="P126" s="65">
        <v>0</v>
      </c>
      <c r="Q126" s="65">
        <v>0</v>
      </c>
      <c r="R126" s="261">
        <v>0</v>
      </c>
      <c r="S126" s="261">
        <v>0</v>
      </c>
      <c r="T126" s="261">
        <v>0</v>
      </c>
      <c r="U126" s="261">
        <v>0</v>
      </c>
      <c r="V126" s="65">
        <v>0</v>
      </c>
      <c r="W126" s="65">
        <f t="shared" si="270"/>
        <v>17386</v>
      </c>
      <c r="X126" s="257">
        <f t="shared" si="271"/>
        <v>0</v>
      </c>
      <c r="Y126" s="257">
        <f t="shared" si="272"/>
        <v>1304</v>
      </c>
      <c r="Z126" s="261">
        <f t="shared" si="284"/>
        <v>1304</v>
      </c>
      <c r="AA126" s="261">
        <v>0</v>
      </c>
      <c r="AB126" s="65">
        <f t="shared" si="273"/>
        <v>14778</v>
      </c>
      <c r="AC126" s="65">
        <f t="shared" si="274"/>
        <v>0</v>
      </c>
      <c r="AD126" s="257">
        <f t="shared" si="275"/>
        <v>0</v>
      </c>
      <c r="AE126" s="257">
        <f t="shared" si="276"/>
        <v>0</v>
      </c>
      <c r="AF126" s="261">
        <f t="shared" si="285"/>
        <v>0</v>
      </c>
      <c r="AG126" s="257">
        <v>0</v>
      </c>
      <c r="AH126" s="65">
        <f t="shared" si="278"/>
        <v>0</v>
      </c>
      <c r="AI126" s="664">
        <f>SUM('3 pr-2'!L127)</f>
        <v>17386</v>
      </c>
      <c r="AJ126" s="73"/>
      <c r="AK126" s="257">
        <f>SUM('3 pr-2'!O127)</f>
        <v>0</v>
      </c>
      <c r="AL126" s="257"/>
      <c r="AM126" s="257">
        <f>SUM('3 pr-2'!R127)</f>
        <v>1304</v>
      </c>
      <c r="AN126" s="257"/>
      <c r="AO126" s="257">
        <f>SUM('3 pr-2'!U127)</f>
        <v>1304</v>
      </c>
      <c r="AP126" s="257"/>
      <c r="AQ126" s="257">
        <f>SUM('3 pr-2'!X127)</f>
        <v>0</v>
      </c>
      <c r="AR126" s="476"/>
      <c r="AS126" s="94">
        <f>SUM('3 pr-2'!AA127)</f>
        <v>14778</v>
      </c>
      <c r="AT126" s="434"/>
      <c r="AU126" s="889">
        <v>0</v>
      </c>
      <c r="AV126" s="20">
        <v>0</v>
      </c>
      <c r="AW126" s="20">
        <v>0</v>
      </c>
      <c r="AX126" s="258">
        <v>0</v>
      </c>
      <c r="AY126" s="258">
        <v>0</v>
      </c>
      <c r="AZ126" s="258">
        <v>0</v>
      </c>
      <c r="BA126" s="258">
        <v>0</v>
      </c>
      <c r="BB126" s="20">
        <v>0</v>
      </c>
      <c r="BC126" s="20">
        <v>0</v>
      </c>
      <c r="BD126" s="258">
        <v>0</v>
      </c>
      <c r="BE126" s="258">
        <v>0</v>
      </c>
      <c r="BF126" s="258">
        <v>0</v>
      </c>
      <c r="BG126" s="258">
        <v>0</v>
      </c>
      <c r="BH126" s="20">
        <v>0</v>
      </c>
      <c r="BI126" s="20">
        <v>49.999999415680001</v>
      </c>
      <c r="BJ126" s="258">
        <v>49.999999415680001</v>
      </c>
      <c r="BK126" s="258">
        <v>49.999999415680001</v>
      </c>
      <c r="BL126" s="258">
        <v>49.999999415680001</v>
      </c>
      <c r="BM126" s="258">
        <v>49.999999415680001</v>
      </c>
      <c r="BN126" s="20">
        <v>50</v>
      </c>
      <c r="BO126" s="20">
        <v>49.999999415680001</v>
      </c>
      <c r="BP126" s="258">
        <v>49.999999415680001</v>
      </c>
      <c r="BQ126" s="258">
        <v>49.999999415680001</v>
      </c>
      <c r="BR126" s="258">
        <v>49.999999415680001</v>
      </c>
      <c r="BS126" s="258">
        <v>49.999999415680001</v>
      </c>
      <c r="BT126" s="20">
        <v>50</v>
      </c>
      <c r="BU126" s="20">
        <v>0</v>
      </c>
      <c r="BV126" s="258">
        <v>0</v>
      </c>
      <c r="BW126" s="258">
        <v>0</v>
      </c>
      <c r="BX126" s="258">
        <v>0</v>
      </c>
      <c r="BY126" s="258">
        <v>0</v>
      </c>
      <c r="BZ126" s="20">
        <v>0</v>
      </c>
      <c r="CA126" s="20">
        <v>100</v>
      </c>
      <c r="CB126" s="258">
        <v>100</v>
      </c>
      <c r="CC126" s="258">
        <v>100</v>
      </c>
      <c r="CD126" s="258">
        <v>100</v>
      </c>
      <c r="CE126" s="258">
        <v>100</v>
      </c>
      <c r="CF126" s="325">
        <v>100</v>
      </c>
      <c r="CG126" s="931">
        <f>SUM('3 pr-2'!AI127)</f>
        <v>43495</v>
      </c>
      <c r="CH126" s="931">
        <f>SUM('3 pr-2'!AK127)</f>
        <v>43830</v>
      </c>
      <c r="CI126" s="19">
        <f t="shared" ref="CI126:CI132" si="288">SUM(CH126-CG126)</f>
        <v>335</v>
      </c>
      <c r="CJ126" s="19">
        <f t="shared" si="286"/>
        <v>335</v>
      </c>
      <c r="CK126" s="19">
        <f>SUM(CH126-$W$3)</f>
        <v>0</v>
      </c>
      <c r="CL126" s="953">
        <f t="shared" si="279"/>
        <v>335</v>
      </c>
      <c r="CM126" s="953">
        <f t="shared" si="280"/>
        <v>44.113432835820895</v>
      </c>
      <c r="CN126" s="953"/>
      <c r="CO126" s="953"/>
      <c r="CP126" s="953"/>
      <c r="CQ126" s="953"/>
      <c r="CR126" s="953">
        <f t="shared" si="281"/>
        <v>3.8925373134328356</v>
      </c>
      <c r="CS126" s="953">
        <f t="shared" si="282"/>
        <v>0</v>
      </c>
      <c r="CT126" s="953">
        <f t="shared" si="287"/>
        <v>3.8925373134328356</v>
      </c>
    </row>
    <row r="127" spans="1:98" ht="36.75" thickBot="1">
      <c r="A127" s="6" t="str">
        <f>CONCATENATE('3 pr-2'!A128)</f>
        <v>2.1.2.1.7</v>
      </c>
      <c r="B127" s="8" t="str">
        <f>CONCATENATE('3 pr-2'!D128)</f>
        <v>Pirminės asmens sveikatos priežiūros kokybės ir prieinamumo gerinimas Druskininkų savivaldybėje</v>
      </c>
      <c r="C127" s="65">
        <v>0</v>
      </c>
      <c r="D127" s="65">
        <v>0</v>
      </c>
      <c r="E127" s="65">
        <v>0</v>
      </c>
      <c r="F127" s="257">
        <v>0</v>
      </c>
      <c r="G127" s="257">
        <v>0</v>
      </c>
      <c r="H127" s="257">
        <v>0</v>
      </c>
      <c r="I127" s="257">
        <v>0</v>
      </c>
      <c r="J127" s="65">
        <v>0</v>
      </c>
      <c r="K127" s="65">
        <v>0</v>
      </c>
      <c r="L127" s="261">
        <v>0</v>
      </c>
      <c r="M127" s="261">
        <v>0</v>
      </c>
      <c r="N127" s="261">
        <v>0</v>
      </c>
      <c r="O127" s="261">
        <v>0</v>
      </c>
      <c r="P127" s="65">
        <v>0</v>
      </c>
      <c r="Q127" s="65">
        <v>0</v>
      </c>
      <c r="R127" s="261">
        <v>0</v>
      </c>
      <c r="S127" s="261">
        <v>0</v>
      </c>
      <c r="T127" s="261">
        <v>0</v>
      </c>
      <c r="U127" s="261">
        <v>0</v>
      </c>
      <c r="V127" s="65">
        <v>0</v>
      </c>
      <c r="W127" s="65">
        <f t="shared" si="270"/>
        <v>81654.145006839943</v>
      </c>
      <c r="X127" s="257">
        <f t="shared" si="271"/>
        <v>0</v>
      </c>
      <c r="Y127" s="257">
        <f t="shared" si="272"/>
        <v>6124.1108071135441</v>
      </c>
      <c r="Z127" s="261">
        <f t="shared" si="284"/>
        <v>6124.1108071135441</v>
      </c>
      <c r="AA127" s="261">
        <v>0</v>
      </c>
      <c r="AB127" s="65">
        <f t="shared" si="273"/>
        <v>69405.923392612851</v>
      </c>
      <c r="AC127" s="65">
        <f t="shared" si="274"/>
        <v>81877.854993160057</v>
      </c>
      <c r="AD127" s="257">
        <f t="shared" si="275"/>
        <v>0</v>
      </c>
      <c r="AE127" s="257">
        <f t="shared" si="276"/>
        <v>6140.8891928864577</v>
      </c>
      <c r="AF127" s="261">
        <f t="shared" si="285"/>
        <v>6140.8891928864577</v>
      </c>
      <c r="AG127" s="257">
        <v>0</v>
      </c>
      <c r="AH127" s="65">
        <f t="shared" si="278"/>
        <v>69596.076607387135</v>
      </c>
      <c r="AI127" s="664">
        <f>SUM('3 pr-2'!L128)</f>
        <v>163532</v>
      </c>
      <c r="AJ127" s="73"/>
      <c r="AK127" s="257">
        <f>SUM('3 pr-2'!O128)</f>
        <v>0</v>
      </c>
      <c r="AL127" s="257"/>
      <c r="AM127" s="257">
        <f>SUM('3 pr-2'!R128)</f>
        <v>12265</v>
      </c>
      <c r="AN127" s="257"/>
      <c r="AO127" s="257">
        <f>SUM('3 pr-2'!U128)</f>
        <v>12265</v>
      </c>
      <c r="AP127" s="257"/>
      <c r="AQ127" s="257">
        <f>SUM('3 pr-2'!X128)</f>
        <v>0</v>
      </c>
      <c r="AR127" s="476"/>
      <c r="AS127" s="94">
        <f>SUM('3 pr-2'!AA128)</f>
        <v>139002</v>
      </c>
      <c r="AT127" s="434"/>
      <c r="AU127" s="889">
        <v>0</v>
      </c>
      <c r="AV127" s="20">
        <v>0</v>
      </c>
      <c r="AW127" s="20">
        <v>0</v>
      </c>
      <c r="AX127" s="258">
        <v>0</v>
      </c>
      <c r="AY127" s="258">
        <v>0</v>
      </c>
      <c r="AZ127" s="258">
        <v>0</v>
      </c>
      <c r="BA127" s="258">
        <v>0</v>
      </c>
      <c r="BB127" s="20">
        <v>0</v>
      </c>
      <c r="BC127" s="20">
        <v>0</v>
      </c>
      <c r="BD127" s="258">
        <v>0</v>
      </c>
      <c r="BE127" s="258">
        <v>0</v>
      </c>
      <c r="BF127" s="258">
        <v>0</v>
      </c>
      <c r="BG127" s="258">
        <v>0</v>
      </c>
      <c r="BH127" s="20">
        <v>0</v>
      </c>
      <c r="BI127" s="20">
        <v>49.999999415680001</v>
      </c>
      <c r="BJ127" s="258">
        <v>49.999999415680001</v>
      </c>
      <c r="BK127" s="258">
        <v>49.999999415680001</v>
      </c>
      <c r="BL127" s="258">
        <v>49.999999415680001</v>
      </c>
      <c r="BM127" s="258">
        <v>49.999999415680001</v>
      </c>
      <c r="BN127" s="20">
        <v>50</v>
      </c>
      <c r="BO127" s="20">
        <v>49.999999415680001</v>
      </c>
      <c r="BP127" s="258">
        <v>49.999999415680001</v>
      </c>
      <c r="BQ127" s="258">
        <v>49.999999415680001</v>
      </c>
      <c r="BR127" s="258">
        <v>49.999999415680001</v>
      </c>
      <c r="BS127" s="258">
        <v>49.999999415680001</v>
      </c>
      <c r="BT127" s="20">
        <v>50</v>
      </c>
      <c r="BU127" s="20">
        <v>0</v>
      </c>
      <c r="BV127" s="258">
        <v>0</v>
      </c>
      <c r="BW127" s="258">
        <v>0</v>
      </c>
      <c r="BX127" s="258">
        <v>0</v>
      </c>
      <c r="BY127" s="258">
        <v>0</v>
      </c>
      <c r="BZ127" s="20">
        <v>0</v>
      </c>
      <c r="CA127" s="20">
        <v>100</v>
      </c>
      <c r="CB127" s="258">
        <v>100</v>
      </c>
      <c r="CC127" s="258">
        <v>100</v>
      </c>
      <c r="CD127" s="258">
        <v>100</v>
      </c>
      <c r="CE127" s="258">
        <v>100</v>
      </c>
      <c r="CF127" s="325">
        <v>100</v>
      </c>
      <c r="CG127" s="931">
        <f>SUM('3 pr-2'!AI128)</f>
        <v>43465</v>
      </c>
      <c r="CH127" s="931">
        <f>SUM('3 pr-2'!AK128)</f>
        <v>44196</v>
      </c>
      <c r="CI127" s="19">
        <f t="shared" si="288"/>
        <v>731</v>
      </c>
      <c r="CJ127" s="19">
        <f t="shared" si="286"/>
        <v>365</v>
      </c>
      <c r="CK127" s="19">
        <f t="shared" ref="CK127:CK130" si="289">SUM($AC$3-$W$3)</f>
        <v>366</v>
      </c>
      <c r="CL127" s="953">
        <f t="shared" si="279"/>
        <v>731</v>
      </c>
      <c r="CM127" s="953">
        <f t="shared" si="280"/>
        <v>190.15321477428179</v>
      </c>
      <c r="CN127" s="953"/>
      <c r="CO127" s="953"/>
      <c r="CP127" s="953"/>
      <c r="CQ127" s="953"/>
      <c r="CR127" s="953">
        <f t="shared" si="281"/>
        <v>16.778385772913818</v>
      </c>
      <c r="CS127" s="953">
        <f t="shared" si="282"/>
        <v>0</v>
      </c>
      <c r="CT127" s="953">
        <f t="shared" ref="CT127:CT137" si="290">SUM(AO127/CL127)</f>
        <v>16.778385772913818</v>
      </c>
    </row>
    <row r="128" spans="1:98" ht="36.75" thickBot="1">
      <c r="A128" s="6" t="str">
        <f>CONCATENATE('3 pr-2'!A129)</f>
        <v>2.1.2.1.8</v>
      </c>
      <c r="B128" s="8" t="str">
        <f>CONCATENATE('3 pr-2'!D129)</f>
        <v>UAB "Druskininkų šeimos klinika" asmens sveikatos priežiūros paslaugų prieinamumo ir efektyvumo didinimas</v>
      </c>
      <c r="C128" s="65">
        <v>0</v>
      </c>
      <c r="D128" s="65">
        <v>0</v>
      </c>
      <c r="E128" s="65">
        <v>0</v>
      </c>
      <c r="F128" s="257">
        <v>0</v>
      </c>
      <c r="G128" s="257">
        <v>0</v>
      </c>
      <c r="H128" s="257">
        <v>0</v>
      </c>
      <c r="I128" s="257">
        <v>0</v>
      </c>
      <c r="J128" s="65">
        <v>0</v>
      </c>
      <c r="K128" s="65">
        <v>0</v>
      </c>
      <c r="L128" s="261">
        <v>0</v>
      </c>
      <c r="M128" s="261">
        <v>0</v>
      </c>
      <c r="N128" s="261">
        <v>0</v>
      </c>
      <c r="O128" s="261">
        <v>0</v>
      </c>
      <c r="P128" s="65">
        <v>0</v>
      </c>
      <c r="Q128" s="65">
        <v>0</v>
      </c>
      <c r="R128" s="261">
        <v>0</v>
      </c>
      <c r="S128" s="261">
        <v>0</v>
      </c>
      <c r="T128" s="261">
        <v>0</v>
      </c>
      <c r="U128" s="261">
        <v>0</v>
      </c>
      <c r="V128" s="65">
        <v>0</v>
      </c>
      <c r="W128" s="65">
        <f t="shared" si="270"/>
        <v>9641.2529274004683</v>
      </c>
      <c r="X128" s="257">
        <f t="shared" si="271"/>
        <v>0</v>
      </c>
      <c r="Y128" s="257">
        <f t="shared" si="272"/>
        <v>723.3489461358314</v>
      </c>
      <c r="Z128" s="261">
        <f t="shared" si="284"/>
        <v>723.3489461358314</v>
      </c>
      <c r="AA128" s="261">
        <v>0</v>
      </c>
      <c r="AB128" s="65">
        <f t="shared" si="273"/>
        <v>8194.5550351288057</v>
      </c>
      <c r="AC128" s="65">
        <f t="shared" si="274"/>
        <v>2647.7470725995317</v>
      </c>
      <c r="AD128" s="257">
        <f t="shared" si="275"/>
        <v>0</v>
      </c>
      <c r="AE128" s="257">
        <f t="shared" si="276"/>
        <v>198.65105386416863</v>
      </c>
      <c r="AF128" s="261">
        <f t="shared" si="285"/>
        <v>198.65105386416863</v>
      </c>
      <c r="AG128" s="257">
        <v>0</v>
      </c>
      <c r="AH128" s="65">
        <f t="shared" si="278"/>
        <v>2250.4449648711943</v>
      </c>
      <c r="AI128" s="664">
        <f>SUM('3 pr-2'!L129)</f>
        <v>12289</v>
      </c>
      <c r="AJ128" s="73"/>
      <c r="AK128" s="257">
        <f>SUM('3 pr-2'!O129)</f>
        <v>0</v>
      </c>
      <c r="AL128" s="257"/>
      <c r="AM128" s="257">
        <f>SUM('3 pr-2'!R129)</f>
        <v>922</v>
      </c>
      <c r="AN128" s="257"/>
      <c r="AO128" s="257">
        <f>SUM('3 pr-2'!U129)</f>
        <v>922</v>
      </c>
      <c r="AP128" s="257"/>
      <c r="AQ128" s="257">
        <f>SUM('3 pr-2'!X129)</f>
        <v>0</v>
      </c>
      <c r="AR128" s="476"/>
      <c r="AS128" s="94">
        <f>SUM('3 pr-2'!AA129)</f>
        <v>10445</v>
      </c>
      <c r="AT128" s="434"/>
      <c r="AU128" s="889">
        <v>0</v>
      </c>
      <c r="AV128" s="20">
        <v>0</v>
      </c>
      <c r="AW128" s="20">
        <v>0</v>
      </c>
      <c r="AX128" s="258">
        <v>0</v>
      </c>
      <c r="AY128" s="258">
        <v>0</v>
      </c>
      <c r="AZ128" s="258">
        <v>0</v>
      </c>
      <c r="BA128" s="258">
        <v>0</v>
      </c>
      <c r="BB128" s="20">
        <v>0</v>
      </c>
      <c r="BC128" s="20">
        <v>0</v>
      </c>
      <c r="BD128" s="258">
        <v>0</v>
      </c>
      <c r="BE128" s="258">
        <v>0</v>
      </c>
      <c r="BF128" s="258">
        <v>0</v>
      </c>
      <c r="BG128" s="258">
        <v>0</v>
      </c>
      <c r="BH128" s="20">
        <v>0</v>
      </c>
      <c r="BI128" s="20">
        <v>49.999999415680001</v>
      </c>
      <c r="BJ128" s="258">
        <v>49.999999415680001</v>
      </c>
      <c r="BK128" s="258">
        <v>49.999999415680001</v>
      </c>
      <c r="BL128" s="258">
        <v>49.999999415680001</v>
      </c>
      <c r="BM128" s="258">
        <v>49.999999415680001</v>
      </c>
      <c r="BN128" s="20">
        <v>50</v>
      </c>
      <c r="BO128" s="20">
        <v>49.999999415680001</v>
      </c>
      <c r="BP128" s="258">
        <v>49.999999415680001</v>
      </c>
      <c r="BQ128" s="258">
        <v>49.999999415680001</v>
      </c>
      <c r="BR128" s="258">
        <v>49.999999415680001</v>
      </c>
      <c r="BS128" s="258">
        <v>49.999999415680001</v>
      </c>
      <c r="BT128" s="20">
        <v>50</v>
      </c>
      <c r="BU128" s="20">
        <v>0</v>
      </c>
      <c r="BV128" s="258">
        <v>0</v>
      </c>
      <c r="BW128" s="258">
        <v>0</v>
      </c>
      <c r="BX128" s="258">
        <v>0</v>
      </c>
      <c r="BY128" s="258">
        <v>0</v>
      </c>
      <c r="BZ128" s="20">
        <v>0</v>
      </c>
      <c r="CA128" s="20">
        <v>100</v>
      </c>
      <c r="CB128" s="258">
        <v>100</v>
      </c>
      <c r="CC128" s="258">
        <v>100</v>
      </c>
      <c r="CD128" s="258">
        <v>100</v>
      </c>
      <c r="CE128" s="258">
        <v>100</v>
      </c>
      <c r="CF128" s="325">
        <v>100</v>
      </c>
      <c r="CG128" s="931">
        <f>SUM('3 pr-2'!AI129)</f>
        <v>43495</v>
      </c>
      <c r="CH128" s="931">
        <f>SUM('3 pr-2'!AK129)</f>
        <v>43922</v>
      </c>
      <c r="CI128" s="19">
        <f t="shared" si="288"/>
        <v>427</v>
      </c>
      <c r="CJ128" s="19">
        <f t="shared" si="286"/>
        <v>335</v>
      </c>
      <c r="CK128" s="19">
        <f>SUM(CH128-$W$3)</f>
        <v>92</v>
      </c>
      <c r="CL128" s="953">
        <f t="shared" si="279"/>
        <v>427</v>
      </c>
      <c r="CM128" s="953">
        <f t="shared" si="280"/>
        <v>24.461358313817332</v>
      </c>
      <c r="CN128" s="953"/>
      <c r="CO128" s="953"/>
      <c r="CP128" s="953"/>
      <c r="CQ128" s="953"/>
      <c r="CR128" s="953">
        <f t="shared" si="281"/>
        <v>2.1592505854800939</v>
      </c>
      <c r="CS128" s="953">
        <f t="shared" si="282"/>
        <v>0</v>
      </c>
      <c r="CT128" s="953">
        <f t="shared" si="290"/>
        <v>2.1592505854800939</v>
      </c>
    </row>
    <row r="129" spans="1:98" ht="48.75" thickBot="1">
      <c r="A129" s="6" t="str">
        <f>CONCATENATE('3 pr-2'!A130)</f>
        <v>2.1.2.1.9</v>
      </c>
      <c r="B129" s="8" t="str">
        <f>CONCATENATE('3 pr-2'!D130)</f>
        <v>I. S. Kavaliauskienės įmonės teikiamų pirminės ambulatorinės asmens sveikatos priežiūros paslaugų kokybės ir prieinamumo gerinimas</v>
      </c>
      <c r="C129" s="65">
        <v>0</v>
      </c>
      <c r="D129" s="65">
        <v>0</v>
      </c>
      <c r="E129" s="65">
        <v>0</v>
      </c>
      <c r="F129" s="257">
        <v>0</v>
      </c>
      <c r="G129" s="257">
        <v>0</v>
      </c>
      <c r="H129" s="257">
        <v>0</v>
      </c>
      <c r="I129" s="257">
        <v>0</v>
      </c>
      <c r="J129" s="65">
        <v>0</v>
      </c>
      <c r="K129" s="65">
        <v>0</v>
      </c>
      <c r="L129" s="261">
        <v>0</v>
      </c>
      <c r="M129" s="261">
        <v>0</v>
      </c>
      <c r="N129" s="261">
        <v>0</v>
      </c>
      <c r="O129" s="261">
        <v>0</v>
      </c>
      <c r="P129" s="65">
        <v>0</v>
      </c>
      <c r="Q129" s="65">
        <v>0</v>
      </c>
      <c r="R129" s="261">
        <v>0</v>
      </c>
      <c r="S129" s="261">
        <v>0</v>
      </c>
      <c r="T129" s="261">
        <v>0</v>
      </c>
      <c r="U129" s="261">
        <v>0</v>
      </c>
      <c r="V129" s="65">
        <v>0</v>
      </c>
      <c r="W129" s="65">
        <f t="shared" si="270"/>
        <v>25517</v>
      </c>
      <c r="X129" s="257">
        <f t="shared" si="271"/>
        <v>0</v>
      </c>
      <c r="Y129" s="257">
        <f t="shared" si="272"/>
        <v>1913.55</v>
      </c>
      <c r="Z129" s="261">
        <f t="shared" si="284"/>
        <v>1914</v>
      </c>
      <c r="AA129" s="261">
        <v>0</v>
      </c>
      <c r="AB129" s="65">
        <f t="shared" si="273"/>
        <v>21689.45</v>
      </c>
      <c r="AC129" s="65">
        <f t="shared" si="274"/>
        <v>0</v>
      </c>
      <c r="AD129" s="257">
        <f t="shared" si="275"/>
        <v>0</v>
      </c>
      <c r="AE129" s="257">
        <f t="shared" si="276"/>
        <v>0</v>
      </c>
      <c r="AF129" s="261">
        <f t="shared" si="285"/>
        <v>0</v>
      </c>
      <c r="AG129" s="257">
        <v>0</v>
      </c>
      <c r="AH129" s="65">
        <f t="shared" si="278"/>
        <v>0</v>
      </c>
      <c r="AI129" s="664">
        <f>SUM('3 pr-2'!L130)</f>
        <v>25517</v>
      </c>
      <c r="AJ129" s="73"/>
      <c r="AK129" s="257">
        <f>SUM('3 pr-2'!O130)</f>
        <v>0</v>
      </c>
      <c r="AL129" s="257"/>
      <c r="AM129" s="257">
        <f>SUM('3 pr-2'!R130)</f>
        <v>1913.55</v>
      </c>
      <c r="AN129" s="257"/>
      <c r="AO129" s="257">
        <f>SUM('3 pr-2'!U130)</f>
        <v>1914</v>
      </c>
      <c r="AP129" s="257"/>
      <c r="AQ129" s="257">
        <f>SUM('3 pr-2'!X130)</f>
        <v>0</v>
      </c>
      <c r="AR129" s="476"/>
      <c r="AS129" s="94">
        <f>SUM('3 pr-2'!AA130)</f>
        <v>21689.45</v>
      </c>
      <c r="AT129" s="434"/>
      <c r="AU129" s="889"/>
      <c r="AV129" s="20"/>
      <c r="AW129" s="20"/>
      <c r="AX129" s="258"/>
      <c r="AY129" s="258"/>
      <c r="AZ129" s="258"/>
      <c r="BA129" s="258"/>
      <c r="BB129" s="20"/>
      <c r="BC129" s="20"/>
      <c r="BD129" s="258"/>
      <c r="BE129" s="258"/>
      <c r="BF129" s="258"/>
      <c r="BG129" s="258"/>
      <c r="BH129" s="20"/>
      <c r="BI129" s="20"/>
      <c r="BJ129" s="258"/>
      <c r="BK129" s="258"/>
      <c r="BL129" s="258"/>
      <c r="BM129" s="258"/>
      <c r="BN129" s="20"/>
      <c r="BO129" s="20"/>
      <c r="BP129" s="258"/>
      <c r="BQ129" s="258"/>
      <c r="BR129" s="258"/>
      <c r="BS129" s="258"/>
      <c r="BT129" s="20"/>
      <c r="BU129" s="20"/>
      <c r="BV129" s="258"/>
      <c r="BW129" s="258"/>
      <c r="BX129" s="258"/>
      <c r="BY129" s="258"/>
      <c r="BZ129" s="20"/>
      <c r="CA129" s="20"/>
      <c r="CB129" s="258"/>
      <c r="CC129" s="258"/>
      <c r="CD129" s="258"/>
      <c r="CE129" s="258"/>
      <c r="CF129" s="325"/>
      <c r="CG129" s="931">
        <f>SUM('3 pr-2'!AI130)</f>
        <v>43464</v>
      </c>
      <c r="CH129" s="931">
        <f>SUM('3 pr-2'!AK130)</f>
        <v>43830</v>
      </c>
      <c r="CI129" s="19">
        <f t="shared" si="288"/>
        <v>366</v>
      </c>
      <c r="CJ129" s="19">
        <f t="shared" si="286"/>
        <v>366</v>
      </c>
      <c r="CK129" s="19">
        <f>SUM(CH129-$W$3)</f>
        <v>0</v>
      </c>
      <c r="CL129" s="953">
        <f t="shared" si="279"/>
        <v>366</v>
      </c>
      <c r="CM129" s="953">
        <f t="shared" si="280"/>
        <v>59.260792349726778</v>
      </c>
      <c r="CN129" s="953"/>
      <c r="CO129" s="953"/>
      <c r="CP129" s="953"/>
      <c r="CQ129" s="953"/>
      <c r="CR129" s="953">
        <f t="shared" si="281"/>
        <v>5.2282786885245898</v>
      </c>
      <c r="CS129" s="953">
        <f t="shared" si="282"/>
        <v>0</v>
      </c>
      <c r="CT129" s="953">
        <f t="shared" si="290"/>
        <v>5.2295081967213113</v>
      </c>
    </row>
    <row r="130" spans="1:98" ht="60.75" thickBot="1">
      <c r="A130" s="6" t="str">
        <f>CONCATENATE('3 pr-2'!A131)</f>
        <v>2.1.2.1.10</v>
      </c>
      <c r="B130" s="8" t="str">
        <f>CONCATENATE('3 pr-2'!D131)</f>
        <v>Pirminės ambulatorinės asmens sveikatos priežiūros efektyvumo didinimas R. Ambrazaitienės ir L. Puzinovienės šeimos gydytojų kabinetuose</v>
      </c>
      <c r="C130" s="65">
        <v>0</v>
      </c>
      <c r="D130" s="65">
        <v>0</v>
      </c>
      <c r="E130" s="65">
        <v>0</v>
      </c>
      <c r="F130" s="257">
        <v>0</v>
      </c>
      <c r="G130" s="257">
        <v>0</v>
      </c>
      <c r="H130" s="257">
        <v>0</v>
      </c>
      <c r="I130" s="257">
        <v>0</v>
      </c>
      <c r="J130" s="65">
        <v>0</v>
      </c>
      <c r="K130" s="65">
        <v>0</v>
      </c>
      <c r="L130" s="261">
        <v>0</v>
      </c>
      <c r="M130" s="261">
        <v>0</v>
      </c>
      <c r="N130" s="261">
        <v>0</v>
      </c>
      <c r="O130" s="261">
        <v>0</v>
      </c>
      <c r="P130" s="65">
        <v>0</v>
      </c>
      <c r="Q130" s="65">
        <v>0</v>
      </c>
      <c r="R130" s="261">
        <v>0</v>
      </c>
      <c r="S130" s="261">
        <v>0</v>
      </c>
      <c r="T130" s="261">
        <v>0</v>
      </c>
      <c r="U130" s="261">
        <v>0</v>
      </c>
      <c r="V130" s="65">
        <v>0</v>
      </c>
      <c r="W130" s="65">
        <f t="shared" si="270"/>
        <v>13335.962910128388</v>
      </c>
      <c r="X130" s="257">
        <f t="shared" si="271"/>
        <v>0</v>
      </c>
      <c r="Y130" s="257">
        <f t="shared" si="272"/>
        <v>1000.2211126961483</v>
      </c>
      <c r="Z130" s="261">
        <f t="shared" si="284"/>
        <v>1000.2211126961483</v>
      </c>
      <c r="AA130" s="261">
        <v>0</v>
      </c>
      <c r="AB130" s="65">
        <f t="shared" si="273"/>
        <v>11335.520684736091</v>
      </c>
      <c r="AC130" s="65">
        <f t="shared" si="274"/>
        <v>14570.037089871612</v>
      </c>
      <c r="AD130" s="257">
        <f t="shared" si="275"/>
        <v>0</v>
      </c>
      <c r="AE130" s="257">
        <f t="shared" si="276"/>
        <v>1092.7788873038517</v>
      </c>
      <c r="AF130" s="261">
        <f t="shared" si="285"/>
        <v>1092.7788873038517</v>
      </c>
      <c r="AG130" s="257">
        <v>0</v>
      </c>
      <c r="AH130" s="65">
        <f t="shared" si="278"/>
        <v>12384.479315263909</v>
      </c>
      <c r="AI130" s="664">
        <f>SUM('3 pr-2'!L131)</f>
        <v>27906</v>
      </c>
      <c r="AJ130" s="73"/>
      <c r="AK130" s="257">
        <f>SUM('3 pr-2'!O131)</f>
        <v>0</v>
      </c>
      <c r="AL130" s="257"/>
      <c r="AM130" s="257">
        <f>SUM('3 pr-2'!R131)</f>
        <v>2093</v>
      </c>
      <c r="AN130" s="257"/>
      <c r="AO130" s="257">
        <f>SUM('3 pr-2'!U131)</f>
        <v>2093</v>
      </c>
      <c r="AP130" s="257"/>
      <c r="AQ130" s="257">
        <f>SUM('3 pr-2'!X131)</f>
        <v>0</v>
      </c>
      <c r="AR130" s="476"/>
      <c r="AS130" s="94">
        <f>SUM('3 pr-2'!AA131)</f>
        <v>23720</v>
      </c>
      <c r="AT130" s="434"/>
      <c r="AU130" s="889"/>
      <c r="AV130" s="20"/>
      <c r="AW130" s="20"/>
      <c r="AX130" s="258"/>
      <c r="AY130" s="258"/>
      <c r="AZ130" s="258"/>
      <c r="BA130" s="258"/>
      <c r="BB130" s="20"/>
      <c r="BC130" s="20"/>
      <c r="BD130" s="258"/>
      <c r="BE130" s="258"/>
      <c r="BF130" s="258"/>
      <c r="BG130" s="258"/>
      <c r="BH130" s="20"/>
      <c r="BI130" s="20"/>
      <c r="BJ130" s="258"/>
      <c r="BK130" s="258"/>
      <c r="BL130" s="258"/>
      <c r="BM130" s="258"/>
      <c r="BN130" s="20"/>
      <c r="BO130" s="20"/>
      <c r="BP130" s="258"/>
      <c r="BQ130" s="258"/>
      <c r="BR130" s="258"/>
      <c r="BS130" s="258"/>
      <c r="BT130" s="20"/>
      <c r="BU130" s="20"/>
      <c r="BV130" s="258"/>
      <c r="BW130" s="258"/>
      <c r="BX130" s="258"/>
      <c r="BY130" s="258"/>
      <c r="BZ130" s="20"/>
      <c r="CA130" s="20"/>
      <c r="CB130" s="258"/>
      <c r="CC130" s="258"/>
      <c r="CD130" s="258"/>
      <c r="CE130" s="258"/>
      <c r="CF130" s="325"/>
      <c r="CG130" s="931">
        <f>SUM('3 pr-2'!AI131)</f>
        <v>43495</v>
      </c>
      <c r="CH130" s="931">
        <f>SUM('3 pr-2'!AK131)</f>
        <v>44196</v>
      </c>
      <c r="CI130" s="19">
        <f t="shared" si="288"/>
        <v>701</v>
      </c>
      <c r="CJ130" s="19">
        <f t="shared" si="286"/>
        <v>335</v>
      </c>
      <c r="CK130" s="19">
        <f t="shared" si="289"/>
        <v>366</v>
      </c>
      <c r="CL130" s="953">
        <f t="shared" si="279"/>
        <v>701</v>
      </c>
      <c r="CM130" s="953">
        <f t="shared" si="280"/>
        <v>33.837375178316691</v>
      </c>
      <c r="CN130" s="953"/>
      <c r="CO130" s="953"/>
      <c r="CP130" s="953"/>
      <c r="CQ130" s="953"/>
      <c r="CR130" s="953">
        <f t="shared" si="281"/>
        <v>2.9857346647646219</v>
      </c>
      <c r="CS130" s="953">
        <f t="shared" si="282"/>
        <v>0</v>
      </c>
      <c r="CT130" s="953">
        <f t="shared" si="290"/>
        <v>2.9857346647646219</v>
      </c>
    </row>
    <row r="131" spans="1:98" ht="36.75" thickBot="1">
      <c r="A131" s="6" t="str">
        <f>CONCATENATE('3 pr-2'!A132)</f>
        <v>2.1.2.1.11</v>
      </c>
      <c r="B131" s="8" t="str">
        <f>CONCATENATE('3 pr-2'!D132)</f>
        <v>Pirminės asmens sveikatos priežiūros veiklos efektyvumo didinimas Lazdijų rajono savivaldybėje</v>
      </c>
      <c r="C131" s="65">
        <v>0</v>
      </c>
      <c r="D131" s="65">
        <v>0</v>
      </c>
      <c r="E131" s="65">
        <v>0</v>
      </c>
      <c r="F131" s="257">
        <v>0</v>
      </c>
      <c r="G131" s="257">
        <v>0</v>
      </c>
      <c r="H131" s="257">
        <v>0</v>
      </c>
      <c r="I131" s="257">
        <v>0</v>
      </c>
      <c r="J131" s="65">
        <v>0</v>
      </c>
      <c r="K131" s="65">
        <v>0</v>
      </c>
      <c r="L131" s="261">
        <v>0</v>
      </c>
      <c r="M131" s="261">
        <v>0</v>
      </c>
      <c r="N131" s="261">
        <v>0</v>
      </c>
      <c r="O131" s="261">
        <v>0</v>
      </c>
      <c r="P131" s="65">
        <v>0</v>
      </c>
      <c r="Q131" s="65">
        <v>0</v>
      </c>
      <c r="R131" s="261">
        <v>0</v>
      </c>
      <c r="S131" s="261">
        <v>0</v>
      </c>
      <c r="T131" s="261">
        <v>0</v>
      </c>
      <c r="U131" s="261">
        <v>0</v>
      </c>
      <c r="V131" s="65">
        <v>0</v>
      </c>
      <c r="W131" s="65">
        <f t="shared" si="270"/>
        <v>62191.445410628017</v>
      </c>
      <c r="X131" s="257">
        <f t="shared" si="271"/>
        <v>962.62995169082137</v>
      </c>
      <c r="Y131" s="257">
        <f t="shared" si="272"/>
        <v>4664.3826086956524</v>
      </c>
      <c r="Z131" s="261">
        <f t="shared" si="284"/>
        <v>3701.7526570048308</v>
      </c>
      <c r="AA131" s="261">
        <v>0</v>
      </c>
      <c r="AB131" s="65">
        <f t="shared" si="273"/>
        <v>52862.680193236716</v>
      </c>
      <c r="AC131" s="65">
        <f t="shared" si="274"/>
        <v>130527.55458937198</v>
      </c>
      <c r="AD131" s="257">
        <f t="shared" si="275"/>
        <v>2020.3700483091789</v>
      </c>
      <c r="AE131" s="257">
        <f t="shared" si="276"/>
        <v>9789.6173913043476</v>
      </c>
      <c r="AF131" s="261">
        <f t="shared" si="285"/>
        <v>7769.2473429951688</v>
      </c>
      <c r="AG131" s="257">
        <v>0</v>
      </c>
      <c r="AH131" s="65">
        <f t="shared" si="278"/>
        <v>110948.31980676329</v>
      </c>
      <c r="AI131" s="663">
        <f>SUM('3 pr-2'!L132)</f>
        <v>192719</v>
      </c>
      <c r="AJ131" s="73"/>
      <c r="AK131" s="257">
        <f>SUM('3 pr-2'!O132)</f>
        <v>2983</v>
      </c>
      <c r="AL131" s="257"/>
      <c r="AM131" s="257">
        <f>SUM('3 pr-2'!R132)</f>
        <v>14454</v>
      </c>
      <c r="AN131" s="257"/>
      <c r="AO131" s="257">
        <f>SUM('3 pr-2'!U132)</f>
        <v>11471</v>
      </c>
      <c r="AP131" s="257"/>
      <c r="AQ131" s="257">
        <f>SUM('3 pr-2'!X132)</f>
        <v>0</v>
      </c>
      <c r="AR131" s="476"/>
      <c r="AS131" s="94">
        <f>SUM('3 pr-2'!AA132)</f>
        <v>163811</v>
      </c>
      <c r="AT131" s="434"/>
      <c r="AU131" s="889"/>
      <c r="AV131" s="20"/>
      <c r="AW131" s="20"/>
      <c r="AX131" s="258"/>
      <c r="AY131" s="258"/>
      <c r="AZ131" s="258"/>
      <c r="BA131" s="258"/>
      <c r="BB131" s="20"/>
      <c r="BC131" s="20"/>
      <c r="BD131" s="258"/>
      <c r="BE131" s="258"/>
      <c r="BF131" s="258"/>
      <c r="BG131" s="258"/>
      <c r="BH131" s="20"/>
      <c r="BI131" s="20"/>
      <c r="BJ131" s="258"/>
      <c r="BK131" s="258"/>
      <c r="BL131" s="258"/>
      <c r="BM131" s="258"/>
      <c r="BN131" s="20"/>
      <c r="BO131" s="20"/>
      <c r="BP131" s="258"/>
      <c r="BQ131" s="258"/>
      <c r="BR131" s="258"/>
      <c r="BS131" s="258"/>
      <c r="BT131" s="20"/>
      <c r="BU131" s="20"/>
      <c r="BV131" s="258"/>
      <c r="BW131" s="258"/>
      <c r="BX131" s="258"/>
      <c r="BY131" s="258"/>
      <c r="BZ131" s="20"/>
      <c r="CA131" s="20"/>
      <c r="CB131" s="258"/>
      <c r="CC131" s="258"/>
      <c r="CD131" s="258"/>
      <c r="CE131" s="258"/>
      <c r="CF131" s="325"/>
      <c r="CG131" s="931">
        <f>SUM('3 pr-2'!AI132)</f>
        <v>43496</v>
      </c>
      <c r="CH131" s="931">
        <f>SUM('3 pr-2'!AK132)</f>
        <v>44531</v>
      </c>
      <c r="CI131" s="19">
        <f t="shared" si="288"/>
        <v>1035</v>
      </c>
      <c r="CJ131" s="19">
        <f t="shared" si="286"/>
        <v>334</v>
      </c>
      <c r="CK131" s="19">
        <f>SUM(CH131-$W$3)</f>
        <v>701</v>
      </c>
      <c r="CL131" s="953">
        <f t="shared" si="279"/>
        <v>1035</v>
      </c>
      <c r="CM131" s="953">
        <f t="shared" si="280"/>
        <v>158.27149758454107</v>
      </c>
      <c r="CN131" s="953"/>
      <c r="CO131" s="953"/>
      <c r="CP131" s="953"/>
      <c r="CQ131" s="953"/>
      <c r="CR131" s="953">
        <f t="shared" si="281"/>
        <v>13.965217391304348</v>
      </c>
      <c r="CS131" s="953">
        <f t="shared" si="282"/>
        <v>2.8821256038647345</v>
      </c>
      <c r="CT131" s="953">
        <f t="shared" si="290"/>
        <v>11.083091787439614</v>
      </c>
    </row>
    <row r="132" spans="1:98" ht="36.75" thickBot="1">
      <c r="A132" s="6" t="str">
        <f>CONCATENATE('3 pr-2'!A133)</f>
        <v>2.1.2.1.12</v>
      </c>
      <c r="B132" s="8" t="str">
        <f>CONCATENATE('3 pr-2'!D133)</f>
        <v>Pirminės asmens sveikatos priežiūros veiklos efektyvumo didinimas Varėnos rajono savivaldybėje</v>
      </c>
      <c r="C132" s="65">
        <v>0</v>
      </c>
      <c r="D132" s="65">
        <v>0</v>
      </c>
      <c r="E132" s="65">
        <v>0</v>
      </c>
      <c r="F132" s="257">
        <v>0</v>
      </c>
      <c r="G132" s="257">
        <v>0</v>
      </c>
      <c r="H132" s="257">
        <v>0</v>
      </c>
      <c r="I132" s="257">
        <v>0</v>
      </c>
      <c r="J132" s="65">
        <v>0</v>
      </c>
      <c r="K132" s="65">
        <v>0</v>
      </c>
      <c r="L132" s="261">
        <v>0</v>
      </c>
      <c r="M132" s="261">
        <v>0</v>
      </c>
      <c r="N132" s="261">
        <v>0</v>
      </c>
      <c r="O132" s="261">
        <v>0</v>
      </c>
      <c r="P132" s="65">
        <v>0</v>
      </c>
      <c r="Q132" s="65">
        <v>0</v>
      </c>
      <c r="R132" s="261">
        <v>0</v>
      </c>
      <c r="S132" s="261">
        <v>0</v>
      </c>
      <c r="T132" s="261">
        <v>0</v>
      </c>
      <c r="U132" s="261">
        <v>0</v>
      </c>
      <c r="V132" s="65">
        <v>0</v>
      </c>
      <c r="W132" s="65">
        <f t="shared" si="270"/>
        <v>88036.186046511633</v>
      </c>
      <c r="X132" s="257">
        <f t="shared" si="271"/>
        <v>6602.7824897400824</v>
      </c>
      <c r="Y132" s="257">
        <f t="shared" si="272"/>
        <v>6602.7824897400824</v>
      </c>
      <c r="Z132" s="261">
        <f t="shared" si="284"/>
        <v>0</v>
      </c>
      <c r="AA132" s="261">
        <v>0</v>
      </c>
      <c r="AB132" s="65">
        <f t="shared" si="273"/>
        <v>74830.621067031461</v>
      </c>
      <c r="AC132" s="65">
        <f t="shared" si="274"/>
        <v>104641.81395348838</v>
      </c>
      <c r="AD132" s="257">
        <f t="shared" si="275"/>
        <v>7848.2175102599185</v>
      </c>
      <c r="AE132" s="257">
        <f t="shared" si="276"/>
        <v>7848.2175102599185</v>
      </c>
      <c r="AF132" s="261">
        <f t="shared" si="285"/>
        <v>0</v>
      </c>
      <c r="AG132" s="257">
        <v>0</v>
      </c>
      <c r="AH132" s="65">
        <f t="shared" si="278"/>
        <v>88945.378932968539</v>
      </c>
      <c r="AI132" s="663">
        <f>SUM('3 pr-2'!L133)</f>
        <v>192678</v>
      </c>
      <c r="AJ132" s="73"/>
      <c r="AK132" s="257">
        <f>SUM('3 pr-2'!O133)</f>
        <v>14451</v>
      </c>
      <c r="AL132" s="257"/>
      <c r="AM132" s="257">
        <f>SUM('3 pr-2'!R133)</f>
        <v>14451</v>
      </c>
      <c r="AN132" s="257"/>
      <c r="AO132" s="257">
        <f>SUM('3 pr-2'!U133)</f>
        <v>0</v>
      </c>
      <c r="AP132" s="257"/>
      <c r="AQ132" s="257">
        <f>SUM('3 pr-2'!X133)</f>
        <v>0</v>
      </c>
      <c r="AR132" s="476"/>
      <c r="AS132" s="94">
        <f>SUM('3 pr-2'!AA133)</f>
        <v>163776</v>
      </c>
      <c r="AT132" s="434"/>
      <c r="AU132" s="889"/>
      <c r="AV132" s="20"/>
      <c r="AW132" s="20"/>
      <c r="AX132" s="258"/>
      <c r="AY132" s="258"/>
      <c r="AZ132" s="258"/>
      <c r="BA132" s="258"/>
      <c r="BB132" s="20"/>
      <c r="BC132" s="20"/>
      <c r="BD132" s="258"/>
      <c r="BE132" s="258"/>
      <c r="BF132" s="258"/>
      <c r="BG132" s="258"/>
      <c r="BH132" s="20"/>
      <c r="BI132" s="20"/>
      <c r="BJ132" s="258"/>
      <c r="BK132" s="258"/>
      <c r="BL132" s="258"/>
      <c r="BM132" s="258"/>
      <c r="BN132" s="20"/>
      <c r="BO132" s="20"/>
      <c r="BP132" s="258"/>
      <c r="BQ132" s="258"/>
      <c r="BR132" s="258"/>
      <c r="BS132" s="258"/>
      <c r="BT132" s="20"/>
      <c r="BU132" s="20"/>
      <c r="BV132" s="258"/>
      <c r="BW132" s="258"/>
      <c r="BX132" s="258"/>
      <c r="BY132" s="258"/>
      <c r="BZ132" s="20"/>
      <c r="CA132" s="20"/>
      <c r="CB132" s="258"/>
      <c r="CC132" s="258"/>
      <c r="CD132" s="258"/>
      <c r="CE132" s="258"/>
      <c r="CF132" s="325"/>
      <c r="CG132" s="931">
        <f>SUM('3 pr-2'!AI133)</f>
        <v>43496</v>
      </c>
      <c r="CH132" s="931">
        <f>SUM('3 pr-2'!AK133)</f>
        <v>44227</v>
      </c>
      <c r="CI132" s="19">
        <f t="shared" si="288"/>
        <v>731</v>
      </c>
      <c r="CJ132" s="19">
        <f t="shared" si="286"/>
        <v>334</v>
      </c>
      <c r="CK132" s="19">
        <f>SUM(CH132-$W$3)</f>
        <v>397</v>
      </c>
      <c r="CL132" s="953">
        <f t="shared" si="279"/>
        <v>731</v>
      </c>
      <c r="CM132" s="953">
        <f t="shared" si="280"/>
        <v>224.04377564979481</v>
      </c>
      <c r="CN132" s="953"/>
      <c r="CO132" s="953"/>
      <c r="CP132" s="953"/>
      <c r="CQ132" s="953"/>
      <c r="CR132" s="953">
        <f t="shared" si="281"/>
        <v>19.768809849521205</v>
      </c>
      <c r="CS132" s="953">
        <f t="shared" si="282"/>
        <v>19.768809849521205</v>
      </c>
      <c r="CT132" s="953">
        <f t="shared" si="290"/>
        <v>0</v>
      </c>
    </row>
    <row r="133" spans="1:98" ht="36.75" thickBot="1">
      <c r="A133" s="6" t="str">
        <f>CONCATENATE('3 pr-2'!A134)</f>
        <v>2.1.2.1.13</v>
      </c>
      <c r="B133" s="8" t="str">
        <f>CONCATENATE('3 pr-2'!D134)</f>
        <v>Pirminės asmens sveikatos priežiūros veiklos efektyvumo didinimas N. Jarašienės personalinėje įmonėje</v>
      </c>
      <c r="C133" s="65">
        <v>0</v>
      </c>
      <c r="D133" s="65">
        <v>0</v>
      </c>
      <c r="E133" s="65">
        <v>0</v>
      </c>
      <c r="F133" s="257">
        <v>0</v>
      </c>
      <c r="G133" s="257">
        <v>0</v>
      </c>
      <c r="H133" s="257">
        <v>0</v>
      </c>
      <c r="I133" s="257">
        <v>0</v>
      </c>
      <c r="J133" s="65">
        <v>0</v>
      </c>
      <c r="K133" s="65">
        <v>0</v>
      </c>
      <c r="L133" s="261">
        <v>0</v>
      </c>
      <c r="M133" s="261">
        <v>0</v>
      </c>
      <c r="N133" s="261">
        <v>0</v>
      </c>
      <c r="O133" s="261">
        <v>0</v>
      </c>
      <c r="P133" s="65">
        <v>0</v>
      </c>
      <c r="Q133" s="65">
        <v>0</v>
      </c>
      <c r="R133" s="261">
        <v>0</v>
      </c>
      <c r="S133" s="261">
        <v>0</v>
      </c>
      <c r="T133" s="261">
        <v>0</v>
      </c>
      <c r="U133" s="261">
        <v>0</v>
      </c>
      <c r="V133" s="65">
        <v>0</v>
      </c>
      <c r="W133" s="65">
        <f>SUM(AI133)</f>
        <v>8305</v>
      </c>
      <c r="X133" s="257">
        <f>SUM(AK133)</f>
        <v>0</v>
      </c>
      <c r="Y133" s="257">
        <f>SUM(AM133)</f>
        <v>623</v>
      </c>
      <c r="Z133" s="261">
        <f>SUM(AO133)</f>
        <v>623</v>
      </c>
      <c r="AA133" s="261">
        <f>SUM(AQ133)</f>
        <v>0</v>
      </c>
      <c r="AB133" s="65">
        <f>SUM(AS133)</f>
        <v>7059</v>
      </c>
      <c r="AC133" s="65">
        <v>0</v>
      </c>
      <c r="AD133" s="257">
        <v>0</v>
      </c>
      <c r="AE133" s="257">
        <v>0</v>
      </c>
      <c r="AF133" s="261">
        <v>0</v>
      </c>
      <c r="AG133" s="257">
        <v>0</v>
      </c>
      <c r="AH133" s="65">
        <v>0</v>
      </c>
      <c r="AI133" s="663">
        <f>SUM('3 pr-2'!L134)</f>
        <v>8305</v>
      </c>
      <c r="AJ133" s="73"/>
      <c r="AK133" s="257">
        <f>SUM('3 pr-2'!O134)</f>
        <v>0</v>
      </c>
      <c r="AL133" s="257"/>
      <c r="AM133" s="257">
        <f>SUM('3 pr-2'!R134)</f>
        <v>623</v>
      </c>
      <c r="AN133" s="257"/>
      <c r="AO133" s="257">
        <f>SUM('3 pr-2'!U134)</f>
        <v>623</v>
      </c>
      <c r="AP133" s="257"/>
      <c r="AQ133" s="257">
        <f>SUM('3 pr-2'!X134)</f>
        <v>0</v>
      </c>
      <c r="AR133" s="476"/>
      <c r="AS133" s="94">
        <f>SUM('3 pr-2'!AA134)</f>
        <v>7059</v>
      </c>
      <c r="AT133" s="434"/>
      <c r="AU133" s="889"/>
      <c r="AV133" s="20"/>
      <c r="AW133" s="20"/>
      <c r="AX133" s="258"/>
      <c r="AY133" s="258"/>
      <c r="AZ133" s="258"/>
      <c r="BA133" s="258"/>
      <c r="BB133" s="20"/>
      <c r="BC133" s="20"/>
      <c r="BD133" s="258"/>
      <c r="BE133" s="258"/>
      <c r="BF133" s="258"/>
      <c r="BG133" s="258"/>
      <c r="BH133" s="20"/>
      <c r="BI133" s="20"/>
      <c r="BJ133" s="258"/>
      <c r="BK133" s="258"/>
      <c r="BL133" s="258"/>
      <c r="BM133" s="258"/>
      <c r="BN133" s="20"/>
      <c r="BO133" s="20"/>
      <c r="BP133" s="258"/>
      <c r="BQ133" s="258"/>
      <c r="BR133" s="258"/>
      <c r="BS133" s="258"/>
      <c r="BT133" s="20"/>
      <c r="BU133" s="20"/>
      <c r="BV133" s="258"/>
      <c r="BW133" s="258"/>
      <c r="BX133" s="258"/>
      <c r="BY133" s="258"/>
      <c r="BZ133" s="20"/>
      <c r="CA133" s="20"/>
      <c r="CB133" s="258"/>
      <c r="CC133" s="258"/>
      <c r="CD133" s="258"/>
      <c r="CE133" s="258"/>
      <c r="CF133" s="325"/>
      <c r="CG133" s="931">
        <f>SUM('3 pr-2'!AI134)</f>
        <v>43496</v>
      </c>
      <c r="CH133" s="931">
        <f>SUM('3 pr-2'!AK134)</f>
        <v>43830</v>
      </c>
      <c r="CI133" s="19"/>
      <c r="CJ133" s="19"/>
      <c r="CK133" s="19"/>
      <c r="CL133" s="953"/>
      <c r="CM133" s="953"/>
      <c r="CN133" s="953"/>
      <c r="CO133" s="953"/>
      <c r="CP133" s="953"/>
      <c r="CQ133" s="953"/>
      <c r="CR133" s="953"/>
      <c r="CS133" s="953"/>
      <c r="CT133" s="953"/>
    </row>
    <row r="134" spans="1:98" ht="39.75" thickBot="1">
      <c r="A134" s="253" t="str">
        <f>CONCATENATE('3 pr-2'!A135)</f>
        <v>2.1.2.2</v>
      </c>
      <c r="B134" s="103" t="str">
        <f>CONCATENATE('3 pr-2'!B135)</f>
        <v>Priemonė:
Sveikos gyvensenos skatinimas regioniniu lygiu</v>
      </c>
      <c r="C134" s="901">
        <f>SUM(C135:C139)</f>
        <v>0</v>
      </c>
      <c r="D134" s="901">
        <f>SUM(D135:D139)</f>
        <v>0</v>
      </c>
      <c r="E134" s="901">
        <f>SUM(E135:E139)</f>
        <v>0</v>
      </c>
      <c r="F134" s="901">
        <f>SUM(F135:F139)</f>
        <v>0</v>
      </c>
      <c r="G134" s="901"/>
      <c r="H134" s="901"/>
      <c r="I134" s="901"/>
      <c r="J134" s="901">
        <f t="shared" ref="J134:Q134" si="291">SUM(J135:J139)</f>
        <v>0</v>
      </c>
      <c r="K134" s="901">
        <f t="shared" si="291"/>
        <v>0</v>
      </c>
      <c r="L134" s="954">
        <f t="shared" si="291"/>
        <v>0</v>
      </c>
      <c r="M134" s="954">
        <f t="shared" si="291"/>
        <v>0</v>
      </c>
      <c r="N134" s="954">
        <f t="shared" si="291"/>
        <v>0</v>
      </c>
      <c r="O134" s="954">
        <f t="shared" si="291"/>
        <v>0</v>
      </c>
      <c r="P134" s="901">
        <f t="shared" si="291"/>
        <v>0</v>
      </c>
      <c r="Q134" s="901">
        <f t="shared" si="291"/>
        <v>106838.5654902044</v>
      </c>
      <c r="R134" s="954"/>
      <c r="S134" s="954"/>
      <c r="T134" s="954"/>
      <c r="U134" s="954"/>
      <c r="V134" s="901">
        <f>SUM(V135:V139)</f>
        <v>90812.779788024098</v>
      </c>
      <c r="W134" s="901">
        <f>SUM(W135:W139)</f>
        <v>364449.31218621123</v>
      </c>
      <c r="X134" s="954"/>
      <c r="Y134" s="954"/>
      <c r="Z134" s="954"/>
      <c r="AA134" s="954"/>
      <c r="AB134" s="901">
        <f>SUM(AB135:AB139)</f>
        <v>309781.91236101679</v>
      </c>
      <c r="AC134" s="901">
        <f>SUM(AC135:AC139)</f>
        <v>523696.66232358431</v>
      </c>
      <c r="AD134" s="954"/>
      <c r="AE134" s="954"/>
      <c r="AF134" s="954"/>
      <c r="AG134" s="954"/>
      <c r="AH134" s="901">
        <f>SUM(AH135:AH139)</f>
        <v>445142.15785095911</v>
      </c>
      <c r="AI134" s="902">
        <f>SUM(AI135:AI139)</f>
        <v>994984.5399999998</v>
      </c>
      <c r="AJ134" s="901"/>
      <c r="AK134" s="901"/>
      <c r="AL134" s="901"/>
      <c r="AM134" s="901"/>
      <c r="AN134" s="901"/>
      <c r="AO134" s="901"/>
      <c r="AP134" s="901"/>
      <c r="AQ134" s="901"/>
      <c r="AR134" s="901"/>
      <c r="AS134" s="901">
        <f>SUM(AS135:AS139)</f>
        <v>845736.85</v>
      </c>
      <c r="AT134" s="901"/>
      <c r="AU134" s="889">
        <v>0</v>
      </c>
      <c r="AV134" s="20">
        <v>0</v>
      </c>
      <c r="AW134" s="20">
        <v>0</v>
      </c>
      <c r="AX134" s="901">
        <v>0</v>
      </c>
      <c r="AY134" s="901">
        <v>0</v>
      </c>
      <c r="AZ134" s="901">
        <v>0</v>
      </c>
      <c r="BA134" s="901">
        <v>0</v>
      </c>
      <c r="BB134" s="20">
        <v>0</v>
      </c>
      <c r="BC134" s="20">
        <v>50</v>
      </c>
      <c r="BD134" s="901">
        <v>50</v>
      </c>
      <c r="BE134" s="901">
        <v>50</v>
      </c>
      <c r="BF134" s="901">
        <v>50</v>
      </c>
      <c r="BG134" s="901">
        <v>50</v>
      </c>
      <c r="BH134" s="20">
        <v>50</v>
      </c>
      <c r="BI134" s="20">
        <v>50</v>
      </c>
      <c r="BJ134" s="901">
        <v>50</v>
      </c>
      <c r="BK134" s="901">
        <v>50</v>
      </c>
      <c r="BL134" s="901">
        <v>50</v>
      </c>
      <c r="BM134" s="901">
        <v>50</v>
      </c>
      <c r="BN134" s="20">
        <v>50</v>
      </c>
      <c r="BO134" s="20">
        <v>0</v>
      </c>
      <c r="BP134" s="901">
        <v>0</v>
      </c>
      <c r="BQ134" s="901">
        <v>0</v>
      </c>
      <c r="BR134" s="901">
        <v>0</v>
      </c>
      <c r="BS134" s="901">
        <v>0</v>
      </c>
      <c r="BT134" s="20">
        <v>0</v>
      </c>
      <c r="BU134" s="20">
        <v>0</v>
      </c>
      <c r="BV134" s="901">
        <v>0</v>
      </c>
      <c r="BW134" s="901">
        <v>0</v>
      </c>
      <c r="BX134" s="901">
        <v>0</v>
      </c>
      <c r="BY134" s="901">
        <v>0</v>
      </c>
      <c r="BZ134" s="20">
        <v>0</v>
      </c>
      <c r="CA134" s="20">
        <v>100</v>
      </c>
      <c r="CB134" s="901">
        <v>100</v>
      </c>
      <c r="CC134" s="901">
        <v>100</v>
      </c>
      <c r="CD134" s="901">
        <v>100</v>
      </c>
      <c r="CE134" s="901">
        <v>100</v>
      </c>
      <c r="CF134" s="325">
        <v>100</v>
      </c>
      <c r="CG134" s="19"/>
      <c r="CH134" s="19"/>
      <c r="CI134" s="19"/>
      <c r="CJ134" s="19"/>
      <c r="CK134" s="19"/>
      <c r="CL134" s="19"/>
      <c r="CM134" s="19"/>
      <c r="CN134" s="19"/>
      <c r="CO134" s="19"/>
      <c r="CP134" s="19"/>
      <c r="CQ134" s="19"/>
      <c r="CR134" s="19"/>
      <c r="CS134" s="19"/>
      <c r="CT134" s="953" t="e">
        <f t="shared" si="290"/>
        <v>#DIV/0!</v>
      </c>
    </row>
    <row r="135" spans="1:98" ht="24.75" thickBot="1">
      <c r="A135" s="6" t="str">
        <f>CONCATENATE('3 pr-2'!A136)</f>
        <v>2.1.2.2.1</v>
      </c>
      <c r="B135" s="8" t="str">
        <f>CONCATENATE('3 pr-2'!D136)</f>
        <v>Sveikos gyvensenos skatinimas Alytaus rajone</v>
      </c>
      <c r="C135" s="61">
        <v>0</v>
      </c>
      <c r="D135" s="61">
        <v>0</v>
      </c>
      <c r="E135" s="61">
        <v>0</v>
      </c>
      <c r="F135" s="257">
        <v>0</v>
      </c>
      <c r="G135" s="257">
        <v>0</v>
      </c>
      <c r="H135" s="257">
        <v>0</v>
      </c>
      <c r="I135" s="257">
        <v>0</v>
      </c>
      <c r="J135" s="61">
        <v>0</v>
      </c>
      <c r="K135" s="61">
        <v>0</v>
      </c>
      <c r="L135" s="261">
        <v>0</v>
      </c>
      <c r="M135" s="261">
        <v>0</v>
      </c>
      <c r="N135" s="261">
        <v>0</v>
      </c>
      <c r="O135" s="261">
        <v>0</v>
      </c>
      <c r="P135" s="61">
        <v>0</v>
      </c>
      <c r="Q135" s="65">
        <f>IF(YEAR($CG$135)=2018,($BI$4-$CG$135)*AI$135/($CH$135-$CG$135))</f>
        <v>19427.644397810218</v>
      </c>
      <c r="R135" s="261">
        <f>IF(YEAR($CG$135)=2018,($BI$4-$CG$135)*AK$135/($CH$135-$CG$135))</f>
        <v>1457.0734762773723</v>
      </c>
      <c r="S135" s="261">
        <f>IF(YEAR($CG$135)=2018,($BI$4-$CG$135)*AM$135/($CH$135-$CG$135))</f>
        <v>1457.0734762773723</v>
      </c>
      <c r="T135" s="261">
        <f>IF(YEAR($CG$135)=2018,($BI$4-$CG$135)*AO$135/($CH$135-$CG$135))</f>
        <v>0</v>
      </c>
      <c r="U135" s="261">
        <f>IF(YEAR($CG$135)=2018,($BI$4-$CG$135)*AQ$135/($CH$135-$CG$135))</f>
        <v>0</v>
      </c>
      <c r="V135" s="326">
        <f>IF(YEAR($CG$135)=2018,($BI$4-$CG$135)*AS$135/($CH$135-$CG$135))</f>
        <v>16513.497445255474</v>
      </c>
      <c r="W135" s="65">
        <f>IF(YEAR($CH135)&gt;2018,($BO$4-$BI$4)*$AI135/($CH135-$CG135),0)</f>
        <v>66271.871076642332</v>
      </c>
      <c r="X135" s="261">
        <f>IF(YEAR($CH135)&gt;2018,($BO$4-$BI$4)*$AK135/($CH135-$CG135),0)</f>
        <v>4970.3908302919717</v>
      </c>
      <c r="Y135" s="261">
        <f>IF(YEAR($CH135)&gt;2018,($BO$4-$BI$4)*$AM135/($CH135-$CG135),0)</f>
        <v>4970.3908302919717</v>
      </c>
      <c r="Z135" s="261">
        <f>IF(YEAR($CH135)&gt;2018,($BO$4-$BI$4)*$AO135/($CH135-$CG135),0)</f>
        <v>0</v>
      </c>
      <c r="AA135" s="261">
        <f>IF(YEAR($CH135)&gt;2018,($BO$4-$BI$4)*$AQ135/($CH135-$CG135),0)</f>
        <v>0</v>
      </c>
      <c r="AB135" s="326">
        <f>IF(YEAR($CH135)&gt;2018,($BO$4-$BI$4)*$AS135/($CH135-$CG135),0)</f>
        <v>56331.089416058392</v>
      </c>
      <c r="AC135" s="326">
        <f>IF(YEAR($CH135)&gt;2018,($CH135-$BO$4)*$AI135/($CH135-$CG135),0)</f>
        <v>113297.66452554744</v>
      </c>
      <c r="AD135" s="261">
        <f>IF(YEAR($CH135)&gt;2018,($CH135-$BO$4)*$AK135/($CH135-$CG135),0)</f>
        <v>8497.3256934306573</v>
      </c>
      <c r="AE135" s="261">
        <f>IF(YEAR($CH135)&gt;2018,($CH135-$BO$4)*$AM135/($CH135-$CG135),0)</f>
        <v>8497.3256934306573</v>
      </c>
      <c r="AF135" s="261">
        <f>IF(YEAR($CH135)&gt;2018,($CH135-$BO$4)*$AO135/($CH135-$CG135),0)</f>
        <v>0</v>
      </c>
      <c r="AG135" s="261">
        <f>IF(YEAR($CH135)&gt;2018,($CH135-$BO$4)*$AQ135/($CH135-$CG135),0)</f>
        <v>0</v>
      </c>
      <c r="AH135" s="326">
        <f>IF(YEAR($CH135)&gt;2018,($CH135-$BO$4)*$AS135/($CH135-$CG135),0)</f>
        <v>96303.013138686132</v>
      </c>
      <c r="AI135" s="663">
        <f>SUM('3 pr-2'!L136)</f>
        <v>198997.18</v>
      </c>
      <c r="AJ135" s="73"/>
      <c r="AK135" s="257">
        <f>SUM('3 pr-2'!O136)</f>
        <v>14924.79</v>
      </c>
      <c r="AL135" s="257"/>
      <c r="AM135" s="257">
        <f>SUM('3 pr-2'!R136)</f>
        <v>14924.79</v>
      </c>
      <c r="AN135" s="257"/>
      <c r="AO135" s="257">
        <f>SUM('3 pr-2'!U136)</f>
        <v>0</v>
      </c>
      <c r="AP135" s="257"/>
      <c r="AQ135" s="257">
        <f>SUM('3 pr-2'!X136)</f>
        <v>0</v>
      </c>
      <c r="AR135" s="476"/>
      <c r="AS135" s="94">
        <f>SUM('3 pr-2'!AA136)</f>
        <v>169147.6</v>
      </c>
      <c r="AT135" s="434"/>
      <c r="AU135" s="889"/>
      <c r="AV135" s="20"/>
      <c r="AW135" s="20"/>
      <c r="AX135" s="258"/>
      <c r="AY135" s="258"/>
      <c r="AZ135" s="258"/>
      <c r="BA135" s="258"/>
      <c r="BB135" s="20"/>
      <c r="BC135" s="20"/>
      <c r="BD135" s="258"/>
      <c r="BE135" s="258"/>
      <c r="BF135" s="258"/>
      <c r="BG135" s="258"/>
      <c r="BH135" s="20"/>
      <c r="BI135" s="20"/>
      <c r="BJ135" s="258"/>
      <c r="BK135" s="258"/>
      <c r="BL135" s="258"/>
      <c r="BM135" s="258"/>
      <c r="BN135" s="20"/>
      <c r="BO135" s="20"/>
      <c r="BP135" s="258"/>
      <c r="BQ135" s="258"/>
      <c r="BR135" s="258"/>
      <c r="BS135" s="258"/>
      <c r="BT135" s="20"/>
      <c r="BU135" s="20"/>
      <c r="BV135" s="258"/>
      <c r="BW135" s="258"/>
      <c r="BX135" s="258"/>
      <c r="BY135" s="258"/>
      <c r="BZ135" s="20"/>
      <c r="CA135" s="20"/>
      <c r="CB135" s="258"/>
      <c r="CC135" s="258"/>
      <c r="CD135" s="258"/>
      <c r="CE135" s="258"/>
      <c r="CF135" s="325"/>
      <c r="CG135" s="891">
        <v>43358</v>
      </c>
      <c r="CH135" s="891">
        <v>44454</v>
      </c>
      <c r="CI135" s="19" t="str">
        <f>CONCATENATE(D135+J135+P135+V135+AB135+AH135)</f>
        <v>169147,6</v>
      </c>
      <c r="CJ135" s="892">
        <f>SUM(CI135-AS135)</f>
        <v>0</v>
      </c>
      <c r="CK135" s="19"/>
      <c r="CL135" s="19"/>
      <c r="CM135" s="19"/>
      <c r="CN135" s="19"/>
      <c r="CO135" s="19"/>
      <c r="CP135" s="19"/>
      <c r="CQ135" s="19"/>
      <c r="CR135" s="19"/>
      <c r="CS135" s="19"/>
      <c r="CT135" s="953" t="e">
        <f t="shared" si="290"/>
        <v>#DIV/0!</v>
      </c>
    </row>
    <row r="136" spans="1:98" ht="24.75" thickBot="1">
      <c r="A136" s="6" t="str">
        <f>CONCATENATE('3 pr-2'!A137)</f>
        <v>2.1.2.2.2</v>
      </c>
      <c r="B136" s="8" t="str">
        <f>CONCATENATE('3 pr-2'!D137)</f>
        <v>Mažais žingsneliais – sveikos gyvensenos link</v>
      </c>
      <c r="C136" s="61">
        <v>0</v>
      </c>
      <c r="D136" s="61">
        <v>0</v>
      </c>
      <c r="E136" s="61">
        <v>0</v>
      </c>
      <c r="F136" s="257">
        <v>0</v>
      </c>
      <c r="G136" s="257">
        <v>0</v>
      </c>
      <c r="H136" s="257">
        <v>0</v>
      </c>
      <c r="I136" s="257">
        <v>0</v>
      </c>
      <c r="J136" s="61">
        <v>0</v>
      </c>
      <c r="K136" s="61">
        <v>0</v>
      </c>
      <c r="L136" s="261">
        <v>0</v>
      </c>
      <c r="M136" s="261">
        <v>0</v>
      </c>
      <c r="N136" s="261">
        <v>0</v>
      </c>
      <c r="O136" s="261">
        <v>0</v>
      </c>
      <c r="P136" s="61">
        <v>0</v>
      </c>
      <c r="Q136" s="65">
        <f>IF(YEAR($CG136)=2018,($BI$4-$CG136)*$AI136/($CH136-$CG136))</f>
        <v>29128.005471956225</v>
      </c>
      <c r="R136" s="261">
        <f>IF(YEAR($CG136)=2018,($BI$4-$CG136)*$AK136/($CH136-$CG136))</f>
        <v>2184.6004103967171</v>
      </c>
      <c r="S136" s="261">
        <f>IF(YEAR($CG136)=2018,($BI$4-$CG136)*$AM136/($CH136-$CG136))</f>
        <v>2184.6004103967171</v>
      </c>
      <c r="T136" s="261">
        <f>IF(YEAR($CG136)=2018,($BI$4-$CG136)*$AO136/($CH136-$CG136))</f>
        <v>0</v>
      </c>
      <c r="U136" s="261">
        <f>IF(YEAR($CG136)=2018,($BI$4-$CG136)*$AQ136/($CH136-$CG136))</f>
        <v>0</v>
      </c>
      <c r="V136" s="326">
        <f>IF(YEAR($CG136)=2018,($BI$4-$CG136)*$AS136/($CH136-$CG136))</f>
        <v>24758.804651162791</v>
      </c>
      <c r="W136" s="65">
        <f>IF(YEAR($CH136)&gt;2018,($BO$4-$BI$4)*$AI136/($CH136-$CG136),0)</f>
        <v>99361.887824897407</v>
      </c>
      <c r="X136" s="261">
        <f>IF(YEAR($CH136)&gt;2018,($BO$4-$BI$4)*$AK136/($CH136-$CG136),0)</f>
        <v>7452.1415868673048</v>
      </c>
      <c r="Y136" s="261">
        <f>IF(YEAR($CH136)&gt;2018,($BO$4-$BI$4)*$AM136/($CH136-$CG136),0)</f>
        <v>7452.1415868673048</v>
      </c>
      <c r="Z136" s="261">
        <f t="shared" ref="Z136:Z139" si="292">IF(YEAR($CH136)&gt;2018,($BO$4-$BI$4)*$AO136/($CH136-$CG136),0)</f>
        <v>0</v>
      </c>
      <c r="AA136" s="261">
        <f t="shared" ref="AA136:AA139" si="293">IF(YEAR($CH136)&gt;2018,($BO$4-$BI$4)*$AQ136/($CH136-$CG136),0)</f>
        <v>0</v>
      </c>
      <c r="AB136" s="326">
        <f t="shared" ref="AB136:AB139" si="294">IF(YEAR($CH136)&gt;2018,($BO$4-$BI$4)*$AS136/($CH136-$CG136),0)</f>
        <v>84457.604651162794</v>
      </c>
      <c r="AC136" s="326">
        <f>IF(YEAR($CH136)&gt;2018,($CH136-$BO$4)*$AI136/($CH136-$CG136),0)</f>
        <v>70506.106703146375</v>
      </c>
      <c r="AD136" s="261">
        <f t="shared" ref="AD136:AD139" si="295">IF(YEAR($CH136)&gt;2018,($CH136-$BO$4)*$AK136/($CH136-$CG136),0)</f>
        <v>5287.9580027359789</v>
      </c>
      <c r="AE136" s="261">
        <f t="shared" ref="AE136:AE139" si="296">IF(YEAR($CH136)&gt;2018,($CH136-$BO$4)*$AM136/($CH136-$CG136),0)</f>
        <v>5287.9580027359789</v>
      </c>
      <c r="AF136" s="261">
        <f t="shared" ref="AF136:AF139" si="297">IF(YEAR($CH136)&gt;2018,($CH136-$BO$4)*$AO136/($CH136-$CG136),0)</f>
        <v>0</v>
      </c>
      <c r="AG136" s="261">
        <f t="shared" ref="AG136:AG139" si="298">IF(YEAR($CH136)&gt;2018,($CH136-$BO$4)*$AQ136/($CH136-$CG136),0)</f>
        <v>0</v>
      </c>
      <c r="AH136" s="326">
        <f t="shared" ref="AH136:AH139" si="299">IF(YEAR($CH136)&gt;2018,($CH136-$BO$4)*$AS136/($CH136-$CG136),0)</f>
        <v>59930.190697674414</v>
      </c>
      <c r="AI136" s="663">
        <f>SUM('3 pr-2'!L137)</f>
        <v>198996</v>
      </c>
      <c r="AJ136" s="73"/>
      <c r="AK136" s="257">
        <f>SUM('3 pr-2'!O137)</f>
        <v>14924.7</v>
      </c>
      <c r="AL136" s="257"/>
      <c r="AM136" s="257">
        <f>SUM('3 pr-2'!R137)</f>
        <v>14924.7</v>
      </c>
      <c r="AN136" s="257"/>
      <c r="AO136" s="257">
        <f>SUM('3 pr-2'!U137)</f>
        <v>0</v>
      </c>
      <c r="AP136" s="257"/>
      <c r="AQ136" s="257">
        <f>SUM('3 pr-2'!X137)</f>
        <v>0</v>
      </c>
      <c r="AR136" s="476"/>
      <c r="AS136" s="94">
        <f>SUM('3 pr-2'!AA137)</f>
        <v>169146.6</v>
      </c>
      <c r="AT136" s="434"/>
      <c r="AU136" s="889"/>
      <c r="AV136" s="20"/>
      <c r="AW136" s="20"/>
      <c r="AX136" s="258"/>
      <c r="AY136" s="258"/>
      <c r="AZ136" s="258"/>
      <c r="BA136" s="258"/>
      <c r="BB136" s="20"/>
      <c r="BC136" s="20"/>
      <c r="BD136" s="258"/>
      <c r="BE136" s="258"/>
      <c r="BF136" s="258"/>
      <c r="BG136" s="258"/>
      <c r="BH136" s="20"/>
      <c r="BI136" s="20"/>
      <c r="BJ136" s="258"/>
      <c r="BK136" s="258"/>
      <c r="BL136" s="258"/>
      <c r="BM136" s="258"/>
      <c r="BN136" s="20"/>
      <c r="BO136" s="20"/>
      <c r="BP136" s="258"/>
      <c r="BQ136" s="258"/>
      <c r="BR136" s="258"/>
      <c r="BS136" s="258"/>
      <c r="BT136" s="20"/>
      <c r="BU136" s="20"/>
      <c r="BV136" s="258"/>
      <c r="BW136" s="258"/>
      <c r="BX136" s="258"/>
      <c r="BY136" s="258"/>
      <c r="BZ136" s="20"/>
      <c r="CA136" s="20"/>
      <c r="CB136" s="258"/>
      <c r="CC136" s="258"/>
      <c r="CD136" s="258"/>
      <c r="CE136" s="258"/>
      <c r="CF136" s="325"/>
      <c r="CG136" s="891">
        <v>43358</v>
      </c>
      <c r="CH136" s="891">
        <v>44089</v>
      </c>
      <c r="CI136" s="19" t="str">
        <f t="shared" ref="CI136:CI137" si="300">CONCATENATE(D136+J136+P136+V136+AB136+AH136)</f>
        <v>169146,6</v>
      </c>
      <c r="CJ136" s="892">
        <f t="shared" ref="CJ136:CJ137" si="301">SUM(CI136-AS136)</f>
        <v>0</v>
      </c>
      <c r="CK136" s="19"/>
      <c r="CL136" s="19"/>
      <c r="CM136" s="19"/>
      <c r="CN136" s="19"/>
      <c r="CO136" s="19"/>
      <c r="CP136" s="19"/>
      <c r="CQ136" s="19"/>
      <c r="CR136" s="19"/>
      <c r="CS136" s="19"/>
      <c r="CT136" s="953" t="e">
        <f t="shared" si="290"/>
        <v>#DIV/0!</v>
      </c>
    </row>
    <row r="137" spans="1:98" ht="24.75" thickBot="1">
      <c r="A137" s="6" t="str">
        <f>CONCATENATE('3 pr-2'!A138)</f>
        <v>2.1.2.2.3</v>
      </c>
      <c r="B137" s="8" t="str">
        <f>CONCATENATE('3 pr-2'!D138)</f>
        <v>Sveikos gyvensenos skatinimas Varėnos rajono savivaldybėje</v>
      </c>
      <c r="C137" s="61">
        <v>0</v>
      </c>
      <c r="D137" s="61">
        <v>0</v>
      </c>
      <c r="E137" s="61">
        <v>0</v>
      </c>
      <c r="F137" s="257">
        <v>0</v>
      </c>
      <c r="G137" s="257">
        <v>0</v>
      </c>
      <c r="H137" s="257">
        <v>0</v>
      </c>
      <c r="I137" s="257">
        <v>0</v>
      </c>
      <c r="J137" s="61">
        <v>0</v>
      </c>
      <c r="K137" s="61">
        <v>0</v>
      </c>
      <c r="L137" s="261">
        <v>0</v>
      </c>
      <c r="M137" s="261">
        <v>0</v>
      </c>
      <c r="N137" s="261">
        <v>0</v>
      </c>
      <c r="O137" s="261">
        <v>0</v>
      </c>
      <c r="P137" s="61">
        <v>0</v>
      </c>
      <c r="Q137" s="65">
        <f>IF(YEAR($CG137)=2018,($BI$4-$CG137)*$AI137/($CH137-$CG137))</f>
        <v>19427.626824817518</v>
      </c>
      <c r="R137" s="261">
        <f>IF(YEAR($CG137)=2018,($BI$4-$CG137)*$AK137/($CH137-$CG137))</f>
        <v>1457.0939781021898</v>
      </c>
      <c r="S137" s="261">
        <f>IF(YEAR($CG137)=2018,($BI$4-$CG137)*$AM137/($CH137-$CG137))</f>
        <v>1457.0500456204379</v>
      </c>
      <c r="T137" s="261">
        <f>IF(YEAR($CG137)=2018,($BI$4-$CG137)*$AO137/($CH137-$CG137))</f>
        <v>0</v>
      </c>
      <c r="U137" s="261">
        <f>IF(YEAR($CG137)=2018,($BI$4-$CG137)*$AQ137/($CH137-$CG137))</f>
        <v>0</v>
      </c>
      <c r="V137" s="326">
        <f>IF(YEAR($CG137)=2018,($BI$4-$CG137)*$AS137/($CH137-$CG137))</f>
        <v>16513.482801094891</v>
      </c>
      <c r="W137" s="65">
        <f>IF(YEAR($CH137)&gt;2018,($BO$4-$BI$4)*$AI137/($CH137-$CG137),0)</f>
        <v>66271.811131386858</v>
      </c>
      <c r="X137" s="261">
        <f>IF(YEAR($CH137)&gt;2018,($BO$4-$BI$4)*$AK137/($CH137-$CG137),0)</f>
        <v>4970.4607664233581</v>
      </c>
      <c r="Y137" s="261">
        <f>IF(YEAR($CH137)&gt;2018,($BO$4-$BI$4)*$AM137/($CH137-$CG137),0)</f>
        <v>4970.3109032846714</v>
      </c>
      <c r="Z137" s="261">
        <f t="shared" si="292"/>
        <v>0</v>
      </c>
      <c r="AA137" s="261">
        <f t="shared" si="293"/>
        <v>0</v>
      </c>
      <c r="AB137" s="326">
        <f t="shared" si="294"/>
        <v>56331.03946167884</v>
      </c>
      <c r="AC137" s="326">
        <f>IF(YEAR($CH137)&gt;2018,($CH137-$BO$4)*$AI137/($CH137-$CG137),0)</f>
        <v>113297.56204379562</v>
      </c>
      <c r="AD137" s="261">
        <f t="shared" si="295"/>
        <v>8497.445255474453</v>
      </c>
      <c r="AE137" s="261">
        <f t="shared" si="296"/>
        <v>8497.1890510948906</v>
      </c>
      <c r="AF137" s="261">
        <f t="shared" si="297"/>
        <v>0</v>
      </c>
      <c r="AG137" s="261">
        <f t="shared" si="298"/>
        <v>0</v>
      </c>
      <c r="AH137" s="326">
        <f t="shared" si="299"/>
        <v>96302.927737226288</v>
      </c>
      <c r="AI137" s="663">
        <f>SUM('3 pr-2'!L138)</f>
        <v>198997</v>
      </c>
      <c r="AJ137" s="73"/>
      <c r="AK137" s="257">
        <f>SUM('3 pr-2'!O138)</f>
        <v>14925</v>
      </c>
      <c r="AL137" s="257"/>
      <c r="AM137" s="257">
        <f>SUM('3 pr-2'!R138)</f>
        <v>14924.55</v>
      </c>
      <c r="AN137" s="257"/>
      <c r="AO137" s="257">
        <f>SUM('3 pr-2'!U138)</f>
        <v>0</v>
      </c>
      <c r="AP137" s="257"/>
      <c r="AQ137" s="257">
        <f>SUM('3 pr-2'!X138)</f>
        <v>0</v>
      </c>
      <c r="AR137" s="476"/>
      <c r="AS137" s="94">
        <f>SUM('3 pr-2'!AA138)</f>
        <v>169147.45</v>
      </c>
      <c r="AT137" s="434"/>
      <c r="AU137" s="889"/>
      <c r="AV137" s="20"/>
      <c r="AW137" s="20"/>
      <c r="AX137" s="258"/>
      <c r="AY137" s="258"/>
      <c r="AZ137" s="258"/>
      <c r="BA137" s="258"/>
      <c r="BB137" s="20"/>
      <c r="BC137" s="20"/>
      <c r="BD137" s="258"/>
      <c r="BE137" s="258"/>
      <c r="BF137" s="258"/>
      <c r="BG137" s="258"/>
      <c r="BH137" s="20"/>
      <c r="BI137" s="20"/>
      <c r="BJ137" s="258"/>
      <c r="BK137" s="258"/>
      <c r="BL137" s="258"/>
      <c r="BM137" s="258"/>
      <c r="BN137" s="20"/>
      <c r="BO137" s="20"/>
      <c r="BP137" s="258"/>
      <c r="BQ137" s="258"/>
      <c r="BR137" s="258"/>
      <c r="BS137" s="258"/>
      <c r="BT137" s="20"/>
      <c r="BU137" s="20"/>
      <c r="BV137" s="258"/>
      <c r="BW137" s="258"/>
      <c r="BX137" s="258"/>
      <c r="BY137" s="258"/>
      <c r="BZ137" s="20"/>
      <c r="CA137" s="20"/>
      <c r="CB137" s="258"/>
      <c r="CC137" s="258"/>
      <c r="CD137" s="258"/>
      <c r="CE137" s="258"/>
      <c r="CF137" s="325"/>
      <c r="CG137" s="891">
        <v>43358</v>
      </c>
      <c r="CH137" s="891">
        <v>44454</v>
      </c>
      <c r="CI137" s="19" t="str">
        <f t="shared" si="300"/>
        <v>169147,45</v>
      </c>
      <c r="CJ137" s="892">
        <f t="shared" si="301"/>
        <v>0</v>
      </c>
      <c r="CK137" s="19"/>
      <c r="CL137" s="19"/>
      <c r="CM137" s="19"/>
      <c r="CN137" s="19"/>
      <c r="CO137" s="19"/>
      <c r="CP137" s="19"/>
      <c r="CQ137" s="19"/>
      <c r="CR137" s="19"/>
      <c r="CS137" s="19"/>
      <c r="CT137" s="953" t="e">
        <f t="shared" si="290"/>
        <v>#DIV/0!</v>
      </c>
    </row>
    <row r="138" spans="1:98" ht="16.5" thickBot="1">
      <c r="A138" s="6" t="str">
        <f>CONCATENATE('3 pr-2'!A139)</f>
        <v>2.1.2.2.4.</v>
      </c>
      <c r="B138" s="8" t="str">
        <f>CONCATENATE('3 pr-2'!D139)</f>
        <v>Sveika bendruomenė – stipri visuomenė</v>
      </c>
      <c r="C138" s="61">
        <v>0</v>
      </c>
      <c r="D138" s="61">
        <v>0</v>
      </c>
      <c r="E138" s="61">
        <v>0</v>
      </c>
      <c r="F138" s="257">
        <v>0</v>
      </c>
      <c r="G138" s="257">
        <v>0</v>
      </c>
      <c r="H138" s="257">
        <v>0</v>
      </c>
      <c r="I138" s="257">
        <v>0</v>
      </c>
      <c r="J138" s="61">
        <v>0</v>
      </c>
      <c r="K138" s="61">
        <v>0</v>
      </c>
      <c r="L138" s="261">
        <v>0</v>
      </c>
      <c r="M138" s="261">
        <v>0</v>
      </c>
      <c r="N138" s="261">
        <v>0</v>
      </c>
      <c r="O138" s="261">
        <v>0</v>
      </c>
      <c r="P138" s="61">
        <v>0</v>
      </c>
      <c r="Q138" s="65">
        <f>IF(YEAR($CG138)=2018,($BI$4-$CG138)*$AI138/($CH138-$CG138))</f>
        <v>19427.644397810218</v>
      </c>
      <c r="R138" s="261">
        <f t="shared" ref="R138:R139" si="302">IF(YEAR($CG138)=2018,($BI$4-$CG138)*$AK138/($CH138-$CG138))</f>
        <v>1457.0734762773723</v>
      </c>
      <c r="S138" s="261">
        <f t="shared" ref="S138:S139" si="303">IF(YEAR($CG138)=2018,($BI$4-$CG138)*$AM138/($CH138-$CG138))</f>
        <v>1457.0734762773723</v>
      </c>
      <c r="T138" s="261">
        <f t="shared" ref="T138:T139" si="304">IF(YEAR($CG138)=2018,($BI$4-$CG138)*$AO138/($CH138-$CG138))</f>
        <v>0</v>
      </c>
      <c r="U138" s="261">
        <f t="shared" ref="U138:U139" si="305">IF(YEAR($CG138)=2018,($BI$4-$CG138)*$AQ138/($CH138-$CG138))</f>
        <v>0</v>
      </c>
      <c r="V138" s="326">
        <f t="shared" ref="V138:V139" si="306">IF(YEAR($CG138)=2018,($BI$4-$CG138)*$AS138/($CH138-$CG138))</f>
        <v>16513.497445255474</v>
      </c>
      <c r="W138" s="65">
        <f t="shared" ref="W138:W139" si="307">IF(YEAR($CH138)&gt;2018,($BO$4-$BI$4)*$AI138/($CH138-$CG138),0)</f>
        <v>66271.871076642332</v>
      </c>
      <c r="X138" s="261">
        <f t="shared" ref="X138:X139" si="308">IF(YEAR($CH138)&gt;2018,($BO$4-$BI$4)*$AK138/($CH138-$CG138),0)</f>
        <v>4970.3908302919717</v>
      </c>
      <c r="Y138" s="261">
        <f t="shared" ref="Y138:Y139" si="309">IF(YEAR($CH138)&gt;2018,($BO$4-$BI$4)*$AM138/($CH138-$CG138),0)</f>
        <v>4970.3908302919717</v>
      </c>
      <c r="Z138" s="261">
        <f t="shared" si="292"/>
        <v>0</v>
      </c>
      <c r="AA138" s="261">
        <f t="shared" si="293"/>
        <v>0</v>
      </c>
      <c r="AB138" s="326">
        <f t="shared" si="294"/>
        <v>56331.089416058392</v>
      </c>
      <c r="AC138" s="326">
        <f t="shared" ref="AC138:AC139" si="310">IF(YEAR($CH138)&gt;2018,($CH138-$BO$4)*$AI138/($CH138-$CG138),0)</f>
        <v>113297.66452554744</v>
      </c>
      <c r="AD138" s="261">
        <f t="shared" si="295"/>
        <v>8497.3256934306573</v>
      </c>
      <c r="AE138" s="261">
        <f t="shared" si="296"/>
        <v>8497.3256934306573</v>
      </c>
      <c r="AF138" s="261">
        <f t="shared" si="297"/>
        <v>0</v>
      </c>
      <c r="AG138" s="261">
        <f t="shared" si="298"/>
        <v>0</v>
      </c>
      <c r="AH138" s="326">
        <f t="shared" si="299"/>
        <v>96303.013138686132</v>
      </c>
      <c r="AI138" s="663">
        <f>SUM('3 pr-2'!L139)</f>
        <v>198997.18</v>
      </c>
      <c r="AJ138" s="73"/>
      <c r="AK138" s="257">
        <f>SUM('3 pr-2'!O139)</f>
        <v>14924.79</v>
      </c>
      <c r="AL138" s="257"/>
      <c r="AM138" s="257">
        <f>SUM('3 pr-2'!R139)</f>
        <v>14924.79</v>
      </c>
      <c r="AN138" s="257"/>
      <c r="AO138" s="257">
        <f>SUM('3 pr-2'!U139)</f>
        <v>0</v>
      </c>
      <c r="AP138" s="257"/>
      <c r="AQ138" s="257">
        <f>SUM('3 pr-2'!X139)</f>
        <v>0</v>
      </c>
      <c r="AR138" s="476"/>
      <c r="AS138" s="94">
        <f>SUM('3 pr-2'!AA139)</f>
        <v>169147.6</v>
      </c>
      <c r="AT138" s="434"/>
      <c r="AU138" s="889"/>
      <c r="AV138" s="20"/>
      <c r="AW138" s="20"/>
      <c r="AX138" s="258"/>
      <c r="AY138" s="258"/>
      <c r="AZ138" s="258"/>
      <c r="BA138" s="258"/>
      <c r="BB138" s="20"/>
      <c r="BC138" s="20"/>
      <c r="BD138" s="258"/>
      <c r="BE138" s="258"/>
      <c r="BF138" s="258"/>
      <c r="BG138" s="258"/>
      <c r="BH138" s="20"/>
      <c r="BI138" s="20"/>
      <c r="BJ138" s="258"/>
      <c r="BK138" s="258"/>
      <c r="BL138" s="258"/>
      <c r="BM138" s="258"/>
      <c r="BN138" s="20"/>
      <c r="BO138" s="20"/>
      <c r="BP138" s="258"/>
      <c r="BQ138" s="258"/>
      <c r="BR138" s="258"/>
      <c r="BS138" s="258"/>
      <c r="BT138" s="20"/>
      <c r="BU138" s="20"/>
      <c r="BV138" s="258"/>
      <c r="BW138" s="258"/>
      <c r="BX138" s="258"/>
      <c r="BY138" s="258"/>
      <c r="BZ138" s="20"/>
      <c r="CA138" s="20"/>
      <c r="CB138" s="258"/>
      <c r="CC138" s="258"/>
      <c r="CD138" s="258"/>
      <c r="CE138" s="258"/>
      <c r="CF138" s="325"/>
      <c r="CG138" s="891">
        <v>43358</v>
      </c>
      <c r="CH138" s="891">
        <v>44454</v>
      </c>
      <c r="CI138" s="19"/>
      <c r="CJ138" s="19"/>
      <c r="CK138" s="19"/>
    </row>
    <row r="139" spans="1:98" ht="24.75" thickBot="1">
      <c r="A139" s="6" t="str">
        <f>CONCATENATE('3 pr-2'!A140)</f>
        <v>2.1.2.2.5</v>
      </c>
      <c r="B139" s="8" t="str">
        <f>CONCATENATE('3 pr-2'!D140)</f>
        <v>Sveikos gyvensenos skatinimas Lazdijų rajono savivaldybėje</v>
      </c>
      <c r="C139" s="61">
        <v>0</v>
      </c>
      <c r="D139" s="61">
        <v>0</v>
      </c>
      <c r="E139" s="61">
        <v>0</v>
      </c>
      <c r="F139" s="257">
        <v>0</v>
      </c>
      <c r="G139" s="257">
        <v>0</v>
      </c>
      <c r="H139" s="257">
        <v>0</v>
      </c>
      <c r="I139" s="257">
        <v>0</v>
      </c>
      <c r="J139" s="61">
        <v>0</v>
      </c>
      <c r="K139" s="61">
        <v>0</v>
      </c>
      <c r="L139" s="261">
        <v>0</v>
      </c>
      <c r="M139" s="261">
        <v>0</v>
      </c>
      <c r="N139" s="261">
        <v>0</v>
      </c>
      <c r="O139" s="261">
        <v>0</v>
      </c>
      <c r="P139" s="61">
        <v>0</v>
      </c>
      <c r="Q139" s="65">
        <f>IF(YEAR($CG139)=2018,($BI$4-$CG139)*$AI139/($CH139-$CG139))</f>
        <v>19427.644397810218</v>
      </c>
      <c r="R139" s="261">
        <f t="shared" si="302"/>
        <v>1457.0734762773723</v>
      </c>
      <c r="S139" s="261">
        <f t="shared" si="303"/>
        <v>1457.0734762773723</v>
      </c>
      <c r="T139" s="261">
        <f t="shared" si="304"/>
        <v>0</v>
      </c>
      <c r="U139" s="261">
        <f t="shared" si="305"/>
        <v>0</v>
      </c>
      <c r="V139" s="326">
        <f t="shared" si="306"/>
        <v>16513.497445255474</v>
      </c>
      <c r="W139" s="65">
        <f t="shared" si="307"/>
        <v>66271.871076642332</v>
      </c>
      <c r="X139" s="261">
        <f t="shared" si="308"/>
        <v>4970.3908302919717</v>
      </c>
      <c r="Y139" s="261">
        <f t="shared" si="309"/>
        <v>4970.3908302919717</v>
      </c>
      <c r="Z139" s="261">
        <f t="shared" si="292"/>
        <v>0</v>
      </c>
      <c r="AA139" s="261">
        <f t="shared" si="293"/>
        <v>0</v>
      </c>
      <c r="AB139" s="326">
        <f t="shared" si="294"/>
        <v>56331.089416058392</v>
      </c>
      <c r="AC139" s="326">
        <f t="shared" si="310"/>
        <v>113297.66452554744</v>
      </c>
      <c r="AD139" s="261">
        <f t="shared" si="295"/>
        <v>8497.3256934306573</v>
      </c>
      <c r="AE139" s="261">
        <f t="shared" si="296"/>
        <v>8497.3256934306573</v>
      </c>
      <c r="AF139" s="261">
        <f t="shared" si="297"/>
        <v>0</v>
      </c>
      <c r="AG139" s="261">
        <f t="shared" si="298"/>
        <v>0</v>
      </c>
      <c r="AH139" s="326">
        <f t="shared" si="299"/>
        <v>96303.013138686132</v>
      </c>
      <c r="AI139" s="663">
        <f>SUM('3 pr-2'!L140)</f>
        <v>198997.18</v>
      </c>
      <c r="AJ139" s="73"/>
      <c r="AK139" s="257">
        <f>SUM('3 pr-2'!O140)</f>
        <v>14924.79</v>
      </c>
      <c r="AL139" s="257"/>
      <c r="AM139" s="257">
        <f>SUM('3 pr-2'!R140)</f>
        <v>14924.79</v>
      </c>
      <c r="AN139" s="257"/>
      <c r="AO139" s="257">
        <f>SUM('3 pr-2'!U140)</f>
        <v>0</v>
      </c>
      <c r="AP139" s="257"/>
      <c r="AQ139" s="257">
        <f>SUM('3 pr-2'!X140)</f>
        <v>0</v>
      </c>
      <c r="AR139" s="476"/>
      <c r="AS139" s="94">
        <f>SUM('3 pr-2'!AA140)</f>
        <v>169147.6</v>
      </c>
      <c r="AT139" s="434"/>
      <c r="AU139" s="889"/>
      <c r="AV139" s="20"/>
      <c r="AW139" s="20"/>
      <c r="AX139" s="258"/>
      <c r="AY139" s="258"/>
      <c r="AZ139" s="258"/>
      <c r="BA139" s="258"/>
      <c r="BB139" s="20"/>
      <c r="BC139" s="20"/>
      <c r="BD139" s="258"/>
      <c r="BE139" s="258"/>
      <c r="BF139" s="258"/>
      <c r="BG139" s="258"/>
      <c r="BH139" s="20"/>
      <c r="BI139" s="20"/>
      <c r="BJ139" s="258"/>
      <c r="BK139" s="258"/>
      <c r="BL139" s="258"/>
      <c r="BM139" s="258"/>
      <c r="BN139" s="20"/>
      <c r="BO139" s="20"/>
      <c r="BP139" s="258"/>
      <c r="BQ139" s="258"/>
      <c r="BR139" s="258"/>
      <c r="BS139" s="258"/>
      <c r="BT139" s="20"/>
      <c r="BU139" s="20"/>
      <c r="BV139" s="258"/>
      <c r="BW139" s="258"/>
      <c r="BX139" s="258"/>
      <c r="BY139" s="258"/>
      <c r="BZ139" s="20"/>
      <c r="CA139" s="20"/>
      <c r="CB139" s="258"/>
      <c r="CC139" s="258"/>
      <c r="CD139" s="258"/>
      <c r="CE139" s="258"/>
      <c r="CF139" s="325"/>
      <c r="CG139" s="891">
        <v>43358</v>
      </c>
      <c r="CH139" s="891">
        <v>44454</v>
      </c>
      <c r="CI139" s="19"/>
      <c r="CJ139" s="19"/>
      <c r="CK139" s="19"/>
    </row>
    <row r="140" spans="1:98" ht="78" thickBot="1">
      <c r="A140" s="253" t="str">
        <f>CONCATENATE('3 pr-2'!A141)</f>
        <v>2.1.2.3</v>
      </c>
      <c r="B140" s="103" t="str">
        <f>CONCATENATE('3 pr-2'!B141)</f>
        <v>Priemonė:
Priemonių, gerinančių ambulatorinių sveikatos priežiūros paslaugų prieinamumą tuberkulioze sergantiems pacientams, įgyvendinimas</v>
      </c>
      <c r="C140" s="901">
        <f>SUM(C141:C145)</f>
        <v>0</v>
      </c>
      <c r="D140" s="901">
        <f t="shared" ref="D140:AT140" si="311">SUM(D141:D145)</f>
        <v>0</v>
      </c>
      <c r="E140" s="901">
        <f t="shared" si="311"/>
        <v>0</v>
      </c>
      <c r="F140" s="901">
        <f t="shared" si="311"/>
        <v>0</v>
      </c>
      <c r="G140" s="901">
        <f t="shared" si="311"/>
        <v>0</v>
      </c>
      <c r="H140" s="901">
        <f t="shared" si="311"/>
        <v>0</v>
      </c>
      <c r="I140" s="901">
        <f t="shared" si="311"/>
        <v>0</v>
      </c>
      <c r="J140" s="901">
        <f t="shared" si="311"/>
        <v>0</v>
      </c>
      <c r="K140" s="901">
        <f t="shared" si="311"/>
        <v>0</v>
      </c>
      <c r="L140" s="901">
        <f t="shared" si="311"/>
        <v>0</v>
      </c>
      <c r="M140" s="901">
        <f t="shared" si="311"/>
        <v>0</v>
      </c>
      <c r="N140" s="901">
        <f t="shared" si="311"/>
        <v>0</v>
      </c>
      <c r="O140" s="901">
        <f t="shared" si="311"/>
        <v>0</v>
      </c>
      <c r="P140" s="901">
        <f t="shared" si="311"/>
        <v>0</v>
      </c>
      <c r="Q140" s="901">
        <f t="shared" si="311"/>
        <v>7197.3231661457658</v>
      </c>
      <c r="R140" s="901">
        <f t="shared" si="311"/>
        <v>413.38130008886935</v>
      </c>
      <c r="S140" s="901">
        <f t="shared" si="311"/>
        <v>604.76144752214248</v>
      </c>
      <c r="T140" s="901">
        <f t="shared" si="311"/>
        <v>0</v>
      </c>
      <c r="U140" s="901">
        <f t="shared" si="311"/>
        <v>126.91117700729927</v>
      </c>
      <c r="V140" s="901">
        <f t="shared" si="311"/>
        <v>6052.269241527456</v>
      </c>
      <c r="W140" s="901">
        <f t="shared" si="311"/>
        <v>24551.616407880414</v>
      </c>
      <c r="X140" s="901">
        <f t="shared" si="311"/>
        <v>1410.1324722657691</v>
      </c>
      <c r="Y140" s="901">
        <f t="shared" si="311"/>
        <v>2062.9712929493644</v>
      </c>
      <c r="Z140" s="901">
        <f t="shared" si="311"/>
        <v>0</v>
      </c>
      <c r="AA140" s="901">
        <f t="shared" si="311"/>
        <v>432.92130474452551</v>
      </c>
      <c r="AB140" s="901">
        <f t="shared" si="311"/>
        <v>20645.591337920756</v>
      </c>
      <c r="AC140" s="901">
        <f t="shared" si="311"/>
        <v>33464.240425973818</v>
      </c>
      <c r="AD140" s="901">
        <f t="shared" si="311"/>
        <v>1772.5762276453613</v>
      </c>
      <c r="AE140" s="901">
        <f t="shared" si="311"/>
        <v>2888.7072595284935</v>
      </c>
      <c r="AF140" s="901">
        <f t="shared" si="311"/>
        <v>0</v>
      </c>
      <c r="AG140" s="901">
        <f t="shared" si="311"/>
        <v>740.1175182481752</v>
      </c>
      <c r="AH140" s="901">
        <f t="shared" si="311"/>
        <v>28062.839420551787</v>
      </c>
      <c r="AI140" s="902">
        <f t="shared" si="311"/>
        <v>65213.18</v>
      </c>
      <c r="AJ140" s="901">
        <f t="shared" si="311"/>
        <v>0</v>
      </c>
      <c r="AK140" s="901">
        <f t="shared" si="311"/>
        <v>3596.09</v>
      </c>
      <c r="AL140" s="901">
        <f t="shared" si="311"/>
        <v>0</v>
      </c>
      <c r="AM140" s="901">
        <f t="shared" si="311"/>
        <v>5556.4400000000005</v>
      </c>
      <c r="AN140" s="901">
        <f t="shared" si="311"/>
        <v>0</v>
      </c>
      <c r="AO140" s="901">
        <f t="shared" si="311"/>
        <v>0</v>
      </c>
      <c r="AP140" s="901">
        <f t="shared" si="311"/>
        <v>0</v>
      </c>
      <c r="AQ140" s="901">
        <f t="shared" si="311"/>
        <v>1299.95</v>
      </c>
      <c r="AR140" s="901"/>
      <c r="AS140" s="901">
        <f t="shared" si="311"/>
        <v>54760.7</v>
      </c>
      <c r="AT140" s="901">
        <f t="shared" si="311"/>
        <v>0</v>
      </c>
      <c r="AU140" s="889">
        <v>0</v>
      </c>
      <c r="AV140" s="20">
        <v>0</v>
      </c>
      <c r="AW140" s="20">
        <v>0</v>
      </c>
      <c r="AX140" s="901">
        <v>0</v>
      </c>
      <c r="AY140" s="901">
        <v>0</v>
      </c>
      <c r="AZ140" s="901">
        <v>0</v>
      </c>
      <c r="BA140" s="901">
        <v>0</v>
      </c>
      <c r="BB140" s="20">
        <v>0</v>
      </c>
      <c r="BC140" s="20">
        <v>50</v>
      </c>
      <c r="BD140" s="901">
        <v>50</v>
      </c>
      <c r="BE140" s="901">
        <v>50</v>
      </c>
      <c r="BF140" s="901">
        <v>50</v>
      </c>
      <c r="BG140" s="901">
        <v>50</v>
      </c>
      <c r="BH140" s="20">
        <v>50</v>
      </c>
      <c r="BI140" s="20">
        <v>50</v>
      </c>
      <c r="BJ140" s="901">
        <v>50</v>
      </c>
      <c r="BK140" s="901">
        <v>50</v>
      </c>
      <c r="BL140" s="901">
        <v>50</v>
      </c>
      <c r="BM140" s="901">
        <v>50</v>
      </c>
      <c r="BN140" s="20">
        <v>50</v>
      </c>
      <c r="BO140" s="20">
        <v>0</v>
      </c>
      <c r="BP140" s="901">
        <v>0</v>
      </c>
      <c r="BQ140" s="901">
        <v>0</v>
      </c>
      <c r="BR140" s="901">
        <v>0</v>
      </c>
      <c r="BS140" s="901">
        <v>0</v>
      </c>
      <c r="BT140" s="20">
        <v>0</v>
      </c>
      <c r="BU140" s="20">
        <v>0</v>
      </c>
      <c r="BV140" s="901">
        <v>0</v>
      </c>
      <c r="BW140" s="901">
        <v>0</v>
      </c>
      <c r="BX140" s="901">
        <v>0</v>
      </c>
      <c r="BY140" s="901">
        <v>0</v>
      </c>
      <c r="BZ140" s="20">
        <v>0</v>
      </c>
      <c r="CA140" s="20">
        <v>100</v>
      </c>
      <c r="CB140" s="901">
        <v>100</v>
      </c>
      <c r="CC140" s="901">
        <v>100</v>
      </c>
      <c r="CD140" s="901">
        <v>100</v>
      </c>
      <c r="CE140" s="901">
        <v>100</v>
      </c>
      <c r="CF140" s="325">
        <v>100</v>
      </c>
      <c r="CG140" s="19"/>
      <c r="CH140" s="19"/>
    </row>
    <row r="141" spans="1:98" ht="60.75" thickBot="1">
      <c r="A141" s="6" t="str">
        <f>CONCATENATE('3 pr-2'!A142)</f>
        <v>2.1.2.3.1</v>
      </c>
      <c r="B141" s="8" t="str">
        <f>CONCATENATE('3 pr-2'!D142)</f>
        <v>Priemonių, gerinančių ambulatorinių sveikatos priežiūros paslaugų prieinamumą tuberkulioze sergantiems asmenims, Alytaus rajone, įgyvendinimas</v>
      </c>
      <c r="C141" s="61">
        <v>0</v>
      </c>
      <c r="D141" s="61">
        <v>0</v>
      </c>
      <c r="E141" s="61">
        <v>0</v>
      </c>
      <c r="F141" s="257">
        <v>0</v>
      </c>
      <c r="G141" s="257">
        <v>0</v>
      </c>
      <c r="H141" s="257">
        <v>0</v>
      </c>
      <c r="I141" s="257">
        <v>0</v>
      </c>
      <c r="J141" s="61">
        <v>0</v>
      </c>
      <c r="K141" s="61">
        <v>0</v>
      </c>
      <c r="L141" s="261">
        <v>0</v>
      </c>
      <c r="M141" s="261">
        <v>0</v>
      </c>
      <c r="N141" s="261">
        <v>0</v>
      </c>
      <c r="O141" s="261">
        <v>0</v>
      </c>
      <c r="P141" s="61">
        <v>0</v>
      </c>
      <c r="Q141" s="65">
        <f>IF(YEAR($CG141)=2018,($BI$4-$CG141)*$AI141/($CH141-$CG141))</f>
        <v>1020.5027372262774</v>
      </c>
      <c r="R141" s="261">
        <f>IF(YEAR($CG141)=2018,($BI$4-$CG141)*$AK141/($CH141-$CG141))</f>
        <v>0</v>
      </c>
      <c r="S141" s="261">
        <f>IF(YEAR($CG141)=2018,($BI$4-$CG141)*$AM141/($CH141-$CG141))</f>
        <v>141.52507299270073</v>
      </c>
      <c r="T141" s="261">
        <f>IF(YEAR($CG141)=2018,($BI$4-$CG141)*$AO141/($CH141-$CG141))</f>
        <v>0</v>
      </c>
      <c r="U141" s="261">
        <f>IF(YEAR($CG141)=2018,($BI$4-$CG141)*$AQ141/($CH141-$CG141))</f>
        <v>77.003877737226276</v>
      </c>
      <c r="V141" s="326">
        <f>IF(YEAR($CG141)=2018,($BI$4-$CG141)*$AS141/($CH141-$CG141))</f>
        <v>801.97378649635039</v>
      </c>
      <c r="W141" s="65">
        <f>IF(YEAR($CH141)&gt;2018,($BO$4-$BI$4)*$AI141/($CH141-$CG141),0)</f>
        <v>3481.1541970802919</v>
      </c>
      <c r="X141" s="261">
        <f>IF(YEAR($CH141)&gt;2018,($BO$4-$BI$4)*$AK141/($CH141-$CG141),0)</f>
        <v>0</v>
      </c>
      <c r="Y141" s="261">
        <f>IF(YEAR($CH141)&gt;2018,($BO$4-$BI$4)*$AM141/($CH141-$CG141),0)</f>
        <v>482.77244525547457</v>
      </c>
      <c r="Z141" s="261">
        <f>IF(YEAR($CH141)&gt;2018,($BO$4-$BI$4)*$AO141/($CH141-$CG141),0)</f>
        <v>0</v>
      </c>
      <c r="AA141" s="261">
        <f>IF(YEAR($CH141)&gt;2018,($BO$4-$BI$4)*$AQ141/($CH141-$CG141),0)</f>
        <v>262.67677919708029</v>
      </c>
      <c r="AB141" s="326">
        <f>IF(YEAR($CH141)&gt;2018,($BO$4-$BI$4)*$AS141/($CH141-$CG141),0)</f>
        <v>2735.7049726277378</v>
      </c>
      <c r="AC141" s="326">
        <f>IF(YEAR($CH141)&gt;2018,($CH141-$BO$4)*$AI141/($CH141-$CG141),0)</f>
        <v>5951.3430656934306</v>
      </c>
      <c r="AD141" s="261">
        <f>IF(YEAR($CH141)&gt;2018,($CH141-$BO$4)*$AK141/($CH141-$CG141),0)</f>
        <v>0</v>
      </c>
      <c r="AE141" s="261">
        <f>IF(YEAR($CH141)&gt;2018,($CH141-$BO$4)*$AM141/($CH141-$CG141),0)</f>
        <v>825.34248175182495</v>
      </c>
      <c r="AF141" s="261">
        <f>IF(YEAR($CH141)&gt;2018,($CH141-$BO$4)*$AO141/($CH141-$CG141),0)</f>
        <v>0</v>
      </c>
      <c r="AG141" s="261">
        <f>IF(YEAR($CH141)&gt;2018,($CH141-$BO$4)*$AQ141/($CH141-$CG141),0)</f>
        <v>449.06934306569343</v>
      </c>
      <c r="AH141" s="326">
        <f>IF(YEAR($CH141)&gt;2018,($CH141-$BO$4)*$AS141/($CH141-$CG141),0)</f>
        <v>4676.9312408759133</v>
      </c>
      <c r="AI141" s="663">
        <f>SUM('3 pr-2'!L142)</f>
        <v>10453</v>
      </c>
      <c r="AJ141" s="73"/>
      <c r="AK141" s="257">
        <f>SUM('3 pr-2'!O142)</f>
        <v>0</v>
      </c>
      <c r="AL141" s="257"/>
      <c r="AM141" s="257">
        <f>SUM('3 pr-2'!R142)</f>
        <v>1449.64</v>
      </c>
      <c r="AN141" s="257"/>
      <c r="AO141" s="257">
        <f>SUM('3 pr-2'!U142)</f>
        <v>0</v>
      </c>
      <c r="AP141" s="257"/>
      <c r="AQ141" s="257">
        <f>SUM('3 pr-2'!X142)</f>
        <v>788.75</v>
      </c>
      <c r="AR141" s="476"/>
      <c r="AS141" s="94">
        <f>SUM('3 pr-2'!AA142)</f>
        <v>8214.61</v>
      </c>
      <c r="AT141" s="434"/>
      <c r="AU141" s="889"/>
      <c r="AV141" s="20"/>
      <c r="AW141" s="20"/>
      <c r="AX141" s="258"/>
      <c r="AY141" s="258"/>
      <c r="AZ141" s="258"/>
      <c r="BA141" s="258"/>
      <c r="BB141" s="20"/>
      <c r="BC141" s="20"/>
      <c r="BD141" s="258"/>
      <c r="BE141" s="258"/>
      <c r="BF141" s="258"/>
      <c r="BG141" s="258"/>
      <c r="BH141" s="20"/>
      <c r="BI141" s="20"/>
      <c r="BJ141" s="258"/>
      <c r="BK141" s="258"/>
      <c r="BL141" s="258"/>
      <c r="BM141" s="258"/>
      <c r="BN141" s="20"/>
      <c r="BO141" s="20"/>
      <c r="BP141" s="258"/>
      <c r="BQ141" s="258"/>
      <c r="BR141" s="258"/>
      <c r="BS141" s="258"/>
      <c r="BT141" s="20"/>
      <c r="BU141" s="20"/>
      <c r="BV141" s="258"/>
      <c r="BW141" s="258"/>
      <c r="BX141" s="258"/>
      <c r="BY141" s="258"/>
      <c r="BZ141" s="20"/>
      <c r="CA141" s="20"/>
      <c r="CB141" s="258"/>
      <c r="CC141" s="258"/>
      <c r="CD141" s="258"/>
      <c r="CE141" s="258"/>
      <c r="CF141" s="325"/>
      <c r="CG141" s="891">
        <v>43358</v>
      </c>
      <c r="CH141" s="891">
        <v>44454</v>
      </c>
      <c r="CI141" s="21" t="str">
        <f>CONCATENATE(D141+J141+P141+V141+AB141+AH141)</f>
        <v>8214,61</v>
      </c>
      <c r="CJ141" s="58">
        <f>SUM(CI141-AS141)</f>
        <v>0</v>
      </c>
    </row>
    <row r="142" spans="1:98" ht="36.75" thickBot="1">
      <c r="A142" s="6" t="str">
        <f>CONCATENATE('3 pr-2'!A143)</f>
        <v>2.1.2.3.2</v>
      </c>
      <c r="B142" s="8" t="str">
        <f>CONCATENATE('3 pr-2'!D143)</f>
        <v>Ambulatorinių sveikatos priežiūros paslaugų gerinimas tuberkulioze sergantiems asmenims</v>
      </c>
      <c r="C142" s="61">
        <v>0</v>
      </c>
      <c r="D142" s="61">
        <v>0</v>
      </c>
      <c r="E142" s="61">
        <v>0</v>
      </c>
      <c r="F142" s="257">
        <v>0</v>
      </c>
      <c r="G142" s="257">
        <v>0</v>
      </c>
      <c r="H142" s="257">
        <v>0</v>
      </c>
      <c r="I142" s="257">
        <v>0</v>
      </c>
      <c r="J142" s="61">
        <v>0</v>
      </c>
      <c r="K142" s="61">
        <v>0</v>
      </c>
      <c r="L142" s="261">
        <v>0</v>
      </c>
      <c r="M142" s="261">
        <v>0</v>
      </c>
      <c r="N142" s="261">
        <v>0</v>
      </c>
      <c r="O142" s="261">
        <v>0</v>
      </c>
      <c r="P142" s="61">
        <v>0</v>
      </c>
      <c r="Q142" s="65">
        <f>IF(YEAR($CG142)=2018,($BI$4-$CG142)*$AI142/($CH142-$CG142))</f>
        <v>2494.3998084815321</v>
      </c>
      <c r="R142" s="261">
        <f>IF(YEAR($CG142)=2018,($BI$4-$CG142)*$AK142/($CH142-$CG142))</f>
        <v>187.08020519835841</v>
      </c>
      <c r="S142" s="261">
        <f>IF(YEAR($CG142)=2018,($BI$4-$CG142)*$AM142/($CH142-$CG142))</f>
        <v>187.06703146374829</v>
      </c>
      <c r="T142" s="261">
        <f>IF(YEAR($CG142)=2018,($BI$4-$CG142)*$AO142/($CH142-$CG142))</f>
        <v>0</v>
      </c>
      <c r="U142" s="261">
        <f>IF(YEAR($CG142)=2018,($BI$4-$CG142)*$AQ142/($CH142-$CG142))</f>
        <v>0</v>
      </c>
      <c r="V142" s="326">
        <f>IF(YEAR($CG142)=2018,($BI$4-$CG142)*$AS142/($CH142-$CG142))</f>
        <v>2120.2525718194256</v>
      </c>
      <c r="W142" s="65">
        <f>IF(YEAR($CH142)&gt;2018,($BO$4-$BI$4)*$AI142/($CH142-$CG142),0)</f>
        <v>8508.9339261285913</v>
      </c>
      <c r="X142" s="261">
        <f>IF(YEAR($CH142)&gt;2018,($BO$4-$BI$4)*$AK142/($CH142-$CG142),0)</f>
        <v>638.17079343365253</v>
      </c>
      <c r="Y142" s="261">
        <f>IF(YEAR($CH142)&gt;2018,($BO$4-$BI$4)*$AM142/($CH142-$CG142),0)</f>
        <v>638.12585499316003</v>
      </c>
      <c r="Z142" s="261">
        <f t="shared" ref="Z142:Z145" si="312">IF(YEAR($CH142)&gt;2018,($BO$4-$BI$4)*$AO142/($CH142-$CG142),0)</f>
        <v>0</v>
      </c>
      <c r="AA142" s="261">
        <f t="shared" ref="AA142:AA145" si="313">IF(YEAR($CH142)&gt;2018,($BO$4-$BI$4)*$AQ142/($CH142-$CG142),0)</f>
        <v>0</v>
      </c>
      <c r="AB142" s="326">
        <f t="shared" ref="AB142:AB145" si="314">IF(YEAR($CH142)&gt;2018,($BO$4-$BI$4)*$AS142/($CH142-$CG142),0)</f>
        <v>7232.6372777017777</v>
      </c>
      <c r="AC142" s="326">
        <f>IF(YEAR($CH142)&gt;2018,($CH142-$BO$4)*$AI142/($CH142-$CG142),0)</f>
        <v>6037.8462653898769</v>
      </c>
      <c r="AD142" s="261">
        <f t="shared" ref="AD142:AD145" si="315">IF(YEAR($CH142)&gt;2018,($CH142-$BO$4)*$AK142/($CH142-$CG142),0)</f>
        <v>452.83900136798906</v>
      </c>
      <c r="AE142" s="261">
        <f t="shared" ref="AE142:AE145" si="316">IF(YEAR($CH142)&gt;2018,($CH142-$BO$4)*$AM142/($CH142-$CG142),0)</f>
        <v>452.80711354309165</v>
      </c>
      <c r="AF142" s="261">
        <f t="shared" ref="AF142:AF145" si="317">IF(YEAR($CH142)&gt;2018,($CH142-$BO$4)*$AO142/($CH142-$CG142),0)</f>
        <v>0</v>
      </c>
      <c r="AG142" s="261">
        <f t="shared" ref="AG142:AG145" si="318">IF(YEAR($CH142)&gt;2018,($CH142-$BO$4)*$AQ142/($CH142-$CG142),0)</f>
        <v>0</v>
      </c>
      <c r="AH142" s="326">
        <f t="shared" ref="AH142:AH145" si="319">IF(YEAR($CH142)&gt;2018,($CH142-$BO$4)*$AS142/($CH142-$CG142),0)</f>
        <v>5132.2001504787959</v>
      </c>
      <c r="AI142" s="663">
        <f>SUM('3 pr-2'!L143)</f>
        <v>17041.18</v>
      </c>
      <c r="AJ142" s="73"/>
      <c r="AK142" s="257">
        <f>SUM('3 pr-2'!O143)</f>
        <v>1278.0899999999999</v>
      </c>
      <c r="AL142" s="257"/>
      <c r="AM142" s="257">
        <f>SUM('3 pr-2'!R143)</f>
        <v>1278</v>
      </c>
      <c r="AN142" s="257"/>
      <c r="AO142" s="257">
        <f>SUM('3 pr-2'!U143)</f>
        <v>0</v>
      </c>
      <c r="AP142" s="257"/>
      <c r="AQ142" s="257">
        <f>SUM('3 pr-2'!X143)</f>
        <v>0</v>
      </c>
      <c r="AR142" s="476"/>
      <c r="AS142" s="94">
        <f>SUM('3 pr-2'!AA143)</f>
        <v>14485.09</v>
      </c>
      <c r="AT142" s="434"/>
      <c r="AU142" s="889"/>
      <c r="AV142" s="20"/>
      <c r="AW142" s="20"/>
      <c r="AX142" s="258"/>
      <c r="AY142" s="258"/>
      <c r="AZ142" s="258"/>
      <c r="BA142" s="258"/>
      <c r="BB142" s="20"/>
      <c r="BC142" s="20"/>
      <c r="BD142" s="258"/>
      <c r="BE142" s="258"/>
      <c r="BF142" s="258"/>
      <c r="BG142" s="258"/>
      <c r="BH142" s="20"/>
      <c r="BI142" s="20"/>
      <c r="BJ142" s="258"/>
      <c r="BK142" s="258"/>
      <c r="BL142" s="258"/>
      <c r="BM142" s="258"/>
      <c r="BN142" s="20"/>
      <c r="BO142" s="20"/>
      <c r="BP142" s="258"/>
      <c r="BQ142" s="258"/>
      <c r="BR142" s="258"/>
      <c r="BS142" s="258"/>
      <c r="BT142" s="20"/>
      <c r="BU142" s="20"/>
      <c r="BV142" s="258"/>
      <c r="BW142" s="258"/>
      <c r="BX142" s="258"/>
      <c r="BY142" s="258"/>
      <c r="BZ142" s="20"/>
      <c r="CA142" s="20"/>
      <c r="CB142" s="258"/>
      <c r="CC142" s="258"/>
      <c r="CD142" s="258"/>
      <c r="CE142" s="258"/>
      <c r="CF142" s="325"/>
      <c r="CG142" s="891">
        <v>43358</v>
      </c>
      <c r="CH142" s="891">
        <v>44089</v>
      </c>
      <c r="CI142" s="21" t="str">
        <f t="shared" ref="CI142:CI145" si="320">CONCATENATE(D142+J142+P142+V142+AB142+AH142)</f>
        <v>14485,09</v>
      </c>
      <c r="CJ142" s="58">
        <f t="shared" ref="CJ142:CJ143" si="321">SUM(CI142-AS142)</f>
        <v>0</v>
      </c>
    </row>
    <row r="143" spans="1:98" ht="36.75" thickBot="1">
      <c r="A143" s="6" t="str">
        <f>CONCATENATE('3 pr-2'!A144)</f>
        <v>2.1.2.3.3</v>
      </c>
      <c r="B143" s="8" t="str">
        <f>CONCATENATE('3 pr-2'!D144)</f>
        <v>Paslaugų tuberkulioze sergantiems asmenims gerinimas Lazdijų rajono savivaldybėje</v>
      </c>
      <c r="C143" s="61">
        <v>0</v>
      </c>
      <c r="D143" s="61">
        <v>0</v>
      </c>
      <c r="E143" s="61">
        <v>0</v>
      </c>
      <c r="F143" s="257">
        <v>0</v>
      </c>
      <c r="G143" s="257">
        <v>0</v>
      </c>
      <c r="H143" s="257">
        <v>0</v>
      </c>
      <c r="I143" s="257">
        <v>0</v>
      </c>
      <c r="J143" s="61">
        <v>0</v>
      </c>
      <c r="K143" s="61">
        <v>0</v>
      </c>
      <c r="L143" s="261">
        <v>0</v>
      </c>
      <c r="M143" s="261">
        <v>0</v>
      </c>
      <c r="N143" s="261">
        <v>0</v>
      </c>
      <c r="O143" s="261">
        <v>0</v>
      </c>
      <c r="P143" s="61">
        <v>0</v>
      </c>
      <c r="Q143" s="65">
        <f>IF(YEAR($CG143)=2018,($BI$4-$CG143)*$AI143/($CH143-$CG143))</f>
        <v>1486.2846715328467</v>
      </c>
      <c r="R143" s="261">
        <f>IF(YEAR($CG143)=2018,($BI$4-$CG143)*$AK143/($CH143-$CG143))</f>
        <v>111.49087591240875</v>
      </c>
      <c r="S143" s="261">
        <f>IF(YEAR($CG143)=2018,($BI$4-$CG143)*$AM143/($CH143-$CG143))</f>
        <v>111.45182481751824</v>
      </c>
      <c r="T143" s="261">
        <f>IF(YEAR($CG143)=2018,($BI$4-$CG143)*$AO143/($CH143-$CG143))</f>
        <v>0</v>
      </c>
      <c r="U143" s="261">
        <f>IF(YEAR($CG143)=2018,($BI$4-$CG143)*$AQ143/($CH143-$CG143))</f>
        <v>0</v>
      </c>
      <c r="V143" s="326">
        <f>IF(YEAR($CG143)=2018,($BI$4-$CG143)*$AS143/($CH143-$CG143))</f>
        <v>1263.3419708029198</v>
      </c>
      <c r="W143" s="65">
        <f>IF(YEAR($CH143)&gt;2018,($BO$4-$BI$4)*$AI143/($CH143-$CG143),0)</f>
        <v>5070.0364963503653</v>
      </c>
      <c r="X143" s="261">
        <f>IF(YEAR($CH143)&gt;2018,($BO$4-$BI$4)*$AK143/($CH143-$CG143),0)</f>
        <v>380.31934306569343</v>
      </c>
      <c r="Y143" s="261">
        <f>IF(YEAR($CH143)&gt;2018,($BO$4-$BI$4)*$AM143/($CH143-$CG143),0)</f>
        <v>380.18613138686123</v>
      </c>
      <c r="Z143" s="261">
        <f t="shared" si="312"/>
        <v>0</v>
      </c>
      <c r="AA143" s="261">
        <f t="shared" si="313"/>
        <v>0</v>
      </c>
      <c r="AB143" s="326">
        <f t="shared" si="314"/>
        <v>4309.5310218978102</v>
      </c>
      <c r="AC143" s="326">
        <f>IF(YEAR($CH143)&gt;2018,($CH143-$BO$4)*$AI143/($CH143-$CG143),0)</f>
        <v>8667.6788321167878</v>
      </c>
      <c r="AD143" s="261">
        <f t="shared" si="315"/>
        <v>650.18978102189783</v>
      </c>
      <c r="AE143" s="261">
        <f t="shared" si="316"/>
        <v>649.96204379562039</v>
      </c>
      <c r="AF143" s="261">
        <f t="shared" si="317"/>
        <v>0</v>
      </c>
      <c r="AG143" s="261">
        <f t="shared" si="318"/>
        <v>0</v>
      </c>
      <c r="AH143" s="326">
        <f t="shared" si="319"/>
        <v>7367.5270072992698</v>
      </c>
      <c r="AI143" s="663">
        <f>SUM('3 pr-2'!L144)</f>
        <v>15224</v>
      </c>
      <c r="AJ143" s="73"/>
      <c r="AK143" s="257">
        <f>SUM('3 pr-2'!O144)</f>
        <v>1142</v>
      </c>
      <c r="AL143" s="257"/>
      <c r="AM143" s="257">
        <f>SUM('3 pr-2'!R144)</f>
        <v>1141.5999999999999</v>
      </c>
      <c r="AN143" s="257"/>
      <c r="AO143" s="257">
        <f>SUM('3 pr-2'!U144)</f>
        <v>0</v>
      </c>
      <c r="AP143" s="257"/>
      <c r="AQ143" s="257">
        <f>SUM('3 pr-2'!X144)</f>
        <v>0</v>
      </c>
      <c r="AR143" s="476"/>
      <c r="AS143" s="94">
        <f>SUM('3 pr-2'!AA144)</f>
        <v>12940.4</v>
      </c>
      <c r="AT143" s="434"/>
      <c r="AU143" s="889"/>
      <c r="AV143" s="20"/>
      <c r="AW143" s="20"/>
      <c r="AX143" s="258"/>
      <c r="AY143" s="258"/>
      <c r="AZ143" s="258"/>
      <c r="BA143" s="258"/>
      <c r="BB143" s="20"/>
      <c r="BC143" s="20"/>
      <c r="BD143" s="258"/>
      <c r="BE143" s="258"/>
      <c r="BF143" s="258"/>
      <c r="BG143" s="258"/>
      <c r="BH143" s="20"/>
      <c r="BI143" s="20"/>
      <c r="BJ143" s="258"/>
      <c r="BK143" s="258"/>
      <c r="BL143" s="258"/>
      <c r="BM143" s="258"/>
      <c r="BN143" s="20"/>
      <c r="BO143" s="20"/>
      <c r="BP143" s="258"/>
      <c r="BQ143" s="258"/>
      <c r="BR143" s="258"/>
      <c r="BS143" s="258"/>
      <c r="BT143" s="20"/>
      <c r="BU143" s="20"/>
      <c r="BV143" s="258"/>
      <c r="BW143" s="258"/>
      <c r="BX143" s="258"/>
      <c r="BY143" s="258"/>
      <c r="BZ143" s="20"/>
      <c r="CA143" s="20"/>
      <c r="CB143" s="258"/>
      <c r="CC143" s="258"/>
      <c r="CD143" s="258"/>
      <c r="CE143" s="258"/>
      <c r="CF143" s="325"/>
      <c r="CG143" s="891">
        <v>43358</v>
      </c>
      <c r="CH143" s="891">
        <v>44454</v>
      </c>
      <c r="CI143" s="21" t="str">
        <f t="shared" si="320"/>
        <v>12940,4</v>
      </c>
      <c r="CJ143" s="58">
        <f t="shared" si="321"/>
        <v>0</v>
      </c>
    </row>
    <row r="144" spans="1:98" ht="48.75" thickBot="1">
      <c r="A144" s="6" t="str">
        <f>CONCATENATE('3 pr-2'!A145)</f>
        <v>2.1.2.3.4</v>
      </c>
      <c r="B144" s="8" t="str">
        <f>CONCATENATE('3 pr-2'!D145)</f>
        <v>Ambulatorinių sveikatos priežiūros paslaugų tuberkulioze sergantiems asmenims prieinamumo gerinimas Druskininkų savivaldybėje</v>
      </c>
      <c r="C144" s="61">
        <v>0</v>
      </c>
      <c r="D144" s="61">
        <v>0</v>
      </c>
      <c r="E144" s="61">
        <v>0</v>
      </c>
      <c r="F144" s="257">
        <v>0</v>
      </c>
      <c r="G144" s="257">
        <v>0</v>
      </c>
      <c r="H144" s="257">
        <v>0</v>
      </c>
      <c r="I144" s="257">
        <v>0</v>
      </c>
      <c r="J144" s="61">
        <v>0</v>
      </c>
      <c r="K144" s="61">
        <v>0</v>
      </c>
      <c r="L144" s="261">
        <v>0</v>
      </c>
      <c r="M144" s="261">
        <v>0</v>
      </c>
      <c r="N144" s="261">
        <v>0</v>
      </c>
      <c r="O144" s="261">
        <v>0</v>
      </c>
      <c r="P144" s="61">
        <v>0</v>
      </c>
      <c r="Q144" s="65">
        <f>IF(YEAR($CG144)=2018,($BI$4-$CG144)*$AI144/($CH144-$CG144))</f>
        <v>665.43065693430663</v>
      </c>
      <c r="R144" s="261">
        <f t="shared" ref="R144:R145" si="322">IF(YEAR($CG144)=2018,($BI$4-$CG144)*$AK144/($CH144-$CG144))</f>
        <v>0</v>
      </c>
      <c r="S144" s="261">
        <f t="shared" ref="S144:S145" si="323">IF(YEAR($CG144)=2018,($BI$4-$CG144)*$AM144/($CH144-$CG144))</f>
        <v>49.907299270072997</v>
      </c>
      <c r="T144" s="261">
        <f t="shared" ref="T144:T145" si="324">IF(YEAR($CG144)=2018,($BI$4-$CG144)*$AO144/($CH144-$CG144))</f>
        <v>0</v>
      </c>
      <c r="U144" s="261">
        <f t="shared" ref="U144:U145" si="325">IF(YEAR($CG144)=2018,($BI$4-$CG144)*$AQ144/($CH144-$CG144))</f>
        <v>49.907299270072997</v>
      </c>
      <c r="V144" s="326">
        <f t="shared" ref="V144:V145" si="326">IF(YEAR($CG144)=2018,($BI$4-$CG144)*$AS144/($CH144-$CG144))</f>
        <v>565.61605839416063</v>
      </c>
      <c r="W144" s="65">
        <f t="shared" ref="W144:W145" si="327">IF(YEAR($CH144)&gt;2018,($BO$4-$BI$4)*$AI144/($CH144-$CG144),0)</f>
        <v>2269.9270072992699</v>
      </c>
      <c r="X144" s="261">
        <f t="shared" ref="X144:X145" si="328">IF(YEAR($CH144)&gt;2018,($BO$4-$BI$4)*$AK144/($CH144-$CG144),0)</f>
        <v>0</v>
      </c>
      <c r="Y144" s="261">
        <f t="shared" ref="Y144:Y145" si="329">IF(YEAR($CH144)&gt;2018,($BO$4-$BI$4)*$AM144/($CH144-$CG144),0)</f>
        <v>170.24452554744525</v>
      </c>
      <c r="Z144" s="261">
        <f t="shared" si="312"/>
        <v>0</v>
      </c>
      <c r="AA144" s="261">
        <f t="shared" si="313"/>
        <v>170.24452554744525</v>
      </c>
      <c r="AB144" s="326">
        <f t="shared" si="314"/>
        <v>1929.4379562043796</v>
      </c>
      <c r="AC144" s="326">
        <f t="shared" ref="AC144:AC145" si="330">IF(YEAR($CH144)&gt;2018,($CH144-$BO$4)*$AI144/($CH144-$CG144),0)</f>
        <v>3880.6423357664235</v>
      </c>
      <c r="AD144" s="261">
        <f t="shared" si="315"/>
        <v>0</v>
      </c>
      <c r="AE144" s="261">
        <f t="shared" si="316"/>
        <v>291.04817518248171</v>
      </c>
      <c r="AF144" s="261">
        <f t="shared" si="317"/>
        <v>0</v>
      </c>
      <c r="AG144" s="261">
        <f t="shared" si="318"/>
        <v>291.04817518248171</v>
      </c>
      <c r="AH144" s="326">
        <f t="shared" si="319"/>
        <v>3298.5459854014603</v>
      </c>
      <c r="AI144" s="663">
        <f>SUM('3 pr-2'!L145)</f>
        <v>6816</v>
      </c>
      <c r="AJ144" s="73"/>
      <c r="AK144" s="257">
        <f>SUM('3 pr-2'!O145)</f>
        <v>0</v>
      </c>
      <c r="AL144" s="257"/>
      <c r="AM144" s="257">
        <f>SUM('3 pr-2'!R145)</f>
        <v>511.2</v>
      </c>
      <c r="AN144" s="257"/>
      <c r="AO144" s="257">
        <f>SUM('3 pr-2'!U145)</f>
        <v>0</v>
      </c>
      <c r="AP144" s="257"/>
      <c r="AQ144" s="257">
        <f>SUM('3 pr-2'!X145)</f>
        <v>511.2</v>
      </c>
      <c r="AR144" s="476"/>
      <c r="AS144" s="94">
        <f>SUM('3 pr-2'!AA145)</f>
        <v>5793.6</v>
      </c>
      <c r="AT144" s="434"/>
      <c r="AU144" s="889"/>
      <c r="AV144" s="20"/>
      <c r="AW144" s="20"/>
      <c r="AX144" s="258"/>
      <c r="AY144" s="258"/>
      <c r="AZ144" s="258"/>
      <c r="BA144" s="258"/>
      <c r="BB144" s="20"/>
      <c r="BC144" s="20"/>
      <c r="BD144" s="258"/>
      <c r="BE144" s="258"/>
      <c r="BF144" s="258"/>
      <c r="BG144" s="258"/>
      <c r="BH144" s="20"/>
      <c r="BI144" s="20"/>
      <c r="BJ144" s="258"/>
      <c r="BK144" s="258"/>
      <c r="BL144" s="258"/>
      <c r="BM144" s="258"/>
      <c r="BN144" s="20"/>
      <c r="BO144" s="20"/>
      <c r="BP144" s="258"/>
      <c r="BQ144" s="258"/>
      <c r="BR144" s="258"/>
      <c r="BS144" s="258"/>
      <c r="BT144" s="20"/>
      <c r="BU144" s="20"/>
      <c r="BV144" s="258"/>
      <c r="BW144" s="258"/>
      <c r="BX144" s="258"/>
      <c r="BY144" s="258"/>
      <c r="BZ144" s="20"/>
      <c r="CA144" s="20"/>
      <c r="CB144" s="258"/>
      <c r="CC144" s="258"/>
      <c r="CD144" s="258"/>
      <c r="CE144" s="258"/>
      <c r="CF144" s="325"/>
      <c r="CG144" s="891">
        <v>43358</v>
      </c>
      <c r="CH144" s="891">
        <v>44454</v>
      </c>
      <c r="CI144" s="21" t="str">
        <f t="shared" si="320"/>
        <v>5793,6</v>
      </c>
    </row>
    <row r="145" spans="1:97" ht="48.75" thickBot="1">
      <c r="A145" s="6" t="str">
        <f>CONCATENATE('3 pr-2'!A146)</f>
        <v>2.1.2.3.5</v>
      </c>
      <c r="B145" s="8" t="str">
        <f>CONCATENATE('3 pr-2'!D146)</f>
        <v>Ambulatorinių sveikatos priežiūros paslaugų prieinamumo gerinimas tuberkulioze sergantiems asmenims Varėnos rajono savivaldybėje</v>
      </c>
      <c r="C145" s="61">
        <v>0</v>
      </c>
      <c r="D145" s="61">
        <v>0</v>
      </c>
      <c r="E145" s="61">
        <v>0</v>
      </c>
      <c r="F145" s="257">
        <v>0</v>
      </c>
      <c r="G145" s="257">
        <v>0</v>
      </c>
      <c r="H145" s="257">
        <v>0</v>
      </c>
      <c r="I145" s="257">
        <v>0</v>
      </c>
      <c r="J145" s="61">
        <v>0</v>
      </c>
      <c r="K145" s="61">
        <v>0</v>
      </c>
      <c r="L145" s="261">
        <v>0</v>
      </c>
      <c r="M145" s="261">
        <v>0</v>
      </c>
      <c r="N145" s="261">
        <v>0</v>
      </c>
      <c r="O145" s="261">
        <v>0</v>
      </c>
      <c r="P145" s="61">
        <v>0</v>
      </c>
      <c r="Q145" s="65">
        <f>IF(YEAR($CG145)=2018,($BI$4-$CG145)*$AI145/($CH145-$CG145))</f>
        <v>1530.7052919708028</v>
      </c>
      <c r="R145" s="261">
        <f t="shared" si="322"/>
        <v>114.81021897810218</v>
      </c>
      <c r="S145" s="261">
        <f t="shared" si="323"/>
        <v>114.81021897810218</v>
      </c>
      <c r="T145" s="261">
        <f t="shared" si="324"/>
        <v>0</v>
      </c>
      <c r="U145" s="261">
        <f t="shared" si="325"/>
        <v>0</v>
      </c>
      <c r="V145" s="326">
        <f t="shared" si="326"/>
        <v>1301.0848540145985</v>
      </c>
      <c r="W145" s="65">
        <f t="shared" si="327"/>
        <v>5221.5647810218979</v>
      </c>
      <c r="X145" s="261">
        <f t="shared" si="328"/>
        <v>391.64233576642334</v>
      </c>
      <c r="Y145" s="261">
        <f t="shared" si="329"/>
        <v>391.64233576642334</v>
      </c>
      <c r="Z145" s="261">
        <f t="shared" si="312"/>
        <v>0</v>
      </c>
      <c r="AA145" s="261">
        <f t="shared" si="313"/>
        <v>0</v>
      </c>
      <c r="AB145" s="326">
        <f t="shared" si="314"/>
        <v>4438.280109489051</v>
      </c>
      <c r="AC145" s="326">
        <f t="shared" si="330"/>
        <v>8926.7299270072999</v>
      </c>
      <c r="AD145" s="261">
        <f t="shared" si="315"/>
        <v>669.54744525547449</v>
      </c>
      <c r="AE145" s="261">
        <f t="shared" si="316"/>
        <v>669.54744525547449</v>
      </c>
      <c r="AF145" s="261">
        <f t="shared" si="317"/>
        <v>0</v>
      </c>
      <c r="AG145" s="261">
        <f t="shared" si="318"/>
        <v>0</v>
      </c>
      <c r="AH145" s="326">
        <f t="shared" si="319"/>
        <v>7587.63503649635</v>
      </c>
      <c r="AI145" s="663">
        <f>SUM('3 pr-2'!L146)</f>
        <v>15679</v>
      </c>
      <c r="AJ145" s="73"/>
      <c r="AK145" s="257">
        <f>SUM('3 pr-2'!O146)</f>
        <v>1176</v>
      </c>
      <c r="AL145" s="257"/>
      <c r="AM145" s="257">
        <f>SUM('3 pr-2'!R146)</f>
        <v>1176</v>
      </c>
      <c r="AN145" s="257"/>
      <c r="AO145" s="257">
        <f>SUM('3 pr-2'!U146)</f>
        <v>0</v>
      </c>
      <c r="AP145" s="257"/>
      <c r="AQ145" s="257">
        <f>SUM('3 pr-2'!X146)</f>
        <v>0</v>
      </c>
      <c r="AR145" s="476"/>
      <c r="AS145" s="94">
        <f>SUM('3 pr-2'!AA146)</f>
        <v>13327</v>
      </c>
      <c r="AT145" s="434"/>
      <c r="AU145" s="889"/>
      <c r="AV145" s="20"/>
      <c r="AW145" s="20"/>
      <c r="AX145" s="258"/>
      <c r="AY145" s="258"/>
      <c r="AZ145" s="258"/>
      <c r="BA145" s="258"/>
      <c r="BB145" s="20"/>
      <c r="BC145" s="20"/>
      <c r="BD145" s="258"/>
      <c r="BE145" s="258"/>
      <c r="BF145" s="258"/>
      <c r="BG145" s="258"/>
      <c r="BH145" s="20"/>
      <c r="BI145" s="20"/>
      <c r="BJ145" s="258"/>
      <c r="BK145" s="258"/>
      <c r="BL145" s="258"/>
      <c r="BM145" s="258"/>
      <c r="BN145" s="20"/>
      <c r="BO145" s="20"/>
      <c r="BP145" s="258"/>
      <c r="BQ145" s="258"/>
      <c r="BR145" s="258"/>
      <c r="BS145" s="258"/>
      <c r="BT145" s="20"/>
      <c r="BU145" s="20"/>
      <c r="BV145" s="258"/>
      <c r="BW145" s="258"/>
      <c r="BX145" s="258"/>
      <c r="BY145" s="258"/>
      <c r="BZ145" s="20"/>
      <c r="CA145" s="20"/>
      <c r="CB145" s="258"/>
      <c r="CC145" s="258"/>
      <c r="CD145" s="258"/>
      <c r="CE145" s="258"/>
      <c r="CF145" s="325"/>
      <c r="CG145" s="891">
        <v>43358</v>
      </c>
      <c r="CH145" s="891">
        <v>44454</v>
      </c>
      <c r="CI145" s="21" t="str">
        <f t="shared" si="320"/>
        <v>13327</v>
      </c>
    </row>
    <row r="146" spans="1:97" ht="65.25" thickBot="1">
      <c r="A146" s="254" t="str">
        <f>CONCATENATE('3 pr-2'!A147)</f>
        <v>2.1.3.</v>
      </c>
      <c r="B146" s="102" t="str">
        <f>CONCATENATE('3 pr-2'!B147)</f>
        <v>Uždavinys:
Socialinio būsto ir socialinių paslaugų prieinamumo pažeidžiamiausioms gyventojų grupėms padidinimas</v>
      </c>
      <c r="C146" s="95">
        <f>SUM(C147+C153)</f>
        <v>0</v>
      </c>
      <c r="D146" s="95">
        <f>SUM(D147+D153)</f>
        <v>0</v>
      </c>
      <c r="E146" s="95">
        <f>SUM(E147+E153)</f>
        <v>272169.55999999994</v>
      </c>
      <c r="F146" s="95">
        <f>SUM(F147+F153)</f>
        <v>32621.908409610434</v>
      </c>
      <c r="G146" s="95"/>
      <c r="H146" s="95"/>
      <c r="I146" s="95"/>
      <c r="J146" s="95">
        <f t="shared" ref="J146:Q146" si="331">SUM(J147+J153)</f>
        <v>239547.65159038958</v>
      </c>
      <c r="K146" s="95">
        <f t="shared" si="331"/>
        <v>1171598</v>
      </c>
      <c r="L146" s="955">
        <f t="shared" si="331"/>
        <v>107101.09159038957</v>
      </c>
      <c r="M146" s="955">
        <f t="shared" si="331"/>
        <v>2764.7</v>
      </c>
      <c r="N146" s="955">
        <f t="shared" si="331"/>
        <v>0</v>
      </c>
      <c r="O146" s="955">
        <f t="shared" si="331"/>
        <v>0</v>
      </c>
      <c r="P146" s="95">
        <f t="shared" si="331"/>
        <v>1061732.2084096104</v>
      </c>
      <c r="Q146" s="95">
        <f t="shared" si="331"/>
        <v>2028980.1052366511</v>
      </c>
      <c r="R146" s="955"/>
      <c r="S146" s="955"/>
      <c r="T146" s="955"/>
      <c r="U146" s="955"/>
      <c r="V146" s="95">
        <f>SUM(V147+V153)</f>
        <v>1560200.170834783</v>
      </c>
      <c r="W146" s="95">
        <f>SUM(W147+W153)</f>
        <v>728775.25476334884</v>
      </c>
      <c r="X146" s="955"/>
      <c r="Y146" s="955"/>
      <c r="Z146" s="955"/>
      <c r="AA146" s="955"/>
      <c r="AB146" s="95">
        <f>SUM(AB147+AB153)</f>
        <v>545254.75916521705</v>
      </c>
      <c r="AC146" s="95">
        <f>SUM(AC147+AC153)</f>
        <v>0</v>
      </c>
      <c r="AD146" s="955"/>
      <c r="AE146" s="955"/>
      <c r="AF146" s="955"/>
      <c r="AG146" s="955"/>
      <c r="AH146" s="95">
        <f>SUM(AH147+AH153)</f>
        <v>0</v>
      </c>
      <c r="AI146" s="665">
        <f>SUM(AI147+AI153)</f>
        <v>4201522.92</v>
      </c>
      <c r="AJ146" s="95"/>
      <c r="AK146" s="95"/>
      <c r="AL146" s="95"/>
      <c r="AM146" s="95"/>
      <c r="AN146" s="95"/>
      <c r="AO146" s="95"/>
      <c r="AP146" s="95"/>
      <c r="AQ146" s="95"/>
      <c r="AR146" s="95"/>
      <c r="AS146" s="95">
        <f>SUM(AS147+AS153)</f>
        <v>3406734.7899999996</v>
      </c>
      <c r="AT146" s="435"/>
      <c r="AX146" s="95"/>
      <c r="AY146" s="95"/>
      <c r="AZ146" s="95"/>
      <c r="BA146" s="95"/>
      <c r="BD146" s="95"/>
      <c r="BE146" s="95"/>
      <c r="BF146" s="95"/>
      <c r="BG146" s="95"/>
      <c r="BJ146" s="95"/>
      <c r="BK146" s="95"/>
      <c r="BL146" s="95"/>
      <c r="BM146" s="95"/>
      <c r="BP146" s="95"/>
      <c r="BQ146" s="95"/>
      <c r="BR146" s="95"/>
      <c r="BS146" s="95"/>
      <c r="BV146" s="95"/>
      <c r="BW146" s="95"/>
      <c r="BX146" s="95"/>
      <c r="BY146" s="95"/>
      <c r="CB146" s="95"/>
      <c r="CC146" s="95"/>
      <c r="CD146" s="95"/>
      <c r="CE146" s="95"/>
      <c r="CG146" s="19"/>
      <c r="CH146" s="19"/>
    </row>
    <row r="147" spans="1:97" ht="39.75" thickBot="1">
      <c r="A147" s="253" t="str">
        <f>CONCATENATE('3 pr-2'!A148)</f>
        <v>2.1.3.1</v>
      </c>
      <c r="B147" s="103" t="str">
        <f>CONCATENATE('3 pr-2'!B148)</f>
        <v>Priemonė:
Socialinių paslaugų infrastruktūros plėtra</v>
      </c>
      <c r="C147" s="901">
        <f>SUM(C148:C152)</f>
        <v>0</v>
      </c>
      <c r="D147" s="901">
        <f>SUM(D148:D152)</f>
        <v>0</v>
      </c>
      <c r="E147" s="901">
        <f>SUM(E148:E152)</f>
        <v>0</v>
      </c>
      <c r="F147" s="901">
        <f>SUM(F148:F152)</f>
        <v>0</v>
      </c>
      <c r="G147" s="901"/>
      <c r="H147" s="901"/>
      <c r="I147" s="901"/>
      <c r="J147" s="901">
        <f t="shared" ref="J147:Q147" si="332">SUM(J148:J152)</f>
        <v>0</v>
      </c>
      <c r="K147" s="901">
        <f t="shared" si="332"/>
        <v>25688.32</v>
      </c>
      <c r="L147" s="954">
        <f t="shared" si="332"/>
        <v>0</v>
      </c>
      <c r="M147" s="954">
        <f t="shared" si="332"/>
        <v>2764.7</v>
      </c>
      <c r="N147" s="954">
        <f t="shared" si="332"/>
        <v>0</v>
      </c>
      <c r="O147" s="954">
        <f t="shared" si="332"/>
        <v>0</v>
      </c>
      <c r="P147" s="901">
        <f t="shared" si="332"/>
        <v>22923.620000000003</v>
      </c>
      <c r="Q147" s="901">
        <f t="shared" si="332"/>
        <v>837829.71442513634</v>
      </c>
      <c r="R147" s="954"/>
      <c r="S147" s="954"/>
      <c r="T147" s="954"/>
      <c r="U147" s="954"/>
      <c r="V147" s="901">
        <f>SUM(V148:V152)</f>
        <v>601723.44207848795</v>
      </c>
      <c r="W147" s="901">
        <f>SUM(W148:W152)</f>
        <v>371803.7655748637</v>
      </c>
      <c r="X147" s="954"/>
      <c r="Y147" s="954"/>
      <c r="Z147" s="954"/>
      <c r="AA147" s="954"/>
      <c r="AB147" s="901">
        <f>SUM(AB148:AB152)</f>
        <v>261114.08792151205</v>
      </c>
      <c r="AC147" s="901">
        <f>SUM(AC148:AC152)</f>
        <v>0</v>
      </c>
      <c r="AD147" s="954"/>
      <c r="AE147" s="954"/>
      <c r="AF147" s="954"/>
      <c r="AG147" s="954"/>
      <c r="AH147" s="901">
        <f>SUM(AH148:AH152)</f>
        <v>0</v>
      </c>
      <c r="AI147" s="902">
        <f>SUM(AI148:AI152)</f>
        <v>1235321.8</v>
      </c>
      <c r="AJ147" s="901"/>
      <c r="AK147" s="901"/>
      <c r="AL147" s="901"/>
      <c r="AM147" s="901"/>
      <c r="AN147" s="901"/>
      <c r="AO147" s="901"/>
      <c r="AP147" s="901"/>
      <c r="AQ147" s="901"/>
      <c r="AR147" s="901"/>
      <c r="AS147" s="901">
        <f>SUM(AS148:AS152)</f>
        <v>885761.15</v>
      </c>
      <c r="AT147" s="901"/>
      <c r="AU147" s="889"/>
      <c r="AV147" s="20"/>
      <c r="AW147" s="20"/>
      <c r="AX147" s="901"/>
      <c r="AY147" s="901"/>
      <c r="AZ147" s="901"/>
      <c r="BA147" s="901"/>
      <c r="BB147" s="20"/>
      <c r="BC147" s="20"/>
      <c r="BD147" s="901"/>
      <c r="BE147" s="901"/>
      <c r="BF147" s="901"/>
      <c r="BG147" s="901"/>
      <c r="BH147" s="20"/>
      <c r="BI147" s="20"/>
      <c r="BJ147" s="901"/>
      <c r="BK147" s="901"/>
      <c r="BL147" s="901"/>
      <c r="BM147" s="901"/>
      <c r="BN147" s="20"/>
      <c r="BO147" s="20"/>
      <c r="BP147" s="901"/>
      <c r="BQ147" s="901"/>
      <c r="BR147" s="901"/>
      <c r="BS147" s="901"/>
      <c r="BT147" s="20"/>
      <c r="BU147" s="20"/>
      <c r="BV147" s="901"/>
      <c r="BW147" s="901"/>
      <c r="BX147" s="901"/>
      <c r="BY147" s="901"/>
      <c r="BZ147" s="20"/>
      <c r="CA147" s="20"/>
      <c r="CB147" s="901"/>
      <c r="CC147" s="901"/>
      <c r="CD147" s="901"/>
      <c r="CE147" s="901"/>
      <c r="CF147" s="325"/>
      <c r="CG147" s="19"/>
      <c r="CH147" s="19"/>
    </row>
    <row r="148" spans="1:97" ht="41.25" customHeight="1" thickBot="1">
      <c r="A148" s="8" t="str">
        <f>CONCATENATE('3 pr-2'!A149)</f>
        <v>2.1.3.1.1</v>
      </c>
      <c r="B148" s="18" t="str">
        <f>CONCATENATE('3 pr-2'!D149)</f>
        <v>Socialinių paslaugų infrastruktūros plėtra Varėnos rajono savivaldybėje</v>
      </c>
      <c r="C148" s="65">
        <v>0</v>
      </c>
      <c r="D148" s="65">
        <v>0</v>
      </c>
      <c r="E148" s="65">
        <v>0</v>
      </c>
      <c r="F148" s="257">
        <v>0</v>
      </c>
      <c r="G148" s="257">
        <v>0</v>
      </c>
      <c r="H148" s="257">
        <v>0</v>
      </c>
      <c r="I148" s="257">
        <v>0</v>
      </c>
      <c r="J148" s="65">
        <v>0</v>
      </c>
      <c r="K148" s="65">
        <f>SUM('ketv. 7 '!M147)</f>
        <v>0</v>
      </c>
      <c r="L148" s="261">
        <f>SUM('ketv. 7 '!S147)</f>
        <v>0</v>
      </c>
      <c r="M148" s="261">
        <f>SUM('ketv. 7 '!X147)</f>
        <v>0</v>
      </c>
      <c r="N148" s="261">
        <f>SUM('ketv. 7 '!AB147)</f>
        <v>0</v>
      </c>
      <c r="O148" s="261">
        <f>SUM('ketv. 7 '!AG147)</f>
        <v>0</v>
      </c>
      <c r="P148" s="65">
        <f>SUM('ketv. 7 '!AM147)</f>
        <v>0</v>
      </c>
      <c r="Q148" s="65">
        <f>IF(YEAR($CH148)&gt;2018,($BI$4-$BC$4)*$AJ148/($CH148-$BC$4),0)</f>
        <v>137203.03797468354</v>
      </c>
      <c r="R148" s="261">
        <f>IF(YEAR($CH148)&gt;2018,($BI$4-$BC$4)*$AL148/($CH148-$BC$4),0)</f>
        <v>20580.455696202531</v>
      </c>
      <c r="S148" s="261">
        <f>IF(YEAR($CH148)&gt;2018,($BI$4-$BC$4)*$AN148/($CH148-$BC$4),0)</f>
        <v>0</v>
      </c>
      <c r="T148" s="261">
        <f>IF(YEAR($CH148)&gt;2018,($BI$4-$BC$4)*$AP148/($CH148-$BC$4),0)</f>
        <v>0</v>
      </c>
      <c r="U148" s="261">
        <f>IF(YEAR($CH148)&gt;2018,($BI$4-$BC$4)*$AR148/($CH148-$BC$4),0)</f>
        <v>0</v>
      </c>
      <c r="V148" s="65">
        <f>IF(YEAR($CH148)&gt;2018,($BI$4-$BC$4)*$AT148/($CH148-$BC$4),0)</f>
        <v>116622.58227848102</v>
      </c>
      <c r="W148" s="65">
        <f>IF(YEAR($CH148)=2019,($CH148-$BI$4)*$AJ148/($CH148-$BC$4),0)</f>
        <v>11276.962025316456</v>
      </c>
      <c r="X148" s="261">
        <f>IF(YEAR($CH148)=2019,($CH148-$BI$4)*$AL148/($CH148-$BC$4),0)</f>
        <v>1691.5443037974683</v>
      </c>
      <c r="Y148" s="261">
        <f>IF(YEAR($CH148)=2019,($CH148-$BI$4)*$AN148/($CH148-$BC$4),0)</f>
        <v>0</v>
      </c>
      <c r="Z148" s="261">
        <f>IF(YEAR($CH148)=2019,($CH148-$BI$4)*$AP148/($CH148-$BC$4),0)</f>
        <v>0</v>
      </c>
      <c r="AA148" s="261">
        <f>IF(YEAR($CH148)=2019,($CH148-$BI$4)*$AR148/($CH148-$BC$4),0)</f>
        <v>0</v>
      </c>
      <c r="AB148" s="65">
        <f>IF(YEAR($CH148)=2019,($CH148-$BI$4)*$AT148/($CH148-$BC$4),0)</f>
        <v>9585.4177215189866</v>
      </c>
      <c r="AC148" s="65">
        <v>0</v>
      </c>
      <c r="AD148" s="261">
        <v>0</v>
      </c>
      <c r="AE148" s="261">
        <v>0</v>
      </c>
      <c r="AF148" s="261">
        <v>0</v>
      </c>
      <c r="AG148" s="261">
        <v>0</v>
      </c>
      <c r="AH148" s="65">
        <v>0</v>
      </c>
      <c r="AI148" s="664">
        <f>SUM('3 pr-2'!L149)</f>
        <v>148480</v>
      </c>
      <c r="AJ148" s="904">
        <f>SUM(AI148-K148)</f>
        <v>148480</v>
      </c>
      <c r="AK148" s="257">
        <f>SUM('3 pr-2'!O149)</f>
        <v>22272</v>
      </c>
      <c r="AL148" s="904">
        <f>SUM(AK148-L148)</f>
        <v>22272</v>
      </c>
      <c r="AM148" s="257">
        <f>SUM('3 pr-2'!R149)</f>
        <v>0</v>
      </c>
      <c r="AN148" s="904">
        <f>SUM(AM148-M148)</f>
        <v>0</v>
      </c>
      <c r="AO148" s="257">
        <f>SUM('3 pr-2'!U149)</f>
        <v>0</v>
      </c>
      <c r="AP148" s="904">
        <f>SUM(AO148-N148)</f>
        <v>0</v>
      </c>
      <c r="AQ148" s="257">
        <f>SUM('3 pr-2'!X149)</f>
        <v>0</v>
      </c>
      <c r="AR148" s="904">
        <f>SUM(AQ148-O148)</f>
        <v>0</v>
      </c>
      <c r="AS148" s="327">
        <f>SUM('3 pr-2'!AA149)</f>
        <v>126208</v>
      </c>
      <c r="AT148" s="904">
        <f>SUM(AS148-P148)</f>
        <v>126208</v>
      </c>
      <c r="AU148" s="889"/>
      <c r="AV148" s="20"/>
      <c r="AW148" s="20"/>
      <c r="AX148" s="257"/>
      <c r="AY148" s="257"/>
      <c r="AZ148" s="257"/>
      <c r="BA148" s="257"/>
      <c r="BB148" s="20"/>
      <c r="BC148" s="20"/>
      <c r="BD148" s="257"/>
      <c r="BE148" s="257"/>
      <c r="BF148" s="257"/>
      <c r="BG148" s="257"/>
      <c r="BH148" s="20"/>
      <c r="BI148" s="20"/>
      <c r="BJ148" s="257"/>
      <c r="BK148" s="257"/>
      <c r="BL148" s="257"/>
      <c r="BM148" s="257"/>
      <c r="BN148" s="20"/>
      <c r="BO148" s="20"/>
      <c r="BP148" s="257"/>
      <c r="BQ148" s="257"/>
      <c r="BR148" s="257"/>
      <c r="BS148" s="257"/>
      <c r="BT148" s="20"/>
      <c r="BU148" s="20"/>
      <c r="BV148" s="257"/>
      <c r="BW148" s="257"/>
      <c r="BX148" s="257"/>
      <c r="BY148" s="257"/>
      <c r="BZ148" s="20"/>
      <c r="CA148" s="20"/>
      <c r="CB148" s="257"/>
      <c r="CC148" s="257"/>
      <c r="CD148" s="257"/>
      <c r="CE148" s="257"/>
      <c r="CF148" s="325"/>
      <c r="CG148" s="956">
        <v>42826</v>
      </c>
      <c r="CH148" s="956">
        <v>43495</v>
      </c>
      <c r="CI148" s="957">
        <f>SUM(J148+P148+V148+AB148+AH148)</f>
        <v>126208</v>
      </c>
    </row>
    <row r="149" spans="1:97" ht="29.25" customHeight="1" thickBot="1">
      <c r="A149" s="8" t="str">
        <f>CONCATENATE('3 pr-2'!A150)</f>
        <v>2.1.3.1.2</v>
      </c>
      <c r="B149" s="18" t="str">
        <f>CONCATENATE('3 pr-2'!D150)</f>
        <v>Psichosocialinės pagalbos centro įkūrimas</v>
      </c>
      <c r="C149" s="65">
        <v>0</v>
      </c>
      <c r="D149" s="65">
        <v>0</v>
      </c>
      <c r="E149" s="65">
        <v>0</v>
      </c>
      <c r="F149" s="257">
        <v>0</v>
      </c>
      <c r="G149" s="257">
        <v>0</v>
      </c>
      <c r="H149" s="257">
        <v>0</v>
      </c>
      <c r="I149" s="257">
        <v>0</v>
      </c>
      <c r="J149" s="65">
        <v>0</v>
      </c>
      <c r="K149" s="65">
        <f>SUM('ketv. 7 '!M148)</f>
        <v>0</v>
      </c>
      <c r="L149" s="261">
        <f>SUM('ketv. 7 '!S148)</f>
        <v>0</v>
      </c>
      <c r="M149" s="261">
        <f>SUM('ketv. 7 '!X148)</f>
        <v>0</v>
      </c>
      <c r="N149" s="261">
        <f>SUM('ketv. 7 '!AB148)</f>
        <v>0</v>
      </c>
      <c r="O149" s="261">
        <f>SUM('ketv. 7 '!AG148)</f>
        <v>0</v>
      </c>
      <c r="P149" s="65">
        <f>SUM('ketv. 7 '!AM148)</f>
        <v>0</v>
      </c>
      <c r="Q149" s="65">
        <f t="shared" ref="Q149:Q152" si="333">IF(YEAR($CH149)&gt;2018,($BI$4-$BC$4)*$AJ149/($CH149-$BC$4),0)</f>
        <v>125913.63553113553</v>
      </c>
      <c r="R149" s="261">
        <f t="shared" ref="R149:R152" si="334">IF(YEAR($CH149)&gt;2018,($BI$4-$BC$4)*$AL149/($CH149-$BC$4),0)</f>
        <v>18887.078754578753</v>
      </c>
      <c r="S149" s="261">
        <f t="shared" ref="S149:S152" si="335">IF(YEAR($CH149)&gt;2018,($BI$4-$BC$4)*$AN149/($CH149-$BC$4),0)</f>
        <v>0</v>
      </c>
      <c r="T149" s="261">
        <f t="shared" ref="T149:T152" si="336">IF(YEAR($CH149)&gt;2018,($BI$4-$BC$4)*$AP149/($CH149-$BC$4),0)</f>
        <v>0</v>
      </c>
      <c r="U149" s="261">
        <f t="shared" ref="U149:U152" si="337">IF(YEAR($CH149)&gt;2018,($BI$4-$BC$4)*$AR149/($CH149-$BC$4),0)</f>
        <v>0</v>
      </c>
      <c r="V149" s="65">
        <f t="shared" ref="V149:V152" si="338">IF(YEAR($CH149)&gt;2018,($BI$4-$BC$4)*$AT149/($CH149-$BC$4),0)</f>
        <v>107026.55677655678</v>
      </c>
      <c r="W149" s="65">
        <f t="shared" ref="W149:W152" si="339">IF(YEAR($CH149)=2019,($CH149-$BI$4)*$AJ149/($CH149-$BC$4),0)</f>
        <v>62439.364468864471</v>
      </c>
      <c r="X149" s="261">
        <f t="shared" ref="X149:X152" si="340">IF(YEAR($CH149)=2019,($CH149-$BI$4)*$AL149/($CH149-$BC$4),0)</f>
        <v>9365.9212454212447</v>
      </c>
      <c r="Y149" s="261">
        <f t="shared" ref="Y149:Y152" si="341">IF(YEAR($CH149)=2019,($CH149-$BI$4)*$AN149/($CH149-$BC$4),0)</f>
        <v>0</v>
      </c>
      <c r="Z149" s="261">
        <f t="shared" ref="Z149:Z152" si="342">IF(YEAR($CH149)=2019,($CH149-$BI$4)*$AP149/($CH149-$BC$4),0)</f>
        <v>0</v>
      </c>
      <c r="AA149" s="261">
        <f t="shared" ref="AA149:AA152" si="343">IF(YEAR($CH149)=2019,($CH149-$BI$4)*$AR149/($CH149-$BC$4),0)</f>
        <v>0</v>
      </c>
      <c r="AB149" s="65">
        <f t="shared" ref="AB149:AB152" si="344">IF(YEAR($CH149)=2019,($CH149-$BI$4)*$AT149/($CH149-$BC$4),0)</f>
        <v>53073.443223443224</v>
      </c>
      <c r="AC149" s="65">
        <v>0</v>
      </c>
      <c r="AD149" s="261">
        <v>0</v>
      </c>
      <c r="AE149" s="261">
        <v>0</v>
      </c>
      <c r="AF149" s="261">
        <v>0</v>
      </c>
      <c r="AG149" s="261">
        <v>0</v>
      </c>
      <c r="AH149" s="65">
        <v>0</v>
      </c>
      <c r="AI149" s="664">
        <f>SUM('3 pr-2'!L150)</f>
        <v>188353</v>
      </c>
      <c r="AJ149" s="904">
        <f t="shared" ref="AJ149:AJ152" si="345">SUM(AI149-K149)</f>
        <v>188353</v>
      </c>
      <c r="AK149" s="257">
        <f>SUM('3 pr-2'!O150)</f>
        <v>28253</v>
      </c>
      <c r="AL149" s="904">
        <f t="shared" ref="AL149:AL152" si="346">SUM(AK149-L149)</f>
        <v>28253</v>
      </c>
      <c r="AM149" s="257">
        <f>SUM('3 pr-2'!R150)</f>
        <v>0</v>
      </c>
      <c r="AN149" s="904">
        <f t="shared" ref="AN149:AN152" si="347">SUM(AM149-M149)</f>
        <v>0</v>
      </c>
      <c r="AO149" s="257">
        <f>SUM('3 pr-2'!U150)</f>
        <v>0</v>
      </c>
      <c r="AP149" s="904">
        <f t="shared" ref="AP149:AP152" si="348">SUM(AO149-N149)</f>
        <v>0</v>
      </c>
      <c r="AQ149" s="257">
        <f>SUM('3 pr-2'!X150)</f>
        <v>0</v>
      </c>
      <c r="AR149" s="904">
        <f t="shared" ref="AR149:AR152" si="349">SUM(AQ149-O149)</f>
        <v>0</v>
      </c>
      <c r="AS149" s="327">
        <f>SUM('3 pr-2'!AA150)</f>
        <v>160100</v>
      </c>
      <c r="AT149" s="904">
        <f t="shared" ref="AT149:AT152" si="350">SUM(AS149-P149)</f>
        <v>160100</v>
      </c>
      <c r="AU149" s="889"/>
      <c r="AV149" s="20"/>
      <c r="AW149" s="20"/>
      <c r="AX149" s="257"/>
      <c r="AY149" s="257"/>
      <c r="AZ149" s="257"/>
      <c r="BA149" s="257"/>
      <c r="BB149" s="20"/>
      <c r="BC149" s="20"/>
      <c r="BD149" s="257"/>
      <c r="BE149" s="257"/>
      <c r="BF149" s="257"/>
      <c r="BG149" s="257"/>
      <c r="BH149" s="20"/>
      <c r="BI149" s="20"/>
      <c r="BJ149" s="257"/>
      <c r="BK149" s="257"/>
      <c r="BL149" s="257"/>
      <c r="BM149" s="257"/>
      <c r="BN149" s="20"/>
      <c r="BO149" s="20"/>
      <c r="BP149" s="257"/>
      <c r="BQ149" s="257"/>
      <c r="BR149" s="257"/>
      <c r="BS149" s="257"/>
      <c r="BT149" s="20"/>
      <c r="BU149" s="20"/>
      <c r="BV149" s="257"/>
      <c r="BW149" s="257"/>
      <c r="BX149" s="257"/>
      <c r="BY149" s="257"/>
      <c r="BZ149" s="20"/>
      <c r="CA149" s="20"/>
      <c r="CB149" s="257"/>
      <c r="CC149" s="257"/>
      <c r="CD149" s="257"/>
      <c r="CE149" s="257"/>
      <c r="CF149" s="325"/>
      <c r="CG149" s="956">
        <v>42887</v>
      </c>
      <c r="CH149" s="956">
        <v>43646</v>
      </c>
      <c r="CI149" s="957">
        <f>SUM(J149+P149+V149+AB149+AH149)</f>
        <v>160100</v>
      </c>
    </row>
    <row r="150" spans="1:97" ht="29.25" customHeight="1" thickBot="1">
      <c r="A150" s="8" t="str">
        <f>CONCATENATE('3 pr-2'!A151)</f>
        <v>2.1.3.1.3</v>
      </c>
      <c r="B150" s="18" t="str">
        <f>CONCATENATE('3 pr-2'!D151)</f>
        <v>Socialinių paslaugų plėtra Alytaus mieste</v>
      </c>
      <c r="C150" s="65">
        <v>0</v>
      </c>
      <c r="D150" s="65">
        <v>0</v>
      </c>
      <c r="E150" s="65">
        <v>0</v>
      </c>
      <c r="F150" s="257">
        <v>0</v>
      </c>
      <c r="G150" s="257">
        <v>0</v>
      </c>
      <c r="H150" s="257">
        <v>0</v>
      </c>
      <c r="I150" s="257">
        <v>0</v>
      </c>
      <c r="J150" s="65">
        <v>0</v>
      </c>
      <c r="K150" s="65">
        <f>SUM('ketv. 7 '!M149)</f>
        <v>0</v>
      </c>
      <c r="L150" s="261">
        <f>SUM('ketv. 7 '!S149)</f>
        <v>0</v>
      </c>
      <c r="M150" s="261">
        <f>SUM('ketv. 7 '!X149)</f>
        <v>0</v>
      </c>
      <c r="N150" s="261">
        <f>SUM('ketv. 7 '!AB149)</f>
        <v>0</v>
      </c>
      <c r="O150" s="261">
        <f>SUM('ketv. 7 '!AG149)</f>
        <v>0</v>
      </c>
      <c r="P150" s="65">
        <f>SUM('ketv. 7 '!AM149)</f>
        <v>0</v>
      </c>
      <c r="Q150" s="65">
        <f t="shared" si="333"/>
        <v>401588.7765567766</v>
      </c>
      <c r="R150" s="261">
        <f t="shared" si="334"/>
        <v>170047.08241758242</v>
      </c>
      <c r="S150" s="261">
        <f t="shared" si="335"/>
        <v>0</v>
      </c>
      <c r="T150" s="261">
        <f t="shared" si="336"/>
        <v>0</v>
      </c>
      <c r="U150" s="261">
        <f t="shared" si="337"/>
        <v>0</v>
      </c>
      <c r="V150" s="65">
        <f t="shared" si="338"/>
        <v>231541.69413919415</v>
      </c>
      <c r="W150" s="65">
        <f t="shared" si="339"/>
        <v>199144.02344322347</v>
      </c>
      <c r="X150" s="261">
        <f t="shared" si="340"/>
        <v>84324.717582417579</v>
      </c>
      <c r="Y150" s="261">
        <f t="shared" si="341"/>
        <v>0</v>
      </c>
      <c r="Z150" s="261">
        <f t="shared" si="342"/>
        <v>0</v>
      </c>
      <c r="AA150" s="261">
        <f t="shared" si="343"/>
        <v>0</v>
      </c>
      <c r="AB150" s="65">
        <f t="shared" si="344"/>
        <v>114819.30586080586</v>
      </c>
      <c r="AC150" s="65">
        <v>0</v>
      </c>
      <c r="AD150" s="261">
        <v>0</v>
      </c>
      <c r="AE150" s="261">
        <v>0</v>
      </c>
      <c r="AF150" s="261">
        <v>0</v>
      </c>
      <c r="AG150" s="261">
        <v>0</v>
      </c>
      <c r="AH150" s="65">
        <v>0</v>
      </c>
      <c r="AI150" s="664">
        <f>SUM('3 pr-2'!L151)</f>
        <v>600732.80000000005</v>
      </c>
      <c r="AJ150" s="904">
        <f t="shared" si="345"/>
        <v>600732.80000000005</v>
      </c>
      <c r="AK150" s="257">
        <f>SUM('3 pr-2'!O151)</f>
        <v>254371.8</v>
      </c>
      <c r="AL150" s="904">
        <f t="shared" si="346"/>
        <v>254371.8</v>
      </c>
      <c r="AM150" s="257">
        <f>SUM('3 pr-2'!R151)</f>
        <v>0</v>
      </c>
      <c r="AN150" s="904">
        <f t="shared" si="347"/>
        <v>0</v>
      </c>
      <c r="AO150" s="257">
        <f>SUM('3 pr-2'!U151)</f>
        <v>0</v>
      </c>
      <c r="AP150" s="904">
        <f t="shared" si="348"/>
        <v>0</v>
      </c>
      <c r="AQ150" s="257">
        <f>SUM('3 pr-2'!X151)</f>
        <v>0</v>
      </c>
      <c r="AR150" s="904">
        <f t="shared" si="349"/>
        <v>0</v>
      </c>
      <c r="AS150" s="327">
        <f>SUM('3 pr-2'!AA151)</f>
        <v>346361</v>
      </c>
      <c r="AT150" s="904">
        <f t="shared" si="350"/>
        <v>346361</v>
      </c>
      <c r="AU150" s="889"/>
      <c r="AV150" s="20"/>
      <c r="AW150" s="20"/>
      <c r="AX150" s="259"/>
      <c r="AY150" s="259"/>
      <c r="AZ150" s="259"/>
      <c r="BA150" s="259"/>
      <c r="BB150" s="20"/>
      <c r="BC150" s="20"/>
      <c r="BD150" s="259"/>
      <c r="BE150" s="259"/>
      <c r="BF150" s="259"/>
      <c r="BG150" s="259"/>
      <c r="BH150" s="20"/>
      <c r="BI150" s="20"/>
      <c r="BJ150" s="259"/>
      <c r="BK150" s="259"/>
      <c r="BL150" s="259"/>
      <c r="BM150" s="259"/>
      <c r="BN150" s="20"/>
      <c r="BO150" s="20"/>
      <c r="BP150" s="259"/>
      <c r="BQ150" s="259"/>
      <c r="BR150" s="259"/>
      <c r="BS150" s="259"/>
      <c r="BT150" s="20"/>
      <c r="BU150" s="20"/>
      <c r="BV150" s="259"/>
      <c r="BW150" s="259"/>
      <c r="BX150" s="259"/>
      <c r="BY150" s="259"/>
      <c r="BZ150" s="20"/>
      <c r="CA150" s="20"/>
      <c r="CB150" s="259"/>
      <c r="CC150" s="259"/>
      <c r="CD150" s="259"/>
      <c r="CE150" s="259"/>
      <c r="CF150" s="325"/>
      <c r="CG150" s="956">
        <v>42917</v>
      </c>
      <c r="CH150" s="956">
        <v>43646</v>
      </c>
      <c r="CI150" s="957">
        <f>SUM(J150+P150+V150+AB150+AH150)</f>
        <v>346361</v>
      </c>
    </row>
    <row r="151" spans="1:97" ht="29.25" customHeight="1" thickBot="1">
      <c r="A151" s="8" t="str">
        <f>CONCATENATE('3 pr-2'!A152)</f>
        <v>2.1.3.1.4</v>
      </c>
      <c r="B151" s="18" t="str">
        <f>CONCATENATE('3 pr-2'!D152)</f>
        <v>Socialinių paslaugų infrastruktūros plėtra Druskininkų savivaldybėje</v>
      </c>
      <c r="C151" s="65">
        <v>0</v>
      </c>
      <c r="D151" s="65">
        <v>0</v>
      </c>
      <c r="E151" s="65">
        <v>0</v>
      </c>
      <c r="F151" s="257">
        <v>0</v>
      </c>
      <c r="G151" s="257">
        <v>0</v>
      </c>
      <c r="H151" s="257">
        <v>0</v>
      </c>
      <c r="I151" s="257">
        <v>0</v>
      </c>
      <c r="J151" s="65">
        <v>0</v>
      </c>
      <c r="K151" s="65">
        <f>SUM('ketv. 7 '!M150)</f>
        <v>7257</v>
      </c>
      <c r="L151" s="261">
        <f>SUM('ketv. 7 '!S150)</f>
        <v>0</v>
      </c>
      <c r="M151" s="261">
        <f>SUM('ketv. 7 '!X150)</f>
        <v>0</v>
      </c>
      <c r="N151" s="261">
        <f>SUM('ketv. 7 '!AB150)</f>
        <v>0</v>
      </c>
      <c r="O151" s="261">
        <f>SUM('ketv. 7 '!AG150)</f>
        <v>0</v>
      </c>
      <c r="P151" s="65">
        <f>SUM('ketv. 7 '!AM150)</f>
        <v>7257</v>
      </c>
      <c r="Q151" s="65">
        <f t="shared" si="333"/>
        <v>82485.423197492157</v>
      </c>
      <c r="R151" s="261">
        <f t="shared" si="334"/>
        <v>12995.830721003134</v>
      </c>
      <c r="S151" s="261">
        <f t="shared" si="335"/>
        <v>0</v>
      </c>
      <c r="T151" s="261">
        <f t="shared" si="336"/>
        <v>0</v>
      </c>
      <c r="U151" s="261">
        <f t="shared" si="337"/>
        <v>0</v>
      </c>
      <c r="V151" s="65">
        <f t="shared" si="338"/>
        <v>69489.592476489022</v>
      </c>
      <c r="W151" s="65">
        <f t="shared" si="339"/>
        <v>61694.576802507836</v>
      </c>
      <c r="X151" s="261">
        <f t="shared" si="340"/>
        <v>9720.1692789968656</v>
      </c>
      <c r="Y151" s="261">
        <f t="shared" si="341"/>
        <v>0</v>
      </c>
      <c r="Z151" s="261">
        <f t="shared" si="342"/>
        <v>0</v>
      </c>
      <c r="AA151" s="261">
        <f t="shared" si="343"/>
        <v>0</v>
      </c>
      <c r="AB151" s="65">
        <f t="shared" si="344"/>
        <v>51974.40752351097</v>
      </c>
      <c r="AC151" s="65">
        <v>0</v>
      </c>
      <c r="AD151" s="261">
        <v>0</v>
      </c>
      <c r="AE151" s="261">
        <v>0</v>
      </c>
      <c r="AF151" s="261">
        <v>0</v>
      </c>
      <c r="AG151" s="261">
        <v>0</v>
      </c>
      <c r="AH151" s="65">
        <v>0</v>
      </c>
      <c r="AI151" s="664">
        <f>SUM('3 pr-2'!L152)</f>
        <v>151437</v>
      </c>
      <c r="AJ151" s="904">
        <f t="shared" si="345"/>
        <v>144180</v>
      </c>
      <c r="AK151" s="257">
        <f>SUM('3 pr-2'!O152)</f>
        <v>22716</v>
      </c>
      <c r="AL151" s="904">
        <f t="shared" si="346"/>
        <v>22716</v>
      </c>
      <c r="AM151" s="257">
        <f>SUM('3 pr-2'!R152)</f>
        <v>0</v>
      </c>
      <c r="AN151" s="904">
        <f t="shared" si="347"/>
        <v>0</v>
      </c>
      <c r="AO151" s="257">
        <f>SUM('3 pr-2'!U152)</f>
        <v>0</v>
      </c>
      <c r="AP151" s="904">
        <f t="shared" si="348"/>
        <v>0</v>
      </c>
      <c r="AQ151" s="257">
        <f>SUM('3 pr-2'!X152)</f>
        <v>0</v>
      </c>
      <c r="AR151" s="904">
        <f t="shared" si="349"/>
        <v>0</v>
      </c>
      <c r="AS151" s="327">
        <f>SUM('3 pr-2'!AA152)</f>
        <v>128721</v>
      </c>
      <c r="AT151" s="904">
        <f t="shared" si="350"/>
        <v>121464</v>
      </c>
      <c r="AU151" s="889"/>
      <c r="AV151" s="20"/>
      <c r="AW151" s="20"/>
      <c r="AX151" s="257"/>
      <c r="AY151" s="257"/>
      <c r="AZ151" s="257"/>
      <c r="BA151" s="257"/>
      <c r="BB151" s="20"/>
      <c r="BC151" s="20"/>
      <c r="BD151" s="257"/>
      <c r="BE151" s="257"/>
      <c r="BF151" s="257"/>
      <c r="BG151" s="257"/>
      <c r="BH151" s="20"/>
      <c r="BI151" s="20"/>
      <c r="BJ151" s="257"/>
      <c r="BK151" s="257"/>
      <c r="BL151" s="257"/>
      <c r="BM151" s="257"/>
      <c r="BN151" s="20"/>
      <c r="BO151" s="20"/>
      <c r="BP151" s="257"/>
      <c r="BQ151" s="257"/>
      <c r="BR151" s="257"/>
      <c r="BS151" s="257"/>
      <c r="BT151" s="20"/>
      <c r="BU151" s="20"/>
      <c r="BV151" s="257"/>
      <c r="BW151" s="257"/>
      <c r="BX151" s="257"/>
      <c r="BY151" s="257"/>
      <c r="BZ151" s="20"/>
      <c r="CA151" s="20"/>
      <c r="CB151" s="257"/>
      <c r="CC151" s="257"/>
      <c r="CD151" s="257"/>
      <c r="CE151" s="257"/>
      <c r="CF151" s="325"/>
      <c r="CG151" s="956">
        <v>42826</v>
      </c>
      <c r="CH151" s="956">
        <v>43738</v>
      </c>
      <c r="CI151" s="957">
        <f>SUM(J151+P151+V151+AB151+AH151)</f>
        <v>128721</v>
      </c>
    </row>
    <row r="152" spans="1:97" ht="47.25" customHeight="1" thickBot="1">
      <c r="A152" s="8" t="str">
        <f>CONCATENATE('3 pr-2'!A153)</f>
        <v>2.1.3.1.5</v>
      </c>
      <c r="B152" s="18" t="str">
        <f>CONCATENATE('3 pr-2'!D153)</f>
        <v>Socialinių paslaugų infrastruktūros modernizavimas ir plėtra VšĮ Kapčiamiesčio globos namuose</v>
      </c>
      <c r="C152" s="65">
        <v>0</v>
      </c>
      <c r="D152" s="65">
        <v>0</v>
      </c>
      <c r="E152" s="65">
        <v>0</v>
      </c>
      <c r="F152" s="257">
        <v>0</v>
      </c>
      <c r="G152" s="257">
        <v>0</v>
      </c>
      <c r="H152" s="257">
        <v>0</v>
      </c>
      <c r="I152" s="257">
        <v>0</v>
      </c>
      <c r="J152" s="65">
        <v>0</v>
      </c>
      <c r="K152" s="65">
        <f>SUM('ketv. 7 '!M151)</f>
        <v>18431.32</v>
      </c>
      <c r="L152" s="261">
        <f>SUM('ketv. 7 '!S151)</f>
        <v>0</v>
      </c>
      <c r="M152" s="261">
        <f>SUM('ketv. 7 '!X151)</f>
        <v>2764.7</v>
      </c>
      <c r="N152" s="261">
        <f>SUM('ketv. 7 '!AB151)</f>
        <v>0</v>
      </c>
      <c r="O152" s="261">
        <f>SUM('ketv. 7 '!AG151)</f>
        <v>0</v>
      </c>
      <c r="P152" s="65">
        <f>SUM('ketv. 7 '!AM151)</f>
        <v>15666.62</v>
      </c>
      <c r="Q152" s="65">
        <f t="shared" si="333"/>
        <v>90638.841165048536</v>
      </c>
      <c r="R152" s="261">
        <f t="shared" si="334"/>
        <v>0</v>
      </c>
      <c r="S152" s="261">
        <f t="shared" si="335"/>
        <v>13595.824757281551</v>
      </c>
      <c r="T152" s="261">
        <f t="shared" si="336"/>
        <v>0</v>
      </c>
      <c r="U152" s="261">
        <f t="shared" si="337"/>
        <v>0</v>
      </c>
      <c r="V152" s="65">
        <f t="shared" si="338"/>
        <v>77043.016407766991</v>
      </c>
      <c r="W152" s="65">
        <f t="shared" si="339"/>
        <v>37248.838834951457</v>
      </c>
      <c r="X152" s="261">
        <f t="shared" si="340"/>
        <v>0</v>
      </c>
      <c r="Y152" s="261">
        <f t="shared" si="341"/>
        <v>5587.3252427184461</v>
      </c>
      <c r="Z152" s="261">
        <f t="shared" si="342"/>
        <v>0</v>
      </c>
      <c r="AA152" s="261">
        <f t="shared" si="343"/>
        <v>0</v>
      </c>
      <c r="AB152" s="65">
        <f t="shared" si="344"/>
        <v>31661.513592233008</v>
      </c>
      <c r="AC152" s="65">
        <v>0</v>
      </c>
      <c r="AD152" s="261">
        <v>0</v>
      </c>
      <c r="AE152" s="261">
        <v>0</v>
      </c>
      <c r="AF152" s="261">
        <v>0</v>
      </c>
      <c r="AG152" s="261">
        <v>0</v>
      </c>
      <c r="AH152" s="65">
        <v>0</v>
      </c>
      <c r="AI152" s="664">
        <f>SUM('3 pr-2'!L153)</f>
        <v>146319</v>
      </c>
      <c r="AJ152" s="904">
        <f t="shared" si="345"/>
        <v>127887.67999999999</v>
      </c>
      <c r="AK152" s="257">
        <f>SUM('3 pr-2'!O153)</f>
        <v>0</v>
      </c>
      <c r="AL152" s="904">
        <f t="shared" si="346"/>
        <v>0</v>
      </c>
      <c r="AM152" s="257">
        <f>SUM('3 pr-2'!R153)</f>
        <v>21947.85</v>
      </c>
      <c r="AN152" s="904">
        <f t="shared" si="347"/>
        <v>19183.149999999998</v>
      </c>
      <c r="AO152" s="257">
        <f>SUM('3 pr-2'!U153)</f>
        <v>0</v>
      </c>
      <c r="AP152" s="904">
        <f t="shared" si="348"/>
        <v>0</v>
      </c>
      <c r="AQ152" s="257">
        <f>SUM('3 pr-2'!X153)</f>
        <v>0</v>
      </c>
      <c r="AR152" s="904">
        <f t="shared" si="349"/>
        <v>0</v>
      </c>
      <c r="AS152" s="327">
        <f>SUM('3 pr-2'!AA153)</f>
        <v>124371.15</v>
      </c>
      <c r="AT152" s="904">
        <f t="shared" si="350"/>
        <v>108704.53</v>
      </c>
      <c r="AU152" s="889"/>
      <c r="AV152" s="20"/>
      <c r="AW152" s="20"/>
      <c r="AX152" s="257"/>
      <c r="AY152" s="257"/>
      <c r="AZ152" s="257"/>
      <c r="BA152" s="257"/>
      <c r="BB152" s="20"/>
      <c r="BC152" s="20"/>
      <c r="BD152" s="257"/>
      <c r="BE152" s="257"/>
      <c r="BF152" s="257"/>
      <c r="BG152" s="257"/>
      <c r="BH152" s="20"/>
      <c r="BI152" s="20"/>
      <c r="BJ152" s="257"/>
      <c r="BK152" s="257"/>
      <c r="BL152" s="257"/>
      <c r="BM152" s="257"/>
      <c r="BN152" s="20"/>
      <c r="BO152" s="20"/>
      <c r="BP152" s="257"/>
      <c r="BQ152" s="257"/>
      <c r="BR152" s="257"/>
      <c r="BS152" s="257"/>
      <c r="BT152" s="20"/>
      <c r="BU152" s="20"/>
      <c r="BV152" s="257"/>
      <c r="BW152" s="257"/>
      <c r="BX152" s="257"/>
      <c r="BY152" s="257"/>
      <c r="BZ152" s="20"/>
      <c r="CA152" s="20"/>
      <c r="CB152" s="257"/>
      <c r="CC152" s="257"/>
      <c r="CD152" s="257"/>
      <c r="CE152" s="257"/>
      <c r="CF152" s="325"/>
      <c r="CG152" s="891">
        <v>42826</v>
      </c>
      <c r="CH152" s="891">
        <v>43615</v>
      </c>
      <c r="CI152" s="957">
        <f>SUM(J152+P152+V152+AB152+AH152)</f>
        <v>124371.15</v>
      </c>
    </row>
    <row r="153" spans="1:97" ht="27" thickBot="1">
      <c r="A153" s="253" t="str">
        <f>CONCATENATE('3 pr-2'!A154)</f>
        <v>2.1.3.2</v>
      </c>
      <c r="B153" s="103" t="str">
        <f>CONCATENATE('3 pr-2'!B154)</f>
        <v>Priemonė:
Socialinio būsto fondo plėtra</v>
      </c>
      <c r="C153" s="901">
        <f t="shared" ref="C153" si="351">SUM(C154:C158)</f>
        <v>0</v>
      </c>
      <c r="D153" s="901">
        <f t="shared" ref="D153" si="352">SUM(D154:D158)</f>
        <v>0</v>
      </c>
      <c r="E153" s="946">
        <f t="shared" ref="E153" si="353">SUM(E154:E158)</f>
        <v>272169.55999999994</v>
      </c>
      <c r="F153" s="946">
        <f t="shared" ref="F153:I153" si="354">SUM(F154:F158)</f>
        <v>32621.908409610434</v>
      </c>
      <c r="G153" s="946">
        <f t="shared" si="354"/>
        <v>0</v>
      </c>
      <c r="H153" s="946">
        <f t="shared" si="354"/>
        <v>0</v>
      </c>
      <c r="I153" s="946">
        <f t="shared" si="354"/>
        <v>0</v>
      </c>
      <c r="J153" s="946">
        <f t="shared" ref="J153" si="355">SUM(J154:J158)</f>
        <v>239547.65159038958</v>
      </c>
      <c r="K153" s="946">
        <f t="shared" ref="K153" si="356">SUM(K154:K158)</f>
        <v>1145909.68</v>
      </c>
      <c r="L153" s="947">
        <f t="shared" ref="L153:O153" si="357">SUM(L154:L158)</f>
        <v>107101.09159038957</v>
      </c>
      <c r="M153" s="947">
        <f t="shared" si="357"/>
        <v>0</v>
      </c>
      <c r="N153" s="947">
        <f t="shared" si="357"/>
        <v>0</v>
      </c>
      <c r="O153" s="947">
        <f t="shared" si="357"/>
        <v>0</v>
      </c>
      <c r="P153" s="946">
        <f t="shared" ref="P153" si="358">SUM(P154:P158)</f>
        <v>1038808.5884096104</v>
      </c>
      <c r="Q153" s="946">
        <f t="shared" ref="Q153:U153" si="359">SUM(Q154:Q158)</f>
        <v>1191150.3908115148</v>
      </c>
      <c r="R153" s="946">
        <f t="shared" si="359"/>
        <v>232673.66205521987</v>
      </c>
      <c r="S153" s="946">
        <f t="shared" si="359"/>
        <v>0</v>
      </c>
      <c r="T153" s="946">
        <f t="shared" si="359"/>
        <v>0</v>
      </c>
      <c r="U153" s="946">
        <f t="shared" si="359"/>
        <v>0</v>
      </c>
      <c r="V153" s="946">
        <f t="shared" ref="V153:W153" si="360">SUM(V154:V158)</f>
        <v>958476.72875629494</v>
      </c>
      <c r="W153" s="946">
        <f t="shared" si="360"/>
        <v>356971.48918848514</v>
      </c>
      <c r="X153" s="946">
        <f t="shared" ref="X153:AA153" si="361">SUM(X154:X158)</f>
        <v>72830.817944780123</v>
      </c>
      <c r="Y153" s="946">
        <f t="shared" si="361"/>
        <v>0</v>
      </c>
      <c r="Z153" s="946">
        <f t="shared" si="361"/>
        <v>0</v>
      </c>
      <c r="AA153" s="946">
        <f t="shared" si="361"/>
        <v>0</v>
      </c>
      <c r="AB153" s="901">
        <f t="shared" ref="AB153" si="362">SUM(AB154:AB158)</f>
        <v>284140.67124370503</v>
      </c>
      <c r="AC153" s="901">
        <f t="shared" ref="AC153" si="363">SUM(AC154:AC158)</f>
        <v>0</v>
      </c>
      <c r="AD153" s="947"/>
      <c r="AE153" s="947"/>
      <c r="AF153" s="947"/>
      <c r="AG153" s="947"/>
      <c r="AH153" s="901">
        <f t="shared" ref="AH153" si="364">SUM(AH154:AH158)</f>
        <v>0</v>
      </c>
      <c r="AI153" s="902">
        <f>SUM(AI154:AI158)</f>
        <v>2966201.12</v>
      </c>
      <c r="AJ153" s="901"/>
      <c r="AK153" s="946"/>
      <c r="AL153" s="946"/>
      <c r="AM153" s="946"/>
      <c r="AN153" s="946"/>
      <c r="AO153" s="946"/>
      <c r="AP153" s="946"/>
      <c r="AQ153" s="946"/>
      <c r="AR153" s="946"/>
      <c r="AS153" s="901">
        <f>SUM(AS154:AS158)</f>
        <v>2520973.6399999997</v>
      </c>
      <c r="AT153" s="901"/>
      <c r="AU153" s="60">
        <f>SUM(AU154:AU158)</f>
        <v>2966201.12</v>
      </c>
      <c r="AV153" s="60">
        <f>SUM(AV154:AV158)</f>
        <v>2520973.6399999997</v>
      </c>
      <c r="AW153" s="20"/>
      <c r="AX153" s="946"/>
      <c r="AY153" s="946"/>
      <c r="AZ153" s="946"/>
      <c r="BA153" s="946"/>
      <c r="BB153" s="20"/>
      <c r="BC153" s="20"/>
      <c r="BD153" s="946"/>
      <c r="BE153" s="946"/>
      <c r="BF153" s="946"/>
      <c r="BG153" s="946"/>
      <c r="BH153" s="20"/>
      <c r="BI153" s="20"/>
      <c r="BJ153" s="946"/>
      <c r="BK153" s="946"/>
      <c r="BL153" s="946"/>
      <c r="BM153" s="946"/>
      <c r="BN153" s="20"/>
      <c r="BO153" s="20"/>
      <c r="BP153" s="946"/>
      <c r="BQ153" s="946"/>
      <c r="BR153" s="946"/>
      <c r="BS153" s="946"/>
      <c r="BT153" s="20"/>
      <c r="BU153" s="20"/>
      <c r="BV153" s="946"/>
      <c r="BW153" s="946"/>
      <c r="BX153" s="946"/>
      <c r="BY153" s="946"/>
      <c r="BZ153" s="20"/>
      <c r="CA153" s="20"/>
      <c r="CB153" s="946"/>
      <c r="CC153" s="946"/>
      <c r="CD153" s="946"/>
      <c r="CE153" s="946"/>
      <c r="CF153" s="325"/>
      <c r="CG153" s="19"/>
      <c r="CH153" s="19"/>
      <c r="CK153" s="21" t="s">
        <v>1588</v>
      </c>
      <c r="CL153" s="21" t="s">
        <v>1397</v>
      </c>
      <c r="CM153" s="21" t="s">
        <v>1398</v>
      </c>
      <c r="CN153" s="21" t="s">
        <v>1436</v>
      </c>
    </row>
    <row r="154" spans="1:97" ht="26.25" thickBot="1">
      <c r="A154" s="6" t="str">
        <f>CONCATENATE('3 pr-2'!A155)</f>
        <v>2.1.3.2.1</v>
      </c>
      <c r="B154" s="18" t="str">
        <f>CONCATENATE('3 pr-2'!D155)</f>
        <v>Socialinio būsto plėtra Varėnos rajone</v>
      </c>
      <c r="C154" s="61">
        <v>0</v>
      </c>
      <c r="D154" s="61">
        <v>0</v>
      </c>
      <c r="E154" s="278">
        <v>127124.84</v>
      </c>
      <c r="F154" s="263">
        <f>SUM(E154-J154)</f>
        <v>19068.725999999995</v>
      </c>
      <c r="G154" s="263">
        <v>0</v>
      </c>
      <c r="H154" s="263">
        <v>0</v>
      </c>
      <c r="I154" s="263">
        <v>0</v>
      </c>
      <c r="J154" s="278">
        <v>108056.114</v>
      </c>
      <c r="K154" s="278">
        <f>SUM('ketv. 7 '!M153-'IV-1 su proj'!E154)</f>
        <v>291725.48</v>
      </c>
      <c r="L154" s="263">
        <f>SUM('ketv. 7 '!S153-'IV-1 su proj'!F154)</f>
        <v>23770.204000000005</v>
      </c>
      <c r="M154" s="263">
        <v>0</v>
      </c>
      <c r="N154" s="263">
        <v>0</v>
      </c>
      <c r="O154" s="263">
        <v>0</v>
      </c>
      <c r="P154" s="278">
        <f>SUM('ketv. 7 '!AM153-'IV-1 su proj'!J154)</f>
        <v>267955.27600000001</v>
      </c>
      <c r="Q154" s="278">
        <f>IF(YEAR($CG154)=2015,($BI$4-$BC$4)*$AJ154/($CH154-$BC$4))</f>
        <v>181726.90940438875</v>
      </c>
      <c r="R154" s="263">
        <f>IF(YEAR($CG154)=2015,($BI$4-$BC$4)*$AL154/($CH154-$BC$4))</f>
        <v>38694.616849529782</v>
      </c>
      <c r="S154" s="263">
        <v>0</v>
      </c>
      <c r="T154" s="263">
        <v>0</v>
      </c>
      <c r="U154" s="263">
        <v>0</v>
      </c>
      <c r="V154" s="278">
        <f>IF(YEAR($CG154)=2015,($BI$4-$BC$4)*$AT154/($CH154-$BC$4))</f>
        <v>143032.29255485893</v>
      </c>
      <c r="W154" s="326">
        <f>IF(YEAR($CH154)=2019,($CH154-$BI$4)*$AJ154/($CH154-$BC$4),0)</f>
        <v>135921.77059561131</v>
      </c>
      <c r="X154" s="263">
        <f>IF(YEAR($CH154)=2019,($CH154-$BI$4)*$AL154/($CH154-$BC$4),0)</f>
        <v>28941.453150470225</v>
      </c>
      <c r="Y154" s="263">
        <v>0</v>
      </c>
      <c r="Z154" s="263">
        <v>0</v>
      </c>
      <c r="AA154" s="263">
        <v>0</v>
      </c>
      <c r="AB154" s="278">
        <f>IF(YEAR($CH154)=2019,($CH154-$BI$4)*$AT154/($CH154-$BC$4),0)</f>
        <v>106980.31744514107</v>
      </c>
      <c r="AC154" s="326">
        <v>0</v>
      </c>
      <c r="AD154" s="264">
        <v>0</v>
      </c>
      <c r="AE154" s="264">
        <v>0</v>
      </c>
      <c r="AF154" s="264">
        <v>0</v>
      </c>
      <c r="AG154" s="264">
        <v>0</v>
      </c>
      <c r="AH154" s="65">
        <v>0</v>
      </c>
      <c r="AI154" s="663">
        <f>SUM('3 pr-2'!L155)</f>
        <v>736499</v>
      </c>
      <c r="AJ154" s="958">
        <f>SUM(AI154-E154-K154)</f>
        <v>317648.68000000005</v>
      </c>
      <c r="AK154" s="257">
        <f>SUM('3 pr-2'!O155)</f>
        <v>110475</v>
      </c>
      <c r="AL154" s="958">
        <f>SUM(AK154-F154-L154)</f>
        <v>67636.070000000007</v>
      </c>
      <c r="AM154" s="257">
        <f>SUM('3 pr-2'!R155)</f>
        <v>0</v>
      </c>
      <c r="AN154" s="958"/>
      <c r="AO154" s="257">
        <f>SUM('3 pr-2'!U155)</f>
        <v>0</v>
      </c>
      <c r="AP154" s="958"/>
      <c r="AQ154" s="257">
        <f>SUM('3 pr-2'!X155)</f>
        <v>0</v>
      </c>
      <c r="AR154" s="958"/>
      <c r="AS154" s="94">
        <f>SUM('3 pr-2'!AA155)</f>
        <v>626024</v>
      </c>
      <c r="AT154" s="958">
        <f>SUM(AS154-J154-P154)</f>
        <v>250012.61</v>
      </c>
      <c r="AU154" s="60">
        <f>SUM(E154+K154+Q154+W154+AC154)</f>
        <v>736499</v>
      </c>
      <c r="AV154" s="60">
        <f>SUM(J154+P154+V154+AB154+AH154)</f>
        <v>626024</v>
      </c>
      <c r="AW154" s="20"/>
      <c r="AX154" s="260"/>
      <c r="AY154" s="260"/>
      <c r="AZ154" s="260"/>
      <c r="BA154" s="260"/>
      <c r="BB154" s="20"/>
      <c r="BC154" s="20"/>
      <c r="BD154" s="260"/>
      <c r="BE154" s="260"/>
      <c r="BF154" s="260"/>
      <c r="BG154" s="260"/>
      <c r="BH154" s="20"/>
      <c r="BI154" s="20"/>
      <c r="BJ154" s="260"/>
      <c r="BK154" s="260"/>
      <c r="BL154" s="260"/>
      <c r="BM154" s="260"/>
      <c r="BN154" s="20"/>
      <c r="BO154" s="20"/>
      <c r="BP154" s="260"/>
      <c r="BQ154" s="260"/>
      <c r="BR154" s="260"/>
      <c r="BS154" s="260"/>
      <c r="BT154" s="20"/>
      <c r="BU154" s="20"/>
      <c r="BV154" s="260"/>
      <c r="BW154" s="260"/>
      <c r="BX154" s="260"/>
      <c r="BY154" s="260"/>
      <c r="BZ154" s="20"/>
      <c r="CA154" s="20"/>
      <c r="CB154" s="260"/>
      <c r="CC154" s="260"/>
      <c r="CD154" s="260"/>
      <c r="CE154" s="260"/>
      <c r="CF154" s="325"/>
      <c r="CG154" s="436">
        <v>42296</v>
      </c>
      <c r="CH154" s="436">
        <v>43738</v>
      </c>
      <c r="CI154" s="957">
        <f>SUM(J154+P154+V154+AB154+AH154)</f>
        <v>626024</v>
      </c>
      <c r="CJ154" s="58">
        <f>SUM(AS154-CI154)</f>
        <v>0</v>
      </c>
      <c r="CK154" s="985">
        <f>SUM(AJ154/(CH154-CG154))</f>
        <v>220.28341192787798</v>
      </c>
      <c r="CL154" s="985">
        <f>SUM(AL154/(CH154-CG154))</f>
        <v>46.904348127600556</v>
      </c>
      <c r="CM154" s="985">
        <f>SUM(AN154/(CH154-CG154))</f>
        <v>0</v>
      </c>
      <c r="CN154" s="987">
        <f>SUM(AS154/(CH154-CG154))</f>
        <v>434.13592233009706</v>
      </c>
      <c r="CQ154" s="892">
        <f t="shared" ref="CQ154:CQ155" si="365">SUM(E154+K154+Q154+W154+AC154)</f>
        <v>736499</v>
      </c>
      <c r="CR154" s="893">
        <f t="shared" ref="CR154:CR155" si="366">SUM(J154+P154+V154+AB154+AH154)</f>
        <v>626024</v>
      </c>
    </row>
    <row r="155" spans="1:97" ht="41.25" customHeight="1" thickBot="1">
      <c r="A155" s="6" t="str">
        <f>CONCATENATE('3 pr-2'!A156)</f>
        <v>2.1.3.2.2</v>
      </c>
      <c r="B155" s="18" t="str">
        <f>CONCATENATE('3 pr-2'!D156)</f>
        <v>Būsto prieinamumo pažeidžiamoms gyventojų grupėms didinimas Alytaus rajone</v>
      </c>
      <c r="C155" s="82">
        <v>0</v>
      </c>
      <c r="D155" s="82">
        <v>0</v>
      </c>
      <c r="E155" s="278">
        <v>0</v>
      </c>
      <c r="F155" s="263">
        <v>0</v>
      </c>
      <c r="G155" s="263">
        <v>0</v>
      </c>
      <c r="H155" s="263">
        <v>0</v>
      </c>
      <c r="I155" s="263">
        <v>0</v>
      </c>
      <c r="J155" s="278">
        <v>0</v>
      </c>
      <c r="K155" s="278">
        <f>SUM('ketv. 7 '!M154-'IV-1 su proj'!E155)</f>
        <v>104787.71</v>
      </c>
      <c r="L155" s="263">
        <f>SUM('ketv. 7 '!S154-'IV-1 su proj'!F155)</f>
        <v>15718.16</v>
      </c>
      <c r="M155" s="263">
        <v>0</v>
      </c>
      <c r="N155" s="263">
        <v>0</v>
      </c>
      <c r="O155" s="263">
        <v>0</v>
      </c>
      <c r="P155" s="278">
        <f>SUM('ketv. 7 '!AM154-'IV-1 su proj'!J155)</f>
        <v>89069.55</v>
      </c>
      <c r="Q155" s="278">
        <f>SUM(R155:V155)</f>
        <v>78435.69098746081</v>
      </c>
      <c r="R155" s="263">
        <f>SUM(V155*AL155/AT155)</f>
        <v>11765.351645768025</v>
      </c>
      <c r="S155" s="261">
        <v>0</v>
      </c>
      <c r="T155" s="261">
        <v>0</v>
      </c>
      <c r="U155" s="261">
        <v>0</v>
      </c>
      <c r="V155" s="278">
        <f>IF(YEAR($CG155)=2016,($BI$4-$BC$4)*$AT155/($CH155-$BC$4))</f>
        <v>66670.339341692787</v>
      </c>
      <c r="W155" s="278">
        <f>SUM(X155:AB155)</f>
        <v>58665.599012539176</v>
      </c>
      <c r="X155" s="263">
        <f>SUM(AB155*AL155/AT155)</f>
        <v>8799.8383542319734</v>
      </c>
      <c r="Y155" s="261">
        <v>0</v>
      </c>
      <c r="Z155" s="261">
        <v>0</v>
      </c>
      <c r="AA155" s="261">
        <v>0</v>
      </c>
      <c r="AB155" s="278">
        <f>IF(YEAR($CH155)=2019,($CH155-$BI$4)*$AT155/($CH155-$BC$4),0)</f>
        <v>49865.760658307205</v>
      </c>
      <c r="AC155" s="326">
        <v>0</v>
      </c>
      <c r="AD155" s="264">
        <v>0</v>
      </c>
      <c r="AE155" s="264">
        <v>0</v>
      </c>
      <c r="AF155" s="264">
        <v>0</v>
      </c>
      <c r="AG155" s="264">
        <v>0</v>
      </c>
      <c r="AH155" s="65">
        <v>0</v>
      </c>
      <c r="AI155" s="663">
        <f>SUM('3 pr-2'!L156)</f>
        <v>241889</v>
      </c>
      <c r="AJ155" s="958">
        <f>SUM(AI155-E155)</f>
        <v>241889</v>
      </c>
      <c r="AK155" s="257">
        <f>SUM('3 pr-2'!O156)</f>
        <v>36283.35</v>
      </c>
      <c r="AL155" s="958">
        <f t="shared" ref="AL155:AL158" si="367">SUM(AK155-F155-L155)</f>
        <v>20565.189999999999</v>
      </c>
      <c r="AM155" s="257">
        <f>SUM('3 pr-2'!R156)</f>
        <v>0</v>
      </c>
      <c r="AN155" s="958"/>
      <c r="AO155" s="257">
        <f>SUM('3 pr-2'!U156)</f>
        <v>0</v>
      </c>
      <c r="AP155" s="958"/>
      <c r="AQ155" s="257">
        <f>SUM('3 pr-2'!X156)</f>
        <v>0</v>
      </c>
      <c r="AR155" s="958"/>
      <c r="AS155" s="94">
        <f>SUM('3 pr-2'!AA156)</f>
        <v>205605.65</v>
      </c>
      <c r="AT155" s="958">
        <f t="shared" ref="AT155:AT158" si="368">SUM(AS155-J155-P155)</f>
        <v>116536.09999999999</v>
      </c>
      <c r="AU155" s="60">
        <f>SUM(E155+K155+Q155+W155+AC155)</f>
        <v>241888.99999999997</v>
      </c>
      <c r="AV155" s="60">
        <f>SUM(J155+P155+V155+AB155+AH155)</f>
        <v>205605.65</v>
      </c>
      <c r="AW155" s="20"/>
      <c r="AX155" s="260"/>
      <c r="AY155" s="260"/>
      <c r="AZ155" s="260"/>
      <c r="BA155" s="260"/>
      <c r="BB155" s="20"/>
      <c r="BC155" s="20"/>
      <c r="BD155" s="260"/>
      <c r="BE155" s="260"/>
      <c r="BF155" s="260"/>
      <c r="BG155" s="260"/>
      <c r="BH155" s="20"/>
      <c r="BI155" s="20"/>
      <c r="BJ155" s="260"/>
      <c r="BK155" s="260"/>
      <c r="BL155" s="260"/>
      <c r="BM155" s="260"/>
      <c r="BN155" s="20"/>
      <c r="BO155" s="20"/>
      <c r="BP155" s="260"/>
      <c r="BQ155" s="260"/>
      <c r="BR155" s="260"/>
      <c r="BS155" s="260"/>
      <c r="BT155" s="20"/>
      <c r="BU155" s="20"/>
      <c r="BV155" s="260"/>
      <c r="BW155" s="260"/>
      <c r="BX155" s="260"/>
      <c r="BY155" s="260"/>
      <c r="BZ155" s="20"/>
      <c r="CA155" s="20"/>
      <c r="CB155" s="260"/>
      <c r="CC155" s="260"/>
      <c r="CD155" s="260"/>
      <c r="CE155" s="260"/>
      <c r="CF155" s="325"/>
      <c r="CG155" s="891">
        <v>42522</v>
      </c>
      <c r="CH155" s="436">
        <v>43738</v>
      </c>
      <c r="CI155" s="957">
        <f>SUM(J155+P155+V155+AB155+AH155)</f>
        <v>205605.65</v>
      </c>
      <c r="CJ155" s="58">
        <f>SUM(AS155-CI155)</f>
        <v>0</v>
      </c>
      <c r="CK155" s="985">
        <f t="shared" ref="CK155:CK158" si="369">SUM(AJ155/(CH155-CG155))</f>
        <v>198.921875</v>
      </c>
      <c r="CL155" s="985">
        <f t="shared" ref="CL155:CL158" si="370">SUM(AL155/(CH155-CG155))</f>
        <v>16.912162828947366</v>
      </c>
      <c r="CM155" s="985">
        <f t="shared" ref="CM155:CM158" si="371">SUM(AN155/(CH155-CG155))</f>
        <v>0</v>
      </c>
      <c r="CN155" s="987">
        <f>SUM(AT155/(CH155-CG155))</f>
        <v>95.83560855263157</v>
      </c>
      <c r="CQ155" s="892">
        <f t="shared" si="365"/>
        <v>241888.99999999997</v>
      </c>
      <c r="CR155" s="893">
        <f t="shared" si="366"/>
        <v>205605.65</v>
      </c>
    </row>
    <row r="156" spans="1:97" ht="29.25" customHeight="1" thickBot="1">
      <c r="A156" s="6" t="str">
        <f>CONCATENATE('3 pr-2'!A157)</f>
        <v>2.1.3.1.3</v>
      </c>
      <c r="B156" s="18" t="str">
        <f>CONCATENATE('3 pr-2'!D157)</f>
        <v>Socialinio būsto plėtra Alytaus mieste</v>
      </c>
      <c r="C156" s="65">
        <v>0</v>
      </c>
      <c r="D156" s="65">
        <v>0</v>
      </c>
      <c r="E156" s="82">
        <v>140910</v>
      </c>
      <c r="F156" s="259">
        <v>13512.41182894586</v>
      </c>
      <c r="G156" s="259">
        <v>0</v>
      </c>
      <c r="H156" s="259">
        <v>0</v>
      </c>
      <c r="I156" s="259">
        <v>0</v>
      </c>
      <c r="J156" s="82">
        <f>SUM(E156-F156)</f>
        <v>127397.58817105414</v>
      </c>
      <c r="K156" s="278">
        <f>SUM('ketv. 7 '!M155-'IV-1 su proj'!E156)</f>
        <v>450698.44999999995</v>
      </c>
      <c r="L156" s="263">
        <f>SUM('ketv. 7 '!S155-'IV-1 su proj'!F156)</f>
        <v>54092.358171054148</v>
      </c>
      <c r="M156" s="263">
        <v>0</v>
      </c>
      <c r="N156" s="263">
        <v>0</v>
      </c>
      <c r="O156" s="263">
        <v>0</v>
      </c>
      <c r="P156" s="278">
        <f>SUM('ketv. 7 '!AM155-'IV-1 su proj'!J156)</f>
        <v>396606.09182894585</v>
      </c>
      <c r="Q156" s="278">
        <f>SUM(W2-Q2)*CK156</f>
        <v>180773.01394389439</v>
      </c>
      <c r="R156" s="263">
        <f>SUM(W2-Q2)*CL156</f>
        <v>39846.682590759068</v>
      </c>
      <c r="S156" s="263">
        <v>0</v>
      </c>
      <c r="T156" s="263">
        <v>0</v>
      </c>
      <c r="U156" s="263">
        <v>0</v>
      </c>
      <c r="V156" s="278">
        <f>SUM(W2-Q2)*CN156</f>
        <v>140926.33135313532</v>
      </c>
      <c r="W156" s="326">
        <f>SUM(CH156-W2)*CK156</f>
        <v>119359.71605610561</v>
      </c>
      <c r="X156" s="263">
        <f>SUM(CH156-W2)*CL156</f>
        <v>26309.727409240917</v>
      </c>
      <c r="Y156" s="263">
        <v>0</v>
      </c>
      <c r="Z156" s="263">
        <v>0</v>
      </c>
      <c r="AA156" s="263">
        <v>0</v>
      </c>
      <c r="AB156" s="82">
        <f>SUM(CH156-W2)*CN156</f>
        <v>93049.988646864687</v>
      </c>
      <c r="AC156" s="326">
        <v>0</v>
      </c>
      <c r="AD156" s="263">
        <v>0</v>
      </c>
      <c r="AE156" s="263">
        <v>0</v>
      </c>
      <c r="AF156" s="263">
        <v>0</v>
      </c>
      <c r="AG156" s="263">
        <v>0</v>
      </c>
      <c r="AH156" s="82">
        <v>0</v>
      </c>
      <c r="AI156" s="663">
        <f>SUM('3 pr-2'!L157)</f>
        <v>891741.17999999993</v>
      </c>
      <c r="AJ156" s="958">
        <f>SUM(AI156-E156-K156)</f>
        <v>300132.73</v>
      </c>
      <c r="AK156" s="257">
        <f>SUM('3 pr-2'!O157)</f>
        <v>133761.18</v>
      </c>
      <c r="AL156" s="958">
        <f t="shared" si="367"/>
        <v>66156.409999999989</v>
      </c>
      <c r="AM156" s="257">
        <f>SUM('3 pr-2'!R157)</f>
        <v>0</v>
      </c>
      <c r="AN156" s="958"/>
      <c r="AO156" s="257">
        <f>SUM('3 pr-2'!U157)</f>
        <v>0</v>
      </c>
      <c r="AP156" s="958"/>
      <c r="AQ156" s="257">
        <f>SUM('3 pr-2'!X157)</f>
        <v>0</v>
      </c>
      <c r="AR156" s="958"/>
      <c r="AS156" s="94">
        <f>SUM('3 pr-2'!AA157)</f>
        <v>757980</v>
      </c>
      <c r="AT156" s="958">
        <f t="shared" si="368"/>
        <v>233976.32000000001</v>
      </c>
      <c r="AU156" s="60">
        <f>SUM(E156+K156+Q156+W156+AC156)</f>
        <v>891741.17999999993</v>
      </c>
      <c r="AV156" s="60">
        <f>SUM(J156+P156+V156+AB156+AH156)</f>
        <v>757980</v>
      </c>
      <c r="AW156" s="20"/>
      <c r="AX156" s="260"/>
      <c r="AY156" s="260"/>
      <c r="AZ156" s="260"/>
      <c r="BA156" s="260"/>
      <c r="BB156" s="20"/>
      <c r="BC156" s="20"/>
      <c r="BD156" s="260"/>
      <c r="BE156" s="260"/>
      <c r="BF156" s="260"/>
      <c r="BG156" s="260"/>
      <c r="BH156" s="20"/>
      <c r="BI156" s="20"/>
      <c r="BJ156" s="260"/>
      <c r="BK156" s="260"/>
      <c r="BL156" s="260"/>
      <c r="BM156" s="260"/>
      <c r="BN156" s="20"/>
      <c r="BO156" s="20"/>
      <c r="BP156" s="260"/>
      <c r="BQ156" s="260"/>
      <c r="BR156" s="260"/>
      <c r="BS156" s="260"/>
      <c r="BT156" s="20"/>
      <c r="BU156" s="20"/>
      <c r="BV156" s="260"/>
      <c r="BW156" s="260"/>
      <c r="BX156" s="260"/>
      <c r="BY156" s="260"/>
      <c r="BZ156" s="20"/>
      <c r="CA156" s="20"/>
      <c r="CB156" s="260"/>
      <c r="CC156" s="260"/>
      <c r="CD156" s="260"/>
      <c r="CE156" s="260"/>
      <c r="CF156" s="325"/>
      <c r="CG156" s="891">
        <f>SUM('3 pr-2'!AI157)</f>
        <v>42599</v>
      </c>
      <c r="CH156" s="891">
        <f>SUM('3 pr-2'!AK157)</f>
        <v>43707</v>
      </c>
      <c r="CI156" s="957">
        <f>SUM(J156+P156+V156+AB156+AH156)</f>
        <v>757980</v>
      </c>
      <c r="CJ156" s="58">
        <f>SUM(AS156-CI156)</f>
        <v>0</v>
      </c>
      <c r="CK156" s="985">
        <f>SUM(AJ156/(CH156-Q2))</f>
        <v>495.2685313531353</v>
      </c>
      <c r="CL156" s="985">
        <f>SUM(AL156/(CH156-Q2))</f>
        <v>109.16899339933991</v>
      </c>
      <c r="CM156" s="985">
        <f t="shared" si="371"/>
        <v>0</v>
      </c>
      <c r="CN156" s="987">
        <f>SUM(AT156/(CH156-Q2))</f>
        <v>386.09953795379539</v>
      </c>
      <c r="CQ156" s="892">
        <f t="shared" ref="CQ156:CQ158" si="372">SUM(E156+K156+Q156+W156+AC156)</f>
        <v>891741.17999999993</v>
      </c>
      <c r="CR156" s="893">
        <f t="shared" ref="CR156:CR158" si="373">SUM(J156+P156+V156+AB156+AH156)</f>
        <v>757980</v>
      </c>
      <c r="CS156" s="58">
        <f>SUM(AS156-CR156)</f>
        <v>0</v>
      </c>
    </row>
    <row r="157" spans="1:97" ht="26.25" thickBot="1">
      <c r="A157" s="6" t="str">
        <f>CONCATENATE('3 pr-2'!A158)</f>
        <v>2.1.3.2.4</v>
      </c>
      <c r="B157" s="18" t="str">
        <f>CONCATENATE('3 pr-2'!D158)</f>
        <v>Socialinio būsto fondo plėtra Druskininkų savivaldybėje</v>
      </c>
      <c r="C157" s="61">
        <v>0</v>
      </c>
      <c r="D157" s="61">
        <v>0</v>
      </c>
      <c r="E157" s="277">
        <v>0</v>
      </c>
      <c r="F157" s="261">
        <v>0</v>
      </c>
      <c r="G157" s="261">
        <v>0</v>
      </c>
      <c r="H157" s="261">
        <v>0</v>
      </c>
      <c r="I157" s="261">
        <v>0</v>
      </c>
      <c r="J157" s="277">
        <v>0</v>
      </c>
      <c r="K157" s="278">
        <f>SUM('ketv. 7 '!M156-'IV-1 su proj'!E157)</f>
        <v>153706.56</v>
      </c>
      <c r="L157" s="263">
        <f>SUM('ketv. 7 '!S156-'IV-1 su proj'!F157)</f>
        <v>2760.98</v>
      </c>
      <c r="M157" s="263">
        <v>0</v>
      </c>
      <c r="N157" s="263">
        <v>0</v>
      </c>
      <c r="O157" s="263">
        <v>0</v>
      </c>
      <c r="P157" s="278">
        <f>SUM('ketv. 7 '!AM156-'IV-1 su proj'!J157)</f>
        <v>150945.57999999999</v>
      </c>
      <c r="Q157" s="278">
        <f>SUM(R157:V157)</f>
        <v>573766.38</v>
      </c>
      <c r="R157" s="263">
        <f>SUM(V157*AL157/AT157)</f>
        <v>106359.96999999999</v>
      </c>
      <c r="S157" s="263">
        <v>0</v>
      </c>
      <c r="T157" s="263">
        <v>0</v>
      </c>
      <c r="U157" s="263">
        <v>0</v>
      </c>
      <c r="V157" s="278">
        <f>IF(YEAR($CG157)=2016,($CH157-$BC$4)*$AT157/($CH157-$BC$4))</f>
        <v>467406.41</v>
      </c>
      <c r="W157" s="277">
        <v>0</v>
      </c>
      <c r="X157" s="263">
        <v>0</v>
      </c>
      <c r="Y157" s="263">
        <v>0</v>
      </c>
      <c r="Z157" s="263">
        <v>0</v>
      </c>
      <c r="AA157" s="263">
        <v>0</v>
      </c>
      <c r="AB157" s="277">
        <v>0</v>
      </c>
      <c r="AC157" s="326">
        <v>0</v>
      </c>
      <c r="AD157" s="264">
        <v>0</v>
      </c>
      <c r="AE157" s="264">
        <v>0</v>
      </c>
      <c r="AF157" s="264">
        <v>0</v>
      </c>
      <c r="AG157" s="264">
        <v>0</v>
      </c>
      <c r="AH157" s="65">
        <v>0</v>
      </c>
      <c r="AI157" s="663">
        <f>SUM('3 pr-2'!L158)</f>
        <v>727472.94</v>
      </c>
      <c r="AJ157" s="958">
        <f>SUM(AI157-E157)</f>
        <v>727472.94</v>
      </c>
      <c r="AK157" s="257">
        <f>SUM('3 pr-2'!O158)</f>
        <v>109120.95</v>
      </c>
      <c r="AL157" s="958">
        <f t="shared" si="367"/>
        <v>106359.97</v>
      </c>
      <c r="AM157" s="257">
        <f>SUM('3 pr-2'!R158)</f>
        <v>0</v>
      </c>
      <c r="AN157" s="958"/>
      <c r="AO157" s="257">
        <f>SUM('3 pr-2'!U158)</f>
        <v>0</v>
      </c>
      <c r="AP157" s="958"/>
      <c r="AQ157" s="257">
        <f>SUM('3 pr-2'!X158)</f>
        <v>0</v>
      </c>
      <c r="AR157" s="958"/>
      <c r="AS157" s="94">
        <f>SUM('3 pr-2'!AA158)</f>
        <v>618351.99</v>
      </c>
      <c r="AT157" s="958">
        <f t="shared" si="368"/>
        <v>467406.41000000003</v>
      </c>
      <c r="AU157" s="60">
        <f>SUM(E157+K157+Q157+W157+AC157)</f>
        <v>727472.94</v>
      </c>
      <c r="AV157" s="60">
        <f>SUM(J157+P157+V157+AB157+AH157)</f>
        <v>618351.99</v>
      </c>
      <c r="AW157" s="20"/>
      <c r="AX157" s="260"/>
      <c r="AY157" s="260"/>
      <c r="AZ157" s="260"/>
      <c r="BA157" s="260"/>
      <c r="BB157" s="20"/>
      <c r="BC157" s="20"/>
      <c r="BD157" s="260"/>
      <c r="BE157" s="260"/>
      <c r="BF157" s="260"/>
      <c r="BG157" s="260"/>
      <c r="BH157" s="20"/>
      <c r="BI157" s="20"/>
      <c r="BJ157" s="260"/>
      <c r="BK157" s="260"/>
      <c r="BL157" s="260"/>
      <c r="BM157" s="260"/>
      <c r="BN157" s="20"/>
      <c r="BO157" s="20"/>
      <c r="BP157" s="260"/>
      <c r="BQ157" s="260"/>
      <c r="BR157" s="260"/>
      <c r="BS157" s="260"/>
      <c r="BT157" s="20"/>
      <c r="BU157" s="20"/>
      <c r="BV157" s="260"/>
      <c r="BW157" s="260"/>
      <c r="BX157" s="260"/>
      <c r="BY157" s="260"/>
      <c r="BZ157" s="20"/>
      <c r="CA157" s="20"/>
      <c r="CB157" s="260"/>
      <c r="CC157" s="260"/>
      <c r="CD157" s="260"/>
      <c r="CE157" s="260"/>
      <c r="CF157" s="325"/>
      <c r="CG157" s="891">
        <v>42583</v>
      </c>
      <c r="CH157" s="891">
        <v>43250</v>
      </c>
      <c r="CI157" s="957">
        <f>SUM(J157+P157+V157+AB157+AH157)</f>
        <v>618351.99</v>
      </c>
      <c r="CJ157" s="58">
        <f>SUM(AS157-CI157)</f>
        <v>0</v>
      </c>
      <c r="CK157" s="985">
        <f t="shared" si="369"/>
        <v>1090.6640779610193</v>
      </c>
      <c r="CL157" s="985">
        <f t="shared" si="370"/>
        <v>159.46022488755622</v>
      </c>
      <c r="CM157" s="985">
        <f t="shared" si="371"/>
        <v>0</v>
      </c>
      <c r="CN157" s="987">
        <f t="shared" ref="CN157:CN158" si="374">SUM(AT157/(CH157-CG157))</f>
        <v>700.75923538230893</v>
      </c>
      <c r="CQ157" s="892">
        <f t="shared" si="372"/>
        <v>727472.94</v>
      </c>
      <c r="CR157" s="893">
        <f t="shared" si="373"/>
        <v>618351.99</v>
      </c>
    </row>
    <row r="158" spans="1:97" ht="42.75" customHeight="1" thickBot="1">
      <c r="A158" s="6" t="str">
        <f>CONCATENATE('3 pr-2'!A159)</f>
        <v>2.1.3.2.5</v>
      </c>
      <c r="B158" s="18" t="str">
        <f>CONCATENATE('3 pr-2'!D159)</f>
        <v>Socialinio būsto fondo plėtra Lazdijų rajono savivaldybėje</v>
      </c>
      <c r="C158" s="65">
        <v>0</v>
      </c>
      <c r="D158" s="65">
        <v>0</v>
      </c>
      <c r="E158" s="278">
        <v>4134.72</v>
      </c>
      <c r="F158" s="263">
        <v>40.770580664578119</v>
      </c>
      <c r="G158" s="263">
        <v>0</v>
      </c>
      <c r="H158" s="263">
        <v>0</v>
      </c>
      <c r="I158" s="263">
        <v>0</v>
      </c>
      <c r="J158" s="278">
        <v>4093.9494193354221</v>
      </c>
      <c r="K158" s="278">
        <f>SUM('ketv. 7 '!M157-'IV-1 su proj'!E158)</f>
        <v>144991.48000000001</v>
      </c>
      <c r="L158" s="263">
        <f>SUM('ketv. 7 '!S157-'IV-1 su proj'!F158)</f>
        <v>10759.389419335421</v>
      </c>
      <c r="M158" s="263">
        <v>0</v>
      </c>
      <c r="N158" s="263">
        <v>0</v>
      </c>
      <c r="O158" s="263">
        <v>0</v>
      </c>
      <c r="P158" s="278">
        <f>SUM('ketv. 7 '!AM157-'IV-1 su proj'!J158)</f>
        <v>134232.09058066458</v>
      </c>
      <c r="Q158" s="278">
        <f>SUM(R158:V158)</f>
        <v>176448.39647577095</v>
      </c>
      <c r="R158" s="263">
        <f>SUM(V158*AL158/AT158)</f>
        <v>36007.040969162997</v>
      </c>
      <c r="S158" s="261">
        <v>0</v>
      </c>
      <c r="T158" s="261">
        <v>0</v>
      </c>
      <c r="U158" s="261">
        <v>0</v>
      </c>
      <c r="V158" s="278">
        <f>IF(YEAR($CG158)=2016,($BI$4-$BC$4)*$AT158/($CH158-$BC$4))</f>
        <v>140441.35550660794</v>
      </c>
      <c r="W158" s="278">
        <f>SUM(X158:AB158)</f>
        <v>43024.403524229077</v>
      </c>
      <c r="X158" s="263">
        <f>SUM(AB158*AL158/AT158)</f>
        <v>8779.7990308370045</v>
      </c>
      <c r="Y158" s="261">
        <v>0</v>
      </c>
      <c r="Z158" s="261">
        <v>0</v>
      </c>
      <c r="AA158" s="261">
        <v>0</v>
      </c>
      <c r="AB158" s="278">
        <f>IF(YEAR($CH158)=2019,($CH158-$BI$4)*$AT158/($CH158-$BC$4),0)</f>
        <v>34244.604493392071</v>
      </c>
      <c r="AC158" s="326">
        <v>0</v>
      </c>
      <c r="AD158" s="264">
        <v>0</v>
      </c>
      <c r="AE158" s="264">
        <v>0</v>
      </c>
      <c r="AF158" s="264">
        <v>0</v>
      </c>
      <c r="AG158" s="264">
        <v>0</v>
      </c>
      <c r="AH158" s="65">
        <v>0</v>
      </c>
      <c r="AI158" s="663">
        <f>SUM('3 pr-2'!L159)</f>
        <v>368599</v>
      </c>
      <c r="AJ158" s="958">
        <f>SUM(AI158-E158)</f>
        <v>364464.28</v>
      </c>
      <c r="AK158" s="257">
        <f>SUM('3 pr-2'!O159)</f>
        <v>55587</v>
      </c>
      <c r="AL158" s="958">
        <f t="shared" si="367"/>
        <v>44786.840000000004</v>
      </c>
      <c r="AM158" s="257">
        <f>SUM('3 pr-2'!R159)</f>
        <v>0</v>
      </c>
      <c r="AN158" s="958"/>
      <c r="AO158" s="257">
        <f>SUM('3 pr-2'!U159)</f>
        <v>0</v>
      </c>
      <c r="AP158" s="958"/>
      <c r="AQ158" s="257">
        <f>SUM('3 pr-2'!X159)</f>
        <v>0</v>
      </c>
      <c r="AR158" s="958"/>
      <c r="AS158" s="94">
        <f>SUM('3 pr-2'!AA159)</f>
        <v>313012</v>
      </c>
      <c r="AT158" s="958">
        <f t="shared" si="368"/>
        <v>174685.96000000002</v>
      </c>
      <c r="AU158" s="60">
        <f>SUM(E158+K158+Q158+W158+AC158)</f>
        <v>368599</v>
      </c>
      <c r="AV158" s="60">
        <f>SUM(J158+P158+V158+AB158+AH158)</f>
        <v>313012</v>
      </c>
      <c r="AW158" s="20"/>
      <c r="AX158" s="260"/>
      <c r="AY158" s="260"/>
      <c r="AZ158" s="260"/>
      <c r="BA158" s="260"/>
      <c r="BB158" s="20"/>
      <c r="BC158" s="20"/>
      <c r="BD158" s="260"/>
      <c r="BE158" s="260"/>
      <c r="BF158" s="260"/>
      <c r="BG158" s="260"/>
      <c r="BH158" s="20"/>
      <c r="BI158" s="20"/>
      <c r="BJ158" s="260"/>
      <c r="BK158" s="260"/>
      <c r="BL158" s="260"/>
      <c r="BM158" s="260"/>
      <c r="BN158" s="20"/>
      <c r="BO158" s="20"/>
      <c r="BP158" s="260"/>
      <c r="BQ158" s="260"/>
      <c r="BR158" s="260"/>
      <c r="BS158" s="260"/>
      <c r="BT158" s="20"/>
      <c r="BU158" s="20"/>
      <c r="BV158" s="260"/>
      <c r="BW158" s="260"/>
      <c r="BX158" s="260"/>
      <c r="BY158" s="260"/>
      <c r="BZ158" s="20"/>
      <c r="CA158" s="20"/>
      <c r="CB158" s="260"/>
      <c r="CC158" s="260"/>
      <c r="CD158" s="260"/>
      <c r="CE158" s="260"/>
      <c r="CF158" s="325"/>
      <c r="CG158" s="891">
        <v>42522</v>
      </c>
      <c r="CH158" s="891">
        <v>43554</v>
      </c>
      <c r="CI158" s="957">
        <f>SUM(J158+P158+V158+AB158+AH158)</f>
        <v>313012</v>
      </c>
      <c r="CJ158" s="58">
        <f>SUM(AS158-CI158)</f>
        <v>0</v>
      </c>
      <c r="CK158" s="985">
        <f t="shared" si="369"/>
        <v>353.1630620155039</v>
      </c>
      <c r="CL158" s="985">
        <f t="shared" si="370"/>
        <v>43.398100775193804</v>
      </c>
      <c r="CM158" s="985">
        <f t="shared" si="371"/>
        <v>0</v>
      </c>
      <c r="CN158" s="987">
        <f t="shared" si="374"/>
        <v>169.26934108527135</v>
      </c>
      <c r="CQ158" s="892">
        <f t="shared" si="372"/>
        <v>368599</v>
      </c>
      <c r="CR158" s="893">
        <f t="shared" si="373"/>
        <v>313012</v>
      </c>
    </row>
    <row r="159" spans="1:97" ht="65.25" thickBot="1">
      <c r="A159" s="254" t="str">
        <f>CONCATENATE('3 pr-2'!A160)</f>
        <v>2.1.4.</v>
      </c>
      <c r="B159" s="102" t="str">
        <f>CONCATENATE('3 pr-2'!B160)</f>
        <v>Uždavinys:
Visuomenei teikiamų paslaugų kokybės, didinant jų atitikimo visuomenės poreikiams pagerinimas</v>
      </c>
      <c r="C159" s="95">
        <f t="shared" ref="C159:AS159" si="375">SUM(C160)</f>
        <v>0</v>
      </c>
      <c r="D159" s="95">
        <f t="shared" si="375"/>
        <v>0</v>
      </c>
      <c r="E159" s="95">
        <f t="shared" si="375"/>
        <v>0</v>
      </c>
      <c r="F159" s="95">
        <f t="shared" si="375"/>
        <v>0</v>
      </c>
      <c r="G159" s="95"/>
      <c r="H159" s="95"/>
      <c r="I159" s="95"/>
      <c r="J159" s="95">
        <f t="shared" si="375"/>
        <v>0</v>
      </c>
      <c r="K159" s="95">
        <f t="shared" si="375"/>
        <v>0</v>
      </c>
      <c r="L159" s="955">
        <f t="shared" si="375"/>
        <v>0</v>
      </c>
      <c r="M159" s="955">
        <f t="shared" si="375"/>
        <v>0</v>
      </c>
      <c r="N159" s="955">
        <f t="shared" si="375"/>
        <v>0</v>
      </c>
      <c r="O159" s="955">
        <f t="shared" si="375"/>
        <v>0</v>
      </c>
      <c r="P159" s="95">
        <f t="shared" si="375"/>
        <v>0</v>
      </c>
      <c r="Q159" s="95">
        <f t="shared" si="375"/>
        <v>284039.62597476691</v>
      </c>
      <c r="R159" s="955"/>
      <c r="S159" s="955"/>
      <c r="T159" s="955"/>
      <c r="U159" s="955"/>
      <c r="V159" s="95">
        <f t="shared" si="375"/>
        <v>241398.76196705305</v>
      </c>
      <c r="W159" s="95">
        <f t="shared" si="375"/>
        <v>444078.20022039925</v>
      </c>
      <c r="X159" s="955"/>
      <c r="Y159" s="955"/>
      <c r="Z159" s="955"/>
      <c r="AA159" s="955"/>
      <c r="AB159" s="95">
        <f t="shared" si="375"/>
        <v>377411.17110312328</v>
      </c>
      <c r="AC159" s="95">
        <f t="shared" si="375"/>
        <v>378869.90380483388</v>
      </c>
      <c r="AD159" s="955"/>
      <c r="AE159" s="955"/>
      <c r="AF159" s="955"/>
      <c r="AG159" s="955"/>
      <c r="AH159" s="95">
        <f t="shared" si="375"/>
        <v>321997.90692982357</v>
      </c>
      <c r="AI159" s="665">
        <f t="shared" si="375"/>
        <v>1106987.73</v>
      </c>
      <c r="AJ159" s="95">
        <v>404791.7</v>
      </c>
      <c r="AK159" s="95"/>
      <c r="AL159" s="95"/>
      <c r="AM159" s="95"/>
      <c r="AN159" s="95"/>
      <c r="AO159" s="95"/>
      <c r="AP159" s="95"/>
      <c r="AQ159" s="95"/>
      <c r="AR159" s="95"/>
      <c r="AS159" s="95">
        <f t="shared" si="375"/>
        <v>940807.84000000008</v>
      </c>
      <c r="AT159" s="435"/>
      <c r="AX159" s="95"/>
      <c r="AY159" s="95"/>
      <c r="AZ159" s="95"/>
      <c r="BA159" s="95"/>
      <c r="BD159" s="95"/>
      <c r="BE159" s="95"/>
      <c r="BF159" s="95"/>
      <c r="BG159" s="95"/>
      <c r="BJ159" s="95"/>
      <c r="BK159" s="95"/>
      <c r="BL159" s="95"/>
      <c r="BM159" s="95"/>
      <c r="BP159" s="95"/>
      <c r="BQ159" s="95"/>
      <c r="BR159" s="95"/>
      <c r="BS159" s="95"/>
      <c r="BV159" s="95"/>
      <c r="BW159" s="95"/>
      <c r="BX159" s="95"/>
      <c r="BY159" s="95"/>
      <c r="CB159" s="95"/>
      <c r="CC159" s="95"/>
      <c r="CD159" s="95"/>
      <c r="CE159" s="95"/>
      <c r="CG159" s="19"/>
      <c r="CH159" s="19"/>
    </row>
    <row r="160" spans="1:97" ht="52.5" thickBot="1">
      <c r="A160" s="253" t="str">
        <f>CONCATENATE('3 pr-2'!A161)</f>
        <v>2.1.4.1</v>
      </c>
      <c r="B160" s="103" t="str">
        <f>CONCATENATE('3 pr-2'!B161)</f>
        <v>Priemonė:
Paslaugų teikimo ir asmenų aptarnavimo kokybės gerinimas savivaldybėse</v>
      </c>
      <c r="C160" s="901">
        <f>SUM(C161:C166)</f>
        <v>0</v>
      </c>
      <c r="D160" s="901">
        <f t="shared" ref="D160:AS160" si="376">SUM(D161:D166)</f>
        <v>0</v>
      </c>
      <c r="E160" s="901">
        <f t="shared" si="376"/>
        <v>0</v>
      </c>
      <c r="F160" s="901">
        <f t="shared" si="376"/>
        <v>0</v>
      </c>
      <c r="G160" s="901">
        <f t="shared" si="376"/>
        <v>0</v>
      </c>
      <c r="H160" s="901">
        <f t="shared" si="376"/>
        <v>0</v>
      </c>
      <c r="I160" s="901">
        <f t="shared" si="376"/>
        <v>0</v>
      </c>
      <c r="J160" s="901">
        <f t="shared" si="376"/>
        <v>0</v>
      </c>
      <c r="K160" s="901">
        <f t="shared" si="376"/>
        <v>0</v>
      </c>
      <c r="L160" s="901">
        <f t="shared" si="376"/>
        <v>0</v>
      </c>
      <c r="M160" s="901">
        <f t="shared" si="376"/>
        <v>0</v>
      </c>
      <c r="N160" s="901">
        <f t="shared" si="376"/>
        <v>0</v>
      </c>
      <c r="O160" s="901">
        <f t="shared" si="376"/>
        <v>0</v>
      </c>
      <c r="P160" s="901">
        <f t="shared" si="376"/>
        <v>0</v>
      </c>
      <c r="Q160" s="901">
        <f t="shared" si="376"/>
        <v>284039.62597476691</v>
      </c>
      <c r="R160" s="901">
        <f t="shared" si="376"/>
        <v>42640.864007713812</v>
      </c>
      <c r="S160" s="901">
        <f t="shared" si="376"/>
        <v>0</v>
      </c>
      <c r="T160" s="901">
        <f t="shared" si="376"/>
        <v>0</v>
      </c>
      <c r="U160" s="901">
        <f t="shared" si="376"/>
        <v>0</v>
      </c>
      <c r="V160" s="901">
        <f t="shared" si="376"/>
        <v>241398.76196705305</v>
      </c>
      <c r="W160" s="901">
        <f t="shared" si="376"/>
        <v>444078.20022039925</v>
      </c>
      <c r="X160" s="901">
        <f t="shared" si="376"/>
        <v>66667.029117275917</v>
      </c>
      <c r="Y160" s="901">
        <f t="shared" si="376"/>
        <v>0</v>
      </c>
      <c r="Z160" s="901">
        <f t="shared" si="376"/>
        <v>0</v>
      </c>
      <c r="AA160" s="901">
        <f t="shared" si="376"/>
        <v>0</v>
      </c>
      <c r="AB160" s="901">
        <f t="shared" si="376"/>
        <v>377411.17110312328</v>
      </c>
      <c r="AC160" s="901">
        <f t="shared" si="376"/>
        <v>378869.90380483388</v>
      </c>
      <c r="AD160" s="901">
        <f t="shared" si="376"/>
        <v>56871.996875010271</v>
      </c>
      <c r="AE160" s="901">
        <f t="shared" si="376"/>
        <v>0</v>
      </c>
      <c r="AF160" s="901">
        <f t="shared" si="376"/>
        <v>0</v>
      </c>
      <c r="AG160" s="901">
        <f t="shared" si="376"/>
        <v>0</v>
      </c>
      <c r="AH160" s="901">
        <f t="shared" si="376"/>
        <v>321997.90692982357</v>
      </c>
      <c r="AI160" s="902">
        <f t="shared" si="376"/>
        <v>1106987.73</v>
      </c>
      <c r="AJ160" s="901"/>
      <c r="AK160" s="901">
        <f t="shared" si="376"/>
        <v>166179.88999999998</v>
      </c>
      <c r="AL160" s="901"/>
      <c r="AM160" s="901">
        <f t="shared" si="376"/>
        <v>0</v>
      </c>
      <c r="AN160" s="901"/>
      <c r="AO160" s="901">
        <f t="shared" si="376"/>
        <v>0</v>
      </c>
      <c r="AP160" s="901"/>
      <c r="AQ160" s="901">
        <f t="shared" si="376"/>
        <v>0</v>
      </c>
      <c r="AR160" s="901"/>
      <c r="AS160" s="901">
        <f t="shared" si="376"/>
        <v>940807.84000000008</v>
      </c>
      <c r="AT160" s="901"/>
      <c r="AU160" s="889"/>
      <c r="AV160" s="20"/>
      <c r="AW160" s="20"/>
      <c r="AX160" s="901"/>
      <c r="AY160" s="901"/>
      <c r="AZ160" s="901"/>
      <c r="BA160" s="901"/>
      <c r="BB160" s="20"/>
      <c r="BC160" s="20"/>
      <c r="BD160" s="901"/>
      <c r="BE160" s="901"/>
      <c r="BF160" s="901"/>
      <c r="BG160" s="901"/>
      <c r="BH160" s="20"/>
      <c r="BI160" s="20"/>
      <c r="BJ160" s="901"/>
      <c r="BK160" s="901"/>
      <c r="BL160" s="901"/>
      <c r="BM160" s="901"/>
      <c r="BN160" s="20"/>
      <c r="BO160" s="20"/>
      <c r="BP160" s="901"/>
      <c r="BQ160" s="901"/>
      <c r="BR160" s="901"/>
      <c r="BS160" s="901"/>
      <c r="BT160" s="20"/>
      <c r="BU160" s="20"/>
      <c r="BV160" s="901"/>
      <c r="BW160" s="901"/>
      <c r="BX160" s="901"/>
      <c r="BY160" s="901"/>
      <c r="BZ160" s="20"/>
      <c r="CA160" s="20"/>
      <c r="CB160" s="901"/>
      <c r="CC160" s="901"/>
      <c r="CD160" s="901"/>
      <c r="CE160" s="901"/>
      <c r="CF160" s="325"/>
      <c r="CG160" s="19"/>
      <c r="CH160" s="19"/>
      <c r="CK160" s="21" t="s">
        <v>1588</v>
      </c>
      <c r="CL160" s="21" t="s">
        <v>1397</v>
      </c>
      <c r="CM160" s="21" t="s">
        <v>1398</v>
      </c>
      <c r="CN160" s="21" t="s">
        <v>1436</v>
      </c>
    </row>
    <row r="161" spans="1:96" ht="39" thickBot="1">
      <c r="A161" s="6" t="str">
        <f>CONCATENATE('3 pr-2'!A162)</f>
        <v>2.1.4.1.1</v>
      </c>
      <c r="B161" s="18" t="str">
        <f>CONCATENATE('3 pr-2'!D162)</f>
        <v>Paslaugų teikimo ir asmenų aptarnavimo kokybės gerinimas Varėnos rajono savivaldybėje</v>
      </c>
      <c r="C161" s="61">
        <f t="shared" ref="C161:C166" si="377">SUM(AI161*AU161/CA161)</f>
        <v>0</v>
      </c>
      <c r="D161" s="61">
        <f>SUM(AS161*AV161/CF161)</f>
        <v>0</v>
      </c>
      <c r="E161" s="61">
        <f t="shared" ref="E161:E166" si="378">SUM(AI161*AW161/CA161)</f>
        <v>0</v>
      </c>
      <c r="F161" s="257">
        <f t="shared" ref="F161:F165" si="379">SUM(AK161*AX161/CB161)</f>
        <v>0</v>
      </c>
      <c r="G161" s="257">
        <f t="shared" ref="G161:G165" si="380">SUM(AM161*AY161/CC161)</f>
        <v>0</v>
      </c>
      <c r="H161" s="257">
        <f t="shared" ref="H161:H165" si="381">SUM(AO161*AZ161/CD161)</f>
        <v>0</v>
      </c>
      <c r="I161" s="257">
        <f t="shared" ref="I161:I165" si="382">SUM(AQ161*BA161/CE161)</f>
        <v>0</v>
      </c>
      <c r="J161" s="61">
        <f>SUM(AS161*BB161/CF161)</f>
        <v>0</v>
      </c>
      <c r="K161" s="61">
        <f t="shared" ref="K161:K166" si="383">SUM(AI161*BC161/CA161)</f>
        <v>0</v>
      </c>
      <c r="L161" s="261">
        <f t="shared" ref="L161:L165" si="384">SUM(AK161*BD161/CB161)</f>
        <v>0</v>
      </c>
      <c r="M161" s="261">
        <f t="shared" ref="M161:M165" si="385">SUM(AM161*BE161/CC161)</f>
        <v>0</v>
      </c>
      <c r="N161" s="261">
        <f t="shared" ref="N161:N165" si="386">SUM(AO161*BF161/CD161)</f>
        <v>0</v>
      </c>
      <c r="O161" s="261">
        <f t="shared" ref="O161:O165" si="387">SUM(AQ161*BG161/CE161)</f>
        <v>0</v>
      </c>
      <c r="P161" s="61">
        <f>SUM(AS161*BH161/CF161)</f>
        <v>0</v>
      </c>
      <c r="Q161" s="277">
        <f>SUM($Q$3-CG161)*CK161</f>
        <v>81755.547705627701</v>
      </c>
      <c r="R161" s="262">
        <f>SUM($Q$3-CG161)*CL161</f>
        <v>12263.333102453102</v>
      </c>
      <c r="S161" s="262">
        <f>SUM($Q$3-CG161)*CM161</f>
        <v>0</v>
      </c>
      <c r="T161" s="262">
        <v>0</v>
      </c>
      <c r="U161" s="262">
        <v>0</v>
      </c>
      <c r="V161" s="277">
        <f>SUM($Q$3-CG161)*CN161</f>
        <v>69492.214603174594</v>
      </c>
      <c r="W161" s="277">
        <f>SUM($CH$161-$Q$3)*CK161</f>
        <v>90977.972294372288</v>
      </c>
      <c r="X161" s="262">
        <f>SUM($CH$161-$Q$3)*CL161</f>
        <v>13646.696897546897</v>
      </c>
      <c r="Y161" s="262">
        <f>SUM($CH$161-$Q$3)*CM161</f>
        <v>0</v>
      </c>
      <c r="Z161" s="262">
        <v>0</v>
      </c>
      <c r="AA161" s="262">
        <v>0</v>
      </c>
      <c r="AB161" s="277">
        <f>SUM($CH$161-$Q$3)*CN161</f>
        <v>77331.275396825396</v>
      </c>
      <c r="AC161" s="277">
        <f t="shared" ref="AC161" si="388">SUM(AI161*BU161/CA161)</f>
        <v>0</v>
      </c>
      <c r="AD161" s="262">
        <f t="shared" ref="AD161" si="389">SUM(AK161*BV161/CB161)</f>
        <v>0</v>
      </c>
      <c r="AE161" s="262">
        <f t="shared" ref="AE161" si="390">SUM(AM161*BW161/CC161)</f>
        <v>0</v>
      </c>
      <c r="AF161" s="262">
        <f t="shared" ref="AF161" si="391">SUM(AO161*BX161/CD161)</f>
        <v>0</v>
      </c>
      <c r="AG161" s="262">
        <f t="shared" ref="AG161" si="392">SUM(AQ161*BY161/CE161)</f>
        <v>0</v>
      </c>
      <c r="AH161" s="277">
        <f>SUM(AS161*BZ161/CF161)</f>
        <v>0</v>
      </c>
      <c r="AI161" s="663">
        <f>SUM('3 pr-2'!L162)</f>
        <v>172733.52</v>
      </c>
      <c r="AJ161" s="73"/>
      <c r="AK161" s="257">
        <f>SUM('3 pr-2'!O162)</f>
        <v>25910.03</v>
      </c>
      <c r="AL161" s="257"/>
      <c r="AM161" s="257">
        <f>SUM('3 pr-2'!R162)</f>
        <v>0</v>
      </c>
      <c r="AN161" s="257"/>
      <c r="AO161" s="257">
        <f>SUM('3 pr-2'!U162)</f>
        <v>0</v>
      </c>
      <c r="AP161" s="257"/>
      <c r="AQ161" s="257">
        <f>SUM('3 pr-2'!X162)</f>
        <v>0</v>
      </c>
      <c r="AR161" s="476"/>
      <c r="AS161" s="94">
        <f>SUM('3 pr-2'!AA162)</f>
        <v>146823.49</v>
      </c>
      <c r="AT161" s="434"/>
      <c r="AU161" s="889">
        <v>0</v>
      </c>
      <c r="AV161" s="20">
        <v>0</v>
      </c>
      <c r="AW161" s="20">
        <v>0</v>
      </c>
      <c r="AX161" s="258">
        <v>0</v>
      </c>
      <c r="AY161" s="258">
        <v>0</v>
      </c>
      <c r="AZ161" s="258">
        <v>0</v>
      </c>
      <c r="BA161" s="258">
        <v>0</v>
      </c>
      <c r="BB161" s="20">
        <v>0</v>
      </c>
      <c r="BC161" s="20">
        <v>0</v>
      </c>
      <c r="BD161" s="258">
        <v>0</v>
      </c>
      <c r="BE161" s="258">
        <v>0</v>
      </c>
      <c r="BF161" s="258">
        <v>0</v>
      </c>
      <c r="BG161" s="258">
        <v>0</v>
      </c>
      <c r="BH161" s="20">
        <v>0</v>
      </c>
      <c r="BI161" s="20">
        <v>50</v>
      </c>
      <c r="BJ161" s="258">
        <v>50</v>
      </c>
      <c r="BK161" s="258">
        <v>50</v>
      </c>
      <c r="BL161" s="258">
        <v>50</v>
      </c>
      <c r="BM161" s="258">
        <v>50</v>
      </c>
      <c r="BN161" s="20">
        <v>50</v>
      </c>
      <c r="BO161" s="20">
        <v>50</v>
      </c>
      <c r="BP161" s="258">
        <v>50</v>
      </c>
      <c r="BQ161" s="258">
        <v>50</v>
      </c>
      <c r="BR161" s="258">
        <v>50</v>
      </c>
      <c r="BS161" s="258">
        <v>50</v>
      </c>
      <c r="BT161" s="20">
        <v>50</v>
      </c>
      <c r="BU161" s="20">
        <v>0</v>
      </c>
      <c r="BV161" s="258">
        <v>0</v>
      </c>
      <c r="BW161" s="258">
        <v>0</v>
      </c>
      <c r="BX161" s="258">
        <v>0</v>
      </c>
      <c r="BY161" s="258">
        <v>0</v>
      </c>
      <c r="BZ161" s="20">
        <v>0</v>
      </c>
      <c r="CA161" s="20">
        <v>100</v>
      </c>
      <c r="CB161" s="258">
        <v>100</v>
      </c>
      <c r="CC161" s="258">
        <v>100</v>
      </c>
      <c r="CD161" s="258">
        <v>100</v>
      </c>
      <c r="CE161" s="258">
        <v>100</v>
      </c>
      <c r="CF161" s="325">
        <v>100</v>
      </c>
      <c r="CG161" s="891">
        <f>SUM('3 pr-2'!AI162)</f>
        <v>43137</v>
      </c>
      <c r="CH161" s="891">
        <f>SUM('3 pr-2'!AK162)</f>
        <v>43830</v>
      </c>
      <c r="CI161" s="957">
        <f>SUM(J161+P161+V161+AB161+AH161)</f>
        <v>146823.49</v>
      </c>
      <c r="CK161" s="985">
        <f>SUM(AI161/(CH161-CG161))</f>
        <v>249.2547186147186</v>
      </c>
      <c r="CL161" s="985">
        <f>SUM(AK161/(CH161-CG161))</f>
        <v>37.388210678210676</v>
      </c>
      <c r="CM161" s="985">
        <f>SUM(AM161/(CH161-CG161))</f>
        <v>0</v>
      </c>
      <c r="CN161" s="987">
        <f>SUM(AS161/(CH161-CG161))</f>
        <v>211.86650793650793</v>
      </c>
    </row>
    <row r="162" spans="1:96" ht="29.25" customHeight="1" thickBot="1">
      <c r="A162" s="6" t="str">
        <f>CONCATENATE('3 pr-2'!A163)</f>
        <v>2.1.4.1.2</v>
      </c>
      <c r="B162" s="18" t="str">
        <f>CONCATENATE('3 pr-2'!D163)</f>
        <v>Paslaugų ir asmenų aptarnavimo kokybės gerinimas Alytaus rajono savivaldybėje</v>
      </c>
      <c r="C162" s="61">
        <f t="shared" si="377"/>
        <v>0</v>
      </c>
      <c r="D162" s="61">
        <f>SUM(AS162*AV162/CF162)</f>
        <v>0</v>
      </c>
      <c r="E162" s="61">
        <f t="shared" si="378"/>
        <v>0</v>
      </c>
      <c r="F162" s="257">
        <f t="shared" si="379"/>
        <v>0</v>
      </c>
      <c r="G162" s="257">
        <f t="shared" si="380"/>
        <v>0</v>
      </c>
      <c r="H162" s="257">
        <f t="shared" si="381"/>
        <v>0</v>
      </c>
      <c r="I162" s="257">
        <f t="shared" si="382"/>
        <v>0</v>
      </c>
      <c r="J162" s="61">
        <f>SUM(AS162*BB162/CF162)</f>
        <v>0</v>
      </c>
      <c r="K162" s="61">
        <f t="shared" si="383"/>
        <v>0</v>
      </c>
      <c r="L162" s="261">
        <f t="shared" si="384"/>
        <v>0</v>
      </c>
      <c r="M162" s="261">
        <f t="shared" si="385"/>
        <v>0</v>
      </c>
      <c r="N162" s="261">
        <f t="shared" si="386"/>
        <v>0</v>
      </c>
      <c r="O162" s="261">
        <f t="shared" si="387"/>
        <v>0</v>
      </c>
      <c r="P162" s="61">
        <f>SUM(AS162*BH162/CF162)</f>
        <v>0</v>
      </c>
      <c r="Q162" s="277">
        <f t="shared" ref="Q162:Q165" si="393">SUM($Q$3-CG162)*CK162</f>
        <v>52712.582256461232</v>
      </c>
      <c r="R162" s="262">
        <f t="shared" ref="R162:R165" si="394">SUM($Q$3-CG162)*CL162</f>
        <v>7906.8896620278329</v>
      </c>
      <c r="S162" s="262">
        <f t="shared" ref="S162:S165" si="395">SUM($Q$3-CG162)*CM162</f>
        <v>0</v>
      </c>
      <c r="T162" s="262">
        <v>0</v>
      </c>
      <c r="U162" s="262">
        <v>0</v>
      </c>
      <c r="V162" s="277">
        <f t="shared" ref="V162:V165" si="396">SUM($Q$3-CG162)*CN162</f>
        <v>44805.692594433393</v>
      </c>
      <c r="W162" s="277">
        <f>SUM($W$3-$Q$3)*CK162</f>
        <v>69963.972813121276</v>
      </c>
      <c r="X162" s="262">
        <f>SUM($W$3-$Q$3)*CL162</f>
        <v>10494.599005964215</v>
      </c>
      <c r="Y162" s="262">
        <f>SUM($W$3-$Q$3)*CM162</f>
        <v>0</v>
      </c>
      <c r="Z162" s="262">
        <v>0</v>
      </c>
      <c r="AA162" s="262">
        <v>0</v>
      </c>
      <c r="AB162" s="277">
        <f>SUM($W$3-$Q$3)*CN162</f>
        <v>59469.373807157055</v>
      </c>
      <c r="AC162" s="277">
        <f>SUM(CH162-$W$3)*CK162</f>
        <v>70155.654930417499</v>
      </c>
      <c r="AD162" s="262">
        <f>SUM(CH162-$W$3)*CL162</f>
        <v>10523.351332007953</v>
      </c>
      <c r="AE162" s="262">
        <f>SUM(CH162-$W$3)*CM162</f>
        <v>0</v>
      </c>
      <c r="AF162" s="262">
        <v>0</v>
      </c>
      <c r="AG162" s="262">
        <v>0</v>
      </c>
      <c r="AH162" s="277">
        <f>SUM(CH162-$W$3)*CN162</f>
        <v>59632.30359840954</v>
      </c>
      <c r="AI162" s="663">
        <f>SUM('3 pr-2'!L163)</f>
        <v>192832.21</v>
      </c>
      <c r="AJ162" s="73"/>
      <c r="AK162" s="257">
        <f>SUM('3 pr-2'!O163)</f>
        <v>28924.84</v>
      </c>
      <c r="AL162" s="257"/>
      <c r="AM162" s="257">
        <f>SUM('3 pr-2'!R163)</f>
        <v>0</v>
      </c>
      <c r="AN162" s="257"/>
      <c r="AO162" s="257">
        <f>SUM('3 pr-2'!U163)</f>
        <v>0</v>
      </c>
      <c r="AP162" s="257"/>
      <c r="AQ162" s="257">
        <f>SUM('3 pr-2'!X163)</f>
        <v>0</v>
      </c>
      <c r="AR162" s="476"/>
      <c r="AS162" s="94">
        <f>SUM('3 pr-2'!AA163)</f>
        <v>163907.37</v>
      </c>
      <c r="AT162" s="434"/>
      <c r="AU162" s="889">
        <v>0</v>
      </c>
      <c r="AV162" s="20">
        <v>0</v>
      </c>
      <c r="AW162" s="20">
        <v>0</v>
      </c>
      <c r="AX162" s="258">
        <v>0</v>
      </c>
      <c r="AY162" s="258">
        <v>0</v>
      </c>
      <c r="AZ162" s="258">
        <v>0</v>
      </c>
      <c r="BA162" s="258">
        <v>0</v>
      </c>
      <c r="BB162" s="20">
        <v>0</v>
      </c>
      <c r="BC162" s="20">
        <v>0</v>
      </c>
      <c r="BD162" s="258">
        <v>0</v>
      </c>
      <c r="BE162" s="258">
        <v>0</v>
      </c>
      <c r="BF162" s="258">
        <v>0</v>
      </c>
      <c r="BG162" s="258">
        <v>0</v>
      </c>
      <c r="BH162" s="20">
        <v>0</v>
      </c>
      <c r="BI162" s="20">
        <v>20</v>
      </c>
      <c r="BJ162" s="258">
        <v>20</v>
      </c>
      <c r="BK162" s="258">
        <v>20</v>
      </c>
      <c r="BL162" s="258">
        <v>20</v>
      </c>
      <c r="BM162" s="258">
        <v>20</v>
      </c>
      <c r="BN162" s="20">
        <v>20</v>
      </c>
      <c r="BO162" s="20">
        <v>40</v>
      </c>
      <c r="BP162" s="258">
        <v>40</v>
      </c>
      <c r="BQ162" s="258">
        <v>40</v>
      </c>
      <c r="BR162" s="258">
        <v>40</v>
      </c>
      <c r="BS162" s="258">
        <v>40</v>
      </c>
      <c r="BT162" s="20">
        <v>40</v>
      </c>
      <c r="BU162" s="20">
        <v>40</v>
      </c>
      <c r="BV162" s="258">
        <v>40</v>
      </c>
      <c r="BW162" s="258">
        <v>40</v>
      </c>
      <c r="BX162" s="258">
        <v>40</v>
      </c>
      <c r="BY162" s="258">
        <v>40</v>
      </c>
      <c r="BZ162" s="20">
        <v>40</v>
      </c>
      <c r="CA162" s="20">
        <v>100</v>
      </c>
      <c r="CB162" s="258">
        <v>100</v>
      </c>
      <c r="CC162" s="258">
        <v>100</v>
      </c>
      <c r="CD162" s="258">
        <v>100</v>
      </c>
      <c r="CE162" s="258">
        <v>100</v>
      </c>
      <c r="CF162" s="325">
        <v>100</v>
      </c>
      <c r="CG162" s="891">
        <f>SUM('3 pr-2'!AI163)</f>
        <v>43190</v>
      </c>
      <c r="CH162" s="891">
        <f>SUM('3 pr-2'!AK163)</f>
        <v>44196</v>
      </c>
      <c r="CI162" s="957">
        <f>SUM(J162+P162+V162+AB162+AH162)</f>
        <v>163907.37</v>
      </c>
      <c r="CK162" s="985">
        <f t="shared" ref="CK162:CK166" si="397">SUM(AI162/(CH162-CG162))</f>
        <v>191.68211729622266</v>
      </c>
      <c r="CL162" s="985">
        <f t="shared" ref="CL162:CL166" si="398">SUM(AK162/(CH162-CG162))</f>
        <v>28.752326043737575</v>
      </c>
      <c r="CM162" s="985">
        <f t="shared" ref="CM162:CM166" si="399">SUM(AM162/(CH162-CG162))</f>
        <v>0</v>
      </c>
      <c r="CN162" s="987">
        <f t="shared" ref="CN162:CN166" si="400">SUM(AS162/(CH162-CG162))</f>
        <v>162.92979125248507</v>
      </c>
    </row>
    <row r="163" spans="1:96" ht="51.75" thickBot="1">
      <c r="A163" s="6" t="str">
        <f>CONCATENATE('3 pr-2'!A164)</f>
        <v>2.1.4.1.3</v>
      </c>
      <c r="B163" s="18" t="str">
        <f>CONCATENATE('3 pr-2'!D164)</f>
        <v>Lazdijų rajono savivaldybės administracijos ir jos viešojo valdymo institucijų teikiamų paslaugų procesų tobulinimas</v>
      </c>
      <c r="C163" s="61">
        <f t="shared" si="377"/>
        <v>0</v>
      </c>
      <c r="D163" s="61">
        <f>SUM(AS163*AV163/CF163)</f>
        <v>0</v>
      </c>
      <c r="E163" s="61">
        <f t="shared" si="378"/>
        <v>0</v>
      </c>
      <c r="F163" s="257">
        <f t="shared" si="379"/>
        <v>0</v>
      </c>
      <c r="G163" s="257">
        <f t="shared" si="380"/>
        <v>0</v>
      </c>
      <c r="H163" s="257">
        <f t="shared" si="381"/>
        <v>0</v>
      </c>
      <c r="I163" s="257">
        <f t="shared" si="382"/>
        <v>0</v>
      </c>
      <c r="J163" s="61">
        <f>SUM(AS163*BB163/CF163)</f>
        <v>0</v>
      </c>
      <c r="K163" s="61">
        <f t="shared" si="383"/>
        <v>0</v>
      </c>
      <c r="L163" s="261">
        <f t="shared" si="384"/>
        <v>0</v>
      </c>
      <c r="M163" s="261">
        <f t="shared" si="385"/>
        <v>0</v>
      </c>
      <c r="N163" s="261">
        <f t="shared" si="386"/>
        <v>0</v>
      </c>
      <c r="O163" s="261">
        <f t="shared" si="387"/>
        <v>0</v>
      </c>
      <c r="P163" s="61">
        <f>SUM(AS163*BH163/CF163)</f>
        <v>0</v>
      </c>
      <c r="Q163" s="277">
        <f t="shared" si="393"/>
        <v>50037.821749049428</v>
      </c>
      <c r="R163" s="262">
        <f t="shared" si="394"/>
        <v>7505.9320152091259</v>
      </c>
      <c r="S163" s="262">
        <f t="shared" si="395"/>
        <v>0</v>
      </c>
      <c r="T163" s="262">
        <v>0</v>
      </c>
      <c r="U163" s="262">
        <v>0</v>
      </c>
      <c r="V163" s="277">
        <f t="shared" si="396"/>
        <v>42531.889733840297</v>
      </c>
      <c r="W163" s="277">
        <f t="shared" ref="W163:W165" si="401">SUM($W$3-$Q$3)*CK163</f>
        <v>56896.588593155895</v>
      </c>
      <c r="X163" s="262">
        <f t="shared" ref="X163:X165" si="402">SUM($W$3-$Q$3)*CL163</f>
        <v>8534.7825095057033</v>
      </c>
      <c r="Y163" s="262">
        <f t="shared" ref="Y163:Y165" si="403">SUM($W$3-$Q$3)*CM163</f>
        <v>0</v>
      </c>
      <c r="Z163" s="262">
        <v>0</v>
      </c>
      <c r="AA163" s="262">
        <v>0</v>
      </c>
      <c r="AB163" s="277">
        <f t="shared" ref="AB163:AB165" si="404">SUM($W$3-$Q$3)*CN163</f>
        <v>48361.806083650183</v>
      </c>
      <c r="AC163" s="277">
        <f t="shared" ref="AC163:AC165" si="405">SUM(CH163-$W$3)*CK163</f>
        <v>57052.469657794674</v>
      </c>
      <c r="AD163" s="262">
        <f t="shared" ref="AD163:AD165" si="406">SUM(CH163-$W$3)*CL163</f>
        <v>8558.1654752851719</v>
      </c>
      <c r="AE163" s="262">
        <f t="shared" ref="AE163:AE165" si="407">SUM(CH163-$W$3)*CM163</f>
        <v>0</v>
      </c>
      <c r="AF163" s="262">
        <v>0</v>
      </c>
      <c r="AG163" s="262">
        <v>0</v>
      </c>
      <c r="AH163" s="277">
        <f t="shared" ref="AH163:AH165" si="408">SUM(CH163-$W$3)*CN163</f>
        <v>48494.304182509499</v>
      </c>
      <c r="AI163" s="663">
        <f>SUM('3 pr-2'!L164)</f>
        <v>163986.88</v>
      </c>
      <c r="AJ163" s="73"/>
      <c r="AK163" s="257">
        <f>SUM('3 pr-2'!O164)</f>
        <v>24598.880000000001</v>
      </c>
      <c r="AL163" s="257"/>
      <c r="AM163" s="257">
        <f>SUM('3 pr-2'!R164)</f>
        <v>0</v>
      </c>
      <c r="AN163" s="257"/>
      <c r="AO163" s="257">
        <f>SUM('3 pr-2'!U164)</f>
        <v>0</v>
      </c>
      <c r="AP163" s="257"/>
      <c r="AQ163" s="257">
        <f>SUM('3 pr-2'!X164)</f>
        <v>0</v>
      </c>
      <c r="AR163" s="476"/>
      <c r="AS163" s="94">
        <f>SUM('3 pr-2'!AA164)</f>
        <v>139388</v>
      </c>
      <c r="AT163" s="434"/>
      <c r="AU163" s="889">
        <v>0</v>
      </c>
      <c r="AV163" s="20">
        <v>0</v>
      </c>
      <c r="AW163" s="20">
        <v>0</v>
      </c>
      <c r="AX163" s="258">
        <v>0</v>
      </c>
      <c r="AY163" s="258">
        <v>0</v>
      </c>
      <c r="AZ163" s="258">
        <v>0</v>
      </c>
      <c r="BA163" s="258">
        <v>0</v>
      </c>
      <c r="BB163" s="20">
        <v>0</v>
      </c>
      <c r="BC163" s="20">
        <v>0</v>
      </c>
      <c r="BD163" s="258">
        <v>0</v>
      </c>
      <c r="BE163" s="258">
        <v>0</v>
      </c>
      <c r="BF163" s="258">
        <v>0</v>
      </c>
      <c r="BG163" s="258">
        <v>0</v>
      </c>
      <c r="BH163" s="20">
        <v>0</v>
      </c>
      <c r="BI163" s="20">
        <v>40</v>
      </c>
      <c r="BJ163" s="258">
        <v>40</v>
      </c>
      <c r="BK163" s="258">
        <v>40</v>
      </c>
      <c r="BL163" s="258">
        <v>40</v>
      </c>
      <c r="BM163" s="258">
        <v>40</v>
      </c>
      <c r="BN163" s="20">
        <v>40</v>
      </c>
      <c r="BO163" s="20">
        <v>40</v>
      </c>
      <c r="BP163" s="258">
        <v>40</v>
      </c>
      <c r="BQ163" s="258">
        <v>40</v>
      </c>
      <c r="BR163" s="258">
        <v>40</v>
      </c>
      <c r="BS163" s="258">
        <v>40</v>
      </c>
      <c r="BT163" s="20">
        <v>40</v>
      </c>
      <c r="BU163" s="20">
        <v>20</v>
      </c>
      <c r="BV163" s="258">
        <v>20</v>
      </c>
      <c r="BW163" s="258">
        <v>20</v>
      </c>
      <c r="BX163" s="258">
        <v>20</v>
      </c>
      <c r="BY163" s="258">
        <v>20</v>
      </c>
      <c r="BZ163" s="20">
        <v>20</v>
      </c>
      <c r="CA163" s="20">
        <v>100</v>
      </c>
      <c r="CB163" s="258">
        <v>100</v>
      </c>
      <c r="CC163" s="258">
        <v>100</v>
      </c>
      <c r="CD163" s="258">
        <v>100</v>
      </c>
      <c r="CE163" s="258">
        <v>100</v>
      </c>
      <c r="CF163" s="325">
        <v>100</v>
      </c>
      <c r="CG163" s="891">
        <f>SUM('3 pr-2'!AI164)</f>
        <v>43144</v>
      </c>
      <c r="CH163" s="891">
        <f>SUM('3 pr-2'!AK164)</f>
        <v>44196</v>
      </c>
      <c r="CI163" s="957">
        <f t="shared" ref="CI163:CI165" si="409">SUM(J163+P163+V163+AB163+AH163)</f>
        <v>139388</v>
      </c>
      <c r="CK163" s="985">
        <f t="shared" si="397"/>
        <v>155.88106463878327</v>
      </c>
      <c r="CL163" s="985">
        <f t="shared" si="398"/>
        <v>23.382965779467682</v>
      </c>
      <c r="CM163" s="985">
        <f t="shared" si="399"/>
        <v>0</v>
      </c>
      <c r="CN163" s="987">
        <f t="shared" si="400"/>
        <v>132.49809885931558</v>
      </c>
    </row>
    <row r="164" spans="1:96" ht="64.5" thickBot="1">
      <c r="A164" s="6" t="str">
        <f>CONCATENATE('3 pr-2'!A165)</f>
        <v>2.1.4.1.4</v>
      </c>
      <c r="B164" s="18" t="str">
        <f>CONCATENATE('3 pr-2'!D165)</f>
        <v>Teikiamų paslaugų procesų tobulinimas ir asmenų aptarnavimo kokybės gerinimas Alytaus m. sav. administracijoje ir jai pavaldžiose įstaigose. I etapas</v>
      </c>
      <c r="C164" s="61">
        <f t="shared" si="377"/>
        <v>0</v>
      </c>
      <c r="D164" s="61">
        <f t="shared" ref="D164" si="410">SUM(AS164*AV164/CF164)</f>
        <v>0</v>
      </c>
      <c r="E164" s="61">
        <f t="shared" si="378"/>
        <v>0</v>
      </c>
      <c r="F164" s="257">
        <f t="shared" si="379"/>
        <v>0</v>
      </c>
      <c r="G164" s="257">
        <f t="shared" si="380"/>
        <v>0</v>
      </c>
      <c r="H164" s="257">
        <f t="shared" si="381"/>
        <v>0</v>
      </c>
      <c r="I164" s="257">
        <f t="shared" si="382"/>
        <v>0</v>
      </c>
      <c r="J164" s="61">
        <f t="shared" ref="J164" si="411">SUM(AS164*BB164/CF164)</f>
        <v>0</v>
      </c>
      <c r="K164" s="61">
        <f t="shared" si="383"/>
        <v>0</v>
      </c>
      <c r="L164" s="261">
        <f t="shared" si="384"/>
        <v>0</v>
      </c>
      <c r="M164" s="261">
        <f t="shared" si="385"/>
        <v>0</v>
      </c>
      <c r="N164" s="261">
        <f t="shared" si="386"/>
        <v>0</v>
      </c>
      <c r="O164" s="261">
        <f t="shared" si="387"/>
        <v>0</v>
      </c>
      <c r="P164" s="61">
        <f t="shared" ref="P164" si="412">SUM(AS164*BH164/CF164)</f>
        <v>0</v>
      </c>
      <c r="Q164" s="277">
        <f t="shared" si="393"/>
        <v>56700.455150214591</v>
      </c>
      <c r="R164" s="262">
        <f t="shared" si="394"/>
        <v>8505.0698497854082</v>
      </c>
      <c r="S164" s="262">
        <f t="shared" si="395"/>
        <v>0</v>
      </c>
      <c r="T164" s="262">
        <v>0</v>
      </c>
      <c r="U164" s="262">
        <v>0</v>
      </c>
      <c r="V164" s="277">
        <f t="shared" si="396"/>
        <v>48195.385300429181</v>
      </c>
      <c r="W164" s="277">
        <f t="shared" si="401"/>
        <v>84472.106652360511</v>
      </c>
      <c r="X164" s="262">
        <f t="shared" si="402"/>
        <v>12670.818347639484</v>
      </c>
      <c r="Y164" s="262">
        <f t="shared" si="403"/>
        <v>0</v>
      </c>
      <c r="Z164" s="262">
        <v>0</v>
      </c>
      <c r="AA164" s="262">
        <v>0</v>
      </c>
      <c r="AB164" s="277">
        <f t="shared" si="404"/>
        <v>71801.28830472102</v>
      </c>
      <c r="AC164" s="277">
        <f t="shared" si="405"/>
        <v>74520.598197424886</v>
      </c>
      <c r="AD164" s="262">
        <f t="shared" si="406"/>
        <v>11178.091802575107</v>
      </c>
      <c r="AE164" s="262">
        <f t="shared" si="407"/>
        <v>0</v>
      </c>
      <c r="AF164" s="262">
        <v>0</v>
      </c>
      <c r="AG164" s="262">
        <v>0</v>
      </c>
      <c r="AH164" s="277">
        <f t="shared" si="408"/>
        <v>63342.506394849777</v>
      </c>
      <c r="AI164" s="663">
        <f>SUM('3 pr-2'!L165)</f>
        <v>215693.16</v>
      </c>
      <c r="AJ164" s="73"/>
      <c r="AK164" s="257">
        <f>SUM('3 pr-2'!O165)</f>
        <v>32353.98</v>
      </c>
      <c r="AL164" s="257"/>
      <c r="AM164" s="257">
        <f>SUM('3 pr-2'!R165)</f>
        <v>0</v>
      </c>
      <c r="AN164" s="257"/>
      <c r="AO164" s="257">
        <f>SUM('3 pr-2'!U165)</f>
        <v>0</v>
      </c>
      <c r="AP164" s="257"/>
      <c r="AQ164" s="257">
        <f>SUM('3 pr-2'!X165)</f>
        <v>0</v>
      </c>
      <c r="AR164" s="476"/>
      <c r="AS164" s="94">
        <f>SUM('3 pr-2'!AA165)</f>
        <v>183339.18</v>
      </c>
      <c r="AT164" s="434"/>
      <c r="AU164" s="889">
        <v>0</v>
      </c>
      <c r="AV164" s="20">
        <v>0</v>
      </c>
      <c r="AW164" s="20">
        <v>0</v>
      </c>
      <c r="AX164" s="258">
        <v>0</v>
      </c>
      <c r="AY164" s="258">
        <v>0</v>
      </c>
      <c r="AZ164" s="258">
        <v>0</v>
      </c>
      <c r="BA164" s="258">
        <v>0</v>
      </c>
      <c r="BB164" s="20">
        <v>0</v>
      </c>
      <c r="BC164" s="20">
        <v>0</v>
      </c>
      <c r="BD164" s="258">
        <v>0</v>
      </c>
      <c r="BE164" s="258">
        <v>0</v>
      </c>
      <c r="BF164" s="258">
        <v>0</v>
      </c>
      <c r="BG164" s="258">
        <v>0</v>
      </c>
      <c r="BH164" s="20">
        <v>0</v>
      </c>
      <c r="BI164" s="20">
        <v>50</v>
      </c>
      <c r="BJ164" s="258">
        <v>50</v>
      </c>
      <c r="BK164" s="258">
        <v>50</v>
      </c>
      <c r="BL164" s="258">
        <v>50</v>
      </c>
      <c r="BM164" s="258">
        <v>50</v>
      </c>
      <c r="BN164" s="20">
        <v>50</v>
      </c>
      <c r="BO164" s="20">
        <v>50</v>
      </c>
      <c r="BP164" s="258">
        <v>50</v>
      </c>
      <c r="BQ164" s="258">
        <v>50</v>
      </c>
      <c r="BR164" s="258">
        <v>50</v>
      </c>
      <c r="BS164" s="258">
        <v>50</v>
      </c>
      <c r="BT164" s="20">
        <v>50</v>
      </c>
      <c r="BU164" s="20">
        <v>0</v>
      </c>
      <c r="BV164" s="258">
        <v>0</v>
      </c>
      <c r="BW164" s="258">
        <v>0</v>
      </c>
      <c r="BX164" s="258">
        <v>0</v>
      </c>
      <c r="BY164" s="258">
        <v>0</v>
      </c>
      <c r="BZ164" s="20">
        <v>0</v>
      </c>
      <c r="CA164" s="20">
        <v>100</v>
      </c>
      <c r="CB164" s="258">
        <v>100</v>
      </c>
      <c r="CC164" s="258">
        <v>100</v>
      </c>
      <c r="CD164" s="258">
        <v>100</v>
      </c>
      <c r="CE164" s="258">
        <v>100</v>
      </c>
      <c r="CF164" s="325">
        <v>100</v>
      </c>
      <c r="CG164" s="891">
        <f>SUM('3 pr-2'!AI165)</f>
        <v>43220</v>
      </c>
      <c r="CH164" s="891">
        <f>SUM('3 pr-2'!AK165)</f>
        <v>44152</v>
      </c>
      <c r="CI164" s="957">
        <f t="shared" si="409"/>
        <v>183339.17999999996</v>
      </c>
      <c r="CK164" s="985">
        <f t="shared" si="397"/>
        <v>231.43042918454935</v>
      </c>
      <c r="CL164" s="985">
        <f t="shared" si="398"/>
        <v>34.714570815450642</v>
      </c>
      <c r="CM164" s="985">
        <f t="shared" si="399"/>
        <v>0</v>
      </c>
      <c r="CN164" s="987">
        <f t="shared" si="400"/>
        <v>196.7158583690987</v>
      </c>
    </row>
    <row r="165" spans="1:96" ht="39" thickBot="1">
      <c r="A165" s="6" t="str">
        <f>CONCATENATE('3 pr-2'!A166)</f>
        <v>2.1.4.1.5</v>
      </c>
      <c r="B165" s="18" t="str">
        <f>CONCATENATE('3 pr-2'!D166)</f>
        <v>Paslaugų teikimo ir asmenų aptarnavimo kokybės gerinimas Druskininkų savivaldybėje</v>
      </c>
      <c r="C165" s="61">
        <f t="shared" si="377"/>
        <v>0</v>
      </c>
      <c r="D165" s="61">
        <f t="shared" ref="D165" si="413">SUM(AS165*AV165/CF165)</f>
        <v>0</v>
      </c>
      <c r="E165" s="61">
        <f t="shared" si="378"/>
        <v>0</v>
      </c>
      <c r="F165" s="257">
        <f t="shared" si="379"/>
        <v>0</v>
      </c>
      <c r="G165" s="257">
        <f t="shared" si="380"/>
        <v>0</v>
      </c>
      <c r="H165" s="257">
        <f t="shared" si="381"/>
        <v>0</v>
      </c>
      <c r="I165" s="257">
        <f t="shared" si="382"/>
        <v>0</v>
      </c>
      <c r="J165" s="61">
        <f t="shared" ref="J165" si="414">SUM(AS165*BB165/CF165)</f>
        <v>0</v>
      </c>
      <c r="K165" s="61">
        <f t="shared" si="383"/>
        <v>0</v>
      </c>
      <c r="L165" s="261">
        <f t="shared" si="384"/>
        <v>0</v>
      </c>
      <c r="M165" s="261">
        <f t="shared" si="385"/>
        <v>0</v>
      </c>
      <c r="N165" s="261">
        <f t="shared" si="386"/>
        <v>0</v>
      </c>
      <c r="O165" s="261">
        <f t="shared" si="387"/>
        <v>0</v>
      </c>
      <c r="P165" s="61">
        <f t="shared" ref="P165" si="415">SUM(AS165*BH165/CF165)</f>
        <v>0</v>
      </c>
      <c r="Q165" s="277">
        <f t="shared" si="393"/>
        <v>42833.219113413928</v>
      </c>
      <c r="R165" s="262">
        <f t="shared" si="394"/>
        <v>6459.639378238342</v>
      </c>
      <c r="S165" s="262">
        <f t="shared" si="395"/>
        <v>0</v>
      </c>
      <c r="T165" s="262">
        <v>0</v>
      </c>
      <c r="U165" s="262">
        <v>0</v>
      </c>
      <c r="V165" s="277">
        <f t="shared" si="396"/>
        <v>36373.579735175583</v>
      </c>
      <c r="W165" s="277">
        <f t="shared" si="401"/>
        <v>67974.456419113412</v>
      </c>
      <c r="X165" s="262">
        <f t="shared" si="402"/>
        <v>10251.166839378238</v>
      </c>
      <c r="Y165" s="262">
        <f t="shared" si="403"/>
        <v>0</v>
      </c>
      <c r="Z165" s="262">
        <v>0</v>
      </c>
      <c r="AA165" s="262">
        <v>0</v>
      </c>
      <c r="AB165" s="277">
        <f t="shared" si="404"/>
        <v>57723.289579735167</v>
      </c>
      <c r="AC165" s="277">
        <f t="shared" si="405"/>
        <v>50934.284467472651</v>
      </c>
      <c r="AD165" s="262">
        <f t="shared" si="406"/>
        <v>7681.3537823834195</v>
      </c>
      <c r="AE165" s="262">
        <f t="shared" si="407"/>
        <v>0</v>
      </c>
      <c r="AF165" s="262">
        <v>0</v>
      </c>
      <c r="AG165" s="262">
        <v>0</v>
      </c>
      <c r="AH165" s="277">
        <f t="shared" si="408"/>
        <v>43252.930685089232</v>
      </c>
      <c r="AI165" s="663">
        <f>SUM('3 pr-2'!L166)</f>
        <v>161741.96</v>
      </c>
      <c r="AJ165" s="73"/>
      <c r="AK165" s="257">
        <f>SUM('3 pr-2'!O166)</f>
        <v>24392.16</v>
      </c>
      <c r="AL165" s="257"/>
      <c r="AM165" s="257">
        <f>SUM('3 pr-2'!R166)</f>
        <v>0</v>
      </c>
      <c r="AN165" s="257"/>
      <c r="AO165" s="257">
        <f>SUM('3 pr-2'!U166)</f>
        <v>0</v>
      </c>
      <c r="AP165" s="257"/>
      <c r="AQ165" s="257">
        <f>SUM('3 pr-2'!X166)</f>
        <v>0</v>
      </c>
      <c r="AR165" s="476"/>
      <c r="AS165" s="94">
        <f>SUM('3 pr-2'!AA166)</f>
        <v>137349.79999999999</v>
      </c>
      <c r="AT165" s="434"/>
      <c r="AU165" s="889">
        <v>0</v>
      </c>
      <c r="AV165" s="20">
        <v>0</v>
      </c>
      <c r="AW165" s="20">
        <v>0</v>
      </c>
      <c r="AX165" s="258">
        <v>0</v>
      </c>
      <c r="AY165" s="258">
        <v>0</v>
      </c>
      <c r="AZ165" s="258">
        <v>0</v>
      </c>
      <c r="BA165" s="258">
        <v>0</v>
      </c>
      <c r="BB165" s="20">
        <v>0</v>
      </c>
      <c r="BC165" s="20">
        <v>0</v>
      </c>
      <c r="BD165" s="258">
        <v>0</v>
      </c>
      <c r="BE165" s="258">
        <v>0</v>
      </c>
      <c r="BF165" s="258">
        <v>0</v>
      </c>
      <c r="BG165" s="258">
        <v>0</v>
      </c>
      <c r="BH165" s="20">
        <v>0</v>
      </c>
      <c r="BI165" s="20">
        <v>40</v>
      </c>
      <c r="BJ165" s="258">
        <v>40</v>
      </c>
      <c r="BK165" s="258">
        <v>40</v>
      </c>
      <c r="BL165" s="258">
        <v>40</v>
      </c>
      <c r="BM165" s="258">
        <v>40</v>
      </c>
      <c r="BN165" s="20">
        <v>40</v>
      </c>
      <c r="BO165" s="20">
        <v>50</v>
      </c>
      <c r="BP165" s="258">
        <v>50</v>
      </c>
      <c r="BQ165" s="258">
        <v>50</v>
      </c>
      <c r="BR165" s="258">
        <v>50</v>
      </c>
      <c r="BS165" s="258">
        <v>50</v>
      </c>
      <c r="BT165" s="20">
        <v>50</v>
      </c>
      <c r="BU165" s="20">
        <v>10</v>
      </c>
      <c r="BV165" s="258">
        <v>10</v>
      </c>
      <c r="BW165" s="258">
        <v>10</v>
      </c>
      <c r="BX165" s="258">
        <v>10</v>
      </c>
      <c r="BY165" s="258">
        <v>10</v>
      </c>
      <c r="BZ165" s="20">
        <v>10</v>
      </c>
      <c r="CA165" s="20">
        <v>100</v>
      </c>
      <c r="CB165" s="258">
        <v>100</v>
      </c>
      <c r="CC165" s="258">
        <v>100</v>
      </c>
      <c r="CD165" s="258">
        <v>100</v>
      </c>
      <c r="CE165" s="258">
        <v>100</v>
      </c>
      <c r="CF165" s="325">
        <v>100</v>
      </c>
      <c r="CG165" s="891">
        <f>SUM('3 pr-2'!AI166)</f>
        <v>43235</v>
      </c>
      <c r="CH165" s="891">
        <f>SUM('3 pr-2'!AK166)</f>
        <v>44103.5</v>
      </c>
      <c r="CI165" s="957">
        <f t="shared" si="409"/>
        <v>137349.79999999999</v>
      </c>
      <c r="CK165" s="985">
        <f t="shared" si="397"/>
        <v>186.23138744962577</v>
      </c>
      <c r="CL165" s="985">
        <f t="shared" si="398"/>
        <v>28.085388601036268</v>
      </c>
      <c r="CM165" s="985">
        <f t="shared" si="399"/>
        <v>0</v>
      </c>
      <c r="CN165" s="987">
        <f t="shared" si="400"/>
        <v>158.1459988485895</v>
      </c>
    </row>
    <row r="166" spans="1:96" ht="64.5" thickBot="1">
      <c r="A166" s="6" t="str">
        <f>CONCATENATE('3 pr-2'!A167)</f>
        <v>2.1.4.1.6</v>
      </c>
      <c r="B166" s="18" t="str">
        <f>CONCATENATE('3 pr-2'!D167)</f>
        <v>Teikiamų paslaugų procesų tobulinimas ir asmenų aptarnavimo kokybės gerinimas Alytaus m. sav. administracijoje ir jai pavaldžiose įstaigose. II etapas</v>
      </c>
      <c r="C166" s="61">
        <f t="shared" si="377"/>
        <v>0</v>
      </c>
      <c r="D166" s="61">
        <f t="shared" ref="D166" si="416">SUM(AS166*AV166/CF166)</f>
        <v>0</v>
      </c>
      <c r="E166" s="61">
        <f t="shared" si="378"/>
        <v>0</v>
      </c>
      <c r="F166" s="257">
        <f t="shared" ref="F166" si="417">SUM(AK166*AX166/CB166)</f>
        <v>0</v>
      </c>
      <c r="G166" s="257">
        <f t="shared" ref="G166" si="418">SUM(AM166*AY166/CC166)</f>
        <v>0</v>
      </c>
      <c r="H166" s="257">
        <f t="shared" ref="H166" si="419">SUM(AO166*AZ166/CD166)</f>
        <v>0</v>
      </c>
      <c r="I166" s="257">
        <f t="shared" ref="I166" si="420">SUM(AQ166*BA166/CE166)</f>
        <v>0</v>
      </c>
      <c r="J166" s="61">
        <f t="shared" ref="J166" si="421">SUM(AS166*BB166/CF166)</f>
        <v>0</v>
      </c>
      <c r="K166" s="61">
        <f t="shared" si="383"/>
        <v>0</v>
      </c>
      <c r="L166" s="261">
        <f t="shared" ref="L166" si="422">SUM(AK166*BD166/CB166)</f>
        <v>0</v>
      </c>
      <c r="M166" s="261">
        <f t="shared" ref="M166" si="423">SUM(AM166*BE166/CC166)</f>
        <v>0</v>
      </c>
      <c r="N166" s="261">
        <f t="shared" ref="N166" si="424">SUM(AO166*BF166/CD166)</f>
        <v>0</v>
      </c>
      <c r="O166" s="261">
        <f t="shared" ref="O166" si="425">SUM(AQ166*BG166/CE166)</f>
        <v>0</v>
      </c>
      <c r="P166" s="61">
        <f t="shared" ref="P166" si="426">SUM(AS166*BH166/CF166)</f>
        <v>0</v>
      </c>
      <c r="Q166" s="277">
        <f t="shared" ref="Q166" si="427">SUM(AI166*BI166/CA166)</f>
        <v>0</v>
      </c>
      <c r="R166" s="262">
        <f t="shared" ref="R166" si="428">SUM(AK166*BJ166/CB166)</f>
        <v>0</v>
      </c>
      <c r="S166" s="262">
        <f t="shared" ref="S166" si="429">SUM(AM166*BK166/CC166)</f>
        <v>0</v>
      </c>
      <c r="T166" s="262">
        <f t="shared" ref="T166" si="430">SUM(AO166*BL166/CD166)</f>
        <v>0</v>
      </c>
      <c r="U166" s="262">
        <f t="shared" ref="U166" si="431">SUM(AQ166*BM166/CE166)</f>
        <v>0</v>
      </c>
      <c r="V166" s="277">
        <f t="shared" ref="V166" si="432">SUM(AS166*BN166/CF166)</f>
        <v>0</v>
      </c>
      <c r="W166" s="277">
        <f>SUM($W$3-$CG$166)*CK166</f>
        <v>73793.10344827587</v>
      </c>
      <c r="X166" s="262">
        <f>SUM($W$3-$CG$166)*CL166</f>
        <v>11068.96551724138</v>
      </c>
      <c r="Y166" s="262">
        <f>SUM($W$3-$CG$166)*CM166</f>
        <v>0</v>
      </c>
      <c r="Z166" s="262">
        <v>0</v>
      </c>
      <c r="AA166" s="262">
        <v>0</v>
      </c>
      <c r="AB166" s="277">
        <f>SUM($W$3-$CG$166)*CN166</f>
        <v>62724.137931034486</v>
      </c>
      <c r="AC166" s="277">
        <f>SUM($CH$166-$W$3)*CK166</f>
        <v>126206.89655172414</v>
      </c>
      <c r="AD166" s="262">
        <f>SUM($CH$166-$W$3)*CL166</f>
        <v>18931.03448275862</v>
      </c>
      <c r="AE166" s="262">
        <f>SUM($CH$166-$W$3)*CM166</f>
        <v>0</v>
      </c>
      <c r="AF166" s="262">
        <v>0</v>
      </c>
      <c r="AG166" s="262">
        <v>0</v>
      </c>
      <c r="AH166" s="277">
        <f>SUM($CH$166-$W$3)*CN166</f>
        <v>107275.86206896552</v>
      </c>
      <c r="AI166" s="663">
        <f>SUM('3 pr-2'!L167)</f>
        <v>200000</v>
      </c>
      <c r="AJ166" s="73"/>
      <c r="AK166" s="257">
        <f>SUM('3 pr-2'!O167)</f>
        <v>30000</v>
      </c>
      <c r="AL166" s="257"/>
      <c r="AM166" s="257">
        <f>SUM('3 pr-2'!R167)</f>
        <v>0</v>
      </c>
      <c r="AN166" s="257"/>
      <c r="AO166" s="257">
        <f>SUM('3 pr-2'!U167)</f>
        <v>0</v>
      </c>
      <c r="AP166" s="257"/>
      <c r="AQ166" s="257">
        <f>SUM('3 pr-2'!X167)</f>
        <v>0</v>
      </c>
      <c r="AR166" s="476"/>
      <c r="AS166" s="94">
        <f>SUM('3 pr-2'!AA167)</f>
        <v>170000</v>
      </c>
      <c r="AT166" s="434"/>
      <c r="AU166" s="889">
        <v>0</v>
      </c>
      <c r="AV166" s="20">
        <v>0</v>
      </c>
      <c r="AW166" s="20">
        <v>0</v>
      </c>
      <c r="AX166" s="258">
        <v>0</v>
      </c>
      <c r="AY166" s="258">
        <v>0</v>
      </c>
      <c r="AZ166" s="258">
        <v>0</v>
      </c>
      <c r="BA166" s="258">
        <v>0</v>
      </c>
      <c r="BB166" s="20">
        <v>0</v>
      </c>
      <c r="BC166" s="20">
        <v>0</v>
      </c>
      <c r="BD166" s="258">
        <v>0</v>
      </c>
      <c r="BE166" s="258">
        <v>0</v>
      </c>
      <c r="BF166" s="258">
        <v>0</v>
      </c>
      <c r="BG166" s="258">
        <v>0</v>
      </c>
      <c r="BH166" s="20">
        <v>0</v>
      </c>
      <c r="BI166" s="20">
        <v>0</v>
      </c>
      <c r="BJ166" s="258">
        <v>0</v>
      </c>
      <c r="BK166" s="258">
        <v>0</v>
      </c>
      <c r="BL166" s="258">
        <v>0</v>
      </c>
      <c r="BM166" s="258">
        <v>0</v>
      </c>
      <c r="BN166" s="20">
        <v>0</v>
      </c>
      <c r="BO166" s="20">
        <v>50</v>
      </c>
      <c r="BP166" s="258">
        <v>50</v>
      </c>
      <c r="BQ166" s="258">
        <v>50</v>
      </c>
      <c r="BR166" s="258">
        <v>50</v>
      </c>
      <c r="BS166" s="258">
        <v>50</v>
      </c>
      <c r="BT166" s="20">
        <v>50</v>
      </c>
      <c r="BU166" s="20">
        <v>50</v>
      </c>
      <c r="BV166" s="258">
        <v>50</v>
      </c>
      <c r="BW166" s="258">
        <v>50</v>
      </c>
      <c r="BX166" s="258">
        <v>50</v>
      </c>
      <c r="BY166" s="258">
        <v>50</v>
      </c>
      <c r="BZ166" s="20">
        <v>50</v>
      </c>
      <c r="CA166" s="20">
        <v>100</v>
      </c>
      <c r="CB166" s="258">
        <v>100</v>
      </c>
      <c r="CC166" s="258">
        <v>100</v>
      </c>
      <c r="CD166" s="258">
        <v>100</v>
      </c>
      <c r="CE166" s="258">
        <v>100</v>
      </c>
      <c r="CF166" s="325">
        <v>100</v>
      </c>
      <c r="CG166" s="891">
        <f>SUM('3 pr-2'!AI167)</f>
        <v>43616</v>
      </c>
      <c r="CH166" s="891">
        <f>SUM('3 pr-2'!AK167)</f>
        <v>44196</v>
      </c>
      <c r="CK166" s="985">
        <f t="shared" si="397"/>
        <v>344.82758620689657</v>
      </c>
      <c r="CL166" s="985">
        <f t="shared" si="398"/>
        <v>51.724137931034484</v>
      </c>
      <c r="CM166" s="985">
        <f t="shared" si="399"/>
        <v>0</v>
      </c>
      <c r="CN166" s="987">
        <f t="shared" si="400"/>
        <v>293.10344827586209</v>
      </c>
    </row>
    <row r="167" spans="1:96" ht="39.75" thickBot="1">
      <c r="A167" s="255" t="str">
        <f>CONCATENATE('3 pr-2'!A168)</f>
        <v>3.1.</v>
      </c>
      <c r="B167" s="256" t="str">
        <f>CONCATENATE('3 pr-2'!B168)</f>
        <v>Tikslas: 
DARNIAI TVARKYTI IR VYSTYTI REGIONO TERITORIJĄ</v>
      </c>
      <c r="C167" s="959">
        <f t="shared" ref="C167:AS167" si="433">SUM(C168+C172)</f>
        <v>0</v>
      </c>
      <c r="D167" s="959">
        <f t="shared" si="433"/>
        <v>0</v>
      </c>
      <c r="E167" s="959">
        <f t="shared" si="433"/>
        <v>0</v>
      </c>
      <c r="F167" s="959">
        <f t="shared" ref="F167" si="434">SUM(F168+F172)</f>
        <v>0</v>
      </c>
      <c r="G167" s="959"/>
      <c r="H167" s="959"/>
      <c r="I167" s="959"/>
      <c r="J167" s="959">
        <f t="shared" si="433"/>
        <v>0</v>
      </c>
      <c r="K167" s="959">
        <f t="shared" si="433"/>
        <v>990967.31999999983</v>
      </c>
      <c r="L167" s="960">
        <f t="shared" ref="L167:O167" si="435">SUM(L168+L172)</f>
        <v>3196.9</v>
      </c>
      <c r="M167" s="960">
        <f t="shared" si="435"/>
        <v>0</v>
      </c>
      <c r="N167" s="960">
        <f t="shared" si="435"/>
        <v>0</v>
      </c>
      <c r="O167" s="960">
        <f t="shared" si="435"/>
        <v>0</v>
      </c>
      <c r="P167" s="959">
        <f t="shared" si="433"/>
        <v>846940.74</v>
      </c>
      <c r="Q167" s="959">
        <f t="shared" si="433"/>
        <v>2992895.7892687386</v>
      </c>
      <c r="R167" s="960"/>
      <c r="S167" s="960"/>
      <c r="T167" s="960"/>
      <c r="U167" s="960"/>
      <c r="V167" s="959">
        <f t="shared" si="433"/>
        <v>2424194.8077696525</v>
      </c>
      <c r="W167" s="959">
        <f t="shared" si="433"/>
        <v>2060619.3001334369</v>
      </c>
      <c r="X167" s="960"/>
      <c r="Y167" s="960"/>
      <c r="Z167" s="960"/>
      <c r="AA167" s="960"/>
      <c r="AB167" s="959">
        <f t="shared" si="433"/>
        <v>1708398.1735028536</v>
      </c>
      <c r="AC167" s="959">
        <f t="shared" si="433"/>
        <v>594002.42177429504</v>
      </c>
      <c r="AD167" s="960"/>
      <c r="AE167" s="960"/>
      <c r="AF167" s="960"/>
      <c r="AG167" s="960"/>
      <c r="AH167" s="959">
        <f t="shared" si="433"/>
        <v>504901.79872749391</v>
      </c>
      <c r="AI167" s="919">
        <f t="shared" si="433"/>
        <v>6638484.83117647</v>
      </c>
      <c r="AJ167" s="959"/>
      <c r="AK167" s="959"/>
      <c r="AL167" s="959"/>
      <c r="AM167" s="959"/>
      <c r="AN167" s="959"/>
      <c r="AO167" s="959"/>
      <c r="AP167" s="959"/>
      <c r="AQ167" s="959"/>
      <c r="AR167" s="959"/>
      <c r="AS167" s="959">
        <f t="shared" si="433"/>
        <v>5484435.5199999996</v>
      </c>
      <c r="AT167" s="961"/>
      <c r="AX167" s="959"/>
      <c r="AY167" s="959"/>
      <c r="AZ167" s="959"/>
      <c r="BA167" s="959"/>
      <c r="BD167" s="959"/>
      <c r="BE167" s="959"/>
      <c r="BF167" s="959"/>
      <c r="BG167" s="959"/>
      <c r="BJ167" s="959"/>
      <c r="BK167" s="959"/>
      <c r="BL167" s="959"/>
      <c r="BM167" s="959"/>
      <c r="BP167" s="959"/>
      <c r="BQ167" s="959"/>
      <c r="BR167" s="959"/>
      <c r="BS167" s="959"/>
      <c r="BV167" s="959"/>
      <c r="BW167" s="959"/>
      <c r="BX167" s="959"/>
      <c r="BY167" s="959"/>
      <c r="CB167" s="959"/>
      <c r="CC167" s="959"/>
      <c r="CD167" s="959"/>
      <c r="CE167" s="959"/>
      <c r="CG167" s="19"/>
      <c r="CH167" s="19"/>
    </row>
    <row r="168" spans="1:96" ht="39.75" thickBot="1">
      <c r="A168" s="254" t="str">
        <f>CONCATENATE('3 pr-2'!A169)</f>
        <v>3.1.1.</v>
      </c>
      <c r="B168" s="102" t="str">
        <f>CONCATENATE('3 pr-2'!B169)</f>
        <v>Uždavinys:
Sumažinti sąvartynuose šalinamų komunalinių atliekų kiekį</v>
      </c>
      <c r="C168" s="95">
        <f t="shared" ref="C168:AI168" si="436">SUM(C169)</f>
        <v>0</v>
      </c>
      <c r="D168" s="95">
        <f t="shared" si="436"/>
        <v>0</v>
      </c>
      <c r="E168" s="95">
        <f t="shared" si="436"/>
        <v>0</v>
      </c>
      <c r="F168" s="95">
        <f t="shared" si="436"/>
        <v>0</v>
      </c>
      <c r="G168" s="95"/>
      <c r="H168" s="95"/>
      <c r="I168" s="95"/>
      <c r="J168" s="95">
        <f t="shared" si="436"/>
        <v>0</v>
      </c>
      <c r="K168" s="95">
        <f t="shared" si="436"/>
        <v>747832.3899999999</v>
      </c>
      <c r="L168" s="955">
        <f t="shared" si="436"/>
        <v>0</v>
      </c>
      <c r="M168" s="955">
        <f t="shared" si="436"/>
        <v>0</v>
      </c>
      <c r="N168" s="955">
        <f t="shared" si="436"/>
        <v>0</v>
      </c>
      <c r="O168" s="955">
        <f t="shared" si="436"/>
        <v>0</v>
      </c>
      <c r="P168" s="95">
        <f t="shared" si="436"/>
        <v>607002.71</v>
      </c>
      <c r="Q168" s="95">
        <f t="shared" si="436"/>
        <v>2257297.8992687389</v>
      </c>
      <c r="R168" s="955"/>
      <c r="S168" s="955"/>
      <c r="T168" s="955"/>
      <c r="U168" s="955"/>
      <c r="V168" s="95">
        <f t="shared" si="436"/>
        <v>1832209.9577696526</v>
      </c>
      <c r="W168" s="95">
        <f t="shared" si="436"/>
        <v>1125556.7607312615</v>
      </c>
      <c r="X168" s="955"/>
      <c r="Y168" s="955"/>
      <c r="Z168" s="955"/>
      <c r="AA168" s="955"/>
      <c r="AB168" s="95">
        <f t="shared" si="436"/>
        <v>913595.10223034734</v>
      </c>
      <c r="AC168" s="95">
        <f t="shared" si="436"/>
        <v>0</v>
      </c>
      <c r="AD168" s="955"/>
      <c r="AE168" s="955"/>
      <c r="AF168" s="955"/>
      <c r="AG168" s="955"/>
      <c r="AH168" s="95">
        <f t="shared" si="436"/>
        <v>0</v>
      </c>
      <c r="AI168" s="665">
        <f t="shared" si="436"/>
        <v>4130687.05</v>
      </c>
      <c r="AJ168" s="95"/>
      <c r="AK168" s="95"/>
      <c r="AL168" s="95"/>
      <c r="AM168" s="95"/>
      <c r="AN168" s="95"/>
      <c r="AO168" s="95"/>
      <c r="AP168" s="95"/>
      <c r="AQ168" s="95"/>
      <c r="AR168" s="95"/>
      <c r="AS168" s="95">
        <f>SUM(AS169)</f>
        <v>3352807.77</v>
      </c>
      <c r="AT168" s="435"/>
      <c r="AX168" s="95"/>
      <c r="AY168" s="95"/>
      <c r="AZ168" s="95"/>
      <c r="BA168" s="95"/>
      <c r="BD168" s="95"/>
      <c r="BE168" s="95"/>
      <c r="BF168" s="95"/>
      <c r="BG168" s="95"/>
      <c r="BJ168" s="95"/>
      <c r="BK168" s="95"/>
      <c r="BL168" s="95"/>
      <c r="BM168" s="95"/>
      <c r="BP168" s="95"/>
      <c r="BQ168" s="95"/>
      <c r="BR168" s="95"/>
      <c r="BS168" s="95"/>
      <c r="BV168" s="95"/>
      <c r="BW168" s="95"/>
      <c r="BX168" s="95"/>
      <c r="BY168" s="95"/>
      <c r="CB168" s="95"/>
      <c r="CC168" s="95"/>
      <c r="CD168" s="95"/>
      <c r="CE168" s="95"/>
      <c r="CG168" s="19"/>
      <c r="CH168" s="19"/>
    </row>
    <row r="169" spans="1:96" ht="39.75" thickBot="1">
      <c r="A169" s="253" t="str">
        <f>CONCATENATE('3 pr-2'!A170)</f>
        <v>3.1.1.1</v>
      </c>
      <c r="B169" s="103" t="str">
        <f>CONCATENATE('3 pr-2'!B170)</f>
        <v>Priemonė:
Komunalinių atliekų tvarkymo infrastruktūros plėtra</v>
      </c>
      <c r="C169" s="901">
        <f t="shared" ref="C169:AS169" si="437">SUM(C170:C171)</f>
        <v>0</v>
      </c>
      <c r="D169" s="901">
        <f t="shared" si="437"/>
        <v>0</v>
      </c>
      <c r="E169" s="901">
        <f t="shared" si="437"/>
        <v>0</v>
      </c>
      <c r="F169" s="901">
        <f t="shared" ref="F169" si="438">SUM(F170:F171)</f>
        <v>0</v>
      </c>
      <c r="G169" s="901"/>
      <c r="H169" s="901"/>
      <c r="I169" s="901"/>
      <c r="J169" s="901">
        <f t="shared" si="437"/>
        <v>0</v>
      </c>
      <c r="K169" s="901">
        <f t="shared" si="437"/>
        <v>747832.3899999999</v>
      </c>
      <c r="L169" s="954">
        <f t="shared" ref="L169:O169" si="439">SUM(L170:L171)</f>
        <v>0</v>
      </c>
      <c r="M169" s="954">
        <f t="shared" si="439"/>
        <v>0</v>
      </c>
      <c r="N169" s="954">
        <f t="shared" si="439"/>
        <v>0</v>
      </c>
      <c r="O169" s="954">
        <f t="shared" si="439"/>
        <v>0</v>
      </c>
      <c r="P169" s="901">
        <f t="shared" si="437"/>
        <v>607002.71</v>
      </c>
      <c r="Q169" s="901">
        <f t="shared" si="437"/>
        <v>2257297.8992687389</v>
      </c>
      <c r="R169" s="954"/>
      <c r="S169" s="954"/>
      <c r="T169" s="954"/>
      <c r="U169" s="954"/>
      <c r="V169" s="901">
        <f t="shared" si="437"/>
        <v>1832209.9577696526</v>
      </c>
      <c r="W169" s="901">
        <f t="shared" si="437"/>
        <v>1125556.7607312615</v>
      </c>
      <c r="X169" s="954"/>
      <c r="Y169" s="954"/>
      <c r="Z169" s="954"/>
      <c r="AA169" s="954"/>
      <c r="AB169" s="901">
        <f t="shared" si="437"/>
        <v>913595.10223034734</v>
      </c>
      <c r="AC169" s="901">
        <f t="shared" si="437"/>
        <v>0</v>
      </c>
      <c r="AD169" s="954"/>
      <c r="AE169" s="954"/>
      <c r="AF169" s="954"/>
      <c r="AG169" s="954"/>
      <c r="AH169" s="901">
        <f t="shared" si="437"/>
        <v>0</v>
      </c>
      <c r="AI169" s="902">
        <f t="shared" si="437"/>
        <v>4130687.05</v>
      </c>
      <c r="AJ169" s="901"/>
      <c r="AK169" s="901"/>
      <c r="AL169" s="901"/>
      <c r="AM169" s="901"/>
      <c r="AN169" s="901"/>
      <c r="AO169" s="901"/>
      <c r="AP169" s="901"/>
      <c r="AQ169" s="901"/>
      <c r="AR169" s="901"/>
      <c r="AS169" s="901">
        <f t="shared" si="437"/>
        <v>3352807.77</v>
      </c>
      <c r="AT169" s="901"/>
      <c r="AU169" s="889">
        <v>0</v>
      </c>
      <c r="AV169" s="20">
        <v>0</v>
      </c>
      <c r="AW169" s="20">
        <v>100</v>
      </c>
      <c r="AX169" s="901">
        <v>100</v>
      </c>
      <c r="AY169" s="901">
        <v>100</v>
      </c>
      <c r="AZ169" s="901">
        <v>100</v>
      </c>
      <c r="BA169" s="901">
        <v>100</v>
      </c>
      <c r="BB169" s="20">
        <v>100</v>
      </c>
      <c r="BC169" s="20">
        <v>0</v>
      </c>
      <c r="BD169" s="901">
        <v>0</v>
      </c>
      <c r="BE169" s="901">
        <v>0</v>
      </c>
      <c r="BF169" s="901">
        <v>0</v>
      </c>
      <c r="BG169" s="901">
        <v>0</v>
      </c>
      <c r="BH169" s="20">
        <v>0</v>
      </c>
      <c r="BI169" s="20">
        <v>0</v>
      </c>
      <c r="BJ169" s="901">
        <v>0</v>
      </c>
      <c r="BK169" s="901">
        <v>0</v>
      </c>
      <c r="BL169" s="901">
        <v>0</v>
      </c>
      <c r="BM169" s="901">
        <v>0</v>
      </c>
      <c r="BN169" s="20">
        <v>0</v>
      </c>
      <c r="BO169" s="20">
        <v>0</v>
      </c>
      <c r="BP169" s="901">
        <v>0</v>
      </c>
      <c r="BQ169" s="901">
        <v>0</v>
      </c>
      <c r="BR169" s="901">
        <v>0</v>
      </c>
      <c r="BS169" s="901">
        <v>0</v>
      </c>
      <c r="BT169" s="20">
        <v>0</v>
      </c>
      <c r="BU169" s="20">
        <v>0</v>
      </c>
      <c r="BV169" s="901">
        <v>0</v>
      </c>
      <c r="BW169" s="901">
        <v>0</v>
      </c>
      <c r="BX169" s="901">
        <v>0</v>
      </c>
      <c r="BY169" s="901">
        <v>0</v>
      </c>
      <c r="BZ169" s="20">
        <v>0</v>
      </c>
      <c r="CA169" s="20">
        <v>100</v>
      </c>
      <c r="CB169" s="901">
        <v>100</v>
      </c>
      <c r="CC169" s="901">
        <v>100</v>
      </c>
      <c r="CD169" s="901">
        <v>100</v>
      </c>
      <c r="CE169" s="901">
        <v>100</v>
      </c>
      <c r="CF169" s="325">
        <v>100</v>
      </c>
      <c r="CG169" s="19"/>
      <c r="CH169" s="19"/>
    </row>
    <row r="170" spans="1:96" ht="39" thickBot="1">
      <c r="A170" s="6" t="str">
        <f>CONCATENATE('3 pr-2'!A171)</f>
        <v>3.1.1.1.1</v>
      </c>
      <c r="B170" s="18" t="str">
        <f>CONCATENATE('3 pr-2'!D171)</f>
        <v>Komunalinių atliekų tvarkymo infrastruktūros plėtra Alytaus regione</v>
      </c>
      <c r="C170" s="61">
        <v>0</v>
      </c>
      <c r="D170" s="61">
        <v>0</v>
      </c>
      <c r="E170" s="61">
        <v>0</v>
      </c>
      <c r="F170" s="257">
        <v>0</v>
      </c>
      <c r="G170" s="257">
        <v>0</v>
      </c>
      <c r="H170" s="257">
        <v>0</v>
      </c>
      <c r="I170" s="257">
        <v>0</v>
      </c>
      <c r="J170" s="61">
        <v>0</v>
      </c>
      <c r="K170" s="278">
        <f>SUM('ketv. 7 '!L169-'IV-1 su proj'!E170)</f>
        <v>747832.3899999999</v>
      </c>
      <c r="L170" s="263">
        <f>SUM('ketv. 7 '!R169-'IV-1 su proj'!F170)</f>
        <v>0</v>
      </c>
      <c r="M170" s="263">
        <v>0</v>
      </c>
      <c r="N170" s="263">
        <v>0</v>
      </c>
      <c r="O170" s="263">
        <v>0</v>
      </c>
      <c r="P170" s="278">
        <f>SUM('ketv. 7 '!AL169-'IV-1 su proj'!J170)</f>
        <v>607002.71</v>
      </c>
      <c r="Q170" s="278">
        <f>IF(YEAR($CG170)=2017,($BI$4-$BC$4)*$AJ170/($CH170-$BC$4))</f>
        <v>2257297.8992687389</v>
      </c>
      <c r="R170" s="263">
        <f>IF(YEAR($CG170)=2017,($BI$4-$BC$4)*$AL170/($CH170-$BC$4))</f>
        <v>0</v>
      </c>
      <c r="S170" s="261">
        <v>0</v>
      </c>
      <c r="T170" s="261">
        <v>0</v>
      </c>
      <c r="U170" s="261">
        <v>0</v>
      </c>
      <c r="V170" s="278">
        <f>IF(YEAR($CG170)=2017,($BI$4-$BC$4)*$AT170/($CH170-$BC$4))</f>
        <v>1832209.9577696526</v>
      </c>
      <c r="W170" s="326">
        <f>IF(YEAR($CH170)=2019,($CH170-$BI$4)*$AJ170/($CH170-$BC$4),0)</f>
        <v>1125556.7607312615</v>
      </c>
      <c r="X170" s="263">
        <f>IF(YEAR($CH170)=2019,($CH170-$BI$4)*$AL170/($CH170-$BC$4),0)</f>
        <v>0</v>
      </c>
      <c r="Y170" s="261">
        <v>0</v>
      </c>
      <c r="Z170" s="261">
        <v>0</v>
      </c>
      <c r="AA170" s="261">
        <v>0</v>
      </c>
      <c r="AB170" s="278">
        <f>IF(YEAR($CH170)=2019,($CH170-$BI$4)*$AT170/($CH170-$BC$4),0)</f>
        <v>913595.10223034734</v>
      </c>
      <c r="AC170" s="61">
        <f>SUM(AI170*BU170/CA170)</f>
        <v>0</v>
      </c>
      <c r="AD170" s="262">
        <f>SUM(AK170*BV170/CB170)</f>
        <v>0</v>
      </c>
      <c r="AE170" s="262">
        <f>SUM(AM170*BW170/CC170)</f>
        <v>0</v>
      </c>
      <c r="AF170" s="262">
        <f>SUM(AO170*BX170/CD170)</f>
        <v>0</v>
      </c>
      <c r="AG170" s="262">
        <f>SUM(AQ170*BY170/CE170)</f>
        <v>0</v>
      </c>
      <c r="AH170" s="61">
        <f>SUM(AS170*BZ170/CF170)</f>
        <v>0</v>
      </c>
      <c r="AI170" s="663">
        <f>SUM('3 pr-2'!L171)</f>
        <v>4130687.05</v>
      </c>
      <c r="AJ170" s="958">
        <f>SUM(AI170-K170)</f>
        <v>3382854.66</v>
      </c>
      <c r="AK170" s="257">
        <f>SUM('3 pr-2'!O171)</f>
        <v>0</v>
      </c>
      <c r="AL170" s="958">
        <f>SUM(AK170-F170-L170)</f>
        <v>0</v>
      </c>
      <c r="AM170" s="257">
        <f>SUM('3 pr-2'!R171)</f>
        <v>0</v>
      </c>
      <c r="AN170" s="958"/>
      <c r="AO170" s="257">
        <f>SUM('3 pr-2'!U171)</f>
        <v>777879.2799999998</v>
      </c>
      <c r="AP170" s="958"/>
      <c r="AQ170" s="257">
        <f>SUM('3 pr-2'!X171)</f>
        <v>0</v>
      </c>
      <c r="AR170" s="958"/>
      <c r="AS170" s="94">
        <f>SUM('3 pr-2'!AA171)</f>
        <v>3352807.77</v>
      </c>
      <c r="AT170" s="958">
        <f t="shared" ref="AT170" si="440">SUM(AS170-J170-P170)</f>
        <v>2745805.06</v>
      </c>
      <c r="AU170" s="889">
        <v>0</v>
      </c>
      <c r="AV170" s="20">
        <v>0</v>
      </c>
      <c r="AW170" s="20">
        <v>0</v>
      </c>
      <c r="AX170" s="258">
        <v>0</v>
      </c>
      <c r="AY170" s="258">
        <v>0</v>
      </c>
      <c r="AZ170" s="258">
        <v>0</v>
      </c>
      <c r="BA170" s="258">
        <v>0</v>
      </c>
      <c r="BB170" s="20">
        <v>0</v>
      </c>
      <c r="BC170" s="20">
        <v>0</v>
      </c>
      <c r="BD170" s="258">
        <v>0</v>
      </c>
      <c r="BE170" s="258">
        <v>0</v>
      </c>
      <c r="BF170" s="258">
        <v>0</v>
      </c>
      <c r="BG170" s="258">
        <v>0</v>
      </c>
      <c r="BH170" s="20">
        <v>0</v>
      </c>
      <c r="BI170" s="20">
        <v>50</v>
      </c>
      <c r="BJ170" s="258">
        <v>50</v>
      </c>
      <c r="BK170" s="258">
        <v>50</v>
      </c>
      <c r="BL170" s="258">
        <v>50</v>
      </c>
      <c r="BM170" s="258">
        <v>50</v>
      </c>
      <c r="BN170" s="20">
        <v>50</v>
      </c>
      <c r="BO170" s="20">
        <v>50</v>
      </c>
      <c r="BP170" s="258">
        <v>50</v>
      </c>
      <c r="BQ170" s="258">
        <v>50</v>
      </c>
      <c r="BR170" s="258">
        <v>50</v>
      </c>
      <c r="BS170" s="258">
        <v>50</v>
      </c>
      <c r="BT170" s="20">
        <v>50</v>
      </c>
      <c r="BU170" s="20">
        <v>0</v>
      </c>
      <c r="BV170" s="258">
        <v>0</v>
      </c>
      <c r="BW170" s="258">
        <v>0</v>
      </c>
      <c r="BX170" s="258">
        <v>0</v>
      </c>
      <c r="BY170" s="258">
        <v>0</v>
      </c>
      <c r="BZ170" s="20">
        <v>0</v>
      </c>
      <c r="CA170" s="20">
        <v>100</v>
      </c>
      <c r="CB170" s="258">
        <v>100</v>
      </c>
      <c r="CC170" s="258">
        <v>100</v>
      </c>
      <c r="CD170" s="258">
        <v>100</v>
      </c>
      <c r="CE170" s="258">
        <v>100</v>
      </c>
      <c r="CF170" s="325">
        <v>100</v>
      </c>
      <c r="CG170" s="891">
        <v>42979</v>
      </c>
      <c r="CH170" s="891">
        <v>43647</v>
      </c>
      <c r="CI170" s="957">
        <f>SUM(J170+P170+V170+AB170+AH170)</f>
        <v>3352807.77</v>
      </c>
      <c r="CJ170" s="158">
        <f>SUM(AI170-(K170+Q170+W170+AC170))</f>
        <v>0</v>
      </c>
      <c r="CK170" s="985">
        <f>SUM(AJ170/(CH170-$K$3))</f>
        <v>6184.3778062157226</v>
      </c>
      <c r="CL170" s="985">
        <f>SUM(AL170/(CH170-$K$3))</f>
        <v>0</v>
      </c>
      <c r="CM170" s="985">
        <f>SUM(AN170/(CH170-$K$3))</f>
        <v>0</v>
      </c>
      <c r="CN170" s="987">
        <f>SUM(AT170/(CH170-$K$3))</f>
        <v>5019.7533089579529</v>
      </c>
    </row>
    <row r="171" spans="1:96" ht="16.5" thickBot="1">
      <c r="A171" s="6"/>
      <c r="B171" s="18"/>
      <c r="C171" s="61">
        <f>SUM(AI171*AU171/CA171)</f>
        <v>0</v>
      </c>
      <c r="D171" s="61">
        <f>SUM(AS171*AV171/CF171)</f>
        <v>0</v>
      </c>
      <c r="E171" s="61">
        <f>SUM(AI171*AW171/CA171)</f>
        <v>0</v>
      </c>
      <c r="F171" s="258">
        <f>SUM(AK171*AX171/CB171)</f>
        <v>0</v>
      </c>
      <c r="G171" s="258"/>
      <c r="H171" s="258"/>
      <c r="I171" s="258"/>
      <c r="J171" s="61">
        <f>SUM(AS171*BB171/CF171)</f>
        <v>0</v>
      </c>
      <c r="K171" s="61">
        <f>SUM(AI171*BC171/CA171)</f>
        <v>0</v>
      </c>
      <c r="L171" s="262">
        <f>SUM(AK171*BD171/CB171)</f>
        <v>0</v>
      </c>
      <c r="M171" s="262">
        <f>SUM(AM171*BE171/CC171)</f>
        <v>0</v>
      </c>
      <c r="N171" s="262">
        <f>SUM(AO171*BF171/CD171)</f>
        <v>0</v>
      </c>
      <c r="O171" s="262">
        <f>SUM(AQ171*BG171/CE171)</f>
        <v>0</v>
      </c>
      <c r="P171" s="61">
        <f>SUM(AS171*BH171/CF171)</f>
        <v>0</v>
      </c>
      <c r="Q171" s="61">
        <f>SUM(AI171*BI171/CA171)</f>
        <v>0</v>
      </c>
      <c r="R171" s="262"/>
      <c r="S171" s="262"/>
      <c r="T171" s="262"/>
      <c r="U171" s="262"/>
      <c r="V171" s="61">
        <f>SUM(AS171*BN171/CF171)</f>
        <v>0</v>
      </c>
      <c r="W171" s="61">
        <f>SUM(AI171*BO171/CA171)</f>
        <v>0</v>
      </c>
      <c r="X171" s="262"/>
      <c r="Y171" s="262"/>
      <c r="Z171" s="262"/>
      <c r="AA171" s="262"/>
      <c r="AB171" s="61">
        <f>SUM(AS171*BT171/CF171)</f>
        <v>0</v>
      </c>
      <c r="AC171" s="61">
        <f>SUM(AI171*BU171/CA171)</f>
        <v>0</v>
      </c>
      <c r="AD171" s="262"/>
      <c r="AE171" s="262"/>
      <c r="AF171" s="262"/>
      <c r="AG171" s="262"/>
      <c r="AH171" s="61">
        <f>SUM(AS171*BZ171/CF171)</f>
        <v>0</v>
      </c>
      <c r="AI171" s="663">
        <v>0</v>
      </c>
      <c r="AJ171" s="73"/>
      <c r="AK171" s="258"/>
      <c r="AL171" s="258"/>
      <c r="AM171" s="258"/>
      <c r="AN171" s="258"/>
      <c r="AO171" s="258"/>
      <c r="AP171" s="258"/>
      <c r="AQ171" s="258"/>
      <c r="AR171" s="933"/>
      <c r="AS171" s="94">
        <v>0</v>
      </c>
      <c r="AT171" s="434"/>
      <c r="AU171" s="889">
        <v>0</v>
      </c>
      <c r="AV171" s="20">
        <v>0</v>
      </c>
      <c r="AW171" s="20">
        <v>100</v>
      </c>
      <c r="AX171" s="258">
        <v>100</v>
      </c>
      <c r="AY171" s="258">
        <v>100</v>
      </c>
      <c r="AZ171" s="258">
        <v>100</v>
      </c>
      <c r="BA171" s="258">
        <v>100</v>
      </c>
      <c r="BB171" s="20">
        <v>100</v>
      </c>
      <c r="BC171" s="20">
        <v>0</v>
      </c>
      <c r="BD171" s="258">
        <v>0</v>
      </c>
      <c r="BE171" s="258">
        <v>0</v>
      </c>
      <c r="BF171" s="258">
        <v>0</v>
      </c>
      <c r="BG171" s="258">
        <v>0</v>
      </c>
      <c r="BH171" s="20">
        <v>0</v>
      </c>
      <c r="BI171" s="20">
        <v>0</v>
      </c>
      <c r="BJ171" s="258">
        <v>0</v>
      </c>
      <c r="BK171" s="258">
        <v>0</v>
      </c>
      <c r="BL171" s="258">
        <v>0</v>
      </c>
      <c r="BM171" s="258">
        <v>0</v>
      </c>
      <c r="BN171" s="20">
        <v>0</v>
      </c>
      <c r="BO171" s="20">
        <v>0</v>
      </c>
      <c r="BP171" s="258">
        <v>0</v>
      </c>
      <c r="BQ171" s="258">
        <v>0</v>
      </c>
      <c r="BR171" s="258">
        <v>0</v>
      </c>
      <c r="BS171" s="258">
        <v>0</v>
      </c>
      <c r="BT171" s="20">
        <v>0</v>
      </c>
      <c r="BU171" s="20">
        <v>0</v>
      </c>
      <c r="BV171" s="258">
        <v>0</v>
      </c>
      <c r="BW171" s="258">
        <v>0</v>
      </c>
      <c r="BX171" s="258">
        <v>0</v>
      </c>
      <c r="BY171" s="258">
        <v>0</v>
      </c>
      <c r="BZ171" s="20">
        <v>0</v>
      </c>
      <c r="CA171" s="20">
        <v>100</v>
      </c>
      <c r="CB171" s="258">
        <v>100</v>
      </c>
      <c r="CC171" s="258">
        <v>100</v>
      </c>
      <c r="CD171" s="258">
        <v>100</v>
      </c>
      <c r="CE171" s="258">
        <v>100</v>
      </c>
      <c r="CF171" s="325">
        <v>100</v>
      </c>
      <c r="CG171" s="19"/>
      <c r="CH171" s="19"/>
    </row>
    <row r="172" spans="1:96" ht="39.75" thickBot="1">
      <c r="A172" s="254" t="str">
        <f>CONCATENATE('3 pr-2'!A172)</f>
        <v>3.1.2.</v>
      </c>
      <c r="B172" s="102" t="str">
        <f>CONCATENATE('3 pr-2'!B172)</f>
        <v>Uždavinys:
Kraštovaizdžio apsauga, planavimas ir tvarkymas</v>
      </c>
      <c r="C172" s="95">
        <f t="shared" ref="C172:AI172" si="441">SUM(C173)</f>
        <v>0</v>
      </c>
      <c r="D172" s="95">
        <f t="shared" si="441"/>
        <v>0</v>
      </c>
      <c r="E172" s="95">
        <f t="shared" si="441"/>
        <v>0</v>
      </c>
      <c r="F172" s="95">
        <f t="shared" si="441"/>
        <v>0</v>
      </c>
      <c r="G172" s="95">
        <f t="shared" si="441"/>
        <v>0</v>
      </c>
      <c r="H172" s="95">
        <f t="shared" si="441"/>
        <v>0</v>
      </c>
      <c r="I172" s="95">
        <f t="shared" si="441"/>
        <v>0</v>
      </c>
      <c r="J172" s="95">
        <f t="shared" si="441"/>
        <v>0</v>
      </c>
      <c r="K172" s="95">
        <f t="shared" si="441"/>
        <v>243134.93</v>
      </c>
      <c r="L172" s="95">
        <f t="shared" si="441"/>
        <v>3196.9</v>
      </c>
      <c r="M172" s="95">
        <f t="shared" si="441"/>
        <v>0</v>
      </c>
      <c r="N172" s="95">
        <f t="shared" si="441"/>
        <v>0</v>
      </c>
      <c r="O172" s="95">
        <f t="shared" si="441"/>
        <v>0</v>
      </c>
      <c r="P172" s="95">
        <f t="shared" si="441"/>
        <v>239938.03</v>
      </c>
      <c r="Q172" s="95">
        <f t="shared" si="441"/>
        <v>735597.8899999999</v>
      </c>
      <c r="R172" s="95">
        <f t="shared" si="441"/>
        <v>143613.03999999998</v>
      </c>
      <c r="S172" s="95">
        <f t="shared" si="441"/>
        <v>0</v>
      </c>
      <c r="T172" s="95">
        <f t="shared" si="441"/>
        <v>0</v>
      </c>
      <c r="U172" s="95">
        <f t="shared" si="441"/>
        <v>0</v>
      </c>
      <c r="V172" s="95">
        <f t="shared" si="441"/>
        <v>591984.85</v>
      </c>
      <c r="W172" s="95">
        <f t="shared" si="441"/>
        <v>935062.53940217546</v>
      </c>
      <c r="X172" s="95">
        <f t="shared" si="441"/>
        <v>140259.46812966937</v>
      </c>
      <c r="Y172" s="95">
        <f t="shared" si="441"/>
        <v>0</v>
      </c>
      <c r="Z172" s="95">
        <f t="shared" si="441"/>
        <v>0</v>
      </c>
      <c r="AA172" s="95">
        <f t="shared" si="441"/>
        <v>0</v>
      </c>
      <c r="AB172" s="95">
        <f t="shared" si="441"/>
        <v>794803.07127250615</v>
      </c>
      <c r="AC172" s="95">
        <f t="shared" si="441"/>
        <v>594002.42177429504</v>
      </c>
      <c r="AD172" s="95">
        <f t="shared" si="441"/>
        <v>89100.623046801207</v>
      </c>
      <c r="AE172" s="95">
        <f t="shared" si="441"/>
        <v>0</v>
      </c>
      <c r="AF172" s="95">
        <f t="shared" si="441"/>
        <v>0</v>
      </c>
      <c r="AG172" s="95">
        <f t="shared" si="441"/>
        <v>0</v>
      </c>
      <c r="AH172" s="95">
        <f t="shared" si="441"/>
        <v>504901.79872749391</v>
      </c>
      <c r="AI172" s="665">
        <f t="shared" si="441"/>
        <v>2507797.7811764702</v>
      </c>
      <c r="AJ172" s="95"/>
      <c r="AK172" s="95"/>
      <c r="AL172" s="95"/>
      <c r="AM172" s="95"/>
      <c r="AN172" s="95"/>
      <c r="AO172" s="95"/>
      <c r="AP172" s="95"/>
      <c r="AQ172" s="95"/>
      <c r="AR172" s="95"/>
      <c r="AS172" s="95">
        <f>SUM(AS173)</f>
        <v>2131627.75</v>
      </c>
      <c r="AT172" s="962"/>
      <c r="AU172" s="889">
        <v>0</v>
      </c>
      <c r="AV172" s="20">
        <v>0</v>
      </c>
      <c r="AW172" s="20">
        <v>0</v>
      </c>
      <c r="AX172" s="95"/>
      <c r="AY172" s="95"/>
      <c r="AZ172" s="95"/>
      <c r="BA172" s="95"/>
      <c r="BB172" s="20">
        <v>0</v>
      </c>
      <c r="BC172" s="20">
        <v>0</v>
      </c>
      <c r="BD172" s="95"/>
      <c r="BE172" s="95"/>
      <c r="BF172" s="95"/>
      <c r="BG172" s="95"/>
      <c r="BH172" s="20">
        <v>0</v>
      </c>
      <c r="BI172" s="20">
        <v>25</v>
      </c>
      <c r="BJ172" s="95"/>
      <c r="BK172" s="95"/>
      <c r="BL172" s="95"/>
      <c r="BM172" s="95"/>
      <c r="BN172" s="20">
        <v>25</v>
      </c>
      <c r="BO172" s="20">
        <v>45</v>
      </c>
      <c r="BP172" s="95"/>
      <c r="BQ172" s="95"/>
      <c r="BR172" s="95"/>
      <c r="BS172" s="95"/>
      <c r="BT172" s="20">
        <v>45</v>
      </c>
      <c r="BU172" s="20">
        <v>30</v>
      </c>
      <c r="BV172" s="95"/>
      <c r="BW172" s="95"/>
      <c r="BX172" s="95"/>
      <c r="BY172" s="95"/>
      <c r="BZ172" s="20">
        <v>30</v>
      </c>
      <c r="CA172" s="20">
        <v>100</v>
      </c>
      <c r="CB172" s="95"/>
      <c r="CC172" s="95"/>
      <c r="CD172" s="95"/>
      <c r="CE172" s="95"/>
      <c r="CF172" s="325">
        <v>100</v>
      </c>
      <c r="CG172" s="892"/>
      <c r="CH172" s="19"/>
    </row>
    <row r="173" spans="1:96" ht="27" thickBot="1">
      <c r="A173" s="253" t="str">
        <f>CONCATENATE('3 pr-2'!A173)</f>
        <v>3.1.2.1</v>
      </c>
      <c r="B173" s="103" t="str">
        <f>CONCATENATE('3 pr-2'!B173)</f>
        <v>Priemonė:
Kraštovaizdžio apsauga/plėtra</v>
      </c>
      <c r="C173" s="901">
        <f t="shared" ref="C173:AH173" si="442">SUM(C174:C182)</f>
        <v>0</v>
      </c>
      <c r="D173" s="901">
        <f t="shared" si="442"/>
        <v>0</v>
      </c>
      <c r="E173" s="901">
        <f t="shared" si="442"/>
        <v>0</v>
      </c>
      <c r="F173" s="901">
        <f t="shared" si="442"/>
        <v>0</v>
      </c>
      <c r="G173" s="901">
        <f t="shared" si="442"/>
        <v>0</v>
      </c>
      <c r="H173" s="901">
        <f t="shared" si="442"/>
        <v>0</v>
      </c>
      <c r="I173" s="901">
        <f t="shared" si="442"/>
        <v>0</v>
      </c>
      <c r="J173" s="901">
        <f t="shared" si="442"/>
        <v>0</v>
      </c>
      <c r="K173" s="901">
        <f t="shared" si="442"/>
        <v>243134.93</v>
      </c>
      <c r="L173" s="901">
        <f t="shared" si="442"/>
        <v>3196.9</v>
      </c>
      <c r="M173" s="901">
        <f t="shared" si="442"/>
        <v>0</v>
      </c>
      <c r="N173" s="901">
        <f t="shared" si="442"/>
        <v>0</v>
      </c>
      <c r="O173" s="901">
        <f t="shared" si="442"/>
        <v>0</v>
      </c>
      <c r="P173" s="901">
        <f t="shared" si="442"/>
        <v>239938.03</v>
      </c>
      <c r="Q173" s="901">
        <f t="shared" si="442"/>
        <v>735597.8899999999</v>
      </c>
      <c r="R173" s="901">
        <f t="shared" si="442"/>
        <v>143613.03999999998</v>
      </c>
      <c r="S173" s="901">
        <f t="shared" si="442"/>
        <v>0</v>
      </c>
      <c r="T173" s="901">
        <f t="shared" si="442"/>
        <v>0</v>
      </c>
      <c r="U173" s="901">
        <f t="shared" si="442"/>
        <v>0</v>
      </c>
      <c r="V173" s="901">
        <f t="shared" si="442"/>
        <v>591984.85</v>
      </c>
      <c r="W173" s="901">
        <f t="shared" si="442"/>
        <v>935062.53940217546</v>
      </c>
      <c r="X173" s="901">
        <f t="shared" si="442"/>
        <v>140259.46812966937</v>
      </c>
      <c r="Y173" s="901">
        <f t="shared" si="442"/>
        <v>0</v>
      </c>
      <c r="Z173" s="901">
        <f t="shared" si="442"/>
        <v>0</v>
      </c>
      <c r="AA173" s="901">
        <f t="shared" si="442"/>
        <v>0</v>
      </c>
      <c r="AB173" s="901">
        <f t="shared" si="442"/>
        <v>794803.07127250615</v>
      </c>
      <c r="AC173" s="901">
        <f t="shared" si="442"/>
        <v>594002.42177429504</v>
      </c>
      <c r="AD173" s="901">
        <f t="shared" si="442"/>
        <v>89100.623046801207</v>
      </c>
      <c r="AE173" s="901">
        <f t="shared" si="442"/>
        <v>0</v>
      </c>
      <c r="AF173" s="901">
        <f t="shared" si="442"/>
        <v>0</v>
      </c>
      <c r="AG173" s="901">
        <f t="shared" si="442"/>
        <v>0</v>
      </c>
      <c r="AH173" s="901">
        <f t="shared" si="442"/>
        <v>504901.79872749391</v>
      </c>
      <c r="AI173" s="902">
        <f>SUM(AI174:AI182)</f>
        <v>2507797.7811764702</v>
      </c>
      <c r="AJ173" s="901"/>
      <c r="AK173" s="901"/>
      <c r="AL173" s="901"/>
      <c r="AM173" s="901"/>
      <c r="AN173" s="901"/>
      <c r="AO173" s="901"/>
      <c r="AP173" s="901"/>
      <c r="AQ173" s="901"/>
      <c r="AR173" s="901"/>
      <c r="AS173" s="901">
        <f>SUM(AS174:AS182)</f>
        <v>2131627.75</v>
      </c>
      <c r="AT173" s="901"/>
      <c r="AU173" s="963"/>
      <c r="AV173" s="963"/>
      <c r="AW173" s="963"/>
      <c r="AX173" s="943"/>
      <c r="AY173" s="943"/>
      <c r="AZ173" s="943"/>
      <c r="BA173" s="943"/>
      <c r="BB173" s="964"/>
      <c r="BC173" s="964"/>
      <c r="BD173" s="943"/>
      <c r="BE173" s="943"/>
      <c r="BF173" s="943"/>
      <c r="BG173" s="943"/>
      <c r="BH173" s="964"/>
      <c r="BI173" s="964"/>
      <c r="BJ173" s="901"/>
      <c r="BK173" s="901"/>
      <c r="BL173" s="901"/>
      <c r="BM173" s="901"/>
      <c r="BN173" s="964"/>
      <c r="BO173" s="964"/>
      <c r="BP173" s="901"/>
      <c r="BQ173" s="901"/>
      <c r="BR173" s="901"/>
      <c r="BS173" s="901"/>
      <c r="BT173" s="964"/>
      <c r="BU173" s="964"/>
      <c r="BV173" s="901"/>
      <c r="BW173" s="901"/>
      <c r="BX173" s="901"/>
      <c r="BY173" s="901"/>
      <c r="BZ173" s="964"/>
      <c r="CA173" s="964"/>
      <c r="CB173" s="901">
        <v>100</v>
      </c>
      <c r="CC173" s="901">
        <v>100</v>
      </c>
      <c r="CD173" s="901">
        <v>100</v>
      </c>
      <c r="CE173" s="901">
        <v>100</v>
      </c>
      <c r="CF173" s="965">
        <v>100</v>
      </c>
      <c r="CG173" s="892"/>
      <c r="CH173" s="19"/>
      <c r="CK173" s="21" t="s">
        <v>1588</v>
      </c>
      <c r="CL173" s="21" t="s">
        <v>1397</v>
      </c>
      <c r="CM173" s="21" t="s">
        <v>1398</v>
      </c>
      <c r="CN173" s="21" t="s">
        <v>1436</v>
      </c>
    </row>
    <row r="174" spans="1:96" ht="45.75" customHeight="1" thickBot="1">
      <c r="A174" s="6" t="str">
        <f>CONCATENATE('3 pr-2'!A174)</f>
        <v>3.1.2.1.1</v>
      </c>
      <c r="B174" s="18" t="str">
        <f>CONCATENATE('3 pr-2'!D174)</f>
        <v>Kraštovaizdžio formavimas ir tvarkymas Varėnos r. savivaldybėje (I etapas)</v>
      </c>
      <c r="C174" s="61">
        <v>0</v>
      </c>
      <c r="D174" s="61">
        <v>0</v>
      </c>
      <c r="E174" s="61">
        <v>0</v>
      </c>
      <c r="F174" s="257">
        <v>0</v>
      </c>
      <c r="G174" s="257">
        <v>0</v>
      </c>
      <c r="H174" s="257">
        <v>0</v>
      </c>
      <c r="I174" s="257">
        <v>0</v>
      </c>
      <c r="J174" s="61">
        <v>0</v>
      </c>
      <c r="K174" s="278">
        <f>SUM('ketv. 7 '!M172-'IV-1 su proj'!E174)</f>
        <v>89683.650000000009</v>
      </c>
      <c r="L174" s="263">
        <f>SUM('ketv. 7 '!S172-'IV-1 su proj'!F174)</f>
        <v>1613.33</v>
      </c>
      <c r="M174" s="263">
        <v>0</v>
      </c>
      <c r="N174" s="263">
        <v>0</v>
      </c>
      <c r="O174" s="263">
        <v>0</v>
      </c>
      <c r="P174" s="278">
        <f>SUM('ketv. 7 '!AM172-'IV-1 su proj'!J174)</f>
        <v>88070.32</v>
      </c>
      <c r="Q174" s="278">
        <f>SUM(R174:V174)</f>
        <v>219838.35</v>
      </c>
      <c r="R174" s="263">
        <f>SUM(V174*AL174/AT174)</f>
        <v>44814.97</v>
      </c>
      <c r="S174" s="261">
        <v>0</v>
      </c>
      <c r="T174" s="261">
        <v>0</v>
      </c>
      <c r="U174" s="261">
        <v>0</v>
      </c>
      <c r="V174" s="278">
        <f>IF(YEAR($CG174)=2017,($BI$4-$BC$4)*$AT174/($CH174-$BC$4))</f>
        <v>175023.38</v>
      </c>
      <c r="W174" s="278">
        <f>SUM(X174:AB174)</f>
        <v>0</v>
      </c>
      <c r="X174" s="263">
        <f>SUM(AB174*AL174/AT174)</f>
        <v>0</v>
      </c>
      <c r="Y174" s="261">
        <v>0</v>
      </c>
      <c r="Z174" s="261">
        <v>0</v>
      </c>
      <c r="AA174" s="261">
        <v>0</v>
      </c>
      <c r="AB174" s="278">
        <f>IF(YEAR($CH174)=2019,($CH174-$BI$4)*$AT174/($CH174-$BC$4),0)</f>
        <v>0</v>
      </c>
      <c r="AC174" s="65">
        <v>0</v>
      </c>
      <c r="AD174" s="257">
        <v>0</v>
      </c>
      <c r="AE174" s="257">
        <v>0</v>
      </c>
      <c r="AF174" s="257">
        <v>0</v>
      </c>
      <c r="AG174" s="257">
        <v>0</v>
      </c>
      <c r="AH174" s="65">
        <v>0</v>
      </c>
      <c r="AI174" s="664">
        <f>SUM('3 pr-2'!L174)</f>
        <v>309522</v>
      </c>
      <c r="AJ174" s="988">
        <f>SUM(AI174-K174)</f>
        <v>219838.34999999998</v>
      </c>
      <c r="AK174" s="257">
        <f>SUM('3 pr-2'!O174)</f>
        <v>46428.3</v>
      </c>
      <c r="AL174" s="988">
        <f t="shared" ref="AL174:AL182" si="443">SUM(AK174-F174-L174)</f>
        <v>44814.97</v>
      </c>
      <c r="AM174" s="257">
        <f>SUM('3 pr-2'!R174)</f>
        <v>0</v>
      </c>
      <c r="AN174" s="958"/>
      <c r="AO174" s="257">
        <f>SUM('3 pr-2'!U174)</f>
        <v>0</v>
      </c>
      <c r="AP174" s="958"/>
      <c r="AQ174" s="257">
        <f>SUM('3 pr-2'!X174)</f>
        <v>0</v>
      </c>
      <c r="AR174" s="958"/>
      <c r="AS174" s="966">
        <f>SUM('3 pr-2'!AA174)</f>
        <v>263093.7</v>
      </c>
      <c r="AT174" s="988">
        <f t="shared" ref="AT174:AT182" si="444">SUM(AS174-J174-P174)</f>
        <v>175023.38</v>
      </c>
      <c r="AU174" s="894"/>
      <c r="AV174" s="894"/>
      <c r="AW174" s="894"/>
      <c r="AX174" s="967"/>
      <c r="AY174" s="967"/>
      <c r="AZ174" s="967"/>
      <c r="BA174" s="967"/>
      <c r="BB174" s="894"/>
      <c r="BC174" s="914"/>
      <c r="BD174" s="967"/>
      <c r="BE174" s="967"/>
      <c r="BF174" s="967"/>
      <c r="BG174" s="967"/>
      <c r="BH174" s="914"/>
      <c r="BI174" s="914"/>
      <c r="BJ174" s="967"/>
      <c r="BK174" s="967"/>
      <c r="BL174" s="967"/>
      <c r="BM174" s="967"/>
      <c r="BN174" s="914"/>
      <c r="BO174" s="914"/>
      <c r="BP174" s="967"/>
      <c r="BQ174" s="967"/>
      <c r="BR174" s="967"/>
      <c r="BS174" s="967"/>
      <c r="BT174" s="914"/>
      <c r="BU174" s="914"/>
      <c r="BV174" s="967"/>
      <c r="BW174" s="967"/>
      <c r="BX174" s="967"/>
      <c r="BY174" s="967"/>
      <c r="BZ174" s="914"/>
      <c r="CA174" s="20"/>
      <c r="CB174" s="967"/>
      <c r="CC174" s="967"/>
      <c r="CD174" s="967"/>
      <c r="CE174" s="967"/>
      <c r="CF174" s="325"/>
      <c r="CG174" s="931">
        <f>SUM('3 pr-2'!AI174)</f>
        <v>42901</v>
      </c>
      <c r="CH174" s="931">
        <f>SUM('3 pr-2'!AK174)</f>
        <v>43465</v>
      </c>
      <c r="CI174" s="957">
        <f t="shared" ref="CI174:CI182" si="445">SUM(J174+P174+V174+AB174+AH174)</f>
        <v>263093.7</v>
      </c>
      <c r="CK174" s="985">
        <f>SUM(AJ174/(CH174-$K$3))</f>
        <v>602.29684931506847</v>
      </c>
      <c r="CL174" s="985">
        <f>SUM(AL174/(CH174-$K$3))</f>
        <v>122.78073972602741</v>
      </c>
      <c r="CM174" s="985">
        <f>SUM(AN174/(CH174-$K$3))</f>
        <v>0</v>
      </c>
      <c r="CN174" s="987">
        <f>SUM(AT174/(CH174-$K$3))</f>
        <v>479.51610958904109</v>
      </c>
      <c r="CQ174" s="892">
        <f>SUM(E174+K174+Q174+W174+AC174)</f>
        <v>309522</v>
      </c>
      <c r="CR174" s="893">
        <f t="shared" ref="CR174:CR180" si="446">SUM(J174+P174+V174+AB174+AH174)</f>
        <v>263093.7</v>
      </c>
    </row>
    <row r="175" spans="1:96" ht="38.25" customHeight="1" thickBot="1">
      <c r="A175" s="6" t="str">
        <f>CONCATENATE('3 pr-2'!A175)</f>
        <v>3.1.2.1.2</v>
      </c>
      <c r="B175" s="18" t="str">
        <f>CONCATENATE('3 pr-2'!D175)</f>
        <v>Kraštovaizdžio formavimas ir tvarkymas Varėnos r. savivaldybėje (II etapas)</v>
      </c>
      <c r="C175" s="61">
        <f>SUM(AI175*AU175/CA175)</f>
        <v>0</v>
      </c>
      <c r="D175" s="61">
        <f t="shared" ref="D175" si="447">SUM(AS175*AV175/CF175)</f>
        <v>0</v>
      </c>
      <c r="E175" s="61">
        <f>SUM(AI175*AW175/CA175)</f>
        <v>0</v>
      </c>
      <c r="F175" s="257">
        <v>0</v>
      </c>
      <c r="G175" s="257">
        <v>0</v>
      </c>
      <c r="H175" s="257">
        <v>0</v>
      </c>
      <c r="I175" s="257">
        <v>0</v>
      </c>
      <c r="J175" s="61">
        <v>0</v>
      </c>
      <c r="K175" s="278">
        <f>SUM('ketv. 7 '!M173-'IV-1 su proj'!E175)</f>
        <v>0</v>
      </c>
      <c r="L175" s="263">
        <f>SUM('ketv. 7 '!S173-'IV-1 su proj'!F175)</f>
        <v>0</v>
      </c>
      <c r="M175" s="263">
        <v>0</v>
      </c>
      <c r="N175" s="263">
        <v>0</v>
      </c>
      <c r="O175" s="263">
        <v>0</v>
      </c>
      <c r="P175" s="278">
        <f>SUM('ketv. 7 '!AM173-'IV-1 su proj'!J175)</f>
        <v>0</v>
      </c>
      <c r="Q175" s="278">
        <v>0</v>
      </c>
      <c r="R175" s="263">
        <v>0</v>
      </c>
      <c r="S175" s="261">
        <v>0</v>
      </c>
      <c r="T175" s="261">
        <v>0</v>
      </c>
      <c r="U175" s="261">
        <v>0</v>
      </c>
      <c r="V175" s="278">
        <v>0</v>
      </c>
      <c r="W175" s="326">
        <f>SUM($W$3-$CG$175)*CK175</f>
        <v>139058.41697080291</v>
      </c>
      <c r="X175" s="263">
        <f>SUM($W$3-$CG$175)*CL175</f>
        <v>20858.850364963502</v>
      </c>
      <c r="Y175" s="261">
        <f>SUM($W$3-$CG$175)*CM175</f>
        <v>0</v>
      </c>
      <c r="Z175" s="261">
        <v>0</v>
      </c>
      <c r="AA175" s="261">
        <v>0</v>
      </c>
      <c r="AB175" s="278">
        <f>SUM($W$3-$CG$175)*CN175</f>
        <v>118199.56660583941</v>
      </c>
      <c r="AC175" s="65">
        <f>SUM($CH$175-$W$3)*CK175</f>
        <v>415152.58302919706</v>
      </c>
      <c r="AD175" s="257">
        <f>SUM($CH$175-$W$3)*CL175</f>
        <v>62273.149635036498</v>
      </c>
      <c r="AE175" s="257">
        <f>SUM($CH$175-$W$3)*CM175</f>
        <v>0</v>
      </c>
      <c r="AF175" s="257">
        <v>0</v>
      </c>
      <c r="AG175" s="257">
        <v>0</v>
      </c>
      <c r="AH175" s="65">
        <f>SUM($CH$175-$W$3)*CN175</f>
        <v>352879.43339416059</v>
      </c>
      <c r="AI175" s="664">
        <f>SUM('3 pr-2'!L175)</f>
        <v>554211</v>
      </c>
      <c r="AJ175" s="958">
        <f t="shared" ref="AJ175" si="448">SUM(AI175-E175)</f>
        <v>554211</v>
      </c>
      <c r="AK175" s="257">
        <f>SUM('3 pr-2'!O175)</f>
        <v>83132</v>
      </c>
      <c r="AL175" s="958">
        <f t="shared" si="443"/>
        <v>83132</v>
      </c>
      <c r="AM175" s="257">
        <f>SUM('3 pr-2'!R175)</f>
        <v>0</v>
      </c>
      <c r="AN175" s="958"/>
      <c r="AO175" s="257">
        <f>SUM('3 pr-2'!U175)</f>
        <v>0</v>
      </c>
      <c r="AP175" s="958"/>
      <c r="AQ175" s="257">
        <f>SUM('3 pr-2'!X175)</f>
        <v>0</v>
      </c>
      <c r="AR175" s="958"/>
      <c r="AS175" s="968">
        <f>SUM('3 pr-2'!AA175)</f>
        <v>471079</v>
      </c>
      <c r="AT175" s="958">
        <f t="shared" si="444"/>
        <v>471079</v>
      </c>
      <c r="AU175" s="894">
        <v>0</v>
      </c>
      <c r="AV175" s="894">
        <v>0</v>
      </c>
      <c r="AW175" s="894">
        <v>0</v>
      </c>
      <c r="AX175" s="258">
        <v>0</v>
      </c>
      <c r="AY175" s="258">
        <v>0</v>
      </c>
      <c r="AZ175" s="258">
        <v>0</v>
      </c>
      <c r="BA175" s="258">
        <v>0</v>
      </c>
      <c r="BB175" s="894">
        <v>0</v>
      </c>
      <c r="BC175" s="894">
        <v>0</v>
      </c>
      <c r="BD175" s="258">
        <v>0</v>
      </c>
      <c r="BE175" s="258">
        <v>0</v>
      </c>
      <c r="BF175" s="258">
        <v>0</v>
      </c>
      <c r="BG175" s="258">
        <v>0</v>
      </c>
      <c r="BH175" s="894">
        <v>0</v>
      </c>
      <c r="BI175" s="894">
        <v>0</v>
      </c>
      <c r="BJ175" s="258">
        <v>0</v>
      </c>
      <c r="BK175" s="258">
        <v>0</v>
      </c>
      <c r="BL175" s="258">
        <v>0</v>
      </c>
      <c r="BM175" s="258">
        <v>0</v>
      </c>
      <c r="BN175" s="894">
        <v>0</v>
      </c>
      <c r="BO175" s="914">
        <v>50</v>
      </c>
      <c r="BP175" s="258">
        <v>50</v>
      </c>
      <c r="BQ175" s="258">
        <v>50</v>
      </c>
      <c r="BR175" s="258">
        <v>50</v>
      </c>
      <c r="BS175" s="258">
        <v>50</v>
      </c>
      <c r="BT175" s="914">
        <v>50</v>
      </c>
      <c r="BU175" s="914">
        <v>50</v>
      </c>
      <c r="BV175" s="258">
        <v>50</v>
      </c>
      <c r="BW175" s="258">
        <v>50</v>
      </c>
      <c r="BX175" s="258">
        <v>50</v>
      </c>
      <c r="BY175" s="258">
        <v>50</v>
      </c>
      <c r="BZ175" s="914">
        <v>50</v>
      </c>
      <c r="CA175" s="20">
        <v>100</v>
      </c>
      <c r="CB175" s="258">
        <v>100</v>
      </c>
      <c r="CC175" s="258">
        <v>100</v>
      </c>
      <c r="CD175" s="258">
        <v>100</v>
      </c>
      <c r="CE175" s="258">
        <v>100</v>
      </c>
      <c r="CF175" s="325">
        <v>100</v>
      </c>
      <c r="CG175" s="931">
        <f>SUM('3 pr-2'!AI175)</f>
        <v>43555</v>
      </c>
      <c r="CH175" s="931">
        <f>SUM('3 pr-2'!AK175)</f>
        <v>44651</v>
      </c>
      <c r="CI175" s="957">
        <f t="shared" si="445"/>
        <v>471079</v>
      </c>
      <c r="CK175" s="985">
        <f t="shared" ref="CK175" si="449">SUM(AI175/(CH175-CG175))</f>
        <v>505.66697080291971</v>
      </c>
      <c r="CL175" s="985">
        <f t="shared" ref="CL175" si="450">SUM(AK175/(CH175-CG175))</f>
        <v>75.850364963503651</v>
      </c>
      <c r="CM175" s="985">
        <f t="shared" ref="CM175" si="451">SUM(AM175/(CH175-CG175))</f>
        <v>0</v>
      </c>
      <c r="CN175" s="987">
        <f t="shared" ref="CN175" si="452">SUM(AS175/(CH175-CG175))</f>
        <v>429.81660583941607</v>
      </c>
      <c r="CQ175" s="892">
        <f t="shared" ref="CQ175:CQ182" si="453">SUM(E175+K175+Q175+W175+AC175)</f>
        <v>554211</v>
      </c>
      <c r="CR175" s="893">
        <f t="shared" si="446"/>
        <v>471079</v>
      </c>
    </row>
    <row r="176" spans="1:96" ht="29.25" customHeight="1" thickBot="1">
      <c r="A176" s="6" t="str">
        <f>CONCATENATE('3 pr-2'!A176)</f>
        <v>3.1.2.1.3</v>
      </c>
      <c r="B176" s="18" t="str">
        <f>CONCATENATE('3 pr-2'!D176)</f>
        <v>Bešeimininkių apleistų pastatų ir įrenginių tvarkymas Alytaus rajono savivaldybėje</v>
      </c>
      <c r="C176" s="61">
        <v>0</v>
      </c>
      <c r="D176" s="61">
        <v>0</v>
      </c>
      <c r="E176" s="61">
        <v>0</v>
      </c>
      <c r="F176" s="257">
        <f>SUM(AK175*AX175/CB175)</f>
        <v>0</v>
      </c>
      <c r="G176" s="257">
        <f>SUM(AM175*AY175/CC175)</f>
        <v>0</v>
      </c>
      <c r="H176" s="257">
        <f>SUM(AO175*AZ175/CD175)</f>
        <v>0</v>
      </c>
      <c r="I176" s="257">
        <f>SUM(AQ175*BA175/CE175)</f>
        <v>0</v>
      </c>
      <c r="J176" s="61">
        <v>0</v>
      </c>
      <c r="K176" s="278">
        <f>SUM('ketv. 7 '!M174-'IV-1 su proj'!E176)</f>
        <v>0</v>
      </c>
      <c r="L176" s="261">
        <f>SUM('ketv. 7 '!S174-'IV-1 su proj'!F176)</f>
        <v>0</v>
      </c>
      <c r="M176" s="261">
        <f>IF(YEAR($CG$176)=2017,($BC$4-$CG$176)*AM$176/($CH$176-$CG$176),0)</f>
        <v>0</v>
      </c>
      <c r="N176" s="261">
        <f>IF(YEAR($CG$176)=2017,($BC$4-$CG$176)*AO$176/($CH$176-$CG$176),0)</f>
        <v>0</v>
      </c>
      <c r="O176" s="261">
        <f>IF(YEAR($CG$176)=2017,($BC$4-$CG$176)*AQ$176/($CH$176-$CG$176),0)</f>
        <v>0</v>
      </c>
      <c r="P176" s="326">
        <f>SUM('ketv. 7 '!AM174-'IV-1 su proj'!J176)</f>
        <v>0</v>
      </c>
      <c r="Q176" s="65">
        <f>SUM(CH176-$K$3)*CK176</f>
        <v>101765.7</v>
      </c>
      <c r="R176" s="261">
        <f>SUM(CH176-$K$3)*CL176</f>
        <v>15264.899999999998</v>
      </c>
      <c r="S176" s="261">
        <f>SUM(CH176-$K$3)*CM176</f>
        <v>0</v>
      </c>
      <c r="T176" s="261">
        <v>0</v>
      </c>
      <c r="U176" s="261">
        <v>0</v>
      </c>
      <c r="V176" s="326">
        <f>SUM(CH176-$K$3)*CN176</f>
        <v>86500.800000000003</v>
      </c>
      <c r="W176" s="65">
        <v>0</v>
      </c>
      <c r="X176" s="261">
        <v>0</v>
      </c>
      <c r="Y176" s="261">
        <v>0</v>
      </c>
      <c r="Z176" s="261">
        <v>0</v>
      </c>
      <c r="AA176" s="261">
        <v>0</v>
      </c>
      <c r="AB176" s="65">
        <v>0</v>
      </c>
      <c r="AC176" s="65">
        <v>0</v>
      </c>
      <c r="AD176" s="257">
        <v>0</v>
      </c>
      <c r="AE176" s="257">
        <v>0</v>
      </c>
      <c r="AF176" s="257">
        <v>0</v>
      </c>
      <c r="AG176" s="257">
        <v>0</v>
      </c>
      <c r="AH176" s="65">
        <v>0</v>
      </c>
      <c r="AI176" s="664">
        <f>SUM('3 pr-2'!L176)</f>
        <v>101765.7</v>
      </c>
      <c r="AJ176" s="958">
        <f t="shared" ref="AJ176:AJ182" si="454">SUM(AI176-K176)</f>
        <v>101765.7</v>
      </c>
      <c r="AK176" s="257">
        <f>SUM('3 pr-2'!O176)</f>
        <v>15264.9</v>
      </c>
      <c r="AL176" s="958">
        <f t="shared" si="443"/>
        <v>15264.9</v>
      </c>
      <c r="AM176" s="257">
        <f>SUM('3 pr-2'!R176)</f>
        <v>0</v>
      </c>
      <c r="AN176" s="958"/>
      <c r="AO176" s="257">
        <f>SUM('3 pr-2'!U176)</f>
        <v>0</v>
      </c>
      <c r="AP176" s="958"/>
      <c r="AQ176" s="257">
        <f>SUM('3 pr-2'!X176)</f>
        <v>0</v>
      </c>
      <c r="AR176" s="958"/>
      <c r="AS176" s="968">
        <f>SUM('3 pr-2'!AA176)</f>
        <v>86500.800000000003</v>
      </c>
      <c r="AT176" s="958">
        <f t="shared" si="444"/>
        <v>86500.800000000003</v>
      </c>
      <c r="AU176" s="894"/>
      <c r="AV176" s="894"/>
      <c r="AW176" s="894"/>
      <c r="AX176" s="258"/>
      <c r="AY176" s="258"/>
      <c r="AZ176" s="258"/>
      <c r="BA176" s="258"/>
      <c r="BB176" s="894"/>
      <c r="BC176" s="914"/>
      <c r="BD176" s="258"/>
      <c r="BE176" s="258"/>
      <c r="BF176" s="258"/>
      <c r="BG176" s="258"/>
      <c r="BH176" s="914"/>
      <c r="BI176" s="914"/>
      <c r="BJ176" s="258"/>
      <c r="BK176" s="258"/>
      <c r="BL176" s="258"/>
      <c r="BM176" s="258"/>
      <c r="BN176" s="914"/>
      <c r="BO176" s="914"/>
      <c r="BP176" s="258"/>
      <c r="BQ176" s="258"/>
      <c r="BR176" s="258"/>
      <c r="BS176" s="258"/>
      <c r="BT176" s="914"/>
      <c r="BU176" s="914"/>
      <c r="BV176" s="258"/>
      <c r="BW176" s="258"/>
      <c r="BX176" s="258"/>
      <c r="BY176" s="258"/>
      <c r="BZ176" s="914"/>
      <c r="CA176" s="20"/>
      <c r="CB176" s="258"/>
      <c r="CC176" s="258"/>
      <c r="CD176" s="258"/>
      <c r="CE176" s="258"/>
      <c r="CF176" s="325"/>
      <c r="CG176" s="931">
        <f>SUM('3 pr-2'!AI176)</f>
        <v>42998</v>
      </c>
      <c r="CH176" s="931">
        <f>SUM('3 pr-2'!AK176)</f>
        <v>43465</v>
      </c>
      <c r="CI176" s="957">
        <f t="shared" si="445"/>
        <v>86500.800000000003</v>
      </c>
      <c r="CK176" s="985">
        <f>SUM(AJ176/(CH176-$K$3))</f>
        <v>278.81013698630136</v>
      </c>
      <c r="CL176" s="985">
        <f>SUM(AL176/(CH176-$K$3))</f>
        <v>41.821643835616435</v>
      </c>
      <c r="CM176" s="985">
        <f>SUM(AN176/(CH176-$K$3))</f>
        <v>0</v>
      </c>
      <c r="CN176" s="987">
        <f>SUM(AT176/(CH176-$K$3))</f>
        <v>236.98849315068495</v>
      </c>
      <c r="CQ176" s="892">
        <f t="shared" si="453"/>
        <v>101765.7</v>
      </c>
      <c r="CR176" s="893">
        <f t="shared" si="446"/>
        <v>86500.800000000003</v>
      </c>
    </row>
    <row r="177" spans="1:96" ht="51.75" thickBot="1">
      <c r="A177" s="6" t="str">
        <f>CONCATENATE('3 pr-2'!A177)</f>
        <v>3.1.2.1.4</v>
      </c>
      <c r="B177" s="18" t="str">
        <f>CONCATENATE('3 pr-2'!D177)</f>
        <v>Alytaus miesto bendrojo plano korektūra zonuojant kraštovaizdžio struktūrą, nustatant reglamentus ir principus</v>
      </c>
      <c r="C177" s="61">
        <v>0</v>
      </c>
      <c r="D177" s="61">
        <v>0</v>
      </c>
      <c r="E177" s="61">
        <v>0</v>
      </c>
      <c r="F177" s="257">
        <v>0</v>
      </c>
      <c r="G177" s="257">
        <v>0</v>
      </c>
      <c r="H177" s="257">
        <v>0</v>
      </c>
      <c r="I177" s="257">
        <v>0</v>
      </c>
      <c r="J177" s="61">
        <v>0</v>
      </c>
      <c r="K177" s="278">
        <f>SUM('ketv. 7 '!M175-'IV-1 su proj'!E177)</f>
        <v>0</v>
      </c>
      <c r="L177" s="261">
        <f>SUM('ketv. 7 '!S175-'IV-1 su proj'!F177)</f>
        <v>0</v>
      </c>
      <c r="M177" s="261">
        <f>IF(YEAR($CG$177)=2017,($BC$4-$CG$177)*AM$177/($CH$177-$CG$177),0)</f>
        <v>0</v>
      </c>
      <c r="N177" s="261">
        <f>IF(YEAR($CG$177)=2017,($BC$4-$CG$177)*AO$177/($CH$177-$CG$177),0)</f>
        <v>0</v>
      </c>
      <c r="O177" s="261">
        <f>IF(YEAR($CG$177)=2017,($BC$4-$CG$177)*AQ$177/($CH$177-$CG$177),0)</f>
        <v>0</v>
      </c>
      <c r="P177" s="326">
        <f>SUM('ketv. 7 '!AM175-'IV-1 su proj'!J177)</f>
        <v>0</v>
      </c>
      <c r="Q177" s="65">
        <f>SUM(CH177-$K$3)*CK177</f>
        <v>3993</v>
      </c>
      <c r="R177" s="261">
        <f>SUM(CH177-$K$3)*CL177</f>
        <v>598.95000000000005</v>
      </c>
      <c r="S177" s="261">
        <f>SUM(CH177-$K$3)*CM177</f>
        <v>0</v>
      </c>
      <c r="T177" s="261">
        <v>0</v>
      </c>
      <c r="U177" s="261">
        <v>0</v>
      </c>
      <c r="V177" s="326">
        <f>SUM(CH177-$K$3)*CN177</f>
        <v>3394.05</v>
      </c>
      <c r="W177" s="65">
        <f>IF(YEAR($CH$177)=2019,($CH$177-$BI$4)*AI$177/($CH$177-$CG$177),0)</f>
        <v>0</v>
      </c>
      <c r="X177" s="261">
        <f>IF(YEAR($CH$177)=2019,($CH$177-$BI$4)*AK$177/($CH$177-$CG$177),0)</f>
        <v>0</v>
      </c>
      <c r="Y177" s="261">
        <f>IF(YEAR($CH$177)=2019,($CH$177-$BI$4)*AM$177/($CH$177-$CG$177),0)</f>
        <v>0</v>
      </c>
      <c r="Z177" s="261">
        <f>IF(YEAR($CH$177)=2019,($CH$177-$BI$4)*AO$177/($CH$177-$CG$177),0)</f>
        <v>0</v>
      </c>
      <c r="AA177" s="261">
        <f>IF(YEAR($CH$177)=2019,($CH$177-$BI$4)*AQ$177/($CH$177-$CG$177),0)</f>
        <v>0</v>
      </c>
      <c r="AB177" s="65">
        <f>IF(YEAR($CH$177)=2019,($CH$177-$BI$4)*AS$177/($CH$177-$CG$177),0)</f>
        <v>0</v>
      </c>
      <c r="AC177" s="65">
        <v>0</v>
      </c>
      <c r="AD177" s="257">
        <v>0</v>
      </c>
      <c r="AE177" s="257">
        <v>0</v>
      </c>
      <c r="AF177" s="257">
        <v>0</v>
      </c>
      <c r="AG177" s="257">
        <v>0</v>
      </c>
      <c r="AH177" s="65">
        <v>0</v>
      </c>
      <c r="AI177" s="664">
        <f>SUM('3 pr-2'!L177)</f>
        <v>3993</v>
      </c>
      <c r="AJ177" s="958">
        <f t="shared" si="454"/>
        <v>3993</v>
      </c>
      <c r="AK177" s="257">
        <f>SUM('3 pr-2'!O177)</f>
        <v>598.95000000000005</v>
      </c>
      <c r="AL177" s="958">
        <f t="shared" si="443"/>
        <v>598.95000000000005</v>
      </c>
      <c r="AM177" s="257">
        <f>SUM('3 pr-2'!R177)</f>
        <v>0</v>
      </c>
      <c r="AN177" s="958"/>
      <c r="AO177" s="257">
        <f>SUM('3 pr-2'!U177)</f>
        <v>0</v>
      </c>
      <c r="AP177" s="958"/>
      <c r="AQ177" s="257">
        <f>SUM('3 pr-2'!X177)</f>
        <v>0</v>
      </c>
      <c r="AR177" s="958"/>
      <c r="AS177" s="968">
        <f>SUM('3 pr-2'!AA177)</f>
        <v>3394.05</v>
      </c>
      <c r="AT177" s="958">
        <f t="shared" si="444"/>
        <v>3394.05</v>
      </c>
      <c r="AU177" s="894"/>
      <c r="AV177" s="894"/>
      <c r="AW177" s="894"/>
      <c r="AX177" s="258"/>
      <c r="AY177" s="258"/>
      <c r="AZ177" s="258"/>
      <c r="BA177" s="258"/>
      <c r="BB177" s="894"/>
      <c r="BC177" s="914"/>
      <c r="BD177" s="258"/>
      <c r="BE177" s="258"/>
      <c r="BF177" s="258"/>
      <c r="BG177" s="258"/>
      <c r="BH177" s="914"/>
      <c r="BI177" s="914"/>
      <c r="BJ177" s="258"/>
      <c r="BK177" s="258"/>
      <c r="BL177" s="258"/>
      <c r="BM177" s="258"/>
      <c r="BN177" s="914"/>
      <c r="BO177" s="914"/>
      <c r="BP177" s="258"/>
      <c r="BQ177" s="258"/>
      <c r="BR177" s="258"/>
      <c r="BS177" s="258"/>
      <c r="BT177" s="914"/>
      <c r="BU177" s="914"/>
      <c r="BV177" s="258"/>
      <c r="BW177" s="258"/>
      <c r="BX177" s="258"/>
      <c r="BY177" s="258"/>
      <c r="BZ177" s="914"/>
      <c r="CA177" s="20"/>
      <c r="CB177" s="258"/>
      <c r="CC177" s="258"/>
      <c r="CD177" s="258"/>
      <c r="CE177" s="258"/>
      <c r="CF177" s="325"/>
      <c r="CG177" s="931">
        <f>SUM('3 pr-2'!AI177)</f>
        <v>42965</v>
      </c>
      <c r="CH177" s="931">
        <f>SUM('3 pr-2'!AK177)</f>
        <v>43465</v>
      </c>
      <c r="CI177" s="957">
        <f t="shared" si="445"/>
        <v>3394.05</v>
      </c>
      <c r="CK177" s="985">
        <f>SUM(AJ177/(CH177-$K$3))</f>
        <v>10.93972602739726</v>
      </c>
      <c r="CL177" s="985">
        <f>SUM(AL177/(CH177-$K$3))</f>
        <v>1.6409589041095891</v>
      </c>
      <c r="CM177" s="985">
        <f>SUM(AN177/(CH177-$K$3))</f>
        <v>0</v>
      </c>
      <c r="CN177" s="987">
        <f>SUM(AT177/(CH177-$K$3))</f>
        <v>9.2987671232876714</v>
      </c>
      <c r="CQ177" s="892">
        <f t="shared" si="453"/>
        <v>3993</v>
      </c>
      <c r="CR177" s="893">
        <f t="shared" si="446"/>
        <v>3394.05</v>
      </c>
    </row>
    <row r="178" spans="1:96" ht="39" thickBot="1">
      <c r="A178" s="6" t="str">
        <f>CONCATENATE('3 pr-2'!A178)</f>
        <v>3.1.2.1.5</v>
      </c>
      <c r="B178" s="18" t="str">
        <f>CONCATENATE('3 pr-2'!D178)</f>
        <v>Bešeimininkių apleistų pastatų Druskininkų savivaldybės teritorijoje likvidavimas</v>
      </c>
      <c r="C178" s="61">
        <v>0</v>
      </c>
      <c r="D178" s="61">
        <v>0</v>
      </c>
      <c r="E178" s="61">
        <v>0</v>
      </c>
      <c r="F178" s="257">
        <v>0</v>
      </c>
      <c r="G178" s="257">
        <v>0</v>
      </c>
      <c r="H178" s="257">
        <v>0</v>
      </c>
      <c r="I178" s="257">
        <v>0</v>
      </c>
      <c r="J178" s="61">
        <v>0</v>
      </c>
      <c r="K178" s="278">
        <f>SUM('ketv. 7 '!M176-'IV-1 su proj'!E178)</f>
        <v>37893.879999999997</v>
      </c>
      <c r="L178" s="263">
        <f>SUM('ketv. 7 '!S176-'IV-1 su proj'!F178)</f>
        <v>1049.96</v>
      </c>
      <c r="M178" s="263">
        <v>0</v>
      </c>
      <c r="N178" s="263">
        <v>0</v>
      </c>
      <c r="O178" s="263">
        <v>0</v>
      </c>
      <c r="P178" s="278">
        <f>SUM('ketv. 7 '!AM176-'IV-1 su proj'!J178)</f>
        <v>36843.919999999998</v>
      </c>
      <c r="Q178" s="65">
        <f>SUM(CH178-$K$3)*CK178</f>
        <v>83259.649999999994</v>
      </c>
      <c r="R178" s="261">
        <f>SUM(CH178-$K$3)*CL178</f>
        <v>17123.05</v>
      </c>
      <c r="S178" s="261">
        <f>SUM(CH178-$K$3)*CM178</f>
        <v>0</v>
      </c>
      <c r="T178" s="261">
        <v>0</v>
      </c>
      <c r="U178" s="261">
        <v>0</v>
      </c>
      <c r="V178" s="326">
        <f>SUM(CH178-$K$3)*CN178</f>
        <v>66136.600000000006</v>
      </c>
      <c r="W178" s="278">
        <f>SUM(X178:AB178)</f>
        <v>0</v>
      </c>
      <c r="X178" s="263">
        <f>IF(YEAR($CH178)=2019,($CH178-$BI$4)*$AL178/($CH178-$BC$4),0)</f>
        <v>0</v>
      </c>
      <c r="Y178" s="261">
        <v>0</v>
      </c>
      <c r="Z178" s="261">
        <v>0</v>
      </c>
      <c r="AA178" s="261">
        <v>0</v>
      </c>
      <c r="AB178" s="278">
        <f>IF(YEAR($CH178)=2019,($CH178-$BI$4)*$AT178/($CH178-$BC$4),0)</f>
        <v>0</v>
      </c>
      <c r="AC178" s="65">
        <v>0</v>
      </c>
      <c r="AD178" s="257">
        <v>0</v>
      </c>
      <c r="AE178" s="257">
        <v>0</v>
      </c>
      <c r="AF178" s="257">
        <v>0</v>
      </c>
      <c r="AG178" s="257">
        <v>0</v>
      </c>
      <c r="AH178" s="65">
        <v>0</v>
      </c>
      <c r="AI178" s="664">
        <f>SUM('3 pr-2'!L178)</f>
        <v>121153.53</v>
      </c>
      <c r="AJ178" s="958">
        <f t="shared" si="454"/>
        <v>83259.649999999994</v>
      </c>
      <c r="AK178" s="257">
        <f>SUM('3 pr-2'!O178)</f>
        <v>18173.009999999998</v>
      </c>
      <c r="AL178" s="958">
        <f t="shared" si="443"/>
        <v>17123.05</v>
      </c>
      <c r="AM178" s="257">
        <f>SUM('3 pr-2'!R178)</f>
        <v>0</v>
      </c>
      <c r="AN178" s="958"/>
      <c r="AO178" s="257">
        <f>SUM('3 pr-2'!U178)</f>
        <v>0</v>
      </c>
      <c r="AP178" s="958"/>
      <c r="AQ178" s="257">
        <f>SUM('3 pr-2'!X178)</f>
        <v>0</v>
      </c>
      <c r="AR178" s="958"/>
      <c r="AS178" s="968">
        <f>SUM('3 pr-2'!AA178)</f>
        <v>102980.52</v>
      </c>
      <c r="AT178" s="958">
        <f t="shared" si="444"/>
        <v>66136.600000000006</v>
      </c>
      <c r="AU178" s="894"/>
      <c r="AV178" s="894"/>
      <c r="AW178" s="894"/>
      <c r="AX178" s="258"/>
      <c r="AY178" s="258"/>
      <c r="AZ178" s="258"/>
      <c r="BA178" s="258"/>
      <c r="BB178" s="894"/>
      <c r="BC178" s="914"/>
      <c r="BD178" s="258"/>
      <c r="BE178" s="258"/>
      <c r="BF178" s="258"/>
      <c r="BG178" s="258"/>
      <c r="BH178" s="914"/>
      <c r="BI178" s="914"/>
      <c r="BJ178" s="258"/>
      <c r="BK178" s="258"/>
      <c r="BL178" s="258"/>
      <c r="BM178" s="258"/>
      <c r="BN178" s="914"/>
      <c r="BO178" s="914"/>
      <c r="BP178" s="258"/>
      <c r="BQ178" s="258"/>
      <c r="BR178" s="258"/>
      <c r="BS178" s="258"/>
      <c r="BT178" s="914"/>
      <c r="BU178" s="914"/>
      <c r="BV178" s="258"/>
      <c r="BW178" s="258"/>
      <c r="BX178" s="258"/>
      <c r="BY178" s="258"/>
      <c r="BZ178" s="914"/>
      <c r="CA178" s="20"/>
      <c r="CB178" s="258"/>
      <c r="CC178" s="258"/>
      <c r="CD178" s="258"/>
      <c r="CE178" s="258"/>
      <c r="CF178" s="325"/>
      <c r="CG178" s="931">
        <f>SUM('3 pr-2'!AI178)</f>
        <v>42978</v>
      </c>
      <c r="CH178" s="931">
        <f>SUM('3 pr-2'!AK178)</f>
        <v>43465</v>
      </c>
      <c r="CI178" s="957">
        <f t="shared" si="445"/>
        <v>102980.52</v>
      </c>
      <c r="CK178" s="985">
        <f>SUM(AJ178/(CH178-$K$3))</f>
        <v>228.10863013698628</v>
      </c>
      <c r="CL178" s="985">
        <f>SUM(AL178/(CH178-$K$3))</f>
        <v>46.912465753424655</v>
      </c>
      <c r="CM178" s="985">
        <f>SUM(AN178/(CH178-$K$3))</f>
        <v>0</v>
      </c>
      <c r="CN178" s="987">
        <f>SUM(AT178/(CH178-$K$3))</f>
        <v>181.19616438356167</v>
      </c>
      <c r="CQ178" s="969">
        <f t="shared" si="453"/>
        <v>121153.53</v>
      </c>
      <c r="CR178" s="893">
        <f t="shared" si="446"/>
        <v>102980.52</v>
      </c>
    </row>
    <row r="179" spans="1:96" ht="34.5" customHeight="1" thickBot="1">
      <c r="A179" s="6" t="str">
        <f>CONCATENATE('3 pr-2'!A179)</f>
        <v>3.1.2.1.6</v>
      </c>
      <c r="B179" s="18" t="str">
        <f>CONCATENATE('3 pr-2'!D179)</f>
        <v>Kraštovaizdžio formavimas Lazdijų rajono savivaldybėje</v>
      </c>
      <c r="C179" s="61">
        <v>0</v>
      </c>
      <c r="D179" s="61">
        <v>0</v>
      </c>
      <c r="E179" s="61">
        <v>0</v>
      </c>
      <c r="F179" s="257">
        <v>0</v>
      </c>
      <c r="G179" s="257">
        <v>0</v>
      </c>
      <c r="H179" s="257">
        <v>0</v>
      </c>
      <c r="I179" s="257">
        <v>0</v>
      </c>
      <c r="J179" s="61">
        <v>0</v>
      </c>
      <c r="K179" s="278">
        <f>SUM('ketv. 7 '!M177-'IV-1 su proj'!E179)</f>
        <v>115557.4</v>
      </c>
      <c r="L179" s="263">
        <f>SUM('ketv. 7 '!S177-'IV-1 su proj'!F179)</f>
        <v>533.61</v>
      </c>
      <c r="M179" s="263">
        <v>0</v>
      </c>
      <c r="N179" s="263">
        <v>0</v>
      </c>
      <c r="O179" s="263">
        <v>0</v>
      </c>
      <c r="P179" s="278">
        <f>SUM('ketv. 7 '!AM177-'IV-1 su proj'!J179)</f>
        <v>115023.79</v>
      </c>
      <c r="Q179" s="278">
        <f>SUM(R179:V179)</f>
        <v>326741.19</v>
      </c>
      <c r="R179" s="263">
        <f>IF(YEAR($CG179)=2017,($BI$4-$BC$4)*$AL179/($CH179-$BC$4))</f>
        <v>65811.17</v>
      </c>
      <c r="S179" s="261">
        <v>0</v>
      </c>
      <c r="T179" s="261">
        <v>0</v>
      </c>
      <c r="U179" s="261">
        <v>0</v>
      </c>
      <c r="V179" s="278">
        <f>IF(YEAR($CG179)=2017,($BI$4-$BC$4)*$AT179/($CH179-$BC$4))</f>
        <v>260930.02000000002</v>
      </c>
      <c r="W179" s="278">
        <f>SUM(X179:AB179)</f>
        <v>0</v>
      </c>
      <c r="X179" s="263">
        <f>IF(YEAR($CH179)=2019,($CH179-$BI$4)*$AL179/($CH179-$BC$4),0)</f>
        <v>0</v>
      </c>
      <c r="Y179" s="261">
        <v>0</v>
      </c>
      <c r="Z179" s="261">
        <v>0</v>
      </c>
      <c r="AA179" s="261">
        <v>0</v>
      </c>
      <c r="AB179" s="278">
        <f>IF(YEAR($CH179)=2019,($CH179-$BI$4)*$AT179/($CH179-$BC$4),0)</f>
        <v>0</v>
      </c>
      <c r="AC179" s="65">
        <v>0</v>
      </c>
      <c r="AD179" s="257">
        <v>0</v>
      </c>
      <c r="AE179" s="257">
        <v>0</v>
      </c>
      <c r="AF179" s="257">
        <v>0</v>
      </c>
      <c r="AG179" s="257">
        <v>0</v>
      </c>
      <c r="AH179" s="65">
        <v>0</v>
      </c>
      <c r="AI179" s="664">
        <f>SUM('3 pr-2'!L179)</f>
        <v>442298.58999999997</v>
      </c>
      <c r="AJ179" s="958">
        <f t="shared" si="454"/>
        <v>326741.18999999994</v>
      </c>
      <c r="AK179" s="257">
        <f>SUM('3 pr-2'!O179)</f>
        <v>66344.78</v>
      </c>
      <c r="AL179" s="958">
        <f t="shared" si="443"/>
        <v>65811.17</v>
      </c>
      <c r="AM179" s="257">
        <f>SUM('3 pr-2'!R179)</f>
        <v>0</v>
      </c>
      <c r="AN179" s="958"/>
      <c r="AO179" s="257">
        <f>SUM('3 pr-2'!U179)</f>
        <v>0</v>
      </c>
      <c r="AP179" s="958"/>
      <c r="AQ179" s="257">
        <f>SUM('3 pr-2'!X179)</f>
        <v>0</v>
      </c>
      <c r="AR179" s="958"/>
      <c r="AS179" s="968">
        <f>SUM('3 pr-2'!AA179)</f>
        <v>375953.81</v>
      </c>
      <c r="AT179" s="958">
        <f t="shared" si="444"/>
        <v>260930.02000000002</v>
      </c>
      <c r="AU179" s="894"/>
      <c r="AV179" s="894"/>
      <c r="AW179" s="894"/>
      <c r="AX179" s="258"/>
      <c r="AY179" s="258"/>
      <c r="AZ179" s="258"/>
      <c r="BA179" s="258"/>
      <c r="BB179" s="894"/>
      <c r="BC179" s="914"/>
      <c r="BD179" s="258"/>
      <c r="BE179" s="258"/>
      <c r="BF179" s="258"/>
      <c r="BG179" s="258"/>
      <c r="BH179" s="914"/>
      <c r="BI179" s="914"/>
      <c r="BJ179" s="258"/>
      <c r="BK179" s="258"/>
      <c r="BL179" s="258"/>
      <c r="BM179" s="258"/>
      <c r="BN179" s="914"/>
      <c r="BO179" s="914"/>
      <c r="BP179" s="258"/>
      <c r="BQ179" s="258"/>
      <c r="BR179" s="258"/>
      <c r="BS179" s="258"/>
      <c r="BT179" s="914"/>
      <c r="BU179" s="914"/>
      <c r="BV179" s="258"/>
      <c r="BW179" s="258"/>
      <c r="BX179" s="258"/>
      <c r="BY179" s="258"/>
      <c r="BZ179" s="914"/>
      <c r="CA179" s="20"/>
      <c r="CB179" s="258"/>
      <c r="CC179" s="258"/>
      <c r="CD179" s="258"/>
      <c r="CE179" s="258"/>
      <c r="CF179" s="325"/>
      <c r="CG179" s="931">
        <f>SUM('3 pr-2'!AI179)</f>
        <v>42935</v>
      </c>
      <c r="CH179" s="931">
        <f>SUM('3 pr-2'!AK179)</f>
        <v>43465</v>
      </c>
      <c r="CI179" s="957">
        <f t="shared" si="445"/>
        <v>375953.81</v>
      </c>
      <c r="CK179" s="985">
        <f>SUM(AJ179/(CH179-$K$3))</f>
        <v>895.18134246575323</v>
      </c>
      <c r="CL179" s="985">
        <f>SUM(AL179/(CH179-$K$3))</f>
        <v>180.30457534246574</v>
      </c>
      <c r="CM179" s="985">
        <f>SUM(AN179/(CH179-$K$3))</f>
        <v>0</v>
      </c>
      <c r="CN179" s="987">
        <f>SUM(AT179/(CH179-$K$3))</f>
        <v>714.87676712328778</v>
      </c>
      <c r="CQ179" s="969">
        <f t="shared" si="453"/>
        <v>442298.58999999997</v>
      </c>
      <c r="CR179" s="893">
        <f t="shared" si="446"/>
        <v>375953.81</v>
      </c>
    </row>
    <row r="180" spans="1:96" ht="26.25" thickBot="1">
      <c r="A180" s="6" t="str">
        <f>CONCATENATE('3 pr-2'!A180)</f>
        <v>3.1.2.1.7</v>
      </c>
      <c r="B180" s="18" t="str">
        <f>CONCATENATE('3 pr-2'!D180)</f>
        <v>Kraštovaizdžio formavimas Lazdijų rajono savivaldybėje (II etapas)</v>
      </c>
      <c r="C180" s="61">
        <f>SUM(AI180*AU180/CA180)</f>
        <v>0</v>
      </c>
      <c r="D180" s="61">
        <f t="shared" ref="D180:D181" si="455">SUM(AS180*AV180/CF180)</f>
        <v>0</v>
      </c>
      <c r="E180" s="61">
        <f>SUM(AI180*AW180/CA180)</f>
        <v>0</v>
      </c>
      <c r="F180" s="257">
        <v>0</v>
      </c>
      <c r="G180" s="257">
        <v>0</v>
      </c>
      <c r="H180" s="257">
        <v>0</v>
      </c>
      <c r="I180" s="257">
        <v>0</v>
      </c>
      <c r="J180" s="61">
        <v>0</v>
      </c>
      <c r="K180" s="278">
        <f>SUM('ketv. 7 '!M178-'IV-1 su proj'!E180)</f>
        <v>0</v>
      </c>
      <c r="L180" s="261">
        <f>SUM('ketv. 7 '!S178-'IV-1 su proj'!F180)</f>
        <v>0</v>
      </c>
      <c r="M180" s="261">
        <f t="shared" ref="M180:M181" si="456">SUM(AM180*BE180/CC180)</f>
        <v>0</v>
      </c>
      <c r="N180" s="261">
        <f t="shared" ref="N180:N181" si="457">SUM(AO180*BF180/CD180)</f>
        <v>0</v>
      </c>
      <c r="O180" s="261">
        <f t="shared" ref="O180:O181" si="458">SUM(AQ180*BG180/CE180)</f>
        <v>0</v>
      </c>
      <c r="P180" s="277">
        <f>SUM('ketv. 7 '!AM178-'IV-1 su proj'!J180)</f>
        <v>0</v>
      </c>
      <c r="Q180" s="277">
        <f>SUM(AI180*BI180/CA180)</f>
        <v>0</v>
      </c>
      <c r="R180" s="262">
        <f t="shared" ref="R180:R181" si="459">SUM(AK180*BJ180/CB180)</f>
        <v>0</v>
      </c>
      <c r="S180" s="262">
        <f t="shared" ref="S180:S181" si="460">SUM(AM180*BK180/CC180)</f>
        <v>0</v>
      </c>
      <c r="T180" s="262">
        <f t="shared" ref="T180:T181" si="461">SUM(AO180*BL180/CD180)</f>
        <v>0</v>
      </c>
      <c r="U180" s="262">
        <f t="shared" ref="U180:U181" si="462">SUM(AQ180*BM180/CE180)</f>
        <v>0</v>
      </c>
      <c r="V180" s="277">
        <f t="shared" ref="V180:V181" si="463">SUM(AS180*BN180/CF180)</f>
        <v>0</v>
      </c>
      <c r="W180" s="277">
        <f>SUM(AI180*BO180/CA180)</f>
        <v>29958.444</v>
      </c>
      <c r="X180" s="262">
        <f t="shared" ref="X180:X181" si="464">SUM(AK180*BP180/CB180)</f>
        <v>4493.7660000000005</v>
      </c>
      <c r="Y180" s="262">
        <f t="shared" ref="Y180:Y181" si="465">SUM(AM180*BQ180/CC180)</f>
        <v>0</v>
      </c>
      <c r="Z180" s="262">
        <f t="shared" ref="Z180:Z181" si="466">SUM(AO180*BR180/CD180)</f>
        <v>0</v>
      </c>
      <c r="AA180" s="262">
        <f t="shared" ref="AA180:AA181" si="467">SUM(AQ180*BS180/CE180)</f>
        <v>0</v>
      </c>
      <c r="AB180" s="65">
        <f t="shared" ref="AB180:AB181" si="468">SUM(AS180*BT180/CF180)</f>
        <v>25464.678</v>
      </c>
      <c r="AC180" s="65">
        <f>SUM(AI180*BU180/CA180)</f>
        <v>119833.776</v>
      </c>
      <c r="AD180" s="257">
        <f t="shared" ref="AD180:AD181" si="469">SUM(AK180*BV180/CB180)</f>
        <v>17975.064000000002</v>
      </c>
      <c r="AE180" s="257">
        <f t="shared" ref="AE180:AE181" si="470">SUM(AM180*BW180/CC180)</f>
        <v>0</v>
      </c>
      <c r="AF180" s="257">
        <f t="shared" ref="AF180:AF181" si="471">SUM(AO180*BX180/CD180)</f>
        <v>0</v>
      </c>
      <c r="AG180" s="257">
        <f t="shared" ref="AG180:AG181" si="472">SUM(AQ180*BY180/CE180)</f>
        <v>0</v>
      </c>
      <c r="AH180" s="65">
        <f t="shared" ref="AH180:AH181" si="473">SUM(AS180*BZ180/CF180)</f>
        <v>101858.712</v>
      </c>
      <c r="AI180" s="664">
        <f>SUM('3 pr-2'!L180)</f>
        <v>149792.22</v>
      </c>
      <c r="AJ180" s="958">
        <f t="shared" si="454"/>
        <v>149792.22</v>
      </c>
      <c r="AK180" s="257">
        <f>SUM('3 pr-2'!O180)</f>
        <v>22468.83</v>
      </c>
      <c r="AL180" s="958">
        <f t="shared" si="443"/>
        <v>22468.83</v>
      </c>
      <c r="AM180" s="257">
        <f>SUM('3 pr-2'!R180)</f>
        <v>0</v>
      </c>
      <c r="AN180" s="958"/>
      <c r="AO180" s="257">
        <f>SUM('3 pr-2'!U180)</f>
        <v>0</v>
      </c>
      <c r="AP180" s="958"/>
      <c r="AQ180" s="257">
        <f>SUM('3 pr-2'!X180)</f>
        <v>0</v>
      </c>
      <c r="AR180" s="958"/>
      <c r="AS180" s="968">
        <f>SUM('3 pr-2'!AA180)</f>
        <v>127323.39</v>
      </c>
      <c r="AT180" s="958">
        <f t="shared" si="444"/>
        <v>127323.39</v>
      </c>
      <c r="AU180" s="894">
        <v>0</v>
      </c>
      <c r="AV180" s="894">
        <v>0</v>
      </c>
      <c r="AW180" s="894">
        <v>0</v>
      </c>
      <c r="AX180" s="258">
        <v>0</v>
      </c>
      <c r="AY180" s="258">
        <v>0</v>
      </c>
      <c r="AZ180" s="258">
        <v>0</v>
      </c>
      <c r="BA180" s="258">
        <v>0</v>
      </c>
      <c r="BB180" s="894">
        <v>0</v>
      </c>
      <c r="BC180" s="970">
        <v>0</v>
      </c>
      <c r="BD180" s="258">
        <v>0</v>
      </c>
      <c r="BE180" s="258">
        <v>0</v>
      </c>
      <c r="BF180" s="258">
        <v>0</v>
      </c>
      <c r="BG180" s="258">
        <v>0</v>
      </c>
      <c r="BH180" s="970">
        <v>0</v>
      </c>
      <c r="BI180" s="894">
        <v>0</v>
      </c>
      <c r="BJ180" s="258">
        <v>0</v>
      </c>
      <c r="BK180" s="258">
        <v>0</v>
      </c>
      <c r="BL180" s="258">
        <v>0</v>
      </c>
      <c r="BM180" s="258">
        <v>0</v>
      </c>
      <c r="BN180" s="894">
        <v>0</v>
      </c>
      <c r="BO180" s="970">
        <v>20</v>
      </c>
      <c r="BP180" s="258">
        <v>20</v>
      </c>
      <c r="BQ180" s="258">
        <v>20</v>
      </c>
      <c r="BR180" s="258">
        <v>20</v>
      </c>
      <c r="BS180" s="258">
        <v>20</v>
      </c>
      <c r="BT180" s="970">
        <v>20</v>
      </c>
      <c r="BU180" s="970">
        <v>80</v>
      </c>
      <c r="BV180" s="258">
        <v>80</v>
      </c>
      <c r="BW180" s="258">
        <v>80</v>
      </c>
      <c r="BX180" s="258">
        <v>80</v>
      </c>
      <c r="BY180" s="258">
        <v>80</v>
      </c>
      <c r="BZ180" s="970">
        <v>80</v>
      </c>
      <c r="CA180" s="20">
        <v>100</v>
      </c>
      <c r="CB180" s="258">
        <v>100</v>
      </c>
      <c r="CC180" s="258">
        <v>100</v>
      </c>
      <c r="CD180" s="258">
        <v>100</v>
      </c>
      <c r="CE180" s="258">
        <v>100</v>
      </c>
      <c r="CF180" s="325">
        <v>100</v>
      </c>
      <c r="CG180" s="931">
        <f>SUM('3 pr-2'!AI180)</f>
        <v>43554</v>
      </c>
      <c r="CH180" s="931">
        <f>SUM('3 pr-2'!AK180)</f>
        <v>44469</v>
      </c>
      <c r="CI180" s="957">
        <f t="shared" si="445"/>
        <v>127323.39</v>
      </c>
      <c r="CK180" s="985">
        <f t="shared" ref="CK180:CK182" si="474">SUM(AI180/(CH180-CG180))</f>
        <v>163.70734426229509</v>
      </c>
      <c r="CL180" s="985">
        <f t="shared" ref="CL180:CL182" si="475">SUM(AK180/(CH180-CG180))</f>
        <v>24.556098360655739</v>
      </c>
      <c r="CM180" s="985">
        <f t="shared" ref="CM180:CM182" si="476">SUM(AM180/(CH180-CG180))</f>
        <v>0</v>
      </c>
      <c r="CN180" s="987">
        <f t="shared" ref="CN180:CN182" si="477">SUM(AS180/(CH180-CG180))</f>
        <v>139.15124590163936</v>
      </c>
      <c r="CQ180" s="892">
        <f t="shared" si="453"/>
        <v>149792.22</v>
      </c>
      <c r="CR180" s="893">
        <f t="shared" si="446"/>
        <v>127323.39</v>
      </c>
    </row>
    <row r="181" spans="1:96" ht="39" thickBot="1">
      <c r="A181" s="6" t="str">
        <f>CONCATENATE('3 pr-2'!A181)</f>
        <v>3.1.2.1.8</v>
      </c>
      <c r="B181" s="18" t="str">
        <f>CONCATENATE('3 pr-2'!D181)</f>
        <v>Bešeimininkių apleistų pastatų ir įrenginių tvarkymas Alytaus rajono savivaldybėje (II etapas)</v>
      </c>
      <c r="C181" s="61">
        <f>SUM(AI181*AU181/CA181)</f>
        <v>0</v>
      </c>
      <c r="D181" s="61">
        <f t="shared" si="455"/>
        <v>0</v>
      </c>
      <c r="E181" s="61">
        <f>SUM(AI181*AW181/CA181)</f>
        <v>0</v>
      </c>
      <c r="F181" s="257">
        <v>0</v>
      </c>
      <c r="G181" s="257">
        <v>0</v>
      </c>
      <c r="H181" s="257">
        <v>0</v>
      </c>
      <c r="I181" s="257">
        <v>0</v>
      </c>
      <c r="J181" s="61">
        <v>0</v>
      </c>
      <c r="K181" s="278">
        <f>SUM('ketv. 7 '!M179-'IV-1 su proj'!E181)</f>
        <v>0</v>
      </c>
      <c r="L181" s="261">
        <f>SUM('ketv. 7 '!S179-'IV-1 su proj'!F181)</f>
        <v>0</v>
      </c>
      <c r="M181" s="261">
        <f t="shared" si="456"/>
        <v>0</v>
      </c>
      <c r="N181" s="261">
        <f t="shared" si="457"/>
        <v>0</v>
      </c>
      <c r="O181" s="261">
        <f t="shared" si="458"/>
        <v>0</v>
      </c>
      <c r="P181" s="277">
        <f>SUM('ketv. 7 '!AM179-'IV-1 su proj'!J181)</f>
        <v>0</v>
      </c>
      <c r="Q181" s="277">
        <f>SUM(AI181*BI181/CA181)</f>
        <v>0</v>
      </c>
      <c r="R181" s="262">
        <f t="shared" si="459"/>
        <v>0</v>
      </c>
      <c r="S181" s="262">
        <f t="shared" si="460"/>
        <v>0</v>
      </c>
      <c r="T181" s="262">
        <f t="shared" si="461"/>
        <v>0</v>
      </c>
      <c r="U181" s="262">
        <f t="shared" si="462"/>
        <v>0</v>
      </c>
      <c r="V181" s="277">
        <f t="shared" si="463"/>
        <v>0</v>
      </c>
      <c r="W181" s="277">
        <f>SUM(AI181*BO181/CA181)</f>
        <v>736537.64705882361</v>
      </c>
      <c r="X181" s="262">
        <f t="shared" si="464"/>
        <v>110480.64705882352</v>
      </c>
      <c r="Y181" s="262">
        <f t="shared" si="465"/>
        <v>0</v>
      </c>
      <c r="Z181" s="262">
        <f t="shared" si="466"/>
        <v>0</v>
      </c>
      <c r="AA181" s="262">
        <f t="shared" si="467"/>
        <v>0</v>
      </c>
      <c r="AB181" s="65">
        <f t="shared" si="468"/>
        <v>626057</v>
      </c>
      <c r="AC181" s="65">
        <f>SUM(AI181*BU181/CA181)</f>
        <v>0</v>
      </c>
      <c r="AD181" s="257">
        <f t="shared" si="469"/>
        <v>0</v>
      </c>
      <c r="AE181" s="257">
        <f t="shared" si="470"/>
        <v>0</v>
      </c>
      <c r="AF181" s="257">
        <f t="shared" si="471"/>
        <v>0</v>
      </c>
      <c r="AG181" s="257">
        <f t="shared" si="472"/>
        <v>0</v>
      </c>
      <c r="AH181" s="65">
        <f t="shared" si="473"/>
        <v>0</v>
      </c>
      <c r="AI181" s="664">
        <f>SUM('3 pr-2'!L181)</f>
        <v>736537.6470588235</v>
      </c>
      <c r="AJ181" s="958">
        <f t="shared" si="454"/>
        <v>736537.6470588235</v>
      </c>
      <c r="AK181" s="257">
        <f>SUM('3 pr-2'!O181)</f>
        <v>110480.64705882352</v>
      </c>
      <c r="AL181" s="958">
        <f t="shared" si="443"/>
        <v>110480.64705882352</v>
      </c>
      <c r="AM181" s="257">
        <f>SUM('3 pr-2'!R181)</f>
        <v>0</v>
      </c>
      <c r="AN181" s="958"/>
      <c r="AO181" s="257">
        <f>SUM('3 pr-2'!U181)</f>
        <v>0</v>
      </c>
      <c r="AP181" s="958"/>
      <c r="AQ181" s="257">
        <f>SUM('3 pr-2'!X181)</f>
        <v>0</v>
      </c>
      <c r="AR181" s="958"/>
      <c r="AS181" s="968">
        <f>SUM('3 pr-2'!AA181)</f>
        <v>626057</v>
      </c>
      <c r="AT181" s="958">
        <f t="shared" si="444"/>
        <v>626057</v>
      </c>
      <c r="AU181" s="894">
        <v>0</v>
      </c>
      <c r="AV181" s="894">
        <v>0</v>
      </c>
      <c r="AW181" s="894">
        <v>0</v>
      </c>
      <c r="AX181" s="258">
        <v>0</v>
      </c>
      <c r="AY181" s="258">
        <v>0</v>
      </c>
      <c r="AZ181" s="258">
        <v>0</v>
      </c>
      <c r="BA181" s="258">
        <v>0</v>
      </c>
      <c r="BB181" s="894">
        <v>0</v>
      </c>
      <c r="BC181" s="914">
        <v>0</v>
      </c>
      <c r="BD181" s="258">
        <v>0</v>
      </c>
      <c r="BE181" s="258">
        <v>0</v>
      </c>
      <c r="BF181" s="258">
        <v>0</v>
      </c>
      <c r="BG181" s="258">
        <v>0</v>
      </c>
      <c r="BH181" s="914">
        <v>0</v>
      </c>
      <c r="BI181" s="914">
        <v>0</v>
      </c>
      <c r="BJ181" s="258">
        <v>0</v>
      </c>
      <c r="BK181" s="258">
        <v>0</v>
      </c>
      <c r="BL181" s="258">
        <v>0</v>
      </c>
      <c r="BM181" s="258">
        <v>0</v>
      </c>
      <c r="BN181" s="914">
        <v>0</v>
      </c>
      <c r="BO181" s="914">
        <v>100</v>
      </c>
      <c r="BP181" s="258">
        <v>100</v>
      </c>
      <c r="BQ181" s="258">
        <v>100</v>
      </c>
      <c r="BR181" s="258">
        <v>100</v>
      </c>
      <c r="BS181" s="258">
        <v>100</v>
      </c>
      <c r="BT181" s="914">
        <v>100</v>
      </c>
      <c r="BU181" s="914">
        <v>0</v>
      </c>
      <c r="BV181" s="258">
        <v>0</v>
      </c>
      <c r="BW181" s="258">
        <v>0</v>
      </c>
      <c r="BX181" s="258">
        <v>0</v>
      </c>
      <c r="BY181" s="258">
        <v>0</v>
      </c>
      <c r="BZ181" s="914">
        <v>0</v>
      </c>
      <c r="CA181" s="20">
        <v>100</v>
      </c>
      <c r="CB181" s="258">
        <v>100</v>
      </c>
      <c r="CC181" s="258">
        <v>100</v>
      </c>
      <c r="CD181" s="258">
        <v>100</v>
      </c>
      <c r="CE181" s="258">
        <v>100</v>
      </c>
      <c r="CF181" s="325">
        <v>100</v>
      </c>
      <c r="CG181" s="931">
        <f>SUM('3 pr-2'!AI181)</f>
        <v>43342</v>
      </c>
      <c r="CH181" s="931">
        <f>SUM('3 pr-2'!AK181)</f>
        <v>43830</v>
      </c>
      <c r="CI181" s="957">
        <f t="shared" si="445"/>
        <v>626057</v>
      </c>
      <c r="CK181" s="985">
        <f t="shared" si="474"/>
        <v>1509.2984570877531</v>
      </c>
      <c r="CL181" s="985">
        <f t="shared" si="475"/>
        <v>226.39476856316296</v>
      </c>
      <c r="CM181" s="985">
        <f t="shared" si="476"/>
        <v>0</v>
      </c>
      <c r="CN181" s="987">
        <f t="shared" si="477"/>
        <v>1282.9036885245901</v>
      </c>
      <c r="CQ181" s="892">
        <f t="shared" si="453"/>
        <v>736537.64705882361</v>
      </c>
      <c r="CR181" s="893">
        <f>SUM(J181+P181+V181+AB181+AH181)</f>
        <v>626057</v>
      </c>
    </row>
    <row r="182" spans="1:96" ht="39" thickBot="1">
      <c r="A182" s="6" t="str">
        <f>CONCATENATE('3 pr-2'!A182)</f>
        <v>3.1.2.1.9</v>
      </c>
      <c r="B182" s="18" t="str">
        <f>CONCATENATE('3 pr-2'!D182)</f>
        <v>Etaloninio kraštovaizdžio formavimas Druskininkų savivaldybės pasienyje</v>
      </c>
      <c r="C182" s="65">
        <v>0</v>
      </c>
      <c r="D182" s="65">
        <v>0</v>
      </c>
      <c r="E182" s="65">
        <v>0</v>
      </c>
      <c r="F182" s="257">
        <v>0</v>
      </c>
      <c r="G182" s="257">
        <v>0</v>
      </c>
      <c r="H182" s="257">
        <v>0</v>
      </c>
      <c r="I182" s="257">
        <v>0</v>
      </c>
      <c r="J182" s="65">
        <v>0</v>
      </c>
      <c r="K182" s="278">
        <f>SUM('ketv. 7 '!M180-'IV-1 su proj'!E182)</f>
        <v>0</v>
      </c>
      <c r="L182" s="261">
        <f>SUM('ketv. 7 '!S180-'IV-1 su proj'!F182)</f>
        <v>0</v>
      </c>
      <c r="M182" s="261">
        <v>0</v>
      </c>
      <c r="N182" s="261">
        <v>0</v>
      </c>
      <c r="O182" s="261">
        <v>0</v>
      </c>
      <c r="P182" s="326">
        <f>SUM('ketv. 7 '!AM180-'IV-1 su proj'!J182)</f>
        <v>0</v>
      </c>
      <c r="Q182" s="326">
        <v>0</v>
      </c>
      <c r="R182" s="261">
        <v>0</v>
      </c>
      <c r="S182" s="261">
        <v>0</v>
      </c>
      <c r="T182" s="261">
        <v>0</v>
      </c>
      <c r="U182" s="261">
        <v>0</v>
      </c>
      <c r="V182" s="326">
        <v>0</v>
      </c>
      <c r="W182" s="326">
        <f>SUM($W$3-$CG$182)*CK182</f>
        <v>29508.03137254902</v>
      </c>
      <c r="X182" s="261">
        <f>SUM($W$3-$CG$182)*CL182</f>
        <v>4426.2047058823537</v>
      </c>
      <c r="Y182" s="261">
        <f>SUM($W$3-$CG$182)*CM182</f>
        <v>0</v>
      </c>
      <c r="Z182" s="261">
        <v>0</v>
      </c>
      <c r="AA182" s="261">
        <v>0</v>
      </c>
      <c r="AB182" s="65">
        <f>SUM($W$3-$CG$182)*CN182</f>
        <v>25081.826666666664</v>
      </c>
      <c r="AC182" s="65">
        <f>SUM($CH$182-$W$3)*CK182</f>
        <v>59016.062745098039</v>
      </c>
      <c r="AD182" s="257">
        <f>SUM($CH$182-$W$3)*CL182</f>
        <v>8852.4094117647073</v>
      </c>
      <c r="AE182" s="257">
        <f>SUM($CH$182-$W$3)*CM182</f>
        <v>0</v>
      </c>
      <c r="AF182" s="257">
        <v>0</v>
      </c>
      <c r="AG182" s="257">
        <v>0</v>
      </c>
      <c r="AH182" s="65">
        <f>SUM($CH$182-$W$3)*CN182</f>
        <v>50163.653333333328</v>
      </c>
      <c r="AI182" s="664">
        <f>SUM('3 pr-2'!L182)</f>
        <v>88524.094117647051</v>
      </c>
      <c r="AJ182" s="958">
        <f t="shared" si="454"/>
        <v>88524.094117647051</v>
      </c>
      <c r="AK182" s="257">
        <f>SUM('3 pr-2'!O182)</f>
        <v>13278.614117647059</v>
      </c>
      <c r="AL182" s="958">
        <f t="shared" si="443"/>
        <v>13278.614117647059</v>
      </c>
      <c r="AM182" s="257">
        <f>SUM('3 pr-2'!R182)</f>
        <v>0</v>
      </c>
      <c r="AN182" s="958"/>
      <c r="AO182" s="257">
        <f>SUM('3 pr-2'!U182)</f>
        <v>0</v>
      </c>
      <c r="AP182" s="958"/>
      <c r="AQ182" s="257">
        <f>SUM('3 pr-2'!X182)</f>
        <v>0</v>
      </c>
      <c r="AR182" s="958"/>
      <c r="AS182" s="968">
        <f>SUM('3 pr-2'!AA182)</f>
        <v>75245.48</v>
      </c>
      <c r="AT182" s="958">
        <f t="shared" si="444"/>
        <v>75245.48</v>
      </c>
      <c r="AU182" s="894"/>
      <c r="AV182" s="894"/>
      <c r="AW182" s="894"/>
      <c r="AX182" s="258"/>
      <c r="AY182" s="258"/>
      <c r="AZ182" s="258"/>
      <c r="BA182" s="258"/>
      <c r="BB182" s="894"/>
      <c r="BC182" s="914"/>
      <c r="BD182" s="258"/>
      <c r="BE182" s="258"/>
      <c r="BF182" s="258"/>
      <c r="BG182" s="258"/>
      <c r="BH182" s="914"/>
      <c r="BI182" s="914"/>
      <c r="BJ182" s="258"/>
      <c r="BK182" s="258"/>
      <c r="BL182" s="258"/>
      <c r="BM182" s="258"/>
      <c r="BN182" s="914"/>
      <c r="BO182" s="914"/>
      <c r="BP182" s="258"/>
      <c r="BQ182" s="258"/>
      <c r="BR182" s="258"/>
      <c r="BS182" s="258"/>
      <c r="BT182" s="914"/>
      <c r="BU182" s="914"/>
      <c r="BV182" s="258"/>
      <c r="BW182" s="258"/>
      <c r="BX182" s="258"/>
      <c r="BY182" s="258"/>
      <c r="BZ182" s="914"/>
      <c r="CA182" s="20"/>
      <c r="CB182" s="258"/>
      <c r="CC182" s="258"/>
      <c r="CD182" s="258"/>
      <c r="CE182" s="258"/>
      <c r="CF182" s="325"/>
      <c r="CG182" s="931">
        <f>SUM('3 pr-2'!AI182)</f>
        <v>43647</v>
      </c>
      <c r="CH182" s="931">
        <f>SUM('3 pr-2'!AK182)</f>
        <v>44196</v>
      </c>
      <c r="CI182" s="957">
        <f t="shared" si="445"/>
        <v>75245.48</v>
      </c>
      <c r="CJ182" s="21">
        <f>SUM(AC3-AC2)</f>
        <v>365</v>
      </c>
      <c r="CK182" s="985">
        <f t="shared" si="474"/>
        <v>161.24607307403835</v>
      </c>
      <c r="CL182" s="985">
        <f t="shared" si="475"/>
        <v>24.186910961105756</v>
      </c>
      <c r="CM182" s="985">
        <f t="shared" si="476"/>
        <v>0</v>
      </c>
      <c r="CN182" s="987">
        <f t="shared" si="477"/>
        <v>137.0591621129326</v>
      </c>
      <c r="CQ182" s="892">
        <f t="shared" si="453"/>
        <v>88524.094117647066</v>
      </c>
      <c r="CR182" s="893">
        <f>SUM(J182+P182+V182+AB182+AH182)</f>
        <v>75245.48</v>
      </c>
    </row>
    <row r="183" spans="1:96" ht="15.75" thickBot="1">
      <c r="A183" s="112"/>
      <c r="B183" s="100"/>
      <c r="C183" s="1877" t="s">
        <v>45</v>
      </c>
      <c r="D183" s="1878"/>
      <c r="E183" s="1878"/>
      <c r="F183" s="1878"/>
      <c r="G183" s="1878"/>
      <c r="H183" s="1878"/>
      <c r="I183" s="1878"/>
      <c r="J183" s="1878"/>
      <c r="K183" s="1878"/>
      <c r="L183" s="1878"/>
      <c r="M183" s="1878"/>
      <c r="N183" s="1878"/>
      <c r="O183" s="1878"/>
      <c r="P183" s="1878"/>
      <c r="Q183" s="1878"/>
      <c r="R183" s="1878"/>
      <c r="S183" s="1878"/>
      <c r="T183" s="1878"/>
      <c r="U183" s="1878"/>
      <c r="V183" s="1878"/>
      <c r="W183" s="1878"/>
      <c r="X183" s="1878"/>
      <c r="Y183" s="1878"/>
      <c r="Z183" s="1878"/>
      <c r="AA183" s="1878"/>
      <c r="AB183" s="1878"/>
      <c r="AC183" s="1878"/>
      <c r="AD183" s="1878"/>
      <c r="AE183" s="1878"/>
      <c r="AF183" s="1878"/>
      <c r="AG183" s="1878"/>
      <c r="AH183" s="1878"/>
      <c r="AI183" s="1878"/>
      <c r="AJ183" s="1878"/>
      <c r="AK183" s="1878"/>
      <c r="AL183" s="1878"/>
      <c r="AM183" s="1878"/>
      <c r="AN183" s="1878"/>
      <c r="AO183" s="1878"/>
      <c r="AP183" s="1878"/>
      <c r="AQ183" s="1878"/>
      <c r="AR183" s="1878"/>
      <c r="AS183" s="1879"/>
      <c r="AT183" s="97"/>
      <c r="AV183" s="58">
        <f>SUM(V173+AB173+AH173)</f>
        <v>1891689.72</v>
      </c>
      <c r="AX183" s="953"/>
      <c r="AY183" s="953"/>
      <c r="AZ183" s="953"/>
      <c r="BA183" s="953"/>
      <c r="BD183" s="953"/>
      <c r="BE183" s="953"/>
      <c r="BF183" s="953"/>
      <c r="BG183" s="953"/>
      <c r="BJ183" s="953"/>
      <c r="BK183" s="953"/>
      <c r="BL183" s="953"/>
      <c r="BM183" s="953"/>
      <c r="BP183" s="953"/>
      <c r="BQ183" s="953"/>
      <c r="BR183" s="953"/>
      <c r="BS183" s="953"/>
      <c r="BV183" s="953"/>
      <c r="BW183" s="953"/>
      <c r="BX183" s="953"/>
      <c r="BY183" s="953"/>
      <c r="CB183" s="953"/>
      <c r="CC183" s="953"/>
      <c r="CD183" s="953"/>
      <c r="CE183" s="953"/>
      <c r="CG183" s="19"/>
      <c r="CH183" s="19"/>
    </row>
    <row r="184" spans="1:96" ht="29.25" customHeight="1" thickBot="1">
      <c r="A184" s="112"/>
      <c r="B184" s="100"/>
      <c r="C184" s="1870">
        <v>2015</v>
      </c>
      <c r="D184" s="1871"/>
      <c r="E184" s="1872">
        <v>2016</v>
      </c>
      <c r="F184" s="1873"/>
      <c r="G184" s="1873"/>
      <c r="H184" s="1873"/>
      <c r="I184" s="1873"/>
      <c r="J184" s="1871"/>
      <c r="K184" s="1872">
        <v>2017</v>
      </c>
      <c r="L184" s="1873"/>
      <c r="M184" s="1873"/>
      <c r="N184" s="1873"/>
      <c r="O184" s="1873"/>
      <c r="P184" s="1871"/>
      <c r="Q184" s="1872">
        <v>2018</v>
      </c>
      <c r="R184" s="1873"/>
      <c r="S184" s="1873"/>
      <c r="T184" s="1873"/>
      <c r="U184" s="1873"/>
      <c r="V184" s="1871"/>
      <c r="W184" s="1872">
        <v>2019</v>
      </c>
      <c r="X184" s="1873"/>
      <c r="Y184" s="1873"/>
      <c r="Z184" s="1873"/>
      <c r="AA184" s="1873"/>
      <c r="AB184" s="1871"/>
      <c r="AC184" s="1872">
        <v>2020</v>
      </c>
      <c r="AD184" s="1873"/>
      <c r="AE184" s="1873"/>
      <c r="AF184" s="1873"/>
      <c r="AG184" s="1873"/>
      <c r="AH184" s="1871"/>
      <c r="AI184" s="971" t="s">
        <v>6</v>
      </c>
      <c r="AJ184" s="972"/>
      <c r="AK184" s="973"/>
      <c r="AL184" s="973"/>
      <c r="AM184" s="973"/>
      <c r="AN184" s="973"/>
      <c r="AO184" s="973"/>
      <c r="AP184" s="973"/>
      <c r="AQ184" s="973"/>
      <c r="AR184" s="973"/>
      <c r="AS184" s="974"/>
      <c r="AT184" s="862"/>
      <c r="BN184" s="932"/>
      <c r="BO184" s="932"/>
      <c r="BT184" s="932"/>
      <c r="BU184" s="158"/>
      <c r="CG184" s="19"/>
      <c r="CH184" s="19"/>
    </row>
    <row r="185" spans="1:96" ht="29.25" customHeight="1" thickBot="1">
      <c r="A185" s="112"/>
      <c r="B185" s="100"/>
      <c r="C185" s="864" t="s">
        <v>9</v>
      </c>
      <c r="D185" s="864" t="s">
        <v>10</v>
      </c>
      <c r="E185" s="864" t="s">
        <v>9</v>
      </c>
      <c r="F185" s="864"/>
      <c r="G185" s="864"/>
      <c r="H185" s="864"/>
      <c r="I185" s="864"/>
      <c r="J185" s="864" t="s">
        <v>10</v>
      </c>
      <c r="K185" s="864" t="s">
        <v>9</v>
      </c>
      <c r="L185" s="864"/>
      <c r="M185" s="864"/>
      <c r="N185" s="864"/>
      <c r="O185" s="864"/>
      <c r="P185" s="864" t="s">
        <v>10</v>
      </c>
      <c r="Q185" s="864" t="s">
        <v>9</v>
      </c>
      <c r="R185" s="864"/>
      <c r="S185" s="864"/>
      <c r="T185" s="864"/>
      <c r="U185" s="864"/>
      <c r="V185" s="864" t="s">
        <v>10</v>
      </c>
      <c r="W185" s="864" t="s">
        <v>9</v>
      </c>
      <c r="X185" s="864"/>
      <c r="Y185" s="864"/>
      <c r="Z185" s="864"/>
      <c r="AA185" s="864"/>
      <c r="AB185" s="864" t="s">
        <v>10</v>
      </c>
      <c r="AC185" s="864" t="s">
        <v>9</v>
      </c>
      <c r="AD185" s="864"/>
      <c r="AE185" s="864"/>
      <c r="AF185" s="864"/>
      <c r="AG185" s="864"/>
      <c r="AH185" s="864" t="s">
        <v>10</v>
      </c>
      <c r="AI185" s="864" t="s">
        <v>9</v>
      </c>
      <c r="AJ185" s="864"/>
      <c r="AK185" s="864"/>
      <c r="AL185" s="864"/>
      <c r="AM185" s="864"/>
      <c r="AN185" s="864"/>
      <c r="AO185" s="864"/>
      <c r="AP185" s="864"/>
      <c r="AQ185" s="864"/>
      <c r="AR185" s="973"/>
      <c r="AS185" s="975" t="s">
        <v>10</v>
      </c>
      <c r="AT185" s="871"/>
      <c r="AX185" s="864"/>
      <c r="AY185" s="864"/>
      <c r="AZ185" s="864"/>
      <c r="BA185" s="864"/>
      <c r="BD185" s="864"/>
      <c r="BE185" s="864"/>
      <c r="BF185" s="864"/>
      <c r="BG185" s="864"/>
      <c r="BJ185" s="864"/>
      <c r="BK185" s="864"/>
      <c r="BL185" s="864"/>
      <c r="BM185" s="864"/>
      <c r="BP185" s="864"/>
      <c r="BQ185" s="864"/>
      <c r="BR185" s="864"/>
      <c r="BS185" s="864"/>
      <c r="BV185" s="864"/>
      <c r="BW185" s="864"/>
      <c r="BX185" s="864"/>
      <c r="BY185" s="864"/>
      <c r="CB185" s="864"/>
      <c r="CC185" s="864"/>
      <c r="CD185" s="864"/>
      <c r="CE185" s="864"/>
      <c r="CG185" s="19"/>
      <c r="CH185" s="19"/>
    </row>
    <row r="186" spans="1:96" ht="29.25" customHeight="1" thickBot="1">
      <c r="A186" s="114"/>
      <c r="B186" s="109"/>
      <c r="C186" s="976">
        <f>SUM(C6+C99+C167)</f>
        <v>0</v>
      </c>
      <c r="D186" s="976">
        <f>SUM(D6+D99+D167)</f>
        <v>0</v>
      </c>
      <c r="E186" s="976">
        <f>SUM(E6+E99+E167)</f>
        <v>1107408.0345507418</v>
      </c>
      <c r="F186" s="864"/>
      <c r="G186" s="864"/>
      <c r="H186" s="864"/>
      <c r="I186" s="864"/>
      <c r="J186" s="976">
        <f>SUM(J6+J99+J167)</f>
        <v>608263.2015903896</v>
      </c>
      <c r="K186" s="976">
        <f>SUM(K6+K99+K167)</f>
        <v>8208827.8099999987</v>
      </c>
      <c r="L186" s="977"/>
      <c r="M186" s="977"/>
      <c r="N186" s="977"/>
      <c r="O186" s="977"/>
      <c r="P186" s="976">
        <f>SUM(P6+P99+P167)</f>
        <v>6889742.2984096101</v>
      </c>
      <c r="Q186" s="976">
        <f ca="1">SUM(Q6+Q99+Q167)</f>
        <v>24748224.396155015</v>
      </c>
      <c r="R186" s="977"/>
      <c r="S186" s="977"/>
      <c r="T186" s="977"/>
      <c r="U186" s="977"/>
      <c r="V186" s="976">
        <f>SUM(V6+V99+V167)</f>
        <v>17260454.793965757</v>
      </c>
      <c r="W186" s="976">
        <f>SUM(W6+W99+W167)</f>
        <v>20062774.513679564</v>
      </c>
      <c r="X186" s="977"/>
      <c r="Y186" s="977"/>
      <c r="Z186" s="977"/>
      <c r="AA186" s="977"/>
      <c r="AB186" s="976">
        <f>SUM(AB6+AB99+AB167)</f>
        <v>14424893.823507639</v>
      </c>
      <c r="AC186" s="976">
        <f>SUM(AC6+AC99+AC167)</f>
        <v>13123923.913849972</v>
      </c>
      <c r="AD186" s="977"/>
      <c r="AE186" s="977"/>
      <c r="AF186" s="977"/>
      <c r="AG186" s="977"/>
      <c r="AH186" s="976">
        <f>SUM(AH6+AH99+AH167)</f>
        <v>9322459.9525266029</v>
      </c>
      <c r="AI186" s="978">
        <f>SUM(AI6+AI99+AI167)</f>
        <v>67251158.668235272</v>
      </c>
      <c r="AJ186" s="979"/>
      <c r="AK186" s="976"/>
      <c r="AL186" s="976"/>
      <c r="AM186" s="976"/>
      <c r="AN186" s="976"/>
      <c r="AO186" s="976"/>
      <c r="AP186" s="976"/>
      <c r="AQ186" s="976"/>
      <c r="AR186" s="980"/>
      <c r="AS186" s="978">
        <f>SUM(AS6+AS99+AS167)</f>
        <v>48505814.069999993</v>
      </c>
      <c r="AT186" s="981"/>
      <c r="AX186" s="976"/>
      <c r="AY186" s="976"/>
      <c r="AZ186" s="976"/>
      <c r="BA186" s="976"/>
      <c r="BD186" s="976"/>
      <c r="BE186" s="976"/>
      <c r="BF186" s="976"/>
      <c r="BG186" s="976"/>
      <c r="BJ186" s="976"/>
      <c r="BK186" s="976"/>
      <c r="BL186" s="976"/>
      <c r="BM186" s="976"/>
      <c r="BP186" s="976"/>
      <c r="BQ186" s="976"/>
      <c r="BR186" s="976"/>
      <c r="BS186" s="976"/>
      <c r="BV186" s="976"/>
      <c r="BW186" s="976"/>
      <c r="BX186" s="976"/>
      <c r="BY186" s="976"/>
      <c r="CB186" s="976"/>
      <c r="CC186" s="976"/>
      <c r="CD186" s="976"/>
      <c r="CE186" s="976"/>
      <c r="CG186" s="19"/>
      <c r="CH186" s="19"/>
    </row>
    <row r="187" spans="1:96" ht="29.25" customHeight="1" thickTop="1" thickBot="1">
      <c r="F187" s="976"/>
      <c r="G187" s="976"/>
      <c r="H187" s="976"/>
      <c r="I187" s="976"/>
      <c r="L187" s="982"/>
      <c r="M187" s="982"/>
      <c r="N187" s="982"/>
      <c r="O187" s="982"/>
      <c r="R187" s="982"/>
      <c r="S187" s="982"/>
      <c r="T187" s="982"/>
      <c r="U187" s="982"/>
      <c r="X187" s="982"/>
      <c r="Y187" s="982"/>
      <c r="Z187" s="982"/>
      <c r="AA187" s="982"/>
      <c r="AD187" s="982"/>
      <c r="AE187" s="982"/>
      <c r="AF187" s="982"/>
      <c r="AG187" s="982"/>
    </row>
    <row r="188" spans="1:96" ht="29.25" customHeight="1" thickTop="1"/>
  </sheetData>
  <mergeCells count="27">
    <mergeCell ref="AI3:AS3"/>
    <mergeCell ref="E3:J3"/>
    <mergeCell ref="K3:P3"/>
    <mergeCell ref="Q3:V3"/>
    <mergeCell ref="W3:AB3"/>
    <mergeCell ref="AC3:AH3"/>
    <mergeCell ref="AW4:BB4"/>
    <mergeCell ref="BC4:BH4"/>
    <mergeCell ref="BI4:BN4"/>
    <mergeCell ref="BO4:BT4"/>
    <mergeCell ref="BU4:BZ4"/>
    <mergeCell ref="AU4:AV4"/>
    <mergeCell ref="AI2:AS2"/>
    <mergeCell ref="C184:D184"/>
    <mergeCell ref="E184:J184"/>
    <mergeCell ref="K184:P184"/>
    <mergeCell ref="Q184:V184"/>
    <mergeCell ref="W184:AB184"/>
    <mergeCell ref="AC184:AH184"/>
    <mergeCell ref="C2:D2"/>
    <mergeCell ref="E2:J2"/>
    <mergeCell ref="K2:P2"/>
    <mergeCell ref="Q2:V2"/>
    <mergeCell ref="W2:AB2"/>
    <mergeCell ref="AC2:AH2"/>
    <mergeCell ref="C183:AS183"/>
    <mergeCell ref="C3:D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AY188"/>
  <sheetViews>
    <sheetView showGridLines="0" showRuler="0" topLeftCell="E1" zoomScale="95" zoomScaleNormal="95" zoomScalePageLayoutView="85" workbookViewId="0">
      <pane ySplit="3450" topLeftCell="A82" activePane="bottomLeft"/>
      <selection activeCell="O20" sqref="O20"/>
      <selection pane="bottomLeft" activeCell="AK91" sqref="AK91"/>
    </sheetView>
  </sheetViews>
  <sheetFormatPr defaultColWidth="9.140625" defaultRowHeight="15"/>
  <cols>
    <col min="1" max="1" width="7" style="48" customWidth="1"/>
    <col min="2" max="2" width="12" style="48" customWidth="1"/>
    <col min="3" max="3" width="14.28515625" style="48" hidden="1" customWidth="1"/>
    <col min="4" max="4" width="35.85546875" style="48" customWidth="1"/>
    <col min="5" max="5" width="18.5703125" style="48" customWidth="1"/>
    <col min="6" max="6" width="19" style="48" customWidth="1"/>
    <col min="7" max="7" width="14.7109375" style="48" customWidth="1"/>
    <col min="8" max="8" width="18.140625" style="48" customWidth="1"/>
    <col min="9" max="9" width="5.42578125" style="48" customWidth="1"/>
    <col min="10" max="10" width="5.85546875" style="678" customWidth="1"/>
    <col min="11" max="11" width="6.7109375" style="678" bestFit="1" customWidth="1"/>
    <col min="12" max="12" width="18.140625" style="48" bestFit="1" customWidth="1"/>
    <col min="13" max="14" width="15.42578125" style="48" hidden="1" customWidth="1"/>
    <col min="15" max="15" width="16.5703125" style="48" bestFit="1" customWidth="1"/>
    <col min="16" max="17" width="13.85546875" style="48" hidden="1" customWidth="1"/>
    <col min="18" max="18" width="16.42578125" style="48" bestFit="1" customWidth="1"/>
    <col min="19" max="20" width="12.85546875" style="48" hidden="1" customWidth="1"/>
    <col min="21" max="21" width="16.42578125" style="48" bestFit="1" customWidth="1"/>
    <col min="22" max="23" width="12.7109375" style="48" hidden="1" customWidth="1"/>
    <col min="24" max="24" width="14.28515625" style="48" bestFit="1" customWidth="1"/>
    <col min="25" max="26" width="9.28515625" style="48" hidden="1" customWidth="1"/>
    <col min="27" max="27" width="18.140625" style="48" bestFit="1" customWidth="1"/>
    <col min="28" max="28" width="12.42578125" style="48" customWidth="1"/>
    <col min="29" max="29" width="10.140625" style="48" hidden="1" customWidth="1"/>
    <col min="30" max="30" width="12.5703125" style="48" hidden="1" customWidth="1"/>
    <col min="31" max="31" width="12.7109375" style="48" hidden="1" customWidth="1"/>
    <col min="32" max="32" width="15.42578125" style="48" hidden="1" customWidth="1"/>
    <col min="33" max="34" width="10" style="48" bestFit="1" customWidth="1"/>
    <col min="35" max="35" width="10" style="48" customWidth="1"/>
    <col min="36" max="36" width="11.28515625" style="48" hidden="1" customWidth="1"/>
    <col min="37" max="37" width="9.7109375" style="145" customWidth="1"/>
    <col min="38" max="38" width="10.7109375" style="48" hidden="1" customWidth="1"/>
    <col min="39" max="42" width="9.7109375" style="48" hidden="1" customWidth="1"/>
    <col min="43" max="43" width="20.7109375" style="48" hidden="1" customWidth="1"/>
    <col min="44" max="44" width="13.85546875" style="48" hidden="1" customWidth="1"/>
    <col min="45" max="45" width="25.140625" style="48" hidden="1" customWidth="1"/>
    <col min="46" max="46" width="9.7109375" style="48" hidden="1" customWidth="1"/>
    <col min="47" max="48" width="10.42578125" style="48" hidden="1" customWidth="1"/>
    <col min="49" max="49" width="12.28515625" style="48" bestFit="1" customWidth="1"/>
    <col min="50" max="50" width="9.5703125" style="48" bestFit="1" customWidth="1"/>
    <col min="51" max="16384" width="9.140625" style="48"/>
  </cols>
  <sheetData>
    <row r="2" spans="1:48" ht="16.5" thickBot="1">
      <c r="A2" s="677" t="s">
        <v>73</v>
      </c>
      <c r="B2" s="677"/>
      <c r="C2" s="22"/>
    </row>
    <row r="3" spans="1:48" ht="17.25" customHeight="1" thickTop="1" thickBot="1">
      <c r="A3" s="1911" t="s">
        <v>46</v>
      </c>
      <c r="B3" s="1912"/>
      <c r="C3" s="1913"/>
      <c r="D3" s="1912"/>
      <c r="E3" s="1912"/>
      <c r="F3" s="1912"/>
      <c r="G3" s="1912"/>
      <c r="H3" s="1912"/>
      <c r="I3" s="1912"/>
      <c r="J3" s="1912"/>
      <c r="K3" s="1914"/>
      <c r="L3" s="1915" t="s">
        <v>274</v>
      </c>
      <c r="M3" s="1919"/>
      <c r="N3" s="1919"/>
      <c r="O3" s="1919"/>
      <c r="P3" s="1919"/>
      <c r="Q3" s="1919"/>
      <c r="R3" s="1919"/>
      <c r="S3" s="1919"/>
      <c r="T3" s="1919"/>
      <c r="U3" s="1919"/>
      <c r="V3" s="1919"/>
      <c r="W3" s="1919"/>
      <c r="X3" s="1919"/>
      <c r="Y3" s="1919"/>
      <c r="Z3" s="1919"/>
      <c r="AA3" s="1919"/>
      <c r="AB3" s="1918"/>
      <c r="AC3" s="679"/>
      <c r="AD3" s="1915"/>
      <c r="AE3" s="1916"/>
      <c r="AF3" s="1915" t="s">
        <v>48</v>
      </c>
      <c r="AG3" s="1917"/>
      <c r="AH3" s="1917"/>
      <c r="AI3" s="1917"/>
      <c r="AJ3" s="1917"/>
      <c r="AK3" s="1917"/>
      <c r="AL3" s="1917"/>
      <c r="AM3" s="1917"/>
      <c r="AN3" s="1917"/>
      <c r="AO3" s="1917"/>
      <c r="AP3" s="1918"/>
      <c r="AQ3" s="1909" t="s">
        <v>157</v>
      </c>
      <c r="AR3" s="1909" t="s">
        <v>158</v>
      </c>
      <c r="AS3" s="1907" t="s">
        <v>174</v>
      </c>
    </row>
    <row r="4" spans="1:48" ht="84.75" customHeight="1" thickBot="1">
      <c r="A4" s="680" t="s">
        <v>7</v>
      </c>
      <c r="B4" s="621" t="s">
        <v>1243</v>
      </c>
      <c r="C4" s="844" t="str">
        <f>CONCATENATE('ketv. 2'!B3)</f>
        <v>Projekto kodas</v>
      </c>
      <c r="D4" s="681" t="s">
        <v>49</v>
      </c>
      <c r="E4" s="681" t="s">
        <v>1772</v>
      </c>
      <c r="F4" s="681" t="s">
        <v>51</v>
      </c>
      <c r="G4" s="681" t="s">
        <v>52</v>
      </c>
      <c r="H4" s="682" t="s">
        <v>53</v>
      </c>
      <c r="I4" s="681" t="s">
        <v>1248</v>
      </c>
      <c r="J4" s="681" t="s">
        <v>1249</v>
      </c>
      <c r="K4" s="681" t="s">
        <v>56</v>
      </c>
      <c r="L4" s="681" t="s">
        <v>57</v>
      </c>
      <c r="M4" s="681" t="s">
        <v>773</v>
      </c>
      <c r="N4" s="681" t="s">
        <v>774</v>
      </c>
      <c r="O4" s="681" t="s">
        <v>58</v>
      </c>
      <c r="P4" s="681" t="s">
        <v>771</v>
      </c>
      <c r="Q4" s="681" t="s">
        <v>772</v>
      </c>
      <c r="R4" s="681" t="s">
        <v>59</v>
      </c>
      <c r="S4" s="681" t="s">
        <v>769</v>
      </c>
      <c r="T4" s="681" t="s">
        <v>770</v>
      </c>
      <c r="U4" s="681" t="s">
        <v>60</v>
      </c>
      <c r="V4" s="681" t="s">
        <v>767</v>
      </c>
      <c r="W4" s="681" t="s">
        <v>768</v>
      </c>
      <c r="X4" s="681" t="s">
        <v>61</v>
      </c>
      <c r="Y4" s="681" t="s">
        <v>765</v>
      </c>
      <c r="Z4" s="681" t="s">
        <v>766</v>
      </c>
      <c r="AA4" s="681" t="s">
        <v>4236</v>
      </c>
      <c r="AB4" s="681" t="s">
        <v>1781</v>
      </c>
      <c r="AC4" s="681" t="s">
        <v>1396</v>
      </c>
      <c r="AD4" s="681" t="s">
        <v>775</v>
      </c>
      <c r="AE4" s="681" t="s">
        <v>776</v>
      </c>
      <c r="AF4" s="681" t="s">
        <v>1129</v>
      </c>
      <c r="AG4" s="681" t="s">
        <v>62</v>
      </c>
      <c r="AH4" s="681" t="s">
        <v>63</v>
      </c>
      <c r="AI4" s="681" t="s">
        <v>390</v>
      </c>
      <c r="AJ4" s="683" t="s">
        <v>684</v>
      </c>
      <c r="AK4" s="684" t="s">
        <v>65</v>
      </c>
      <c r="AL4" s="24" t="s">
        <v>604</v>
      </c>
      <c r="AM4" s="24" t="s">
        <v>604</v>
      </c>
      <c r="AN4" s="24" t="s">
        <v>604</v>
      </c>
      <c r="AO4" s="24" t="s">
        <v>604</v>
      </c>
      <c r="AP4" s="24" t="s">
        <v>604</v>
      </c>
      <c r="AQ4" s="1910"/>
      <c r="AR4" s="1910"/>
      <c r="AS4" s="1908"/>
    </row>
    <row r="5" spans="1:48" ht="16.5" thickTop="1" thickBot="1">
      <c r="A5" s="17"/>
      <c r="B5" s="17"/>
      <c r="C5" s="845" t="str">
        <f>CONCATENATE('ketv. 2'!B4)</f>
        <v/>
      </c>
      <c r="D5" s="15"/>
      <c r="E5" s="15"/>
      <c r="F5" s="15"/>
      <c r="G5" s="15"/>
      <c r="H5" s="15"/>
      <c r="I5" s="15"/>
      <c r="J5" s="10"/>
      <c r="K5" s="10"/>
      <c r="L5" s="15"/>
      <c r="M5" s="15"/>
      <c r="N5" s="15"/>
      <c r="O5" s="15"/>
      <c r="P5" s="15"/>
      <c r="Q5" s="15"/>
      <c r="R5" s="15"/>
      <c r="S5" s="15"/>
      <c r="T5" s="15"/>
      <c r="U5" s="15"/>
      <c r="V5" s="15"/>
      <c r="W5" s="15"/>
      <c r="X5" s="15"/>
      <c r="Y5" s="15"/>
      <c r="Z5" s="15"/>
      <c r="AA5" s="15"/>
      <c r="AB5" s="15"/>
      <c r="AC5" s="15"/>
      <c r="AD5" s="15"/>
      <c r="AE5" s="15"/>
      <c r="AF5" s="15"/>
      <c r="AG5" s="15"/>
      <c r="AH5" s="15"/>
      <c r="AI5" s="15"/>
      <c r="AJ5" s="15" t="s">
        <v>683</v>
      </c>
      <c r="AK5" s="685"/>
      <c r="AL5" s="686">
        <v>2016</v>
      </c>
      <c r="AM5" s="687">
        <v>2017</v>
      </c>
      <c r="AN5" s="688">
        <v>2018</v>
      </c>
      <c r="AO5" s="687">
        <v>2019</v>
      </c>
      <c r="AP5" s="687">
        <v>2020</v>
      </c>
      <c r="AQ5" s="30"/>
      <c r="AR5" s="30"/>
      <c r="AS5" s="30"/>
    </row>
    <row r="6" spans="1:48" ht="16.5" thickTop="1" thickBot="1">
      <c r="A6" s="17"/>
      <c r="B6" s="17"/>
      <c r="C6" s="846" t="str">
        <f>CONCATENATE('ketv. 2'!B5)</f>
        <v/>
      </c>
      <c r="D6" s="689"/>
      <c r="E6" s="689"/>
      <c r="F6" s="689"/>
      <c r="G6" s="689"/>
      <c r="H6" s="689"/>
      <c r="I6" s="689"/>
      <c r="J6" s="331"/>
      <c r="K6" s="10"/>
      <c r="L6" s="15"/>
      <c r="M6" s="15"/>
      <c r="N6" s="15"/>
      <c r="O6" s="15"/>
      <c r="P6" s="15"/>
      <c r="Q6" s="15"/>
      <c r="R6" s="15"/>
      <c r="S6" s="15"/>
      <c r="T6" s="15"/>
      <c r="U6" s="15"/>
      <c r="V6" s="15"/>
      <c r="W6" s="15"/>
      <c r="X6" s="15"/>
      <c r="Y6" s="15"/>
      <c r="Z6" s="15"/>
      <c r="AA6" s="15"/>
      <c r="AB6" s="15"/>
      <c r="AC6" s="15"/>
      <c r="AD6" s="15"/>
      <c r="AE6" s="15"/>
      <c r="AF6" s="15"/>
      <c r="AG6" s="15"/>
      <c r="AH6" s="15"/>
      <c r="AI6" s="15"/>
      <c r="AJ6" s="15"/>
      <c r="AK6" s="685"/>
      <c r="AL6" s="686"/>
      <c r="AM6" s="687"/>
      <c r="AN6" s="687"/>
      <c r="AO6" s="687"/>
      <c r="AP6" s="687"/>
      <c r="AQ6" s="30"/>
      <c r="AR6" s="30"/>
      <c r="AS6" s="30"/>
    </row>
    <row r="7" spans="1:48" ht="55.5" customHeight="1" thickBot="1">
      <c r="A7" s="690" t="s">
        <v>11</v>
      </c>
      <c r="B7" s="1885" t="s">
        <v>1466</v>
      </c>
      <c r="C7" s="1886"/>
      <c r="D7" s="1886"/>
      <c r="E7" s="1886"/>
      <c r="F7" s="1886"/>
      <c r="G7" s="1886"/>
      <c r="H7" s="1886"/>
      <c r="I7" s="1886"/>
      <c r="J7" s="1886"/>
      <c r="K7" s="1887"/>
      <c r="L7" s="1052">
        <f t="shared" ref="L7:AB7" si="0">SUM(L8+L73)</f>
        <v>48179758.077058807</v>
      </c>
      <c r="M7" s="1052"/>
      <c r="N7" s="1052"/>
      <c r="O7" s="1052">
        <f t="shared" si="0"/>
        <v>5588818.8870588243</v>
      </c>
      <c r="P7" s="1052"/>
      <c r="Q7" s="1052"/>
      <c r="R7" s="1052">
        <f ca="1">SUM(R8+R73)</f>
        <v>721975.68</v>
      </c>
      <c r="S7" s="1052"/>
      <c r="T7" s="1052"/>
      <c r="U7" s="1052">
        <f t="shared" si="0"/>
        <v>8555217.6500000004</v>
      </c>
      <c r="V7" s="1052"/>
      <c r="W7" s="1052"/>
      <c r="X7" s="1052">
        <f t="shared" si="0"/>
        <v>415060.82</v>
      </c>
      <c r="Y7" s="1052"/>
      <c r="Z7" s="1052"/>
      <c r="AA7" s="1052">
        <f t="shared" si="0"/>
        <v>32898685.040000003</v>
      </c>
      <c r="AB7" s="1052">
        <f t="shared" si="0"/>
        <v>0</v>
      </c>
      <c r="AC7" s="691"/>
      <c r="AD7" s="691"/>
      <c r="AE7" s="691"/>
      <c r="AF7" s="691"/>
      <c r="AG7" s="14" t="s">
        <v>66</v>
      </c>
      <c r="AH7" s="16"/>
      <c r="AI7" s="16"/>
      <c r="AJ7" s="5"/>
      <c r="AK7" s="156"/>
      <c r="AL7" s="16"/>
      <c r="AM7" s="692"/>
      <c r="AN7" s="692"/>
      <c r="AO7" s="692"/>
      <c r="AP7" s="692"/>
      <c r="AQ7" s="30">
        <f>SUM(AQ8+AQ73)</f>
        <v>32182686.071224812</v>
      </c>
      <c r="AR7" s="30">
        <f>SUM(AR8+AR73)</f>
        <v>38619223.28546977</v>
      </c>
      <c r="AS7" s="30">
        <f>SUM(AS8+AS73)</f>
        <v>-672956.66877519141</v>
      </c>
      <c r="AT7" s="693"/>
      <c r="AU7" s="694"/>
      <c r="AV7" s="694"/>
    </row>
    <row r="8" spans="1:48" ht="46.5" customHeight="1" thickBot="1">
      <c r="A8" s="833" t="s">
        <v>12</v>
      </c>
      <c r="B8" s="1900" t="s">
        <v>681</v>
      </c>
      <c r="C8" s="1901"/>
      <c r="D8" s="1901"/>
      <c r="E8" s="1901"/>
      <c r="F8" s="1901"/>
      <c r="G8" s="1901"/>
      <c r="H8" s="1901"/>
      <c r="I8" s="1901"/>
      <c r="J8" s="1901"/>
      <c r="K8" s="1902"/>
      <c r="L8" s="1053">
        <f t="shared" ref="L8:AB8" si="1">SUM(L9+L33+L39+L46+L50+L56+L58+L62+L67)</f>
        <v>39462000.947058812</v>
      </c>
      <c r="M8" s="1053"/>
      <c r="N8" s="1053"/>
      <c r="O8" s="1053">
        <f t="shared" si="1"/>
        <v>3767704.8270588238</v>
      </c>
      <c r="P8" s="1053"/>
      <c r="Q8" s="1053"/>
      <c r="R8" s="1053">
        <f ca="1">SUM(R9+R33+R39+R46+R50+R56+R58+R62+R67)</f>
        <v>721975.68</v>
      </c>
      <c r="S8" s="1053"/>
      <c r="T8" s="1053"/>
      <c r="U8" s="1053">
        <f t="shared" si="1"/>
        <v>8046402.1500000004</v>
      </c>
      <c r="V8" s="1053"/>
      <c r="W8" s="1053"/>
      <c r="X8" s="1053">
        <f t="shared" si="1"/>
        <v>352400.82</v>
      </c>
      <c r="Y8" s="1053"/>
      <c r="Z8" s="1053"/>
      <c r="AA8" s="1053">
        <f t="shared" si="1"/>
        <v>26573517.470000003</v>
      </c>
      <c r="AB8" s="1053">
        <f t="shared" si="1"/>
        <v>0</v>
      </c>
      <c r="AC8" s="696"/>
      <c r="AD8" s="696"/>
      <c r="AE8" s="696"/>
      <c r="AF8" s="696"/>
      <c r="AG8" s="14" t="s">
        <v>66</v>
      </c>
      <c r="AH8" s="16"/>
      <c r="AI8" s="16"/>
      <c r="AJ8" s="5"/>
      <c r="AK8" s="156"/>
      <c r="AL8" s="16"/>
      <c r="AM8" s="692"/>
      <c r="AN8" s="692"/>
      <c r="AO8" s="692"/>
      <c r="AP8" s="692"/>
      <c r="AQ8" s="30">
        <f>SUM(AQ9+AQ33+AQ39+AQ46+AQ50+AQ56+AQ58+AQ62+AQ67)</f>
        <v>26071647.111224812</v>
      </c>
      <c r="AR8" s="30">
        <f>SUM(AR9+AR33+AR39+AR46+AR50+AR56+AR58+AR62+AR67)</f>
        <v>31285976.53346977</v>
      </c>
      <c r="AS8" s="30">
        <f>SUM(AS9+AS33+AS39+AS46+AS50+AS56+AS58+AS62+AS67)</f>
        <v>-501870.35877519113</v>
      </c>
      <c r="AU8" s="694"/>
      <c r="AV8" s="694"/>
    </row>
    <row r="9" spans="1:48" ht="37.5" customHeight="1" thickBot="1">
      <c r="A9" s="697" t="s">
        <v>67</v>
      </c>
      <c r="B9" s="1899" t="s">
        <v>1462</v>
      </c>
      <c r="C9" s="1903"/>
      <c r="D9" s="1903"/>
      <c r="E9" s="1903"/>
      <c r="F9" s="1903"/>
      <c r="G9" s="1903"/>
      <c r="H9" s="1903"/>
      <c r="I9" s="1903"/>
      <c r="J9" s="1903"/>
      <c r="K9" s="1904"/>
      <c r="L9" s="1054">
        <f>SUM(L10:L32)</f>
        <v>4458652.3499999996</v>
      </c>
      <c r="M9" s="1054">
        <f t="shared" ref="M9:N9" si="2">SUM(M10:M32)</f>
        <v>4298604.3499999996</v>
      </c>
      <c r="N9" s="1054">
        <f t="shared" si="2"/>
        <v>0</v>
      </c>
      <c r="O9" s="1054">
        <f t="shared" ref="O9:AA9" si="3">SUM(O10:O32)</f>
        <v>1195247.3499999999</v>
      </c>
      <c r="P9" s="1054">
        <f t="shared" si="3"/>
        <v>1157795.5499999998</v>
      </c>
      <c r="Q9" s="1054">
        <f t="shared" si="3"/>
        <v>0</v>
      </c>
      <c r="R9" s="1054">
        <f ca="1">SUM(R10:R32)</f>
        <v>0</v>
      </c>
      <c r="S9" s="1014">
        <f t="shared" ref="S9:T9" si="4">SUM(S10:S32)</f>
        <v>0</v>
      </c>
      <c r="T9" s="1014">
        <f t="shared" si="4"/>
        <v>0</v>
      </c>
      <c r="U9" s="1054">
        <f t="shared" si="3"/>
        <v>0</v>
      </c>
      <c r="V9" s="1014">
        <f t="shared" si="3"/>
        <v>0</v>
      </c>
      <c r="W9" s="1014">
        <f t="shared" si="3"/>
        <v>0</v>
      </c>
      <c r="X9" s="1054">
        <f t="shared" si="3"/>
        <v>0</v>
      </c>
      <c r="Y9" s="1014">
        <f t="shared" si="3"/>
        <v>0</v>
      </c>
      <c r="Z9" s="1014">
        <f t="shared" si="3"/>
        <v>0</v>
      </c>
      <c r="AA9" s="1054">
        <f t="shared" si="3"/>
        <v>3263405</v>
      </c>
      <c r="AB9" s="1017">
        <f t="shared" ref="AB9" si="5">SUM(AB10:AB32)</f>
        <v>0</v>
      </c>
      <c r="AC9" s="698"/>
      <c r="AD9" s="698">
        <f>SUM(AD10:AD32)</f>
        <v>3140808.8</v>
      </c>
      <c r="AE9" s="698">
        <f>SUM(AE10:AE32)</f>
        <v>0</v>
      </c>
      <c r="AF9" s="698"/>
      <c r="AG9" s="699" t="s">
        <v>66</v>
      </c>
      <c r="AH9" s="699"/>
      <c r="AI9" s="699"/>
      <c r="AJ9" s="304"/>
      <c r="AK9" s="700"/>
      <c r="AL9" s="701">
        <f>SUM(AL10:AL32)</f>
        <v>0</v>
      </c>
      <c r="AM9" s="701">
        <f t="shared" ref="AM9:AP9" si="6">SUM(AM10:AM32)</f>
        <v>0</v>
      </c>
      <c r="AN9" s="701">
        <f t="shared" si="6"/>
        <v>3263405</v>
      </c>
      <c r="AO9" s="701">
        <f t="shared" si="6"/>
        <v>0</v>
      </c>
      <c r="AP9" s="701">
        <f t="shared" si="6"/>
        <v>0</v>
      </c>
      <c r="AQ9" s="39">
        <f>SUM('IV-2 amsa'!X7+'IV-2 arsa'!W7+'IV-2 dsa'!W7+'IV-2 lrsa'!X7+'IV-2 vrsa'!X7)</f>
        <v>2773893</v>
      </c>
      <c r="AR9" s="39">
        <f>SUM(AQ9*120/100)</f>
        <v>3328671.6</v>
      </c>
      <c r="AS9" s="39">
        <f>SUM(AQ9-AA9)</f>
        <v>-489512</v>
      </c>
      <c r="AU9" s="693"/>
      <c r="AV9" s="693"/>
    </row>
    <row r="10" spans="1:48" ht="52.5" thickTop="1" thickBot="1">
      <c r="A10" s="130" t="s">
        <v>68</v>
      </c>
      <c r="B10" s="130" t="s">
        <v>1255</v>
      </c>
      <c r="C10" s="1093" t="str">
        <f>CONCATENATE('ketv. 2'!B9)</f>
        <v>20KI-KA-17-1-02616-PR001</v>
      </c>
      <c r="D10" s="311" t="str">
        <f>CONCATENATE('IV-2 dsa'!C8)</f>
        <v xml:space="preserve">Druskininkų savivaldybės Viečiūnų seniūnijos Ilgio ir Raigardo seniūnaitijų kelių būklės gerinimas  </v>
      </c>
      <c r="E10" s="311" t="str">
        <f>CONCATENATE('IV-2 dsa'!D8)</f>
        <v xml:space="preserve">Druskininkų savivaldybės administracija  </v>
      </c>
      <c r="F10" s="311" t="str">
        <f>CONCATENATE('IV-2 dsa'!E8)</f>
        <v>Lietuvos Respublikos žemės ūkio ministerija</v>
      </c>
      <c r="G10" s="311" t="str">
        <f>CONCATENATE('IV-2 dsa'!F8)</f>
        <v>Druskininkų sav.</v>
      </c>
      <c r="H10" s="311" t="str">
        <f>CONCATENATE('IV-2 dsa'!G8)</f>
        <v xml:space="preserve">Pagrindinės paslaugos ir kaimų atnaujinimas kaimo vietovėse </v>
      </c>
      <c r="I10" s="11" t="str">
        <f>CONCATENATE('IV-2 dsa'!H8)</f>
        <v>R</v>
      </c>
      <c r="J10" s="11" t="str">
        <f>CONCATENATE('IV-2 dsa'!I8)</f>
        <v>-</v>
      </c>
      <c r="K10" s="11" t="str">
        <f>CONCATENATE('IV-2 dsa'!J8)</f>
        <v>-</v>
      </c>
      <c r="L10" s="644">
        <f>SUM(O10+U10+X10+AA10+AB10)</f>
        <v>250766</v>
      </c>
      <c r="M10" s="644">
        <f>SUM('ketv. 6 '!L9)</f>
        <v>250766</v>
      </c>
      <c r="N10" s="644">
        <f>IF(M10&gt;0,L10-M10,0)</f>
        <v>0</v>
      </c>
      <c r="O10" s="644">
        <f>SUMIF(KPP!C7:C100,C10,KPP!P7:P100)</f>
        <v>91651</v>
      </c>
      <c r="P10" s="644">
        <f>SUM('ketv. 6 '!P9)</f>
        <v>91651</v>
      </c>
      <c r="Q10" s="644">
        <f>IF(P10&gt;0,O10-P10,0)</f>
        <v>0</v>
      </c>
      <c r="R10" s="644">
        <f ca="1">SUMIF(KPP!C7:C700,C10,KPP!R7)</f>
        <v>0</v>
      </c>
      <c r="S10" s="644">
        <f>SUM('ketv. 6 '!T9)</f>
        <v>0</v>
      </c>
      <c r="T10" s="644">
        <f>IF(S10&gt;0,R10-S10,0)</f>
        <v>0</v>
      </c>
      <c r="U10" s="644">
        <f>SUM('IV-2 dsa'!N8)</f>
        <v>0</v>
      </c>
      <c r="V10" s="644">
        <f>SUM('ketv. 6 '!X9)</f>
        <v>0</v>
      </c>
      <c r="W10" s="644">
        <f>IF(V10&gt;0,U10-V10,0)</f>
        <v>0</v>
      </c>
      <c r="X10" s="644">
        <f>SUM('IV-2 dsa'!O8)</f>
        <v>0</v>
      </c>
      <c r="Y10" s="644">
        <f>SUM('ketv. 6 '!AB9)</f>
        <v>0</v>
      </c>
      <c r="Z10" s="644">
        <f>IF(Y10&gt;0,X10-Y10,0)</f>
        <v>0</v>
      </c>
      <c r="AA10" s="644">
        <f>SUMIF(KPP!C7:C700,C10,KPP!N7:N700)</f>
        <v>159115</v>
      </c>
      <c r="AB10" s="1017">
        <f t="shared" ref="AB10" si="7">SUM(AB11:AB33)</f>
        <v>0</v>
      </c>
      <c r="AC10" s="16" t="str">
        <f>IF('ketv. 4 '!Z10&gt;0,"Taip","Ne")</f>
        <v>Taip</v>
      </c>
      <c r="AD10" s="16">
        <f>SUM('ketv. 6 '!AF9)</f>
        <v>159115</v>
      </c>
      <c r="AE10" s="16">
        <f t="shared" ref="AE10:AE32" si="8">IF(AD10&gt;0,AA10-AD10,0)</f>
        <v>0</v>
      </c>
      <c r="AF10" s="431">
        <f>SUM('IV-2 dsa'!R8)</f>
        <v>42643</v>
      </c>
      <c r="AG10" s="337">
        <f>SUM('IV-2 dsa'!S8)</f>
        <v>42855</v>
      </c>
      <c r="AH10" s="337">
        <f>SUM('IV-2 dsa'!T8)</f>
        <v>43010</v>
      </c>
      <c r="AI10" s="337">
        <f>SUM('IV-2 dsa'!U8)</f>
        <v>43102</v>
      </c>
      <c r="AJ10" s="339">
        <f>IF(YEAR(AI10),YEAR(AI10))</f>
        <v>2018</v>
      </c>
      <c r="AK10" s="702">
        <f>SUM('IV-2 dsa'!V8)</f>
        <v>43465</v>
      </c>
      <c r="AL10" s="16">
        <f t="shared" ref="AL10:AL32" si="9">IF(YEAR(AI10)=2016,AA10,0)</f>
        <v>0</v>
      </c>
      <c r="AM10" s="16">
        <f t="shared" ref="AM10:AM32" si="10">IF(YEAR(AI10)=2017,AA10,0)</f>
        <v>0</v>
      </c>
      <c r="AN10" s="16">
        <f t="shared" ref="AN10:AN32" si="11">IF(YEAR(AI10)=2018,AA10,0)</f>
        <v>159115</v>
      </c>
      <c r="AO10" s="16">
        <f t="shared" ref="AO10:AO32" si="12">IF(YEAR(AI10)=2019,AA10,0)</f>
        <v>0</v>
      </c>
      <c r="AP10" s="703">
        <f t="shared" ref="AP10:AP32" si="13">IF(YEAR(AI10)=2020,AA10,0)</f>
        <v>0</v>
      </c>
      <c r="AQ10" s="704"/>
      <c r="AR10" s="704"/>
      <c r="AS10" s="704"/>
      <c r="AT10" s="693"/>
      <c r="AU10" s="693"/>
      <c r="AV10" s="693"/>
    </row>
    <row r="11" spans="1:48" ht="52.5" thickTop="1" thickBot="1">
      <c r="A11" s="311" t="s">
        <v>120</v>
      </c>
      <c r="B11" s="130" t="s">
        <v>1257</v>
      </c>
      <c r="C11" s="1093" t="str">
        <f>CONCATENATE('ketv. 2'!B10)</f>
        <v>20KI-KA-17-1-02617-PR001</v>
      </c>
      <c r="D11" s="311" t="str">
        <f>CONCATENATE('IV-2 dsa'!C9)</f>
        <v>Druskininkų savivaldybės Viečiūnų seniūnijos Ratnyčėlės seniūnaitijos kelių būklės gerinimas</v>
      </c>
      <c r="E11" s="311" t="str">
        <f>CONCATENATE('IV-2 dsa'!D9)</f>
        <v xml:space="preserve">Druskininkų savivaldybės administracija  </v>
      </c>
      <c r="F11" s="311" t="str">
        <f>CONCATENATE('IV-2 dsa'!E9)</f>
        <v>Lietuvos Respublikos žemės ūkio ministerija</v>
      </c>
      <c r="G11" s="311" t="str">
        <f>CONCATENATE('IV-2 dsa'!F9)</f>
        <v>Druskininkų sav.</v>
      </c>
      <c r="H11" s="311" t="str">
        <f>CONCATENATE('IV-2 dsa'!G9)</f>
        <v xml:space="preserve">Pagrindinės paslaugos ir kaimų atnaujinimas kaimo vietovėse </v>
      </c>
      <c r="I11" s="11" t="str">
        <f>CONCATENATE('IV-2 dsa'!H9)</f>
        <v>R</v>
      </c>
      <c r="J11" s="11" t="str">
        <f>CONCATENATE('IV-2 dsa'!I9)</f>
        <v>-</v>
      </c>
      <c r="K11" s="11" t="str">
        <f>CONCATENATE('IV-2 dsa'!J9)</f>
        <v>-</v>
      </c>
      <c r="L11" s="644">
        <f t="shared" ref="L11:L32" si="14">SUM(O11+U11+X11+AA11+AB11)</f>
        <v>188039</v>
      </c>
      <c r="M11" s="644">
        <f>SUM('ketv. 6 '!L10)</f>
        <v>188039</v>
      </c>
      <c r="N11" s="644">
        <f t="shared" ref="N11:N32" si="15">IF(M11&gt;0,L11-M11,0)</f>
        <v>0</v>
      </c>
      <c r="O11" s="644">
        <f>SUMIF(KPP!C8:C101,C11,KPP!P8:P101)</f>
        <v>66968</v>
      </c>
      <c r="P11" s="644">
        <f>SUM('ketv. 6 '!P10)</f>
        <v>66968</v>
      </c>
      <c r="Q11" s="644">
        <f t="shared" ref="Q11:Q32" si="16">IF(P11&gt;0,O11-P11,0)</f>
        <v>0</v>
      </c>
      <c r="R11" s="644">
        <f ca="1">SUMIF(KPP!C8:C701,C11,KPP!R8)</f>
        <v>0</v>
      </c>
      <c r="S11" s="644">
        <f>SUM('ketv. 6 '!T10)</f>
        <v>0</v>
      </c>
      <c r="T11" s="644">
        <f t="shared" ref="T11:T32" si="17">IF(S11&gt;0,R11-S11,0)</f>
        <v>0</v>
      </c>
      <c r="U11" s="644">
        <f>SUM('IV-2 dsa'!N9)</f>
        <v>0</v>
      </c>
      <c r="V11" s="644">
        <f>SUM('ketv. 6 '!X10)</f>
        <v>0</v>
      </c>
      <c r="W11" s="644">
        <f t="shared" ref="W11:W32" si="18">IF(V11&gt;0,U11-V11,0)</f>
        <v>0</v>
      </c>
      <c r="X11" s="644">
        <f>SUM('IV-2 dsa'!O9)</f>
        <v>0</v>
      </c>
      <c r="Y11" s="644">
        <f>SUM('ketv. 6 '!AB10)</f>
        <v>0</v>
      </c>
      <c r="Z11" s="644">
        <f t="shared" ref="Z11:Z32" si="19">IF(Y11&gt;0,X11-Y11,0)</f>
        <v>0</v>
      </c>
      <c r="AA11" s="1674">
        <f>SUMIF(KPP!C8:C701,C11,KPP!N8:N701)</f>
        <v>121071</v>
      </c>
      <c r="AB11" s="1498">
        <f t="shared" ref="AB11" si="20">SUM(AB12:AB34)</f>
        <v>0</v>
      </c>
      <c r="AC11" s="16" t="str">
        <f>IF('ketv. 4 '!Z11&gt;0,"Taip","Ne")</f>
        <v>Taip</v>
      </c>
      <c r="AD11" s="5">
        <f>SUM('ketv. 6 '!AF10)</f>
        <v>121071</v>
      </c>
      <c r="AE11" s="16">
        <f t="shared" si="8"/>
        <v>0</v>
      </c>
      <c r="AF11" s="705">
        <f>SUM('IV-2 dsa'!R9)</f>
        <v>42643</v>
      </c>
      <c r="AG11" s="337">
        <f>SUM('IV-2 dsa'!S9)</f>
        <v>42855</v>
      </c>
      <c r="AH11" s="337">
        <f>SUM('IV-2 dsa'!T9)</f>
        <v>43010</v>
      </c>
      <c r="AI11" s="337">
        <f>SUM('IV-2 dsa'!U9)</f>
        <v>43102</v>
      </c>
      <c r="AJ11" s="339">
        <f>IF(YEAR(AI11),YEAR(AI11))</f>
        <v>2018</v>
      </c>
      <c r="AK11" s="702">
        <f>SUM('IV-2 dsa'!V9)</f>
        <v>43465</v>
      </c>
      <c r="AL11" s="16">
        <f t="shared" si="9"/>
        <v>0</v>
      </c>
      <c r="AM11" s="16">
        <f t="shared" si="10"/>
        <v>0</v>
      </c>
      <c r="AN11" s="16">
        <f t="shared" si="11"/>
        <v>121071</v>
      </c>
      <c r="AO11" s="16">
        <f t="shared" si="12"/>
        <v>0</v>
      </c>
      <c r="AP11" s="703">
        <f t="shared" si="13"/>
        <v>0</v>
      </c>
      <c r="AQ11" s="704"/>
      <c r="AR11" s="704"/>
      <c r="AS11" s="704"/>
    </row>
    <row r="12" spans="1:48" ht="52.5" thickTop="1" thickBot="1">
      <c r="A12" s="311" t="s">
        <v>121</v>
      </c>
      <c r="B12" s="130" t="s">
        <v>1258</v>
      </c>
      <c r="C12" s="1093" t="str">
        <f>CONCATENATE('ketv. 2'!B11)</f>
        <v>20KI-KA-17-1-02622-PR001</v>
      </c>
      <c r="D12" s="311" t="str">
        <f>CONCATENATE('IV-2 dsa'!C10)</f>
        <v>Druskininkų savivaldybės Leipalingio seniūnijos Klonio seniūnaitijos kelių būklės gerinimas</v>
      </c>
      <c r="E12" s="311" t="str">
        <f>CONCATENATE('IV-2 dsa'!D10)</f>
        <v xml:space="preserve">Druskininkų savivaldybės administracija  </v>
      </c>
      <c r="F12" s="311" t="str">
        <f>CONCATENATE('IV-2 dsa'!E10)</f>
        <v>Lietuvos Respublikos žemės ūkio ministerija</v>
      </c>
      <c r="G12" s="311" t="str">
        <f>CONCATENATE('IV-2 dsa'!F10)</f>
        <v>Druskininkų sav.</v>
      </c>
      <c r="H12" s="311" t="str">
        <f>CONCATENATE('IV-2 dsa'!G10)</f>
        <v xml:space="preserve">Pagrindinės paslaugos ir kaimų atnaujinimas kaimo vietovėse </v>
      </c>
      <c r="I12" s="11" t="str">
        <f>CONCATENATE('IV-2 dsa'!H10)</f>
        <v>R</v>
      </c>
      <c r="J12" s="11" t="str">
        <f>CONCATENATE('IV-2 dsa'!I10)</f>
        <v>-</v>
      </c>
      <c r="K12" s="11" t="str">
        <f>CONCATENATE('IV-2 dsa'!J10)</f>
        <v>-</v>
      </c>
      <c r="L12" s="644">
        <f t="shared" si="14"/>
        <v>222319</v>
      </c>
      <c r="M12" s="644">
        <f>SUM('ketv. 6 '!L11)</f>
        <v>222319</v>
      </c>
      <c r="N12" s="644">
        <f t="shared" si="15"/>
        <v>0</v>
      </c>
      <c r="O12" s="644">
        <f>SUMIF(KPP!C9:C102,C12,KPP!P9:P102)</f>
        <v>67873</v>
      </c>
      <c r="P12" s="644">
        <f>SUM('ketv. 6 '!P11)</f>
        <v>67873</v>
      </c>
      <c r="Q12" s="644">
        <f t="shared" si="16"/>
        <v>0</v>
      </c>
      <c r="R12" s="644">
        <f ca="1">SUMIF(KPP!C9:C702,C12,KPP!R9)</f>
        <v>0</v>
      </c>
      <c r="S12" s="644">
        <f>SUM('ketv. 6 '!T11)</f>
        <v>0</v>
      </c>
      <c r="T12" s="644">
        <f t="shared" si="17"/>
        <v>0</v>
      </c>
      <c r="U12" s="644">
        <f>SUM('IV-2 dsa'!N10)</f>
        <v>0</v>
      </c>
      <c r="V12" s="644">
        <f>SUM('ketv. 6 '!X11)</f>
        <v>0</v>
      </c>
      <c r="W12" s="644">
        <f t="shared" si="18"/>
        <v>0</v>
      </c>
      <c r="X12" s="644">
        <f>SUM('IV-2 dsa'!O10)</f>
        <v>0</v>
      </c>
      <c r="Y12" s="644">
        <f>SUM('ketv. 6 '!AB11)</f>
        <v>0</v>
      </c>
      <c r="Z12" s="644">
        <f t="shared" si="19"/>
        <v>0</v>
      </c>
      <c r="AA12" s="644">
        <f>SUMIF(KPP!C9:C702,C12,KPP!N9:N702)</f>
        <v>154446</v>
      </c>
      <c r="AB12" s="1017">
        <f t="shared" ref="AB12" si="21">SUM(AB13:AB35)</f>
        <v>0</v>
      </c>
      <c r="AC12" s="16" t="str">
        <f>IF('ketv. 4 '!Z12&gt;0,"Taip","Ne")</f>
        <v>Taip</v>
      </c>
      <c r="AD12" s="16">
        <f>SUM('ketv. 6 '!AF11)</f>
        <v>154446</v>
      </c>
      <c r="AE12" s="16">
        <f t="shared" si="8"/>
        <v>0</v>
      </c>
      <c r="AF12" s="431">
        <f>SUM('IV-2 dsa'!R10)</f>
        <v>42643</v>
      </c>
      <c r="AG12" s="337">
        <f>SUM('IV-2 dsa'!S10)</f>
        <v>42855</v>
      </c>
      <c r="AH12" s="337">
        <f>SUM('IV-2 dsa'!T10)</f>
        <v>43010</v>
      </c>
      <c r="AI12" s="337">
        <f>SUM('IV-2 dsa'!U10)</f>
        <v>43102</v>
      </c>
      <c r="AJ12" s="339">
        <f>IF(YEAR(AI12),YEAR(AI12))</f>
        <v>2018</v>
      </c>
      <c r="AK12" s="702">
        <f>SUM('IV-2 dsa'!V10)</f>
        <v>43465</v>
      </c>
      <c r="AL12" s="16">
        <f t="shared" si="9"/>
        <v>0</v>
      </c>
      <c r="AM12" s="16">
        <f t="shared" si="10"/>
        <v>0</v>
      </c>
      <c r="AN12" s="16">
        <f t="shared" si="11"/>
        <v>154446</v>
      </c>
      <c r="AO12" s="16">
        <f t="shared" si="12"/>
        <v>0</v>
      </c>
      <c r="AP12" s="703">
        <f t="shared" si="13"/>
        <v>0</v>
      </c>
      <c r="AQ12" s="704"/>
      <c r="AR12" s="704"/>
      <c r="AS12" s="704"/>
    </row>
    <row r="13" spans="1:48" ht="52.5" thickTop="1" thickBot="1">
      <c r="A13" s="311" t="s">
        <v>271</v>
      </c>
      <c r="B13" s="130" t="s">
        <v>1259</v>
      </c>
      <c r="C13" s="1093" t="str">
        <f>CONCATENATE('ketv. 2'!B12)</f>
        <v>20KI-KA-17-1-02368-PR001</v>
      </c>
      <c r="D13" s="311" t="str">
        <f>CONCATENATE('IV-2 lrsa'!D8)</f>
        <v>Rudaminos laisvalaikio salės pritaikymas bendruomenės poreikiams ir liaudies amatų plėtrai</v>
      </c>
      <c r="E13" s="311" t="str">
        <f>CONCATENATE('IV-2 lrsa'!E8)</f>
        <v>Viešoji įstaiga Lazdijų kultūros centras</v>
      </c>
      <c r="F13" s="311" t="str">
        <f>CONCATENATE('IV-2 lrsa'!F8)</f>
        <v>Lietuvos Respublikos žemės ūkio ministerija</v>
      </c>
      <c r="G13" s="311" t="str">
        <f>CONCATENATE('IV-2 lrsa'!G8)</f>
        <v>Lazdijų r. sav.</v>
      </c>
      <c r="H13" s="311" t="str">
        <f>CONCATENATE('IV-2 lrsa'!H8)</f>
        <v xml:space="preserve">Pagrindinės paslaugos ir kaimų atnaujinimas kaimo vietovėse </v>
      </c>
      <c r="I13" s="11" t="str">
        <f>CONCATENATE('IV-2 lrsa'!I8)</f>
        <v>R</v>
      </c>
      <c r="J13" s="11" t="str">
        <f>CONCATENATE('IV-2 lrsa'!J8)</f>
        <v>-</v>
      </c>
      <c r="K13" s="11" t="str">
        <f>CONCATENATE('IV-2 lrsa'!K8)</f>
        <v>-</v>
      </c>
      <c r="L13" s="644">
        <f t="shared" si="14"/>
        <v>123160</v>
      </c>
      <c r="M13" s="644">
        <f>SUM('ketv. 6 '!L12)</f>
        <v>123160</v>
      </c>
      <c r="N13" s="644">
        <f t="shared" si="15"/>
        <v>0</v>
      </c>
      <c r="O13" s="644">
        <f>SUMIF(KPP!C10:C103,C13,KPP!P10:P103)</f>
        <v>24632</v>
      </c>
      <c r="P13" s="644">
        <f>SUM('ketv. 6 '!P12)</f>
        <v>24632</v>
      </c>
      <c r="Q13" s="644">
        <f t="shared" si="16"/>
        <v>0</v>
      </c>
      <c r="R13" s="644">
        <f ca="1">SUMIF(KPP!C10:C703,C13,KPP!R10)</f>
        <v>0</v>
      </c>
      <c r="S13" s="644">
        <f>SUM('ketv. 6 '!T12)</f>
        <v>0</v>
      </c>
      <c r="T13" s="644">
        <f t="shared" si="17"/>
        <v>0</v>
      </c>
      <c r="U13" s="644">
        <f>SUM('IV-2 lrsa'!O8)</f>
        <v>0</v>
      </c>
      <c r="V13" s="644">
        <f>SUM('ketv. 6 '!X12)</f>
        <v>0</v>
      </c>
      <c r="W13" s="644">
        <f t="shared" si="18"/>
        <v>0</v>
      </c>
      <c r="X13" s="644">
        <f>SUM('IV-2 lrsa'!P8)</f>
        <v>0</v>
      </c>
      <c r="Y13" s="644">
        <f>SUM('ketv. 6 '!AB12)</f>
        <v>0</v>
      </c>
      <c r="Z13" s="644">
        <f t="shared" si="19"/>
        <v>0</v>
      </c>
      <c r="AA13" s="644">
        <f>SUMIF(KPP!C10:C703,C13,KPP!N10:N703)</f>
        <v>98528</v>
      </c>
      <c r="AB13" s="1017">
        <f t="shared" ref="AB13" si="22">SUM(AB14:AB36)</f>
        <v>0</v>
      </c>
      <c r="AC13" s="16" t="str">
        <f>IF('ketv. 4 '!Z13&gt;0,"Taip","Ne")</f>
        <v>Taip</v>
      </c>
      <c r="AD13" s="16">
        <f>SUM('ketv. 6 '!AF12)</f>
        <v>98528</v>
      </c>
      <c r="AE13" s="16">
        <f t="shared" si="8"/>
        <v>0</v>
      </c>
      <c r="AF13" s="431">
        <f>SUM('IV-2 lrsa'!S8)</f>
        <v>42643</v>
      </c>
      <c r="AG13" s="337">
        <f>SUM('IV-2 lrsa'!T8)</f>
        <v>42855</v>
      </c>
      <c r="AH13" s="337">
        <f>SUM('IV-2 lrsa'!U8)</f>
        <v>43010</v>
      </c>
      <c r="AI13" s="337">
        <f>SUM('IV-2 lrsa'!V8)</f>
        <v>43102</v>
      </c>
      <c r="AJ13" s="339">
        <f>IF(YEAR(AI13),YEAR(AI13))</f>
        <v>2018</v>
      </c>
      <c r="AK13" s="702">
        <f>SUM('IV-2 lrsa'!W8)</f>
        <v>43373</v>
      </c>
      <c r="AL13" s="16">
        <f t="shared" si="9"/>
        <v>0</v>
      </c>
      <c r="AM13" s="16">
        <f t="shared" si="10"/>
        <v>0</v>
      </c>
      <c r="AN13" s="16">
        <f t="shared" si="11"/>
        <v>98528</v>
      </c>
      <c r="AO13" s="16">
        <f t="shared" si="12"/>
        <v>0</v>
      </c>
      <c r="AP13" s="703">
        <f t="shared" si="13"/>
        <v>0</v>
      </c>
      <c r="AQ13" s="704"/>
      <c r="AR13" s="704"/>
      <c r="AS13" s="704"/>
    </row>
    <row r="14" spans="1:48" ht="52.5" thickTop="1" thickBot="1">
      <c r="A14" s="311" t="s">
        <v>291</v>
      </c>
      <c r="B14" s="130" t="s">
        <v>1260</v>
      </c>
      <c r="C14" s="1093" t="str">
        <f>CONCATENATE('ketv. 2'!B13)</f>
        <v>20KI-KA-17-1-02619-PR001</v>
      </c>
      <c r="D14" s="311" t="str">
        <f>CONCATENATE('IV-2 dsa'!C11)</f>
        <v>Druskininkų savivaldybės Leipalingio seniūnijos Bilso seniūnaitijos kelių būklės gerinimas</v>
      </c>
      <c r="E14" s="311" t="str">
        <f>CONCATENATE('IV-2 dsa'!D11)</f>
        <v xml:space="preserve">Druskininkų savivaldybės administracija  </v>
      </c>
      <c r="F14" s="311" t="str">
        <f>CONCATENATE('IV-2 dsa'!E11)</f>
        <v>Lietuvos Respublikos žemės ūkio ministerija</v>
      </c>
      <c r="G14" s="311" t="str">
        <f>CONCATENATE('IV-2 dsa'!F11)</f>
        <v>Druskininkų sav.</v>
      </c>
      <c r="H14" s="311" t="str">
        <f>CONCATENATE('IV-2 dsa'!G11)</f>
        <v xml:space="preserve">Pagrindinės paslaugos ir kaimų atnaujinimas kaimo vietovėse </v>
      </c>
      <c r="I14" s="11" t="str">
        <f>CONCATENATE('IV-2 dsa'!H11)</f>
        <v>R</v>
      </c>
      <c r="J14" s="11" t="str">
        <f>CONCATENATE('IV-2 dsa'!I11)</f>
        <v>-</v>
      </c>
      <c r="K14" s="11" t="str">
        <f>CONCATENATE('IV-2 dsa'!J11)</f>
        <v>-</v>
      </c>
      <c r="L14" s="644">
        <f t="shared" si="14"/>
        <v>265076</v>
      </c>
      <c r="M14" s="644">
        <f>SUM('ketv. 6 '!L13)</f>
        <v>265076</v>
      </c>
      <c r="N14" s="644">
        <f t="shared" si="15"/>
        <v>0</v>
      </c>
      <c r="O14" s="644">
        <f>SUMIF(KPP!C11:C104,C14,KPP!P11:P104)</f>
        <v>137032</v>
      </c>
      <c r="P14" s="644">
        <f>SUM('ketv. 6 '!P13)</f>
        <v>137032</v>
      </c>
      <c r="Q14" s="644">
        <f t="shared" si="16"/>
        <v>0</v>
      </c>
      <c r="R14" s="644">
        <f ca="1">SUMIF(KPP!C11:C704,C14,KPP!R11)</f>
        <v>0</v>
      </c>
      <c r="S14" s="644">
        <f>SUM('ketv. 6 '!T13)</f>
        <v>0</v>
      </c>
      <c r="T14" s="644">
        <f t="shared" si="17"/>
        <v>0</v>
      </c>
      <c r="U14" s="644">
        <f>SUM('IV-2 dsa'!N11)</f>
        <v>0</v>
      </c>
      <c r="V14" s="644">
        <f>SUM('ketv. 6 '!X13)</f>
        <v>0</v>
      </c>
      <c r="W14" s="644">
        <f t="shared" si="18"/>
        <v>0</v>
      </c>
      <c r="X14" s="644">
        <f>SUM('IV-2 dsa'!O11)</f>
        <v>0</v>
      </c>
      <c r="Y14" s="644">
        <f>SUM('ketv. 6 '!AB13)</f>
        <v>0</v>
      </c>
      <c r="Z14" s="644">
        <f t="shared" si="19"/>
        <v>0</v>
      </c>
      <c r="AA14" s="644">
        <f>SUMIF(KPP!C11:C704,C14,KPP!N11:N704)</f>
        <v>128044</v>
      </c>
      <c r="AB14" s="1017">
        <f t="shared" ref="AB14" si="23">SUM(AB15:AB37)</f>
        <v>0</v>
      </c>
      <c r="AC14" s="16" t="str">
        <f>IF('ketv. 4 '!Z14&gt;0,"Taip","Ne")</f>
        <v>Taip</v>
      </c>
      <c r="AD14" s="16">
        <f>SUM('ketv. 6 '!AF13)</f>
        <v>128044</v>
      </c>
      <c r="AE14" s="16">
        <f t="shared" si="8"/>
        <v>0</v>
      </c>
      <c r="AF14" s="431">
        <f>SUM('IV-2 dsa'!R11)</f>
        <v>42643</v>
      </c>
      <c r="AG14" s="337">
        <f>SUM('IV-2 dsa'!S11)</f>
        <v>42855</v>
      </c>
      <c r="AH14" s="337">
        <f>SUM('IV-2 dsa'!T11)</f>
        <v>43010</v>
      </c>
      <c r="AI14" s="337">
        <f>SUM('IV-2 dsa'!U11)</f>
        <v>43102</v>
      </c>
      <c r="AJ14" s="339">
        <f>IF(YEAR(AI14),YEAR(AI14))</f>
        <v>2018</v>
      </c>
      <c r="AK14" s="702">
        <f>SUM('IV-2 dsa'!V11)</f>
        <v>43465</v>
      </c>
      <c r="AL14" s="16">
        <f t="shared" si="9"/>
        <v>0</v>
      </c>
      <c r="AM14" s="16">
        <f t="shared" si="10"/>
        <v>0</v>
      </c>
      <c r="AN14" s="16">
        <f t="shared" si="11"/>
        <v>128044</v>
      </c>
      <c r="AO14" s="16">
        <f t="shared" si="12"/>
        <v>0</v>
      </c>
      <c r="AP14" s="703">
        <f t="shared" si="13"/>
        <v>0</v>
      </c>
      <c r="AQ14" s="338"/>
      <c r="AR14" s="706"/>
      <c r="AS14" s="704"/>
    </row>
    <row r="15" spans="1:48" ht="52.5" thickTop="1" thickBot="1">
      <c r="A15" s="311" t="s">
        <v>393</v>
      </c>
      <c r="B15" s="130" t="s">
        <v>1261</v>
      </c>
      <c r="C15" s="1093" t="str">
        <f>CONCATENATE('ketv. 2'!B14)</f>
        <v>20KI-KA-17-1-02374-PR001</v>
      </c>
      <c r="D15" s="311" t="str">
        <f>CONCATENATE('IV-2 lrsa'!D9)</f>
        <v>Lazdijų rajono kaimų patrauklumo didinimas atnaujinant bibliotekas</v>
      </c>
      <c r="E15" s="311" t="str">
        <f>CONCATENATE('IV-2 lrsa'!E9)</f>
        <v xml:space="preserve">Biudžetinė įstaiga Lazdijų rajono savivaldybės viešoji biblioteka </v>
      </c>
      <c r="F15" s="311" t="str">
        <f>CONCATENATE('IV-2 lrsa'!F9)</f>
        <v>Lietuvos Respublikos žemės ūkio ministerija</v>
      </c>
      <c r="G15" s="311" t="str">
        <f>CONCATENATE('IV-2 lrsa'!G9)</f>
        <v>Lazdijų r. sav.</v>
      </c>
      <c r="H15" s="311" t="str">
        <f>CONCATENATE('IV-2 lrsa'!H9)</f>
        <v xml:space="preserve">Pagrindinės paslaugos ir kaimų atnaujinimas kaimo vietovėse </v>
      </c>
      <c r="I15" s="11" t="str">
        <f>CONCATENATE('IV-2 lrsa'!I9)</f>
        <v>R</v>
      </c>
      <c r="J15" s="11" t="str">
        <f>CONCATENATE('IV-2 lrsa'!J9)</f>
        <v>-</v>
      </c>
      <c r="K15" s="11" t="str">
        <f>CONCATENATE('IV-2 lrsa'!K9)</f>
        <v>-</v>
      </c>
      <c r="L15" s="644">
        <f t="shared" si="14"/>
        <v>200999</v>
      </c>
      <c r="M15" s="644">
        <f>SUM('ketv. 6 '!L14)</f>
        <v>200999</v>
      </c>
      <c r="N15" s="644">
        <f t="shared" si="15"/>
        <v>0</v>
      </c>
      <c r="O15" s="644">
        <f>SUMIF(KPP!C12:C105,C15,KPP!P12:P105)</f>
        <v>41071</v>
      </c>
      <c r="P15" s="644">
        <f>SUM('ketv. 6 '!P14)</f>
        <v>41071</v>
      </c>
      <c r="Q15" s="644">
        <f t="shared" si="16"/>
        <v>0</v>
      </c>
      <c r="R15" s="644">
        <f ca="1">SUMIF(KPP!C12:C705,C15,KPP!R12)</f>
        <v>0</v>
      </c>
      <c r="S15" s="644">
        <f>SUM('ketv. 6 '!T14)</f>
        <v>0</v>
      </c>
      <c r="T15" s="644">
        <f t="shared" si="17"/>
        <v>0</v>
      </c>
      <c r="U15" s="644">
        <f>SUM('IV-2 lrsa'!O9)</f>
        <v>0</v>
      </c>
      <c r="V15" s="644">
        <f>SUM('ketv. 6 '!X14)</f>
        <v>0</v>
      </c>
      <c r="W15" s="644">
        <f t="shared" si="18"/>
        <v>0</v>
      </c>
      <c r="X15" s="644">
        <f>SUM('IV-2 lrsa'!P9)</f>
        <v>0</v>
      </c>
      <c r="Y15" s="644">
        <f>SUM('ketv. 6 '!AB14)</f>
        <v>0</v>
      </c>
      <c r="Z15" s="644">
        <f t="shared" si="19"/>
        <v>0</v>
      </c>
      <c r="AA15" s="644">
        <f>SUMIF(KPP!C12:C705,C15,KPP!N12:N705)</f>
        <v>159928</v>
      </c>
      <c r="AB15" s="1017">
        <f t="shared" ref="AB15" si="24">SUM(AB16:AB38)</f>
        <v>0</v>
      </c>
      <c r="AC15" s="16" t="str">
        <f>IF('ketv. 4 '!Z15&gt;0,"Taip","Ne")</f>
        <v>Taip</v>
      </c>
      <c r="AD15" s="16">
        <f>SUM('ketv. 6 '!AF14)</f>
        <v>159928</v>
      </c>
      <c r="AE15" s="16">
        <f t="shared" si="8"/>
        <v>0</v>
      </c>
      <c r="AF15" s="431">
        <f>SUM('IV-2 lrsa'!S9)</f>
        <v>42643</v>
      </c>
      <c r="AG15" s="337">
        <f>SUM('IV-2 lrsa'!T9)</f>
        <v>42855</v>
      </c>
      <c r="AH15" s="337">
        <f>SUM('IV-2 lrsa'!U9)</f>
        <v>43010</v>
      </c>
      <c r="AI15" s="337">
        <f>SUM('IV-2 lrsa'!V9)</f>
        <v>43102</v>
      </c>
      <c r="AJ15" s="339">
        <f t="shared" ref="AJ15:AJ32" si="25">IF(YEAR(AI15),YEAR(AI15))</f>
        <v>2018</v>
      </c>
      <c r="AK15" s="702">
        <f>SUM('IV-2 lrsa'!W9)</f>
        <v>43373</v>
      </c>
      <c r="AL15" s="16">
        <f t="shared" si="9"/>
        <v>0</v>
      </c>
      <c r="AM15" s="16">
        <f t="shared" si="10"/>
        <v>0</v>
      </c>
      <c r="AN15" s="16">
        <f t="shared" si="11"/>
        <v>159928</v>
      </c>
      <c r="AO15" s="16">
        <f t="shared" si="12"/>
        <v>0</v>
      </c>
      <c r="AP15" s="703">
        <f t="shared" si="13"/>
        <v>0</v>
      </c>
      <c r="AQ15" s="707" t="s">
        <v>685</v>
      </c>
      <c r="AR15" s="704"/>
      <c r="AS15" s="704"/>
    </row>
    <row r="16" spans="1:48" ht="52.5" thickTop="1" thickBot="1">
      <c r="A16" s="311" t="s">
        <v>394</v>
      </c>
      <c r="B16" s="130" t="s">
        <v>1262</v>
      </c>
      <c r="C16" s="1093" t="str">
        <f>CONCATENATE('ketv. 2'!B15)</f>
        <v>20KI-KA-17-1-02437-PR001</v>
      </c>
      <c r="D16" s="311" t="str">
        <f>CONCATENATE('IV-2 arsa'!C8)</f>
        <v>Alytaus rajono Miroslavo kaimo multifunkcinės sporto aikštės įrengimas ir gatvių bei šaligatvių rekonstrukcija</v>
      </c>
      <c r="E16" s="311" t="str">
        <f>CONCATENATE('IV-2 arsa'!D8)</f>
        <v>Alytaus rajono savivaldybės administracija</v>
      </c>
      <c r="F16" s="311" t="str">
        <f>CONCATENATE('IV-2 arsa'!E8)</f>
        <v>Lietuvos Respublikos žemės ūkio ministerija</v>
      </c>
      <c r="G16" s="311" t="str">
        <f>CONCATENATE('IV-2 arsa'!F8)</f>
        <v>Alytaus r. sav.</v>
      </c>
      <c r="H16" s="311" t="str">
        <f>CONCATENATE('IV-2 arsa'!G8)</f>
        <v xml:space="preserve">Pagrindinės paslaugos ir kaimų atnaujinimas kaimo vietovėse </v>
      </c>
      <c r="I16" s="11" t="str">
        <f>CONCATENATE('IV-2 arsa'!H8)</f>
        <v>R</v>
      </c>
      <c r="J16" s="11" t="str">
        <f>CONCATENATE('IV-2 arsa'!I8)</f>
        <v>-</v>
      </c>
      <c r="K16" s="11" t="str">
        <f>CONCATENATE('IV-2 arsa'!J8)</f>
        <v>-</v>
      </c>
      <c r="L16" s="644">
        <f t="shared" si="14"/>
        <v>252211.6</v>
      </c>
      <c r="M16" s="644">
        <f>SUM('ketv. 6 '!L15)</f>
        <v>252211.6</v>
      </c>
      <c r="N16" s="644">
        <f t="shared" si="15"/>
        <v>0</v>
      </c>
      <c r="O16" s="644">
        <f>SUMIF(KPP!C13:C106,C16,KPP!P13:P106)</f>
        <v>52211.6</v>
      </c>
      <c r="P16" s="644">
        <f>SUM('ketv. 6 '!P15)</f>
        <v>52211.6</v>
      </c>
      <c r="Q16" s="644">
        <f t="shared" si="16"/>
        <v>0</v>
      </c>
      <c r="R16" s="644">
        <f ca="1">SUMIF(KPP!C13:C706,C16,KPP!R13)</f>
        <v>0</v>
      </c>
      <c r="S16" s="644">
        <f>SUM('ketv. 6 '!T15)</f>
        <v>0</v>
      </c>
      <c r="T16" s="644">
        <f t="shared" si="17"/>
        <v>0</v>
      </c>
      <c r="U16" s="644">
        <f>SUM('IV-2 arsa'!N8)</f>
        <v>0</v>
      </c>
      <c r="V16" s="644">
        <f>SUM('ketv. 6 '!X15)</f>
        <v>0</v>
      </c>
      <c r="W16" s="644">
        <f t="shared" si="18"/>
        <v>0</v>
      </c>
      <c r="X16" s="644">
        <f>SUM('IV-2 arsa'!O8)</f>
        <v>0</v>
      </c>
      <c r="Y16" s="644">
        <f>SUM('ketv. 6 '!AB15)</f>
        <v>0</v>
      </c>
      <c r="Z16" s="644">
        <f t="shared" si="19"/>
        <v>0</v>
      </c>
      <c r="AA16" s="644">
        <f>SUMIF(KPP!C13:C706,C16,KPP!N13:N706)</f>
        <v>200000</v>
      </c>
      <c r="AB16" s="1017">
        <f t="shared" ref="AB16" si="26">SUM(AB17:AB39)</f>
        <v>0</v>
      </c>
      <c r="AC16" s="16" t="str">
        <f>IF('ketv. 4 '!Z16&gt;0,"Taip","Ne")</f>
        <v>Taip</v>
      </c>
      <c r="AD16" s="16">
        <f>SUM('ketv. 6 '!AF15)</f>
        <v>200000</v>
      </c>
      <c r="AE16" s="16">
        <f t="shared" si="8"/>
        <v>0</v>
      </c>
      <c r="AF16" s="431">
        <f>SUM('IV-2 arsa'!R8)</f>
        <v>42643</v>
      </c>
      <c r="AG16" s="337">
        <f>SUM('IV-2 arsa'!S8)</f>
        <v>42855</v>
      </c>
      <c r="AH16" s="337">
        <f>SUM('IV-2 arsa'!T8)</f>
        <v>43010</v>
      </c>
      <c r="AI16" s="337">
        <f>SUM('IV-2 arsa'!U8)</f>
        <v>43102</v>
      </c>
      <c r="AJ16" s="339">
        <f t="shared" si="25"/>
        <v>2018</v>
      </c>
      <c r="AK16" s="702">
        <f>SUM('IV-2 arsa'!V8)</f>
        <v>43465</v>
      </c>
      <c r="AL16" s="16">
        <f t="shared" si="9"/>
        <v>0</v>
      </c>
      <c r="AM16" s="16">
        <f t="shared" si="10"/>
        <v>0</v>
      </c>
      <c r="AN16" s="16">
        <f t="shared" si="11"/>
        <v>200000</v>
      </c>
      <c r="AO16" s="16">
        <f t="shared" si="12"/>
        <v>0</v>
      </c>
      <c r="AP16" s="703">
        <f t="shared" si="13"/>
        <v>0</v>
      </c>
      <c r="AQ16" s="704"/>
      <c r="AR16" s="704"/>
      <c r="AS16" s="704"/>
    </row>
    <row r="17" spans="1:45" ht="52.5" thickTop="1" thickBot="1">
      <c r="A17" s="311" t="s">
        <v>395</v>
      </c>
      <c r="B17" s="311" t="s">
        <v>1263</v>
      </c>
      <c r="C17" s="1093" t="str">
        <f>CONCATENATE('ketv. 2'!B16)</f>
        <v>20KI-KA-17-1-02242-PR001</v>
      </c>
      <c r="D17" s="311" t="str">
        <f>CONCATENATE('IV-2 arsa'!C9)</f>
        <v>Alytaus rajono Luksnėnų kaimo multifunkcinės sporto aikštės įrengimas ir gatvių rekonstrukcija</v>
      </c>
      <c r="E17" s="311" t="str">
        <f>CONCATENATE('IV-2 arsa'!D9)</f>
        <v>Alytaus rajono savivaldybės administracija</v>
      </c>
      <c r="F17" s="311" t="str">
        <f>CONCATENATE('IV-2 arsa'!E9)</f>
        <v>Lietuvos Respublikos žemės ūkio ministerija</v>
      </c>
      <c r="G17" s="311" t="str">
        <f>CONCATENATE('IV-2 arsa'!F9)</f>
        <v>Alytaus r. sav.</v>
      </c>
      <c r="H17" s="311" t="str">
        <f>CONCATENATE('IV-2 arsa'!G9)</f>
        <v xml:space="preserve">Pagrindinės paslaugos ir kaimų atnaujinimas kaimo vietovėse </v>
      </c>
      <c r="I17" s="11" t="str">
        <f>CONCATENATE('IV-2 arsa'!H9)</f>
        <v>R</v>
      </c>
      <c r="J17" s="11" t="str">
        <f>CONCATENATE('IV-2 arsa'!I9)</f>
        <v>-</v>
      </c>
      <c r="K17" s="11" t="str">
        <f>CONCATENATE('IV-2 arsa'!J9)</f>
        <v>-</v>
      </c>
      <c r="L17" s="644">
        <f t="shared" si="14"/>
        <v>250309.29</v>
      </c>
      <c r="M17" s="644">
        <f>SUM('ketv. 6 '!L16)</f>
        <v>250309.29</v>
      </c>
      <c r="N17" s="644">
        <f t="shared" si="15"/>
        <v>0</v>
      </c>
      <c r="O17" s="644">
        <f>SUMIF(KPP!C14:C107,C17,KPP!P14:P107)</f>
        <v>50309.29</v>
      </c>
      <c r="P17" s="644">
        <f>SUM('ketv. 6 '!P16)</f>
        <v>50309.29</v>
      </c>
      <c r="Q17" s="644">
        <f t="shared" si="16"/>
        <v>0</v>
      </c>
      <c r="R17" s="644">
        <f ca="1">SUMIF(KPP!C14:C707,C17,KPP!R14)</f>
        <v>0</v>
      </c>
      <c r="S17" s="644">
        <f>SUM('ketv. 6 '!T16)</f>
        <v>0</v>
      </c>
      <c r="T17" s="644">
        <f t="shared" si="17"/>
        <v>0</v>
      </c>
      <c r="U17" s="644">
        <f>SUM('IV-2 arsa'!N9)</f>
        <v>0</v>
      </c>
      <c r="V17" s="644">
        <f>SUM('ketv. 6 '!X16)</f>
        <v>0</v>
      </c>
      <c r="W17" s="644">
        <f t="shared" si="18"/>
        <v>0</v>
      </c>
      <c r="X17" s="644">
        <f>SUM('IV-2 arsa'!O9)</f>
        <v>0</v>
      </c>
      <c r="Y17" s="644">
        <f>SUM('ketv. 6 '!AB16)</f>
        <v>0</v>
      </c>
      <c r="Z17" s="644">
        <f t="shared" si="19"/>
        <v>0</v>
      </c>
      <c r="AA17" s="644">
        <f>SUMIF(KPP!C14:C707,C17,KPP!N14:N707)</f>
        <v>200000</v>
      </c>
      <c r="AB17" s="1017">
        <f t="shared" ref="AB17" si="27">SUM(AB18:AB40)</f>
        <v>0</v>
      </c>
      <c r="AC17" s="16" t="str">
        <f>IF('ketv. 4 '!Z17&gt;0,"Taip","Ne")</f>
        <v>Taip</v>
      </c>
      <c r="AD17" s="16">
        <f>SUM('ketv. 6 '!AF16)</f>
        <v>200000</v>
      </c>
      <c r="AE17" s="16">
        <f t="shared" si="8"/>
        <v>0</v>
      </c>
      <c r="AF17" s="431">
        <f>SUM('IV-2 arsa'!R9)</f>
        <v>42643</v>
      </c>
      <c r="AG17" s="337">
        <f>SUM('IV-2 arsa'!S9)</f>
        <v>42855</v>
      </c>
      <c r="AH17" s="337">
        <f>SUM('IV-2 arsa'!T9)</f>
        <v>43010</v>
      </c>
      <c r="AI17" s="337">
        <f>SUM('IV-2 arsa'!U9)</f>
        <v>43102</v>
      </c>
      <c r="AJ17" s="339">
        <f t="shared" si="25"/>
        <v>2018</v>
      </c>
      <c r="AK17" s="702">
        <f>SUM('IV-2 arsa'!V9)</f>
        <v>43465</v>
      </c>
      <c r="AL17" s="16">
        <f t="shared" si="9"/>
        <v>0</v>
      </c>
      <c r="AM17" s="16">
        <f t="shared" si="10"/>
        <v>0</v>
      </c>
      <c r="AN17" s="16">
        <f t="shared" si="11"/>
        <v>200000</v>
      </c>
      <c r="AO17" s="16">
        <f t="shared" si="12"/>
        <v>0</v>
      </c>
      <c r="AP17" s="703">
        <f t="shared" si="13"/>
        <v>0</v>
      </c>
      <c r="AQ17" s="704"/>
      <c r="AR17" s="704"/>
      <c r="AS17" s="704"/>
    </row>
    <row r="18" spans="1:45" ht="52.5" thickTop="1" thickBot="1">
      <c r="A18" s="311" t="s">
        <v>396</v>
      </c>
      <c r="B18" s="311" t="s">
        <v>1264</v>
      </c>
      <c r="C18" s="1093" t="str">
        <f>CONCATENATE('ketv. 2'!B17)</f>
        <v>20KI-KA-17-1-02372-PR001</v>
      </c>
      <c r="D18" s="311" t="str">
        <f>CONCATENATE('IV-2 lrsa'!D10)</f>
        <v>Krikštonių laisvalaikio salės pritaikymas bendruomenės poreikiams</v>
      </c>
      <c r="E18" s="311" t="str">
        <f>CONCATENATE('IV-2 lrsa'!E10)</f>
        <v xml:space="preserve">Viešoji įstaiga Lazdijų kultūros centras </v>
      </c>
      <c r="F18" s="311" t="str">
        <f>CONCATENATE('IV-2 lrsa'!F10)</f>
        <v>Lietuvos Respublikos žemės ūkio ministerija</v>
      </c>
      <c r="G18" s="311" t="str">
        <f>CONCATENATE('IV-2 lrsa'!G10)</f>
        <v>Lazdijų r. sav.</v>
      </c>
      <c r="H18" s="311" t="str">
        <f>CONCATENATE('IV-2 lrsa'!H10)</f>
        <v xml:space="preserve">Pagrindinės paslaugos ir kaimų atnaujinimas kaimo vietovėse </v>
      </c>
      <c r="I18" s="11" t="str">
        <f>CONCATENATE('IV-2 lrsa'!I10)</f>
        <v>R</v>
      </c>
      <c r="J18" s="11" t="str">
        <f>CONCATENATE('IV-2 lrsa'!J10)</f>
        <v>-</v>
      </c>
      <c r="K18" s="11" t="str">
        <f>CONCATENATE('IV-2 lrsa'!K10)</f>
        <v>-</v>
      </c>
      <c r="L18" s="644">
        <f t="shared" si="14"/>
        <v>250000</v>
      </c>
      <c r="M18" s="644">
        <f>SUM('ketv. 6 '!L17)</f>
        <v>250000</v>
      </c>
      <c r="N18" s="644">
        <f t="shared" si="15"/>
        <v>0</v>
      </c>
      <c r="O18" s="644">
        <f>SUMIF(KPP!C15:C108,C18,KPP!P15:P108)</f>
        <v>50000</v>
      </c>
      <c r="P18" s="644">
        <f>SUM('ketv. 6 '!P17)</f>
        <v>50000</v>
      </c>
      <c r="Q18" s="644">
        <f t="shared" si="16"/>
        <v>0</v>
      </c>
      <c r="R18" s="644">
        <f ca="1">SUMIF(KPP!C15:C708,C18,KPP!R15)</f>
        <v>0</v>
      </c>
      <c r="S18" s="644">
        <f>SUM('ketv. 6 '!T17)</f>
        <v>0</v>
      </c>
      <c r="T18" s="644">
        <f t="shared" si="17"/>
        <v>0</v>
      </c>
      <c r="U18" s="644">
        <f>SUM('IV-2 lrsa'!O10)</f>
        <v>0</v>
      </c>
      <c r="V18" s="644">
        <f>SUM('ketv. 6 '!X17)</f>
        <v>0</v>
      </c>
      <c r="W18" s="644">
        <f t="shared" si="18"/>
        <v>0</v>
      </c>
      <c r="X18" s="644">
        <f>SUM('IV-2 lrsa'!P10)</f>
        <v>0</v>
      </c>
      <c r="Y18" s="644">
        <f>SUM('ketv. 6 '!AB17)</f>
        <v>0</v>
      </c>
      <c r="Z18" s="644">
        <f t="shared" si="19"/>
        <v>0</v>
      </c>
      <c r="AA18" s="644">
        <f>SUMIF(KPP!C15:C708,C18,KPP!N15:N708)</f>
        <v>200000</v>
      </c>
      <c r="AB18" s="1017">
        <f t="shared" ref="AB18" si="28">SUM(AB19:AB41)</f>
        <v>0</v>
      </c>
      <c r="AC18" s="16" t="str">
        <f>IF('ketv. 4 '!Z18&gt;0,"Taip","Ne")</f>
        <v>Taip</v>
      </c>
      <c r="AD18" s="16">
        <f>SUM('ketv. 6 '!AF17)</f>
        <v>200000</v>
      </c>
      <c r="AE18" s="16">
        <f t="shared" si="8"/>
        <v>0</v>
      </c>
      <c r="AF18" s="431">
        <f>SUM('IV-2 lrsa'!S10)</f>
        <v>42643</v>
      </c>
      <c r="AG18" s="337">
        <f>SUM('IV-2 lrsa'!T10)</f>
        <v>42855</v>
      </c>
      <c r="AH18" s="337">
        <f>SUM('IV-2 lrsa'!U10)</f>
        <v>43010</v>
      </c>
      <c r="AI18" s="337">
        <f>SUM('IV-2 lrsa'!V10)</f>
        <v>43102</v>
      </c>
      <c r="AJ18" s="339">
        <f t="shared" si="25"/>
        <v>2018</v>
      </c>
      <c r="AK18" s="702">
        <f>SUM('IV-2 lrsa'!W10)</f>
        <v>43373</v>
      </c>
      <c r="AL18" s="16">
        <f t="shared" si="9"/>
        <v>0</v>
      </c>
      <c r="AM18" s="16">
        <f t="shared" si="10"/>
        <v>0</v>
      </c>
      <c r="AN18" s="16">
        <f t="shared" si="11"/>
        <v>200000</v>
      </c>
      <c r="AO18" s="16">
        <f t="shared" si="12"/>
        <v>0</v>
      </c>
      <c r="AP18" s="703">
        <f t="shared" si="13"/>
        <v>0</v>
      </c>
      <c r="AQ18" s="704"/>
      <c r="AR18" s="704"/>
      <c r="AS18" s="704"/>
    </row>
    <row r="19" spans="1:45" ht="52.5" thickTop="1" thickBot="1">
      <c r="A19" s="311" t="s">
        <v>397</v>
      </c>
      <c r="B19" s="311" t="s">
        <v>1254</v>
      </c>
      <c r="C19" s="1093" t="str">
        <f>CONCATENATE('ketv. 2'!B18)</f>
        <v>20KI-KA-17-1-02370-PR001</v>
      </c>
      <c r="D19" s="311" t="str">
        <f>CONCATENATE('IV-2 lrsa'!D11)</f>
        <v>Kučiūnų laisvalaikio salės pritaikymas bendruomenės poreikiams</v>
      </c>
      <c r="E19" s="311" t="str">
        <f>CONCATENATE('IV-2 lrsa'!E11)</f>
        <v xml:space="preserve">Viešoji įstaiga Lazdijų kultūros centras </v>
      </c>
      <c r="F19" s="311" t="str">
        <f>CONCATENATE('IV-2 lrsa'!F11)</f>
        <v>Lietuvos Respublikos žemės ūkio ministerija</v>
      </c>
      <c r="G19" s="311" t="str">
        <f>CONCATENATE('IV-2 lrsa'!G11)</f>
        <v>Lazdijų r. sav.</v>
      </c>
      <c r="H19" s="311" t="str">
        <f>CONCATENATE('IV-2 lrsa'!H11)</f>
        <v xml:space="preserve">Pagrindinės paslaugos ir kaimų atnaujinimas kaimo vietovėse </v>
      </c>
      <c r="I19" s="11" t="str">
        <f>CONCATENATE('IV-2 lrsa'!I11)</f>
        <v>R</v>
      </c>
      <c r="J19" s="11" t="str">
        <f>CONCATENATE('IV-2 lrsa'!J11)</f>
        <v>-</v>
      </c>
      <c r="K19" s="11" t="str">
        <f>CONCATENATE('IV-2 lrsa'!K11)</f>
        <v>-</v>
      </c>
      <c r="L19" s="644">
        <f t="shared" si="14"/>
        <v>250000</v>
      </c>
      <c r="M19" s="644">
        <f>SUM('ketv. 6 '!L18)</f>
        <v>250000</v>
      </c>
      <c r="N19" s="644">
        <f t="shared" si="15"/>
        <v>0</v>
      </c>
      <c r="O19" s="644">
        <f>SUMIF(KPP!C16:C109,C19,KPP!P16:P109)</f>
        <v>62460</v>
      </c>
      <c r="P19" s="644">
        <f>SUM('ketv. 6 '!P18)</f>
        <v>62460</v>
      </c>
      <c r="Q19" s="644">
        <f t="shared" si="16"/>
        <v>0</v>
      </c>
      <c r="R19" s="644">
        <f ca="1">SUMIF(KPP!C16:C709,C19,KPP!R16)</f>
        <v>0</v>
      </c>
      <c r="S19" s="644">
        <f>SUM('ketv. 6 '!T18)</f>
        <v>0</v>
      </c>
      <c r="T19" s="644">
        <f t="shared" si="17"/>
        <v>0</v>
      </c>
      <c r="U19" s="644">
        <f>SUM('IV-2 lrsa'!O11)</f>
        <v>0</v>
      </c>
      <c r="V19" s="644">
        <f>SUM('ketv. 6 '!X18)</f>
        <v>0</v>
      </c>
      <c r="W19" s="644">
        <f t="shared" si="18"/>
        <v>0</v>
      </c>
      <c r="X19" s="644">
        <f>SUM('IV-2 lrsa'!P11)</f>
        <v>0</v>
      </c>
      <c r="Y19" s="644">
        <f>SUM('ketv. 6 '!AB18)</f>
        <v>0</v>
      </c>
      <c r="Z19" s="644">
        <f t="shared" si="19"/>
        <v>0</v>
      </c>
      <c r="AA19" s="644">
        <f>SUMIF(KPP!C16:C709,C19,KPP!N16:N709)</f>
        <v>187540</v>
      </c>
      <c r="AB19" s="1017">
        <f t="shared" ref="AB19" si="29">SUM(AB20:AB42)</f>
        <v>0</v>
      </c>
      <c r="AC19" s="16" t="str">
        <f>IF('ketv. 4 '!Z19&gt;0,"Taip","Ne")</f>
        <v>Taip</v>
      </c>
      <c r="AD19" s="16">
        <f>SUM('ketv. 6 '!AF18)</f>
        <v>187540</v>
      </c>
      <c r="AE19" s="16">
        <f t="shared" si="8"/>
        <v>0</v>
      </c>
      <c r="AF19" s="431">
        <f>SUM('IV-2 lrsa'!S11)</f>
        <v>42643</v>
      </c>
      <c r="AG19" s="337">
        <f>SUM('IV-2 lrsa'!T11)</f>
        <v>42855</v>
      </c>
      <c r="AH19" s="337">
        <f>SUM('IV-2 lrsa'!U11)</f>
        <v>43010</v>
      </c>
      <c r="AI19" s="337">
        <f>SUM('IV-2 lrsa'!V11)</f>
        <v>43102</v>
      </c>
      <c r="AJ19" s="339">
        <f t="shared" si="25"/>
        <v>2018</v>
      </c>
      <c r="AK19" s="702">
        <f>SUM('IV-2 lrsa'!W11)</f>
        <v>43291</v>
      </c>
      <c r="AL19" s="16">
        <f t="shared" si="9"/>
        <v>0</v>
      </c>
      <c r="AM19" s="16">
        <f t="shared" si="10"/>
        <v>0</v>
      </c>
      <c r="AN19" s="16">
        <f t="shared" si="11"/>
        <v>187540</v>
      </c>
      <c r="AO19" s="16">
        <f t="shared" si="12"/>
        <v>0</v>
      </c>
      <c r="AP19" s="703">
        <f t="shared" si="13"/>
        <v>0</v>
      </c>
      <c r="AQ19" s="704"/>
      <c r="AR19" s="704"/>
      <c r="AS19" s="704"/>
    </row>
    <row r="20" spans="1:45" ht="52.5" thickTop="1" thickBot="1">
      <c r="A20" s="311" t="s">
        <v>398</v>
      </c>
      <c r="B20" s="311" t="s">
        <v>1265</v>
      </c>
      <c r="C20" s="1093" t="str">
        <f>CONCATENATE('ketv. 2'!B19)</f>
        <v>20KI-KA-17-1-02354-PR001</v>
      </c>
      <c r="D20" s="311" t="str">
        <f>CONCATENATE('IV-2 lrsa'!D12)</f>
        <v>Laisvalaikio infrastruktūros sukūrimas Lazdijų rajono kaimo gyvenamosiose vietovėse</v>
      </c>
      <c r="E20" s="311" t="str">
        <f>CONCATENATE('IV-2 lrsa'!E12)</f>
        <v>Lazdijų rajono savivaldybės administracija</v>
      </c>
      <c r="F20" s="311" t="str">
        <f>CONCATENATE('IV-2 lrsa'!F12)</f>
        <v>Lietuvos Respublikos žemės ūkio ministerija</v>
      </c>
      <c r="G20" s="311" t="str">
        <f>CONCATENATE('IV-2 lrsa'!G12)</f>
        <v>Lazdijų r. sav.</v>
      </c>
      <c r="H20" s="311" t="str">
        <f>CONCATENATE('IV-2 lrsa'!H12)</f>
        <v xml:space="preserve">Pagrindinės paslaugos ir kaimų atnaujinimas kaimo vietovėse </v>
      </c>
      <c r="I20" s="11" t="str">
        <f>CONCATENATE('IV-2 lrsa'!I12)</f>
        <v>R</v>
      </c>
      <c r="J20" s="11" t="str">
        <f>CONCATENATE('IV-2 lrsa'!J12)</f>
        <v>-</v>
      </c>
      <c r="K20" s="11" t="str">
        <f>CONCATENATE('IV-2 lrsa'!K12)</f>
        <v>-</v>
      </c>
      <c r="L20" s="644">
        <f t="shared" si="14"/>
        <v>125000</v>
      </c>
      <c r="M20" s="644">
        <f>SUM('ketv. 6 '!L19)</f>
        <v>125000</v>
      </c>
      <c r="N20" s="644">
        <f t="shared" si="15"/>
        <v>0</v>
      </c>
      <c r="O20" s="644">
        <f>SUMIF(KPP!C17:C110,C20,KPP!P17:P110)</f>
        <v>25000</v>
      </c>
      <c r="P20" s="644">
        <f>SUM('ketv. 6 '!P19)</f>
        <v>25000</v>
      </c>
      <c r="Q20" s="644">
        <f t="shared" si="16"/>
        <v>0</v>
      </c>
      <c r="R20" s="644">
        <f ca="1">SUMIF(KPP!C17:C710,C20,KPP!R17)</f>
        <v>0</v>
      </c>
      <c r="S20" s="644">
        <f>SUM('ketv. 6 '!T19)</f>
        <v>0</v>
      </c>
      <c r="T20" s="644">
        <f t="shared" si="17"/>
        <v>0</v>
      </c>
      <c r="U20" s="644">
        <f>SUM('IV-2 lrsa'!O12)</f>
        <v>0</v>
      </c>
      <c r="V20" s="644">
        <f>SUM('ketv. 6 '!X19)</f>
        <v>0</v>
      </c>
      <c r="W20" s="644">
        <f t="shared" si="18"/>
        <v>0</v>
      </c>
      <c r="X20" s="644">
        <f>SUM('IV-2 lrsa'!P12)</f>
        <v>0</v>
      </c>
      <c r="Y20" s="644">
        <f>SUM('ketv. 6 '!AB19)</f>
        <v>0</v>
      </c>
      <c r="Z20" s="644">
        <f t="shared" si="19"/>
        <v>0</v>
      </c>
      <c r="AA20" s="644">
        <f>SUMIF(KPP!C17:C710,C20,KPP!N17:N710)</f>
        <v>100000</v>
      </c>
      <c r="AB20" s="1017">
        <f t="shared" ref="AB20" si="30">SUM(AB21:AB43)</f>
        <v>0</v>
      </c>
      <c r="AC20" s="16" t="str">
        <f>IF('ketv. 4 '!Z20&gt;0,"Taip","Ne")</f>
        <v>Taip</v>
      </c>
      <c r="AD20" s="16">
        <f>SUM('ketv. 6 '!AF19)</f>
        <v>100000</v>
      </c>
      <c r="AE20" s="16">
        <f t="shared" si="8"/>
        <v>0</v>
      </c>
      <c r="AF20" s="431">
        <f>SUM('IV-2 lrsa'!S12)</f>
        <v>42643</v>
      </c>
      <c r="AG20" s="337">
        <f>SUM('IV-2 lrsa'!T12)</f>
        <v>42855</v>
      </c>
      <c r="AH20" s="337">
        <f>SUM('IV-2 lrsa'!U12)</f>
        <v>43010</v>
      </c>
      <c r="AI20" s="337">
        <f>SUM('IV-2 lrsa'!V12)</f>
        <v>43102</v>
      </c>
      <c r="AJ20" s="339">
        <f t="shared" si="25"/>
        <v>2018</v>
      </c>
      <c r="AK20" s="702">
        <f>SUM('IV-2 lrsa'!W12)</f>
        <v>43292</v>
      </c>
      <c r="AL20" s="16">
        <f t="shared" si="9"/>
        <v>0</v>
      </c>
      <c r="AM20" s="16">
        <f t="shared" si="10"/>
        <v>0</v>
      </c>
      <c r="AN20" s="16">
        <f t="shared" si="11"/>
        <v>100000</v>
      </c>
      <c r="AO20" s="16">
        <f t="shared" si="12"/>
        <v>0</v>
      </c>
      <c r="AP20" s="703">
        <f t="shared" si="13"/>
        <v>0</v>
      </c>
      <c r="AQ20" s="704"/>
      <c r="AR20" s="704"/>
      <c r="AS20" s="704"/>
    </row>
    <row r="21" spans="1:45" ht="52.5" thickTop="1" thickBot="1">
      <c r="A21" s="311" t="s">
        <v>399</v>
      </c>
      <c r="B21" s="311" t="s">
        <v>1250</v>
      </c>
      <c r="C21" s="1093" t="str">
        <f>CONCATENATE('ketv. 2'!B20)</f>
        <v>20KI-KA-17-1-02470-PR001</v>
      </c>
      <c r="D21" s="311" t="str">
        <f>CONCATENATE('IV-2 arsa'!C10)</f>
        <v>Alytaus rajono Butrimonių miestelio šaligatvių kapitalinis remontas ir gyvenvietės apšvietimo įrengimas</v>
      </c>
      <c r="E21" s="311" t="str">
        <f>CONCATENATE('IV-2 arsa'!D10)</f>
        <v>Alytaus rajono savivaldybės administracija</v>
      </c>
      <c r="F21" s="311" t="str">
        <f>CONCATENATE('IV-2 arsa'!E10)</f>
        <v>Lietuvos Respublikos žemės ūkio ministerija</v>
      </c>
      <c r="G21" s="311" t="str">
        <f>CONCATENATE('IV-2 arsa'!F10)</f>
        <v>Alytaus r. sav.</v>
      </c>
      <c r="H21" s="311" t="str">
        <f>CONCATENATE('IV-2 arsa'!G10)</f>
        <v xml:space="preserve">Pagrindinės paslaugos ir kaimų atnaujinimas kaimo vietovėse </v>
      </c>
      <c r="I21" s="11" t="str">
        <f>CONCATENATE('IV-2 arsa'!H10)</f>
        <v>R</v>
      </c>
      <c r="J21" s="11" t="str">
        <f>CONCATENATE('IV-2 arsa'!I10)</f>
        <v>-</v>
      </c>
      <c r="K21" s="11" t="str">
        <f>CONCATENATE('IV-2 arsa'!J10)</f>
        <v>-</v>
      </c>
      <c r="L21" s="644">
        <f t="shared" si="14"/>
        <v>190756</v>
      </c>
      <c r="M21" s="644">
        <f>SUM('ketv. 6 '!L20)</f>
        <v>190756</v>
      </c>
      <c r="N21" s="644">
        <f t="shared" si="15"/>
        <v>0</v>
      </c>
      <c r="O21" s="644">
        <f>SUMIF(KPP!C18:C111,C21,KPP!P18:P111)</f>
        <v>67904</v>
      </c>
      <c r="P21" s="644">
        <f>SUM('ketv. 6 '!P20)</f>
        <v>67904</v>
      </c>
      <c r="Q21" s="644">
        <f t="shared" si="16"/>
        <v>0</v>
      </c>
      <c r="R21" s="644">
        <f ca="1">SUMIF(KPP!C18:C711,C21,KPP!R18)</f>
        <v>0</v>
      </c>
      <c r="S21" s="644">
        <f>SUM('ketv. 6 '!T20)</f>
        <v>0</v>
      </c>
      <c r="T21" s="644">
        <f t="shared" si="17"/>
        <v>0</v>
      </c>
      <c r="U21" s="644">
        <f>SUM('IV-2 arsa'!N10)</f>
        <v>0</v>
      </c>
      <c r="V21" s="644">
        <f>SUM('ketv. 6 '!X20)</f>
        <v>0</v>
      </c>
      <c r="W21" s="644">
        <f t="shared" si="18"/>
        <v>0</v>
      </c>
      <c r="X21" s="644">
        <f>SUM('IV-2 arsa'!O10)</f>
        <v>0</v>
      </c>
      <c r="Y21" s="644">
        <f>SUM('ketv. 6 '!AB20)</f>
        <v>0</v>
      </c>
      <c r="Z21" s="644">
        <f t="shared" si="19"/>
        <v>0</v>
      </c>
      <c r="AA21" s="644">
        <f>SUMIF(KPP!C18:C711,C21,KPP!N18:N711)</f>
        <v>122852</v>
      </c>
      <c r="AB21" s="1017">
        <f t="shared" ref="AB21" si="31">SUM(AB22:AB44)</f>
        <v>0</v>
      </c>
      <c r="AC21" s="16" t="str">
        <f>IF('ketv. 4 '!Z21&gt;0,"Taip","Ne")</f>
        <v>Taip</v>
      </c>
      <c r="AD21" s="16">
        <f>SUM('ketv. 6 '!AF20)</f>
        <v>122852</v>
      </c>
      <c r="AE21" s="16">
        <f t="shared" si="8"/>
        <v>0</v>
      </c>
      <c r="AF21" s="431">
        <f>SUM('IV-2 arsa'!R10)</f>
        <v>42643</v>
      </c>
      <c r="AG21" s="337">
        <f>SUM('IV-2 arsa'!S10)</f>
        <v>42855</v>
      </c>
      <c r="AH21" s="337">
        <f>SUM('IV-2 arsa'!T10)</f>
        <v>43010</v>
      </c>
      <c r="AI21" s="337">
        <f>SUM('IV-2 arsa'!U10)</f>
        <v>43102</v>
      </c>
      <c r="AJ21" s="339">
        <f t="shared" si="25"/>
        <v>2018</v>
      </c>
      <c r="AK21" s="702">
        <f>SUM('IV-2 arsa'!V10)</f>
        <v>43465</v>
      </c>
      <c r="AL21" s="16">
        <f t="shared" si="9"/>
        <v>0</v>
      </c>
      <c r="AM21" s="16">
        <f t="shared" si="10"/>
        <v>0</v>
      </c>
      <c r="AN21" s="16">
        <f t="shared" si="11"/>
        <v>122852</v>
      </c>
      <c r="AO21" s="16">
        <f t="shared" si="12"/>
        <v>0</v>
      </c>
      <c r="AP21" s="703">
        <f t="shared" si="13"/>
        <v>0</v>
      </c>
      <c r="AQ21" s="704"/>
      <c r="AR21" s="704"/>
      <c r="AS21" s="704"/>
    </row>
    <row r="22" spans="1:45" ht="52.5" thickTop="1" thickBot="1">
      <c r="A22" s="311" t="s">
        <v>400</v>
      </c>
      <c r="B22" s="311" t="s">
        <v>1266</v>
      </c>
      <c r="C22" s="1093" t="str">
        <f>CONCATENATE('ketv. 2'!B21)</f>
        <v>20KI-KA-17-1-02438-PR001</v>
      </c>
      <c r="D22" s="311" t="str">
        <f>CONCATENATE('IV-2 arsa'!C11)</f>
        <v>Alytaus rajono Genių kaimo sporto aikštės įrengimas ir gatvių rekonstrukcija</v>
      </c>
      <c r="E22" s="311" t="str">
        <f>CONCATENATE('IV-2 arsa'!D11)</f>
        <v>Alytaus rajono savivaldybės administracija</v>
      </c>
      <c r="F22" s="311" t="str">
        <f>CONCATENATE('IV-2 arsa'!E11)</f>
        <v>Lietuvos Respublikos žemės ūkio ministerija</v>
      </c>
      <c r="G22" s="311" t="str">
        <f>CONCATENATE('IV-2 arsa'!F11)</f>
        <v>Alytaus r. sav.</v>
      </c>
      <c r="H22" s="311" t="str">
        <f>CONCATENATE('IV-2 arsa'!G11)</f>
        <v xml:space="preserve">Pagrindinės paslaugos ir kaimų atnaujinimas kaimo vietovėse </v>
      </c>
      <c r="I22" s="11" t="str">
        <f>CONCATENATE('IV-2 arsa'!H11)</f>
        <v>R</v>
      </c>
      <c r="J22" s="11" t="str">
        <f>CONCATENATE('IV-2 arsa'!I11)</f>
        <v>-</v>
      </c>
      <c r="K22" s="11" t="str">
        <f>CONCATENATE('IV-2 arsa'!J11)</f>
        <v>-</v>
      </c>
      <c r="L22" s="644">
        <f t="shared" si="14"/>
        <v>247392.46</v>
      </c>
      <c r="M22" s="644">
        <f>SUM('ketv. 6 '!L21)</f>
        <v>247392.46</v>
      </c>
      <c r="N22" s="644">
        <f t="shared" si="15"/>
        <v>0</v>
      </c>
      <c r="O22" s="644">
        <f>SUMIF(KPP!C19:C112,C22,KPP!P19:P112)</f>
        <v>47392.46</v>
      </c>
      <c r="P22" s="644">
        <f>SUM('ketv. 6 '!P21)</f>
        <v>47392.46</v>
      </c>
      <c r="Q22" s="644">
        <f t="shared" si="16"/>
        <v>0</v>
      </c>
      <c r="R22" s="644">
        <f ca="1">SUMIF(KPP!C19:C712,C22,KPP!R19)</f>
        <v>0</v>
      </c>
      <c r="S22" s="644">
        <f>SUM('ketv. 6 '!T21)</f>
        <v>0</v>
      </c>
      <c r="T22" s="644">
        <f t="shared" si="17"/>
        <v>0</v>
      </c>
      <c r="U22" s="644">
        <f>SUM('IV-2 arsa'!N11)</f>
        <v>0</v>
      </c>
      <c r="V22" s="644">
        <f>SUM('ketv. 6 '!X21)</f>
        <v>0</v>
      </c>
      <c r="W22" s="644">
        <f t="shared" si="18"/>
        <v>0</v>
      </c>
      <c r="X22" s="644">
        <f>SUM('IV-2 arsa'!O11)</f>
        <v>0</v>
      </c>
      <c r="Y22" s="644">
        <f>SUM('ketv. 6 '!AB21)</f>
        <v>0</v>
      </c>
      <c r="Z22" s="644">
        <f t="shared" si="19"/>
        <v>0</v>
      </c>
      <c r="AA22" s="644">
        <f>SUMIF(KPP!C19:C712,C22,KPP!N19:N712)</f>
        <v>200000</v>
      </c>
      <c r="AB22" s="1017">
        <f t="shared" ref="AB22" si="32">SUM(AB23:AB45)</f>
        <v>0</v>
      </c>
      <c r="AC22" s="16" t="str">
        <f>IF('ketv. 4 '!Z22&gt;0,"Taip","Ne")</f>
        <v>Taip</v>
      </c>
      <c r="AD22" s="16">
        <f>SUM('ketv. 6 '!AF21)</f>
        <v>200000</v>
      </c>
      <c r="AE22" s="16">
        <f t="shared" si="8"/>
        <v>0</v>
      </c>
      <c r="AF22" s="431">
        <f>SUM('IV-2 arsa'!R11)</f>
        <v>42643</v>
      </c>
      <c r="AG22" s="337">
        <f>SUM('IV-2 arsa'!S11)</f>
        <v>42855</v>
      </c>
      <c r="AH22" s="337">
        <f>SUM('IV-2 arsa'!T11)</f>
        <v>43010</v>
      </c>
      <c r="AI22" s="337">
        <f>SUM('IV-2 arsa'!U11)</f>
        <v>43102</v>
      </c>
      <c r="AJ22" s="339">
        <f t="shared" si="25"/>
        <v>2018</v>
      </c>
      <c r="AK22" s="702">
        <f>SUM('IV-2 arsa'!V11)</f>
        <v>43465</v>
      </c>
      <c r="AL22" s="16">
        <f t="shared" si="9"/>
        <v>0</v>
      </c>
      <c r="AM22" s="16">
        <f t="shared" si="10"/>
        <v>0</v>
      </c>
      <c r="AN22" s="16">
        <f t="shared" si="11"/>
        <v>200000</v>
      </c>
      <c r="AO22" s="16">
        <f t="shared" si="12"/>
        <v>0</v>
      </c>
      <c r="AP22" s="703">
        <f t="shared" si="13"/>
        <v>0</v>
      </c>
      <c r="AQ22" s="704"/>
      <c r="AR22" s="704"/>
      <c r="AS22" s="704"/>
    </row>
    <row r="23" spans="1:45" ht="52.5" thickTop="1" thickBot="1">
      <c r="A23" s="311" t="s">
        <v>401</v>
      </c>
      <c r="B23" s="311" t="s">
        <v>1269</v>
      </c>
      <c r="C23" s="1093" t="str">
        <f>CONCATENATE('ketv. 2'!B22)</f>
        <v>20KI-KA-17-1-01647-PR001</v>
      </c>
      <c r="D23" s="311" t="str">
        <f>CONCATENATE('IV-2 vrsa'!D8)</f>
        <v>Varėnos r. Dargužių kaimo Liepų gatvės ir viešosios erdvės įrengimas</v>
      </c>
      <c r="E23" s="311" t="str">
        <f>CONCATENATE('IV-2 vrsa'!E8)</f>
        <v xml:space="preserve">Varėnos rajono savivaldybės administracija </v>
      </c>
      <c r="F23" s="311" t="str">
        <f>CONCATENATE('IV-2 vrsa'!F8)</f>
        <v>Lietuvos Respublikos žemės ūkio ministerija</v>
      </c>
      <c r="G23" s="311" t="str">
        <f>CONCATENATE('IV-2 vrsa'!G8)</f>
        <v>Varėnos r. sav.</v>
      </c>
      <c r="H23" s="311" t="str">
        <f>CONCATENATE('IV-2 vrsa'!H8)</f>
        <v xml:space="preserve">Pagrindinės paslaugos ir kaimų atnaujinimas kaimo vietovėse </v>
      </c>
      <c r="I23" s="11" t="str">
        <f>CONCATENATE('IV-2 vrsa'!I8)</f>
        <v>R</v>
      </c>
      <c r="J23" s="11" t="str">
        <f>CONCATENATE('IV-2 vrsa'!J8)</f>
        <v>-</v>
      </c>
      <c r="K23" s="11" t="str">
        <f>CONCATENATE('IV-2 vrsa'!K8)</f>
        <v>-</v>
      </c>
      <c r="L23" s="644">
        <f t="shared" si="14"/>
        <v>215626</v>
      </c>
      <c r="M23" s="644">
        <f>SUM('ketv. 6 '!L22)</f>
        <v>215626</v>
      </c>
      <c r="N23" s="644">
        <f t="shared" si="15"/>
        <v>0</v>
      </c>
      <c r="O23" s="644">
        <f>SUMIF(KPP!C20:C113,C23,KPP!P20:P113)</f>
        <v>43125.2</v>
      </c>
      <c r="P23" s="644">
        <f>SUM('ketv. 6 '!P22)</f>
        <v>43125.2</v>
      </c>
      <c r="Q23" s="644">
        <f t="shared" si="16"/>
        <v>0</v>
      </c>
      <c r="R23" s="644">
        <f ca="1">SUMIF(KPP!C20:C713,C23,KPP!R20)</f>
        <v>0</v>
      </c>
      <c r="S23" s="644">
        <f>SUM('ketv. 6 '!T22)</f>
        <v>0</v>
      </c>
      <c r="T23" s="644">
        <f t="shared" si="17"/>
        <v>0</v>
      </c>
      <c r="U23" s="644">
        <f>SUM('IV-2 vrsa'!O8)</f>
        <v>0</v>
      </c>
      <c r="V23" s="644">
        <f>SUM('ketv. 6 '!X22)</f>
        <v>0</v>
      </c>
      <c r="W23" s="644">
        <f t="shared" si="18"/>
        <v>0</v>
      </c>
      <c r="X23" s="644">
        <f>SUM('IV-2 vrsa'!P8)</f>
        <v>0</v>
      </c>
      <c r="Y23" s="644">
        <f>SUM('ketv. 6 '!AB22)</f>
        <v>0</v>
      </c>
      <c r="Z23" s="644">
        <f t="shared" si="19"/>
        <v>0</v>
      </c>
      <c r="AA23" s="644">
        <f>SUMIF(KPP!C20:C713,C23,KPP!N20:N713)</f>
        <v>172500.8</v>
      </c>
      <c r="AB23" s="1017">
        <f t="shared" ref="AB23" si="33">SUM(AB24:AB46)</f>
        <v>0</v>
      </c>
      <c r="AC23" s="16" t="str">
        <f>IF('ketv. 4 '!Z23&gt;0,"Taip","Ne")</f>
        <v>Taip</v>
      </c>
      <c r="AD23" s="16">
        <f>SUM('ketv. 6 '!AF22)</f>
        <v>172500.8</v>
      </c>
      <c r="AE23" s="16">
        <f t="shared" si="8"/>
        <v>0</v>
      </c>
      <c r="AF23" s="431">
        <f>SUM('IV-2 arsa'!R12)</f>
        <v>42643</v>
      </c>
      <c r="AG23" s="337">
        <f>SUM('IV-2 arsa'!S12)</f>
        <v>42855</v>
      </c>
      <c r="AH23" s="337">
        <f>SUM('IV-2 vrsa'!U8)</f>
        <v>43010</v>
      </c>
      <c r="AI23" s="337">
        <f>SUM('IV-2 vrsa'!V8)</f>
        <v>43102</v>
      </c>
      <c r="AJ23" s="339">
        <f t="shared" si="25"/>
        <v>2018</v>
      </c>
      <c r="AK23" s="702">
        <f>SUM('IV-2 vrsa'!W8)</f>
        <v>43830</v>
      </c>
      <c r="AL23" s="16">
        <f t="shared" si="9"/>
        <v>0</v>
      </c>
      <c r="AM23" s="16">
        <f t="shared" si="10"/>
        <v>0</v>
      </c>
      <c r="AN23" s="16">
        <f t="shared" si="11"/>
        <v>172500.8</v>
      </c>
      <c r="AO23" s="16">
        <f t="shared" si="12"/>
        <v>0</v>
      </c>
      <c r="AP23" s="703">
        <f t="shared" si="13"/>
        <v>0</v>
      </c>
      <c r="AQ23" s="704"/>
      <c r="AR23" s="704"/>
      <c r="AS23" s="704"/>
    </row>
    <row r="24" spans="1:45" ht="52.5" thickTop="1" thickBot="1">
      <c r="A24" s="311" t="s">
        <v>402</v>
      </c>
      <c r="B24" s="311" t="s">
        <v>1267</v>
      </c>
      <c r="C24" s="1093" t="str">
        <f>CONCATENATE('ketv. 2'!B23)</f>
        <v>20KI-KA-17-1-02469-PR001</v>
      </c>
      <c r="D24" s="311" t="str">
        <f>CONCATENATE('IV-2 arsa'!C12)</f>
        <v>Alytaus rajono Vaisodžių kaimo sporto aikštės įrengimas ir gatvių apšvietimo atnaujinimas bei plėtra</v>
      </c>
      <c r="E24" s="311" t="str">
        <f>CONCATENATE('IV-2 arsa'!D12)</f>
        <v>Alytaus rajono savivaldybės administracija</v>
      </c>
      <c r="F24" s="311" t="str">
        <f>CONCATENATE('IV-2 arsa'!E12)</f>
        <v>Lietuvos Respublikos žemės ūkio ministerija</v>
      </c>
      <c r="G24" s="311" t="str">
        <f>CONCATENATE('IV-2 arsa'!F12)</f>
        <v>Alytaus r. sav.</v>
      </c>
      <c r="H24" s="311" t="str">
        <f>CONCATENATE('IV-2 arsa'!G12)</f>
        <v xml:space="preserve">Pagrindinės paslaugos ir kaimų atnaujinimas kaimo vietovėse </v>
      </c>
      <c r="I24" s="11" t="str">
        <f>CONCATENATE('IV-2 arsa'!H12)</f>
        <v>R</v>
      </c>
      <c r="J24" s="11" t="str">
        <f>CONCATENATE('IV-2 arsa'!I12)</f>
        <v>-</v>
      </c>
      <c r="K24" s="11" t="str">
        <f>CONCATENATE('IV-2 arsa'!J12)</f>
        <v>-</v>
      </c>
      <c r="L24" s="644">
        <f t="shared" si="14"/>
        <v>75880</v>
      </c>
      <c r="M24" s="644">
        <f>SUM('ketv. 6 '!L23)</f>
        <v>75880</v>
      </c>
      <c r="N24" s="644">
        <f t="shared" si="15"/>
        <v>0</v>
      </c>
      <c r="O24" s="644">
        <f>SUMIF(KPP!C21:C114,C24,KPP!P21:P114)</f>
        <v>15176</v>
      </c>
      <c r="P24" s="644">
        <f>SUM('ketv. 6 '!P23)</f>
        <v>15176</v>
      </c>
      <c r="Q24" s="644">
        <f t="shared" si="16"/>
        <v>0</v>
      </c>
      <c r="R24" s="644">
        <f ca="1">SUMIF(KPP!C21:C714,C24,KPP!R21)</f>
        <v>0</v>
      </c>
      <c r="S24" s="644">
        <f>SUM('ketv. 6 '!T23)</f>
        <v>0</v>
      </c>
      <c r="T24" s="644">
        <f t="shared" si="17"/>
        <v>0</v>
      </c>
      <c r="U24" s="644">
        <f>SUM('IV-2 arsa'!N12)</f>
        <v>0</v>
      </c>
      <c r="V24" s="644">
        <f>SUM('ketv. 6 '!X23)</f>
        <v>0</v>
      </c>
      <c r="W24" s="644">
        <f t="shared" si="18"/>
        <v>0</v>
      </c>
      <c r="X24" s="644">
        <f>SUM('IV-2 arsa'!O12)</f>
        <v>0</v>
      </c>
      <c r="Y24" s="644">
        <f>SUM('ketv. 6 '!AB23)</f>
        <v>0</v>
      </c>
      <c r="Z24" s="644">
        <f t="shared" si="19"/>
        <v>0</v>
      </c>
      <c r="AA24" s="644">
        <f>SUMIF(KPP!C21:C714,C24,KPP!N21:N714)</f>
        <v>60704</v>
      </c>
      <c r="AB24" s="1017">
        <f t="shared" ref="AB24" si="34">SUM(AB25:AB47)</f>
        <v>0</v>
      </c>
      <c r="AC24" s="16" t="str">
        <f>IF('ketv. 4 '!Z24&gt;0,"Taip","Ne")</f>
        <v>Taip</v>
      </c>
      <c r="AD24" s="16">
        <f>SUM('ketv. 6 '!AF23)</f>
        <v>60704</v>
      </c>
      <c r="AE24" s="16">
        <f t="shared" si="8"/>
        <v>0</v>
      </c>
      <c r="AF24" s="431">
        <f>SUM('IV-2 arsa'!R13)</f>
        <v>42643</v>
      </c>
      <c r="AG24" s="337">
        <f>SUM('IV-2 arsa'!S13)</f>
        <v>42855</v>
      </c>
      <c r="AH24" s="337">
        <f>SUM('IV-2 arsa'!T12)</f>
        <v>43010</v>
      </c>
      <c r="AI24" s="337">
        <f>SUM('IV-2 arsa'!U12)</f>
        <v>43102</v>
      </c>
      <c r="AJ24" s="339">
        <f t="shared" si="25"/>
        <v>2018</v>
      </c>
      <c r="AK24" s="702">
        <f>SUM('IV-2 arsa'!V12)</f>
        <v>43465</v>
      </c>
      <c r="AL24" s="16">
        <f t="shared" si="9"/>
        <v>0</v>
      </c>
      <c r="AM24" s="16">
        <f t="shared" si="10"/>
        <v>0</v>
      </c>
      <c r="AN24" s="16">
        <f t="shared" si="11"/>
        <v>60704</v>
      </c>
      <c r="AO24" s="16">
        <f t="shared" si="12"/>
        <v>0</v>
      </c>
      <c r="AP24" s="703">
        <f t="shared" si="13"/>
        <v>0</v>
      </c>
      <c r="AQ24" s="704"/>
      <c r="AR24" s="704"/>
      <c r="AS24" s="704"/>
    </row>
    <row r="25" spans="1:45" ht="52.5" thickTop="1" thickBot="1">
      <c r="A25" s="311" t="s">
        <v>403</v>
      </c>
      <c r="B25" s="311" t="s">
        <v>1268</v>
      </c>
      <c r="C25" s="1093" t="str">
        <f>CONCATENATE('ketv. 2'!B24)</f>
        <v>20KI-KA-17-1-02240-PR001</v>
      </c>
      <c r="D25" s="311" t="str">
        <f>CONCATENATE('IV-2 arsa'!C13)</f>
        <v>Alytaus rajono Talokių kaimo sporto aikštės įrengimas ir Plytinės gatvės apšvietimas</v>
      </c>
      <c r="E25" s="311" t="str">
        <f>CONCATENATE('IV-2 arsa'!D13)</f>
        <v>Alytaus rajono savivaldybės administracija</v>
      </c>
      <c r="F25" s="311" t="str">
        <f>CONCATENATE('IV-2 arsa'!E13)</f>
        <v>Lietuvos Respublikos žemės ūkio ministerija</v>
      </c>
      <c r="G25" s="311" t="str">
        <f>CONCATENATE('IV-2 arsa'!F13)</f>
        <v>Alytaus r. sav.</v>
      </c>
      <c r="H25" s="311" t="str">
        <f>CONCATENATE('IV-2 arsa'!G13)</f>
        <v xml:space="preserve">Pagrindinės paslaugos ir kaimų atnaujinimas kaimo vietovėse </v>
      </c>
      <c r="I25" s="11" t="str">
        <f>CONCATENATE('IV-2 arsa'!H13)</f>
        <v>R</v>
      </c>
      <c r="J25" s="11" t="str">
        <f>CONCATENATE('IV-2 arsa'!I13)</f>
        <v>-</v>
      </c>
      <c r="K25" s="11" t="str">
        <f>CONCATENATE('IV-2 arsa'!J13)</f>
        <v>-</v>
      </c>
      <c r="L25" s="644">
        <f t="shared" si="14"/>
        <v>141312</v>
      </c>
      <c r="M25" s="644">
        <f>SUM('ketv. 6 '!L24)</f>
        <v>141312</v>
      </c>
      <c r="N25" s="644">
        <f t="shared" si="15"/>
        <v>0</v>
      </c>
      <c r="O25" s="644">
        <f>SUMIF(KPP!C22:C115,C25,KPP!P22:P115)</f>
        <v>44913</v>
      </c>
      <c r="P25" s="644">
        <f>SUM('ketv. 6 '!P24)</f>
        <v>44913</v>
      </c>
      <c r="Q25" s="644">
        <f t="shared" si="16"/>
        <v>0</v>
      </c>
      <c r="R25" s="644">
        <f ca="1">SUMIF(KPP!C22:C715,C25,KPP!R22)</f>
        <v>0</v>
      </c>
      <c r="S25" s="644">
        <f>SUM('ketv. 6 '!T24)</f>
        <v>0</v>
      </c>
      <c r="T25" s="644">
        <f t="shared" si="17"/>
        <v>0</v>
      </c>
      <c r="U25" s="644">
        <f>SUM('IV-2 arsa'!N13)</f>
        <v>0</v>
      </c>
      <c r="V25" s="644">
        <f>SUM('ketv. 6 '!X24)</f>
        <v>0</v>
      </c>
      <c r="W25" s="644">
        <f t="shared" si="18"/>
        <v>0</v>
      </c>
      <c r="X25" s="644">
        <f>SUM('IV-2 arsa'!O13)</f>
        <v>0</v>
      </c>
      <c r="Y25" s="644">
        <f>SUM('ketv. 6 '!AB24)</f>
        <v>0</v>
      </c>
      <c r="Z25" s="644">
        <f t="shared" si="19"/>
        <v>0</v>
      </c>
      <c r="AA25" s="644">
        <f>SUMIF(KPP!C22:C715,C25,KPP!N22:N715)</f>
        <v>96399</v>
      </c>
      <c r="AB25" s="1017">
        <f t="shared" ref="AB25" si="35">SUM(AB26:AB48)</f>
        <v>0</v>
      </c>
      <c r="AC25" s="16" t="str">
        <f>IF('ketv. 4 '!Z25&gt;0,"Taip","Ne")</f>
        <v>Taip</v>
      </c>
      <c r="AD25" s="16">
        <f>SUM('ketv. 6 '!AF24)</f>
        <v>96399</v>
      </c>
      <c r="AE25" s="16">
        <f t="shared" si="8"/>
        <v>0</v>
      </c>
      <c r="AF25" s="431">
        <f>SUM('IV-2 arsa'!R14)</f>
        <v>42643</v>
      </c>
      <c r="AG25" s="337">
        <f>SUM('IV-2 arsa'!S14)</f>
        <v>42855</v>
      </c>
      <c r="AH25" s="337">
        <f>SUM('IV-2 arsa'!T13)</f>
        <v>43010</v>
      </c>
      <c r="AI25" s="337">
        <f>SUM('IV-2 arsa'!U13)</f>
        <v>43102</v>
      </c>
      <c r="AJ25" s="339">
        <f t="shared" si="25"/>
        <v>2018</v>
      </c>
      <c r="AK25" s="702">
        <f>SUM('IV-2 arsa'!V13)</f>
        <v>43465</v>
      </c>
      <c r="AL25" s="16">
        <f t="shared" si="9"/>
        <v>0</v>
      </c>
      <c r="AM25" s="16">
        <f t="shared" si="10"/>
        <v>0</v>
      </c>
      <c r="AN25" s="16">
        <f t="shared" si="11"/>
        <v>96399</v>
      </c>
      <c r="AO25" s="16">
        <f t="shared" si="12"/>
        <v>0</v>
      </c>
      <c r="AP25" s="703">
        <f t="shared" si="13"/>
        <v>0</v>
      </c>
      <c r="AQ25" s="704"/>
      <c r="AR25" s="704"/>
      <c r="AS25" s="704"/>
    </row>
    <row r="26" spans="1:45" ht="52.5" thickTop="1" thickBot="1">
      <c r="A26" s="311" t="s">
        <v>404</v>
      </c>
      <c r="B26" s="311" t="s">
        <v>1251</v>
      </c>
      <c r="C26" s="1093" t="str">
        <f>CONCATENATE('ketv. 2'!B25)</f>
        <v>20KI-KA-17-1-01639-PR001</v>
      </c>
      <c r="D26" s="311" t="str">
        <f>CONCATENATE('IV-2 vrsa'!D9)</f>
        <v>Varėnos r. Rudnios kaimo Pušyno gatvės įrengimas</v>
      </c>
      <c r="E26" s="311" t="str">
        <f>CONCATENATE('IV-2 vrsa'!E9)</f>
        <v xml:space="preserve">Varėnos rajono savivaldybės administracija </v>
      </c>
      <c r="F26" s="311" t="str">
        <f>CONCATENATE('IV-2 vrsa'!F9)</f>
        <v>Lietuvos Respublikos žemės ūkio ministerija</v>
      </c>
      <c r="G26" s="311" t="str">
        <f>CONCATENATE('IV-2 vrsa'!G9)</f>
        <v>Varėnos r. sav.</v>
      </c>
      <c r="H26" s="311" t="str">
        <f>CONCATENATE('IV-2 vrsa'!H9)</f>
        <v xml:space="preserve">Pagrindinės paslaugos ir kaimų atnaujinimas kaimo vietovėse </v>
      </c>
      <c r="I26" s="11" t="str">
        <f>CONCATENATE('IV-2 vrsa'!I9)</f>
        <v>R</v>
      </c>
      <c r="J26" s="11" t="str">
        <f>CONCATENATE('IV-2 vrsa'!J9)</f>
        <v>-</v>
      </c>
      <c r="K26" s="11" t="str">
        <f>CONCATENATE('IV-2 vrsa'!K9)</f>
        <v>-</v>
      </c>
      <c r="L26" s="644">
        <f t="shared" si="14"/>
        <v>115624</v>
      </c>
      <c r="M26" s="644">
        <f>SUM('ketv. 6 '!L25)</f>
        <v>115624</v>
      </c>
      <c r="N26" s="644">
        <f t="shared" si="15"/>
        <v>0</v>
      </c>
      <c r="O26" s="644">
        <f>SUMIF(KPP!C23:C116,C26,KPP!P23:P116)</f>
        <v>23125</v>
      </c>
      <c r="P26" s="644">
        <f>SUM('ketv. 6 '!P25)</f>
        <v>23125</v>
      </c>
      <c r="Q26" s="644">
        <f t="shared" si="16"/>
        <v>0</v>
      </c>
      <c r="R26" s="644">
        <f ca="1">SUMIF(KPP!C23:C716,C26,KPP!R23)</f>
        <v>0</v>
      </c>
      <c r="S26" s="644">
        <f>SUM('ketv. 6 '!T25)</f>
        <v>0</v>
      </c>
      <c r="T26" s="644">
        <f t="shared" si="17"/>
        <v>0</v>
      </c>
      <c r="U26" s="644">
        <f>SUM('IV-2 vrsa'!O9)</f>
        <v>0</v>
      </c>
      <c r="V26" s="644">
        <f>SUM('ketv. 6 '!X25)</f>
        <v>0</v>
      </c>
      <c r="W26" s="644">
        <f t="shared" si="18"/>
        <v>0</v>
      </c>
      <c r="X26" s="644">
        <f>SUM('IV-2 vrsa'!P9)</f>
        <v>0</v>
      </c>
      <c r="Y26" s="644">
        <f>SUM('ketv. 6 '!AB25)</f>
        <v>0</v>
      </c>
      <c r="Z26" s="644">
        <f t="shared" si="19"/>
        <v>0</v>
      </c>
      <c r="AA26" s="644">
        <f>SUMIF(KPP!C23:C716,C26,KPP!N23:N716)</f>
        <v>92499</v>
      </c>
      <c r="AB26" s="1017">
        <f t="shared" ref="AB26" si="36">SUM(AB27:AB49)</f>
        <v>0</v>
      </c>
      <c r="AC26" s="16" t="str">
        <f>IF('ketv. 4 '!Z26&gt;0,"Taip","Ne")</f>
        <v>Taip</v>
      </c>
      <c r="AD26" s="16">
        <f>SUM('ketv. 6 '!AF25)</f>
        <v>92499</v>
      </c>
      <c r="AE26" s="16">
        <f t="shared" si="8"/>
        <v>0</v>
      </c>
      <c r="AF26" s="431">
        <f>SUM('IV-2 vrsa'!S9)</f>
        <v>42643</v>
      </c>
      <c r="AG26" s="337">
        <f>SUM('IV-2 vrsa'!T9)</f>
        <v>42855</v>
      </c>
      <c r="AH26" s="337">
        <f>SUM('IV-2 vrsa'!U9)</f>
        <v>43010</v>
      </c>
      <c r="AI26" s="337">
        <f>SUM('IV-2 vrsa'!V9)</f>
        <v>43102</v>
      </c>
      <c r="AJ26" s="339">
        <f t="shared" si="25"/>
        <v>2018</v>
      </c>
      <c r="AK26" s="702">
        <f>SUM('IV-2 vrsa'!W9)</f>
        <v>43830</v>
      </c>
      <c r="AL26" s="16">
        <f t="shared" si="9"/>
        <v>0</v>
      </c>
      <c r="AM26" s="16">
        <f t="shared" si="10"/>
        <v>0</v>
      </c>
      <c r="AN26" s="16">
        <f t="shared" si="11"/>
        <v>92499</v>
      </c>
      <c r="AO26" s="16">
        <f t="shared" si="12"/>
        <v>0</v>
      </c>
      <c r="AP26" s="703">
        <f t="shared" si="13"/>
        <v>0</v>
      </c>
      <c r="AQ26" s="704"/>
      <c r="AR26" s="704"/>
      <c r="AS26" s="704"/>
    </row>
    <row r="27" spans="1:45" ht="52.5" thickTop="1" thickBot="1">
      <c r="A27" s="311" t="s">
        <v>405</v>
      </c>
      <c r="B27" s="311" t="s">
        <v>1253</v>
      </c>
      <c r="C27" s="1093" t="str">
        <f>CONCATENATE('ketv. 2'!B26)</f>
        <v>20KI-KA-17-1-01666-PR001</v>
      </c>
      <c r="D27" s="311" t="str">
        <f>CONCATENATE('IV-2 vrsa'!D10)</f>
        <v>Varėnos kultūros centro Žilinų filialo pastato atnaujinimas ir pritaikymas bendruomenės poreikiams</v>
      </c>
      <c r="E27" s="311" t="str">
        <f>CONCATENATE('IV-2 vrsa'!E10)</f>
        <v xml:space="preserve">Varėnos rajono savivaldybės administracija </v>
      </c>
      <c r="F27" s="311" t="str">
        <f>CONCATENATE('IV-2 vrsa'!F10)</f>
        <v>Lietuvos Respublikos žemės ūkio ministerija</v>
      </c>
      <c r="G27" s="311" t="str">
        <f>CONCATENATE('IV-2 vrsa'!G10)</f>
        <v>Varėnos r. sav.</v>
      </c>
      <c r="H27" s="311" t="str">
        <f>CONCATENATE('IV-2 vrsa'!H10)</f>
        <v xml:space="preserve">Pagrindinės paslaugos ir kaimų atnaujinimas kaimo vietovėse </v>
      </c>
      <c r="I27" s="11" t="str">
        <f>CONCATENATE('IV-2 vrsa'!I10)</f>
        <v>R</v>
      </c>
      <c r="J27" s="11" t="str">
        <f>CONCATENATE('IV-2 vrsa'!J10)</f>
        <v>-</v>
      </c>
      <c r="K27" s="14" t="s">
        <v>66</v>
      </c>
      <c r="L27" s="644">
        <f t="shared" si="14"/>
        <v>250000</v>
      </c>
      <c r="M27" s="644">
        <f>SUM('ketv. 6 '!L26)</f>
        <v>250000</v>
      </c>
      <c r="N27" s="644">
        <f t="shared" si="15"/>
        <v>0</v>
      </c>
      <c r="O27" s="644">
        <f>SUMIF(KPP!C24:C117,C27,KPP!P24:P117)</f>
        <v>50000</v>
      </c>
      <c r="P27" s="644">
        <f>SUM('ketv. 6 '!P26)</f>
        <v>50000</v>
      </c>
      <c r="Q27" s="644">
        <f t="shared" si="16"/>
        <v>0</v>
      </c>
      <c r="R27" s="644">
        <f ca="1">SUMIF(KPP!C24:C717,C27,KPP!R24)</f>
        <v>0</v>
      </c>
      <c r="S27" s="644">
        <f>SUM('ketv. 6 '!T26)</f>
        <v>0</v>
      </c>
      <c r="T27" s="644">
        <f t="shared" si="17"/>
        <v>0</v>
      </c>
      <c r="U27" s="644">
        <f>SUM('IV-2 vrsa'!O10)</f>
        <v>0</v>
      </c>
      <c r="V27" s="644">
        <f>SUM('ketv. 6 '!X26)</f>
        <v>0</v>
      </c>
      <c r="W27" s="644">
        <f t="shared" si="18"/>
        <v>0</v>
      </c>
      <c r="X27" s="644">
        <f>SUM('IV-2 vrsa'!P10)</f>
        <v>0</v>
      </c>
      <c r="Y27" s="644">
        <f>SUM('ketv. 6 '!AB26)</f>
        <v>0</v>
      </c>
      <c r="Z27" s="644">
        <f t="shared" si="19"/>
        <v>0</v>
      </c>
      <c r="AA27" s="644">
        <f>SUMIF(KPP!C24:C717,C27,KPP!N24:N717)</f>
        <v>200000</v>
      </c>
      <c r="AB27" s="1017">
        <f t="shared" ref="AB27" si="37">SUM(AB28:AB50)</f>
        <v>0</v>
      </c>
      <c r="AC27" s="16" t="str">
        <f>IF('ketv. 4 '!Z27&gt;0,"Taip","Ne")</f>
        <v>Taip</v>
      </c>
      <c r="AD27" s="16">
        <f>SUM('ketv. 6 '!AF26)</f>
        <v>200000</v>
      </c>
      <c r="AE27" s="16">
        <f t="shared" si="8"/>
        <v>0</v>
      </c>
      <c r="AF27" s="431">
        <f>SUM('IV-2 vrsa'!S10)</f>
        <v>42643</v>
      </c>
      <c r="AG27" s="337">
        <f>SUM('IV-2 vrsa'!T10)</f>
        <v>42855</v>
      </c>
      <c r="AH27" s="337">
        <f>SUM('IV-2 vrsa'!U10)</f>
        <v>43010</v>
      </c>
      <c r="AI27" s="337">
        <f>SUM('IV-2 vrsa'!V10)</f>
        <v>43102</v>
      </c>
      <c r="AJ27" s="339">
        <f t="shared" si="25"/>
        <v>2018</v>
      </c>
      <c r="AK27" s="702">
        <f>SUM('IV-2 vrsa'!W10)</f>
        <v>43830</v>
      </c>
      <c r="AL27" s="16">
        <f t="shared" si="9"/>
        <v>0</v>
      </c>
      <c r="AM27" s="16">
        <f t="shared" si="10"/>
        <v>0</v>
      </c>
      <c r="AN27" s="16">
        <f t="shared" si="11"/>
        <v>200000</v>
      </c>
      <c r="AO27" s="16">
        <f t="shared" si="12"/>
        <v>0</v>
      </c>
      <c r="AP27" s="703">
        <f t="shared" si="13"/>
        <v>0</v>
      </c>
      <c r="AQ27" s="704"/>
      <c r="AR27" s="704"/>
      <c r="AS27" s="704"/>
    </row>
    <row r="28" spans="1:45" ht="52.5" thickTop="1" thickBot="1">
      <c r="A28" s="311" t="s">
        <v>406</v>
      </c>
      <c r="B28" s="311" t="s">
        <v>1252</v>
      </c>
      <c r="C28" s="1093" t="str">
        <f>CONCATENATE('ketv. 2'!B27)</f>
        <v>20KI-KA-17-1-02648-PR001</v>
      </c>
      <c r="D28" s="311" t="str">
        <f>CONCATENATE('IV-2 arsa'!C14)</f>
        <v>Alytaus rajono Pivašiūnų kaimo šaligatvių, laiptų kapitalinis remontas ir gyvenvietės apšvietimo įrengimas</v>
      </c>
      <c r="E28" s="311" t="str">
        <f>CONCATENATE('IV-2 arsa'!D14)</f>
        <v>Alytaus rajono savivaldybės administracija</v>
      </c>
      <c r="F28" s="311" t="str">
        <f>CONCATENATE('IV-2 arsa'!E14)</f>
        <v>Lietuvos Respublikos žemės ūkio ministerija</v>
      </c>
      <c r="G28" s="311" t="str">
        <f>CONCATENATE('IV-2 arsa'!F14)</f>
        <v>Alytaus r. sav.</v>
      </c>
      <c r="H28" s="311" t="str">
        <f>CONCATENATE('IV-2 arsa'!G14)</f>
        <v xml:space="preserve">Pagrindinės paslaugos ir kaimų atnaujinimas kaimo vietovėse </v>
      </c>
      <c r="I28" s="11" t="str">
        <f>CONCATENATE('IV-2 arsa'!H14)</f>
        <v>R</v>
      </c>
      <c r="J28" s="11" t="str">
        <f>CONCATENATE('IV-2 arsa'!I14)</f>
        <v>-</v>
      </c>
      <c r="K28" s="11" t="str">
        <f>CONCATENATE('IV-2 arsa'!J14)</f>
        <v>-</v>
      </c>
      <c r="L28" s="644">
        <f t="shared" si="14"/>
        <v>118362</v>
      </c>
      <c r="M28" s="644">
        <f>SUM('ketv. 6 '!L27)</f>
        <v>118362</v>
      </c>
      <c r="N28" s="644">
        <f t="shared" si="15"/>
        <v>0</v>
      </c>
      <c r="O28" s="644">
        <f>SUMIF(KPP!C25:C118,C28,KPP!P25:P118)</f>
        <v>23973</v>
      </c>
      <c r="P28" s="644">
        <f>SUM('ketv. 6 '!P27)</f>
        <v>23973</v>
      </c>
      <c r="Q28" s="644">
        <f t="shared" si="16"/>
        <v>0</v>
      </c>
      <c r="R28" s="644">
        <f ca="1">SUMIF(KPP!C25:C718,C28,KPP!R25)</f>
        <v>0</v>
      </c>
      <c r="S28" s="644">
        <f>SUM('ketv. 6 '!T27)</f>
        <v>0</v>
      </c>
      <c r="T28" s="644">
        <f t="shared" si="17"/>
        <v>0</v>
      </c>
      <c r="U28" s="644">
        <f>SUM('IV-2 arsa'!N14)</f>
        <v>0</v>
      </c>
      <c r="V28" s="644">
        <f>SUM('ketv. 6 '!X27)</f>
        <v>0</v>
      </c>
      <c r="W28" s="644">
        <f t="shared" si="18"/>
        <v>0</v>
      </c>
      <c r="X28" s="644">
        <f>SUM('IV-2 arsa'!O14)</f>
        <v>0</v>
      </c>
      <c r="Y28" s="644">
        <f>SUM('ketv. 6 '!AB27)</f>
        <v>0</v>
      </c>
      <c r="Z28" s="644">
        <f t="shared" si="19"/>
        <v>0</v>
      </c>
      <c r="AA28" s="644">
        <f>SUMIF(KPP!C25:C718,C28,KPP!N25:N718)</f>
        <v>94389</v>
      </c>
      <c r="AB28" s="1017">
        <f t="shared" ref="AB28" si="38">SUM(AB29:AB51)</f>
        <v>0</v>
      </c>
      <c r="AC28" s="16" t="str">
        <f>IF('ketv. 4 '!Z28&gt;0,"Taip","Ne")</f>
        <v>Taip</v>
      </c>
      <c r="AD28" s="16">
        <f>SUM('ketv. 6 '!AF27)</f>
        <v>94389</v>
      </c>
      <c r="AE28" s="16">
        <f t="shared" si="8"/>
        <v>0</v>
      </c>
      <c r="AF28" s="431">
        <f>SUM('IV-2 arsa'!R14)</f>
        <v>42643</v>
      </c>
      <c r="AG28" s="337">
        <f>SUM('IV-2 arsa'!S14)</f>
        <v>42855</v>
      </c>
      <c r="AH28" s="337">
        <f>SUM('IV-2 arsa'!T14)</f>
        <v>43010</v>
      </c>
      <c r="AI28" s="337">
        <f>SUM('IV-2 arsa'!U14)</f>
        <v>43102</v>
      </c>
      <c r="AJ28" s="339">
        <f t="shared" si="25"/>
        <v>2018</v>
      </c>
      <c r="AK28" s="702">
        <f>SUM('IV-2 arsa'!V14)</f>
        <v>43465</v>
      </c>
      <c r="AL28" s="16">
        <f t="shared" si="9"/>
        <v>0</v>
      </c>
      <c r="AM28" s="16">
        <f t="shared" si="10"/>
        <v>0</v>
      </c>
      <c r="AN28" s="16">
        <f t="shared" si="11"/>
        <v>94389</v>
      </c>
      <c r="AO28" s="16">
        <f t="shared" si="12"/>
        <v>0</v>
      </c>
      <c r="AP28" s="703">
        <f t="shared" si="13"/>
        <v>0</v>
      </c>
      <c r="AQ28" s="704"/>
      <c r="AR28" s="704"/>
      <c r="AS28" s="704"/>
    </row>
    <row r="29" spans="1:45" ht="52.5" thickTop="1" thickBot="1">
      <c r="A29" s="311" t="s">
        <v>407</v>
      </c>
      <c r="B29" s="311" t="s">
        <v>1272</v>
      </c>
      <c r="C29" s="1093" t="str">
        <f>CONCATENATE('ketv. 2'!B28)</f>
        <v>20KI-KA-17-1-01736-PR001</v>
      </c>
      <c r="D29" s="311" t="str">
        <f>CONCATENATE('IV-2 vrsa'!D11)</f>
        <v>Pastato, esančio Pušelės g. 11, Naujųjų Valkininkų k., Varėnos r., atnaujinimas ir pritaikymas bendruomenės poreikiams</v>
      </c>
      <c r="E29" s="311" t="str">
        <f>CONCATENATE('IV-2 vrsa'!E11)</f>
        <v xml:space="preserve">Varėnos rajono savivaldybės administracija </v>
      </c>
      <c r="F29" s="311" t="str">
        <f>CONCATENATE('IV-2 vrsa'!F11)</f>
        <v>Lietuvos Respublikos žemės ūkio ministerija</v>
      </c>
      <c r="G29" s="311" t="str">
        <f>CONCATENATE('IV-2 vrsa'!G11)</f>
        <v>Varėnos r. sav.</v>
      </c>
      <c r="H29" s="311" t="str">
        <f>CONCATENATE('IV-2 vrsa'!H11)</f>
        <v xml:space="preserve">Pagrindinės paslaugos ir kaimų atnaujinimas kaimo vietovėse </v>
      </c>
      <c r="I29" s="11" t="str">
        <f>CONCATENATE('IV-2 vrsa'!I11)</f>
        <v>R</v>
      </c>
      <c r="J29" s="11" t="str">
        <f>CONCATENATE('IV-2 vrsa'!J11)</f>
        <v>-</v>
      </c>
      <c r="K29" s="14" t="s">
        <v>66</v>
      </c>
      <c r="L29" s="644">
        <f t="shared" si="14"/>
        <v>250000</v>
      </c>
      <c r="M29" s="644">
        <f>SUM('ketv. 6 '!L28)</f>
        <v>250000</v>
      </c>
      <c r="N29" s="644">
        <f t="shared" si="15"/>
        <v>0</v>
      </c>
      <c r="O29" s="644">
        <f>SUMIF(KPP!C26:C119,C29,KPP!P26:P119)</f>
        <v>50000</v>
      </c>
      <c r="P29" s="644">
        <f>SUM('ketv. 6 '!P28)</f>
        <v>50000</v>
      </c>
      <c r="Q29" s="644">
        <f t="shared" si="16"/>
        <v>0</v>
      </c>
      <c r="R29" s="644">
        <f ca="1">SUMIF(KPP!C26:C719,C29,KPP!R26)</f>
        <v>0</v>
      </c>
      <c r="S29" s="644">
        <f>SUM('ketv. 6 '!T28)</f>
        <v>0</v>
      </c>
      <c r="T29" s="644">
        <f t="shared" si="17"/>
        <v>0</v>
      </c>
      <c r="U29" s="644">
        <f>SUM('IV-2 vrsa'!O11)</f>
        <v>0</v>
      </c>
      <c r="V29" s="644">
        <f>SUM('ketv. 6 '!X28)</f>
        <v>0</v>
      </c>
      <c r="W29" s="644">
        <f t="shared" si="18"/>
        <v>0</v>
      </c>
      <c r="X29" s="644">
        <f>SUM('IV-2 vrsa'!P11)</f>
        <v>0</v>
      </c>
      <c r="Y29" s="644">
        <f>SUM('ketv. 6 '!AB28)</f>
        <v>0</v>
      </c>
      <c r="Z29" s="644">
        <f t="shared" si="19"/>
        <v>0</v>
      </c>
      <c r="AA29" s="644">
        <f>SUMIF(KPP!C26:C719,C29,KPP!N26:N719)</f>
        <v>200000</v>
      </c>
      <c r="AB29" s="1017">
        <f t="shared" ref="AB29" si="39">SUM(AB30:AB52)</f>
        <v>0</v>
      </c>
      <c r="AC29" s="16" t="str">
        <f>IF('ketv. 4 '!Z29&gt;0,"Taip","Ne")</f>
        <v>Taip</v>
      </c>
      <c r="AD29" s="16">
        <f>SUM('ketv. 6 '!AF28)</f>
        <v>200000</v>
      </c>
      <c r="AE29" s="16">
        <f t="shared" si="8"/>
        <v>0</v>
      </c>
      <c r="AF29" s="431">
        <f>SUM('IV-2 vrsa'!S11)</f>
        <v>42643</v>
      </c>
      <c r="AG29" s="337">
        <f>SUM('IV-2 vrsa'!T11)</f>
        <v>42855</v>
      </c>
      <c r="AH29" s="337">
        <f>SUM('IV-2 vrsa'!U11)</f>
        <v>43010</v>
      </c>
      <c r="AI29" s="337">
        <f>SUM('IV-2 vrsa'!V11)</f>
        <v>43102</v>
      </c>
      <c r="AJ29" s="339">
        <f t="shared" si="25"/>
        <v>2018</v>
      </c>
      <c r="AK29" s="702">
        <f>SUM('IV-2 vrsa'!W11)</f>
        <v>43830</v>
      </c>
      <c r="AL29" s="16">
        <f t="shared" si="9"/>
        <v>0</v>
      </c>
      <c r="AM29" s="16">
        <f t="shared" si="10"/>
        <v>0</v>
      </c>
      <c r="AN29" s="16">
        <f t="shared" si="11"/>
        <v>200000</v>
      </c>
      <c r="AO29" s="16">
        <f t="shared" si="12"/>
        <v>0</v>
      </c>
      <c r="AP29" s="703">
        <f t="shared" si="13"/>
        <v>0</v>
      </c>
      <c r="AQ29" s="704"/>
      <c r="AR29" s="704"/>
      <c r="AS29" s="704"/>
    </row>
    <row r="30" spans="1:45" ht="52.5" thickTop="1" thickBot="1">
      <c r="A30" s="311" t="s">
        <v>408</v>
      </c>
      <c r="B30" s="311" t="s">
        <v>1270</v>
      </c>
      <c r="C30" s="1093" t="str">
        <f>CONCATENATE('ketv. 2'!B29)</f>
        <v>20KI-KA-17-1-02364-PR001</v>
      </c>
      <c r="D30" s="311" t="str">
        <f>CONCATENATE('IV-2 lrsa'!D13)</f>
        <v>Kaimo gyvenamųjų vietovių Lazdijų rajono savivaldybėje patrauklumo gerinimas</v>
      </c>
      <c r="E30" s="311" t="str">
        <f>CONCATENATE('IV-2 lrsa'!E13)</f>
        <v>Lazdijų rajono savivaldybės administracija</v>
      </c>
      <c r="F30" s="311" t="str">
        <f>CONCATENATE('IV-2 lrsa'!F13)</f>
        <v>Lietuvos Respublikos žemės ūkio ministerija</v>
      </c>
      <c r="G30" s="311" t="str">
        <f>CONCATENATE('IV-2 lrsa'!G13)</f>
        <v>Lazdijų r. sav.</v>
      </c>
      <c r="H30" s="311" t="str">
        <f>CONCATENATE('IV-2 lrsa'!H13)</f>
        <v xml:space="preserve">Pagrindinės paslaugos ir kaimų atnaujinimas kaimo vietovėse </v>
      </c>
      <c r="I30" s="11" t="str">
        <f>CONCATENATE('IV-2 lrsa'!I13)</f>
        <v>R</v>
      </c>
      <c r="J30" s="11" t="str">
        <f>CONCATENATE('IV-2 lrsa'!J13)</f>
        <v>-</v>
      </c>
      <c r="K30" s="11" t="str">
        <f>CONCATENATE('IV-2 lrsa'!K13)</f>
        <v>-</v>
      </c>
      <c r="L30" s="644">
        <f t="shared" si="14"/>
        <v>170000</v>
      </c>
      <c r="M30" s="644">
        <f>SUM('ketv. 6 '!L29)</f>
        <v>170000</v>
      </c>
      <c r="N30" s="644">
        <f t="shared" si="15"/>
        <v>0</v>
      </c>
      <c r="O30" s="644">
        <f>SUMIF(KPP!C27:C120,C30,KPP!P27:P120)</f>
        <v>34000</v>
      </c>
      <c r="P30" s="644">
        <f>SUM('ketv. 6 '!P29)</f>
        <v>34000</v>
      </c>
      <c r="Q30" s="644">
        <f t="shared" si="16"/>
        <v>0</v>
      </c>
      <c r="R30" s="644">
        <f ca="1">SUMIF(KPP!C27:C720,C30,KPP!R27)</f>
        <v>0</v>
      </c>
      <c r="S30" s="644">
        <f>SUM('ketv. 6 '!T29)</f>
        <v>0</v>
      </c>
      <c r="T30" s="644">
        <f t="shared" si="17"/>
        <v>0</v>
      </c>
      <c r="U30" s="644">
        <f>SUM('IV-2 lrsa'!O13)</f>
        <v>0</v>
      </c>
      <c r="V30" s="644">
        <f>SUM('ketv. 6 '!X29)</f>
        <v>0</v>
      </c>
      <c r="W30" s="644">
        <f t="shared" si="18"/>
        <v>0</v>
      </c>
      <c r="X30" s="644">
        <f>SUM('IV-2 lrsa'!P13)</f>
        <v>0</v>
      </c>
      <c r="Y30" s="644">
        <f>SUM('ketv. 6 '!AB29)</f>
        <v>0</v>
      </c>
      <c r="Z30" s="644">
        <f t="shared" si="19"/>
        <v>0</v>
      </c>
      <c r="AA30" s="644">
        <f>SUMIF(KPP!C27:C720,C30,KPP!N27:N720)</f>
        <v>136000</v>
      </c>
      <c r="AB30" s="1017">
        <f t="shared" ref="AB30" si="40">SUM(AB31:AB53)</f>
        <v>0</v>
      </c>
      <c r="AC30" s="16" t="str">
        <f>IF('ketv. 4 '!Z30&gt;0,"Taip","Ne")</f>
        <v>Taip</v>
      </c>
      <c r="AD30" s="16">
        <f>SUM('ketv. 6 '!AF29)</f>
        <v>136000</v>
      </c>
      <c r="AE30" s="16">
        <f t="shared" si="8"/>
        <v>0</v>
      </c>
      <c r="AF30" s="431">
        <f>SUM('IV-2 lrsa'!S13)</f>
        <v>42643</v>
      </c>
      <c r="AG30" s="337">
        <f>SUM('IV-2 lrsa'!T13)</f>
        <v>42855</v>
      </c>
      <c r="AH30" s="337">
        <f>SUM('IV-2 lrsa'!U13)</f>
        <v>43010</v>
      </c>
      <c r="AI30" s="337">
        <f>SUM('IV-2 lrsa'!V13)</f>
        <v>43102</v>
      </c>
      <c r="AJ30" s="339">
        <f t="shared" si="25"/>
        <v>2018</v>
      </c>
      <c r="AK30" s="702">
        <f>SUM('IV-2 lrsa'!W13)</f>
        <v>43291</v>
      </c>
      <c r="AL30" s="16">
        <f t="shared" si="9"/>
        <v>0</v>
      </c>
      <c r="AM30" s="16">
        <f t="shared" si="10"/>
        <v>0</v>
      </c>
      <c r="AN30" s="16">
        <f t="shared" si="11"/>
        <v>136000</v>
      </c>
      <c r="AO30" s="16">
        <f t="shared" si="12"/>
        <v>0</v>
      </c>
      <c r="AP30" s="703">
        <f t="shared" si="13"/>
        <v>0</v>
      </c>
      <c r="AQ30" s="704"/>
      <c r="AR30" s="704"/>
      <c r="AS30" s="704"/>
    </row>
    <row r="31" spans="1:45" ht="52.5" thickTop="1" thickBot="1">
      <c r="A31" s="311" t="s">
        <v>409</v>
      </c>
      <c r="B31" s="311" t="s">
        <v>1271</v>
      </c>
      <c r="C31" s="1093" t="str">
        <f>CONCATENATE('ketv. 2'!B30)</f>
        <v>20KI-KA-17-1-02241-PR001</v>
      </c>
      <c r="D31" s="311" t="str">
        <f>CONCATENATE('IV-2 arsa'!C15)</f>
        <v>Alytaus rajono Makniūnų kaimo šaligatvių atnaujinimas ir plėtra</v>
      </c>
      <c r="E31" s="311" t="str">
        <f>CONCATENATE('IV-2 arsa'!D15)</f>
        <v>Alytaus rajono savivaldybės administracija</v>
      </c>
      <c r="F31" s="311" t="str">
        <f>CONCATENATE('IV-2 arsa'!E15)</f>
        <v>Lietuvos Respublikos žemės ūkio ministerija</v>
      </c>
      <c r="G31" s="311" t="str">
        <f>CONCATENATE('IV-2 arsa'!F15)</f>
        <v>Alytaus r. sav.</v>
      </c>
      <c r="H31" s="311" t="str">
        <f>CONCATENATE('IV-2 arsa'!G15)</f>
        <v xml:space="preserve">Pagrindinės paslaugos ir kaimų atnaujinimas kaimo vietovėse </v>
      </c>
      <c r="I31" s="11" t="str">
        <f>CONCATENATE('IV-2 arsa'!H15)</f>
        <v>R</v>
      </c>
      <c r="J31" s="11" t="str">
        <f>CONCATENATE('IV-2 arsa'!I15)</f>
        <v>-</v>
      </c>
      <c r="K31" s="11" t="str">
        <f>CONCATENATE('IV-2 arsa'!J15)</f>
        <v>-</v>
      </c>
      <c r="L31" s="644">
        <f t="shared" si="14"/>
        <v>145772</v>
      </c>
      <c r="M31" s="644">
        <f>SUM('ketv. 6 '!L30)</f>
        <v>145772</v>
      </c>
      <c r="N31" s="644">
        <f t="shared" si="15"/>
        <v>0</v>
      </c>
      <c r="O31" s="644">
        <f>SUMIF(KPP!C28:C121,C31,KPP!P28:P121)</f>
        <v>88979</v>
      </c>
      <c r="P31" s="644">
        <f>SUM('ketv. 6 '!P30)</f>
        <v>88979</v>
      </c>
      <c r="Q31" s="644">
        <f t="shared" si="16"/>
        <v>0</v>
      </c>
      <c r="R31" s="644">
        <f ca="1">SUMIF(KPP!C28:C721,C31,KPP!R28)</f>
        <v>0</v>
      </c>
      <c r="S31" s="644">
        <f>SUM('ketv. 6 '!T30)</f>
        <v>0</v>
      </c>
      <c r="T31" s="644">
        <f t="shared" si="17"/>
        <v>0</v>
      </c>
      <c r="U31" s="644">
        <f>SUM('IV-2 arsa'!N15)</f>
        <v>0</v>
      </c>
      <c r="V31" s="644">
        <f>SUM('ketv. 6 '!X30)</f>
        <v>0</v>
      </c>
      <c r="W31" s="644">
        <f t="shared" si="18"/>
        <v>0</v>
      </c>
      <c r="X31" s="644">
        <f>SUM('IV-2 arsa'!O15)</f>
        <v>0</v>
      </c>
      <c r="Y31" s="644">
        <f>SUM('ketv. 6 '!AB30)</f>
        <v>0</v>
      </c>
      <c r="Z31" s="644">
        <f t="shared" si="19"/>
        <v>0</v>
      </c>
      <c r="AA31" s="644">
        <f>SUMIF(KPP!C28:C721,C31,KPP!N28:N721)</f>
        <v>56793</v>
      </c>
      <c r="AB31" s="1017">
        <f t="shared" ref="AB31" si="41">SUM(AB32:AB54)</f>
        <v>0</v>
      </c>
      <c r="AC31" s="16" t="str">
        <f>IF('ketv. 4 '!Z31&gt;0,"Taip","Ne")</f>
        <v>Taip</v>
      </c>
      <c r="AD31" s="16">
        <f>SUM('ketv. 6 '!AF30)</f>
        <v>56793</v>
      </c>
      <c r="AE31" s="16">
        <f t="shared" si="8"/>
        <v>0</v>
      </c>
      <c r="AF31" s="431">
        <f>SUM('IV-2 arsa'!R15)</f>
        <v>42643</v>
      </c>
      <c r="AG31" s="337">
        <f>SUM('IV-2 arsa'!S15)</f>
        <v>42855</v>
      </c>
      <c r="AH31" s="337">
        <f>SUM('IV-2 arsa'!T15)</f>
        <v>43010</v>
      </c>
      <c r="AI31" s="337">
        <f>SUM('IV-2 arsa'!U15)</f>
        <v>43102</v>
      </c>
      <c r="AJ31" s="339">
        <f t="shared" si="25"/>
        <v>2018</v>
      </c>
      <c r="AK31" s="702">
        <f>SUM('IV-2 arsa'!V15)</f>
        <v>43465</v>
      </c>
      <c r="AL31" s="16">
        <f t="shared" si="9"/>
        <v>0</v>
      </c>
      <c r="AM31" s="16">
        <f t="shared" si="10"/>
        <v>0</v>
      </c>
      <c r="AN31" s="16">
        <f t="shared" si="11"/>
        <v>56793</v>
      </c>
      <c r="AO31" s="16">
        <f t="shared" si="12"/>
        <v>0</v>
      </c>
      <c r="AP31" s="703">
        <f t="shared" si="13"/>
        <v>0</v>
      </c>
      <c r="AQ31" s="704"/>
      <c r="AR31" s="704"/>
      <c r="AS31" s="704"/>
    </row>
    <row r="32" spans="1:45" ht="51.75" thickBot="1">
      <c r="A32" s="311" t="s">
        <v>410</v>
      </c>
      <c r="B32" s="311" t="s">
        <v>1256</v>
      </c>
      <c r="C32" s="130" t="s">
        <v>4237</v>
      </c>
      <c r="D32" s="311" t="str">
        <f>CONCATENATE('IV-2 vrsa'!D12)</f>
        <v>Varėnos r. Vazgirdonių kaimo Klevų gatvės įrengimas</v>
      </c>
      <c r="E32" s="311" t="str">
        <f>CONCATENATE('IV-2 vrsa'!E12)</f>
        <v xml:space="preserve">Varėnos rajono savivaldybės administracija </v>
      </c>
      <c r="F32" s="311" t="str">
        <f>CONCATENATE('IV-2 vrsa'!F12)</f>
        <v>Lietuvos Respublikos žemės ūkio ministerija</v>
      </c>
      <c r="G32" s="311" t="str">
        <f>CONCATENATE('IV-2 vrsa'!G12)</f>
        <v>Varėnos r. sav.</v>
      </c>
      <c r="H32" s="311" t="str">
        <f>CONCATENATE('IV-2 vrsa'!H12)</f>
        <v xml:space="preserve">Pagrindinės paslaugos ir kaimų atnaujinimas kaimo vietovėse </v>
      </c>
      <c r="I32" s="11" t="str">
        <f>CONCATENATE('IV-2 vrsa'!I12)</f>
        <v>R</v>
      </c>
      <c r="J32" s="11" t="str">
        <f>CONCATENATE('IV-2 vrsa'!J12)</f>
        <v>-</v>
      </c>
      <c r="K32" s="11" t="str">
        <f>CONCATENATE('IV-2 vrsa'!K12)</f>
        <v>-</v>
      </c>
      <c r="L32" s="644">
        <f t="shared" si="14"/>
        <v>160048</v>
      </c>
      <c r="M32" s="644">
        <f>SUM('ketv. 6 '!L31)</f>
        <v>0</v>
      </c>
      <c r="N32" s="644">
        <f t="shared" si="15"/>
        <v>0</v>
      </c>
      <c r="O32" s="644">
        <f>SUMIF(KPP!C29:C122,C32,KPP!P29:P122)</f>
        <v>37451.800000000003</v>
      </c>
      <c r="P32" s="644">
        <f>SUM('ketv. 6 '!P31)</f>
        <v>0</v>
      </c>
      <c r="Q32" s="644">
        <f t="shared" si="16"/>
        <v>0</v>
      </c>
      <c r="R32" s="644">
        <f ca="1">SUMIF(KPP!C29:C722,C32,KPP!R29)</f>
        <v>0</v>
      </c>
      <c r="S32" s="644">
        <f>SUM('ketv. 6 '!T31)</f>
        <v>0</v>
      </c>
      <c r="T32" s="644">
        <f t="shared" si="17"/>
        <v>0</v>
      </c>
      <c r="U32" s="644">
        <f>SUM('IV-2 vrsa'!O12)</f>
        <v>0</v>
      </c>
      <c r="V32" s="644">
        <f>SUM('ketv. 6 '!X31)</f>
        <v>0</v>
      </c>
      <c r="W32" s="644">
        <f t="shared" si="18"/>
        <v>0</v>
      </c>
      <c r="X32" s="644">
        <f>SUM('IV-2 vrsa'!P12)</f>
        <v>0</v>
      </c>
      <c r="Y32" s="644">
        <f>SUM('ketv. 6 '!AB31)</f>
        <v>0</v>
      </c>
      <c r="Z32" s="644">
        <f t="shared" si="19"/>
        <v>0</v>
      </c>
      <c r="AA32" s="644">
        <f>SUMIF(KPP!C29:C722,C32,KPP!N29:N722)</f>
        <v>122596.20000000001</v>
      </c>
      <c r="AB32" s="1017">
        <f t="shared" ref="AB32" si="42">SUM(AB33:AB55)</f>
        <v>0</v>
      </c>
      <c r="AC32" s="16" t="str">
        <f>IF('ketv. 4 '!Z32&gt;0,"Taip","Ne")</f>
        <v>Ne</v>
      </c>
      <c r="AD32" s="16">
        <f>SUM('ketv. 6 '!AF31)</f>
        <v>0</v>
      </c>
      <c r="AE32" s="16">
        <f t="shared" si="8"/>
        <v>0</v>
      </c>
      <c r="AF32" s="431">
        <f>SUM('IV-2 vrsa'!S12)</f>
        <v>42643</v>
      </c>
      <c r="AG32" s="337">
        <f>SUM('IV-2 vrsa'!T12)</f>
        <v>42855</v>
      </c>
      <c r="AH32" s="337">
        <f>SUM('IV-2 vrsa'!U12)</f>
        <v>43010</v>
      </c>
      <c r="AI32" s="337">
        <f>SUM('IV-2 vrsa'!V12)</f>
        <v>43102</v>
      </c>
      <c r="AJ32" s="339">
        <f t="shared" si="25"/>
        <v>2018</v>
      </c>
      <c r="AK32" s="702">
        <f>SUM('IV-2 vrsa'!W12)</f>
        <v>43830</v>
      </c>
      <c r="AL32" s="16">
        <f t="shared" si="9"/>
        <v>0</v>
      </c>
      <c r="AM32" s="16">
        <f t="shared" si="10"/>
        <v>0</v>
      </c>
      <c r="AN32" s="16">
        <f t="shared" si="11"/>
        <v>122596.20000000001</v>
      </c>
      <c r="AO32" s="16">
        <f t="shared" si="12"/>
        <v>0</v>
      </c>
      <c r="AP32" s="703">
        <f t="shared" si="13"/>
        <v>0</v>
      </c>
      <c r="AQ32" s="704"/>
      <c r="AR32" s="704"/>
      <c r="AS32" s="704"/>
    </row>
    <row r="33" spans="1:51" s="131" customFormat="1" ht="35.25" customHeight="1" thickBot="1">
      <c r="A33" s="697" t="s">
        <v>14</v>
      </c>
      <c r="B33" s="1905" t="s">
        <v>1463</v>
      </c>
      <c r="C33" s="1891"/>
      <c r="D33" s="1891"/>
      <c r="E33" s="1891"/>
      <c r="F33" s="1891"/>
      <c r="G33" s="1891"/>
      <c r="H33" s="1891"/>
      <c r="I33" s="1891"/>
      <c r="J33" s="1891"/>
      <c r="K33" s="1892"/>
      <c r="L33" s="1054">
        <f t="shared" ref="L33:AB33" si="43">SUM(L34:L38)</f>
        <v>3717325.8</v>
      </c>
      <c r="M33" s="1014">
        <f>SUM(M34:M38)</f>
        <v>2673858.7999999998</v>
      </c>
      <c r="N33" s="1014">
        <f>SUM(N34:N38)</f>
        <v>0</v>
      </c>
      <c r="O33" s="1054">
        <f t="shared" si="43"/>
        <v>652364.41999999993</v>
      </c>
      <c r="P33" s="1014">
        <f>SUM(P34:P38)</f>
        <v>574103.41999999993</v>
      </c>
      <c r="Q33" s="1014">
        <f>SUM(Q34:Q38)</f>
        <v>0</v>
      </c>
      <c r="R33" s="1054">
        <f t="shared" si="43"/>
        <v>248510.74</v>
      </c>
      <c r="S33" s="1014">
        <f>SUM(S34:S38)</f>
        <v>170250.74</v>
      </c>
      <c r="T33" s="1014">
        <f>SUM(T34:T38)</f>
        <v>0</v>
      </c>
      <c r="U33" s="1054">
        <f t="shared" si="43"/>
        <v>0</v>
      </c>
      <c r="V33" s="1014">
        <f>SUM(V34:V38)</f>
        <v>0</v>
      </c>
      <c r="W33" s="1014">
        <f>SUM(W34:W38)</f>
        <v>0</v>
      </c>
      <c r="X33" s="1054">
        <f t="shared" si="43"/>
        <v>0</v>
      </c>
      <c r="Y33" s="1014">
        <f>SUM(Y34:Y38)</f>
        <v>0</v>
      </c>
      <c r="Z33" s="1014">
        <f>SUM(Z34:Z38)</f>
        <v>0</v>
      </c>
      <c r="AA33" s="1054">
        <f t="shared" si="43"/>
        <v>2816450.64</v>
      </c>
      <c r="AB33" s="1014">
        <f t="shared" si="43"/>
        <v>0</v>
      </c>
      <c r="AC33" s="708"/>
      <c r="AD33" s="708">
        <f>SUM(AD34:AD38)</f>
        <v>1929504.6400000001</v>
      </c>
      <c r="AE33" s="708">
        <f>SUM(AE34:AE38)</f>
        <v>0</v>
      </c>
      <c r="AF33" s="708"/>
      <c r="AG33" s="709"/>
      <c r="AH33" s="709"/>
      <c r="AI33" s="709"/>
      <c r="AJ33" s="710"/>
      <c r="AK33" s="711"/>
      <c r="AL33" s="712">
        <f>SUM(AL34:AL38)</f>
        <v>0</v>
      </c>
      <c r="AM33" s="712">
        <f t="shared" ref="AM33:AP33" si="44">SUM(AM34:AM38)</f>
        <v>0</v>
      </c>
      <c r="AN33" s="712">
        <f t="shared" si="44"/>
        <v>1929504.6400000001</v>
      </c>
      <c r="AO33" s="712">
        <f t="shared" si="44"/>
        <v>886946</v>
      </c>
      <c r="AP33" s="712">
        <f t="shared" si="44"/>
        <v>0</v>
      </c>
      <c r="AQ33" s="713">
        <f>SUM('IV-2 amsa'!X9+'IV-2 arsa'!W16+'IV-2 dsa'!W12+'IV-2 lrsa'!X14+'IV-2 vrsa'!X13)</f>
        <v>2816452.5292248097</v>
      </c>
      <c r="AR33" s="713">
        <f>SUM(AQ33*120/100)</f>
        <v>3379743.0350697716</v>
      </c>
      <c r="AS33" s="713">
        <f>SUM(AQ33-AA33)</f>
        <v>1.8892248095944524</v>
      </c>
      <c r="AU33" s="714"/>
      <c r="AV33" s="714"/>
      <c r="AY33" s="1015"/>
    </row>
    <row r="34" spans="1:51" ht="39.75" thickTop="1" thickBot="1">
      <c r="A34" s="311" t="s">
        <v>69</v>
      </c>
      <c r="B34" s="311" t="s">
        <v>1273</v>
      </c>
      <c r="C34" s="1093" t="str">
        <f>CONCATENATE('ketv. 2'!B33)</f>
        <v>08.2.1-CPVA-R-908-11-0002</v>
      </c>
      <c r="D34" s="311" t="str">
        <f>CONCATENATE('IV-2 vrsa'!D14)</f>
        <v>Matuizų kaimo viešosios infrastruktūros atnaujinimas ir pritaikymas bendruomenės poreikiams</v>
      </c>
      <c r="E34" s="311" t="str">
        <f>CONCATENATE('IV-2 vrsa'!E14)</f>
        <v>Varėnos rajono savivaldybės administracija</v>
      </c>
      <c r="F34" s="311" t="str">
        <f>CONCATENATE('IV-2 vrsa'!F14)</f>
        <v>Lietuvos Respublikos vidaus reikalų ministerija</v>
      </c>
      <c r="G34" s="311" t="str">
        <f>CONCATENATE('IV-2 vrsa'!G14)</f>
        <v>Varėnos r. sav.</v>
      </c>
      <c r="H34" s="130" t="str">
        <f>CONCATENATE('IV-2 vrsa'!H14)</f>
        <v>8.2.1-CPVA-R-908</v>
      </c>
      <c r="I34" s="11" t="str">
        <f>CONCATENATE('IV-2 vrsa'!I14)</f>
        <v>R</v>
      </c>
      <c r="J34" s="11" t="str">
        <f>CONCATENATE('IV-2 vrsa'!J14)</f>
        <v>-</v>
      </c>
      <c r="K34" s="11" t="str">
        <f>CONCATENATE('IV-2 vrsa'!K14)</f>
        <v>-</v>
      </c>
      <c r="L34" s="644">
        <f>SUM('IV-2 vrsa'!L14)</f>
        <v>815537.61</v>
      </c>
      <c r="M34" s="644">
        <f>SUM('ketv. 6 '!L33)</f>
        <v>815537.61</v>
      </c>
      <c r="N34" s="644">
        <f>IF(M34&gt;0,L34-M34,0)</f>
        <v>0</v>
      </c>
      <c r="O34" s="644">
        <f>SUM('IV-2 vrsa'!M14)</f>
        <v>285195.61</v>
      </c>
      <c r="P34" s="644">
        <f>SUM('ketv. 6 '!P33)</f>
        <v>285195.61</v>
      </c>
      <c r="Q34" s="644">
        <f>IF(P34&gt;0,O34-P34,0)</f>
        <v>0</v>
      </c>
      <c r="R34" s="644">
        <f>SUM('IV-2 vrsa'!N14)</f>
        <v>43001</v>
      </c>
      <c r="S34" s="644">
        <f>SUM('ketv. 6 '!T33)</f>
        <v>43001</v>
      </c>
      <c r="T34" s="644">
        <f>IF(S34&gt;0,R34-S34,0)</f>
        <v>0</v>
      </c>
      <c r="U34" s="644">
        <f>SUM('IV-2 vrsa'!O14)</f>
        <v>0</v>
      </c>
      <c r="V34" s="644">
        <f>SUM('ketv. 6 '!X33)</f>
        <v>0</v>
      </c>
      <c r="W34" s="644">
        <f>IF(V34&gt;0,U34-V34,0)</f>
        <v>0</v>
      </c>
      <c r="X34" s="644">
        <f>SUM('IV-2 vrsa'!P14)</f>
        <v>0</v>
      </c>
      <c r="Y34" s="644">
        <f>SUM('ketv. 6 '!AB33)</f>
        <v>0</v>
      </c>
      <c r="Z34" s="644">
        <f>IF(Y34&gt;0,X34-Y34,0)</f>
        <v>0</v>
      </c>
      <c r="AA34" s="644">
        <f>SUM('IV-2 vrsa'!Q14)</f>
        <v>487341</v>
      </c>
      <c r="AB34" s="644">
        <f>SUM('IV-2 vrsa'!R14)</f>
        <v>0</v>
      </c>
      <c r="AC34" s="16" t="str">
        <f>IF('ketv. 4 '!Z34&gt;0,"Taip","Ne")</f>
        <v>Taip</v>
      </c>
      <c r="AD34" s="16">
        <f>SUM('ketv. 6 '!AF33)</f>
        <v>487341</v>
      </c>
      <c r="AE34" s="16">
        <f>IF(AD34&gt;0,AA34-AD34,0)</f>
        <v>0</v>
      </c>
      <c r="AF34" s="431">
        <f>SUM('IV-2 vrsa'!S14)</f>
        <v>43006</v>
      </c>
      <c r="AG34" s="337">
        <f>SUM('IV-2 vrsa'!T14)</f>
        <v>43124</v>
      </c>
      <c r="AH34" s="337">
        <f>SUM('IV-2 vrsa'!U14)</f>
        <v>43189</v>
      </c>
      <c r="AI34" s="337">
        <f>SUM('IV-2 vrsa'!V14)</f>
        <v>43281</v>
      </c>
      <c r="AJ34" s="339">
        <f>IF(YEAR(AI34),YEAR(AI34))</f>
        <v>2018</v>
      </c>
      <c r="AK34" s="702">
        <f>SUM('IV-2 vrsa'!W14)</f>
        <v>44196</v>
      </c>
      <c r="AL34" s="16">
        <f>IF(YEAR(AI34)=2016,AA34,0)</f>
        <v>0</v>
      </c>
      <c r="AM34" s="16">
        <f>IF(YEAR(AI34)=2017,AA34,0)</f>
        <v>0</v>
      </c>
      <c r="AN34" s="16">
        <f>IF(YEAR(AI34)=2018,AA34,0)</f>
        <v>487341</v>
      </c>
      <c r="AO34" s="16">
        <f>IF(YEAR(AI34)=2019,AA34,0)</f>
        <v>0</v>
      </c>
      <c r="AP34" s="703">
        <f>IF(YEAR(AI34)=2020,AA34,0)</f>
        <v>0</v>
      </c>
      <c r="AQ34" s="30"/>
      <c r="AR34" s="30"/>
      <c r="AS34" s="30"/>
      <c r="AV34" s="693"/>
    </row>
    <row r="35" spans="1:51" ht="39.75" thickTop="1" thickBot="1">
      <c r="A35" s="311" t="s">
        <v>123</v>
      </c>
      <c r="B35" s="311" t="s">
        <v>1274</v>
      </c>
      <c r="C35" s="1093" t="str">
        <f>CONCATENATE('ketv. 2'!B34)</f>
        <v>08.2.1-CPVA-R-908-11-0001</v>
      </c>
      <c r="D35" s="311" t="str">
        <f>CONCATENATE('IV-2 vrsa'!D15)</f>
        <v>Senosios Varėnos kaimo viešosios infrastruktūros atnaujinimas ir pritaikymas bendruomenės poreikiams</v>
      </c>
      <c r="E35" s="311" t="str">
        <f>CONCATENATE('IV-2 vrsa'!E15)</f>
        <v>Varėnos rajono savivaldybės administracija</v>
      </c>
      <c r="F35" s="311" t="str">
        <f>CONCATENATE('IV-2 vrsa'!F15)</f>
        <v>Lietuvos Respublikos vidaus reikalų ministerija</v>
      </c>
      <c r="G35" s="311" t="str">
        <f>CONCATENATE('IV-2 vrsa'!G15)</f>
        <v>Varėnos r. sav.</v>
      </c>
      <c r="H35" s="130" t="str">
        <f>CONCATENATE('IV-2 vrsa'!H15)</f>
        <v>8.2.1-CPVA-R-908</v>
      </c>
      <c r="I35" s="11" t="str">
        <f>CONCATENATE('IV-2 vrsa'!I15)</f>
        <v>R</v>
      </c>
      <c r="J35" s="11" t="str">
        <f>CONCATENATE('IV-2 vrsa'!J15)</f>
        <v>-</v>
      </c>
      <c r="K35" s="11" t="str">
        <f>CONCATENATE('IV-2 vrsa'!K15)</f>
        <v>-</v>
      </c>
      <c r="L35" s="644">
        <f>SUM('IV-2 vrsa'!L15)</f>
        <v>605024.19999999995</v>
      </c>
      <c r="M35" s="644">
        <f>SUM('ketv. 6 '!L34)</f>
        <v>605024.19999999995</v>
      </c>
      <c r="N35" s="644">
        <f>IF(M35&gt;0,L35-M35,0)</f>
        <v>0</v>
      </c>
      <c r="O35" s="644">
        <f>SUM('IV-2 vrsa'!M15)</f>
        <v>45376.82</v>
      </c>
      <c r="P35" s="644">
        <f>SUM('ketv. 6 '!P34)</f>
        <v>45376.82</v>
      </c>
      <c r="Q35" s="644">
        <f>IF(P35&gt;0,O35-P35,0)</f>
        <v>0</v>
      </c>
      <c r="R35" s="644">
        <f>SUM('IV-2 vrsa'!N15)</f>
        <v>45376.81</v>
      </c>
      <c r="S35" s="644">
        <f>SUM('ketv. 6 '!T34)</f>
        <v>45376.81</v>
      </c>
      <c r="T35" s="644">
        <f>IF(S35&gt;0,R35-S35,0)</f>
        <v>0</v>
      </c>
      <c r="U35" s="644">
        <f>SUM('IV-2 vrsa'!O15)</f>
        <v>0</v>
      </c>
      <c r="V35" s="644">
        <f>SUM('ketv. 6 '!X34)</f>
        <v>0</v>
      </c>
      <c r="W35" s="644">
        <f>IF(V35&gt;0,U35-V35,0)</f>
        <v>0</v>
      </c>
      <c r="X35" s="644">
        <f>SUM('IV-2 vrsa'!P15)</f>
        <v>0</v>
      </c>
      <c r="Y35" s="644">
        <f>SUM('ketv. 6 '!AB34)</f>
        <v>0</v>
      </c>
      <c r="Z35" s="644">
        <f>IF(Y35&gt;0,X35-Y35,0)</f>
        <v>0</v>
      </c>
      <c r="AA35" s="644">
        <f>SUM('IV-2 vrsa'!Q15)</f>
        <v>514270.57</v>
      </c>
      <c r="AB35" s="644">
        <f>SUM('IV-2 vrsa'!R15)</f>
        <v>0</v>
      </c>
      <c r="AC35" s="16" t="str">
        <f>IF('ketv. 4 '!Z35&gt;0,"Taip","Ne")</f>
        <v>Taip</v>
      </c>
      <c r="AD35" s="16">
        <f>SUM('ketv. 6 '!AF34)</f>
        <v>514270.57</v>
      </c>
      <c r="AE35" s="16">
        <f>IF(AD35&gt;0,AA35-AD35,0)</f>
        <v>0</v>
      </c>
      <c r="AF35" s="431">
        <f>SUM('IV-2 vrsa'!S15)</f>
        <v>42982</v>
      </c>
      <c r="AG35" s="337">
        <f>SUM('IV-2 vrsa'!T15)</f>
        <v>42978</v>
      </c>
      <c r="AH35" s="337">
        <f>SUM('IV-2 vrsa'!U15)</f>
        <v>43039</v>
      </c>
      <c r="AI35" s="337">
        <f>SUM('IV-2 vrsa'!V15)</f>
        <v>43131</v>
      </c>
      <c r="AJ35" s="339">
        <f t="shared" ref="AJ35:AJ38" si="45">IF(YEAR(AI35),YEAR(AI35))</f>
        <v>2018</v>
      </c>
      <c r="AK35" s="702">
        <f>SUM('IV-2 vrsa'!W15)</f>
        <v>44196</v>
      </c>
      <c r="AL35" s="16">
        <f>IF(YEAR(AI35)=2016,AA35,0)</f>
        <v>0</v>
      </c>
      <c r="AM35" s="16">
        <f>IF(YEAR(AI35)=2017,AA35,0)</f>
        <v>0</v>
      </c>
      <c r="AN35" s="16">
        <f>IF(YEAR(AI35)=2018,AA35,0)</f>
        <v>514270.57</v>
      </c>
      <c r="AO35" s="16">
        <f>IF(YEAR(AI35)=2019,AA35,0)</f>
        <v>0</v>
      </c>
      <c r="AP35" s="703">
        <f>IF(YEAR(AI35)=2020,AA35,0)</f>
        <v>0</v>
      </c>
      <c r="AQ35" s="30"/>
      <c r="AR35" s="30"/>
      <c r="AS35" s="30"/>
    </row>
    <row r="36" spans="1:51" ht="39.75" thickTop="1" thickBot="1">
      <c r="A36" s="311" t="s">
        <v>193</v>
      </c>
      <c r="B36" s="311" t="s">
        <v>1757</v>
      </c>
      <c r="C36" s="1093" t="str">
        <f>CONCATENATE('ketv. 2'!B35)</f>
        <v>08.2.1-CPVA-R-908-11-0005</v>
      </c>
      <c r="D36" s="311" t="str">
        <f>CONCATENATE('IV-2 arsa'!C17)</f>
        <v>Kompleksinė Miklusėnų gyvenvietės plėtra</v>
      </c>
      <c r="E36" s="311" t="str">
        <f>CONCATENATE('IV-2 arsa'!D17)</f>
        <v>Alytaus rajono savivaldybės administracija</v>
      </c>
      <c r="F36" s="311" t="str">
        <f>CONCATENATE('IV-2 arsa'!E17)</f>
        <v>Lietuvos Respublikos vidaus reikalų ministerija</v>
      </c>
      <c r="G36" s="311" t="str">
        <f>CONCATENATE('IV-2 arsa'!F17)</f>
        <v>Alytaus r. sav.</v>
      </c>
      <c r="H36" s="130" t="str">
        <f>CONCATENATE('IV-2 arsa'!G17)</f>
        <v>8.2.1-CPVA-R-908</v>
      </c>
      <c r="I36" s="11" t="str">
        <f>CONCATENATE('IV-2 arsa'!H17)</f>
        <v>R</v>
      </c>
      <c r="J36" s="11" t="str">
        <f>CONCATENATE('IV-2 arsa'!I17)</f>
        <v>-</v>
      </c>
      <c r="K36" s="11" t="str">
        <f>CONCATENATE('IV-2 arsa'!J17)</f>
        <v>-</v>
      </c>
      <c r="L36" s="644">
        <f>SUM('IV-2 arsa'!K17)</f>
        <v>1043467</v>
      </c>
      <c r="M36" s="644">
        <f>SUM('ketv. 6 '!L35)</f>
        <v>0</v>
      </c>
      <c r="N36" s="644">
        <f>IF(M36&gt;0,L36-M36,0)</f>
        <v>0</v>
      </c>
      <c r="O36" s="644">
        <f>SUM('IV-2 arsa'!L17)</f>
        <v>78261</v>
      </c>
      <c r="P36" s="644">
        <f>SUM('ketv. 6 '!P35)</f>
        <v>0</v>
      </c>
      <c r="Q36" s="644">
        <f>IF(P36&gt;0,O36-P36,0)</f>
        <v>0</v>
      </c>
      <c r="R36" s="644">
        <f>SUM('IV-2 arsa'!M17)</f>
        <v>78260</v>
      </c>
      <c r="S36" s="644">
        <f>SUM('ketv. 6 '!T35)</f>
        <v>0</v>
      </c>
      <c r="T36" s="644">
        <f>IF(S36&gt;0,R36-S36,0)</f>
        <v>0</v>
      </c>
      <c r="U36" s="644">
        <f>SUM('IV-2 arsa'!N17)</f>
        <v>0</v>
      </c>
      <c r="V36" s="644">
        <f>SUM('ketv. 6 '!X35)</f>
        <v>0</v>
      </c>
      <c r="W36" s="644">
        <f>IF(V36&gt;0,U36-V36,0)</f>
        <v>0</v>
      </c>
      <c r="X36" s="644">
        <f>SUM('IV-2 arsa'!O17)</f>
        <v>0</v>
      </c>
      <c r="Y36" s="644">
        <f>SUM('ketv. 6 '!AB35)</f>
        <v>0</v>
      </c>
      <c r="Z36" s="644">
        <f>IF(Y36&gt;0,X36-Y36,0)</f>
        <v>0</v>
      </c>
      <c r="AA36" s="644">
        <f>SUM('IV-2 arsa'!P17)</f>
        <v>886946</v>
      </c>
      <c r="AB36" s="644">
        <f>SUM('IV-2 vrsa'!R16)</f>
        <v>0</v>
      </c>
      <c r="AC36" s="16" t="str">
        <f>IF('ketv. 4 '!Z36&gt;0,"Taip","Ne")</f>
        <v>Ne</v>
      </c>
      <c r="AD36" s="16">
        <f>SUM('ketv. 6 '!AF35)</f>
        <v>0</v>
      </c>
      <c r="AE36" s="16">
        <f>IF(AD36&gt;0,AA36-AD36,0)</f>
        <v>0</v>
      </c>
      <c r="AF36" s="431">
        <v>43130</v>
      </c>
      <c r="AG36" s="337">
        <f>SUM('IV-2 arsa'!S17)</f>
        <v>43465</v>
      </c>
      <c r="AH36" s="337">
        <f>SUM('IV-2 arsa'!T17)</f>
        <v>43555</v>
      </c>
      <c r="AI36" s="337">
        <f>SUM('IV-2 arsa'!U17)</f>
        <v>43646</v>
      </c>
      <c r="AJ36" s="339">
        <f t="shared" si="45"/>
        <v>2019</v>
      </c>
      <c r="AK36" s="702">
        <f>SUM('IV-2 arsa'!V17)</f>
        <v>44377</v>
      </c>
      <c r="AL36" s="16">
        <f>IF(YEAR(AI36)=2016,AA36,0)</f>
        <v>0</v>
      </c>
      <c r="AM36" s="16">
        <f>IF(YEAR(AI36)=2017,AA36,0)</f>
        <v>0</v>
      </c>
      <c r="AN36" s="16">
        <f>IF(YEAR(AI36)=2018,AA36,0)</f>
        <v>0</v>
      </c>
      <c r="AO36" s="16">
        <f>IF(YEAR(AI36)=2019,AA36,0)</f>
        <v>886946</v>
      </c>
      <c r="AP36" s="703">
        <f>IF(YEAR(AI36)=2020,AA36,0)</f>
        <v>0</v>
      </c>
      <c r="AQ36" s="30"/>
      <c r="AR36" s="30"/>
      <c r="AS36" s="30"/>
    </row>
    <row r="37" spans="1:51" ht="39.75" thickTop="1" thickBot="1">
      <c r="A37" s="311" t="s">
        <v>225</v>
      </c>
      <c r="B37" s="311" t="s">
        <v>1275</v>
      </c>
      <c r="C37" s="1093" t="str">
        <f>CONCATENATE('ketv. 2'!B36)</f>
        <v>08.2.1-CPVA-R-908-11-0003</v>
      </c>
      <c r="D37" s="311" t="str">
        <f>CONCATENATE('IV-2 dsa'!C13)</f>
        <v>Leipalingio viešosios erdvės pritaikymas bendruomenės poreikiams</v>
      </c>
      <c r="E37" s="311" t="str">
        <f>CONCATENATE('IV-2 dsa'!D13)</f>
        <v xml:space="preserve">Druskininkų savivaldybės administracija  </v>
      </c>
      <c r="F37" s="311" t="str">
        <f>CONCATENATE('IV-2 dsa'!E13)</f>
        <v>Lietuvos Respublikos vidaus reikalų ministerija</v>
      </c>
      <c r="G37" s="311" t="str">
        <f>CONCATENATE('IV-2 dsa'!F13)</f>
        <v>Druskininkų sav.</v>
      </c>
      <c r="H37" s="130" t="str">
        <f>CONCATENATE('IV-2 dsa'!G13)</f>
        <v>8.2.1-CPVA-R-908</v>
      </c>
      <c r="I37" s="11" t="str">
        <f>CONCATENATE('IV-2 dsa'!H13)</f>
        <v>R</v>
      </c>
      <c r="J37" s="11" t="str">
        <f>CONCATENATE('IV-2 dsa'!I13)</f>
        <v>-</v>
      </c>
      <c r="K37" s="11" t="str">
        <f>CONCATENATE('IV-2 dsa'!J13)</f>
        <v>-</v>
      </c>
      <c r="L37" s="644">
        <f>SUM('IV-2 dsa'!K13)</f>
        <v>579418.99</v>
      </c>
      <c r="M37" s="644">
        <f>SUM('ketv. 6 '!L36)</f>
        <v>579418.99</v>
      </c>
      <c r="N37" s="644">
        <f>IF(M37&gt;0,L37-M37,0)</f>
        <v>0</v>
      </c>
      <c r="O37" s="644">
        <f>SUM('IV-2 dsa'!L13)</f>
        <v>192989.99</v>
      </c>
      <c r="P37" s="644">
        <f>SUM('ketv. 6 '!P36)</f>
        <v>192989.99</v>
      </c>
      <c r="Q37" s="644">
        <f>IF(P37&gt;0,O37-P37,0)</f>
        <v>0</v>
      </c>
      <c r="R37" s="644">
        <f>SUM('IV-2 dsa'!M13)</f>
        <v>31332.09</v>
      </c>
      <c r="S37" s="644">
        <f>SUM('ketv. 6 '!T36)</f>
        <v>31332.09</v>
      </c>
      <c r="T37" s="644">
        <f>IF(S37&gt;0,R37-S37,0)</f>
        <v>0</v>
      </c>
      <c r="U37" s="644">
        <f>SUM('IV-2 dsa'!N13)</f>
        <v>0</v>
      </c>
      <c r="V37" s="644">
        <f>SUM('ketv. 6 '!X36)</f>
        <v>0</v>
      </c>
      <c r="W37" s="644">
        <f>IF(V37&gt;0,U37-V37,0)</f>
        <v>0</v>
      </c>
      <c r="X37" s="644">
        <f>SUM('IV-2 dsa'!O13)</f>
        <v>0</v>
      </c>
      <c r="Y37" s="644">
        <f>SUM('ketv. 6 '!AB36)</f>
        <v>0</v>
      </c>
      <c r="Z37" s="644">
        <f>IF(Y37&gt;0,X37-Y37,0)</f>
        <v>0</v>
      </c>
      <c r="AA37" s="644">
        <f>SUM('IV-2 dsa'!P13)</f>
        <v>355096.91</v>
      </c>
      <c r="AB37" s="644">
        <f>SUM('IV-2 vrsa'!R17)</f>
        <v>0</v>
      </c>
      <c r="AC37" s="16" t="str">
        <f>IF('ketv. 4 '!Z37&gt;0,"Taip","Ne")</f>
        <v>Taip</v>
      </c>
      <c r="AD37" s="16">
        <f>SUM('ketv. 6 '!AF36)</f>
        <v>355096.91</v>
      </c>
      <c r="AE37" s="16">
        <f>IF(AD37&gt;0,AA37-AD37,0)</f>
        <v>0</v>
      </c>
      <c r="AF37" s="431">
        <f>SUM('IV-2 dsa'!R13)</f>
        <v>43038</v>
      </c>
      <c r="AG37" s="337">
        <f>SUM('IV-2 dsa'!S13)</f>
        <v>43124</v>
      </c>
      <c r="AH37" s="337">
        <f>SUM('IV-2 dsa'!T13)</f>
        <v>43251</v>
      </c>
      <c r="AI37" s="337">
        <f>SUM('IV-2 dsa'!U13)</f>
        <v>43327</v>
      </c>
      <c r="AJ37" s="339">
        <f t="shared" si="45"/>
        <v>2018</v>
      </c>
      <c r="AK37" s="702">
        <f>SUM('IV-2 dsa'!V13)</f>
        <v>43830</v>
      </c>
      <c r="AL37" s="16">
        <f>IF(YEAR(AI37)=2016,AA37,0)</f>
        <v>0</v>
      </c>
      <c r="AM37" s="16">
        <f>IF(YEAR(AI37)=2017,AA37,0)</f>
        <v>0</v>
      </c>
      <c r="AN37" s="16">
        <f>IF(YEAR(AI37)=2018,AA37,0)</f>
        <v>355096.91</v>
      </c>
      <c r="AO37" s="16">
        <f>IF(YEAR(AI37)=2019,AA37,0)</f>
        <v>0</v>
      </c>
      <c r="AP37" s="703">
        <f>IF(YEAR(AI37)=2020,AA37,0)</f>
        <v>0</v>
      </c>
      <c r="AQ37" s="30"/>
      <c r="AR37" s="30"/>
      <c r="AS37" s="30"/>
    </row>
    <row r="38" spans="1:51" ht="39.75" thickTop="1" thickBot="1">
      <c r="A38" s="311" t="s">
        <v>226</v>
      </c>
      <c r="B38" s="311" t="s">
        <v>1276</v>
      </c>
      <c r="C38" s="1093" t="str">
        <f>CONCATENATE('ketv. 2'!B37)</f>
        <v>08.2.1-CPVA-R-908-11-0004</v>
      </c>
      <c r="D38" s="311" t="str">
        <f>CONCATENATE('IV-2 dsa'!C14)</f>
        <v>Viečiūnų viešosios erdvės pritaikymas bendruomenės poreikiams</v>
      </c>
      <c r="E38" s="311" t="str">
        <f>CONCATENATE('IV-2 dsa'!D14)</f>
        <v xml:space="preserve">Druskininkų savivaldybės administracija  </v>
      </c>
      <c r="F38" s="311" t="str">
        <f>CONCATENATE('IV-2 dsa'!E14)</f>
        <v>Lietuvos Respublikos vidaus reikalų ministerija</v>
      </c>
      <c r="G38" s="311" t="str">
        <f>CONCATENATE('IV-2 dsa'!F14)</f>
        <v>Druskininkų sav.</v>
      </c>
      <c r="H38" s="130" t="str">
        <f>CONCATENATE('IV-2 dsa'!G14)</f>
        <v>8.2.1-CPVA-R-908</v>
      </c>
      <c r="I38" s="11" t="str">
        <f>CONCATENATE('IV-2 dsa'!H14)</f>
        <v>R</v>
      </c>
      <c r="J38" s="11" t="str">
        <f>CONCATENATE('IV-2 dsa'!I14)</f>
        <v>-</v>
      </c>
      <c r="K38" s="11" t="str">
        <f>CONCATENATE('IV-2 dsa'!J14)</f>
        <v>-</v>
      </c>
      <c r="L38" s="644">
        <f>SUM('IV-2 dsa'!K14)</f>
        <v>673878</v>
      </c>
      <c r="M38" s="644">
        <f>SUM('ketv. 6 '!L37)</f>
        <v>673878</v>
      </c>
      <c r="N38" s="644">
        <f>IF(M38&gt;0,L38-M38,0)</f>
        <v>0</v>
      </c>
      <c r="O38" s="644">
        <f>SUM('IV-2 dsa'!L14)</f>
        <v>50541</v>
      </c>
      <c r="P38" s="644">
        <f>SUM('ketv. 6 '!P37)</f>
        <v>50541</v>
      </c>
      <c r="Q38" s="644">
        <f>IF(P38&gt;0,O38-P38,0)</f>
        <v>0</v>
      </c>
      <c r="R38" s="644">
        <f>SUM('IV-2 dsa'!M14)</f>
        <v>50540.84</v>
      </c>
      <c r="S38" s="644">
        <f>SUM('ketv. 6 '!T37)</f>
        <v>50540.84</v>
      </c>
      <c r="T38" s="644">
        <f>IF(S38&gt;0,R38-S38,0)</f>
        <v>0</v>
      </c>
      <c r="U38" s="644">
        <f>SUM('IV-2 dsa'!N14)</f>
        <v>0</v>
      </c>
      <c r="V38" s="644">
        <f>SUM('ketv. 6 '!X37)</f>
        <v>0</v>
      </c>
      <c r="W38" s="644">
        <f>IF(V38&gt;0,U38-V38,0)</f>
        <v>0</v>
      </c>
      <c r="X38" s="644">
        <f>SUM('IV-2 dsa'!O14)</f>
        <v>0</v>
      </c>
      <c r="Y38" s="644">
        <f>SUM('ketv. 6 '!AB37)</f>
        <v>0</v>
      </c>
      <c r="Z38" s="644">
        <f>IF(Y38&gt;0,X38-Y38,0)</f>
        <v>0</v>
      </c>
      <c r="AA38" s="644">
        <f>SUM('IV-2 dsa'!P14)</f>
        <v>572796.16000000003</v>
      </c>
      <c r="AB38" s="644">
        <f>SUM('IV-2 vrsa'!R18)</f>
        <v>0</v>
      </c>
      <c r="AC38" s="16" t="str">
        <f>IF('ketv. 4 '!Z38&gt;0,"Taip","Ne")</f>
        <v>Taip</v>
      </c>
      <c r="AD38" s="16">
        <f>SUM('ketv. 6 '!AF37)</f>
        <v>572796.16000000003</v>
      </c>
      <c r="AE38" s="16">
        <f>IF(AD38&gt;0,AA38-AD38,0)</f>
        <v>0</v>
      </c>
      <c r="AF38" s="431">
        <f>SUM('IV-2 dsa'!R14)</f>
        <v>43038</v>
      </c>
      <c r="AG38" s="337">
        <f>SUM('IV-2 dsa'!S14)</f>
        <v>43124</v>
      </c>
      <c r="AH38" s="337">
        <f>SUM('IV-2 dsa'!T14)</f>
        <v>43251</v>
      </c>
      <c r="AI38" s="337">
        <f>SUM('IV-2 dsa'!U14)</f>
        <v>43312</v>
      </c>
      <c r="AJ38" s="339">
        <f t="shared" si="45"/>
        <v>2018</v>
      </c>
      <c r="AK38" s="702">
        <f>SUM('IV-2 dsa'!V14)</f>
        <v>43830</v>
      </c>
      <c r="AL38" s="16">
        <f>IF(YEAR(AI38)=2016,AA38,0)</f>
        <v>0</v>
      </c>
      <c r="AM38" s="16">
        <f>IF(YEAR(AI38)=2017,AA38,0)</f>
        <v>0</v>
      </c>
      <c r="AN38" s="16">
        <f>IF(YEAR(AI38)=2018,AA38,0)</f>
        <v>572796.16000000003</v>
      </c>
      <c r="AO38" s="16">
        <f>IF(YEAR(AI38)=2019,AA38,0)</f>
        <v>0</v>
      </c>
      <c r="AP38" s="703">
        <f>IF(YEAR(AI38)=2020,AA38,0)</f>
        <v>0</v>
      </c>
      <c r="AQ38" s="30"/>
      <c r="AR38" s="30"/>
      <c r="AS38" s="30"/>
    </row>
    <row r="39" spans="1:51" s="131" customFormat="1" ht="28.5" customHeight="1" thickBot="1">
      <c r="A39" s="697" t="s">
        <v>70</v>
      </c>
      <c r="B39" s="1905" t="s">
        <v>1464</v>
      </c>
      <c r="C39" s="1889"/>
      <c r="D39" s="1889"/>
      <c r="E39" s="1889"/>
      <c r="F39" s="1889"/>
      <c r="G39" s="1889"/>
      <c r="H39" s="1889"/>
      <c r="I39" s="1889"/>
      <c r="J39" s="1889"/>
      <c r="K39" s="1890"/>
      <c r="L39" s="1054">
        <f>SUM(L40:L45)</f>
        <v>4359732.13</v>
      </c>
      <c r="M39" s="1014">
        <f>SUM(M40:M45)</f>
        <v>4374552.7700000005</v>
      </c>
      <c r="N39" s="1014">
        <f>SUM(N40:N45)</f>
        <v>-14820.640000000305</v>
      </c>
      <c r="O39" s="1054">
        <f t="shared" ref="O39:U39" si="46">SUM(O40:O45)</f>
        <v>336200.36</v>
      </c>
      <c r="P39" s="1014">
        <f>SUM(P40:P45)</f>
        <v>632549.98</v>
      </c>
      <c r="Q39" s="1014">
        <f>SUM(Q40:Q45)</f>
        <v>-296349.62</v>
      </c>
      <c r="R39" s="1054">
        <f t="shared" si="46"/>
        <v>326232.31000000006</v>
      </c>
      <c r="S39" s="1014">
        <f>SUM(S40:S45)</f>
        <v>329682.87</v>
      </c>
      <c r="T39" s="1014">
        <f>SUM(T40:T45)</f>
        <v>-3450.5600000000122</v>
      </c>
      <c r="U39" s="1054">
        <f t="shared" si="46"/>
        <v>0</v>
      </c>
      <c r="V39" s="1014">
        <f>SUM(V40:V45)</f>
        <v>0</v>
      </c>
      <c r="W39" s="1014">
        <f>SUM(W40:W45)</f>
        <v>0</v>
      </c>
      <c r="X39" s="1054">
        <f>SUM(X40:X45)</f>
        <v>0</v>
      </c>
      <c r="Y39" s="1014">
        <f>SUM(Y40:Y45)</f>
        <v>0</v>
      </c>
      <c r="Z39" s="1014">
        <f>SUM(Z40:Z45)</f>
        <v>0</v>
      </c>
      <c r="AA39" s="1054">
        <f t="shared" ref="AA39" si="47">SUM(AA40:AA45)</f>
        <v>3697299.46</v>
      </c>
      <c r="AB39" s="1014">
        <f>SUM('IV-2 vrsa'!R19)</f>
        <v>0</v>
      </c>
      <c r="AC39" s="698"/>
      <c r="AD39" s="698">
        <f>SUM(AD40:AD45)</f>
        <v>3412319.92</v>
      </c>
      <c r="AE39" s="698">
        <f>SUM(AE40:AE45)</f>
        <v>284979.5399999998</v>
      </c>
      <c r="AF39" s="698"/>
      <c r="AG39" s="715"/>
      <c r="AH39" s="715"/>
      <c r="AI39" s="715"/>
      <c r="AJ39" s="716"/>
      <c r="AK39" s="717"/>
      <c r="AL39" s="712">
        <f>SUM(AL40:AL45)</f>
        <v>1289301.81</v>
      </c>
      <c r="AM39" s="712">
        <f t="shared" ref="AM39:AP39" si="48">SUM(AM40:AM45)</f>
        <v>685370</v>
      </c>
      <c r="AN39" s="712">
        <f t="shared" si="48"/>
        <v>1722627.6500000001</v>
      </c>
      <c r="AO39" s="712">
        <f t="shared" si="48"/>
        <v>0</v>
      </c>
      <c r="AP39" s="712">
        <f t="shared" si="48"/>
        <v>0</v>
      </c>
      <c r="AQ39" s="713">
        <f>SUM('IV-2 amsa'!X11+'IV-2 arsa'!W18+'IV-2 dsa'!W15+'IV-2 lrsa'!X16+'IV-2 vrsa'!X16)</f>
        <v>3697302</v>
      </c>
      <c r="AR39" s="713">
        <f>SUM(AQ39*120/100)</f>
        <v>4436762.4000000004</v>
      </c>
      <c r="AS39" s="713">
        <f>SUM(AQ39-AA39)</f>
        <v>2.5400000000372529</v>
      </c>
    </row>
    <row r="40" spans="1:51" ht="39.75" thickTop="1" thickBot="1">
      <c r="A40" s="311" t="s">
        <v>71</v>
      </c>
      <c r="B40" s="311" t="s">
        <v>1277</v>
      </c>
      <c r="C40" s="1093" t="str">
        <f>CONCATENATE('ketv. 2'!B39)</f>
        <v>07.1.1-CPVA-R-905-11-0001</v>
      </c>
      <c r="D40" s="311" t="str">
        <f>CONCATENATE('IV-2 vrsa'!D17)</f>
        <v>Varėnos miesto centrinės dalies modernizavimas ir pritaikymas visuomenės poreikiams (I etapas)</v>
      </c>
      <c r="E40" s="311" t="str">
        <f>CONCATENATE('IV-2 vrsa'!E17)</f>
        <v>Varėnos rajono savivaldybės administracija</v>
      </c>
      <c r="F40" s="311" t="str">
        <f>CONCATENATE('IV-2 vrsa'!F17)</f>
        <v>Lietuvos Respublikos vidaus reikalų ministerija</v>
      </c>
      <c r="G40" s="311" t="str">
        <f>CONCATENATE('IV-2 vrsa'!G17)</f>
        <v>Varėnos r. sav.</v>
      </c>
      <c r="H40" s="130" t="str">
        <f>CONCATENATE('IV-2 vrsa'!H17)</f>
        <v xml:space="preserve">07.1.1-CPVA-R-905 </v>
      </c>
      <c r="I40" s="11" t="str">
        <f>CONCATENATE('IV-2 vrsa'!I17)</f>
        <v>R</v>
      </c>
      <c r="J40" s="11" t="str">
        <f>CONCATENATE('IV-2 vrsa'!J17)</f>
        <v>ITI</v>
      </c>
      <c r="K40" s="11" t="str">
        <f>CONCATENATE('IV-2 vrsa'!K17)</f>
        <v>-</v>
      </c>
      <c r="L40" s="644">
        <f>SUM('IV-2 vrsa'!L17)</f>
        <v>1516825.67</v>
      </c>
      <c r="M40" s="1017">
        <f>SUM('ketv. 6 '!L39)</f>
        <v>1516825.6700000004</v>
      </c>
      <c r="N40" s="1017">
        <f t="shared" ref="N40:N45" si="49">IF(M40&gt;0,L40-M40,0)</f>
        <v>-4.6566128730773926E-10</v>
      </c>
      <c r="O40" s="644">
        <f>SUM('IV-2 vrsa'!M17)</f>
        <v>113761.94</v>
      </c>
      <c r="P40" s="1017">
        <f>SUM('ketv. 6 '!P39)</f>
        <v>113761.94</v>
      </c>
      <c r="Q40" s="1017">
        <f t="shared" ref="Q40" si="50">IF(P40&gt;0,O40-P40,0)</f>
        <v>0</v>
      </c>
      <c r="R40" s="644">
        <f>SUM('IV-2 vrsa'!N17)</f>
        <v>113761.92</v>
      </c>
      <c r="S40" s="1017">
        <f>SUM('ketv. 6 '!T39)</f>
        <v>140039.17000000001</v>
      </c>
      <c r="T40" s="1017">
        <f t="shared" ref="T40" si="51">IF(S40&gt;0,R40-S40,0)</f>
        <v>-26277.250000000015</v>
      </c>
      <c r="U40" s="644">
        <f>SUM('IV-2 vrsa'!O17)</f>
        <v>0</v>
      </c>
      <c r="V40" s="1017">
        <f>SUM('ketv. 6 '!X39)</f>
        <v>0</v>
      </c>
      <c r="W40" s="1017">
        <f t="shared" ref="W40" si="52">IF(V40&gt;0,U40-V40,0)</f>
        <v>0</v>
      </c>
      <c r="X40" s="644">
        <f>SUM('IV-2 vrsa'!P17)</f>
        <v>0</v>
      </c>
      <c r="Y40" s="1017">
        <f>SUM('ketv. 6 '!AB39)</f>
        <v>0</v>
      </c>
      <c r="Z40" s="1017">
        <f t="shared" ref="Z40" si="53">IF(Y40&gt;0,X40-Y40,0)</f>
        <v>0</v>
      </c>
      <c r="AA40" s="644">
        <f>SUM('IV-2 vrsa'!Q17)</f>
        <v>1289301.81</v>
      </c>
      <c r="AB40" s="1017">
        <f>SUM('IV-2 vrsa'!R20)</f>
        <v>0</v>
      </c>
      <c r="AC40" s="16" t="str">
        <f>IF('ketv. 4 '!Z40&gt;0,"Taip","Ne")</f>
        <v>Taip</v>
      </c>
      <c r="AD40" s="16">
        <f>SUM('ketv. 6 '!AF39)</f>
        <v>1263024.5600000003</v>
      </c>
      <c r="AE40" s="16">
        <f t="shared" ref="AE40" si="54">IF(AD40&gt;0,AA40-AD40,0)</f>
        <v>26277.249999999767</v>
      </c>
      <c r="AF40" s="431">
        <f>SUM('IV-2 vrsa'!S17)</f>
        <v>43108</v>
      </c>
      <c r="AG40" s="337">
        <f>SUM('IV-2 vrsa'!T17)</f>
        <v>42528</v>
      </c>
      <c r="AH40" s="337">
        <f>SUM('IV-2 vrsa'!U17)</f>
        <v>42566</v>
      </c>
      <c r="AI40" s="337">
        <f>SUM('IV-2 vrsa'!V17)</f>
        <v>42735</v>
      </c>
      <c r="AJ40" s="339">
        <f t="shared" ref="AJ40:AJ45" si="55">IF(YEAR(AI40),YEAR(AI40))</f>
        <v>2016</v>
      </c>
      <c r="AK40" s="702">
        <f>SUM('IV-2 vrsa'!W17)</f>
        <v>43465</v>
      </c>
      <c r="AL40" s="16">
        <f t="shared" ref="AL40:AL45" si="56">IF(YEAR(AI40)=2016,AA40,0)</f>
        <v>1289301.81</v>
      </c>
      <c r="AM40" s="16">
        <f t="shared" ref="AM40:AM45" si="57">IF(YEAR(AI40)=2017,AA40,0)</f>
        <v>0</v>
      </c>
      <c r="AN40" s="16">
        <f t="shared" ref="AN40:AN45" si="58">IF(YEAR(AI40)=2018,AA40,0)</f>
        <v>0</v>
      </c>
      <c r="AO40" s="16">
        <f t="shared" ref="AO40:AO45" si="59">IF(YEAR(AI40)=2019,AA40,0)</f>
        <v>0</v>
      </c>
      <c r="AP40" s="703">
        <f t="shared" ref="AP40:AP45" si="60">IF(YEAR(AI40)=2020,AA40,0)</f>
        <v>0</v>
      </c>
      <c r="AQ40" s="30"/>
      <c r="AR40" s="30"/>
      <c r="AS40" s="30"/>
      <c r="AW40" s="54"/>
      <c r="AX40" s="59"/>
    </row>
    <row r="41" spans="1:51" ht="39.75" thickTop="1" thickBot="1">
      <c r="A41" s="311" t="s">
        <v>126</v>
      </c>
      <c r="B41" s="311" t="s">
        <v>1278</v>
      </c>
      <c r="C41" s="1093" t="str">
        <f>CONCATENATE('ketv. 2'!B40)</f>
        <v>07.1.1-CPVA-R-905-11-0002</v>
      </c>
      <c r="D41" s="311" t="str">
        <f>CONCATENATE('IV-2 vrsa'!D18)</f>
        <v>Varėnos miesto centrinės dalies modernizavimas ir pritaikymas visuomenės poreikiams (II etapas)</v>
      </c>
      <c r="E41" s="311" t="str">
        <f>CONCATENATE('IV-2 vrsa'!E18)</f>
        <v>Varėnos rajono savivaldybės administracija</v>
      </c>
      <c r="F41" s="311" t="str">
        <f>CONCATENATE('IV-2 vrsa'!F18)</f>
        <v>Lietuvos Respublikos vidaus reikalų ministerija</v>
      </c>
      <c r="G41" s="311" t="str">
        <f>CONCATENATE('IV-2 vrsa'!G18)</f>
        <v>Varėnos r. sav.</v>
      </c>
      <c r="H41" s="130" t="str">
        <f>CONCATENATE('IV-2 vrsa'!H18)</f>
        <v xml:space="preserve">07.1.1-CPVA-R-905 </v>
      </c>
      <c r="I41" s="11" t="str">
        <f>CONCATENATE('IV-2 vrsa'!I18)</f>
        <v>R</v>
      </c>
      <c r="J41" s="11" t="str">
        <f>CONCATENATE('IV-2 vrsa'!J18)</f>
        <v>ITI</v>
      </c>
      <c r="K41" s="11" t="str">
        <f>CONCATENATE('IV-2 vrsa'!K18)</f>
        <v>-</v>
      </c>
      <c r="L41" s="644">
        <f>SUM('IV-2 vrsa'!L18)</f>
        <v>815103</v>
      </c>
      <c r="M41" s="1017">
        <f>SUM('ketv. 6 '!L40)</f>
        <v>806317.97</v>
      </c>
      <c r="N41" s="1017">
        <f t="shared" si="49"/>
        <v>8785.0300000000279</v>
      </c>
      <c r="O41" s="644">
        <f>SUM('IV-2 vrsa'!M18)</f>
        <v>69259</v>
      </c>
      <c r="P41" s="1017">
        <f>SUM('ketv. 6 '!P40)</f>
        <v>60473.85</v>
      </c>
      <c r="Q41" s="1017">
        <f>IF(P41&gt;0,O41-P41,0)</f>
        <v>8785.1500000000015</v>
      </c>
      <c r="R41" s="644">
        <f>SUM('IV-2 vrsa'!N18)</f>
        <v>60474</v>
      </c>
      <c r="S41" s="1017">
        <f>SUM('ketv. 6 '!T40)</f>
        <v>60473.84</v>
      </c>
      <c r="T41" s="1017">
        <f>IF(S41&gt;0,R41-S41,0)</f>
        <v>0.16000000000349246</v>
      </c>
      <c r="U41" s="644">
        <f>SUM('IV-2 vrsa'!O18)</f>
        <v>0</v>
      </c>
      <c r="V41" s="1017">
        <f>SUM('ketv. 6 '!X40)</f>
        <v>0</v>
      </c>
      <c r="W41" s="1017">
        <f>IF(V41&gt;0,U41-V41,0)</f>
        <v>0</v>
      </c>
      <c r="X41" s="644">
        <f>SUM('IV-2 vrsa'!P18)</f>
        <v>0</v>
      </c>
      <c r="Y41" s="1017">
        <f>SUM('ketv. 6 '!AB40)</f>
        <v>0</v>
      </c>
      <c r="Z41" s="1017">
        <f>IF(Y41&gt;0,X41-Y41,0)</f>
        <v>0</v>
      </c>
      <c r="AA41" s="644">
        <f>SUM('IV-2 vrsa'!Q18)</f>
        <v>685370</v>
      </c>
      <c r="AB41" s="1017">
        <f>SUM('IV-2 vrsa'!R21)</f>
        <v>0</v>
      </c>
      <c r="AC41" s="16" t="str">
        <f>IF('ketv. 4 '!Z41&gt;0,"Taip","Ne")</f>
        <v>Taip</v>
      </c>
      <c r="AD41" s="16">
        <f>SUM('ketv. 6 '!AF40)</f>
        <v>685370.28</v>
      </c>
      <c r="AE41" s="16">
        <f>IF(AD41&gt;0,AA41-AD41,0)</f>
        <v>-0.28000000002793968</v>
      </c>
      <c r="AF41" s="431">
        <f>SUM('IV-2 vrsa'!S18)</f>
        <v>43108</v>
      </c>
      <c r="AG41" s="337">
        <f>SUM('IV-2 vrsa'!T18)</f>
        <v>42830</v>
      </c>
      <c r="AH41" s="337">
        <f>SUM('IV-2 vrsa'!U18)</f>
        <v>42885</v>
      </c>
      <c r="AI41" s="337">
        <f>SUM('IV-2 vrsa'!V18)</f>
        <v>42978</v>
      </c>
      <c r="AJ41" s="339">
        <f t="shared" si="55"/>
        <v>2017</v>
      </c>
      <c r="AK41" s="702">
        <f>SUM('IV-2 vrsa'!W18)</f>
        <v>43830</v>
      </c>
      <c r="AL41" s="16">
        <f t="shared" si="56"/>
        <v>0</v>
      </c>
      <c r="AM41" s="16">
        <f t="shared" si="57"/>
        <v>685370</v>
      </c>
      <c r="AN41" s="16">
        <f t="shared" si="58"/>
        <v>0</v>
      </c>
      <c r="AO41" s="16">
        <f t="shared" si="59"/>
        <v>0</v>
      </c>
      <c r="AP41" s="703">
        <f t="shared" si="60"/>
        <v>0</v>
      </c>
      <c r="AQ41" s="30"/>
      <c r="AR41" s="30"/>
      <c r="AS41" s="30"/>
      <c r="AX41" s="59"/>
    </row>
    <row r="42" spans="1:51" ht="39.75" thickTop="1" thickBot="1">
      <c r="A42" s="311" t="s">
        <v>127</v>
      </c>
      <c r="B42" s="311" t="s">
        <v>1279</v>
      </c>
      <c r="C42" s="1093" t="str">
        <f>CONCATENATE('ketv. 2'!B41)</f>
        <v>07.1.1-CPVA-R-905-11-0004</v>
      </c>
      <c r="D42" s="311" t="str">
        <f>CONCATENATE('IV-2 vrsa'!D19)</f>
        <v>Varėnos miesto Dainų slėnio infrastruktūros atnaujinimas ir pritaikymas visuomenės poreikiams</v>
      </c>
      <c r="E42" s="311" t="str">
        <f>CONCATENATE('IV-2 vrsa'!E19)</f>
        <v>Varėnos rajono savivaldybės administracija</v>
      </c>
      <c r="F42" s="311" t="str">
        <f>CONCATENATE('IV-2 vrsa'!F19)</f>
        <v>Lietuvos Respublikos vidaus reikalų ministerija</v>
      </c>
      <c r="G42" s="311" t="str">
        <f>CONCATENATE('IV-2 vrsa'!G19)</f>
        <v>Varėnos r. sav.</v>
      </c>
      <c r="H42" s="130" t="str">
        <f>CONCATENATE('IV-2 vrsa'!H19)</f>
        <v xml:space="preserve">07.1.1-CPVA-R-905 </v>
      </c>
      <c r="I42" s="11" t="str">
        <f>CONCATENATE('IV-2 vrsa'!I19)</f>
        <v>R</v>
      </c>
      <c r="J42" s="11" t="str">
        <f>CONCATENATE('IV-2 vrsa'!J19)</f>
        <v>ITI</v>
      </c>
      <c r="K42" s="11" t="str">
        <f>CONCATENATE('IV-2 vrsa'!K19)</f>
        <v>-</v>
      </c>
      <c r="L42" s="644">
        <f>SUM('IV-2 vrsa'!L19)</f>
        <v>514646.41000000003</v>
      </c>
      <c r="M42" s="1017">
        <f>SUM('ketv. 6 '!L41)</f>
        <v>514646.41000000003</v>
      </c>
      <c r="N42" s="1017">
        <f t="shared" si="49"/>
        <v>0</v>
      </c>
      <c r="O42" s="644">
        <f>SUM('IV-2 vrsa'!M19)</f>
        <v>38598.49</v>
      </c>
      <c r="P42" s="1017">
        <f>SUM('ketv. 6 '!P41)</f>
        <v>38598.49</v>
      </c>
      <c r="Q42" s="1017">
        <f>IF(P42&gt;0,O42-P42,0)</f>
        <v>0</v>
      </c>
      <c r="R42" s="644">
        <f>SUM('IV-2 vrsa'!N19)</f>
        <v>38598.480000000003</v>
      </c>
      <c r="S42" s="1017">
        <f>SUM('ketv. 6 '!T41)</f>
        <v>38598.480000000003</v>
      </c>
      <c r="T42" s="1017">
        <f>IF(S42&gt;0,R42-S42,0)</f>
        <v>0</v>
      </c>
      <c r="U42" s="644">
        <f>SUM('IV-2 vrsa'!O19)</f>
        <v>0</v>
      </c>
      <c r="V42" s="1017">
        <f>SUM('ketv. 6 '!X41)</f>
        <v>0</v>
      </c>
      <c r="W42" s="1017">
        <f>IF(V42&gt;0,U42-V42,0)</f>
        <v>0</v>
      </c>
      <c r="X42" s="644">
        <f>SUM('IV-2 vrsa'!P19)</f>
        <v>0</v>
      </c>
      <c r="Y42" s="1017">
        <f>SUM('ketv. 6 '!AB41)</f>
        <v>0</v>
      </c>
      <c r="Z42" s="1017">
        <f>IF(Y42&gt;0,X42-Y42,0)</f>
        <v>0</v>
      </c>
      <c r="AA42" s="644">
        <f>SUM('IV-2 vrsa'!Q19)</f>
        <v>437449.44</v>
      </c>
      <c r="AB42" s="1017">
        <f>SUM('IV-2 vrsa'!R22)</f>
        <v>0</v>
      </c>
      <c r="AC42" s="16" t="str">
        <f>IF('ketv. 4 '!Z42&gt;0,"Taip","Ne")</f>
        <v>Taip</v>
      </c>
      <c r="AD42" s="16">
        <f>SUM('ketv. 6 '!AF41)</f>
        <v>437449.44</v>
      </c>
      <c r="AE42" s="16">
        <f>IF(AD42&gt;0,AA42-AD42,0)</f>
        <v>0</v>
      </c>
      <c r="AF42" s="431">
        <f>SUM('IV-2 vrsa'!S19)</f>
        <v>43108</v>
      </c>
      <c r="AG42" s="337">
        <f>SUM('IV-2 vrsa'!T19)</f>
        <v>43190</v>
      </c>
      <c r="AH42" s="337">
        <f>SUM('IV-2 vrsa'!U19)</f>
        <v>43238</v>
      </c>
      <c r="AI42" s="337">
        <f>SUM('IV-2 vrsa'!V19)</f>
        <v>43321</v>
      </c>
      <c r="AJ42" s="339">
        <f t="shared" si="55"/>
        <v>2018</v>
      </c>
      <c r="AK42" s="702">
        <f>SUM('IV-2 vrsa'!W19)</f>
        <v>44196</v>
      </c>
      <c r="AL42" s="16">
        <f t="shared" si="56"/>
        <v>0</v>
      </c>
      <c r="AM42" s="16">
        <f t="shared" si="57"/>
        <v>0</v>
      </c>
      <c r="AN42" s="16">
        <f t="shared" si="58"/>
        <v>437449.44</v>
      </c>
      <c r="AO42" s="16">
        <f t="shared" si="59"/>
        <v>0</v>
      </c>
      <c r="AP42" s="703">
        <f t="shared" si="60"/>
        <v>0</v>
      </c>
      <c r="AQ42" s="30"/>
      <c r="AR42" s="30"/>
      <c r="AS42" s="30"/>
    </row>
    <row r="43" spans="1:51" ht="39.75" thickTop="1" thickBot="1">
      <c r="A43" s="311" t="s">
        <v>128</v>
      </c>
      <c r="B43" s="311" t="s">
        <v>1280</v>
      </c>
      <c r="C43" s="1093" t="str">
        <f>CONCATENATE('ketv. 2'!B42)</f>
        <v>07.1.1-CPVA-R-905-11-0003</v>
      </c>
      <c r="D43" s="311" t="str">
        <f>CONCATENATE('IV-2 vrsa'!D20)</f>
        <v>Karloniškės ežero ir jo prieigų sutvarkymas ir pritaikymas aktyviam poilsiui</v>
      </c>
      <c r="E43" s="311" t="str">
        <f>CONCATENATE('IV-2 vrsa'!E20)</f>
        <v>Varėnos rajono savivaldybės administracija</v>
      </c>
      <c r="F43" s="311" t="str">
        <f>CONCATENATE('IV-2 vrsa'!F20)</f>
        <v>Lietuvos Respublikos vidaus reikalų ministerija</v>
      </c>
      <c r="G43" s="311" t="str">
        <f>CONCATENATE('IV-2 vrsa'!G20)</f>
        <v>Varėnos r. sav.</v>
      </c>
      <c r="H43" s="130" t="str">
        <f>CONCATENATE('IV-2 vrsa'!H20)</f>
        <v xml:space="preserve">07.1.1-CPVA-R-905 </v>
      </c>
      <c r="I43" s="11" t="str">
        <f>CONCATENATE('IV-2 vrsa'!I20)</f>
        <v>R</v>
      </c>
      <c r="J43" s="11" t="str">
        <f>CONCATENATE('IV-2 vrsa'!J20)</f>
        <v>ITI</v>
      </c>
      <c r="K43" s="14" t="s">
        <v>66</v>
      </c>
      <c r="L43" s="644">
        <f>SUM('IV-2 vrsa'!L20)</f>
        <v>877516.65</v>
      </c>
      <c r="M43" s="644">
        <f>SUM('ketv. 6 '!L42)</f>
        <v>877516.64999999991</v>
      </c>
      <c r="N43" s="644">
        <f t="shared" si="49"/>
        <v>1.1641532182693481E-10</v>
      </c>
      <c r="O43" s="644">
        <f>SUM('IV-2 vrsa'!M20)</f>
        <v>65813.75</v>
      </c>
      <c r="P43" s="644">
        <f>SUM('ketv. 6 '!P42)</f>
        <v>177064.65</v>
      </c>
      <c r="Q43" s="644">
        <f>IF(P43&gt;0,O43-P43,0)</f>
        <v>-111250.9</v>
      </c>
      <c r="R43" s="644">
        <f>SUM('IV-2 vrsa'!N20)</f>
        <v>65813.75</v>
      </c>
      <c r="S43" s="644">
        <f>SUM('ketv. 6 '!T42)</f>
        <v>56793.41</v>
      </c>
      <c r="T43" s="644">
        <f>IF(S43&gt;0,R43-S43,0)</f>
        <v>9020.3399999999965</v>
      </c>
      <c r="U43" s="644">
        <f>SUM('IV-2 vrsa'!O20)</f>
        <v>0</v>
      </c>
      <c r="V43" s="644">
        <f>SUM('ketv. 6 '!X42)</f>
        <v>0</v>
      </c>
      <c r="W43" s="644">
        <f>IF(V43&gt;0,U43-V43,0)</f>
        <v>0</v>
      </c>
      <c r="X43" s="644">
        <f>SUM('IV-2 vrsa'!P20)</f>
        <v>0</v>
      </c>
      <c r="Y43" s="644">
        <f>SUM('ketv. 6 '!AB42)</f>
        <v>0</v>
      </c>
      <c r="Z43" s="644">
        <f>IF(Y43&gt;0,X43-Y43,0)</f>
        <v>0</v>
      </c>
      <c r="AA43" s="644">
        <f>SUM('IV-2 vrsa'!Q20)</f>
        <v>745889.15</v>
      </c>
      <c r="AB43" s="644">
        <f>SUM('IV-2 vrsa'!R23)</f>
        <v>0</v>
      </c>
      <c r="AC43" s="16" t="str">
        <f>IF('ketv. 4 '!Z43&gt;0,"Taip","Ne")</f>
        <v>Taip</v>
      </c>
      <c r="AD43" s="16">
        <f>SUM('ketv. 6 '!AF42)</f>
        <v>643658.59</v>
      </c>
      <c r="AE43" s="16">
        <f>IF(AD43&gt;0,AA43-AD43,0)</f>
        <v>102230.56000000006</v>
      </c>
      <c r="AF43" s="431">
        <f>SUM('IV-2 vrsa'!S20)</f>
        <v>43108</v>
      </c>
      <c r="AG43" s="337">
        <f>SUM('IV-2 vrsa'!T20)</f>
        <v>42915</v>
      </c>
      <c r="AH43" s="337">
        <f>SUM('IV-2 vrsa'!U20)</f>
        <v>43008</v>
      </c>
      <c r="AI43" s="337">
        <f>SUM('IV-2 vrsa'!V20)</f>
        <v>43105</v>
      </c>
      <c r="AJ43" s="339">
        <f t="shared" si="55"/>
        <v>2018</v>
      </c>
      <c r="AK43" s="702">
        <f>SUM('IV-2 vrsa'!W20)</f>
        <v>43861</v>
      </c>
      <c r="AL43" s="16">
        <f t="shared" si="56"/>
        <v>0</v>
      </c>
      <c r="AM43" s="16">
        <f t="shared" si="57"/>
        <v>0</v>
      </c>
      <c r="AN43" s="16">
        <f t="shared" si="58"/>
        <v>745889.15</v>
      </c>
      <c r="AO43" s="16">
        <f t="shared" si="59"/>
        <v>0</v>
      </c>
      <c r="AP43" s="703">
        <f t="shared" si="60"/>
        <v>0</v>
      </c>
      <c r="AQ43" s="39"/>
      <c r="AR43" s="39"/>
      <c r="AS43" s="30"/>
      <c r="AX43" s="59"/>
    </row>
    <row r="44" spans="1:51" ht="39.75" thickTop="1" thickBot="1">
      <c r="A44" s="311" t="s">
        <v>301</v>
      </c>
      <c r="B44" s="311" t="s">
        <v>1281</v>
      </c>
      <c r="C44" s="1093" t="str">
        <f>CONCATENATE('ketv. 2'!B43)</f>
        <v>07.1.1-CPVA-R-905-11-0005</v>
      </c>
      <c r="D44" s="311" t="str">
        <f>CONCATENATE('IV-2 vrsa'!D21)</f>
        <v>Nenaudojamų teritorijų Varėnos mieste sutvarkymas ir pritaikymas verslui</v>
      </c>
      <c r="E44" s="311" t="str">
        <f>CONCATENATE('IV-2 vrsa'!E21)</f>
        <v>Varėnos rajono savivaldybės administracija</v>
      </c>
      <c r="F44" s="311" t="str">
        <f>CONCATENATE('IV-2 vrsa'!F21)</f>
        <v>Lietuvos Respublikos vidaus reikalų ministerija</v>
      </c>
      <c r="G44" s="311" t="str">
        <f>CONCATENATE('IV-2 vrsa'!G21)</f>
        <v>Varėnos r. sav.</v>
      </c>
      <c r="H44" s="130" t="str">
        <f>CONCATENATE('IV-2 vrsa'!H21)</f>
        <v xml:space="preserve">07.1.1-CPVA-R-905 </v>
      </c>
      <c r="I44" s="11" t="str">
        <f>CONCATENATE('IV-2 vrsa'!I21)</f>
        <v>R</v>
      </c>
      <c r="J44" s="11" t="str">
        <f>CONCATENATE('IV-2 vrsa'!J21)</f>
        <v>ITI</v>
      </c>
      <c r="K44" s="11" t="str">
        <f>CONCATENATE('IV-2 vrsa'!K21)</f>
        <v>-</v>
      </c>
      <c r="L44" s="644">
        <f>SUM('IV-2 vrsa'!L21)</f>
        <v>150000</v>
      </c>
      <c r="M44" s="644">
        <f>SUM('ketv. 6 '!L43)</f>
        <v>173605.66999999998</v>
      </c>
      <c r="N44" s="644">
        <f t="shared" si="49"/>
        <v>-23605.669999999984</v>
      </c>
      <c r="O44" s="644">
        <f>SUM('IV-2 vrsa'!M21)</f>
        <v>11250</v>
      </c>
      <c r="P44" s="644">
        <f>SUM('ketv. 6 '!P43)</f>
        <v>34855.67</v>
      </c>
      <c r="Q44" s="644">
        <f>IF(P44&gt;0,O44-P44,0)</f>
        <v>-23605.67</v>
      </c>
      <c r="R44" s="644">
        <f>SUM('IV-2 vrsa'!N21)</f>
        <v>11250</v>
      </c>
      <c r="S44" s="644">
        <f>SUM('ketv. 6 '!T43)</f>
        <v>11250</v>
      </c>
      <c r="T44" s="644">
        <f>IF(S44&gt;0,R44-S44,0)</f>
        <v>0</v>
      </c>
      <c r="U44" s="644">
        <f>SUM('IV-2 vrsa'!O21)</f>
        <v>0</v>
      </c>
      <c r="V44" s="644">
        <f>SUM('ketv. 6 '!X43)</f>
        <v>0</v>
      </c>
      <c r="W44" s="644">
        <f>IF(V44&gt;0,U44-V44,0)</f>
        <v>0</v>
      </c>
      <c r="X44" s="644">
        <f>SUM('IV-2 vrsa'!P21)</f>
        <v>0</v>
      </c>
      <c r="Y44" s="644">
        <f>SUM('ketv. 6 '!AB43)</f>
        <v>0</v>
      </c>
      <c r="Z44" s="644">
        <f>IF(Y44&gt;0,X44-Y44,0)</f>
        <v>0</v>
      </c>
      <c r="AA44" s="644">
        <f>SUM('IV-2 vrsa'!Q21)</f>
        <v>127500</v>
      </c>
      <c r="AB44" s="644">
        <f>SUM('IV-2 vrsa'!R24)</f>
        <v>0</v>
      </c>
      <c r="AC44" s="16" t="str">
        <f>IF('ketv. 4 '!Z44&gt;0,"Taip","Ne")</f>
        <v>Taip</v>
      </c>
      <c r="AD44" s="16">
        <f>SUM('ketv. 6 '!AF43)</f>
        <v>127500</v>
      </c>
      <c r="AE44" s="16">
        <f>IF(AD44&gt;0,AA44-AD44,0)</f>
        <v>0</v>
      </c>
      <c r="AF44" s="431">
        <f>SUM('IV-2 vrsa'!S21)</f>
        <v>43108</v>
      </c>
      <c r="AG44" s="337">
        <f>SUM('IV-2 vrsa'!T21)</f>
        <v>43342</v>
      </c>
      <c r="AH44" s="337">
        <f>SUM('IV-2 vrsa'!U21)</f>
        <v>43373</v>
      </c>
      <c r="AI44" s="337">
        <f>SUM('IV-2 vrsa'!V21)</f>
        <v>43464</v>
      </c>
      <c r="AJ44" s="339">
        <f t="shared" si="55"/>
        <v>2018</v>
      </c>
      <c r="AK44" s="702">
        <f>SUM('IV-2 vrsa'!W21)</f>
        <v>44165</v>
      </c>
      <c r="AL44" s="16">
        <f t="shared" si="56"/>
        <v>0</v>
      </c>
      <c r="AM44" s="16">
        <f t="shared" si="57"/>
        <v>0</v>
      </c>
      <c r="AN44" s="16">
        <f t="shared" si="58"/>
        <v>127500</v>
      </c>
      <c r="AO44" s="16">
        <f t="shared" si="59"/>
        <v>0</v>
      </c>
      <c r="AP44" s="703">
        <f t="shared" si="60"/>
        <v>0</v>
      </c>
      <c r="AQ44" s="35"/>
      <c r="AR44" s="36"/>
      <c r="AS44" s="30"/>
    </row>
    <row r="45" spans="1:51" ht="45.75" customHeight="1" thickBot="1">
      <c r="A45" s="311" t="s">
        <v>794</v>
      </c>
      <c r="B45" s="311" t="s">
        <v>1282</v>
      </c>
      <c r="C45" s="130" t="str">
        <f>CONCATENATE('ketv. 2'!B45)</f>
        <v/>
      </c>
      <c r="D45" s="311" t="str">
        <f>CONCATENATE('IV-2 vrsa'!D22)</f>
        <v>Teritorijų prie daugiabučių gyvenamųjų pastatų Varėnos mieste sutvarkymas ir pritaikymas visuomenės poreikiams</v>
      </c>
      <c r="E45" s="311" t="str">
        <f>CONCATENATE('IV-2 vrsa'!E22)</f>
        <v>Varėnos rajono savivaldybės administracija</v>
      </c>
      <c r="F45" s="311" t="str">
        <f>CONCATENATE('IV-2 vrsa'!F22)</f>
        <v>Lietuvos Respublikos vidaus reikalų ministerija</v>
      </c>
      <c r="G45" s="311" t="str">
        <f>CONCATENATE('IV-2 vrsa'!G22)</f>
        <v>Varėnos r. sav.</v>
      </c>
      <c r="H45" s="130" t="str">
        <f>CONCATENATE('IV-2 vrsa'!H22)</f>
        <v xml:space="preserve">07.1.1-CPVA-R-905 </v>
      </c>
      <c r="I45" s="11" t="str">
        <f>CONCATENATE('IV-2 vrsa'!I22)</f>
        <v>R</v>
      </c>
      <c r="J45" s="11" t="str">
        <f>CONCATENATE('IV-2 vrsa'!J22)</f>
        <v>ITI</v>
      </c>
      <c r="K45" s="11" t="str">
        <f>CONCATENATE('IV-2 vrsa'!K22)</f>
        <v>-</v>
      </c>
      <c r="L45" s="644">
        <f>SUM('IV-2 vrsa'!L22)</f>
        <v>485640.4</v>
      </c>
      <c r="M45" s="644">
        <f>SUM('ketv. 6 '!L44)</f>
        <v>485640.4</v>
      </c>
      <c r="N45" s="644">
        <f t="shared" si="49"/>
        <v>0</v>
      </c>
      <c r="O45" s="644">
        <f>SUM('IV-2 vrsa'!M22)</f>
        <v>37517.18</v>
      </c>
      <c r="P45" s="644">
        <f>SUM('ketv. 6 '!P44)</f>
        <v>207795.38</v>
      </c>
      <c r="Q45" s="644">
        <f>IF(P45&gt;0,O45-P45,0)</f>
        <v>-170278.2</v>
      </c>
      <c r="R45" s="644">
        <f>SUM('IV-2 vrsa'!N22)</f>
        <v>36334.160000000003</v>
      </c>
      <c r="S45" s="644">
        <f>SUM('ketv. 6 '!T44)</f>
        <v>22527.97</v>
      </c>
      <c r="T45" s="644">
        <f>IF(S45&gt;0,R45-S45,0)</f>
        <v>13806.190000000002</v>
      </c>
      <c r="U45" s="644">
        <f>SUM('IV-2 vrsa'!O22)</f>
        <v>0</v>
      </c>
      <c r="V45" s="644">
        <f>SUM('ketv. 6 '!X44)</f>
        <v>0</v>
      </c>
      <c r="W45" s="644">
        <f>IF(V45&gt;0,U45-V45,0)</f>
        <v>0</v>
      </c>
      <c r="X45" s="644">
        <f>SUM('IV-2 vrsa'!P22)</f>
        <v>0</v>
      </c>
      <c r="Y45" s="644">
        <f>SUM('ketv. 6 '!AB44)</f>
        <v>0</v>
      </c>
      <c r="Z45" s="644">
        <f>IF(Y45&gt;0,X45-Y45,0)</f>
        <v>0</v>
      </c>
      <c r="AA45" s="644">
        <f>SUM('IV-2 vrsa'!Q22)</f>
        <v>411789.06</v>
      </c>
      <c r="AB45" s="644">
        <f>SUM('IV-2 vrsa'!R25)</f>
        <v>0</v>
      </c>
      <c r="AC45" s="16" t="str">
        <f>IF('ketv. 4 '!Z45&gt;0,"Taip","Ne")</f>
        <v>Taip</v>
      </c>
      <c r="AD45" s="16">
        <f>SUM('ketv. 6 '!AF44)</f>
        <v>255317.05</v>
      </c>
      <c r="AE45" s="16">
        <f>IF(AD45&gt;0,AA45-AD45,0)</f>
        <v>156472.01</v>
      </c>
      <c r="AF45" s="431">
        <v>43108</v>
      </c>
      <c r="AG45" s="337">
        <f>SUM('IV-2 vrsa'!T22)</f>
        <v>43342</v>
      </c>
      <c r="AH45" s="337">
        <f>SUM('IV-2 vrsa'!U22)</f>
        <v>43373</v>
      </c>
      <c r="AI45" s="337">
        <f>SUM('IV-2 vrsa'!V22)</f>
        <v>43464</v>
      </c>
      <c r="AJ45" s="339">
        <f t="shared" si="55"/>
        <v>2018</v>
      </c>
      <c r="AK45" s="702">
        <f>SUM('IV-2 vrsa'!W22)</f>
        <v>44165</v>
      </c>
      <c r="AL45" s="16">
        <f t="shared" si="56"/>
        <v>0</v>
      </c>
      <c r="AM45" s="16">
        <f t="shared" si="57"/>
        <v>0</v>
      </c>
      <c r="AN45" s="16">
        <f t="shared" si="58"/>
        <v>411789.06</v>
      </c>
      <c r="AO45" s="16">
        <f t="shared" si="59"/>
        <v>0</v>
      </c>
      <c r="AP45" s="703">
        <f t="shared" si="60"/>
        <v>0</v>
      </c>
      <c r="AQ45" s="30"/>
      <c r="AR45" s="37"/>
      <c r="AS45" s="30"/>
    </row>
    <row r="46" spans="1:51" ht="33.75" customHeight="1" thickBot="1">
      <c r="A46" s="718" t="s">
        <v>16</v>
      </c>
      <c r="B46" s="1888" t="s">
        <v>1465</v>
      </c>
      <c r="C46" s="1889"/>
      <c r="D46" s="1889"/>
      <c r="E46" s="1889"/>
      <c r="F46" s="1889"/>
      <c r="G46" s="1889"/>
      <c r="H46" s="1889"/>
      <c r="I46" s="1889"/>
      <c r="J46" s="1889"/>
      <c r="K46" s="1890"/>
      <c r="L46" s="1054">
        <f t="shared" ref="L46:AA46" si="61">SUM(L47:L49)</f>
        <v>2431517.75</v>
      </c>
      <c r="M46" s="1014">
        <f>SUM(M47:M49)</f>
        <v>2104351.75</v>
      </c>
      <c r="N46" s="1014">
        <f>SUM(N47:N49)</f>
        <v>327166</v>
      </c>
      <c r="O46" s="1054">
        <f t="shared" si="61"/>
        <v>615648.60000000009</v>
      </c>
      <c r="P46" s="1014">
        <f>SUM(P47:P49)</f>
        <v>288482.59999999998</v>
      </c>
      <c r="Q46" s="1014">
        <f>SUM(Q47:Q49)</f>
        <v>327166</v>
      </c>
      <c r="R46" s="1054">
        <f t="shared" si="61"/>
        <v>147232.63000000003</v>
      </c>
      <c r="S46" s="1014">
        <f>SUM(S47:S49)</f>
        <v>147232.63000000003</v>
      </c>
      <c r="T46" s="1014">
        <f>SUM(T47:T49)</f>
        <v>0</v>
      </c>
      <c r="U46" s="1054">
        <f t="shared" si="61"/>
        <v>0</v>
      </c>
      <c r="V46" s="1014">
        <f>SUM(V47:V49)</f>
        <v>0</v>
      </c>
      <c r="W46" s="1014">
        <f>SUM(W47:W49)</f>
        <v>0</v>
      </c>
      <c r="X46" s="1054">
        <f t="shared" si="61"/>
        <v>0</v>
      </c>
      <c r="Y46" s="1014">
        <f>SUM(Y47:Y49)</f>
        <v>0</v>
      </c>
      <c r="Z46" s="1014">
        <f>SUM(Z47:Z49)</f>
        <v>0</v>
      </c>
      <c r="AA46" s="1054">
        <f t="shared" si="61"/>
        <v>1668636.52</v>
      </c>
      <c r="AB46" s="1014">
        <f>SUM('IV-2 vrsa'!R26)</f>
        <v>0</v>
      </c>
      <c r="AC46" s="698"/>
      <c r="AD46" s="698">
        <f>SUM(AD47:AD49)</f>
        <v>1668636.52</v>
      </c>
      <c r="AE46" s="698">
        <f>SUM(AE47:AE49)</f>
        <v>0</v>
      </c>
      <c r="AF46" s="698"/>
      <c r="AG46" s="715"/>
      <c r="AH46" s="715"/>
      <c r="AI46" s="715"/>
      <c r="AJ46" s="716"/>
      <c r="AK46" s="717"/>
      <c r="AL46" s="16">
        <f>SUM(AL47:AL49)</f>
        <v>1668636.52</v>
      </c>
      <c r="AM46" s="16">
        <f t="shared" ref="AM46:AP46" si="62">SUM(AM47:AM49)</f>
        <v>0</v>
      </c>
      <c r="AN46" s="16">
        <f t="shared" si="62"/>
        <v>0</v>
      </c>
      <c r="AO46" s="16">
        <f t="shared" si="62"/>
        <v>0</v>
      </c>
      <c r="AP46" s="16">
        <f t="shared" si="62"/>
        <v>0</v>
      </c>
      <c r="AQ46" s="30">
        <f>SUM('IV-2 amsa'!X13+'IV-2 arsa'!W20+'IV-2 dsa'!W17+'IV-2 lrsa'!X18+'IV-2 vrsa'!X23)</f>
        <v>1733965</v>
      </c>
      <c r="AR46" s="30">
        <f>SUM(AQ46*120/100)</f>
        <v>2080758</v>
      </c>
      <c r="AS46" s="30">
        <f>SUM(AQ46-AA46)</f>
        <v>65328.479999999981</v>
      </c>
    </row>
    <row r="47" spans="1:51" ht="39.75" thickTop="1" thickBot="1">
      <c r="A47" s="311" t="s">
        <v>72</v>
      </c>
      <c r="B47" s="311" t="s">
        <v>1283</v>
      </c>
      <c r="C47" s="1093" t="str">
        <f>CONCATENATE('ketv. 2'!B46)</f>
        <v>07.1.1-CPVA-V-902-01-0008</v>
      </c>
      <c r="D47" s="311" t="str">
        <f>CONCATENATE('IV-2 amsa'!D14)</f>
        <v>Buvusios pramoninės teritorijos Pramonės g. 1 Alytuje, pritaikymas verslo vystymui ir plėtrai.</v>
      </c>
      <c r="E47" s="311" t="str">
        <f>CONCATENATE('IV-2 amsa'!E14)</f>
        <v>Alytaus miesto savivaldybės administracija</v>
      </c>
      <c r="F47" s="311" t="str">
        <f>CONCATENATE('IV-2 amsa'!F14)</f>
        <v>Lietuvos Respublikos vidaus reikalų ministerija</v>
      </c>
      <c r="G47" s="311" t="str">
        <f>CONCATENATE('IV-2 amsa'!G14)</f>
        <v>Alytaus m. sav.</v>
      </c>
      <c r="H47" s="130" t="str">
        <f>CONCATENATE('IV-2 amsa'!H14)</f>
        <v>07.1.1-CPVA-V-902</v>
      </c>
      <c r="I47" s="11" t="str">
        <f>CONCATENATE('IV-2 amsa'!I14)</f>
        <v>V</v>
      </c>
      <c r="J47" s="11" t="str">
        <f>CONCATENATE('IV-2 amsa'!J14)</f>
        <v>ITI</v>
      </c>
      <c r="K47" s="11" t="str">
        <f>CONCATENATE('IV-2 amsa'!K14)</f>
        <v>-</v>
      </c>
      <c r="L47" s="644">
        <f>SUM('IV-2 amsa'!L14)</f>
        <v>1286060.7500000002</v>
      </c>
      <c r="M47" s="1017">
        <f>SUM('ketv. 6 '!L46)</f>
        <v>1286060.7500000002</v>
      </c>
      <c r="N47" s="1017">
        <f>IF(M47&gt;0,L47-M47,0)</f>
        <v>0</v>
      </c>
      <c r="O47" s="644">
        <f>SUM('IV-2 amsa'!M14)</f>
        <v>96454.570000000022</v>
      </c>
      <c r="P47" s="1017">
        <f>SUM('ketv. 6 '!P46)</f>
        <v>96454.570000000022</v>
      </c>
      <c r="Q47" s="1017">
        <f t="shared" ref="Q47" si="63">IF(P47&gt;0,O47-P47,0)</f>
        <v>0</v>
      </c>
      <c r="R47" s="644">
        <f>SUM('IV-2 amsa'!N14)</f>
        <v>96454.550000000032</v>
      </c>
      <c r="S47" s="1017">
        <f>SUM('ketv. 6 '!T46)</f>
        <v>96454.550000000032</v>
      </c>
      <c r="T47" s="1017">
        <f t="shared" ref="T47" si="64">IF(S47&gt;0,R47-S47,0)</f>
        <v>0</v>
      </c>
      <c r="U47" s="644">
        <f>SUM('IV-2 amsa'!O14)</f>
        <v>0</v>
      </c>
      <c r="V47" s="1017">
        <f>SUM('ketv. 6 '!X46)</f>
        <v>0</v>
      </c>
      <c r="W47" s="1017">
        <f t="shared" ref="W47" si="65">IF(V47&gt;0,U47-V47,0)</f>
        <v>0</v>
      </c>
      <c r="X47" s="644">
        <f>SUM('IV-2 amsa'!P14)</f>
        <v>0</v>
      </c>
      <c r="Y47" s="1017">
        <f>SUM('ketv. 6 '!AB46)</f>
        <v>0</v>
      </c>
      <c r="Z47" s="1017">
        <f t="shared" ref="Z47" si="66">IF(Y47&gt;0,X47-Y47,0)</f>
        <v>0</v>
      </c>
      <c r="AA47" s="644">
        <f>SUM('IV-2 amsa'!Q14)</f>
        <v>1093151.6300000001</v>
      </c>
      <c r="AB47" s="1017">
        <f>SUM('IV-2 vrsa'!R27)</f>
        <v>0</v>
      </c>
      <c r="AC47" s="16" t="str">
        <f>IF('ketv. 4 '!Z47&gt;0,"Taip","Ne")</f>
        <v>Taip</v>
      </c>
      <c r="AD47" s="16">
        <f>SUM('ketv. 6 '!AF46)</f>
        <v>1093151.6300000001</v>
      </c>
      <c r="AE47" s="16">
        <f>IF(AD47&gt;0,AA47-AD47,0)</f>
        <v>0</v>
      </c>
      <c r="AF47" s="431">
        <f>SUM('IV-2 amsa'!S14)</f>
        <v>42246</v>
      </c>
      <c r="AG47" s="337">
        <f>SUM('IV-2 amsa'!T14)</f>
        <v>42338</v>
      </c>
      <c r="AH47" s="337">
        <f>SUM('IV-2 amsa'!U14)</f>
        <v>42674</v>
      </c>
      <c r="AI47" s="337">
        <f>SUM('IV-2 amsa'!V14)</f>
        <v>42735</v>
      </c>
      <c r="AJ47" s="339">
        <f t="shared" ref="AJ47:AJ49" si="67">IF(YEAR(AI47),YEAR(AI47))</f>
        <v>2016</v>
      </c>
      <c r="AK47" s="702">
        <f>SUM('IV-2 amsa'!W14)</f>
        <v>43281</v>
      </c>
      <c r="AL47" s="16">
        <f>IF(YEAR(AI47)=2016,AA47,0)</f>
        <v>1093151.6300000001</v>
      </c>
      <c r="AM47" s="16">
        <f>IF(YEAR(AI47)=2017,AA47,0)</f>
        <v>0</v>
      </c>
      <c r="AN47" s="16">
        <f>IF(YEAR(AI47)=2018,AA47,0)</f>
        <v>0</v>
      </c>
      <c r="AO47" s="16">
        <f>IF(YEAR(AI47)=2019,AA47,0)</f>
        <v>0</v>
      </c>
      <c r="AP47" s="703">
        <f>IF(YEAR(AI47)=2020,AA47,0)</f>
        <v>0</v>
      </c>
      <c r="AQ47" s="30"/>
      <c r="AR47" s="30"/>
      <c r="AS47" s="30"/>
    </row>
    <row r="48" spans="1:51" ht="39.75" thickTop="1" thickBot="1">
      <c r="A48" s="311" t="s">
        <v>165</v>
      </c>
      <c r="B48" s="311" t="s">
        <v>1284</v>
      </c>
      <c r="C48" s="1093" t="str">
        <f>CONCATENATE('ketv. 2'!B47)</f>
        <v>07.1.1-CPVA-R-903-11-0001</v>
      </c>
      <c r="D48" s="311" t="str">
        <f>CONCATENATE('IV-2 dsa'!C18)</f>
        <v>Amatų centro „Menų kalvė“ Druskininkuose įkūrimas</v>
      </c>
      <c r="E48" s="311" t="str">
        <f>CONCATENATE('IV-2 dsa'!D18)</f>
        <v xml:space="preserve">Druskininkų savivaldybės administracija  </v>
      </c>
      <c r="F48" s="311" t="str">
        <f>CONCATENATE('IV-2 dsa'!E18)</f>
        <v>Lietuvos Respublikos vidaus reikalų ministerija</v>
      </c>
      <c r="G48" s="311" t="str">
        <f>CONCATENATE('IV-2 dsa'!F18)</f>
        <v>Druskininkų sav.</v>
      </c>
      <c r="H48" s="130" t="str">
        <f>CONCATENATE('IV-2 dsa'!G18)</f>
        <v>07.1.1-CPVA-R-903</v>
      </c>
      <c r="I48" s="11" t="str">
        <f>CONCATENATE('IV-2 dsa'!H18)</f>
        <v>R</v>
      </c>
      <c r="J48" s="11" t="str">
        <f>CONCATENATE('IV-2 dsa'!I18)</f>
        <v>ITI</v>
      </c>
      <c r="K48" s="11" t="str">
        <f>CONCATENATE('IV-2 dsa'!J18)</f>
        <v>-</v>
      </c>
      <c r="L48" s="644">
        <f>SUM('IV-2 dsa'!K18)</f>
        <v>801950</v>
      </c>
      <c r="M48" s="1017">
        <f>SUM('ketv. 6 '!L47)</f>
        <v>474784</v>
      </c>
      <c r="N48" s="1017">
        <f>IF(M48&gt;0,L48-M48,0)</f>
        <v>327166</v>
      </c>
      <c r="O48" s="644">
        <f>SUM('IV-2 dsa'!L18)</f>
        <v>493431</v>
      </c>
      <c r="P48" s="1017">
        <f>SUM('ketv. 6 '!P47)</f>
        <v>166265</v>
      </c>
      <c r="Q48" s="1017">
        <f>IF(P48&gt;0,O48-P48,0)</f>
        <v>327166</v>
      </c>
      <c r="R48" s="644">
        <f>SUM('IV-2 dsa'!M18)</f>
        <v>25015.06</v>
      </c>
      <c r="S48" s="1017">
        <f>SUM('ketv. 6 '!T47)</f>
        <v>25015.06</v>
      </c>
      <c r="T48" s="1017">
        <f>IF(S48&gt;0,R48-S48,0)</f>
        <v>0</v>
      </c>
      <c r="U48" s="644">
        <f>SUM('IV-2 dsa'!N18)</f>
        <v>0</v>
      </c>
      <c r="V48" s="1017">
        <f>SUM('ketv. 6 '!X47)</f>
        <v>0</v>
      </c>
      <c r="W48" s="1017">
        <f>IF(V48&gt;0,U48-V48,0)</f>
        <v>0</v>
      </c>
      <c r="X48" s="644">
        <f>SUM('IV-2 dsa'!O18)</f>
        <v>0</v>
      </c>
      <c r="Y48" s="1017">
        <f>SUM('ketv. 6 '!AB47)</f>
        <v>0</v>
      </c>
      <c r="Z48" s="1017">
        <f>IF(Y48&gt;0,X48-Y48,0)</f>
        <v>0</v>
      </c>
      <c r="AA48" s="644">
        <f>SUM('IV-2 dsa'!P18)</f>
        <v>283503.94</v>
      </c>
      <c r="AB48" s="1017">
        <f>SUM('IV-2 vrsa'!R28)</f>
        <v>0</v>
      </c>
      <c r="AC48" s="16" t="str">
        <f>IF('ketv. 4 '!Z48&gt;0,"Taip","Ne")</f>
        <v>Taip</v>
      </c>
      <c r="AD48" s="16">
        <f>SUM('ketv. 6 '!AF47)</f>
        <v>283503.94</v>
      </c>
      <c r="AE48" s="16">
        <f>IF(AD48&gt;0,AA48-AD48,0)</f>
        <v>0</v>
      </c>
      <c r="AF48" s="431">
        <f>SUM('IV-2 dsa'!R18)</f>
        <v>42419</v>
      </c>
      <c r="AG48" s="337">
        <f>SUM('IV-2 dsa'!S18)</f>
        <v>42494</v>
      </c>
      <c r="AH48" s="337">
        <f>SUM('IV-2 dsa'!T18)</f>
        <v>42583</v>
      </c>
      <c r="AI48" s="337">
        <f>SUM('IV-2 dsa'!U18)</f>
        <v>42689</v>
      </c>
      <c r="AJ48" s="339">
        <f t="shared" si="67"/>
        <v>2016</v>
      </c>
      <c r="AK48" s="702">
        <f>SUM('IV-2 dsa'!V18)</f>
        <v>43465</v>
      </c>
      <c r="AL48" s="16">
        <f>IF(YEAR(AI48)=2016,AA48,0)</f>
        <v>283503.94</v>
      </c>
      <c r="AM48" s="16">
        <f>IF(YEAR(AI48)=2017,AA48,0)</f>
        <v>0</v>
      </c>
      <c r="AN48" s="16">
        <f>IF(YEAR(AI48)=2018,AA48,0)</f>
        <v>0</v>
      </c>
      <c r="AO48" s="16">
        <f>IF(YEAR(AI48)=2019,AA48,0)</f>
        <v>0</v>
      </c>
      <c r="AP48" s="703">
        <f>IF(YEAR(AI48)=2020,AA48,0)</f>
        <v>0</v>
      </c>
      <c r="AQ48" s="30"/>
      <c r="AR48" s="30"/>
      <c r="AS48" s="30"/>
    </row>
    <row r="49" spans="1:50" ht="39" thickBot="1">
      <c r="A49" s="311" t="s">
        <v>166</v>
      </c>
      <c r="B49" s="311" t="s">
        <v>1285</v>
      </c>
      <c r="C49" s="130" t="str">
        <f>CONCATENATE('ketv. 2'!B48)</f>
        <v>07.1.1-CPVA-R-903-11-0002</v>
      </c>
      <c r="D49" s="311" t="str">
        <f>CONCATENATE('IV-2 lrsa'!D19)</f>
        <v>Lazdijų miesto kompleksinė infrastruktūros plėtra, III etapas</v>
      </c>
      <c r="E49" s="311" t="str">
        <f>CONCATENATE('IV-2 lrsa'!E19)</f>
        <v>Lazdijų rajono savivaldybės administracija</v>
      </c>
      <c r="F49" s="311" t="str">
        <f>CONCATENATE('IV-2 lrsa'!F19)</f>
        <v>Lietuvos Respublikos vidaus reikalų ministerija</v>
      </c>
      <c r="G49" s="311" t="str">
        <f>CONCATENATE('IV-2 lrsa'!G19)</f>
        <v>Lazdijų r. sav.</v>
      </c>
      <c r="H49" s="130" t="str">
        <f>CONCATENATE('IV-2 lrsa'!H19)</f>
        <v>07.1.1-CPVA-R-903</v>
      </c>
      <c r="I49" s="11" t="str">
        <f>CONCATENATE('IV-2 lrsa'!I19)</f>
        <v>R</v>
      </c>
      <c r="J49" s="11" t="str">
        <f>CONCATENATE('IV-2 lrsa'!J19)</f>
        <v>ITI</v>
      </c>
      <c r="K49" s="11" t="str">
        <f>CONCATENATE('IV-2 lrsa'!K19)</f>
        <v>-</v>
      </c>
      <c r="L49" s="644">
        <f>SUM('IV-2 lrsa'!L19)</f>
        <v>343507</v>
      </c>
      <c r="M49" s="1017">
        <f>SUM('ketv. 6 '!L48)</f>
        <v>343507</v>
      </c>
      <c r="N49" s="1017">
        <f>IF(M49&gt;0,L49-M49,0)</f>
        <v>0</v>
      </c>
      <c r="O49" s="644">
        <f>SUM('IV-2 lrsa'!M19)</f>
        <v>25763.03</v>
      </c>
      <c r="P49" s="1017">
        <f>SUM('ketv. 6 '!P48)</f>
        <v>25763.03</v>
      </c>
      <c r="Q49" s="1017">
        <f>IF(P49&gt;0,O49-P49,0)</f>
        <v>0</v>
      </c>
      <c r="R49" s="644">
        <f>SUM('IV-2 lrsa'!N19)</f>
        <v>25763.02</v>
      </c>
      <c r="S49" s="1017">
        <f>SUM('ketv. 6 '!T48)</f>
        <v>25763.02</v>
      </c>
      <c r="T49" s="1017">
        <f>IF(S49&gt;0,R49-S49,0)</f>
        <v>0</v>
      </c>
      <c r="U49" s="644">
        <f>SUM('IV-2 lrsa'!O19)</f>
        <v>0</v>
      </c>
      <c r="V49" s="1017">
        <f>SUM('ketv. 6 '!X48)</f>
        <v>0</v>
      </c>
      <c r="W49" s="1017">
        <f>IF(V49&gt;0,U49-V49,0)</f>
        <v>0</v>
      </c>
      <c r="X49" s="644">
        <f>SUM('IV-2 lrsa'!P19)</f>
        <v>0</v>
      </c>
      <c r="Y49" s="1017">
        <f>SUM('ketv. 6 '!AB48)</f>
        <v>0</v>
      </c>
      <c r="Z49" s="1017">
        <f>IF(Y49&gt;0,X49-Y49,0)</f>
        <v>0</v>
      </c>
      <c r="AA49" s="644">
        <f>SUM('IV-2 lrsa'!Q19)</f>
        <v>291980.95</v>
      </c>
      <c r="AB49" s="1017">
        <f>SUM('IV-2 vrsa'!R29)</f>
        <v>0</v>
      </c>
      <c r="AC49" s="16" t="str">
        <f>IF('ketv. 4 '!Z49&gt;0,"Taip","Ne")</f>
        <v>Taip</v>
      </c>
      <c r="AD49" s="16">
        <f>SUM('ketv. 6 '!AF48)</f>
        <v>291980.95</v>
      </c>
      <c r="AE49" s="16">
        <f>IF(AD49&gt;0,AA49-AD49,0)</f>
        <v>0</v>
      </c>
      <c r="AF49" s="431">
        <f>SUM('IV-2 lrsa'!S19)</f>
        <v>42419</v>
      </c>
      <c r="AG49" s="337">
        <f>SUM('IV-2 lrsa'!T19)</f>
        <v>42494</v>
      </c>
      <c r="AH49" s="337">
        <f>SUM('IV-2 lrsa'!U19)</f>
        <v>42581</v>
      </c>
      <c r="AI49" s="337">
        <f>SUM('IV-2 lrsa'!V19)</f>
        <v>42674</v>
      </c>
      <c r="AJ49" s="339">
        <f t="shared" si="67"/>
        <v>2016</v>
      </c>
      <c r="AK49" s="702">
        <f>SUM('IV-2 lrsa'!W19)</f>
        <v>43465</v>
      </c>
      <c r="AL49" s="16">
        <f>IF(YEAR(AI49)=2016,AA49,0)</f>
        <v>291980.95</v>
      </c>
      <c r="AM49" s="16">
        <f>IF(YEAR(AI49)=2017,AA49,0)</f>
        <v>0</v>
      </c>
      <c r="AN49" s="16">
        <f>IF(YEAR(AI49)=2018,AA49,0)</f>
        <v>0</v>
      </c>
      <c r="AO49" s="16">
        <f>IF(YEAR(AI49)=2019,AA49,0)</f>
        <v>0</v>
      </c>
      <c r="AP49" s="703">
        <f>IF(YEAR(AI49)=2020,AA49,0)</f>
        <v>0</v>
      </c>
      <c r="AQ49" s="30"/>
      <c r="AR49" s="30"/>
      <c r="AS49" s="30"/>
    </row>
    <row r="50" spans="1:50" ht="27" customHeight="1" thickBot="1">
      <c r="A50" s="718" t="s">
        <v>76</v>
      </c>
      <c r="B50" s="1888" t="str">
        <f>CONCATENATE('IV-2 vrsa'!D25)</f>
        <v xml:space="preserve">Priemonė:
Geriamojo vandens tiekimo ir nuotekų tvarkymo sistemų renovavimas ir plėtra, įmonių valdymo tobulinimas </v>
      </c>
      <c r="C50" s="1889"/>
      <c r="D50" s="1889"/>
      <c r="E50" s="1889"/>
      <c r="F50" s="1889"/>
      <c r="G50" s="1889"/>
      <c r="H50" s="1889"/>
      <c r="I50" s="1889"/>
      <c r="J50" s="1889"/>
      <c r="K50" s="1890"/>
      <c r="L50" s="1054">
        <f t="shared" ref="L50:X50" si="68">SUM(L51:L55)</f>
        <v>16349723.129999999</v>
      </c>
      <c r="M50" s="1014">
        <f>SUM(M51:M55)</f>
        <v>16013194.139999999</v>
      </c>
      <c r="N50" s="1014">
        <f>SUM(N51:N55)</f>
        <v>336528.99</v>
      </c>
      <c r="O50" s="1054">
        <f t="shared" si="68"/>
        <v>0</v>
      </c>
      <c r="P50" s="1014">
        <f>SUM(P51:P55)</f>
        <v>0</v>
      </c>
      <c r="Q50" s="1014">
        <f>SUM(Q51:Q55)</f>
        <v>0</v>
      </c>
      <c r="R50" s="1054">
        <f t="shared" si="68"/>
        <v>0</v>
      </c>
      <c r="S50" s="1014">
        <f>SUM(S51:S55)</f>
        <v>0</v>
      </c>
      <c r="T50" s="1014">
        <f>SUM(T51:T55)</f>
        <v>0</v>
      </c>
      <c r="U50" s="1054">
        <f t="shared" si="68"/>
        <v>7447758.8300000001</v>
      </c>
      <c r="V50" s="1014">
        <f>SUM(V51:V55)</f>
        <v>7214948.9000000004</v>
      </c>
      <c r="W50" s="1014">
        <f>SUM(W51:W55)</f>
        <v>232809.92999999993</v>
      </c>
      <c r="X50" s="1054">
        <f t="shared" si="68"/>
        <v>0</v>
      </c>
      <c r="Y50" s="1014">
        <f>SUM(Y51:Y55)</f>
        <v>0</v>
      </c>
      <c r="Z50" s="1014">
        <f>SUM(Z51:Z55)</f>
        <v>0</v>
      </c>
      <c r="AA50" s="1054">
        <f>SUM(AA51:AA55)</f>
        <v>8901964.3000000007</v>
      </c>
      <c r="AB50" s="1014">
        <f>SUM('IV-2 vrsa'!R30)</f>
        <v>0</v>
      </c>
      <c r="AC50" s="698"/>
      <c r="AD50" s="698">
        <f>SUM(AD51:AD55)</f>
        <v>8798245.2400000002</v>
      </c>
      <c r="AE50" s="698">
        <f>SUM(AE51:AE55)</f>
        <v>103719.06000000006</v>
      </c>
      <c r="AF50" s="698"/>
      <c r="AG50" s="715"/>
      <c r="AH50" s="715"/>
      <c r="AI50" s="715"/>
      <c r="AJ50" s="716"/>
      <c r="AK50" s="717"/>
      <c r="AL50" s="16">
        <f>SUM(AL51:AL55)</f>
        <v>0</v>
      </c>
      <c r="AM50" s="16">
        <f t="shared" ref="AM50:AP50" si="69">SUM(AM51:AM55)</f>
        <v>7981489.3000000007</v>
      </c>
      <c r="AN50" s="16">
        <f t="shared" si="69"/>
        <v>920475</v>
      </c>
      <c r="AO50" s="16">
        <f t="shared" si="69"/>
        <v>0</v>
      </c>
      <c r="AP50" s="16">
        <f t="shared" si="69"/>
        <v>0</v>
      </c>
      <c r="AQ50" s="30">
        <f>SUM('IV-2 amsa'!X15+'IV-2 arsa'!W22+'IV-2 dsa'!W19+'IV-2 lrsa'!X20+'IV-2 vrsa'!X25)</f>
        <v>8810673.5099999998</v>
      </c>
      <c r="AR50" s="30">
        <f>SUM(AQ50*120/100)</f>
        <v>10572808.211999999</v>
      </c>
      <c r="AS50" s="30">
        <f>SUM(AQ50-AA50)</f>
        <v>-91290.790000000969</v>
      </c>
    </row>
    <row r="51" spans="1:50" ht="36" customHeight="1" thickTop="1" thickBot="1">
      <c r="A51" s="311" t="s">
        <v>78</v>
      </c>
      <c r="B51" s="311" t="s">
        <v>1286</v>
      </c>
      <c r="C51" s="1093" t="str">
        <f>CONCATENATE('ketv. 2'!B50)</f>
        <v>05.3.2-APVA-R-014-11-0001</v>
      </c>
      <c r="D51" s="311" t="str">
        <f>CONCATENATE('IV-2 vrsa'!D26)</f>
        <v>Geriamojo vandens tiekimo ir nuotekų tvarkymo sistemų renovavimas ir plėtra Varėnos rajone</v>
      </c>
      <c r="E51" s="311" t="str">
        <f>CONCATENATE('IV-2 vrsa'!E26)</f>
        <v>UAB „Varėnos vandenys“</v>
      </c>
      <c r="F51" s="311" t="str">
        <f>CONCATENATE('IV-2 vrsa'!F26)</f>
        <v>Lietuvos Respublikos aplinkos ministerija</v>
      </c>
      <c r="G51" s="311" t="str">
        <f>CONCATENATE('IV-2 vrsa'!G26)</f>
        <v>Varėnos r. sav.</v>
      </c>
      <c r="H51" s="130" t="str">
        <f>CONCATENATE('IV-2 vrsa'!H26)</f>
        <v>05.3.2-APVA-R-014</v>
      </c>
      <c r="I51" s="11" t="str">
        <f>CONCATENATE('IV-2 vrsa'!I26)</f>
        <v>R</v>
      </c>
      <c r="J51" s="11" t="str">
        <f>CONCATENATE('IV-2 vrsa'!J26)</f>
        <v>ITI</v>
      </c>
      <c r="K51" s="11" t="str">
        <f>CONCATENATE('IV-2 vrsa'!K26)</f>
        <v>-</v>
      </c>
      <c r="L51" s="644">
        <f>SUM('IV-2 vrsa'!L26)</f>
        <v>2474472.79</v>
      </c>
      <c r="M51" s="644">
        <f>SUM('ketv. 6 '!L50)</f>
        <v>2474472.79</v>
      </c>
      <c r="N51" s="644">
        <f>IF(M51&gt;0,L51-M51,0)</f>
        <v>0</v>
      </c>
      <c r="O51" s="644">
        <f>SUM('IV-2 vrsa'!M26)</f>
        <v>0</v>
      </c>
      <c r="P51" s="644">
        <f>SUM('ketv. 6 '!P50)</f>
        <v>0</v>
      </c>
      <c r="Q51" s="644">
        <f>IF(P51&gt;0,O51-P51,0)</f>
        <v>0</v>
      </c>
      <c r="R51" s="644">
        <f>SUM('IV-2 vrsa'!N26)</f>
        <v>0</v>
      </c>
      <c r="S51" s="644">
        <f>SUM('ketv. 6 '!T50)</f>
        <v>0</v>
      </c>
      <c r="T51" s="644">
        <f>IF(S51&gt;0,R51-S51,0)</f>
        <v>0</v>
      </c>
      <c r="U51" s="644">
        <f>SUM('IV-2 vrsa'!O26)</f>
        <v>860244.53</v>
      </c>
      <c r="V51" s="1017">
        <f>SUM('ketv. 6 '!X50)</f>
        <v>860244.53</v>
      </c>
      <c r="W51" s="1017">
        <f>IF(V51&gt;0,U51-V51,0)</f>
        <v>0</v>
      </c>
      <c r="X51" s="644">
        <f>SUM('IV-2 vrsa'!P26)</f>
        <v>0</v>
      </c>
      <c r="Y51" s="1017">
        <f>SUM('ketv. 6 '!AB50)</f>
        <v>0</v>
      </c>
      <c r="Z51" s="1017">
        <f>IF(Y51&gt;0,X51-Y51,0)</f>
        <v>0</v>
      </c>
      <c r="AA51" s="644">
        <f>SUM('IV-2 vrsa'!Q26)</f>
        <v>1614228.26</v>
      </c>
      <c r="AB51" s="1017">
        <f>SUM('IV-2 vrsa'!R31)</f>
        <v>0</v>
      </c>
      <c r="AC51" s="16" t="str">
        <f>IF('ketv. 4 '!Z51&gt;0,"Taip","Ne")</f>
        <v>Taip</v>
      </c>
      <c r="AD51" s="16">
        <f>SUM('ketv. 6 '!AF50)</f>
        <v>1614228.26</v>
      </c>
      <c r="AE51" s="16">
        <f>IF(AD51&gt;0,AA51-AD51,0)</f>
        <v>0</v>
      </c>
      <c r="AF51" s="431">
        <f>SUM('IV-2 vrsa'!S26)</f>
        <v>42451</v>
      </c>
      <c r="AG51" s="337">
        <f>SUM('IV-2 vrsa'!T26)</f>
        <v>42551</v>
      </c>
      <c r="AH51" s="337">
        <f>SUM('IV-2 vrsa'!U26)</f>
        <v>42674</v>
      </c>
      <c r="AI51" s="337">
        <f>SUM('IV-2 vrsa'!V26)</f>
        <v>42766</v>
      </c>
      <c r="AJ51" s="339">
        <f t="shared" ref="AJ51:AJ55" si="70">IF(YEAR(AI51),YEAR(AI51))</f>
        <v>2017</v>
      </c>
      <c r="AK51" s="702">
        <f>SUM('IV-2 vrsa'!W26)</f>
        <v>44012</v>
      </c>
      <c r="AL51" s="16">
        <f>IF(YEAR(AI51)=2016,AA51,0)</f>
        <v>0</v>
      </c>
      <c r="AM51" s="16">
        <f>IF(YEAR(AI51)=2017,AA51,0)</f>
        <v>1614228.26</v>
      </c>
      <c r="AN51" s="16">
        <f>IF(YEAR(AI51)=2018,AA51,0)</f>
        <v>0</v>
      </c>
      <c r="AO51" s="16">
        <f>IF(YEAR(AI51)=2019,AA51,0)</f>
        <v>0</v>
      </c>
      <c r="AP51" s="703">
        <f>IF(YEAR(AI51)=2020,AA51,0)</f>
        <v>0</v>
      </c>
      <c r="AQ51" s="30"/>
      <c r="AR51" s="30"/>
      <c r="AS51" s="30"/>
      <c r="AX51" s="54"/>
    </row>
    <row r="52" spans="1:50" ht="37.5" customHeight="1" thickTop="1" thickBot="1">
      <c r="A52" s="311" t="s">
        <v>129</v>
      </c>
      <c r="B52" s="311" t="s">
        <v>1667</v>
      </c>
      <c r="C52" s="1093" t="str">
        <f>CONCATENATE('ketv. 2'!B51)</f>
        <v>05.3.2-APVA-R-014-11-0002</v>
      </c>
      <c r="D52" s="311" t="str">
        <f>CONCATENATE('IV-2 amsa'!D16)</f>
        <v>Geriamojo vandens ir nuotekų tvarkymo sistemų renovavimas Alytaus mieste</v>
      </c>
      <c r="E52" s="311" t="str">
        <f>CONCATENATE('IV-2 amsa'!E16)</f>
        <v>UAB “Dzūkijos vandenys“</v>
      </c>
      <c r="F52" s="311" t="str">
        <f>CONCATENATE('IV-2 amsa'!F16)</f>
        <v>Lietuvos Respublikos aplinkos ministerija</v>
      </c>
      <c r="G52" s="311" t="str">
        <f>CONCATENATE('IV-2 amsa'!G16)</f>
        <v>Alytaus m. sav.</v>
      </c>
      <c r="H52" s="130" t="str">
        <f>CONCATENATE('IV-2 amsa'!H16)</f>
        <v>05.3.2-APVA-R-014</v>
      </c>
      <c r="I52" s="11" t="str">
        <f>CONCATENATE('IV-2 amsa'!I16)</f>
        <v>R</v>
      </c>
      <c r="J52" s="11" t="str">
        <f>CONCATENATE('IV-2 amsa'!J16)</f>
        <v>ITI</v>
      </c>
      <c r="K52" s="11" t="str">
        <f>CONCATENATE('IV-2 amsa'!K16)</f>
        <v>-</v>
      </c>
      <c r="L52" s="644">
        <f>SUM('IV-2 amsa'!L16)</f>
        <v>5706088</v>
      </c>
      <c r="M52" s="1017">
        <f>SUM('ketv. 6 '!L51)</f>
        <v>5598211</v>
      </c>
      <c r="N52" s="1017">
        <f>IF(M52&gt;0,L52-M52,0)</f>
        <v>107877</v>
      </c>
      <c r="O52" s="644">
        <f>SUM('IV-2 amsa'!M16)</f>
        <v>0</v>
      </c>
      <c r="P52" s="1017">
        <f>SUM('ketv. 6 '!P51)</f>
        <v>0</v>
      </c>
      <c r="Q52" s="1017">
        <f>IF(P52&gt;0,O52-P52,0)</f>
        <v>0</v>
      </c>
      <c r="R52" s="644">
        <f>SUM('IV-2 amsa'!N16)</f>
        <v>0</v>
      </c>
      <c r="S52" s="1017">
        <f>SUM('ketv. 6 '!T51)</f>
        <v>0</v>
      </c>
      <c r="T52" s="1017">
        <f>IF(S52&gt;0,R52-S52,0)</f>
        <v>0</v>
      </c>
      <c r="U52" s="644">
        <f>SUM('IV-2 amsa'!O16)</f>
        <v>3009103.69</v>
      </c>
      <c r="V52" s="1017">
        <f>SUM('ketv. 6 '!X51)</f>
        <v>2952214.75</v>
      </c>
      <c r="W52" s="1017">
        <f>IF(V52&gt;0,U52-V52,0)</f>
        <v>56888.939999999944</v>
      </c>
      <c r="X52" s="644">
        <f>SUM('IV-2 amsa'!P16)</f>
        <v>0</v>
      </c>
      <c r="Y52" s="1017">
        <f>SUM('ketv. 6 '!AB51)</f>
        <v>0</v>
      </c>
      <c r="Z52" s="1017">
        <f>IF(Y52&gt;0,X52-Y52,0)</f>
        <v>0</v>
      </c>
      <c r="AA52" s="644">
        <f>SUM('IV-2 amsa'!Q16)</f>
        <v>2696984.31</v>
      </c>
      <c r="AB52" s="1017">
        <f>SUM('IV-2 vrsa'!R32)</f>
        <v>0</v>
      </c>
      <c r="AC52" s="16" t="str">
        <f>IF('ketv. 4 '!Z52&gt;0,"Taip","Ne")</f>
        <v>Taip</v>
      </c>
      <c r="AD52" s="16">
        <f>SUM('ketv. 6 '!AF51)</f>
        <v>2645996.25</v>
      </c>
      <c r="AE52" s="16">
        <f>IF(AD52&gt;0,AA52-AD52,0)</f>
        <v>50988.060000000056</v>
      </c>
      <c r="AF52" s="431">
        <f>SUM('IV-2 amsa'!S16)</f>
        <v>42451</v>
      </c>
      <c r="AG52" s="337">
        <f>SUM('IV-2 amsa'!T16)</f>
        <v>42551</v>
      </c>
      <c r="AH52" s="337">
        <f>SUM('IV-2 amsa'!U16)</f>
        <v>42704</v>
      </c>
      <c r="AI52" s="337">
        <f>SUM('IV-2 amsa'!V16)</f>
        <v>42736</v>
      </c>
      <c r="AJ52" s="339">
        <f t="shared" si="70"/>
        <v>2017</v>
      </c>
      <c r="AK52" s="702">
        <f>SUM('IV-2 amsa'!W16)</f>
        <v>44195</v>
      </c>
      <c r="AL52" s="16">
        <f>IF(YEAR(AI52)=2016,AA52,0)</f>
        <v>0</v>
      </c>
      <c r="AM52" s="16">
        <f>IF(YEAR(AI52)=2017,AA52,0)</f>
        <v>2696984.31</v>
      </c>
      <c r="AN52" s="16">
        <f>IF(YEAR(AI52)=2018,AA52,0)</f>
        <v>0</v>
      </c>
      <c r="AO52" s="16">
        <f>IF(YEAR(AI52)=2019,AA52,0)</f>
        <v>0</v>
      </c>
      <c r="AP52" s="703">
        <f>IF(YEAR(AI52)=2020,AA52,0)</f>
        <v>0</v>
      </c>
      <c r="AQ52" s="30"/>
      <c r="AR52" s="30"/>
      <c r="AS52" s="30"/>
    </row>
    <row r="53" spans="1:50" ht="43.5" customHeight="1" thickTop="1" thickBot="1">
      <c r="A53" s="311" t="s">
        <v>130</v>
      </c>
      <c r="B53" s="311" t="s">
        <v>1756</v>
      </c>
      <c r="C53" s="1093" t="str">
        <f>CONCATENATE('ketv. 2'!B52)</f>
        <v>05.3.2-APVA-R-014-11-0004</v>
      </c>
      <c r="D53" s="311" t="str">
        <f>CONCATENATE('IV-2 lrsa'!D21)</f>
        <v>Geriamojo vandens tiekimo ir nuotekų tvarkymo sistemų renovavimas ir plėtra Lazdijų rajono savivaldybėje</v>
      </c>
      <c r="E53" s="311" t="str">
        <f>CONCATENATE('IV-2 lrsa'!E21)</f>
        <v>UAB „Lazdijų vanduo“</v>
      </c>
      <c r="F53" s="311" t="str">
        <f>CONCATENATE('IV-2 lrsa'!F21)</f>
        <v>Lietuvos Respublikos aplinkos ministerija</v>
      </c>
      <c r="G53" s="311" t="str">
        <f>CONCATENATE('IV-2 lrsa'!G21)</f>
        <v>Lazdijų r. sav.</v>
      </c>
      <c r="H53" s="130" t="str">
        <f>CONCATENATE('IV-2 lrsa'!H21)</f>
        <v>05.3.2-APVA-R-014</v>
      </c>
      <c r="I53" s="11" t="str">
        <f>CONCATENATE('IV-2 lrsa'!I21)</f>
        <v>R</v>
      </c>
      <c r="J53" s="11" t="str">
        <f>CONCATENATE('IV-2 lrsa'!J21)</f>
        <v>-</v>
      </c>
      <c r="K53" s="11" t="str">
        <f>CONCATENATE('IV-2 lrsa'!K21)</f>
        <v>-</v>
      </c>
      <c r="L53" s="644">
        <f>SUM('IV-2 lrsa'!L21)</f>
        <v>1437425.74</v>
      </c>
      <c r="M53" s="1017">
        <f>SUM('ketv. 6 '!L52)</f>
        <v>1298773.75</v>
      </c>
      <c r="N53" s="1017">
        <f>IF(M53&gt;0,L53-M53,0)</f>
        <v>138651.99</v>
      </c>
      <c r="O53" s="644">
        <f>SUM('IV-2 lrsa'!M21)</f>
        <v>0</v>
      </c>
      <c r="P53" s="1017">
        <f>SUM('ketv. 6 '!P52)</f>
        <v>0</v>
      </c>
      <c r="Q53" s="1017">
        <f>IF(P53&gt;0,O53-P53,0)</f>
        <v>0</v>
      </c>
      <c r="R53" s="644">
        <f>SUM('IV-2 lrsa'!N21)</f>
        <v>0</v>
      </c>
      <c r="S53" s="1017">
        <f>SUM('ketv. 6 '!T52)</f>
        <v>0</v>
      </c>
      <c r="T53" s="1017">
        <f>IF(S53&gt;0,R53-S53,0)</f>
        <v>0</v>
      </c>
      <c r="U53" s="644">
        <f>SUM('IV-2 lrsa'!O21)</f>
        <v>641323.74</v>
      </c>
      <c r="V53" s="1017">
        <f>SUM('ketv. 6 '!X52)</f>
        <v>502671.75</v>
      </c>
      <c r="W53" s="1017">
        <f>IF(V53&gt;0,U53-V53,0)</f>
        <v>138651.99</v>
      </c>
      <c r="X53" s="644">
        <f>SUM('IV-2 lrsa'!P21)</f>
        <v>0</v>
      </c>
      <c r="Y53" s="1017">
        <f>SUM('ketv. 6 '!AB52)</f>
        <v>0</v>
      </c>
      <c r="Z53" s="1017">
        <f>IF(Y53&gt;0,X53-Y53,0)</f>
        <v>0</v>
      </c>
      <c r="AA53" s="644">
        <f>SUM('IV-2 lrsa'!Q21)</f>
        <v>796102</v>
      </c>
      <c r="AB53" s="1017">
        <f>SUM('IV-2 vrsa'!R33)</f>
        <v>0</v>
      </c>
      <c r="AC53" s="16" t="str">
        <f>IF('ketv. 4 '!Z53&gt;0,"Taip","Ne")</f>
        <v>Taip</v>
      </c>
      <c r="AD53" s="16">
        <f>SUM('ketv. 6 '!AF52)</f>
        <v>796102</v>
      </c>
      <c r="AE53" s="16">
        <f>IF(AD53&gt;0,AA53-AD53,0)</f>
        <v>0</v>
      </c>
      <c r="AF53" s="431">
        <f>SUM('IV-2 lrsa'!S21)</f>
        <v>42451</v>
      </c>
      <c r="AG53" s="337">
        <f>SUM('IV-2 lrsa'!T21)</f>
        <v>42551</v>
      </c>
      <c r="AH53" s="337">
        <f>SUM('IV-2 lrsa'!U21)</f>
        <v>42734</v>
      </c>
      <c r="AI53" s="337">
        <f>SUM('IV-2 lrsa'!V21)</f>
        <v>42825</v>
      </c>
      <c r="AJ53" s="339">
        <f t="shared" si="70"/>
        <v>2017</v>
      </c>
      <c r="AK53" s="702">
        <f>SUM('IV-2 lrsa'!W21)</f>
        <v>43646</v>
      </c>
      <c r="AL53" s="16">
        <f>IF(YEAR(AI53)=2016,AA53,0)</f>
        <v>0</v>
      </c>
      <c r="AM53" s="16">
        <f>IF(YEAR(AI53)=2017,AA53,0)</f>
        <v>796102</v>
      </c>
      <c r="AN53" s="16">
        <f>IF(YEAR(AI53)=2018,AA53,0)</f>
        <v>0</v>
      </c>
      <c r="AO53" s="16">
        <f>IF(YEAR(AI53)=2019,AA53,0)</f>
        <v>0</v>
      </c>
      <c r="AP53" s="703">
        <f>IF(YEAR(AI53)=2020,AA53,0)</f>
        <v>0</v>
      </c>
      <c r="AQ53" s="50"/>
      <c r="AR53" s="30"/>
      <c r="AS53" s="30"/>
    </row>
    <row r="54" spans="1:50" ht="36" customHeight="1" thickTop="1" thickBot="1">
      <c r="A54" s="311" t="s">
        <v>131</v>
      </c>
      <c r="B54" s="311" t="s">
        <v>1287</v>
      </c>
      <c r="C54" s="1093" t="str">
        <f>CONCATENATE('ketv. 2'!B53)</f>
        <v>05.3.2-APVA-R-014-11-0003</v>
      </c>
      <c r="D54" s="311" t="str">
        <f>CONCATENATE('IV-2 dsa'!C20)</f>
        <v>Vandens tiekimo ir nuotekų šalinimo infrastruktūros renovavimas ir plėtra Druskininkų savivaldybėje</v>
      </c>
      <c r="E54" s="311" t="str">
        <f>CONCATENATE('IV-2 dsa'!D20)</f>
        <v>UAB "Druskininkų vandenys"</v>
      </c>
      <c r="F54" s="311" t="str">
        <f>CONCATENATE('IV-2 dsa'!E20)</f>
        <v>Lietuvos Respublikos aplinkos ministerija</v>
      </c>
      <c r="G54" s="311" t="str">
        <f>CONCATENATE('IV-2 dsa'!F20)</f>
        <v>Druskininkų sav.</v>
      </c>
      <c r="H54" s="130" t="str">
        <f>CONCATENATE('IV-2 dsa'!G20)</f>
        <v>05.3.2-APVA-R-014</v>
      </c>
      <c r="I54" s="11" t="str">
        <f>CONCATENATE('IV-2 dsa'!H20)</f>
        <v>R</v>
      </c>
      <c r="J54" s="11" t="str">
        <f>CONCATENATE('IV-2 dsa'!I20)</f>
        <v>-</v>
      </c>
      <c r="K54" s="11" t="str">
        <f>CONCATENATE('IV-2 dsa'!J20)</f>
        <v>-</v>
      </c>
      <c r="L54" s="644">
        <f>SUM('IV-2 dsa'!K20)</f>
        <v>5160736.5999999996</v>
      </c>
      <c r="M54" s="1017">
        <f>SUM('ketv. 6 '!L53)</f>
        <v>5160736.5999999996</v>
      </c>
      <c r="N54" s="1017">
        <f>IF(M54&gt;0,L54-M54,0)</f>
        <v>0</v>
      </c>
      <c r="O54" s="644">
        <f>SUM('IV-2 dsa'!L20)</f>
        <v>0</v>
      </c>
      <c r="P54" s="1017">
        <f>SUM('ketv. 6 '!P53)</f>
        <v>0</v>
      </c>
      <c r="Q54" s="1017">
        <f>IF(P54&gt;0,O54-P54,0)</f>
        <v>0</v>
      </c>
      <c r="R54" s="644">
        <f>SUM('IV-2 dsa'!M20)</f>
        <v>0</v>
      </c>
      <c r="S54" s="1017">
        <f>SUM('ketv. 6 '!T53)</f>
        <v>0</v>
      </c>
      <c r="T54" s="1017">
        <f>IF(S54&gt;0,R54-S54,0)</f>
        <v>0</v>
      </c>
      <c r="U54" s="644">
        <f>SUM('IV-2 dsa'!N20)</f>
        <v>2286561.87</v>
      </c>
      <c r="V54" s="1017">
        <f>SUM('ketv. 6 '!X53)</f>
        <v>2286561.87</v>
      </c>
      <c r="W54" s="1017">
        <f>IF(V54&gt;0,U54-V54,0)</f>
        <v>0</v>
      </c>
      <c r="X54" s="644">
        <f>SUM('IV-2 dsa'!O20)</f>
        <v>0</v>
      </c>
      <c r="Y54" s="1017">
        <f>SUM('ketv. 6 '!AB53)</f>
        <v>0</v>
      </c>
      <c r="Z54" s="1017">
        <f>IF(Y54&gt;0,X54-Y54,0)</f>
        <v>0</v>
      </c>
      <c r="AA54" s="644">
        <f>SUM('IV-2 dsa'!P20)</f>
        <v>2874174.73</v>
      </c>
      <c r="AB54" s="1017">
        <f>SUM('IV-2 vrsa'!R34)</f>
        <v>0</v>
      </c>
      <c r="AC54" s="16" t="str">
        <f>IF('ketv. 4 '!Z54&gt;0,"Taip","Ne")</f>
        <v>Taip</v>
      </c>
      <c r="AD54" s="16">
        <f>SUM('ketv. 6 '!AF53)</f>
        <v>2874174.73</v>
      </c>
      <c r="AE54" s="16">
        <f>IF(AD54&gt;0,AA54-AD54,0)</f>
        <v>0</v>
      </c>
      <c r="AF54" s="431">
        <f>SUM('IV-2 dsa'!R20)</f>
        <v>42451</v>
      </c>
      <c r="AG54" s="337">
        <f>SUM('IV-2 dsa'!S20)</f>
        <v>42551</v>
      </c>
      <c r="AH54" s="337">
        <f>SUM('IV-2 dsa'!T20)</f>
        <v>42705</v>
      </c>
      <c r="AI54" s="337">
        <f>SUM('IV-2 dsa'!U20)</f>
        <v>42824</v>
      </c>
      <c r="AJ54" s="339">
        <f t="shared" si="70"/>
        <v>2017</v>
      </c>
      <c r="AK54" s="702">
        <f>SUM('IV-2 dsa'!V20)</f>
        <v>44440</v>
      </c>
      <c r="AL54" s="16">
        <f>IF(YEAR(AI54)=2016,AA54,0)</f>
        <v>0</v>
      </c>
      <c r="AM54" s="16">
        <f>IF(YEAR(AI54)=2017,AA54,0)</f>
        <v>2874174.73</v>
      </c>
      <c r="AN54" s="16">
        <f>IF(YEAR(AI54)=2018,AA54,0)</f>
        <v>0</v>
      </c>
      <c r="AO54" s="16">
        <f>IF(YEAR(AI54)=2019,AA54,0)</f>
        <v>0</v>
      </c>
      <c r="AP54" s="703">
        <f>IF(YEAR(AI54)=2020,AA54,0)</f>
        <v>0</v>
      </c>
      <c r="AQ54" s="30"/>
      <c r="AR54" s="30"/>
      <c r="AS54" s="30"/>
    </row>
    <row r="55" spans="1:50" ht="48" customHeight="1" thickTop="1" thickBot="1">
      <c r="A55" s="311" t="s">
        <v>132</v>
      </c>
      <c r="B55" s="311" t="s">
        <v>1758</v>
      </c>
      <c r="C55" s="1093" t="str">
        <f>CONCATENATE('ketv. 2'!B54)</f>
        <v>05.3.2-APVA-R-014-11-0005</v>
      </c>
      <c r="D55" s="311" t="str">
        <f>CONCATENATE('IV-2 arsa'!C23)</f>
        <v>Vandens tiekimo ir nuotekų tvarkymo infrastruktūros plėtra Alytaus rajone (Krokialaukyje)</v>
      </c>
      <c r="E55" s="311" t="str">
        <f>CONCATENATE('IV-2 arsa'!D23)</f>
        <v>SĮ „Simno komunalininkas“</v>
      </c>
      <c r="F55" s="311" t="str">
        <f>CONCATENATE('IV-2 arsa'!E23)</f>
        <v>Lietuvos Respublikos aplinkos ministerija</v>
      </c>
      <c r="G55" s="311" t="str">
        <f>CONCATENATE('IV-2 arsa'!F23)</f>
        <v>Alytaus r. sav.</v>
      </c>
      <c r="H55" s="130" t="str">
        <f>CONCATENATE('IV-2 arsa'!G23)</f>
        <v>05.3.2-APVA-R-014</v>
      </c>
      <c r="I55" s="11" t="str">
        <f>CONCATENATE('IV-2 arsa'!H23)</f>
        <v>R</v>
      </c>
      <c r="J55" s="11" t="str">
        <f>CONCATENATE('IV-2 arsa'!I23)</f>
        <v>-</v>
      </c>
      <c r="K55" s="11" t="str">
        <f>CONCATENATE('IV-2 arsa'!J23)</f>
        <v>-</v>
      </c>
      <c r="L55" s="644">
        <f>SUM('IV-2 arsa'!K22)</f>
        <v>1571000</v>
      </c>
      <c r="M55" s="1017">
        <f>SUM('ketv. 6 '!L54)</f>
        <v>1481000</v>
      </c>
      <c r="N55" s="1017">
        <f>IF(M55&gt;0,L55-M55,0)</f>
        <v>90000</v>
      </c>
      <c r="O55" s="644">
        <f>SUM('IV-2 arsa'!L22)</f>
        <v>0</v>
      </c>
      <c r="P55" s="1017">
        <f>SUM('ketv. 6 '!P54)</f>
        <v>0</v>
      </c>
      <c r="Q55" s="1017">
        <f>IF(P55&gt;0,O55-P55,0)</f>
        <v>0</v>
      </c>
      <c r="R55" s="644">
        <f>SUM('IV-2 arsa'!M22)</f>
        <v>0</v>
      </c>
      <c r="S55" s="1017">
        <f>SUM('ketv. 6 '!T54)</f>
        <v>0</v>
      </c>
      <c r="T55" s="1017">
        <f>IF(S55&gt;0,R55-S55,0)</f>
        <v>0</v>
      </c>
      <c r="U55" s="644">
        <f>SUM('IV-2 arsa'!N22)</f>
        <v>650525</v>
      </c>
      <c r="V55" s="1017">
        <f>SUM('ketv. 6 '!X54)</f>
        <v>613256</v>
      </c>
      <c r="W55" s="1017">
        <f>IF(V55&gt;0,U55-V55,0)</f>
        <v>37269</v>
      </c>
      <c r="X55" s="644">
        <f>SUM('IV-2 arsa'!O22)</f>
        <v>0</v>
      </c>
      <c r="Y55" s="1017">
        <f>SUM('ketv. 6 '!AB54)</f>
        <v>0</v>
      </c>
      <c r="Z55" s="1017">
        <f>IF(Y55&gt;0,X55-Y55,0)</f>
        <v>0</v>
      </c>
      <c r="AA55" s="644">
        <f>SUM('IV-2 arsa'!P22)</f>
        <v>920475</v>
      </c>
      <c r="AB55" s="1017">
        <f>SUM('IV-2 vrsa'!R35)</f>
        <v>0</v>
      </c>
      <c r="AC55" s="16" t="str">
        <f>IF('ketv. 4 '!Z55&gt;0,"Taip","Ne")</f>
        <v>Taip</v>
      </c>
      <c r="AD55" s="16">
        <f>SUM('ketv. 6 '!AF54)</f>
        <v>867744</v>
      </c>
      <c r="AE55" s="16">
        <f>IF(AD55&gt;0,AA55-AD55,0)</f>
        <v>52731</v>
      </c>
      <c r="AF55" s="431">
        <f>SUM('IV-2 arsa'!R23)</f>
        <v>42451</v>
      </c>
      <c r="AG55" s="337">
        <f>SUM('IV-2 arsa'!S23)</f>
        <v>42551</v>
      </c>
      <c r="AH55" s="337">
        <f>SUM('IV-2 arsa'!T23)</f>
        <v>42919</v>
      </c>
      <c r="AI55" s="337">
        <f>SUM('IV-2 arsa'!U23)</f>
        <v>43146</v>
      </c>
      <c r="AJ55" s="339">
        <f t="shared" si="70"/>
        <v>2018</v>
      </c>
      <c r="AK55" s="702">
        <f>SUM('IV-2 arsa'!V23)</f>
        <v>44196</v>
      </c>
      <c r="AL55" s="16">
        <f>IF(YEAR(AI55)=2016,AA55,0)</f>
        <v>0</v>
      </c>
      <c r="AM55" s="16">
        <f>IF(YEAR(AI55)=2017,AA55,0)</f>
        <v>0</v>
      </c>
      <c r="AN55" s="16">
        <f>IF(YEAR(AI55)=2018,AA55,0)</f>
        <v>920475</v>
      </c>
      <c r="AO55" s="16">
        <f>IF(YEAR(AI55)=2019,AA55,0)</f>
        <v>0</v>
      </c>
      <c r="AP55" s="703">
        <f>IF(YEAR(AI55)=2020,AA55,0)</f>
        <v>0</v>
      </c>
      <c r="AQ55" s="30"/>
      <c r="AR55" s="30"/>
      <c r="AS55" s="30"/>
    </row>
    <row r="56" spans="1:50" ht="28.5" customHeight="1" thickBot="1">
      <c r="A56" s="718" t="s">
        <v>79</v>
      </c>
      <c r="B56" s="1888" t="s">
        <v>1467</v>
      </c>
      <c r="C56" s="1889"/>
      <c r="D56" s="1889"/>
      <c r="E56" s="1889"/>
      <c r="F56" s="1889"/>
      <c r="G56" s="1889"/>
      <c r="H56" s="1889"/>
      <c r="I56" s="1889"/>
      <c r="J56" s="1889"/>
      <c r="K56" s="1890"/>
      <c r="L56" s="1054">
        <f t="shared" ref="L56:AA56" si="71">SUM(L57:L57)</f>
        <v>3990955.51</v>
      </c>
      <c r="M56" s="1014">
        <f>SUM(M57)</f>
        <v>3990955.51</v>
      </c>
      <c r="N56" s="1014">
        <f>SUM(N57)</f>
        <v>0</v>
      </c>
      <c r="O56" s="1054">
        <f t="shared" si="71"/>
        <v>0</v>
      </c>
      <c r="P56" s="1014">
        <f>SUM(P57)</f>
        <v>0</v>
      </c>
      <c r="Q56" s="1014">
        <f>SUM(Q57)</f>
        <v>0</v>
      </c>
      <c r="R56" s="1054">
        <f t="shared" si="71"/>
        <v>0</v>
      </c>
      <c r="S56" s="1014">
        <f>SUM(S57)</f>
        <v>0</v>
      </c>
      <c r="T56" s="1014">
        <f>SUM(T57)</f>
        <v>0</v>
      </c>
      <c r="U56" s="1054">
        <f t="shared" si="71"/>
        <v>598643.31999999995</v>
      </c>
      <c r="V56" s="1014">
        <f>SUM(V57)</f>
        <v>598643.31999999995</v>
      </c>
      <c r="W56" s="1014">
        <f>SUM(W57)</f>
        <v>0</v>
      </c>
      <c r="X56" s="1054">
        <f t="shared" si="71"/>
        <v>0</v>
      </c>
      <c r="Y56" s="1014">
        <f>SUM(Y57)</f>
        <v>0</v>
      </c>
      <c r="Z56" s="1014">
        <f>SUM(Z57)</f>
        <v>0</v>
      </c>
      <c r="AA56" s="1054">
        <f t="shared" si="71"/>
        <v>3392312.19</v>
      </c>
      <c r="AB56" s="1014">
        <f>SUM('IV-2 vrsa'!R36)</f>
        <v>0</v>
      </c>
      <c r="AC56" s="698"/>
      <c r="AD56" s="698">
        <f>SUM(AD57)</f>
        <v>3392312.19</v>
      </c>
      <c r="AE56" s="698">
        <f>SUM(AE57)</f>
        <v>0</v>
      </c>
      <c r="AF56" s="698"/>
      <c r="AG56" s="715"/>
      <c r="AH56" s="715"/>
      <c r="AI56" s="715"/>
      <c r="AJ56" s="716"/>
      <c r="AK56" s="717"/>
      <c r="AL56" s="16">
        <f>SUM(AL57)</f>
        <v>0</v>
      </c>
      <c r="AM56" s="16">
        <f t="shared" ref="AM56:AP56" si="72">SUM(AM57)</f>
        <v>3392312.19</v>
      </c>
      <c r="AN56" s="16">
        <f t="shared" si="72"/>
        <v>1011500</v>
      </c>
      <c r="AO56" s="16">
        <f t="shared" si="72"/>
        <v>0</v>
      </c>
      <c r="AP56" s="16">
        <f t="shared" si="72"/>
        <v>0</v>
      </c>
      <c r="AQ56" s="30">
        <v>3399494</v>
      </c>
      <c r="AR56" s="30">
        <f>SUM(AQ56*120/100)</f>
        <v>4079392.8</v>
      </c>
      <c r="AS56" s="30">
        <f>SUM(AQ56-AA56)</f>
        <v>7181.8100000000559</v>
      </c>
    </row>
    <row r="57" spans="1:50" ht="26.25" thickBot="1">
      <c r="A57" s="311" t="s">
        <v>80</v>
      </c>
      <c r="B57" s="311" t="s">
        <v>1288</v>
      </c>
      <c r="C57" s="314" t="str">
        <f>CONCATENATE('ketv. 2'!B56)</f>
        <v>05.1.1-APVA-R-007-11-0001</v>
      </c>
      <c r="D57" s="311" t="str">
        <f>CONCATENATE('IV-2 amsa'!D18)</f>
        <v>Paviršinių nuotekų sistemų tvarkymas Alytaus mieste</v>
      </c>
      <c r="E57" s="311" t="str">
        <f>CONCATENATE('IV-2 amsa'!E18)</f>
        <v>UAB “Dzūkijos vandenys“</v>
      </c>
      <c r="F57" s="311" t="str">
        <f>CONCATENATE('IV-2 amsa'!F18)</f>
        <v>Lietuvos Respublikos aplinkos ministerija</v>
      </c>
      <c r="G57" s="311" t="str">
        <f>CONCATENATE('IV-2 amsa'!G18)</f>
        <v>Alytaus m. sav.</v>
      </c>
      <c r="H57" s="130" t="str">
        <f>CONCATENATE('IV-2 amsa'!H18)</f>
        <v>05.1.1-APVA-R-007</v>
      </c>
      <c r="I57" s="130" t="str">
        <f>CONCATENATE('IV-2 amsa'!I18)</f>
        <v>R</v>
      </c>
      <c r="J57" s="130" t="str">
        <f>CONCATENATE('IV-2 amsa'!J18)</f>
        <v>-</v>
      </c>
      <c r="K57" s="130" t="str">
        <f>CONCATENATE('IV-2 amsa'!K18)</f>
        <v xml:space="preserve"> -</v>
      </c>
      <c r="L57" s="644">
        <f>SUM('IV-2 amsa'!L18)</f>
        <v>3990955.51</v>
      </c>
      <c r="M57" s="1017">
        <f>SUM('ketv. 6 '!L56)</f>
        <v>3990955.51</v>
      </c>
      <c r="N57" s="1017">
        <f>IF(M57&gt;0,L57-M57,0)</f>
        <v>0</v>
      </c>
      <c r="O57" s="644">
        <f>SUM('IV-2 amsa'!M18)</f>
        <v>0</v>
      </c>
      <c r="P57" s="1017">
        <f>SUM('ketv. 6 '!P56)</f>
        <v>0</v>
      </c>
      <c r="Q57" s="1017">
        <f>IF(P57&gt;0,O57-P57,0)</f>
        <v>0</v>
      </c>
      <c r="R57" s="644">
        <f>SUM('IV-2 amsa'!N18)</f>
        <v>0</v>
      </c>
      <c r="S57" s="1017">
        <f>SUM('ketv. 6 '!T56)</f>
        <v>0</v>
      </c>
      <c r="T57" s="1017">
        <f>IF(S57&gt;0,R57-S57,0)</f>
        <v>0</v>
      </c>
      <c r="U57" s="644">
        <f>SUM('IV-2 amsa'!O18)</f>
        <v>598643.31999999995</v>
      </c>
      <c r="V57" s="1017">
        <f>SUM('ketv. 6 '!X56)</f>
        <v>598643.31999999995</v>
      </c>
      <c r="W57" s="1017">
        <f>IF(V57&gt;0,U57-V57,0)</f>
        <v>0</v>
      </c>
      <c r="X57" s="644">
        <f>SUM('IV-2 amsa'!P18)</f>
        <v>0</v>
      </c>
      <c r="Y57" s="1017">
        <f>SUM('ketv. 6 '!AB56)</f>
        <v>0</v>
      </c>
      <c r="Z57" s="1017">
        <f>IF(Y57&gt;0,X57-Y57,0)</f>
        <v>0</v>
      </c>
      <c r="AA57" s="644">
        <f>SUM('IV-2 amsa'!Q18)</f>
        <v>3392312.19</v>
      </c>
      <c r="AB57" s="1017">
        <f>SUM('IV-2 vrsa'!R37)</f>
        <v>0</v>
      </c>
      <c r="AC57" s="16"/>
      <c r="AD57" s="16">
        <f>SUM('ketv. 6 '!AF56)</f>
        <v>3392312.19</v>
      </c>
      <c r="AE57" s="16">
        <f>IF(AD57&gt;0,AA57-AD57,0)</f>
        <v>0</v>
      </c>
      <c r="AF57" s="431">
        <v>43130</v>
      </c>
      <c r="AG57" s="337">
        <f>SUM('IV-2 amsa'!T18)</f>
        <v>42551</v>
      </c>
      <c r="AH57" s="337">
        <f>SUM('IV-2 amsa'!U18)</f>
        <v>42726</v>
      </c>
      <c r="AI57" s="337">
        <f>SUM('IV-2 amsa'!V18)</f>
        <v>42825</v>
      </c>
      <c r="AJ57" s="339">
        <f>IF(YEAR(AI57),YEAR(AI57))</f>
        <v>2017</v>
      </c>
      <c r="AK57" s="702">
        <f>SUM('IV-2 amsa'!W18)</f>
        <v>44196</v>
      </c>
      <c r="AL57" s="16">
        <f>IF(YEAR(AI57)=2016,AA57,0)</f>
        <v>0</v>
      </c>
      <c r="AM57" s="16">
        <f>IF(YEAR(AI57)=2017,AA57,0)</f>
        <v>3392312.19</v>
      </c>
      <c r="AN57" s="16">
        <v>1011500</v>
      </c>
      <c r="AO57" s="16">
        <f>IF(YEAR(AI57)=2019,AA57,0)</f>
        <v>0</v>
      </c>
      <c r="AP57" s="703">
        <f>IF(YEAR(AI57)=2020,AA57,0)</f>
        <v>0</v>
      </c>
      <c r="AQ57" s="30"/>
      <c r="AR57" s="30"/>
      <c r="AS57" s="30"/>
    </row>
    <row r="58" spans="1:50" ht="30" customHeight="1" thickBot="1">
      <c r="A58" s="718" t="s">
        <v>81</v>
      </c>
      <c r="B58" s="1888" t="str">
        <f>CONCATENATE('IV-2 amsa'!D19)</f>
        <v>Priemonė:
Savivaldybes jungiančių turizmo trasų ir turizmo maršrutų informacinės infrastruktūros plėtra</v>
      </c>
      <c r="C58" s="1889"/>
      <c r="D58" s="1889"/>
      <c r="E58" s="1889"/>
      <c r="F58" s="1889"/>
      <c r="G58" s="1889"/>
      <c r="H58" s="1889"/>
      <c r="I58" s="1889"/>
      <c r="J58" s="1889"/>
      <c r="K58" s="1890"/>
      <c r="L58" s="1054">
        <f t="shared" ref="L58:AA58" si="73">SUM(L59:L61)</f>
        <v>719317.64705882361</v>
      </c>
      <c r="M58" s="1014">
        <f>SUM(M59:M61)</f>
        <v>496329.53</v>
      </c>
      <c r="N58" s="1014">
        <f>SUM(N59:N61)</f>
        <v>-5.8823527069762349E-4</v>
      </c>
      <c r="O58" s="1054">
        <f t="shared" si="73"/>
        <v>107897.64705882352</v>
      </c>
      <c r="P58" s="1014">
        <f>SUM(P59:P61)</f>
        <v>74449.429999999993</v>
      </c>
      <c r="Q58" s="1014">
        <f>SUM(Q59:Q61)</f>
        <v>-5.8823529252549633E-4</v>
      </c>
      <c r="R58" s="1054">
        <f t="shared" si="73"/>
        <v>0</v>
      </c>
      <c r="S58" s="1014">
        <f>SUM(S59:S61)</f>
        <v>0</v>
      </c>
      <c r="T58" s="1014">
        <f>SUM(T59:T61)</f>
        <v>0</v>
      </c>
      <c r="U58" s="1054">
        <f t="shared" si="73"/>
        <v>0</v>
      </c>
      <c r="V58" s="1014">
        <f>SUM(V59:V61)</f>
        <v>0</v>
      </c>
      <c r="W58" s="1014">
        <f>SUM(W59:W61)</f>
        <v>0</v>
      </c>
      <c r="X58" s="1054">
        <f t="shared" si="73"/>
        <v>0</v>
      </c>
      <c r="Y58" s="1014">
        <f>SUM(Y59:Y61)</f>
        <v>0</v>
      </c>
      <c r="Z58" s="1014">
        <f>SUM(Z59:Z61)</f>
        <v>0</v>
      </c>
      <c r="AA58" s="1054">
        <f t="shared" si="73"/>
        <v>611420</v>
      </c>
      <c r="AB58" s="1014">
        <f>SUM('IV-2 vrsa'!R38)</f>
        <v>0</v>
      </c>
      <c r="AC58" s="698"/>
      <c r="AD58" s="698">
        <f>SUM(AD59:AD61)</f>
        <v>421880.1</v>
      </c>
      <c r="AE58" s="698">
        <f>SUM(AE59:AE61)</f>
        <v>0</v>
      </c>
      <c r="AF58" s="698"/>
      <c r="AG58" s="715"/>
      <c r="AH58" s="715"/>
      <c r="AI58" s="715"/>
      <c r="AJ58" s="716"/>
      <c r="AK58" s="717"/>
      <c r="AL58" s="16">
        <f>SUM(AL59:AL61)</f>
        <v>0</v>
      </c>
      <c r="AM58" s="16">
        <f t="shared" ref="AM58:AP58" si="74">SUM(AM59:AM61)</f>
        <v>421880.1</v>
      </c>
      <c r="AN58" s="16">
        <f t="shared" si="74"/>
        <v>0</v>
      </c>
      <c r="AO58" s="16">
        <f t="shared" si="74"/>
        <v>189539.9</v>
      </c>
      <c r="AP58" s="16">
        <f t="shared" si="74"/>
        <v>0</v>
      </c>
      <c r="AQ58" s="30">
        <f>SUM('IV-2 amsa'!X19+'IV-2 arsa'!W26+'IV-2 dsa'!W23+'IV-2 lrsa'!X24+'IV-2 vrsa'!X29)</f>
        <v>611420</v>
      </c>
      <c r="AR58" s="30">
        <f>SUM(AQ58*120/100)</f>
        <v>733704</v>
      </c>
      <c r="AS58" s="30">
        <f>SUM(AQ58-AA58)</f>
        <v>0</v>
      </c>
    </row>
    <row r="59" spans="1:50" ht="39.75" thickTop="1" thickBot="1">
      <c r="A59" s="311" t="s">
        <v>83</v>
      </c>
      <c r="B59" s="311" t="s">
        <v>1289</v>
      </c>
      <c r="C59" s="1499" t="str">
        <f>CONCATENATE('ketv. 2'!B58)</f>
        <v>05.4.1-LVPA-R-821-11-0002</v>
      </c>
      <c r="D59" s="311" t="str">
        <f>CONCATENATE('IV-2 amsa'!D20)</f>
        <v>Alytaus regiono turizmo informacinės infrastruktūros plėtra</v>
      </c>
      <c r="E59" s="311" t="str">
        <f>CONCATENATE('IV-2 amsa'!E20)</f>
        <v>Alytaus miesto savivaldybės administracija</v>
      </c>
      <c r="F59" s="311" t="str">
        <f>CONCATENATE('IV-2 amsa'!F20)</f>
        <v>Lietuvos Respublikos ūkio ministerija</v>
      </c>
      <c r="G59" s="311" t="str">
        <f>CONCATENATE('IV-2 amsa'!G20)</f>
        <v>Alytaus regionas</v>
      </c>
      <c r="H59" s="130" t="str">
        <f>CONCATENATE('IV-2 amsa'!H20)</f>
        <v>05.4.1-LVPA-R-821</v>
      </c>
      <c r="I59" s="130" t="str">
        <f>CONCATENATE('IV-2 amsa'!I20)</f>
        <v>R</v>
      </c>
      <c r="J59" s="130" t="str">
        <f>CONCATENATE('IV-2 amsa'!J20)</f>
        <v>-</v>
      </c>
      <c r="K59" s="130" t="str">
        <f>CONCATENATE('IV-2 amsa'!K20)</f>
        <v>-</v>
      </c>
      <c r="L59" s="644">
        <f>SUM('IV-2 amsa'!L20+'IV-2 arsa'!K27+'IV-2 dsa'!K24+'IV-2 lrsa'!L25+'IV-2 vrsa'!L30)</f>
        <v>208223.52941176473</v>
      </c>
      <c r="M59" s="1017">
        <f>SUM('ketv. 6 '!L58)</f>
        <v>208223.53</v>
      </c>
      <c r="N59" s="1017">
        <f>IF(M59&gt;0,L59-M59,0)</f>
        <v>-5.8823527069762349E-4</v>
      </c>
      <c r="O59" s="644">
        <f>SUM('IV-2 amsa'!M20+'IV-2 arsa'!L27+'IV-2 dsa'!L24+'IV-2 lrsa'!M25+'IV-2 vrsa'!M30)</f>
        <v>31233.529411764706</v>
      </c>
      <c r="P59" s="1017">
        <f>SUM('ketv. 6 '!P58)</f>
        <v>31233.53</v>
      </c>
      <c r="Q59" s="1017">
        <f>IF(P59&gt;0,O59-P59,0)</f>
        <v>-5.8823529252549633E-4</v>
      </c>
      <c r="R59" s="644">
        <f>SUM('IV-2 amsa'!N20+'IV-2 arsa'!M27+'IV-2 dsa'!M24+'IV-2 lrsa'!N25+'IV-2 vrsa'!N30)</f>
        <v>0</v>
      </c>
      <c r="S59" s="1017">
        <f>SUM('ketv. 6 '!T58)</f>
        <v>0</v>
      </c>
      <c r="T59" s="1017">
        <f>IF(S59&gt;0,R59-S59,0)</f>
        <v>0</v>
      </c>
      <c r="U59" s="644">
        <f>SUM('IV-2 amsa'!O20+'IV-2 arsa'!N27+'IV-2 dsa'!N24+'IV-2 lrsa'!O25+'IV-2 vrsa'!O30)</f>
        <v>0</v>
      </c>
      <c r="V59" s="1017">
        <f>SUM('ketv. 6 '!X58)</f>
        <v>0</v>
      </c>
      <c r="W59" s="1017">
        <f>IF(V59&gt;0,U59-V59,0)</f>
        <v>0</v>
      </c>
      <c r="X59" s="644">
        <f>SUM('IV-2 amsa'!P20+'IV-2 arsa'!O27+'IV-2 dsa'!O24+'IV-2 lrsa'!P25+'IV-2 vrsa'!P30)</f>
        <v>0</v>
      </c>
      <c r="Y59" s="1017">
        <f>SUM('ketv. 6 '!AB58)</f>
        <v>0</v>
      </c>
      <c r="Z59" s="1017">
        <f>IF(Y59&gt;0,X59-Y59,0)</f>
        <v>0</v>
      </c>
      <c r="AA59" s="644">
        <f>SUM('IV-2 amsa'!Q20+'IV-2 arsa'!P27+'IV-2 dsa'!P24+'IV-2 lrsa'!Q25+'IV-2 vrsa'!Q30)</f>
        <v>176990</v>
      </c>
      <c r="AB59" s="1017">
        <f>SUM('IV-2 vrsa'!R39)</f>
        <v>0</v>
      </c>
      <c r="AC59" s="16" t="str">
        <f>IF('ketv. 4 '!Z59&gt;0,"Taip","Ne")</f>
        <v>Taip</v>
      </c>
      <c r="AD59" s="16">
        <f>SUM('ketv. 6 '!AF58)</f>
        <v>176990</v>
      </c>
      <c r="AE59" s="16">
        <f>IF(AD59&gt;0,AA59-AD59,0)</f>
        <v>0</v>
      </c>
      <c r="AF59" s="431">
        <f>SUM('IV-2 amsa'!S20)</f>
        <v>42604</v>
      </c>
      <c r="AG59" s="337">
        <f>SUM('IV-2 amsa'!T20)</f>
        <v>42635</v>
      </c>
      <c r="AH59" s="337">
        <f>SUM('IV-2 amsa'!U20)</f>
        <v>42755</v>
      </c>
      <c r="AI59" s="337">
        <f>SUM('IV-2 amsa'!V20)</f>
        <v>42840</v>
      </c>
      <c r="AJ59" s="339">
        <f t="shared" ref="AJ59:AJ61" si="75">IF(YEAR(AI59),YEAR(AI59))</f>
        <v>2017</v>
      </c>
      <c r="AK59" s="702">
        <f>SUM('IV-2 amsa'!W20)</f>
        <v>43465</v>
      </c>
      <c r="AL59" s="16">
        <f>IF(YEAR(AI59)=2016,AA59,0)</f>
        <v>0</v>
      </c>
      <c r="AM59" s="16">
        <f>IF(YEAR(AI59)=2017,AA59,0)</f>
        <v>176990</v>
      </c>
      <c r="AN59" s="16">
        <f>IF(YEAR(AI59)=2018,AA59,0)</f>
        <v>0</v>
      </c>
      <c r="AO59" s="16">
        <f>IF(YEAR(AI59)=2019,AA59,0)</f>
        <v>0</v>
      </c>
      <c r="AP59" s="703">
        <f>IF(YEAR(AI59)=2020,AA59,0)</f>
        <v>0</v>
      </c>
      <c r="AQ59" s="30"/>
      <c r="AR59" s="30"/>
      <c r="AS59" s="30"/>
    </row>
    <row r="60" spans="1:50" ht="52.5" thickTop="1" thickBot="1">
      <c r="A60" s="311" t="s">
        <v>194</v>
      </c>
      <c r="B60" s="311" t="s">
        <v>1290</v>
      </c>
      <c r="C60" s="1499" t="str">
        <f>CONCATENATE('ketv. 2'!B59)</f>
        <v>05.4.1-LVPA-R-821-11-0001</v>
      </c>
      <c r="D60" s="311" t="str">
        <f>CONCATENATE('IV-2 lrsa'!D26)</f>
        <v>Turizmo trasų ir maršrutų informacinės infrastruktūros plėtra Lazdijų, Varėnos rajonų ir Druskininkų savivaldybėse</v>
      </c>
      <c r="E60" s="311" t="str">
        <f>CONCATENATE('IV-2 lrsa'!E26)</f>
        <v>Lazdijų rajono savivaldybės administracija</v>
      </c>
      <c r="F60" s="311" t="str">
        <f>CONCATENATE('IV-2 lrsa'!F26)</f>
        <v>Lietuvos Respublikos ūkio ministerija</v>
      </c>
      <c r="G60" s="311" t="str">
        <f>CONCATENATE('IV-2 lrsa'!G26)</f>
        <v xml:space="preserve">Lazdijų, Varėnos rajonų ir Druskininkų savivaldybės </v>
      </c>
      <c r="H60" s="130" t="str">
        <f>CONCATENATE('IV-2 lrsa'!H26)</f>
        <v>05.4.1-LVPA-R-821</v>
      </c>
      <c r="I60" s="130" t="str">
        <f>CONCATENATE('IV-2 lrsa'!I26)</f>
        <v>R</v>
      </c>
      <c r="J60" s="130" t="str">
        <f>CONCATENATE('IV-2 lrsa'!J26)</f>
        <v>-</v>
      </c>
      <c r="K60" s="130" t="str">
        <f>CONCATENATE('IV-2 lrsa'!K26)</f>
        <v>-</v>
      </c>
      <c r="L60" s="644">
        <f>SUM('IV-2 dsa'!K25+'IV-2 lrsa'!L26+'IV-2 vrsa'!L31)</f>
        <v>288106</v>
      </c>
      <c r="M60" s="1017">
        <f>SUM('ketv. 6 '!L59)</f>
        <v>288106</v>
      </c>
      <c r="N60" s="1017">
        <f>IF(M60&gt;0,L60-M60,0)</f>
        <v>0</v>
      </c>
      <c r="O60" s="644">
        <f>SUM('IV-2 dsa'!L25+'IV-2 lrsa'!M26+'IV-2 vrsa'!M31)</f>
        <v>43215.9</v>
      </c>
      <c r="P60" s="1017">
        <f>SUM('ketv. 6 '!P59)</f>
        <v>43215.9</v>
      </c>
      <c r="Q60" s="1017">
        <f>IF(P60&gt;0,O60-P60,0)</f>
        <v>0</v>
      </c>
      <c r="R60" s="644">
        <f>SUM('IV-2 dsa'!M25+'IV-2 lrsa'!N26+'IV-2 vrsa'!N31)</f>
        <v>0</v>
      </c>
      <c r="S60" s="1017">
        <f>SUM('ketv. 6 '!T59)</f>
        <v>0</v>
      </c>
      <c r="T60" s="1017">
        <f>IF(S60&gt;0,R60-S60,0)</f>
        <v>0</v>
      </c>
      <c r="U60" s="644">
        <f>SUM('IV-2 dsa'!N25+'IV-2 lrsa'!O26+'IV-2 vrsa'!O31)</f>
        <v>0</v>
      </c>
      <c r="V60" s="1017">
        <f>SUM('ketv. 6 '!X59)</f>
        <v>0</v>
      </c>
      <c r="W60" s="1017">
        <f>IF(V60&gt;0,U60-V60,0)</f>
        <v>0</v>
      </c>
      <c r="X60" s="644">
        <f>SUM('IV-2 dsa'!O25+'IV-2 lrsa'!P26+'IV-2 vrsa'!P31)</f>
        <v>0</v>
      </c>
      <c r="Y60" s="1017">
        <f>SUM('ketv. 6 '!AB59)</f>
        <v>0</v>
      </c>
      <c r="Z60" s="1017">
        <f>IF(Y60&gt;0,X60-Y60,0)</f>
        <v>0</v>
      </c>
      <c r="AA60" s="644">
        <f>SUM('IV-2 dsa'!P25+'IV-2 lrsa'!Q26+'IV-2 vrsa'!Q31)</f>
        <v>244890.1</v>
      </c>
      <c r="AB60" s="1017">
        <f>SUM('IV-2 vrsa'!R40)</f>
        <v>0</v>
      </c>
      <c r="AC60" s="16" t="str">
        <f>IF('ketv. 4 '!Z60&gt;0,"Taip","Ne")</f>
        <v>Taip</v>
      </c>
      <c r="AD60" s="16">
        <f>SUM('ketv. 6 '!AF59)</f>
        <v>244890.1</v>
      </c>
      <c r="AE60" s="16">
        <f>IF(AD60&gt;0,AA60-AD60,0)</f>
        <v>0</v>
      </c>
      <c r="AF60" s="431">
        <f>SUM('IV-2 lrsa'!S26)</f>
        <v>42604</v>
      </c>
      <c r="AG60" s="337">
        <f>SUM('IV-2 lrsa'!T26)</f>
        <v>42635</v>
      </c>
      <c r="AH60" s="337">
        <f>SUM('IV-2 lrsa'!U26)</f>
        <v>42706</v>
      </c>
      <c r="AI60" s="337">
        <f>SUM('IV-2 lrsa'!V26)</f>
        <v>42825</v>
      </c>
      <c r="AJ60" s="339">
        <f t="shared" si="75"/>
        <v>2017</v>
      </c>
      <c r="AK60" s="702">
        <f>SUM('IV-2 lrsa'!W26)</f>
        <v>43585</v>
      </c>
      <c r="AL60" s="16">
        <f>IF(YEAR(AI60)=2016,AA60,0)</f>
        <v>0</v>
      </c>
      <c r="AM60" s="16">
        <f>IF(YEAR(AI60)=2017,AA60,0)</f>
        <v>244890.1</v>
      </c>
      <c r="AN60" s="16">
        <f>IF(YEAR(AI60)=2018,AA60,0)</f>
        <v>0</v>
      </c>
      <c r="AO60" s="16">
        <f>IF(YEAR(AI60)=2019,AA60,0)</f>
        <v>0</v>
      </c>
      <c r="AP60" s="703">
        <f>IF(YEAR(AI60)=2020,AA60,0)</f>
        <v>0</v>
      </c>
      <c r="AQ60" s="50"/>
      <c r="AR60" s="30"/>
      <c r="AS60" s="30"/>
    </row>
    <row r="61" spans="1:50" ht="52.5" thickTop="1" thickBot="1">
      <c r="A61" s="311" t="s">
        <v>212</v>
      </c>
      <c r="B61" s="311" t="s">
        <v>1291</v>
      </c>
      <c r="C61" s="1500" t="str">
        <f>CONCATENATE('ketv. 2'!B60)</f>
        <v>05.4.1-LVPA-R-821-11-0003</v>
      </c>
      <c r="D61" s="311" t="str">
        <f>CONCATENATE('IV-2 lrsa'!D27)</f>
        <v>Turizmo trasų ir maršrutų informacinės infrastruktūros plėtra Lazdijų, Varėnos rajonų ir Druskininkų savivaldybėse, II etapas</v>
      </c>
      <c r="E61" s="311" t="str">
        <f>CONCATENATE('IV-2 lrsa'!E27)</f>
        <v>Lazdijų rajono savivaldybės administracija</v>
      </c>
      <c r="F61" s="311" t="str">
        <f>CONCATENATE('IV-2 lrsa'!F27)</f>
        <v>Lietuvos Respublikos ūkio ministerija</v>
      </c>
      <c r="G61" s="311" t="str">
        <f>CONCATENATE('IV-2 lrsa'!G27)</f>
        <v xml:space="preserve">Lazdijų, Varėnos rajonų ir Druskininkų savivaldybės </v>
      </c>
      <c r="H61" s="130" t="str">
        <f>CONCATENATE('IV-2 lrsa'!H27)</f>
        <v>05.4.1-LVPA-R-821</v>
      </c>
      <c r="I61" s="130" t="str">
        <f>CONCATENATE('IV-2 lrsa'!I27)</f>
        <v>R</v>
      </c>
      <c r="J61" s="130" t="str">
        <f>CONCATENATE('IV-2 lrsa'!J27)</f>
        <v>-</v>
      </c>
      <c r="K61" s="130" t="str">
        <f>CONCATENATE('IV-2 lrsa'!K27)</f>
        <v>-</v>
      </c>
      <c r="L61" s="644">
        <f>SUM('IV-2 dsa'!K26+'IV-2 lrsa'!L27+'IV-2 vrsa'!L32)</f>
        <v>222988.11764705885</v>
      </c>
      <c r="M61" s="1017">
        <f>SUM('ketv. 6 '!L60)</f>
        <v>0</v>
      </c>
      <c r="N61" s="1017">
        <f>IF(M61&gt;0,L61-M61,0)</f>
        <v>0</v>
      </c>
      <c r="O61" s="644">
        <f>SUM('IV-2 dsa'!L26+'IV-2 lrsa'!M27+'IV-2 vrsa'!M32)</f>
        <v>33448.217647058824</v>
      </c>
      <c r="P61" s="1017">
        <f>SUM('ketv. 6 '!P60)</f>
        <v>0</v>
      </c>
      <c r="Q61" s="1017">
        <f>IF(P61&gt;0,O61-P61,0)</f>
        <v>0</v>
      </c>
      <c r="R61" s="644">
        <f>SUM('IV-2 dsa'!M26+'IV-2 lrsa'!N27+'IV-2 vrsa'!N32)</f>
        <v>0</v>
      </c>
      <c r="S61" s="1017">
        <f>SUM('ketv. 6 '!T60)</f>
        <v>0</v>
      </c>
      <c r="T61" s="1017">
        <f>IF(S61&gt;0,R61-S61,0)</f>
        <v>0</v>
      </c>
      <c r="U61" s="644">
        <f>SUM('IV-2 dsa'!N26+'IV-2 lrsa'!O27+'IV-2 vrsa'!O32)</f>
        <v>0</v>
      </c>
      <c r="V61" s="1017">
        <f>SUM('ketv. 6 '!X60)</f>
        <v>0</v>
      </c>
      <c r="W61" s="1017">
        <f>IF(V61&gt;0,U61-V61,0)</f>
        <v>0</v>
      </c>
      <c r="X61" s="644">
        <f>SUM('IV-2 dsa'!O26+'IV-2 lrsa'!P27+'IV-2 vrsa'!P32)</f>
        <v>0</v>
      </c>
      <c r="Y61" s="1017">
        <f>SUM('ketv. 6 '!AB60)</f>
        <v>0</v>
      </c>
      <c r="Z61" s="1017">
        <f>IF(Y61&gt;0,X61-Y61,0)</f>
        <v>0</v>
      </c>
      <c r="AA61" s="644">
        <f>SUM('IV-2 dsa'!P26+'IV-2 lrsa'!Q27+'IV-2 vrsa'!Q32)</f>
        <v>189539.9</v>
      </c>
      <c r="AB61" s="1017">
        <f>SUM('IV-2 vrsa'!R41)</f>
        <v>0</v>
      </c>
      <c r="AC61" s="16" t="str">
        <f>IF('ketv. 4 '!Z61&gt;0,"Taip","Ne")</f>
        <v>Ne</v>
      </c>
      <c r="AD61" s="16">
        <f>SUM('ketv. 6 '!AF60)</f>
        <v>0</v>
      </c>
      <c r="AE61" s="16">
        <f>IF(AD61&gt;0,AA61-AD61,0)</f>
        <v>0</v>
      </c>
      <c r="AF61" s="431">
        <v>43189</v>
      </c>
      <c r="AG61" s="337">
        <f>SUM('IV-2 lrsa'!T27)</f>
        <v>43465</v>
      </c>
      <c r="AH61" s="337">
        <f>SUM('IV-2 lrsa'!U27)</f>
        <v>43553</v>
      </c>
      <c r="AI61" s="337">
        <f>SUM('IV-2 lrsa'!V27)</f>
        <v>43645</v>
      </c>
      <c r="AJ61" s="339">
        <f t="shared" si="75"/>
        <v>2019</v>
      </c>
      <c r="AK61" s="702">
        <f>SUM('IV-2 lrsa'!W27)</f>
        <v>44376</v>
      </c>
      <c r="AL61" s="16">
        <f>IF(YEAR(AI61)=2016,AA61,0)</f>
        <v>0</v>
      </c>
      <c r="AM61" s="16">
        <f>IF(YEAR(AI61)=2017,AA61,0)</f>
        <v>0</v>
      </c>
      <c r="AN61" s="16">
        <f>IF(YEAR(AI61)=2018,AA61,0)</f>
        <v>0</v>
      </c>
      <c r="AO61" s="16">
        <f>IF(YEAR(AI61)=2019,AA61,0)</f>
        <v>189539.9</v>
      </c>
      <c r="AP61" s="703">
        <f>IF(YEAR(AI61)=2020,AA61,0)</f>
        <v>0</v>
      </c>
      <c r="AQ61" s="50"/>
      <c r="AR61" s="30"/>
      <c r="AS61" s="30"/>
    </row>
    <row r="62" spans="1:50" ht="34.5" customHeight="1" thickBot="1">
      <c r="A62" s="718" t="s">
        <v>84</v>
      </c>
      <c r="B62" s="1888" t="s">
        <v>1468</v>
      </c>
      <c r="C62" s="1889"/>
      <c r="D62" s="1889"/>
      <c r="E62" s="1889"/>
      <c r="F62" s="1889"/>
      <c r="G62" s="1889"/>
      <c r="H62" s="1889"/>
      <c r="I62" s="1889"/>
      <c r="J62" s="1889"/>
      <c r="K62" s="1890"/>
      <c r="L62" s="1054">
        <f t="shared" ref="L62:AA62" si="76">SUM(L63:L66)</f>
        <v>1972835.5100000002</v>
      </c>
      <c r="M62" s="1014">
        <f>SUM(M63:M66)</f>
        <v>1972835.5100000002</v>
      </c>
      <c r="N62" s="1014">
        <f>SUM(N63:N66)</f>
        <v>0</v>
      </c>
      <c r="O62" s="1054">
        <f t="shared" si="76"/>
        <v>422270.99</v>
      </c>
      <c r="P62" s="1014">
        <f>SUM(P63:P66)</f>
        <v>422270.99</v>
      </c>
      <c r="Q62" s="1014">
        <f>SUM(Q63:Q66)</f>
        <v>0</v>
      </c>
      <c r="R62" s="1054">
        <f t="shared" si="76"/>
        <v>0</v>
      </c>
      <c r="S62" s="1014">
        <f>SUM(S63:S66)</f>
        <v>0</v>
      </c>
      <c r="T62" s="1014">
        <f>SUM(T63:T66)</f>
        <v>0</v>
      </c>
      <c r="U62" s="1054">
        <f t="shared" si="76"/>
        <v>0</v>
      </c>
      <c r="V62" s="1014">
        <f>SUM(V63:V66)</f>
        <v>0</v>
      </c>
      <c r="W62" s="1014">
        <f>SUM(W63:W66)</f>
        <v>0</v>
      </c>
      <c r="X62" s="1054">
        <f t="shared" si="76"/>
        <v>352400.82</v>
      </c>
      <c r="Y62" s="1014">
        <f>SUM(Y63:Y66)</f>
        <v>352400.82</v>
      </c>
      <c r="Z62" s="1014">
        <f>SUM(Z63:Z66)</f>
        <v>0</v>
      </c>
      <c r="AA62" s="1054">
        <f t="shared" si="76"/>
        <v>1198163.7</v>
      </c>
      <c r="AB62" s="1014">
        <f>SUM('IV-2 vrsa'!R42)</f>
        <v>0</v>
      </c>
      <c r="AC62" s="698"/>
      <c r="AD62" s="698">
        <f>SUM(AD63:AD66)</f>
        <v>1198163.7</v>
      </c>
      <c r="AE62" s="698">
        <f>SUM(AE63:AE66)</f>
        <v>0</v>
      </c>
      <c r="AF62" s="698"/>
      <c r="AG62" s="715"/>
      <c r="AH62" s="715"/>
      <c r="AI62" s="715"/>
      <c r="AJ62" s="716"/>
      <c r="AK62" s="717"/>
      <c r="AL62" s="719">
        <f>SUM(AL63:AL66)</f>
        <v>0</v>
      </c>
      <c r="AM62" s="719">
        <f t="shared" ref="AM62:AP62" si="77">SUM(AM63:AM66)</f>
        <v>898622.7</v>
      </c>
      <c r="AN62" s="719">
        <f t="shared" si="77"/>
        <v>299541</v>
      </c>
      <c r="AO62" s="719">
        <f t="shared" si="77"/>
        <v>0</v>
      </c>
      <c r="AP62" s="719">
        <f t="shared" si="77"/>
        <v>0</v>
      </c>
      <c r="AQ62" s="30">
        <f>SUM('IV-2 amsa'!X22+'IV-2 arsa'!W28+'IV-2 dsa'!W27+'IV-2 lrsa'!X28+'IV-2 vrsa'!X33)</f>
        <v>1198165.51</v>
      </c>
      <c r="AR62" s="30">
        <f>SUM(AQ62*120/100)</f>
        <v>1437798.612</v>
      </c>
      <c r="AS62" s="30">
        <f>SUM(AQ62-AA62)</f>
        <v>1.8100000000558794</v>
      </c>
    </row>
    <row r="63" spans="1:50" ht="39" thickBot="1">
      <c r="A63" s="311" t="s">
        <v>85</v>
      </c>
      <c r="B63" s="311" t="s">
        <v>1292</v>
      </c>
      <c r="C63" s="314" t="str">
        <f>CONCATENATE('ketv. 2'!B62)</f>
        <v>07.1.1-CPVA-R-305-11-0001</v>
      </c>
      <c r="D63" s="311" t="str">
        <f>CONCATENATE('IV-2 vrsa'!D34)</f>
        <v>Kultūros įstaigų infrastruktūros modernizavimas Varėnos mieste</v>
      </c>
      <c r="E63" s="311" t="str">
        <f>CONCATENATE('IV-2 vrsa'!E34)</f>
        <v>Varėnos rajono savivaldybės administracija</v>
      </c>
      <c r="F63" s="311" t="str">
        <f>CONCATENATE('IV-2 vrsa'!F34)</f>
        <v>Lietuvos Respublikos kultūros ministerija</v>
      </c>
      <c r="G63" s="311" t="str">
        <f>CONCATENATE('IV-2 vrsa'!G34)</f>
        <v>Varėnos r. sav.</v>
      </c>
      <c r="H63" s="130" t="str">
        <f>CONCATENATE('IV-2 vrsa'!H34)</f>
        <v>07.1.1-CPVA-R-305</v>
      </c>
      <c r="I63" s="130" t="str">
        <f>CONCATENATE('IV-2 vrsa'!I34)</f>
        <v>R</v>
      </c>
      <c r="J63" s="130" t="str">
        <f>CONCATENATE('IV-2 vrsa'!J34)</f>
        <v>ITI</v>
      </c>
      <c r="K63" s="130" t="str">
        <f>CONCATENATE('IV-2 vrsa'!K34)</f>
        <v>-</v>
      </c>
      <c r="L63" s="644">
        <f>SUM('IV-2 vrsa'!L34)</f>
        <v>352401</v>
      </c>
      <c r="M63" s="1017">
        <f>SUM('ketv. 6 '!L62)</f>
        <v>352401</v>
      </c>
      <c r="N63" s="1017">
        <f>IF(M63&gt;0,L63-M63,0)</f>
        <v>0</v>
      </c>
      <c r="O63" s="644">
        <f>SUM('IV-2 vrsa'!M34)</f>
        <v>52860.15</v>
      </c>
      <c r="P63" s="1017">
        <f>SUM('ketv. 6 '!P62)</f>
        <v>52860.15</v>
      </c>
      <c r="Q63" s="1017">
        <f>IF(P63&gt;0,O63-P63,0)</f>
        <v>0</v>
      </c>
      <c r="R63" s="644">
        <f>SUM('IV-2 vrsa'!N34)</f>
        <v>0</v>
      </c>
      <c r="S63" s="1017">
        <f>SUM('ketv. 6 '!T62)</f>
        <v>0</v>
      </c>
      <c r="T63" s="1017">
        <f>IF(S63&gt;0,R63-S63,0)</f>
        <v>0</v>
      </c>
      <c r="U63" s="644">
        <f>SUM('IV-2 vrsa'!O34)</f>
        <v>0</v>
      </c>
      <c r="V63" s="1017">
        <f>SUM('ketv. 6 '!X62)</f>
        <v>0</v>
      </c>
      <c r="W63" s="1017">
        <f>IF(V63&gt;0,U63-V63,0)</f>
        <v>0</v>
      </c>
      <c r="X63" s="644">
        <f>SUM('IV-2 vrsa'!P34)</f>
        <v>0</v>
      </c>
      <c r="Y63" s="1017">
        <f>SUM('ketv. 6 '!AB62)</f>
        <v>0</v>
      </c>
      <c r="Z63" s="1017">
        <f>IF(Y63&gt;0,X63-Y63,0)</f>
        <v>0</v>
      </c>
      <c r="AA63" s="644">
        <f>SUM('IV-2 vrsa'!Q34)</f>
        <v>299540.84999999998</v>
      </c>
      <c r="AB63" s="1017">
        <f>SUM('IV-2 vrsa'!R43)</f>
        <v>0</v>
      </c>
      <c r="AC63" s="16" t="str">
        <f>IF('ketv. 4 '!Z63&gt;0,"Taip","Ne")</f>
        <v>Taip</v>
      </c>
      <c r="AD63" s="16">
        <f>SUM('ketv. 6 '!AF62)</f>
        <v>299540.84999999998</v>
      </c>
      <c r="AE63" s="16">
        <f>IF(AD63&gt;0,AA63-AD63,0)</f>
        <v>0</v>
      </c>
      <c r="AF63" s="431">
        <f>SUM('IV-2 vrsa'!S34)</f>
        <v>42614</v>
      </c>
      <c r="AG63" s="337">
        <f>SUM('IV-2 vrsa'!T34)</f>
        <v>42632</v>
      </c>
      <c r="AH63" s="337">
        <f>SUM('IV-2 vrsa'!U34)</f>
        <v>42767</v>
      </c>
      <c r="AI63" s="337">
        <f>SUM('IV-2 vrsa'!V34)</f>
        <v>42855</v>
      </c>
      <c r="AJ63" s="337">
        <f>SUM('IV-2 vrsa'!W34)</f>
        <v>43585</v>
      </c>
      <c r="AK63" s="702">
        <f>SUM('IV-2 vrsa'!W34)</f>
        <v>43585</v>
      </c>
      <c r="AL63" s="16">
        <f>IF(YEAR(AI63)=2016,AA63,0)</f>
        <v>0</v>
      </c>
      <c r="AM63" s="16">
        <f>IF(YEAR(AI63)=2017,AA63,0)</f>
        <v>299540.84999999998</v>
      </c>
      <c r="AN63" s="16">
        <f>IF(YEAR(AI63)=2018,AA63,0)</f>
        <v>0</v>
      </c>
      <c r="AO63" s="16">
        <f>IF(YEAR(AI63)=2019,AA63,0)</f>
        <v>0</v>
      </c>
      <c r="AP63" s="703">
        <f>IF(YEAR(AI63)=2020,AA63,0)</f>
        <v>0</v>
      </c>
      <c r="AQ63" s="30"/>
      <c r="AR63" s="30"/>
      <c r="AS63" s="30"/>
    </row>
    <row r="64" spans="1:50" ht="39.75" thickTop="1" thickBot="1">
      <c r="A64" s="311" t="s">
        <v>168</v>
      </c>
      <c r="B64" s="311" t="s">
        <v>1293</v>
      </c>
      <c r="C64" s="1499" t="str">
        <f>CONCATENATE('ketv. 2'!B63)</f>
        <v>07.1.1-CPVA-R-305-11-0002</v>
      </c>
      <c r="D64" s="311" t="str">
        <f>CONCATENATE('IV-2 amsa'!D23)</f>
        <v>VšĮ Alytaus kultūros ir komunikacijos centro pastato Alytuje, Pramonės g. 1B, rekonstravimas</v>
      </c>
      <c r="E64" s="311" t="str">
        <f>CONCATENATE('IV-2 amsa'!E23)</f>
        <v>Alytaus miesto savivaldybės administracija</v>
      </c>
      <c r="F64" s="311" t="str">
        <f>CONCATENATE('IV-2 amsa'!F23)</f>
        <v>Lietuvos Respublikos kultūros ministerija</v>
      </c>
      <c r="G64" s="311" t="str">
        <f>CONCATENATE('IV-2 amsa'!G23)</f>
        <v>Alytaus m. sav.</v>
      </c>
      <c r="H64" s="130" t="str">
        <f>CONCATENATE('IV-2 amsa'!H23)</f>
        <v>07.1.1-CPVA-R-305</v>
      </c>
      <c r="I64" s="130" t="str">
        <f>CONCATENATE('IV-2 amsa'!I23)</f>
        <v>R</v>
      </c>
      <c r="J64" s="130" t="str">
        <f>CONCATENATE('IV-2 amsa'!J23)</f>
        <v>ITI</v>
      </c>
      <c r="K64" s="130" t="str">
        <f>CONCATENATE('IV-2 amsa'!K23)</f>
        <v>-</v>
      </c>
      <c r="L64" s="644">
        <f>SUM('IV-2 amsa'!L23)</f>
        <v>783264.16</v>
      </c>
      <c r="M64" s="1017">
        <f>SUM('ketv. 6 '!L63)</f>
        <v>783264.16</v>
      </c>
      <c r="N64" s="1017">
        <f>IF(M64&gt;0,L64-M64,0)</f>
        <v>0</v>
      </c>
      <c r="O64" s="644">
        <f>SUM('IV-2 amsa'!M23)</f>
        <v>131322.34</v>
      </c>
      <c r="P64" s="1017">
        <f>SUM('ketv. 6 '!P63)</f>
        <v>131322.34</v>
      </c>
      <c r="Q64" s="1017">
        <f>IF(P64&gt;0,O64-P64,0)</f>
        <v>0</v>
      </c>
      <c r="R64" s="644">
        <f>SUM('IV-2 amsa'!N23)</f>
        <v>0</v>
      </c>
      <c r="S64" s="1017">
        <f>SUM('ketv. 6 '!T63)</f>
        <v>0</v>
      </c>
      <c r="T64" s="1017">
        <f>IF(S64&gt;0,R64-S64,0)</f>
        <v>0</v>
      </c>
      <c r="U64" s="644">
        <f>SUM('IV-2 amsa'!O23)</f>
        <v>0</v>
      </c>
      <c r="V64" s="1017">
        <f>SUM('ketv. 6 '!X63)</f>
        <v>0</v>
      </c>
      <c r="W64" s="1017">
        <f>IF(V64&gt;0,U64-V64,0)</f>
        <v>0</v>
      </c>
      <c r="X64" s="644">
        <f>SUM('IV-2 amsa'!P23)</f>
        <v>352400.82</v>
      </c>
      <c r="Y64" s="1017">
        <f>SUM('ketv. 6 '!AB63)</f>
        <v>352400.82</v>
      </c>
      <c r="Z64" s="1017">
        <f>IF(Y64&gt;0,X64-Y64,0)</f>
        <v>0</v>
      </c>
      <c r="AA64" s="644">
        <f>SUM('IV-2 amsa'!Q23)</f>
        <v>299541</v>
      </c>
      <c r="AB64" s="1017">
        <f>SUM('IV-2 vrsa'!R44)</f>
        <v>0</v>
      </c>
      <c r="AC64" s="16" t="str">
        <f>IF('ketv. 4 '!Z64&gt;0,"Taip","Ne")</f>
        <v>Taip</v>
      </c>
      <c r="AD64" s="16">
        <f>SUM('ketv. 6 '!AF63)</f>
        <v>299541</v>
      </c>
      <c r="AE64" s="16">
        <f>IF(AD64&gt;0,AA64-AD64,0)</f>
        <v>0</v>
      </c>
      <c r="AF64" s="431">
        <f>SUM('IV-2 amsa'!S23)</f>
        <v>42614</v>
      </c>
      <c r="AG64" s="337">
        <f>SUM('IV-2 amsa'!T23)</f>
        <v>42703</v>
      </c>
      <c r="AH64" s="337">
        <f>SUM('IV-2 amsa'!U23)</f>
        <v>42762</v>
      </c>
      <c r="AI64" s="337">
        <f>SUM('IV-2 amsa'!V23)</f>
        <v>42855</v>
      </c>
      <c r="AJ64" s="339">
        <f t="shared" ref="AJ64:AJ66" si="78">IF(YEAR(AI64),YEAR(AI64))</f>
        <v>2017</v>
      </c>
      <c r="AK64" s="702">
        <f>SUM('IV-2 amsa'!W23)</f>
        <v>43465</v>
      </c>
      <c r="AL64" s="16">
        <f>IF(YEAR(AI64)=2016,AA64,0)</f>
        <v>0</v>
      </c>
      <c r="AM64" s="16">
        <f>IF(YEAR(AI64)=2017,AA64,0)</f>
        <v>299541</v>
      </c>
      <c r="AN64" s="16">
        <f>IF(YEAR(AI64)=2018,AA64,0)</f>
        <v>0</v>
      </c>
      <c r="AO64" s="16">
        <f>IF(YEAR(AI64)=2019,AA64,0)</f>
        <v>0</v>
      </c>
      <c r="AP64" s="703">
        <f>IF(YEAR(AI64)=2020,AA64,0)</f>
        <v>0</v>
      </c>
      <c r="AQ64" s="30"/>
      <c r="AR64" s="30"/>
      <c r="AS64" s="30"/>
    </row>
    <row r="65" spans="1:47" ht="51.75" customHeight="1" thickTop="1" thickBot="1">
      <c r="A65" s="311" t="s">
        <v>171</v>
      </c>
      <c r="B65" s="311" t="s">
        <v>1294</v>
      </c>
      <c r="C65" s="1499" t="str">
        <f>CONCATENATE('ketv. 2'!B64)</f>
        <v>07.1.1-CPVA-R-305-11-0003</v>
      </c>
      <c r="D65" s="311" t="str">
        <f>CONCATENATE('IV-2 dsa'!C28)</f>
        <v>Druskininkų kultūros centro lauko scenos, Vilniaus al. 24, Druskininkai, modernizavimas ir pritaikymas kultūros poreikiams</v>
      </c>
      <c r="E65" s="311" t="str">
        <f>CONCATENATE('IV-2 dsa'!D28)</f>
        <v xml:space="preserve">Druskininkų savivaldybės administracija  </v>
      </c>
      <c r="F65" s="311" t="str">
        <f>CONCATENATE('IV-2 dsa'!E28)</f>
        <v>Lietuvos Respublikos kultūros ministerija</v>
      </c>
      <c r="G65" s="311" t="str">
        <f>CONCATENATE('IV-2 dsa'!F28)</f>
        <v>Druskininkų sav.</v>
      </c>
      <c r="H65" s="130" t="str">
        <f>CONCATENATE('IV-2 dsa'!G28)</f>
        <v>07.1.1-CPVA-R-305</v>
      </c>
      <c r="I65" s="130" t="str">
        <f>CONCATENATE('IV-2 dsa'!H28)</f>
        <v>R</v>
      </c>
      <c r="J65" s="130" t="str">
        <f>CONCATENATE('IV-2 dsa'!I28)</f>
        <v>ITI</v>
      </c>
      <c r="K65" s="2" t="s">
        <v>66</v>
      </c>
      <c r="L65" s="644">
        <f>SUM('IV-2 dsa'!K28)</f>
        <v>352401</v>
      </c>
      <c r="M65" s="1017">
        <f>SUM('ketv. 6 '!L64)</f>
        <v>352401</v>
      </c>
      <c r="N65" s="1017">
        <f>IF(M65&gt;0,L65-M65,0)</f>
        <v>0</v>
      </c>
      <c r="O65" s="644">
        <f>SUM('IV-2 dsa'!L28)</f>
        <v>52860.15</v>
      </c>
      <c r="P65" s="1017">
        <f>SUM('ketv. 6 '!P64)</f>
        <v>52860.15</v>
      </c>
      <c r="Q65" s="1017">
        <f>IF(P65&gt;0,O65-P65,0)</f>
        <v>0</v>
      </c>
      <c r="R65" s="644">
        <f>SUM('IV-2 dsa'!M28)</f>
        <v>0</v>
      </c>
      <c r="S65" s="1017">
        <f>SUM('ketv. 6 '!T64)</f>
        <v>0</v>
      </c>
      <c r="T65" s="1017">
        <f>IF(S65&gt;0,R65-S65,0)</f>
        <v>0</v>
      </c>
      <c r="U65" s="644">
        <f>SUM('IV-2 dsa'!N28)</f>
        <v>0</v>
      </c>
      <c r="V65" s="1017">
        <f>SUM('ketv. 6 '!X64)</f>
        <v>0</v>
      </c>
      <c r="W65" s="1017">
        <f>IF(V65&gt;0,U65-V65,0)</f>
        <v>0</v>
      </c>
      <c r="X65" s="644">
        <f>SUM('IV-2 dsa'!O28)</f>
        <v>0</v>
      </c>
      <c r="Y65" s="1017">
        <f>SUM('ketv. 6 '!AB64)</f>
        <v>0</v>
      </c>
      <c r="Z65" s="1017">
        <f>IF(Y65&gt;0,X65-Y65,0)</f>
        <v>0</v>
      </c>
      <c r="AA65" s="644">
        <f>SUM('IV-2 dsa'!P28)</f>
        <v>299540.84999999998</v>
      </c>
      <c r="AB65" s="1017">
        <f>SUM('IV-2 vrsa'!R45)</f>
        <v>0</v>
      </c>
      <c r="AC65" s="16" t="str">
        <f>IF('ketv. 4 '!Z65&gt;0,"Taip","Ne")</f>
        <v>Taip</v>
      </c>
      <c r="AD65" s="16">
        <f>SUM('ketv. 6 '!AF64)</f>
        <v>299540.84999999998</v>
      </c>
      <c r="AE65" s="16">
        <f>IF(AD65&gt;0,AA65-AD65,0)</f>
        <v>0</v>
      </c>
      <c r="AF65" s="431">
        <f>SUM('IV-2 dsa'!R28)</f>
        <v>42614</v>
      </c>
      <c r="AG65" s="337">
        <f>SUM('IV-2 dsa'!S28)</f>
        <v>42703</v>
      </c>
      <c r="AH65" s="337">
        <f>SUM('IV-2 dsa'!T28)</f>
        <v>42767</v>
      </c>
      <c r="AI65" s="337">
        <f>SUM('IV-2 dsa'!U28)</f>
        <v>42870</v>
      </c>
      <c r="AJ65" s="339">
        <f t="shared" si="78"/>
        <v>2017</v>
      </c>
      <c r="AK65" s="702">
        <f>SUM('IV-2 dsa'!V28)</f>
        <v>43830</v>
      </c>
      <c r="AL65" s="16">
        <f>IF(YEAR(AI65)=2016,AA65,0)</f>
        <v>0</v>
      </c>
      <c r="AM65" s="16">
        <f>IF(YEAR(AI65)=2017,AA65,0)</f>
        <v>299540.84999999998</v>
      </c>
      <c r="AN65" s="16">
        <f>IF(YEAR(AI65)=2018,AA65,0)</f>
        <v>0</v>
      </c>
      <c r="AO65" s="16">
        <f>IF(YEAR(AI65)=2019,AA65,0)</f>
        <v>0</v>
      </c>
      <c r="AP65" s="703">
        <f>IF(YEAR(AI65)=2020,AA65,0)</f>
        <v>0</v>
      </c>
      <c r="AQ65" s="30"/>
      <c r="AR65" s="30"/>
      <c r="AS65" s="30"/>
    </row>
    <row r="66" spans="1:47" ht="45.75" customHeight="1" thickTop="1" thickBot="1">
      <c r="A66" s="311" t="s">
        <v>175</v>
      </c>
      <c r="B66" s="311" t="s">
        <v>1295</v>
      </c>
      <c r="C66" s="1500" t="str">
        <f>CONCATENATE('ketv. 2'!B65)</f>
        <v>07.1.1-CPVA-R-305-11-0004</v>
      </c>
      <c r="D66" s="311" t="str">
        <f>CONCATENATE('IV-2 lrsa'!D29)</f>
        <v>Pastato rekonstrukcija ir pritaikymas kultūrinėms, muziejinėms ir edukacinėms reikmėms</v>
      </c>
      <c r="E66" s="311" t="str">
        <f>CONCATENATE('IV-2 lrsa'!E29)</f>
        <v>Lazdijų rajono savivaldybės administracija</v>
      </c>
      <c r="F66" s="311" t="str">
        <f>CONCATENATE('IV-2 lrsa'!F29)</f>
        <v>Lietuvos Respublikos kultūros ministerija</v>
      </c>
      <c r="G66" s="311" t="str">
        <f>CONCATENATE('IV-2 lrsa'!G29)</f>
        <v>Lazdijų r. sav.</v>
      </c>
      <c r="H66" s="130" t="str">
        <f>CONCATENATE('IV-2 lrsa'!H29)</f>
        <v>07.1.1-CPVA-R-305</v>
      </c>
      <c r="I66" s="130" t="str">
        <f>CONCATENATE('IV-2 lrsa'!I29)</f>
        <v>R</v>
      </c>
      <c r="J66" s="130" t="str">
        <f>CONCATENATE('IV-2 lrsa'!J29)</f>
        <v>ITI</v>
      </c>
      <c r="K66" s="130" t="str">
        <f>CONCATENATE('IV-2 lrsa'!K29)</f>
        <v>-</v>
      </c>
      <c r="L66" s="644">
        <f>SUM('IV-2 lrsa'!L29)</f>
        <v>484769.35</v>
      </c>
      <c r="M66" s="1017">
        <f>SUM('ketv. 6 '!L65)</f>
        <v>484769.35</v>
      </c>
      <c r="N66" s="1017">
        <f>IF(M66&gt;0,L66-M66,0)</f>
        <v>0</v>
      </c>
      <c r="O66" s="644">
        <f>SUM('IV-2 lrsa'!M29)</f>
        <v>185228.35</v>
      </c>
      <c r="P66" s="1017">
        <f>SUM('ketv. 6 '!P65)</f>
        <v>185228.35</v>
      </c>
      <c r="Q66" s="1017">
        <f>IF(P66&gt;0,O66-P66,0)</f>
        <v>0</v>
      </c>
      <c r="R66" s="644">
        <f>SUM('IV-2 lrsa'!N29)</f>
        <v>0</v>
      </c>
      <c r="S66" s="1017">
        <f>SUM('ketv. 6 '!T65)</f>
        <v>0</v>
      </c>
      <c r="T66" s="1017">
        <f>IF(S66&gt;0,R66-S66,0)</f>
        <v>0</v>
      </c>
      <c r="U66" s="644">
        <f>SUM('IV-2 lrsa'!O29)</f>
        <v>0</v>
      </c>
      <c r="V66" s="1017">
        <f>SUM('ketv. 6 '!X65)</f>
        <v>0</v>
      </c>
      <c r="W66" s="1017">
        <f>IF(V66&gt;0,U66-V66,0)</f>
        <v>0</v>
      </c>
      <c r="X66" s="644">
        <f>SUM('IV-2 lrsa'!P29)</f>
        <v>0</v>
      </c>
      <c r="Y66" s="1017">
        <f>SUM('ketv. 6 '!AB65)</f>
        <v>0</v>
      </c>
      <c r="Z66" s="1017">
        <f>IF(Y66&gt;0,X66-Y66,0)</f>
        <v>0</v>
      </c>
      <c r="AA66" s="644">
        <f>SUM('IV-2 lrsa'!Q29)</f>
        <v>299541</v>
      </c>
      <c r="AB66" s="1017">
        <f>SUM('IV-2 vrsa'!R46)</f>
        <v>0</v>
      </c>
      <c r="AC66" s="16" t="str">
        <f>IF('ketv. 4 '!Z66&gt;0,"Taip","Ne")</f>
        <v>Taip</v>
      </c>
      <c r="AD66" s="16">
        <f>SUM('ketv. 6 '!AF65)</f>
        <v>299541</v>
      </c>
      <c r="AE66" s="16">
        <f>IF(AD66&gt;0,AA66-AD66,0)</f>
        <v>0</v>
      </c>
      <c r="AF66" s="431">
        <f>SUM('IV-2 lrsa'!S29)</f>
        <v>42614</v>
      </c>
      <c r="AG66" s="337">
        <f>SUM('IV-2 lrsa'!T29)</f>
        <v>42703</v>
      </c>
      <c r="AH66" s="337">
        <f>SUM('IV-2 lrsa'!U29)</f>
        <v>43097</v>
      </c>
      <c r="AI66" s="337">
        <f>SUM('IV-2 lrsa'!V29)</f>
        <v>43190</v>
      </c>
      <c r="AJ66" s="339">
        <f t="shared" si="78"/>
        <v>2018</v>
      </c>
      <c r="AK66" s="702">
        <f>SUM('IV-2 lrsa'!W29)</f>
        <v>43830</v>
      </c>
      <c r="AL66" s="16">
        <f>IF(YEAR(AI66)=2016,AA66,0)</f>
        <v>0</v>
      </c>
      <c r="AM66" s="16">
        <f>IF(YEAR(AI66)=2017,AA66,0)</f>
        <v>0</v>
      </c>
      <c r="AN66" s="16">
        <f>IF(YEAR(AI66)=2018,AA66,0)</f>
        <v>299541</v>
      </c>
      <c r="AO66" s="16">
        <f>IF(YEAR(AI66)=2019,AA66,0)</f>
        <v>0</v>
      </c>
      <c r="AP66" s="703">
        <f>IF(YEAR(AI66)=2020,AA66,0)</f>
        <v>0</v>
      </c>
      <c r="AQ66" s="30"/>
      <c r="AR66" s="30"/>
      <c r="AS66" s="30"/>
    </row>
    <row r="67" spans="1:47" ht="25.5" customHeight="1" thickBot="1">
      <c r="A67" s="718" t="s">
        <v>86</v>
      </c>
      <c r="B67" s="1888" t="s">
        <v>1469</v>
      </c>
      <c r="C67" s="1889"/>
      <c r="D67" s="1889"/>
      <c r="E67" s="1889"/>
      <c r="F67" s="1889"/>
      <c r="G67" s="1889"/>
      <c r="H67" s="1889"/>
      <c r="I67" s="1889"/>
      <c r="J67" s="1889"/>
      <c r="K67" s="1890"/>
      <c r="L67" s="1054">
        <f t="shared" ref="L67:AA67" si="79">SUM(L68:L72)</f>
        <v>1461941.12</v>
      </c>
      <c r="M67" s="1014">
        <f>SUM(M68:M72)</f>
        <v>1424127.6800000002</v>
      </c>
      <c r="N67" s="1014">
        <f>SUM(N68:N72)</f>
        <v>37813.440000000002</v>
      </c>
      <c r="O67" s="1054">
        <f t="shared" si="79"/>
        <v>438075.46</v>
      </c>
      <c r="P67" s="1014">
        <f>SUM(P68:P72)</f>
        <v>432403.30000000005</v>
      </c>
      <c r="Q67" s="1014">
        <f>SUM(Q68:Q72)</f>
        <v>5672.16</v>
      </c>
      <c r="R67" s="1054">
        <f t="shared" si="79"/>
        <v>0</v>
      </c>
      <c r="S67" s="1014">
        <f>SUM(S68:S72)</f>
        <v>0</v>
      </c>
      <c r="T67" s="1014">
        <f>SUM(T68:T72)</f>
        <v>0</v>
      </c>
      <c r="U67" s="1054">
        <f t="shared" si="79"/>
        <v>0</v>
      </c>
      <c r="V67" s="1014">
        <f>SUM(V68:V72)</f>
        <v>0</v>
      </c>
      <c r="W67" s="1014">
        <f>SUM(W68:W72)</f>
        <v>0</v>
      </c>
      <c r="X67" s="1054">
        <f t="shared" si="79"/>
        <v>0</v>
      </c>
      <c r="Y67" s="1014">
        <f>SUM(Y68:Y72)</f>
        <v>0</v>
      </c>
      <c r="Z67" s="1014">
        <f>SUM(Z68:Z72)</f>
        <v>0</v>
      </c>
      <c r="AA67" s="1054">
        <f t="shared" si="79"/>
        <v>1023865.66</v>
      </c>
      <c r="AB67" s="1014">
        <f>SUM('IV-2 vrsa'!R47)</f>
        <v>0</v>
      </c>
      <c r="AC67" s="698"/>
      <c r="AD67" s="698">
        <f>SUM(AD68:AD72)</f>
        <v>991724.38</v>
      </c>
      <c r="AE67" s="698">
        <f>SUM(AE68:AE72)</f>
        <v>32141.279999999999</v>
      </c>
      <c r="AF67" s="698"/>
      <c r="AG67" s="715"/>
      <c r="AH67" s="715"/>
      <c r="AI67" s="715"/>
      <c r="AJ67" s="716"/>
      <c r="AK67" s="717"/>
      <c r="AL67" s="719">
        <f>SUM(AL68:AL72)</f>
        <v>0</v>
      </c>
      <c r="AM67" s="719">
        <f t="shared" ref="AM67:AP67" si="80">SUM(AM68:AM72)</f>
        <v>0</v>
      </c>
      <c r="AN67" s="719">
        <f t="shared" si="80"/>
        <v>1023865.66</v>
      </c>
      <c r="AO67" s="719">
        <f t="shared" si="80"/>
        <v>0</v>
      </c>
      <c r="AP67" s="719">
        <f t="shared" si="80"/>
        <v>0</v>
      </c>
      <c r="AQ67" s="30">
        <f>SUM('IV-2 amsa'!X24+'IV-2 arsa'!W30+'IV-2 dsa'!W29+'IV-2 lrsa'!X30+'IV-2 vrsa'!X35)</f>
        <v>1030281.5620000002</v>
      </c>
      <c r="AR67" s="30">
        <f>SUM(AQ67*120/100)</f>
        <v>1236337.8744000001</v>
      </c>
      <c r="AS67" s="30">
        <f>SUM(AQ67-AA67)</f>
        <v>6415.9020000001183</v>
      </c>
    </row>
    <row r="68" spans="1:47" ht="39.75" thickTop="1" thickBot="1">
      <c r="A68" s="311" t="s">
        <v>87</v>
      </c>
      <c r="B68" s="311" t="s">
        <v>1296</v>
      </c>
      <c r="C68" s="1093" t="str">
        <f>CONCATENATE('ketv. 2'!B67)</f>
        <v>05.4.1-CPVA-R-302-11-0003</v>
      </c>
      <c r="D68" s="311" t="str">
        <f>CONCATENATE('IV-2 amsa'!D25)</f>
        <v>Buvusios sinagogos pastato Kauno g. 9A Alytuje rekonstravimas ir aplinkinės teritorijos sutvarkymas</v>
      </c>
      <c r="E68" s="311" t="str">
        <f>CONCATENATE('IV-2 amsa'!E25)</f>
        <v>Alytaus miesto savivaldybės administracija</v>
      </c>
      <c r="F68" s="311" t="str">
        <f>CONCATENATE('IV-2 amsa'!F25)</f>
        <v>Lietuvos Respublikos kultūros ministerija</v>
      </c>
      <c r="G68" s="311" t="str">
        <f>CONCATENATE('IV-2 amsa'!G25)</f>
        <v>Alytaus m. sav.</v>
      </c>
      <c r="H68" s="130" t="str">
        <f>CONCATENATE('IV-2 amsa'!H25)</f>
        <v>05.4.1-CPVA-R-302</v>
      </c>
      <c r="I68" s="130" t="str">
        <f>CONCATENATE('IV-2 amsa'!I25)</f>
        <v>R</v>
      </c>
      <c r="J68" s="130" t="str">
        <f>CONCATENATE('IV-2 amsa'!J25)</f>
        <v>ITI</v>
      </c>
      <c r="K68" s="130" t="str">
        <f>CONCATENATE('IV-2 amsa'!K25)</f>
        <v xml:space="preserve"> -</v>
      </c>
      <c r="L68" s="644">
        <f>SUM('IV-2 amsa'!L25)</f>
        <v>444560.16000000003</v>
      </c>
      <c r="M68" s="1017">
        <f>SUM('ketv. 6 '!L67)</f>
        <v>444560.16000000003</v>
      </c>
      <c r="N68" s="1017">
        <f>IF(M68&gt;0,L68-M68,0)</f>
        <v>0</v>
      </c>
      <c r="O68" s="644">
        <f>SUM('IV-2 amsa'!M25)</f>
        <v>238504.16</v>
      </c>
      <c r="P68" s="1017">
        <f>SUM('ketv. 6 '!P67)</f>
        <v>238504.16</v>
      </c>
      <c r="Q68" s="1017">
        <f>IF(P68&gt;0,O68-P68,0)</f>
        <v>0</v>
      </c>
      <c r="R68" s="644">
        <f>SUM('IV-2 amsa'!N25)</f>
        <v>0</v>
      </c>
      <c r="S68" s="1017">
        <f>SUM('ketv. 6 '!T67)</f>
        <v>0</v>
      </c>
      <c r="T68" s="1017">
        <f>IF(S68&gt;0,R68-S68,0)</f>
        <v>0</v>
      </c>
      <c r="U68" s="644">
        <f>SUM('IV-2 amsa'!O25)</f>
        <v>0</v>
      </c>
      <c r="V68" s="1017">
        <f>SUM('ketv. 6 '!X67)</f>
        <v>0</v>
      </c>
      <c r="W68" s="1017">
        <f>IF(V68&gt;0,U68-V68,0)</f>
        <v>0</v>
      </c>
      <c r="X68" s="644">
        <f>SUM('IV-2 amsa'!P25)</f>
        <v>0</v>
      </c>
      <c r="Y68" s="1017">
        <f>SUM('ketv. 6 '!AB67)</f>
        <v>0</v>
      </c>
      <c r="Z68" s="1017">
        <f>IF(Y68&gt;0,X68-Y68,0)</f>
        <v>0</v>
      </c>
      <c r="AA68" s="644">
        <f>SUM('IV-2 amsa'!Q25)</f>
        <v>206056</v>
      </c>
      <c r="AB68" s="1017">
        <f>SUM('IV-2 vrsa'!R48)</f>
        <v>0</v>
      </c>
      <c r="AC68" s="16" t="str">
        <f>IF('ketv. 4 '!Z68&gt;0,"Taip","Ne")</f>
        <v>Taip</v>
      </c>
      <c r="AD68" s="16">
        <f>SUM('ketv. 6 '!AF67)</f>
        <v>206056</v>
      </c>
      <c r="AE68" s="16">
        <f>IF(AD68&gt;0,AA68-AD68,0)</f>
        <v>0</v>
      </c>
      <c r="AF68" s="431">
        <f>SUM('IV-2 amsa'!S25)</f>
        <v>42667</v>
      </c>
      <c r="AG68" s="337">
        <f>SUM('IV-2 amsa'!T25)</f>
        <v>42794</v>
      </c>
      <c r="AH68" s="337">
        <f>SUM('IV-2 amsa'!U25)</f>
        <v>43220</v>
      </c>
      <c r="AI68" s="337">
        <f>SUM('IV-2 amsa'!V25)</f>
        <v>43281</v>
      </c>
      <c r="AJ68" s="339">
        <f t="shared" ref="AJ68:AJ72" si="81">IF(YEAR(AI68),YEAR(AI68))</f>
        <v>2018</v>
      </c>
      <c r="AK68" s="702">
        <f>SUM('IV-2 amsa'!W25)</f>
        <v>44196</v>
      </c>
      <c r="AL68" s="16">
        <f>IF(YEAR(AI68)=2016,AA68,0)</f>
        <v>0</v>
      </c>
      <c r="AM68" s="16">
        <f>IF(YEAR(AI68)=2017,AA68,0)</f>
        <v>0</v>
      </c>
      <c r="AN68" s="16">
        <f>IF(YEAR(AI68)=2018,AA68,0)</f>
        <v>206056</v>
      </c>
      <c r="AO68" s="16">
        <f>IF(YEAR(AI68)=2019,AA68,0)</f>
        <v>0</v>
      </c>
      <c r="AP68" s="703">
        <f>IF(YEAR(AI68)=2020,AA68,0)</f>
        <v>0</v>
      </c>
      <c r="AQ68" s="340"/>
      <c r="AR68" s="30"/>
      <c r="AS68" s="30"/>
    </row>
    <row r="69" spans="1:47" ht="39.75" thickTop="1" thickBot="1">
      <c r="A69" s="311" t="s">
        <v>176</v>
      </c>
      <c r="B69" s="311" t="s">
        <v>1297</v>
      </c>
      <c r="C69" s="1093" t="str">
        <f>CONCATENATE('ketv. 2'!B68)</f>
        <v>05.4.1-CPVA-R-302-11-0002</v>
      </c>
      <c r="D69" s="311" t="str">
        <f>CONCATENATE('IV-2 dsa'!C30)</f>
        <v>Mažosios dailės galerijos, M.K.Čiurlionio g. 37, Druskininkai, modernizavimas ir pritaikymas kultūros poreikiams</v>
      </c>
      <c r="E69" s="311" t="str">
        <f>CONCATENATE('IV-2 dsa'!D30)</f>
        <v xml:space="preserve">Druskininkų savivaldybės administracija  </v>
      </c>
      <c r="F69" s="311" t="str">
        <f>CONCATENATE('IV-2 dsa'!E30)</f>
        <v>Lietuvos Respublikos kultūros ministerija</v>
      </c>
      <c r="G69" s="311" t="str">
        <f>CONCATENATE('IV-2 dsa'!F30)</f>
        <v>Druskininkų sav.</v>
      </c>
      <c r="H69" s="130" t="str">
        <f>CONCATENATE('IV-2 dsa'!G30)</f>
        <v>05.4.1-CPVA-R-302</v>
      </c>
      <c r="I69" s="130" t="str">
        <f>CONCATENATE('IV-2 dsa'!H30)</f>
        <v>R</v>
      </c>
      <c r="J69" s="130" t="str">
        <f>CONCATENATE('IV-2 dsa'!I30)</f>
        <v>-</v>
      </c>
      <c r="K69" s="130" t="str">
        <f>CONCATENATE('IV-2 dsa'!J30)</f>
        <v/>
      </c>
      <c r="L69" s="644">
        <f>SUM('IV-2 dsa'!K30)</f>
        <v>297670.41000000003</v>
      </c>
      <c r="M69" s="1017">
        <f>SUM('ketv. 6 '!L68)</f>
        <v>297670.41000000003</v>
      </c>
      <c r="N69" s="1017">
        <f>IF(M69&gt;0,L69-M69,0)</f>
        <v>0</v>
      </c>
      <c r="O69" s="644">
        <f>SUM('IV-2 dsa'!L30)</f>
        <v>91614.41</v>
      </c>
      <c r="P69" s="1017">
        <f>SUM('ketv. 6 '!P68)</f>
        <v>91614.41</v>
      </c>
      <c r="Q69" s="1017">
        <f>IF(P69&gt;0,O69-P69,0)</f>
        <v>0</v>
      </c>
      <c r="R69" s="644">
        <f>SUM('IV-2 dsa'!M30)</f>
        <v>0</v>
      </c>
      <c r="S69" s="1017">
        <f>SUM('ketv. 6 '!T68)</f>
        <v>0</v>
      </c>
      <c r="T69" s="1017">
        <f>IF(S69&gt;0,R69-S69,0)</f>
        <v>0</v>
      </c>
      <c r="U69" s="644">
        <f>SUM('IV-2 dsa'!N30)</f>
        <v>0</v>
      </c>
      <c r="V69" s="1017">
        <f>SUM('ketv. 6 '!X68)</f>
        <v>0</v>
      </c>
      <c r="W69" s="1017">
        <f>IF(V69&gt;0,U69-V69,0)</f>
        <v>0</v>
      </c>
      <c r="X69" s="644">
        <f>SUM('IV-2 dsa'!O30)</f>
        <v>0</v>
      </c>
      <c r="Y69" s="1017">
        <f>SUM('ketv. 6 '!AB68)</f>
        <v>0</v>
      </c>
      <c r="Z69" s="1017">
        <f>IF(Y69&gt;0,X69-Y69,0)</f>
        <v>0</v>
      </c>
      <c r="AA69" s="644">
        <f>SUM('IV-2 dsa'!P30)</f>
        <v>206056</v>
      </c>
      <c r="AB69" s="1017">
        <f>SUM('IV-2 vrsa'!R49)</f>
        <v>0</v>
      </c>
      <c r="AC69" s="16" t="str">
        <f>IF('ketv. 4 '!Z69&gt;0,"Taip","Ne")</f>
        <v>Taip</v>
      </c>
      <c r="AD69" s="16">
        <f>SUM('ketv. 6 '!AF68)</f>
        <v>206056</v>
      </c>
      <c r="AE69" s="16">
        <f>IF(AD69&gt;0,AA69-AD69,0)</f>
        <v>0</v>
      </c>
      <c r="AF69" s="431">
        <f>SUM('IV-2 dsa'!R30)</f>
        <v>42667</v>
      </c>
      <c r="AG69" s="337">
        <f>SUM('IV-2 dsa'!S30)</f>
        <v>42779</v>
      </c>
      <c r="AH69" s="337">
        <f>SUM('IV-2 dsa'!T30)</f>
        <v>43190</v>
      </c>
      <c r="AI69" s="337">
        <f>SUM('IV-2 dsa'!U30)</f>
        <v>43281</v>
      </c>
      <c r="AJ69" s="339">
        <f t="shared" si="81"/>
        <v>2018</v>
      </c>
      <c r="AK69" s="702">
        <f>SUM('IV-2 dsa'!V30)</f>
        <v>43739</v>
      </c>
      <c r="AL69" s="16">
        <f>IF(YEAR(AI69)=2016,AA69,0)</f>
        <v>0</v>
      </c>
      <c r="AM69" s="16">
        <f>IF(YEAR(AI69)=2017,AA69,0)</f>
        <v>0</v>
      </c>
      <c r="AN69" s="16">
        <f>IF(YEAR(AI69)=2018,AA69,0)</f>
        <v>206056</v>
      </c>
      <c r="AO69" s="16">
        <f>IF(YEAR(AI69)=2019,AA69,0)</f>
        <v>0</v>
      </c>
      <c r="AP69" s="703">
        <f>IF(YEAR(AI69)=2020,AA69,0)</f>
        <v>0</v>
      </c>
      <c r="AQ69" s="340"/>
      <c r="AR69" s="30"/>
      <c r="AS69" s="30"/>
    </row>
    <row r="70" spans="1:47" ht="39.75" thickTop="1" thickBot="1">
      <c r="A70" s="311" t="s">
        <v>177</v>
      </c>
      <c r="B70" s="311" t="s">
        <v>1300</v>
      </c>
      <c r="C70" s="1093" t="str">
        <f>CONCATENATE('ketv. 2'!B69)</f>
        <v>05.4.1-CPVA-R-302-11-0001</v>
      </c>
      <c r="D70" s="311" t="str">
        <f>CONCATENATE('IV-2 lrsa'!D31)</f>
        <v>Motiejaus Gustaičio memorialinio namo kompleksinis sutvarkymas</v>
      </c>
      <c r="E70" s="311" t="str">
        <f>CONCATENATE('IV-2 lrsa'!E31)</f>
        <v>Lazdijų rajono savivaldybės administracija</v>
      </c>
      <c r="F70" s="311" t="str">
        <f>CONCATENATE('IV-2 lrsa'!F31)</f>
        <v>Lietuvos Respublikos kultūros ministerija</v>
      </c>
      <c r="G70" s="311" t="str">
        <f>CONCATENATE('IV-2 lrsa'!G31)</f>
        <v>Lazdijų r. sav.</v>
      </c>
      <c r="H70" s="130" t="str">
        <f>CONCATENATE('IV-2 lrsa'!H31)</f>
        <v>05.4.1-CPVA-R-302</v>
      </c>
      <c r="I70" s="130" t="str">
        <f>CONCATENATE('IV-2 lrsa'!I31)</f>
        <v>R</v>
      </c>
      <c r="J70" s="130" t="str">
        <f>CONCATENATE('IV-2 lrsa'!J31)</f>
        <v>ITI</v>
      </c>
      <c r="K70" s="130" t="str">
        <f>CONCATENATE('IV-2 lrsa'!K31)</f>
        <v>-</v>
      </c>
      <c r="L70" s="644">
        <f>SUM('IV-2 lrsa'!L31)</f>
        <v>242419</v>
      </c>
      <c r="M70" s="1017">
        <f>SUM('ketv. 6 '!L69)</f>
        <v>242419</v>
      </c>
      <c r="N70" s="1017">
        <f>IF(M70&gt;0,L70-M70,0)</f>
        <v>0</v>
      </c>
      <c r="O70" s="644">
        <f>SUM('IV-2 lrsa'!M31)</f>
        <v>36363</v>
      </c>
      <c r="P70" s="1017">
        <f>SUM('ketv. 6 '!P69)</f>
        <v>36363</v>
      </c>
      <c r="Q70" s="1017">
        <f>IF(P70&gt;0,O70-P70,0)</f>
        <v>0</v>
      </c>
      <c r="R70" s="644">
        <f>SUM('IV-2 lrsa'!N31)</f>
        <v>0</v>
      </c>
      <c r="S70" s="1017">
        <f>SUM('ketv. 6 '!T69)</f>
        <v>0</v>
      </c>
      <c r="T70" s="1017">
        <f>IF(S70&gt;0,R70-S70,0)</f>
        <v>0</v>
      </c>
      <c r="U70" s="644">
        <f>SUM('IV-2 lrsa'!O31)</f>
        <v>0</v>
      </c>
      <c r="V70" s="1017">
        <f>SUM('ketv. 6 '!X69)</f>
        <v>0</v>
      </c>
      <c r="W70" s="1017">
        <f>IF(V70&gt;0,U70-V70,0)</f>
        <v>0</v>
      </c>
      <c r="X70" s="644">
        <f>SUM('IV-2 lrsa'!P31)</f>
        <v>0</v>
      </c>
      <c r="Y70" s="1017">
        <f>SUM('ketv. 6 '!AB69)</f>
        <v>0</v>
      </c>
      <c r="Z70" s="1017">
        <f>IF(Y70&gt;0,X70-Y70,0)</f>
        <v>0</v>
      </c>
      <c r="AA70" s="644">
        <f>SUM('IV-2 lrsa'!Q31)</f>
        <v>206056</v>
      </c>
      <c r="AB70" s="1017">
        <f>SUM('IV-2 vrsa'!R50)</f>
        <v>0</v>
      </c>
      <c r="AC70" s="16" t="str">
        <f>IF('ketv. 4 '!Z70&gt;0,"Taip","Ne")</f>
        <v>Taip</v>
      </c>
      <c r="AD70" s="16">
        <f>SUM('ketv. 6 '!AF69)</f>
        <v>206056</v>
      </c>
      <c r="AE70" s="16">
        <f>IF(AD70&gt;0,AA70-AD70,0)</f>
        <v>0</v>
      </c>
      <c r="AF70" s="431">
        <f>SUM('IV-2 lrsa'!S31)</f>
        <v>42667</v>
      </c>
      <c r="AG70" s="337">
        <f>SUM('IV-2 lrsa'!T31)</f>
        <v>42794</v>
      </c>
      <c r="AH70" s="337">
        <f>SUM('IV-2 lrsa'!U31)</f>
        <v>43179</v>
      </c>
      <c r="AI70" s="337">
        <f>SUM('IV-2 lrsa'!V31)</f>
        <v>43249</v>
      </c>
      <c r="AJ70" s="339">
        <f t="shared" si="81"/>
        <v>2018</v>
      </c>
      <c r="AK70" s="702">
        <f>SUM('IV-2 lrsa'!W31)</f>
        <v>43830</v>
      </c>
      <c r="AL70" s="16">
        <f>IF(YEAR(AI70)=2016,AA70,0)</f>
        <v>0</v>
      </c>
      <c r="AM70" s="16">
        <f>IF(YEAR(AI70)=2017,AA70,0)</f>
        <v>0</v>
      </c>
      <c r="AN70" s="16">
        <f>IF(YEAR(AI70)=2018,AA70,0)</f>
        <v>206056</v>
      </c>
      <c r="AO70" s="16">
        <f>IF(YEAR(AI70)=2019,AA70,0)</f>
        <v>0</v>
      </c>
      <c r="AP70" s="703">
        <f>IF(YEAR(AI70)=2020,AA70,0)</f>
        <v>0</v>
      </c>
      <c r="AQ70" s="30"/>
      <c r="AR70" s="30"/>
      <c r="AS70" s="30"/>
    </row>
    <row r="71" spans="1:47" ht="39.75" thickTop="1" thickBot="1">
      <c r="A71" s="311" t="s">
        <v>195</v>
      </c>
      <c r="B71" s="311" t="s">
        <v>1298</v>
      </c>
      <c r="C71" s="1093" t="str">
        <f>CONCATENATE('ketv. 2'!B70)</f>
        <v>05.4.1-CPVA-R-302-11-0004</v>
      </c>
      <c r="D71" s="311" t="str">
        <f>CONCATENATE('IV-2 arsa'!C31)</f>
        <v>Kurnėnų Lauryno Radziukyno mokyklos pritaikymas kultūrinėms ir turistinėms reikmėms</v>
      </c>
      <c r="E71" s="311" t="str">
        <f>CONCATENATE('IV-2 arsa'!D31)</f>
        <v>Alytaus rajono savivaldybės administracija</v>
      </c>
      <c r="F71" s="311" t="str">
        <f>CONCATENATE('IV-2 arsa'!E31)</f>
        <v>Lietuvos Respublikos kultūros ministerija</v>
      </c>
      <c r="G71" s="311" t="str">
        <f>CONCATENATE('IV-2 arsa'!F31)</f>
        <v>Alytaus r. sav.</v>
      </c>
      <c r="H71" s="130" t="str">
        <f>CONCATENATE('IV-2 arsa'!G31)</f>
        <v>05.4.1-CPVA-R-302</v>
      </c>
      <c r="I71" s="130" t="str">
        <f>CONCATENATE('IV-2 arsa'!H31)</f>
        <v>R</v>
      </c>
      <c r="J71" s="130" t="str">
        <f>CONCATENATE('IV-2 arsa'!I31)</f>
        <v>-</v>
      </c>
      <c r="K71" s="130" t="str">
        <f>CONCATENATE('IV-2 arsa'!J31)</f>
        <v>-</v>
      </c>
      <c r="L71" s="644">
        <f>SUM('IV-2 arsa'!K31)</f>
        <v>234872.55</v>
      </c>
      <c r="M71" s="1017">
        <f>SUM('ketv. 6 '!L70)</f>
        <v>234872.55</v>
      </c>
      <c r="N71" s="1017">
        <f>IF(M71&gt;0,L71-M71,0)</f>
        <v>0</v>
      </c>
      <c r="O71" s="644">
        <f>SUM('IV-2 arsa'!L31)</f>
        <v>35230.89</v>
      </c>
      <c r="P71" s="1017">
        <f>SUM('ketv. 6 '!P70)</f>
        <v>35230.89</v>
      </c>
      <c r="Q71" s="1017">
        <f>IF(P71&gt;0,O71-P71,0)</f>
        <v>0</v>
      </c>
      <c r="R71" s="644">
        <f>SUM('IV-2 arsa'!M31)</f>
        <v>0</v>
      </c>
      <c r="S71" s="1017">
        <f>SUM('ketv. 6 '!T70)</f>
        <v>0</v>
      </c>
      <c r="T71" s="1017">
        <f>IF(S71&gt;0,R71-S71,0)</f>
        <v>0</v>
      </c>
      <c r="U71" s="644">
        <f>SUM('IV-2 arsa'!N31)</f>
        <v>0</v>
      </c>
      <c r="V71" s="1017">
        <f>SUM('ketv. 6 '!X70)</f>
        <v>0</v>
      </c>
      <c r="W71" s="1017">
        <f>IF(V71&gt;0,U71-V71,0)</f>
        <v>0</v>
      </c>
      <c r="X71" s="644">
        <f>SUM('IV-2 arsa'!O31)</f>
        <v>0</v>
      </c>
      <c r="Y71" s="1017">
        <f>SUM('ketv. 6 '!AB70)</f>
        <v>0</v>
      </c>
      <c r="Z71" s="1017">
        <f>IF(Y71&gt;0,X71-Y71,0)</f>
        <v>0</v>
      </c>
      <c r="AA71" s="644">
        <f>SUM('IV-2 arsa'!P31)</f>
        <v>199641.66</v>
      </c>
      <c r="AB71" s="1017">
        <f>SUM('IV-2 vrsa'!R51)</f>
        <v>0</v>
      </c>
      <c r="AC71" s="16" t="str">
        <f>IF('ketv. 4 '!Z71&gt;0,"Taip","Ne")</f>
        <v>Taip</v>
      </c>
      <c r="AD71" s="16">
        <f>SUM('ketv. 6 '!AF70)</f>
        <v>199641.66</v>
      </c>
      <c r="AE71" s="16">
        <f>IF(AD71&gt;0,AA71-AD71,0)</f>
        <v>0</v>
      </c>
      <c r="AF71" s="431">
        <f>SUM('IV-2 arsa'!R31)</f>
        <v>42667</v>
      </c>
      <c r="AG71" s="337">
        <f>SUM('IV-2 arsa'!S31)</f>
        <v>42794</v>
      </c>
      <c r="AH71" s="337">
        <f>SUM('IV-2 arsa'!T31)</f>
        <v>43190</v>
      </c>
      <c r="AI71" s="337">
        <f>SUM('IV-2 arsa'!U31)</f>
        <v>43281</v>
      </c>
      <c r="AJ71" s="339">
        <f t="shared" si="81"/>
        <v>2018</v>
      </c>
      <c r="AK71" s="702">
        <f>SUM('IV-2 arsa'!V31)</f>
        <v>44196</v>
      </c>
      <c r="AL71" s="16">
        <f>IF(YEAR(AI71)=2016,AA71,0)</f>
        <v>0</v>
      </c>
      <c r="AM71" s="16">
        <f>IF(YEAR(AI71)=2017,AA71,0)</f>
        <v>0</v>
      </c>
      <c r="AN71" s="16">
        <f>IF(YEAR(AI71)=2018,AA71,0)</f>
        <v>199641.66</v>
      </c>
      <c r="AO71" s="16">
        <f>IF(YEAR(AI71)=2019,AA71,0)</f>
        <v>0</v>
      </c>
      <c r="AP71" s="703">
        <f>IF(YEAR(AI71)=2020,AA71,0)</f>
        <v>0</v>
      </c>
      <c r="AQ71" s="50"/>
      <c r="AR71" s="30"/>
      <c r="AS71" s="30"/>
    </row>
    <row r="72" spans="1:47" ht="39.75" thickTop="1" thickBot="1">
      <c r="A72" s="311" t="s">
        <v>243</v>
      </c>
      <c r="B72" s="522" t="s">
        <v>1299</v>
      </c>
      <c r="C72" s="1093" t="str">
        <f>CONCATENATE('ketv. 2'!B71)</f>
        <v>05.4.1-CPVA-R-302-11-0005</v>
      </c>
      <c r="D72" s="522" t="str">
        <f>CONCATENATE('IV-2 vrsa'!D36)</f>
        <v>Vinco Krėvės-Mickevičiaus memorialinio muziejaus atnaujinimas</v>
      </c>
      <c r="E72" s="522" t="str">
        <f>CONCATENATE('IV-2 vrsa'!E36)</f>
        <v>Varėnos rajono savivaldybės administracija</v>
      </c>
      <c r="F72" s="522" t="str">
        <f>CONCATENATE('IV-2 vrsa'!F36)</f>
        <v>Lietuvos Respublikos kultūros ministerija</v>
      </c>
      <c r="G72" s="522" t="str">
        <f>CONCATENATE('IV-2 vrsa'!G36)</f>
        <v>Varėnos r. sav.</v>
      </c>
      <c r="H72" s="314" t="str">
        <f>CONCATENATE('IV-2 vrsa'!H36)</f>
        <v>05.4.1-CPVA-R-302</v>
      </c>
      <c r="I72" s="314" t="str">
        <f>CONCATENATE('IV-2 vrsa'!I36)</f>
        <v>R</v>
      </c>
      <c r="J72" s="314" t="str">
        <f>CONCATENATE('IV-2 vrsa'!J36)</f>
        <v>-</v>
      </c>
      <c r="K72" s="314" t="str">
        <f>CONCATENATE('IV-2 vrsa'!K36)</f>
        <v>-</v>
      </c>
      <c r="L72" s="644">
        <f>SUM('IV-2 vrsa'!L36)</f>
        <v>242419</v>
      </c>
      <c r="M72" s="1017">
        <f>SUM('ketv. 6 '!L71)</f>
        <v>204605.56</v>
      </c>
      <c r="N72" s="1017">
        <f>IF(M72&gt;0,L72-M72,0)</f>
        <v>37813.440000000002</v>
      </c>
      <c r="O72" s="644">
        <f>SUM('IV-2 vrsa'!M36)</f>
        <v>36363</v>
      </c>
      <c r="P72" s="1017">
        <f>SUM('ketv. 6 '!P71)</f>
        <v>30690.84</v>
      </c>
      <c r="Q72" s="1017">
        <f>IF(P72&gt;0,O72-P72,0)</f>
        <v>5672.16</v>
      </c>
      <c r="R72" s="644">
        <f>SUM('IV-2 vrsa'!N36)</f>
        <v>0</v>
      </c>
      <c r="S72" s="1017">
        <f>SUM('ketv. 6 '!T71)</f>
        <v>0</v>
      </c>
      <c r="T72" s="1017">
        <f>IF(S72&gt;0,R72-S72,0)</f>
        <v>0</v>
      </c>
      <c r="U72" s="644">
        <f>SUM('IV-2 vrsa'!O36)</f>
        <v>0</v>
      </c>
      <c r="V72" s="1017">
        <f>SUM('ketv. 6 '!X71)</f>
        <v>0</v>
      </c>
      <c r="W72" s="1017">
        <f>IF(V72&gt;0,U72-V72,0)</f>
        <v>0</v>
      </c>
      <c r="X72" s="644">
        <f>SUM('IV-2 vrsa'!P36)</f>
        <v>0</v>
      </c>
      <c r="Y72" s="1017">
        <f>SUM('ketv. 6 '!AB71)</f>
        <v>0</v>
      </c>
      <c r="Z72" s="1017">
        <f>IF(Y72&gt;0,X72-Y72,0)</f>
        <v>0</v>
      </c>
      <c r="AA72" s="644">
        <f>SUM('IV-2 vrsa'!Q36)</f>
        <v>206056</v>
      </c>
      <c r="AB72" s="1017">
        <f>SUM('IV-2 vrsa'!R52)</f>
        <v>0</v>
      </c>
      <c r="AC72" s="16" t="str">
        <f>IF('ketv. 4 '!Z72&gt;0,"Taip","Ne")</f>
        <v>Taip</v>
      </c>
      <c r="AD72" s="16">
        <f>SUM('ketv. 6 '!AF71)</f>
        <v>173914.72</v>
      </c>
      <c r="AE72" s="16">
        <f>IF(AD72&gt;0,AA72-AD72,0)</f>
        <v>32141.279999999999</v>
      </c>
      <c r="AF72" s="431">
        <f>SUM('IV-2 vrsa'!S36)</f>
        <v>42667</v>
      </c>
      <c r="AG72" s="337">
        <f>SUM('IV-2 vrsa'!T36)</f>
        <v>42794</v>
      </c>
      <c r="AH72" s="337">
        <f>SUM('IV-2 vrsa'!U36)</f>
        <v>43241</v>
      </c>
      <c r="AI72" s="337">
        <f>SUM('IV-2 vrsa'!V36)</f>
        <v>43342</v>
      </c>
      <c r="AJ72" s="339">
        <f t="shared" si="81"/>
        <v>2018</v>
      </c>
      <c r="AK72" s="702">
        <f>SUM('IV-2 vrsa'!W36)</f>
        <v>44196</v>
      </c>
      <c r="AL72" s="16">
        <f>IF(YEAR(AI72)=2016,AA72,0)</f>
        <v>0</v>
      </c>
      <c r="AM72" s="16">
        <f>IF(YEAR(AI72)=2017,AA72,0)</f>
        <v>0</v>
      </c>
      <c r="AN72" s="16">
        <f>IF(YEAR(AI72)=2018,AA72,0)</f>
        <v>206056</v>
      </c>
      <c r="AO72" s="16">
        <f>IF(YEAR(AI72)=2019,AA72,0)</f>
        <v>0</v>
      </c>
      <c r="AP72" s="703">
        <f>IF(YEAR(AI72)=2020,AA72,0)</f>
        <v>0</v>
      </c>
      <c r="AQ72" s="341"/>
      <c r="AR72" s="30"/>
      <c r="AS72" s="30"/>
    </row>
    <row r="73" spans="1:47" ht="40.5" customHeight="1" thickBot="1">
      <c r="A73" s="824" t="s">
        <v>22</v>
      </c>
      <c r="B73" s="1893" t="s">
        <v>1470</v>
      </c>
      <c r="C73" s="1901"/>
      <c r="D73" s="1901"/>
      <c r="E73" s="1901"/>
      <c r="F73" s="1901"/>
      <c r="G73" s="1901"/>
      <c r="H73" s="1901"/>
      <c r="I73" s="1901"/>
      <c r="J73" s="1901"/>
      <c r="K73" s="1902"/>
      <c r="L73" s="1053">
        <f>SUM(L74+L79+L86+L92)</f>
        <v>8717757.129999999</v>
      </c>
      <c r="M73" s="1021"/>
      <c r="N73" s="1021"/>
      <c r="O73" s="1053">
        <f>SUM(O74+O79+O86+O92)</f>
        <v>1821114.06</v>
      </c>
      <c r="P73" s="1021"/>
      <c r="Q73" s="1021"/>
      <c r="R73" s="1053">
        <f>SUM(R74+R79+R86+R92)</f>
        <v>0</v>
      </c>
      <c r="S73" s="1021"/>
      <c r="T73" s="1021"/>
      <c r="U73" s="1053">
        <f>SUM(U74+U79+U86+U92)</f>
        <v>508815.5</v>
      </c>
      <c r="V73" s="1021"/>
      <c r="W73" s="1021"/>
      <c r="X73" s="1053">
        <f>SUM(X74+X79+X86+X92)</f>
        <v>62660</v>
      </c>
      <c r="Y73" s="1021"/>
      <c r="Z73" s="1021"/>
      <c r="AA73" s="1053">
        <f>SUM(AA74+AA79+AA86+AA92)</f>
        <v>6325167.5700000003</v>
      </c>
      <c r="AB73" s="1021">
        <f>SUM('IV-2 vrsa'!R53)</f>
        <v>0</v>
      </c>
      <c r="AC73" s="122"/>
      <c r="AD73" s="122"/>
      <c r="AE73" s="122"/>
      <c r="AF73" s="122"/>
      <c r="AG73" s="720"/>
      <c r="AH73" s="720"/>
      <c r="AI73" s="720"/>
      <c r="AJ73" s="14"/>
      <c r="AK73" s="156"/>
      <c r="AL73" s="16"/>
      <c r="AM73" s="692"/>
      <c r="AN73" s="692"/>
      <c r="AO73" s="692"/>
      <c r="AP73" s="692"/>
      <c r="AQ73" s="30">
        <f>SUM(AQ74+AQ79+AQ86+AQ92)</f>
        <v>6111038.96</v>
      </c>
      <c r="AR73" s="30">
        <f>SUM(AR74+AR79+AR86+AR92)</f>
        <v>7333246.7520000003</v>
      </c>
      <c r="AS73" s="30">
        <f>SUM(AS74+AS79+AS86+AS92)</f>
        <v>-171086.31000000029</v>
      </c>
    </row>
    <row r="74" spans="1:47" ht="33.75" customHeight="1" thickBot="1">
      <c r="A74" s="718" t="s">
        <v>88</v>
      </c>
      <c r="B74" s="1896" t="s">
        <v>1471</v>
      </c>
      <c r="C74" s="1903"/>
      <c r="D74" s="1903"/>
      <c r="E74" s="1903"/>
      <c r="F74" s="1903"/>
      <c r="G74" s="1903"/>
      <c r="H74" s="1903"/>
      <c r="I74" s="1903"/>
      <c r="J74" s="1903"/>
      <c r="K74" s="1904"/>
      <c r="L74" s="1054">
        <f t="shared" ref="L74:AA74" si="82">SUM(L75:L78)</f>
        <v>2005982</v>
      </c>
      <c r="M74" s="1014">
        <f>SUM(M75:M78)</f>
        <v>912405</v>
      </c>
      <c r="N74" s="1014">
        <f>SUM(N75:N78)</f>
        <v>190539</v>
      </c>
      <c r="O74" s="1054">
        <f t="shared" si="82"/>
        <v>233894.5</v>
      </c>
      <c r="P74" s="1014">
        <f>SUM(P75:P78)</f>
        <v>32724</v>
      </c>
      <c r="Q74" s="1014">
        <f>SUM(Q75:Q78)</f>
        <v>6682</v>
      </c>
      <c r="R74" s="1054">
        <f t="shared" si="82"/>
        <v>0</v>
      </c>
      <c r="S74" s="1014">
        <f>SUM(S75:S78)</f>
        <v>0</v>
      </c>
      <c r="T74" s="1014">
        <f>SUM(T75:T78)</f>
        <v>0</v>
      </c>
      <c r="U74" s="1054">
        <f t="shared" si="82"/>
        <v>508815.5</v>
      </c>
      <c r="V74" s="1014">
        <f>SUM(V75:V78)</f>
        <v>276697</v>
      </c>
      <c r="W74" s="1014">
        <f>SUM(W75:W78)</f>
        <v>145995</v>
      </c>
      <c r="X74" s="1054">
        <f t="shared" si="82"/>
        <v>0</v>
      </c>
      <c r="Y74" s="1014">
        <f>SUM(Y75:Y78)</f>
        <v>0</v>
      </c>
      <c r="Z74" s="1014">
        <f>SUM(Z75:Z78)</f>
        <v>0</v>
      </c>
      <c r="AA74" s="1054">
        <f t="shared" si="82"/>
        <v>1263272</v>
      </c>
      <c r="AB74" s="1014">
        <f>SUM('IV-2 vrsa'!R54)</f>
        <v>0</v>
      </c>
      <c r="AC74" s="708"/>
      <c r="AD74" s="708">
        <f>SUM(AD75:AD78)</f>
        <v>602984</v>
      </c>
      <c r="AE74" s="708">
        <f>SUM(AE75:AE78)</f>
        <v>37862</v>
      </c>
      <c r="AF74" s="708"/>
      <c r="AG74" s="709"/>
      <c r="AH74" s="709"/>
      <c r="AI74" s="709"/>
      <c r="AJ74" s="710"/>
      <c r="AK74" s="711"/>
      <c r="AL74" s="719">
        <f>SUM(AL75:AL78)</f>
        <v>0</v>
      </c>
      <c r="AM74" s="719">
        <f>SUM(AM75:AM78)</f>
        <v>0</v>
      </c>
      <c r="AN74" s="719">
        <f>SUM(AN75:AN78)</f>
        <v>640846</v>
      </c>
      <c r="AO74" s="719">
        <f>SUM(AO75:AO78)</f>
        <v>622426</v>
      </c>
      <c r="AP74" s="719">
        <f>SUM(AP75:AP78)</f>
        <v>0</v>
      </c>
      <c r="AQ74" s="30">
        <f>SUM('IV-2 amsa'!X27+'IV-2 arsa'!W33+'IV-2 dsa'!W32+'IV-2 lrsa'!X33+'IV-2 vrsa'!X38)</f>
        <v>1263272</v>
      </c>
      <c r="AR74" s="30">
        <f>SUM(AQ74*120/100)</f>
        <v>1515926.4</v>
      </c>
      <c r="AS74" s="30">
        <f>SUM(AQ74-AA74)</f>
        <v>0</v>
      </c>
    </row>
    <row r="75" spans="1:47" ht="39" thickBot="1">
      <c r="A75" s="311" t="s">
        <v>89</v>
      </c>
      <c r="B75" s="311" t="s">
        <v>1301</v>
      </c>
      <c r="C75" s="314" t="str">
        <f>CONCATENATE('ketv. 2'!B74)</f>
        <v/>
      </c>
      <c r="D75" s="311" t="str">
        <f>CONCATENATE('IV-2 amsa'!D28)</f>
        <v>Nekenksmingų aplinkai viešojo transporto priemonių įsigijimas Alytaus mieste</v>
      </c>
      <c r="E75" s="311" t="str">
        <f>CONCATENATE('IV-2 amsa'!E28)</f>
        <v>Alytaus miesto savivaldybės administracija</v>
      </c>
      <c r="F75" s="311" t="str">
        <f>CONCATENATE('IV-2 amsa'!F28)</f>
        <v>Lietuvos Respublikos susisiekimo ministerija</v>
      </c>
      <c r="G75" s="311" t="str">
        <f>CONCATENATE('IV-2 amsa'!G28)</f>
        <v>Alytaus m. sav.</v>
      </c>
      <c r="H75" s="130" t="str">
        <f>CONCATENATE('IV-2 amsa'!H28)</f>
        <v>04.5.1-TID-R-518</v>
      </c>
      <c r="I75" s="130" t="str">
        <f>CONCATENATE('IV-2 amsa'!I28)</f>
        <v>R</v>
      </c>
      <c r="J75" s="130" t="str">
        <f>CONCATENATE('IV-2 amsa'!J28)</f>
        <v>ITI</v>
      </c>
      <c r="K75" s="130" t="str">
        <f>CONCATENATE('IV-2 amsa'!K28)</f>
        <v>-</v>
      </c>
      <c r="L75" s="644">
        <f>SUM('IV-2 amsa'!L28)</f>
        <v>406091</v>
      </c>
      <c r="M75" s="1017">
        <f>SUM('ketv. 6 '!L74)</f>
        <v>0</v>
      </c>
      <c r="N75" s="1017">
        <f>IF(M75&gt;0,L75-M75,0)</f>
        <v>0</v>
      </c>
      <c r="O75" s="644">
        <f>SUM('IV-2 amsa'!M28)</f>
        <v>60914</v>
      </c>
      <c r="P75" s="1017">
        <f>SUM('ketv. 6 '!P74)</f>
        <v>0</v>
      </c>
      <c r="Q75" s="1017">
        <f>IF(P75&gt;0,O75-P75,0)</f>
        <v>0</v>
      </c>
      <c r="R75" s="644">
        <f>SUM('IV-2 amsa'!N28)</f>
        <v>0</v>
      </c>
      <c r="S75" s="1017">
        <f>SUM('ketv. 6 '!T74)</f>
        <v>0</v>
      </c>
      <c r="T75" s="1017">
        <f>IF(S75&gt;0,R75-S75,0)</f>
        <v>0</v>
      </c>
      <c r="U75" s="644">
        <f>SUM('IV-2 amsa'!O28)</f>
        <v>0</v>
      </c>
      <c r="V75" s="1017">
        <f>SUM('ketv. 6 '!X74)</f>
        <v>0</v>
      </c>
      <c r="W75" s="1017">
        <f>IF(V75&gt;0,U75-V75,0)</f>
        <v>0</v>
      </c>
      <c r="X75" s="644">
        <f>SUM('IV-2 amsa'!P28)</f>
        <v>0</v>
      </c>
      <c r="Y75" s="1017">
        <f>SUM('ketv. 6 '!AB74)</f>
        <v>0</v>
      </c>
      <c r="Z75" s="1017">
        <f>IF(Y75&gt;0,X75-Y75,0)</f>
        <v>0</v>
      </c>
      <c r="AA75" s="644">
        <f>SUM('IV-2 amsa'!Q28)</f>
        <v>345177</v>
      </c>
      <c r="AB75" s="1017">
        <f>SUM('IV-2 vrsa'!R55)</f>
        <v>0</v>
      </c>
      <c r="AC75" s="16" t="str">
        <f>IF('ketv. 4 '!Z75&gt;0,"Taip","Ne")</f>
        <v>Ne</v>
      </c>
      <c r="AD75" s="16">
        <f>SUM('ketv. 6 '!AF74)</f>
        <v>0</v>
      </c>
      <c r="AE75" s="16">
        <f>IF(AD75&gt;0,AA75-AD75,0)</f>
        <v>0</v>
      </c>
      <c r="AF75" s="431">
        <f>SUM('IV-2 amsa'!S28)</f>
        <v>42877</v>
      </c>
      <c r="AG75" s="651">
        <f>SUM('IV-2 amsa'!T28)</f>
        <v>43465</v>
      </c>
      <c r="AH75" s="651">
        <f>SUM('IV-2 amsa'!U28)</f>
        <v>43646</v>
      </c>
      <c r="AI75" s="651">
        <f>SUM('IV-2 amsa'!V28)</f>
        <v>43738</v>
      </c>
      <c r="AJ75" s="671">
        <f t="shared" ref="AJ75:AJ78" si="83">IF(YEAR(AI75),YEAR(AI75))</f>
        <v>2019</v>
      </c>
      <c r="AK75" s="721">
        <f>SUM('IV-2 amsa'!W28)</f>
        <v>44377</v>
      </c>
      <c r="AL75" s="16">
        <f>IF(YEAR(AI75)=2016,AA75,0)</f>
        <v>0</v>
      </c>
      <c r="AM75" s="16">
        <f>IF(YEAR(AI75)=2017,AA75,0)</f>
        <v>0</v>
      </c>
      <c r="AN75" s="16">
        <f>IF(YEAR(AI75)=2018,AA75,0)</f>
        <v>0</v>
      </c>
      <c r="AO75" s="16">
        <f>IF(YEAR(AI75)=2019,AA75,0)</f>
        <v>345177</v>
      </c>
      <c r="AP75" s="703">
        <f>IF(YEAR(AI75)=2020,AA75,0)</f>
        <v>0</v>
      </c>
      <c r="AQ75" s="30"/>
      <c r="AR75" s="30"/>
      <c r="AS75" s="30"/>
    </row>
    <row r="76" spans="1:47" ht="39.75" thickTop="1" thickBot="1">
      <c r="A76" s="311" t="s">
        <v>169</v>
      </c>
      <c r="B76" s="311" t="s">
        <v>1302</v>
      </c>
      <c r="C76" s="1499" t="str">
        <f>CONCATENATE('ketv. 2'!B75)</f>
        <v/>
      </c>
      <c r="D76" s="311" t="str">
        <f>CONCATENATE('IV-2 arsa'!C34)</f>
        <v>Vietinio susisiekimo transporto priemonių įsigijimas</v>
      </c>
      <c r="E76" s="311" t="str">
        <f>CONCATENATE('IV-2 arsa'!D34)</f>
        <v>Alytaus rajono savivaldybės administracija</v>
      </c>
      <c r="F76" s="311" t="str">
        <f>CONCATENATE('IV-2 arsa'!E34)</f>
        <v>Lietuvos Respublikos susisiekimo ministerija</v>
      </c>
      <c r="G76" s="311" t="str">
        <f>CONCATENATE('IV-2 arsa'!F34)</f>
        <v>Alytaus r. sav.</v>
      </c>
      <c r="H76" s="130" t="str">
        <f>CONCATENATE('IV-2 arsa'!G34)</f>
        <v>04.5.1-TID-R-518</v>
      </c>
      <c r="I76" s="130" t="str">
        <f>CONCATENATE('IV-2 arsa'!H34)</f>
        <v>R</v>
      </c>
      <c r="J76" s="130" t="str">
        <f>CONCATENATE('IV-2 arsa'!I34)</f>
        <v>-</v>
      </c>
      <c r="K76" s="130" t="str">
        <f>CONCATENATE('IV-2 arsa'!J34)</f>
        <v>-</v>
      </c>
      <c r="L76" s="644">
        <f>SUM('IV-2 arsa'!K34)</f>
        <v>496947</v>
      </c>
      <c r="M76" s="1017">
        <f>SUM('ketv. 6 '!L75)</f>
        <v>0</v>
      </c>
      <c r="N76" s="1017">
        <f>IF(M76&gt;0,L76-M76,0)</f>
        <v>0</v>
      </c>
      <c r="O76" s="644">
        <f>SUM('IV-2 arsa'!L34)</f>
        <v>133574.5</v>
      </c>
      <c r="P76" s="1017">
        <f>SUM('ketv. 6 '!P75)</f>
        <v>0</v>
      </c>
      <c r="Q76" s="1017">
        <f>IF(P76&gt;0,O76-P76,0)</f>
        <v>0</v>
      </c>
      <c r="R76" s="644">
        <f>SUM('IV-2 arsa'!M34)</f>
        <v>0</v>
      </c>
      <c r="S76" s="1017">
        <f>SUM('ketv. 6 '!T75)</f>
        <v>0</v>
      </c>
      <c r="T76" s="1017">
        <f>IF(S76&gt;0,R76-S76,0)</f>
        <v>0</v>
      </c>
      <c r="U76" s="644">
        <f>SUM('IV-2 arsa'!N34)</f>
        <v>86123.5</v>
      </c>
      <c r="V76" s="1017">
        <f>SUM('ketv. 6 '!X75)</f>
        <v>0</v>
      </c>
      <c r="W76" s="1017">
        <f>IF(V76&gt;0,U76-V76,0)</f>
        <v>0</v>
      </c>
      <c r="X76" s="644">
        <f>SUM('IV-2 arsa'!O34)</f>
        <v>0</v>
      </c>
      <c r="Y76" s="1017">
        <f>SUM('ketv. 6 '!AB75)</f>
        <v>0</v>
      </c>
      <c r="Z76" s="1017">
        <f>IF(Y76&gt;0,X76-Y76,0)</f>
        <v>0</v>
      </c>
      <c r="AA76" s="644">
        <f>SUM('IV-2 arsa'!P34)</f>
        <v>277249</v>
      </c>
      <c r="AB76" s="1017">
        <f>SUM('IV-2 vrsa'!R56)</f>
        <v>0</v>
      </c>
      <c r="AC76" s="16" t="str">
        <f>IF('ketv. 4 '!Z76&gt;0,"Taip","Ne")</f>
        <v>Ne</v>
      </c>
      <c r="AD76" s="16">
        <f>SUM('ketv. 6 '!AF75)</f>
        <v>0</v>
      </c>
      <c r="AE76" s="16">
        <f>IF(AD76&gt;0,AA76-AD76,0)</f>
        <v>0</v>
      </c>
      <c r="AF76" s="431">
        <f>SUM('IV-2 arsa'!R34)</f>
        <v>42877</v>
      </c>
      <c r="AG76" s="651">
        <f>SUM('IV-2 arsa'!S34)</f>
        <v>43292</v>
      </c>
      <c r="AH76" s="651">
        <f>SUM('IV-2 arsa'!T34)</f>
        <v>43633</v>
      </c>
      <c r="AI76" s="651">
        <f>SUM('IV-2 arsa'!U34)</f>
        <v>43738</v>
      </c>
      <c r="AJ76" s="671">
        <f t="shared" si="83"/>
        <v>2019</v>
      </c>
      <c r="AK76" s="721">
        <f>SUM('IV-2 arsa'!V34)</f>
        <v>44285</v>
      </c>
      <c r="AL76" s="16">
        <f>IF(YEAR(AI76)=2016,AA76,0)</f>
        <v>0</v>
      </c>
      <c r="AM76" s="16">
        <f>IF(YEAR(AI76)=2017,AA76,0)</f>
        <v>0</v>
      </c>
      <c r="AN76" s="16">
        <f>IF(YEAR(AI76)=2018,AA76,0)</f>
        <v>0</v>
      </c>
      <c r="AO76" s="16">
        <f>IF(YEAR(AI76)=2019,AA76,0)</f>
        <v>277249</v>
      </c>
      <c r="AP76" s="703">
        <f>IF(YEAR(AI76)=2020,AA76,0)</f>
        <v>0</v>
      </c>
      <c r="AQ76" s="50"/>
      <c r="AR76" s="30"/>
      <c r="AS76" s="30"/>
    </row>
    <row r="77" spans="1:47" ht="39.75" thickTop="1" thickBot="1">
      <c r="A77" s="311" t="s">
        <v>196</v>
      </c>
      <c r="B77" s="311" t="s">
        <v>1303</v>
      </c>
      <c r="C77" s="1499" t="str">
        <f>CONCATENATE('ketv. 2'!B76)</f>
        <v>04.5.1-TID-R-518-11-0002</v>
      </c>
      <c r="D77" s="311" t="str">
        <f>CONCATENATE('IV-2 dsa'!C33)</f>
        <v>Ekologiškų transporto priemonių įsigijimas Druskininkų savivaldybėje</v>
      </c>
      <c r="E77" s="311" t="str">
        <f>CONCATENATE('IV-2 dsa'!D33)</f>
        <v xml:space="preserve">Druskininkų savivaldybės administracija  </v>
      </c>
      <c r="F77" s="311" t="str">
        <f>CONCATENATE('IV-2 dsa'!E33)</f>
        <v>Lietuvos Respublikos susisiekimo ministerija</v>
      </c>
      <c r="G77" s="311" t="str">
        <f>CONCATENATE('IV-2 dsa'!F33)</f>
        <v>Druskininkų sav.</v>
      </c>
      <c r="H77" s="130" t="str">
        <f>CONCATENATE('IV-2 dsa'!G33)</f>
        <v>04.5.1-TID-R-518</v>
      </c>
      <c r="I77" s="130" t="str">
        <f>CONCATENATE('IV-2 dsa'!H33)</f>
        <v>R</v>
      </c>
      <c r="J77" s="130" t="str">
        <f>CONCATENATE('IV-2 dsa'!I33)</f>
        <v>-</v>
      </c>
      <c r="K77" s="130" t="str">
        <f>CONCATENATE('IV-2 dsa'!J33)</f>
        <v>-</v>
      </c>
      <c r="L77" s="644">
        <f>SUM('IV-2 dsa'!K33)</f>
        <v>840240</v>
      </c>
      <c r="M77" s="1017">
        <f>SUM('ketv. 6 '!L76)</f>
        <v>694245</v>
      </c>
      <c r="N77" s="1017">
        <f>IF(M77&gt;0,L77-M77,0)</f>
        <v>145995</v>
      </c>
      <c r="O77" s="644">
        <f>SUM('IV-2 dsa'!L33)</f>
        <v>0</v>
      </c>
      <c r="P77" s="1017">
        <f>SUM('ketv. 6 '!P76)</f>
        <v>0</v>
      </c>
      <c r="Q77" s="1017">
        <f>IF(P77&gt;0,O77-P77,0)</f>
        <v>0</v>
      </c>
      <c r="R77" s="644">
        <f>SUM('IV-2 dsa'!M33)</f>
        <v>0</v>
      </c>
      <c r="S77" s="1017">
        <f>SUM('ketv. 6 '!T76)</f>
        <v>0</v>
      </c>
      <c r="T77" s="1017">
        <f>IF(S77&gt;0,R77-S77,0)</f>
        <v>0</v>
      </c>
      <c r="U77" s="644">
        <f>SUM('IV-2 dsa'!N33)</f>
        <v>422692</v>
      </c>
      <c r="V77" s="1017">
        <f>SUM('ketv. 6 '!X76)</f>
        <v>276697</v>
      </c>
      <c r="W77" s="1017">
        <f>IF(V77&gt;0,U77-V77,0)</f>
        <v>145995</v>
      </c>
      <c r="X77" s="644">
        <f>SUM('IV-2 dsa'!O33)</f>
        <v>0</v>
      </c>
      <c r="Y77" s="1017">
        <f>SUM('ketv. 6 '!AB76)</f>
        <v>0</v>
      </c>
      <c r="Z77" s="1017">
        <f>IF(Y77&gt;0,X77-Y77,0)</f>
        <v>0</v>
      </c>
      <c r="AA77" s="644">
        <f>SUM('IV-2 dsa'!P33)</f>
        <v>417548</v>
      </c>
      <c r="AB77" s="1017">
        <f>SUM('IV-2 vrsa'!R57)</f>
        <v>0</v>
      </c>
      <c r="AC77" s="16" t="str">
        <f>IF('ketv. 4 '!Z77&gt;0,"Taip","Ne")</f>
        <v>Taip</v>
      </c>
      <c r="AD77" s="16">
        <f>SUM('ketv. 6 '!AF76)</f>
        <v>417548</v>
      </c>
      <c r="AE77" s="16">
        <f>IF(AD77&gt;0,AA77-AD77,0)</f>
        <v>0</v>
      </c>
      <c r="AF77" s="431">
        <f>SUM('IV-2 dsa'!R33)</f>
        <v>42877</v>
      </c>
      <c r="AG77" s="337">
        <f>SUM('IV-2 dsa'!S33)</f>
        <v>42978</v>
      </c>
      <c r="AH77" s="337">
        <f>SUM('IV-2 dsa'!T33)</f>
        <v>43343</v>
      </c>
      <c r="AI77" s="337">
        <f>SUM('IV-2 dsa'!U33)</f>
        <v>43434</v>
      </c>
      <c r="AJ77" s="339">
        <f t="shared" si="83"/>
        <v>2018</v>
      </c>
      <c r="AK77" s="702">
        <f>SUM('IV-2 dsa'!V33)</f>
        <v>43830</v>
      </c>
      <c r="AL77" s="16">
        <f>IF(YEAR(AI77)=2016,AA77,0)</f>
        <v>0</v>
      </c>
      <c r="AM77" s="16">
        <f>IF(YEAR(AI77)=2017,AA77,0)</f>
        <v>0</v>
      </c>
      <c r="AN77" s="16">
        <f>IF(YEAR(AI77)=2018,AA77,0)</f>
        <v>417548</v>
      </c>
      <c r="AO77" s="16">
        <f>IF(YEAR(AI77)=2019,AA77,0)</f>
        <v>0</v>
      </c>
      <c r="AP77" s="703">
        <f>IF(YEAR(AI77)=2020,AA77,0)</f>
        <v>0</v>
      </c>
      <c r="AQ77" s="50"/>
      <c r="AR77" s="50"/>
      <c r="AS77" s="30"/>
    </row>
    <row r="78" spans="1:47" ht="39.75" thickTop="1" thickBot="1">
      <c r="A78" s="311" t="s">
        <v>228</v>
      </c>
      <c r="B78" s="311" t="s">
        <v>1304</v>
      </c>
      <c r="C78" s="1500" t="str">
        <f>CONCATENATE('ketv. 2'!B77)</f>
        <v>04.5.1-TID-R-518-11-0001</v>
      </c>
      <c r="D78" s="311" t="str">
        <f>CONCATENATE('IV-2 lrsa'!D34)</f>
        <v>Ekologiškų transporto priemonių įsigijimas Lazdijų rajono savivaldybėje</v>
      </c>
      <c r="E78" s="311" t="str">
        <f>CONCATENATE('IV-2 lrsa'!E34)</f>
        <v>Lazdijų rajono savivaldybės administracija</v>
      </c>
      <c r="F78" s="311" t="str">
        <f>CONCATENATE('IV-2 lrsa'!F34)</f>
        <v>Lietuvos Respublikos susisiekimo ministerija</v>
      </c>
      <c r="G78" s="311" t="str">
        <f>CONCATENATE('IV-2 lrsa'!G34)</f>
        <v>Lazdijų r. sav.</v>
      </c>
      <c r="H78" s="130" t="str">
        <f>CONCATENATE('IV-2 lrsa'!H34)</f>
        <v>04.5.1-TID-R-518</v>
      </c>
      <c r="I78" s="130" t="str">
        <f>CONCATENATE('IV-2 lrsa'!I34)</f>
        <v>R</v>
      </c>
      <c r="J78" s="130" t="str">
        <f>CONCATENATE('IV-2 lrsa'!J34)</f>
        <v>-</v>
      </c>
      <c r="K78" s="130" t="str">
        <f>CONCATENATE('IV-2 lrsa'!K34)</f>
        <v>-</v>
      </c>
      <c r="L78" s="644">
        <f>SUM('IV-2 lrsa'!L34)</f>
        <v>262704</v>
      </c>
      <c r="M78" s="1017">
        <f>SUM('ketv. 6 '!L77)</f>
        <v>218160</v>
      </c>
      <c r="N78" s="1017">
        <f>IF(M78&gt;0,L78-M78,0)</f>
        <v>44544</v>
      </c>
      <c r="O78" s="644">
        <f>SUM('IV-2 lrsa'!M34)</f>
        <v>39406</v>
      </c>
      <c r="P78" s="1017">
        <f>SUM('ketv. 6 '!P77)</f>
        <v>32724</v>
      </c>
      <c r="Q78" s="1017">
        <f>IF(P78&gt;0,O78-P78,0)</f>
        <v>6682</v>
      </c>
      <c r="R78" s="644">
        <f>SUM('IV-2 lrsa'!N34)</f>
        <v>0</v>
      </c>
      <c r="S78" s="1017">
        <f>SUM('ketv. 6 '!T77)</f>
        <v>0</v>
      </c>
      <c r="T78" s="1017">
        <f>IF(S78&gt;0,R78-S78,0)</f>
        <v>0</v>
      </c>
      <c r="U78" s="644">
        <f>SUM('IV-2 lrsa'!O34)</f>
        <v>0</v>
      </c>
      <c r="V78" s="1017">
        <f>SUM('ketv. 6 '!X77)</f>
        <v>0</v>
      </c>
      <c r="W78" s="1017">
        <f>IF(V78&gt;0,U78-V78,0)</f>
        <v>0</v>
      </c>
      <c r="X78" s="644">
        <f>SUM('IV-2 lrsa'!P34)</f>
        <v>0</v>
      </c>
      <c r="Y78" s="1017">
        <f>SUM('ketv. 6 '!AB77)</f>
        <v>0</v>
      </c>
      <c r="Z78" s="1017">
        <f>IF(Y78&gt;0,X78-Y78,0)</f>
        <v>0</v>
      </c>
      <c r="AA78" s="644">
        <f>SUM('IV-2 lrsa'!Q34)</f>
        <v>223298</v>
      </c>
      <c r="AB78" s="1017">
        <f>SUM('IV-2 vrsa'!R58)</f>
        <v>0</v>
      </c>
      <c r="AC78" s="16" t="str">
        <f>IF('ketv. 4 '!Z78&gt;0,"Taip","Ne")</f>
        <v>Taip</v>
      </c>
      <c r="AD78" s="16">
        <f>SUM('ketv. 6 '!AF77)</f>
        <v>185436</v>
      </c>
      <c r="AE78" s="16">
        <f>IF(AD78&gt;0,AA78-AD78,0)</f>
        <v>37862</v>
      </c>
      <c r="AF78" s="431">
        <f>SUM('IV-2 lrsa'!S34)</f>
        <v>42877</v>
      </c>
      <c r="AG78" s="337">
        <f>SUM('IV-2 lrsa'!T34)</f>
        <v>42978</v>
      </c>
      <c r="AH78" s="337">
        <f>SUM('IV-2 lrsa'!U34)</f>
        <v>43343</v>
      </c>
      <c r="AI78" s="337">
        <f>SUM('IV-2 lrsa'!V34)</f>
        <v>43434</v>
      </c>
      <c r="AJ78" s="339">
        <f t="shared" si="83"/>
        <v>2018</v>
      </c>
      <c r="AK78" s="702">
        <f>SUM('IV-2 lrsa'!W34)</f>
        <v>44165</v>
      </c>
      <c r="AL78" s="16">
        <f>IF(YEAR(AI78)=2016,AA78,0)</f>
        <v>0</v>
      </c>
      <c r="AM78" s="16">
        <f>IF(YEAR(AI78)=2017,AA78,0)</f>
        <v>0</v>
      </c>
      <c r="AN78" s="16">
        <f>IF(YEAR(AI78)=2018,AA78,0)</f>
        <v>223298</v>
      </c>
      <c r="AO78" s="16">
        <f>IF(YEAR(AI78)=2019,AA78,0)</f>
        <v>0</v>
      </c>
      <c r="AP78" s="703">
        <f>IF(YEAR(AI78)=2020,AA78,0)</f>
        <v>0</v>
      </c>
      <c r="AQ78" s="30"/>
      <c r="AR78" s="30"/>
      <c r="AS78" s="30"/>
    </row>
    <row r="79" spans="1:47" ht="27" customHeight="1" thickBot="1">
      <c r="A79" s="718" t="s">
        <v>90</v>
      </c>
      <c r="B79" s="1888" t="s">
        <v>1472</v>
      </c>
      <c r="C79" s="1891"/>
      <c r="D79" s="1891"/>
      <c r="E79" s="1891"/>
      <c r="F79" s="1891"/>
      <c r="G79" s="1891"/>
      <c r="H79" s="1891"/>
      <c r="I79" s="1891"/>
      <c r="J79" s="1891"/>
      <c r="K79" s="1892"/>
      <c r="L79" s="1054">
        <f t="shared" ref="L79:X79" si="84">SUM(L80:L85)</f>
        <v>1894943.24</v>
      </c>
      <c r="M79" s="1014">
        <f>SUM(M80:M85)</f>
        <v>567356.05000000005</v>
      </c>
      <c r="N79" s="1014">
        <f>SUM(N80:N85)</f>
        <v>23281.950000000012</v>
      </c>
      <c r="O79" s="1054">
        <f t="shared" si="84"/>
        <v>284241.14</v>
      </c>
      <c r="P79" s="1014">
        <f>SUM(P80:P85)</f>
        <v>91466.06</v>
      </c>
      <c r="Q79" s="1014">
        <f>SUM(Q80:Q85)</f>
        <v>-2870.3600000000006</v>
      </c>
      <c r="R79" s="1054">
        <f t="shared" si="84"/>
        <v>0</v>
      </c>
      <c r="S79" s="1014">
        <f>SUM(S80:S85)</f>
        <v>0</v>
      </c>
      <c r="T79" s="1014">
        <f>SUM(T80:T85)</f>
        <v>0</v>
      </c>
      <c r="U79" s="1054">
        <f t="shared" si="84"/>
        <v>0</v>
      </c>
      <c r="V79" s="1014">
        <f>SUM(V80:V85)</f>
        <v>0</v>
      </c>
      <c r="W79" s="1014">
        <f>SUM(W80:W85)</f>
        <v>0</v>
      </c>
      <c r="X79" s="1054">
        <f t="shared" si="84"/>
        <v>0</v>
      </c>
      <c r="Y79" s="1014">
        <f>SUM(Y80:Y83)</f>
        <v>0</v>
      </c>
      <c r="Z79" s="1014">
        <f>SUM(Z80:Z83)</f>
        <v>0</v>
      </c>
      <c r="AA79" s="1054">
        <f>SUM(AA80:AA85)</f>
        <v>1610702.1</v>
      </c>
      <c r="AB79" s="1014">
        <f>SUM('IV-2 vrsa'!R59)</f>
        <v>0</v>
      </c>
      <c r="AC79" s="698"/>
      <c r="AD79" s="698">
        <f>SUM(AD80:AD83)</f>
        <v>43042.3</v>
      </c>
      <c r="AE79" s="698">
        <f>SUM(AE80:AE83)</f>
        <v>0</v>
      </c>
      <c r="AF79" s="698"/>
      <c r="AG79" s="715"/>
      <c r="AH79" s="715"/>
      <c r="AI79" s="715"/>
      <c r="AJ79" s="716"/>
      <c r="AK79" s="717"/>
      <c r="AL79" s="5"/>
      <c r="AM79" s="5"/>
      <c r="AN79" s="5"/>
      <c r="AO79" s="5"/>
      <c r="AP79" s="5"/>
      <c r="AQ79" s="30">
        <f>SUM('IV-2 amsa'!X29+'IV-2 arsa'!W35+'IV-2 dsa'!W34+'IV-2 lrsa'!X35+'IV-2 vrsa'!X40)</f>
        <v>1378375</v>
      </c>
      <c r="AR79" s="30">
        <f>SUM(AQ79*120/100)</f>
        <v>1654050</v>
      </c>
      <c r="AS79" s="30">
        <f>SUM(AQ79-(AA79-AA81-AA83))</f>
        <v>-189284.80000000005</v>
      </c>
      <c r="AT79" s="59"/>
      <c r="AU79" s="59"/>
    </row>
    <row r="80" spans="1:47" ht="39" thickBot="1">
      <c r="A80" s="311" t="s">
        <v>91</v>
      </c>
      <c r="B80" s="311" t="s">
        <v>1402</v>
      </c>
      <c r="C80" s="314" t="str">
        <f>CONCATENATE('ketv. 2'!B79)</f>
        <v/>
      </c>
      <c r="D80" s="311" t="str">
        <f>CONCATENATE('IV-2 amsa'!D30)</f>
        <v>Darnaus judumo priemonių diegimas Alytaus mieste</v>
      </c>
      <c r="E80" s="311" t="str">
        <f>CONCATENATE('IV-2 amsa'!E30)</f>
        <v>Alytaus miesto savivaldybės administracija</v>
      </c>
      <c r="F80" s="311" t="str">
        <f>CONCATENATE('IV-2 amsa'!F30)</f>
        <v>Lietuvos Respublikos susisiekimo ministerija</v>
      </c>
      <c r="G80" s="311" t="str">
        <f>CONCATENATE('IV-2 amsa'!G30)</f>
        <v>Alytaus m. sav.</v>
      </c>
      <c r="H80" s="130" t="str">
        <f>CONCATENATE('IV-2 amsa'!H30)</f>
        <v>04.5.1.-TID-R-514</v>
      </c>
      <c r="I80" s="130" t="str">
        <f>CONCATENATE('IV-2 amsa'!I30)</f>
        <v>R</v>
      </c>
      <c r="J80" s="130" t="str">
        <f>CONCATENATE('IV-2 amsa'!J30)</f>
        <v>ITI</v>
      </c>
      <c r="K80" s="130" t="str">
        <f>CONCATENATE('IV-2 amsa'!K30)</f>
        <v>-</v>
      </c>
      <c r="L80" s="644">
        <f>SUM('IV-2 amsa'!L30)</f>
        <v>1143469</v>
      </c>
      <c r="M80" s="1017">
        <f>SUM('ketv. 6 '!L79)</f>
        <v>0</v>
      </c>
      <c r="N80" s="1017">
        <f>IF(M80&gt;0,L80-M80,0)</f>
        <v>0</v>
      </c>
      <c r="O80" s="644">
        <f>SUM('IV-2 amsa'!M30)</f>
        <v>171520</v>
      </c>
      <c r="P80" s="1017">
        <f>SUM('ketv. 6 '!P79)</f>
        <v>0</v>
      </c>
      <c r="Q80" s="1017">
        <f t="shared" ref="Q80:Q85" si="85">IF(P80&gt;0,O80-P80,0)</f>
        <v>0</v>
      </c>
      <c r="R80" s="644">
        <f>SUM('IV-2 amsa'!N30)</f>
        <v>0</v>
      </c>
      <c r="S80" s="1017">
        <f>SUM('ketv. 6 '!T79)</f>
        <v>0</v>
      </c>
      <c r="T80" s="1017">
        <f>IF(S80&gt;0,R80-S80,0)</f>
        <v>0</v>
      </c>
      <c r="U80" s="644">
        <f>SUM('IV-2 amsa'!O30)</f>
        <v>0</v>
      </c>
      <c r="V80" s="1017">
        <f>SUM('ketv. 6 '!X79)</f>
        <v>0</v>
      </c>
      <c r="W80" s="1017">
        <f>IF(V80&gt;0,U80-V80,0)</f>
        <v>0</v>
      </c>
      <c r="X80" s="644">
        <f>SUM('IV-2 amsa'!P30)</f>
        <v>0</v>
      </c>
      <c r="Y80" s="1017">
        <f>SUM('ketv. 6 '!AB79)</f>
        <v>0</v>
      </c>
      <c r="Z80" s="1017">
        <f>IF(Y80&gt;0,X80-Y80,0)</f>
        <v>0</v>
      </c>
      <c r="AA80" s="644">
        <f>SUM('IV-2 amsa'!Q30)</f>
        <v>971949</v>
      </c>
      <c r="AB80" s="1017">
        <f>SUM('IV-2 vrsa'!R60)</f>
        <v>0</v>
      </c>
      <c r="AC80" s="16" t="str">
        <f>IF('ketv. 4 '!Z80&gt;0,"Taip","Ne")</f>
        <v>Ne</v>
      </c>
      <c r="AD80" s="16">
        <f>SUM('ketv. 6 '!AF79)</f>
        <v>0</v>
      </c>
      <c r="AE80" s="16">
        <f t="shared" ref="AE80:AE85" si="86">IF(AD80&gt;0,AA80-AD80,0)</f>
        <v>0</v>
      </c>
      <c r="AF80" s="431">
        <f>SUM('IV-2 amsa'!S30)</f>
        <v>43130</v>
      </c>
      <c r="AG80" s="337">
        <f>SUM('IV-2 amsa'!T30)</f>
        <v>43388</v>
      </c>
      <c r="AH80" s="337">
        <f>SUM('IV-2 amsa'!U30)</f>
        <v>43616</v>
      </c>
      <c r="AI80" s="337">
        <f>SUM('IV-2 amsa'!V30)</f>
        <v>43738</v>
      </c>
      <c r="AJ80" s="339">
        <f t="shared" ref="AJ80:AJ83" si="87">IF(YEAR(AI80),YEAR(AI80))</f>
        <v>2019</v>
      </c>
      <c r="AK80" s="702">
        <f>SUM('IV-2 amsa'!W30)</f>
        <v>44346</v>
      </c>
      <c r="AL80" s="16">
        <f>IF(YEAR(AI80)=2016,AA80,0)</f>
        <v>0</v>
      </c>
      <c r="AM80" s="16">
        <f>IF(YEAR(AI80)=2017,AA80,0)</f>
        <v>0</v>
      </c>
      <c r="AN80" s="16">
        <f>IF(YEAR(AI80)=2018,AA80,0)</f>
        <v>0</v>
      </c>
      <c r="AO80" s="16">
        <f>IF(YEAR(AI80)=2019,AA80,0)</f>
        <v>971949</v>
      </c>
      <c r="AP80" s="703">
        <f>IF(YEAR(AI80)=2020,AA80,0)</f>
        <v>0</v>
      </c>
      <c r="AQ80" s="30"/>
      <c r="AR80" s="30"/>
      <c r="AS80" s="30"/>
    </row>
    <row r="81" spans="1:46" ht="39.75" thickTop="1" thickBot="1">
      <c r="A81" s="311" t="s">
        <v>163</v>
      </c>
      <c r="B81" s="311" t="s">
        <v>1305</v>
      </c>
      <c r="C81" s="1499" t="str">
        <f>CONCATENATE('ketv. 2'!B80)</f>
        <v>04.5.1-TID-V-513-01-0015</v>
      </c>
      <c r="D81" s="311" t="str">
        <f>CONCATENATE('IV-2 amsa'!D31)</f>
        <v>Alytaus miesto darnaus judumo plano parengimas</v>
      </c>
      <c r="E81" s="311" t="str">
        <f>CONCATENATE('IV-2 amsa'!E31)</f>
        <v>Alytaus miesto savivaldybės administracija</v>
      </c>
      <c r="F81" s="311" t="str">
        <f>CONCATENATE('IV-2 amsa'!F31)</f>
        <v>Lietuvos Respublikos susisiekimo ministerija</v>
      </c>
      <c r="G81" s="311" t="str">
        <f>CONCATENATE('IV-2 amsa'!G31)</f>
        <v>Alytaus m. sav.</v>
      </c>
      <c r="H81" s="130" t="str">
        <f>CONCATENATE('IV-2 amsa'!H31)</f>
        <v>04.5.1-TID-V-513</v>
      </c>
      <c r="I81" s="130" t="str">
        <f>CONCATENATE('IV-2 amsa'!I31)</f>
        <v>V</v>
      </c>
      <c r="J81" s="130" t="str">
        <f>CONCATENATE('IV-2 amsa'!J31)</f>
        <v>ITI</v>
      </c>
      <c r="K81" s="130" t="str">
        <f>CONCATENATE('IV-2 amsa'!K31)</f>
        <v>-</v>
      </c>
      <c r="L81" s="644">
        <f>SUM('IV-2 amsa'!L31)</f>
        <v>33638</v>
      </c>
      <c r="M81" s="1017">
        <f>SUM('ketv. 6 '!L80)</f>
        <v>33638</v>
      </c>
      <c r="N81" s="1017">
        <f t="shared" ref="N81:N83" si="88">IF(M81&gt;0,L81-M81,0)</f>
        <v>0</v>
      </c>
      <c r="O81" s="644">
        <f>SUM('IV-2 amsa'!M31)</f>
        <v>5045.7</v>
      </c>
      <c r="P81" s="1017">
        <f>SUM('ketv. 6 '!P80)</f>
        <v>5045.7</v>
      </c>
      <c r="Q81" s="1017">
        <f t="shared" si="85"/>
        <v>0</v>
      </c>
      <c r="R81" s="644">
        <f>SUM('IV-2 amsa'!N31)</f>
        <v>0</v>
      </c>
      <c r="S81" s="1017">
        <f>SUM('ketv. 6 '!T80)</f>
        <v>0</v>
      </c>
      <c r="T81" s="1017">
        <f t="shared" ref="T81:T83" si="89">IF(S81&gt;0,R81-S81,0)</f>
        <v>0</v>
      </c>
      <c r="U81" s="644">
        <f>SUM('IV-2 amsa'!O31)</f>
        <v>0</v>
      </c>
      <c r="V81" s="1017">
        <f>SUM('ketv. 6 '!X80)</f>
        <v>0</v>
      </c>
      <c r="W81" s="1017">
        <f t="shared" ref="W81:W83" si="90">IF(V81&gt;0,U81-V81,0)</f>
        <v>0</v>
      </c>
      <c r="X81" s="644">
        <f>SUM('IV-2 amsa'!P31)</f>
        <v>0</v>
      </c>
      <c r="Y81" s="1017">
        <f>SUM('ketv. 6 '!AB80)</f>
        <v>0</v>
      </c>
      <c r="Z81" s="1017">
        <f t="shared" ref="Z81:Z83" si="91">IF(Y81&gt;0,X81-Y81,0)</f>
        <v>0</v>
      </c>
      <c r="AA81" s="644">
        <f>SUM('IV-2 amsa'!Q31)</f>
        <v>28592.3</v>
      </c>
      <c r="AB81" s="1017">
        <f>SUM('IV-2 vrsa'!R61)</f>
        <v>0</v>
      </c>
      <c r="AC81" s="16" t="str">
        <f>IF('ketv. 4 '!Z81&gt;0,"Taip","Ne")</f>
        <v>Taip</v>
      </c>
      <c r="AD81" s="16">
        <f>SUM('ketv. 6 '!AF80)</f>
        <v>28592.3</v>
      </c>
      <c r="AE81" s="16">
        <f t="shared" si="86"/>
        <v>0</v>
      </c>
      <c r="AF81" s="431">
        <f>SUM('IV-2 amsa'!S31)</f>
        <v>42643</v>
      </c>
      <c r="AG81" s="337">
        <f>SUM('IV-2 amsa'!T31)</f>
        <v>42674</v>
      </c>
      <c r="AH81" s="337">
        <f>SUM('IV-2 amsa'!U31)</f>
        <v>42855</v>
      </c>
      <c r="AI81" s="337">
        <f>SUM('IV-2 amsa'!V31)</f>
        <v>42947</v>
      </c>
      <c r="AJ81" s="339">
        <f t="shared" si="87"/>
        <v>2017</v>
      </c>
      <c r="AK81" s="702">
        <f>SUM('IV-2 amsa'!W31)</f>
        <v>43464</v>
      </c>
      <c r="AL81" s="16">
        <f>IF(YEAR(AI81)=2016,AA81,0)</f>
        <v>0</v>
      </c>
      <c r="AM81" s="16">
        <f>IF(YEAR(AI81)=2017,AA81,0)</f>
        <v>28592.3</v>
      </c>
      <c r="AN81" s="16">
        <f>IF(YEAR(AI81)=2018,AA81,0)</f>
        <v>0</v>
      </c>
      <c r="AO81" s="16">
        <f>IF(YEAR(AI81)=2019,AA81,0)</f>
        <v>0</v>
      </c>
      <c r="AP81" s="703">
        <f>IF(YEAR(AI81)=2020,AA81,0)</f>
        <v>0</v>
      </c>
      <c r="AQ81" s="30"/>
      <c r="AR81" s="30"/>
      <c r="AS81" s="30"/>
    </row>
    <row r="82" spans="1:46" ht="39.75" thickTop="1" thickBot="1">
      <c r="A82" s="311" t="s">
        <v>164</v>
      </c>
      <c r="B82" s="311" t="s">
        <v>1409</v>
      </c>
      <c r="C82" s="1499" t="str">
        <f>CONCATENATE('ketv. 2'!B81)</f>
        <v/>
      </c>
      <c r="D82" s="311" t="str">
        <f>CONCATENATE('IV-2 dsa'!C35)</f>
        <v>Intelektinių transporto sistemų diegimas Druskininkuose</v>
      </c>
      <c r="E82" s="311" t="str">
        <f>CONCATENATE('IV-2 dsa'!D35)</f>
        <v>Druskininkų savivaldybės administracija</v>
      </c>
      <c r="F82" s="311" t="str">
        <f>CONCATENATE('IV-2 dsa'!E35)</f>
        <v>Lietuvos Respublikos susisiekimo ministerija</v>
      </c>
      <c r="G82" s="311" t="str">
        <f>CONCATENATE('IV-2 dsa'!F35)</f>
        <v>Druskininkų sav.</v>
      </c>
      <c r="H82" s="130" t="str">
        <f>CONCATENATE('IV-2 dsa'!G35)</f>
        <v>04.5.1.-TID-R-514</v>
      </c>
      <c r="I82" s="130" t="str">
        <f>CONCATENATE('IV-2 dsa'!H35)</f>
        <v>R</v>
      </c>
      <c r="J82" s="130" t="str">
        <f>CONCATENATE('IV-2 dsa'!I35)</f>
        <v>-</v>
      </c>
      <c r="K82" s="130" t="str">
        <f>CONCATENATE('IV-2 dsa'!J35)</f>
        <v>-</v>
      </c>
      <c r="L82" s="644">
        <f>SUM('IV-2 dsa'!K35)</f>
        <v>160836.24</v>
      </c>
      <c r="M82" s="1017">
        <f>SUM('ketv. 6 '!L81)</f>
        <v>0</v>
      </c>
      <c r="N82" s="1017">
        <f>IF(M82&gt;0,L82-M82,0)</f>
        <v>0</v>
      </c>
      <c r="O82" s="644">
        <f>SUM('IV-2 dsa'!L35)</f>
        <v>24125.439999999999</v>
      </c>
      <c r="P82" s="1017">
        <f>SUM('ketv. 6 '!P81)</f>
        <v>0</v>
      </c>
      <c r="Q82" s="1017">
        <f t="shared" si="85"/>
        <v>0</v>
      </c>
      <c r="R82" s="644">
        <f>SUM('IV-2 dsa'!M35)</f>
        <v>0</v>
      </c>
      <c r="S82" s="1017">
        <f>SUM('ketv. 6 '!T81)</f>
        <v>0</v>
      </c>
      <c r="T82" s="1017">
        <f>IF(S82&gt;0,R82-S82,0)</f>
        <v>0</v>
      </c>
      <c r="U82" s="644">
        <f>SUM('IV-2 dsa'!N35)</f>
        <v>0</v>
      </c>
      <c r="V82" s="1017">
        <f>SUM('ketv. 6 '!X81)</f>
        <v>0</v>
      </c>
      <c r="W82" s="1017">
        <f>IF(V82&gt;0,U82-V82,0)</f>
        <v>0</v>
      </c>
      <c r="X82" s="644">
        <f>SUM('IV-2 dsa'!O35)</f>
        <v>0</v>
      </c>
      <c r="Y82" s="1017">
        <f>SUM('ketv. 6 '!AB81)</f>
        <v>0</v>
      </c>
      <c r="Z82" s="1017">
        <f>IF(Y82&gt;0,X82-Y82,0)</f>
        <v>0</v>
      </c>
      <c r="AA82" s="644">
        <f>SUM('IV-2 dsa'!P35)</f>
        <v>136710.79999999999</v>
      </c>
      <c r="AB82" s="1017">
        <f>SUM('IV-2 vrsa'!R62)</f>
        <v>0</v>
      </c>
      <c r="AC82" s="16" t="str">
        <f>IF('ketv. 4 '!Z82&gt;0,"Taip","Ne")</f>
        <v>Ne</v>
      </c>
      <c r="AD82" s="16">
        <f>SUM('ketv. 6 '!AF81)</f>
        <v>0</v>
      </c>
      <c r="AE82" s="16">
        <f t="shared" si="86"/>
        <v>0</v>
      </c>
      <c r="AF82" s="431">
        <f>SUM('IV-2 dsa'!R35)</f>
        <v>43130</v>
      </c>
      <c r="AG82" s="337">
        <f>SUM('IV-2 dsa'!S35)</f>
        <v>43343</v>
      </c>
      <c r="AH82" s="337">
        <f>SUM('IV-2 dsa'!T35)</f>
        <v>43630</v>
      </c>
      <c r="AI82" s="337">
        <f>SUM('IV-2 dsa'!U35)</f>
        <v>43691</v>
      </c>
      <c r="AJ82" s="339">
        <f t="shared" si="87"/>
        <v>2019</v>
      </c>
      <c r="AK82" s="702">
        <f>SUM('IV-2 dsa'!V35)</f>
        <v>44003</v>
      </c>
      <c r="AL82" s="16">
        <f>IF(YEAR(AI82)=2016,AA82,0)</f>
        <v>0</v>
      </c>
      <c r="AM82" s="16">
        <f>IF(YEAR(AI82)=2017,AA82,0)</f>
        <v>0</v>
      </c>
      <c r="AN82" s="16">
        <f>IF(YEAR(AI82)=2018,AA82,0)</f>
        <v>0</v>
      </c>
      <c r="AO82" s="16">
        <f>IF(YEAR(AI82)=2019,AA82,0)</f>
        <v>136710.79999999999</v>
      </c>
      <c r="AP82" s="703">
        <f>IF(YEAR(AI82)=2020,AA82,0)</f>
        <v>0</v>
      </c>
      <c r="AQ82" s="30"/>
      <c r="AR82" s="30"/>
      <c r="AS82" s="30"/>
    </row>
    <row r="83" spans="1:46" ht="39.75" thickTop="1" thickBot="1">
      <c r="A83" s="311" t="s">
        <v>170</v>
      </c>
      <c r="B83" s="311" t="s">
        <v>1306</v>
      </c>
      <c r="C83" s="1499" t="str">
        <f>CONCATENATE('ketv. 2'!B82)</f>
        <v>04.5.1-TID-V-513-01-0006</v>
      </c>
      <c r="D83" s="311" t="str">
        <f>CONCATENATE('IV-2 dsa'!C36)</f>
        <v>Darnaus judumo plano Druskininkuose parengimas</v>
      </c>
      <c r="E83" s="311" t="str">
        <f>CONCATENATE('IV-2 dsa'!D36)</f>
        <v>Druskininkų savivaldybės administracija</v>
      </c>
      <c r="F83" s="311" t="str">
        <f>CONCATENATE('IV-2 dsa'!E36)</f>
        <v>Lietuvos Respublikos susisiekimo ministerija</v>
      </c>
      <c r="G83" s="311" t="str">
        <f>CONCATENATE('IV-2 dsa'!F36)</f>
        <v>Druskininkų sav.</v>
      </c>
      <c r="H83" s="130" t="str">
        <f>CONCATENATE('IV-2 dsa'!G36)</f>
        <v>04.5.1-TID-V-513</v>
      </c>
      <c r="I83" s="130" t="str">
        <f>CONCATENATE('IV-2 dsa'!H36)</f>
        <v>V</v>
      </c>
      <c r="J83" s="130" t="str">
        <f>CONCATENATE('IV-2 dsa'!I36)</f>
        <v>ITI</v>
      </c>
      <c r="K83" s="130" t="str">
        <f>CONCATENATE('IV-2 dsa'!J36)</f>
        <v>-</v>
      </c>
      <c r="L83" s="644">
        <f>SUM('IV-2 dsa'!K36)</f>
        <v>17000</v>
      </c>
      <c r="M83" s="1017">
        <f>SUM('ketv. 6 '!L82)</f>
        <v>17000</v>
      </c>
      <c r="N83" s="1017">
        <f t="shared" si="88"/>
        <v>0</v>
      </c>
      <c r="O83" s="644">
        <f>SUM('IV-2 dsa'!L36)</f>
        <v>2550</v>
      </c>
      <c r="P83" s="1017">
        <f>SUM('ketv. 6 '!P82)</f>
        <v>2550</v>
      </c>
      <c r="Q83" s="1017">
        <f t="shared" si="85"/>
        <v>0</v>
      </c>
      <c r="R83" s="644">
        <f>SUM('IV-2 dsa'!M36)</f>
        <v>0</v>
      </c>
      <c r="S83" s="1017">
        <f>SUM('ketv. 6 '!T82)</f>
        <v>0</v>
      </c>
      <c r="T83" s="1017">
        <f t="shared" si="89"/>
        <v>0</v>
      </c>
      <c r="U83" s="644">
        <f>SUM('IV-2 dsa'!N36)</f>
        <v>0</v>
      </c>
      <c r="V83" s="1017">
        <f>SUM('ketv. 6 '!X82)</f>
        <v>0</v>
      </c>
      <c r="W83" s="1017">
        <f t="shared" si="90"/>
        <v>0</v>
      </c>
      <c r="X83" s="644">
        <f>SUM('IV-2 dsa'!O36)</f>
        <v>0</v>
      </c>
      <c r="Y83" s="1017">
        <f>SUM('ketv. 6 '!AB82)</f>
        <v>0</v>
      </c>
      <c r="Z83" s="1017">
        <f t="shared" si="91"/>
        <v>0</v>
      </c>
      <c r="AA83" s="644">
        <f>SUM('IV-2 dsa'!P36)</f>
        <v>14450</v>
      </c>
      <c r="AB83" s="1017">
        <f>SUM('IV-2 vrsa'!R63)</f>
        <v>0</v>
      </c>
      <c r="AC83" s="16" t="str">
        <f>IF('ketv. 4 '!Z83&gt;0,"Taip","Ne")</f>
        <v>Taip</v>
      </c>
      <c r="AD83" s="16">
        <f>SUM('ketv. 6 '!AF82)</f>
        <v>14450</v>
      </c>
      <c r="AE83" s="16">
        <f t="shared" si="86"/>
        <v>0</v>
      </c>
      <c r="AF83" s="431">
        <f>SUM('IV-2 dsa'!R36)</f>
        <v>42643</v>
      </c>
      <c r="AG83" s="337">
        <f>SUM('IV-2 dsa'!S36)</f>
        <v>42674</v>
      </c>
      <c r="AH83" s="337">
        <f>SUM('IV-2 dsa'!T36)</f>
        <v>42735</v>
      </c>
      <c r="AI83" s="337">
        <f>SUM('IV-2 dsa'!U36)</f>
        <v>42825</v>
      </c>
      <c r="AJ83" s="339">
        <f t="shared" si="87"/>
        <v>2017</v>
      </c>
      <c r="AK83" s="702">
        <f>SUM('IV-2 dsa'!V36)</f>
        <v>43100</v>
      </c>
      <c r="AL83" s="820">
        <f>IF(YEAR(AI83)=2016,AA83,0)</f>
        <v>0</v>
      </c>
      <c r="AM83" s="820">
        <f>IF(YEAR(AI83)=2017,AA83,0)</f>
        <v>14450</v>
      </c>
      <c r="AN83" s="820">
        <f>IF(YEAR(AI83)=2018,AA83,0)</f>
        <v>0</v>
      </c>
      <c r="AO83" s="820">
        <f>IF(YEAR(AI83)=2019,AA83,0)</f>
        <v>0</v>
      </c>
      <c r="AP83" s="703">
        <f>IF(YEAR(AI83)=2020,AA83,0)</f>
        <v>0</v>
      </c>
      <c r="AQ83" s="37"/>
      <c r="AR83" s="30"/>
      <c r="AS83" s="30"/>
    </row>
    <row r="84" spans="1:46" ht="39.75" thickTop="1" thickBot="1">
      <c r="A84" s="311" t="s">
        <v>1405</v>
      </c>
      <c r="B84" s="311" t="s">
        <v>1407</v>
      </c>
      <c r="C84" s="1499"/>
      <c r="D84" s="311" t="str">
        <f>CONCATENATE('IV-2 dsa'!C37)</f>
        <v>Viešojo transporto organizavimo tobulinimas rekonstruojant Druskininkų miesto gatvių infrastruktūrą</v>
      </c>
      <c r="E84" s="311" t="str">
        <f>CONCATENATE('IV-2 dsa'!D37)</f>
        <v>Druskininkų savivaldybės administracija</v>
      </c>
      <c r="F84" s="311" t="str">
        <f>CONCATENATE('IV-2 dsa'!E37)</f>
        <v>Lietuvos Respublikos susisiekimo ministerija</v>
      </c>
      <c r="G84" s="311" t="str">
        <f>CONCATENATE('IV-2 dsa'!F37)</f>
        <v>Druskininkų sav.</v>
      </c>
      <c r="H84" s="130" t="str">
        <f>CONCATENATE('IV-2 dsa'!G37)</f>
        <v>04.5.1.-TID-R-514</v>
      </c>
      <c r="I84" s="130" t="str">
        <f>CONCATENATE('IV-2 dsa'!H37)</f>
        <v>R</v>
      </c>
      <c r="J84" s="130" t="str">
        <f>CONCATENATE('IV-2 dsa'!I37)</f>
        <v>-</v>
      </c>
      <c r="K84" s="130" t="str">
        <f>CONCATENATE('IV-2 dsa'!J37)</f>
        <v>-</v>
      </c>
      <c r="L84" s="644">
        <f>SUM('IV-2 dsa'!K37)</f>
        <v>290000</v>
      </c>
      <c r="M84" s="1017">
        <f>SUM('ketv. 6 '!L85)</f>
        <v>421638.05</v>
      </c>
      <c r="N84" s="1017">
        <f>IF(M84&gt;0,L84-M84,0)</f>
        <v>-131638.04999999999</v>
      </c>
      <c r="O84" s="644">
        <f>SUM('IV-2 dsa'!L37)</f>
        <v>43500</v>
      </c>
      <c r="P84" s="1017">
        <f>SUM('ketv. 6 '!P85)</f>
        <v>69600.36</v>
      </c>
      <c r="Q84" s="1017">
        <f t="shared" si="85"/>
        <v>-26100.36</v>
      </c>
      <c r="R84" s="644">
        <f>SUM('IV-2 dsa'!M37)</f>
        <v>0</v>
      </c>
      <c r="S84" s="1017">
        <f>SUM('ketv. 6 '!T85)</f>
        <v>0</v>
      </c>
      <c r="T84" s="1017">
        <f>IF(S84&gt;0,R84-S84,0)</f>
        <v>0</v>
      </c>
      <c r="U84" s="644">
        <f>SUM('IV-2 dsa'!N37)</f>
        <v>0</v>
      </c>
      <c r="V84" s="1017">
        <f>SUM('ketv. 6 '!X85)</f>
        <v>0</v>
      </c>
      <c r="W84" s="1017">
        <f>IF(V84&gt;0,U84-V84,0)</f>
        <v>0</v>
      </c>
      <c r="X84" s="644">
        <f>SUM('IV-2 dsa'!O37)</f>
        <v>0</v>
      </c>
      <c r="Y84" s="1017">
        <f>SUM('ketv. 6 '!AB85)</f>
        <v>0</v>
      </c>
      <c r="Z84" s="1017">
        <f>IF(Y84&gt;0,X84-Y84,0)</f>
        <v>0</v>
      </c>
      <c r="AA84" s="644">
        <f>SUM('IV-2 dsa'!P37)</f>
        <v>246500</v>
      </c>
      <c r="AB84" s="1017">
        <f>SUM('IV-2 vrsa'!R64)</f>
        <v>0</v>
      </c>
      <c r="AC84" s="16" t="str">
        <f>IF('ketv. 4 '!Z86&gt;0,"Taip","Ne")</f>
        <v>Ne</v>
      </c>
      <c r="AD84" s="16">
        <f>SUM('ketv. 6 '!AF85)</f>
        <v>352037.69</v>
      </c>
      <c r="AE84" s="16">
        <f t="shared" si="86"/>
        <v>-105537.69</v>
      </c>
      <c r="AF84" s="431">
        <f>SUM('IV-2 dsa'!R37)</f>
        <v>0</v>
      </c>
      <c r="AG84" s="651">
        <f>SUM('IV-2 dsa'!S37)</f>
        <v>43343</v>
      </c>
      <c r="AH84" s="651">
        <f>SUM('IV-2 dsa'!T37)</f>
        <v>43630</v>
      </c>
      <c r="AI84" s="651">
        <f>SUM('IV-2 dsa'!U37)</f>
        <v>43706</v>
      </c>
      <c r="AJ84" s="671">
        <f t="shared" ref="AJ84:AJ85" si="92">IF(YEAR(AI84),YEAR(AI84))</f>
        <v>2019</v>
      </c>
      <c r="AK84" s="721">
        <f>SUM('IV-2 dsa'!V37)</f>
        <v>44003</v>
      </c>
      <c r="AL84" s="820">
        <f t="shared" ref="AL84:AL85" si="93">IF(YEAR(AI84)=2016,AA84,0)</f>
        <v>0</v>
      </c>
      <c r="AM84" s="820">
        <f t="shared" ref="AM84:AM85" si="94">IF(YEAR(AI84)=2017,AA84,0)</f>
        <v>0</v>
      </c>
      <c r="AN84" s="820">
        <f t="shared" ref="AN84:AN85" si="95">IF(YEAR(AI84)=2018,AA84,0)</f>
        <v>0</v>
      </c>
      <c r="AO84" s="820">
        <f t="shared" ref="AO84:AO85" si="96">IF(YEAR(AI84)=2019,AA84,0)</f>
        <v>246500</v>
      </c>
      <c r="AP84" s="703">
        <f t="shared" ref="AP84:AP85" si="97">IF(YEAR(AI84)=2020,AA84,0)</f>
        <v>0</v>
      </c>
      <c r="AQ84" s="37"/>
      <c r="AR84" s="30"/>
      <c r="AS84" s="30"/>
    </row>
    <row r="85" spans="1:46" ht="39.75" thickTop="1" thickBot="1">
      <c r="A85" s="311" t="s">
        <v>1406</v>
      </c>
      <c r="B85" s="311" t="s">
        <v>1408</v>
      </c>
      <c r="C85" s="1500"/>
      <c r="D85" s="311" t="str">
        <f>CONCATENATE('IV-2 dsa'!C38)</f>
        <v>Vandens transporto infrastruktūros įrengimas skatinant kitų rūšių transportą</v>
      </c>
      <c r="E85" s="311" t="str">
        <f>CONCATENATE('IV-2 dsa'!D38)</f>
        <v>Druskininkų savivaldybės administracija</v>
      </c>
      <c r="F85" s="311" t="str">
        <f>CONCATENATE('IV-2 dsa'!E38)</f>
        <v>Lietuvos Respublikos susisiekimo ministerija</v>
      </c>
      <c r="G85" s="311" t="str">
        <f>CONCATENATE('IV-2 dsa'!F38)</f>
        <v>Druskininkų sav.</v>
      </c>
      <c r="H85" s="130" t="str">
        <f>CONCATENATE('IV-2 dsa'!G38)</f>
        <v>04.5.1.-TID-R-514</v>
      </c>
      <c r="I85" s="130" t="str">
        <f>CONCATENATE('IV-2 dsa'!H38)</f>
        <v>R</v>
      </c>
      <c r="J85" s="130" t="str">
        <f>CONCATENATE('IV-2 dsa'!I38)</f>
        <v>-</v>
      </c>
      <c r="K85" s="130" t="str">
        <f>CONCATENATE('IV-2 dsa'!J38)</f>
        <v>-</v>
      </c>
      <c r="L85" s="644">
        <f>SUM('IV-2 dsa'!K38)</f>
        <v>250000</v>
      </c>
      <c r="M85" s="1017">
        <f>SUM('ketv. 6 '!L86)</f>
        <v>95080</v>
      </c>
      <c r="N85" s="1017">
        <f>IF(M85&gt;0,L85-M85,0)</f>
        <v>154920</v>
      </c>
      <c r="O85" s="644">
        <f>SUM('IV-2 dsa'!L38)</f>
        <v>37500</v>
      </c>
      <c r="P85" s="1017">
        <f>SUM('ketv. 6 '!P86)</f>
        <v>14270</v>
      </c>
      <c r="Q85" s="1017">
        <f t="shared" si="85"/>
        <v>23230</v>
      </c>
      <c r="R85" s="644">
        <f>SUM('IV-2 dsa'!M38)</f>
        <v>0</v>
      </c>
      <c r="S85" s="1017">
        <f>SUM('ketv. 6 '!T86)</f>
        <v>0</v>
      </c>
      <c r="T85" s="1017">
        <f>IF(S85&gt;0,R85-S85,0)</f>
        <v>0</v>
      </c>
      <c r="U85" s="644">
        <f>SUM('IV-2 dsa'!N38)</f>
        <v>0</v>
      </c>
      <c r="V85" s="1017">
        <f>SUM('ketv. 6 '!X86)</f>
        <v>0</v>
      </c>
      <c r="W85" s="1017">
        <f>IF(V85&gt;0,U85-V85,0)</f>
        <v>0</v>
      </c>
      <c r="X85" s="644">
        <f>SUM('IV-2 dsa'!O38)</f>
        <v>0</v>
      </c>
      <c r="Y85" s="1017">
        <f>SUM('ketv. 6 '!AB86)</f>
        <v>0</v>
      </c>
      <c r="Z85" s="1017">
        <f>IF(Y85&gt;0,X85-Y85,0)</f>
        <v>0</v>
      </c>
      <c r="AA85" s="644">
        <f>SUM('IV-2 dsa'!P38)</f>
        <v>212500</v>
      </c>
      <c r="AB85" s="1017">
        <f>SUM('IV-2 vrsa'!R65)</f>
        <v>0</v>
      </c>
      <c r="AC85" s="16" t="str">
        <f>IF('ketv. 4 '!Z87&gt;0,"Taip","Ne")</f>
        <v>Taip</v>
      </c>
      <c r="AD85" s="16">
        <f>SUM('ketv. 6 '!AF86)</f>
        <v>80810</v>
      </c>
      <c r="AE85" s="16">
        <f t="shared" si="86"/>
        <v>131690</v>
      </c>
      <c r="AF85" s="431">
        <f>SUM('IV-2 dsa'!R38)</f>
        <v>0</v>
      </c>
      <c r="AG85" s="651">
        <f>SUM('IV-2 dsa'!S38)</f>
        <v>43343</v>
      </c>
      <c r="AH85" s="651">
        <f>SUM('IV-2 dsa'!T38)</f>
        <v>43736</v>
      </c>
      <c r="AI85" s="651">
        <f>SUM('IV-2 dsa'!U38)</f>
        <v>43797</v>
      </c>
      <c r="AJ85" s="671">
        <f t="shared" si="92"/>
        <v>2019</v>
      </c>
      <c r="AK85" s="721">
        <f>SUM('IV-2 dsa'!V38)</f>
        <v>44501</v>
      </c>
      <c r="AL85" s="820">
        <f t="shared" si="93"/>
        <v>0</v>
      </c>
      <c r="AM85" s="820">
        <f t="shared" si="94"/>
        <v>0</v>
      </c>
      <c r="AN85" s="820">
        <f t="shared" si="95"/>
        <v>0</v>
      </c>
      <c r="AO85" s="820">
        <f t="shared" si="96"/>
        <v>212500</v>
      </c>
      <c r="AP85" s="703">
        <f t="shared" si="97"/>
        <v>0</v>
      </c>
      <c r="AQ85" s="37"/>
      <c r="AR85" s="30"/>
      <c r="AS85" s="30"/>
    </row>
    <row r="86" spans="1:46" ht="35.25" customHeight="1" thickBot="1">
      <c r="A86" s="718" t="s">
        <v>92</v>
      </c>
      <c r="B86" s="1888" t="s">
        <v>1473</v>
      </c>
      <c r="C86" s="1891"/>
      <c r="D86" s="1891"/>
      <c r="E86" s="1891"/>
      <c r="F86" s="1891"/>
      <c r="G86" s="1891"/>
      <c r="H86" s="1891"/>
      <c r="I86" s="1891"/>
      <c r="J86" s="1891"/>
      <c r="K86" s="1892"/>
      <c r="L86" s="1054">
        <f t="shared" ref="L86:AA86" si="98">SUM(L87:L91)</f>
        <v>500953.05</v>
      </c>
      <c r="M86" s="1014">
        <f>SUM(M87:M91)</f>
        <v>421638.05</v>
      </c>
      <c r="N86" s="1014">
        <f>SUM(N87:N91)</f>
        <v>8226.0000000000291</v>
      </c>
      <c r="O86" s="1054">
        <f t="shared" si="98"/>
        <v>85292.359999999986</v>
      </c>
      <c r="P86" s="1014">
        <f>SUM(P87:P91)</f>
        <v>69600.36</v>
      </c>
      <c r="Q86" s="1014">
        <f>SUM(Q87:Q91)</f>
        <v>1225.9999999999964</v>
      </c>
      <c r="R86" s="1054">
        <f t="shared" si="98"/>
        <v>0</v>
      </c>
      <c r="S86" s="1014">
        <f>SUM(S87:S91)</f>
        <v>0</v>
      </c>
      <c r="T86" s="1014">
        <f>SUM(T87:T91)</f>
        <v>0</v>
      </c>
      <c r="U86" s="1054">
        <f t="shared" si="98"/>
        <v>0</v>
      </c>
      <c r="V86" s="1014">
        <f>SUM(V87:V91)</f>
        <v>0</v>
      </c>
      <c r="W86" s="1014">
        <f>SUM(W87:W91)</f>
        <v>0</v>
      </c>
      <c r="X86" s="1054">
        <f t="shared" si="98"/>
        <v>0</v>
      </c>
      <c r="Y86" s="1014">
        <f>SUM(Y87:Y91)</f>
        <v>0</v>
      </c>
      <c r="Z86" s="1014">
        <f>SUM(Z87:Z91)</f>
        <v>0</v>
      </c>
      <c r="AA86" s="1054">
        <f t="shared" si="98"/>
        <v>415660.69</v>
      </c>
      <c r="AB86" s="1014">
        <f>SUM('IV-2 vrsa'!R66)</f>
        <v>0</v>
      </c>
      <c r="AC86" s="698"/>
      <c r="AD86" s="698">
        <f>SUM(AD87:AD91)</f>
        <v>352037.69</v>
      </c>
      <c r="AE86" s="698">
        <f>SUM(AE87:AE91)</f>
        <v>7000.0000000000146</v>
      </c>
      <c r="AF86" s="698"/>
      <c r="AG86" s="715"/>
      <c r="AH86" s="715"/>
      <c r="AI86" s="715"/>
      <c r="AJ86" s="716"/>
      <c r="AK86" s="1024"/>
      <c r="AL86" s="1023">
        <f>SUM(AL87:AL91)</f>
        <v>0</v>
      </c>
      <c r="AM86" s="338">
        <f t="shared" ref="AM86:AP86" si="99">SUM(AM87:AM91)</f>
        <v>187120.56</v>
      </c>
      <c r="AN86" s="338">
        <f t="shared" si="99"/>
        <v>171917.13</v>
      </c>
      <c r="AO86" s="338">
        <f t="shared" si="99"/>
        <v>56623</v>
      </c>
      <c r="AP86" s="828">
        <f t="shared" si="99"/>
        <v>0</v>
      </c>
      <c r="AQ86" s="30">
        <f>SUM('IV-2 amsa'!X32+'IV-2 arsa'!W37+'IV-2 dsa'!W39+'IV-2 lrsa'!X37+'IV-2 vrsa'!X42)</f>
        <v>416584.96000000002</v>
      </c>
      <c r="AR86" s="30">
        <f>SUM(AQ86*120/100)</f>
        <v>499901.95200000005</v>
      </c>
      <c r="AS86" s="30">
        <f>SUM(AQ86-AA86)</f>
        <v>924.27000000001863</v>
      </c>
    </row>
    <row r="87" spans="1:46" ht="39" thickBot="1">
      <c r="A87" s="311" t="s">
        <v>93</v>
      </c>
      <c r="B87" s="311" t="s">
        <v>1307</v>
      </c>
      <c r="C87" s="314" t="str">
        <f>CONCATENATE('ketv. 2'!B86)</f>
        <v>04.5.1-TID-R-516-11-0004</v>
      </c>
      <c r="D87" s="311" t="str">
        <f>CONCATENATE('IV-2 vrsa'!D43)</f>
        <v>Dviračių ir pėsčiųjų takų įrengimas Varėnos miesto J. Basanavičiaus ir Žiedo gatvėse</v>
      </c>
      <c r="E87" s="311" t="str">
        <f>CONCATENATE('IV-2 vrsa'!E43)</f>
        <v>Varėnos rajono savivaldybės administracija</v>
      </c>
      <c r="F87" s="311" t="str">
        <f>CONCATENATE('IV-2 vrsa'!F43)</f>
        <v>Lietuvos Respublikos susisiekimo ministerija</v>
      </c>
      <c r="G87" s="311" t="str">
        <f>CONCATENATE('IV-2 vrsa'!G43)</f>
        <v>Varėnos r. sav.</v>
      </c>
      <c r="H87" s="130" t="str">
        <f>CONCATENATE('IV-2 vrsa'!H43)</f>
        <v>04.5.1-TID-R-516</v>
      </c>
      <c r="I87" s="130" t="str">
        <f>CONCATENATE('IV-2 vrsa'!I43)</f>
        <v>R</v>
      </c>
      <c r="J87" s="130" t="str">
        <f>CONCATENATE('IV-2 vrsa'!J43)</f>
        <v>ITI</v>
      </c>
      <c r="K87" s="130" t="str">
        <f>CONCATENATE('IV-2 vrsa'!K43)</f>
        <v>-</v>
      </c>
      <c r="L87" s="644">
        <f>SUM('IV-2 vrsa'!L43)</f>
        <v>103306</v>
      </c>
      <c r="M87" s="1017">
        <f>SUM('ketv. 6 '!L86)</f>
        <v>95080</v>
      </c>
      <c r="N87" s="1017">
        <f>IF(M87&gt;0,L87-M87,0)</f>
        <v>8226</v>
      </c>
      <c r="O87" s="644">
        <f>SUM('IV-2 vrsa'!M43)</f>
        <v>15496</v>
      </c>
      <c r="P87" s="1017">
        <f>SUM('ketv. 6 '!P86)</f>
        <v>14270</v>
      </c>
      <c r="Q87" s="1017">
        <f>IF(P87&gt;0,O87-P87,0)</f>
        <v>1226</v>
      </c>
      <c r="R87" s="644">
        <f>SUM('IV-2 vrsa'!N43)</f>
        <v>0</v>
      </c>
      <c r="S87" s="1017">
        <f>SUM('ketv. 6 '!T86)</f>
        <v>0</v>
      </c>
      <c r="T87" s="1017">
        <f>IF(S87&gt;0,R87-S87,0)</f>
        <v>0</v>
      </c>
      <c r="U87" s="644">
        <f>SUM('IV-2 vrsa'!O43)</f>
        <v>0</v>
      </c>
      <c r="V87" s="1017">
        <f>SUM('ketv. 6 '!X86)</f>
        <v>0</v>
      </c>
      <c r="W87" s="1017">
        <f>IF(V87&gt;0,U87-V87,0)</f>
        <v>0</v>
      </c>
      <c r="X87" s="644">
        <f>SUM('IV-2 vrsa'!P43)</f>
        <v>0</v>
      </c>
      <c r="Y87" s="1017">
        <f>SUM('ketv. 6 '!AB86)</f>
        <v>0</v>
      </c>
      <c r="Z87" s="1017">
        <f>IF(Y87&gt;0,X87-Y87,0)</f>
        <v>0</v>
      </c>
      <c r="AA87" s="644">
        <f>SUM('IV-2 vrsa'!Q43)</f>
        <v>87810</v>
      </c>
      <c r="AB87" s="1017">
        <f>SUM('IV-2 vrsa'!R67)</f>
        <v>0</v>
      </c>
      <c r="AC87" s="16" t="str">
        <f>IF('ketv. 4 '!Z87&gt;0,"Taip","Ne")</f>
        <v>Taip</v>
      </c>
      <c r="AD87" s="16">
        <f>SUM('ketv. 6 '!AF86)</f>
        <v>80810</v>
      </c>
      <c r="AE87" s="16">
        <f>IF(AD87&gt;0,AA87-AD87,0)</f>
        <v>7000</v>
      </c>
      <c r="AF87" s="431">
        <f>SUM('IV-2 vrsa'!S43)</f>
        <v>42660</v>
      </c>
      <c r="AG87" s="337">
        <f>SUM('IV-2 vrsa'!T43)</f>
        <v>42735</v>
      </c>
      <c r="AH87" s="337">
        <f>SUM('IV-2 vrsa'!U43)</f>
        <v>43100</v>
      </c>
      <c r="AI87" s="337">
        <f>SUM('IV-2 vrsa'!V43)</f>
        <v>43193</v>
      </c>
      <c r="AJ87" s="339">
        <f t="shared" ref="AJ87:AJ91" si="100">IF(YEAR(AI87),YEAR(AI87))</f>
        <v>2018</v>
      </c>
      <c r="AK87" s="702">
        <f>SUM('IV-2 vrsa'!W43)</f>
        <v>44104</v>
      </c>
      <c r="AL87" s="1023">
        <f>IF(YEAR(AI87)=2016,AA87,0)</f>
        <v>0</v>
      </c>
      <c r="AM87" s="338">
        <f>IF(YEAR(AI87)=2017,AA87,0)</f>
        <v>0</v>
      </c>
      <c r="AN87" s="338">
        <f>IF(YEAR(AI87)=2018,AA87,0)</f>
        <v>87810</v>
      </c>
      <c r="AO87" s="338">
        <f>IF(YEAR(AI87)=2019,AA87,0)</f>
        <v>0</v>
      </c>
      <c r="AP87" s="703">
        <f>IF(YEAR(AI87)=2020,AA87,0)</f>
        <v>0</v>
      </c>
      <c r="AQ87" s="30"/>
      <c r="AR87" s="30"/>
      <c r="AS87" s="30"/>
    </row>
    <row r="88" spans="1:46" ht="39.75" thickTop="1" thickBot="1">
      <c r="A88" s="311" t="s">
        <v>172</v>
      </c>
      <c r="B88" s="311" t="s">
        <v>1308</v>
      </c>
      <c r="C88" s="1499" t="str">
        <f>CONCATENATE('ketv. 2'!B87)</f>
        <v>04.5.1-TID-R-516-11-0001</v>
      </c>
      <c r="D88" s="311" t="str">
        <f>CONCATENATE('IV-2 amsa'!D33)</f>
        <v>Dviračių trasų infrastruktūros įrengimas nuo Putinų g. žiedo Pramonės gatvėje, Alytaus mieste</v>
      </c>
      <c r="E88" s="311" t="str">
        <f>CONCATENATE('IV-2 amsa'!E33)</f>
        <v>Alytaus miesto savivaldybės administracija</v>
      </c>
      <c r="F88" s="311" t="str">
        <f>CONCATENATE('IV-2 amsa'!F33)</f>
        <v>Lietuvos Respublikos susisiekimo ministerija</v>
      </c>
      <c r="G88" s="311" t="str">
        <f>CONCATENATE('IV-2 amsa'!G33)</f>
        <v>Alytaus m. sav.</v>
      </c>
      <c r="H88" s="130" t="str">
        <f>CONCATENATE('IV-2 amsa'!H33)</f>
        <v>04.5.1-TID-R-516</v>
      </c>
      <c r="I88" s="130" t="str">
        <f>CONCATENATE('IV-2 amsa'!I33)</f>
        <v>R</v>
      </c>
      <c r="J88" s="130" t="str">
        <f>CONCATENATE('IV-2 amsa'!J33)</f>
        <v>ITI</v>
      </c>
      <c r="K88" s="130" t="str">
        <f>CONCATENATE('IV-2 amsa'!K33)</f>
        <v>-</v>
      </c>
      <c r="L88" s="644">
        <f>SUM('IV-2 amsa'!L33)</f>
        <v>133670.07</v>
      </c>
      <c r="M88" s="1017">
        <f>SUM('ketv. 6 '!L87)</f>
        <v>133670.06999999998</v>
      </c>
      <c r="N88" s="1017">
        <f t="shared" ref="N88" si="101">IF(M88&gt;0,L88-M88,0)</f>
        <v>2.9103830456733704E-11</v>
      </c>
      <c r="O88" s="644">
        <f>SUM('IV-2 amsa'!M33)</f>
        <v>20050.509999999998</v>
      </c>
      <c r="P88" s="1017">
        <f>SUM('ketv. 6 '!P87)</f>
        <v>20050.510000000002</v>
      </c>
      <c r="Q88" s="1017">
        <f>IF(P88&gt;0,O88-P88,0)</f>
        <v>-3.637978807091713E-12</v>
      </c>
      <c r="R88" s="644">
        <f>SUM('IV-2 amsa'!N33)</f>
        <v>0</v>
      </c>
      <c r="S88" s="1017">
        <f>SUM('ketv. 6 '!T87)</f>
        <v>0</v>
      </c>
      <c r="T88" s="1017">
        <f t="shared" ref="T88" si="102">IF(S88&gt;0,R88-S88,0)</f>
        <v>0</v>
      </c>
      <c r="U88" s="644">
        <f>SUM('IV-2 amsa'!O33)</f>
        <v>0</v>
      </c>
      <c r="V88" s="1017">
        <f>SUM('ketv. 6 '!X87)</f>
        <v>0</v>
      </c>
      <c r="W88" s="1017">
        <f t="shared" ref="W88" si="103">IF(V88&gt;0,U88-V88,0)</f>
        <v>0</v>
      </c>
      <c r="X88" s="644">
        <f>SUM('IV-2 amsa'!P33)</f>
        <v>0</v>
      </c>
      <c r="Y88" s="1017">
        <f>SUM('ketv. 6 '!AB87)</f>
        <v>0</v>
      </c>
      <c r="Z88" s="1017">
        <f t="shared" ref="Z88" si="104">IF(Y88&gt;0,X88-Y88,0)</f>
        <v>0</v>
      </c>
      <c r="AA88" s="644">
        <f>SUM('IV-2 amsa'!Q33)</f>
        <v>113619.56</v>
      </c>
      <c r="AB88" s="1017">
        <f>SUM('IV-2 vrsa'!R68)</f>
        <v>0</v>
      </c>
      <c r="AC88" s="16" t="str">
        <f>IF('ketv. 4 '!Z88&gt;0,"Taip","Ne")</f>
        <v>Taip</v>
      </c>
      <c r="AD88" s="16">
        <f>SUM('ketv. 6 '!AF87)</f>
        <v>113619.55999999998</v>
      </c>
      <c r="AE88" s="16">
        <f>IF(AD88&gt;0,AA88-AD88,0)</f>
        <v>1.4551915228366852E-11</v>
      </c>
      <c r="AF88" s="431">
        <f>SUM('IV-2 amsa'!S33)</f>
        <v>42660</v>
      </c>
      <c r="AG88" s="337">
        <f>SUM('IV-2 amsa'!T33)</f>
        <v>42643</v>
      </c>
      <c r="AH88" s="337">
        <f>SUM('IV-2 amsa'!U33)</f>
        <v>42916</v>
      </c>
      <c r="AI88" s="337">
        <f>SUM('IV-2 amsa'!V33)</f>
        <v>42978</v>
      </c>
      <c r="AJ88" s="339">
        <f t="shared" si="100"/>
        <v>2017</v>
      </c>
      <c r="AK88" s="702">
        <f>SUM('IV-2 amsa'!W33)</f>
        <v>43465</v>
      </c>
      <c r="AL88" s="16">
        <f>IF(YEAR(AI88)=2016,AA88,0)</f>
        <v>0</v>
      </c>
      <c r="AM88" s="16">
        <f>IF(YEAR(AI88)=2017,AA88,0)</f>
        <v>113619.56</v>
      </c>
      <c r="AN88" s="16">
        <f>IF(YEAR(AI88)=2018,AA88,0)</f>
        <v>0</v>
      </c>
      <c r="AO88" s="16">
        <f>IF(YEAR(AI88)=2019,AA88,0)</f>
        <v>0</v>
      </c>
      <c r="AP88" s="703">
        <f>IF(YEAR(AI88)=2020,AA88,0)</f>
        <v>0</v>
      </c>
      <c r="AQ88" s="30"/>
      <c r="AR88" s="30"/>
      <c r="AS88" s="30"/>
    </row>
    <row r="89" spans="1:46" ht="39.75" thickTop="1" thickBot="1">
      <c r="A89" s="311" t="s">
        <v>173</v>
      </c>
      <c r="B89" s="311" t="s">
        <v>1309</v>
      </c>
      <c r="C89" s="1499" t="str">
        <f>CONCATENATE('ketv. 2'!B88)</f>
        <v>04.5.1-TID-R-516-11-0002</v>
      </c>
      <c r="D89" s="311" t="str">
        <f>CONCATENATE('IV-2 lrsa'!D38)</f>
        <v>Dviračių ir pėsčiųjų takų plėtra Lazdijų miesto Turistų gatvėje iki sodų bendrijos „Baltasis“ Lazdijų seniūnijoje</v>
      </c>
      <c r="E89" s="311" t="str">
        <f>CONCATENATE('IV-2 lrsa'!E38)</f>
        <v>Lazdijų rajono savivaldybės administracija</v>
      </c>
      <c r="F89" s="311" t="str">
        <f>CONCATENATE('IV-2 lrsa'!F38)</f>
        <v>Lietuvos Respublikos susisiekimo ministerija</v>
      </c>
      <c r="G89" s="311" t="str">
        <f>CONCATENATE('IV-2 lrsa'!G38)</f>
        <v>Lazdijų r. sav.</v>
      </c>
      <c r="H89" s="130" t="str">
        <f>CONCATENATE('IV-2 lrsa'!H38)</f>
        <v>04.5.1-TID-R-516</v>
      </c>
      <c r="I89" s="130" t="str">
        <f>CONCATENATE('IV-2 lrsa'!I38)</f>
        <v>R</v>
      </c>
      <c r="J89" s="130" t="str">
        <f>CONCATENATE('IV-2 lrsa'!J38)</f>
        <v>ITI</v>
      </c>
      <c r="K89" s="130" t="str">
        <f>CONCATENATE('IV-2 lrsa'!K38)</f>
        <v>-</v>
      </c>
      <c r="L89" s="644">
        <f>SUM('IV-2 lrsa'!L38)</f>
        <v>93938.42</v>
      </c>
      <c r="M89" s="1017">
        <f>SUM('ketv. 6 '!L88)</f>
        <v>93938.42</v>
      </c>
      <c r="N89" s="1017">
        <f>IF(M89&gt;0,L89-M89,0)</f>
        <v>0</v>
      </c>
      <c r="O89" s="644">
        <f>SUM('IV-2 lrsa'!M38)</f>
        <v>20437.419999999998</v>
      </c>
      <c r="P89" s="1017">
        <f>SUM('ketv. 6 '!P88)</f>
        <v>20437.419999999998</v>
      </c>
      <c r="Q89" s="1017">
        <f>IF(P89&gt;0,O89-P89,0)</f>
        <v>0</v>
      </c>
      <c r="R89" s="644">
        <f>SUM('IV-2 lrsa'!N38)</f>
        <v>0</v>
      </c>
      <c r="S89" s="1017">
        <f>SUM('ketv. 6 '!T88)</f>
        <v>0</v>
      </c>
      <c r="T89" s="1017">
        <f>IF(S89&gt;0,R89-S89,0)</f>
        <v>0</v>
      </c>
      <c r="U89" s="644">
        <f>SUM('IV-2 lrsa'!O38)</f>
        <v>0</v>
      </c>
      <c r="V89" s="1017">
        <f>SUM('ketv. 6 '!X88)</f>
        <v>0</v>
      </c>
      <c r="W89" s="1017">
        <f>IF(V89&gt;0,U89-V89,0)</f>
        <v>0</v>
      </c>
      <c r="X89" s="644">
        <f>SUM('IV-2 lrsa'!P38)</f>
        <v>0</v>
      </c>
      <c r="Y89" s="1017">
        <f>SUM('ketv. 6 '!AB88)</f>
        <v>0</v>
      </c>
      <c r="Z89" s="1017">
        <f>IF(Y89&gt;0,X89-Y89,0)</f>
        <v>0</v>
      </c>
      <c r="AA89" s="644">
        <f>SUM('IV-2 lrsa'!Q38)</f>
        <v>73501</v>
      </c>
      <c r="AB89" s="1017">
        <f>SUM('IV-2 vrsa'!R69)</f>
        <v>0</v>
      </c>
      <c r="AC89" s="16" t="str">
        <f>IF('ketv. 4 '!Z89&gt;0,"Taip","Ne")</f>
        <v>Taip</v>
      </c>
      <c r="AD89" s="16">
        <f>SUM('ketv. 6 '!AF88)</f>
        <v>73501</v>
      </c>
      <c r="AE89" s="16">
        <f>IF(AD89&gt;0,AA89-AD89,0)</f>
        <v>0</v>
      </c>
      <c r="AF89" s="431">
        <f>SUM('IV-2 lrsa'!S38)</f>
        <v>42660</v>
      </c>
      <c r="AG89" s="337">
        <f>SUM('IV-2 lrsa'!T38)</f>
        <v>42735</v>
      </c>
      <c r="AH89" s="337">
        <f>SUM('IV-2 lrsa'!U38)</f>
        <v>43010</v>
      </c>
      <c r="AI89" s="337">
        <f>SUM('IV-2 lrsa'!V38)</f>
        <v>43100</v>
      </c>
      <c r="AJ89" s="339">
        <f t="shared" si="100"/>
        <v>2017</v>
      </c>
      <c r="AK89" s="702">
        <f>SUM('IV-2 lrsa'!W38)</f>
        <v>43830</v>
      </c>
      <c r="AL89" s="16">
        <f>IF(YEAR(AI89)=2016,AA89,0)</f>
        <v>0</v>
      </c>
      <c r="AM89" s="16">
        <f>IF(YEAR(AI89)=2017,AA89,0)</f>
        <v>73501</v>
      </c>
      <c r="AN89" s="16">
        <f>IF(YEAR(AI89)=2018,AA89,0)</f>
        <v>0</v>
      </c>
      <c r="AO89" s="16">
        <f>IF(YEAR(AI89)=2019,AA89,0)</f>
        <v>0</v>
      </c>
      <c r="AP89" s="703">
        <f>IF(YEAR(AI89)=2020,AA89,0)</f>
        <v>0</v>
      </c>
      <c r="AQ89" s="30"/>
      <c r="AR89" s="30"/>
      <c r="AS89" s="30"/>
    </row>
    <row r="90" spans="1:46" ht="39.75" thickTop="1" thickBot="1">
      <c r="A90" s="311" t="s">
        <v>197</v>
      </c>
      <c r="B90" s="311" t="s">
        <v>1753</v>
      </c>
      <c r="C90" s="1499" t="str">
        <f>CONCATENATE('ketv. 2'!B89)</f>
        <v>04.5.1-TID-R-516-11-0005</v>
      </c>
      <c r="D90" s="311" t="str">
        <f>CONCATENATE('IV-2 arsa'!C38)</f>
        <v>Pėsčiųjų ir dviračių takų plėtra Simno seniūnijoje</v>
      </c>
      <c r="E90" s="311" t="str">
        <f>CONCATENATE('IV-2 arsa'!D38)</f>
        <v>Alytaus rajono savivaldybės administracija</v>
      </c>
      <c r="F90" s="311" t="str">
        <f>CONCATENATE('IV-2 arsa'!E38)</f>
        <v>Lietuvos Respublikos susisiekimo ministerija</v>
      </c>
      <c r="G90" s="311" t="str">
        <f>CONCATENATE('IV-2 arsa'!F38)</f>
        <v>Alytaus r. sav.</v>
      </c>
      <c r="H90" s="130" t="str">
        <f>CONCATENATE('IV-2 arsa'!G38)</f>
        <v>04.5.1-TID-R-516</v>
      </c>
      <c r="I90" s="130" t="str">
        <f>CONCATENATE('IV-2 arsa'!H38)</f>
        <v>R</v>
      </c>
      <c r="J90" s="130" t="str">
        <f>CONCATENATE('IV-2 arsa'!I38)</f>
        <v>-</v>
      </c>
      <c r="K90" s="130" t="str">
        <f>CONCATENATE('IV-2 arsa'!J38)</f>
        <v>-</v>
      </c>
      <c r="L90" s="644">
        <f>SUM('IV-2 arsa'!K38)</f>
        <v>98949.56</v>
      </c>
      <c r="M90" s="1017">
        <f>SUM('ketv. 6 '!L89)</f>
        <v>98949.56</v>
      </c>
      <c r="N90" s="1017">
        <f>IF(M90&gt;0,L90-M90,0)</f>
        <v>0</v>
      </c>
      <c r="O90" s="644">
        <f>SUM('IV-2 arsa'!L38)</f>
        <v>14842.43</v>
      </c>
      <c r="P90" s="1017">
        <f>SUM('ketv. 6 '!P89)</f>
        <v>14842.43</v>
      </c>
      <c r="Q90" s="1017">
        <f>IF(P90&gt;0,O90-P90,0)</f>
        <v>0</v>
      </c>
      <c r="R90" s="644">
        <f>SUM('IV-2 arsa'!M38)</f>
        <v>0</v>
      </c>
      <c r="S90" s="1017">
        <f>SUM('ketv. 6 '!T89)</f>
        <v>0</v>
      </c>
      <c r="T90" s="1017">
        <f>IF(S90&gt;0,R90-S90,0)</f>
        <v>0</v>
      </c>
      <c r="U90" s="644">
        <f>SUM('IV-2 arsa'!N38)</f>
        <v>0</v>
      </c>
      <c r="V90" s="1017">
        <f>SUM('ketv. 6 '!X89)</f>
        <v>0</v>
      </c>
      <c r="W90" s="1017">
        <f>IF(V90&gt;0,U90-V90,0)</f>
        <v>0</v>
      </c>
      <c r="X90" s="644">
        <f>SUM('IV-2 arsa'!O38)</f>
        <v>0</v>
      </c>
      <c r="Y90" s="1017">
        <f>SUM('ketv. 6 '!AB89)</f>
        <v>0</v>
      </c>
      <c r="Z90" s="1017">
        <f>IF(Y90&gt;0,X90-Y90,0)</f>
        <v>0</v>
      </c>
      <c r="AA90" s="644">
        <f>SUM('IV-2 arsa'!P38)</f>
        <v>84107.13</v>
      </c>
      <c r="AB90" s="1017">
        <f>SUM('IV-2 vrsa'!R70)</f>
        <v>0</v>
      </c>
      <c r="AC90" s="16" t="str">
        <f>IF('ketv. 4 '!Z90&gt;0,"Taip","Ne")</f>
        <v>Taip</v>
      </c>
      <c r="AD90" s="16">
        <f>SUM('ketv. 6 '!AF89)</f>
        <v>84107.13</v>
      </c>
      <c r="AE90" s="16">
        <f>IF(AD90&gt;0,AA90-AD90,0)</f>
        <v>0</v>
      </c>
      <c r="AF90" s="431">
        <f>SUM('IV-2 arsa'!R38)</f>
        <v>42660</v>
      </c>
      <c r="AG90" s="337">
        <f>SUM('IV-2 arsa'!S38)</f>
        <v>42754</v>
      </c>
      <c r="AH90" s="337">
        <f>SUM('IV-2 arsa'!T38)</f>
        <v>43131</v>
      </c>
      <c r="AI90" s="337">
        <f>SUM('IV-2 arsa'!U38)</f>
        <v>43220</v>
      </c>
      <c r="AJ90" s="339">
        <f t="shared" si="100"/>
        <v>2018</v>
      </c>
      <c r="AK90" s="702">
        <f>SUM('IV-2 arsa'!V38)</f>
        <v>43830</v>
      </c>
      <c r="AL90" s="16">
        <f>IF(YEAR(AI90)=2016,AA90,0)</f>
        <v>0</v>
      </c>
      <c r="AM90" s="16">
        <f>IF(YEAR(AI90)=2017,AA90,0)</f>
        <v>0</v>
      </c>
      <c r="AN90" s="16">
        <f>IF(YEAR(AI90)=2018,AA90,0)</f>
        <v>84107.13</v>
      </c>
      <c r="AO90" s="16">
        <f>IF(YEAR(AI90)=2019,AA90,0)</f>
        <v>0</v>
      </c>
      <c r="AP90" s="703">
        <f>IF(YEAR(AI90)=2020,AA90,0)</f>
        <v>0</v>
      </c>
      <c r="AQ90" s="50"/>
      <c r="AR90" s="30"/>
      <c r="AS90" s="30"/>
    </row>
    <row r="91" spans="1:46" ht="39.75" thickTop="1" thickBot="1">
      <c r="A91" s="311" t="s">
        <v>229</v>
      </c>
      <c r="B91" s="311" t="s">
        <v>1310</v>
      </c>
      <c r="C91" s="1500" t="str">
        <f>CONCATENATE('ketv. 2'!B90)</f>
        <v>04.5.1-TID-R-516-11-0006</v>
      </c>
      <c r="D91" s="311" t="str">
        <f>CONCATENATE('IV-2 dsa'!C40)</f>
        <v>Dviračių ir pėsčiųjų tako, esančio šalia Ratnyčios upelio Druskininkų mieste, rekonstrukcija</v>
      </c>
      <c r="E91" s="311" t="str">
        <f>CONCATENATE('IV-2 dsa'!D40)</f>
        <v xml:space="preserve">Druskininkų savivaldybės administracija  </v>
      </c>
      <c r="F91" s="311" t="str">
        <f>CONCATENATE('IV-2 dsa'!E40)</f>
        <v>Lietuvos Respublikos susisiekimo ministerija</v>
      </c>
      <c r="G91" s="311" t="str">
        <f>CONCATENATE('IV-2 dsa'!F40)</f>
        <v>Druskininkų sav.</v>
      </c>
      <c r="H91" s="130" t="str">
        <f>CONCATENATE('IV-2 dsa'!G40)</f>
        <v>04.5.1-TID-R-516</v>
      </c>
      <c r="I91" s="130" t="str">
        <f>CONCATENATE('IV-2 dsa'!H40)</f>
        <v>R</v>
      </c>
      <c r="J91" s="130" t="str">
        <f>CONCATENATE('IV-2 dsa'!I40)</f>
        <v>-</v>
      </c>
      <c r="K91" s="130" t="str">
        <f>CONCATENATE('IV-2 dsa'!J40)</f>
        <v>-</v>
      </c>
      <c r="L91" s="644">
        <f>SUM('IV-2 dsa'!K40)</f>
        <v>71089</v>
      </c>
      <c r="M91" s="1017">
        <f>SUM('ketv. 6 '!L90)</f>
        <v>0</v>
      </c>
      <c r="N91" s="1017">
        <f>IF(M91&gt;0,L91-M91,0)</f>
        <v>0</v>
      </c>
      <c r="O91" s="644">
        <f>SUM('IV-2 dsa'!L40)</f>
        <v>14466</v>
      </c>
      <c r="P91" s="1017">
        <f>SUM('ketv. 6 '!P90)</f>
        <v>0</v>
      </c>
      <c r="Q91" s="1017">
        <f>IF(P91&gt;0,O91-P91,0)</f>
        <v>0</v>
      </c>
      <c r="R91" s="644">
        <f>SUM('IV-2 dsa'!M40)</f>
        <v>0</v>
      </c>
      <c r="S91" s="1017">
        <f>SUM('ketv. 6 '!T90)</f>
        <v>0</v>
      </c>
      <c r="T91" s="1017">
        <f>IF(S91&gt;0,R91-S91,0)</f>
        <v>0</v>
      </c>
      <c r="U91" s="644">
        <f>SUM('IV-2 dsa'!N40)</f>
        <v>0</v>
      </c>
      <c r="V91" s="1017">
        <f>SUM('ketv. 6 '!X90)</f>
        <v>0</v>
      </c>
      <c r="W91" s="1017">
        <f>IF(V91&gt;0,U91-V91,0)</f>
        <v>0</v>
      </c>
      <c r="X91" s="644">
        <f>SUM('IV-2 dsa'!O40)</f>
        <v>0</v>
      </c>
      <c r="Y91" s="1017">
        <f>SUM('ketv. 6 '!AB90)</f>
        <v>0</v>
      </c>
      <c r="Z91" s="1017">
        <f>IF(Y91&gt;0,X91-Y91,0)</f>
        <v>0</v>
      </c>
      <c r="AA91" s="644">
        <f>SUM('IV-2 dsa'!P40)</f>
        <v>56623</v>
      </c>
      <c r="AB91" s="1017">
        <f>SUM('IV-2 vrsa'!R71)</f>
        <v>0</v>
      </c>
      <c r="AC91" s="16" t="str">
        <f>IF('ketv. 4 '!Z91&gt;0,"Taip","Ne")</f>
        <v>Ne</v>
      </c>
      <c r="AD91" s="16">
        <f>SUM('ketv. 6 '!AF90)</f>
        <v>0</v>
      </c>
      <c r="AE91" s="16">
        <f>IF(AD91&gt;0,AA91-AD91,0)</f>
        <v>0</v>
      </c>
      <c r="AF91" s="431">
        <f>SUM('IV-2 dsa'!R40)</f>
        <v>42660</v>
      </c>
      <c r="AG91" s="337">
        <f>SUM('IV-2 dsa'!S40)</f>
        <v>42754</v>
      </c>
      <c r="AH91" s="337">
        <f>SUM('IV-2 dsa'!T40)</f>
        <v>43510</v>
      </c>
      <c r="AI91" s="337">
        <f>SUM('IV-2 dsa'!U40)</f>
        <v>43599</v>
      </c>
      <c r="AJ91" s="339">
        <f t="shared" si="100"/>
        <v>2019</v>
      </c>
      <c r="AK91" s="702">
        <f>SUM('IV-2 dsa'!V40)</f>
        <v>43997</v>
      </c>
      <c r="AL91" s="16">
        <f>IF(YEAR(AI91)=2016,AA91,0)</f>
        <v>0</v>
      </c>
      <c r="AM91" s="16">
        <f>IF(YEAR(AI91)=2017,AA91,0)</f>
        <v>0</v>
      </c>
      <c r="AN91" s="16">
        <f>IF(YEAR(AI91)=2018,AA91,0)</f>
        <v>0</v>
      </c>
      <c r="AO91" s="16">
        <f>IF(YEAR(AI91)=2019,AA91,0)</f>
        <v>56623</v>
      </c>
      <c r="AP91" s="703">
        <f>IF(YEAR(AI91)=2020,AA91,0)</f>
        <v>0</v>
      </c>
      <c r="AQ91" s="37"/>
      <c r="AR91" s="30"/>
      <c r="AS91" s="30"/>
    </row>
    <row r="92" spans="1:46" ht="33" customHeight="1" thickBot="1">
      <c r="A92" s="718" t="s">
        <v>94</v>
      </c>
      <c r="B92" s="1888" t="s">
        <v>1474</v>
      </c>
      <c r="C92" s="1891"/>
      <c r="D92" s="1891"/>
      <c r="E92" s="1891"/>
      <c r="F92" s="1891"/>
      <c r="G92" s="1891"/>
      <c r="H92" s="1891"/>
      <c r="I92" s="1891"/>
      <c r="J92" s="1891"/>
      <c r="K92" s="1892"/>
      <c r="L92" s="1054">
        <f t="shared" ref="L92:X92" si="105">SUM(L93:L99)</f>
        <v>4315878.84</v>
      </c>
      <c r="M92" s="1014">
        <f>SUM(M93:M99)</f>
        <v>16359473.449999999</v>
      </c>
      <c r="N92" s="1014">
        <f>SUM(N93:N99)</f>
        <v>-12043594.609999999</v>
      </c>
      <c r="O92" s="1054">
        <f t="shared" si="105"/>
        <v>1217686.06</v>
      </c>
      <c r="P92" s="1014">
        <f>SUM(P93:P99)</f>
        <v>2813155.74</v>
      </c>
      <c r="Q92" s="1014">
        <f>SUM(Q93:Q99)</f>
        <v>-1595469.6800000002</v>
      </c>
      <c r="R92" s="1054">
        <f t="shared" si="105"/>
        <v>0</v>
      </c>
      <c r="S92" s="1014">
        <f>SUM(S93:S99)</f>
        <v>410243.26999999996</v>
      </c>
      <c r="T92" s="1014">
        <f>SUM(T93:T99)</f>
        <v>-410243.26999999996</v>
      </c>
      <c r="U92" s="1054">
        <f t="shared" si="105"/>
        <v>0</v>
      </c>
      <c r="V92" s="1014">
        <f>SUM(V93:V99)</f>
        <v>46858.02</v>
      </c>
      <c r="W92" s="1014">
        <f>SUM(W93:W99)</f>
        <v>-46858.02</v>
      </c>
      <c r="X92" s="1054">
        <f t="shared" si="105"/>
        <v>62660</v>
      </c>
      <c r="Y92" s="1014">
        <f>SUM(Y93:Y98)</f>
        <v>62660</v>
      </c>
      <c r="Z92" s="1014">
        <f>SUM(Z93:Z98)</f>
        <v>0</v>
      </c>
      <c r="AA92" s="1054">
        <f>SUM(AA93:AA99)</f>
        <v>3035532.7800000003</v>
      </c>
      <c r="AB92" s="1014">
        <f>SUM('IV-2 vrsa'!R72)</f>
        <v>0</v>
      </c>
      <c r="AC92" s="708"/>
      <c r="AD92" s="708">
        <f>SUM(AD93:AD98)</f>
        <v>2884078.88</v>
      </c>
      <c r="AE92" s="708">
        <f>SUM(AE93:AE98)</f>
        <v>38464.900000000023</v>
      </c>
      <c r="AF92" s="708"/>
      <c r="AG92" s="709"/>
      <c r="AH92" s="709"/>
      <c r="AI92" s="709"/>
      <c r="AJ92" s="710"/>
      <c r="AK92" s="711"/>
      <c r="AL92" s="5">
        <f>SUM(AL93:AL99)</f>
        <v>0</v>
      </c>
      <c r="AM92" s="5">
        <f t="shared" ref="AM92:AP92" si="106">SUM(AM93:AM99)</f>
        <v>1458082</v>
      </c>
      <c r="AN92" s="5">
        <f t="shared" si="106"/>
        <v>1464461.78</v>
      </c>
      <c r="AO92" s="5">
        <f t="shared" si="106"/>
        <v>112989</v>
      </c>
      <c r="AP92" s="5">
        <f t="shared" si="106"/>
        <v>0</v>
      </c>
      <c r="AQ92" s="30">
        <f>SUM('IV-2 amsa'!X34+'IV-2 arsa'!W39+'IV-2 dsa'!W41+'IV-2 lrsa'!X39+'IV-2 vrsa'!X44)</f>
        <v>3052807</v>
      </c>
      <c r="AR92" s="30">
        <f>SUM(AQ92*120/100)</f>
        <v>3663368.4</v>
      </c>
      <c r="AS92" s="30">
        <f>SUM(AQ92-AA92)</f>
        <v>17274.219999999739</v>
      </c>
      <c r="AT92" s="722"/>
    </row>
    <row r="93" spans="1:46" ht="39.75" thickTop="1" thickBot="1">
      <c r="A93" s="311" t="s">
        <v>95</v>
      </c>
      <c r="B93" s="311" t="s">
        <v>1311</v>
      </c>
      <c r="C93" s="1093" t="str">
        <f>CONCATENATE('ketv. 2'!B92)</f>
        <v>06.2.1-TID-R-511-11-0002</v>
      </c>
      <c r="D93" s="311" t="str">
        <f>CONCATENATE('IV-2 vrsa'!D45)</f>
        <v>Varėnos miesto J. Basanavičiaus, Savanorių, M. K. Čiurlionio gatvių rekonstrukcija</v>
      </c>
      <c r="E93" s="311" t="str">
        <f>CONCATENATE('IV-2 vrsa'!E45)</f>
        <v>Varėnos rajono savivaldybės administracija</v>
      </c>
      <c r="F93" s="311" t="str">
        <f>CONCATENATE('IV-2 vrsa'!F45)</f>
        <v>Lietuvos Respublikos susisiekimo ministerija</v>
      </c>
      <c r="G93" s="311" t="str">
        <f>CONCATENATE('IV-2 vrsa'!G45)</f>
        <v>Varėnos r. sav.</v>
      </c>
      <c r="H93" s="130" t="str">
        <f>CONCATENATE('IV-2 vrsa'!H45)</f>
        <v>06.2.1-TID-R-511</v>
      </c>
      <c r="I93" s="130" t="str">
        <f>CONCATENATE('IV-2 vrsa'!I45)</f>
        <v>R</v>
      </c>
      <c r="J93" s="130" t="str">
        <f>CONCATENATE('IV-2 vrsa'!J45)</f>
        <v>ITI</v>
      </c>
      <c r="K93" s="130" t="str">
        <f>CONCATENATE('IV-2 vrsa'!K45)</f>
        <v>-</v>
      </c>
      <c r="L93" s="644">
        <f>SUM('IV-2 vrsa'!L45)</f>
        <v>835464</v>
      </c>
      <c r="M93" s="1017">
        <f>SUM('ketv. 6 '!L92)</f>
        <v>835464</v>
      </c>
      <c r="N93" s="1017">
        <f>IF(M93&gt;0,L93-M93,0)</f>
        <v>0</v>
      </c>
      <c r="O93" s="644">
        <f>SUM('IV-2 vrsa'!M45)</f>
        <v>62660</v>
      </c>
      <c r="P93" s="1017">
        <f>SUM('ketv. 6 '!P92)</f>
        <v>62660</v>
      </c>
      <c r="Q93" s="1017">
        <f t="shared" ref="Q93:Q99" si="107">IF(P93&gt;0,O93-P93,0)</f>
        <v>0</v>
      </c>
      <c r="R93" s="644">
        <f>SUM('IV-2 vrsa'!N45)</f>
        <v>0</v>
      </c>
      <c r="S93" s="1017">
        <f>SUM('ketv. 6 '!T92)</f>
        <v>0</v>
      </c>
      <c r="T93" s="1017">
        <f>IF(S93&gt;0,R93-S93,0)</f>
        <v>0</v>
      </c>
      <c r="U93" s="644">
        <f>SUM('IV-2 vrsa'!O45)</f>
        <v>0</v>
      </c>
      <c r="V93" s="1017">
        <f>SUM('ketv. 6 '!X92)</f>
        <v>0</v>
      </c>
      <c r="W93" s="1017">
        <f>IF(V93&gt;0,U93-V93,0)</f>
        <v>0</v>
      </c>
      <c r="X93" s="644">
        <f>SUM('IV-2 vrsa'!P45)</f>
        <v>62660</v>
      </c>
      <c r="Y93" s="1017">
        <f>SUM('ketv. 6 '!AB92)</f>
        <v>62660</v>
      </c>
      <c r="Z93" s="1017">
        <f>IF(Y93&gt;0,X93-Y93,0)</f>
        <v>0</v>
      </c>
      <c r="AA93" s="644">
        <f>SUM('IV-2 vrsa'!Q45)</f>
        <v>710144</v>
      </c>
      <c r="AB93" s="1017">
        <f>SUM('IV-2 vrsa'!R73)</f>
        <v>0</v>
      </c>
      <c r="AC93" s="16" t="str">
        <f>IF('ketv. 4 '!Z93&gt;0,"Taip","Ne")</f>
        <v>Taip</v>
      </c>
      <c r="AD93" s="16">
        <f>SUM('ketv. 6 '!AF92)</f>
        <v>710144</v>
      </c>
      <c r="AE93" s="16">
        <f>IF(AD93&gt;0,AA93-AD93,0)</f>
        <v>0</v>
      </c>
      <c r="AF93" s="431">
        <f>SUM('IV-2 vrsa'!S45)</f>
        <v>42639</v>
      </c>
      <c r="AG93" s="337">
        <f>SUM('IV-2 vrsa'!T45)</f>
        <v>42732</v>
      </c>
      <c r="AH93" s="337">
        <f>SUM('IV-2 vrsa'!U45)</f>
        <v>42887</v>
      </c>
      <c r="AI93" s="337">
        <f>SUM('IV-2 vrsa'!V45)</f>
        <v>42993</v>
      </c>
      <c r="AJ93" s="339">
        <f t="shared" ref="AJ93:AJ98" si="108">IF(YEAR(AI93),YEAR(AI93))</f>
        <v>2017</v>
      </c>
      <c r="AK93" s="702">
        <f>SUM('IV-2 vrsa'!W45)</f>
        <v>44196</v>
      </c>
      <c r="AL93" s="16">
        <f t="shared" ref="AL93:AL99" si="109">IF(YEAR(AI93)=2016,AA93,0)</f>
        <v>0</v>
      </c>
      <c r="AM93" s="16">
        <f t="shared" ref="AM93:AM99" si="110">IF(YEAR(AI93)=2017,AA93,0)</f>
        <v>710144</v>
      </c>
      <c r="AN93" s="16">
        <f t="shared" ref="AN93:AN99" si="111">IF(YEAR(AI93)=2018,AA93,0)</f>
        <v>0</v>
      </c>
      <c r="AO93" s="16">
        <f t="shared" ref="AO93:AO99" si="112">IF(YEAR(AI93)=2019,AA93,0)</f>
        <v>0</v>
      </c>
      <c r="AP93" s="703">
        <f t="shared" ref="AP93:AP99" si="113">IF(YEAR(AI93)=2020,AA93,0)</f>
        <v>0</v>
      </c>
      <c r="AQ93" s="340">
        <v>3052809</v>
      </c>
      <c r="AR93" s="30"/>
      <c r="AS93" s="30"/>
    </row>
    <row r="94" spans="1:46" ht="39.75" thickTop="1" thickBot="1">
      <c r="A94" s="311" t="s">
        <v>180</v>
      </c>
      <c r="B94" s="311" t="s">
        <v>1312</v>
      </c>
      <c r="C94" s="1093" t="str">
        <f>CONCATENATE('ketv. 2'!B93)</f>
        <v>06.2.1-TID-R-511-11-0001</v>
      </c>
      <c r="D94" s="311" t="str">
        <f>CONCATENATE('IV-2 amsa'!D35)</f>
        <v>Perspektyvinės gatvės nuo Pramonės g. iki Naujosios g. Alytuje įrengimas</v>
      </c>
      <c r="E94" s="311" t="str">
        <f>CONCATENATE('IV-2 amsa'!E35)</f>
        <v>Alytaus miesto savivaldybės administracija</v>
      </c>
      <c r="F94" s="311" t="str">
        <f>CONCATENATE('IV-2 amsa'!F35)</f>
        <v>Lietuvos Respublikos susisiekimo ministerija</v>
      </c>
      <c r="G94" s="311" t="str">
        <f>CONCATENATE('IV-2 amsa'!G35)</f>
        <v>Alytaus m. sav.</v>
      </c>
      <c r="H94" s="130" t="str">
        <f>CONCATENATE('IV-2 amsa'!H35)</f>
        <v>06.2.1-TID-R-511</v>
      </c>
      <c r="I94" s="130" t="str">
        <f>CONCATENATE('IV-2 amsa'!I35)</f>
        <v>R</v>
      </c>
      <c r="J94" s="130" t="str">
        <f>CONCATENATE('IV-2 amsa'!J35)</f>
        <v>ITI</v>
      </c>
      <c r="K94" s="130" t="str">
        <f>CONCATENATE('IV-2 amsa'!K35)</f>
        <v>-</v>
      </c>
      <c r="L94" s="644">
        <f>SUM('IV-2 amsa'!L35)</f>
        <v>879927.06</v>
      </c>
      <c r="M94" s="1017">
        <f>SUM('ketv. 6 '!L93)</f>
        <v>879927.06</v>
      </c>
      <c r="N94" s="1017">
        <f t="shared" ref="N94" si="114">IF(M94&gt;0,L94-M94,0)</f>
        <v>0</v>
      </c>
      <c r="O94" s="644">
        <f>SUM('IV-2 amsa'!M35)</f>
        <v>131989.06</v>
      </c>
      <c r="P94" s="1017">
        <f>SUM('ketv. 6 '!P93)</f>
        <v>131989.06</v>
      </c>
      <c r="Q94" s="1017">
        <f t="shared" si="107"/>
        <v>0</v>
      </c>
      <c r="R94" s="644">
        <f>SUM('IV-2 amsa'!N35)</f>
        <v>0</v>
      </c>
      <c r="S94" s="1017">
        <f>SUM('ketv. 6 '!T93)</f>
        <v>0</v>
      </c>
      <c r="T94" s="1017">
        <f t="shared" ref="T94" si="115">IF(S94&gt;0,R94-S94,0)</f>
        <v>0</v>
      </c>
      <c r="U94" s="644">
        <f>SUM('IV-2 amsa'!O35)</f>
        <v>0</v>
      </c>
      <c r="V94" s="1017">
        <f>SUM('ketv. 6 '!X93)</f>
        <v>0</v>
      </c>
      <c r="W94" s="1017">
        <f t="shared" ref="W94" si="116">IF(V94&gt;0,U94-V94,0)</f>
        <v>0</v>
      </c>
      <c r="X94" s="644">
        <f>SUM('IV-2 amsa'!P35)</f>
        <v>0</v>
      </c>
      <c r="Y94" s="1017">
        <f>SUM('ketv. 6 '!AB93)</f>
        <v>0</v>
      </c>
      <c r="Z94" s="1017">
        <f t="shared" ref="Z94" si="117">IF(Y94&gt;0,X94-Y94,0)</f>
        <v>0</v>
      </c>
      <c r="AA94" s="644">
        <f>SUM('IV-2 amsa'!Q35)</f>
        <v>747938</v>
      </c>
      <c r="AB94" s="1017">
        <f>SUM('IV-2 vrsa'!R74)</f>
        <v>0</v>
      </c>
      <c r="AC94" s="16" t="str">
        <f>IF('ketv. 4 '!Z94&gt;0,"Taip","Ne")</f>
        <v>Taip</v>
      </c>
      <c r="AD94" s="16">
        <f>SUM('ketv. 6 '!AF93)</f>
        <v>747938</v>
      </c>
      <c r="AE94" s="16">
        <f t="shared" ref="AE94" si="118">IF(AD94&gt;0,AA94-AD94,0)</f>
        <v>0</v>
      </c>
      <c r="AF94" s="431">
        <f>SUM('IV-2 amsa'!S35)</f>
        <v>42639</v>
      </c>
      <c r="AG94" s="337">
        <f>SUM('IV-2 amsa'!T35)</f>
        <v>42732</v>
      </c>
      <c r="AH94" s="337">
        <f>SUM('IV-2 amsa'!U35)</f>
        <v>42855</v>
      </c>
      <c r="AI94" s="337">
        <f>SUM('IV-2 amsa'!V35)</f>
        <v>42931</v>
      </c>
      <c r="AJ94" s="339">
        <f t="shared" si="108"/>
        <v>2017</v>
      </c>
      <c r="AK94" s="702">
        <f>SUM('IV-2 amsa'!W35)</f>
        <v>43465</v>
      </c>
      <c r="AL94" s="16">
        <f t="shared" si="109"/>
        <v>0</v>
      </c>
      <c r="AM94" s="16">
        <f t="shared" si="110"/>
        <v>747938</v>
      </c>
      <c r="AN94" s="16">
        <f t="shared" si="111"/>
        <v>0</v>
      </c>
      <c r="AO94" s="16">
        <f t="shared" si="112"/>
        <v>0</v>
      </c>
      <c r="AP94" s="703">
        <f t="shared" si="113"/>
        <v>0</v>
      </c>
      <c r="AQ94" s="340">
        <f>SUM(AQ92-AQ93)</f>
        <v>-2</v>
      </c>
      <c r="AR94" s="30"/>
      <c r="AS94" s="30"/>
    </row>
    <row r="95" spans="1:46" ht="39.75" thickTop="1" thickBot="1">
      <c r="A95" s="311" t="s">
        <v>213</v>
      </c>
      <c r="B95" s="311" t="s">
        <v>1313</v>
      </c>
      <c r="C95" s="1093" t="str">
        <f>CONCATENATE('ketv. 2'!B94)</f>
        <v>06.2.1-TID-R-511-11-0008</v>
      </c>
      <c r="D95" s="311" t="str">
        <f>CONCATENATE('IV-2 amsa'!D36)</f>
        <v>Saugaus eismo priemonių diegimas Alytaus mieste</v>
      </c>
      <c r="E95" s="311" t="str">
        <f>CONCATENATE('IV-2 amsa'!E36)</f>
        <v>Alytaus miesto savivaldybės administracija</v>
      </c>
      <c r="F95" s="311" t="str">
        <f>CONCATENATE('IV-2 amsa'!F36)</f>
        <v>Lietuvos Respublikos susisiekimo ministerija</v>
      </c>
      <c r="G95" s="311" t="str">
        <f>CONCATENATE('IV-2 amsa'!G36)</f>
        <v>Alytaus m. sav.</v>
      </c>
      <c r="H95" s="130" t="str">
        <f>CONCATENATE('IV-2 amsa'!H36)</f>
        <v>06.2.1-TID-R-511</v>
      </c>
      <c r="I95" s="130" t="str">
        <f>CONCATENATE('IV-2 amsa'!I36)</f>
        <v>R</v>
      </c>
      <c r="J95" s="130" t="str">
        <f>CONCATENATE('IV-2 amsa'!J36)</f>
        <v>-</v>
      </c>
      <c r="K95" s="130" t="str">
        <f>CONCATENATE('IV-2 amsa'!K36)</f>
        <v>-</v>
      </c>
      <c r="L95" s="644">
        <f>SUM('IV-2 amsa'!L36)</f>
        <v>274146.8</v>
      </c>
      <c r="M95" s="1017">
        <f>SUM('ketv. 6 '!L94)</f>
        <v>274146.8</v>
      </c>
      <c r="N95" s="1017">
        <f>IF(M95&gt;0,L95-M95,0)</f>
        <v>0</v>
      </c>
      <c r="O95" s="644">
        <f>SUM('IV-2 amsa'!M36)</f>
        <v>41122.019999999997</v>
      </c>
      <c r="P95" s="1017">
        <f>SUM('ketv. 6 '!P94)</f>
        <v>41122.019999999997</v>
      </c>
      <c r="Q95" s="1017">
        <f t="shared" si="107"/>
        <v>0</v>
      </c>
      <c r="R95" s="644">
        <f>SUM('IV-2 amsa'!N36)</f>
        <v>0</v>
      </c>
      <c r="S95" s="1017">
        <f>SUM('ketv. 6 '!T94)</f>
        <v>0</v>
      </c>
      <c r="T95" s="1017">
        <f>IF(S95&gt;0,R95-S95,0)</f>
        <v>0</v>
      </c>
      <c r="U95" s="644">
        <f>SUM('IV-2 amsa'!O36)</f>
        <v>0</v>
      </c>
      <c r="V95" s="1017">
        <f>SUM('ketv. 6 '!X94)</f>
        <v>0</v>
      </c>
      <c r="W95" s="1017">
        <f>IF(V95&gt;0,U95-V95,0)</f>
        <v>0</v>
      </c>
      <c r="X95" s="644">
        <f>SUM('IV-2 amsa'!P36)</f>
        <v>0</v>
      </c>
      <c r="Y95" s="1017">
        <f>SUM('ketv. 6 '!AB94)</f>
        <v>0</v>
      </c>
      <c r="Z95" s="1017">
        <f>IF(Y95&gt;0,X95-Y95,0)</f>
        <v>0</v>
      </c>
      <c r="AA95" s="644">
        <f>SUM('IV-2 amsa'!Q36)</f>
        <v>233024.78</v>
      </c>
      <c r="AB95" s="1017">
        <f>SUM('IV-2 vrsa'!R75)</f>
        <v>0</v>
      </c>
      <c r="AC95" s="16" t="str">
        <f>IF('ketv. 4 '!Z95&gt;0,"Taip","Ne")</f>
        <v>Taip</v>
      </c>
      <c r="AD95" s="16">
        <f>SUM('ketv. 6 '!AF94)</f>
        <v>233024.78</v>
      </c>
      <c r="AE95" s="16">
        <f>IF(AD95&gt;0,AA95-AD95,0)</f>
        <v>0</v>
      </c>
      <c r="AF95" s="431">
        <f>SUM('IV-2 amsa'!S36)</f>
        <v>42639</v>
      </c>
      <c r="AG95" s="337">
        <f>SUM('IV-2 amsa'!T36)</f>
        <v>42732</v>
      </c>
      <c r="AH95" s="337">
        <f>SUM('IV-2 amsa'!U36)</f>
        <v>43342</v>
      </c>
      <c r="AI95" s="337">
        <f>SUM('IV-2 amsa'!V36)</f>
        <v>43419</v>
      </c>
      <c r="AJ95" s="339">
        <f t="shared" si="108"/>
        <v>2018</v>
      </c>
      <c r="AK95" s="702">
        <f>SUM('IV-2 amsa'!W36)</f>
        <v>43829</v>
      </c>
      <c r="AL95" s="16">
        <f t="shared" si="109"/>
        <v>0</v>
      </c>
      <c r="AM95" s="16">
        <f t="shared" si="110"/>
        <v>0</v>
      </c>
      <c r="AN95" s="16">
        <f t="shared" si="111"/>
        <v>233024.78</v>
      </c>
      <c r="AO95" s="16">
        <f t="shared" si="112"/>
        <v>0</v>
      </c>
      <c r="AP95" s="703">
        <f t="shared" si="113"/>
        <v>0</v>
      </c>
      <c r="AQ95" s="37"/>
      <c r="AR95" s="50"/>
      <c r="AS95" s="30"/>
    </row>
    <row r="96" spans="1:46" ht="39.75" thickTop="1" thickBot="1">
      <c r="A96" s="311" t="s">
        <v>214</v>
      </c>
      <c r="B96" s="311" t="s">
        <v>1314</v>
      </c>
      <c r="C96" s="1093" t="str">
        <f>CONCATENATE('ketv. 2'!B95)</f>
        <v>06.2.1-TID-R-511-11-0006</v>
      </c>
      <c r="D96" s="311" t="str">
        <f>CONCATENATE('IV-2 arsa'!C40)</f>
        <v>Eismo saugos priemonių diegimas Alytaus rajono savivaldybėje</v>
      </c>
      <c r="E96" s="311" t="str">
        <f>CONCATENATE('IV-2 arsa'!D40)</f>
        <v>Alytaus rajono savivaldybės administracija</v>
      </c>
      <c r="F96" s="311" t="str">
        <f>CONCATENATE('IV-2 arsa'!E40)</f>
        <v>Lietuvos Respublikos susisiekimo ministerija</v>
      </c>
      <c r="G96" s="311" t="str">
        <f>CONCATENATE('IV-2 arsa'!F40)</f>
        <v>Alytaus r. sav.</v>
      </c>
      <c r="H96" s="130" t="str">
        <f>CONCATENATE('IV-2 arsa'!G40)</f>
        <v>06.2.1-TID-R-511</v>
      </c>
      <c r="I96" s="130" t="str">
        <f>CONCATENATE('IV-2 arsa'!H40)</f>
        <v>R</v>
      </c>
      <c r="J96" s="130" t="str">
        <f>CONCATENATE('IV-2 arsa'!I40)</f>
        <v>-</v>
      </c>
      <c r="K96" s="130" t="str">
        <f>CONCATENATE('IV-2 arsa'!J40)</f>
        <v>-</v>
      </c>
      <c r="L96" s="644">
        <f>SUM('IV-2 arsa'!K40)</f>
        <v>274817.98</v>
      </c>
      <c r="M96" s="1017">
        <f>SUM('ketv. 6 '!L95)</f>
        <v>274817.98</v>
      </c>
      <c r="N96" s="1017">
        <f>IF(M96&gt;0,L96-M96,0)</f>
        <v>0</v>
      </c>
      <c r="O96" s="644">
        <f>SUM('IV-2 arsa'!L40)</f>
        <v>73973.98</v>
      </c>
      <c r="P96" s="1017">
        <f>SUM('ketv. 6 '!P95)</f>
        <v>73973.98</v>
      </c>
      <c r="Q96" s="1017">
        <f t="shared" si="107"/>
        <v>0</v>
      </c>
      <c r="R96" s="644">
        <f>SUM('IV-2 arsa'!M40)</f>
        <v>0</v>
      </c>
      <c r="S96" s="1017">
        <f>SUM('ketv. 6 '!T95)</f>
        <v>0</v>
      </c>
      <c r="T96" s="1017">
        <f>IF(S96&gt;0,R96-S96,0)</f>
        <v>0</v>
      </c>
      <c r="U96" s="644">
        <f>SUM('IV-2 arsa'!N40)</f>
        <v>0</v>
      </c>
      <c r="V96" s="1017">
        <f>SUM('ketv. 6 '!X95)</f>
        <v>0</v>
      </c>
      <c r="W96" s="1017">
        <f>IF(V96&gt;0,U96-V96,0)</f>
        <v>0</v>
      </c>
      <c r="X96" s="644">
        <f>SUM('IV-2 arsa'!O40)</f>
        <v>0</v>
      </c>
      <c r="Y96" s="1017">
        <f>SUM('ketv. 6 '!AB95)</f>
        <v>0</v>
      </c>
      <c r="Z96" s="1017">
        <f>IF(Y96&gt;0,X96-Y96,0)</f>
        <v>0</v>
      </c>
      <c r="AA96" s="644">
        <f>SUM('IV-2 arsa'!P40)</f>
        <v>200844</v>
      </c>
      <c r="AB96" s="1017">
        <f>SUM('IV-2 vrsa'!R76)</f>
        <v>0</v>
      </c>
      <c r="AC96" s="16" t="str">
        <f>IF('ketv. 4 '!Z96&gt;0,"Taip","Ne")</f>
        <v>Taip</v>
      </c>
      <c r="AD96" s="16">
        <f>SUM('ketv. 6 '!AF95)</f>
        <v>200844</v>
      </c>
      <c r="AE96" s="16">
        <f>IF(AD96&gt;0,AA96-AD96,0)</f>
        <v>0</v>
      </c>
      <c r="AF96" s="431">
        <f>SUM('IV-2 arsa'!R40)</f>
        <v>42639</v>
      </c>
      <c r="AG96" s="337">
        <f>SUM('IV-2 arsa'!S40)</f>
        <v>42735</v>
      </c>
      <c r="AH96" s="337">
        <f>SUM('IV-2 arsa'!T40)</f>
        <v>43281</v>
      </c>
      <c r="AI96" s="337">
        <f>SUM('IV-2 arsa'!U40)</f>
        <v>43373</v>
      </c>
      <c r="AJ96" s="339">
        <f t="shared" si="108"/>
        <v>2018</v>
      </c>
      <c r="AK96" s="702">
        <f>SUM('IV-2 arsa'!V40)</f>
        <v>43738</v>
      </c>
      <c r="AL96" s="16">
        <f t="shared" si="109"/>
        <v>0</v>
      </c>
      <c r="AM96" s="16">
        <f t="shared" si="110"/>
        <v>0</v>
      </c>
      <c r="AN96" s="16">
        <f t="shared" si="111"/>
        <v>200844</v>
      </c>
      <c r="AO96" s="16">
        <f t="shared" si="112"/>
        <v>0</v>
      </c>
      <c r="AP96" s="703">
        <f t="shared" si="113"/>
        <v>0</v>
      </c>
      <c r="AQ96" s="50"/>
      <c r="AR96" s="30"/>
      <c r="AS96" s="30"/>
    </row>
    <row r="97" spans="1:45" ht="39.75" thickTop="1" thickBot="1">
      <c r="A97" s="311" t="s">
        <v>244</v>
      </c>
      <c r="B97" s="311" t="s">
        <v>1315</v>
      </c>
      <c r="C97" s="1093" t="str">
        <f>CONCATENATE('ketv. 2'!B96)</f>
        <v>06.2.1-TID-R-511-11-0007</v>
      </c>
      <c r="D97" s="311" t="str">
        <f>CONCATENATE('IV-2 dsa'!C42)</f>
        <v>M.K. Čiurlionio gatvės atkarpos Druskininkų m. rekonstrukcija</v>
      </c>
      <c r="E97" s="311" t="str">
        <f>CONCATENATE('IV-2 dsa'!D42)</f>
        <v xml:space="preserve">Druskininkų savivaldybės administracija  </v>
      </c>
      <c r="F97" s="311" t="str">
        <f>CONCATENATE('IV-2 dsa'!E42)</f>
        <v>Lietuvos Respublikos susisiekimo ministerija</v>
      </c>
      <c r="G97" s="311" t="str">
        <f>CONCATENATE('IV-2 dsa'!F42)</f>
        <v>Druskininkų sav.</v>
      </c>
      <c r="H97" s="130" t="str">
        <f>CONCATENATE('IV-2 dsa'!G42)</f>
        <v>06.2.1-TID-R-511</v>
      </c>
      <c r="I97" s="130" t="str">
        <f>CONCATENATE('IV-2 dsa'!H42)</f>
        <v>R</v>
      </c>
      <c r="J97" s="130" t="str">
        <f>CONCATENATE('IV-2 dsa'!I42)</f>
        <v>ITI</v>
      </c>
      <c r="K97" s="130" t="str">
        <f>CONCATENATE('IV-2 dsa'!J42)</f>
        <v>-</v>
      </c>
      <c r="L97" s="644">
        <f>SUM('IV-2 dsa'!K42)</f>
        <v>1156237</v>
      </c>
      <c r="M97" s="1017">
        <f>SUM('ketv. 6 '!L96)</f>
        <v>916566.48</v>
      </c>
      <c r="N97" s="1017">
        <f>IF(M97&gt;0,L97-M97,0)</f>
        <v>239670.52000000002</v>
      </c>
      <c r="O97" s="644">
        <f>SUM('IV-2 dsa'!L42)</f>
        <v>771588</v>
      </c>
      <c r="P97" s="1017">
        <f>SUM('ketv. 6 '!P96)</f>
        <v>570382.38</v>
      </c>
      <c r="Q97" s="1017">
        <f t="shared" si="107"/>
        <v>201205.62</v>
      </c>
      <c r="R97" s="644">
        <f>SUM('IV-2 dsa'!M42)</f>
        <v>0</v>
      </c>
      <c r="S97" s="1017">
        <f>SUM('ketv. 6 '!T96)</f>
        <v>0</v>
      </c>
      <c r="T97" s="1017">
        <f>IF(S97&gt;0,R97-S97,0)</f>
        <v>0</v>
      </c>
      <c r="U97" s="644">
        <f>SUM('IV-2 dsa'!N42)</f>
        <v>0</v>
      </c>
      <c r="V97" s="1017">
        <f>SUM('ketv. 6 '!X96)</f>
        <v>0</v>
      </c>
      <c r="W97" s="1017">
        <f>IF(V97&gt;0,U97-V97,0)</f>
        <v>0</v>
      </c>
      <c r="X97" s="644">
        <f>SUM('IV-2 dsa'!O42)</f>
        <v>0</v>
      </c>
      <c r="Y97" s="1017">
        <f>SUM('ketv. 6 '!AB96)</f>
        <v>0</v>
      </c>
      <c r="Z97" s="1017">
        <f>IF(Y97&gt;0,X97-Y97,0)</f>
        <v>0</v>
      </c>
      <c r="AA97" s="644">
        <f>SUM('IV-2 dsa'!P42)</f>
        <v>384649</v>
      </c>
      <c r="AB97" s="1017">
        <f>SUM('IV-2 vrsa'!R77)</f>
        <v>0</v>
      </c>
      <c r="AC97" s="16" t="str">
        <f>IF('ketv. 4 '!Z97&gt;0,"Taip","Ne")</f>
        <v>Taip</v>
      </c>
      <c r="AD97" s="16">
        <f>SUM('ketv. 6 '!AF96)</f>
        <v>346184.1</v>
      </c>
      <c r="AE97" s="16">
        <f>IF(AD97&gt;0,AA97-AD97,0)</f>
        <v>38464.900000000023</v>
      </c>
      <c r="AF97" s="431">
        <f>SUM('IV-2 dsa'!R42)</f>
        <v>42639</v>
      </c>
      <c r="AG97" s="337">
        <f>SUM('IV-2 dsa'!S42)</f>
        <v>42732</v>
      </c>
      <c r="AH97" s="337">
        <f>SUM('IV-2 dsa'!T42)</f>
        <v>43326</v>
      </c>
      <c r="AI97" s="337">
        <f>SUM('IV-2 dsa'!U42)</f>
        <v>43419</v>
      </c>
      <c r="AJ97" s="339">
        <f t="shared" si="108"/>
        <v>2018</v>
      </c>
      <c r="AK97" s="702">
        <f>SUM('IV-2 dsa'!V42)</f>
        <v>43830</v>
      </c>
      <c r="AL97" s="16">
        <f t="shared" si="109"/>
        <v>0</v>
      </c>
      <c r="AM97" s="16">
        <f t="shared" si="110"/>
        <v>0</v>
      </c>
      <c r="AN97" s="16">
        <f t="shared" si="111"/>
        <v>384649</v>
      </c>
      <c r="AO97" s="16">
        <f t="shared" si="112"/>
        <v>0</v>
      </c>
      <c r="AP97" s="703">
        <f t="shared" si="113"/>
        <v>0</v>
      </c>
      <c r="AQ97" s="50"/>
      <c r="AR97" s="30"/>
      <c r="AS97" s="30"/>
    </row>
    <row r="98" spans="1:45" ht="39" thickBot="1">
      <c r="A98" s="311" t="s">
        <v>245</v>
      </c>
      <c r="B98" s="311" t="s">
        <v>1316</v>
      </c>
      <c r="C98" s="130" t="str">
        <f>CONCATENATE('ketv. 2'!B97)</f>
        <v>06.2.1-TID-R-511-11-0004</v>
      </c>
      <c r="D98" s="311" t="str">
        <f>CONCATENATE('IV-2 lrsa'!D40)</f>
        <v>Lazdijų miesto Seinų ir Lazdijos gatvių bei vietinės reikšmės kelio nuo Janonio gatvės iki Lazdijų hipodromo rekonstravimas</v>
      </c>
      <c r="E98" s="311" t="str">
        <f>CONCATENATE('IV-2 lrsa'!E40)</f>
        <v>Lazdijų rajono savivaldybės administracija</v>
      </c>
      <c r="F98" s="311" t="str">
        <f>CONCATENATE('IV-2 lrsa'!F40)</f>
        <v>Lietuvos Respublikos susisiekimo ministerija</v>
      </c>
      <c r="G98" s="311" t="str">
        <f>CONCATENATE('IV-2 lrsa'!G40)</f>
        <v>Lazdijų r. sav.</v>
      </c>
      <c r="H98" s="130" t="str">
        <f>CONCATENATE('IV-2 lrsa'!H40)</f>
        <v>06.2.1-TID-R-511</v>
      </c>
      <c r="I98" s="130" t="str">
        <f>CONCATENATE('IV-2 lrsa'!I40)</f>
        <v>R</v>
      </c>
      <c r="J98" s="130" t="str">
        <f>CONCATENATE('IV-2 lrsa'!J40)</f>
        <v>ITI</v>
      </c>
      <c r="K98" s="130" t="str">
        <f>CONCATENATE('IV-2 lrsa'!K40)</f>
        <v>-</v>
      </c>
      <c r="L98" s="644">
        <f>SUM('IV-2 lrsa'!L40)</f>
        <v>759934</v>
      </c>
      <c r="M98" s="1017">
        <f>SUM('ketv. 6 '!L97)</f>
        <v>759934</v>
      </c>
      <c r="N98" s="1017">
        <f>IF(M98&gt;0,L98-M98,0)</f>
        <v>0</v>
      </c>
      <c r="O98" s="644">
        <f>SUM('IV-2 lrsa'!M40)</f>
        <v>113990</v>
      </c>
      <c r="P98" s="1017">
        <f>SUM('ketv. 6 '!P97)</f>
        <v>113990</v>
      </c>
      <c r="Q98" s="1017">
        <f t="shared" si="107"/>
        <v>0</v>
      </c>
      <c r="R98" s="644">
        <f>SUM('IV-2 lrsa'!N40)</f>
        <v>0</v>
      </c>
      <c r="S98" s="1017">
        <f>SUM('ketv. 6 '!T97)</f>
        <v>0</v>
      </c>
      <c r="T98" s="1017">
        <f>IF(S98&gt;0,R98-S98,0)</f>
        <v>0</v>
      </c>
      <c r="U98" s="644">
        <f>SUM('IV-2 lrsa'!O40)</f>
        <v>0</v>
      </c>
      <c r="V98" s="1017">
        <f>SUM('ketv. 6 '!X97)</f>
        <v>0</v>
      </c>
      <c r="W98" s="1017">
        <f>IF(V98&gt;0,U98-V98,0)</f>
        <v>0</v>
      </c>
      <c r="X98" s="644">
        <f>SUM('IV-2 lrsa'!P40)</f>
        <v>0</v>
      </c>
      <c r="Y98" s="1017">
        <f>SUM('ketv. 6 '!AB97)</f>
        <v>0</v>
      </c>
      <c r="Z98" s="1017">
        <f>IF(Y98&gt;0,X98-Y98,0)</f>
        <v>0</v>
      </c>
      <c r="AA98" s="644">
        <f>SUM('IV-2 lrsa'!Q40)</f>
        <v>645944</v>
      </c>
      <c r="AB98" s="1017">
        <f>SUM('IV-2 vrsa'!R78)</f>
        <v>0</v>
      </c>
      <c r="AC98" s="16" t="str">
        <f>IF('ketv. 4 '!Z98&gt;0,"Taip","Ne")</f>
        <v>Taip</v>
      </c>
      <c r="AD98" s="16">
        <f>SUM('ketv. 6 '!AF97)</f>
        <v>645944</v>
      </c>
      <c r="AE98" s="16">
        <f>IF(AD98&gt;0,AA98-AD98,0)</f>
        <v>0</v>
      </c>
      <c r="AF98" s="431">
        <f>SUM('IV-2 lrsa'!S40)</f>
        <v>42639</v>
      </c>
      <c r="AG98" s="337">
        <f>SUM('IV-2 lrsa'!T40)</f>
        <v>42732</v>
      </c>
      <c r="AH98" s="337">
        <f>SUM('IV-2 lrsa'!U40)</f>
        <v>43130</v>
      </c>
      <c r="AI98" s="337">
        <f>SUM('IV-2 lrsa'!V40)</f>
        <v>43217</v>
      </c>
      <c r="AJ98" s="339">
        <f t="shared" si="108"/>
        <v>2018</v>
      </c>
      <c r="AK98" s="702">
        <f>SUM('IV-2 lrsa'!W40)</f>
        <v>43830</v>
      </c>
      <c r="AL98" s="16">
        <f t="shared" si="109"/>
        <v>0</v>
      </c>
      <c r="AM98" s="16">
        <f t="shared" si="110"/>
        <v>0</v>
      </c>
      <c r="AN98" s="16">
        <f t="shared" si="111"/>
        <v>645944</v>
      </c>
      <c r="AO98" s="16">
        <f t="shared" si="112"/>
        <v>0</v>
      </c>
      <c r="AP98" s="703">
        <f t="shared" si="113"/>
        <v>0</v>
      </c>
      <c r="AQ98" s="30"/>
      <c r="AR98" s="30"/>
      <c r="AS98" s="30"/>
    </row>
    <row r="99" spans="1:45" ht="38.25" customHeight="1" thickBot="1">
      <c r="A99" s="311" t="s">
        <v>1392</v>
      </c>
      <c r="B99" s="311" t="s">
        <v>1393</v>
      </c>
      <c r="C99" s="723"/>
      <c r="D99" s="311" t="str">
        <f>CONCATENATE('IV-2 dsa'!C43)</f>
        <v>Eismo saugumo priemonių diegimas Druskininkų savivaldybėje</v>
      </c>
      <c r="E99" s="311" t="str">
        <f>CONCATENATE('IV-2 dsa'!D43)</f>
        <v xml:space="preserve">Druskininkų savivaldybės administracija  </v>
      </c>
      <c r="F99" s="311" t="str">
        <f>CONCATENATE('IV-2 dsa'!E43)</f>
        <v>Lietuvos Respublikos susisiekimo ministerija</v>
      </c>
      <c r="G99" s="311" t="str">
        <f>CONCATENATE('IV-2 dsa'!F43)</f>
        <v>Druskininkų sav.</v>
      </c>
      <c r="H99" s="130" t="str">
        <f>CONCATENATE('IV-2 dsa'!G43)</f>
        <v>06.2.1-TID-R-511</v>
      </c>
      <c r="I99" s="130" t="str">
        <f>CONCATENATE('IV-2 dsa'!H43)</f>
        <v>R</v>
      </c>
      <c r="J99" s="130" t="str">
        <f>CONCATENATE('IV-2 dsa'!I43)</f>
        <v>-</v>
      </c>
      <c r="K99" s="130" t="str">
        <f>CONCATENATE('IV-2 dsa'!J43)</f>
        <v>-</v>
      </c>
      <c r="L99" s="644">
        <f>SUM('IV-2 dsa'!K43)</f>
        <v>135352</v>
      </c>
      <c r="M99" s="1017">
        <f>SUM('ketv. 6 '!L99)</f>
        <v>12418617.129999999</v>
      </c>
      <c r="N99" s="1017">
        <f>IF(M99&gt;0,L99-M99,0)</f>
        <v>-12283265.129999999</v>
      </c>
      <c r="O99" s="644">
        <f>SUM('IV-2 dsa'!L43)</f>
        <v>22363</v>
      </c>
      <c r="P99" s="1017">
        <f>SUM('ketv. 6 '!P99)</f>
        <v>1819038.3</v>
      </c>
      <c r="Q99" s="1017">
        <f t="shared" si="107"/>
        <v>-1796675.3</v>
      </c>
      <c r="R99" s="644">
        <f>SUM('IV-2 dsa'!M43)</f>
        <v>0</v>
      </c>
      <c r="S99" s="1017">
        <f>SUM('ketv. 6 '!T99)</f>
        <v>410243.26999999996</v>
      </c>
      <c r="T99" s="1017">
        <f>IF(S99&gt;0,R99-S99,0)</f>
        <v>-410243.26999999996</v>
      </c>
      <c r="U99" s="644">
        <f>SUM('IV-2 dsa'!N43)</f>
        <v>0</v>
      </c>
      <c r="V99" s="1017">
        <f>SUM('ketv. 6 '!X99)</f>
        <v>46858.02</v>
      </c>
      <c r="W99" s="1017">
        <f>IF(V99&gt;0,U99-V99,0)</f>
        <v>-46858.02</v>
      </c>
      <c r="X99" s="644">
        <f>SUM('IV-2 dsa'!O43)</f>
        <v>0</v>
      </c>
      <c r="Y99" s="1017">
        <f>SUM('ketv. 6 '!AB99)</f>
        <v>73670.34</v>
      </c>
      <c r="Z99" s="1017">
        <f>IF(Y99&gt;0,X99-Y99,0)</f>
        <v>-73670.34</v>
      </c>
      <c r="AA99" s="644">
        <f>SUM('IV-2 dsa'!P43)</f>
        <v>112989</v>
      </c>
      <c r="AB99" s="1017">
        <f>SUM('IV-2 vrsa'!R79)</f>
        <v>0</v>
      </c>
      <c r="AC99" s="16" t="str">
        <f>IF('ketv. 4 '!Z99&gt;0,"Taip","Ne")</f>
        <v>Taip</v>
      </c>
      <c r="AD99" s="16">
        <f>SUM('ketv. 6 '!AF98)</f>
        <v>112989</v>
      </c>
      <c r="AE99" s="16">
        <f>IF(AD99&gt;0,AA99-AD99,0)</f>
        <v>0</v>
      </c>
      <c r="AF99" s="431">
        <f>SUM('IV-2 dsa'!R43)</f>
        <v>43404</v>
      </c>
      <c r="AG99" s="337">
        <f>SUM('IV-2 dsa'!S43)</f>
        <v>43404</v>
      </c>
      <c r="AH99" s="337">
        <f>SUM('IV-2 dsa'!T43)</f>
        <v>43496</v>
      </c>
      <c r="AI99" s="337">
        <f>SUM('IV-2 dsa'!U43)</f>
        <v>43585</v>
      </c>
      <c r="AJ99" s="339">
        <f t="shared" ref="AJ99" si="119">IF(YEAR(AI99),YEAR(AI99))</f>
        <v>2019</v>
      </c>
      <c r="AK99" s="702">
        <f>SUM('IV-2 dsa'!V43)</f>
        <v>43830</v>
      </c>
      <c r="AL99" s="16">
        <f t="shared" si="109"/>
        <v>0</v>
      </c>
      <c r="AM99" s="16">
        <f t="shared" si="110"/>
        <v>0</v>
      </c>
      <c r="AN99" s="16">
        <f t="shared" si="111"/>
        <v>0</v>
      </c>
      <c r="AO99" s="16">
        <f t="shared" si="112"/>
        <v>112989</v>
      </c>
      <c r="AP99" s="703">
        <f t="shared" si="113"/>
        <v>0</v>
      </c>
      <c r="AQ99" s="30"/>
      <c r="AR99" s="30"/>
      <c r="AS99" s="30"/>
    </row>
    <row r="100" spans="1:45" ht="37.5" customHeight="1" thickBot="1">
      <c r="A100" s="724" t="s">
        <v>27</v>
      </c>
      <c r="B100" s="1906" t="s">
        <v>1475</v>
      </c>
      <c r="C100" s="1894"/>
      <c r="D100" s="1894"/>
      <c r="E100" s="1894"/>
      <c r="F100" s="1894"/>
      <c r="G100" s="1894"/>
      <c r="H100" s="1894"/>
      <c r="I100" s="1894"/>
      <c r="J100" s="1894"/>
      <c r="K100" s="1895"/>
      <c r="L100" s="1052">
        <f>SUM(L101+L120+L147+L160)</f>
        <v>12592963.76</v>
      </c>
      <c r="M100" s="1030"/>
      <c r="N100" s="1030"/>
      <c r="O100" s="1052">
        <f>SUM(O101+O120+O147+O160)</f>
        <v>1894321.69</v>
      </c>
      <c r="P100" s="1030"/>
      <c r="Q100" s="1030"/>
      <c r="R100" s="1052">
        <f>SUM(R101+R120+R147+R160)</f>
        <v>411944.43</v>
      </c>
      <c r="S100" s="1030"/>
      <c r="T100" s="1030"/>
      <c r="U100" s="1052">
        <f>SUM(U101+U120+U147+U160)</f>
        <v>40107.979999999996</v>
      </c>
      <c r="V100" s="1030"/>
      <c r="W100" s="1030"/>
      <c r="X100" s="1052">
        <f>SUM(X101+X120+X147+X160)</f>
        <v>1299.95</v>
      </c>
      <c r="Y100" s="1030"/>
      <c r="Z100" s="1030"/>
      <c r="AA100" s="1052">
        <f>SUM(AA101+AA120+AA147+AA160)</f>
        <v>10245289.709999999</v>
      </c>
      <c r="AB100" s="1030">
        <f>SUM('IV-2 vrsa'!R80)</f>
        <v>0</v>
      </c>
      <c r="AC100" s="726"/>
      <c r="AD100" s="726"/>
      <c r="AE100" s="726"/>
      <c r="AF100" s="726"/>
      <c r="AG100" s="727"/>
      <c r="AH100" s="727"/>
      <c r="AI100" s="727"/>
      <c r="AJ100" s="728"/>
      <c r="AK100" s="729"/>
      <c r="AL100" s="16"/>
      <c r="AM100" s="692"/>
      <c r="AN100" s="692"/>
      <c r="AO100" s="692"/>
      <c r="AP100" s="692"/>
      <c r="AQ100" s="30">
        <f>SUM(AQ101+AQ120+AQ147+AQ160)</f>
        <v>7025923.8915733965</v>
      </c>
      <c r="AR100" s="30">
        <f>SUM(AR101+AR120+AR147+AR160)</f>
        <v>8431108.6698880754</v>
      </c>
      <c r="AS100" s="30">
        <f>SUM(AS101+AS120+AS147+AS160)</f>
        <v>242130.8718421642</v>
      </c>
    </row>
    <row r="101" spans="1:45" ht="54" customHeight="1" thickBot="1">
      <c r="A101" s="824" t="s">
        <v>28</v>
      </c>
      <c r="B101" s="1893" t="s">
        <v>1476</v>
      </c>
      <c r="C101" s="1894"/>
      <c r="D101" s="1894"/>
      <c r="E101" s="1894"/>
      <c r="F101" s="1894"/>
      <c r="G101" s="1894"/>
      <c r="H101" s="1894"/>
      <c r="I101" s="1894"/>
      <c r="J101" s="1894"/>
      <c r="K101" s="1895"/>
      <c r="L101" s="1053">
        <f t="shared" ref="L101:AA101" si="120">SUM(L102+L108+L114)</f>
        <v>4776867.3599999994</v>
      </c>
      <c r="M101" s="1021"/>
      <c r="N101" s="1021"/>
      <c r="O101" s="1053">
        <f t="shared" si="120"/>
        <v>808633.36</v>
      </c>
      <c r="P101" s="1021"/>
      <c r="Q101" s="1021"/>
      <c r="R101" s="1053">
        <f t="shared" si="120"/>
        <v>201262</v>
      </c>
      <c r="S101" s="1021"/>
      <c r="T101" s="1021"/>
      <c r="U101" s="1053">
        <f t="shared" si="120"/>
        <v>0</v>
      </c>
      <c r="V101" s="1021"/>
      <c r="W101" s="1021"/>
      <c r="X101" s="1053">
        <f t="shared" si="120"/>
        <v>0</v>
      </c>
      <c r="Y101" s="1021"/>
      <c r="Z101" s="1021"/>
      <c r="AA101" s="1053">
        <f t="shared" si="120"/>
        <v>3766972</v>
      </c>
      <c r="AB101" s="1021">
        <f>SUM('IV-2 vrsa'!R81)</f>
        <v>0</v>
      </c>
      <c r="AC101" s="122"/>
      <c r="AD101" s="122"/>
      <c r="AE101" s="122"/>
      <c r="AF101" s="122"/>
      <c r="AG101" s="730"/>
      <c r="AH101" s="730"/>
      <c r="AI101" s="730"/>
      <c r="AJ101" s="731"/>
      <c r="AK101" s="732"/>
      <c r="AL101" s="16"/>
      <c r="AM101" s="692"/>
      <c r="AN101" s="692"/>
      <c r="AO101" s="692"/>
      <c r="AP101" s="692"/>
      <c r="AQ101" s="30">
        <f>SUM(AQ102+AQ108+AQ114)</f>
        <v>3957161.2915733964</v>
      </c>
      <c r="AR101" s="30">
        <f>SUM(AR102+AR108+AR114)</f>
        <v>4748593.5498880753</v>
      </c>
      <c r="AS101" s="30">
        <f>SUM(AS102+AS108+AS114)</f>
        <v>190189.29157339642</v>
      </c>
    </row>
    <row r="102" spans="1:45" ht="29.25" customHeight="1" thickBot="1">
      <c r="A102" s="718" t="s">
        <v>96</v>
      </c>
      <c r="B102" s="1896" t="s">
        <v>1477</v>
      </c>
      <c r="C102" s="1897"/>
      <c r="D102" s="1897"/>
      <c r="E102" s="1897"/>
      <c r="F102" s="1897"/>
      <c r="G102" s="1897"/>
      <c r="H102" s="1897"/>
      <c r="I102" s="1897"/>
      <c r="J102" s="1897"/>
      <c r="K102" s="1898"/>
      <c r="L102" s="1054">
        <f>SUM(L103:L107)</f>
        <v>1343975.4100000001</v>
      </c>
      <c r="M102" s="1014">
        <f>SUM(M103:M107)</f>
        <v>1343975.4100000001</v>
      </c>
      <c r="N102" s="1014">
        <f>SUM(N103:N107)</f>
        <v>0</v>
      </c>
      <c r="O102" s="1054">
        <f t="shared" ref="O102" si="121">SUM(O103:O107)</f>
        <v>100799.41</v>
      </c>
      <c r="P102" s="1014">
        <f>SUM(P103:P107)</f>
        <v>100799.41</v>
      </c>
      <c r="Q102" s="1014">
        <f>SUM(Q103:Q107)</f>
        <v>0</v>
      </c>
      <c r="R102" s="1054">
        <f t="shared" ref="R102" si="122">SUM(R103:R107)</f>
        <v>100799</v>
      </c>
      <c r="S102" s="1014">
        <f>SUM(S103:S107)</f>
        <v>100799</v>
      </c>
      <c r="T102" s="1014">
        <f>SUM(T103:T107)</f>
        <v>0</v>
      </c>
      <c r="U102" s="1054">
        <f t="shared" ref="U102" si="123">SUM(U103:U107)</f>
        <v>0</v>
      </c>
      <c r="V102" s="1014">
        <f>SUM(V103:V107)</f>
        <v>0</v>
      </c>
      <c r="W102" s="1014">
        <f>SUM(W103:W107)</f>
        <v>0</v>
      </c>
      <c r="X102" s="1054">
        <f t="shared" ref="X102" si="124">SUM(X103:X107)</f>
        <v>0</v>
      </c>
      <c r="Y102" s="1014">
        <f>SUM(Y103:Y107)</f>
        <v>0</v>
      </c>
      <c r="Z102" s="1014">
        <f>SUM(Z103:Z107)</f>
        <v>0</v>
      </c>
      <c r="AA102" s="1054">
        <f t="shared" ref="AA102" si="125">SUM(AA103:AA107)</f>
        <v>1142377</v>
      </c>
      <c r="AB102" s="1014">
        <f>SUM('IV-2 vrsa'!R82)</f>
        <v>0</v>
      </c>
      <c r="AC102" s="708"/>
      <c r="AD102" s="708">
        <f>SUM(AD103:AD107)</f>
        <v>1142377</v>
      </c>
      <c r="AE102" s="708">
        <f>SUM(AE103:AE107)</f>
        <v>0</v>
      </c>
      <c r="AF102" s="708"/>
      <c r="AG102" s="709"/>
      <c r="AH102" s="709"/>
      <c r="AI102" s="709"/>
      <c r="AJ102" s="710"/>
      <c r="AK102" s="711"/>
      <c r="AL102" s="16">
        <f>SUM(AL103:AL107)</f>
        <v>0</v>
      </c>
      <c r="AM102" s="16">
        <f t="shared" ref="AM102:AP102" si="126">SUM(AM103:AM107)</f>
        <v>139295</v>
      </c>
      <c r="AN102" s="16">
        <f t="shared" si="126"/>
        <v>1003082</v>
      </c>
      <c r="AO102" s="16">
        <f t="shared" si="126"/>
        <v>0</v>
      </c>
      <c r="AP102" s="16">
        <f t="shared" si="126"/>
        <v>0</v>
      </c>
      <c r="AQ102" s="30">
        <f>SUM('IV-2 amsa'!X39+'IV-2 arsa'!W43+'IV-2 dsa'!W46+'IV-2 lrsa'!X43+'IV-2 vrsa'!X48)</f>
        <v>1142377</v>
      </c>
      <c r="AR102" s="30">
        <f>SUM(AQ102*120/100)</f>
        <v>1370852.4</v>
      </c>
      <c r="AS102" s="30">
        <f>SUM(AQ102-AA102)</f>
        <v>0</v>
      </c>
    </row>
    <row r="103" spans="1:45" ht="51.75" thickBot="1">
      <c r="A103" s="311" t="s">
        <v>98</v>
      </c>
      <c r="B103" s="311" t="s">
        <v>1317</v>
      </c>
      <c r="C103" s="314" t="str">
        <f>CONCATENATE('ketv. 2'!B102)</f>
        <v>09.1.3-CPVA-R-724-11-0003</v>
      </c>
      <c r="D103" s="311" t="str">
        <f>CONCATENATE('IV-2 vrsa'!D49)</f>
        <v>Varėnos r. Merkinės Vinco Krėvės gimnazijos laisvų patalpų pritaikymas ikimokyklinio ir priešmokyklinio ugdymo grupėms įrengti</v>
      </c>
      <c r="E103" s="311" t="str">
        <f>CONCATENATE('IV-2 vrsa'!E49)</f>
        <v>Varėnos rajono savivaldybės administracija</v>
      </c>
      <c r="F103" s="311" t="str">
        <f>CONCATENATE('IV-2 vrsa'!F49)</f>
        <v>Lietuvos Respublikos švietimo ir mokslo ministerija</v>
      </c>
      <c r="G103" s="311" t="str">
        <f>CONCATENATE('IV-2 vrsa'!G49)</f>
        <v>Varėnos r. sav.</v>
      </c>
      <c r="H103" s="130" t="str">
        <f>CONCATENATE('IV-2 vrsa'!H49)</f>
        <v>09.1.3-CPVA-R-724</v>
      </c>
      <c r="I103" s="130" t="str">
        <f>CONCATENATE('IV-2 vrsa'!I49)</f>
        <v>R</v>
      </c>
      <c r="J103" s="130" t="str">
        <f>CONCATENATE('IV-2 vrsa'!J49)</f>
        <v>-</v>
      </c>
      <c r="K103" s="130" t="str">
        <f>CONCATENATE('IV-2 vrsa'!K49)</f>
        <v>-</v>
      </c>
      <c r="L103" s="644">
        <f>SUM('IV-2 vrsa'!L49)</f>
        <v>220453</v>
      </c>
      <c r="M103" s="644">
        <f>SUM('ketv. 6 '!L102)</f>
        <v>220453</v>
      </c>
      <c r="N103" s="644">
        <f>IF(M103&gt;0,L103-M103,0)</f>
        <v>0</v>
      </c>
      <c r="O103" s="644">
        <f>SUM('IV-2 vrsa'!M49)</f>
        <v>16534</v>
      </c>
      <c r="P103" s="644">
        <f>SUM('ketv. 6 '!P102)</f>
        <v>16534</v>
      </c>
      <c r="Q103" s="644">
        <f>IF(P103&gt;0,O103-P103,0)</f>
        <v>0</v>
      </c>
      <c r="R103" s="644">
        <f>SUM('IV-2 vrsa'!N49)</f>
        <v>16534</v>
      </c>
      <c r="S103" s="644">
        <f>SUM('ketv. 6 '!T102)</f>
        <v>16534</v>
      </c>
      <c r="T103" s="644">
        <f>IF(S103&gt;0,R103-S103,0)</f>
        <v>0</v>
      </c>
      <c r="U103" s="644">
        <f>SUM('IV-2 vrsa'!O49)</f>
        <v>0</v>
      </c>
      <c r="V103" s="644">
        <f>SUM('ketv. 6 '!X102)</f>
        <v>0</v>
      </c>
      <c r="W103" s="644">
        <f>IF(V103&gt;0,U103-V103,0)</f>
        <v>0</v>
      </c>
      <c r="X103" s="644">
        <f>SUM('IV-2 vrsa'!P49)</f>
        <v>0</v>
      </c>
      <c r="Y103" s="644">
        <f>SUM('ketv. 6 '!AB102)</f>
        <v>0</v>
      </c>
      <c r="Z103" s="644">
        <f>IF(Y103&gt;0,X103-Y103,0)</f>
        <v>0</v>
      </c>
      <c r="AA103" s="644">
        <f>SUM('IV-2 vrsa'!Q49)</f>
        <v>187385</v>
      </c>
      <c r="AB103" s="644">
        <f>SUM('IV-2 vrsa'!R83)</f>
        <v>0</v>
      </c>
      <c r="AC103" s="16" t="str">
        <f>IF('ketv. 4 '!Z103&gt;0,"Taip","Ne")</f>
        <v>Taip</v>
      </c>
      <c r="AD103" s="16">
        <f>SUM('ketv. 6 '!AF102)</f>
        <v>187385</v>
      </c>
      <c r="AE103" s="16">
        <f>IF(AD103&gt;0,AA103-AD103,0)</f>
        <v>0</v>
      </c>
      <c r="AF103" s="431">
        <f>SUM('IV-2 vrsa'!S49)</f>
        <v>42863</v>
      </c>
      <c r="AG103" s="337">
        <f>SUM('IV-2 vrsa'!T49)</f>
        <v>42916</v>
      </c>
      <c r="AH103" s="337">
        <f>SUM('IV-2 vrsa'!U49)</f>
        <v>42993</v>
      </c>
      <c r="AI103" s="337">
        <f>SUM('IV-2 vrsa'!V49)</f>
        <v>43117</v>
      </c>
      <c r="AJ103" s="339">
        <f t="shared" ref="AJ103:AJ107" si="127">IF(YEAR(AI103),YEAR(AI103))</f>
        <v>2018</v>
      </c>
      <c r="AK103" s="702">
        <f>SUM('IV-2 vrsa'!W49)</f>
        <v>43830</v>
      </c>
      <c r="AL103" s="16">
        <f>IF(YEAR(AI103)=2016,AA103,0)</f>
        <v>0</v>
      </c>
      <c r="AM103" s="16">
        <f>IF(YEAR(AI103)=2017,AA103,0)</f>
        <v>0</v>
      </c>
      <c r="AN103" s="16">
        <f>IF(YEAR(AI103)=2018,AA103,0)</f>
        <v>187385</v>
      </c>
      <c r="AO103" s="16">
        <f>IF(YEAR(AI103)=2019,AA103,0)</f>
        <v>0</v>
      </c>
      <c r="AP103" s="703">
        <f>IF(YEAR(AI103)=2020,AA103,0)</f>
        <v>0</v>
      </c>
      <c r="AQ103" s="30"/>
      <c r="AR103" s="30"/>
      <c r="AS103" s="30"/>
    </row>
    <row r="104" spans="1:45" ht="39.75" thickTop="1" thickBot="1">
      <c r="A104" s="311" t="s">
        <v>199</v>
      </c>
      <c r="B104" s="311" t="s">
        <v>1318</v>
      </c>
      <c r="C104" s="1499" t="str">
        <f>CONCATENATE('ketv. 2'!B103)</f>
        <v>09.1.3-CPVA-R-724-11-0005</v>
      </c>
      <c r="D104" s="311" t="str">
        <f>CONCATENATE('IV-2 arsa'!C44)</f>
        <v>Alytaus rajono bendrojo ugdymo įstaigų aprūpinimas gamtos, technologijų, menų ir kitų mokslų laboratorijų įranga</v>
      </c>
      <c r="E104" s="311" t="str">
        <f>CONCATENATE('IV-2 arsa'!D44)</f>
        <v>Alytaus rajono savivaldybės administracija</v>
      </c>
      <c r="F104" s="311" t="str">
        <f>CONCATENATE('IV-2 arsa'!E44)</f>
        <v>Lietuvos Respublikos švietimo ir mokslo ministerija</v>
      </c>
      <c r="G104" s="311" t="str">
        <f>CONCATENATE('IV-2 arsa'!F44)</f>
        <v>Alytaus r. sav.</v>
      </c>
      <c r="H104" s="130" t="str">
        <f>CONCATENATE('IV-2 arsa'!G44)</f>
        <v>09.1.3-CPVA-R-724</v>
      </c>
      <c r="I104" s="130" t="str">
        <f>CONCATENATE('IV-2 arsa'!H44)</f>
        <v>R</v>
      </c>
      <c r="J104" s="130" t="str">
        <f>CONCATENATE('IV-2 arsa'!I44)</f>
        <v>-</v>
      </c>
      <c r="K104" s="130" t="str">
        <f>CONCATENATE('IV-2 arsa'!J44)</f>
        <v>-</v>
      </c>
      <c r="L104" s="644">
        <f>SUM('IV-2 arsa'!K44)</f>
        <v>106845.41</v>
      </c>
      <c r="M104" s="644">
        <f>SUM('ketv. 6 '!L103)</f>
        <v>106845.41</v>
      </c>
      <c r="N104" s="644">
        <f>IF(M104&gt;0,L104-M104,0)</f>
        <v>0</v>
      </c>
      <c r="O104" s="644">
        <f>SUM('IV-2 arsa'!L44)</f>
        <v>8013.41</v>
      </c>
      <c r="P104" s="644">
        <f>SUM('ketv. 6 '!P103)</f>
        <v>8013.41</v>
      </c>
      <c r="Q104" s="644">
        <f>IF(P104&gt;0,O104-P104,0)</f>
        <v>0</v>
      </c>
      <c r="R104" s="644">
        <f>SUM('IV-2 arsa'!M44)</f>
        <v>8014</v>
      </c>
      <c r="S104" s="644">
        <f>SUM('ketv. 6 '!T103)</f>
        <v>8014</v>
      </c>
      <c r="T104" s="644">
        <f>IF(S104&gt;0,R104-S104,0)</f>
        <v>0</v>
      </c>
      <c r="U104" s="644">
        <f>SUM('IV-2 arsa'!N44)</f>
        <v>0</v>
      </c>
      <c r="V104" s="644">
        <f>SUM('ketv. 6 '!X103)</f>
        <v>0</v>
      </c>
      <c r="W104" s="644">
        <f>IF(V104&gt;0,U104-V104,0)</f>
        <v>0</v>
      </c>
      <c r="X104" s="644">
        <f>SUM('IV-2 arsa'!O44)</f>
        <v>0</v>
      </c>
      <c r="Y104" s="644">
        <f>SUM('ketv. 6 '!AB103)</f>
        <v>0</v>
      </c>
      <c r="Z104" s="644">
        <f>IF(Y104&gt;0,X104-Y104,0)</f>
        <v>0</v>
      </c>
      <c r="AA104" s="644">
        <f>SUM('IV-2 arsa'!P44)</f>
        <v>90818</v>
      </c>
      <c r="AB104" s="644">
        <f>SUM('IV-2 vrsa'!R84)</f>
        <v>0</v>
      </c>
      <c r="AC104" s="16" t="str">
        <f>IF('ketv. 4 '!Z104&gt;0,"Taip","Ne")</f>
        <v>Taip</v>
      </c>
      <c r="AD104" s="16">
        <f>SUM('ketv. 6 '!AF103)</f>
        <v>90818</v>
      </c>
      <c r="AE104" s="16">
        <f>IF(AD104&gt;0,AA104-AD104,0)</f>
        <v>0</v>
      </c>
      <c r="AF104" s="431">
        <f>SUM('IV-2 arsa'!R44)</f>
        <v>42863</v>
      </c>
      <c r="AG104" s="337">
        <f>SUM('IV-2 arsa'!S44)</f>
        <v>42916</v>
      </c>
      <c r="AH104" s="337">
        <f>SUM('IV-2 arsa'!T44)</f>
        <v>42993</v>
      </c>
      <c r="AI104" s="337">
        <f>SUM('IV-2 arsa'!U44)</f>
        <v>43112</v>
      </c>
      <c r="AJ104" s="339">
        <f t="shared" si="127"/>
        <v>2018</v>
      </c>
      <c r="AK104" s="702">
        <f>SUM('IV-2 arsa'!V44)</f>
        <v>43526</v>
      </c>
      <c r="AL104" s="16">
        <f>IF(YEAR(AI104)=2016,AA104,0)</f>
        <v>0</v>
      </c>
      <c r="AM104" s="16">
        <f>IF(YEAR(AI104)=2017,AA104,0)</f>
        <v>0</v>
      </c>
      <c r="AN104" s="16">
        <f>IF(YEAR(AI104)=2018,AA104,0)</f>
        <v>90818</v>
      </c>
      <c r="AO104" s="16">
        <f>IF(YEAR(AI104)=2019,AA104,0)</f>
        <v>0</v>
      </c>
      <c r="AP104" s="703">
        <f>IF(YEAR(AI104)=2020,AA104,0)</f>
        <v>0</v>
      </c>
      <c r="AQ104" s="50"/>
      <c r="AR104" s="30"/>
      <c r="AS104" s="30"/>
    </row>
    <row r="105" spans="1:45" ht="39.75" thickTop="1" thickBot="1">
      <c r="A105" s="311" t="s">
        <v>222</v>
      </c>
      <c r="B105" s="311" t="s">
        <v>1319</v>
      </c>
      <c r="C105" s="1499" t="str">
        <f>CONCATENATE('ketv. 2'!B104)</f>
        <v>09.1.3-CPVA-R-724-11-0002</v>
      </c>
      <c r="D105" s="311" t="str">
        <f>CONCATENATE('IV-2 amsa'!D40)</f>
        <v>Modernių ir saugių erdvių kūrimas Dzūkijos pagrindinėje mokykloje, Alytuje</v>
      </c>
      <c r="E105" s="311" t="str">
        <f>CONCATENATE('IV-2 amsa'!E40)</f>
        <v>Alytaus miesto savivaldybės administracija</v>
      </c>
      <c r="F105" s="311" t="str">
        <f>CONCATENATE('IV-2 amsa'!F40)</f>
        <v>Lietuvos Respublikos švietimo ir mokslo ministerija</v>
      </c>
      <c r="G105" s="311" t="str">
        <f>CONCATENATE('IV-2 amsa'!G40)</f>
        <v>Alytaus m. sav.</v>
      </c>
      <c r="H105" s="130" t="str">
        <f>CONCATENATE('IV-2 amsa'!H40)</f>
        <v>09.1.3-CPVA-R-724</v>
      </c>
      <c r="I105" s="130" t="str">
        <f>CONCATENATE('IV-2 amsa'!I40)</f>
        <v>R</v>
      </c>
      <c r="J105" s="130" t="str">
        <f>CONCATENATE('IV-2 amsa'!J40)</f>
        <v>-</v>
      </c>
      <c r="K105" s="130" t="str">
        <f>CONCATENATE('IV-2 amsa'!K40)</f>
        <v>-</v>
      </c>
      <c r="L105" s="644">
        <f>SUM('IV-2 amsa'!L40)</f>
        <v>657021</v>
      </c>
      <c r="M105" s="644">
        <f>SUM('ketv. 6 '!L104)</f>
        <v>657021</v>
      </c>
      <c r="N105" s="644">
        <f>IF(M105&gt;0,L105-M105,0)</f>
        <v>0</v>
      </c>
      <c r="O105" s="644">
        <f>SUM('IV-2 amsa'!M40)</f>
        <v>49277</v>
      </c>
      <c r="P105" s="644">
        <f>SUM('ketv. 6 '!P104)</f>
        <v>49277</v>
      </c>
      <c r="Q105" s="644">
        <f>IF(P105&gt;0,O105-P105,0)</f>
        <v>0</v>
      </c>
      <c r="R105" s="644">
        <f>SUM('IV-2 amsa'!N40)</f>
        <v>49277</v>
      </c>
      <c r="S105" s="644">
        <f>SUM('ketv. 6 '!T104)</f>
        <v>49277</v>
      </c>
      <c r="T105" s="644">
        <f>IF(S105&gt;0,R105-S105,0)</f>
        <v>0</v>
      </c>
      <c r="U105" s="644">
        <f>SUM('IV-2 amsa'!O40)</f>
        <v>0</v>
      </c>
      <c r="V105" s="644">
        <f>SUM('ketv. 6 '!X104)</f>
        <v>0</v>
      </c>
      <c r="W105" s="644">
        <f>IF(V105&gt;0,U105-V105,0)</f>
        <v>0</v>
      </c>
      <c r="X105" s="644">
        <f>SUM('IV-2 amsa'!P40)</f>
        <v>0</v>
      </c>
      <c r="Y105" s="644">
        <f>SUM('ketv. 6 '!AB104)</f>
        <v>0</v>
      </c>
      <c r="Z105" s="644">
        <f>IF(Y105&gt;0,X105-Y105,0)</f>
        <v>0</v>
      </c>
      <c r="AA105" s="644">
        <f>SUM('IV-2 amsa'!Q40)</f>
        <v>558467</v>
      </c>
      <c r="AB105" s="644">
        <f>SUM('IV-2 vrsa'!R85)</f>
        <v>0</v>
      </c>
      <c r="AC105" s="16" t="str">
        <f>IF('ketv. 4 '!Z105&gt;0,"Taip","Ne")</f>
        <v>Taip</v>
      </c>
      <c r="AD105" s="16">
        <f>SUM('ketv. 6 '!AF104)</f>
        <v>558467</v>
      </c>
      <c r="AE105" s="16">
        <f>IF(AD105&gt;0,AA105-AD105,0)</f>
        <v>0</v>
      </c>
      <c r="AF105" s="431">
        <f>SUM('IV-2 amsa'!S40)</f>
        <v>42877</v>
      </c>
      <c r="AG105" s="337">
        <f>SUM('IV-2 amsa'!T40)</f>
        <v>42947</v>
      </c>
      <c r="AH105" s="337">
        <f>SUM('IV-2 amsa'!U40)</f>
        <v>42992</v>
      </c>
      <c r="AI105" s="337">
        <f>SUM('IV-2 amsa'!V40)</f>
        <v>43139</v>
      </c>
      <c r="AJ105" s="339">
        <f t="shared" si="127"/>
        <v>2018</v>
      </c>
      <c r="AK105" s="702">
        <f>SUM('IV-2 amsa'!W40)</f>
        <v>43830</v>
      </c>
      <c r="AL105" s="16">
        <f>IF(YEAR(AI105)=2016,AA105,0)</f>
        <v>0</v>
      </c>
      <c r="AM105" s="16">
        <f>IF(YEAR(AI105)=2017,AA105,0)</f>
        <v>0</v>
      </c>
      <c r="AN105" s="16">
        <f>IF(YEAR(AI105)=2018,AA105,0)</f>
        <v>558467</v>
      </c>
      <c r="AO105" s="16">
        <f>IF(YEAR(AI105)=2019,AA105,0)</f>
        <v>0</v>
      </c>
      <c r="AP105" s="703">
        <f>IF(YEAR(AI105)=2020,AA105,0)</f>
        <v>0</v>
      </c>
      <c r="AQ105" s="50"/>
      <c r="AR105" s="50"/>
      <c r="AS105" s="30"/>
    </row>
    <row r="106" spans="1:45" ht="39.75" thickTop="1" thickBot="1">
      <c r="A106" s="311" t="s">
        <v>232</v>
      </c>
      <c r="B106" s="311" t="s">
        <v>1320</v>
      </c>
      <c r="C106" s="1499" t="str">
        <f>CONCATENATE('ketv. 2'!B105)</f>
        <v>09.1.3-CPVA-R-724-11-0004</v>
      </c>
      <c r="D106" s="311" t="str">
        <f>CONCATENATE('IV-2 dsa'!C47)</f>
        <v>Modernių ir saugių erdvių sukūrimas bendrojo ugdymo mokyklose Druskininkų sav.</v>
      </c>
      <c r="E106" s="311" t="str">
        <f>CONCATENATE('IV-2 dsa'!D47)</f>
        <v>Druskininkų savivaldybės administracija</v>
      </c>
      <c r="F106" s="311" t="str">
        <f>CONCATENATE('IV-2 dsa'!E47)</f>
        <v>Lietuvos Respublikos švietimo ir mokslo ministerija</v>
      </c>
      <c r="G106" s="311" t="str">
        <f>CONCATENATE('IV-2 dsa'!F47)</f>
        <v>Druskininkų sav.</v>
      </c>
      <c r="H106" s="130" t="str">
        <f>CONCATENATE('IV-2 dsa'!G47)</f>
        <v>09.1.3-CPVA-R-724</v>
      </c>
      <c r="I106" s="130" t="str">
        <f>CONCATENATE('IV-2 dsa'!H47)</f>
        <v>R</v>
      </c>
      <c r="J106" s="130" t="str">
        <f>CONCATENATE('IV-2 dsa'!I47)</f>
        <v>-</v>
      </c>
      <c r="K106" s="130" t="str">
        <f>CONCATENATE('IV-2 dsa'!J47)</f>
        <v>-</v>
      </c>
      <c r="L106" s="644">
        <f>SUM('IV-2 dsa'!K47)</f>
        <v>163877</v>
      </c>
      <c r="M106" s="644">
        <f>SUM('ketv. 6 '!L105)</f>
        <v>163877</v>
      </c>
      <c r="N106" s="644">
        <f>IF(M106&gt;0,L106-M106,0)</f>
        <v>0</v>
      </c>
      <c r="O106" s="644">
        <f>SUM('IV-2 dsa'!L47)</f>
        <v>12291</v>
      </c>
      <c r="P106" s="644">
        <f>SUM('ketv. 6 '!P105)</f>
        <v>12291</v>
      </c>
      <c r="Q106" s="644">
        <f>IF(P106&gt;0,O106-P106,0)</f>
        <v>0</v>
      </c>
      <c r="R106" s="644">
        <f>SUM('IV-2 dsa'!M47)</f>
        <v>12291</v>
      </c>
      <c r="S106" s="644">
        <f>SUM('ketv. 6 '!T105)</f>
        <v>12291</v>
      </c>
      <c r="T106" s="644">
        <f>IF(S106&gt;0,R106-S106,0)</f>
        <v>0</v>
      </c>
      <c r="U106" s="644">
        <f>SUM('IV-2 dsa'!N47)</f>
        <v>0</v>
      </c>
      <c r="V106" s="644">
        <f>SUM('ketv. 6 '!X105)</f>
        <v>0</v>
      </c>
      <c r="W106" s="644">
        <f>IF(V106&gt;0,U106-V106,0)</f>
        <v>0</v>
      </c>
      <c r="X106" s="644">
        <f>SUM('IV-2 dsa'!O47)</f>
        <v>0</v>
      </c>
      <c r="Y106" s="644">
        <f>SUM('ketv. 6 '!AB105)</f>
        <v>0</v>
      </c>
      <c r="Z106" s="644">
        <f>IF(Y106&gt;0,X106-Y106,0)</f>
        <v>0</v>
      </c>
      <c r="AA106" s="644">
        <f>SUM('IV-2 dsa'!P47)</f>
        <v>139295</v>
      </c>
      <c r="AB106" s="644">
        <f>SUM('IV-2 vrsa'!R86)</f>
        <v>0</v>
      </c>
      <c r="AC106" s="16" t="str">
        <f>IF('ketv. 4 '!Z106&gt;0,"Taip","Ne")</f>
        <v>Taip</v>
      </c>
      <c r="AD106" s="16">
        <f>SUM('ketv. 6 '!AF105)</f>
        <v>139295</v>
      </c>
      <c r="AE106" s="16">
        <f>IF(AD106&gt;0,AA106-AD106,0)</f>
        <v>0</v>
      </c>
      <c r="AF106" s="431">
        <f>SUM('IV-2 dsa'!R47)</f>
        <v>42863</v>
      </c>
      <c r="AG106" s="337">
        <f>SUM('IV-2 dsa'!S47)</f>
        <v>42916</v>
      </c>
      <c r="AH106" s="337">
        <f>SUM('IV-2 dsa'!T47)</f>
        <v>42993</v>
      </c>
      <c r="AI106" s="337">
        <f>SUM('IV-2 dsa'!U47)</f>
        <v>43100</v>
      </c>
      <c r="AJ106" s="339">
        <f t="shared" si="127"/>
        <v>2017</v>
      </c>
      <c r="AK106" s="702">
        <f>SUM('IV-2 dsa'!V47)</f>
        <v>43830</v>
      </c>
      <c r="AL106" s="16">
        <f>IF(YEAR(AI106)=2016,AA106,0)</f>
        <v>0</v>
      </c>
      <c r="AM106" s="16">
        <f>IF(YEAR(AI106)=2017,AA106,0)</f>
        <v>139295</v>
      </c>
      <c r="AN106" s="16">
        <f>IF(YEAR(AI106)=2018,AA106,0)</f>
        <v>0</v>
      </c>
      <c r="AO106" s="16">
        <f>IF(YEAR(AI106)=2019,AA106,0)</f>
        <v>0</v>
      </c>
      <c r="AP106" s="703">
        <f>IF(YEAR(AI106)=2020,AA106,0)</f>
        <v>0</v>
      </c>
      <c r="AQ106" s="50"/>
      <c r="AR106" s="50"/>
      <c r="AS106" s="30"/>
    </row>
    <row r="107" spans="1:45" ht="39.75" thickTop="1" thickBot="1">
      <c r="A107" s="311" t="s">
        <v>283</v>
      </c>
      <c r="B107" s="311" t="s">
        <v>1321</v>
      </c>
      <c r="C107" s="1500" t="str">
        <f>CONCATENATE('ketv. 2'!B106)</f>
        <v>09.1.3-CPVA-R-724-11-0001</v>
      </c>
      <c r="D107" s="311" t="str">
        <f>CONCATENATE('IV-2 lrsa'!D44)</f>
        <v>Modernių ir saugių erdvių sukūrimas bendrojo ugdymo įstaigose Lazdijų rajono savivaldybėje</v>
      </c>
      <c r="E107" s="311" t="str">
        <f>CONCATENATE('IV-2 lrsa'!E44)</f>
        <v>Lazdijų rajono savivaldybės administracija</v>
      </c>
      <c r="F107" s="311" t="str">
        <f>CONCATENATE('IV-2 lrsa'!F44)</f>
        <v>Lietuvos Respublikos švietimo ir mokslo ministerija</v>
      </c>
      <c r="G107" s="311" t="str">
        <f>CONCATENATE('IV-2 lrsa'!G44)</f>
        <v>Lazdijų r. sav.</v>
      </c>
      <c r="H107" s="130" t="str">
        <f>CONCATENATE('IV-2 lrsa'!H44)</f>
        <v>09.1.3-CPVA-R-724</v>
      </c>
      <c r="I107" s="130" t="str">
        <f>CONCATENATE('IV-2 lrsa'!I44)</f>
        <v>R</v>
      </c>
      <c r="J107" s="130" t="str">
        <f>CONCATENATE('IV-2 lrsa'!J44)</f>
        <v>-</v>
      </c>
      <c r="K107" s="130" t="str">
        <f>CONCATENATE('IV-2 lrsa'!K44)</f>
        <v>-</v>
      </c>
      <c r="L107" s="644">
        <f>SUM('IV-2 lrsa'!L44)</f>
        <v>195779</v>
      </c>
      <c r="M107" s="644">
        <f>SUM('ketv. 6 '!L106)</f>
        <v>195779</v>
      </c>
      <c r="N107" s="644">
        <f>IF(M107&gt;0,L107-M107,0)</f>
        <v>0</v>
      </c>
      <c r="O107" s="644">
        <f>SUM('IV-2 lrsa'!M44)</f>
        <v>14684</v>
      </c>
      <c r="P107" s="644">
        <f>SUM('ketv. 6 '!P106)</f>
        <v>14684</v>
      </c>
      <c r="Q107" s="644">
        <f>IF(P107&gt;0,O107-P107,0)</f>
        <v>0</v>
      </c>
      <c r="R107" s="644">
        <f>SUM('IV-2 lrsa'!N44)</f>
        <v>14683</v>
      </c>
      <c r="S107" s="644">
        <f>SUM('ketv. 6 '!T106)</f>
        <v>14683</v>
      </c>
      <c r="T107" s="644">
        <f>IF(S107&gt;0,R107-S107,0)</f>
        <v>0</v>
      </c>
      <c r="U107" s="644">
        <f>SUM('IV-2 lrsa'!O44)</f>
        <v>0</v>
      </c>
      <c r="V107" s="644">
        <f>SUM('ketv. 6 '!X106)</f>
        <v>0</v>
      </c>
      <c r="W107" s="644">
        <f>IF(V107&gt;0,U107-V107,0)</f>
        <v>0</v>
      </c>
      <c r="X107" s="644">
        <f>SUM('IV-2 lrsa'!P44)</f>
        <v>0</v>
      </c>
      <c r="Y107" s="644">
        <f>SUM('ketv. 6 '!AB106)</f>
        <v>0</v>
      </c>
      <c r="Z107" s="644">
        <f>IF(Y107&gt;0,X107-Y107,0)</f>
        <v>0</v>
      </c>
      <c r="AA107" s="644">
        <f>SUM('IV-2 lrsa'!Q44)</f>
        <v>166412</v>
      </c>
      <c r="AB107" s="644">
        <f>SUM('IV-2 vrsa'!R87)</f>
        <v>0</v>
      </c>
      <c r="AC107" s="16" t="str">
        <f>IF('ketv. 4 '!Z107&gt;0,"Taip","Ne")</f>
        <v>Taip</v>
      </c>
      <c r="AD107" s="16">
        <f>SUM('ketv. 6 '!AF106)</f>
        <v>166412</v>
      </c>
      <c r="AE107" s="16">
        <f>IF(AD107&gt;0,AA107-AD107,0)</f>
        <v>0</v>
      </c>
      <c r="AF107" s="431">
        <f>SUM('IV-2 lrsa'!S44)</f>
        <v>42863</v>
      </c>
      <c r="AG107" s="337">
        <f>SUM('IV-2 lrsa'!T44)</f>
        <v>42916</v>
      </c>
      <c r="AH107" s="337">
        <f>SUM('IV-2 lrsa'!U44)</f>
        <v>42993</v>
      </c>
      <c r="AI107" s="337">
        <f>SUM('IV-2 lrsa'!V44)</f>
        <v>43150</v>
      </c>
      <c r="AJ107" s="339">
        <f t="shared" si="127"/>
        <v>2018</v>
      </c>
      <c r="AK107" s="702">
        <f>SUM('IV-2 lrsa'!W44)</f>
        <v>43709</v>
      </c>
      <c r="AL107" s="16">
        <f>IF(YEAR(AI107)=2016,AA107,0)</f>
        <v>0</v>
      </c>
      <c r="AM107" s="16">
        <f>IF(YEAR(AI107)=2017,AA107,0)</f>
        <v>0</v>
      </c>
      <c r="AN107" s="16">
        <f>IF(YEAR(AI107)=2018,AA107,0)</f>
        <v>166412</v>
      </c>
      <c r="AO107" s="16">
        <f>IF(YEAR(AI107)=2019,AA107,0)</f>
        <v>0</v>
      </c>
      <c r="AP107" s="703">
        <f>IF(YEAR(AI107)=2020,AA107,0)</f>
        <v>0</v>
      </c>
      <c r="AQ107" s="30"/>
      <c r="AR107" s="30"/>
      <c r="AS107" s="30"/>
    </row>
    <row r="108" spans="1:45" ht="33.75" customHeight="1" thickBot="1">
      <c r="A108" s="718" t="s">
        <v>99</v>
      </c>
      <c r="B108" s="1888" t="s">
        <v>1478</v>
      </c>
      <c r="C108" s="1891"/>
      <c r="D108" s="1891"/>
      <c r="E108" s="1891"/>
      <c r="F108" s="1891"/>
      <c r="G108" s="1891"/>
      <c r="H108" s="1891"/>
      <c r="I108" s="1891"/>
      <c r="J108" s="1891"/>
      <c r="K108" s="1892"/>
      <c r="L108" s="1054">
        <f t="shared" ref="L108:AA108" si="128">SUM(L109:L113)</f>
        <v>1973870.18</v>
      </c>
      <c r="M108" s="1014">
        <f>SUM(M109:M113)</f>
        <v>1973870.18</v>
      </c>
      <c r="N108" s="1014">
        <f>SUM(N109:N113)</f>
        <v>0</v>
      </c>
      <c r="O108" s="1054">
        <f t="shared" si="128"/>
        <v>487863.18</v>
      </c>
      <c r="P108" s="1014">
        <f>SUM(P109:P113)</f>
        <v>487863.18</v>
      </c>
      <c r="Q108" s="1014">
        <f>SUM(Q109:Q113)</f>
        <v>0</v>
      </c>
      <c r="R108" s="1054">
        <f t="shared" si="128"/>
        <v>0</v>
      </c>
      <c r="S108" s="1014">
        <f>SUM(S109:S113)</f>
        <v>0</v>
      </c>
      <c r="T108" s="1014">
        <f>SUM(T109:T113)</f>
        <v>0</v>
      </c>
      <c r="U108" s="1054">
        <f t="shared" si="128"/>
        <v>0</v>
      </c>
      <c r="V108" s="1014">
        <f>SUM(V109:V113)</f>
        <v>0</v>
      </c>
      <c r="W108" s="1014">
        <f>SUM(W109:W113)</f>
        <v>0</v>
      </c>
      <c r="X108" s="1054">
        <f t="shared" si="128"/>
        <v>0</v>
      </c>
      <c r="Y108" s="1014">
        <f>SUM(Y109:Y113)</f>
        <v>0</v>
      </c>
      <c r="Z108" s="1014">
        <f>SUM(Z109:Z113)</f>
        <v>0</v>
      </c>
      <c r="AA108" s="1054">
        <f t="shared" si="128"/>
        <v>1486007</v>
      </c>
      <c r="AB108" s="1014">
        <f>SUM('IV-2 vrsa'!R88)</f>
        <v>0</v>
      </c>
      <c r="AC108" s="698"/>
      <c r="AD108" s="698">
        <f>SUM(AD109:AD113)</f>
        <v>1486007</v>
      </c>
      <c r="AE108" s="698">
        <f>SUM(AE109:AE113)</f>
        <v>0</v>
      </c>
      <c r="AF108" s="698"/>
      <c r="AG108" s="715"/>
      <c r="AH108" s="715"/>
      <c r="AI108" s="715"/>
      <c r="AJ108" s="716"/>
      <c r="AK108" s="717"/>
      <c r="AL108" s="16">
        <f>SUM(AL109:AL113)</f>
        <v>0</v>
      </c>
      <c r="AM108" s="16">
        <f>SUM(AM109:AM113)</f>
        <v>611625</v>
      </c>
      <c r="AN108" s="16">
        <f>SUM(AN109:AN113)</f>
        <v>874382</v>
      </c>
      <c r="AO108" s="16">
        <f>SUM(AO109:AO113)</f>
        <v>0</v>
      </c>
      <c r="AP108" s="16">
        <f>SUM(AP109:AP113)</f>
        <v>0</v>
      </c>
      <c r="AQ108" s="30">
        <f>SUM('IV-2 amsa'!X41+'IV-2 arsa'!W45+'IV-2 dsa'!W48+'IV-2 lrsa'!X45+'IV-2 vrsa'!X50)</f>
        <v>1486008.4570765519</v>
      </c>
      <c r="AR108" s="30">
        <f>SUM(AQ108*120/100)</f>
        <v>1783210.1484918622</v>
      </c>
      <c r="AS108" s="30">
        <f>SUM(AQ108-AA108)</f>
        <v>1.4570765518583357</v>
      </c>
    </row>
    <row r="109" spans="1:45" ht="39" thickBot="1">
      <c r="A109" s="311" t="s">
        <v>100</v>
      </c>
      <c r="B109" s="311" t="s">
        <v>1322</v>
      </c>
      <c r="C109" s="314" t="str">
        <f>CONCATENATE('ketv. 2'!B108)</f>
        <v>09.1.3-CPVA-R-725-11-0003</v>
      </c>
      <c r="D109" s="311" t="str">
        <f>CONCATENATE('IV-2 vrsa'!D51)</f>
        <v>Varėnos moksleivių kūrybos centro pastato J.Basanavičiaus g. 38, Varėnoje, modernizavimas</v>
      </c>
      <c r="E109" s="311" t="str">
        <f>CONCATENATE('IV-2 vrsa'!E51)</f>
        <v>Varėnos rajono savivaldybės administracija</v>
      </c>
      <c r="F109" s="311" t="str">
        <f>CONCATENATE('IV-2 vrsa'!F51)</f>
        <v>Lietuvos Respublikos švietimo ir mokslo ministerija</v>
      </c>
      <c r="G109" s="311" t="str">
        <f>CONCATENATE('IV-2 vrsa'!G51)</f>
        <v>Varėnos r. sav.</v>
      </c>
      <c r="H109" s="130" t="str">
        <f>CONCATENATE('IV-2 vrsa'!H51)</f>
        <v>09.13.CPVA-R-725</v>
      </c>
      <c r="I109" s="130" t="str">
        <f>CONCATENATE('IV-2 vrsa'!I51)</f>
        <v>R</v>
      </c>
      <c r="J109" s="130" t="str">
        <f>CONCATENATE('IV-2 vrsa'!J51)</f>
        <v>-</v>
      </c>
      <c r="K109" s="479" t="s">
        <v>66</v>
      </c>
      <c r="L109" s="644">
        <f>SUM('IV-2 vrsa'!L51)</f>
        <v>437551</v>
      </c>
      <c r="M109" s="644">
        <f>SUM('ketv. 6 '!L108)</f>
        <v>437551</v>
      </c>
      <c r="N109" s="644">
        <f>IF(M109&gt;0,L109-M109,0)</f>
        <v>0</v>
      </c>
      <c r="O109" s="644">
        <f>SUM('IV-2 vrsa'!M51)</f>
        <v>65633</v>
      </c>
      <c r="P109" s="644">
        <f>SUM('ketv. 6 '!P108)</f>
        <v>65633</v>
      </c>
      <c r="Q109" s="644">
        <f>IF(P109&gt;0,O109-P109,0)</f>
        <v>0</v>
      </c>
      <c r="R109" s="644">
        <f>SUM('IV-2 vrsa'!N51)</f>
        <v>0</v>
      </c>
      <c r="S109" s="644">
        <f>SUM('ketv. 6 '!T108)</f>
        <v>0</v>
      </c>
      <c r="T109" s="644">
        <f>IF(S109&gt;0,R109-S109,0)</f>
        <v>0</v>
      </c>
      <c r="U109" s="644">
        <f>SUM('IV-2 vrsa'!O51)</f>
        <v>0</v>
      </c>
      <c r="V109" s="644">
        <f>SUM('ketv. 6 '!X108)</f>
        <v>0</v>
      </c>
      <c r="W109" s="644">
        <f>IF(V109&gt;0,U109-V109,0)</f>
        <v>0</v>
      </c>
      <c r="X109" s="644">
        <f>SUM('IV-2 vrsa'!P51)</f>
        <v>0</v>
      </c>
      <c r="Y109" s="644">
        <f>SUM('ketv. 6 '!AB108)</f>
        <v>0</v>
      </c>
      <c r="Z109" s="644">
        <f>IF(Y109&gt;0,X109-Y109,0)</f>
        <v>0</v>
      </c>
      <c r="AA109" s="644">
        <f>SUM('IV-2 vrsa'!Q51)</f>
        <v>371918</v>
      </c>
      <c r="AB109" s="644">
        <f>SUM('IV-2 vrsa'!R89)</f>
        <v>0</v>
      </c>
      <c r="AC109" s="16" t="str">
        <f>IF('ketv. 4 '!Z109&gt;0,"Taip","Ne")</f>
        <v>Taip</v>
      </c>
      <c r="AD109" s="16">
        <f>SUM('ketv. 6 '!AF108)</f>
        <v>371918</v>
      </c>
      <c r="AE109" s="16">
        <f>IF(AD109&gt;0,AA109-AD109,0)</f>
        <v>0</v>
      </c>
      <c r="AF109" s="431">
        <f>SUM('IV-2 vrsa'!S51)</f>
        <v>42870</v>
      </c>
      <c r="AG109" s="337">
        <f>SUM('IV-2 vrsa'!T51)</f>
        <v>42916</v>
      </c>
      <c r="AH109" s="337">
        <f>SUM('IV-2 vrsa'!U51)</f>
        <v>43007</v>
      </c>
      <c r="AI109" s="337">
        <f>SUM('IV-2 vrsa'!V51)</f>
        <v>43100</v>
      </c>
      <c r="AJ109" s="339">
        <f t="shared" ref="AJ109:AJ113" si="129">IF(YEAR(AI109),YEAR(AI109))</f>
        <v>2017</v>
      </c>
      <c r="AK109" s="702">
        <f>SUM('IV-2 vrsa'!W51)</f>
        <v>43830</v>
      </c>
      <c r="AL109" s="16">
        <f>IF(YEAR(AI109)=2016,AA109,0)</f>
        <v>0</v>
      </c>
      <c r="AM109" s="16">
        <f>IF(YEAR(AI109)=2017,AA109,0)</f>
        <v>371918</v>
      </c>
      <c r="AN109" s="16">
        <f>IF(YEAR(AI109)=2018,AA109,0)</f>
        <v>0</v>
      </c>
      <c r="AO109" s="16">
        <f>IF(YEAR(AI109)=2019,AA109,0)</f>
        <v>0</v>
      </c>
      <c r="AP109" s="703">
        <f>IF(YEAR(AI109)=2020,AA109,0)</f>
        <v>0</v>
      </c>
      <c r="AQ109" s="30"/>
      <c r="AR109" s="30"/>
      <c r="AS109" s="30"/>
    </row>
    <row r="110" spans="1:45" ht="39.75" thickTop="1" thickBot="1">
      <c r="A110" s="311" t="s">
        <v>137</v>
      </c>
      <c r="B110" s="311" t="s">
        <v>1323</v>
      </c>
      <c r="C110" s="1499" t="str">
        <f>CONCATENATE('ketv. 2'!B109)</f>
        <v>09.1.3-CPVA-R-725-11-0005</v>
      </c>
      <c r="D110" s="311" t="str">
        <f>CONCATENATE('IV-2 arsa'!C46)</f>
        <v>Alytaus r. meno ir sporto mokyklos edukacinių erdvių įkūrimas ir atnaujinimas</v>
      </c>
      <c r="E110" s="311" t="str">
        <f>CONCATENATE('IV-2 arsa'!D46)</f>
        <v>Alytaus rajono savivaldybės administracija</v>
      </c>
      <c r="F110" s="311" t="str">
        <f>CONCATENATE('IV-2 arsa'!E46)</f>
        <v>Lietuvos Respublikos švietimo ir mokslo ministerija</v>
      </c>
      <c r="G110" s="311" t="str">
        <f>CONCATENATE('IV-2 arsa'!F46)</f>
        <v>Alytaus r. sav.</v>
      </c>
      <c r="H110" s="130" t="str">
        <f>CONCATENATE('IV-2 arsa'!G46)</f>
        <v>09.13.CPVA-R-725</v>
      </c>
      <c r="I110" s="130" t="str">
        <f>CONCATENATE('IV-2 arsa'!H46)</f>
        <v>R</v>
      </c>
      <c r="J110" s="130" t="str">
        <f>CONCATENATE('IV-2 arsa'!I46)</f>
        <v>-</v>
      </c>
      <c r="K110" s="2" t="s">
        <v>66</v>
      </c>
      <c r="L110" s="644">
        <f>SUM('IV-2 arsa'!K46)</f>
        <v>856424.88</v>
      </c>
      <c r="M110" s="644">
        <f>SUM('ketv. 6 '!L109)</f>
        <v>856424.88</v>
      </c>
      <c r="N110" s="644">
        <f>IF(M110&gt;0,L110-M110,0)</f>
        <v>0</v>
      </c>
      <c r="O110" s="644">
        <f>SUM('IV-2 arsa'!L46)</f>
        <v>319813.88</v>
      </c>
      <c r="P110" s="644">
        <f>SUM('ketv. 6 '!P109)</f>
        <v>319813.88</v>
      </c>
      <c r="Q110" s="644">
        <f>IF(P110&gt;0,O110-P110,0)</f>
        <v>0</v>
      </c>
      <c r="R110" s="644">
        <f>SUM('IV-2 arsa'!M46)</f>
        <v>0</v>
      </c>
      <c r="S110" s="644">
        <f>SUM('ketv. 6 '!T109)</f>
        <v>0</v>
      </c>
      <c r="T110" s="644">
        <f>IF(S110&gt;0,R110-S110,0)</f>
        <v>0</v>
      </c>
      <c r="U110" s="644">
        <f>SUM('IV-2 arsa'!N46)</f>
        <v>0</v>
      </c>
      <c r="V110" s="644">
        <f>SUM('ketv. 6 '!X109)</f>
        <v>0</v>
      </c>
      <c r="W110" s="644">
        <f>IF(V110&gt;0,U110-V110,0)</f>
        <v>0</v>
      </c>
      <c r="X110" s="644">
        <f>SUM('IV-2 arsa'!O46)</f>
        <v>0</v>
      </c>
      <c r="Y110" s="644">
        <f>SUM('ketv. 6 '!AB109)</f>
        <v>0</v>
      </c>
      <c r="Z110" s="644">
        <f>IF(Y110&gt;0,X110-Y110,0)</f>
        <v>0</v>
      </c>
      <c r="AA110" s="644">
        <f>SUM('IV-2 arsa'!P46)</f>
        <v>536611</v>
      </c>
      <c r="AB110" s="644">
        <f>SUM('IV-2 vrsa'!R90)</f>
        <v>0</v>
      </c>
      <c r="AC110" s="16" t="str">
        <f>IF('ketv. 4 '!Z110&gt;0,"Taip","Ne")</f>
        <v>Taip</v>
      </c>
      <c r="AD110" s="16">
        <f>SUM('ketv. 6 '!AF109)</f>
        <v>536611</v>
      </c>
      <c r="AE110" s="16">
        <f>IF(AD110&gt;0,AA110-AD110,0)</f>
        <v>0</v>
      </c>
      <c r="AF110" s="431">
        <f>SUM('IV-2 arsa'!R46)</f>
        <v>42870</v>
      </c>
      <c r="AG110" s="337">
        <f>SUM('IV-2 arsa'!S46)</f>
        <v>42916</v>
      </c>
      <c r="AH110" s="337">
        <f>SUM('IV-2 arsa'!T46)</f>
        <v>43008</v>
      </c>
      <c r="AI110" s="337">
        <f>SUM('IV-2 arsa'!U46)</f>
        <v>43115</v>
      </c>
      <c r="AJ110" s="339">
        <f t="shared" si="129"/>
        <v>2018</v>
      </c>
      <c r="AK110" s="702">
        <f>SUM('IV-2 arsa'!V46)</f>
        <v>43832</v>
      </c>
      <c r="AL110" s="16">
        <f>IF(YEAR(AI110)=2016,AA110,0)</f>
        <v>0</v>
      </c>
      <c r="AM110" s="16">
        <f>IF(YEAR(AI110)=2017,AA110,0)</f>
        <v>0</v>
      </c>
      <c r="AN110" s="16">
        <f>IF(YEAR(AI110)=2018,AA110,0)</f>
        <v>536611</v>
      </c>
      <c r="AO110" s="16">
        <f>IF(YEAR(AI110)=2019,AA110,0)</f>
        <v>0</v>
      </c>
      <c r="AP110" s="703">
        <f>IF(YEAR(AI110)=2020,AA110,0)</f>
        <v>0</v>
      </c>
      <c r="AQ110" s="50"/>
      <c r="AR110" s="30"/>
      <c r="AS110" s="30"/>
    </row>
    <row r="111" spans="1:45" ht="39.75" thickTop="1" thickBot="1">
      <c r="A111" s="311" t="s">
        <v>198</v>
      </c>
      <c r="B111" s="311" t="s">
        <v>1324</v>
      </c>
      <c r="C111" s="1499" t="str">
        <f>CONCATENATE('ketv. 2'!B110)</f>
        <v>09.1.3-CPVA-R-725-11-0004</v>
      </c>
      <c r="D111" s="311" t="str">
        <f>CONCATENATE('IV-2 amsa'!D42)</f>
        <v>Alytaus muzikos mokyklos pastato modernizavimas ir ugdymo aplinkos gerinimas</v>
      </c>
      <c r="E111" s="311" t="str">
        <f>CONCATENATE('IV-2 amsa'!E42)</f>
        <v>Alytaus miesto savivaldybės administracija</v>
      </c>
      <c r="F111" s="311" t="str">
        <f>CONCATENATE('IV-2 amsa'!F42)</f>
        <v>Lietuvos Respublikos švietimo ir mokslo ministerija</v>
      </c>
      <c r="G111" s="311" t="str">
        <f>CONCATENATE('IV-2 amsa'!G42)</f>
        <v>Alytaus m. sav.</v>
      </c>
      <c r="H111" s="130" t="str">
        <f>CONCATENATE('IV-2 amsa'!H42)</f>
        <v>09.13.CPVA-R-725</v>
      </c>
      <c r="I111" s="130" t="str">
        <f>CONCATENATE('IV-2 amsa'!I42)</f>
        <v>R</v>
      </c>
      <c r="J111" s="130" t="str">
        <f>CONCATENATE('IV-2 amsa'!J42)</f>
        <v>-</v>
      </c>
      <c r="K111" s="2" t="s">
        <v>66</v>
      </c>
      <c r="L111" s="644">
        <f>SUM('IV-2 amsa'!L42)</f>
        <v>397378</v>
      </c>
      <c r="M111" s="644">
        <f>SUM('ketv. 6 '!L110)</f>
        <v>397378</v>
      </c>
      <c r="N111" s="644">
        <f>IF(M111&gt;0,L111-M111,0)</f>
        <v>0</v>
      </c>
      <c r="O111" s="644">
        <f>SUM('IV-2 amsa'!M42)</f>
        <v>59607</v>
      </c>
      <c r="P111" s="644">
        <f>SUM('ketv. 6 '!P110)</f>
        <v>59607</v>
      </c>
      <c r="Q111" s="644">
        <f>IF(P111&gt;0,O111-P111,0)</f>
        <v>0</v>
      </c>
      <c r="R111" s="644">
        <f>SUM('IV-2 amsa'!N42)</f>
        <v>0</v>
      </c>
      <c r="S111" s="644">
        <f>SUM('ketv. 6 '!T110)</f>
        <v>0</v>
      </c>
      <c r="T111" s="644">
        <f>IF(S111&gt;0,R111-S111,0)</f>
        <v>0</v>
      </c>
      <c r="U111" s="644">
        <f>SUM('IV-2 amsa'!O42)</f>
        <v>0</v>
      </c>
      <c r="V111" s="644">
        <f>SUM('ketv. 6 '!X110)</f>
        <v>0</v>
      </c>
      <c r="W111" s="644">
        <f>IF(V111&gt;0,U111-V111,0)</f>
        <v>0</v>
      </c>
      <c r="X111" s="644">
        <f>SUM('IV-2 amsa'!P42)</f>
        <v>0</v>
      </c>
      <c r="Y111" s="644">
        <f>SUM('ketv. 6 '!AB110)</f>
        <v>0</v>
      </c>
      <c r="Z111" s="644">
        <f>IF(Y111&gt;0,X111-Y111,0)</f>
        <v>0</v>
      </c>
      <c r="AA111" s="644">
        <f>SUM('IV-2 amsa'!Q42)</f>
        <v>337771</v>
      </c>
      <c r="AB111" s="644">
        <f>SUM('IV-2 vrsa'!R91)</f>
        <v>0</v>
      </c>
      <c r="AC111" s="16" t="str">
        <f>IF('ketv. 4 '!Z111&gt;0,"Taip","Ne")</f>
        <v>Taip</v>
      </c>
      <c r="AD111" s="16">
        <f>SUM('ketv. 6 '!AF110)</f>
        <v>337771</v>
      </c>
      <c r="AE111" s="16">
        <f>IF(AD111&gt;0,AA111-AD111,0)</f>
        <v>0</v>
      </c>
      <c r="AF111" s="431">
        <f>SUM('IV-2 amsa'!S42)</f>
        <v>42870</v>
      </c>
      <c r="AG111" s="337">
        <f>SUM('IV-2 amsa'!T42)</f>
        <v>42916</v>
      </c>
      <c r="AH111" s="337">
        <f>SUM('IV-2 amsa'!U42)</f>
        <v>43007</v>
      </c>
      <c r="AI111" s="337">
        <f>SUM('IV-2 amsa'!V42)</f>
        <v>43119</v>
      </c>
      <c r="AJ111" s="339">
        <f t="shared" si="129"/>
        <v>2018</v>
      </c>
      <c r="AK111" s="702">
        <f>SUM('IV-2 amsa'!W42)</f>
        <v>43830</v>
      </c>
      <c r="AL111" s="16">
        <f>IF(YEAR(AI111)=2016,AA111,0)</f>
        <v>0</v>
      </c>
      <c r="AM111" s="16">
        <f>IF(YEAR(AI111)=2017,AA111,0)</f>
        <v>0</v>
      </c>
      <c r="AN111" s="16">
        <f>IF(YEAR(AI111)=2018,AA111,0)</f>
        <v>337771</v>
      </c>
      <c r="AO111" s="16">
        <f>IF(YEAR(AI111)=2019,AA111,0)</f>
        <v>0</v>
      </c>
      <c r="AP111" s="703">
        <f>IF(YEAR(AI111)=2020,AA111,0)</f>
        <v>0</v>
      </c>
      <c r="AQ111" s="30"/>
      <c r="AR111" s="30"/>
      <c r="AS111" s="30"/>
    </row>
    <row r="112" spans="1:45" ht="39.75" thickTop="1" thickBot="1">
      <c r="A112" s="311" t="s">
        <v>200</v>
      </c>
      <c r="B112" s="311" t="s">
        <v>1325</v>
      </c>
      <c r="C112" s="1499" t="str">
        <f>CONCATENATE('ketv. 2'!B111)</f>
        <v>09.1.3-CPVA-R-725-11-0002</v>
      </c>
      <c r="D112" s="311" t="str">
        <f>CONCATENATE('IV-2 dsa'!C49)</f>
        <v>Druskininkų M. K. Čiurlionio meno mokyklos infrastruktūros tobulinimas</v>
      </c>
      <c r="E112" s="311" t="str">
        <f>CONCATENATE('IV-2 dsa'!D49)</f>
        <v xml:space="preserve">Druskininkų savivaldybės administracija  </v>
      </c>
      <c r="F112" s="311" t="str">
        <f>CONCATENATE('IV-2 dsa'!E49)</f>
        <v>Lietuvos Respublikos švietimo ir mokslo ministerija</v>
      </c>
      <c r="G112" s="311" t="str">
        <f>CONCATENATE('IV-2 dsa'!F49)</f>
        <v>Druskininkų sav.</v>
      </c>
      <c r="H112" s="130" t="str">
        <f>CONCATENATE('IV-2 dsa'!G49)</f>
        <v>09.13.CPVA-R-725</v>
      </c>
      <c r="I112" s="130" t="str">
        <f>CONCATENATE('IV-2 dsa'!H49)</f>
        <v>R</v>
      </c>
      <c r="J112" s="130" t="str">
        <f>CONCATENATE('IV-2 dsa'!I49)</f>
        <v>-</v>
      </c>
      <c r="K112" s="2" t="s">
        <v>66</v>
      </c>
      <c r="L112" s="644">
        <f>SUM('IV-2 dsa'!K49)</f>
        <v>146702.29999999999</v>
      </c>
      <c r="M112" s="644">
        <f>SUM('ketv. 6 '!L111)</f>
        <v>146702.29999999999</v>
      </c>
      <c r="N112" s="644">
        <f>IF(M112&gt;0,L112-M112,0)</f>
        <v>0</v>
      </c>
      <c r="O112" s="644">
        <f>SUM('IV-2 dsa'!L49)</f>
        <v>22436.3</v>
      </c>
      <c r="P112" s="644">
        <f>SUM('ketv. 6 '!P111)</f>
        <v>22436.3</v>
      </c>
      <c r="Q112" s="644">
        <f>IF(P112&gt;0,O112-P112,0)</f>
        <v>0</v>
      </c>
      <c r="R112" s="644">
        <f>SUM('IV-2 dsa'!M49)</f>
        <v>0</v>
      </c>
      <c r="S112" s="644">
        <f>SUM('ketv. 6 '!T111)</f>
        <v>0</v>
      </c>
      <c r="T112" s="644">
        <f>IF(S112&gt;0,R112-S112,0)</f>
        <v>0</v>
      </c>
      <c r="U112" s="644">
        <f>SUM('IV-2 dsa'!N49)</f>
        <v>0</v>
      </c>
      <c r="V112" s="644">
        <f>SUM('ketv. 6 '!X111)</f>
        <v>0</v>
      </c>
      <c r="W112" s="644">
        <f>IF(V112&gt;0,U112-V112,0)</f>
        <v>0</v>
      </c>
      <c r="X112" s="644">
        <f>SUM('IV-2 dsa'!O49)</f>
        <v>0</v>
      </c>
      <c r="Y112" s="644">
        <f>SUM('ketv. 6 '!AB111)</f>
        <v>0</v>
      </c>
      <c r="Z112" s="644">
        <f>IF(Y112&gt;0,X112-Y112,0)</f>
        <v>0</v>
      </c>
      <c r="AA112" s="644">
        <f>SUM('IV-2 dsa'!P49)</f>
        <v>124266</v>
      </c>
      <c r="AB112" s="644">
        <f>SUM('IV-2 vrsa'!R92)</f>
        <v>0</v>
      </c>
      <c r="AC112" s="16" t="str">
        <f>IF('ketv. 4 '!Z112&gt;0,"Taip","Ne")</f>
        <v>Taip</v>
      </c>
      <c r="AD112" s="16">
        <f>SUM('ketv. 6 '!AF111)</f>
        <v>124266</v>
      </c>
      <c r="AE112" s="16">
        <f>IF(AD112&gt;0,AA112-AD112,0)</f>
        <v>0</v>
      </c>
      <c r="AF112" s="431">
        <f>SUM('IV-2 dsa'!R49)</f>
        <v>42828</v>
      </c>
      <c r="AG112" s="337">
        <f>SUM('IV-2 dsa'!S49)</f>
        <v>42916</v>
      </c>
      <c r="AH112" s="337">
        <f>SUM('IV-2 dsa'!T49)</f>
        <v>42993</v>
      </c>
      <c r="AI112" s="337">
        <f>SUM('IV-2 dsa'!U49)</f>
        <v>43100</v>
      </c>
      <c r="AJ112" s="339">
        <f t="shared" si="129"/>
        <v>2017</v>
      </c>
      <c r="AK112" s="702">
        <f>SUM('IV-2 dsa'!V49)</f>
        <v>43449</v>
      </c>
      <c r="AL112" s="16">
        <f>IF(YEAR(AI112)=2016,AA112,0)</f>
        <v>0</v>
      </c>
      <c r="AM112" s="16">
        <f>IF(YEAR(AI112)=2017,AA112,0)</f>
        <v>124266</v>
      </c>
      <c r="AN112" s="16">
        <f>IF(YEAR(AI112)=2018,AA112,0)</f>
        <v>0</v>
      </c>
      <c r="AO112" s="16">
        <f>IF(YEAR(AI112)=2019,AA112,0)</f>
        <v>0</v>
      </c>
      <c r="AP112" s="703">
        <f>IF(YEAR(AI112)=2020,AA112,0)</f>
        <v>0</v>
      </c>
      <c r="AQ112" s="50"/>
      <c r="AR112" s="30"/>
      <c r="AS112" s="30"/>
    </row>
    <row r="113" spans="1:48" ht="39.75" thickTop="1" thickBot="1">
      <c r="A113" s="311" t="s">
        <v>223</v>
      </c>
      <c r="B113" s="311" t="s">
        <v>1326</v>
      </c>
      <c r="C113" s="1500" t="str">
        <f>CONCATENATE('ketv. 2'!B112)</f>
        <v>09.1.3-CPVA-R-725-11-0001</v>
      </c>
      <c r="D113" s="311" t="str">
        <f>CONCATENATE('IV-2 lrsa'!D46)</f>
        <v>Neformaliojo švietimo įstaigų Lazdijų rajono savivaldybėje infrastruktūros tobulinimas</v>
      </c>
      <c r="E113" s="311" t="str">
        <f>CONCATENATE('IV-2 lrsa'!E46)</f>
        <v>VšĮ „Lazdijų sporto centras“</v>
      </c>
      <c r="F113" s="311" t="str">
        <f>CONCATENATE('IV-2 lrsa'!F46)</f>
        <v>Lietuvos Respublikos švietimo ir mokslo ministerija</v>
      </c>
      <c r="G113" s="311" t="str">
        <f>CONCATENATE('IV-2 lrsa'!G46)</f>
        <v>Lazdijų r. sav.</v>
      </c>
      <c r="H113" s="130" t="str">
        <f>CONCATENATE('IV-2 lrsa'!H46)</f>
        <v>09.13.CPVA-R-725</v>
      </c>
      <c r="I113" s="130" t="str">
        <f>CONCATENATE('IV-2 lrsa'!I46)</f>
        <v>R</v>
      </c>
      <c r="J113" s="130" t="str">
        <f>CONCATENATE('IV-2 lrsa'!J46)</f>
        <v>-</v>
      </c>
      <c r="K113" s="2" t="s">
        <v>66</v>
      </c>
      <c r="L113" s="644">
        <f>SUM('IV-2 lrsa'!L46)</f>
        <v>135814</v>
      </c>
      <c r="M113" s="644">
        <f>SUM('ketv. 6 '!L112)</f>
        <v>135814</v>
      </c>
      <c r="N113" s="644">
        <f>IF(M113&gt;0,L113-M113,0)</f>
        <v>0</v>
      </c>
      <c r="O113" s="644">
        <f>SUM('IV-2 lrsa'!M46)</f>
        <v>20373</v>
      </c>
      <c r="P113" s="644">
        <f>SUM('ketv. 6 '!P112)</f>
        <v>20373</v>
      </c>
      <c r="Q113" s="644">
        <f>IF(P113&gt;0,O113-P113,0)</f>
        <v>0</v>
      </c>
      <c r="R113" s="644">
        <f>SUM('IV-2 lrsa'!N46)</f>
        <v>0</v>
      </c>
      <c r="S113" s="644">
        <f>SUM('ketv. 6 '!T112)</f>
        <v>0</v>
      </c>
      <c r="T113" s="644">
        <f>IF(S113&gt;0,R113-S113,0)</f>
        <v>0</v>
      </c>
      <c r="U113" s="644">
        <f>SUM('IV-2 lrsa'!O46)</f>
        <v>0</v>
      </c>
      <c r="V113" s="644">
        <f>SUM('ketv. 6 '!X112)</f>
        <v>0</v>
      </c>
      <c r="W113" s="644">
        <f>IF(V113&gt;0,U113-V113,0)</f>
        <v>0</v>
      </c>
      <c r="X113" s="644">
        <f>SUM('IV-2 lrsa'!P46)</f>
        <v>0</v>
      </c>
      <c r="Y113" s="644">
        <f>SUM('ketv. 6 '!AB112)</f>
        <v>0</v>
      </c>
      <c r="Z113" s="644">
        <f>IF(Y113&gt;0,X113-Y113,0)</f>
        <v>0</v>
      </c>
      <c r="AA113" s="644">
        <f>SUM('IV-2 lrsa'!Q46)</f>
        <v>115441</v>
      </c>
      <c r="AB113" s="644">
        <f>SUM('IV-2 vrsa'!R93)</f>
        <v>0</v>
      </c>
      <c r="AC113" s="16" t="str">
        <f>IF('ketv. 4 '!Z113&gt;0,"Taip","Ne")</f>
        <v>Taip</v>
      </c>
      <c r="AD113" s="16">
        <f>SUM('ketv. 6 '!AF112)</f>
        <v>115441</v>
      </c>
      <c r="AE113" s="16">
        <f>IF(AD113&gt;0,AA113-AD113,0)</f>
        <v>0</v>
      </c>
      <c r="AF113" s="431">
        <f>SUM('IV-2 lrsa'!S46)</f>
        <v>42828</v>
      </c>
      <c r="AG113" s="337">
        <f>SUM('IV-2 lrsa'!T46)</f>
        <v>42866</v>
      </c>
      <c r="AH113" s="337">
        <f>SUM('IV-2 lrsa'!U46)</f>
        <v>42916</v>
      </c>
      <c r="AI113" s="337">
        <f>SUM('IV-2 lrsa'!V46)</f>
        <v>43100</v>
      </c>
      <c r="AJ113" s="339">
        <f t="shared" si="129"/>
        <v>2017</v>
      </c>
      <c r="AK113" s="702">
        <f>SUM('IV-2 lrsa'!W48)</f>
        <v>43739</v>
      </c>
      <c r="AL113" s="16">
        <f>IF(YEAR(AI113)=2016,AA113,0)</f>
        <v>0</v>
      </c>
      <c r="AM113" s="16">
        <f>IF(YEAR(AI113)=2017,AA113,0)</f>
        <v>115441</v>
      </c>
      <c r="AN113" s="16">
        <f>IF(YEAR(AI113)=2018,AA113,0)</f>
        <v>0</v>
      </c>
      <c r="AO113" s="16">
        <f>IF(YEAR(AI113)=2019,AA113,0)</f>
        <v>0</v>
      </c>
      <c r="AP113" s="703">
        <f>IF(YEAR(AI113)=2020,AA113,0)</f>
        <v>0</v>
      </c>
      <c r="AQ113" s="50"/>
      <c r="AR113" s="30"/>
      <c r="AS113" s="30"/>
    </row>
    <row r="114" spans="1:48" ht="37.5" customHeight="1" thickBot="1">
      <c r="A114" s="718" t="s">
        <v>101</v>
      </c>
      <c r="B114" s="1888" t="s">
        <v>1461</v>
      </c>
      <c r="C114" s="1891"/>
      <c r="D114" s="1891"/>
      <c r="E114" s="1891"/>
      <c r="F114" s="1891"/>
      <c r="G114" s="1891"/>
      <c r="H114" s="1891"/>
      <c r="I114" s="1891"/>
      <c r="J114" s="1891"/>
      <c r="K114" s="1892"/>
      <c r="L114" s="1054">
        <f>SUM(L115:L119)</f>
        <v>1459021.7699999998</v>
      </c>
      <c r="M114" s="1014">
        <f>SUM(M115:M119)</f>
        <v>1459021.7699999998</v>
      </c>
      <c r="N114" s="1014">
        <f>SUM(N115:N119)</f>
        <v>0</v>
      </c>
      <c r="O114" s="1054">
        <f t="shared" ref="O114" si="130">SUM(O115:O119)</f>
        <v>219970.77</v>
      </c>
      <c r="P114" s="1014">
        <f>SUM(P115:P119)</f>
        <v>219970.77</v>
      </c>
      <c r="Q114" s="1014">
        <f>SUM(Q115:Q119)</f>
        <v>0</v>
      </c>
      <c r="R114" s="1054">
        <f t="shared" ref="R114" si="131">SUM(R115:R119)</f>
        <v>100463</v>
      </c>
      <c r="S114" s="1014">
        <f>SUM(S115:S119)</f>
        <v>100463</v>
      </c>
      <c r="T114" s="1014">
        <f>SUM(T115:T119)</f>
        <v>0</v>
      </c>
      <c r="U114" s="1054">
        <f t="shared" ref="U114" si="132">SUM(U115:U119)</f>
        <v>0</v>
      </c>
      <c r="V114" s="1014">
        <f>SUM(V115:V119)</f>
        <v>0</v>
      </c>
      <c r="W114" s="1014">
        <f>SUM(W115:W119)</f>
        <v>0</v>
      </c>
      <c r="X114" s="1054">
        <f t="shared" ref="X114" si="133">SUM(X115:X119)</f>
        <v>0</v>
      </c>
      <c r="Y114" s="1014">
        <f>SUM(Y115:Y119)</f>
        <v>0</v>
      </c>
      <c r="Z114" s="1014">
        <f>SUM(Z115:Z119)</f>
        <v>0</v>
      </c>
      <c r="AA114" s="1054">
        <f t="shared" ref="AA114" si="134">SUM(AA115:AA119)</f>
        <v>1138588</v>
      </c>
      <c r="AB114" s="1014">
        <f>SUM('IV-2 vrsa'!R94)</f>
        <v>0</v>
      </c>
      <c r="AC114" s="698"/>
      <c r="AD114" s="698">
        <f>SUM(AD115:AD119)</f>
        <v>1138588</v>
      </c>
      <c r="AE114" s="698">
        <f>SUM(AE115:AE119)</f>
        <v>0</v>
      </c>
      <c r="AF114" s="698"/>
      <c r="AG114" s="715"/>
      <c r="AH114" s="715"/>
      <c r="AI114" s="715"/>
      <c r="AJ114" s="716"/>
      <c r="AK114" s="717"/>
      <c r="AL114" s="692">
        <f t="shared" ref="AL114:AM114" si="135">SUM(AL115:AL119)</f>
        <v>0</v>
      </c>
      <c r="AM114" s="692">
        <f t="shared" si="135"/>
        <v>0</v>
      </c>
      <c r="AN114" s="692">
        <f>SUM(AN115:AN119)</f>
        <v>1138588</v>
      </c>
      <c r="AO114" s="692">
        <f t="shared" ref="AO114:AP114" si="136">SUM(AO115:AO119)</f>
        <v>0</v>
      </c>
      <c r="AP114" s="692">
        <f t="shared" si="136"/>
        <v>0</v>
      </c>
      <c r="AQ114" s="30">
        <f>SUM('IV-2 amsa'!X43+'IV-2 arsa'!W47+'IV-2 dsa'!W50+'IV-2 lrsa'!X47+'IV-2 vrsa'!X52)</f>
        <v>1328775.8344968446</v>
      </c>
      <c r="AR114" s="30">
        <f>SUM(AQ114*120/100)</f>
        <v>1594531.0013962134</v>
      </c>
      <c r="AS114" s="30">
        <f>SUM(AQ114-AA114)</f>
        <v>190187.83449684456</v>
      </c>
    </row>
    <row r="115" spans="1:48" ht="39.75" thickTop="1" thickBot="1">
      <c r="A115" s="311" t="s">
        <v>102</v>
      </c>
      <c r="B115" s="311" t="s">
        <v>1327</v>
      </c>
      <c r="C115" s="1093" t="str">
        <f>CONCATENATE('ketv. 2'!B114)</f>
        <v>09.1.3-CPVA-R-705-11-0003</v>
      </c>
      <c r="D115" s="311" t="str">
        <f>CONCATENATE('IV-2 vrsa'!D53)</f>
        <v>Varėnos "Pasakos" vaikų lopšelio-darželio pastato modernizavimas</v>
      </c>
      <c r="E115" s="311" t="str">
        <f>CONCATENATE('IV-2 vrsa'!E53)</f>
        <v>Varėnos rajono savivaldybės administracija</v>
      </c>
      <c r="F115" s="311" t="str">
        <f>CONCATENATE('IV-2 vrsa'!F53)</f>
        <v>Lietuvos Respublikos švietimo ir mokslo ministerija</v>
      </c>
      <c r="G115" s="311" t="str">
        <f>CONCATENATE('IV-2 vrsa'!G53)</f>
        <v>Varėnos r. sav.</v>
      </c>
      <c r="H115" s="130" t="str">
        <f>CONCATENATE('IV-2 vrsa'!H53)</f>
        <v>09.1.3-CPVA-R-705</v>
      </c>
      <c r="I115" s="130" t="str">
        <f>CONCATENATE('IV-2 vrsa'!I53)</f>
        <v>R</v>
      </c>
      <c r="J115" s="130" t="str">
        <f>CONCATENATE('IV-2 vrsa'!J53)</f>
        <v>-</v>
      </c>
      <c r="K115" s="130" t="str">
        <f>CONCATENATE('IV-2 vrsa'!K53)</f>
        <v>-</v>
      </c>
      <c r="L115" s="644">
        <f>SUM('IV-2 vrsa'!L53)</f>
        <v>370000</v>
      </c>
      <c r="M115" s="644">
        <f>SUM('ketv. 6 '!L114)</f>
        <v>370000</v>
      </c>
      <c r="N115" s="644">
        <f>IF(M115&gt;0,L115-M115,0)</f>
        <v>0</v>
      </c>
      <c r="O115" s="644">
        <f>SUM('IV-2 vrsa'!M53)</f>
        <v>57342</v>
      </c>
      <c r="P115" s="644">
        <f>SUM('ketv. 6 '!P114)</f>
        <v>57342</v>
      </c>
      <c r="Q115" s="644">
        <f>IF(P115&gt;0,O115-P115,0)</f>
        <v>0</v>
      </c>
      <c r="R115" s="644">
        <f>SUM('IV-2 vrsa'!N53)</f>
        <v>25351</v>
      </c>
      <c r="S115" s="644">
        <f>SUM('ketv. 6 '!T114)</f>
        <v>25351</v>
      </c>
      <c r="T115" s="644">
        <f>IF(S115&gt;0,R115-S115,0)</f>
        <v>0</v>
      </c>
      <c r="U115" s="644">
        <f>SUM('IV-2 vrsa'!O53)</f>
        <v>0</v>
      </c>
      <c r="V115" s="644">
        <f>SUM('ketv. 6 '!X114)</f>
        <v>0</v>
      </c>
      <c r="W115" s="644">
        <f>IF(V115&gt;0,U115-V115,0)</f>
        <v>0</v>
      </c>
      <c r="X115" s="644">
        <f>SUM('IV-2 vrsa'!P53)</f>
        <v>0</v>
      </c>
      <c r="Y115" s="644">
        <f>SUM('ketv. 6 '!AB114)</f>
        <v>0</v>
      </c>
      <c r="Z115" s="644">
        <f>IF(Y115&gt;0,X115-Y115,0)</f>
        <v>0</v>
      </c>
      <c r="AA115" s="644">
        <f>SUM('IV-2 vrsa'!Q53)</f>
        <v>287307</v>
      </c>
      <c r="AB115" s="644">
        <f>SUM('IV-2 vrsa'!R95)</f>
        <v>0</v>
      </c>
      <c r="AC115" s="16" t="str">
        <f>IF('ketv. 4 '!Z115&gt;0,"Taip","Ne")</f>
        <v>Taip</v>
      </c>
      <c r="AD115" s="16">
        <f>SUM('ketv. 6 '!AF114)</f>
        <v>287307</v>
      </c>
      <c r="AE115" s="16">
        <f>IF(AD115&gt;0,AA115-AD115,0)</f>
        <v>0</v>
      </c>
      <c r="AF115" s="431">
        <f>SUM('IV-2 vrsa'!S53)</f>
        <v>42968</v>
      </c>
      <c r="AG115" s="337">
        <f>SUM('IV-2 vrsa'!T53)</f>
        <v>43039</v>
      </c>
      <c r="AH115" s="337">
        <f>SUM('IV-2 vrsa'!U53)</f>
        <v>43080</v>
      </c>
      <c r="AI115" s="337">
        <v>43179</v>
      </c>
      <c r="AJ115" s="339">
        <f t="shared" ref="AJ115:AJ119" si="137">IF(YEAR(AI115),YEAR(AI115))</f>
        <v>2018</v>
      </c>
      <c r="AK115" s="702">
        <f>SUM('IV-2 vrsa'!W53)</f>
        <v>43679</v>
      </c>
      <c r="AL115" s="16">
        <f>IF(YEAR(AI115)=2016,AA115,0)</f>
        <v>0</v>
      </c>
      <c r="AM115" s="16">
        <f>IF(YEAR(AI115)=2017,AA115,0)</f>
        <v>0</v>
      </c>
      <c r="AN115" s="16">
        <f>IF(YEAR(AI115)=2018,AA115,0)</f>
        <v>287307</v>
      </c>
      <c r="AO115" s="16">
        <f>IF(YEAR(AI115)=2019,AA115,0)</f>
        <v>0</v>
      </c>
      <c r="AP115" s="703">
        <f>IF(YEAR(AI115)=2020,AA115,0)</f>
        <v>0</v>
      </c>
      <c r="AQ115" s="30"/>
      <c r="AR115" s="30"/>
      <c r="AS115" s="30"/>
    </row>
    <row r="116" spans="1:48" ht="62.25" customHeight="1" thickTop="1" thickBot="1">
      <c r="A116" s="311" t="s">
        <v>201</v>
      </c>
      <c r="B116" s="311" t="s">
        <v>1328</v>
      </c>
      <c r="C116" s="1093" t="str">
        <f>CONCATENATE('ketv. 2'!B115)</f>
        <v>09.1.3-CPVA-R-705-11-0004</v>
      </c>
      <c r="D116" s="311" t="str">
        <f>CONCATENATE('IV-2 arsa'!C48)</f>
        <v>Alytaus r. ikimokyklinio ir priešmokyklinio ugdymo prieinamumo didinimas įkuriant ir atnaujinant edukacines erdves</v>
      </c>
      <c r="E116" s="311" t="str">
        <f>CONCATENATE('IV-2 arsa'!D48)</f>
        <v>Alytaus rajono savivaldybės administracija</v>
      </c>
      <c r="F116" s="311" t="str">
        <f>CONCATENATE('IV-2 arsa'!E48)</f>
        <v>Lietuvos Respublikos švietimo ir mokslo ministerija</v>
      </c>
      <c r="G116" s="311" t="str">
        <f>CONCATENATE('IV-2 arsa'!F48)</f>
        <v>Alytaus r. sav.</v>
      </c>
      <c r="H116" s="130" t="str">
        <f>CONCATENATE('IV-2 arsa'!G48)</f>
        <v>09.1.3-CPVA-R-705</v>
      </c>
      <c r="I116" s="130" t="str">
        <f>CONCATENATE('IV-2 arsa'!H48)</f>
        <v>R</v>
      </c>
      <c r="J116" s="130" t="str">
        <f>CONCATENATE('IV-2 arsa'!I48)</f>
        <v/>
      </c>
      <c r="K116" s="130" t="str">
        <f>CONCATENATE('IV-2 arsa'!J48)</f>
        <v/>
      </c>
      <c r="L116" s="644">
        <f>SUM('IV-2 arsa'!K48)</f>
        <v>597456.88</v>
      </c>
      <c r="M116" s="644">
        <f>SUM('ketv. 6 '!L115)</f>
        <v>597456.88</v>
      </c>
      <c r="N116" s="644">
        <f>IF(M116&gt;0,L116-M116,0)</f>
        <v>0</v>
      </c>
      <c r="O116" s="644">
        <f>SUM('IV-2 arsa'!L48)</f>
        <v>59861.88</v>
      </c>
      <c r="P116" s="644">
        <f>SUM('ketv. 6 '!P115)</f>
        <v>59861.88</v>
      </c>
      <c r="Q116" s="644">
        <f>IF(P116&gt;0,O116-P116,0)</f>
        <v>0</v>
      </c>
      <c r="R116" s="644">
        <f>SUM('IV-2 arsa'!M48)</f>
        <v>43588</v>
      </c>
      <c r="S116" s="644">
        <f>SUM('ketv. 6 '!T115)</f>
        <v>43588</v>
      </c>
      <c r="T116" s="644">
        <f>IF(S116&gt;0,R116-S116,0)</f>
        <v>0</v>
      </c>
      <c r="U116" s="644">
        <f>SUM('IV-2 arsa'!N48)</f>
        <v>0</v>
      </c>
      <c r="V116" s="644">
        <f>SUM('ketv. 6 '!X115)</f>
        <v>0</v>
      </c>
      <c r="W116" s="644">
        <f>IF(V116&gt;0,U116-V116,0)</f>
        <v>0</v>
      </c>
      <c r="X116" s="644">
        <f>SUM('IV-2 arsa'!O48)</f>
        <v>0</v>
      </c>
      <c r="Y116" s="644">
        <f>SUM('ketv. 6 '!AB115)</f>
        <v>0</v>
      </c>
      <c r="Z116" s="644">
        <f>IF(Y116&gt;0,X116-Y116,0)</f>
        <v>0</v>
      </c>
      <c r="AA116" s="644">
        <f>SUM('IV-2 arsa'!P48)</f>
        <v>494007</v>
      </c>
      <c r="AB116" s="644">
        <f>SUM('IV-2 vrsa'!R96)</f>
        <v>0</v>
      </c>
      <c r="AC116" s="16" t="str">
        <f>IF('ketv. 4 '!Z116&gt;0,"Taip","Ne")</f>
        <v>Taip</v>
      </c>
      <c r="AD116" s="16">
        <f>SUM('ketv. 6 '!AF115)</f>
        <v>494007</v>
      </c>
      <c r="AE116" s="16">
        <f>IF(AD116&gt;0,AA116-AD116,0)</f>
        <v>0</v>
      </c>
      <c r="AF116" s="431">
        <f>SUM('IV-2 arsa'!R48)</f>
        <v>42968</v>
      </c>
      <c r="AG116" s="337">
        <f>SUM('IV-2 arsa'!S48)</f>
        <v>43039</v>
      </c>
      <c r="AH116" s="337">
        <f>SUM('IV-2 arsa'!T48)</f>
        <v>43080</v>
      </c>
      <c r="AI116" s="337">
        <f>SUM('IV-2 arsa'!U48)</f>
        <v>43186</v>
      </c>
      <c r="AJ116" s="339">
        <f t="shared" si="137"/>
        <v>2018</v>
      </c>
      <c r="AK116" s="702">
        <f>SUM('IV-2 arsa'!V48)</f>
        <v>43845</v>
      </c>
      <c r="AL116" s="16">
        <f>IF(YEAR(AI116)=2016,AA116,0)</f>
        <v>0</v>
      </c>
      <c r="AM116" s="16">
        <f>IF(YEAR(AI116)=2017,AA116,0)</f>
        <v>0</v>
      </c>
      <c r="AN116" s="16">
        <f>IF(YEAR(AI116)=2018,AA116,0)</f>
        <v>494007</v>
      </c>
      <c r="AO116" s="16">
        <f>IF(YEAR(AI116)=2019,AA116,0)</f>
        <v>0</v>
      </c>
      <c r="AP116" s="703">
        <f>IF(YEAR(AI116)=2020,AA116,0)</f>
        <v>0</v>
      </c>
      <c r="AQ116" s="50"/>
      <c r="AR116" s="30"/>
      <c r="AS116" s="30"/>
    </row>
    <row r="117" spans="1:48" ht="54.75" customHeight="1" thickTop="1" thickBot="1">
      <c r="A117" s="311" t="s">
        <v>224</v>
      </c>
      <c r="B117" s="311" t="s">
        <v>1329</v>
      </c>
      <c r="C117" s="1093" t="str">
        <f>CONCATENATE('ketv. 2'!B116)</f>
        <v>09.1.3-CPVA-R-705-11-0001</v>
      </c>
      <c r="D117" s="311" t="str">
        <f>CONCATENATE('IV-2 amsa'!D44)</f>
        <v>Alytaus lopšelio-darželio „Girinukas“ ugdymo aplinkos modernizavimas</v>
      </c>
      <c r="E117" s="311" t="str">
        <f>CONCATENATE('IV-2 amsa'!E44)</f>
        <v>Alytaus miesto savivaldybės administracija</v>
      </c>
      <c r="F117" s="311" t="str">
        <f>CONCATENATE('IV-2 amsa'!F44)</f>
        <v>Lietuvos Respublikos švietimo ir mokslo ministerija</v>
      </c>
      <c r="G117" s="311" t="str">
        <f>CONCATENATE('IV-2 amsa'!G44)</f>
        <v>Alytaus m. sav.</v>
      </c>
      <c r="H117" s="130" t="str">
        <f>CONCATENATE('IV-2 amsa'!H44)</f>
        <v>09.1.3-CPVA-R-705</v>
      </c>
      <c r="I117" s="130" t="str">
        <f>CONCATENATE('IV-2 amsa'!I44)</f>
        <v>R</v>
      </c>
      <c r="J117" s="130" t="str">
        <f>CONCATENATE('IV-2 amsa'!J44)</f>
        <v>-</v>
      </c>
      <c r="K117" s="130" t="str">
        <f>CONCATENATE('IV-2 amsa'!K44)</f>
        <v>-</v>
      </c>
      <c r="L117" s="644">
        <f>SUM('IV-2 amsa'!L44)</f>
        <v>181986</v>
      </c>
      <c r="M117" s="644">
        <f>SUM('ketv. 6 '!L116)</f>
        <v>181986</v>
      </c>
      <c r="N117" s="644">
        <f>IF(M117&gt;0,L117-M117,0)</f>
        <v>0</v>
      </c>
      <c r="O117" s="644">
        <f>SUM('IV-2 amsa'!M44)</f>
        <v>13649</v>
      </c>
      <c r="P117" s="644">
        <f>SUM('ketv. 6 '!P116)</f>
        <v>13649</v>
      </c>
      <c r="Q117" s="644">
        <f>IF(P117&gt;0,O117-P117,0)</f>
        <v>0</v>
      </c>
      <c r="R117" s="644">
        <f>SUM('IV-2 amsa'!N44)</f>
        <v>13649</v>
      </c>
      <c r="S117" s="644">
        <f>SUM('ketv. 6 '!T116)</f>
        <v>13649</v>
      </c>
      <c r="T117" s="644">
        <f>IF(S117&gt;0,R117-S117,0)</f>
        <v>0</v>
      </c>
      <c r="U117" s="644">
        <f>SUM('IV-2 amsa'!O44)</f>
        <v>0</v>
      </c>
      <c r="V117" s="644">
        <f>SUM('ketv. 6 '!X116)</f>
        <v>0</v>
      </c>
      <c r="W117" s="644">
        <f>IF(V117&gt;0,U117-V117,0)</f>
        <v>0</v>
      </c>
      <c r="X117" s="644">
        <f>SUM('IV-2 amsa'!P44)</f>
        <v>0</v>
      </c>
      <c r="Y117" s="644">
        <f>SUM('ketv. 6 '!AB116)</f>
        <v>0</v>
      </c>
      <c r="Z117" s="644">
        <f>IF(Y117&gt;0,X117-Y117,0)</f>
        <v>0</v>
      </c>
      <c r="AA117" s="644">
        <f>SUM('IV-2 amsa'!Q44)</f>
        <v>154688</v>
      </c>
      <c r="AB117" s="644">
        <f>SUM('IV-2 vrsa'!R97)</f>
        <v>0</v>
      </c>
      <c r="AC117" s="16" t="str">
        <f>IF('ketv. 4 '!Z117&gt;0,"Taip","Ne")</f>
        <v>Taip</v>
      </c>
      <c r="AD117" s="16">
        <f>SUM('ketv. 6 '!AF116)</f>
        <v>154688</v>
      </c>
      <c r="AE117" s="16">
        <f>IF(AD117&gt;0,AA117-AD117,0)</f>
        <v>0</v>
      </c>
      <c r="AF117" s="431">
        <f>SUM('IV-2 amsa'!S44)</f>
        <v>42966</v>
      </c>
      <c r="AG117" s="337">
        <f>SUM('IV-2 amsa'!T44)</f>
        <v>43039</v>
      </c>
      <c r="AH117" s="337">
        <f>SUM('IV-2 amsa'!U44)</f>
        <v>43080</v>
      </c>
      <c r="AI117" s="337">
        <f>SUM('IV-2 amsa'!V44)</f>
        <v>43164</v>
      </c>
      <c r="AJ117" s="339">
        <f t="shared" si="137"/>
        <v>2018</v>
      </c>
      <c r="AK117" s="702">
        <f>SUM('IV-2 amsa'!W44)</f>
        <v>43739.5</v>
      </c>
      <c r="AL117" s="16">
        <f>IF(YEAR(AI117)=2016,AA117,0)</f>
        <v>0</v>
      </c>
      <c r="AM117" s="16">
        <f>IF(YEAR(AI117)=2017,AA117,0)</f>
        <v>0</v>
      </c>
      <c r="AN117" s="16">
        <f>IF(YEAR(AI117)=2018,AA117,0)</f>
        <v>154688</v>
      </c>
      <c r="AO117" s="16">
        <f>IF(YEAR(AI117)=2019,AA117,0)</f>
        <v>0</v>
      </c>
      <c r="AP117" s="703">
        <f>IF(YEAR(AI117)=2020,AA117,0)</f>
        <v>0</v>
      </c>
      <c r="AQ117" s="50"/>
      <c r="AR117" s="30"/>
      <c r="AS117" s="30"/>
    </row>
    <row r="118" spans="1:48" ht="39.75" thickTop="1" thickBot="1">
      <c r="A118" s="311" t="s">
        <v>246</v>
      </c>
      <c r="B118" s="311" t="s">
        <v>1330</v>
      </c>
      <c r="C118" s="1093" t="str">
        <f>CONCATENATE('ketv. 2'!B117)</f>
        <v>09.1.3-CPVA-R-705-11-0006</v>
      </c>
      <c r="D118" s="311" t="str">
        <f>CONCATENATE('IV-2 dsa'!C51)</f>
        <v>Druskininkų sav. Viečiūnų progimnazijos ikimokyklinio ugdymo skyriaus „Linelis“ ugdymo prieinamumo didinimas</v>
      </c>
      <c r="E118" s="311" t="str">
        <f>CONCATENATE('IV-2 dsa'!D51)</f>
        <v xml:space="preserve">Druskininkų savivaldybės administracija  </v>
      </c>
      <c r="F118" s="311" t="str">
        <f>CONCATENATE('IV-2 dsa'!E51)</f>
        <v>Lietuvos Respublikos švietimo ir mokslo ministerija</v>
      </c>
      <c r="G118" s="311" t="str">
        <f>CONCATENATE('IV-2 dsa'!F51)</f>
        <v>Druskininkų sav.</v>
      </c>
      <c r="H118" s="130" t="str">
        <f>CONCATENATE('IV-2 dsa'!G51)</f>
        <v>09.1.3-CPVA-R-705</v>
      </c>
      <c r="I118" s="130" t="str">
        <f>CONCATENATE('IV-2 dsa'!H51)</f>
        <v>R</v>
      </c>
      <c r="J118" s="130" t="str">
        <f>CONCATENATE('IV-2 dsa'!I51)</f>
        <v>-</v>
      </c>
      <c r="K118" s="130" t="str">
        <f>CONCATENATE('IV-2 dsa'!J51)</f>
        <v>-</v>
      </c>
      <c r="L118" s="644">
        <f>SUM('IV-2 dsa'!K51)</f>
        <v>176024.68</v>
      </c>
      <c r="M118" s="644">
        <f>SUM('ketv. 6 '!L117)</f>
        <v>176024.68</v>
      </c>
      <c r="N118" s="644">
        <f>IF(M118&gt;0,L118-M118,0)</f>
        <v>0</v>
      </c>
      <c r="O118" s="644">
        <f>SUM('IV-2 dsa'!L51)</f>
        <v>79091.679999999993</v>
      </c>
      <c r="P118" s="644">
        <f>SUM('ketv. 6 '!P117)</f>
        <v>79091.679999999993</v>
      </c>
      <c r="Q118" s="644">
        <f>IF(P118&gt;0,O118-P118,0)</f>
        <v>0</v>
      </c>
      <c r="R118" s="644">
        <f>SUM('IV-2 dsa'!M51)</f>
        <v>7859</v>
      </c>
      <c r="S118" s="644">
        <f>SUM('ketv. 6 '!T117)</f>
        <v>7859</v>
      </c>
      <c r="T118" s="644">
        <f>IF(S118&gt;0,R118-S118,0)</f>
        <v>0</v>
      </c>
      <c r="U118" s="644">
        <f>SUM('IV-2 dsa'!N51)</f>
        <v>0</v>
      </c>
      <c r="V118" s="644">
        <f>SUM('ketv. 6 '!X117)</f>
        <v>0</v>
      </c>
      <c r="W118" s="644">
        <f>IF(V118&gt;0,U118-V118,0)</f>
        <v>0</v>
      </c>
      <c r="X118" s="644">
        <f>SUM('IV-2 dsa'!O51)</f>
        <v>0</v>
      </c>
      <c r="Y118" s="644">
        <f>SUM('ketv. 6 '!AB117)</f>
        <v>0</v>
      </c>
      <c r="Z118" s="644">
        <f>IF(Y118&gt;0,X118-Y118,0)</f>
        <v>0</v>
      </c>
      <c r="AA118" s="644">
        <f>SUM('IV-2 dsa'!P51)</f>
        <v>89074</v>
      </c>
      <c r="AB118" s="644">
        <f>SUM('IV-2 vrsa'!R98)</f>
        <v>0</v>
      </c>
      <c r="AC118" s="16" t="str">
        <f>IF('ketv. 4 '!Z118&gt;0,"Taip","Ne")</f>
        <v>Taip</v>
      </c>
      <c r="AD118" s="16">
        <f>SUM('ketv. 6 '!AF117)</f>
        <v>89074</v>
      </c>
      <c r="AE118" s="16">
        <f>IF(AD118&gt;0,AA118-AD118,0)</f>
        <v>0</v>
      </c>
      <c r="AF118" s="431">
        <f>SUM('IV-2 dsa'!R51)</f>
        <v>42966</v>
      </c>
      <c r="AG118" s="337">
        <f>SUM('IV-2 dsa'!S51)</f>
        <v>43008</v>
      </c>
      <c r="AH118" s="337">
        <f>SUM('IV-2 dsa'!T51)</f>
        <v>43160</v>
      </c>
      <c r="AI118" s="337">
        <f>SUM('IV-2 dsa'!U51)</f>
        <v>43252</v>
      </c>
      <c r="AJ118" s="339">
        <f t="shared" si="137"/>
        <v>2018</v>
      </c>
      <c r="AK118" s="702">
        <f>SUM('IV-2 dsa'!V51)</f>
        <v>43707</v>
      </c>
      <c r="AL118" s="16">
        <f>IF(YEAR(AI118)=2016,AA118,0)</f>
        <v>0</v>
      </c>
      <c r="AM118" s="16">
        <f>IF(YEAR(AI118)=2017,AA118,0)</f>
        <v>0</v>
      </c>
      <c r="AN118" s="16">
        <f>IF(YEAR(AI118)=2018,AA118,0)</f>
        <v>89074</v>
      </c>
      <c r="AO118" s="16">
        <f>IF(YEAR(AI118)=2019,AA118,0)</f>
        <v>0</v>
      </c>
      <c r="AP118" s="703">
        <f>IF(YEAR(AI118)=2020,AA118,0)</f>
        <v>0</v>
      </c>
      <c r="AQ118" s="50"/>
      <c r="AR118" s="30"/>
      <c r="AS118" s="30"/>
    </row>
    <row r="119" spans="1:48" ht="39.75" thickTop="1" thickBot="1">
      <c r="A119" s="311" t="s">
        <v>284</v>
      </c>
      <c r="B119" s="522" t="s">
        <v>1331</v>
      </c>
      <c r="C119" s="1093" t="str">
        <f>CONCATENATE('ketv. 2'!B118)</f>
        <v>09.1.3-CPVA-R-705-11-0002</v>
      </c>
      <c r="D119" s="522" t="str">
        <f>CONCATENATE('IV-2 lrsa'!D48)</f>
        <v>Ikimokyklinio ir priešmokyklinio ugdymo įstaigų Lazdijų rajono savivaldybėje modernizavimas</v>
      </c>
      <c r="E119" s="522" t="str">
        <f>CONCATENATE('IV-2 lrsa'!E48)</f>
        <v>Lazdijų rajono savivaldybės administracija</v>
      </c>
      <c r="F119" s="522" t="str">
        <f>CONCATENATE('IV-2 lrsa'!F48)</f>
        <v>Lietuvos Respublikos švietimo ir mokslo ministerija</v>
      </c>
      <c r="G119" s="522" t="str">
        <f>CONCATENATE('IV-2 lrsa'!G48)</f>
        <v>Lazdijų r. sav.</v>
      </c>
      <c r="H119" s="314" t="str">
        <f>CONCATENATE('IV-2 lrsa'!H48)</f>
        <v>09.1.3-CPVA-R-705</v>
      </c>
      <c r="I119" s="314" t="str">
        <f>CONCATENATE('IV-2 lrsa'!I48)</f>
        <v>R</v>
      </c>
      <c r="J119" s="314" t="str">
        <f>CONCATENATE('IV-2 lrsa'!J48)</f>
        <v>-</v>
      </c>
      <c r="K119" s="314" t="str">
        <f>CONCATENATE('IV-2 lrsa'!K48)</f>
        <v>-</v>
      </c>
      <c r="L119" s="644">
        <f>SUM('IV-2 lrsa'!L48)</f>
        <v>133554.21</v>
      </c>
      <c r="M119" s="644">
        <f>SUM('ketv. 6 '!L118)</f>
        <v>133554.21</v>
      </c>
      <c r="N119" s="644">
        <f>IF(M119&gt;0,L119-M119,0)</f>
        <v>0</v>
      </c>
      <c r="O119" s="644">
        <f>SUM('IV-2 lrsa'!M48)</f>
        <v>10026.209999999999</v>
      </c>
      <c r="P119" s="644">
        <f>SUM('ketv. 6 '!P118)</f>
        <v>10026.209999999999</v>
      </c>
      <c r="Q119" s="644">
        <f>IF(P119&gt;0,O119-P119,0)</f>
        <v>0</v>
      </c>
      <c r="R119" s="644">
        <f>SUM('IV-2 lrsa'!N48)</f>
        <v>10016</v>
      </c>
      <c r="S119" s="644">
        <f>SUM('ketv. 6 '!T118)</f>
        <v>10016</v>
      </c>
      <c r="T119" s="644">
        <f>IF(S119&gt;0,R119-S119,0)</f>
        <v>0</v>
      </c>
      <c r="U119" s="644">
        <f>SUM('IV-2 lrsa'!O48)</f>
        <v>0</v>
      </c>
      <c r="V119" s="644">
        <f>SUM('ketv. 6 '!X118)</f>
        <v>0</v>
      </c>
      <c r="W119" s="644">
        <f>IF(V119&gt;0,U119-V119,0)</f>
        <v>0</v>
      </c>
      <c r="X119" s="644">
        <f>SUM('IV-2 lrsa'!P48)</f>
        <v>0</v>
      </c>
      <c r="Y119" s="644">
        <f>SUM('ketv. 6 '!AB118)</f>
        <v>0</v>
      </c>
      <c r="Z119" s="644">
        <f>IF(Y119&gt;0,X119-Y119,0)</f>
        <v>0</v>
      </c>
      <c r="AA119" s="644">
        <f>SUM('IV-2 lrsa'!Q48)</f>
        <v>113512</v>
      </c>
      <c r="AB119" s="644">
        <f>SUM('IV-2 vrsa'!R99)</f>
        <v>0</v>
      </c>
      <c r="AC119" s="16" t="str">
        <f>IF('ketv. 4 '!Z119&gt;0,"Taip","Ne")</f>
        <v>Taip</v>
      </c>
      <c r="AD119" s="16">
        <f>SUM('ketv. 6 '!AF118)</f>
        <v>113512</v>
      </c>
      <c r="AE119" s="16">
        <f>IF(AD119&gt;0,AA119-AD119,0)</f>
        <v>0</v>
      </c>
      <c r="AF119" s="431">
        <f>SUM('IV-2 lrsa'!S48)</f>
        <v>42966</v>
      </c>
      <c r="AG119" s="337">
        <f>SUM('IV-2 lrsa'!T48)</f>
        <v>43039</v>
      </c>
      <c r="AH119" s="337">
        <f>SUM('IV-2 lrsa'!U48)</f>
        <v>43080</v>
      </c>
      <c r="AI119" s="337">
        <f>SUM('IV-2 lrsa'!V48)</f>
        <v>43159</v>
      </c>
      <c r="AJ119" s="339">
        <f t="shared" si="137"/>
        <v>2018</v>
      </c>
      <c r="AK119" s="702">
        <f>SUM('IV-2 lrsa'!W48)</f>
        <v>43739</v>
      </c>
      <c r="AL119" s="16">
        <f>IF(YEAR(AI119)=2016,AA119,0)</f>
        <v>0</v>
      </c>
      <c r="AM119" s="16">
        <f>IF(YEAR(AI119)=2017,AA119,0)</f>
        <v>0</v>
      </c>
      <c r="AN119" s="16">
        <f>IF(YEAR(AI119)=2018,AA119,0)</f>
        <v>113512</v>
      </c>
      <c r="AO119" s="16">
        <f>IF(YEAR(AI119)=2019,AA119,0)</f>
        <v>0</v>
      </c>
      <c r="AP119" s="703">
        <f>IF(YEAR(AI119)=2020,AA119,0)</f>
        <v>0</v>
      </c>
      <c r="AQ119" s="30"/>
      <c r="AR119" s="30"/>
      <c r="AS119" s="30"/>
    </row>
    <row r="120" spans="1:48" ht="57.75" customHeight="1" thickBot="1">
      <c r="A120" s="824" t="s">
        <v>32</v>
      </c>
      <c r="B120" s="1893" t="s">
        <v>1438</v>
      </c>
      <c r="C120" s="1894"/>
      <c r="D120" s="1894"/>
      <c r="E120" s="1894"/>
      <c r="F120" s="1894"/>
      <c r="G120" s="1894"/>
      <c r="H120" s="1894"/>
      <c r="I120" s="1894"/>
      <c r="J120" s="1894"/>
      <c r="K120" s="1895"/>
      <c r="L120" s="1053">
        <f>SUM(L121+L135+L141)</f>
        <v>2507585.75</v>
      </c>
      <c r="M120" s="1021"/>
      <c r="N120" s="1021"/>
      <c r="O120" s="1053">
        <f t="shared" ref="O120:W120" si="138">SUM(O121+O135+O141)</f>
        <v>146668.16</v>
      </c>
      <c r="P120" s="1021">
        <f t="shared" si="138"/>
        <v>194022.63</v>
      </c>
      <c r="Q120" s="1021">
        <f t="shared" si="138"/>
        <v>-116889.35</v>
      </c>
      <c r="R120" s="1053">
        <f t="shared" si="138"/>
        <v>188734.58000000002</v>
      </c>
      <c r="S120" s="1021">
        <f t="shared" si="138"/>
        <v>267964.37</v>
      </c>
      <c r="T120" s="1021">
        <f t="shared" si="138"/>
        <v>-99711.01999999999</v>
      </c>
      <c r="U120" s="1053">
        <f t="shared" si="138"/>
        <v>40107.979999999996</v>
      </c>
      <c r="V120" s="1021">
        <f t="shared" si="138"/>
        <v>36007.759999999995</v>
      </c>
      <c r="W120" s="1021">
        <f t="shared" si="138"/>
        <v>-24265.78</v>
      </c>
      <c r="X120" s="1053">
        <f t="shared" ref="X120" si="139">SUM(X121+X135+X141)</f>
        <v>1299.95</v>
      </c>
      <c r="Y120" s="1021">
        <f>SUM(Y121+Y135+Y141)</f>
        <v>72370.39</v>
      </c>
      <c r="Z120" s="1021">
        <f>SUM(Z121+Z135+Z141)</f>
        <v>-72370.39</v>
      </c>
      <c r="AA120" s="1053">
        <f>SUM(AA121+AA135+AA141)</f>
        <v>2130775.08</v>
      </c>
      <c r="AB120" s="1021">
        <f>SUM('IV-2 vrsa'!R100)</f>
        <v>0</v>
      </c>
      <c r="AC120" s="122"/>
      <c r="AD120" s="122"/>
      <c r="AE120" s="122"/>
      <c r="AF120" s="122"/>
      <c r="AG120" s="720"/>
      <c r="AH120" s="720"/>
      <c r="AI120" s="720"/>
      <c r="AJ120" s="14"/>
      <c r="AK120" s="156"/>
      <c r="AL120" s="16"/>
      <c r="AM120" s="692"/>
      <c r="AN120" s="692"/>
      <c r="AO120" s="692"/>
      <c r="AP120" s="692"/>
      <c r="AQ120" s="30">
        <f>SUM(AQ121+AQ135)</f>
        <v>2086001.6</v>
      </c>
      <c r="AR120" s="30">
        <f>SUM(AR121+AR135)</f>
        <v>2503201.92</v>
      </c>
      <c r="AS120" s="30">
        <f>SUM(AS121+AS135)</f>
        <v>9987.2200000002049</v>
      </c>
    </row>
    <row r="121" spans="1:48" ht="35.25" customHeight="1" thickBot="1">
      <c r="A121" s="697" t="s">
        <v>33</v>
      </c>
      <c r="B121" s="1899" t="s">
        <v>1439</v>
      </c>
      <c r="C121" s="1897"/>
      <c r="D121" s="1897"/>
      <c r="E121" s="1897"/>
      <c r="F121" s="1897"/>
      <c r="G121" s="1897"/>
      <c r="H121" s="1897"/>
      <c r="I121" s="1897"/>
      <c r="J121" s="1897"/>
      <c r="K121" s="1898"/>
      <c r="L121" s="1054">
        <f t="shared" ref="L121:W121" si="140">SUM(L122:L134)</f>
        <v>1447388.03</v>
      </c>
      <c r="M121" s="1014">
        <f t="shared" si="140"/>
        <v>643475.69000000006</v>
      </c>
      <c r="N121" s="1014">
        <f t="shared" si="140"/>
        <v>-8055.6600000000326</v>
      </c>
      <c r="O121" s="1054">
        <f t="shared" si="140"/>
        <v>68448</v>
      </c>
      <c r="P121" s="1014">
        <f t="shared" si="140"/>
        <v>134323.35</v>
      </c>
      <c r="Q121" s="1014">
        <f t="shared" si="140"/>
        <v>-116889.35</v>
      </c>
      <c r="R121" s="1054">
        <f t="shared" si="140"/>
        <v>108554.52</v>
      </c>
      <c r="S121" s="1014">
        <f t="shared" si="140"/>
        <v>208265.54</v>
      </c>
      <c r="T121" s="1014">
        <f t="shared" si="140"/>
        <v>-99711.01999999999</v>
      </c>
      <c r="U121" s="1054">
        <f t="shared" si="140"/>
        <v>40107.979999999996</v>
      </c>
      <c r="V121" s="1014">
        <f t="shared" si="140"/>
        <v>36007.759999999995</v>
      </c>
      <c r="W121" s="1014">
        <f t="shared" si="140"/>
        <v>-24265.78</v>
      </c>
      <c r="X121" s="1054">
        <f t="shared" ref="X121" si="141">SUM(X122:X134)</f>
        <v>0</v>
      </c>
      <c r="Y121" s="1014">
        <f>SUM(Y122:Y133)</f>
        <v>72370.39</v>
      </c>
      <c r="Z121" s="1014">
        <f>SUM(Z122:Z133)</f>
        <v>-72370.39</v>
      </c>
      <c r="AA121" s="1054">
        <f>SUM(AA122:AA134)</f>
        <v>1230277.5299999998</v>
      </c>
      <c r="AB121" s="1014">
        <f>SUM('IV-2 vrsa'!R101)</f>
        <v>0</v>
      </c>
      <c r="AC121" s="708">
        <f t="shared" ref="AC121" si="142">SUM(AC122:AC133)</f>
        <v>0</v>
      </c>
      <c r="AD121" s="708">
        <f>SUM(AD122:AD133)</f>
        <v>1223795.02</v>
      </c>
      <c r="AE121" s="708">
        <f>SUM(AE122:AE133)</f>
        <v>-576.48999999997795</v>
      </c>
      <c r="AF121" s="708"/>
      <c r="AG121" s="709"/>
      <c r="AH121" s="709"/>
      <c r="AI121" s="709"/>
      <c r="AJ121" s="710"/>
      <c r="AK121" s="711"/>
      <c r="AL121" s="708">
        <f>SUM(AL122:AL134)</f>
        <v>0</v>
      </c>
      <c r="AM121" s="708">
        <f>SUM(AM122:AM134)</f>
        <v>0</v>
      </c>
      <c r="AN121" s="708">
        <f>SUM(AN122:AN134)</f>
        <v>700798.52999999991</v>
      </c>
      <c r="AO121" s="708">
        <f>SUM(AO122:AO134)</f>
        <v>529479</v>
      </c>
      <c r="AP121" s="708">
        <f>SUM(AP122:AP134)</f>
        <v>0</v>
      </c>
      <c r="AQ121" s="30">
        <v>1230854</v>
      </c>
      <c r="AR121" s="30">
        <f>SUM(AQ121*120/100)</f>
        <v>1477024.8</v>
      </c>
      <c r="AS121" s="30">
        <f>SUM(AQ121-AA121)</f>
        <v>576.47000000020489</v>
      </c>
    </row>
    <row r="122" spans="1:48" ht="39.75" thickTop="1" thickBot="1">
      <c r="A122" s="311" t="s">
        <v>104</v>
      </c>
      <c r="B122" s="311" t="s">
        <v>1451</v>
      </c>
      <c r="C122" s="1093" t="str">
        <f>CONCATENATE('ketv. 2'!B121)</f>
        <v>08.1.3-CPVA-R-609-11-0002</v>
      </c>
      <c r="D122" s="311" t="str">
        <f>CONCATENATE('IV-2 amsa'!D47)</f>
        <v>Alytaus poliklinikos teikiamų pirminės sveikatos priežiūros paslaugų prieinamumo didinimas ir kokybės gerinimas</v>
      </c>
      <c r="E122" s="311" t="str">
        <f>CONCATENATE('IV-2 amsa'!E47)</f>
        <v>VšĮ Alytaus poliklinika</v>
      </c>
      <c r="F122" s="311" t="str">
        <f>CONCATENATE('IV-2 amsa'!F47)</f>
        <v>Lietuvos Respublikos Sveikatos apsaugos ministerija</v>
      </c>
      <c r="G122" s="311" t="str">
        <f>CONCATENATE('IV-2 amsa'!G47)</f>
        <v>Alytaus m. sav.</v>
      </c>
      <c r="H122" s="311" t="str">
        <f>CONCATENATE('IV-2 amsa'!H47)</f>
        <v>08.1.3-CPVA-R-609</v>
      </c>
      <c r="I122" s="311" t="str">
        <f>CONCATENATE('IV-2 amsa'!I47)</f>
        <v>R</v>
      </c>
      <c r="J122" s="311" t="str">
        <f>CONCATENATE('IV-2 amsa'!J47)</f>
        <v>-</v>
      </c>
      <c r="K122" s="311" t="str">
        <f>CONCATENATE('IV-2 amsa'!K47)</f>
        <v>-</v>
      </c>
      <c r="L122" s="644">
        <f>SUM('IV-2 amsa'!L47)</f>
        <v>458183</v>
      </c>
      <c r="M122" s="644">
        <f>SUM('ketv. 6 '!L121)</f>
        <v>466768.66000000003</v>
      </c>
      <c r="N122" s="644">
        <f>IF(M122&gt;0,L122-M122,0)</f>
        <v>-8585.6600000000326</v>
      </c>
      <c r="O122" s="644">
        <f>SUM('IV-2 amsa'!M47)</f>
        <v>34364</v>
      </c>
      <c r="P122" s="644">
        <f>SUM('ketv. 6 '!P121)</f>
        <v>0</v>
      </c>
      <c r="Q122" s="644">
        <f t="shared" ref="Q122:Q134" si="143">IF(P122&gt;0,O122-P122,0)</f>
        <v>0</v>
      </c>
      <c r="R122" s="644">
        <f>SUM('IV-2 amsa'!N47)</f>
        <v>34363</v>
      </c>
      <c r="S122" s="644">
        <f>SUM('ketv. 6 '!T121)</f>
        <v>34364</v>
      </c>
      <c r="T122" s="644">
        <f t="shared" ref="T122:T134" si="144">IF(S122&gt;0,R122-S122,0)</f>
        <v>-1</v>
      </c>
      <c r="U122" s="644">
        <f>SUM('IV-2 amsa'!O47)</f>
        <v>0</v>
      </c>
      <c r="V122" s="644">
        <f>SUM('ketv. 6 '!X121)</f>
        <v>0</v>
      </c>
      <c r="W122" s="644">
        <f t="shared" ref="W122:W134" si="145">IF(V122&gt;0,U122-V122,0)</f>
        <v>0</v>
      </c>
      <c r="X122" s="644">
        <f>SUM('IV-2 amsa'!P47)</f>
        <v>0</v>
      </c>
      <c r="Y122" s="644">
        <f>SUM('ketv. 6 '!AB121)</f>
        <v>42948.66</v>
      </c>
      <c r="Z122" s="644">
        <f t="shared" ref="Z122:Z134" si="146">IF(Y122&gt;0,X122-Y122,0)</f>
        <v>-42948.66</v>
      </c>
      <c r="AA122" s="644">
        <f>SUM('IV-2 amsa'!Q47)</f>
        <v>389456</v>
      </c>
      <c r="AB122" s="644">
        <f>SUM('IV-2 vrsa'!R102)</f>
        <v>0</v>
      </c>
      <c r="AC122" s="16" t="str">
        <f>IF('ketv. 4 '!Z122&gt;0,"Taip","Ne")</f>
        <v>Taip</v>
      </c>
      <c r="AD122" s="16">
        <f>SUM('ketv. 6 '!AF121)</f>
        <v>389456</v>
      </c>
      <c r="AE122" s="16">
        <f t="shared" ref="AE122:AE134" si="147">IF(AD122&gt;0,AA122-AD122,0)</f>
        <v>0</v>
      </c>
      <c r="AF122" s="431">
        <v>43261</v>
      </c>
      <c r="AG122" s="651">
        <f>SUM('IV-2 amsa'!T47)</f>
        <v>43312</v>
      </c>
      <c r="AH122" s="651">
        <f>SUM('IV-2 amsa'!U47)</f>
        <v>43363</v>
      </c>
      <c r="AI122" s="651">
        <f>SUM('IV-2 amsa'!V47)</f>
        <v>43464</v>
      </c>
      <c r="AJ122" s="671">
        <f t="shared" ref="AJ122:AJ135" si="148">IF(YEAR(AI122),YEAR(AI122))</f>
        <v>2018</v>
      </c>
      <c r="AK122" s="721">
        <f>SUM('IV-2 amsa'!W47)</f>
        <v>44367</v>
      </c>
      <c r="AL122" s="16">
        <f t="shared" ref="AL122:AL133" si="149">IF(YEAR(AI122)=2016,AA122,0)</f>
        <v>0</v>
      </c>
      <c r="AM122" s="16">
        <f t="shared" ref="AM122:AM133" si="150">IF(YEAR(AI122)=2017,AA122,0)</f>
        <v>0</v>
      </c>
      <c r="AN122" s="16">
        <f t="shared" ref="AN122:AN133" si="151">IF(YEAR(AI122)=2018,AA122,0)</f>
        <v>389456</v>
      </c>
      <c r="AO122" s="16">
        <f t="shared" ref="AO122:AO133" si="152">IF(YEAR(AI122)=2019,AA122,0)</f>
        <v>0</v>
      </c>
      <c r="AP122" s="703">
        <f t="shared" ref="AP122:AP133" si="153">IF(YEAR(AI122)=2020,AA122,0)</f>
        <v>0</v>
      </c>
      <c r="AQ122" s="30"/>
      <c r="AR122" s="30"/>
      <c r="AS122" s="30"/>
      <c r="AT122" s="48">
        <f>SUM(AK122-AI122)</f>
        <v>903</v>
      </c>
      <c r="AU122" s="59">
        <f>SUM(365/12)</f>
        <v>30.416666666666668</v>
      </c>
      <c r="AV122" s="59">
        <f>SUM(AT122/AU122)</f>
        <v>29.68767123287671</v>
      </c>
    </row>
    <row r="123" spans="1:48" ht="52.5" thickTop="1" thickBot="1">
      <c r="A123" s="311" t="s">
        <v>105</v>
      </c>
      <c r="B123" s="311" t="s">
        <v>1452</v>
      </c>
      <c r="C123" s="1093" t="str">
        <f>CONCATENATE('ketv. 2'!B122)</f>
        <v>08.1.3-CPVA-R-609-11-0004</v>
      </c>
      <c r="D123" s="311" t="str">
        <f>CONCATENATE('IV-2 amsa'!D48)</f>
        <v>Sveikatos priežiūros paslaugų modernizavimas bei optimizavimas pirminės sveikatos priežiūros centre</v>
      </c>
      <c r="E123" s="311" t="str">
        <f>CONCATENATE('IV-2 amsa'!E48)</f>
        <v xml:space="preserve">VšĮ Alytaus miesto savivaldybės pirminės sveikatos priežiūros centras </v>
      </c>
      <c r="F123" s="311" t="str">
        <f>CONCATENATE('IV-2 amsa'!F48)</f>
        <v>Lietuvos Respublikos Sveikatos apsaugos ministerija</v>
      </c>
      <c r="G123" s="311" t="str">
        <f>CONCATENATE('IV-2 amsa'!G48)</f>
        <v>Alytaus m. sav.</v>
      </c>
      <c r="H123" s="311" t="str">
        <f>CONCATENATE('IV-2 amsa'!H48)</f>
        <v>08.1.3-CPVA-R-609</v>
      </c>
      <c r="I123" s="311" t="str">
        <f>CONCATENATE('IV-2 amsa'!I48)</f>
        <v>R</v>
      </c>
      <c r="J123" s="311" t="str">
        <f>CONCATENATE('IV-2 amsa'!J48)</f>
        <v>-</v>
      </c>
      <c r="K123" s="311" t="str">
        <f>CONCATENATE('IV-2 amsa'!K48)</f>
        <v>-</v>
      </c>
      <c r="L123" s="644">
        <f>SUM('IV-2 amsa'!L48)</f>
        <v>50356</v>
      </c>
      <c r="M123" s="644">
        <f>SUM('ketv. 6 '!L122)</f>
        <v>50356</v>
      </c>
      <c r="N123" s="644">
        <f>IF(M123&gt;0,L123-M123,0)</f>
        <v>0</v>
      </c>
      <c r="O123" s="644">
        <f>SUM('IV-2 amsa'!M48)</f>
        <v>3777</v>
      </c>
      <c r="P123" s="644">
        <f>SUM('ketv. 6 '!P122)</f>
        <v>0</v>
      </c>
      <c r="Q123" s="644">
        <f t="shared" si="143"/>
        <v>0</v>
      </c>
      <c r="R123" s="644">
        <f>SUM('IV-2 amsa'!N48)</f>
        <v>3777</v>
      </c>
      <c r="S123" s="644">
        <f>SUM('ketv. 6 '!T122)</f>
        <v>3777</v>
      </c>
      <c r="T123" s="644">
        <f t="shared" si="144"/>
        <v>0</v>
      </c>
      <c r="U123" s="644">
        <f>SUM('IV-2 amsa'!O48)</f>
        <v>0</v>
      </c>
      <c r="V123" s="644">
        <f>SUM('ketv. 6 '!X122)</f>
        <v>0</v>
      </c>
      <c r="W123" s="644">
        <f t="shared" si="145"/>
        <v>0</v>
      </c>
      <c r="X123" s="644">
        <f>SUM('IV-2 amsa'!P48)</f>
        <v>0</v>
      </c>
      <c r="Y123" s="644">
        <f>SUM('ketv. 6 '!AB122)</f>
        <v>3777</v>
      </c>
      <c r="Z123" s="644">
        <f t="shared" si="146"/>
        <v>-3777</v>
      </c>
      <c r="AA123" s="644">
        <f>SUM('IV-2 amsa'!Q48)</f>
        <v>42802</v>
      </c>
      <c r="AB123" s="644">
        <f>SUM('IV-2 vrsa'!R103)</f>
        <v>0</v>
      </c>
      <c r="AC123" s="16" t="str">
        <f>IF('ketv. 4 '!Z123&gt;0,"Taip","Ne")</f>
        <v>Taip</v>
      </c>
      <c r="AD123" s="16">
        <f>SUM('ketv. 6 '!AF122)</f>
        <v>42802</v>
      </c>
      <c r="AE123" s="16">
        <f t="shared" si="147"/>
        <v>0</v>
      </c>
      <c r="AF123" s="431">
        <v>43227</v>
      </c>
      <c r="AG123" s="651">
        <f>SUM('IV-2 amsa'!T48)</f>
        <v>43312</v>
      </c>
      <c r="AH123" s="651">
        <f>SUM('IV-2 amsa'!U48)</f>
        <v>43373</v>
      </c>
      <c r="AI123" s="651">
        <f>SUM('IV-2 amsa'!V48)</f>
        <v>43465</v>
      </c>
      <c r="AJ123" s="671">
        <f t="shared" si="148"/>
        <v>2018</v>
      </c>
      <c r="AK123" s="721">
        <f>SUM('IV-2 amsa'!W48)</f>
        <v>44196</v>
      </c>
      <c r="AL123" s="16">
        <f t="shared" si="149"/>
        <v>0</v>
      </c>
      <c r="AM123" s="16">
        <f t="shared" si="150"/>
        <v>0</v>
      </c>
      <c r="AN123" s="16">
        <f t="shared" si="151"/>
        <v>42802</v>
      </c>
      <c r="AO123" s="16">
        <f t="shared" si="152"/>
        <v>0</v>
      </c>
      <c r="AP123" s="703">
        <f t="shared" si="153"/>
        <v>0</v>
      </c>
      <c r="AQ123" s="30"/>
      <c r="AR123" s="30"/>
      <c r="AS123" s="30"/>
      <c r="AT123" s="48">
        <f t="shared" ref="AT123:AT134" si="154">SUM(AK123-AI123)</f>
        <v>731</v>
      </c>
      <c r="AU123" s="59">
        <f t="shared" ref="AU123:AU134" si="155">SUM(365/12)</f>
        <v>30.416666666666668</v>
      </c>
      <c r="AV123" s="59">
        <f t="shared" ref="AV123:AV134" si="156">SUM(AT123/AU123)</f>
        <v>24.032876712328765</v>
      </c>
    </row>
    <row r="124" spans="1:48" ht="52.5" thickTop="1" thickBot="1">
      <c r="A124" s="311" t="s">
        <v>202</v>
      </c>
      <c r="B124" s="311" t="s">
        <v>1450</v>
      </c>
      <c r="C124" s="1093" t="str">
        <f>CONCATENATE('ketv. 2'!B123)</f>
        <v>08.1.3-CPVA-R-609-11-0003</v>
      </c>
      <c r="D124" s="311" t="str">
        <f>CONCATENATE('IV-2 amsa'!D49)</f>
        <v>UAB "MediCA klinika" teikiamų pirminės asmens sveikatos priežiūros paslaugų efektyvumo didinimas Alytaus miesto savivaldybėje</v>
      </c>
      <c r="E124" s="311" t="str">
        <f>CONCATENATE('IV-2 amsa'!E49)</f>
        <v>UAB „MediCA klinika“</v>
      </c>
      <c r="F124" s="311" t="str">
        <f>CONCATENATE('IV-2 amsa'!F49)</f>
        <v>Lietuvos Respublikos Sveikatos apsaugos ministerija</v>
      </c>
      <c r="G124" s="311" t="str">
        <f>CONCATENATE('IV-2 amsa'!G49)</f>
        <v>Alytaus m. sav.</v>
      </c>
      <c r="H124" s="311" t="str">
        <f>CONCATENATE('IV-2 amsa'!H49)</f>
        <v>08.1.3-CPVA-R-609</v>
      </c>
      <c r="I124" s="311" t="str">
        <f>CONCATENATE('IV-2 amsa'!I49)</f>
        <v>R</v>
      </c>
      <c r="J124" s="311" t="str">
        <f>CONCATENATE('IV-2 amsa'!J49)</f>
        <v>-</v>
      </c>
      <c r="K124" s="311" t="str">
        <f>CONCATENATE('IV-2 amsa'!K49)</f>
        <v>-</v>
      </c>
      <c r="L124" s="644">
        <f>SUM('IV-2 amsa'!L49)</f>
        <v>83468</v>
      </c>
      <c r="M124" s="644">
        <f>SUM('ketv. 6 '!L123)</f>
        <v>82938</v>
      </c>
      <c r="N124" s="644">
        <f>IF(M124&gt;0,L124-M124,0)</f>
        <v>530</v>
      </c>
      <c r="O124" s="644">
        <f>SUM('IV-2 amsa'!M49)</f>
        <v>0</v>
      </c>
      <c r="P124" s="644">
        <f>SUM('ketv. 6 '!P123)</f>
        <v>0</v>
      </c>
      <c r="Q124" s="644">
        <f t="shared" si="143"/>
        <v>0</v>
      </c>
      <c r="R124" s="644">
        <f>SUM('IV-2 amsa'!N49)</f>
        <v>6260</v>
      </c>
      <c r="S124" s="644">
        <f>SUM('ketv. 6 '!T123)</f>
        <v>6220</v>
      </c>
      <c r="T124" s="644">
        <f t="shared" si="144"/>
        <v>40</v>
      </c>
      <c r="U124" s="644">
        <f>SUM('IV-2 amsa'!O49)</f>
        <v>6260</v>
      </c>
      <c r="V124" s="644">
        <f>SUM('ketv. 6 '!X123)</f>
        <v>6220</v>
      </c>
      <c r="W124" s="644">
        <f t="shared" si="145"/>
        <v>40</v>
      </c>
      <c r="X124" s="644">
        <f>SUM('IV-2 amsa'!P49)</f>
        <v>0</v>
      </c>
      <c r="Y124" s="644">
        <f>SUM('ketv. 6 '!AB123)</f>
        <v>0</v>
      </c>
      <c r="Z124" s="644">
        <f t="shared" si="146"/>
        <v>0</v>
      </c>
      <c r="AA124" s="644">
        <f>SUM('IV-2 amsa'!Q49)</f>
        <v>70948</v>
      </c>
      <c r="AB124" s="644">
        <f>SUM('IV-2 vrsa'!R104)</f>
        <v>0</v>
      </c>
      <c r="AC124" s="16" t="str">
        <f>IF('ketv. 4 '!Z124&gt;0,"Taip","Ne")</f>
        <v>Taip</v>
      </c>
      <c r="AD124" s="16">
        <f>SUM('ketv. 6 '!AF123)</f>
        <v>70498</v>
      </c>
      <c r="AE124" s="16">
        <f t="shared" si="147"/>
        <v>450</v>
      </c>
      <c r="AF124" s="431">
        <v>43227</v>
      </c>
      <c r="AG124" s="651">
        <f>SUM('IV-2 amsa'!T49)</f>
        <v>43312</v>
      </c>
      <c r="AH124" s="651">
        <f>SUM('IV-2 amsa'!U49)</f>
        <v>43373</v>
      </c>
      <c r="AI124" s="651">
        <f>SUM('IV-2 amsa'!V49)</f>
        <v>43465</v>
      </c>
      <c r="AJ124" s="671">
        <f t="shared" si="148"/>
        <v>2018</v>
      </c>
      <c r="AK124" s="721">
        <f>SUM('IV-2 amsa'!W49)</f>
        <v>44196</v>
      </c>
      <c r="AL124" s="16">
        <f t="shared" si="149"/>
        <v>0</v>
      </c>
      <c r="AM124" s="16">
        <f t="shared" si="150"/>
        <v>0</v>
      </c>
      <c r="AN124" s="16">
        <f t="shared" si="151"/>
        <v>70948</v>
      </c>
      <c r="AO124" s="16">
        <f t="shared" si="152"/>
        <v>0</v>
      </c>
      <c r="AP124" s="703">
        <f t="shared" si="153"/>
        <v>0</v>
      </c>
      <c r="AQ124" s="50"/>
      <c r="AR124" s="30"/>
      <c r="AS124" s="30"/>
      <c r="AT124" s="48">
        <f t="shared" si="154"/>
        <v>731</v>
      </c>
      <c r="AU124" s="59">
        <f t="shared" si="155"/>
        <v>30.416666666666668</v>
      </c>
      <c r="AV124" s="59">
        <f t="shared" si="156"/>
        <v>24.032876712328765</v>
      </c>
    </row>
    <row r="125" spans="1:48" ht="39.75" thickTop="1" thickBot="1">
      <c r="A125" s="311" t="s">
        <v>203</v>
      </c>
      <c r="B125" s="311" t="s">
        <v>1453</v>
      </c>
      <c r="C125" s="1093" t="str">
        <f>CONCATENATE('ketv. 2'!B124)</f>
        <v>08.1.3-CPVA-R-609-11-0005</v>
      </c>
      <c r="D125" s="311" t="str">
        <f>CONCATENATE('IV-2 amsa'!D50)</f>
        <v>UAB "Pagalba ligoniui" teikiamų paslaugų efektyvumo didinimas</v>
      </c>
      <c r="E125" s="311" t="str">
        <f>CONCATENATE('IV-2 amsa'!E50)</f>
        <v>UAB „Pagalba ligoniui“, Alytaus filialas</v>
      </c>
      <c r="F125" s="311" t="str">
        <f>CONCATENATE('IV-2 amsa'!F50)</f>
        <v>Lietuvos Respublikos Sveikatos apsaugos ministerija</v>
      </c>
      <c r="G125" s="311" t="str">
        <f>CONCATENATE('IV-2 amsa'!G50)</f>
        <v>Alytaus m. sav.</v>
      </c>
      <c r="H125" s="311" t="str">
        <f>CONCATENATE('IV-2 amsa'!H50)</f>
        <v>08.1.3-CPVA-R-609</v>
      </c>
      <c r="I125" s="311" t="str">
        <f>CONCATENATE('IV-2 amsa'!I50)</f>
        <v>R</v>
      </c>
      <c r="J125" s="311" t="str">
        <f>CONCATENATE('IV-2 amsa'!J50)</f>
        <v>-</v>
      </c>
      <c r="K125" s="311" t="str">
        <f>CONCATENATE('IV-2 amsa'!K50)</f>
        <v>-</v>
      </c>
      <c r="L125" s="644">
        <f>SUM('IV-2 amsa'!L50)</f>
        <v>43413.03</v>
      </c>
      <c r="M125" s="644">
        <f>SUM('ketv. 6 '!L124)</f>
        <v>43413.03</v>
      </c>
      <c r="N125" s="644">
        <f>IF(M125&gt;0,L125-M125,0)</f>
        <v>0</v>
      </c>
      <c r="O125" s="644">
        <f>SUM('IV-2 amsa'!M50)</f>
        <v>0</v>
      </c>
      <c r="P125" s="644">
        <f>SUM('ketv. 6 '!P124)</f>
        <v>0</v>
      </c>
      <c r="Q125" s="644">
        <f t="shared" si="143"/>
        <v>0</v>
      </c>
      <c r="R125" s="644">
        <f>SUM('IV-2 amsa'!N50)</f>
        <v>3255.97</v>
      </c>
      <c r="S125" s="644">
        <f>SUM('ketv. 6 '!T124)</f>
        <v>3255.97</v>
      </c>
      <c r="T125" s="644">
        <f t="shared" si="144"/>
        <v>0</v>
      </c>
      <c r="U125" s="644">
        <f>SUM('IV-2 amsa'!O50)</f>
        <v>3255.98</v>
      </c>
      <c r="V125" s="644">
        <f>SUM('ketv. 6 '!X124)</f>
        <v>3255.98</v>
      </c>
      <c r="W125" s="644">
        <f t="shared" si="145"/>
        <v>0</v>
      </c>
      <c r="X125" s="644">
        <f>SUM('IV-2 amsa'!P50)</f>
        <v>0</v>
      </c>
      <c r="Y125" s="644">
        <f>SUM('ketv. 6 '!AB124)</f>
        <v>0</v>
      </c>
      <c r="Z125" s="644">
        <f t="shared" si="146"/>
        <v>0</v>
      </c>
      <c r="AA125" s="644">
        <f>SUM('IV-2 amsa'!Q50)</f>
        <v>36901.08</v>
      </c>
      <c r="AB125" s="644">
        <f>SUM('IV-2 vrsa'!R105)</f>
        <v>0</v>
      </c>
      <c r="AC125" s="16" t="str">
        <f>IF('ketv. 4 '!Z125&gt;0,"Taip","Ne")</f>
        <v>Taip</v>
      </c>
      <c r="AD125" s="16">
        <f>SUM('ketv. 6 '!AF124)</f>
        <v>36901.08</v>
      </c>
      <c r="AE125" s="16">
        <f t="shared" si="147"/>
        <v>0</v>
      </c>
      <c r="AF125" s="431">
        <v>43227</v>
      </c>
      <c r="AG125" s="651">
        <f>SUM('IV-2 amsa'!T50)</f>
        <v>43312</v>
      </c>
      <c r="AH125" s="651">
        <f>SUM('IV-2 amsa'!U50)</f>
        <v>43373</v>
      </c>
      <c r="AI125" s="651">
        <f>SUM('IV-2 amsa'!V50)</f>
        <v>43465</v>
      </c>
      <c r="AJ125" s="671">
        <f t="shared" si="148"/>
        <v>2018</v>
      </c>
      <c r="AK125" s="721">
        <f>SUM('IV-2 amsa'!W50)</f>
        <v>44561</v>
      </c>
      <c r="AL125" s="16">
        <f t="shared" si="149"/>
        <v>0</v>
      </c>
      <c r="AM125" s="16">
        <f t="shared" si="150"/>
        <v>0</v>
      </c>
      <c r="AN125" s="16">
        <f>IF(YEAR(AI125)=2018,AA125,0)</f>
        <v>36901.08</v>
      </c>
      <c r="AO125" s="16">
        <f t="shared" si="152"/>
        <v>0</v>
      </c>
      <c r="AP125" s="703">
        <f t="shared" si="153"/>
        <v>0</v>
      </c>
      <c r="AQ125" s="50"/>
      <c r="AR125" s="30"/>
      <c r="AS125" s="30"/>
      <c r="AT125" s="48">
        <f t="shared" si="154"/>
        <v>1096</v>
      </c>
      <c r="AU125" s="59">
        <f t="shared" si="155"/>
        <v>30.416666666666668</v>
      </c>
      <c r="AV125" s="59">
        <f t="shared" si="156"/>
        <v>36.032876712328765</v>
      </c>
    </row>
    <row r="126" spans="1:48" ht="52.5" thickTop="1" thickBot="1">
      <c r="A126" s="311" t="s">
        <v>204</v>
      </c>
      <c r="B126" s="311" t="s">
        <v>1454</v>
      </c>
      <c r="C126" s="1093" t="str">
        <f>CONCATENATE('ketv. 2'!B125)</f>
        <v>08.1.3-CPVA-R-609-11-0009</v>
      </c>
      <c r="D126" s="311" t="str">
        <f>CONCATENATE('IV-2 arsa'!C51)</f>
        <v>Pirminės asmens sveikatos priežiūros veiklos efektyvumo didinimas Alytaus rajono savivaldybėje</v>
      </c>
      <c r="E126" s="311" t="str">
        <f>CONCATENATE('IV-2 arsa'!D51)</f>
        <v>VšĮ Alytaus rajono savivaldybės pirminės sveikatos priežiūros centras</v>
      </c>
      <c r="F126" s="311" t="str">
        <f>CONCATENATE('IV-2 arsa'!E51)</f>
        <v>Lietuvos Respublikos Sveikatos apsaugos ministerija</v>
      </c>
      <c r="G126" s="311" t="str">
        <f>CONCATENATE('IV-2 arsa'!F51)</f>
        <v>Alytaus r. sav.</v>
      </c>
      <c r="H126" s="311" t="str">
        <f>CONCATENATE('IV-2 arsa'!G51)</f>
        <v>08.1.3-CPVA-R-609</v>
      </c>
      <c r="I126" s="311" t="str">
        <f>CONCATENATE('IV-2 arsa'!H51)</f>
        <v>R</v>
      </c>
      <c r="J126" s="311" t="str">
        <f>CONCATENATE('IV-2 arsa'!I51)</f>
        <v>-</v>
      </c>
      <c r="K126" s="311" t="str">
        <f>CONCATENATE('IV-2 arsa'!J51)</f>
        <v>-</v>
      </c>
      <c r="L126" s="644">
        <f>SUM('IV-2 arsa'!K51)</f>
        <v>171636</v>
      </c>
      <c r="M126" s="644"/>
      <c r="N126" s="644"/>
      <c r="O126" s="644">
        <f>SUM('IV-2 arsa'!L51)</f>
        <v>12873</v>
      </c>
      <c r="P126" s="644">
        <f>SUM('ketv. 6 '!P125)</f>
        <v>0</v>
      </c>
      <c r="Q126" s="644">
        <f t="shared" si="143"/>
        <v>0</v>
      </c>
      <c r="R126" s="644">
        <f>SUM('IV-2 arsa'!M51)</f>
        <v>12873</v>
      </c>
      <c r="S126" s="644">
        <f>SUM('ketv. 6 '!T125)</f>
        <v>12873</v>
      </c>
      <c r="T126" s="644">
        <f t="shared" si="144"/>
        <v>0</v>
      </c>
      <c r="U126" s="644">
        <f>SUM('IV-2 arsa'!N51)</f>
        <v>0</v>
      </c>
      <c r="V126" s="644">
        <f>SUM('ketv. 6 '!X125)</f>
        <v>0</v>
      </c>
      <c r="W126" s="644">
        <f t="shared" si="145"/>
        <v>0</v>
      </c>
      <c r="X126" s="644">
        <f>SUM('IV-2 arsa'!O51)</f>
        <v>0</v>
      </c>
      <c r="Y126" s="644">
        <f>SUM('ketv. 6 '!AB125)</f>
        <v>13379.73</v>
      </c>
      <c r="Z126" s="644">
        <f t="shared" si="146"/>
        <v>-13379.73</v>
      </c>
      <c r="AA126" s="644">
        <f>SUM('IV-2 arsa'!P51)</f>
        <v>145890</v>
      </c>
      <c r="AB126" s="644">
        <f>SUM('IV-2 vrsa'!R106)</f>
        <v>0</v>
      </c>
      <c r="AC126" s="16" t="str">
        <f>IF('ketv. 4 '!Z126&gt;0,"Taip","Ne")</f>
        <v>Taip</v>
      </c>
      <c r="AD126" s="16">
        <f>SUM('ketv. 6 '!AF125)</f>
        <v>145890</v>
      </c>
      <c r="AE126" s="16">
        <f t="shared" si="147"/>
        <v>0</v>
      </c>
      <c r="AF126" s="431">
        <v>43227</v>
      </c>
      <c r="AG126" s="651">
        <f>SUM('IV-2 arsa'!S51)</f>
        <v>43312</v>
      </c>
      <c r="AH126" s="651">
        <f>SUM('IV-2 arsa'!T51)</f>
        <v>43403</v>
      </c>
      <c r="AI126" s="651">
        <f>SUM('IV-2 arsa'!U51)</f>
        <v>43496</v>
      </c>
      <c r="AJ126" s="671">
        <f t="shared" si="148"/>
        <v>2019</v>
      </c>
      <c r="AK126" s="721">
        <f>SUM('IV-2 arsa'!V51)</f>
        <v>44134</v>
      </c>
      <c r="AL126" s="16">
        <f t="shared" si="149"/>
        <v>0</v>
      </c>
      <c r="AM126" s="16">
        <f t="shared" si="150"/>
        <v>0</v>
      </c>
      <c r="AN126" s="16">
        <f t="shared" si="151"/>
        <v>0</v>
      </c>
      <c r="AO126" s="16">
        <f t="shared" si="152"/>
        <v>145890</v>
      </c>
      <c r="AP126" s="703">
        <f t="shared" si="153"/>
        <v>0</v>
      </c>
      <c r="AQ126" s="341"/>
      <c r="AR126" s="30"/>
      <c r="AS126" s="30"/>
      <c r="AT126" s="48">
        <f t="shared" si="154"/>
        <v>638</v>
      </c>
      <c r="AU126" s="59">
        <f t="shared" si="155"/>
        <v>30.416666666666668</v>
      </c>
      <c r="AV126" s="59">
        <f t="shared" si="156"/>
        <v>20.975342465753425</v>
      </c>
    </row>
    <row r="127" spans="1:48" ht="39.75" thickTop="1" thickBot="1">
      <c r="A127" s="311" t="s">
        <v>205</v>
      </c>
      <c r="B127" s="311" t="s">
        <v>1455</v>
      </c>
      <c r="C127" s="1093" t="str">
        <f>CONCATENATE('ketv. 2'!B126)</f>
        <v>08.1.3-CPVA-R-609-11-0011</v>
      </c>
      <c r="D127" s="311" t="str">
        <f>CONCATENATE('IV-2 arsa'!C52)</f>
        <v>Sveikatos priežiūros paslaugų gerinimas UAB „Disolis“</v>
      </c>
      <c r="E127" s="311" t="str">
        <f>CONCATENATE('IV-2 arsa'!D52)</f>
        <v>UAB „Disolis“</v>
      </c>
      <c r="F127" s="311" t="str">
        <f>CONCATENATE('IV-2 arsa'!E52)</f>
        <v>Lietuvos Respublikos Sveikatos apsaugos ministerija</v>
      </c>
      <c r="G127" s="311" t="str">
        <f>CONCATENATE('IV-2 arsa'!F52)</f>
        <v>Alytaus r. sav.</v>
      </c>
      <c r="H127" s="311" t="str">
        <f>CONCATENATE('IV-2 arsa'!G52)</f>
        <v>08.1.3-CPVA-R-609</v>
      </c>
      <c r="I127" s="311" t="str">
        <f>CONCATENATE('IV-2 arsa'!H52)</f>
        <v>R</v>
      </c>
      <c r="J127" s="311" t="str">
        <f>CONCATENATE('IV-2 arsa'!I52)</f>
        <v>-</v>
      </c>
      <c r="K127" s="311" t="str">
        <f>CONCATENATE('IV-2 arsa'!J52)</f>
        <v>-</v>
      </c>
      <c r="L127" s="644">
        <f>SUM('IV-2 arsa'!K52)</f>
        <v>17386</v>
      </c>
      <c r="M127" s="644"/>
      <c r="N127" s="644"/>
      <c r="O127" s="644">
        <f>SUM('IV-2 arsa'!L52)</f>
        <v>0</v>
      </c>
      <c r="P127" s="644">
        <f>SUM('ketv. 6 '!P126)</f>
        <v>0</v>
      </c>
      <c r="Q127" s="644">
        <f t="shared" si="143"/>
        <v>0</v>
      </c>
      <c r="R127" s="644">
        <f>SUM('IV-2 arsa'!M52)</f>
        <v>1304</v>
      </c>
      <c r="S127" s="644">
        <f>SUM('ketv. 6 '!T126)</f>
        <v>266.12</v>
      </c>
      <c r="T127" s="644">
        <f t="shared" si="144"/>
        <v>1037.8800000000001</v>
      </c>
      <c r="U127" s="644">
        <f>SUM('IV-2 arsa'!N52)</f>
        <v>1304</v>
      </c>
      <c r="V127" s="644">
        <f>SUM('ketv. 6 '!X126)</f>
        <v>7908.78</v>
      </c>
      <c r="W127" s="644">
        <f t="shared" si="145"/>
        <v>-6604.78</v>
      </c>
      <c r="X127" s="644">
        <f>SUM('IV-2 arsa'!O52)</f>
        <v>0</v>
      </c>
      <c r="Y127" s="644">
        <f>SUM('ketv. 6 '!AB126)</f>
        <v>0</v>
      </c>
      <c r="Z127" s="644">
        <f t="shared" si="146"/>
        <v>0</v>
      </c>
      <c r="AA127" s="644">
        <f>SUM('IV-2 arsa'!P52)</f>
        <v>14778</v>
      </c>
      <c r="AB127" s="644">
        <f>SUM('IV-2 vrsa'!R107)</f>
        <v>0</v>
      </c>
      <c r="AC127" s="16" t="str">
        <f>IF('ketv. 4 '!Z127&gt;0,"Taip","Ne")</f>
        <v>Taip</v>
      </c>
      <c r="AD127" s="16">
        <f>SUM('ketv. 6 '!AF126)</f>
        <v>15815.88</v>
      </c>
      <c r="AE127" s="16">
        <f t="shared" si="147"/>
        <v>-1037.8799999999992</v>
      </c>
      <c r="AF127" s="431">
        <v>43227</v>
      </c>
      <c r="AG127" s="651">
        <f>SUM('IV-2 arsa'!S52)</f>
        <v>43312</v>
      </c>
      <c r="AH127" s="651">
        <f>SUM('IV-2 arsa'!T52)</f>
        <v>43403</v>
      </c>
      <c r="AI127" s="651">
        <f>SUM('IV-2 arsa'!U52)</f>
        <v>43495</v>
      </c>
      <c r="AJ127" s="671">
        <f t="shared" si="148"/>
        <v>2019</v>
      </c>
      <c r="AK127" s="721">
        <f>SUM('IV-2 arsa'!V52)</f>
        <v>43830</v>
      </c>
      <c r="AL127" s="16">
        <f t="shared" si="149"/>
        <v>0</v>
      </c>
      <c r="AM127" s="16">
        <f t="shared" si="150"/>
        <v>0</v>
      </c>
      <c r="AN127" s="16">
        <f t="shared" si="151"/>
        <v>0</v>
      </c>
      <c r="AO127" s="16">
        <f t="shared" si="152"/>
        <v>14778</v>
      </c>
      <c r="AP127" s="703">
        <f t="shared" si="153"/>
        <v>0</v>
      </c>
      <c r="AQ127" s="341"/>
      <c r="AR127" s="30"/>
      <c r="AS127" s="30"/>
      <c r="AT127" s="48">
        <f t="shared" si="154"/>
        <v>335</v>
      </c>
      <c r="AU127" s="59">
        <f t="shared" si="155"/>
        <v>30.416666666666668</v>
      </c>
      <c r="AV127" s="59">
        <f t="shared" si="156"/>
        <v>11.013698630136986</v>
      </c>
    </row>
    <row r="128" spans="1:48" ht="39.75" thickTop="1" thickBot="1">
      <c r="A128" s="311" t="s">
        <v>206</v>
      </c>
      <c r="B128" s="311" t="s">
        <v>1492</v>
      </c>
      <c r="C128" s="1093" t="str">
        <f>CONCATENATE('ketv. 2'!B127)</f>
        <v>08.1.3-CPVA-R-609-11-0007</v>
      </c>
      <c r="D128" s="311" t="str">
        <f>CONCATENATE('IV-2 dsa'!C54)</f>
        <v>Pirminės asmens sveikatos priežiūros kokybės ir prieinamumo gerinimas Druskininkų savivaldybėje</v>
      </c>
      <c r="E128" s="311" t="str">
        <f>CONCATENATE('IV-2 dsa'!D54)</f>
        <v>VšĮ Druskininkų pirminės sveikatos priežiūros centras</v>
      </c>
      <c r="F128" s="311" t="str">
        <f>CONCATENATE('IV-2 dsa'!E54)</f>
        <v>Lietuvos Respublikos Sveikatos apsaugos ministerija</v>
      </c>
      <c r="G128" s="311" t="str">
        <f>CONCATENATE('IV-2 dsa'!F54)</f>
        <v>Druskininkų sav.</v>
      </c>
      <c r="H128" s="311" t="str">
        <f>CONCATENATE('IV-2 dsa'!G54)</f>
        <v>08.1.3-CPVA-R-609</v>
      </c>
      <c r="I128" s="311" t="str">
        <f>CONCATENATE('IV-2 dsa'!H54)</f>
        <v>R</v>
      </c>
      <c r="J128" s="311" t="str">
        <f>CONCATENATE('IV-2 dsa'!I54)</f>
        <v>-</v>
      </c>
      <c r="K128" s="311" t="str">
        <f>CONCATENATE('IV-2 dsa'!J54)</f>
        <v>-</v>
      </c>
      <c r="L128" s="644">
        <f>SUM('IV-2 dsa'!K54)</f>
        <v>163532</v>
      </c>
      <c r="M128" s="644"/>
      <c r="N128" s="644"/>
      <c r="O128" s="644">
        <f>SUM('IV-2 dsa'!L54)</f>
        <v>0</v>
      </c>
      <c r="P128" s="644">
        <f>SUM('ketv. 6 '!P127)</f>
        <v>0</v>
      </c>
      <c r="Q128" s="644">
        <f t="shared" si="143"/>
        <v>0</v>
      </c>
      <c r="R128" s="644">
        <f>SUM('IV-2 dsa'!M54)</f>
        <v>12265</v>
      </c>
      <c r="S128" s="644">
        <f>SUM('ketv. 6 '!T127)</f>
        <v>12265</v>
      </c>
      <c r="T128" s="644">
        <f t="shared" si="144"/>
        <v>0</v>
      </c>
      <c r="U128" s="644">
        <f>SUM('IV-2 dsa'!N54)</f>
        <v>12265</v>
      </c>
      <c r="V128" s="644">
        <f>SUM('ketv. 6 '!X127)</f>
        <v>0</v>
      </c>
      <c r="W128" s="644">
        <f t="shared" si="145"/>
        <v>0</v>
      </c>
      <c r="X128" s="644">
        <f>SUM('IV-2 dsa'!O54)</f>
        <v>0</v>
      </c>
      <c r="Y128" s="644">
        <f>SUM('ketv. 6 '!AB127)</f>
        <v>12265</v>
      </c>
      <c r="Z128" s="644">
        <f t="shared" si="146"/>
        <v>-12265</v>
      </c>
      <c r="AA128" s="644">
        <f>SUM('IV-2 dsa'!P54)</f>
        <v>139002</v>
      </c>
      <c r="AB128" s="644">
        <f>SUM('IV-2 vrsa'!R108)</f>
        <v>0</v>
      </c>
      <c r="AC128" s="16" t="str">
        <f>IF('ketv. 4 '!Z128&gt;0,"Taip","Ne")</f>
        <v>Taip</v>
      </c>
      <c r="AD128" s="16">
        <f>SUM('ketv. 6 '!AF127)</f>
        <v>139002</v>
      </c>
      <c r="AE128" s="16">
        <f t="shared" si="147"/>
        <v>0</v>
      </c>
      <c r="AF128" s="431">
        <v>43227</v>
      </c>
      <c r="AG128" s="651">
        <f>SUM('IV-2 dsa'!S54)</f>
        <v>43312</v>
      </c>
      <c r="AH128" s="651">
        <f>SUM('IV-2 dsa'!T54)</f>
        <v>43403</v>
      </c>
      <c r="AI128" s="651">
        <f>SUM('IV-2 dsa'!U54)</f>
        <v>43465</v>
      </c>
      <c r="AJ128" s="671">
        <f t="shared" si="148"/>
        <v>2018</v>
      </c>
      <c r="AK128" s="721">
        <f>SUM('IV-2 dsa'!V54)</f>
        <v>44196</v>
      </c>
      <c r="AL128" s="16">
        <f t="shared" si="149"/>
        <v>0</v>
      </c>
      <c r="AM128" s="16">
        <f t="shared" si="150"/>
        <v>0</v>
      </c>
      <c r="AN128" s="16">
        <f t="shared" si="151"/>
        <v>139002</v>
      </c>
      <c r="AO128" s="16">
        <f t="shared" si="152"/>
        <v>0</v>
      </c>
      <c r="AP128" s="703">
        <f t="shared" si="153"/>
        <v>0</v>
      </c>
      <c r="AQ128" s="50"/>
      <c r="AR128" s="30"/>
      <c r="AS128" s="30"/>
      <c r="AT128" s="48">
        <f t="shared" si="154"/>
        <v>731</v>
      </c>
      <c r="AU128" s="59">
        <f t="shared" si="155"/>
        <v>30.416666666666668</v>
      </c>
      <c r="AV128" s="59">
        <f t="shared" si="156"/>
        <v>24.032876712328765</v>
      </c>
    </row>
    <row r="129" spans="1:48" ht="39.75" thickTop="1" thickBot="1">
      <c r="A129" s="311" t="s">
        <v>216</v>
      </c>
      <c r="B129" s="311" t="s">
        <v>1448</v>
      </c>
      <c r="C129" s="1093" t="str">
        <f>CONCATENATE('ketv. 2'!B128)</f>
        <v>08.1.3-CPVA-R-609-11-0006</v>
      </c>
      <c r="D129" s="311" t="str">
        <f>CONCATENATE('IV-2 dsa'!C55)</f>
        <v>UAB "Druskininkų šeimos klinika" asmens sveikatos priežiūros paslaugų prieinamumo ir efektyvumo didinimas</v>
      </c>
      <c r="E129" s="311" t="str">
        <f>CONCATENATE('IV-2 dsa'!D55)</f>
        <v>UAB „Druskininkų šeimos klinika“</v>
      </c>
      <c r="F129" s="311" t="str">
        <f>CONCATENATE('IV-2 dsa'!E55)</f>
        <v>Lietuvos Respublikos Sveikatos apsaugos ministerija</v>
      </c>
      <c r="G129" s="311" t="str">
        <f>CONCATENATE('IV-2 dsa'!F55)</f>
        <v>Druskininkų sav.</v>
      </c>
      <c r="H129" s="311" t="str">
        <f>CONCATENATE('IV-2 dsa'!G55)</f>
        <v>08.1.3-CPVA-R-609</v>
      </c>
      <c r="I129" s="311" t="str">
        <f>CONCATENATE('IV-2 dsa'!H55)</f>
        <v>R</v>
      </c>
      <c r="J129" s="311" t="str">
        <f>CONCATENATE('IV-2 dsa'!I55)</f>
        <v>-</v>
      </c>
      <c r="K129" s="311" t="str">
        <f>CONCATENATE('IV-2 dsa'!J55)</f>
        <v>-</v>
      </c>
      <c r="L129" s="644">
        <f>SUM('IV-2 dsa'!K55)</f>
        <v>12289</v>
      </c>
      <c r="M129" s="644"/>
      <c r="N129" s="644"/>
      <c r="O129" s="644">
        <f>SUM('IV-2 dsa'!L55)</f>
        <v>0</v>
      </c>
      <c r="P129" s="644">
        <f>SUM('ketv. 6 '!P128)</f>
        <v>0</v>
      </c>
      <c r="Q129" s="644">
        <f t="shared" si="143"/>
        <v>0</v>
      </c>
      <c r="R129" s="644">
        <f>SUM('IV-2 dsa'!M55)</f>
        <v>922</v>
      </c>
      <c r="S129" s="644">
        <f>SUM('ketv. 6 '!T128)</f>
        <v>922</v>
      </c>
      <c r="T129" s="644">
        <f t="shared" si="144"/>
        <v>0</v>
      </c>
      <c r="U129" s="644">
        <f>SUM('IV-2 dsa'!N55)</f>
        <v>922</v>
      </c>
      <c r="V129" s="644">
        <f>SUM('ketv. 6 '!X128)</f>
        <v>18623</v>
      </c>
      <c r="W129" s="644">
        <f t="shared" si="145"/>
        <v>-17701</v>
      </c>
      <c r="X129" s="644">
        <f>SUM('IV-2 dsa'!O55)</f>
        <v>0</v>
      </c>
      <c r="Y129" s="644">
        <f>SUM('ketv. 6 '!AB128)</f>
        <v>0</v>
      </c>
      <c r="Z129" s="644">
        <f t="shared" si="146"/>
        <v>0</v>
      </c>
      <c r="AA129" s="644">
        <f>SUM('IV-2 dsa'!P55)</f>
        <v>10445</v>
      </c>
      <c r="AB129" s="644">
        <f>SUM('IV-2 vrsa'!R109)</f>
        <v>0</v>
      </c>
      <c r="AC129" s="16" t="str">
        <f>IF('ketv. 4 '!Z129&gt;0,"Taip","Ne")</f>
        <v>Taip</v>
      </c>
      <c r="AD129" s="16">
        <f>SUM('ketv. 6 '!AF128)</f>
        <v>10445</v>
      </c>
      <c r="AE129" s="16">
        <f t="shared" si="147"/>
        <v>0</v>
      </c>
      <c r="AF129" s="431">
        <v>43227</v>
      </c>
      <c r="AG129" s="651">
        <f>SUM('IV-2 dsa'!S55)</f>
        <v>43312</v>
      </c>
      <c r="AH129" s="651">
        <f>SUM('IV-2 dsa'!T55)</f>
        <v>43403</v>
      </c>
      <c r="AI129" s="651">
        <f>SUM('IV-2 dsa'!U55)</f>
        <v>43495</v>
      </c>
      <c r="AJ129" s="671">
        <f t="shared" si="148"/>
        <v>2019</v>
      </c>
      <c r="AK129" s="721">
        <f>SUM('IV-2 dsa'!V55)</f>
        <v>43922</v>
      </c>
      <c r="AL129" s="16">
        <f t="shared" si="149"/>
        <v>0</v>
      </c>
      <c r="AM129" s="16">
        <f t="shared" si="150"/>
        <v>0</v>
      </c>
      <c r="AN129" s="16">
        <f t="shared" si="151"/>
        <v>0</v>
      </c>
      <c r="AO129" s="16">
        <f t="shared" si="152"/>
        <v>10445</v>
      </c>
      <c r="AP129" s="703">
        <f t="shared" si="153"/>
        <v>0</v>
      </c>
      <c r="AQ129" s="30"/>
      <c r="AR129" s="30"/>
      <c r="AS129" s="30"/>
      <c r="AT129" s="48">
        <f t="shared" si="154"/>
        <v>427</v>
      </c>
      <c r="AU129" s="59">
        <f t="shared" si="155"/>
        <v>30.416666666666668</v>
      </c>
      <c r="AV129" s="59">
        <f t="shared" si="156"/>
        <v>14.038356164383561</v>
      </c>
    </row>
    <row r="130" spans="1:48" ht="52.5" thickTop="1" thickBot="1">
      <c r="A130" s="311" t="s">
        <v>1422</v>
      </c>
      <c r="B130" s="311" t="s">
        <v>1446</v>
      </c>
      <c r="C130" s="1093" t="str">
        <f>CONCATENATE('ketv. 2'!B129)</f>
        <v>08.1.3-CPVA-R-609-11-0001</v>
      </c>
      <c r="D130" s="311" t="str">
        <f>CONCATENATE('IV-2 dsa'!C56)</f>
        <v>I. S. Kavaliauskienės įmonės teikiamų pirminės ambulatorinės asmens sveikatos priežiūros paslaugų kokybės ir prieinamumo gerinimas</v>
      </c>
      <c r="E130" s="311" t="str">
        <f>CONCATENATE('IV-2 dsa'!D56)</f>
        <v>Irenos Stanislavos Kavaliauskienės įmonė</v>
      </c>
      <c r="F130" s="311" t="str">
        <f>CONCATENATE('IV-2 dsa'!E56)</f>
        <v>Lietuvos Respublikos Sveikatos apsaugos ministerija</v>
      </c>
      <c r="G130" s="311" t="str">
        <f>CONCATENATE('IV-2 dsa'!F56)</f>
        <v>Druskininkų sav.</v>
      </c>
      <c r="H130" s="311" t="str">
        <f>CONCATENATE('IV-2 dsa'!G56)</f>
        <v>08.1.3-CPVA-R-609</v>
      </c>
      <c r="I130" s="311" t="str">
        <f>CONCATENATE('IV-2 dsa'!H56)</f>
        <v>R</v>
      </c>
      <c r="J130" s="311" t="str">
        <f>CONCATENATE('IV-2 dsa'!I56)</f>
        <v>-</v>
      </c>
      <c r="K130" s="311" t="str">
        <f>CONCATENATE('IV-2 dsa'!J56)</f>
        <v>-</v>
      </c>
      <c r="L130" s="644">
        <f>SUM('IV-2 dsa'!K56)</f>
        <v>25517</v>
      </c>
      <c r="M130" s="644"/>
      <c r="N130" s="644"/>
      <c r="O130" s="644">
        <f>SUM('IV-2 dsa'!L56)</f>
        <v>0</v>
      </c>
      <c r="P130" s="644">
        <f>SUM('ketv. 6 '!P134)</f>
        <v>74624.070000000007</v>
      </c>
      <c r="Q130" s="644">
        <f t="shared" si="143"/>
        <v>-74624.070000000007</v>
      </c>
      <c r="R130" s="644">
        <f>SUM('IV-2 dsa'!M56)</f>
        <v>1913.55</v>
      </c>
      <c r="S130" s="644">
        <f>SUM('ketv. 6 '!T134)</f>
        <v>74623.62</v>
      </c>
      <c r="T130" s="644">
        <f t="shared" si="144"/>
        <v>-72710.069999999992</v>
      </c>
      <c r="U130" s="644">
        <f>SUM('IV-2 dsa'!N56)</f>
        <v>1914</v>
      </c>
      <c r="V130" s="644">
        <f>SUM('ketv. 6 '!X134)</f>
        <v>0</v>
      </c>
      <c r="W130" s="644">
        <f t="shared" si="145"/>
        <v>0</v>
      </c>
      <c r="X130" s="644">
        <f>SUM('IV-2 dsa'!O56)</f>
        <v>0</v>
      </c>
      <c r="Y130" s="644">
        <f>SUM('ketv. 6 '!AB134)</f>
        <v>0</v>
      </c>
      <c r="Z130" s="644">
        <f t="shared" si="146"/>
        <v>0</v>
      </c>
      <c r="AA130" s="644">
        <f>SUM('IV-2 dsa'!P56)</f>
        <v>21689.45</v>
      </c>
      <c r="AB130" s="644">
        <f>SUM('IV-2 vrsa'!R110)</f>
        <v>0</v>
      </c>
      <c r="AC130" s="16" t="str">
        <f>IF('ketv. 4 '!Z135&gt;0,"Taip","Ne")</f>
        <v>Ne</v>
      </c>
      <c r="AD130" s="16">
        <f>SUM('ketv. 6 '!AF129)</f>
        <v>21689.45</v>
      </c>
      <c r="AE130" s="16">
        <f t="shared" si="147"/>
        <v>0</v>
      </c>
      <c r="AF130" s="431">
        <v>43227</v>
      </c>
      <c r="AG130" s="651">
        <f>SUM('IV-2 dsa'!S56)</f>
        <v>43312</v>
      </c>
      <c r="AH130" s="651">
        <f>SUM('IV-2 dsa'!T56)</f>
        <v>43373</v>
      </c>
      <c r="AI130" s="651">
        <f>SUM('IV-2 dsa'!U56)</f>
        <v>43464</v>
      </c>
      <c r="AJ130" s="671">
        <f t="shared" si="148"/>
        <v>2018</v>
      </c>
      <c r="AK130" s="721">
        <f>SUM('IV-2 dsa'!V56)</f>
        <v>43830</v>
      </c>
      <c r="AL130" s="16">
        <f t="shared" si="149"/>
        <v>0</v>
      </c>
      <c r="AM130" s="16">
        <f t="shared" si="150"/>
        <v>0</v>
      </c>
      <c r="AN130" s="16">
        <f>IF(YEAR(AI130)=2018,AA130,0)</f>
        <v>21689.45</v>
      </c>
      <c r="AO130" s="16">
        <f t="shared" si="152"/>
        <v>0</v>
      </c>
      <c r="AP130" s="703">
        <f t="shared" si="153"/>
        <v>0</v>
      </c>
      <c r="AQ130" s="30"/>
      <c r="AR130" s="30"/>
      <c r="AS130" s="30"/>
      <c r="AT130" s="48">
        <f t="shared" si="154"/>
        <v>366</v>
      </c>
      <c r="AU130" s="59">
        <f t="shared" si="155"/>
        <v>30.416666666666668</v>
      </c>
      <c r="AV130" s="59">
        <f t="shared" si="156"/>
        <v>12.032876712328767</v>
      </c>
    </row>
    <row r="131" spans="1:48" ht="52.5" thickTop="1" thickBot="1">
      <c r="A131" s="311" t="s">
        <v>1423</v>
      </c>
      <c r="B131" s="311" t="s">
        <v>1445</v>
      </c>
      <c r="C131" s="1093" t="str">
        <f>CONCATENATE('ketv. 2'!B130)</f>
        <v>08.1.3-CPVA-R-609-11-0008</v>
      </c>
      <c r="D131" s="311" t="str">
        <f>CONCATENATE('IV-2 dsa'!C57)</f>
        <v>Pirminės ambulatorinės asmens sveikatos priežiūros efektyvumo didinimas R. Ambrazaitienės ir L. Puzinovienės šeimos gydytojų kabinetuose</v>
      </c>
      <c r="E131" s="311" t="str">
        <f>CONCATENATE('IV-2 dsa'!D57)</f>
        <v>UAB „Rasos Ambrazaitienės šeimos gydytojo kabinetas“</v>
      </c>
      <c r="F131" s="311" t="str">
        <f>CONCATENATE('IV-2 dsa'!E57)</f>
        <v>Lietuvos Respublikos Sveikatos apsaugos ministerija</v>
      </c>
      <c r="G131" s="311" t="str">
        <f>CONCATENATE('IV-2 dsa'!F57)</f>
        <v>Druskininkų sav.</v>
      </c>
      <c r="H131" s="311" t="str">
        <f>CONCATENATE('IV-2 dsa'!G57)</f>
        <v>08.1.3-CPVA-R-609</v>
      </c>
      <c r="I131" s="311" t="str">
        <f>CONCATENATE('IV-2 dsa'!H57)</f>
        <v>R</v>
      </c>
      <c r="J131" s="311" t="str">
        <f>CONCATENATE('IV-2 dsa'!I57)</f>
        <v>-</v>
      </c>
      <c r="K131" s="311" t="str">
        <f>CONCATENATE('IV-2 dsa'!J57)</f>
        <v>-</v>
      </c>
      <c r="L131" s="644">
        <f>SUM('IV-2 dsa'!K57)</f>
        <v>27906</v>
      </c>
      <c r="M131" s="644"/>
      <c r="N131" s="644"/>
      <c r="O131" s="644">
        <f>SUM('IV-2 dsa'!L57)</f>
        <v>0</v>
      </c>
      <c r="P131" s="644">
        <f>SUM('ketv. 6 '!P135)</f>
        <v>14924.79</v>
      </c>
      <c r="Q131" s="644">
        <f t="shared" si="143"/>
        <v>-14924.79</v>
      </c>
      <c r="R131" s="644">
        <f>SUM('IV-2 dsa'!M57)</f>
        <v>2093</v>
      </c>
      <c r="S131" s="644">
        <f>SUM('ketv. 6 '!T135)</f>
        <v>14924.79</v>
      </c>
      <c r="T131" s="644">
        <f t="shared" si="144"/>
        <v>-12831.79</v>
      </c>
      <c r="U131" s="644">
        <f>SUM('IV-2 dsa'!N57)</f>
        <v>2093</v>
      </c>
      <c r="V131" s="644">
        <f>SUM('ketv. 6 '!X135)</f>
        <v>0</v>
      </c>
      <c r="W131" s="644">
        <f t="shared" si="145"/>
        <v>0</v>
      </c>
      <c r="X131" s="644">
        <f>SUM('IV-2 dsa'!O57)</f>
        <v>0</v>
      </c>
      <c r="Y131" s="644">
        <f>SUM('ketv. 6 '!AB135)</f>
        <v>0</v>
      </c>
      <c r="Z131" s="644">
        <f t="shared" si="146"/>
        <v>0</v>
      </c>
      <c r="AA131" s="644">
        <f>SUM('IV-2 dsa'!P57)</f>
        <v>23720</v>
      </c>
      <c r="AB131" s="644">
        <f>SUM('IV-2 vrsa'!R111)</f>
        <v>0</v>
      </c>
      <c r="AC131" s="16" t="str">
        <f>IF('ketv. 4 '!Z136&gt;0,"Taip","Ne")</f>
        <v>Taip</v>
      </c>
      <c r="AD131" s="16">
        <f>SUM('ketv. 6 '!AF130)</f>
        <v>23720.1</v>
      </c>
      <c r="AE131" s="16">
        <f t="shared" si="147"/>
        <v>-9.9999999998544808E-2</v>
      </c>
      <c r="AF131" s="431">
        <v>43227</v>
      </c>
      <c r="AG131" s="651">
        <f>SUM('IV-2 dsa'!S57)</f>
        <v>43312</v>
      </c>
      <c r="AH131" s="651">
        <f>SUM('IV-2 dsa'!T57)</f>
        <v>43403</v>
      </c>
      <c r="AI131" s="651">
        <f>SUM('IV-2 dsa'!U57)</f>
        <v>43495</v>
      </c>
      <c r="AJ131" s="671">
        <f t="shared" si="148"/>
        <v>2019</v>
      </c>
      <c r="AK131" s="721">
        <f>SUM('IV-2 dsa'!V57)</f>
        <v>44196</v>
      </c>
      <c r="AL131" s="16">
        <f t="shared" si="149"/>
        <v>0</v>
      </c>
      <c r="AM131" s="16">
        <f t="shared" si="150"/>
        <v>0</v>
      </c>
      <c r="AN131" s="16">
        <f t="shared" si="151"/>
        <v>0</v>
      </c>
      <c r="AO131" s="16">
        <f t="shared" si="152"/>
        <v>23720</v>
      </c>
      <c r="AP131" s="703">
        <f t="shared" si="153"/>
        <v>0</v>
      </c>
      <c r="AQ131" s="30"/>
      <c r="AR131" s="30"/>
      <c r="AS131" s="30"/>
      <c r="AT131" s="48">
        <f t="shared" si="154"/>
        <v>701</v>
      </c>
      <c r="AU131" s="59">
        <f t="shared" si="155"/>
        <v>30.416666666666668</v>
      </c>
      <c r="AV131" s="59">
        <f t="shared" si="156"/>
        <v>23.046575342465754</v>
      </c>
    </row>
    <row r="132" spans="1:48" ht="39.75" thickTop="1" thickBot="1">
      <c r="A132" s="311" t="s">
        <v>1424</v>
      </c>
      <c r="B132" s="311" t="s">
        <v>1449</v>
      </c>
      <c r="C132" s="1093" t="str">
        <f>CONCATENATE('ketv. 2'!B131)</f>
        <v>08.1.3-CPVA-R-609-11-0010</v>
      </c>
      <c r="D132" s="311" t="str">
        <f>CONCATENATE('IV-2 lrsa'!D51)</f>
        <v>Pirminės asmens sveikatos priežiūros veiklos efektyvumo didinimas Lazdijų rajono savivaldybėje</v>
      </c>
      <c r="E132" s="311" t="str">
        <f>CONCATENATE('IV-2 lrsa'!E51)</f>
        <v>Lazdijų rajono savivaldybės administracija</v>
      </c>
      <c r="F132" s="311" t="str">
        <f>CONCATENATE('IV-2 lrsa'!F51)</f>
        <v>Lietuvos Respublikos Sveikatos apsaugos ministerija</v>
      </c>
      <c r="G132" s="311" t="str">
        <f>CONCATENATE('IV-2 lrsa'!G51)</f>
        <v>Lazdijų r. sav.</v>
      </c>
      <c r="H132" s="311" t="str">
        <f>CONCATENATE('IV-2 lrsa'!H51)</f>
        <v>08.1.3-CPVA-R-609</v>
      </c>
      <c r="I132" s="311" t="str">
        <f>CONCATENATE('IV-2 lrsa'!I51)</f>
        <v>R</v>
      </c>
      <c r="J132" s="311" t="str">
        <f>CONCATENATE('IV-2 lrsa'!J51)</f>
        <v>-</v>
      </c>
      <c r="K132" s="311" t="str">
        <f>CONCATENATE('IV-2 lrsa'!K51)</f>
        <v>-</v>
      </c>
      <c r="L132" s="644">
        <f>SUM('IV-2 lrsa'!L51)</f>
        <v>192719</v>
      </c>
      <c r="M132" s="644"/>
      <c r="N132" s="644"/>
      <c r="O132" s="644">
        <f>SUM('IV-2 lrsa'!M51)</f>
        <v>2983</v>
      </c>
      <c r="P132" s="644">
        <f>SUM('ketv. 6 '!P136)</f>
        <v>14924.7</v>
      </c>
      <c r="Q132" s="644">
        <f t="shared" si="143"/>
        <v>-11941.7</v>
      </c>
      <c r="R132" s="644">
        <f>SUM('IV-2 lrsa'!N51)</f>
        <v>14454</v>
      </c>
      <c r="S132" s="644">
        <f>SUM('ketv. 6 '!T136)</f>
        <v>14924.7</v>
      </c>
      <c r="T132" s="644">
        <f t="shared" si="144"/>
        <v>-470.70000000000073</v>
      </c>
      <c r="U132" s="644">
        <f>SUM('IV-2 lrsa'!O51)</f>
        <v>11471</v>
      </c>
      <c r="V132" s="644">
        <f>SUM('ketv. 6 '!X136)</f>
        <v>0</v>
      </c>
      <c r="W132" s="644">
        <f t="shared" si="145"/>
        <v>0</v>
      </c>
      <c r="X132" s="644">
        <f>SUM('IV-2 lrsa'!P51)</f>
        <v>0</v>
      </c>
      <c r="Y132" s="644">
        <f>SUM('ketv. 6 '!AB136)</f>
        <v>0</v>
      </c>
      <c r="Z132" s="644">
        <f t="shared" si="146"/>
        <v>0</v>
      </c>
      <c r="AA132" s="644">
        <f>SUM('IV-2 lrsa'!Q51)</f>
        <v>163811</v>
      </c>
      <c r="AB132" s="644">
        <f>SUM('IV-2 vrsa'!R112)</f>
        <v>0</v>
      </c>
      <c r="AC132" s="16" t="str">
        <f>IF('ketv. 4 '!Z137&gt;0,"Taip","Ne")</f>
        <v>Taip</v>
      </c>
      <c r="AD132" s="16">
        <f>SUM('ketv. 6 '!AF131)</f>
        <v>163810.96</v>
      </c>
      <c r="AE132" s="16">
        <f t="shared" si="147"/>
        <v>4.0000000008149073E-2</v>
      </c>
      <c r="AF132" s="431">
        <v>43227</v>
      </c>
      <c r="AG132" s="651">
        <f>SUM('IV-2 lrsa'!T51)</f>
        <v>43312</v>
      </c>
      <c r="AH132" s="651">
        <f>SUM('IV-2 lrsa'!U51)</f>
        <v>43404</v>
      </c>
      <c r="AI132" s="651">
        <f>SUM('IV-2 lrsa'!V51)</f>
        <v>43496</v>
      </c>
      <c r="AJ132" s="671">
        <f t="shared" si="148"/>
        <v>2019</v>
      </c>
      <c r="AK132" s="721">
        <f>SUM('IV-2 lrsa'!W51)</f>
        <v>44531</v>
      </c>
      <c r="AL132" s="16">
        <f t="shared" si="149"/>
        <v>0</v>
      </c>
      <c r="AM132" s="16">
        <f t="shared" si="150"/>
        <v>0</v>
      </c>
      <c r="AN132" s="16">
        <f t="shared" si="151"/>
        <v>0</v>
      </c>
      <c r="AO132" s="16">
        <f t="shared" si="152"/>
        <v>163811</v>
      </c>
      <c r="AP132" s="703">
        <f t="shared" si="153"/>
        <v>0</v>
      </c>
      <c r="AQ132" s="30"/>
      <c r="AR132" s="30"/>
      <c r="AS132" s="30"/>
      <c r="AT132" s="48">
        <f t="shared" si="154"/>
        <v>1035</v>
      </c>
      <c r="AU132" s="59">
        <f t="shared" si="155"/>
        <v>30.416666666666668</v>
      </c>
      <c r="AV132" s="59">
        <f t="shared" si="156"/>
        <v>34.027397260273972</v>
      </c>
    </row>
    <row r="133" spans="1:48" ht="39.75" thickTop="1" thickBot="1">
      <c r="A133" s="311" t="s">
        <v>1425</v>
      </c>
      <c r="B133" s="311" t="s">
        <v>1456</v>
      </c>
      <c r="C133" s="1093" t="str">
        <f>CONCATENATE('ketv. 2'!B132)</f>
        <v>08.1.3-CPVA-R-609-11-0012</v>
      </c>
      <c r="D133" s="311" t="str">
        <f>CONCATENATE('IV-2 vrsa'!D56)</f>
        <v>Pirminės asmens sveikatos priežiūros veiklos efektyvumo didinimas Varėnos rajono savivaldybėje</v>
      </c>
      <c r="E133" s="311" t="str">
        <f>CONCATENATE('IV-2 vrsa'!E56)</f>
        <v>VšĮ Varėnos pirminės sveikatos priežiūros centras</v>
      </c>
      <c r="F133" s="311" t="str">
        <f>CONCATENATE('IV-2 vrsa'!F56)</f>
        <v>Lietuvos Respublikos Sveikatos apsaugos ministerija</v>
      </c>
      <c r="G133" s="311" t="str">
        <f>CONCATENATE('IV-2 vrsa'!G56)</f>
        <v>Varėnos r. sav.</v>
      </c>
      <c r="H133" s="311" t="str">
        <f>CONCATENATE('IV-2 vrsa'!H56)</f>
        <v>08.1.3-CPVA-R-609</v>
      </c>
      <c r="I133" s="311" t="str">
        <f>CONCATENATE('IV-2 vrsa'!I56)</f>
        <v>R</v>
      </c>
      <c r="J133" s="311" t="str">
        <f>CONCATENATE('IV-2 vrsa'!J56)</f>
        <v>-</v>
      </c>
      <c r="K133" s="311" t="str">
        <f>CONCATENATE('IV-2 vrsa'!K56)</f>
        <v>-</v>
      </c>
      <c r="L133" s="644">
        <f>SUM('IV-2 vrsa'!L56)</f>
        <v>192678</v>
      </c>
      <c r="M133" s="644"/>
      <c r="N133" s="644"/>
      <c r="O133" s="644">
        <f>SUM('IV-2 vrsa'!M56)</f>
        <v>14451</v>
      </c>
      <c r="P133" s="644">
        <f>SUM('ketv. 6 '!P137)</f>
        <v>14925</v>
      </c>
      <c r="Q133" s="644">
        <f t="shared" si="143"/>
        <v>-474</v>
      </c>
      <c r="R133" s="644">
        <f>SUM('IV-2 vrsa'!N56)</f>
        <v>14451</v>
      </c>
      <c r="S133" s="644">
        <f>SUM('ketv. 6 '!T137)</f>
        <v>14924.55</v>
      </c>
      <c r="T133" s="644">
        <f t="shared" si="144"/>
        <v>-473.54999999999927</v>
      </c>
      <c r="U133" s="644">
        <f>SUM('IV-2 vrsa'!O56)</f>
        <v>0</v>
      </c>
      <c r="V133" s="644">
        <f>SUM('ketv. 6 '!X137)</f>
        <v>0</v>
      </c>
      <c r="W133" s="644">
        <f t="shared" si="145"/>
        <v>0</v>
      </c>
      <c r="X133" s="644">
        <f>SUM('IV-2 vrsa'!P56)</f>
        <v>0</v>
      </c>
      <c r="Y133" s="644">
        <f>SUM('ketv. 6 '!AB137)</f>
        <v>0</v>
      </c>
      <c r="Z133" s="644">
        <f t="shared" si="146"/>
        <v>0</v>
      </c>
      <c r="AA133" s="644">
        <f>SUM('IV-2 vrsa'!Q56)</f>
        <v>163776</v>
      </c>
      <c r="AB133" s="644">
        <f>SUM('IV-2 vrsa'!R113)</f>
        <v>0</v>
      </c>
      <c r="AC133" s="16" t="str">
        <f>IF('ketv. 4 '!Z138&gt;0,"Taip","Ne")</f>
        <v>Taip</v>
      </c>
      <c r="AD133" s="16">
        <f>SUM('ketv. 6 '!AF132)</f>
        <v>163764.54999999999</v>
      </c>
      <c r="AE133" s="16">
        <f t="shared" si="147"/>
        <v>11.450000000011642</v>
      </c>
      <c r="AF133" s="431">
        <v>43227</v>
      </c>
      <c r="AG133" s="651">
        <f>SUM('IV-2 vrsa'!T56)</f>
        <v>43312</v>
      </c>
      <c r="AH133" s="651">
        <f>SUM('IV-2 vrsa'!U56)</f>
        <v>43434</v>
      </c>
      <c r="AI133" s="651">
        <f>SUM('IV-2 vrsa'!V56)</f>
        <v>43496</v>
      </c>
      <c r="AJ133" s="671">
        <f t="shared" si="148"/>
        <v>2019</v>
      </c>
      <c r="AK133" s="721">
        <f>SUM('IV-2 vrsa'!W56)</f>
        <v>44227</v>
      </c>
      <c r="AL133" s="16">
        <f t="shared" si="149"/>
        <v>0</v>
      </c>
      <c r="AM133" s="16">
        <f t="shared" si="150"/>
        <v>0</v>
      </c>
      <c r="AN133" s="16">
        <f t="shared" si="151"/>
        <v>0</v>
      </c>
      <c r="AO133" s="16">
        <f t="shared" si="152"/>
        <v>163776</v>
      </c>
      <c r="AP133" s="703">
        <f t="shared" si="153"/>
        <v>0</v>
      </c>
      <c r="AQ133" s="30"/>
      <c r="AR133" s="30"/>
      <c r="AS133" s="30"/>
      <c r="AT133" s="48">
        <f t="shared" si="154"/>
        <v>731</v>
      </c>
      <c r="AU133" s="59">
        <f t="shared" si="155"/>
        <v>30.416666666666668</v>
      </c>
      <c r="AV133" s="59">
        <f t="shared" si="156"/>
        <v>24.032876712328765</v>
      </c>
    </row>
    <row r="134" spans="1:48" ht="39.75" thickTop="1" thickBot="1">
      <c r="A134" s="839" t="s">
        <v>1457</v>
      </c>
      <c r="B134" s="839" t="s">
        <v>1491</v>
      </c>
      <c r="C134" s="1093" t="str">
        <f>CONCATENATE('ketv. 2'!B133)</f>
        <v/>
      </c>
      <c r="D134" s="311" t="str">
        <f>CONCATENATE('IV-2 vrsa'!D57)</f>
        <v>Pirminės asmens sveikatos priežiūros veiklos efektyvumo didinimas N. Jarašienės personalinėje įmonėje</v>
      </c>
      <c r="E134" s="311" t="str">
        <f>CONCATENATE('IV-2 vrsa'!E57)</f>
        <v>N. Jarašienės personalinė įmonė</v>
      </c>
      <c r="F134" s="311" t="str">
        <f>CONCATENATE('IV-2 vrsa'!F57)</f>
        <v>Lietuvos Respublikos Sveikatos apsaugos ministerija</v>
      </c>
      <c r="G134" s="311" t="str">
        <f>CONCATENATE('IV-2 vrsa'!G57)</f>
        <v>Varėnos r. sav.</v>
      </c>
      <c r="H134" s="311" t="str">
        <f>CONCATENATE('IV-2 vrsa'!H57)</f>
        <v>08.1.3-CPVA-R-609</v>
      </c>
      <c r="I134" s="311" t="str">
        <f>CONCATENATE('IV-2 vrsa'!I57)</f>
        <v>R</v>
      </c>
      <c r="J134" s="311" t="str">
        <f>CONCATENATE('IV-2 vrsa'!J57)</f>
        <v>-</v>
      </c>
      <c r="K134" s="840" t="str">
        <f>CONCATENATE('IV-2 vrsa'!K57)</f>
        <v>-</v>
      </c>
      <c r="L134" s="644">
        <f>SUM('IV-2 vrsa'!L57)</f>
        <v>8305</v>
      </c>
      <c r="M134" s="644"/>
      <c r="N134" s="644"/>
      <c r="O134" s="644">
        <f>SUM('IV-2 vrsa'!M57)</f>
        <v>0</v>
      </c>
      <c r="P134" s="644">
        <f>SUM('ketv. 6 '!P138)</f>
        <v>14924.79</v>
      </c>
      <c r="Q134" s="644">
        <f t="shared" si="143"/>
        <v>-14924.79</v>
      </c>
      <c r="R134" s="644">
        <f>SUM('IV-2 vrsa'!N57)</f>
        <v>623</v>
      </c>
      <c r="S134" s="644">
        <f>SUM('ketv. 6 '!T138)</f>
        <v>14924.79</v>
      </c>
      <c r="T134" s="644">
        <f t="shared" si="144"/>
        <v>-14301.79</v>
      </c>
      <c r="U134" s="644">
        <f>SUM('IV-2 vrsa'!O57)</f>
        <v>623</v>
      </c>
      <c r="V134" s="644">
        <f>SUM('ketv. 6 '!X138)</f>
        <v>0</v>
      </c>
      <c r="W134" s="644">
        <f t="shared" si="145"/>
        <v>0</v>
      </c>
      <c r="X134" s="644">
        <f>SUM('IV-2 vrsa'!P57)</f>
        <v>0</v>
      </c>
      <c r="Y134" s="644">
        <f>SUM('ketv. 6 '!AB138)</f>
        <v>0</v>
      </c>
      <c r="Z134" s="644">
        <f t="shared" si="146"/>
        <v>0</v>
      </c>
      <c r="AA134" s="644">
        <f>SUM('IV-2 vrsa'!Q57)</f>
        <v>7059</v>
      </c>
      <c r="AB134" s="644">
        <f>SUM('IV-2 vrsa'!R114)</f>
        <v>0</v>
      </c>
      <c r="AC134" s="16" t="str">
        <f>IF('ketv. 4 '!Z139&gt;0,"Taip","Ne")</f>
        <v>Taip</v>
      </c>
      <c r="AD134" s="16">
        <f>SUM('ketv. 6 '!AF133)</f>
        <v>0</v>
      </c>
      <c r="AE134" s="16">
        <f t="shared" si="147"/>
        <v>0</v>
      </c>
      <c r="AF134" s="431">
        <v>43227</v>
      </c>
      <c r="AG134" s="650">
        <f>SUM('IV-2 vrsa'!T57)</f>
        <v>43311</v>
      </c>
      <c r="AH134" s="650">
        <f>SUM('IV-2 vrsa'!U57)</f>
        <v>43404</v>
      </c>
      <c r="AI134" s="650">
        <f>SUM('IV-2 vrsa'!V57)</f>
        <v>43496</v>
      </c>
      <c r="AJ134" s="339">
        <f t="shared" ref="AJ134" si="157">IF(YEAR(AI134),YEAR(AI134))</f>
        <v>2019</v>
      </c>
      <c r="AK134" s="841">
        <f>SUM('IV-2 vrsa'!W57)</f>
        <v>43830</v>
      </c>
      <c r="AL134" s="16">
        <f t="shared" ref="AL134" si="158">IF(YEAR(AI134)=2016,AA134,0)</f>
        <v>0</v>
      </c>
      <c r="AM134" s="16">
        <f t="shared" ref="AM134" si="159">IF(YEAR(AI134)=2017,AA134,0)</f>
        <v>0</v>
      </c>
      <c r="AN134" s="16">
        <f t="shared" ref="AN134" si="160">IF(YEAR(AI134)=2018,AA134,0)</f>
        <v>0</v>
      </c>
      <c r="AO134" s="16">
        <f t="shared" ref="AO134" si="161">IF(YEAR(AI134)=2019,AA134,0)</f>
        <v>7059</v>
      </c>
      <c r="AP134" s="703">
        <f t="shared" ref="AP134" si="162">IF(YEAR(AI134)=2020,AA134,0)</f>
        <v>0</v>
      </c>
      <c r="AQ134" s="30"/>
      <c r="AR134" s="30"/>
      <c r="AS134" s="30"/>
      <c r="AT134" s="48">
        <f t="shared" si="154"/>
        <v>334</v>
      </c>
      <c r="AU134" s="59">
        <f t="shared" si="155"/>
        <v>30.416666666666668</v>
      </c>
      <c r="AV134" s="59">
        <f t="shared" si="156"/>
        <v>10.980821917808219</v>
      </c>
    </row>
    <row r="135" spans="1:48" ht="26.25" customHeight="1" thickBot="1">
      <c r="A135" s="716" t="s">
        <v>34</v>
      </c>
      <c r="B135" s="1920" t="s">
        <v>1479</v>
      </c>
      <c r="C135" s="1891"/>
      <c r="D135" s="1891"/>
      <c r="E135" s="1891"/>
      <c r="F135" s="1891"/>
      <c r="G135" s="1891"/>
      <c r="H135" s="1891"/>
      <c r="I135" s="1891"/>
      <c r="J135" s="1891"/>
      <c r="K135" s="1892"/>
      <c r="L135" s="1054">
        <f t="shared" ref="L135:AA135" si="163">SUM(L136:L140)</f>
        <v>994984.5399999998</v>
      </c>
      <c r="M135" s="1014">
        <f>SUM(M136:M140)</f>
        <v>795987.35999999987</v>
      </c>
      <c r="N135" s="1014">
        <f>SUM(N136:N140)</f>
        <v>0</v>
      </c>
      <c r="O135" s="1054">
        <f t="shared" si="163"/>
        <v>74624.070000000007</v>
      </c>
      <c r="P135" s="1014">
        <f>SUM(P136:P140)</f>
        <v>59699.280000000006</v>
      </c>
      <c r="Q135" s="1014">
        <f>SUM(Q136:Q140)</f>
        <v>0</v>
      </c>
      <c r="R135" s="1054">
        <f t="shared" si="163"/>
        <v>74623.62</v>
      </c>
      <c r="S135" s="1014">
        <f>SUM(S136:S140)</f>
        <v>59698.83</v>
      </c>
      <c r="T135" s="1014">
        <f>SUM(T136:T140)</f>
        <v>0</v>
      </c>
      <c r="U135" s="1054">
        <f t="shared" si="163"/>
        <v>0</v>
      </c>
      <c r="V135" s="1014">
        <f>SUM(V136:V140)</f>
        <v>0</v>
      </c>
      <c r="W135" s="1014">
        <f>SUM(W136:W140)</f>
        <v>0</v>
      </c>
      <c r="X135" s="1054">
        <f t="shared" si="163"/>
        <v>0</v>
      </c>
      <c r="Y135" s="1014">
        <f>SUM(Y136:Y140)</f>
        <v>0</v>
      </c>
      <c r="Z135" s="1014">
        <f>SUM(Z136:Z140)</f>
        <v>0</v>
      </c>
      <c r="AA135" s="1054">
        <f t="shared" si="163"/>
        <v>845736.85</v>
      </c>
      <c r="AB135" s="1014">
        <f>SUM('IV-2 vrsa'!R115)</f>
        <v>0</v>
      </c>
      <c r="AC135" s="708"/>
      <c r="AD135" s="708">
        <f>SUM(AD136:AD140)</f>
        <v>676589.25</v>
      </c>
      <c r="AE135" s="708">
        <f>SUM(AE136:AE140)</f>
        <v>0</v>
      </c>
      <c r="AF135" s="708"/>
      <c r="AG135" s="709"/>
      <c r="AH135" s="709"/>
      <c r="AI135" s="709"/>
      <c r="AJ135" s="339">
        <f t="shared" si="148"/>
        <v>1900</v>
      </c>
      <c r="AK135" s="711"/>
      <c r="AL135" s="16">
        <f>SUM(AL136:AL140)</f>
        <v>0</v>
      </c>
      <c r="AM135" s="16">
        <f t="shared" ref="AM135:AP135" si="164">SUM(AM136:AM140)</f>
        <v>0</v>
      </c>
      <c r="AN135" s="16">
        <f t="shared" si="164"/>
        <v>845736.85</v>
      </c>
      <c r="AO135" s="16">
        <f t="shared" si="164"/>
        <v>0</v>
      </c>
      <c r="AP135" s="16">
        <f t="shared" si="164"/>
        <v>0</v>
      </c>
      <c r="AQ135" s="30">
        <f>SUM('IV-2 amsa'!X51+'IV-2 arsa'!W53+'IV-2 dsa'!W58+'IV-2 lrsa'!X52+'IV-2 vrsa'!X58)</f>
        <v>855147.6</v>
      </c>
      <c r="AR135" s="30">
        <f>SUM(AQ135*120/100)</f>
        <v>1026177.12</v>
      </c>
      <c r="AS135" s="30">
        <f>SUM(AQ135-AA135)</f>
        <v>9410.75</v>
      </c>
    </row>
    <row r="136" spans="1:48" ht="51.75" thickBot="1">
      <c r="A136" s="311" t="s">
        <v>149</v>
      </c>
      <c r="B136" s="311" t="s">
        <v>1332</v>
      </c>
      <c r="C136" s="314" t="str">
        <f>CONCATENATE('ketv. 2'!B135)</f>
        <v>08.4.2-ESFA-R-630-11-0004</v>
      </c>
      <c r="D136" s="311" t="str">
        <f>CONCATENATE('IV-2 arsa'!C54)</f>
        <v>Sveikos gyvensenos skatinimas Alytaus rajone</v>
      </c>
      <c r="E136" s="311" t="str">
        <f>CONCATENATE('IV-2 arsa'!D54)</f>
        <v>Alytaus rajono savivaldybės visuomenės sveikatos biuras</v>
      </c>
      <c r="F136" s="311" t="str">
        <f>CONCATENATE('IV-2 arsa'!E54)</f>
        <v>Lietuvos Respublikos Sveikatos apsaugos ministerija</v>
      </c>
      <c r="G136" s="311" t="str">
        <f>CONCATENATE('IV-2 arsa'!F54)</f>
        <v>Alytaus r. sav.</v>
      </c>
      <c r="H136" s="130" t="str">
        <f>CONCATENATE('IV-2 arsa'!G54)</f>
        <v>08.4.2-ESFA-R-630</v>
      </c>
      <c r="I136" s="130" t="str">
        <f>CONCATENATE('IV-2 arsa'!H54)</f>
        <v>R</v>
      </c>
      <c r="J136" s="130" t="str">
        <f>CONCATENATE('IV-2 arsa'!I54)</f>
        <v>-</v>
      </c>
      <c r="K136" s="130" t="str">
        <f>CONCATENATE('IV-2 arsa'!J54)</f>
        <v>-</v>
      </c>
      <c r="L136" s="644">
        <f>SUM('IV-2 arsa'!K54)</f>
        <v>198997.18</v>
      </c>
      <c r="M136" s="1017">
        <f>SUM('ketv. 6 '!L135)</f>
        <v>198997.18</v>
      </c>
      <c r="N136" s="1017">
        <f>IF(M136&gt;0,L136-M136,0)</f>
        <v>0</v>
      </c>
      <c r="O136" s="644">
        <f>SUM('IV-2 arsa'!L54)</f>
        <v>14924.79</v>
      </c>
      <c r="P136" s="1017">
        <f>SUM('ketv. 6 '!P135)</f>
        <v>14924.79</v>
      </c>
      <c r="Q136" s="1017">
        <f>IF(P136&gt;0,O136-P136,0)</f>
        <v>0</v>
      </c>
      <c r="R136" s="644">
        <f>SUM('IV-2 arsa'!M54)</f>
        <v>14924.79</v>
      </c>
      <c r="S136" s="1017">
        <f>SUM('ketv. 6 '!T135)</f>
        <v>14924.79</v>
      </c>
      <c r="T136" s="1017">
        <f>IF(S136&gt;0,R136-S136,0)</f>
        <v>0</v>
      </c>
      <c r="U136" s="644">
        <f>SUM('IV-2 arsa'!N54)</f>
        <v>0</v>
      </c>
      <c r="V136" s="1017">
        <f>SUM('ketv. 6 '!X135)</f>
        <v>0</v>
      </c>
      <c r="W136" s="1017">
        <f>IF(V136&gt;0,U136-V136,0)</f>
        <v>0</v>
      </c>
      <c r="X136" s="644">
        <f>SUM('IV-2 arsa'!O54)</f>
        <v>0</v>
      </c>
      <c r="Y136" s="1017">
        <f>SUM('ketv. 6 '!AB135)</f>
        <v>0</v>
      </c>
      <c r="Z136" s="1017">
        <f>IF(Y136&gt;0,X136-Y136,0)</f>
        <v>0</v>
      </c>
      <c r="AA136" s="644">
        <f>SUM('IV-2 arsa'!P54)</f>
        <v>169147.6</v>
      </c>
      <c r="AB136" s="1017">
        <f>SUM('IV-2 vrsa'!R116)</f>
        <v>0</v>
      </c>
      <c r="AC136" s="16" t="str">
        <f>IF('ketv. 4 '!Z136&gt;0,"Taip","Ne")</f>
        <v>Taip</v>
      </c>
      <c r="AD136" s="16">
        <f>SUM('ketv. 6 '!AF135)</f>
        <v>169147.6</v>
      </c>
      <c r="AE136" s="16">
        <f>IF(AD136&gt;0,AA136-AD136,0)</f>
        <v>0</v>
      </c>
      <c r="AF136" s="431">
        <v>43108</v>
      </c>
      <c r="AG136" s="337">
        <f>SUM('IV-2 arsa'!S54)</f>
        <v>43159</v>
      </c>
      <c r="AH136" s="337">
        <f>SUM('IV-2 arsa'!T54)</f>
        <v>43220</v>
      </c>
      <c r="AI136" s="337">
        <f>SUM('IV-2 arsa'!U54)</f>
        <v>43296</v>
      </c>
      <c r="AJ136" s="339">
        <f t="shared" ref="AJ136:AJ138" si="165">IF(YEAR(AI136),YEAR(AI136))</f>
        <v>2018</v>
      </c>
      <c r="AK136" s="702">
        <f>SUM('IV-2 arsa'!V54)</f>
        <v>44380</v>
      </c>
      <c r="AL136" s="16">
        <f>IF(YEAR(AI136)=2016,AA136,0)</f>
        <v>0</v>
      </c>
      <c r="AM136" s="16">
        <f>IF(YEAR(AI136)=2017,AA136,0)</f>
        <v>0</v>
      </c>
      <c r="AN136" s="16">
        <f>IF(YEAR(AI136)=2018,AA136,0)</f>
        <v>169147.6</v>
      </c>
      <c r="AO136" s="16">
        <f>IF(YEAR(AI136)=2019,AA136,0)</f>
        <v>0</v>
      </c>
      <c r="AP136" s="703">
        <f>IF(YEAR(AI136)=2020,AA136,0)</f>
        <v>0</v>
      </c>
      <c r="AQ136" s="30"/>
      <c r="AR136" s="30"/>
      <c r="AS136" s="30"/>
    </row>
    <row r="137" spans="1:48" ht="39.75" thickTop="1" thickBot="1">
      <c r="A137" s="311" t="s">
        <v>152</v>
      </c>
      <c r="B137" s="311" t="s">
        <v>1333</v>
      </c>
      <c r="C137" s="1499" t="str">
        <f>CONCATENATE('ketv. 2'!B136)</f>
        <v>08.4.2-ESFA-R-630-11-0001</v>
      </c>
      <c r="D137" s="311" t="str">
        <f>CONCATENATE('IV-2 amsa'!D52)</f>
        <v>Mažais žingsneliais – sveikos gyvensenos link</v>
      </c>
      <c r="E137" s="311" t="str">
        <f>CONCATENATE('IV-2 amsa'!E52)</f>
        <v>Alytaus miesto savivaldybės administracija</v>
      </c>
      <c r="F137" s="311" t="str">
        <f>CONCATENATE('IV-2 amsa'!F52)</f>
        <v>Lietuvos Respublikos Sveikatos apsaugos ministerija</v>
      </c>
      <c r="G137" s="130" t="str">
        <f>CONCATENATE('IV-2 amsa'!G52)</f>
        <v>Alytaus m. sav.</v>
      </c>
      <c r="H137" s="130" t="str">
        <f>CONCATENATE('IV-2 amsa'!H52)</f>
        <v>08.4.2-ESFA-R-630</v>
      </c>
      <c r="I137" s="130" t="str">
        <f>CONCATENATE('IV-2 amsa'!I52)</f>
        <v>R</v>
      </c>
      <c r="J137" s="130" t="str">
        <f>CONCATENATE('IV-2 amsa'!J52)</f>
        <v>-</v>
      </c>
      <c r="K137" s="130" t="str">
        <f>CONCATENATE('IV-2 amsa'!K52)</f>
        <v>-</v>
      </c>
      <c r="L137" s="644">
        <f>SUM('IV-2 amsa'!L52)</f>
        <v>198996</v>
      </c>
      <c r="M137" s="1017">
        <f>SUM('ketv. 6 '!L136)</f>
        <v>198996</v>
      </c>
      <c r="N137" s="1017">
        <f>IF(M137&gt;0,L137-M137,0)</f>
        <v>0</v>
      </c>
      <c r="O137" s="644">
        <f>SUM('IV-2 amsa'!M52)</f>
        <v>14924.7</v>
      </c>
      <c r="P137" s="1017">
        <f>SUM('ketv. 6 '!P136)</f>
        <v>14924.7</v>
      </c>
      <c r="Q137" s="1017">
        <f>IF(P137&gt;0,O137-P137,0)</f>
        <v>0</v>
      </c>
      <c r="R137" s="644">
        <f>SUM('IV-2 amsa'!N52)</f>
        <v>14924.7</v>
      </c>
      <c r="S137" s="1017">
        <f>SUM('ketv. 6 '!T136)</f>
        <v>14924.7</v>
      </c>
      <c r="T137" s="1017">
        <f>IF(S137&gt;0,R137-S137,0)</f>
        <v>0</v>
      </c>
      <c r="U137" s="644">
        <f>SUM('IV-2 amsa'!O52)</f>
        <v>0</v>
      </c>
      <c r="V137" s="1017">
        <f>SUM('ketv. 6 '!X136)</f>
        <v>0</v>
      </c>
      <c r="W137" s="1017">
        <f>IF(V137&gt;0,U137-V137,0)</f>
        <v>0</v>
      </c>
      <c r="X137" s="644">
        <f>SUM('IV-2 amsa'!P52)</f>
        <v>0</v>
      </c>
      <c r="Y137" s="1017">
        <f>SUM('ketv. 6 '!AB136)</f>
        <v>0</v>
      </c>
      <c r="Z137" s="1017">
        <f>IF(Y137&gt;0,X137-Y137,0)</f>
        <v>0</v>
      </c>
      <c r="AA137" s="644">
        <f>SUM('IV-2 amsa'!Q52)</f>
        <v>169146.6</v>
      </c>
      <c r="AB137" s="1017">
        <f>SUM('IV-2 vrsa'!R117)</f>
        <v>0</v>
      </c>
      <c r="AC137" s="16" t="str">
        <f>IF('ketv. 4 '!Z137&gt;0,"Taip","Ne")</f>
        <v>Taip</v>
      </c>
      <c r="AD137" s="16">
        <f>SUM('ketv. 6 '!AF136)</f>
        <v>169146.6</v>
      </c>
      <c r="AE137" s="16">
        <f>IF(AD137&gt;0,AA137-AD137,0)</f>
        <v>0</v>
      </c>
      <c r="AF137" s="431">
        <v>43108</v>
      </c>
      <c r="AG137" s="337">
        <f>SUM('IV-2 amsa'!T52)</f>
        <v>43189</v>
      </c>
      <c r="AH137" s="337">
        <f>SUM('IV-2 amsa'!U52)</f>
        <v>43251</v>
      </c>
      <c r="AI137" s="337">
        <f>SUM('IV-2 amsa'!V52)</f>
        <v>43343</v>
      </c>
      <c r="AJ137" s="339">
        <f t="shared" si="165"/>
        <v>2018</v>
      </c>
      <c r="AK137" s="702">
        <f>SUM('IV-2 amsa'!W52)</f>
        <v>44380</v>
      </c>
      <c r="AL137" s="16">
        <f>IF(YEAR(AI137)=2016,AA137,0)</f>
        <v>0</v>
      </c>
      <c r="AM137" s="16">
        <f>IF(YEAR(AI137)=2017,AA137,0)</f>
        <v>0</v>
      </c>
      <c r="AN137" s="16">
        <f>IF(YEAR(AI137)=2018,AA137,0)</f>
        <v>169146.6</v>
      </c>
      <c r="AO137" s="16">
        <f>IF(YEAR(AI137)=2019,AA137,0)</f>
        <v>0</v>
      </c>
      <c r="AP137" s="703">
        <f>IF(YEAR(AI137)=2020,AA137,0)</f>
        <v>0</v>
      </c>
      <c r="AQ137" s="30"/>
      <c r="AR137" s="30"/>
      <c r="AS137" s="30"/>
    </row>
    <row r="138" spans="1:48" ht="52.5" thickTop="1" thickBot="1">
      <c r="A138" s="311" t="s">
        <v>207</v>
      </c>
      <c r="B138" s="311" t="s">
        <v>1334</v>
      </c>
      <c r="C138" s="1499" t="str">
        <f>CONCATENATE('ketv. 2'!B137)</f>
        <v>08.4.2-ESFA-R-630-11-0005</v>
      </c>
      <c r="D138" s="311" t="str">
        <f>CONCATENATE('IV-2 vrsa'!D59)</f>
        <v>Sveikos gyvensenos skatinimas Varėnos rajono savivaldybėje</v>
      </c>
      <c r="E138" s="311" t="str">
        <f>CONCATENATE('IV-2 vrsa'!E59)</f>
        <v>Varėnos rajono savivaldybės visuomenės sveikatos biuras</v>
      </c>
      <c r="F138" s="311" t="str">
        <f>CONCATENATE('IV-2 vrsa'!F59)</f>
        <v>Lietuvos Respublikos Sveikatos apsaugos ministerija</v>
      </c>
      <c r="G138" s="311" t="str">
        <f>CONCATENATE('IV-2 vrsa'!G59)</f>
        <v>Varėnos r. sav.</v>
      </c>
      <c r="H138" s="130" t="str">
        <f>CONCATENATE('IV-2 vrsa'!H59)</f>
        <v>08.4.2-ESFA-R-630</v>
      </c>
      <c r="I138" s="130" t="str">
        <f>CONCATENATE('IV-2 vrsa'!I59)</f>
        <v>R</v>
      </c>
      <c r="J138" s="130" t="str">
        <f>CONCATENATE('IV-2 vrsa'!J59)</f>
        <v>-</v>
      </c>
      <c r="K138" s="130" t="str">
        <f>CONCATENATE('IV-2 vrsa'!K59)</f>
        <v>-</v>
      </c>
      <c r="L138" s="644">
        <f>SUM('IV-2 vrsa'!L59)</f>
        <v>198997</v>
      </c>
      <c r="M138" s="1017">
        <f>SUM('ketv. 6 '!L137)</f>
        <v>198997</v>
      </c>
      <c r="N138" s="1017">
        <f>IF(M138&gt;0,L138-M138,0)</f>
        <v>0</v>
      </c>
      <c r="O138" s="644">
        <f>SUM('IV-2 vrsa'!M59)</f>
        <v>14925</v>
      </c>
      <c r="P138" s="1017">
        <f>SUM('ketv. 6 '!P137)</f>
        <v>14925</v>
      </c>
      <c r="Q138" s="1017">
        <f>IF(P138&gt;0,O138-P138,0)</f>
        <v>0</v>
      </c>
      <c r="R138" s="644">
        <f>SUM('IV-2 vrsa'!N59)</f>
        <v>14924.55</v>
      </c>
      <c r="S138" s="1017">
        <f>SUM('ketv. 6 '!T137)</f>
        <v>14924.55</v>
      </c>
      <c r="T138" s="1017">
        <f>IF(S138&gt;0,R138-S138,0)</f>
        <v>0</v>
      </c>
      <c r="U138" s="644">
        <f>SUM('IV-2 vrsa'!O59)</f>
        <v>0</v>
      </c>
      <c r="V138" s="1017">
        <f>SUM('ketv. 6 '!X137)</f>
        <v>0</v>
      </c>
      <c r="W138" s="1017">
        <f>IF(V138&gt;0,U138-V138,0)</f>
        <v>0</v>
      </c>
      <c r="X138" s="644">
        <f>SUM('IV-2 vrsa'!P59)</f>
        <v>0</v>
      </c>
      <c r="Y138" s="1017">
        <f>SUM('ketv. 6 '!AB137)</f>
        <v>0</v>
      </c>
      <c r="Z138" s="1017">
        <f>IF(Y138&gt;0,X138-Y138,0)</f>
        <v>0</v>
      </c>
      <c r="AA138" s="644">
        <f>SUM('IV-2 vrsa'!Q59)</f>
        <v>169147.45</v>
      </c>
      <c r="AB138" s="1017">
        <f>SUM('IV-2 vrsa'!R118)</f>
        <v>0</v>
      </c>
      <c r="AC138" s="16" t="str">
        <f>IF('ketv. 4 '!Z138&gt;0,"Taip","Ne")</f>
        <v>Taip</v>
      </c>
      <c r="AD138" s="16">
        <f>SUM('ketv. 6 '!AF137)</f>
        <v>169147.45</v>
      </c>
      <c r="AE138" s="16">
        <f>IF(AD138&gt;0,AA138-AD138,0)</f>
        <v>0</v>
      </c>
      <c r="AF138" s="431">
        <v>43108</v>
      </c>
      <c r="AG138" s="337">
        <f>SUM('IV-2 vrsa'!T59)</f>
        <v>43160</v>
      </c>
      <c r="AH138" s="337">
        <f>SUM('IV-2 vrsa'!U59)</f>
        <v>43250</v>
      </c>
      <c r="AI138" s="337">
        <f>SUM('IV-2 vrsa'!V59)</f>
        <v>43342</v>
      </c>
      <c r="AJ138" s="339">
        <f t="shared" si="165"/>
        <v>2018</v>
      </c>
      <c r="AK138" s="702">
        <f>SUM('IV-2 vrsa'!W59)</f>
        <v>44561</v>
      </c>
      <c r="AL138" s="16">
        <f>IF(YEAR(AI138)=2016,AA138,0)</f>
        <v>0</v>
      </c>
      <c r="AM138" s="16">
        <f>IF(YEAR(AI138)=2017,AA138,0)</f>
        <v>0</v>
      </c>
      <c r="AN138" s="16">
        <f>IF(YEAR(AI138)=2018,AA138,0)</f>
        <v>169147.45</v>
      </c>
      <c r="AO138" s="16">
        <f>IF(YEAR(AI138)=2019,AA138,0)</f>
        <v>0</v>
      </c>
      <c r="AP138" s="703">
        <f>IF(YEAR(AI138)=2020,AA138,0)</f>
        <v>0</v>
      </c>
      <c r="AQ138" s="50"/>
      <c r="AR138" s="30"/>
      <c r="AS138" s="30"/>
    </row>
    <row r="139" spans="1:48" ht="52.5" thickTop="1" thickBot="1">
      <c r="A139" s="311" t="s">
        <v>288</v>
      </c>
      <c r="B139" s="311" t="s">
        <v>1335</v>
      </c>
      <c r="C139" s="1499" t="str">
        <f>CONCATENATE('ketv. 2'!B138)</f>
        <v>08.4.2-ESFA-R-630-11-0003</v>
      </c>
      <c r="D139" s="311" t="str">
        <f>CONCATENATE('IV-2 dsa'!C59)</f>
        <v>Sveika bendruomenė – stipri visuomenė</v>
      </c>
      <c r="E139" s="311" t="str">
        <f>CONCATENATE('IV-2 dsa'!D59)</f>
        <v>Druskininkų savivaldybės visuomenės sveikatos biuras</v>
      </c>
      <c r="F139" s="311" t="str">
        <f>CONCATENATE('IV-2 dsa'!E59)</f>
        <v>Lietuvos Respublikos Sveikatos apsaugos ministerija</v>
      </c>
      <c r="G139" s="311" t="str">
        <f>CONCATENATE('IV-2 dsa'!F59)</f>
        <v>Druskininkų sav.</v>
      </c>
      <c r="H139" s="130" t="str">
        <f>CONCATENATE('IV-2 dsa'!G59)</f>
        <v>08.4.2-ESFA-R-630</v>
      </c>
      <c r="I139" s="130" t="str">
        <f>CONCATENATE('IV-2 dsa'!H59)</f>
        <v>R</v>
      </c>
      <c r="J139" s="130" t="str">
        <f>CONCATENATE('IV-2 dsa'!I59)</f>
        <v>-</v>
      </c>
      <c r="K139" s="130" t="str">
        <f>CONCATENATE('IV-2 dsa'!J59)</f>
        <v>-</v>
      </c>
      <c r="L139" s="1032">
        <f>SUM('IV-2 dsa'!K59)</f>
        <v>198997.18</v>
      </c>
      <c r="M139" s="1017"/>
      <c r="N139" s="1017"/>
      <c r="O139" s="1032">
        <f>SUM('IV-2 dsa'!L59)</f>
        <v>14924.79</v>
      </c>
      <c r="P139" s="1017"/>
      <c r="Q139" s="1017"/>
      <c r="R139" s="1032">
        <f>SUM('IV-2 dsa'!M59)</f>
        <v>14924.79</v>
      </c>
      <c r="S139" s="1017"/>
      <c r="T139" s="1017"/>
      <c r="U139" s="1032">
        <f>SUM('IV-2 dsa'!N59)</f>
        <v>0</v>
      </c>
      <c r="V139" s="1017"/>
      <c r="W139" s="1017"/>
      <c r="X139" s="1032">
        <f>SUM('IV-2 dsa'!O59)</f>
        <v>0</v>
      </c>
      <c r="Y139" s="1017"/>
      <c r="Z139" s="1017"/>
      <c r="AA139" s="644">
        <f>SUM('IV-2 dsa'!P59)</f>
        <v>169147.6</v>
      </c>
      <c r="AB139" s="1017">
        <f>SUM('IV-2 vrsa'!R119)</f>
        <v>0</v>
      </c>
      <c r="AC139" s="16" t="str">
        <f>IF('ketv. 4 '!Z139&gt;0,"Taip","Ne")</f>
        <v>Taip</v>
      </c>
      <c r="AD139" s="16"/>
      <c r="AE139" s="16"/>
      <c r="AF139" s="431">
        <v>43108</v>
      </c>
      <c r="AG139" s="337">
        <f>SUM('IV-2 dsa'!S59)</f>
        <v>43189</v>
      </c>
      <c r="AH139" s="337">
        <f>SUM('IV-2 dsa'!T59)</f>
        <v>43220</v>
      </c>
      <c r="AI139" s="337">
        <f>SUM('IV-2 dsa'!U59)</f>
        <v>43296</v>
      </c>
      <c r="AJ139" s="339">
        <v>2018</v>
      </c>
      <c r="AK139" s="702">
        <f>SUM('IV-2 dsa'!V59)</f>
        <v>44561</v>
      </c>
      <c r="AL139" s="16">
        <f>IF(YEAR(AI139)=2016,AA139,0)</f>
        <v>0</v>
      </c>
      <c r="AM139" s="16">
        <f>IF(YEAR(AI139)=2017,AA139,0)</f>
        <v>0</v>
      </c>
      <c r="AN139" s="16">
        <f>IF(YEAR(AI139)=2018,AA139,0)</f>
        <v>169147.6</v>
      </c>
      <c r="AO139" s="16">
        <f>IF(YEAR(AI139)=2019,AA139,0)</f>
        <v>0</v>
      </c>
      <c r="AP139" s="703">
        <f>IF(YEAR(AI139)=2020,AA139,0)</f>
        <v>0</v>
      </c>
      <c r="AQ139" s="50"/>
      <c r="AR139" s="30"/>
      <c r="AS139" s="30"/>
    </row>
    <row r="140" spans="1:48" ht="52.5" thickTop="1" thickBot="1">
      <c r="A140" s="311" t="s">
        <v>289</v>
      </c>
      <c r="B140" s="311" t="s">
        <v>1336</v>
      </c>
      <c r="C140" s="1500" t="str">
        <f>CONCATENATE('ketv. 2'!B139)</f>
        <v>08.4.2-ESFA-R-630-11-0002</v>
      </c>
      <c r="D140" s="311" t="str">
        <f>CONCATENATE('IV-2 lrsa'!D53)</f>
        <v>Sveikos gyvensenos skatinimas Lazdijų rajono savivaldybėje</v>
      </c>
      <c r="E140" s="311" t="str">
        <f>CONCATENATE('IV-2 lrsa'!E53)</f>
        <v>Lazdijų rajono savivaldybės visuomenės sveikatos biuras</v>
      </c>
      <c r="F140" s="311" t="str">
        <f>CONCATENATE('IV-2 lrsa'!F53)</f>
        <v>Lietuvos Respublikos Sveikatos apsaugos ministerija</v>
      </c>
      <c r="G140" s="311" t="str">
        <f>CONCATENATE('IV-2 lrsa'!G53)</f>
        <v>Lazdijų r. sav.</v>
      </c>
      <c r="H140" s="130" t="str">
        <f>CONCATENATE('IV-2 lrsa'!H53)</f>
        <v>08.4.2-ESFA-R-630</v>
      </c>
      <c r="I140" s="130" t="str">
        <f>CONCATENATE('IV-2 lrsa'!I53)</f>
        <v>R</v>
      </c>
      <c r="J140" s="130" t="str">
        <f>CONCATENATE('IV-2 lrsa'!J53)</f>
        <v>-</v>
      </c>
      <c r="K140" s="130" t="str">
        <f>CONCATENATE('IV-2 lrsa'!K53)</f>
        <v>-</v>
      </c>
      <c r="L140" s="644">
        <f>SUM('IV-2 lrsa'!L53)</f>
        <v>198997.18</v>
      </c>
      <c r="M140" s="1017">
        <f>SUM('ketv. 6 '!L139)</f>
        <v>198997.18</v>
      </c>
      <c r="N140" s="1017">
        <f>IF(M140&gt;0,L140-M140,0)</f>
        <v>0</v>
      </c>
      <c r="O140" s="644">
        <f>SUM('IV-2 lrsa'!M53)</f>
        <v>14924.79</v>
      </c>
      <c r="P140" s="1017">
        <f>SUM('ketv. 6 '!P139)</f>
        <v>14924.79</v>
      </c>
      <c r="Q140" s="1017">
        <f>IF(P140&gt;0,O140-P140,0)</f>
        <v>0</v>
      </c>
      <c r="R140" s="644">
        <f>SUM('IV-2 lrsa'!N53)</f>
        <v>14924.79</v>
      </c>
      <c r="S140" s="1017">
        <f>SUM('ketv. 6 '!T139)</f>
        <v>14924.79</v>
      </c>
      <c r="T140" s="1017">
        <f>IF(S140&gt;0,R140-S140,0)</f>
        <v>0</v>
      </c>
      <c r="U140" s="644">
        <f>SUM('IV-2 lrsa'!O53)</f>
        <v>0</v>
      </c>
      <c r="V140" s="1017">
        <f>SUM('ketv. 6 '!X139)</f>
        <v>0</v>
      </c>
      <c r="W140" s="1017">
        <f>IF(V140&gt;0,U140-V140,0)</f>
        <v>0</v>
      </c>
      <c r="X140" s="644">
        <f>SUM('IV-2 lrsa'!P53)</f>
        <v>0</v>
      </c>
      <c r="Y140" s="1017">
        <f>SUM('ketv. 6 '!AB139)</f>
        <v>0</v>
      </c>
      <c r="Z140" s="1017">
        <f>IF(Y140&gt;0,X140-Y140,0)</f>
        <v>0</v>
      </c>
      <c r="AA140" s="644">
        <f>SUM('IV-2 lrsa'!Q53)</f>
        <v>169147.6</v>
      </c>
      <c r="AB140" s="1017">
        <f>SUM('IV-2 vrsa'!R120)</f>
        <v>0</v>
      </c>
      <c r="AC140" s="16" t="str">
        <f>IF('ketv. 4 '!Z140&gt;0,"Taip","Ne")</f>
        <v>Taip</v>
      </c>
      <c r="AD140" s="16">
        <f>SUM('ketv. 6 '!AF139)</f>
        <v>169147.6</v>
      </c>
      <c r="AE140" s="16">
        <f>IF(AD140&gt;0,AA140-AD140,0)</f>
        <v>0</v>
      </c>
      <c r="AF140" s="431">
        <v>43108</v>
      </c>
      <c r="AG140" s="337">
        <f>SUM('IV-2 lrsa'!T53)</f>
        <v>43189</v>
      </c>
      <c r="AH140" s="337">
        <f>SUM('IV-2 lrsa'!U53)</f>
        <v>43217</v>
      </c>
      <c r="AI140" s="337">
        <f>SUM('IV-2 lrsa'!V53)</f>
        <v>43278</v>
      </c>
      <c r="AJ140" s="339">
        <f t="shared" ref="AJ140" si="166">IF(YEAR(AI140),YEAR(AI140))</f>
        <v>2018</v>
      </c>
      <c r="AK140" s="702">
        <f>SUM('IV-2 lrsa'!W53)</f>
        <v>44561</v>
      </c>
      <c r="AL140" s="16">
        <f>IF(YEAR(AI140)=2016,AA140,0)</f>
        <v>0</v>
      </c>
      <c r="AM140" s="16">
        <f>IF(YEAR(AI140)=2017,AA140,0)</f>
        <v>0</v>
      </c>
      <c r="AN140" s="16">
        <f>IF(YEAR(AI140)=2018,AA140,0)</f>
        <v>169147.6</v>
      </c>
      <c r="AO140" s="16">
        <f>IF(YEAR(AI140)=2019,AA140,0)</f>
        <v>0</v>
      </c>
      <c r="AP140" s="703">
        <f>IF(YEAR(AI140)=2020,AA140,0)</f>
        <v>0</v>
      </c>
      <c r="AQ140" s="50"/>
      <c r="AR140" s="30"/>
      <c r="AS140" s="30"/>
    </row>
    <row r="141" spans="1:48" ht="26.25" customHeight="1" thickBot="1">
      <c r="A141" s="716" t="s">
        <v>1185</v>
      </c>
      <c r="B141" s="1920" t="s">
        <v>1480</v>
      </c>
      <c r="C141" s="1891"/>
      <c r="D141" s="1891"/>
      <c r="E141" s="1891"/>
      <c r="F141" s="1891"/>
      <c r="G141" s="1891"/>
      <c r="H141" s="1891"/>
      <c r="I141" s="1891"/>
      <c r="J141" s="1891"/>
      <c r="K141" s="1892"/>
      <c r="L141" s="1054">
        <f>SUM(L142:L146)</f>
        <v>65213.18</v>
      </c>
      <c r="M141" s="1014"/>
      <c r="N141" s="1014"/>
      <c r="O141" s="1054">
        <f t="shared" ref="O141:AA141" si="167">SUM(O142:O146)</f>
        <v>3596.09</v>
      </c>
      <c r="P141" s="1014">
        <f t="shared" si="167"/>
        <v>0</v>
      </c>
      <c r="Q141" s="1014">
        <f t="shared" si="167"/>
        <v>0</v>
      </c>
      <c r="R141" s="1054">
        <f t="shared" si="167"/>
        <v>5556.4400000000005</v>
      </c>
      <c r="S141" s="1014">
        <f t="shared" si="167"/>
        <v>0</v>
      </c>
      <c r="T141" s="1014">
        <f t="shared" si="167"/>
        <v>0</v>
      </c>
      <c r="U141" s="1054">
        <f t="shared" si="167"/>
        <v>0</v>
      </c>
      <c r="V141" s="1014">
        <f t="shared" si="167"/>
        <v>0</v>
      </c>
      <c r="W141" s="1014">
        <f t="shared" si="167"/>
        <v>0</v>
      </c>
      <c r="X141" s="1054">
        <f t="shared" si="167"/>
        <v>1299.95</v>
      </c>
      <c r="Y141" s="1014">
        <f t="shared" si="167"/>
        <v>0</v>
      </c>
      <c r="Z141" s="1014">
        <f t="shared" si="167"/>
        <v>0</v>
      </c>
      <c r="AA141" s="1054">
        <f t="shared" si="167"/>
        <v>54760.7</v>
      </c>
      <c r="AB141" s="1014">
        <f>SUM('IV-2 vrsa'!R121)</f>
        <v>0</v>
      </c>
      <c r="AC141" s="708"/>
      <c r="AD141" s="708">
        <f>SUM(AD142:AD152)</f>
        <v>1647151.15</v>
      </c>
      <c r="AE141" s="708">
        <f>SUM(AE142:AE152)</f>
        <v>1.1641532182693481E-10</v>
      </c>
      <c r="AF141" s="708"/>
      <c r="AG141" s="709"/>
      <c r="AH141" s="709"/>
      <c r="AI141" s="709"/>
      <c r="AJ141" s="710"/>
      <c r="AK141" s="711"/>
      <c r="AL141" s="16">
        <f>SUM(AL142:AL146)</f>
        <v>0</v>
      </c>
      <c r="AM141" s="16">
        <f t="shared" ref="AM141:AP141" si="168">SUM(AM142:AM146)</f>
        <v>0</v>
      </c>
      <c r="AN141" s="16">
        <f t="shared" si="168"/>
        <v>54760.7</v>
      </c>
      <c r="AO141" s="16">
        <f t="shared" si="168"/>
        <v>0</v>
      </c>
      <c r="AP141" s="16">
        <f t="shared" si="168"/>
        <v>0</v>
      </c>
      <c r="AQ141" s="30">
        <v>55431</v>
      </c>
      <c r="AR141" s="30">
        <f>SUM(AQ141*120/100)</f>
        <v>66517.2</v>
      </c>
      <c r="AS141" s="30">
        <f>SUM(AQ141-AA141)</f>
        <v>670.30000000000291</v>
      </c>
    </row>
    <row r="142" spans="1:48" ht="52.5" thickTop="1" thickBot="1">
      <c r="A142" s="311" t="s">
        <v>1186</v>
      </c>
      <c r="B142" s="311" t="s">
        <v>1337</v>
      </c>
      <c r="C142" s="1093" t="str">
        <f>CONCATENATE('ketv. 2'!B141)</f>
        <v>08.4.2-ESFA-R-615-11-0004</v>
      </c>
      <c r="D142" s="311" t="str">
        <f>CONCATENATE('IV-2 arsa'!C56)</f>
        <v>Priemonių, gerinančių ambulatorinių sveikatos priežiūros paslaugų prieinamumą tuberkulioze sergantiems asmenims, Alytaus rajone, įgyvendinimas</v>
      </c>
      <c r="E142" s="311" t="str">
        <f>CONCATENATE('IV-2 arsa'!D56)</f>
        <v>VšĮ Alytaus rajono savivaldybės pirminės sveikatos priežiūros centras</v>
      </c>
      <c r="F142" s="311" t="str">
        <f>CONCATENATE('IV-2 arsa'!E56)</f>
        <v>Lietuvos Respublikos Sveikatos apsaugos ministerija</v>
      </c>
      <c r="G142" s="311" t="str">
        <f>CONCATENATE('IV-2 arsa'!F56)</f>
        <v>Alytaus r. sav.</v>
      </c>
      <c r="H142" s="130" t="str">
        <f>CONCATENATE('IV-2 arsa'!G56)</f>
        <v>08.4.2-ESFA-R-615</v>
      </c>
      <c r="I142" s="130" t="str">
        <f>CONCATENATE('IV-2 arsa'!H56)</f>
        <v>R</v>
      </c>
      <c r="J142" s="130" t="str">
        <f>CONCATENATE('IV-2 arsa'!I56)</f>
        <v>-</v>
      </c>
      <c r="K142" s="130" t="str">
        <f>CONCATENATE('IV-2 arsa'!J56)</f>
        <v>-</v>
      </c>
      <c r="L142" s="644">
        <f>SUM('IV-2 arsa'!K56)</f>
        <v>10453</v>
      </c>
      <c r="M142" s="644"/>
      <c r="N142" s="644"/>
      <c r="O142" s="644">
        <f>SUM('IV-2 arsa'!L56)</f>
        <v>0</v>
      </c>
      <c r="P142" s="644"/>
      <c r="Q142" s="644"/>
      <c r="R142" s="644">
        <f>SUM('IV-2 arsa'!M56)</f>
        <v>1449.64</v>
      </c>
      <c r="S142" s="644"/>
      <c r="T142" s="644"/>
      <c r="U142" s="644">
        <f>SUM('IV-2 arsa'!N56)</f>
        <v>0</v>
      </c>
      <c r="V142" s="644"/>
      <c r="W142" s="644"/>
      <c r="X142" s="644">
        <f>SUM('IV-2 arsa'!O56)</f>
        <v>788.75</v>
      </c>
      <c r="Y142" s="644"/>
      <c r="Z142" s="644"/>
      <c r="AA142" s="644">
        <f>SUM('IV-2 arsa'!P56)</f>
        <v>8214.61</v>
      </c>
      <c r="AB142" s="644">
        <f>SUM('IV-2 vrsa'!R122)</f>
        <v>0</v>
      </c>
      <c r="AC142" s="16" t="str">
        <f>IF('ketv. 4 '!Z142&gt;0,"Taip","Ne")</f>
        <v>Taip</v>
      </c>
      <c r="AD142" s="16"/>
      <c r="AE142" s="16"/>
      <c r="AF142" s="431">
        <v>43136</v>
      </c>
      <c r="AG142" s="337">
        <f>SUM('IV-2 arsa'!S56)</f>
        <v>43189</v>
      </c>
      <c r="AH142" s="337">
        <f>SUM('IV-2 arsa'!T56)</f>
        <v>43281</v>
      </c>
      <c r="AI142" s="337">
        <f>SUM('IV-2 arsa'!U56)</f>
        <v>43373</v>
      </c>
      <c r="AJ142" s="339">
        <v>2018</v>
      </c>
      <c r="AK142" s="702">
        <f>SUM('IV-2 arsa'!V56)</f>
        <v>44686</v>
      </c>
      <c r="AL142" s="16">
        <f>IF(YEAR(AI142)=2016,AA142,0)</f>
        <v>0</v>
      </c>
      <c r="AM142" s="16">
        <f>IF(YEAR(AI142)=2017,AA142,0)</f>
        <v>0</v>
      </c>
      <c r="AN142" s="16">
        <f>IF(YEAR(AI142)=2018,AA142,0)</f>
        <v>8214.61</v>
      </c>
      <c r="AO142" s="16">
        <f>IF(YEAR(AI142)=2019,AA142,0)</f>
        <v>0</v>
      </c>
      <c r="AP142" s="703">
        <f>IF(YEAR(AI142)=2020,AA142,0)</f>
        <v>0</v>
      </c>
      <c r="AQ142" s="30"/>
      <c r="AR142" s="30"/>
      <c r="AS142" s="30"/>
    </row>
    <row r="143" spans="1:48" ht="39.75" thickTop="1" thickBot="1">
      <c r="A143" s="311" t="s">
        <v>1187</v>
      </c>
      <c r="B143" s="311" t="s">
        <v>1338</v>
      </c>
      <c r="C143" s="1093" t="str">
        <f>CONCATENATE('ketv. 2'!B142)</f>
        <v>08.4.2-ESFA-R-615-11-0005</v>
      </c>
      <c r="D143" s="311" t="str">
        <f>CONCATENATE('IV-2 amsa'!D59)</f>
        <v>Ambulatorinių sveikatos priežiūros paslaugų gerinimas tuberkulioze sergantiems asmenims</v>
      </c>
      <c r="E143" s="311" t="str">
        <f>CONCATENATE('IV-2 amsa'!E59)</f>
        <v>Alytaus miesto savivaldybės administracija</v>
      </c>
      <c r="F143" s="311" t="str">
        <f>CONCATENATE('IV-2 amsa'!F59)</f>
        <v>Lietuvos Respublikos Sveikatos apsaugos ministerija</v>
      </c>
      <c r="G143" s="311" t="str">
        <f>CONCATENATE('IV-2 amsa'!G59)</f>
        <v>Alytaus m. sav.</v>
      </c>
      <c r="H143" s="130" t="str">
        <f>CONCATENATE('IV-2 amsa'!H59)</f>
        <v>08.4.2-ESFA-R-615</v>
      </c>
      <c r="I143" s="130" t="str">
        <f>CONCATENATE('IV-2 amsa'!I59)</f>
        <v>R</v>
      </c>
      <c r="J143" s="130" t="str">
        <f>CONCATENATE('IV-2 amsa'!J59)</f>
        <v>-</v>
      </c>
      <c r="K143" s="130" t="str">
        <f>CONCATENATE('IV-2 amsa'!K59)</f>
        <v>-</v>
      </c>
      <c r="L143" s="644">
        <f>SUM('IV-2 amsa'!L59)</f>
        <v>17041.18</v>
      </c>
      <c r="M143" s="644"/>
      <c r="N143" s="644"/>
      <c r="O143" s="644">
        <f>SUM('IV-2 amsa'!M59)</f>
        <v>1278.0899999999999</v>
      </c>
      <c r="P143" s="644"/>
      <c r="Q143" s="644"/>
      <c r="R143" s="644">
        <f>SUM('IV-2 amsa'!N59)</f>
        <v>1278</v>
      </c>
      <c r="S143" s="644"/>
      <c r="T143" s="644"/>
      <c r="U143" s="644">
        <f>SUM('IV-2 amsa'!O59)</f>
        <v>0</v>
      </c>
      <c r="V143" s="644"/>
      <c r="W143" s="644"/>
      <c r="X143" s="644">
        <f>SUM('IV-2 amsa'!P59)</f>
        <v>0</v>
      </c>
      <c r="Y143" s="644"/>
      <c r="Z143" s="644"/>
      <c r="AA143" s="644">
        <f>SUM('IV-2 amsa'!Q59)</f>
        <v>14485.09</v>
      </c>
      <c r="AB143" s="644">
        <f>SUM('IV-2 vrsa'!R123)</f>
        <v>0</v>
      </c>
      <c r="AC143" s="16" t="str">
        <f>IF('ketv. 4 '!Z143&gt;0,"Taip","Ne")</f>
        <v>Taip</v>
      </c>
      <c r="AD143" s="16"/>
      <c r="AE143" s="16"/>
      <c r="AF143" s="431">
        <v>43136</v>
      </c>
      <c r="AG143" s="337">
        <f>SUM('IV-2 amsa'!T59)</f>
        <v>43189</v>
      </c>
      <c r="AH143" s="337">
        <f>SUM('IV-2 amsa'!U59)</f>
        <v>43281</v>
      </c>
      <c r="AI143" s="337">
        <f>SUM('IV-2 amsa'!V59)</f>
        <v>43358</v>
      </c>
      <c r="AJ143" s="339">
        <v>2018</v>
      </c>
      <c r="AK143" s="702">
        <f>SUM('IV-2 amsa'!W59)</f>
        <v>44449</v>
      </c>
      <c r="AL143" s="16">
        <f>IF(YEAR(AI143)=2016,AA143,0)</f>
        <v>0</v>
      </c>
      <c r="AM143" s="16">
        <f>IF(YEAR(AI143)=2017,AA143,0)</f>
        <v>0</v>
      </c>
      <c r="AN143" s="16">
        <f>IF(YEAR(AI143)=2018,AA143,0)</f>
        <v>14485.09</v>
      </c>
      <c r="AO143" s="16">
        <f>IF(YEAR(AI143)=2019,AA143,0)</f>
        <v>0</v>
      </c>
      <c r="AP143" s="703">
        <f>IF(YEAR(AI143)=2020,AA143,0)</f>
        <v>0</v>
      </c>
      <c r="AQ143" s="30"/>
      <c r="AR143" s="30"/>
      <c r="AS143" s="30"/>
    </row>
    <row r="144" spans="1:48" ht="39.75" thickTop="1" thickBot="1">
      <c r="A144" s="311" t="s">
        <v>1188</v>
      </c>
      <c r="B144" s="311" t="s">
        <v>1339</v>
      </c>
      <c r="C144" s="1093" t="str">
        <f>CONCATENATE('ketv. 2'!B143)</f>
        <v>08.4.2-ESFA-R-615-11-0001</v>
      </c>
      <c r="D144" s="311" t="str">
        <f>CONCATENATE('IV-2 lrsa'!D55)</f>
        <v>Paslaugų tuberkulioze sergantiems asmenims gerinimas Lazdijų rajono savivaldybėje</v>
      </c>
      <c r="E144" s="311" t="str">
        <f>CONCATENATE('IV-2 lrsa'!E55)</f>
        <v>Lazdijų rajono savivaldybės administracija</v>
      </c>
      <c r="F144" s="311" t="str">
        <f>CONCATENATE('IV-2 lrsa'!F55)</f>
        <v>Lietuvos Respublikos Sveikatos apsaugos ministerija</v>
      </c>
      <c r="G144" s="311" t="str">
        <f>CONCATENATE('IV-2 lrsa'!G55)</f>
        <v>Lazdijų r. sav.</v>
      </c>
      <c r="H144" s="130" t="str">
        <f>CONCATENATE('IV-2 lrsa'!H55)</f>
        <v>08.4.2-ESFA-R-615</v>
      </c>
      <c r="I144" s="130" t="str">
        <f>CONCATENATE('IV-2 lrsa'!I55)</f>
        <v>R</v>
      </c>
      <c r="J144" s="130" t="str">
        <f>CONCATENATE('IV-2 lrsa'!J55)</f>
        <v>-</v>
      </c>
      <c r="K144" s="130" t="str">
        <f>CONCATENATE('IV-2 lrsa'!K55)</f>
        <v>-</v>
      </c>
      <c r="L144" s="644">
        <f>SUM('IV-2 lrsa'!L55)</f>
        <v>15224</v>
      </c>
      <c r="M144" s="644"/>
      <c r="N144" s="644"/>
      <c r="O144" s="644">
        <f>SUM('IV-2 lrsa'!M55)</f>
        <v>1142</v>
      </c>
      <c r="P144" s="644"/>
      <c r="Q144" s="644"/>
      <c r="R144" s="644">
        <f>SUM('IV-2 lrsa'!N55)</f>
        <v>1141.5999999999999</v>
      </c>
      <c r="S144" s="644"/>
      <c r="T144" s="644"/>
      <c r="U144" s="644">
        <f>SUM('IV-2 lrsa'!O55)</f>
        <v>0</v>
      </c>
      <c r="V144" s="644"/>
      <c r="W144" s="644"/>
      <c r="X144" s="644">
        <f>SUM('IV-2 lrsa'!P55)</f>
        <v>0</v>
      </c>
      <c r="Y144" s="644"/>
      <c r="Z144" s="644"/>
      <c r="AA144" s="644">
        <f>SUM('IV-2 lrsa'!Q55)</f>
        <v>12940.4</v>
      </c>
      <c r="AB144" s="644">
        <f>SUM('IV-2 vrsa'!R124)</f>
        <v>0</v>
      </c>
      <c r="AC144" s="16" t="str">
        <f>IF('ketv. 4 '!Z144&gt;0,"Taip","Ne")</f>
        <v>Taip</v>
      </c>
      <c r="AD144" s="16"/>
      <c r="AE144" s="16"/>
      <c r="AF144" s="431">
        <v>43136</v>
      </c>
      <c r="AG144" s="337">
        <f>SUM('IV-2 lrsa'!T55)</f>
        <v>43189</v>
      </c>
      <c r="AH144" s="337">
        <f>SUM('IV-2 lrsa'!U55)</f>
        <v>43189</v>
      </c>
      <c r="AI144" s="337">
        <f>SUM('IV-2 lrsa'!V55)</f>
        <v>43235</v>
      </c>
      <c r="AJ144" s="339">
        <v>2018</v>
      </c>
      <c r="AK144" s="702">
        <f>SUM('IV-2 lrsa'!W55)</f>
        <v>44561</v>
      </c>
      <c r="AL144" s="16">
        <f>IF(YEAR(AI144)=2016,AA144,0)</f>
        <v>0</v>
      </c>
      <c r="AM144" s="16">
        <f>IF(YEAR(AI144)=2017,AA144,0)</f>
        <v>0</v>
      </c>
      <c r="AN144" s="16">
        <f>IF(YEAR(AI144)=2018,AA144,0)</f>
        <v>12940.4</v>
      </c>
      <c r="AO144" s="16">
        <f>IF(YEAR(AI144)=2019,AA144,0)</f>
        <v>0</v>
      </c>
      <c r="AP144" s="703">
        <f>IF(YEAR(AI144)=2020,AA144,0)</f>
        <v>0</v>
      </c>
      <c r="AQ144" s="50"/>
      <c r="AR144" s="30"/>
      <c r="AS144" s="30"/>
    </row>
    <row r="145" spans="1:45" ht="52.5" thickTop="1" thickBot="1">
      <c r="A145" s="311" t="s">
        <v>1342</v>
      </c>
      <c r="B145" s="311" t="s">
        <v>1340</v>
      </c>
      <c r="C145" s="1093" t="str">
        <f>CONCATENATE('ketv. 2'!B144)</f>
        <v>08.4.2-ESFA-R-615-11-0002</v>
      </c>
      <c r="D145" s="311" t="str">
        <f>CONCATENATE('IV-2 dsa'!C61)</f>
        <v>Ambulatorinių sveikatos priežiūros paslaugų tuberkulioze sergantiems asmenims prieinamumo gerinimas Druskininkų savivaldybėje</v>
      </c>
      <c r="E145" s="311" t="str">
        <f>CONCATENATE('IV-2 dsa'!D61)</f>
        <v>Druskininkų pirminės sveikatos priežiūros centras</v>
      </c>
      <c r="F145" s="311" t="str">
        <f>CONCATENATE('IV-2 dsa'!E61)</f>
        <v>Lietuvos Respublikos Sveikatos apsaugos ministerija</v>
      </c>
      <c r="G145" s="311" t="str">
        <f>CONCATENATE('IV-2 dsa'!F61)</f>
        <v>Druskininkų sav.</v>
      </c>
      <c r="H145" s="130" t="str">
        <f>CONCATENATE('IV-2 dsa'!G61)</f>
        <v>08.4.2-ESFA-R-615</v>
      </c>
      <c r="I145" s="130" t="str">
        <f>CONCATENATE('IV-2 dsa'!H61)</f>
        <v>R</v>
      </c>
      <c r="J145" s="130" t="str">
        <f>CONCATENATE('IV-2 dsa'!I61)</f>
        <v>-</v>
      </c>
      <c r="K145" s="130" t="str">
        <f>CONCATENATE('IV-2 dsa'!J61)</f>
        <v>-</v>
      </c>
      <c r="L145" s="1032">
        <f>SUM('IV-2 dsa'!K61)</f>
        <v>6816</v>
      </c>
      <c r="M145" s="644"/>
      <c r="N145" s="644"/>
      <c r="O145" s="1032">
        <f>SUM('IV-2 dsa'!L61)</f>
        <v>0</v>
      </c>
      <c r="P145" s="644"/>
      <c r="Q145" s="644"/>
      <c r="R145" s="1032">
        <f>SUM('IV-2 dsa'!M61)</f>
        <v>511.2</v>
      </c>
      <c r="S145" s="644"/>
      <c r="T145" s="644"/>
      <c r="U145" s="1032">
        <f>SUM('IV-2 dsa'!N61)</f>
        <v>0</v>
      </c>
      <c r="V145" s="644"/>
      <c r="W145" s="644"/>
      <c r="X145" s="1032">
        <f>SUM('IV-2 dsa'!O61)</f>
        <v>511.2</v>
      </c>
      <c r="Y145" s="644"/>
      <c r="Z145" s="644"/>
      <c r="AA145" s="644">
        <f>SUM('IV-2 dsa'!P61)</f>
        <v>5793.6</v>
      </c>
      <c r="AB145" s="644">
        <f>SUM('IV-2 vrsa'!R125)</f>
        <v>0</v>
      </c>
      <c r="AC145" s="16" t="str">
        <f>IF('ketv. 4 '!Z145&gt;0,"Taip","Ne")</f>
        <v>Taip</v>
      </c>
      <c r="AD145" s="16"/>
      <c r="AE145" s="16"/>
      <c r="AF145" s="431">
        <v>43136</v>
      </c>
      <c r="AG145" s="337">
        <f>SUM('IV-2 dsa'!S61)</f>
        <v>43159</v>
      </c>
      <c r="AH145" s="337">
        <f>SUM('IV-2 dsa'!T61)</f>
        <v>43255</v>
      </c>
      <c r="AI145" s="337">
        <f>SUM('IV-2 dsa'!U61)</f>
        <v>43344</v>
      </c>
      <c r="AJ145" s="339">
        <v>2018</v>
      </c>
      <c r="AK145" s="702">
        <f>SUM('IV-2 dsa'!V61)</f>
        <v>44440</v>
      </c>
      <c r="AL145" s="16">
        <f>IF(YEAR(AI145)=2016,AA145,0)</f>
        <v>0</v>
      </c>
      <c r="AM145" s="16">
        <f>IF(YEAR(AI145)=2017,AA145,0)</f>
        <v>0</v>
      </c>
      <c r="AN145" s="16">
        <f>IF(YEAR(AI145)=2018,AA145,0)</f>
        <v>5793.6</v>
      </c>
      <c r="AO145" s="16">
        <f>IF(YEAR(AI145)=2019,AA145,0)</f>
        <v>0</v>
      </c>
      <c r="AP145" s="703">
        <f>IF(YEAR(AI145)=2020,AA145,0)</f>
        <v>0</v>
      </c>
      <c r="AQ145" s="50"/>
      <c r="AR145" s="30"/>
      <c r="AS145" s="30"/>
    </row>
    <row r="146" spans="1:45" ht="52.5" thickTop="1" thickBot="1">
      <c r="A146" s="311" t="s">
        <v>1189</v>
      </c>
      <c r="B146" s="522" t="s">
        <v>1341</v>
      </c>
      <c r="C146" s="1093" t="str">
        <f>CONCATENATE('ketv. 2'!B145)</f>
        <v>08.4.2-ESFA-R-615-11-0003</v>
      </c>
      <c r="D146" s="522" t="str">
        <f>CONCATENATE('IV-2 vrsa'!D62)</f>
        <v>Ambulatorinių sveikatos priežiūros paslaugų prieinamumo gerinimas tuberkulioze sergantiems asmenims Varėnos rajono savivaldybėje</v>
      </c>
      <c r="E146" s="522" t="str">
        <f>CONCATENATE('IV-2 vrsa'!E62)</f>
        <v>Varėnos rajono savivaldybės administracija</v>
      </c>
      <c r="F146" s="522" t="str">
        <f>CONCATENATE('IV-2 vrsa'!F62)</f>
        <v>Lietuvos Respublikos Sveikatos apsaugos ministerija</v>
      </c>
      <c r="G146" s="522" t="str">
        <f>CONCATENATE('IV-2 vrsa'!G62)</f>
        <v>Varėnos r. sav.</v>
      </c>
      <c r="H146" s="314" t="str">
        <f>CONCATENATE('IV-2 vrsa'!H62)</f>
        <v>08.4.2-ESFA-R-615</v>
      </c>
      <c r="I146" s="314" t="str">
        <f>CONCATENATE('IV-2 vrsa'!I62)</f>
        <v>R</v>
      </c>
      <c r="J146" s="314" t="str">
        <f>CONCATENATE('IV-2 vrsa'!J62)</f>
        <v>-</v>
      </c>
      <c r="K146" s="314" t="str">
        <f>CONCATENATE('IV-2 vrsa'!K62)</f>
        <v>-</v>
      </c>
      <c r="L146" s="644">
        <f>SUM('IV-2 vrsa'!L62)</f>
        <v>15679</v>
      </c>
      <c r="M146" s="644"/>
      <c r="N146" s="644"/>
      <c r="O146" s="644">
        <f>SUM('IV-2 vrsa'!M62)</f>
        <v>1176</v>
      </c>
      <c r="P146" s="644"/>
      <c r="Q146" s="644"/>
      <c r="R146" s="644">
        <f>SUM('IV-2 vrsa'!N62)</f>
        <v>1176</v>
      </c>
      <c r="S146" s="644"/>
      <c r="T146" s="644"/>
      <c r="U146" s="644">
        <f>SUM('IV-2 vrsa'!O62)</f>
        <v>0</v>
      </c>
      <c r="V146" s="644"/>
      <c r="W146" s="644"/>
      <c r="X146" s="644">
        <f>SUM('IV-2 vrsa'!P62)</f>
        <v>0</v>
      </c>
      <c r="Y146" s="644"/>
      <c r="Z146" s="644"/>
      <c r="AA146" s="644">
        <f>SUM('IV-2 vrsa'!Q62)</f>
        <v>13327</v>
      </c>
      <c r="AB146" s="644">
        <f>SUM('IV-2 vrsa'!R126)</f>
        <v>0</v>
      </c>
      <c r="AC146" s="16" t="str">
        <f>IF('ketv. 4 '!Z146&gt;0,"Taip","Ne")</f>
        <v>Taip</v>
      </c>
      <c r="AD146" s="16"/>
      <c r="AE146" s="16"/>
      <c r="AF146" s="431">
        <v>43136</v>
      </c>
      <c r="AG146" s="337">
        <f>SUM('IV-2 vrsa'!T62)</f>
        <v>43160</v>
      </c>
      <c r="AH146" s="337">
        <f>SUM('IV-2 vrsa'!U62)</f>
        <v>43281</v>
      </c>
      <c r="AI146" s="337">
        <f>SUM('IV-2 vrsa'!V62)</f>
        <v>43358</v>
      </c>
      <c r="AJ146" s="339">
        <v>2018</v>
      </c>
      <c r="AK146" s="702">
        <f>SUM('IV-2 vrsa'!W62)</f>
        <v>44561</v>
      </c>
      <c r="AL146" s="16">
        <f>IF(YEAR(AI146)=2016,AA146,0)</f>
        <v>0</v>
      </c>
      <c r="AM146" s="16">
        <f>IF(YEAR(AI146)=2017,AA146,0)</f>
        <v>0</v>
      </c>
      <c r="AN146" s="16">
        <f>IF(YEAR(AI146)=2018,AA146,0)</f>
        <v>13327</v>
      </c>
      <c r="AO146" s="16">
        <f>IF(YEAR(AI146)=2019,AA146,0)</f>
        <v>0</v>
      </c>
      <c r="AP146" s="703">
        <f>IF(YEAR(AI146)=2020,AA146,0)</f>
        <v>0</v>
      </c>
      <c r="AQ146" s="50"/>
      <c r="AR146" s="30"/>
      <c r="AS146" s="30"/>
    </row>
    <row r="147" spans="1:45" ht="36" customHeight="1" thickBot="1">
      <c r="A147" s="824" t="s">
        <v>35</v>
      </c>
      <c r="B147" s="1893" t="s">
        <v>1481</v>
      </c>
      <c r="C147" s="1894"/>
      <c r="D147" s="1894"/>
      <c r="E147" s="1894"/>
      <c r="F147" s="1894"/>
      <c r="G147" s="1894"/>
      <c r="H147" s="1894"/>
      <c r="I147" s="1894"/>
      <c r="J147" s="1894"/>
      <c r="K147" s="1895"/>
      <c r="L147" s="1053">
        <f t="shared" ref="L147:AA147" si="169">SUM(L148+L154)</f>
        <v>4201522.92</v>
      </c>
      <c r="M147" s="1021"/>
      <c r="N147" s="1021"/>
      <c r="O147" s="1053">
        <f t="shared" si="169"/>
        <v>772840.28</v>
      </c>
      <c r="P147" s="1021"/>
      <c r="Q147" s="1021"/>
      <c r="R147" s="1053">
        <f t="shared" si="169"/>
        <v>21947.85</v>
      </c>
      <c r="S147" s="1021"/>
      <c r="T147" s="1021"/>
      <c r="U147" s="1053">
        <f t="shared" si="169"/>
        <v>0</v>
      </c>
      <c r="V147" s="1021"/>
      <c r="W147" s="1021"/>
      <c r="X147" s="1053">
        <f t="shared" si="169"/>
        <v>0</v>
      </c>
      <c r="Y147" s="1021"/>
      <c r="Z147" s="1021"/>
      <c r="AA147" s="1053">
        <f t="shared" si="169"/>
        <v>3406734.7899999996</v>
      </c>
      <c r="AB147" s="1021">
        <f>SUM('IV-2 vrsa'!R127)</f>
        <v>0</v>
      </c>
      <c r="AC147" s="122"/>
      <c r="AD147" s="122"/>
      <c r="AE147" s="122"/>
      <c r="AF147" s="122"/>
      <c r="AG147" s="720"/>
      <c r="AH147" s="720"/>
      <c r="AI147" s="720"/>
      <c r="AJ147" s="14"/>
      <c r="AK147" s="156"/>
      <c r="AL147" s="16"/>
      <c r="AM147" s="692"/>
      <c r="AN147" s="692"/>
      <c r="AO147" s="692"/>
      <c r="AP147" s="692"/>
      <c r="AQ147" s="30"/>
      <c r="AR147" s="30"/>
      <c r="AS147" s="30">
        <f>SUM(AS148+AS154)</f>
        <v>1.2002687676576898</v>
      </c>
    </row>
    <row r="148" spans="1:45" ht="26.25" customHeight="1" thickBot="1">
      <c r="A148" s="716" t="s">
        <v>36</v>
      </c>
      <c r="B148" s="1921" t="s">
        <v>1482</v>
      </c>
      <c r="C148" s="1894"/>
      <c r="D148" s="1894"/>
      <c r="E148" s="1894"/>
      <c r="F148" s="1894"/>
      <c r="G148" s="1894"/>
      <c r="H148" s="1894"/>
      <c r="I148" s="1894"/>
      <c r="J148" s="1894"/>
      <c r="K148" s="1895"/>
      <c r="L148" s="1054">
        <f t="shared" ref="L148:AA148" si="170">SUM(L149:L153)</f>
        <v>1235321.8</v>
      </c>
      <c r="M148" s="1014">
        <f>SUM(M149:M153)</f>
        <v>1235321.7999999998</v>
      </c>
      <c r="N148" s="1014">
        <f>SUM(N149:N153)</f>
        <v>1.1641532182693481E-10</v>
      </c>
      <c r="O148" s="1054">
        <f t="shared" si="170"/>
        <v>327612.79999999999</v>
      </c>
      <c r="P148" s="1014">
        <f>SUM(P149:P153)</f>
        <v>327612.80000000005</v>
      </c>
      <c r="Q148" s="1014">
        <f>SUM(Q149:Q153)</f>
        <v>-2.9103830456733704E-11</v>
      </c>
      <c r="R148" s="1054">
        <f t="shared" si="170"/>
        <v>21947.85</v>
      </c>
      <c r="S148" s="1014">
        <f>SUM(S149:S153)</f>
        <v>21947.849999999995</v>
      </c>
      <c r="T148" s="1014">
        <f>SUM(T149:T153)</f>
        <v>3.637978807091713E-12</v>
      </c>
      <c r="U148" s="1054">
        <f t="shared" si="170"/>
        <v>0</v>
      </c>
      <c r="V148" s="1014">
        <f>SUM(V149:V153)</f>
        <v>0</v>
      </c>
      <c r="W148" s="1014">
        <f>SUM(W149:W153)</f>
        <v>0</v>
      </c>
      <c r="X148" s="1054">
        <f t="shared" si="170"/>
        <v>0</v>
      </c>
      <c r="Y148" s="1014">
        <f>SUM(Y149:Y153)</f>
        <v>0</v>
      </c>
      <c r="Z148" s="1014">
        <f>SUM(Z149:Z153)</f>
        <v>0</v>
      </c>
      <c r="AA148" s="1054">
        <f t="shared" si="170"/>
        <v>885761.15</v>
      </c>
      <c r="AB148" s="1014">
        <f>SUM('IV-2 vrsa'!R128)</f>
        <v>0</v>
      </c>
      <c r="AC148" s="708"/>
      <c r="AD148" s="708">
        <f>SUM(AD149:AD153)</f>
        <v>885761.15</v>
      </c>
      <c r="AE148" s="708">
        <f>SUM(AE149:AE153)</f>
        <v>5.8207660913467407E-11</v>
      </c>
      <c r="AF148" s="708"/>
      <c r="AG148" s="709"/>
      <c r="AH148" s="709"/>
      <c r="AI148" s="709"/>
      <c r="AJ148" s="710"/>
      <c r="AK148" s="711"/>
      <c r="AL148" s="719">
        <f>SUM(AL149:AL153)</f>
        <v>0</v>
      </c>
      <c r="AM148" s="719">
        <f t="shared" ref="AM148:AP148" si="171">SUM(AM149:AM153)</f>
        <v>885761.15</v>
      </c>
      <c r="AN148" s="719">
        <f t="shared" si="171"/>
        <v>0</v>
      </c>
      <c r="AO148" s="719">
        <f t="shared" si="171"/>
        <v>0</v>
      </c>
      <c r="AP148" s="719">
        <f t="shared" si="171"/>
        <v>0</v>
      </c>
      <c r="AQ148" s="30">
        <f>SUM('IV-2 amsa'!X61+'IV-2 arsa'!W58+'IV-2 dsa'!W63+'IV-2 lrsa'!X57+'IV-2 vrsa'!X64)</f>
        <v>885761.99026876735</v>
      </c>
      <c r="AR148" s="30">
        <f>SUM(AQ148*120/100)</f>
        <v>1062914.3883225208</v>
      </c>
      <c r="AS148" s="30">
        <f>SUM(AQ148-AA148)</f>
        <v>0.84026876732241362</v>
      </c>
    </row>
    <row r="149" spans="1:45" ht="39" thickBot="1">
      <c r="A149" s="733" t="s">
        <v>107</v>
      </c>
      <c r="B149" s="733" t="s">
        <v>1343</v>
      </c>
      <c r="C149" s="314" t="str">
        <f>CONCATENATE('ketv. 2'!B148)</f>
        <v>08.1.1-CPVA-R-407-11-0002</v>
      </c>
      <c r="D149" s="733" t="str">
        <f>CONCATENATE('IV-2 vrsa'!D65)</f>
        <v>Socialinių paslaugų infrastruktūros plėtra Varėnos rajono savivaldybėje</v>
      </c>
      <c r="E149" s="733" t="str">
        <f>CONCATENATE('IV-2 vrsa'!E65)</f>
        <v>Varėnos rajono savivaldybės administracija</v>
      </c>
      <c r="F149" s="733" t="str">
        <f>CONCATENATE('IV-2 vrsa'!F65)</f>
        <v>Lietuvos Respublikos socialinės apsaugos ir darbo ministerija</v>
      </c>
      <c r="G149" s="733" t="str">
        <f>CONCATENATE('IV-2 vrsa'!G65)</f>
        <v>Varėnos r. sav.</v>
      </c>
      <c r="H149" s="312" t="str">
        <f>CONCATENATE('IV-2 vrsa'!H65)</f>
        <v>08.1.1-CPVA-R-407</v>
      </c>
      <c r="I149" s="312" t="str">
        <f>CONCATENATE('IV-2 vrsa'!I65)</f>
        <v>R</v>
      </c>
      <c r="J149" s="312" t="str">
        <f>CONCATENATE('IV-2 vrsa'!J65)</f>
        <v>-</v>
      </c>
      <c r="K149" s="312" t="str">
        <f>CONCATENATE('IV-2 vrsa'!K65)</f>
        <v>-</v>
      </c>
      <c r="L149" s="644">
        <f>SUM('IV-2 vrsa'!L65)</f>
        <v>148480</v>
      </c>
      <c r="M149" s="1017">
        <f>SUM('ketv. 6 '!L148)</f>
        <v>148480</v>
      </c>
      <c r="N149" s="1017">
        <f>IF(M149&gt;0,L149-M149,0)</f>
        <v>0</v>
      </c>
      <c r="O149" s="644">
        <f>SUM('IV-2 vrsa'!M65)</f>
        <v>22272</v>
      </c>
      <c r="P149" s="1017">
        <f>SUM('ketv. 6 '!P148)</f>
        <v>22272</v>
      </c>
      <c r="Q149" s="1017">
        <f>IF(P149&gt;0,O149-P149,0)</f>
        <v>0</v>
      </c>
      <c r="R149" s="644">
        <f>SUM('IV-2 vrsa'!N65)</f>
        <v>0</v>
      </c>
      <c r="S149" s="1017">
        <f>SUM('ketv. 6 '!T148)</f>
        <v>0</v>
      </c>
      <c r="T149" s="1017">
        <f>IF(S149&gt;0,R149-S149,0)</f>
        <v>0</v>
      </c>
      <c r="U149" s="644">
        <f>SUM('IV-2 vrsa'!O65)</f>
        <v>0</v>
      </c>
      <c r="V149" s="1017">
        <f>SUM('ketv. 6 '!X148)</f>
        <v>0</v>
      </c>
      <c r="W149" s="1017">
        <f>IF(V149&gt;0,U149-V149,0)</f>
        <v>0</v>
      </c>
      <c r="X149" s="644">
        <f>SUM('IV-2 vrsa'!P65)</f>
        <v>0</v>
      </c>
      <c r="Y149" s="644">
        <f>SUM('ketv. 6 '!AB148)</f>
        <v>0</v>
      </c>
      <c r="Z149" s="644">
        <f>IF(Y149&gt;0,X149-Y149,0)</f>
        <v>0</v>
      </c>
      <c r="AA149" s="644">
        <f>SUM('IV-2 vrsa'!Q65)</f>
        <v>126208</v>
      </c>
      <c r="AB149" s="644">
        <f>SUM('IV-2 vrsa'!R129)</f>
        <v>0</v>
      </c>
      <c r="AC149" s="16" t="str">
        <f>IF('ketv. 4 '!Z149&gt;0,"Taip","Ne")</f>
        <v>Taip</v>
      </c>
      <c r="AD149" s="16">
        <f>SUM('ketv. 6 '!AF148)</f>
        <v>126208</v>
      </c>
      <c r="AE149" s="16">
        <f>IF(AD149&gt;0,AA149-AD149,0)</f>
        <v>0</v>
      </c>
      <c r="AF149" s="431">
        <f>SUM('IV-2 vrsa'!S65)</f>
        <v>42618</v>
      </c>
      <c r="AG149" s="734">
        <f>SUM('IV-2 vrsa'!T65)</f>
        <v>42669</v>
      </c>
      <c r="AH149" s="734">
        <f>SUM('IV-2 vrsa'!U65)</f>
        <v>42719</v>
      </c>
      <c r="AI149" s="734">
        <f>SUM('IV-2 vrsa'!V65)</f>
        <v>42855</v>
      </c>
      <c r="AJ149" s="339">
        <f t="shared" ref="AJ149:AJ153" si="172">IF(YEAR(AI149),YEAR(AI149))</f>
        <v>2017</v>
      </c>
      <c r="AK149" s="735">
        <f>SUM('IV-2 vrsa'!W65)</f>
        <v>43465</v>
      </c>
      <c r="AL149" s="16">
        <f>IF(YEAR(AI149)=2016,AA149,0)</f>
        <v>0</v>
      </c>
      <c r="AM149" s="16">
        <f>IF(YEAR(AI149)=2017,AA149,0)</f>
        <v>126208</v>
      </c>
      <c r="AN149" s="16">
        <f>IF(YEAR(AI149)=2018,AA149,0)</f>
        <v>0</v>
      </c>
      <c r="AO149" s="16">
        <f>IF(YEAR(AI149)=2019,AA149,0)</f>
        <v>0</v>
      </c>
      <c r="AP149" s="703">
        <f>IF(YEAR(AI149)=2020,AA149,0)</f>
        <v>0</v>
      </c>
      <c r="AQ149" s="30"/>
      <c r="AR149" s="30"/>
      <c r="AS149" s="30"/>
    </row>
    <row r="150" spans="1:45" ht="39.75" thickTop="1" thickBot="1">
      <c r="A150" s="311" t="s">
        <v>108</v>
      </c>
      <c r="B150" s="311" t="s">
        <v>1344</v>
      </c>
      <c r="C150" s="1499" t="str">
        <f>CONCATENATE('ketv. 2'!B149)</f>
        <v>08.1.1-CPVA-R-407-11-0004</v>
      </c>
      <c r="D150" s="311" t="str">
        <f>CONCATENATE('IV-2 arsa'!C59)</f>
        <v>Psichosocialinės pagalbos centro įkūrimas</v>
      </c>
      <c r="E150" s="311" t="str">
        <f>CONCATENATE('IV-2 arsa'!D59)</f>
        <v>Alytaus rajono savivaldybės administracija</v>
      </c>
      <c r="F150" s="311" t="str">
        <f>CONCATENATE('IV-2 arsa'!E59)</f>
        <v>Lietuvos Respublikos socialinės apsaugos ir darbo ministerija</v>
      </c>
      <c r="G150" s="311" t="str">
        <f>CONCATENATE('IV-2 arsa'!F59)</f>
        <v>Alytaus r. sav.</v>
      </c>
      <c r="H150" s="130" t="str">
        <f>CONCATENATE('IV-2 arsa'!G59)</f>
        <v>08.1.1-CPVA-R-407</v>
      </c>
      <c r="I150" s="130" t="str">
        <f>CONCATENATE('IV-2 arsa'!H59)</f>
        <v>R</v>
      </c>
      <c r="J150" s="130" t="str">
        <f>CONCATENATE('IV-2 arsa'!I59)</f>
        <v/>
      </c>
      <c r="K150" s="130" t="str">
        <f>CONCATENATE('IV-2 arsa'!J59)</f>
        <v>-</v>
      </c>
      <c r="L150" s="644">
        <f>SUM('IV-2 arsa'!K59)</f>
        <v>188353</v>
      </c>
      <c r="M150" s="1017">
        <f>SUM('ketv. 6 '!L149)</f>
        <v>188353</v>
      </c>
      <c r="N150" s="1017">
        <f>IF(M150&gt;0,L150-M150,0)</f>
        <v>0</v>
      </c>
      <c r="O150" s="644">
        <f>SUM('IV-2 arsa'!L59)</f>
        <v>28253</v>
      </c>
      <c r="P150" s="1017">
        <f>SUM('ketv. 6 '!P149)</f>
        <v>28253</v>
      </c>
      <c r="Q150" s="1017">
        <f>IF(P150&gt;0,O150-P150,0)</f>
        <v>0</v>
      </c>
      <c r="R150" s="644">
        <f>SUM('IV-2 arsa'!M59)</f>
        <v>0</v>
      </c>
      <c r="S150" s="1017">
        <f>SUM('ketv. 6 '!T149)</f>
        <v>0</v>
      </c>
      <c r="T150" s="1017">
        <f>IF(S150&gt;0,R150-S150,0)</f>
        <v>0</v>
      </c>
      <c r="U150" s="644">
        <f>SUM('IV-2 arsa'!N59)</f>
        <v>0</v>
      </c>
      <c r="V150" s="1017">
        <f>SUM('ketv. 6 '!X149)</f>
        <v>0</v>
      </c>
      <c r="W150" s="1017">
        <f>IF(V150&gt;0,U150-V150,0)</f>
        <v>0</v>
      </c>
      <c r="X150" s="644">
        <f>SUM('IV-2 arsa'!O59)</f>
        <v>0</v>
      </c>
      <c r="Y150" s="644">
        <f>SUM('ketv. 6 '!AB149)</f>
        <v>0</v>
      </c>
      <c r="Z150" s="644">
        <f>IF(Y150&gt;0,X150-Y150,0)</f>
        <v>0</v>
      </c>
      <c r="AA150" s="644">
        <f>SUM('IV-2 arsa'!P59)</f>
        <v>160100</v>
      </c>
      <c r="AB150" s="644">
        <f>SUM('IV-2 vrsa'!R130)</f>
        <v>0</v>
      </c>
      <c r="AC150" s="16" t="str">
        <f>IF('ketv. 4 '!Z150&gt;0,"Taip","Ne")</f>
        <v>Taip</v>
      </c>
      <c r="AD150" s="16">
        <f>SUM('ketv. 6 '!AF149)</f>
        <v>160100</v>
      </c>
      <c r="AE150" s="16">
        <f>IF(AD150&gt;0,AA150-AD150,0)</f>
        <v>0</v>
      </c>
      <c r="AF150" s="431">
        <f>SUM('IV-2 arsa'!R59)</f>
        <v>42618</v>
      </c>
      <c r="AG150" s="337">
        <f>SUM('IV-2 arsa'!S59)</f>
        <v>42669</v>
      </c>
      <c r="AH150" s="337">
        <f>SUM('IV-2 arsa'!T59)</f>
        <v>42738</v>
      </c>
      <c r="AI150" s="337">
        <f>SUM('IV-2 arsa'!U59)</f>
        <v>42888</v>
      </c>
      <c r="AJ150" s="339">
        <f t="shared" si="172"/>
        <v>2017</v>
      </c>
      <c r="AK150" s="702">
        <f>SUM('IV-2 arsa'!V59)</f>
        <v>43646</v>
      </c>
      <c r="AL150" s="16">
        <f>IF(YEAR(AI150)=2016,AA150,0)</f>
        <v>0</v>
      </c>
      <c r="AM150" s="16">
        <f>IF(YEAR(AI150)=2017,AA150,0)</f>
        <v>160100</v>
      </c>
      <c r="AN150" s="16">
        <f>IF(YEAR(AI150)=2018,AA150,0)</f>
        <v>0</v>
      </c>
      <c r="AO150" s="16">
        <f>IF(YEAR(AI150)=2019,AA150,0)</f>
        <v>0</v>
      </c>
      <c r="AP150" s="703">
        <f>IF(YEAR(AI150)=2020,AA150,0)</f>
        <v>0</v>
      </c>
      <c r="AQ150" s="50"/>
      <c r="AR150" s="30"/>
      <c r="AS150" s="30"/>
    </row>
    <row r="151" spans="1:45" ht="39.75" thickTop="1" thickBot="1">
      <c r="A151" s="311" t="s">
        <v>218</v>
      </c>
      <c r="B151" s="311" t="s">
        <v>1345</v>
      </c>
      <c r="C151" s="1499" t="str">
        <f>CONCATENATE('ketv. 2'!B150)</f>
        <v>08.1.1-CPVA-R-407-11-0005</v>
      </c>
      <c r="D151" s="311" t="str">
        <f>CONCATENATE('IV-2 amsa'!D62)</f>
        <v>Socialinių paslaugų plėtra Alytaus mieste</v>
      </c>
      <c r="E151" s="311" t="str">
        <f>CONCATENATE('IV-2 amsa'!E62)</f>
        <v>Alytaus miesto savivaldybės administracija</v>
      </c>
      <c r="F151" s="311" t="str">
        <f>CONCATENATE('IV-2 amsa'!F62)</f>
        <v>Lietuvos Respublikos socialinės apsaugos ir darbo ministerija</v>
      </c>
      <c r="G151" s="311" t="str">
        <f>CONCATENATE('IV-2 amsa'!G62)</f>
        <v>Alytaus m. sav.</v>
      </c>
      <c r="H151" s="130" t="str">
        <f>CONCATENATE('IV-2 amsa'!H62)</f>
        <v>08.1.1-CPVA-R-407</v>
      </c>
      <c r="I151" s="130" t="str">
        <f>CONCATENATE('IV-2 amsa'!I62)</f>
        <v>R</v>
      </c>
      <c r="J151" s="130" t="str">
        <f>CONCATENATE('IV-2 amsa'!J62)</f>
        <v>-</v>
      </c>
      <c r="K151" s="130" t="str">
        <f>CONCATENATE('IV-2 amsa'!K62)</f>
        <v>-</v>
      </c>
      <c r="L151" s="644">
        <f>SUM('IV-2 amsa'!L62)</f>
        <v>600732.80000000005</v>
      </c>
      <c r="M151" s="1017">
        <f>SUM('ketv. 6 '!L150)</f>
        <v>600732.79999999993</v>
      </c>
      <c r="N151" s="1017">
        <f t="shared" ref="N151" si="173">IF(M151&gt;0,L151-M151,0)</f>
        <v>1.1641532182693481E-10</v>
      </c>
      <c r="O151" s="644">
        <f>SUM('IV-2 amsa'!M62)</f>
        <v>254371.8</v>
      </c>
      <c r="P151" s="1017">
        <f>SUM('ketv. 6 '!P150)</f>
        <v>254371.80000000002</v>
      </c>
      <c r="Q151" s="1017">
        <f>IF(P151&gt;0,O151-P151,0)</f>
        <v>-2.9103830456733704E-11</v>
      </c>
      <c r="R151" s="644">
        <f>SUM('IV-2 amsa'!N62)</f>
        <v>0</v>
      </c>
      <c r="S151" s="1017">
        <f>SUM('ketv. 6 '!T150)</f>
        <v>0</v>
      </c>
      <c r="T151" s="1017">
        <f t="shared" ref="T151" si="174">IF(S151&gt;0,R151-S151,0)</f>
        <v>0</v>
      </c>
      <c r="U151" s="644">
        <f>SUM('IV-2 amsa'!O62)</f>
        <v>0</v>
      </c>
      <c r="V151" s="1017">
        <f>SUM('ketv. 6 '!X150)</f>
        <v>0</v>
      </c>
      <c r="W151" s="1017">
        <f t="shared" ref="W151" si="175">IF(V151&gt;0,U151-V151,0)</f>
        <v>0</v>
      </c>
      <c r="X151" s="644">
        <f>SUM('IV-2 amsa'!P62)</f>
        <v>0</v>
      </c>
      <c r="Y151" s="644">
        <f>SUM('ketv. 6 '!AB150)</f>
        <v>0</v>
      </c>
      <c r="Z151" s="644">
        <f t="shared" ref="Z151" si="176">IF(Y151&gt;0,X151-Y151,0)</f>
        <v>0</v>
      </c>
      <c r="AA151" s="644">
        <f>SUM('IV-2 amsa'!Q62)</f>
        <v>346361</v>
      </c>
      <c r="AB151" s="644">
        <f>SUM('IV-2 vrsa'!R131)</f>
        <v>0</v>
      </c>
      <c r="AC151" s="16" t="str">
        <f>IF('ketv. 4 '!Z151&gt;0,"Taip","Ne")</f>
        <v>Taip</v>
      </c>
      <c r="AD151" s="16">
        <f>SUM('ketv. 6 '!AF150)</f>
        <v>346360.99999999994</v>
      </c>
      <c r="AE151" s="16">
        <f>IF(AD151&gt;0,AA151-AD151,0)</f>
        <v>5.8207660913467407E-11</v>
      </c>
      <c r="AF151" s="431">
        <f>SUM('IV-2 amsa'!S62)</f>
        <v>42653</v>
      </c>
      <c r="AG151" s="337">
        <f>SUM('IV-2 amsa'!T62)</f>
        <v>42754</v>
      </c>
      <c r="AH151" s="337">
        <f>SUM('IV-2 amsa'!U62)</f>
        <v>42766</v>
      </c>
      <c r="AI151" s="337">
        <f>SUM('IV-2 amsa'!V62)</f>
        <v>42936</v>
      </c>
      <c r="AJ151" s="339">
        <f t="shared" si="172"/>
        <v>2017</v>
      </c>
      <c r="AK151" s="702">
        <f>SUM('IV-2 amsa'!W62)</f>
        <v>43646</v>
      </c>
      <c r="AL151" s="16">
        <f>IF(YEAR(AI151)=2016,AA151,0)</f>
        <v>0</v>
      </c>
      <c r="AM151" s="16">
        <f>IF(YEAR(AI151)=2017,AA151,0)</f>
        <v>346361</v>
      </c>
      <c r="AN151" s="16">
        <f>IF(YEAR(AI151)=2018,AA151,0)</f>
        <v>0</v>
      </c>
      <c r="AO151" s="16">
        <f>IF(YEAR(AI151)=2019,AA151,0)</f>
        <v>0</v>
      </c>
      <c r="AP151" s="703">
        <f>IF(YEAR(AI151)=2020,AA151,0)</f>
        <v>0</v>
      </c>
      <c r="AQ151" s="50"/>
      <c r="AR151" s="30"/>
      <c r="AS151" s="30"/>
    </row>
    <row r="152" spans="1:45" ht="39.75" thickTop="1" thickBot="1">
      <c r="A152" s="311" t="s">
        <v>236</v>
      </c>
      <c r="B152" s="311" t="s">
        <v>1346</v>
      </c>
      <c r="C152" s="1499" t="str">
        <f>CONCATENATE('ketv. 2'!B151)</f>
        <v>08.1.1-CPVA-R-407-11-0001</v>
      </c>
      <c r="D152" s="311" t="str">
        <f>CONCATENATE('IV-2 dsa'!C64)</f>
        <v>Socialinių paslaugų infrastruktūros plėtra Druskininkų savivaldybėje</v>
      </c>
      <c r="E152" s="311" t="str">
        <f>CONCATENATE('IV-2 dsa'!D64)</f>
        <v>Druskininkų savivaldybės administracija</v>
      </c>
      <c r="F152" s="311" t="str">
        <f>CONCATENATE('IV-2 dsa'!E64)</f>
        <v>Lietuvos Respublikos socialinės apsaugos ir darbo ministerija</v>
      </c>
      <c r="G152" s="311" t="str">
        <f>CONCATENATE('IV-2 dsa'!F64)</f>
        <v>Druskininkų sav.</v>
      </c>
      <c r="H152" s="130" t="str">
        <f>CONCATENATE('IV-2 dsa'!G64)</f>
        <v>08.1.1-CPVA-R-407</v>
      </c>
      <c r="I152" s="130" t="str">
        <f>CONCATENATE('IV-2 dsa'!H64)</f>
        <v>R</v>
      </c>
      <c r="J152" s="130" t="str">
        <f>CONCATENATE('IV-2 dsa'!I64)</f>
        <v>-</v>
      </c>
      <c r="K152" s="130" t="str">
        <f>CONCATENATE('IV-2 dsa'!J64)</f>
        <v>-</v>
      </c>
      <c r="L152" s="644">
        <f>SUM('IV-2 dsa'!K64)</f>
        <v>151437</v>
      </c>
      <c r="M152" s="1017">
        <f>SUM('ketv. 6 '!L151)</f>
        <v>151437</v>
      </c>
      <c r="N152" s="1017">
        <f>IF(M152&gt;0,L152-M152,0)</f>
        <v>0</v>
      </c>
      <c r="O152" s="644">
        <f>SUM('IV-2 dsa'!L64)</f>
        <v>22716</v>
      </c>
      <c r="P152" s="1017">
        <f>SUM('ketv. 6 '!P151)</f>
        <v>22716</v>
      </c>
      <c r="Q152" s="1017">
        <f>IF(P152&gt;0,O152-P152,0)</f>
        <v>0</v>
      </c>
      <c r="R152" s="644">
        <f>SUM('IV-2 dsa'!M64)</f>
        <v>0</v>
      </c>
      <c r="S152" s="1017">
        <f>SUM('ketv. 6 '!T151)</f>
        <v>0</v>
      </c>
      <c r="T152" s="1017">
        <f>IF(S152&gt;0,R152-S152,0)</f>
        <v>0</v>
      </c>
      <c r="U152" s="644">
        <f>SUM('IV-2 dsa'!N64)</f>
        <v>0</v>
      </c>
      <c r="V152" s="1017">
        <f>SUM('ketv. 6 '!X151)</f>
        <v>0</v>
      </c>
      <c r="W152" s="1017">
        <f>IF(V152&gt;0,U152-V152,0)</f>
        <v>0</v>
      </c>
      <c r="X152" s="644">
        <f>SUM('IV-2 dsa'!O64)</f>
        <v>0</v>
      </c>
      <c r="Y152" s="644">
        <f>SUM('ketv. 6 '!AB151)</f>
        <v>0</v>
      </c>
      <c r="Z152" s="644">
        <f>IF(Y152&gt;0,X152-Y152,0)</f>
        <v>0</v>
      </c>
      <c r="AA152" s="644">
        <f>SUM('IV-2 dsa'!P64)</f>
        <v>128721</v>
      </c>
      <c r="AB152" s="644">
        <f>SUM('IV-2 vrsa'!R132)</f>
        <v>0</v>
      </c>
      <c r="AC152" s="16" t="str">
        <f>IF('ketv. 4 '!Z152&gt;0,"Taip","Ne")</f>
        <v>Taip</v>
      </c>
      <c r="AD152" s="16">
        <f>SUM('ketv. 6 '!AF151)</f>
        <v>128721</v>
      </c>
      <c r="AE152" s="16">
        <f>IF(AD152&gt;0,AA152-AD152,0)</f>
        <v>0</v>
      </c>
      <c r="AF152" s="431">
        <f>SUM('IV-2 dsa'!R64)</f>
        <v>42618</v>
      </c>
      <c r="AG152" s="337">
        <f>SUM('IV-2 dsa'!S64)</f>
        <v>42669</v>
      </c>
      <c r="AH152" s="337">
        <f>SUM('IV-2 dsa'!T64)</f>
        <v>42735</v>
      </c>
      <c r="AI152" s="337">
        <f>SUM('IV-2 dsa'!U64)</f>
        <v>42855</v>
      </c>
      <c r="AJ152" s="339">
        <f t="shared" si="172"/>
        <v>2017</v>
      </c>
      <c r="AK152" s="735">
        <f>SUM('IV-2 dsa'!V64)</f>
        <v>43738</v>
      </c>
      <c r="AL152" s="16">
        <f>IF(YEAR(AI152)=2016,AA152,0)</f>
        <v>0</v>
      </c>
      <c r="AM152" s="16">
        <f>IF(YEAR(AI152)=2017,AA152,0)</f>
        <v>128721</v>
      </c>
      <c r="AN152" s="16">
        <f>IF(YEAR(AI152)=2018,AA152,0)</f>
        <v>0</v>
      </c>
      <c r="AO152" s="16">
        <f>IF(YEAR(AI152)=2019,AA152,0)</f>
        <v>0</v>
      </c>
      <c r="AP152" s="703">
        <f>IF(YEAR(AI152)=2020,AA152,0)</f>
        <v>0</v>
      </c>
      <c r="AQ152" s="50"/>
      <c r="AR152" s="30"/>
      <c r="AS152" s="30"/>
    </row>
    <row r="153" spans="1:45" ht="39.75" thickTop="1" thickBot="1">
      <c r="A153" s="311" t="s">
        <v>242</v>
      </c>
      <c r="B153" s="311" t="s">
        <v>1347</v>
      </c>
      <c r="C153" s="1500" t="str">
        <f>CONCATENATE('ketv. 2'!B152)</f>
        <v>08.1.1-CPVA-R-407-11-0003</v>
      </c>
      <c r="D153" s="311" t="str">
        <f>CONCATENATE('IV-2 lrsa'!D58)</f>
        <v>Socialinių paslaugų infrastruktūros modernizavimas ir plėtra VšĮ Kapčiamiesčio globos namuose</v>
      </c>
      <c r="E153" s="311" t="str">
        <f>CONCATENATE('IV-2 lrsa'!E58)</f>
        <v>VšĮ Kapčiamiesčio globos namai</v>
      </c>
      <c r="F153" s="311" t="str">
        <f>CONCATENATE('IV-2 lrsa'!F58)</f>
        <v>Lietuvos Respublikos socialinės apsaugos ir darbo ministerija</v>
      </c>
      <c r="G153" s="311" t="str">
        <f>CONCATENATE('IV-2 lrsa'!G58)</f>
        <v>Lazdijų r. sav.</v>
      </c>
      <c r="H153" s="130" t="str">
        <f>CONCATENATE('IV-2 lrsa'!H58)</f>
        <v>08.1.1-CPVA-R-407</v>
      </c>
      <c r="I153" s="130" t="str">
        <f>CONCATENATE('IV-2 lrsa'!I58)</f>
        <v>R</v>
      </c>
      <c r="J153" s="130" t="str">
        <f>CONCATENATE('IV-2 lrsa'!J58)</f>
        <v>-</v>
      </c>
      <c r="K153" s="130" t="str">
        <f>CONCATENATE('IV-2 lrsa'!K58)</f>
        <v>-</v>
      </c>
      <c r="L153" s="644">
        <f>SUM('IV-2 lrsa'!L58)</f>
        <v>146319</v>
      </c>
      <c r="M153" s="1017">
        <f>SUM('ketv. 6 '!L152)</f>
        <v>146319</v>
      </c>
      <c r="N153" s="1017">
        <f>IF(M153&gt;0,L153-M153,0)</f>
        <v>0</v>
      </c>
      <c r="O153" s="644">
        <f>SUM('IV-2 lrsa'!M58)</f>
        <v>0</v>
      </c>
      <c r="P153" s="1017">
        <f>SUM('ketv. 6 '!P152)</f>
        <v>0</v>
      </c>
      <c r="Q153" s="1017">
        <f>IF(P153&gt;0,O153-P153,0)</f>
        <v>0</v>
      </c>
      <c r="R153" s="644">
        <f>SUM('IV-2 lrsa'!N58)</f>
        <v>21947.85</v>
      </c>
      <c r="S153" s="1017">
        <f>SUM('ketv. 6 '!T152)</f>
        <v>21947.849999999995</v>
      </c>
      <c r="T153" s="1017">
        <f>IF(S153&gt;0,R153-S153,0)</f>
        <v>3.637978807091713E-12</v>
      </c>
      <c r="U153" s="644">
        <f>SUM('IV-2 lrsa'!O58)</f>
        <v>0</v>
      </c>
      <c r="V153" s="1017">
        <f>SUM('ketv. 6 '!X152)</f>
        <v>0</v>
      </c>
      <c r="W153" s="1017">
        <f>IF(V153&gt;0,U153-V153,0)</f>
        <v>0</v>
      </c>
      <c r="X153" s="644">
        <f>SUM('IV-2 lrsa'!P58)</f>
        <v>0</v>
      </c>
      <c r="Y153" s="644">
        <f>SUM('ketv. 6 '!AB152)</f>
        <v>0</v>
      </c>
      <c r="Z153" s="644">
        <f>IF(Y153&gt;0,X153-Y153,0)</f>
        <v>0</v>
      </c>
      <c r="AA153" s="644">
        <f>SUM('IV-2 lrsa'!Q58)</f>
        <v>124371.15</v>
      </c>
      <c r="AB153" s="644">
        <f>SUM('IV-2 vrsa'!R133)</f>
        <v>0</v>
      </c>
      <c r="AC153" s="16" t="str">
        <f>IF('ketv. 4 '!Z153&gt;0,"Taip","Ne")</f>
        <v>Taip</v>
      </c>
      <c r="AD153" s="16">
        <f>SUM('ketv. 6 '!AF152)</f>
        <v>124371.15</v>
      </c>
      <c r="AE153" s="16">
        <f>IF(AD153&gt;0,AA153-AD153,0)</f>
        <v>0</v>
      </c>
      <c r="AF153" s="431">
        <f>SUM('IV-2 lrsa'!S58)</f>
        <v>42618</v>
      </c>
      <c r="AG153" s="337">
        <f>SUM('IV-2 lrsa'!T58)</f>
        <v>42669</v>
      </c>
      <c r="AH153" s="337">
        <f>SUM('IV-2 lrsa'!U58)</f>
        <v>42737</v>
      </c>
      <c r="AI153" s="337">
        <f>SUM('IV-2 lrsa'!V58)</f>
        <v>42855</v>
      </c>
      <c r="AJ153" s="339">
        <f t="shared" si="172"/>
        <v>2017</v>
      </c>
      <c r="AK153" s="702">
        <f>SUM('IV-2 lrsa'!W58)</f>
        <v>43615</v>
      </c>
      <c r="AL153" s="16">
        <f>IF(YEAR(AI153)=2016,AA153,0)</f>
        <v>0</v>
      </c>
      <c r="AM153" s="16">
        <f>IF(YEAR(AI153)=2017,AA153,0)</f>
        <v>124371.15</v>
      </c>
      <c r="AN153" s="16">
        <f>IF(YEAR(AI153)=2018,AA153,0)</f>
        <v>0</v>
      </c>
      <c r="AO153" s="16">
        <f>IF(YEAR(AI153)=2019,AA153,0)</f>
        <v>0</v>
      </c>
      <c r="AP153" s="703">
        <f>IF(YEAR(AI153)=2020,AA153,0)</f>
        <v>0</v>
      </c>
      <c r="AQ153" s="50"/>
      <c r="AR153" s="37"/>
      <c r="AS153" s="50"/>
    </row>
    <row r="154" spans="1:45" ht="33.75" customHeight="1" thickBot="1">
      <c r="A154" s="736" t="s">
        <v>37</v>
      </c>
      <c r="B154" s="1920" t="s">
        <v>1483</v>
      </c>
      <c r="C154" s="1891"/>
      <c r="D154" s="1891"/>
      <c r="E154" s="1891"/>
      <c r="F154" s="1891"/>
      <c r="G154" s="1891"/>
      <c r="H154" s="1891"/>
      <c r="I154" s="1891"/>
      <c r="J154" s="1891"/>
      <c r="K154" s="1892"/>
      <c r="L154" s="1323">
        <f>SUM(L155:L159)</f>
        <v>2966201.12</v>
      </c>
      <c r="M154" s="1034">
        <f>SUM(M155:M159)</f>
        <v>2966201.12</v>
      </c>
      <c r="N154" s="1034">
        <f>SUM(N155:N159)</f>
        <v>0</v>
      </c>
      <c r="O154" s="1323">
        <f t="shared" ref="O154" si="177">SUM(O155:O159)</f>
        <v>445227.48000000004</v>
      </c>
      <c r="P154" s="1034">
        <f>SUM(P155:P159)</f>
        <v>445227.48000000004</v>
      </c>
      <c r="Q154" s="1034">
        <f>SUM(Q155:Q159)</f>
        <v>0</v>
      </c>
      <c r="R154" s="1323">
        <f t="shared" ref="R154" si="178">SUM(R155:R159)</f>
        <v>0</v>
      </c>
      <c r="S154" s="1034">
        <f>SUM(S155:S159)</f>
        <v>0</v>
      </c>
      <c r="T154" s="1034">
        <f>SUM(T155:T159)</f>
        <v>0</v>
      </c>
      <c r="U154" s="1323">
        <f t="shared" ref="U154" si="179">SUM(U155:U159)</f>
        <v>0</v>
      </c>
      <c r="V154" s="1034">
        <f>SUM(V155:V159)</f>
        <v>0</v>
      </c>
      <c r="W154" s="1034">
        <f>SUM(W155:W159)</f>
        <v>0</v>
      </c>
      <c r="X154" s="1323">
        <f t="shared" ref="X154" si="180">SUM(X155:X159)</f>
        <v>0</v>
      </c>
      <c r="Y154" s="1034">
        <f>SUM(Y155:Y159)</f>
        <v>0</v>
      </c>
      <c r="Z154" s="1034">
        <f>SUM(Z155:Z159)</f>
        <v>0</v>
      </c>
      <c r="AA154" s="1323">
        <f t="shared" ref="AA154" si="181">SUM(AA155:AA159)</f>
        <v>2520973.6399999997</v>
      </c>
      <c r="AB154" s="1034">
        <f>SUM('IV-2 vrsa'!R134)</f>
        <v>0</v>
      </c>
      <c r="AC154" s="737"/>
      <c r="AD154" s="737">
        <f>SUM(AD155:AD159)</f>
        <v>2520973.6399999997</v>
      </c>
      <c r="AE154" s="737">
        <f>SUM(AE155:AE159)</f>
        <v>0</v>
      </c>
      <c r="AF154" s="737"/>
      <c r="AG154" s="738"/>
      <c r="AH154" s="738"/>
      <c r="AI154" s="738"/>
      <c r="AJ154" s="739"/>
      <c r="AK154" s="740"/>
      <c r="AL154" s="16">
        <f>SUM(AL155:AL159)</f>
        <v>2520973.6399999997</v>
      </c>
      <c r="AM154" s="16">
        <f t="shared" ref="AM154:AP154" si="182">SUM(AM155:AM159)</f>
        <v>0</v>
      </c>
      <c r="AN154" s="16">
        <f t="shared" si="182"/>
        <v>0</v>
      </c>
      <c r="AO154" s="16">
        <f t="shared" si="182"/>
        <v>0</v>
      </c>
      <c r="AP154" s="16">
        <f t="shared" si="182"/>
        <v>0</v>
      </c>
      <c r="AQ154" s="30">
        <f>SUM('IV-2 amsa'!X63+'IV-2 arsa'!W60+'IV-2 dsa'!W65+'IV-2 lrsa'!X59+'IV-2 vrsa'!X66)</f>
        <v>2520974</v>
      </c>
      <c r="AR154" s="30">
        <f>SUM(AQ154*120/100)</f>
        <v>3025168.8</v>
      </c>
      <c r="AS154" s="30">
        <f>SUM(AQ154-AA154)</f>
        <v>0.36000000033527613</v>
      </c>
    </row>
    <row r="155" spans="1:45" ht="39.75" thickTop="1" thickBot="1">
      <c r="A155" s="311" t="s">
        <v>159</v>
      </c>
      <c r="B155" s="311" t="s">
        <v>1348</v>
      </c>
      <c r="C155" s="1093" t="str">
        <f>CONCATENATE('ketv. 2'!B154)</f>
        <v>08.1.2-CPVA-R-408-11-0001</v>
      </c>
      <c r="D155" s="311" t="str">
        <f>CONCATENATE('IV-2 vrsa'!D67)</f>
        <v>Socialinio būsto plėtra Varėnos rajone</v>
      </c>
      <c r="E155" s="311" t="str">
        <f>CONCATENATE('IV-2 vrsa'!E67)</f>
        <v>Varėnos rajono savivaldybės administracija</v>
      </c>
      <c r="F155" s="311" t="str">
        <f>CONCATENATE('IV-2 vrsa'!F67)</f>
        <v>Lietuvos Respublikos socialinės apsaugos ir darbo ministerija</v>
      </c>
      <c r="G155" s="311" t="str">
        <f>CONCATENATE('IV-2 vrsa'!G67)</f>
        <v>Varėnos r. sav.</v>
      </c>
      <c r="H155" s="130" t="str">
        <f>CONCATENATE('IV-2 vrsa'!H67)</f>
        <v>08.1.2-CPVA-R-408</v>
      </c>
      <c r="I155" s="130" t="str">
        <f>CONCATENATE('IV-2 vrsa'!I67)</f>
        <v>R</v>
      </c>
      <c r="J155" s="130" t="str">
        <f>CONCATENATE('IV-2 vrsa'!J67)</f>
        <v>-</v>
      </c>
      <c r="K155" s="130" t="str">
        <f>CONCATENATE('IV-2 vrsa'!K67)</f>
        <v>-</v>
      </c>
      <c r="L155" s="644">
        <f>SUM('IV-2 vrsa'!L67)</f>
        <v>736499</v>
      </c>
      <c r="M155" s="644">
        <f>SUM('ketv. 6 '!L154)</f>
        <v>736499</v>
      </c>
      <c r="N155" s="644">
        <f>IF(M155&gt;0,L155-M155,0)</f>
        <v>0</v>
      </c>
      <c r="O155" s="644">
        <f>SUM('IV-2 vrsa'!M67)</f>
        <v>110475</v>
      </c>
      <c r="P155" s="644">
        <f>SUM('ketv. 6 '!P154)</f>
        <v>110475</v>
      </c>
      <c r="Q155" s="644">
        <f>IF(P155&gt;0,O155-P155,0)</f>
        <v>0</v>
      </c>
      <c r="R155" s="644">
        <f>SUM('IV-2 vrsa'!N67)</f>
        <v>0</v>
      </c>
      <c r="S155" s="644">
        <f>SUM('ketv. 6 '!T154)</f>
        <v>0</v>
      </c>
      <c r="T155" s="644">
        <f>IF(S155&gt;0,R155-S155,0)</f>
        <v>0</v>
      </c>
      <c r="U155" s="644">
        <f>SUM('IV-2 vrsa'!O67)</f>
        <v>0</v>
      </c>
      <c r="V155" s="644">
        <f>SUM('ketv. 6 '!X154)</f>
        <v>0</v>
      </c>
      <c r="W155" s="644">
        <f>IF(V155&gt;0,U155-V155,0)</f>
        <v>0</v>
      </c>
      <c r="X155" s="644">
        <f>SUM('IV-2 vrsa'!P67)</f>
        <v>0</v>
      </c>
      <c r="Y155" s="644">
        <f>SUM('ketv. 6 '!AB154)</f>
        <v>0</v>
      </c>
      <c r="Z155" s="644">
        <f>IF(Y155&gt;0,X155-Y155,0)</f>
        <v>0</v>
      </c>
      <c r="AA155" s="644">
        <f>SUM('IV-2 vrsa'!Q67)</f>
        <v>626024</v>
      </c>
      <c r="AB155" s="644">
        <f>SUM('IV-2 vrsa'!R135)</f>
        <v>0</v>
      </c>
      <c r="AC155" s="16" t="str">
        <f>IF('ketv. 4 '!Z155&gt;0,"Taip","Ne")</f>
        <v>Taip</v>
      </c>
      <c r="AD155" s="16">
        <f>SUM('ketv. 6 '!AF154)</f>
        <v>626024</v>
      </c>
      <c r="AE155" s="16">
        <f>IF(AD155&gt;0,AA155-AD155,0)</f>
        <v>0</v>
      </c>
      <c r="AF155" s="431">
        <f>SUM('IV-2 vrsa'!S67)</f>
        <v>42401</v>
      </c>
      <c r="AG155" s="337">
        <f>SUM('IV-2 vrsa'!T67)</f>
        <v>42490</v>
      </c>
      <c r="AH155" s="337">
        <f>SUM('IV-2 vrsa'!U67)</f>
        <v>42674</v>
      </c>
      <c r="AI155" s="337">
        <f>SUM('IV-2 vrsa'!V67)</f>
        <v>42735</v>
      </c>
      <c r="AJ155" s="339">
        <f t="shared" ref="AJ155:AJ159" si="183">IF(YEAR(AI155),YEAR(AI155))</f>
        <v>2016</v>
      </c>
      <c r="AK155" s="702">
        <f>SUM('IV-2 vrsa'!W67)</f>
        <v>43738</v>
      </c>
      <c r="AL155" s="16">
        <f>IF(YEAR(AI155)=2016,AA155,0)</f>
        <v>626024</v>
      </c>
      <c r="AM155" s="16">
        <f>IF(YEAR(AI155)=2017,AA155,0)</f>
        <v>0</v>
      </c>
      <c r="AN155" s="16">
        <f>IF(YEAR(AI155)=2018,AA155,0)</f>
        <v>0</v>
      </c>
      <c r="AO155" s="16">
        <f>IF(YEAR(AI155)=2019,AA155,0)</f>
        <v>0</v>
      </c>
      <c r="AP155" s="703">
        <f>IF(YEAR(AI155)=2020,AA155,0)</f>
        <v>0</v>
      </c>
      <c r="AQ155" s="30"/>
      <c r="AR155" s="30"/>
      <c r="AS155" s="30"/>
    </row>
    <row r="156" spans="1:45" ht="39.75" thickTop="1" thickBot="1">
      <c r="A156" s="311" t="s">
        <v>208</v>
      </c>
      <c r="B156" s="311" t="s">
        <v>1349</v>
      </c>
      <c r="C156" s="1093" t="str">
        <f>CONCATENATE('ketv. 2'!B155)</f>
        <v>08.1.2-CPVA-R-408-11-0005</v>
      </c>
      <c r="D156" s="311" t="str">
        <f>CONCATENATE('IV-2 arsa'!C61)</f>
        <v>Būsto prieinamumo pažeidžiamoms gyventojų grupėms didinimas Alytaus rajone</v>
      </c>
      <c r="E156" s="311" t="str">
        <f>CONCATENATE('IV-2 arsa'!D61)</f>
        <v>Alytaus rajono savivaldybės administracija</v>
      </c>
      <c r="F156" s="311" t="str">
        <f>CONCATENATE('IV-2 arsa'!E61)</f>
        <v>Lietuvos Respublikos socialinės apsaugos ir darbo ministerija</v>
      </c>
      <c r="G156" s="311" t="str">
        <f>CONCATENATE('IV-2 arsa'!F61)</f>
        <v>Alytaus r. sav.</v>
      </c>
      <c r="H156" s="130" t="str">
        <f>CONCATENATE('IV-2 arsa'!G61)</f>
        <v>08.1.2-CPVA-R-408</v>
      </c>
      <c r="I156" s="130" t="str">
        <f>CONCATENATE('IV-2 arsa'!H61)</f>
        <v>R</v>
      </c>
      <c r="J156" s="130" t="str">
        <f>CONCATENATE('IV-2 arsa'!I61)</f>
        <v>-</v>
      </c>
      <c r="K156" s="130" t="str">
        <f>CONCATENATE('IV-2 arsa'!J61)</f>
        <v>-</v>
      </c>
      <c r="L156" s="644">
        <f>SUM('IV-2 arsa'!K61)</f>
        <v>241889</v>
      </c>
      <c r="M156" s="644">
        <f>SUM('ketv. 6 '!L155)</f>
        <v>241889</v>
      </c>
      <c r="N156" s="644">
        <f>IF(M156&gt;0,L156-M156,0)</f>
        <v>0</v>
      </c>
      <c r="O156" s="644">
        <f>SUM('IV-2 arsa'!L61)</f>
        <v>36283.35</v>
      </c>
      <c r="P156" s="644">
        <f>SUM('ketv. 6 '!P155)</f>
        <v>36283.35</v>
      </c>
      <c r="Q156" s="644">
        <f>IF(P156&gt;0,O156-P156,0)</f>
        <v>0</v>
      </c>
      <c r="R156" s="644">
        <f>SUM('IV-2 arsa'!M61)</f>
        <v>0</v>
      </c>
      <c r="S156" s="644">
        <f>SUM('ketv. 6 '!T155)</f>
        <v>0</v>
      </c>
      <c r="T156" s="644">
        <f>IF(S156&gt;0,R156-S156,0)</f>
        <v>0</v>
      </c>
      <c r="U156" s="644">
        <f>SUM('IV-2 arsa'!N61)</f>
        <v>0</v>
      </c>
      <c r="V156" s="644">
        <f>SUM('ketv. 6 '!X155)</f>
        <v>0</v>
      </c>
      <c r="W156" s="644">
        <f>IF(V156&gt;0,U156-V156,0)</f>
        <v>0</v>
      </c>
      <c r="X156" s="644">
        <f>SUM('IV-2 arsa'!O61)</f>
        <v>0</v>
      </c>
      <c r="Y156" s="644">
        <f>SUM('ketv. 6 '!AB155)</f>
        <v>0</v>
      </c>
      <c r="Z156" s="644">
        <f>IF(Y156&gt;0,X156-Y156,0)</f>
        <v>0</v>
      </c>
      <c r="AA156" s="644">
        <f>SUM('IV-2 arsa'!P61)</f>
        <v>205605.65</v>
      </c>
      <c r="AB156" s="644">
        <f>SUM('IV-2 vrsa'!R136)</f>
        <v>0</v>
      </c>
      <c r="AC156" s="16" t="str">
        <f>IF('ketv. 4 '!Z156&gt;0,"Taip","Ne")</f>
        <v>Taip</v>
      </c>
      <c r="AD156" s="16">
        <f>SUM('ketv. 6 '!AF155)</f>
        <v>205605.65</v>
      </c>
      <c r="AE156" s="16">
        <f>IF(AD156&gt;0,AA156-AD156,0)</f>
        <v>0</v>
      </c>
      <c r="AF156" s="431">
        <f>SUM('IV-2 arsa'!R61)</f>
        <v>42401</v>
      </c>
      <c r="AG156" s="337">
        <f>SUM('IV-2 arsa'!S61)</f>
        <v>42490</v>
      </c>
      <c r="AH156" s="337">
        <f>SUM('IV-2 arsa'!T61)</f>
        <v>42674</v>
      </c>
      <c r="AI156" s="337">
        <f>SUM('IV-2 arsa'!U61)</f>
        <v>42735</v>
      </c>
      <c r="AJ156" s="339">
        <f t="shared" si="183"/>
        <v>2016</v>
      </c>
      <c r="AK156" s="702">
        <f>SUM('IV-2 arsa'!V61)</f>
        <v>43464</v>
      </c>
      <c r="AL156" s="16">
        <f>IF(YEAR(AI156)=2016,AA156,0)</f>
        <v>205605.65</v>
      </c>
      <c r="AM156" s="16">
        <f>IF(YEAR(AI156)=2017,AA156,0)</f>
        <v>0</v>
      </c>
      <c r="AN156" s="16">
        <f>IF(YEAR(AI156)=2018,AA156,0)</f>
        <v>0</v>
      </c>
      <c r="AO156" s="16">
        <f>IF(YEAR(AI156)=2019,AA156,0)</f>
        <v>0</v>
      </c>
      <c r="AP156" s="703">
        <f>IF(YEAR(AI156)=2020,AA156,0)</f>
        <v>0</v>
      </c>
      <c r="AQ156" s="50"/>
      <c r="AR156" s="30"/>
      <c r="AS156" s="30"/>
    </row>
    <row r="157" spans="1:45" ht="39.75" thickTop="1" thickBot="1">
      <c r="A157" s="311" t="s">
        <v>218</v>
      </c>
      <c r="B157" s="311" t="s">
        <v>1350</v>
      </c>
      <c r="C157" s="1093" t="str">
        <f>CONCATENATE('ketv. 2'!B156)</f>
        <v>08.1.2-CPVA-R-408-11-0002</v>
      </c>
      <c r="D157" s="311" t="str">
        <f>CONCATENATE('IV-2 amsa'!D64)</f>
        <v>Socialinio būsto plėtra Alytaus mieste</v>
      </c>
      <c r="E157" s="311" t="str">
        <f>CONCATENATE('IV-2 amsa'!E64)</f>
        <v>Alytaus miesto savivaldybės administracija</v>
      </c>
      <c r="F157" s="311" t="str">
        <f>CONCATENATE('IV-2 amsa'!F64)</f>
        <v>Lietuvos Respublikos socialinės apsaugos ir darbo ministerija</v>
      </c>
      <c r="G157" s="311" t="str">
        <f>CONCATENATE('IV-2 amsa'!G64)</f>
        <v>Alytaus m. sav.</v>
      </c>
      <c r="H157" s="130" t="str">
        <f>CONCATENATE('IV-2 amsa'!H64)</f>
        <v>08.1.2-CPVA-R-408</v>
      </c>
      <c r="I157" s="130" t="str">
        <f>CONCATENATE('IV-2 amsa'!I64)</f>
        <v>R</v>
      </c>
      <c r="J157" s="130" t="str">
        <f>CONCATENATE('IV-2 amsa'!J64)</f>
        <v>-</v>
      </c>
      <c r="K157" s="130" t="str">
        <f>CONCATENATE('IV-2 amsa'!K64)</f>
        <v>-</v>
      </c>
      <c r="L157" s="644">
        <f>SUM('IV-2 amsa'!L64)</f>
        <v>891741.17999999993</v>
      </c>
      <c r="M157" s="644">
        <f>SUM('ketv. 6 '!L156)</f>
        <v>891741.17999999993</v>
      </c>
      <c r="N157" s="644">
        <f>IF(M157&gt;0,L157-M157,0)</f>
        <v>0</v>
      </c>
      <c r="O157" s="644">
        <f>SUM('IV-2 amsa'!M64)</f>
        <v>133761.18</v>
      </c>
      <c r="P157" s="644">
        <f>SUM('ketv. 6 '!P156)</f>
        <v>133761.18</v>
      </c>
      <c r="Q157" s="644">
        <f>IF(P157&gt;0,O157-P157,0)</f>
        <v>0</v>
      </c>
      <c r="R157" s="644">
        <f>SUM('IV-2 amsa'!N64)</f>
        <v>0</v>
      </c>
      <c r="S157" s="644">
        <f>SUM('ketv. 6 '!T156)</f>
        <v>0</v>
      </c>
      <c r="T157" s="644">
        <f>IF(S157&gt;0,R157-S157,0)</f>
        <v>0</v>
      </c>
      <c r="U157" s="644">
        <f>SUM('IV-2 amsa'!O64)</f>
        <v>0</v>
      </c>
      <c r="V157" s="644">
        <f>SUM('ketv. 6 '!X156)</f>
        <v>0</v>
      </c>
      <c r="W157" s="644">
        <f>IF(V157&gt;0,U157-V157,0)</f>
        <v>0</v>
      </c>
      <c r="X157" s="644">
        <f>SUM('IV-2 amsa'!P64)</f>
        <v>0</v>
      </c>
      <c r="Y157" s="644">
        <f>SUM('ketv. 6 '!AB156)</f>
        <v>0</v>
      </c>
      <c r="Z157" s="644">
        <f>IF(Y157&gt;0,X157-Y157,0)</f>
        <v>0</v>
      </c>
      <c r="AA157" s="644">
        <f>SUM('IV-2 amsa'!Q64)</f>
        <v>757980</v>
      </c>
      <c r="AB157" s="644">
        <f>SUM('IV-2 vrsa'!R137)</f>
        <v>0</v>
      </c>
      <c r="AC157" s="16" t="str">
        <f>IF('ketv. 4 '!Z157&gt;0,"Taip","Ne")</f>
        <v>Taip</v>
      </c>
      <c r="AD157" s="16">
        <f>SUM('ketv. 6 '!AF156)</f>
        <v>757980</v>
      </c>
      <c r="AE157" s="16">
        <f>IF(AD157&gt;0,AA157-AD157,0)</f>
        <v>0</v>
      </c>
      <c r="AF157" s="431">
        <f>SUM('IV-2 amsa'!S64)</f>
        <v>42401</v>
      </c>
      <c r="AG157" s="337">
        <f>SUM('IV-2 amsa'!T64)</f>
        <v>42464</v>
      </c>
      <c r="AH157" s="337">
        <f>SUM('IV-2 amsa'!U64)</f>
        <v>42563</v>
      </c>
      <c r="AI157" s="337">
        <f>SUM('IV-2 amsa'!V64)</f>
        <v>42599</v>
      </c>
      <c r="AJ157" s="339">
        <f t="shared" si="183"/>
        <v>2016</v>
      </c>
      <c r="AK157" s="702">
        <f>SUM('IV-2 amsa'!W64)</f>
        <v>43707</v>
      </c>
      <c r="AL157" s="16">
        <f>IF(YEAR(AI157)=2016,AA157,0)</f>
        <v>757980</v>
      </c>
      <c r="AM157" s="16">
        <f>IF(YEAR(AI157)=2017,AA157,0)</f>
        <v>0</v>
      </c>
      <c r="AN157" s="16">
        <f>IF(YEAR(AI157)=2018,AA157,0)</f>
        <v>0</v>
      </c>
      <c r="AO157" s="16">
        <f>IF(YEAR(AI157)=2019,AA157,0)</f>
        <v>0</v>
      </c>
      <c r="AP157" s="703">
        <f>IF(YEAR(AI157)=2020,AA157,0)</f>
        <v>0</v>
      </c>
      <c r="AQ157" s="50"/>
      <c r="AR157" s="50"/>
      <c r="AS157" s="30"/>
    </row>
    <row r="158" spans="1:45" ht="39.75" thickTop="1" thickBot="1">
      <c r="A158" s="311" t="s">
        <v>238</v>
      </c>
      <c r="B158" s="311" t="s">
        <v>1351</v>
      </c>
      <c r="C158" s="1093" t="str">
        <f>CONCATENATE('ketv. 2'!B157)</f>
        <v>08.1.2-CPVA-R-408-11-0003</v>
      </c>
      <c r="D158" s="311" t="str">
        <f>CONCATENATE('IV-2 dsa'!C66)</f>
        <v>Socialinio būsto fondo plėtra Druskininkų savivaldybėje</v>
      </c>
      <c r="E158" s="311" t="str">
        <f>CONCATENATE('IV-2 dsa'!D66)</f>
        <v>Druskininkų savivaldybės administracija</v>
      </c>
      <c r="F158" s="311" t="str">
        <f>CONCATENATE('IV-2 dsa'!E66)</f>
        <v>Lietuvos Respublikos socialinės apsaugos ir darbo ministerija</v>
      </c>
      <c r="G158" s="311" t="str">
        <f>CONCATENATE('IV-2 dsa'!F66)</f>
        <v>Druskininkų sav.</v>
      </c>
      <c r="H158" s="130" t="str">
        <f>CONCATENATE('IV-2 dsa'!G66)</f>
        <v>08.1.2-CPVA-R-408</v>
      </c>
      <c r="I158" s="130" t="str">
        <f>CONCATENATE('IV-2 dsa'!H66)</f>
        <v>R</v>
      </c>
      <c r="J158" s="130" t="str">
        <f>CONCATENATE('IV-2 dsa'!I66)</f>
        <v>-</v>
      </c>
      <c r="K158" s="130" t="str">
        <f>CONCATENATE('IV-2 dsa'!J66)</f>
        <v>-</v>
      </c>
      <c r="L158" s="644">
        <f>SUM('IV-2 dsa'!K66)</f>
        <v>727472.94</v>
      </c>
      <c r="M158" s="644">
        <f>SUM('ketv. 6 '!L157)</f>
        <v>727472.94</v>
      </c>
      <c r="N158" s="644">
        <f>IF(M158&gt;0,L158-M158,0)</f>
        <v>0</v>
      </c>
      <c r="O158" s="644">
        <f>SUM('IV-2 dsa'!L66)</f>
        <v>109120.95</v>
      </c>
      <c r="P158" s="644">
        <f>SUM('ketv. 6 '!P157)</f>
        <v>109120.95</v>
      </c>
      <c r="Q158" s="644">
        <f>IF(P158&gt;0,O158-P158,0)</f>
        <v>0</v>
      </c>
      <c r="R158" s="644">
        <f>SUM('IV-2 dsa'!M66)</f>
        <v>0</v>
      </c>
      <c r="S158" s="644">
        <f>SUM('ketv. 6 '!T157)</f>
        <v>0</v>
      </c>
      <c r="T158" s="644">
        <f>IF(S158&gt;0,R158-S158,0)</f>
        <v>0</v>
      </c>
      <c r="U158" s="644">
        <f>SUM('IV-2 dsa'!N66)</f>
        <v>0</v>
      </c>
      <c r="V158" s="644">
        <f>SUM('ketv. 6 '!X157)</f>
        <v>0</v>
      </c>
      <c r="W158" s="644">
        <f>IF(V158&gt;0,U158-V158,0)</f>
        <v>0</v>
      </c>
      <c r="X158" s="644">
        <f>SUM('IV-2 dsa'!O66)</f>
        <v>0</v>
      </c>
      <c r="Y158" s="644">
        <f>SUM('ketv. 6 '!AB157)</f>
        <v>0</v>
      </c>
      <c r="Z158" s="644">
        <f>IF(Y158&gt;0,X158-Y158,0)</f>
        <v>0</v>
      </c>
      <c r="AA158" s="644">
        <f>SUM('IV-2 dsa'!P66)</f>
        <v>618351.99</v>
      </c>
      <c r="AB158" s="644">
        <f>SUM('IV-2 vrsa'!R138)</f>
        <v>0</v>
      </c>
      <c r="AC158" s="16" t="str">
        <f>IF('ketv. 4 '!Z158&gt;0,"Taip","Ne")</f>
        <v>Taip</v>
      </c>
      <c r="AD158" s="16">
        <f>SUM('ketv. 6 '!AF157)</f>
        <v>618351.99</v>
      </c>
      <c r="AE158" s="16">
        <f>IF(AD158&gt;0,AA158-AD158,0)</f>
        <v>0</v>
      </c>
      <c r="AF158" s="431">
        <f>SUM('IV-2 dsa'!R66)</f>
        <v>42401</v>
      </c>
      <c r="AG158" s="337">
        <f>SUM('IV-2 dsa'!S66)</f>
        <v>42490</v>
      </c>
      <c r="AH158" s="337">
        <f>SUM('IV-2 dsa'!T66)</f>
        <v>42674</v>
      </c>
      <c r="AI158" s="337">
        <f>SUM('IV-2 dsa'!U66)</f>
        <v>42735</v>
      </c>
      <c r="AJ158" s="339">
        <f t="shared" si="183"/>
        <v>2016</v>
      </c>
      <c r="AK158" s="702">
        <f>SUM('IV-2 dsa'!V66)</f>
        <v>43585</v>
      </c>
      <c r="AL158" s="16">
        <f>IF(YEAR(AI158)=2016,AA158,0)</f>
        <v>618351.99</v>
      </c>
      <c r="AM158" s="16">
        <f>IF(YEAR(AI158)=2017,AA158,0)</f>
        <v>0</v>
      </c>
      <c r="AN158" s="16">
        <f>IF(YEAR(AI158)=2018,AA158,0)</f>
        <v>0</v>
      </c>
      <c r="AO158" s="16">
        <f>IF(YEAR(AI158)=2019,AA158,0)</f>
        <v>0</v>
      </c>
      <c r="AP158" s="703">
        <f>IF(YEAR(AI158)=2020,AA158,0)</f>
        <v>0</v>
      </c>
      <c r="AQ158" s="50"/>
      <c r="AR158" s="50"/>
      <c r="AS158" s="30"/>
    </row>
    <row r="159" spans="1:45" ht="39.75" thickTop="1" thickBot="1">
      <c r="A159" s="311" t="s">
        <v>285</v>
      </c>
      <c r="B159" s="522" t="s">
        <v>1352</v>
      </c>
      <c r="C159" s="1093" t="str">
        <f>CONCATENATE('ketv. 2'!B158)</f>
        <v>08.1.2-CPVA-R-408-11-0004</v>
      </c>
      <c r="D159" s="522" t="str">
        <f>CONCATENATE('IV-2 lrsa'!D60)</f>
        <v>Socialinio būsto fondo plėtra Lazdijų rajono savivaldybėje</v>
      </c>
      <c r="E159" s="522" t="str">
        <f>CONCATENATE('IV-2 lrsa'!E60)</f>
        <v>Lazdijų rajono savivaldybės administracija</v>
      </c>
      <c r="F159" s="522" t="str">
        <f>CONCATENATE('IV-2 lrsa'!F60)</f>
        <v>Lietuvos Respublikos socialinės apsaugos ir darbo ministerija</v>
      </c>
      <c r="G159" s="522" t="str">
        <f>CONCATENATE('IV-2 lrsa'!G60)</f>
        <v>Lazdijų r. sav.</v>
      </c>
      <c r="H159" s="314" t="str">
        <f>CONCATENATE('IV-2 lrsa'!H60)</f>
        <v>08.1.2-CPVA-R-408</v>
      </c>
      <c r="I159" s="314" t="str">
        <f>CONCATENATE('IV-2 lrsa'!I60)</f>
        <v>R</v>
      </c>
      <c r="J159" s="314" t="str">
        <f>CONCATENATE('IV-2 lrsa'!J60)</f>
        <v>-</v>
      </c>
      <c r="K159" s="314" t="str">
        <f>CONCATENATE('IV-2 lrsa'!K60)</f>
        <v>-</v>
      </c>
      <c r="L159" s="644">
        <f>SUM('IV-2 lrsa'!L60)</f>
        <v>368599</v>
      </c>
      <c r="M159" s="644">
        <f>SUM('ketv. 6 '!L158)</f>
        <v>368599</v>
      </c>
      <c r="N159" s="644">
        <f>IF(M159&gt;0,L159-M159,0)</f>
        <v>0</v>
      </c>
      <c r="O159" s="644">
        <f>SUM('IV-2 lrsa'!M60)</f>
        <v>55587</v>
      </c>
      <c r="P159" s="644">
        <f>SUM('ketv. 6 '!P158)</f>
        <v>55587</v>
      </c>
      <c r="Q159" s="644">
        <f>IF(P159&gt;0,O159-P159,0)</f>
        <v>0</v>
      </c>
      <c r="R159" s="644">
        <f>SUM('IV-2 lrsa'!N60)</f>
        <v>0</v>
      </c>
      <c r="S159" s="644">
        <f>SUM('ketv. 6 '!T158)</f>
        <v>0</v>
      </c>
      <c r="T159" s="644">
        <f>IF(S159&gt;0,R159-S159,0)</f>
        <v>0</v>
      </c>
      <c r="U159" s="644">
        <f>SUM('IV-2 lrsa'!O60)</f>
        <v>0</v>
      </c>
      <c r="V159" s="644">
        <f>SUM('ketv. 6 '!X158)</f>
        <v>0</v>
      </c>
      <c r="W159" s="644">
        <f>IF(V159&gt;0,U159-V159,0)</f>
        <v>0</v>
      </c>
      <c r="X159" s="644">
        <f>SUM('IV-2 lrsa'!P60)</f>
        <v>0</v>
      </c>
      <c r="Y159" s="644">
        <f>SUM('ketv. 6 '!AB158)</f>
        <v>0</v>
      </c>
      <c r="Z159" s="644">
        <f>IF(Y159&gt;0,X159-Y159,0)</f>
        <v>0</v>
      </c>
      <c r="AA159" s="644">
        <f>SUM('IV-2 lrsa'!Q60)</f>
        <v>313012</v>
      </c>
      <c r="AB159" s="644">
        <f>SUM('IV-2 vrsa'!R139)</f>
        <v>0</v>
      </c>
      <c r="AC159" s="16" t="str">
        <f>IF('ketv. 4 '!Z159&gt;0,"Taip","Ne")</f>
        <v>Taip</v>
      </c>
      <c r="AD159" s="16">
        <f>SUM('ketv. 6 '!AF158)</f>
        <v>313012</v>
      </c>
      <c r="AE159" s="16">
        <f>IF(AD159&gt;0,AA159-AD159,0)</f>
        <v>0</v>
      </c>
      <c r="AF159" s="431">
        <f>SUM('IV-2 lrsa'!S60)</f>
        <v>42401</v>
      </c>
      <c r="AG159" s="337">
        <f>SUM('IV-2 lrsa'!T60)</f>
        <v>42490</v>
      </c>
      <c r="AH159" s="337">
        <f>SUM('IV-2 lrsa'!U60)</f>
        <v>42674</v>
      </c>
      <c r="AI159" s="337">
        <f>SUM('IV-2 lrsa'!V60)</f>
        <v>42735</v>
      </c>
      <c r="AJ159" s="339">
        <f t="shared" si="183"/>
        <v>2016</v>
      </c>
      <c r="AK159" s="702">
        <f>SUM('IV-2 lrsa'!W60)</f>
        <v>43554</v>
      </c>
      <c r="AL159" s="16">
        <f>IF(YEAR(AI159)=2016,AA159,0)</f>
        <v>313012</v>
      </c>
      <c r="AM159" s="16">
        <f>IF(YEAR(AI159)=2017,AA159,0)</f>
        <v>0</v>
      </c>
      <c r="AN159" s="16">
        <f>IF(YEAR(AI159)=2018,AA159,0)</f>
        <v>0</v>
      </c>
      <c r="AO159" s="16">
        <f>IF(YEAR(AI159)=2019,AA159,0)</f>
        <v>0</v>
      </c>
      <c r="AP159" s="703">
        <f>IF(YEAR(AI159)=2020,AA159,0)</f>
        <v>0</v>
      </c>
      <c r="AQ159" s="30"/>
      <c r="AR159" s="30"/>
      <c r="AS159" s="30"/>
    </row>
    <row r="160" spans="1:45" ht="38.25" customHeight="1" thickBot="1">
      <c r="A160" s="824" t="s">
        <v>38</v>
      </c>
      <c r="B160" s="1893" t="s">
        <v>1484</v>
      </c>
      <c r="C160" s="1894"/>
      <c r="D160" s="1894"/>
      <c r="E160" s="1894"/>
      <c r="F160" s="1894"/>
      <c r="G160" s="1894"/>
      <c r="H160" s="1894"/>
      <c r="I160" s="1894"/>
      <c r="J160" s="1894"/>
      <c r="K160" s="1895"/>
      <c r="L160" s="1053">
        <f>SUM(L161)</f>
        <v>1106987.73</v>
      </c>
      <c r="M160" s="1021"/>
      <c r="N160" s="1021"/>
      <c r="O160" s="1053">
        <f t="shared" ref="O160:AA160" si="184">SUM(O161)</f>
        <v>166179.88999999998</v>
      </c>
      <c r="P160" s="1021"/>
      <c r="Q160" s="1021"/>
      <c r="R160" s="1053">
        <f t="shared" si="184"/>
        <v>0</v>
      </c>
      <c r="S160" s="1021"/>
      <c r="T160" s="1021"/>
      <c r="U160" s="1053">
        <f t="shared" si="184"/>
        <v>0</v>
      </c>
      <c r="V160" s="1021"/>
      <c r="W160" s="1021"/>
      <c r="X160" s="1053">
        <f t="shared" si="184"/>
        <v>0</v>
      </c>
      <c r="Y160" s="1021"/>
      <c r="Z160" s="1021"/>
      <c r="AA160" s="1053">
        <f t="shared" si="184"/>
        <v>940807.84000000008</v>
      </c>
      <c r="AB160" s="1021">
        <f>SUM('IV-2 vrsa'!R140)</f>
        <v>0</v>
      </c>
      <c r="AC160" s="122"/>
      <c r="AD160" s="122"/>
      <c r="AE160" s="122"/>
      <c r="AF160" s="122"/>
      <c r="AG160" s="741"/>
      <c r="AH160" s="741"/>
      <c r="AI160" s="741"/>
      <c r="AJ160" s="742"/>
      <c r="AK160" s="743"/>
      <c r="AL160" s="16"/>
      <c r="AM160" s="692"/>
      <c r="AN160" s="692"/>
      <c r="AO160" s="692"/>
      <c r="AP160" s="692"/>
      <c r="AQ160" s="30">
        <f>SUM(AQ161)</f>
        <v>982761</v>
      </c>
      <c r="AR160" s="30">
        <f>SUM(AR161)</f>
        <v>1179313.2</v>
      </c>
      <c r="AS160" s="30">
        <f>SUM(AS161)</f>
        <v>41953.159999999916</v>
      </c>
    </row>
    <row r="161" spans="1:49" ht="32.25" customHeight="1" thickBot="1">
      <c r="A161" s="697" t="s">
        <v>109</v>
      </c>
      <c r="B161" s="1899" t="s">
        <v>1485</v>
      </c>
      <c r="C161" s="1897"/>
      <c r="D161" s="1897"/>
      <c r="E161" s="1897"/>
      <c r="F161" s="1897"/>
      <c r="G161" s="1897"/>
      <c r="H161" s="1897"/>
      <c r="I161" s="1897"/>
      <c r="J161" s="1897"/>
      <c r="K161" s="1898"/>
      <c r="L161" s="1054">
        <f>SUM(L162:L167)</f>
        <v>1106987.73</v>
      </c>
      <c r="M161" s="1014">
        <f>SUM(M162:M166)</f>
        <v>906987.73</v>
      </c>
      <c r="N161" s="1014">
        <f>SUM(N162:N166)</f>
        <v>0</v>
      </c>
      <c r="O161" s="1054">
        <f>SUM(O162:O167)</f>
        <v>166179.88999999998</v>
      </c>
      <c r="P161" s="1014">
        <f>SUM(P162:P166)</f>
        <v>136179.88999999998</v>
      </c>
      <c r="Q161" s="1014">
        <f>SUM(Q162:Q166)</f>
        <v>0</v>
      </c>
      <c r="R161" s="1054">
        <f>SUM(R162:R167)</f>
        <v>0</v>
      </c>
      <c r="S161" s="1014">
        <f>SUM(S162:S166)</f>
        <v>0</v>
      </c>
      <c r="T161" s="1014">
        <f>SUM(T162:T166)</f>
        <v>0</v>
      </c>
      <c r="U161" s="1054">
        <f>SUM(U162:U167)</f>
        <v>0</v>
      </c>
      <c r="V161" s="1014">
        <f>SUM(V162:V166)</f>
        <v>0</v>
      </c>
      <c r="W161" s="1014">
        <f>SUM(W162:W166)</f>
        <v>0</v>
      </c>
      <c r="X161" s="1054">
        <f>SUM(X162:X167)</f>
        <v>0</v>
      </c>
      <c r="Y161" s="1014">
        <f>SUM(Y162:Y166)</f>
        <v>0</v>
      </c>
      <c r="Z161" s="1014">
        <f>SUM(Z162:Z166)</f>
        <v>0</v>
      </c>
      <c r="AA161" s="1054">
        <f>SUM(AA162:AA167)</f>
        <v>940807.84000000008</v>
      </c>
      <c r="AB161" s="1014">
        <f>SUM('IV-2 vrsa'!R141)</f>
        <v>0</v>
      </c>
      <c r="AC161" s="708"/>
      <c r="AD161" s="708">
        <f>SUM(AD162:AD166)</f>
        <v>770807.84000000008</v>
      </c>
      <c r="AE161" s="708">
        <f>SUM(AE162:AE166)</f>
        <v>0</v>
      </c>
      <c r="AF161" s="708"/>
      <c r="AG161" s="709"/>
      <c r="AH161" s="709"/>
      <c r="AI161" s="709"/>
      <c r="AJ161" s="710"/>
      <c r="AK161" s="711"/>
      <c r="AL161" s="16">
        <f>SUM(AL162:AL167)</f>
        <v>0</v>
      </c>
      <c r="AM161" s="16">
        <f t="shared" ref="AM161:AP161" si="185">SUM(AM162:AM167)</f>
        <v>0</v>
      </c>
      <c r="AN161" s="16">
        <f t="shared" si="185"/>
        <v>770807.84000000008</v>
      </c>
      <c r="AO161" s="16">
        <f t="shared" si="185"/>
        <v>170000</v>
      </c>
      <c r="AP161" s="16">
        <f t="shared" si="185"/>
        <v>0</v>
      </c>
      <c r="AQ161" s="30">
        <f>SUM('IV-2 amsa'!X66+'IV-2 arsa'!W63+'IV-2 dsa'!W68+'IV-2 lrsa'!X62+'IV-2 vrsa'!X69)</f>
        <v>982761</v>
      </c>
      <c r="AR161" s="30">
        <f>SUM(AQ161*120/100)</f>
        <v>1179313.2</v>
      </c>
      <c r="AS161" s="30">
        <f>SUM(AQ161-AA161)</f>
        <v>41953.159999999916</v>
      </c>
    </row>
    <row r="162" spans="1:49" ht="39.75" thickTop="1" thickBot="1">
      <c r="A162" s="311" t="s">
        <v>110</v>
      </c>
      <c r="B162" s="311" t="s">
        <v>1353</v>
      </c>
      <c r="C162" s="1093" t="str">
        <f>CONCATENATE('ketv. 2'!B161)</f>
        <v>10.1.3-ESFA-R-920-11-0001</v>
      </c>
      <c r="D162" s="311" t="str">
        <f>CONCATENATE('IV-2 vrsa'!D70)</f>
        <v>Paslaugų teikimo ir asmenų aptarnavimo kokybės gerinimas Varėnos rajono savivaldybėje</v>
      </c>
      <c r="E162" s="311" t="str">
        <f>CONCATENATE('IV-2 vrsa'!E70)</f>
        <v>Varėnos rajono savivaldybės administracija</v>
      </c>
      <c r="F162" s="311" t="str">
        <f>CONCATENATE('IV-2 vrsa'!F70)</f>
        <v>Lietuvos Respublikos vidaus reikalų ministerija</v>
      </c>
      <c r="G162" s="311" t="str">
        <f>CONCATENATE('IV-2 vrsa'!G70)</f>
        <v>Varėnos r. sav.</v>
      </c>
      <c r="H162" s="130" t="str">
        <f>CONCATENATE('IV-2 vrsa'!H70)</f>
        <v>10.1.3-ESFA-R-920</v>
      </c>
      <c r="I162" s="130" t="str">
        <f>CONCATENATE('IV-2 vrsa'!I70)</f>
        <v>R</v>
      </c>
      <c r="J162" s="130" t="str">
        <f>CONCATENATE('IV-2 vrsa'!J70)</f>
        <v>-</v>
      </c>
      <c r="K162" s="130" t="str">
        <f>CONCATENATE('IV-2 vrsa'!K70)</f>
        <v>-</v>
      </c>
      <c r="L162" s="644">
        <f>SUM('IV-2 vrsa'!L70)</f>
        <v>172733.52</v>
      </c>
      <c r="M162" s="644">
        <f>SUM('ketv. 6 '!L161)</f>
        <v>172733.52</v>
      </c>
      <c r="N162" s="644">
        <f>IF(M162&gt;0,L162-M162,0)</f>
        <v>0</v>
      </c>
      <c r="O162" s="644">
        <f>SUM('IV-2 vrsa'!M70)</f>
        <v>25910.03</v>
      </c>
      <c r="P162" s="644">
        <f>SUM('ketv. 6 '!P161)</f>
        <v>25910.03</v>
      </c>
      <c r="Q162" s="644">
        <f t="shared" ref="Q162:Q167" si="186">IF(P162&gt;0,O162-P162,0)</f>
        <v>0</v>
      </c>
      <c r="R162" s="644">
        <f>SUM('IV-2 vrsa'!N70)</f>
        <v>0</v>
      </c>
      <c r="S162" s="644">
        <f>SUM('ketv. 6 '!T161)</f>
        <v>0</v>
      </c>
      <c r="T162" s="644">
        <f t="shared" ref="T162:T167" si="187">IF(S162&gt;0,R162-S162,0)</f>
        <v>0</v>
      </c>
      <c r="U162" s="644">
        <f>SUM('IV-2 vrsa'!O70)</f>
        <v>0</v>
      </c>
      <c r="V162" s="644">
        <f>SUM('ketv. 6 '!X161)</f>
        <v>0</v>
      </c>
      <c r="W162" s="644">
        <f t="shared" ref="W162:W167" si="188">IF(V162&gt;0,U162-V162,0)</f>
        <v>0</v>
      </c>
      <c r="X162" s="644">
        <f>SUM('IV-2 vrsa'!P70)</f>
        <v>0</v>
      </c>
      <c r="Y162" s="644">
        <f>SUM('ketv. 6 '!AB161)</f>
        <v>0</v>
      </c>
      <c r="Z162" s="644">
        <f t="shared" ref="Z162:Z167" si="189">IF(Y162&gt;0,X162-Y162,0)</f>
        <v>0</v>
      </c>
      <c r="AA162" s="644">
        <f>SUM('IV-2 vrsa'!Q70)</f>
        <v>146823.49</v>
      </c>
      <c r="AB162" s="644">
        <f>SUM('IV-2 vrsa'!R142)</f>
        <v>0</v>
      </c>
      <c r="AC162" s="16" t="str">
        <f>IF('ketv. 4 '!Z162&gt;0,"Taip","Ne")</f>
        <v>Taip</v>
      </c>
      <c r="AD162" s="16">
        <f>SUM('ketv. 6 '!AF161)</f>
        <v>146823.49</v>
      </c>
      <c r="AE162" s="16">
        <f t="shared" ref="AE162:AE167" si="190">IF(AD162&gt;0,AA162-AD162,0)</f>
        <v>0</v>
      </c>
      <c r="AF162" s="431">
        <f>SUM('IV-2 vrsa'!S70)</f>
        <v>43017</v>
      </c>
      <c r="AG162" s="337">
        <f>SUM('IV-2 vrsa'!T70)</f>
        <v>42992</v>
      </c>
      <c r="AH162" s="337">
        <f>SUM('IV-2 vrsa'!U70)</f>
        <v>43039</v>
      </c>
      <c r="AI162" s="337">
        <f>SUM('IV-2 vrsa'!V70)</f>
        <v>43137</v>
      </c>
      <c r="AJ162" s="339">
        <f t="shared" ref="AJ162:AJ167" si="191">IF(YEAR(AI162),YEAR(AI162))</f>
        <v>2018</v>
      </c>
      <c r="AK162" s="702">
        <f>SUM('IV-2 vrsa'!W70)</f>
        <v>43830</v>
      </c>
      <c r="AL162" s="16">
        <f t="shared" ref="AL162:AL167" si="192">IF(YEAR(AI162)=2016,AA162,0)</f>
        <v>0</v>
      </c>
      <c r="AM162" s="16">
        <f t="shared" ref="AM162:AM167" si="193">IF(YEAR(AI162)=2017,AA162,0)</f>
        <v>0</v>
      </c>
      <c r="AN162" s="16">
        <f t="shared" ref="AN162:AN167" si="194">IF(YEAR(AI162)=2018,AA162,0)</f>
        <v>146823.49</v>
      </c>
      <c r="AO162" s="16">
        <f t="shared" ref="AO162:AO167" si="195">IF(YEAR(AI162)=2019,AA162,0)</f>
        <v>0</v>
      </c>
      <c r="AP162" s="703">
        <f t="shared" ref="AP162:AP167" si="196">IF(YEAR(AI162)=2020,AA162,0)</f>
        <v>0</v>
      </c>
      <c r="AQ162" s="30"/>
      <c r="AR162" s="30"/>
      <c r="AS162" s="30"/>
    </row>
    <row r="163" spans="1:49" ht="39.75" thickTop="1" thickBot="1">
      <c r="A163" s="311" t="s">
        <v>209</v>
      </c>
      <c r="B163" s="311" t="s">
        <v>1354</v>
      </c>
      <c r="C163" s="1093" t="str">
        <f>CONCATENATE('ketv. 2'!B162)</f>
        <v>10.1.3-ESFA-R-920-11-0005</v>
      </c>
      <c r="D163" s="311" t="str">
        <f>CONCATENATE('IV-2 arsa'!C64)</f>
        <v>Paslaugų ir asmenų aptarnavimo kokybės gerinimas Alytaus rajono savivaldybėje</v>
      </c>
      <c r="E163" s="311" t="str">
        <f>CONCATENATE('IV-2 arsa'!D64)</f>
        <v>Alytaus rajono savivaldybės administracija</v>
      </c>
      <c r="F163" s="311" t="str">
        <f>CONCATENATE('IV-2 arsa'!E64)</f>
        <v>Lietuvos Respublikos vidaus reikalų ministerija</v>
      </c>
      <c r="G163" s="311" t="str">
        <f>CONCATENATE('IV-2 arsa'!F64)</f>
        <v>Alytaus r. sav.</v>
      </c>
      <c r="H163" s="130" t="str">
        <f>CONCATENATE('IV-2 arsa'!G64)</f>
        <v>10.1.3-ESFA-R-920</v>
      </c>
      <c r="I163" s="130" t="str">
        <f>CONCATENATE('IV-2 arsa'!H64)</f>
        <v>R</v>
      </c>
      <c r="J163" s="130" t="str">
        <f>CONCATENATE('IV-2 arsa'!I64)</f>
        <v>-</v>
      </c>
      <c r="K163" s="130" t="str">
        <f>CONCATENATE('IV-2 arsa'!J64)</f>
        <v>-</v>
      </c>
      <c r="L163" s="644">
        <f>SUM('IV-2 arsa'!K64)</f>
        <v>192832.21</v>
      </c>
      <c r="M163" s="644">
        <f>SUM('ketv. 6 '!L162)</f>
        <v>192832.21</v>
      </c>
      <c r="N163" s="644">
        <f>IF(M163&gt;0,L163-M163,0)</f>
        <v>0</v>
      </c>
      <c r="O163" s="644">
        <f>SUM('IV-2 arsa'!L64)</f>
        <v>28924.84</v>
      </c>
      <c r="P163" s="644">
        <f>SUM('ketv. 6 '!P162)</f>
        <v>28924.84</v>
      </c>
      <c r="Q163" s="644">
        <f t="shared" si="186"/>
        <v>0</v>
      </c>
      <c r="R163" s="644">
        <f>SUM('IV-2 arsa'!M64)</f>
        <v>0</v>
      </c>
      <c r="S163" s="644">
        <f>SUM('ketv. 6 '!T162)</f>
        <v>0</v>
      </c>
      <c r="T163" s="644">
        <f t="shared" si="187"/>
        <v>0</v>
      </c>
      <c r="U163" s="644">
        <f>SUM('IV-2 arsa'!N64)</f>
        <v>0</v>
      </c>
      <c r="V163" s="644">
        <f>SUM('ketv. 6 '!X162)</f>
        <v>0</v>
      </c>
      <c r="W163" s="644">
        <f t="shared" si="188"/>
        <v>0</v>
      </c>
      <c r="X163" s="644">
        <f>SUM('IV-2 arsa'!O64)</f>
        <v>0</v>
      </c>
      <c r="Y163" s="644">
        <f>SUM('ketv. 6 '!AB162)</f>
        <v>0</v>
      </c>
      <c r="Z163" s="644">
        <f t="shared" si="189"/>
        <v>0</v>
      </c>
      <c r="AA163" s="644">
        <f>SUM('IV-2 arsa'!P64)</f>
        <v>163907.37</v>
      </c>
      <c r="AB163" s="644">
        <f>SUM('IV-2 vrsa'!R143)</f>
        <v>0</v>
      </c>
      <c r="AC163" s="16" t="str">
        <f>IF('ketv. 4 '!Z163&gt;0,"Taip","Ne")</f>
        <v>Taip</v>
      </c>
      <c r="AD163" s="16">
        <f>SUM('ketv. 6 '!AF162)</f>
        <v>163907.37</v>
      </c>
      <c r="AE163" s="16">
        <f t="shared" si="190"/>
        <v>0</v>
      </c>
      <c r="AF163" s="431">
        <f>SUM('IV-2 arsa'!R64)</f>
        <v>43017</v>
      </c>
      <c r="AG163" s="337">
        <f>SUM('IV-2 arsa'!S64)</f>
        <v>43100</v>
      </c>
      <c r="AH163" s="337">
        <f>SUM('IV-2 arsa'!T64)</f>
        <v>43131</v>
      </c>
      <c r="AI163" s="337">
        <f>SUM('IV-2 arsa'!U64)</f>
        <v>43190</v>
      </c>
      <c r="AJ163" s="339">
        <f t="shared" si="191"/>
        <v>2018</v>
      </c>
      <c r="AK163" s="702">
        <f>SUM('IV-2 arsa'!V64)</f>
        <v>44196</v>
      </c>
      <c r="AL163" s="16">
        <f t="shared" si="192"/>
        <v>0</v>
      </c>
      <c r="AM163" s="16">
        <f t="shared" si="193"/>
        <v>0</v>
      </c>
      <c r="AN163" s="16">
        <f t="shared" si="194"/>
        <v>163907.37</v>
      </c>
      <c r="AO163" s="16">
        <f t="shared" si="195"/>
        <v>0</v>
      </c>
      <c r="AP163" s="703">
        <f t="shared" si="196"/>
        <v>0</v>
      </c>
      <c r="AQ163" s="50"/>
      <c r="AR163" s="30"/>
      <c r="AS163" s="30"/>
    </row>
    <row r="164" spans="1:49" ht="39.75" thickTop="1" thickBot="1">
      <c r="A164" s="311" t="s">
        <v>211</v>
      </c>
      <c r="B164" s="311" t="s">
        <v>1355</v>
      </c>
      <c r="C164" s="1093" t="str">
        <f>CONCATENATE('ketv. 2'!B163)</f>
        <v>10.1.3-ESFA-R-920-11-0003</v>
      </c>
      <c r="D164" s="311" t="str">
        <f>CONCATENATE('IV-2 lrsa'!D63)</f>
        <v>Lazdijų rajono savivaldybės administracijos ir jos viešojo valdymo institucijų teikiamų paslaugų procesų tobulinimas</v>
      </c>
      <c r="E164" s="311" t="str">
        <f>CONCATENATE('IV-2 lrsa'!E63)</f>
        <v>Lazdijų rajono savivaldybės administracija</v>
      </c>
      <c r="F164" s="311" t="str">
        <f>CONCATENATE('IV-2 lrsa'!F63)</f>
        <v>Lietuvos Respublikos vidaus reikalų ministerija</v>
      </c>
      <c r="G164" s="311" t="str">
        <f>CONCATENATE('IV-2 lrsa'!G63)</f>
        <v>Lazdijų r. sav.</v>
      </c>
      <c r="H164" s="130" t="str">
        <f>CONCATENATE('IV-2 lrsa'!H63)</f>
        <v>10.1.3-ESFA-R-920</v>
      </c>
      <c r="I164" s="130" t="str">
        <f>CONCATENATE('IV-2 lrsa'!I63)</f>
        <v>R</v>
      </c>
      <c r="J164" s="130" t="str">
        <f>CONCATENATE('IV-2 lrsa'!J63)</f>
        <v>-</v>
      </c>
      <c r="K164" s="130" t="str">
        <f>CONCATENATE('IV-2 lrsa'!K63)</f>
        <v>-</v>
      </c>
      <c r="L164" s="644">
        <f>SUM('IV-2 lrsa'!L63)</f>
        <v>163986.88</v>
      </c>
      <c r="M164" s="644">
        <f>SUM('ketv. 6 '!L163)</f>
        <v>163986.88</v>
      </c>
      <c r="N164" s="644">
        <f>IF(M164&gt;0,L164-M164,0)</f>
        <v>0</v>
      </c>
      <c r="O164" s="644">
        <f>SUM('IV-2 lrsa'!M63)</f>
        <v>24598.880000000001</v>
      </c>
      <c r="P164" s="644">
        <f>SUM('ketv. 6 '!P163)</f>
        <v>24598.880000000001</v>
      </c>
      <c r="Q164" s="644">
        <f t="shared" si="186"/>
        <v>0</v>
      </c>
      <c r="R164" s="644">
        <f>SUM('IV-2 lrsa'!N63)</f>
        <v>0</v>
      </c>
      <c r="S164" s="644">
        <f>SUM('ketv. 6 '!T163)</f>
        <v>0</v>
      </c>
      <c r="T164" s="644">
        <f t="shared" si="187"/>
        <v>0</v>
      </c>
      <c r="U164" s="644">
        <f>SUM('IV-2 lrsa'!O63)</f>
        <v>0</v>
      </c>
      <c r="V164" s="644">
        <f>SUM('ketv. 6 '!X163)</f>
        <v>0</v>
      </c>
      <c r="W164" s="644">
        <f t="shared" si="188"/>
        <v>0</v>
      </c>
      <c r="X164" s="644">
        <f>SUM('IV-2 lrsa'!P63)</f>
        <v>0</v>
      </c>
      <c r="Y164" s="644">
        <f>SUM('ketv. 6 '!AB163)</f>
        <v>0</v>
      </c>
      <c r="Z164" s="644">
        <f t="shared" si="189"/>
        <v>0</v>
      </c>
      <c r="AA164" s="644">
        <f>SUM('IV-2 lrsa'!Q63)</f>
        <v>139388</v>
      </c>
      <c r="AB164" s="644">
        <f>SUM('IV-2 vrsa'!R144)</f>
        <v>0</v>
      </c>
      <c r="AC164" s="16" t="str">
        <f>IF('ketv. 4 '!Z164&gt;0,"Taip","Ne")</f>
        <v>Taip</v>
      </c>
      <c r="AD164" s="16">
        <f>SUM('ketv. 6 '!AF163)</f>
        <v>139388</v>
      </c>
      <c r="AE164" s="16">
        <f t="shared" si="190"/>
        <v>0</v>
      </c>
      <c r="AF164" s="431">
        <f>SUM('IV-2 lrsa'!S63)</f>
        <v>43017</v>
      </c>
      <c r="AG164" s="337">
        <f>SUM('IV-2 lrsa'!T63)</f>
        <v>43039</v>
      </c>
      <c r="AH164" s="337">
        <f>SUM('IV-2 lrsa'!U63)</f>
        <v>43063</v>
      </c>
      <c r="AI164" s="337">
        <f>SUM('IV-2 lrsa'!V63)</f>
        <v>43144</v>
      </c>
      <c r="AJ164" s="339">
        <f t="shared" si="191"/>
        <v>2018</v>
      </c>
      <c r="AK164" s="702">
        <f>SUM('IV-2 lrsa'!W63)</f>
        <v>44196</v>
      </c>
      <c r="AL164" s="16">
        <f t="shared" si="192"/>
        <v>0</v>
      </c>
      <c r="AM164" s="16">
        <f t="shared" si="193"/>
        <v>0</v>
      </c>
      <c r="AN164" s="16">
        <f t="shared" si="194"/>
        <v>139388</v>
      </c>
      <c r="AO164" s="16">
        <f t="shared" si="195"/>
        <v>0</v>
      </c>
      <c r="AP164" s="703">
        <f t="shared" si="196"/>
        <v>0</v>
      </c>
      <c r="AQ164" s="30"/>
      <c r="AR164" s="30"/>
      <c r="AS164" s="30"/>
    </row>
    <row r="165" spans="1:49" ht="49.5" customHeight="1" thickTop="1" thickBot="1">
      <c r="A165" s="311" t="s">
        <v>220</v>
      </c>
      <c r="B165" s="311" t="s">
        <v>1356</v>
      </c>
      <c r="C165" s="1093" t="str">
        <f>CONCATENATE('ketv. 2'!B164)</f>
        <v>10.1.3-ESFA-R-920-11-0007</v>
      </c>
      <c r="D165" s="311" t="str">
        <f>CONCATENATE('IV-2 amsa'!D67)</f>
        <v>Teikiamų paslaugų procesų tobulinimas ir asmenų aptarnavimo kokybės gerinimas Alytaus m. sav. administracijoje ir jai pavaldžiose įstaigose. I etapas</v>
      </c>
      <c r="E165" s="311" t="str">
        <f>CONCATENATE('IV-2 amsa'!E67)</f>
        <v>Alytaus miesto savivaldybės administracija</v>
      </c>
      <c r="F165" s="311" t="str">
        <f>CONCATENATE('IV-2 amsa'!F67)</f>
        <v>Lietuvos Respublikos vidaus reikalų ministerija</v>
      </c>
      <c r="G165" s="311" t="str">
        <f>CONCATENATE('IV-2 amsa'!G67)</f>
        <v>Alytaus m. sav.</v>
      </c>
      <c r="H165" s="130" t="str">
        <f>CONCATENATE('IV-2 amsa'!H67)</f>
        <v>10.1.3-ESFA-R-920</v>
      </c>
      <c r="I165" s="130" t="str">
        <f>CONCATENATE('IV-2 amsa'!I67)</f>
        <v>R</v>
      </c>
      <c r="J165" s="130" t="str">
        <f>CONCATENATE('IV-2 amsa'!J67)</f>
        <v>-</v>
      </c>
      <c r="K165" s="130" t="str">
        <f>CONCATENATE('IV-2 amsa'!K67)</f>
        <v>-</v>
      </c>
      <c r="L165" s="644">
        <f>SUM('IV-2 amsa'!L67)</f>
        <v>215693.16</v>
      </c>
      <c r="M165" s="644">
        <f>SUM('ketv. 6 '!L164)</f>
        <v>215693.16</v>
      </c>
      <c r="N165" s="644">
        <f>IF(M165&gt;0,L165-M165,0)</f>
        <v>0</v>
      </c>
      <c r="O165" s="644">
        <f>SUM('IV-2 amsa'!M67)</f>
        <v>32353.98</v>
      </c>
      <c r="P165" s="644">
        <f>SUM('ketv. 6 '!P164)</f>
        <v>32353.98</v>
      </c>
      <c r="Q165" s="644">
        <f t="shared" si="186"/>
        <v>0</v>
      </c>
      <c r="R165" s="644">
        <f>SUM('IV-2 amsa'!N67)</f>
        <v>0</v>
      </c>
      <c r="S165" s="644">
        <f>SUM('ketv. 6 '!T164)</f>
        <v>0</v>
      </c>
      <c r="T165" s="644">
        <f t="shared" si="187"/>
        <v>0</v>
      </c>
      <c r="U165" s="644">
        <f>SUM('IV-2 amsa'!O67)</f>
        <v>0</v>
      </c>
      <c r="V165" s="644">
        <f>SUM('ketv. 6 '!X164)</f>
        <v>0</v>
      </c>
      <c r="W165" s="644">
        <f t="shared" si="188"/>
        <v>0</v>
      </c>
      <c r="X165" s="644">
        <f>SUM('IV-2 amsa'!P67)</f>
        <v>0</v>
      </c>
      <c r="Y165" s="644">
        <f>SUM('ketv. 6 '!AB164)</f>
        <v>0</v>
      </c>
      <c r="Z165" s="644">
        <f t="shared" si="189"/>
        <v>0</v>
      </c>
      <c r="AA165" s="644">
        <f>SUM('IV-2 amsa'!Q67)</f>
        <v>183339.18</v>
      </c>
      <c r="AB165" s="644">
        <f>SUM('IV-2 vrsa'!R145)</f>
        <v>0</v>
      </c>
      <c r="AC165" s="16" t="str">
        <f>IF('ketv. 4 '!Z165&gt;0,"Taip","Ne")</f>
        <v>Taip</v>
      </c>
      <c r="AD165" s="16">
        <f>SUM('ketv. 6 '!AF164)</f>
        <v>183339.18</v>
      </c>
      <c r="AE165" s="16">
        <f t="shared" si="190"/>
        <v>0</v>
      </c>
      <c r="AF165" s="431">
        <f>SUM('IV-2 amsa'!S67)</f>
        <v>43017</v>
      </c>
      <c r="AG165" s="337">
        <f>SUM('IV-2 amsa'!T67)</f>
        <v>43100</v>
      </c>
      <c r="AH165" s="337">
        <f>SUM('IV-2 amsa'!U67)</f>
        <v>43159</v>
      </c>
      <c r="AI165" s="337">
        <f>SUM('IV-2 amsa'!V67)</f>
        <v>43220</v>
      </c>
      <c r="AJ165" s="339">
        <f t="shared" si="191"/>
        <v>2018</v>
      </c>
      <c r="AK165" s="702">
        <f>SUM('IV-2 amsa'!W67)</f>
        <v>44152</v>
      </c>
      <c r="AL165" s="16">
        <f t="shared" si="192"/>
        <v>0</v>
      </c>
      <c r="AM165" s="16">
        <f t="shared" si="193"/>
        <v>0</v>
      </c>
      <c r="AN165" s="16">
        <f t="shared" si="194"/>
        <v>183339.18</v>
      </c>
      <c r="AO165" s="16">
        <f t="shared" si="195"/>
        <v>0</v>
      </c>
      <c r="AP165" s="703">
        <f t="shared" si="196"/>
        <v>0</v>
      </c>
      <c r="AQ165" s="50"/>
      <c r="AR165" s="30"/>
      <c r="AS165" s="30"/>
    </row>
    <row r="166" spans="1:49" ht="39.75" thickTop="1" thickBot="1">
      <c r="A166" s="311" t="s">
        <v>240</v>
      </c>
      <c r="B166" s="311" t="s">
        <v>1357</v>
      </c>
      <c r="C166" s="1093" t="str">
        <f>CONCATENATE('ketv. 2'!B165)</f>
        <v>10.1.3-ESFA-R-920-11-0006</v>
      </c>
      <c r="D166" s="311" t="str">
        <f>CONCATENATE('IV-2 dsa'!C69)</f>
        <v>Paslaugų teikimo ir asmenų aptarnavimo kokybės gerinimas Druskininkų savivaldybėje</v>
      </c>
      <c r="E166" s="311" t="str">
        <f>CONCATENATE('IV-2 dsa'!D69)</f>
        <v>Druskininkų savivaldybės administracija</v>
      </c>
      <c r="F166" s="311" t="str">
        <f>CONCATENATE('IV-2 dsa'!E69)</f>
        <v>Lietuvos Respublikos vidaus reikalų ministerija</v>
      </c>
      <c r="G166" s="311" t="str">
        <f>CONCATENATE('IV-2 dsa'!F69)</f>
        <v>Druskininkų sav.</v>
      </c>
      <c r="H166" s="130" t="str">
        <f>CONCATENATE('IV-2 dsa'!G69)</f>
        <v>10.1.3-ESFA-R-920</v>
      </c>
      <c r="I166" s="130" t="str">
        <f>CONCATENATE('IV-2 dsa'!H69)</f>
        <v>R</v>
      </c>
      <c r="J166" s="130" t="str">
        <f>CONCATENATE('IV-2 dsa'!I69)</f>
        <v>-</v>
      </c>
      <c r="K166" s="130" t="str">
        <f>CONCATENATE('IV-2 dsa'!J69)</f>
        <v>-</v>
      </c>
      <c r="L166" s="644">
        <f>SUM('IV-2 dsa'!K69)</f>
        <v>161741.96</v>
      </c>
      <c r="M166" s="644">
        <f>SUM('ketv. 6 '!L165)</f>
        <v>161741.96</v>
      </c>
      <c r="N166" s="644">
        <f>IF(M166&gt;0,L166-M166,0)</f>
        <v>0</v>
      </c>
      <c r="O166" s="644">
        <f>SUM('IV-2 dsa'!L69)</f>
        <v>24392.16</v>
      </c>
      <c r="P166" s="644">
        <f>SUM('ketv. 6 '!P165)</f>
        <v>24392.16</v>
      </c>
      <c r="Q166" s="644">
        <f t="shared" si="186"/>
        <v>0</v>
      </c>
      <c r="R166" s="644">
        <f>SUM('IV-2 dsa'!M69)</f>
        <v>0</v>
      </c>
      <c r="S166" s="644">
        <f>SUM('ketv. 6 '!T165)</f>
        <v>0</v>
      </c>
      <c r="T166" s="644">
        <f t="shared" si="187"/>
        <v>0</v>
      </c>
      <c r="U166" s="644">
        <f>SUM('IV-2 dsa'!N69)</f>
        <v>0</v>
      </c>
      <c r="V166" s="644">
        <f>SUM('ketv. 6 '!X165)</f>
        <v>0</v>
      </c>
      <c r="W166" s="644">
        <f t="shared" si="188"/>
        <v>0</v>
      </c>
      <c r="X166" s="644">
        <f>SUM('IV-2 dsa'!O69)</f>
        <v>0</v>
      </c>
      <c r="Y166" s="644">
        <f>SUM('ketv. 6 '!AB165)</f>
        <v>0</v>
      </c>
      <c r="Z166" s="644">
        <f t="shared" si="189"/>
        <v>0</v>
      </c>
      <c r="AA166" s="644">
        <f>SUM('IV-2 dsa'!P69)</f>
        <v>137349.79999999999</v>
      </c>
      <c r="AB166" s="644">
        <f>SUM('IV-2 vrsa'!R146)</f>
        <v>0</v>
      </c>
      <c r="AC166" s="16" t="str">
        <f>IF('ketv. 4 '!Z166&gt;0,"Taip","Ne")</f>
        <v>Taip</v>
      </c>
      <c r="AD166" s="16">
        <f>SUM('ketv. 6 '!AF165)</f>
        <v>137349.79999999999</v>
      </c>
      <c r="AE166" s="16">
        <f t="shared" si="190"/>
        <v>0</v>
      </c>
      <c r="AF166" s="431">
        <f>SUM('IV-2 dsa'!R69)</f>
        <v>43017</v>
      </c>
      <c r="AG166" s="337">
        <f>SUM('IV-2 dsa'!S69)</f>
        <v>42992</v>
      </c>
      <c r="AH166" s="337">
        <f>SUM('IV-2 dsa'!T69)</f>
        <v>43146</v>
      </c>
      <c r="AI166" s="337">
        <f>SUM('IV-2 dsa'!U69)</f>
        <v>43235</v>
      </c>
      <c r="AJ166" s="339">
        <f t="shared" si="191"/>
        <v>2018</v>
      </c>
      <c r="AK166" s="702">
        <f>SUM('IV-2 dsa'!V69)</f>
        <v>44103.5</v>
      </c>
      <c r="AL166" s="16">
        <f t="shared" si="192"/>
        <v>0</v>
      </c>
      <c r="AM166" s="16">
        <f t="shared" si="193"/>
        <v>0</v>
      </c>
      <c r="AN166" s="16">
        <f t="shared" si="194"/>
        <v>137349.79999999999</v>
      </c>
      <c r="AO166" s="16">
        <f t="shared" si="195"/>
        <v>0</v>
      </c>
      <c r="AP166" s="703">
        <f t="shared" si="196"/>
        <v>0</v>
      </c>
      <c r="AQ166" s="50"/>
      <c r="AR166" s="30"/>
      <c r="AS166" s="30"/>
    </row>
    <row r="167" spans="1:49" ht="49.5" customHeight="1" thickTop="1" thickBot="1">
      <c r="A167" s="311" t="s">
        <v>795</v>
      </c>
      <c r="B167" s="522" t="s">
        <v>1358</v>
      </c>
      <c r="C167" s="1093"/>
      <c r="D167" s="522" t="str">
        <f>CONCATENATE('IV-2 amsa'!D68)</f>
        <v>Teikiamų paslaugų procesų tobulinimas ir asmenų aptarnavimo kokybės gerinimas Alytaus m. sav. administracijoje ir jai pavaldžiose įstaigose. II etapas</v>
      </c>
      <c r="E167" s="522" t="str">
        <f>CONCATENATE('IV-2 amsa'!E68)</f>
        <v>Alytaus miesto savivaldybės administracija</v>
      </c>
      <c r="F167" s="522" t="str">
        <f>CONCATENATE('IV-2 amsa'!F68)</f>
        <v>Lietuvos Respublikos vidaus reikalų ministerija</v>
      </c>
      <c r="G167" s="522" t="str">
        <f>CONCATENATE('IV-2 amsa'!G68)</f>
        <v>Alytaus m. sav.</v>
      </c>
      <c r="H167" s="314" t="str">
        <f>CONCATENATE('IV-2 amsa'!H68)</f>
        <v>10.1.3-ESFA-R-920</v>
      </c>
      <c r="I167" s="314" t="str">
        <f>CONCATENATE('IV-2 amsa'!I68)</f>
        <v>R</v>
      </c>
      <c r="J167" s="314" t="str">
        <f>CONCATENATE('IV-2 amsa'!J68)</f>
        <v>-</v>
      </c>
      <c r="K167" s="314" t="str">
        <f>CONCATENATE('IV-2 amsa'!K68)</f>
        <v>-</v>
      </c>
      <c r="L167" s="644">
        <f>SUM('IV-2 amsa'!L68)</f>
        <v>200000</v>
      </c>
      <c r="M167" s="644">
        <f>SUM('ketv. 6 '!L166)</f>
        <v>0</v>
      </c>
      <c r="N167" s="644">
        <f>IF(M166&gt;0,L166-M166,0)</f>
        <v>0</v>
      </c>
      <c r="O167" s="644">
        <f>SUM('IV-2 amsa'!M68)</f>
        <v>30000</v>
      </c>
      <c r="P167" s="644">
        <f>SUM('ketv. 6 '!P166)</f>
        <v>0</v>
      </c>
      <c r="Q167" s="644">
        <f t="shared" si="186"/>
        <v>0</v>
      </c>
      <c r="R167" s="644">
        <f>SUM('IV-2 amsa'!N68)</f>
        <v>0</v>
      </c>
      <c r="S167" s="644">
        <f>SUM('ketv. 6 '!T166)</f>
        <v>0</v>
      </c>
      <c r="T167" s="644">
        <f t="shared" si="187"/>
        <v>0</v>
      </c>
      <c r="U167" s="644">
        <f>SUM('IV-2 amsa'!O68)</f>
        <v>0</v>
      </c>
      <c r="V167" s="644">
        <f>SUM('ketv. 6 '!X166)</f>
        <v>0</v>
      </c>
      <c r="W167" s="644">
        <f t="shared" si="188"/>
        <v>0</v>
      </c>
      <c r="X167" s="644">
        <f>SUM('IV-2 amsa'!P68)</f>
        <v>0</v>
      </c>
      <c r="Y167" s="644">
        <f>SUM('ketv. 6 '!AB166)</f>
        <v>0</v>
      </c>
      <c r="Z167" s="644">
        <f t="shared" si="189"/>
        <v>0</v>
      </c>
      <c r="AA167" s="644">
        <f>SUM('IV-2 amsa'!Q68)</f>
        <v>170000</v>
      </c>
      <c r="AB167" s="644">
        <f>SUM('IV-2 vrsa'!R147)</f>
        <v>0</v>
      </c>
      <c r="AC167" s="16" t="str">
        <f>IF('ketv. 4 '!Z167&gt;0,"Taip","Ne")</f>
        <v>Ne</v>
      </c>
      <c r="AD167" s="16">
        <f>SUM('ketv. 6 '!AF166)</f>
        <v>0</v>
      </c>
      <c r="AE167" s="16">
        <f t="shared" si="190"/>
        <v>0</v>
      </c>
      <c r="AF167" s="431">
        <f>SUM('IV-2 amsa'!S68)</f>
        <v>43434</v>
      </c>
      <c r="AG167" s="337">
        <f>SUM('IV-2 amsa'!T68)</f>
        <v>43465</v>
      </c>
      <c r="AH167" s="337">
        <f>SUM('IV-2 amsa'!U68)</f>
        <v>43524</v>
      </c>
      <c r="AI167" s="337">
        <f>SUM('IV-2 amsa'!V68)</f>
        <v>43616</v>
      </c>
      <c r="AJ167" s="339">
        <f t="shared" si="191"/>
        <v>2019</v>
      </c>
      <c r="AK167" s="702">
        <f>SUM('IV-2 amsa'!W68)</f>
        <v>44196</v>
      </c>
      <c r="AL167" s="16">
        <f t="shared" si="192"/>
        <v>0</v>
      </c>
      <c r="AM167" s="16">
        <f t="shared" si="193"/>
        <v>0</v>
      </c>
      <c r="AN167" s="16">
        <f t="shared" si="194"/>
        <v>0</v>
      </c>
      <c r="AO167" s="16">
        <f t="shared" si="195"/>
        <v>170000</v>
      </c>
      <c r="AP167" s="703">
        <f t="shared" si="196"/>
        <v>0</v>
      </c>
      <c r="AQ167" s="50"/>
      <c r="AR167" s="30"/>
      <c r="AS167" s="30"/>
    </row>
    <row r="168" spans="1:49" ht="40.5" customHeight="1" thickBot="1">
      <c r="A168" s="835" t="s">
        <v>40</v>
      </c>
      <c r="B168" s="1922" t="s">
        <v>1486</v>
      </c>
      <c r="C168" s="1894"/>
      <c r="D168" s="1894"/>
      <c r="E168" s="1894"/>
      <c r="F168" s="1894"/>
      <c r="G168" s="1894"/>
      <c r="H168" s="1894"/>
      <c r="I168" s="1894"/>
      <c r="J168" s="1894"/>
      <c r="K168" s="1895"/>
      <c r="L168" s="1052">
        <f t="shared" ref="L168:AA168" si="197">SUM(L169+L172)</f>
        <v>6638484.83117647</v>
      </c>
      <c r="M168" s="1030"/>
      <c r="N168" s="1030"/>
      <c r="O168" s="1052">
        <f t="shared" si="197"/>
        <v>376170.03117647057</v>
      </c>
      <c r="P168" s="1030"/>
      <c r="Q168" s="1030"/>
      <c r="R168" s="1052">
        <f t="shared" si="197"/>
        <v>0</v>
      </c>
      <c r="S168" s="1030"/>
      <c r="T168" s="1030"/>
      <c r="U168" s="1052">
        <f t="shared" si="197"/>
        <v>777879.2799999998</v>
      </c>
      <c r="V168" s="1030"/>
      <c r="W168" s="1030"/>
      <c r="X168" s="1052">
        <f t="shared" si="197"/>
        <v>0</v>
      </c>
      <c r="Y168" s="1030"/>
      <c r="Z168" s="1030"/>
      <c r="AA168" s="1052">
        <f t="shared" si="197"/>
        <v>5484435.5199999996</v>
      </c>
      <c r="AB168" s="1030">
        <f>SUM('IV-2 vrsa'!R148)</f>
        <v>0</v>
      </c>
      <c r="AC168" s="726"/>
      <c r="AD168" s="726"/>
      <c r="AE168" s="726"/>
      <c r="AF168" s="726"/>
      <c r="AG168" s="741"/>
      <c r="AH168" s="741"/>
      <c r="AI168" s="741"/>
      <c r="AJ168" s="742"/>
      <c r="AK168" s="743"/>
      <c r="AL168" s="16"/>
      <c r="AM168" s="692"/>
      <c r="AN168" s="692"/>
      <c r="AO168" s="692"/>
      <c r="AP168" s="692"/>
      <c r="AQ168" s="30">
        <f>SUM(AQ169+AQ172)</f>
        <v>5484436.7699999996</v>
      </c>
      <c r="AR168" s="30">
        <f>SUM(AR169+AR172)</f>
        <v>6581324.1239999998</v>
      </c>
      <c r="AS168" s="30">
        <f>SUM(AS169+AS172)</f>
        <v>1.25</v>
      </c>
    </row>
    <row r="169" spans="1:49" ht="33.75" customHeight="1" thickBot="1">
      <c r="A169" s="824" t="s">
        <v>41</v>
      </c>
      <c r="B169" s="1893" t="s">
        <v>1487</v>
      </c>
      <c r="C169" s="1894"/>
      <c r="D169" s="1894"/>
      <c r="E169" s="1894"/>
      <c r="F169" s="1894"/>
      <c r="G169" s="1894"/>
      <c r="H169" s="1894"/>
      <c r="I169" s="1894"/>
      <c r="J169" s="1894"/>
      <c r="K169" s="1895"/>
      <c r="L169" s="1053">
        <f>SUM(L170)</f>
        <v>4130687.05</v>
      </c>
      <c r="M169" s="1021"/>
      <c r="N169" s="1021"/>
      <c r="O169" s="1053">
        <f t="shared" ref="O169:AA169" si="198">SUM(O170)</f>
        <v>0</v>
      </c>
      <c r="P169" s="1021"/>
      <c r="Q169" s="1021"/>
      <c r="R169" s="1053">
        <f t="shared" si="198"/>
        <v>0</v>
      </c>
      <c r="S169" s="1021"/>
      <c r="T169" s="1021"/>
      <c r="U169" s="1053">
        <f t="shared" si="198"/>
        <v>777879.2799999998</v>
      </c>
      <c r="V169" s="1021"/>
      <c r="W169" s="1021"/>
      <c r="X169" s="1053">
        <f t="shared" si="198"/>
        <v>0</v>
      </c>
      <c r="Y169" s="1021"/>
      <c r="Z169" s="1021"/>
      <c r="AA169" s="1053">
        <f t="shared" si="198"/>
        <v>3352807.77</v>
      </c>
      <c r="AB169" s="1021">
        <f>SUM('IV-2 vrsa'!R149)</f>
        <v>0</v>
      </c>
      <c r="AC169" s="122"/>
      <c r="AD169" s="122"/>
      <c r="AE169" s="122"/>
      <c r="AF169" s="122"/>
      <c r="AG169" s="741"/>
      <c r="AH169" s="741"/>
      <c r="AI169" s="741"/>
      <c r="AJ169" s="742"/>
      <c r="AK169" s="743"/>
      <c r="AL169" s="16"/>
      <c r="AM169" s="692"/>
      <c r="AN169" s="692"/>
      <c r="AO169" s="692"/>
      <c r="AP169" s="692"/>
      <c r="AQ169" s="30">
        <f>SUM(AQ170)</f>
        <v>3352807.77</v>
      </c>
      <c r="AR169" s="30">
        <f>SUM(AR170)</f>
        <v>4023369.3239999996</v>
      </c>
      <c r="AS169" s="30">
        <f>SUM(AS170)</f>
        <v>0</v>
      </c>
    </row>
    <row r="170" spans="1:49" ht="32.25" customHeight="1" thickBot="1">
      <c r="A170" s="836" t="s">
        <v>42</v>
      </c>
      <c r="B170" s="1921" t="s">
        <v>1488</v>
      </c>
      <c r="C170" s="1894"/>
      <c r="D170" s="1894"/>
      <c r="E170" s="1894"/>
      <c r="F170" s="1894"/>
      <c r="G170" s="1894"/>
      <c r="H170" s="1894"/>
      <c r="I170" s="1894"/>
      <c r="J170" s="1894"/>
      <c r="K170" s="1895"/>
      <c r="L170" s="1054">
        <f t="shared" ref="L170:AA170" si="199">SUM(L171:L171)</f>
        <v>4130687.05</v>
      </c>
      <c r="M170" s="1014">
        <f>SUM(M171)</f>
        <v>4130687.05</v>
      </c>
      <c r="N170" s="1014">
        <f>SUM(N171)</f>
        <v>0</v>
      </c>
      <c r="O170" s="1054">
        <f t="shared" si="199"/>
        <v>0</v>
      </c>
      <c r="P170" s="1014">
        <f>SUM(P171)</f>
        <v>0</v>
      </c>
      <c r="Q170" s="1014">
        <f>SUM(Q171)</f>
        <v>0</v>
      </c>
      <c r="R170" s="1054">
        <f t="shared" si="199"/>
        <v>0</v>
      </c>
      <c r="S170" s="1014">
        <f>SUM(S171)</f>
        <v>0</v>
      </c>
      <c r="T170" s="1014">
        <f>SUM(T171)</f>
        <v>0</v>
      </c>
      <c r="U170" s="1054">
        <f t="shared" si="199"/>
        <v>777879.2799999998</v>
      </c>
      <c r="V170" s="1014">
        <f>SUM(V171)</f>
        <v>777879.28</v>
      </c>
      <c r="W170" s="1014">
        <f>SUM(W171)</f>
        <v>-2.3283064365386963E-10</v>
      </c>
      <c r="X170" s="1054">
        <f t="shared" si="199"/>
        <v>0</v>
      </c>
      <c r="Y170" s="1014">
        <f>SUM(Y171)</f>
        <v>0</v>
      </c>
      <c r="Z170" s="1014">
        <f>SUM(Z171)</f>
        <v>0</v>
      </c>
      <c r="AA170" s="1054">
        <f t="shared" si="199"/>
        <v>3352807.77</v>
      </c>
      <c r="AB170" s="1014">
        <f>SUM('IV-2 vrsa'!R150)</f>
        <v>0</v>
      </c>
      <c r="AC170" s="708"/>
      <c r="AD170" s="708">
        <f>SUM(AD171)</f>
        <v>3352807.77</v>
      </c>
      <c r="AE170" s="708">
        <f>SUM(AE171)</f>
        <v>0</v>
      </c>
      <c r="AF170" s="708"/>
      <c r="AG170" s="709"/>
      <c r="AH170" s="709"/>
      <c r="AI170" s="709"/>
      <c r="AJ170" s="710"/>
      <c r="AK170" s="711"/>
      <c r="AL170" s="708">
        <f>SUM(AL171)</f>
        <v>0</v>
      </c>
      <c r="AM170" s="16">
        <f t="shared" ref="AM170:AP170" si="200">SUM(AM171)</f>
        <v>3352807.77</v>
      </c>
      <c r="AN170" s="16">
        <f t="shared" si="200"/>
        <v>0</v>
      </c>
      <c r="AO170" s="16">
        <f t="shared" si="200"/>
        <v>0</v>
      </c>
      <c r="AP170" s="16">
        <f t="shared" si="200"/>
        <v>0</v>
      </c>
      <c r="AQ170" s="30">
        <f>SUM('IV-2 amsa'!X71+'IV-2 arsa'!W67+'IV-2 dsa'!W72+'IV-2 lrsa'!X66+'IV-2 vrsa'!X73)</f>
        <v>3352807.77</v>
      </c>
      <c r="AR170" s="30">
        <f>SUM(AQ170*120/100)</f>
        <v>4023369.3239999996</v>
      </c>
      <c r="AS170" s="30">
        <f>SUM(AQ170-AA170)</f>
        <v>0</v>
      </c>
    </row>
    <row r="171" spans="1:49" ht="39" thickBot="1">
      <c r="A171" s="311" t="s">
        <v>112</v>
      </c>
      <c r="B171" s="837" t="s">
        <v>1359</v>
      </c>
      <c r="C171" s="723" t="str">
        <f>CONCATENATE('ketv. 2'!B170)</f>
        <v>05.2.1-APVA-R-008-11-0001</v>
      </c>
      <c r="D171" s="837" t="s">
        <v>2085</v>
      </c>
      <c r="E171" s="837" t="s">
        <v>189</v>
      </c>
      <c r="F171" s="837" t="s">
        <v>77</v>
      </c>
      <c r="G171" s="837" t="s">
        <v>185</v>
      </c>
      <c r="H171" s="723" t="s">
        <v>190</v>
      </c>
      <c r="I171" s="723" t="s">
        <v>119</v>
      </c>
      <c r="J171" s="723" t="s">
        <v>66</v>
      </c>
      <c r="K171" s="838" t="s">
        <v>66</v>
      </c>
      <c r="L171" s="644">
        <f>SUM(O171+R171+U171+X171+AA171)</f>
        <v>4130687.05</v>
      </c>
      <c r="M171" s="1017">
        <f>SUM('ketv. 6 '!L170)</f>
        <v>4130687.05</v>
      </c>
      <c r="N171" s="1017">
        <f>IF(M171&gt;0,L171-M171,0)</f>
        <v>0</v>
      </c>
      <c r="O171" s="644">
        <f>SUM('IV-2 amsa'!M72+'IV-2 arsa'!L68+'IV-2 dsa'!L73+'IV-2 lrsa'!M67+'IV-2 vrsa'!M74)</f>
        <v>0</v>
      </c>
      <c r="P171" s="1017">
        <f>SUM('ketv. 6 '!P170)</f>
        <v>0</v>
      </c>
      <c r="Q171" s="1017">
        <f>IF(P171&gt;0,O171-P171,0)</f>
        <v>0</v>
      </c>
      <c r="R171" s="644">
        <f>SUM('IV-2 amsa'!N72+'IV-2 arsa'!M68+'IV-2 dsa'!M73+'IV-2 lrsa'!N67+'IV-2 vrsa'!N74)</f>
        <v>0</v>
      </c>
      <c r="S171" s="1017">
        <f>SUM('ketv. 6 '!T170)</f>
        <v>0</v>
      </c>
      <c r="T171" s="1017">
        <f>IF(S171&gt;0,R171-S171,0)</f>
        <v>0</v>
      </c>
      <c r="U171" s="644">
        <f>SUM('IV-2 amsa'!O72+'IV-2 arsa'!N68+'IV-2 dsa'!N73+'IV-2 lrsa'!O67+'IV-2 vrsa'!O74)</f>
        <v>777879.2799999998</v>
      </c>
      <c r="V171" s="1017">
        <f>SUM('ketv. 6 '!X170)</f>
        <v>777879.28</v>
      </c>
      <c r="W171" s="1017">
        <f>IF(V171&gt;0,U171-V171,0)</f>
        <v>-2.3283064365386963E-10</v>
      </c>
      <c r="X171" s="644">
        <f>SUM('IV-2 amsa'!P72+'IV-2 arsa'!O68+'IV-2 dsa'!O73+'IV-2 lrsa'!P67+'IV-2 vrsa'!P74)</f>
        <v>0</v>
      </c>
      <c r="Y171" s="1017">
        <f>SUM('ketv. 6 '!AB170)</f>
        <v>0</v>
      </c>
      <c r="Z171" s="1017">
        <f>IF(Y171&gt;0,X171-Y171,0)</f>
        <v>0</v>
      </c>
      <c r="AA171" s="644">
        <f>SUM('IV-2 amsa'!Q72+'IV-2 arsa'!P68+'IV-2 dsa'!P73+'IV-2 lrsa'!Q67+'IV-2 vrsa'!Q74)</f>
        <v>3352807.77</v>
      </c>
      <c r="AB171" s="1017">
        <f>SUM('IV-2 vrsa'!R151)</f>
        <v>0</v>
      </c>
      <c r="AC171" s="16" t="str">
        <f>IF('ketv. 4 '!Z171&gt;0,"Taip","Ne")</f>
        <v>Taip</v>
      </c>
      <c r="AD171" s="16">
        <f>SUM('ketv. 6 '!AF170)</f>
        <v>3352807.77</v>
      </c>
      <c r="AE171" s="16">
        <f>IF(AD171&gt;0,AA171-AD171,0)</f>
        <v>0</v>
      </c>
      <c r="AF171" s="431">
        <f>SUM('IV-2 amsa'!S72)</f>
        <v>42590</v>
      </c>
      <c r="AG171" s="337">
        <f>SUM('IV-2 amsa'!T72)</f>
        <v>42754</v>
      </c>
      <c r="AH171" s="337">
        <f>SUM('IV-2 amsa'!U72)</f>
        <v>42916</v>
      </c>
      <c r="AI171" s="337">
        <f>SUM('IV-2 amsa'!V72)</f>
        <v>42993</v>
      </c>
      <c r="AJ171" s="339">
        <f>SUM('IV-2 amsa'!W72)</f>
        <v>43830</v>
      </c>
      <c r="AK171" s="702">
        <f>SUM('IV-2 amsa'!W72)</f>
        <v>43830</v>
      </c>
      <c r="AL171" s="16">
        <f>IF(YEAR(AI171)=2016,AA171,0)</f>
        <v>0</v>
      </c>
      <c r="AM171" s="16">
        <f>IF(YEAR(AI171)=2017,AA171,0)</f>
        <v>3352807.77</v>
      </c>
      <c r="AN171" s="16">
        <f>IF(YEAR(AI171)=2018,AA171,0)</f>
        <v>0</v>
      </c>
      <c r="AO171" s="16">
        <f>IF(YEAR(AI171)=2019,AA171,0)</f>
        <v>0</v>
      </c>
      <c r="AP171" s="703">
        <f>IF(YEAR(AI171)=2020,AA171,0)</f>
        <v>0</v>
      </c>
      <c r="AQ171" s="30"/>
      <c r="AR171" s="30"/>
      <c r="AS171" s="30"/>
    </row>
    <row r="172" spans="1:49" ht="36.75" customHeight="1" thickBot="1">
      <c r="A172" s="824" t="s">
        <v>43</v>
      </c>
      <c r="B172" s="1893" t="s">
        <v>1489</v>
      </c>
      <c r="C172" s="1894"/>
      <c r="D172" s="1894"/>
      <c r="E172" s="1894"/>
      <c r="F172" s="1894"/>
      <c r="G172" s="1894"/>
      <c r="H172" s="1894"/>
      <c r="I172" s="1894"/>
      <c r="J172" s="1894"/>
      <c r="K172" s="1895"/>
      <c r="L172" s="1053">
        <f>SUM(L173)</f>
        <v>2507797.7811764702</v>
      </c>
      <c r="M172" s="1021"/>
      <c r="N172" s="1021"/>
      <c r="O172" s="1053">
        <f t="shared" ref="O172:AA172" si="201">SUM(O173)</f>
        <v>376170.03117647057</v>
      </c>
      <c r="P172" s="1021"/>
      <c r="Q172" s="1021"/>
      <c r="R172" s="1053">
        <f t="shared" si="201"/>
        <v>0</v>
      </c>
      <c r="S172" s="1021"/>
      <c r="T172" s="1021"/>
      <c r="U172" s="1053">
        <f t="shared" si="201"/>
        <v>0</v>
      </c>
      <c r="V172" s="1021"/>
      <c r="W172" s="1021"/>
      <c r="X172" s="1053">
        <f t="shared" si="201"/>
        <v>0</v>
      </c>
      <c r="Y172" s="1021"/>
      <c r="Z172" s="1021"/>
      <c r="AA172" s="1053">
        <f t="shared" si="201"/>
        <v>2131627.75</v>
      </c>
      <c r="AB172" s="1021">
        <f>SUM('IV-2 vrsa'!R152)</f>
        <v>0</v>
      </c>
      <c r="AC172" s="122"/>
      <c r="AD172" s="122"/>
      <c r="AE172" s="122"/>
      <c r="AF172" s="122"/>
      <c r="AG172" s="741"/>
      <c r="AH172" s="741"/>
      <c r="AI172" s="741"/>
      <c r="AJ172" s="742"/>
      <c r="AK172" s="743"/>
      <c r="AL172" s="16"/>
      <c r="AM172" s="692"/>
      <c r="AN172" s="692"/>
      <c r="AO172" s="692"/>
      <c r="AP172" s="692"/>
      <c r="AQ172" s="30">
        <f>SUM(AQ173)</f>
        <v>2131629</v>
      </c>
      <c r="AR172" s="30">
        <f>SUM(AR173)</f>
        <v>2557954.7999999998</v>
      </c>
      <c r="AS172" s="30">
        <f>SUM(AS173)</f>
        <v>1.25</v>
      </c>
    </row>
    <row r="173" spans="1:49" ht="32.25" customHeight="1" thickBot="1">
      <c r="A173" s="697" t="s">
        <v>113</v>
      </c>
      <c r="B173" s="1899" t="s">
        <v>1490</v>
      </c>
      <c r="C173" s="1897"/>
      <c r="D173" s="1897"/>
      <c r="E173" s="1897"/>
      <c r="F173" s="1897"/>
      <c r="G173" s="1897"/>
      <c r="H173" s="1897"/>
      <c r="I173" s="1897"/>
      <c r="J173" s="1897"/>
      <c r="K173" s="1898"/>
      <c r="L173" s="1054">
        <f t="shared" ref="L173:X173" si="202">SUM(L174:L182)</f>
        <v>2507797.7811764702</v>
      </c>
      <c r="M173" s="1014">
        <f>SUM(M174:M182)</f>
        <v>1243566.9545433812</v>
      </c>
      <c r="N173" s="1014">
        <f>SUM(N174:N182)</f>
        <v>560227.60663308937</v>
      </c>
      <c r="O173" s="1054">
        <f t="shared" si="202"/>
        <v>376170.03117647057</v>
      </c>
      <c r="P173" s="1014">
        <f>SUM(P174:P182)</f>
        <v>186535.78141731172</v>
      </c>
      <c r="Q173" s="1014">
        <f>SUM(Q174:Q182)</f>
        <v>84033.419759158875</v>
      </c>
      <c r="R173" s="1054">
        <f t="shared" si="202"/>
        <v>0</v>
      </c>
      <c r="S173" s="1014">
        <f ca="1">SUM(S174:S182)</f>
        <v>0.91265824714935162</v>
      </c>
      <c r="T173" s="1014">
        <f ca="1">SUM(T174:T182)</f>
        <v>-0.91265824714935162</v>
      </c>
      <c r="U173" s="1054">
        <f t="shared" si="202"/>
        <v>0</v>
      </c>
      <c r="V173" s="1014">
        <f>SUM(V174:V182)</f>
        <v>0.95111827871049914</v>
      </c>
      <c r="W173" s="1014">
        <f>SUM(W174:W182)</f>
        <v>-0.95111827871049914</v>
      </c>
      <c r="X173" s="1054">
        <f t="shared" si="202"/>
        <v>0</v>
      </c>
      <c r="Y173" s="1014">
        <f>SUM(Y174:Y181)</f>
        <v>0</v>
      </c>
      <c r="Z173" s="1014">
        <f>SUM(Z174:Z181)</f>
        <v>0</v>
      </c>
      <c r="AA173" s="1054">
        <f>SUM(AA174:AA182)</f>
        <v>2131627.75</v>
      </c>
      <c r="AB173" s="1014">
        <f>SUM('IV-2 vrsa'!R153)</f>
        <v>0</v>
      </c>
      <c r="AC173" s="708"/>
      <c r="AD173" s="708">
        <f>SUM(AD174:AD181)</f>
        <v>1057031.1300000001</v>
      </c>
      <c r="AE173" s="708">
        <f>SUM(AE174:AE181)</f>
        <v>400948.75</v>
      </c>
      <c r="AF173" s="708"/>
      <c r="AG173" s="709"/>
      <c r="AH173" s="709"/>
      <c r="AI173" s="709"/>
      <c r="AJ173" s="710"/>
      <c r="AK173" s="711"/>
      <c r="AL173" s="16">
        <f t="shared" ref="AL173:AP173" si="203">SUM(AL174:AL182)</f>
        <v>0</v>
      </c>
      <c r="AM173" s="16">
        <f t="shared" si="203"/>
        <v>831922.88</v>
      </c>
      <c r="AN173" s="16">
        <f t="shared" si="203"/>
        <v>626057</v>
      </c>
      <c r="AO173" s="16">
        <f t="shared" si="203"/>
        <v>673647.87</v>
      </c>
      <c r="AP173" s="16">
        <f t="shared" si="203"/>
        <v>0</v>
      </c>
      <c r="AQ173" s="340">
        <v>2131629</v>
      </c>
      <c r="AR173" s="30">
        <f>SUM(AQ173*120/100)</f>
        <v>2557954.7999999998</v>
      </c>
      <c r="AS173" s="30">
        <f>SUM(AQ173-AA173)</f>
        <v>1.25</v>
      </c>
    </row>
    <row r="174" spans="1:49" ht="39.75" thickTop="1" thickBot="1">
      <c r="A174" s="311" t="s">
        <v>114</v>
      </c>
      <c r="B174" s="311" t="s">
        <v>1360</v>
      </c>
      <c r="C174" s="1093" t="str">
        <f>CONCATENATE('ketv. 2'!B173)</f>
        <v>05.5.1-APVA-R-019-11-0002</v>
      </c>
      <c r="D174" s="311" t="str">
        <f>CONCATENATE('IV-2 vrsa'!D77)</f>
        <v>Kraštovaizdžio formavimas ir tvarkymas Varėnos r. savivaldybėje (I etapas)</v>
      </c>
      <c r="E174" s="311" t="str">
        <f>CONCATENATE('IV-2 vrsa'!E77)</f>
        <v>Varėnos rajono savivaldybės administracija</v>
      </c>
      <c r="F174" s="311" t="str">
        <f>CONCATENATE('IV-2 vrsa'!F77)</f>
        <v>Lietuvos Respublikos aplinkos ministerija</v>
      </c>
      <c r="G174" s="311" t="str">
        <f>CONCATENATE('IV-2 vrsa'!G77)</f>
        <v>Varėnos r. sav.</v>
      </c>
      <c r="H174" s="130" t="str">
        <f>CONCATENATE('IV-2 vrsa'!H77)</f>
        <v>05.5.1-APVA-R-019</v>
      </c>
      <c r="I174" s="130" t="str">
        <f>CONCATENATE('IV-2 vrsa'!I77)</f>
        <v>R</v>
      </c>
      <c r="J174" s="130" t="str">
        <f>CONCATENATE('IV-2 vrsa'!J77)</f>
        <v>-</v>
      </c>
      <c r="K174" s="130" t="str">
        <f>CONCATENATE('IV-2 vrsa'!K77)</f>
        <v>-</v>
      </c>
      <c r="L174" s="644">
        <f>SUM('IV-2 vrsa'!L77)</f>
        <v>309522</v>
      </c>
      <c r="M174" s="1017">
        <f>SUM('ketv. 6 '!L173)</f>
        <v>296679.24</v>
      </c>
      <c r="N174" s="1017">
        <f>IF(M174&gt;0,L174-M174,0)</f>
        <v>12842.760000000009</v>
      </c>
      <c r="O174" s="644">
        <f>SUM('IV-2 vrsa'!M77)</f>
        <v>46428.3</v>
      </c>
      <c r="P174" s="1017">
        <f>SUM('ketv. 6 '!P173)</f>
        <v>44501.89</v>
      </c>
      <c r="Q174" s="1017">
        <f t="shared" ref="Q174:Q182" si="204">IF(P174&gt;0,O174-P174,0)</f>
        <v>1926.4100000000035</v>
      </c>
      <c r="R174" s="644">
        <f>SUM('IV-2 vrsa'!N77)</f>
        <v>0</v>
      </c>
      <c r="S174" s="1017">
        <f>SUM('ketv. 6 '!T173)</f>
        <v>0</v>
      </c>
      <c r="T174" s="1017">
        <f>IF(S174&gt;0,R174-S174,0)</f>
        <v>0</v>
      </c>
      <c r="U174" s="644">
        <f>SUM('IV-2 vrsa'!O77)</f>
        <v>0</v>
      </c>
      <c r="V174" s="1017">
        <f>SUM('ketv. 6 '!X173)</f>
        <v>0</v>
      </c>
      <c r="W174" s="1017">
        <f>IF(V174&gt;0,U174-V174,0)</f>
        <v>0</v>
      </c>
      <c r="X174" s="644">
        <f>SUM('IV-2 vrsa'!P77)</f>
        <v>0</v>
      </c>
      <c r="Y174" s="1017">
        <f>SUM('ketv. 6 '!AB173)</f>
        <v>0</v>
      </c>
      <c r="Z174" s="1017">
        <f>IF(Y174&gt;0,X174-Y174,0)</f>
        <v>0</v>
      </c>
      <c r="AA174" s="644">
        <f>SUM('IV-2 vrsa'!Q77)</f>
        <v>263093.7</v>
      </c>
      <c r="AB174" s="1017">
        <f>SUM('IV-2 vrsa'!R154)</f>
        <v>0</v>
      </c>
      <c r="AC174" s="16" t="str">
        <f>IF('ketv. 4 '!Z174&gt;0,"Taip","Ne")</f>
        <v>Taip</v>
      </c>
      <c r="AD174" s="16">
        <f>SUM('ketv. 6 '!AF173)</f>
        <v>252177.35</v>
      </c>
      <c r="AE174" s="16">
        <f>IF(AD174&gt;0,AA174-AD174,0)</f>
        <v>10916.350000000006</v>
      </c>
      <c r="AF174" s="431">
        <f>SUM('IV-2 vrsa'!S77)</f>
        <v>42598</v>
      </c>
      <c r="AG174" s="337">
        <f>SUM('IV-2 vrsa'!T77)</f>
        <v>42632</v>
      </c>
      <c r="AH174" s="337">
        <f>SUM('IV-2 vrsa'!U77)</f>
        <v>42795</v>
      </c>
      <c r="AI174" s="337">
        <f>SUM('IV-2 vrsa'!V77)</f>
        <v>42901</v>
      </c>
      <c r="AJ174" s="339">
        <f t="shared" ref="AJ174:AJ181" si="205">IF(YEAR(AI174),YEAR(AI174))</f>
        <v>2017</v>
      </c>
      <c r="AK174" s="702">
        <f>SUM('IV-2 vrsa'!W77)</f>
        <v>43465</v>
      </c>
      <c r="AL174" s="16">
        <f t="shared" ref="AL174:AL181" si="206">IF(YEAR(AI174)=2016,AA174,0)</f>
        <v>0</v>
      </c>
      <c r="AM174" s="16">
        <f t="shared" ref="AM174:AM181" si="207">IF(YEAR(AI174)=2017,AA174,0)</f>
        <v>263093.7</v>
      </c>
      <c r="AN174" s="16">
        <f t="shared" ref="AN174:AN181" si="208">IF(YEAR(AI174)=2018,AA174,0)</f>
        <v>0</v>
      </c>
      <c r="AO174" s="16">
        <f t="shared" ref="AO174:AO181" si="209">IF(YEAR(AI174)=2019,AA174,0)</f>
        <v>0</v>
      </c>
      <c r="AP174" s="703">
        <f t="shared" ref="AP174:AP181" si="210">IF(YEAR(AI174)=2020,AA174,0)</f>
        <v>0</v>
      </c>
      <c r="AQ174" s="825">
        <v>2131629</v>
      </c>
      <c r="AR174" s="30"/>
      <c r="AS174" s="30"/>
      <c r="AT174" s="48">
        <f>SUM(AK174-AI174)</f>
        <v>564</v>
      </c>
      <c r="AU174" s="59">
        <f>SUM(365/12)</f>
        <v>30.416666666666668</v>
      </c>
      <c r="AV174" s="59">
        <f>SUM(AT174/AU174)</f>
        <v>18.542465753424658</v>
      </c>
      <c r="AW174" s="59"/>
    </row>
    <row r="175" spans="1:49" ht="39.75" thickTop="1" thickBot="1">
      <c r="A175" s="311" t="s">
        <v>210</v>
      </c>
      <c r="B175" s="311" t="s">
        <v>1361</v>
      </c>
      <c r="C175" s="1093" t="str">
        <f>CONCATENATE('ketv. 2'!B174)</f>
        <v>05.5.1-APVA-R-019-11-0007</v>
      </c>
      <c r="D175" s="311" t="str">
        <f>CONCATENATE('IV-2 vrsa'!D78)</f>
        <v>Kraštovaizdžio formavimas ir tvarkymas Varėnos r. savivaldybėje (II etapas)</v>
      </c>
      <c r="E175" s="311" t="str">
        <f>CONCATENATE('IV-2 vrsa'!E78)</f>
        <v>Varėnos rajono savivaldybės administracija</v>
      </c>
      <c r="F175" s="311" t="str">
        <f>CONCATENATE('IV-2 vrsa'!F78)</f>
        <v>Lietuvos Respublikos aplinkos ministerija</v>
      </c>
      <c r="G175" s="311" t="str">
        <f>CONCATENATE('IV-2 vrsa'!G78)</f>
        <v>Varėnos r. sav.</v>
      </c>
      <c r="H175" s="130" t="str">
        <f>CONCATENATE('IV-2 vrsa'!H78)</f>
        <v>05.5.1-APVA-R-019</v>
      </c>
      <c r="I175" s="130" t="str">
        <f>CONCATENATE('IV-2 vrsa'!I78)</f>
        <v>R</v>
      </c>
      <c r="J175" s="130" t="str">
        <f>CONCATENATE('IV-2 vrsa'!J78)</f>
        <v>-</v>
      </c>
      <c r="K175" s="130" t="str">
        <f>CONCATENATE('IV-2 vrsa'!K78)</f>
        <v>-</v>
      </c>
      <c r="L175" s="644">
        <f>SUM('IV-2 vrsa'!L78)</f>
        <v>554211</v>
      </c>
      <c r="M175" s="1017">
        <f>SUM('ketv. 6 '!L174)</f>
        <v>0</v>
      </c>
      <c r="N175" s="1017">
        <f>IF(M175&gt;0,L175-M175,0)</f>
        <v>0</v>
      </c>
      <c r="O175" s="644">
        <f>SUM('IV-2 vrsa'!M78)</f>
        <v>83132</v>
      </c>
      <c r="P175" s="1017">
        <f>SUM('ketv. 6 '!P174)</f>
        <v>0</v>
      </c>
      <c r="Q175" s="1017">
        <f t="shared" si="204"/>
        <v>0</v>
      </c>
      <c r="R175" s="644">
        <f>SUM('IV-2 vrsa'!N78)</f>
        <v>0</v>
      </c>
      <c r="S175" s="1017">
        <f>SUM('ketv. 6 '!T174)</f>
        <v>0</v>
      </c>
      <c r="T175" s="1017">
        <f>IF(S175&gt;0,R175-S175,0)</f>
        <v>0</v>
      </c>
      <c r="U175" s="644">
        <f>SUM('IV-2 vrsa'!O78)</f>
        <v>0</v>
      </c>
      <c r="V175" s="1017">
        <f>SUM('ketv. 6 '!X174)</f>
        <v>0</v>
      </c>
      <c r="W175" s="1017">
        <f>IF(V175&gt;0,U175-V175,0)</f>
        <v>0</v>
      </c>
      <c r="X175" s="644">
        <f>SUM('IV-2 vrsa'!P78)</f>
        <v>0</v>
      </c>
      <c r="Y175" s="1017">
        <f>SUM('ketv. 6 '!AB174)</f>
        <v>0</v>
      </c>
      <c r="Z175" s="1017">
        <f>IF(Y175&gt;0,X175-Y175,0)</f>
        <v>0</v>
      </c>
      <c r="AA175" s="644">
        <f>SUM('IV-2 vrsa'!Q78)</f>
        <v>471079</v>
      </c>
      <c r="AB175" s="1017">
        <f>SUM('IV-2 vrsa'!R155)</f>
        <v>0</v>
      </c>
      <c r="AC175" s="16" t="str">
        <f>IF('ketv. 4 '!Z175&gt;0,"Taip","Ne")</f>
        <v>Ne</v>
      </c>
      <c r="AD175" s="16">
        <f>SUM('ketv. 6 '!AF174)</f>
        <v>0</v>
      </c>
      <c r="AE175" s="16">
        <f>IF(AD175&gt;0,AA175-AD175,0)</f>
        <v>0</v>
      </c>
      <c r="AF175" s="431">
        <f>SUM('IV-2 vrsa'!S78)</f>
        <v>43277</v>
      </c>
      <c r="AG175" s="337">
        <f>SUM('IV-2 vrsa'!T78)</f>
        <v>43373</v>
      </c>
      <c r="AH175" s="337">
        <f>SUM('IV-2 vrsa'!U78)</f>
        <v>43465</v>
      </c>
      <c r="AI175" s="337">
        <f>SUM('IV-2 vrsa'!V78)</f>
        <v>43555</v>
      </c>
      <c r="AJ175" s="339">
        <f t="shared" si="205"/>
        <v>2019</v>
      </c>
      <c r="AK175" s="702">
        <f>SUM('IV-2 vrsa'!W78)</f>
        <v>44651</v>
      </c>
      <c r="AL175" s="16">
        <f t="shared" si="206"/>
        <v>0</v>
      </c>
      <c r="AM175" s="16">
        <f t="shared" si="207"/>
        <v>0</v>
      </c>
      <c r="AN175" s="16">
        <f t="shared" si="208"/>
        <v>0</v>
      </c>
      <c r="AO175" s="16">
        <f t="shared" si="209"/>
        <v>471079</v>
      </c>
      <c r="AP175" s="703">
        <f t="shared" si="210"/>
        <v>0</v>
      </c>
      <c r="AQ175" s="826"/>
      <c r="AR175" s="30"/>
      <c r="AS175" s="30"/>
      <c r="AT175" s="48">
        <f t="shared" ref="AT175:AT182" si="211">SUM(AK175-AI175)</f>
        <v>1096</v>
      </c>
      <c r="AU175" s="59">
        <f t="shared" ref="AU175:AU182" si="212">SUM(365/12)</f>
        <v>30.416666666666668</v>
      </c>
      <c r="AV175" s="59">
        <f t="shared" ref="AV175:AV182" si="213">SUM(AT175/AU175)</f>
        <v>36.032876712328765</v>
      </c>
    </row>
    <row r="176" spans="1:49" ht="39.75" thickTop="1" thickBot="1">
      <c r="A176" s="311" t="s">
        <v>221</v>
      </c>
      <c r="B176" s="311" t="s">
        <v>1362</v>
      </c>
      <c r="C176" s="1093" t="str">
        <f>CONCATENATE('ketv. 2'!B175)</f>
        <v>05.5.1-APVA-R-019-11-0001</v>
      </c>
      <c r="D176" s="311" t="str">
        <f>CONCATENATE('IV-2 arsa'!C71)</f>
        <v>Bešeimininkių apleistų pastatų ir įrenginių tvarkymas Alytaus rajono savivaldybėje</v>
      </c>
      <c r="E176" s="311" t="str">
        <f>CONCATENATE('IV-2 arsa'!D71)</f>
        <v>Alytaus rajono savivaldybės administracija</v>
      </c>
      <c r="F176" s="311" t="str">
        <f>CONCATENATE('IV-2 arsa'!E71)</f>
        <v>Lietuvos Respublikos aplinkos ministerija</v>
      </c>
      <c r="G176" s="311" t="str">
        <f>CONCATENATE('IV-2 arsa'!F71)</f>
        <v>Alytaus r. sav.</v>
      </c>
      <c r="H176" s="130" t="str">
        <f>CONCATENATE('IV-2 arsa'!G71)</f>
        <v>05.5.1-APVA-R-019</v>
      </c>
      <c r="I176" s="130" t="str">
        <f>CONCATENATE('IV-2 arsa'!H71)</f>
        <v>R</v>
      </c>
      <c r="J176" s="130" t="str">
        <f>CONCATENATE('IV-2 arsa'!I71)</f>
        <v/>
      </c>
      <c r="K176" s="130" t="str">
        <f>CONCATENATE('IV-2 arsa'!J71)</f>
        <v/>
      </c>
      <c r="L176" s="644">
        <f>SUM('IV-2 arsa'!K71)</f>
        <v>101765.7</v>
      </c>
      <c r="M176" s="1017">
        <f>SUM('ketv. 6 '!L175)</f>
        <v>101765.7</v>
      </c>
      <c r="N176" s="1017">
        <f t="shared" ref="N176:N178" si="214">IF(M176&gt;0,L176-M176,0)</f>
        <v>0</v>
      </c>
      <c r="O176" s="644">
        <f>SUM('IV-2 arsa'!L71)</f>
        <v>15264.9</v>
      </c>
      <c r="P176" s="1017">
        <f>SUM('ketv. 6 '!P175)</f>
        <v>15264.9</v>
      </c>
      <c r="Q176" s="1017">
        <f t="shared" si="204"/>
        <v>0</v>
      </c>
      <c r="R176" s="644">
        <f>SUM('IV-2 arsa'!M71)</f>
        <v>0</v>
      </c>
      <c r="S176" s="1017">
        <f>SUM('ketv. 6 '!T175)</f>
        <v>0</v>
      </c>
      <c r="T176" s="1017">
        <f t="shared" ref="T176:T178" si="215">IF(S176&gt;0,R176-S176,0)</f>
        <v>0</v>
      </c>
      <c r="U176" s="644">
        <f>SUM('IV-2 arsa'!N71)</f>
        <v>0</v>
      </c>
      <c r="V176" s="1017">
        <f>SUM('ketv. 6 '!X175)</f>
        <v>0</v>
      </c>
      <c r="W176" s="1017">
        <f t="shared" ref="W176:W178" si="216">IF(V176&gt;0,U176-V176,0)</f>
        <v>0</v>
      </c>
      <c r="X176" s="644">
        <f>SUM('IV-2 arsa'!O71)</f>
        <v>0</v>
      </c>
      <c r="Y176" s="1017">
        <f>SUM('ketv. 6 '!AB175)</f>
        <v>0</v>
      </c>
      <c r="Z176" s="1017">
        <f t="shared" ref="Z176:Z178" si="217">IF(Y176&gt;0,X176-Y176,0)</f>
        <v>0</v>
      </c>
      <c r="AA176" s="644">
        <f>SUM('IV-2 arsa'!P71)</f>
        <v>86500.800000000003</v>
      </c>
      <c r="AB176" s="1017">
        <f>SUM('IV-2 vrsa'!R156)</f>
        <v>0</v>
      </c>
      <c r="AC176" s="16" t="str">
        <f>IF('ketv. 4 '!Z176&gt;0,"Taip","Ne")</f>
        <v>Taip</v>
      </c>
      <c r="AD176" s="16">
        <f>SUM('ketv. 6 '!AF175)</f>
        <v>86500.800000000003</v>
      </c>
      <c r="AE176" s="16">
        <f t="shared" ref="AE176:AE178" si="218">IF(AD176&gt;0,AA176-AD176,0)</f>
        <v>0</v>
      </c>
      <c r="AF176" s="431">
        <f>SUM('IV-2 arsa'!R71)</f>
        <v>42598</v>
      </c>
      <c r="AG176" s="337">
        <f>SUM('IV-2 arsa'!S71)</f>
        <v>42632</v>
      </c>
      <c r="AH176" s="337">
        <f>SUM('IV-2 arsa'!T71)</f>
        <v>42767</v>
      </c>
      <c r="AI176" s="337">
        <f>SUM('IV-2 arsa'!U71)</f>
        <v>42998</v>
      </c>
      <c r="AJ176" s="339">
        <f t="shared" si="205"/>
        <v>2017</v>
      </c>
      <c r="AK176" s="702">
        <f>SUM('IV-2 arsa'!V71)</f>
        <v>43465</v>
      </c>
      <c r="AL176" s="16">
        <f t="shared" si="206"/>
        <v>0</v>
      </c>
      <c r="AM176" s="16">
        <f t="shared" si="207"/>
        <v>86500.800000000003</v>
      </c>
      <c r="AN176" s="16">
        <f t="shared" si="208"/>
        <v>0</v>
      </c>
      <c r="AO176" s="16">
        <f t="shared" si="209"/>
        <v>0</v>
      </c>
      <c r="AP176" s="703">
        <f t="shared" si="210"/>
        <v>0</v>
      </c>
      <c r="AQ176" s="341"/>
      <c r="AR176" s="30"/>
      <c r="AS176" s="30"/>
      <c r="AT176" s="48">
        <f t="shared" si="211"/>
        <v>467</v>
      </c>
      <c r="AU176" s="59">
        <f t="shared" si="212"/>
        <v>30.416666666666668</v>
      </c>
      <c r="AV176" s="59">
        <f t="shared" si="213"/>
        <v>15.353424657534246</v>
      </c>
    </row>
    <row r="177" spans="1:48" ht="39.75" thickTop="1" thickBot="1">
      <c r="A177" s="311" t="s">
        <v>247</v>
      </c>
      <c r="B177" s="311" t="s">
        <v>1363</v>
      </c>
      <c r="C177" s="1093" t="str">
        <f>CONCATENATE('ketv. 2'!B176)</f>
        <v>05.5.1-APVA-R-019-11-0004</v>
      </c>
      <c r="D177" s="311" t="str">
        <f>CONCATENATE('IV-2 amsa'!D75)</f>
        <v>Alytaus miesto bendrojo plano korektūra zonuojant kraštovaizdžio struktūrą, nustatant reglamentus ir principus</v>
      </c>
      <c r="E177" s="311" t="str">
        <f>CONCATENATE('IV-2 amsa'!E75)</f>
        <v>Alytaus miesto savivaldybės administracija</v>
      </c>
      <c r="F177" s="311" t="str">
        <f>CONCATENATE('IV-2 amsa'!F75)</f>
        <v>Lietuvos Respublikos aplinkos ministerija</v>
      </c>
      <c r="G177" s="311" t="str">
        <f>CONCATENATE('IV-2 amsa'!G75)</f>
        <v>Alytaus m. sav.</v>
      </c>
      <c r="H177" s="130" t="str">
        <f>CONCATENATE('IV-2 amsa'!H75)</f>
        <v>05.5.1-APVA-R-019</v>
      </c>
      <c r="I177" s="130" t="str">
        <f>CONCATENATE('IV-2 amsa'!I75)</f>
        <v>R</v>
      </c>
      <c r="J177" s="130" t="str">
        <f>CONCATENATE('IV-2 amsa'!J75)</f>
        <v/>
      </c>
      <c r="K177" s="130" t="str">
        <f>CONCATENATE('IV-2 amsa'!K75)</f>
        <v>-</v>
      </c>
      <c r="L177" s="644">
        <f>SUM('IV-2 amsa'!L75)</f>
        <v>3993</v>
      </c>
      <c r="M177" s="1017">
        <f>SUM('ketv. 6 '!L176)</f>
        <v>3993</v>
      </c>
      <c r="N177" s="1017">
        <f>IF(M177&gt;0,L177-M177,0)</f>
        <v>0</v>
      </c>
      <c r="O177" s="644">
        <f>SUM('IV-2 amsa'!M75)</f>
        <v>598.95000000000005</v>
      </c>
      <c r="P177" s="1017">
        <f>SUM('ketv. 6 '!P176)</f>
        <v>598.95000000000005</v>
      </c>
      <c r="Q177" s="1017">
        <f t="shared" si="204"/>
        <v>0</v>
      </c>
      <c r="R177" s="644">
        <f>SUM('IV-2 amsa'!N75)</f>
        <v>0</v>
      </c>
      <c r="S177" s="1017">
        <f>SUM('ketv. 6 '!T176)</f>
        <v>0</v>
      </c>
      <c r="T177" s="1017">
        <f>IF(S177&gt;0,R177-S177,0)</f>
        <v>0</v>
      </c>
      <c r="U177" s="644">
        <f>SUM('IV-2 amsa'!O75)</f>
        <v>0</v>
      </c>
      <c r="V177" s="1017">
        <f>SUM('ketv. 6 '!X176)</f>
        <v>0</v>
      </c>
      <c r="W177" s="1017">
        <f>IF(V177&gt;0,U177-V177,0)</f>
        <v>0</v>
      </c>
      <c r="X177" s="644">
        <f>SUM('IV-2 amsa'!P75)</f>
        <v>0</v>
      </c>
      <c r="Y177" s="1017">
        <f>SUM('ketv. 6 '!AB176)</f>
        <v>0</v>
      </c>
      <c r="Z177" s="1017">
        <f>IF(Y177&gt;0,X177-Y177,0)</f>
        <v>0</v>
      </c>
      <c r="AA177" s="644">
        <f>SUM('IV-2 amsa'!Q75)</f>
        <v>3394.05</v>
      </c>
      <c r="AB177" s="1017">
        <f>SUM('IV-2 vrsa'!R157)</f>
        <v>0</v>
      </c>
      <c r="AC177" s="16" t="str">
        <f>IF('ketv. 4 '!Z177&gt;0,"Taip","Ne")</f>
        <v>Taip</v>
      </c>
      <c r="AD177" s="16">
        <f>SUM('ketv. 6 '!AF176)</f>
        <v>3394.05</v>
      </c>
      <c r="AE177" s="16">
        <f>IF(AD177&gt;0,AA177-AD177,0)</f>
        <v>0</v>
      </c>
      <c r="AF177" s="431">
        <f>SUM('IV-2 amsa'!S75)</f>
        <v>42598</v>
      </c>
      <c r="AG177" s="337">
        <f>SUM('IV-2 amsa'!T75)</f>
        <v>42632</v>
      </c>
      <c r="AH177" s="337">
        <f>SUM('IV-2 amsa'!U75)</f>
        <v>42874</v>
      </c>
      <c r="AI177" s="337">
        <f>SUM('IV-2 amsa'!V75)</f>
        <v>42965</v>
      </c>
      <c r="AJ177" s="339">
        <f t="shared" si="205"/>
        <v>2017</v>
      </c>
      <c r="AK177" s="702">
        <f>SUM('IV-2 amsa'!W75)</f>
        <v>43465</v>
      </c>
      <c r="AL177" s="16">
        <f t="shared" si="206"/>
        <v>0</v>
      </c>
      <c r="AM177" s="16">
        <f t="shared" si="207"/>
        <v>3394.05</v>
      </c>
      <c r="AN177" s="16">
        <f t="shared" si="208"/>
        <v>0</v>
      </c>
      <c r="AO177" s="16">
        <f t="shared" si="209"/>
        <v>0</v>
      </c>
      <c r="AP177" s="703">
        <f t="shared" si="210"/>
        <v>0</v>
      </c>
      <c r="AQ177" s="341"/>
      <c r="AR177" s="30"/>
      <c r="AS177" s="30"/>
      <c r="AT177" s="48">
        <f t="shared" si="211"/>
        <v>500</v>
      </c>
      <c r="AU177" s="59">
        <f t="shared" si="212"/>
        <v>30.416666666666668</v>
      </c>
      <c r="AV177" s="59">
        <f t="shared" si="213"/>
        <v>16.43835616438356</v>
      </c>
    </row>
    <row r="178" spans="1:48" ht="39.75" thickTop="1" thickBot="1">
      <c r="A178" s="311" t="s">
        <v>286</v>
      </c>
      <c r="B178" s="311" t="s">
        <v>1364</v>
      </c>
      <c r="C178" s="1093" t="str">
        <f>CONCATENATE('ketv. 2'!B177)</f>
        <v>05.5.1-APVA-R-019-11-0005</v>
      </c>
      <c r="D178" s="311" t="str">
        <f>CONCATENATE('IV-2 dsa'!C76)</f>
        <v>Bešeimininkių apleistų pastatų Druskininkų savivaldybės teritorijoje likvidavimas</v>
      </c>
      <c r="E178" s="311" t="str">
        <f>CONCATENATE('IV-2 dsa'!D76)</f>
        <v>Druskininkų savivaldybės administracija</v>
      </c>
      <c r="F178" s="311" t="str">
        <f>CONCATENATE('IV-2 dsa'!E76)</f>
        <v>Lietuvos Respublikos aplinkos ministerija</v>
      </c>
      <c r="G178" s="311" t="str">
        <f>CONCATENATE('IV-2 dsa'!F76)</f>
        <v>Druskininkų sav.</v>
      </c>
      <c r="H178" s="130" t="str">
        <f>CONCATENATE('IV-2 dsa'!G76)</f>
        <v>05.5.1-APVA-R-019</v>
      </c>
      <c r="I178" s="130" t="str">
        <f>CONCATENATE('IV-2 dsa'!H76)</f>
        <v>R</v>
      </c>
      <c r="J178" s="130" t="str">
        <f>CONCATENATE('IV-2 dsa'!I76)</f>
        <v>-</v>
      </c>
      <c r="K178" s="130" t="str">
        <f>CONCATENATE('IV-2 dsa'!J76)</f>
        <v>-</v>
      </c>
      <c r="L178" s="644">
        <f>SUM('IV-2 dsa'!K76)</f>
        <v>121153.53</v>
      </c>
      <c r="M178" s="1017">
        <f>SUM('ketv. 6 '!L177)</f>
        <v>121153.53</v>
      </c>
      <c r="N178" s="1017">
        <f t="shared" si="214"/>
        <v>0</v>
      </c>
      <c r="O178" s="644">
        <f>SUM('IV-2 dsa'!L76)</f>
        <v>18173.009999999998</v>
      </c>
      <c r="P178" s="1017">
        <f>SUM('ketv. 6 '!P177)</f>
        <v>18173.009999999998</v>
      </c>
      <c r="Q178" s="1017">
        <f t="shared" si="204"/>
        <v>0</v>
      </c>
      <c r="R178" s="644">
        <f>SUM('IV-2 dsa'!M76)</f>
        <v>0</v>
      </c>
      <c r="S178" s="1017">
        <f>SUM('ketv. 6 '!T177)</f>
        <v>0</v>
      </c>
      <c r="T178" s="1017">
        <f t="shared" si="215"/>
        <v>0</v>
      </c>
      <c r="U178" s="644">
        <f>SUM('IV-2 dsa'!N76)</f>
        <v>0</v>
      </c>
      <c r="V178" s="1017">
        <f>SUM('ketv. 6 '!X177)</f>
        <v>0</v>
      </c>
      <c r="W178" s="1017">
        <f t="shared" si="216"/>
        <v>0</v>
      </c>
      <c r="X178" s="644">
        <f>SUM('IV-2 dsa'!O76)</f>
        <v>0</v>
      </c>
      <c r="Y178" s="1017">
        <f>SUM('ketv. 6 '!AB177)</f>
        <v>0</v>
      </c>
      <c r="Z178" s="1017">
        <f t="shared" si="217"/>
        <v>0</v>
      </c>
      <c r="AA178" s="644">
        <f>SUM('IV-2 dsa'!P76)</f>
        <v>102980.52</v>
      </c>
      <c r="AB178" s="1017">
        <f>SUM('IV-2 vrsa'!R158)</f>
        <v>0</v>
      </c>
      <c r="AC178" s="16" t="str">
        <f>IF('ketv. 4 '!Z178&gt;0,"Taip","Ne")</f>
        <v>Taip</v>
      </c>
      <c r="AD178" s="16">
        <f>SUM('ketv. 6 '!AF177)</f>
        <v>102980.52</v>
      </c>
      <c r="AE178" s="16">
        <f t="shared" si="218"/>
        <v>0</v>
      </c>
      <c r="AF178" s="431">
        <f>SUM('IV-2 dsa'!R76)</f>
        <v>42598</v>
      </c>
      <c r="AG178" s="337">
        <f>SUM('IV-2 dsa'!S76)</f>
        <v>42704</v>
      </c>
      <c r="AH178" s="337">
        <f>SUM('IV-2 dsa'!T76)</f>
        <v>42887</v>
      </c>
      <c r="AI178" s="337">
        <f>SUM('IV-2 dsa'!U76)</f>
        <v>42978</v>
      </c>
      <c r="AJ178" s="339">
        <f t="shared" si="205"/>
        <v>2017</v>
      </c>
      <c r="AK178" s="702">
        <f>SUM('IV-2 dsa'!V76)</f>
        <v>43465</v>
      </c>
      <c r="AL178" s="16">
        <f t="shared" si="206"/>
        <v>0</v>
      </c>
      <c r="AM178" s="16">
        <f t="shared" si="207"/>
        <v>102980.52</v>
      </c>
      <c r="AN178" s="16">
        <f t="shared" si="208"/>
        <v>0</v>
      </c>
      <c r="AO178" s="16">
        <f t="shared" si="209"/>
        <v>0</v>
      </c>
      <c r="AP178" s="703">
        <f t="shared" si="210"/>
        <v>0</v>
      </c>
      <c r="AQ178" s="341"/>
      <c r="AR178" s="30"/>
      <c r="AS178" s="30"/>
      <c r="AT178" s="48">
        <f t="shared" si="211"/>
        <v>487</v>
      </c>
      <c r="AU178" s="59">
        <f t="shared" si="212"/>
        <v>30.416666666666668</v>
      </c>
      <c r="AV178" s="59">
        <f t="shared" si="213"/>
        <v>16.010958904109589</v>
      </c>
    </row>
    <row r="179" spans="1:48" ht="39.75" thickTop="1" thickBot="1">
      <c r="A179" s="311" t="s">
        <v>287</v>
      </c>
      <c r="B179" s="311" t="s">
        <v>1365</v>
      </c>
      <c r="C179" s="1093" t="str">
        <f>CONCATENATE('ketv. 2'!B178)</f>
        <v>05.5.1-APVA-R-019-11-0003</v>
      </c>
      <c r="D179" s="311" t="str">
        <f>CONCATENATE('IV-2 lrsa'!D70)</f>
        <v>Kraštovaizdžio formavimas Lazdijų rajono savivaldybėje</v>
      </c>
      <c r="E179" s="311" t="str">
        <f>CONCATENATE('IV-2 lrsa'!E70)</f>
        <v>Lazdijų rajono savivaldybės administracija</v>
      </c>
      <c r="F179" s="311" t="str">
        <f>CONCATENATE('IV-2 lrsa'!F70)</f>
        <v>Lietuvos Respublikos aplinkos ministerija</v>
      </c>
      <c r="G179" s="311" t="str">
        <f>CONCATENATE('IV-2 lrsa'!G70)</f>
        <v>Lazdijų r. sav.</v>
      </c>
      <c r="H179" s="130" t="str">
        <f>CONCATENATE('IV-2 lrsa'!H70)</f>
        <v>05.5.1-APVA-R-019</v>
      </c>
      <c r="I179" s="130" t="str">
        <f>CONCATENATE('IV-2 lrsa'!I70)</f>
        <v>R</v>
      </c>
      <c r="J179" s="130" t="str">
        <f>CONCATENATE('IV-2 lrsa'!J70)</f>
        <v>-</v>
      </c>
      <c r="K179" s="130" t="str">
        <f>CONCATENATE('IV-2 lrsa'!K70)</f>
        <v>-</v>
      </c>
      <c r="L179" s="644">
        <f>SUM('IV-2 lrsa'!L70)</f>
        <v>442298.58999999997</v>
      </c>
      <c r="M179" s="1017">
        <f>SUM('ketv. 6 '!L178)</f>
        <v>442298.58999999997</v>
      </c>
      <c r="N179" s="1017">
        <f>IF(M179&gt;0,L179-M179,0)</f>
        <v>0</v>
      </c>
      <c r="O179" s="644">
        <f>SUM('IV-2 lrsa'!M70)</f>
        <v>66344.78</v>
      </c>
      <c r="P179" s="1017">
        <f>SUM('ketv. 6 '!P178)</f>
        <v>66344.78</v>
      </c>
      <c r="Q179" s="1017">
        <f t="shared" si="204"/>
        <v>0</v>
      </c>
      <c r="R179" s="644">
        <f>SUM('IV-2 lrsa'!N70)</f>
        <v>0</v>
      </c>
      <c r="S179" s="1017">
        <f>SUM('ketv. 6 '!T178)</f>
        <v>0</v>
      </c>
      <c r="T179" s="1017">
        <f>IF(S179&gt;0,R179-S179,0)</f>
        <v>0</v>
      </c>
      <c r="U179" s="644">
        <f>SUM('IV-2 lrsa'!O70)</f>
        <v>0</v>
      </c>
      <c r="V179" s="1017">
        <f>SUM('ketv. 6 '!X178)</f>
        <v>0</v>
      </c>
      <c r="W179" s="1017">
        <f>IF(V179&gt;0,U179-V179,0)</f>
        <v>0</v>
      </c>
      <c r="X179" s="644">
        <f>SUM('IV-2 lrsa'!P70)</f>
        <v>0</v>
      </c>
      <c r="Y179" s="1017">
        <f>SUM('ketv. 6 '!AB178)</f>
        <v>0</v>
      </c>
      <c r="Z179" s="1017">
        <f>IF(Y179&gt;0,X179-Y179,0)</f>
        <v>0</v>
      </c>
      <c r="AA179" s="644">
        <f>SUM('IV-2 lrsa'!Q70)</f>
        <v>375953.81</v>
      </c>
      <c r="AB179" s="1017">
        <f>SUM('IV-2 vrsa'!R159)</f>
        <v>0</v>
      </c>
      <c r="AC179" s="16" t="str">
        <f>IF('ketv. 4 '!Z179&gt;0,"Taip","Ne")</f>
        <v>Taip</v>
      </c>
      <c r="AD179" s="16">
        <f>SUM('ketv. 6 '!AF178)</f>
        <v>375953.81</v>
      </c>
      <c r="AE179" s="16">
        <f>IF(AD179&gt;0,AA179-AD179,0)</f>
        <v>0</v>
      </c>
      <c r="AF179" s="431">
        <f>SUM('IV-2 lrsa'!S70)</f>
        <v>42598</v>
      </c>
      <c r="AG179" s="337">
        <f>SUM('IV-2 lrsa'!T70)</f>
        <v>42704</v>
      </c>
      <c r="AH179" s="337">
        <f>SUM('IV-2 lrsa'!U70)</f>
        <v>42825</v>
      </c>
      <c r="AI179" s="337">
        <f>SUM('IV-2 lrsa'!V70)</f>
        <v>42935</v>
      </c>
      <c r="AJ179" s="339">
        <f t="shared" si="205"/>
        <v>2017</v>
      </c>
      <c r="AK179" s="702">
        <f>SUM('IV-2 lrsa'!W70)</f>
        <v>43465</v>
      </c>
      <c r="AL179" s="16">
        <f t="shared" si="206"/>
        <v>0</v>
      </c>
      <c r="AM179" s="16">
        <f t="shared" si="207"/>
        <v>375953.81</v>
      </c>
      <c r="AN179" s="16">
        <f t="shared" si="208"/>
        <v>0</v>
      </c>
      <c r="AO179" s="16">
        <f t="shared" si="209"/>
        <v>0</v>
      </c>
      <c r="AP179" s="703">
        <f t="shared" si="210"/>
        <v>0</v>
      </c>
      <c r="AQ179" s="341"/>
      <c r="AR179" s="30"/>
      <c r="AS179" s="30"/>
      <c r="AT179" s="48">
        <f t="shared" si="211"/>
        <v>530</v>
      </c>
      <c r="AU179" s="59">
        <f t="shared" si="212"/>
        <v>30.416666666666668</v>
      </c>
      <c r="AV179" s="59">
        <f t="shared" si="213"/>
        <v>17.424657534246574</v>
      </c>
    </row>
    <row r="180" spans="1:48" ht="39.75" thickTop="1" thickBot="1">
      <c r="A180" s="311" t="s">
        <v>379</v>
      </c>
      <c r="B180" s="311" t="s">
        <v>1754</v>
      </c>
      <c r="C180" s="1093" t="str">
        <f>CONCATENATE('ketv. 2'!B179)</f>
        <v>05.5.1-APVA-R-019-11-0008</v>
      </c>
      <c r="D180" s="311" t="str">
        <f>CONCATENATE('IV-2 lrsa'!D71)</f>
        <v>Kraštovaizdžio formavimas Lazdijų rajono savivaldybėje (II etapas)</v>
      </c>
      <c r="E180" s="311" t="str">
        <f>CONCATENATE('IV-2 lrsa'!E71)</f>
        <v>Lazdijų rajono savivaldybės administracija</v>
      </c>
      <c r="F180" s="311" t="str">
        <f>CONCATENATE('IV-2 lrsa'!F71)</f>
        <v>Lietuvos Respublikos aplinkos ministerija</v>
      </c>
      <c r="G180" s="311" t="str">
        <f>CONCATENATE('IV-2 lrsa'!G71)</f>
        <v>Lazdijų r. sav.</v>
      </c>
      <c r="H180" s="130" t="str">
        <f>CONCATENATE('IV-2 lrsa'!H71)</f>
        <v>05.5.1-APVA-R-019</v>
      </c>
      <c r="I180" s="130" t="str">
        <f>CONCATENATE('IV-2 lrsa'!I71)</f>
        <v>R</v>
      </c>
      <c r="J180" s="130" t="str">
        <f>CONCATENATE('IV-2 lrsa'!J71)</f>
        <v>-</v>
      </c>
      <c r="K180" s="130" t="str">
        <f>CONCATENATE('IV-2 lrsa'!K71)</f>
        <v>-</v>
      </c>
      <c r="L180" s="644">
        <f>SUM('IV-2 lrsa'!L71)</f>
        <v>149792.22</v>
      </c>
      <c r="M180" s="1017">
        <f>SUM('ketv. 6 '!L179)</f>
        <v>0</v>
      </c>
      <c r="N180" s="1017">
        <f>IF(M180&gt;0,L180-M180,0)</f>
        <v>0</v>
      </c>
      <c r="O180" s="644">
        <f>SUM('IV-2 lrsa'!M71)</f>
        <v>22468.83</v>
      </c>
      <c r="P180" s="1017">
        <f>SUM('ketv. 6 '!P179)</f>
        <v>0</v>
      </c>
      <c r="Q180" s="1017">
        <f t="shared" si="204"/>
        <v>0</v>
      </c>
      <c r="R180" s="644">
        <f>SUM('IV-2 lrsa'!N71)</f>
        <v>0</v>
      </c>
      <c r="S180" s="1017">
        <f>SUM('ketv. 6 '!T179)</f>
        <v>0</v>
      </c>
      <c r="T180" s="1017">
        <f>IF(S180&gt;0,R180-S180,0)</f>
        <v>0</v>
      </c>
      <c r="U180" s="644">
        <f>SUM('IV-2 lrsa'!O71)</f>
        <v>0</v>
      </c>
      <c r="V180" s="1017">
        <f>SUM('ketv. 6 '!X179)</f>
        <v>0</v>
      </c>
      <c r="W180" s="1017">
        <f>IF(V180&gt;0,U180-V180,0)</f>
        <v>0</v>
      </c>
      <c r="X180" s="644">
        <f>SUM('IV-2 lrsa'!P71)</f>
        <v>0</v>
      </c>
      <c r="Y180" s="1017">
        <f>SUM('ketv. 6 '!AB179)</f>
        <v>0</v>
      </c>
      <c r="Z180" s="1017">
        <f>IF(Y180&gt;0,X180-Y180,0)</f>
        <v>0</v>
      </c>
      <c r="AA180" s="644">
        <f>SUM('IV-2 lrsa'!Q71)</f>
        <v>127323.39</v>
      </c>
      <c r="AB180" s="1017">
        <f>SUM('IV-2 vrsa'!R160)</f>
        <v>0</v>
      </c>
      <c r="AC180" s="16" t="str">
        <f>IF('ketv. 4 '!Z180&gt;0,"Taip","Ne")</f>
        <v>Ne</v>
      </c>
      <c r="AD180" s="16">
        <f>SUM('ketv. 6 '!AF179)</f>
        <v>0</v>
      </c>
      <c r="AE180" s="16">
        <f>IF(AD180&gt;0,AA180-AD180,0)</f>
        <v>0</v>
      </c>
      <c r="AF180" s="431">
        <f>SUM('IV-2 lrsa'!S71)</f>
        <v>43277</v>
      </c>
      <c r="AG180" s="337">
        <f>SUM('IV-2 lrsa'!T71)</f>
        <v>43343</v>
      </c>
      <c r="AH180" s="337">
        <f>SUM('IV-2 lrsa'!U71)</f>
        <v>43495</v>
      </c>
      <c r="AI180" s="337">
        <f>SUM('IV-2 lrsa'!V71)</f>
        <v>43554</v>
      </c>
      <c r="AJ180" s="339">
        <f t="shared" si="205"/>
        <v>2019</v>
      </c>
      <c r="AK180" s="702">
        <f>SUM('IV-2 lrsa'!W71)</f>
        <v>44469</v>
      </c>
      <c r="AL180" s="16">
        <f t="shared" si="206"/>
        <v>0</v>
      </c>
      <c r="AM180" s="16">
        <f t="shared" si="207"/>
        <v>0</v>
      </c>
      <c r="AN180" s="16">
        <f t="shared" si="208"/>
        <v>0</v>
      </c>
      <c r="AO180" s="16">
        <f t="shared" si="209"/>
        <v>127323.39</v>
      </c>
      <c r="AP180" s="703">
        <f t="shared" si="210"/>
        <v>0</v>
      </c>
      <c r="AQ180" s="341"/>
      <c r="AR180" s="30"/>
      <c r="AS180" s="30"/>
      <c r="AT180" s="48">
        <f t="shared" si="211"/>
        <v>915</v>
      </c>
      <c r="AU180" s="59">
        <f t="shared" si="212"/>
        <v>30.416666666666668</v>
      </c>
      <c r="AV180" s="59">
        <f t="shared" si="213"/>
        <v>30.082191780821915</v>
      </c>
    </row>
    <row r="181" spans="1:48" ht="39.75" thickTop="1" thickBot="1">
      <c r="A181" s="311" t="s">
        <v>602</v>
      </c>
      <c r="B181" s="311" t="s">
        <v>1366</v>
      </c>
      <c r="C181" s="1093" t="str">
        <f>CONCATENATE('ketv. 2'!B180)</f>
        <v>05.5.1-APVA-R-019-11-0006</v>
      </c>
      <c r="D181" s="311" t="str">
        <f>CONCATENATE('IV-2 arsa'!C72)</f>
        <v>Bešeimininkių apleistų pastatų ir įrenginių tvarkymas Alytaus rajono savivaldybėje (II etapas)</v>
      </c>
      <c r="E181" s="311" t="str">
        <f>CONCATENATE('IV-2 arsa'!D72)</f>
        <v>Alytaus rajono savivaldybės administracija</v>
      </c>
      <c r="F181" s="311" t="str">
        <f>CONCATENATE('IV-2 arsa'!E72)</f>
        <v>Lietuvos Respublikos aplinkos ministerija</v>
      </c>
      <c r="G181" s="311" t="str">
        <f>CONCATENATE('IV-2 arsa'!F72)</f>
        <v>Alytaus r. sav.</v>
      </c>
      <c r="H181" s="130" t="str">
        <f>CONCATENATE('IV-2 arsa'!G72)</f>
        <v>05.5.1-APVA-R-019</v>
      </c>
      <c r="I181" s="130" t="str">
        <f>CONCATENATE('IV-2 arsa'!H72)</f>
        <v>R</v>
      </c>
      <c r="J181" s="130" t="str">
        <f>CONCATENATE('IV-2 arsa'!I72)</f>
        <v>-</v>
      </c>
      <c r="K181" s="130" t="str">
        <f>CONCATENATE('IV-2 arsa'!J72)</f>
        <v>-</v>
      </c>
      <c r="L181" s="644">
        <f>SUM('IV-2 arsa'!K72)</f>
        <v>736537.6470588235</v>
      </c>
      <c r="M181" s="1017">
        <f>SUM('ketv. 6 '!L180)</f>
        <v>277676</v>
      </c>
      <c r="N181" s="1017">
        <f>IF(M181&gt;0,L181-M181,0)</f>
        <v>458861.6470588235</v>
      </c>
      <c r="O181" s="644">
        <f>SUM('IV-2 arsa'!L72)</f>
        <v>110480.64705882352</v>
      </c>
      <c r="P181" s="1017">
        <f>SUM('ketv. 6 '!P180)</f>
        <v>41651.4</v>
      </c>
      <c r="Q181" s="1017">
        <f t="shared" si="204"/>
        <v>68829.24705882353</v>
      </c>
      <c r="R181" s="644">
        <f>SUM('IV-2 arsa'!M72)</f>
        <v>0</v>
      </c>
      <c r="S181" s="1017">
        <f>SUM('ketv. 6 '!T180)</f>
        <v>0</v>
      </c>
      <c r="T181" s="1017">
        <f>IF(S181&gt;0,R181-S181,0)</f>
        <v>0</v>
      </c>
      <c r="U181" s="644">
        <f>SUM('IV-2 arsa'!N72)</f>
        <v>0</v>
      </c>
      <c r="V181" s="1017">
        <f>SUM('ketv. 6 '!X180)</f>
        <v>0</v>
      </c>
      <c r="W181" s="1017">
        <f>IF(V181&gt;0,U181-V181,0)</f>
        <v>0</v>
      </c>
      <c r="X181" s="644">
        <f>SUM('IV-2 arsa'!O72)</f>
        <v>0</v>
      </c>
      <c r="Y181" s="1017">
        <f>SUM('ketv. 6 '!AB180)</f>
        <v>0</v>
      </c>
      <c r="Z181" s="1017">
        <f>IF(Y181&gt;0,X181-Y181,0)</f>
        <v>0</v>
      </c>
      <c r="AA181" s="644">
        <f>SUM('IV-2 arsa'!P72)</f>
        <v>626057</v>
      </c>
      <c r="AB181" s="1017">
        <f>SUM('IV-2 vrsa'!R161)</f>
        <v>0</v>
      </c>
      <c r="AC181" s="16"/>
      <c r="AD181" s="16">
        <f>SUM('ketv. 6 '!AF180)</f>
        <v>236024.6</v>
      </c>
      <c r="AE181" s="16">
        <f>IF(AD181&gt;0,AA181-AD181,0)</f>
        <v>390032.4</v>
      </c>
      <c r="AF181" s="431">
        <f>SUM('IV-2 arsa'!R72)</f>
        <v>43128</v>
      </c>
      <c r="AG181" s="337">
        <f>SUM('IV-2 arsa'!S72)</f>
        <v>43159</v>
      </c>
      <c r="AH181" s="337">
        <f>SUM('IV-2 arsa'!T72)</f>
        <v>43222</v>
      </c>
      <c r="AI181" s="337">
        <f>SUM('IV-2 arsa'!U72)</f>
        <v>43342</v>
      </c>
      <c r="AJ181" s="339">
        <f t="shared" si="205"/>
        <v>2018</v>
      </c>
      <c r="AK181" s="702">
        <f>SUM('IV-2 arsa'!V72)</f>
        <v>43830</v>
      </c>
      <c r="AL181" s="16">
        <f t="shared" si="206"/>
        <v>0</v>
      </c>
      <c r="AM181" s="16">
        <f t="shared" si="207"/>
        <v>0</v>
      </c>
      <c r="AN181" s="16">
        <f t="shared" si="208"/>
        <v>626057</v>
      </c>
      <c r="AO181" s="16">
        <f t="shared" si="209"/>
        <v>0</v>
      </c>
      <c r="AP181" s="703">
        <f t="shared" si="210"/>
        <v>0</v>
      </c>
      <c r="AQ181" s="341"/>
      <c r="AR181" s="30"/>
      <c r="AS181" s="30"/>
      <c r="AT181" s="48">
        <f t="shared" si="211"/>
        <v>488</v>
      </c>
      <c r="AU181" s="59">
        <f t="shared" si="212"/>
        <v>30.416666666666668</v>
      </c>
      <c r="AV181" s="59">
        <f t="shared" si="213"/>
        <v>16.043835616438354</v>
      </c>
    </row>
    <row r="182" spans="1:48" ht="60" customHeight="1" thickBot="1">
      <c r="A182" s="311" t="s">
        <v>1440</v>
      </c>
      <c r="B182" s="311" t="s">
        <v>1441</v>
      </c>
      <c r="C182" s="130" t="str">
        <f>CONCATENATE('ketv. 2'!B181)</f>
        <v/>
      </c>
      <c r="D182" s="311" t="str">
        <f>CONCATENATE('IV-2 dsa'!C77)</f>
        <v>Etaloninio kraštovaizdžio formavimas Druskininkų savivaldybės pasienyje</v>
      </c>
      <c r="E182" s="311" t="str">
        <f>CONCATENATE('IV-2 dsa'!D77)</f>
        <v>Druskininkų savivaldybės administracija</v>
      </c>
      <c r="F182" s="311" t="str">
        <f>CONCATENATE('IV-2 dsa'!E77)</f>
        <v>Lietuvos Respublikos aplinkos ministerija</v>
      </c>
      <c r="G182" s="311" t="str">
        <f>CONCATENATE('IV-2 dsa'!F77)</f>
        <v>Druskininkų sav.</v>
      </c>
      <c r="H182" s="130" t="str">
        <f>CONCATENATE('IV-2 dsa'!G77)</f>
        <v>05.5.1-APVA-R-019</v>
      </c>
      <c r="I182" s="311" t="str">
        <f>CONCATENATE('IV-2 dsa'!H77)</f>
        <v>R</v>
      </c>
      <c r="J182" s="311" t="str">
        <f>CONCATENATE('IV-2 dsa'!I77)</f>
        <v>-</v>
      </c>
      <c r="K182" s="311" t="str">
        <f>CONCATENATE('IV-2 dsa'!J77)</f>
        <v>-</v>
      </c>
      <c r="L182" s="644">
        <f>SUM('IV-2 dsa'!K77)</f>
        <v>88524.094117647051</v>
      </c>
      <c r="M182" s="1017">
        <f>SUM('ketv. 6 '!L183)</f>
        <v>0.8945433811439979</v>
      </c>
      <c r="N182" s="1017">
        <f>IF(M182&gt;0,L182-M182,0)</f>
        <v>88523.199574265906</v>
      </c>
      <c r="O182" s="644">
        <f>SUM('IV-2 dsa'!L77)</f>
        <v>13278.614117647059</v>
      </c>
      <c r="P182" s="1017">
        <f>SUM('ketv. 6 '!P183)</f>
        <v>0.85141731171539747</v>
      </c>
      <c r="Q182" s="1017">
        <f t="shared" si="204"/>
        <v>13277.762700335345</v>
      </c>
      <c r="R182" s="644">
        <f>SUM('IV-2 dsa'!M77)</f>
        <v>0</v>
      </c>
      <c r="S182" s="1017">
        <f ca="1">SUM('ketv. 6 '!T183)</f>
        <v>0.91265824714935162</v>
      </c>
      <c r="T182" s="1017">
        <f ca="1">IF(S182&gt;0,R182-S182,0)</f>
        <v>-0.91265824714935162</v>
      </c>
      <c r="U182" s="644">
        <f>SUM('IV-2 dsa'!N77)</f>
        <v>0</v>
      </c>
      <c r="V182" s="1017">
        <f>SUM('ketv. 6 '!X183)</f>
        <v>0.95111827871049914</v>
      </c>
      <c r="W182" s="1017">
        <f>IF(V182&gt;0,U182-V182,0)</f>
        <v>-0.95111827871049914</v>
      </c>
      <c r="X182" s="644">
        <f>SUM('IV-2 dsa'!O77)</f>
        <v>0</v>
      </c>
      <c r="Y182" s="1017">
        <f>SUM('ketv. 6 '!AB183)</f>
        <v>1.1738165437632369</v>
      </c>
      <c r="Z182" s="1017">
        <f>IF(Y182&gt;0,X182-Y182,0)</f>
        <v>-1.1738165437632369</v>
      </c>
      <c r="AA182" s="644">
        <f>SUM('IV-2 dsa'!P77)</f>
        <v>75245.48</v>
      </c>
      <c r="AB182" s="1017">
        <f>SUM('IV-2 vrsa'!R162)</f>
        <v>0</v>
      </c>
      <c r="AC182" s="16"/>
      <c r="AD182" s="16">
        <f>SUM('ketv. 6 '!AF183)</f>
        <v>0.88547141827015785</v>
      </c>
      <c r="AE182" s="16">
        <f>IF(AD182&gt;0,AA182-AD182,0)</f>
        <v>75244.594528581729</v>
      </c>
      <c r="AF182" s="431">
        <f>SUM('IV-2 arsa'!R74)</f>
        <v>0</v>
      </c>
      <c r="AG182" s="337">
        <f>SUM('IV-2 dsa'!S77)</f>
        <v>43373</v>
      </c>
      <c r="AH182" s="337">
        <f>SUM('IV-2 dsa'!T77)</f>
        <v>43554</v>
      </c>
      <c r="AI182" s="337">
        <f>SUM('IV-2 dsa'!U77)</f>
        <v>43647</v>
      </c>
      <c r="AJ182" s="339">
        <f t="shared" ref="AJ182" si="219">IF(YEAR(AI182),YEAR(AI182))</f>
        <v>2019</v>
      </c>
      <c r="AK182" s="702">
        <f>SUM('IV-2 dsa'!V77)</f>
        <v>44196</v>
      </c>
      <c r="AL182" s="16">
        <f t="shared" ref="AL182" si="220">IF(YEAR(AI182)=2016,AA182,0)</f>
        <v>0</v>
      </c>
      <c r="AM182" s="16">
        <f t="shared" ref="AM182" si="221">IF(YEAR(AI182)=2017,AA182,0)</f>
        <v>0</v>
      </c>
      <c r="AN182" s="16">
        <f t="shared" ref="AN182" si="222">IF(YEAR(AI182)=2018,AA182,0)</f>
        <v>0</v>
      </c>
      <c r="AO182" s="16">
        <f t="shared" ref="AO182" si="223">IF(YEAR(AI182)=2019,AA182,0)</f>
        <v>75245.48</v>
      </c>
      <c r="AP182" s="703">
        <f t="shared" ref="AP182" si="224">IF(YEAR(AI182)=2020,AA182,0)</f>
        <v>0</v>
      </c>
      <c r="AQ182" s="341"/>
      <c r="AR182" s="30"/>
      <c r="AS182" s="30"/>
      <c r="AT182" s="48">
        <f t="shared" si="211"/>
        <v>549</v>
      </c>
      <c r="AU182" s="59">
        <f t="shared" si="212"/>
        <v>30.416666666666668</v>
      </c>
      <c r="AV182" s="59">
        <f t="shared" si="213"/>
        <v>18.049315068493151</v>
      </c>
    </row>
    <row r="183" spans="1:48" ht="15.75" thickBot="1">
      <c r="L183" s="1496">
        <f>SUM(L7+L100+L168)</f>
        <v>67411206.668235272</v>
      </c>
      <c r="M183" s="1497"/>
      <c r="N183" s="1497"/>
      <c r="O183" s="1497">
        <f>SUM(O7+O100+O168)</f>
        <v>7859310.608235294</v>
      </c>
      <c r="P183" s="1497"/>
      <c r="Q183" s="1497"/>
      <c r="R183" s="1497">
        <f ca="1">SUM(R7+R100+R168)</f>
        <v>1133920.1100000001</v>
      </c>
      <c r="S183" s="1497"/>
      <c r="T183" s="1497"/>
      <c r="U183" s="1497">
        <f>SUM(U7+U100+U168)</f>
        <v>9373204.9100000001</v>
      </c>
      <c r="V183" s="1497"/>
      <c r="W183" s="1497"/>
      <c r="X183" s="1497">
        <f>SUM(X7+X100+X168)</f>
        <v>416360.77</v>
      </c>
      <c r="Y183" s="1497"/>
      <c r="Z183" s="1497"/>
      <c r="AA183" s="1497">
        <f>SUM(AA7+AA100+AA168)</f>
        <v>48628410.269999996</v>
      </c>
      <c r="AB183" s="330"/>
      <c r="AC183" s="330"/>
      <c r="AD183" s="330"/>
      <c r="AE183" s="330"/>
      <c r="AF183" s="330"/>
      <c r="AL183" s="59">
        <f ca="1">SUM(O183:AA183)</f>
        <v>67411206.668235287</v>
      </c>
      <c r="AM183" s="59"/>
      <c r="AN183" s="59"/>
      <c r="AO183" s="59"/>
      <c r="AP183" s="59"/>
      <c r="AQ183" s="47"/>
      <c r="AR183" s="47"/>
      <c r="AS183" s="47"/>
    </row>
    <row r="184" spans="1:48">
      <c r="O184" s="54"/>
      <c r="P184" s="54"/>
      <c r="Q184" s="54"/>
    </row>
    <row r="188" spans="1:48">
      <c r="O188" s="59"/>
      <c r="P188" s="59"/>
      <c r="Q188" s="59"/>
      <c r="U188" s="54"/>
      <c r="V188" s="54"/>
      <c r="W188" s="54"/>
    </row>
  </sheetData>
  <autoFilter ref="A5:AK183" xr:uid="{00000000-0009-0000-0000-000002000000}"/>
  <mergeCells count="42">
    <mergeCell ref="B172:K172"/>
    <mergeCell ref="B173:K173"/>
    <mergeCell ref="B160:K160"/>
    <mergeCell ref="B161:K161"/>
    <mergeCell ref="B168:K168"/>
    <mergeCell ref="B169:K169"/>
    <mergeCell ref="B170:K170"/>
    <mergeCell ref="B135:K135"/>
    <mergeCell ref="B141:K141"/>
    <mergeCell ref="B147:K147"/>
    <mergeCell ref="B148:K148"/>
    <mergeCell ref="B154:K154"/>
    <mergeCell ref="AS3:AS4"/>
    <mergeCell ref="AR3:AR4"/>
    <mergeCell ref="A3:K3"/>
    <mergeCell ref="AQ3:AQ4"/>
    <mergeCell ref="AD3:AE3"/>
    <mergeCell ref="AF3:AP3"/>
    <mergeCell ref="L3:AB3"/>
    <mergeCell ref="B121:K121"/>
    <mergeCell ref="B56:K56"/>
    <mergeCell ref="B62:K62"/>
    <mergeCell ref="B8:K8"/>
    <mergeCell ref="B9:K9"/>
    <mergeCell ref="B33:K33"/>
    <mergeCell ref="B39:K39"/>
    <mergeCell ref="B46:K46"/>
    <mergeCell ref="B67:K67"/>
    <mergeCell ref="B73:K73"/>
    <mergeCell ref="B74:K74"/>
    <mergeCell ref="B79:K79"/>
    <mergeCell ref="B86:K86"/>
    <mergeCell ref="B92:K92"/>
    <mergeCell ref="B100:K100"/>
    <mergeCell ref="B101:K101"/>
    <mergeCell ref="B7:K7"/>
    <mergeCell ref="B50:K50"/>
    <mergeCell ref="B114:K114"/>
    <mergeCell ref="B120:K120"/>
    <mergeCell ref="B102:K102"/>
    <mergeCell ref="B108:K108"/>
    <mergeCell ref="B58:K58"/>
  </mergeCells>
  <pageMargins left="0.23622047244094491" right="0.23622047244094491" top="0.74803149606299213" bottom="0.74803149606299213" header="0.31496062992125984" footer="0.31496062992125984"/>
  <pageSetup paperSize="8" scale="69" fitToHeight="0" orientation="landscape" r:id="rId1"/>
  <headerFooter>
    <oddHeader>&amp;C&amp;"Times New Roman,Paprastas"&amp;12Alytaus regiono 2014 – 2020 metų plėtros planas</oddHeader>
  </headerFooter>
  <ignoredErrors>
    <ignoredError sqref="AE79 N86 Q86 T86 W86 Z86 AE86 AL86:AP86 Z92 AE92 N108 Q108 T108 W108 Z108 AE108 AL108:AP108 N114 Q114 T114 W114 Z114 AE114 AL114:AP114 N135 Q135 T135 W135 Z135 AE135 N154 Q154 T154 W154 Z154 AE154 AL154:AP154 O170 R170 U170 X170 AA170 N33 Q33 T33 W33 Z33 AE33 AL33:AP33 N46 Q46 T46 W46 Z46 AE46 AL46:AP46 N50 Q50 T50 W50 Z50 AE50 AL50:AP50 N56:O56 Q56:R56 T56:U56 W56:X56 Z79 AL67:AP67 AE67 Z67 W67 T67 Q67 N67 AL62:AP62 AE62 Z62 W62 T62 Q62 N62 AL58:AP58 AE58 Z58 W58 T58 Q58 N58 AL56:AP56 AE56 Z56"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X185"/>
  <sheetViews>
    <sheetView showRuler="0" topLeftCell="D78" zoomScaleNormal="100" workbookViewId="0">
      <pane ySplit="3975" topLeftCell="A145" activePane="bottomLeft"/>
      <selection activeCell="L3" sqref="L3"/>
      <selection pane="bottomLeft" activeCell="A149" sqref="A149:XFD149"/>
    </sheetView>
  </sheetViews>
  <sheetFormatPr defaultColWidth="9.140625" defaultRowHeight="15"/>
  <cols>
    <col min="1" max="1" width="9.140625" style="48"/>
    <col min="2" max="2" width="12.28515625" style="48" customWidth="1"/>
    <col min="3" max="3" width="28.28515625" style="48" customWidth="1"/>
    <col min="4" max="4" width="13" style="48" customWidth="1"/>
    <col min="5" max="5" width="18" style="48" customWidth="1"/>
    <col min="6" max="6" width="12.28515625" style="48" customWidth="1"/>
    <col min="7" max="7" width="19.42578125" style="48" customWidth="1"/>
    <col min="8" max="8" width="4.140625" style="48" bestFit="1" customWidth="1"/>
    <col min="9" max="9" width="3.28515625" style="48" bestFit="1" customWidth="1"/>
    <col min="10" max="10" width="5.140625" style="48" customWidth="1"/>
    <col min="11" max="11" width="6.7109375" style="48" bestFit="1" customWidth="1"/>
    <col min="12" max="12" width="26.28515625" style="48" customWidth="1"/>
    <col min="13" max="13" width="6.7109375" style="48" customWidth="1"/>
    <col min="14" max="14" width="20.85546875" style="48" customWidth="1"/>
    <col min="15" max="15" width="7" style="48" customWidth="1"/>
    <col min="16" max="16" width="15.28515625" style="48" customWidth="1"/>
    <col min="17" max="17" width="9" style="48" customWidth="1"/>
    <col min="18" max="18" width="15.28515625" style="48" customWidth="1"/>
    <col min="19" max="19" width="9" style="48" customWidth="1"/>
    <col min="20" max="20" width="15.28515625" style="48" customWidth="1"/>
    <col min="21" max="21" width="6.85546875" style="48" customWidth="1"/>
    <col min="22" max="22" width="10" style="48" customWidth="1"/>
    <col min="23" max="23" width="9.28515625" style="48" customWidth="1"/>
    <col min="24" max="16384" width="9.140625" style="48"/>
  </cols>
  <sheetData>
    <row r="2" spans="1:23" ht="16.5" thickBot="1">
      <c r="A2" s="437" t="s">
        <v>320</v>
      </c>
      <c r="B2" s="437"/>
    </row>
    <row r="3" spans="1:23" ht="65.25" thickTop="1" thickBot="1">
      <c r="A3" s="482" t="s">
        <v>7</v>
      </c>
      <c r="B3" s="621" t="s">
        <v>1243</v>
      </c>
      <c r="C3" s="483" t="s">
        <v>49</v>
      </c>
      <c r="D3" s="483" t="s">
        <v>50</v>
      </c>
      <c r="E3" s="483" t="s">
        <v>51</v>
      </c>
      <c r="F3" s="483" t="s">
        <v>52</v>
      </c>
      <c r="G3" s="484" t="s">
        <v>53</v>
      </c>
      <c r="H3" s="483" t="s">
        <v>1248</v>
      </c>
      <c r="I3" s="483" t="s">
        <v>1249</v>
      </c>
      <c r="J3" s="485" t="s">
        <v>322</v>
      </c>
      <c r="K3" s="483" t="s">
        <v>323</v>
      </c>
      <c r="L3" s="485" t="s">
        <v>324</v>
      </c>
      <c r="M3" s="483" t="s">
        <v>325</v>
      </c>
      <c r="N3" s="485" t="s">
        <v>326</v>
      </c>
      <c r="O3" s="483" t="s">
        <v>327</v>
      </c>
      <c r="P3" s="485" t="s">
        <v>328</v>
      </c>
      <c r="Q3" s="483" t="s">
        <v>329</v>
      </c>
      <c r="R3" s="485" t="s">
        <v>1203</v>
      </c>
      <c r="S3" s="483" t="s">
        <v>444</v>
      </c>
      <c r="T3" s="485" t="s">
        <v>1204</v>
      </c>
      <c r="U3" s="486" t="s">
        <v>330</v>
      </c>
      <c r="V3" s="487" t="s">
        <v>331</v>
      </c>
      <c r="W3" s="488" t="s">
        <v>332</v>
      </c>
    </row>
    <row r="4" spans="1:23" ht="15.75" thickBot="1">
      <c r="A4" s="17"/>
      <c r="B4" s="15"/>
      <c r="C4" s="15"/>
      <c r="D4" s="15"/>
      <c r="E4" s="15"/>
      <c r="F4" s="15"/>
      <c r="G4" s="15"/>
      <c r="H4" s="10"/>
      <c r="I4" s="10"/>
      <c r="J4" s="489"/>
      <c r="K4" s="10"/>
      <c r="L4" s="49"/>
      <c r="M4" s="15"/>
      <c r="N4" s="49"/>
      <c r="O4" s="15"/>
      <c r="P4" s="49"/>
      <c r="Q4" s="15"/>
      <c r="R4" s="49"/>
      <c r="S4" s="15"/>
      <c r="T4" s="49"/>
      <c r="U4" s="18"/>
      <c r="V4" s="15"/>
      <c r="W4" s="49"/>
    </row>
    <row r="5" spans="1:23" ht="88.5" customHeight="1" thickBot="1">
      <c r="A5" s="139" t="s">
        <v>11</v>
      </c>
      <c r="B5" s="622"/>
      <c r="C5" s="1951" t="str">
        <f>CONCATENATE('3 pr-2'!D7)</f>
        <v/>
      </c>
      <c r="D5" s="1924"/>
      <c r="E5" s="1924"/>
      <c r="F5" s="1924"/>
      <c r="G5" s="1924"/>
      <c r="H5" s="1924"/>
      <c r="I5" s="1924"/>
      <c r="J5" s="1925"/>
      <c r="K5" s="490"/>
      <c r="L5" s="491"/>
      <c r="M5" s="492" t="s">
        <v>66</v>
      </c>
      <c r="N5" s="491"/>
      <c r="O5" s="492" t="s">
        <v>66</v>
      </c>
      <c r="P5" s="491"/>
      <c r="Q5" s="492" t="s">
        <v>66</v>
      </c>
      <c r="R5" s="491"/>
      <c r="S5" s="492" t="s">
        <v>66</v>
      </c>
      <c r="T5" s="491"/>
      <c r="U5" s="493"/>
      <c r="V5" s="492" t="s">
        <v>66</v>
      </c>
      <c r="W5" s="491"/>
    </row>
    <row r="6" spans="1:23" ht="48.75" customHeight="1" thickBot="1">
      <c r="A6" s="138" t="s">
        <v>12</v>
      </c>
      <c r="B6" s="623"/>
      <c r="C6" s="1948" t="s">
        <v>829</v>
      </c>
      <c r="D6" s="1949"/>
      <c r="E6" s="1949"/>
      <c r="F6" s="1949"/>
      <c r="G6" s="1949"/>
      <c r="H6" s="1949"/>
      <c r="I6" s="1949"/>
      <c r="J6" s="1950"/>
      <c r="K6" s="494"/>
      <c r="L6" s="495"/>
      <c r="M6" s="496" t="s">
        <v>66</v>
      </c>
      <c r="N6" s="495"/>
      <c r="O6" s="496" t="s">
        <v>66</v>
      </c>
      <c r="P6" s="495"/>
      <c r="Q6" s="496" t="s">
        <v>66</v>
      </c>
      <c r="R6" s="495"/>
      <c r="S6" s="496" t="s">
        <v>66</v>
      </c>
      <c r="T6" s="495"/>
      <c r="U6" s="497"/>
      <c r="V6" s="496" t="s">
        <v>66</v>
      </c>
      <c r="W6" s="495"/>
    </row>
    <row r="7" spans="1:23" ht="41.25" customHeight="1" thickBot="1">
      <c r="A7" s="297" t="s">
        <v>67</v>
      </c>
      <c r="B7" s="624"/>
      <c r="C7" s="1931" t="s">
        <v>824</v>
      </c>
      <c r="D7" s="1940"/>
      <c r="E7" s="1940"/>
      <c r="F7" s="1940"/>
      <c r="G7" s="1940"/>
      <c r="H7" s="1940"/>
      <c r="I7" s="1940"/>
      <c r="J7" s="1941"/>
      <c r="K7" s="498"/>
      <c r="L7" s="499"/>
      <c r="M7" s="500" t="s">
        <v>66</v>
      </c>
      <c r="N7" s="499"/>
      <c r="O7" s="500" t="s">
        <v>66</v>
      </c>
      <c r="P7" s="499"/>
      <c r="Q7" s="500" t="s">
        <v>66</v>
      </c>
      <c r="R7" s="499"/>
      <c r="S7" s="500" t="s">
        <v>66</v>
      </c>
      <c r="T7" s="499"/>
      <c r="U7" s="501"/>
      <c r="V7" s="502">
        <f>SUM('3 pr-2'!L9)</f>
        <v>4458652.3499999996</v>
      </c>
      <c r="W7" s="503">
        <f>SUM('3 pr-2'!AA9)</f>
        <v>3263405</v>
      </c>
    </row>
    <row r="8" spans="1:23" ht="51.75" thickBot="1">
      <c r="A8" s="130" t="str">
        <f>CONCATENATE('3 pr-2'!A10)</f>
        <v>1.1.1.1.1</v>
      </c>
      <c r="B8" s="130" t="str">
        <f>CONCATENATE('3 pr-2'!B10)</f>
        <v>R01-ZM72-120000-1101</v>
      </c>
      <c r="C8" s="311" t="str">
        <f>CONCATENATE('3 pr-2'!D10)</f>
        <v xml:space="preserve">Druskininkų savivaldybės Viečiūnų seniūnijos Ilgio ir Raigardo seniūnaitijų kelių būklės gerinimas  </v>
      </c>
      <c r="D8" s="311" t="str">
        <f>CONCATENATE('3 pr-2'!E10)</f>
        <v xml:space="preserve">Druskininkų savivaldybės administracija  </v>
      </c>
      <c r="E8" s="311" t="str">
        <f>CONCATENATE('3 pr-2'!F10)</f>
        <v>Lietuvos Respublikos žemės ūkio ministerija</v>
      </c>
      <c r="F8" s="311" t="str">
        <f>CONCATENATE('3 pr-2'!G10)</f>
        <v>Druskininkų sav.</v>
      </c>
      <c r="G8" s="311" t="str">
        <f>CONCATENATE('3 pr-2'!H10)</f>
        <v xml:space="preserve">Pagrindinės paslaugos ir kaimų atnaujinimas kaimo vietovėse </v>
      </c>
      <c r="H8" s="130" t="str">
        <f>CONCATENATE('3 pr-2'!I10)</f>
        <v>R</v>
      </c>
      <c r="I8" s="130" t="str">
        <f>CONCATENATE('3 pr-2'!J10)</f>
        <v>-</v>
      </c>
      <c r="J8" s="130" t="str">
        <f>CONCATENATE('3 pr-2'!K10)</f>
        <v>-</v>
      </c>
      <c r="K8" s="130" t="str">
        <f>MID('3 pr-2'!B10,10,2)</f>
        <v>12</v>
      </c>
      <c r="L8" s="130" t="str">
        <f>IFERROR(INDEX(Veiklos!$C$2:$C$54,MATCH(K8,Veiklos!$D$2:$D$54,0),1),"")</f>
        <v>Vietinės reikšmės keliai ir gatvės (rekonstrukcija)</v>
      </c>
      <c r="M8" s="130" t="str">
        <f>MID('3 pr-2'!B10,12,2)</f>
        <v>00</v>
      </c>
      <c r="N8" s="130">
        <f>IFERROR(INDEX(Veiklos!$C$2:$C$54,MATCH(M8,Veiklos!$D$2:$D$54,0),1),"")</f>
        <v>0</v>
      </c>
      <c r="O8" s="130" t="str">
        <f>MID('3 pr-2'!B10,14,2)</f>
        <v>00</v>
      </c>
      <c r="P8" s="130">
        <f>IFERROR(INDEX(Veiklos!$C$2:$C$54,MATCH(O8,Veiklos!$D$2:$D$54,0),1),"")</f>
        <v>0</v>
      </c>
      <c r="Q8" s="130" t="s">
        <v>66</v>
      </c>
      <c r="R8" s="130" t="s">
        <v>66</v>
      </c>
      <c r="S8" s="130" t="s">
        <v>66</v>
      </c>
      <c r="T8" s="130" t="s">
        <v>66</v>
      </c>
      <c r="U8" s="316">
        <v>1</v>
      </c>
      <c r="V8" s="504">
        <f>SUM('3 pr-2'!L10)</f>
        <v>250766</v>
      </c>
      <c r="W8" s="504">
        <f>SUM('3 pr-2'!AA10)</f>
        <v>159115</v>
      </c>
    </row>
    <row r="9" spans="1:23" ht="51.75" thickBot="1">
      <c r="A9" s="130" t="str">
        <f>CONCATENATE('3 pr-2'!A11)</f>
        <v>1.1.1.1.2</v>
      </c>
      <c r="B9" s="130" t="str">
        <f>CONCATENATE('3 pr-2'!B11)</f>
        <v>R01-ZM72-120000-1102</v>
      </c>
      <c r="C9" s="311" t="str">
        <f>CONCATENATE('3 pr-2'!D11)</f>
        <v>Druskininkų savivaldybės Viečiūnų seniūnijos Ratnyčėlės seniūnaitijos kelių būklės gerinimas</v>
      </c>
      <c r="D9" s="311" t="str">
        <f>CONCATENATE('3 pr-2'!E11)</f>
        <v xml:space="preserve">Druskininkų savivaldybės administracija  </v>
      </c>
      <c r="E9" s="311" t="str">
        <f>CONCATENATE('3 pr-2'!F11)</f>
        <v>Lietuvos Respublikos žemės ūkio ministerija</v>
      </c>
      <c r="F9" s="311" t="str">
        <f>CONCATENATE('3 pr-2'!G11)</f>
        <v>Druskininkų sav.</v>
      </c>
      <c r="G9" s="311" t="str">
        <f>CONCATENATE('3 pr-2'!H11)</f>
        <v xml:space="preserve">Pagrindinės paslaugos ir kaimų atnaujinimas kaimo vietovėse </v>
      </c>
      <c r="H9" s="130" t="str">
        <f>CONCATENATE('3 pr-2'!I11)</f>
        <v>R</v>
      </c>
      <c r="I9" s="130" t="str">
        <f>CONCATENATE('3 pr-2'!J11)</f>
        <v>-</v>
      </c>
      <c r="J9" s="130" t="str">
        <f>CONCATENATE('3 pr-2'!K11)</f>
        <v>-</v>
      </c>
      <c r="K9" s="130" t="str">
        <f>MID('3 pr-2'!B11,10,2)</f>
        <v>12</v>
      </c>
      <c r="L9" s="130" t="str">
        <f>IFERROR(INDEX(Veiklos!$C$2:$C$54,MATCH(K9,Veiklos!$D$2:$D$54,0),1),"")</f>
        <v>Vietinės reikšmės keliai ir gatvės (rekonstrukcija)</v>
      </c>
      <c r="M9" s="130" t="str">
        <f>MID('3 pr-2'!B11,12,2)</f>
        <v>00</v>
      </c>
      <c r="N9" s="130">
        <f>IFERROR(INDEX(Veiklos!$C$2:$C$54,MATCH(M9,Veiklos!$D$2:$D$54,0),1),"")</f>
        <v>0</v>
      </c>
      <c r="O9" s="130" t="str">
        <f>MID('3 pr-2'!B11,14,2)</f>
        <v>00</v>
      </c>
      <c r="P9" s="130">
        <f>IFERROR(INDEX(Veiklos!$C$2:$C$54,MATCH(O9,Veiklos!$D$2:$D$54,0),1),"")</f>
        <v>0</v>
      </c>
      <c r="Q9" s="130" t="s">
        <v>66</v>
      </c>
      <c r="R9" s="130" t="s">
        <v>66</v>
      </c>
      <c r="S9" s="130" t="s">
        <v>66</v>
      </c>
      <c r="T9" s="130" t="s">
        <v>66</v>
      </c>
      <c r="U9" s="316">
        <v>1</v>
      </c>
      <c r="V9" s="504">
        <f>SUM('3 pr-2'!L11)</f>
        <v>188039</v>
      </c>
      <c r="W9" s="504">
        <f>SUM('3 pr-2'!AA11)</f>
        <v>121071</v>
      </c>
    </row>
    <row r="10" spans="1:23" ht="51.75" thickBot="1">
      <c r="A10" s="130" t="str">
        <f>CONCATENATE('3 pr-2'!A12)</f>
        <v>1.1.1.1.3</v>
      </c>
      <c r="B10" s="130" t="str">
        <f>CONCATENATE('3 pr-2'!B12)</f>
        <v>R01-ZM72-120000-1103</v>
      </c>
      <c r="C10" s="311" t="str">
        <f>CONCATENATE('3 pr-2'!D12)</f>
        <v>Druskininkų savivaldybės Leipalingio seniūnijos Klonio seniūnaitijos kelių būklės gerinimas</v>
      </c>
      <c r="D10" s="311" t="str">
        <f>CONCATENATE('3 pr-2'!E12)</f>
        <v xml:space="preserve">Druskininkų savivaldybės administracija  </v>
      </c>
      <c r="E10" s="311" t="str">
        <f>CONCATENATE('3 pr-2'!F12)</f>
        <v>Lietuvos Respublikos žemės ūkio ministerija</v>
      </c>
      <c r="F10" s="311" t="str">
        <f>CONCATENATE('3 pr-2'!G12)</f>
        <v>Druskininkų sav.</v>
      </c>
      <c r="G10" s="311" t="str">
        <f>CONCATENATE('3 pr-2'!H12)</f>
        <v xml:space="preserve">Pagrindinės paslaugos ir kaimų atnaujinimas kaimo vietovėse </v>
      </c>
      <c r="H10" s="130" t="str">
        <f>CONCATENATE('3 pr-2'!I12)</f>
        <v>R</v>
      </c>
      <c r="I10" s="130" t="str">
        <f>CONCATENATE('3 pr-2'!J12)</f>
        <v>-</v>
      </c>
      <c r="J10" s="130" t="str">
        <f>CONCATENATE('3 pr-2'!K12)</f>
        <v>-</v>
      </c>
      <c r="K10" s="130" t="str">
        <f>MID('3 pr-2'!B12,10,2)</f>
        <v>12</v>
      </c>
      <c r="L10" s="130" t="str">
        <f>IFERROR(INDEX(Veiklos!$C$2:$C$54,MATCH(K10,Veiklos!$D$2:$D$54,0),1),"")</f>
        <v>Vietinės reikšmės keliai ir gatvės (rekonstrukcija)</v>
      </c>
      <c r="M10" s="130" t="str">
        <f>MID('3 pr-2'!B12,12,2)</f>
        <v>00</v>
      </c>
      <c r="N10" s="130">
        <f>IFERROR(INDEX(Veiklos!$C$2:$C$54,MATCH(M10,Veiklos!$D$2:$D$54,0),1),"")</f>
        <v>0</v>
      </c>
      <c r="O10" s="130" t="str">
        <f>MID('3 pr-2'!B12,14,2)</f>
        <v>00</v>
      </c>
      <c r="P10" s="130">
        <f>IFERROR(INDEX(Veiklos!$C$2:$C$54,MATCH(O10,Veiklos!$D$2:$D$54,0),1),"")</f>
        <v>0</v>
      </c>
      <c r="Q10" s="130" t="s">
        <v>66</v>
      </c>
      <c r="R10" s="130" t="s">
        <v>66</v>
      </c>
      <c r="S10" s="130" t="s">
        <v>66</v>
      </c>
      <c r="T10" s="130" t="s">
        <v>66</v>
      </c>
      <c r="U10" s="316">
        <v>1</v>
      </c>
      <c r="V10" s="504">
        <f>SUM('3 pr-2'!L12)</f>
        <v>222319</v>
      </c>
      <c r="W10" s="504">
        <f>SUM('3 pr-2'!AA12)</f>
        <v>154446</v>
      </c>
    </row>
    <row r="11" spans="1:23" ht="51.75" thickBot="1">
      <c r="A11" s="130" t="str">
        <f>CONCATENATE('3 pr-2'!A13)</f>
        <v>1.1.1.1.4</v>
      </c>
      <c r="B11" s="130" t="str">
        <f>CONCATENATE('3 pr-2'!B13)</f>
        <v>R01-ZM72-330200-1104</v>
      </c>
      <c r="C11" s="311" t="str">
        <f>CONCATENATE('3 pr-2'!D13)</f>
        <v>Rudaminos laisvalaikio salės pritaikymas bendruomenės poreikiams ir liaudies amatų plėtrai</v>
      </c>
      <c r="D11" s="311" t="str">
        <f>CONCATENATE('3 pr-2'!E13)</f>
        <v>Viešoji įstaiga Lazdijų kultūros centras</v>
      </c>
      <c r="E11" s="311" t="str">
        <f>CONCATENATE('3 pr-2'!F13)</f>
        <v>Lietuvos Respublikos žemės ūkio ministerija</v>
      </c>
      <c r="F11" s="311" t="str">
        <f>CONCATENATE('3 pr-2'!G13)</f>
        <v>Lazdijų r. sav.</v>
      </c>
      <c r="G11" s="311" t="str">
        <f>CONCATENATE('3 pr-2'!H13)</f>
        <v xml:space="preserve">Pagrindinės paslaugos ir kaimų atnaujinimas kaimo vietovėse </v>
      </c>
      <c r="H11" s="130" t="str">
        <f>CONCATENATE('3 pr-2'!I13)</f>
        <v>R</v>
      </c>
      <c r="I11" s="130" t="str">
        <f>CONCATENATE('3 pr-2'!J13)</f>
        <v>-</v>
      </c>
      <c r="J11" s="130" t="str">
        <f>CONCATENATE('3 pr-2'!K13)</f>
        <v>-</v>
      </c>
      <c r="K11" s="130" t="str">
        <f>MID('3 pr-2'!B13,10,2)</f>
        <v>33</v>
      </c>
      <c r="L11" s="130" t="str">
        <f>IFERROR(INDEX(Veiklos!$C$2:$C$54,MATCH(K11,Veiklos!$D$2:$D$54,0),1),"")</f>
        <v>Kitos viešosios infrastruktūros modernizavimas (pastatai ir statiniai): kultūros objektai</v>
      </c>
      <c r="M11" s="130" t="str">
        <f>MID('3 pr-2'!B13,12,2)</f>
        <v>02</v>
      </c>
      <c r="N11" s="130" t="str">
        <f>IFERROR(INDEX(Veiklos!$C$2:$C$54,MATCH(M11,Veiklos!$D$2:$D$54,0),1),"")</f>
        <v>Viešųjų pastatų energinio efektyvumo didinimas</v>
      </c>
      <c r="O11" s="130" t="str">
        <f>MID('3 pr-2'!B13,14,2)</f>
        <v>00</v>
      </c>
      <c r="P11" s="130">
        <f>IFERROR(INDEX(Veiklos!$C$2:$C$54,MATCH(O11,Veiklos!$D$2:$D$54,0),1),"")</f>
        <v>0</v>
      </c>
      <c r="Q11" s="130" t="s">
        <v>66</v>
      </c>
      <c r="R11" s="130" t="s">
        <v>66</v>
      </c>
      <c r="S11" s="130" t="s">
        <v>66</v>
      </c>
      <c r="T11" s="130" t="s">
        <v>66</v>
      </c>
      <c r="U11" s="316">
        <v>1</v>
      </c>
      <c r="V11" s="504">
        <f>SUM('3 pr-2'!L13)</f>
        <v>123160</v>
      </c>
      <c r="W11" s="504">
        <f>SUM('3 pr-2'!AA13)</f>
        <v>98528</v>
      </c>
    </row>
    <row r="12" spans="1:23" ht="51.75" thickBot="1">
      <c r="A12" s="130" t="str">
        <f>CONCATENATE('3 pr-2'!A14)</f>
        <v>1.1.1.1.5</v>
      </c>
      <c r="B12" s="130" t="str">
        <f>CONCATENATE('3 pr-2'!B14)</f>
        <v>R01-ZM72-120000-1105</v>
      </c>
      <c r="C12" s="311" t="str">
        <f>CONCATENATE('3 pr-2'!D14)</f>
        <v>Druskininkų savivaldybės Leipalingio seniūnijos Bilso seniūnaitijos kelių būklės gerinimas</v>
      </c>
      <c r="D12" s="311" t="str">
        <f>CONCATENATE('3 pr-2'!E14)</f>
        <v xml:space="preserve">Druskininkų savivaldybės administracija  </v>
      </c>
      <c r="E12" s="311" t="str">
        <f>CONCATENATE('3 pr-2'!F14)</f>
        <v>Lietuvos Respublikos žemės ūkio ministerija</v>
      </c>
      <c r="F12" s="311" t="str">
        <f>CONCATENATE('3 pr-2'!G14)</f>
        <v>Druskininkų sav.</v>
      </c>
      <c r="G12" s="311" t="str">
        <f>CONCATENATE('3 pr-2'!H14)</f>
        <v xml:space="preserve">Pagrindinės paslaugos ir kaimų atnaujinimas kaimo vietovėse </v>
      </c>
      <c r="H12" s="130" t="str">
        <f>CONCATENATE('3 pr-2'!I14)</f>
        <v>R</v>
      </c>
      <c r="I12" s="130" t="str">
        <f>CONCATENATE('3 pr-2'!J14)</f>
        <v>-</v>
      </c>
      <c r="J12" s="130" t="str">
        <f>CONCATENATE('3 pr-2'!K14)</f>
        <v>-</v>
      </c>
      <c r="K12" s="130" t="str">
        <f>MID('3 pr-2'!B14,10,2)</f>
        <v>12</v>
      </c>
      <c r="L12" s="130" t="str">
        <f>IFERROR(INDEX(Veiklos!$C$2:$C$54,MATCH(K12,Veiklos!$D$2:$D$54,0),1),"")</f>
        <v>Vietinės reikšmės keliai ir gatvės (rekonstrukcija)</v>
      </c>
      <c r="M12" s="130" t="str">
        <f>MID('3 pr-2'!B14,12,2)</f>
        <v>00</v>
      </c>
      <c r="N12" s="130">
        <f>IFERROR(INDEX(Veiklos!$C$2:$C$54,MATCH(M12,Veiklos!$D$2:$D$54,0),1),"")</f>
        <v>0</v>
      </c>
      <c r="O12" s="130" t="str">
        <f>MID('3 pr-2'!B14,14,2)</f>
        <v>00</v>
      </c>
      <c r="P12" s="130">
        <f>IFERROR(INDEX(Veiklos!$C$2:$C$54,MATCH(O12,Veiklos!$D$2:$D$54,0),1),"")</f>
        <v>0</v>
      </c>
      <c r="Q12" s="130" t="s">
        <v>66</v>
      </c>
      <c r="R12" s="130" t="s">
        <v>66</v>
      </c>
      <c r="S12" s="130" t="s">
        <v>66</v>
      </c>
      <c r="T12" s="130" t="s">
        <v>66</v>
      </c>
      <c r="U12" s="316">
        <v>1</v>
      </c>
      <c r="V12" s="504">
        <f>SUM('3 pr-2'!L14)</f>
        <v>265076</v>
      </c>
      <c r="W12" s="504">
        <f>SUM('3 pr-2'!AA14)</f>
        <v>128044</v>
      </c>
    </row>
    <row r="13" spans="1:23" ht="77.25" thickBot="1">
      <c r="A13" s="130" t="str">
        <f>CONCATENATE('3 pr-2'!A15)</f>
        <v>1.1.1.1.6</v>
      </c>
      <c r="B13" s="130" t="str">
        <f>CONCATENATE('3 pr-2'!B15)</f>
        <v>R01-ZM72-330200-1106</v>
      </c>
      <c r="C13" s="311" t="str">
        <f>CONCATENATE('3 pr-2'!D15)</f>
        <v>Lazdijų rajono kaimų patrauklumo didinimas atnaujinant bibliotekas</v>
      </c>
      <c r="D13" s="311" t="str">
        <f>CONCATENATE('3 pr-2'!E15)</f>
        <v xml:space="preserve">Biudžetinė įstaiga Lazdijų rajono savivaldybės viešoji biblioteka </v>
      </c>
      <c r="E13" s="311" t="str">
        <f>CONCATENATE('3 pr-2'!F15)</f>
        <v>Lietuvos Respublikos žemės ūkio ministerija</v>
      </c>
      <c r="F13" s="311" t="str">
        <f>CONCATENATE('3 pr-2'!G15)</f>
        <v>Lazdijų r. sav.</v>
      </c>
      <c r="G13" s="311" t="str">
        <f>CONCATENATE('3 pr-2'!H15)</f>
        <v xml:space="preserve">Pagrindinės paslaugos ir kaimų atnaujinimas kaimo vietovėse </v>
      </c>
      <c r="H13" s="130" t="str">
        <f>CONCATENATE('3 pr-2'!I15)</f>
        <v>R</v>
      </c>
      <c r="I13" s="130" t="str">
        <f>CONCATENATE('3 pr-2'!J15)</f>
        <v>-</v>
      </c>
      <c r="J13" s="130" t="str">
        <f>CONCATENATE('3 pr-2'!K15)</f>
        <v>-</v>
      </c>
      <c r="K13" s="130" t="str">
        <f>MID('3 pr-2'!B15,10,2)</f>
        <v>33</v>
      </c>
      <c r="L13" s="130" t="str">
        <f>IFERROR(INDEX(Veiklos!$C$2:$C$54,MATCH(K13,Veiklos!$D$2:$D$54,0),1),"")</f>
        <v>Kitos viešosios infrastruktūros modernizavimas (pastatai ir statiniai): kultūros objektai</v>
      </c>
      <c r="M13" s="130" t="str">
        <f>MID('3 pr-2'!B15,12,2)</f>
        <v>02</v>
      </c>
      <c r="N13" s="130" t="str">
        <f>IFERROR(INDEX(Veiklos!$C$2:$C$54,MATCH(M13,Veiklos!$D$2:$D$54,0),1),"")</f>
        <v>Viešųjų pastatų energinio efektyvumo didinimas</v>
      </c>
      <c r="O13" s="130" t="str">
        <f>MID('3 pr-2'!B15,14,2)</f>
        <v>00</v>
      </c>
      <c r="P13" s="130">
        <f>IFERROR(INDEX(Veiklos!$C$2:$C$54,MATCH(O13,Veiklos!$D$2:$D$54,0),1),"")</f>
        <v>0</v>
      </c>
      <c r="Q13" s="130" t="s">
        <v>66</v>
      </c>
      <c r="R13" s="130" t="s">
        <v>66</v>
      </c>
      <c r="S13" s="130" t="s">
        <v>66</v>
      </c>
      <c r="T13" s="130" t="s">
        <v>66</v>
      </c>
      <c r="U13" s="316">
        <v>1</v>
      </c>
      <c r="V13" s="504">
        <f>SUM('3 pr-2'!L15)</f>
        <v>200999</v>
      </c>
      <c r="W13" s="504">
        <f>SUM('3 pr-2'!AA15)</f>
        <v>159928</v>
      </c>
    </row>
    <row r="14" spans="1:23" ht="64.5" thickBot="1">
      <c r="A14" s="130" t="str">
        <f>CONCATENATE('3 pr-2'!A16)</f>
        <v>1.1.1.1.7</v>
      </c>
      <c r="B14" s="130" t="str">
        <f>CONCATENATE('3 pr-2'!B16)</f>
        <v>R01-ZM72-123200-1107</v>
      </c>
      <c r="C14" s="311" t="str">
        <f>CONCATENATE('3 pr-2'!D16)</f>
        <v>Alytaus rajono Miroslavo kaimo multifunkcinės sporto aikštės įrengimas ir gatvių bei šaligatvių rekonstrukcija</v>
      </c>
      <c r="D14" s="311" t="str">
        <f>CONCATENATE('3 pr-2'!E16)</f>
        <v>Alytaus rajono savivaldybės administracija</v>
      </c>
      <c r="E14" s="311" t="str">
        <f>CONCATENATE('3 pr-2'!F16)</f>
        <v>Lietuvos Respublikos žemės ūkio ministerija</v>
      </c>
      <c r="F14" s="311" t="str">
        <f>CONCATENATE('3 pr-2'!G16)</f>
        <v>Alytaus r. sav.</v>
      </c>
      <c r="G14" s="311" t="str">
        <f>CONCATENATE('3 pr-2'!H16)</f>
        <v xml:space="preserve">Pagrindinės paslaugos ir kaimų atnaujinimas kaimo vietovėse </v>
      </c>
      <c r="H14" s="130" t="str">
        <f>CONCATENATE('3 pr-2'!I16)</f>
        <v>R</v>
      </c>
      <c r="I14" s="130" t="str">
        <f>CONCATENATE('3 pr-2'!J16)</f>
        <v>-</v>
      </c>
      <c r="J14" s="130" t="str">
        <f>CONCATENATE('3 pr-2'!K16)</f>
        <v>-</v>
      </c>
      <c r="K14" s="130" t="str">
        <f>MID('3 pr-2'!B16,10,2)</f>
        <v>12</v>
      </c>
      <c r="L14" s="130" t="str">
        <f>IFERROR(INDEX(Veiklos!$C$2:$C$54,MATCH(K14,Veiklos!$D$2:$D$54,0),1),"")</f>
        <v>Vietinės reikšmės keliai ir gatvės (rekonstrukcija)</v>
      </c>
      <c r="M14" s="130" t="str">
        <f>MID('3 pr-2'!B16,12,2)</f>
        <v>32</v>
      </c>
      <c r="N14" s="130" t="str">
        <f>IFERROR(INDEX(Veiklos!$C$2:$C$54,MATCH(M14,Veiklos!$D$2:$D$54,0),1),"")</f>
        <v>Kitos viešosios infrastruktūros modernizavimas (pastatai ir statiniai): sveikatinimo ir sporto objektai</v>
      </c>
      <c r="O14" s="130" t="str">
        <f>MID('3 pr-2'!B16,14,2)</f>
        <v>00</v>
      </c>
      <c r="P14" s="130">
        <f>IFERROR(INDEX(Veiklos!$C$2:$C$54,MATCH(O14,Veiklos!$D$2:$D$54,0),1),"")</f>
        <v>0</v>
      </c>
      <c r="Q14" s="130" t="s">
        <v>66</v>
      </c>
      <c r="R14" s="130" t="s">
        <v>66</v>
      </c>
      <c r="S14" s="130" t="s">
        <v>66</v>
      </c>
      <c r="T14" s="130" t="s">
        <v>66</v>
      </c>
      <c r="U14" s="316">
        <v>1</v>
      </c>
      <c r="V14" s="504">
        <f>SUM('3 pr-2'!L16)</f>
        <v>252211.6</v>
      </c>
      <c r="W14" s="504">
        <f>SUM('3 pr-2'!AA16)</f>
        <v>200000</v>
      </c>
    </row>
    <row r="15" spans="1:23" ht="64.5" thickBot="1">
      <c r="A15" s="130" t="str">
        <f>CONCATENATE('3 pr-2'!A17)</f>
        <v>1.1.1.1.8</v>
      </c>
      <c r="B15" s="130" t="str">
        <f>CONCATENATE('3 pr-2'!B17)</f>
        <v>R01-ZM72-123200-1108</v>
      </c>
      <c r="C15" s="311" t="str">
        <f>CONCATENATE('3 pr-2'!D17)</f>
        <v>Alytaus rajono Luksnėnų kaimo multifunkcinės sporto aikštės įrengimas ir gatvių rekonstrukcija</v>
      </c>
      <c r="D15" s="311" t="str">
        <f>CONCATENATE('3 pr-2'!E17)</f>
        <v>Alytaus rajono savivaldybės administracija</v>
      </c>
      <c r="E15" s="311" t="str">
        <f>CONCATENATE('3 pr-2'!F17)</f>
        <v>Lietuvos Respublikos žemės ūkio ministerija</v>
      </c>
      <c r="F15" s="311" t="str">
        <f>CONCATENATE('3 pr-2'!G17)</f>
        <v>Alytaus r. sav.</v>
      </c>
      <c r="G15" s="311" t="str">
        <f>CONCATENATE('3 pr-2'!H17)</f>
        <v xml:space="preserve">Pagrindinės paslaugos ir kaimų atnaujinimas kaimo vietovėse </v>
      </c>
      <c r="H15" s="130" t="str">
        <f>CONCATENATE('3 pr-2'!I17)</f>
        <v>R</v>
      </c>
      <c r="I15" s="130" t="str">
        <f>CONCATENATE('3 pr-2'!J17)</f>
        <v>-</v>
      </c>
      <c r="J15" s="130" t="str">
        <f>CONCATENATE('3 pr-2'!K17)</f>
        <v>-</v>
      </c>
      <c r="K15" s="130" t="str">
        <f>MID('3 pr-2'!B17,10,2)</f>
        <v>12</v>
      </c>
      <c r="L15" s="130" t="str">
        <f>IFERROR(INDEX(Veiklos!$C$2:$C$54,MATCH(K15,Veiklos!$D$2:$D$54,0),1),"")</f>
        <v>Vietinės reikšmės keliai ir gatvės (rekonstrukcija)</v>
      </c>
      <c r="M15" s="130" t="str">
        <f>MID('3 pr-2'!B17,12,2)</f>
        <v>32</v>
      </c>
      <c r="N15" s="130" t="str">
        <f>IFERROR(INDEX(Veiklos!$C$2:$C$54,MATCH(M15,Veiklos!$D$2:$D$54,0),1),"")</f>
        <v>Kitos viešosios infrastruktūros modernizavimas (pastatai ir statiniai): sveikatinimo ir sporto objektai</v>
      </c>
      <c r="O15" s="130" t="str">
        <f>MID('3 pr-2'!B17,14,2)</f>
        <v>00</v>
      </c>
      <c r="P15" s="130">
        <f>IFERROR(INDEX(Veiklos!$C$2:$C$54,MATCH(O15,Veiklos!$D$2:$D$54,0),1),"")</f>
        <v>0</v>
      </c>
      <c r="Q15" s="130" t="s">
        <v>66</v>
      </c>
      <c r="R15" s="130" t="s">
        <v>66</v>
      </c>
      <c r="S15" s="130" t="s">
        <v>66</v>
      </c>
      <c r="T15" s="130" t="s">
        <v>66</v>
      </c>
      <c r="U15" s="316">
        <v>1</v>
      </c>
      <c r="V15" s="504">
        <f>SUM('3 pr-2'!L17)</f>
        <v>250309.29</v>
      </c>
      <c r="W15" s="504">
        <f>SUM('3 pr-2'!AA17)</f>
        <v>200000</v>
      </c>
    </row>
    <row r="16" spans="1:23" ht="64.5" thickBot="1">
      <c r="A16" s="130" t="str">
        <f>CONCATENATE('3 pr-2'!A18)</f>
        <v>1.1.1.1.9</v>
      </c>
      <c r="B16" s="130" t="str">
        <f>CONCATENATE('3 pr-2'!B18)</f>
        <v>R01-ZM72-340000-1109</v>
      </c>
      <c r="C16" s="311" t="str">
        <f>CONCATENATE('3 pr-2'!D18)</f>
        <v>Krikštonių laisvalaikio salės pritaikymas bendruomenės poreikiams</v>
      </c>
      <c r="D16" s="311" t="str">
        <f>CONCATENATE('3 pr-2'!E18)</f>
        <v xml:space="preserve">Viešoji įstaiga Lazdijų kultūros centras </v>
      </c>
      <c r="E16" s="311" t="str">
        <f>CONCATENATE('3 pr-2'!F18)</f>
        <v>Lietuvos Respublikos žemės ūkio ministerija</v>
      </c>
      <c r="F16" s="311" t="str">
        <f>CONCATENATE('3 pr-2'!G18)</f>
        <v>Lazdijų r. sav.</v>
      </c>
      <c r="G16" s="311" t="str">
        <f>CONCATENATE('3 pr-2'!H18)</f>
        <v xml:space="preserve">Pagrindinės paslaugos ir kaimų atnaujinimas kaimo vietovėse </v>
      </c>
      <c r="H16" s="130" t="str">
        <f>CONCATENATE('3 pr-2'!I18)</f>
        <v>R</v>
      </c>
      <c r="I16" s="130" t="str">
        <f>CONCATENATE('3 pr-2'!J18)</f>
        <v>-</v>
      </c>
      <c r="J16" s="130" t="str">
        <f>CONCATENATE('3 pr-2'!K18)</f>
        <v>-</v>
      </c>
      <c r="K16" s="130" t="str">
        <f>MID('3 pr-2'!B18,10,2)</f>
        <v>34</v>
      </c>
      <c r="L16" s="130" t="str">
        <f>IFERROR(INDEX(Veiklos!$C$2:$C$54,MATCH(K16,Veiklos!$D$2:$D$54,0),1),"")</f>
        <v>Kitos viešosios infrastruktūros modernizavimas (pastatai ir statiniai): bendruomenės, nevyriausybinių organizacijų veiklai pritaikomi pastatai</v>
      </c>
      <c r="M16" s="130" t="str">
        <f>MID('3 pr-2'!B18,12,2)</f>
        <v>00</v>
      </c>
      <c r="N16" s="130">
        <f>IFERROR(INDEX(Veiklos!$C$2:$C$54,MATCH(M16,Veiklos!$D$2:$D$54,0),1),"")</f>
        <v>0</v>
      </c>
      <c r="O16" s="130" t="str">
        <f>MID('3 pr-2'!B18,14,2)</f>
        <v>00</v>
      </c>
      <c r="P16" s="130">
        <f>IFERROR(INDEX(Veiklos!$C$2:$C$54,MATCH(O16,Veiklos!$D$2:$D$54,0),1),"")</f>
        <v>0</v>
      </c>
      <c r="Q16" s="130" t="s">
        <v>66</v>
      </c>
      <c r="R16" s="130" t="s">
        <v>66</v>
      </c>
      <c r="S16" s="130" t="s">
        <v>66</v>
      </c>
      <c r="T16" s="130" t="s">
        <v>66</v>
      </c>
      <c r="U16" s="316">
        <v>1</v>
      </c>
      <c r="V16" s="504">
        <f>SUM('3 pr-2'!L18)</f>
        <v>250000</v>
      </c>
      <c r="W16" s="504">
        <f>SUM('3 pr-2'!AA18)</f>
        <v>200000</v>
      </c>
    </row>
    <row r="17" spans="1:23" ht="64.5" thickBot="1">
      <c r="A17" s="130" t="str">
        <f>CONCATENATE('3 pr-2'!A19)</f>
        <v>1.1.1.1.10</v>
      </c>
      <c r="B17" s="130" t="str">
        <f>CONCATENATE('3 pr-2'!B19)</f>
        <v>R01-ZM72-340200-1110</v>
      </c>
      <c r="C17" s="311" t="str">
        <f>CONCATENATE('3 pr-2'!D19)</f>
        <v>Kučiūnų laisvalaikio salės pritaikymas bendruomenės poreikiams</v>
      </c>
      <c r="D17" s="311" t="str">
        <f>CONCATENATE('3 pr-2'!E19)</f>
        <v xml:space="preserve">Viešoji įstaiga Lazdijų kultūros centras </v>
      </c>
      <c r="E17" s="311" t="str">
        <f>CONCATENATE('3 pr-2'!F19)</f>
        <v>Lietuvos Respublikos žemės ūkio ministerija</v>
      </c>
      <c r="F17" s="311" t="str">
        <f>CONCATENATE('3 pr-2'!G19)</f>
        <v>Lazdijų r. sav.</v>
      </c>
      <c r="G17" s="311" t="str">
        <f>CONCATENATE('3 pr-2'!H19)</f>
        <v xml:space="preserve">Pagrindinės paslaugos ir kaimų atnaujinimas kaimo vietovėse </v>
      </c>
      <c r="H17" s="130" t="str">
        <f>CONCATENATE('3 pr-2'!I19)</f>
        <v>R</v>
      </c>
      <c r="I17" s="130" t="str">
        <f>CONCATENATE('3 pr-2'!J19)</f>
        <v>-</v>
      </c>
      <c r="J17" s="130" t="str">
        <f>CONCATENATE('3 pr-2'!K19)</f>
        <v>-</v>
      </c>
      <c r="K17" s="130" t="str">
        <f>MID('3 pr-2'!B19,10,2)</f>
        <v>34</v>
      </c>
      <c r="L17" s="130" t="str">
        <f>IFERROR(INDEX(Veiklos!$C$2:$C$54,MATCH(K17,Veiklos!$D$2:$D$54,0),1),"")</f>
        <v>Kitos viešosios infrastruktūros modernizavimas (pastatai ir statiniai): bendruomenės, nevyriausybinių organizacijų veiklai pritaikomi pastatai</v>
      </c>
      <c r="M17" s="130" t="str">
        <f>MID('3 pr-2'!B19,12,2)</f>
        <v>02</v>
      </c>
      <c r="N17" s="130" t="str">
        <f>IFERROR(INDEX(Veiklos!$C$2:$C$54,MATCH(M17,Veiklos!$D$2:$D$54,0),1),"")</f>
        <v>Viešųjų pastatų energinio efektyvumo didinimas</v>
      </c>
      <c r="O17" s="130" t="str">
        <f>MID('3 pr-2'!B19,14,2)</f>
        <v>00</v>
      </c>
      <c r="P17" s="130">
        <f>IFERROR(INDEX(Veiklos!$C$2:$C$54,MATCH(O17,Veiklos!$D$2:$D$54,0),1),"")</f>
        <v>0</v>
      </c>
      <c r="Q17" s="130" t="s">
        <v>66</v>
      </c>
      <c r="R17" s="130" t="s">
        <v>66</v>
      </c>
      <c r="S17" s="130" t="s">
        <v>66</v>
      </c>
      <c r="T17" s="130" t="s">
        <v>66</v>
      </c>
      <c r="U17" s="316">
        <v>1</v>
      </c>
      <c r="V17" s="504">
        <f>SUM('3 pr-2'!L19)</f>
        <v>250000</v>
      </c>
      <c r="W17" s="504">
        <f>SUM('3 pr-2'!AA19)</f>
        <v>187540</v>
      </c>
    </row>
    <row r="18" spans="1:23" ht="51.75" thickBot="1">
      <c r="A18" s="130" t="str">
        <f>CONCATENATE('3 pr-2'!A20)</f>
        <v>1.1.1.1.11</v>
      </c>
      <c r="B18" s="130" t="str">
        <f>CONCATENATE('3 pr-2'!B20)</f>
        <v>R01-ZM72-320000-1111</v>
      </c>
      <c r="C18" s="311" t="str">
        <f>CONCATENATE('3 pr-2'!D20)</f>
        <v>Laisvalaikio infrastruktūros sukūrimas Lazdijų rajono kaimo gyvenamosiose vietovėse</v>
      </c>
      <c r="D18" s="311" t="str">
        <f>CONCATENATE('3 pr-2'!E20)</f>
        <v>Lazdijų rajono savivaldybės administracija</v>
      </c>
      <c r="E18" s="311" t="str">
        <f>CONCATENATE('3 pr-2'!F20)</f>
        <v>Lietuvos Respublikos žemės ūkio ministerija</v>
      </c>
      <c r="F18" s="311" t="str">
        <f>CONCATENATE('3 pr-2'!G20)</f>
        <v>Lazdijų r. sav.</v>
      </c>
      <c r="G18" s="311" t="str">
        <f>CONCATENATE('3 pr-2'!H20)</f>
        <v xml:space="preserve">Pagrindinės paslaugos ir kaimų atnaujinimas kaimo vietovėse </v>
      </c>
      <c r="H18" s="130" t="str">
        <f>CONCATENATE('3 pr-2'!I20)</f>
        <v>R</v>
      </c>
      <c r="I18" s="130" t="str">
        <f>CONCATENATE('3 pr-2'!J20)</f>
        <v>-</v>
      </c>
      <c r="J18" s="130" t="str">
        <f>CONCATENATE('3 pr-2'!K20)</f>
        <v>-</v>
      </c>
      <c r="K18" s="130" t="str">
        <f>MID('3 pr-2'!B20,10,2)</f>
        <v>32</v>
      </c>
      <c r="L18" s="130" t="str">
        <f>IFERROR(INDEX(Veiklos!$C$2:$C$54,MATCH(K18,Veiklos!$D$2:$D$54,0),1),"")</f>
        <v>Kitos viešosios infrastruktūros modernizavimas (pastatai ir statiniai): sveikatinimo ir sporto objektai</v>
      </c>
      <c r="M18" s="130" t="str">
        <f>MID('3 pr-2'!B20,12,2)</f>
        <v>00</v>
      </c>
      <c r="N18" s="130">
        <f>IFERROR(INDEX(Veiklos!$C$2:$C$54,MATCH(M18,Veiklos!$D$2:$D$54,0),1),"")</f>
        <v>0</v>
      </c>
      <c r="O18" s="130" t="str">
        <f>MID('3 pr-2'!B20,14,2)</f>
        <v>00</v>
      </c>
      <c r="P18" s="130">
        <f>IFERROR(INDEX(Veiklos!$C$2:$C$54,MATCH(O18,Veiklos!$D$2:$D$54,0),1),"")</f>
        <v>0</v>
      </c>
      <c r="Q18" s="130" t="s">
        <v>66</v>
      </c>
      <c r="R18" s="130" t="s">
        <v>66</v>
      </c>
      <c r="S18" s="130" t="s">
        <v>66</v>
      </c>
      <c r="T18" s="130" t="s">
        <v>66</v>
      </c>
      <c r="U18" s="316">
        <v>1</v>
      </c>
      <c r="V18" s="504">
        <f>SUM('3 pr-2'!L20)</f>
        <v>125000</v>
      </c>
      <c r="W18" s="504">
        <f>SUM('3 pr-2'!AA20)</f>
        <v>100000</v>
      </c>
    </row>
    <row r="19" spans="1:23" ht="51.75" thickBot="1">
      <c r="A19" s="130" t="str">
        <f>CONCATENATE('3 pr-2'!A21)</f>
        <v>1.1.1.1.12</v>
      </c>
      <c r="B19" s="130" t="str">
        <f>CONCATENATE('3 pr-2'!B21)</f>
        <v>R01-ZM72-120000-1112</v>
      </c>
      <c r="C19" s="311" t="str">
        <f>CONCATENATE('3 pr-2'!D21)</f>
        <v>Alytaus rajono Butrimonių miestelio šaligatvių kapitalinis remontas ir gyvenvietės apšvietimo įrengimas</v>
      </c>
      <c r="D19" s="311" t="str">
        <f>CONCATENATE('3 pr-2'!E21)</f>
        <v>Alytaus rajono savivaldybės administracija</v>
      </c>
      <c r="E19" s="311" t="str">
        <f>CONCATENATE('3 pr-2'!F21)</f>
        <v>Lietuvos Respublikos žemės ūkio ministerija</v>
      </c>
      <c r="F19" s="311" t="str">
        <f>CONCATENATE('3 pr-2'!G21)</f>
        <v>Alytaus r. sav.</v>
      </c>
      <c r="G19" s="311" t="str">
        <f>CONCATENATE('3 pr-2'!H21)</f>
        <v xml:space="preserve">Pagrindinės paslaugos ir kaimų atnaujinimas kaimo vietovėse </v>
      </c>
      <c r="H19" s="130" t="str">
        <f>CONCATENATE('3 pr-2'!I21)</f>
        <v>R</v>
      </c>
      <c r="I19" s="130" t="str">
        <f>CONCATENATE('3 pr-2'!J21)</f>
        <v>-</v>
      </c>
      <c r="J19" s="130" t="str">
        <f>CONCATENATE('3 pr-2'!K21)</f>
        <v>-</v>
      </c>
      <c r="K19" s="130" t="str">
        <f>MID('3 pr-2'!B21,10,2)</f>
        <v>12</v>
      </c>
      <c r="L19" s="130" t="str">
        <f>IFERROR(INDEX(Veiklos!$C$2:$C$54,MATCH(K19,Veiklos!$D$2:$D$54,0),1),"")</f>
        <v>Vietinės reikšmės keliai ir gatvės (rekonstrukcija)</v>
      </c>
      <c r="M19" s="130" t="str">
        <f>MID('3 pr-2'!B21,12,2)</f>
        <v>00</v>
      </c>
      <c r="N19" s="130">
        <f>IFERROR(INDEX(Veiklos!$C$2:$C$54,MATCH(M19,Veiklos!$D$2:$D$54,0),1),"")</f>
        <v>0</v>
      </c>
      <c r="O19" s="130" t="str">
        <f>MID('3 pr-2'!B21,14,2)</f>
        <v>00</v>
      </c>
      <c r="P19" s="130">
        <f>IFERROR(INDEX(Veiklos!$C$2:$C$54,MATCH(O19,Veiklos!$D$2:$D$54,0),1),"")</f>
        <v>0</v>
      </c>
      <c r="Q19" s="130" t="s">
        <v>66</v>
      </c>
      <c r="R19" s="130" t="s">
        <v>66</v>
      </c>
      <c r="S19" s="130" t="s">
        <v>66</v>
      </c>
      <c r="T19" s="130" t="s">
        <v>66</v>
      </c>
      <c r="U19" s="316">
        <v>1</v>
      </c>
      <c r="V19" s="504">
        <f>SUM('3 pr-2'!L21)</f>
        <v>190756</v>
      </c>
      <c r="W19" s="504">
        <f>SUM('3 pr-2'!AA21)</f>
        <v>122852</v>
      </c>
    </row>
    <row r="20" spans="1:23" ht="64.5" thickBot="1">
      <c r="A20" s="130" t="str">
        <f>CONCATENATE('3 pr-2'!A22)</f>
        <v>1.1.1.1.13</v>
      </c>
      <c r="B20" s="130" t="str">
        <f>CONCATENATE('3 pr-2'!B22)</f>
        <v>R01-ZM72-123200-1113</v>
      </c>
      <c r="C20" s="311" t="str">
        <f>CONCATENATE('3 pr-2'!D22)</f>
        <v>Alytaus rajono Genių kaimo sporto aikštės įrengimas ir gatvių rekonstrukcija</v>
      </c>
      <c r="D20" s="311" t="str">
        <f>CONCATENATE('3 pr-2'!E22)</f>
        <v>Alytaus rajono savivaldybės administracija</v>
      </c>
      <c r="E20" s="311" t="str">
        <f>CONCATENATE('3 pr-2'!F22)</f>
        <v>Lietuvos Respublikos žemės ūkio ministerija</v>
      </c>
      <c r="F20" s="311" t="str">
        <f>CONCATENATE('3 pr-2'!G22)</f>
        <v>Alytaus r. sav.</v>
      </c>
      <c r="G20" s="311" t="str">
        <f>CONCATENATE('3 pr-2'!H22)</f>
        <v xml:space="preserve">Pagrindinės paslaugos ir kaimų atnaujinimas kaimo vietovėse </v>
      </c>
      <c r="H20" s="130" t="str">
        <f>CONCATENATE('3 pr-2'!I22)</f>
        <v>R</v>
      </c>
      <c r="I20" s="130" t="str">
        <f>CONCATENATE('3 pr-2'!J22)</f>
        <v>-</v>
      </c>
      <c r="J20" s="130" t="str">
        <f>CONCATENATE('3 pr-2'!K22)</f>
        <v>-</v>
      </c>
      <c r="K20" s="130" t="str">
        <f>MID('3 pr-2'!B22,10,2)</f>
        <v>12</v>
      </c>
      <c r="L20" s="130" t="str">
        <f>IFERROR(INDEX(Veiklos!$C$2:$C$54,MATCH(K20,Veiklos!$D$2:$D$54,0),1),"")</f>
        <v>Vietinės reikšmės keliai ir gatvės (rekonstrukcija)</v>
      </c>
      <c r="M20" s="130" t="str">
        <f>MID('3 pr-2'!B22,12,2)</f>
        <v>32</v>
      </c>
      <c r="N20" s="130" t="str">
        <f>IFERROR(INDEX(Veiklos!$C$2:$C$54,MATCH(M20,Veiklos!$D$2:$D$54,0),1),"")</f>
        <v>Kitos viešosios infrastruktūros modernizavimas (pastatai ir statiniai): sveikatinimo ir sporto objektai</v>
      </c>
      <c r="O20" s="130" t="str">
        <f>MID('3 pr-2'!B22,14,2)</f>
        <v>00</v>
      </c>
      <c r="P20" s="130">
        <f>IFERROR(INDEX(Veiklos!$C$2:$C$54,MATCH(O20,Veiklos!$D$2:$D$54,0),1),"")</f>
        <v>0</v>
      </c>
      <c r="Q20" s="130" t="s">
        <v>66</v>
      </c>
      <c r="R20" s="130" t="s">
        <v>66</v>
      </c>
      <c r="S20" s="130" t="s">
        <v>66</v>
      </c>
      <c r="T20" s="130" t="s">
        <v>66</v>
      </c>
      <c r="U20" s="316">
        <v>1</v>
      </c>
      <c r="V20" s="504">
        <f>SUM('3 pr-2'!L22)</f>
        <v>247392.46</v>
      </c>
      <c r="W20" s="504">
        <f>SUM('3 pr-2'!AA22)</f>
        <v>200000</v>
      </c>
    </row>
    <row r="21" spans="1:23" ht="102.75" thickBot="1">
      <c r="A21" s="130" t="str">
        <f>CONCATENATE('3 pr-2'!A23)</f>
        <v>1.1.1.1.14</v>
      </c>
      <c r="B21" s="130" t="str">
        <f>CONCATENATE('3 pr-2'!B23)</f>
        <v>R01-ZM72-122900-1114</v>
      </c>
      <c r="C21" s="311" t="str">
        <f>CONCATENATE('3 pr-2'!D23)</f>
        <v>Varėnos r. Dargužių kaimo Liepų gatvės ir viešosios erdvės įrengimas</v>
      </c>
      <c r="D21" s="311" t="str">
        <f>CONCATENATE('3 pr-2'!E23)</f>
        <v xml:space="preserve">Varėnos rajono savivaldybės administracija </v>
      </c>
      <c r="E21" s="311" t="str">
        <f>CONCATENATE('3 pr-2'!F23)</f>
        <v>Lietuvos Respublikos žemės ūkio ministerija</v>
      </c>
      <c r="F21" s="311" t="str">
        <f>CONCATENATE('3 pr-2'!G23)</f>
        <v>Varėnos r. sav.</v>
      </c>
      <c r="G21" s="311" t="str">
        <f>CONCATENATE('3 pr-2'!H23)</f>
        <v xml:space="preserve">Pagrindinės paslaugos ir kaimų atnaujinimas kaimo vietovėse </v>
      </c>
      <c r="H21" s="130" t="str">
        <f>CONCATENATE('3 pr-2'!I23)</f>
        <v>R</v>
      </c>
      <c r="I21" s="130" t="str">
        <f>CONCATENATE('3 pr-2'!J23)</f>
        <v>-</v>
      </c>
      <c r="J21" s="130" t="str">
        <f>CONCATENATE('3 pr-2'!K23)</f>
        <v>-</v>
      </c>
      <c r="K21" s="130" t="str">
        <f>MID('3 pr-2'!B23,10,2)</f>
        <v>12</v>
      </c>
      <c r="L21" s="130" t="str">
        <f>IFERROR(INDEX(Veiklos!$C$2:$C$54,MATCH(K21,Veiklos!$D$2:$D$54,0),1),"")</f>
        <v>Vietinės reikšmės keliai ir gatvės (rekonstrukcija)</v>
      </c>
      <c r="M21" s="130" t="str">
        <f>MID('3 pr-2'!B23,12,2)</f>
        <v>29</v>
      </c>
      <c r="N21" s="130" t="str">
        <f>IFERROR(INDEX(Veiklos!$C$2:$C$54,MATCH(M21,Veiklos!$D$2:$D$54,0),1),"")</f>
        <v>Kitos viešosios infrastruktūros modernizavimas (viešosios erdvės): visuomeninės, komercinės ir bendro naudojimo paskirties teritorijos</v>
      </c>
      <c r="O21" s="130" t="str">
        <f>MID('3 pr-2'!B23,14,2)</f>
        <v>00</v>
      </c>
      <c r="P21" s="130">
        <f>IFERROR(INDEX(Veiklos!$C$2:$C$54,MATCH(O21,Veiklos!$D$2:$D$54,0),1),"")</f>
        <v>0</v>
      </c>
      <c r="Q21" s="130" t="s">
        <v>66</v>
      </c>
      <c r="R21" s="130" t="s">
        <v>66</v>
      </c>
      <c r="S21" s="130" t="s">
        <v>66</v>
      </c>
      <c r="T21" s="130" t="s">
        <v>66</v>
      </c>
      <c r="U21" s="316">
        <v>1</v>
      </c>
      <c r="V21" s="504">
        <f>SUM('3 pr-2'!L23)</f>
        <v>215626</v>
      </c>
      <c r="W21" s="504">
        <f>SUM('3 pr-2'!AA23)</f>
        <v>172500.8</v>
      </c>
    </row>
    <row r="22" spans="1:23" ht="64.5" thickBot="1">
      <c r="A22" s="130" t="str">
        <f>CONCATENATE('3 pr-2'!A24)</f>
        <v>1.1.1.1.15</v>
      </c>
      <c r="B22" s="130" t="str">
        <f>CONCATENATE('3 pr-2'!B24)</f>
        <v>R01-ZM72-123200-1115</v>
      </c>
      <c r="C22" s="311" t="str">
        <f>CONCATENATE('3 pr-2'!D24)</f>
        <v>Alytaus rajono Vaisodžių kaimo sporto aikštės įrengimas ir gatvių apšvietimo atnaujinimas bei plėtra</v>
      </c>
      <c r="D22" s="311" t="str">
        <f>CONCATENATE('3 pr-2'!E24)</f>
        <v>Alytaus rajono savivaldybės administracija</v>
      </c>
      <c r="E22" s="311" t="str">
        <f>CONCATENATE('3 pr-2'!F24)</f>
        <v>Lietuvos Respublikos žemės ūkio ministerija</v>
      </c>
      <c r="F22" s="311" t="str">
        <f>CONCATENATE('3 pr-2'!G24)</f>
        <v>Alytaus r. sav.</v>
      </c>
      <c r="G22" s="311" t="str">
        <f>CONCATENATE('3 pr-2'!H24)</f>
        <v xml:space="preserve">Pagrindinės paslaugos ir kaimų atnaujinimas kaimo vietovėse </v>
      </c>
      <c r="H22" s="130" t="str">
        <f>CONCATENATE('3 pr-2'!I24)</f>
        <v>R</v>
      </c>
      <c r="I22" s="130" t="str">
        <f>CONCATENATE('3 pr-2'!J24)</f>
        <v>-</v>
      </c>
      <c r="J22" s="130" t="str">
        <f>CONCATENATE('3 pr-2'!K24)</f>
        <v>-</v>
      </c>
      <c r="K22" s="130" t="str">
        <f>MID('3 pr-2'!B24,10,2)</f>
        <v>12</v>
      </c>
      <c r="L22" s="130" t="str">
        <f>IFERROR(INDEX(Veiklos!$C$2:$C$54,MATCH(K22,Veiklos!$D$2:$D$54,0),1),"")</f>
        <v>Vietinės reikšmės keliai ir gatvės (rekonstrukcija)</v>
      </c>
      <c r="M22" s="130" t="str">
        <f>MID('3 pr-2'!B24,12,2)</f>
        <v>32</v>
      </c>
      <c r="N22" s="130" t="str">
        <f>IFERROR(INDEX(Veiklos!$C$2:$C$54,MATCH(M22,Veiklos!$D$2:$D$54,0),1),"")</f>
        <v>Kitos viešosios infrastruktūros modernizavimas (pastatai ir statiniai): sveikatinimo ir sporto objektai</v>
      </c>
      <c r="O22" s="130" t="str">
        <f>MID('3 pr-2'!B24,14,2)</f>
        <v>00</v>
      </c>
      <c r="P22" s="130">
        <f>IFERROR(INDEX(Veiklos!$C$2:$C$54,MATCH(O22,Veiklos!$D$2:$D$54,0),1),"")</f>
        <v>0</v>
      </c>
      <c r="Q22" s="130" t="s">
        <v>66</v>
      </c>
      <c r="R22" s="130" t="s">
        <v>66</v>
      </c>
      <c r="S22" s="130" t="s">
        <v>66</v>
      </c>
      <c r="T22" s="130" t="s">
        <v>66</v>
      </c>
      <c r="U22" s="316">
        <v>1</v>
      </c>
      <c r="V22" s="504">
        <f>SUM('3 pr-2'!L24)</f>
        <v>75880</v>
      </c>
      <c r="W22" s="504">
        <f>SUM('3 pr-2'!AA24)</f>
        <v>60704</v>
      </c>
    </row>
    <row r="23" spans="1:23" ht="64.5" thickBot="1">
      <c r="A23" s="130" t="str">
        <f>CONCATENATE('3 pr-2'!A25)</f>
        <v>1.1.1.1.16</v>
      </c>
      <c r="B23" s="130" t="str">
        <f>CONCATENATE('3 pr-2'!B25)</f>
        <v>R01-ZM72-123200-1116</v>
      </c>
      <c r="C23" s="311" t="str">
        <f>CONCATENATE('3 pr-2'!D25)</f>
        <v>Alytaus rajono Talokių kaimo sporto aikštės įrengimas ir Plytinės gatvės apšvietimas</v>
      </c>
      <c r="D23" s="311" t="str">
        <f>CONCATENATE('3 pr-2'!E25)</f>
        <v>Alytaus rajono savivaldybės administracija</v>
      </c>
      <c r="E23" s="311" t="str">
        <f>CONCATENATE('3 pr-2'!F25)</f>
        <v>Lietuvos Respublikos žemės ūkio ministerija</v>
      </c>
      <c r="F23" s="311" t="str">
        <f>CONCATENATE('3 pr-2'!G25)</f>
        <v>Alytaus r. sav.</v>
      </c>
      <c r="G23" s="311" t="str">
        <f>CONCATENATE('3 pr-2'!H25)</f>
        <v xml:space="preserve">Pagrindinės paslaugos ir kaimų atnaujinimas kaimo vietovėse </v>
      </c>
      <c r="H23" s="130" t="str">
        <f>CONCATENATE('3 pr-2'!I25)</f>
        <v>R</v>
      </c>
      <c r="I23" s="130" t="str">
        <f>CONCATENATE('3 pr-2'!J25)</f>
        <v>-</v>
      </c>
      <c r="J23" s="130" t="str">
        <f>CONCATENATE('3 pr-2'!K25)</f>
        <v>-</v>
      </c>
      <c r="K23" s="130" t="str">
        <f>MID('3 pr-2'!B25,10,2)</f>
        <v>12</v>
      </c>
      <c r="L23" s="130" t="str">
        <f>IFERROR(INDEX(Veiklos!$C$2:$C$54,MATCH(K23,Veiklos!$D$2:$D$54,0),1),"")</f>
        <v>Vietinės reikšmės keliai ir gatvės (rekonstrukcija)</v>
      </c>
      <c r="M23" s="130" t="str">
        <f>MID('3 pr-2'!B25,12,2)</f>
        <v>32</v>
      </c>
      <c r="N23" s="130" t="str">
        <f>IFERROR(INDEX(Veiklos!$C$2:$C$54,MATCH(M23,Veiklos!$D$2:$D$54,0),1),"")</f>
        <v>Kitos viešosios infrastruktūros modernizavimas (pastatai ir statiniai): sveikatinimo ir sporto objektai</v>
      </c>
      <c r="O23" s="130" t="str">
        <f>MID('3 pr-2'!B25,14,2)</f>
        <v>00</v>
      </c>
      <c r="P23" s="130">
        <f>IFERROR(INDEX(Veiklos!$C$2:$C$54,MATCH(O23,Veiklos!$D$2:$D$54,0),1),"")</f>
        <v>0</v>
      </c>
      <c r="Q23" s="130" t="s">
        <v>66</v>
      </c>
      <c r="R23" s="130" t="s">
        <v>66</v>
      </c>
      <c r="S23" s="130" t="s">
        <v>66</v>
      </c>
      <c r="T23" s="130" t="s">
        <v>66</v>
      </c>
      <c r="U23" s="316">
        <v>1</v>
      </c>
      <c r="V23" s="504">
        <f>SUM('3 pr-2'!L25)</f>
        <v>141312</v>
      </c>
      <c r="W23" s="504">
        <f>SUM('3 pr-2'!AA25)</f>
        <v>96399</v>
      </c>
    </row>
    <row r="24" spans="1:23" ht="39" thickBot="1">
      <c r="A24" s="130" t="str">
        <f>CONCATENATE('3 pr-2'!A26)</f>
        <v>1.1.1.1.17</v>
      </c>
      <c r="B24" s="130" t="str">
        <f>CONCATENATE('3 pr-2'!B26)</f>
        <v>R01-ZM72-120000-1117</v>
      </c>
      <c r="C24" s="311" t="str">
        <f>CONCATENATE('3 pr-2'!D26)</f>
        <v>Varėnos r. Rudnios kaimo Pušyno gatvės įrengimas</v>
      </c>
      <c r="D24" s="311" t="str">
        <f>CONCATENATE('3 pr-2'!E26)</f>
        <v xml:space="preserve">Varėnos rajono savivaldybės administracija </v>
      </c>
      <c r="E24" s="311" t="str">
        <f>CONCATENATE('3 pr-2'!F26)</f>
        <v>Lietuvos Respublikos žemės ūkio ministerija</v>
      </c>
      <c r="F24" s="311" t="str">
        <f>CONCATENATE('3 pr-2'!G26)</f>
        <v>Varėnos r. sav.</v>
      </c>
      <c r="G24" s="311" t="str">
        <f>CONCATENATE('3 pr-2'!H26)</f>
        <v xml:space="preserve">Pagrindinės paslaugos ir kaimų atnaujinimas kaimo vietovėse </v>
      </c>
      <c r="H24" s="130" t="str">
        <f>CONCATENATE('3 pr-2'!I26)</f>
        <v>R</v>
      </c>
      <c r="I24" s="130" t="str">
        <f>CONCATENATE('3 pr-2'!J26)</f>
        <v>-</v>
      </c>
      <c r="J24" s="130" t="str">
        <f>CONCATENATE('3 pr-2'!K26)</f>
        <v>-</v>
      </c>
      <c r="K24" s="130" t="str">
        <f>MID('3 pr-2'!B26,10,2)</f>
        <v>12</v>
      </c>
      <c r="L24" s="130" t="str">
        <f>IFERROR(INDEX(Veiklos!$C$2:$C$54,MATCH(K24,Veiklos!$D$2:$D$54,0),1),"")</f>
        <v>Vietinės reikšmės keliai ir gatvės (rekonstrukcija)</v>
      </c>
      <c r="M24" s="130" t="str">
        <f>MID('3 pr-2'!B26,12,2)</f>
        <v>00</v>
      </c>
      <c r="N24" s="130">
        <f>IFERROR(INDEX(Veiklos!$C$2:$C$54,MATCH(M24,Veiklos!$D$2:$D$54,0),1),"")</f>
        <v>0</v>
      </c>
      <c r="O24" s="130" t="str">
        <f>MID('3 pr-2'!B26,14,2)</f>
        <v>00</v>
      </c>
      <c r="P24" s="130">
        <f>IFERROR(INDEX(Veiklos!$C$2:$C$54,MATCH(O24,Veiklos!$D$2:$D$54,0),1),"")</f>
        <v>0</v>
      </c>
      <c r="Q24" s="130" t="s">
        <v>66</v>
      </c>
      <c r="R24" s="130" t="s">
        <v>66</v>
      </c>
      <c r="S24" s="130" t="s">
        <v>66</v>
      </c>
      <c r="T24" s="130" t="s">
        <v>66</v>
      </c>
      <c r="U24" s="316">
        <v>1</v>
      </c>
      <c r="V24" s="504">
        <f>SUM('3 pr-2'!L26)</f>
        <v>115624</v>
      </c>
      <c r="W24" s="504">
        <f>SUM('3 pr-2'!AA26)</f>
        <v>92499</v>
      </c>
    </row>
    <row r="25" spans="1:23" ht="64.5" thickBot="1">
      <c r="A25" s="130" t="str">
        <f>CONCATENATE('3 pr-2'!A27)</f>
        <v>1.1.1.1.18</v>
      </c>
      <c r="B25" s="130" t="str">
        <f>CONCATENATE('3 pr-2'!B27)</f>
        <v>R01-ZM72-340000-1118</v>
      </c>
      <c r="C25" s="311" t="str">
        <f>CONCATENATE('3 pr-2'!D27)</f>
        <v>Varėnos kultūros centro Žilinų filialo pastato atnaujinimas ir pritaikymas bendruomenės poreikiams</v>
      </c>
      <c r="D25" s="311" t="str">
        <f>CONCATENATE('3 pr-2'!E27)</f>
        <v xml:space="preserve">Varėnos rajono savivaldybės administracija </v>
      </c>
      <c r="E25" s="311" t="str">
        <f>CONCATENATE('3 pr-2'!F27)</f>
        <v>Lietuvos Respublikos žemės ūkio ministerija</v>
      </c>
      <c r="F25" s="311" t="str">
        <f>CONCATENATE('3 pr-2'!G27)</f>
        <v>Varėnos r. sav.</v>
      </c>
      <c r="G25" s="311" t="str">
        <f>CONCATENATE('3 pr-2'!H27)</f>
        <v xml:space="preserve">Pagrindinės paslaugos ir kaimų atnaujinimas kaimo vietovėse </v>
      </c>
      <c r="H25" s="130" t="str">
        <f>CONCATENATE('3 pr-2'!I27)</f>
        <v>R</v>
      </c>
      <c r="I25" s="130" t="str">
        <f>CONCATENATE('3 pr-2'!J27)</f>
        <v>-</v>
      </c>
      <c r="J25" s="130" t="str">
        <f>CONCATENATE('3 pr-2'!K27)</f>
        <v>-</v>
      </c>
      <c r="K25" s="130" t="str">
        <f>MID('3 pr-2'!B27,10,2)</f>
        <v>34</v>
      </c>
      <c r="L25" s="130" t="str">
        <f>IFERROR(INDEX(Veiklos!$C$2:$C$54,MATCH(K25,Veiklos!$D$2:$D$54,0),1),"")</f>
        <v>Kitos viešosios infrastruktūros modernizavimas (pastatai ir statiniai): bendruomenės, nevyriausybinių organizacijų veiklai pritaikomi pastatai</v>
      </c>
      <c r="M25" s="130" t="str">
        <f>MID('3 pr-2'!B27,12,2)</f>
        <v>00</v>
      </c>
      <c r="N25" s="130">
        <f>IFERROR(INDEX(Veiklos!$C$2:$C$54,MATCH(M25,Veiklos!$D$2:$D$54,0),1),"")</f>
        <v>0</v>
      </c>
      <c r="O25" s="130" t="str">
        <f>MID('3 pr-2'!B27,14,2)</f>
        <v>00</v>
      </c>
      <c r="P25" s="130">
        <f>IFERROR(INDEX(Veiklos!$C$2:$C$54,MATCH(O25,Veiklos!$D$2:$D$54,0),1),"")</f>
        <v>0</v>
      </c>
      <c r="Q25" s="130" t="s">
        <v>66</v>
      </c>
      <c r="R25" s="130" t="s">
        <v>66</v>
      </c>
      <c r="S25" s="130" t="s">
        <v>66</v>
      </c>
      <c r="T25" s="130" t="s">
        <v>66</v>
      </c>
      <c r="U25" s="316">
        <v>1</v>
      </c>
      <c r="V25" s="504">
        <f>SUM('3 pr-2'!L27)</f>
        <v>250000</v>
      </c>
      <c r="W25" s="504">
        <f>SUM('3 pr-2'!AA27)</f>
        <v>200000</v>
      </c>
    </row>
    <row r="26" spans="1:23" ht="51.75" thickBot="1">
      <c r="A26" s="130" t="str">
        <f>CONCATENATE('3 pr-2'!A28)</f>
        <v>1.1.1.1.19</v>
      </c>
      <c r="B26" s="130" t="str">
        <f>CONCATENATE('3 pr-2'!B28)</f>
        <v>R01-ZM72-120000-1119</v>
      </c>
      <c r="C26" s="311" t="str">
        <f>CONCATENATE('3 pr-2'!D28)</f>
        <v>Alytaus rajono Pivašiūnų kaimo šaligatvių, laiptų kapitalinis remontas ir gyvenvietės apšvietimo įrengimas</v>
      </c>
      <c r="D26" s="311" t="str">
        <f>CONCATENATE('3 pr-2'!E28)</f>
        <v>Alytaus rajono savivaldybės administracija</v>
      </c>
      <c r="E26" s="311" t="str">
        <f>CONCATENATE('3 pr-2'!F28)</f>
        <v>Lietuvos Respublikos žemės ūkio ministerija</v>
      </c>
      <c r="F26" s="311" t="str">
        <f>CONCATENATE('3 pr-2'!G28)</f>
        <v>Alytaus r. sav.</v>
      </c>
      <c r="G26" s="311" t="str">
        <f>CONCATENATE('3 pr-2'!H28)</f>
        <v xml:space="preserve">Pagrindinės paslaugos ir kaimų atnaujinimas kaimo vietovėse </v>
      </c>
      <c r="H26" s="130" t="str">
        <f>CONCATENATE('3 pr-2'!I28)</f>
        <v>R</v>
      </c>
      <c r="I26" s="130" t="str">
        <f>CONCATENATE('3 pr-2'!J28)</f>
        <v>-</v>
      </c>
      <c r="J26" s="130" t="str">
        <f>CONCATENATE('3 pr-2'!K28)</f>
        <v>-</v>
      </c>
      <c r="K26" s="130" t="str">
        <f>MID('3 pr-2'!B28,10,2)</f>
        <v>12</v>
      </c>
      <c r="L26" s="130" t="str">
        <f>IFERROR(INDEX(Veiklos!$C$2:$C$54,MATCH(K26,Veiklos!$D$2:$D$54,0),1),"")</f>
        <v>Vietinės reikšmės keliai ir gatvės (rekonstrukcija)</v>
      </c>
      <c r="M26" s="130" t="str">
        <f>MID('3 pr-2'!B28,12,2)</f>
        <v>00</v>
      </c>
      <c r="N26" s="130">
        <f>IFERROR(INDEX(Veiklos!$C$2:$C$54,MATCH(M26,Veiklos!$D$2:$D$54,0),1),"")</f>
        <v>0</v>
      </c>
      <c r="O26" s="130" t="str">
        <f>MID('3 pr-2'!B28,14,2)</f>
        <v>00</v>
      </c>
      <c r="P26" s="130">
        <f>IFERROR(INDEX(Veiklos!$C$2:$C$54,MATCH(O26,Veiklos!$D$2:$D$54,0),1),"")</f>
        <v>0</v>
      </c>
      <c r="Q26" s="130" t="s">
        <v>66</v>
      </c>
      <c r="R26" s="130" t="s">
        <v>66</v>
      </c>
      <c r="S26" s="130" t="s">
        <v>66</v>
      </c>
      <c r="T26" s="130" t="s">
        <v>66</v>
      </c>
      <c r="U26" s="316">
        <v>1</v>
      </c>
      <c r="V26" s="504">
        <f>SUM('3 pr-2'!L28)</f>
        <v>118362</v>
      </c>
      <c r="W26" s="504">
        <f>SUM('3 pr-2'!AA28)</f>
        <v>94389</v>
      </c>
    </row>
    <row r="27" spans="1:23" ht="64.5" thickBot="1">
      <c r="A27" s="130" t="str">
        <f>CONCATENATE('3 pr-2'!A29)</f>
        <v>1.1.1.1.20</v>
      </c>
      <c r="B27" s="130" t="str">
        <f>CONCATENATE('3 pr-2'!B29)</f>
        <v>R01-ZM72-340000-1120</v>
      </c>
      <c r="C27" s="311" t="str">
        <f>CONCATENATE('3 pr-2'!D29)</f>
        <v>Pastato, esančio Pušelės g. 11, Naujųjų Valkininkų k., Varėnos r., atnaujinimas ir pritaikymas bendruomenės poreikiams</v>
      </c>
      <c r="D27" s="311" t="str">
        <f>CONCATENATE('3 pr-2'!E29)</f>
        <v xml:space="preserve">Varėnos rajono savivaldybės administracija </v>
      </c>
      <c r="E27" s="311" t="str">
        <f>CONCATENATE('3 pr-2'!F29)</f>
        <v>Lietuvos Respublikos žemės ūkio ministerija</v>
      </c>
      <c r="F27" s="311" t="str">
        <f>CONCATENATE('3 pr-2'!G29)</f>
        <v>Varėnos r. sav.</v>
      </c>
      <c r="G27" s="311" t="str">
        <f>CONCATENATE('3 pr-2'!H29)</f>
        <v xml:space="preserve">Pagrindinės paslaugos ir kaimų atnaujinimas kaimo vietovėse </v>
      </c>
      <c r="H27" s="130" t="str">
        <f>CONCATENATE('3 pr-2'!I29)</f>
        <v>R</v>
      </c>
      <c r="I27" s="130" t="str">
        <f>CONCATENATE('3 pr-2'!J29)</f>
        <v>-</v>
      </c>
      <c r="J27" s="130" t="str">
        <f>CONCATENATE('3 pr-2'!K29)</f>
        <v>-</v>
      </c>
      <c r="K27" s="130" t="str">
        <f>MID('3 pr-2'!B29,10,2)</f>
        <v>34</v>
      </c>
      <c r="L27" s="130" t="str">
        <f>IFERROR(INDEX(Veiklos!$C$2:$C$54,MATCH(K27,Veiklos!$D$2:$D$54,0),1),"")</f>
        <v>Kitos viešosios infrastruktūros modernizavimas (pastatai ir statiniai): bendruomenės, nevyriausybinių organizacijų veiklai pritaikomi pastatai</v>
      </c>
      <c r="M27" s="130" t="str">
        <f>MID('3 pr-2'!B29,12,2)</f>
        <v>00</v>
      </c>
      <c r="N27" s="130">
        <f>IFERROR(INDEX(Veiklos!$C$2:$C$54,MATCH(M27,Veiklos!$D$2:$D$54,0),1),"")</f>
        <v>0</v>
      </c>
      <c r="O27" s="130" t="str">
        <f>MID('3 pr-2'!B29,14,2)</f>
        <v>00</v>
      </c>
      <c r="P27" s="130">
        <f>IFERROR(INDEX(Veiklos!$C$2:$C$54,MATCH(O27,Veiklos!$D$2:$D$54,0),1),"")</f>
        <v>0</v>
      </c>
      <c r="Q27" s="130" t="s">
        <v>66</v>
      </c>
      <c r="R27" s="130" t="s">
        <v>66</v>
      </c>
      <c r="S27" s="130" t="s">
        <v>66</v>
      </c>
      <c r="T27" s="130" t="s">
        <v>66</v>
      </c>
      <c r="U27" s="316">
        <v>1</v>
      </c>
      <c r="V27" s="504">
        <f>SUM('3 pr-2'!L29)</f>
        <v>250000</v>
      </c>
      <c r="W27" s="504">
        <f>SUM('3 pr-2'!AA29)</f>
        <v>200000</v>
      </c>
    </row>
    <row r="28" spans="1:23" ht="39" thickBot="1">
      <c r="A28" s="130" t="str">
        <f>CONCATENATE('3 pr-2'!A30)</f>
        <v>1.1.1.1.21</v>
      </c>
      <c r="B28" s="130" t="str">
        <f>CONCATENATE('3 pr-2'!B30)</f>
        <v>R01-ZM72-120000-1121</v>
      </c>
      <c r="C28" s="311" t="str">
        <f>CONCATENATE('3 pr-2'!D30)</f>
        <v>Kaimo gyvenamųjų vietovių Lazdijų rajono savivaldybėje patrauklumo gerinimas</v>
      </c>
      <c r="D28" s="311" t="str">
        <f>CONCATENATE('3 pr-2'!E30)</f>
        <v>Lazdijų rajono savivaldybės administracija</v>
      </c>
      <c r="E28" s="311" t="str">
        <f>CONCATENATE('3 pr-2'!F30)</f>
        <v>Lietuvos Respublikos žemės ūkio ministerija</v>
      </c>
      <c r="F28" s="311" t="str">
        <f>CONCATENATE('3 pr-2'!G30)</f>
        <v>Lazdijų r. sav.</v>
      </c>
      <c r="G28" s="311" t="str">
        <f>CONCATENATE('3 pr-2'!H30)</f>
        <v xml:space="preserve">Pagrindinės paslaugos ir kaimų atnaujinimas kaimo vietovėse </v>
      </c>
      <c r="H28" s="130" t="str">
        <f>CONCATENATE('3 pr-2'!I30)</f>
        <v>R</v>
      </c>
      <c r="I28" s="130" t="str">
        <f>CONCATENATE('3 pr-2'!J30)</f>
        <v>-</v>
      </c>
      <c r="J28" s="130" t="str">
        <f>CONCATENATE('3 pr-2'!K30)</f>
        <v>-</v>
      </c>
      <c r="K28" s="130" t="str">
        <f>MID('3 pr-2'!B30,10,2)</f>
        <v>12</v>
      </c>
      <c r="L28" s="130" t="str">
        <f>IFERROR(INDEX(Veiklos!$C$2:$C$54,MATCH(K28,Veiklos!$D$2:$D$54,0),1),"")</f>
        <v>Vietinės reikšmės keliai ir gatvės (rekonstrukcija)</v>
      </c>
      <c r="M28" s="130" t="str">
        <f>MID('3 pr-2'!B30,12,2)</f>
        <v>00</v>
      </c>
      <c r="N28" s="130">
        <f>IFERROR(INDEX(Veiklos!$C$2:$C$54,MATCH(M28,Veiklos!$D$2:$D$54,0),1),"")</f>
        <v>0</v>
      </c>
      <c r="O28" s="130" t="str">
        <f>MID('3 pr-2'!B30,14,2)</f>
        <v>00</v>
      </c>
      <c r="P28" s="130">
        <f>IFERROR(INDEX(Veiklos!$C$2:$C$54,MATCH(O28,Veiklos!$D$2:$D$54,0),1),"")</f>
        <v>0</v>
      </c>
      <c r="Q28" s="130" t="s">
        <v>66</v>
      </c>
      <c r="R28" s="130" t="s">
        <v>66</v>
      </c>
      <c r="S28" s="130" t="s">
        <v>66</v>
      </c>
      <c r="T28" s="130" t="s">
        <v>66</v>
      </c>
      <c r="U28" s="316">
        <v>1</v>
      </c>
      <c r="V28" s="504">
        <f>SUM('3 pr-2'!L30)</f>
        <v>170000</v>
      </c>
      <c r="W28" s="504">
        <f>SUM('3 pr-2'!AA30)</f>
        <v>136000</v>
      </c>
    </row>
    <row r="29" spans="1:23" ht="39" thickBot="1">
      <c r="A29" s="130" t="str">
        <f>CONCATENATE('3 pr-2'!A31)</f>
        <v>1.1.1.1.22</v>
      </c>
      <c r="B29" s="130" t="str">
        <f>CONCATENATE('3 pr-2'!B31)</f>
        <v>R01-ZM72-120000-1122</v>
      </c>
      <c r="C29" s="311" t="str">
        <f>CONCATENATE('3 pr-2'!D31)</f>
        <v>Alytaus rajono Makniūnų kaimo šaligatvių atnaujinimas ir plėtra</v>
      </c>
      <c r="D29" s="311" t="str">
        <f>CONCATENATE('3 pr-2'!E31)</f>
        <v>Alytaus rajono savivaldybės administracija</v>
      </c>
      <c r="E29" s="311" t="str">
        <f>CONCATENATE('3 pr-2'!F31)</f>
        <v>Lietuvos Respublikos žemės ūkio ministerija</v>
      </c>
      <c r="F29" s="311" t="str">
        <f>CONCATENATE('3 pr-2'!G31)</f>
        <v>Alytaus r. sav.</v>
      </c>
      <c r="G29" s="311" t="str">
        <f>CONCATENATE('3 pr-2'!H31)</f>
        <v xml:space="preserve">Pagrindinės paslaugos ir kaimų atnaujinimas kaimo vietovėse </v>
      </c>
      <c r="H29" s="130" t="str">
        <f>CONCATENATE('3 pr-2'!I31)</f>
        <v>R</v>
      </c>
      <c r="I29" s="130" t="str">
        <f>CONCATENATE('3 pr-2'!J31)</f>
        <v>-</v>
      </c>
      <c r="J29" s="130" t="str">
        <f>CONCATENATE('3 pr-2'!K31)</f>
        <v>-</v>
      </c>
      <c r="K29" s="130" t="str">
        <f>MID('3 pr-2'!B31,10,2)</f>
        <v>12</v>
      </c>
      <c r="L29" s="130" t="str">
        <f>IFERROR(INDEX(Veiklos!$C$2:$C$54,MATCH(K29,Veiklos!$D$2:$D$54,0),1),"")</f>
        <v>Vietinės reikšmės keliai ir gatvės (rekonstrukcija)</v>
      </c>
      <c r="M29" s="130" t="str">
        <f>MID('3 pr-2'!B31,12,2)</f>
        <v>00</v>
      </c>
      <c r="N29" s="130">
        <f>IFERROR(INDEX(Veiklos!$C$2:$C$54,MATCH(M29,Veiklos!$D$2:$D$54,0),1),"")</f>
        <v>0</v>
      </c>
      <c r="O29" s="130" t="str">
        <f>MID('3 pr-2'!B31,14,2)</f>
        <v>00</v>
      </c>
      <c r="P29" s="130">
        <f>IFERROR(INDEX(Veiklos!$C$2:$C$54,MATCH(O29,Veiklos!$D$2:$D$54,0),1),"")</f>
        <v>0</v>
      </c>
      <c r="Q29" s="130" t="s">
        <v>66</v>
      </c>
      <c r="R29" s="130" t="s">
        <v>66</v>
      </c>
      <c r="S29" s="130" t="s">
        <v>66</v>
      </c>
      <c r="T29" s="130" t="s">
        <v>66</v>
      </c>
      <c r="U29" s="316">
        <v>1</v>
      </c>
      <c r="V29" s="504">
        <f>SUM('3 pr-2'!L31)</f>
        <v>145772</v>
      </c>
      <c r="W29" s="504">
        <f>SUM('3 pr-2'!AA31)</f>
        <v>56793</v>
      </c>
    </row>
    <row r="30" spans="1:23" ht="39" thickBot="1">
      <c r="A30" s="130" t="str">
        <f>CONCATENATE('3 pr-2'!A32)</f>
        <v>1.1.1.1.23</v>
      </c>
      <c r="B30" s="130" t="str">
        <f>CONCATENATE('3 pr-2'!B32)</f>
        <v>R01-ZM72-120000-1123</v>
      </c>
      <c r="C30" s="311" t="str">
        <f>CONCATENATE('3 pr-2'!D32)</f>
        <v>Varėnos r. Vazgirdonių kaimo Klevų gatvės įrengimas</v>
      </c>
      <c r="D30" s="311" t="str">
        <f>CONCATENATE('3 pr-2'!E32)</f>
        <v xml:space="preserve">Varėnos rajono savivaldybės administracija </v>
      </c>
      <c r="E30" s="311" t="str">
        <f>CONCATENATE('3 pr-2'!F32)</f>
        <v>Lietuvos Respublikos žemės ūkio ministerija</v>
      </c>
      <c r="F30" s="311" t="str">
        <f>CONCATENATE('3 pr-2'!G32)</f>
        <v>Varėnos r. sav.</v>
      </c>
      <c r="G30" s="311" t="str">
        <f>CONCATENATE('3 pr-2'!H32)</f>
        <v xml:space="preserve">Pagrindinės paslaugos ir kaimų atnaujinimas kaimo vietovėse </v>
      </c>
      <c r="H30" s="130" t="str">
        <f>CONCATENATE('3 pr-2'!I32)</f>
        <v>R</v>
      </c>
      <c r="I30" s="130" t="str">
        <f>CONCATENATE('3 pr-2'!J32)</f>
        <v>-</v>
      </c>
      <c r="J30" s="130" t="str">
        <f>CONCATENATE('3 pr-2'!K32)</f>
        <v>-</v>
      </c>
      <c r="K30" s="130" t="str">
        <f>MID('3 pr-2'!B32,10,2)</f>
        <v>12</v>
      </c>
      <c r="L30" s="130" t="str">
        <f>IFERROR(INDEX(Veiklos!$C$2:$C$54,MATCH(K30,Veiklos!$D$2:$D$54,0),1),"")</f>
        <v>Vietinės reikšmės keliai ir gatvės (rekonstrukcija)</v>
      </c>
      <c r="M30" s="130" t="str">
        <f>MID('3 pr-2'!B32,12,2)</f>
        <v>00</v>
      </c>
      <c r="N30" s="130">
        <f>IFERROR(INDEX(Veiklos!$C$2:$C$54,MATCH(M30,Veiklos!$D$2:$D$54,0),1),"")</f>
        <v>0</v>
      </c>
      <c r="O30" s="130" t="str">
        <f>MID('3 pr-2'!B32,14,2)</f>
        <v>00</v>
      </c>
      <c r="P30" s="130">
        <f>IFERROR(INDEX(Veiklos!$C$2:$C$54,MATCH(O30,Veiklos!$D$2:$D$54,0),1),"")</f>
        <v>0</v>
      </c>
      <c r="Q30" s="130" t="s">
        <v>66</v>
      </c>
      <c r="R30" s="130" t="s">
        <v>66</v>
      </c>
      <c r="S30" s="130" t="s">
        <v>66</v>
      </c>
      <c r="T30" s="130" t="s">
        <v>66</v>
      </c>
      <c r="U30" s="316">
        <v>1</v>
      </c>
      <c r="V30" s="504">
        <f>SUM('3 pr-2'!L32)</f>
        <v>160048</v>
      </c>
      <c r="W30" s="504">
        <f>SUM('3 pr-2'!AA32)</f>
        <v>122596.20000000001</v>
      </c>
    </row>
    <row r="31" spans="1:23" ht="36" customHeight="1" thickBot="1">
      <c r="A31" s="297" t="s">
        <v>14</v>
      </c>
      <c r="B31" s="624"/>
      <c r="C31" s="1931" t="s">
        <v>825</v>
      </c>
      <c r="D31" s="1929"/>
      <c r="E31" s="1929"/>
      <c r="F31" s="1929"/>
      <c r="G31" s="1929"/>
      <c r="H31" s="1929"/>
      <c r="I31" s="1929"/>
      <c r="J31" s="1930"/>
      <c r="K31" s="291"/>
      <c r="L31" s="291"/>
      <c r="M31" s="291"/>
      <c r="N31" s="291"/>
      <c r="O31" s="291"/>
      <c r="P31" s="291"/>
      <c r="Q31" s="291"/>
      <c r="R31" s="291"/>
      <c r="S31" s="291"/>
      <c r="T31" s="291"/>
      <c r="U31" s="505"/>
      <c r="V31" s="502">
        <f>SUM(V32:V36)</f>
        <v>3717325.8</v>
      </c>
      <c r="W31" s="502">
        <f>SUM(W32:W36)</f>
        <v>2816450.64</v>
      </c>
    </row>
    <row r="32" spans="1:23" ht="113.25" customHeight="1" thickBot="1">
      <c r="A32" s="11" t="str">
        <f>CONCATENATE('3 pr-2'!A34)</f>
        <v>1.1.1.2.1</v>
      </c>
      <c r="B32" s="130" t="str">
        <f>CONCATENATE('3 pr-2'!B34)</f>
        <v>R01-9908-293400-1121</v>
      </c>
      <c r="C32" s="78" t="str">
        <f>CONCATENATE('3 pr-2'!D34)</f>
        <v>Matuizų kaimo viešosios infrastruktūros atnaujinimas ir pritaikymas bendruomenės poreikiams</v>
      </c>
      <c r="D32" s="78" t="str">
        <f>CONCATENATE('3 pr-2'!E34)</f>
        <v>Varėnos rajono savivaldybės administracija</v>
      </c>
      <c r="E32" s="78" t="str">
        <f>CONCATENATE('3 pr-2'!F34)</f>
        <v>Lietuvos Respublikos vidaus reikalų ministerija</v>
      </c>
      <c r="F32" s="78" t="str">
        <f>CONCATENATE('3 pr-2'!G34)</f>
        <v>Varėnos r. sav.</v>
      </c>
      <c r="G32" s="11" t="str">
        <f>CONCATENATE('3 pr-2'!H34)</f>
        <v>8.2.1-CPVA-R-908</v>
      </c>
      <c r="H32" s="11" t="str">
        <f>CONCATENATE('3 pr-2'!I34)</f>
        <v>R</v>
      </c>
      <c r="I32" s="11" t="str">
        <f>CONCATENATE('3 pr-2'!J34)</f>
        <v>-</v>
      </c>
      <c r="J32" s="11" t="str">
        <f>CONCATENATE('3 pr-2'!K34)</f>
        <v>-</v>
      </c>
      <c r="K32" s="130" t="str">
        <f>MID('3 pr-2'!B34,10,2)</f>
        <v>29</v>
      </c>
      <c r="L32" s="130" t="str">
        <f>IFERROR(INDEX(Veiklos!$C$2:$C$54,MATCH(K32,Veiklos!$D$2:$D$54,0),1),"")</f>
        <v>Kitos viešosios infrastruktūros modernizavimas (viešosios erdvės): visuomeninės, komercinės ir bendro naudojimo paskirties teritorijos</v>
      </c>
      <c r="M32" s="130" t="str">
        <f>MID('3 pr-2'!B34,12,2)</f>
        <v>34</v>
      </c>
      <c r="N32" s="130" t="str">
        <f>IFERROR(INDEX(Veiklos!$C$2:$C$54,MATCH(M32,Veiklos!$D$2:$D$54,0),1),"")</f>
        <v>Kitos viešosios infrastruktūros modernizavimas (pastatai ir statiniai): bendruomenės, nevyriausybinių organizacijų veiklai pritaikomi pastatai</v>
      </c>
      <c r="O32" s="130" t="str">
        <f>MID('3 pr-2'!B34,14,2)</f>
        <v>00</v>
      </c>
      <c r="P32" s="130">
        <f>IFERROR(INDEX(Veiklos!$C$2:$C$54,MATCH(O32,Veiklos!$D$2:$D$54,0),1),"")</f>
        <v>0</v>
      </c>
      <c r="Q32" s="506" t="s">
        <v>66</v>
      </c>
      <c r="R32" s="506" t="s">
        <v>66</v>
      </c>
      <c r="S32" s="506" t="s">
        <v>66</v>
      </c>
      <c r="T32" s="506" t="s">
        <v>66</v>
      </c>
      <c r="U32" s="507">
        <v>1</v>
      </c>
      <c r="V32" s="504">
        <f>SUM('3 pr-2'!L34)</f>
        <v>815537.61</v>
      </c>
      <c r="W32" s="504">
        <f>SUM('3 pr-2'!AA34)</f>
        <v>487341</v>
      </c>
    </row>
    <row r="33" spans="1:23" ht="64.5" thickBot="1">
      <c r="A33" s="11" t="str">
        <f>CONCATENATE('3 pr-2'!A35)</f>
        <v>1.1.1.2.2</v>
      </c>
      <c r="B33" s="130" t="str">
        <f>CONCATENATE('3 pr-2'!B35)</f>
        <v>R01-9908-290000-1122</v>
      </c>
      <c r="C33" s="78" t="str">
        <f>CONCATENATE('3 pr-2'!D35)</f>
        <v>Senosios Varėnos kaimo viešosios infrastruktūros atnaujinimas ir pritaikymas bendruomenės poreikiams</v>
      </c>
      <c r="D33" s="78" t="str">
        <f>CONCATENATE('3 pr-2'!E35)</f>
        <v>Varėnos rajono savivaldybės administracija</v>
      </c>
      <c r="E33" s="78" t="str">
        <f>CONCATENATE('3 pr-2'!F35)</f>
        <v>Lietuvos Respublikos vidaus reikalų ministerija</v>
      </c>
      <c r="F33" s="78" t="str">
        <f>CONCATENATE('3 pr-2'!G35)</f>
        <v>Varėnos r. sav.</v>
      </c>
      <c r="G33" s="11" t="str">
        <f>CONCATENATE('3 pr-2'!H35)</f>
        <v>8.2.1-CPVA-R-908</v>
      </c>
      <c r="H33" s="11" t="str">
        <f>CONCATENATE('3 pr-2'!I35)</f>
        <v>R</v>
      </c>
      <c r="I33" s="11" t="str">
        <f>CONCATENATE('3 pr-2'!J35)</f>
        <v>-</v>
      </c>
      <c r="J33" s="11" t="str">
        <f>CONCATENATE('3 pr-2'!K35)</f>
        <v>-</v>
      </c>
      <c r="K33" s="130" t="str">
        <f>MID('3 pr-2'!B35,10,2)</f>
        <v>29</v>
      </c>
      <c r="L33" s="130" t="str">
        <f>IFERROR(INDEX(Veiklos!$C$2:$C$54,MATCH(K33,Veiklos!$D$2:$D$54,0),1),"")</f>
        <v>Kitos viešosios infrastruktūros modernizavimas (viešosios erdvės): visuomeninės, komercinės ir bendro naudojimo paskirties teritorijos</v>
      </c>
      <c r="M33" s="130" t="str">
        <f>MID('3 pr-2'!B35,12,2)</f>
        <v>00</v>
      </c>
      <c r="N33" s="130">
        <f>IFERROR(INDEX(Veiklos!$C$2:$C$54,MATCH(M33,Veiklos!$D$2:$D$54,0),1),"")</f>
        <v>0</v>
      </c>
      <c r="O33" s="130" t="str">
        <f>MID('3 pr-2'!B35,14,2)</f>
        <v>00</v>
      </c>
      <c r="P33" s="130">
        <f>IFERROR(INDEX(Veiklos!$C$2:$C$54,MATCH(O33,Veiklos!$D$2:$D$54,0),1),"")</f>
        <v>0</v>
      </c>
      <c r="Q33" s="506" t="s">
        <v>66</v>
      </c>
      <c r="R33" s="506" t="s">
        <v>66</v>
      </c>
      <c r="S33" s="506" t="s">
        <v>66</v>
      </c>
      <c r="T33" s="506" t="s">
        <v>66</v>
      </c>
      <c r="U33" s="507">
        <v>1</v>
      </c>
      <c r="V33" s="504">
        <f>SUM('3 pr-2'!L35)</f>
        <v>605024.19999999995</v>
      </c>
      <c r="W33" s="504">
        <f>SUM('3 pr-2'!AA35)</f>
        <v>514270.57</v>
      </c>
    </row>
    <row r="34" spans="1:23" ht="111.75" customHeight="1" thickBot="1">
      <c r="A34" s="11" t="str">
        <f>CONCATENATE('3 pr-2'!A36)</f>
        <v>1.1.1.2.3</v>
      </c>
      <c r="B34" s="130" t="str">
        <f>CONCATENATE('3 pr-2'!B36)</f>
        <v>R01-9908-290000-1123</v>
      </c>
      <c r="C34" s="78" t="str">
        <f>CONCATENATE('3 pr-2'!D36)</f>
        <v>Kompleksinė Miklusėnų gyvenvietės plėtra</v>
      </c>
      <c r="D34" s="78" t="str">
        <f>CONCATENATE('3 pr-2'!E36)</f>
        <v>Alytaus rajono savivaldybės administracija</v>
      </c>
      <c r="E34" s="78" t="str">
        <f>CONCATENATE('3 pr-2'!F36)</f>
        <v>Lietuvos Respublikos vidaus reikalų ministerija</v>
      </c>
      <c r="F34" s="78" t="str">
        <f>CONCATENATE('3 pr-2'!G36)</f>
        <v>Alytaus r. sav.</v>
      </c>
      <c r="G34" s="11" t="str">
        <f>CONCATENATE('3 pr-2'!H36)</f>
        <v>8.2.1-CPVA-R-908</v>
      </c>
      <c r="H34" s="11" t="str">
        <f>CONCATENATE('3 pr-2'!I36)</f>
        <v>R</v>
      </c>
      <c r="I34" s="11" t="str">
        <f>CONCATENATE('3 pr-2'!J36)</f>
        <v>-</v>
      </c>
      <c r="J34" s="11" t="str">
        <f>CONCATENATE('3 pr-2'!K36)</f>
        <v>-</v>
      </c>
      <c r="K34" s="130" t="str">
        <f>MID('3 pr-2'!B36,10,2)</f>
        <v>29</v>
      </c>
      <c r="L34" s="130" t="str">
        <f>IFERROR(INDEX(Veiklos!$C$2:$C$54,MATCH(K34,Veiklos!$D$2:$D$54,0),1),"")</f>
        <v>Kitos viešosios infrastruktūros modernizavimas (viešosios erdvės): visuomeninės, komercinės ir bendro naudojimo paskirties teritorijos</v>
      </c>
      <c r="M34" s="130" t="str">
        <f>MID('3 pr-2'!B36,12,2)</f>
        <v>00</v>
      </c>
      <c r="N34" s="130">
        <f>IFERROR(INDEX(Veiklos!$C$2:$C$54,MATCH(M34,Veiklos!$D$2:$D$54,0),1),"")</f>
        <v>0</v>
      </c>
      <c r="O34" s="130" t="str">
        <f>MID('3 pr-2'!B36,14,2)</f>
        <v>00</v>
      </c>
      <c r="P34" s="130">
        <f>IFERROR(INDEX(Veiklos!$C$2:$C$54,MATCH(O34,Veiklos!$D$2:$D$54,0),1),"")</f>
        <v>0</v>
      </c>
      <c r="Q34" s="506" t="s">
        <v>66</v>
      </c>
      <c r="R34" s="506" t="s">
        <v>66</v>
      </c>
      <c r="S34" s="506" t="s">
        <v>66</v>
      </c>
      <c r="T34" s="506" t="s">
        <v>66</v>
      </c>
      <c r="U34" s="507">
        <v>1</v>
      </c>
      <c r="V34" s="504">
        <f>SUM('3 pr-2'!L36)</f>
        <v>1043467</v>
      </c>
      <c r="W34" s="504">
        <f>SUM('3 pr-2'!AA36)</f>
        <v>886946</v>
      </c>
    </row>
    <row r="35" spans="1:23" ht="64.5" thickBot="1">
      <c r="A35" s="11" t="str">
        <f>CONCATENATE('3 pr-2'!A37)</f>
        <v>1.1.1.2.4</v>
      </c>
      <c r="B35" s="130" t="str">
        <f>CONCATENATE('3 pr-2'!B37)</f>
        <v>R01-9908-290000-1124</v>
      </c>
      <c r="C35" s="78" t="str">
        <f>CONCATENATE('3 pr-2'!D37)</f>
        <v>Leipalingio viešosios erdvės pritaikymas bendruomenės poreikiams</v>
      </c>
      <c r="D35" s="78" t="str">
        <f>CONCATENATE('3 pr-2'!E37)</f>
        <v xml:space="preserve">Druskininkų savivaldybės administracija  </v>
      </c>
      <c r="E35" s="78" t="str">
        <f>CONCATENATE('3 pr-2'!F37)</f>
        <v>Lietuvos Respublikos vidaus reikalų ministerija</v>
      </c>
      <c r="F35" s="78" t="str">
        <f>CONCATENATE('3 pr-2'!G37)</f>
        <v>Druskininkų sav.</v>
      </c>
      <c r="G35" s="11" t="str">
        <f>CONCATENATE('3 pr-2'!H37)</f>
        <v>8.2.1-CPVA-R-908</v>
      </c>
      <c r="H35" s="11" t="str">
        <f>CONCATENATE('3 pr-2'!I37)</f>
        <v>R</v>
      </c>
      <c r="I35" s="11" t="str">
        <f>CONCATENATE('3 pr-2'!J37)</f>
        <v>-</v>
      </c>
      <c r="J35" s="11" t="str">
        <f>CONCATENATE('3 pr-2'!K37)</f>
        <v>-</v>
      </c>
      <c r="K35" s="130" t="str">
        <f>MID('3 pr-2'!B37,10,2)</f>
        <v>29</v>
      </c>
      <c r="L35" s="130" t="str">
        <f>IFERROR(INDEX(Veiklos!$C$2:$C$54,MATCH(K35,Veiklos!$D$2:$D$54,0),1),"")</f>
        <v>Kitos viešosios infrastruktūros modernizavimas (viešosios erdvės): visuomeninės, komercinės ir bendro naudojimo paskirties teritorijos</v>
      </c>
      <c r="M35" s="130" t="str">
        <f>MID('3 pr-2'!B37,12,2)</f>
        <v>00</v>
      </c>
      <c r="N35" s="130">
        <f>IFERROR(INDEX(Veiklos!$C$2:$C$54,MATCH(M35,Veiklos!$D$2:$D$54,0),1),"")</f>
        <v>0</v>
      </c>
      <c r="O35" s="130" t="str">
        <f>MID('3 pr-2'!B37,14,2)</f>
        <v>00</v>
      </c>
      <c r="P35" s="130">
        <f>IFERROR(INDEX(Veiklos!$C$2:$C$54,MATCH(O35,Veiklos!$D$2:$D$54,0),1),"")</f>
        <v>0</v>
      </c>
      <c r="Q35" s="506" t="s">
        <v>66</v>
      </c>
      <c r="R35" s="506" t="s">
        <v>66</v>
      </c>
      <c r="S35" s="506" t="s">
        <v>66</v>
      </c>
      <c r="T35" s="506" t="s">
        <v>66</v>
      </c>
      <c r="U35" s="507">
        <v>1</v>
      </c>
      <c r="V35" s="504">
        <f>SUM('3 pr-2'!L37)</f>
        <v>579418.99</v>
      </c>
      <c r="W35" s="504">
        <f>SUM('3 pr-2'!AA37)</f>
        <v>355096.91</v>
      </c>
    </row>
    <row r="36" spans="1:23" ht="64.5" thickBot="1">
      <c r="A36" s="11" t="str">
        <f>CONCATENATE('3 pr-2'!A38)</f>
        <v>1.1.1.2.5</v>
      </c>
      <c r="B36" s="130" t="str">
        <f>CONCATENATE('3 pr-2'!B38)</f>
        <v>R01-9908-290000-1125</v>
      </c>
      <c r="C36" s="78" t="str">
        <f>CONCATENATE('3 pr-2'!D38)</f>
        <v>Viečiūnų viešosios erdvės pritaikymas bendruomenės poreikiams</v>
      </c>
      <c r="D36" s="78" t="str">
        <f>CONCATENATE('3 pr-2'!E38)</f>
        <v xml:space="preserve">Druskininkų savivaldybės administracija  </v>
      </c>
      <c r="E36" s="78" t="str">
        <f>CONCATENATE('3 pr-2'!F38)</f>
        <v>Lietuvos Respublikos vidaus reikalų ministerija</v>
      </c>
      <c r="F36" s="78" t="str">
        <f>CONCATENATE('3 pr-2'!G38)</f>
        <v>Druskininkų sav.</v>
      </c>
      <c r="G36" s="11" t="str">
        <f>CONCATENATE('3 pr-2'!H38)</f>
        <v>8.2.1-CPVA-R-908</v>
      </c>
      <c r="H36" s="11" t="str">
        <f>CONCATENATE('3 pr-2'!I38)</f>
        <v>R</v>
      </c>
      <c r="I36" s="11" t="str">
        <f>CONCATENATE('3 pr-2'!J38)</f>
        <v>-</v>
      </c>
      <c r="J36" s="11" t="str">
        <f>CONCATENATE('3 pr-2'!K38)</f>
        <v>-</v>
      </c>
      <c r="K36" s="130" t="str">
        <f>MID('3 pr-2'!B38,10,2)</f>
        <v>29</v>
      </c>
      <c r="L36" s="130" t="str">
        <f>IFERROR(INDEX(Veiklos!$C$2:$C$54,MATCH(K36,Veiklos!$D$2:$D$54,0),1),"")</f>
        <v>Kitos viešosios infrastruktūros modernizavimas (viešosios erdvės): visuomeninės, komercinės ir bendro naudojimo paskirties teritorijos</v>
      </c>
      <c r="M36" s="130" t="str">
        <f>MID('3 pr-2'!B38,12,2)</f>
        <v>00</v>
      </c>
      <c r="N36" s="130">
        <f>IFERROR(INDEX(Veiklos!$C$2:$C$54,MATCH(M36,Veiklos!$D$2:$D$54,0),1),"")</f>
        <v>0</v>
      </c>
      <c r="O36" s="130" t="str">
        <f>MID('3 pr-2'!B38,14,2)</f>
        <v>00</v>
      </c>
      <c r="P36" s="130">
        <f>IFERROR(INDEX(Veiklos!$C$2:$C$54,MATCH(O36,Veiklos!$D$2:$D$54,0),1),"")</f>
        <v>0</v>
      </c>
      <c r="Q36" s="506" t="s">
        <v>66</v>
      </c>
      <c r="R36" s="506" t="s">
        <v>66</v>
      </c>
      <c r="S36" s="506" t="s">
        <v>66</v>
      </c>
      <c r="T36" s="506" t="s">
        <v>66</v>
      </c>
      <c r="U36" s="507">
        <v>1</v>
      </c>
      <c r="V36" s="504">
        <f>SUM('3 pr-2'!L38)</f>
        <v>673878</v>
      </c>
      <c r="W36" s="504">
        <f>SUM('3 pr-2'!AA38)</f>
        <v>572796.16000000003</v>
      </c>
    </row>
    <row r="37" spans="1:23" ht="32.25" customHeight="1" thickBot="1">
      <c r="A37" s="298" t="s">
        <v>70</v>
      </c>
      <c r="B37" s="625"/>
      <c r="C37" s="1926" t="s">
        <v>1211</v>
      </c>
      <c r="D37" s="1927"/>
      <c r="E37" s="1927"/>
      <c r="F37" s="1927"/>
      <c r="G37" s="1927"/>
      <c r="H37" s="1927"/>
      <c r="I37" s="1927"/>
      <c r="J37" s="1928"/>
      <c r="K37" s="291"/>
      <c r="L37" s="291"/>
      <c r="M37" s="291"/>
      <c r="N37" s="291"/>
      <c r="O37" s="291"/>
      <c r="P37" s="291"/>
      <c r="Q37" s="291"/>
      <c r="R37" s="291"/>
      <c r="S37" s="291"/>
      <c r="T37" s="291"/>
      <c r="U37" s="505"/>
      <c r="V37" s="502">
        <f>SUM(V38:V43)</f>
        <v>4359732.13</v>
      </c>
      <c r="W37" s="502">
        <f>SUM(W38:W43)</f>
        <v>3697299.46</v>
      </c>
    </row>
    <row r="38" spans="1:23" ht="64.5" thickBot="1">
      <c r="A38" s="130" t="str">
        <f>CONCATENATE('3 pr-2'!A40)</f>
        <v>1.1.1.3.1</v>
      </c>
      <c r="B38" s="130" t="str">
        <f>CONCATENATE('3 pr-2'!B40)</f>
        <v>R01-9905-290000-1131</v>
      </c>
      <c r="C38" s="311" t="str">
        <f>CONCATENATE('3 pr-2'!D40)</f>
        <v>Varėnos miesto centrinės dalies modernizavimas ir pritaikymas visuomenės poreikiams (I etapas)</v>
      </c>
      <c r="D38" s="311" t="str">
        <f>CONCATENATE('3 pr-2'!E40)</f>
        <v>Varėnos rajono savivaldybės administracija</v>
      </c>
      <c r="E38" s="311" t="str">
        <f>CONCATENATE('3 pr-2'!F40)</f>
        <v>Lietuvos Respublikos vidaus reikalų ministerija</v>
      </c>
      <c r="F38" s="311" t="str">
        <f>CONCATENATE('3 pr-2'!G40)</f>
        <v>Varėnos r. sav.</v>
      </c>
      <c r="G38" s="130" t="str">
        <f>CONCATENATE('3 pr-2'!H40)</f>
        <v xml:space="preserve">07.1.1-CPVA-R-905 </v>
      </c>
      <c r="H38" s="130" t="str">
        <f>CONCATENATE('3 pr-2'!I40)</f>
        <v>R</v>
      </c>
      <c r="I38" s="130" t="str">
        <f>CONCATENATE('3 pr-2'!J40)</f>
        <v>ITI</v>
      </c>
      <c r="J38" s="130" t="str">
        <f>CONCATENATE('3 pr-2'!K40)</f>
        <v>-</v>
      </c>
      <c r="K38" s="130" t="str">
        <f>MID('3 pr-2'!B40,10,2)</f>
        <v>29</v>
      </c>
      <c r="L38" s="130" t="str">
        <f>IFERROR(INDEX(Veiklos!$C$2:$C$54,MATCH(K38,Veiklos!$D$2:$D$54,0),1),"")</f>
        <v>Kitos viešosios infrastruktūros modernizavimas (viešosios erdvės): visuomeninės, komercinės ir bendro naudojimo paskirties teritorijos</v>
      </c>
      <c r="M38" s="130" t="str">
        <f>MID('3 pr-2'!B40,12,2)</f>
        <v>00</v>
      </c>
      <c r="N38" s="130">
        <f>IFERROR(INDEX(Veiklos!$C$2:$C$54,MATCH(M38,Veiklos!$D$2:$D$54,0),1),"")</f>
        <v>0</v>
      </c>
      <c r="O38" s="130" t="str">
        <f>MID('3 pr-2'!B40,14,2)</f>
        <v>00</v>
      </c>
      <c r="P38" s="130">
        <f>IFERROR(INDEX(Veiklos!$C$2:$C$54,MATCH(O38,Veiklos!$D$2:$D$54,0),1),"")</f>
        <v>0</v>
      </c>
      <c r="Q38" s="130" t="s">
        <v>66</v>
      </c>
      <c r="R38" s="130" t="s">
        <v>66</v>
      </c>
      <c r="S38" s="130" t="s">
        <v>66</v>
      </c>
      <c r="T38" s="130" t="s">
        <v>66</v>
      </c>
      <c r="U38" s="316">
        <v>1</v>
      </c>
      <c r="V38" s="504">
        <f>SUM('3 pr-2'!L40)</f>
        <v>1516825.67</v>
      </c>
      <c r="W38" s="504">
        <f>SUM('3 pr-2'!AA40)</f>
        <v>1289301.81</v>
      </c>
    </row>
    <row r="39" spans="1:23" ht="102.75" thickBot="1">
      <c r="A39" s="130" t="str">
        <f>CONCATENATE('3 pr-2'!A41)</f>
        <v>1.1.1.3.2</v>
      </c>
      <c r="B39" s="130" t="str">
        <f>CONCATENATE('3 pr-2'!B41)</f>
        <v>R01-9905-282900-1132</v>
      </c>
      <c r="C39" s="311" t="str">
        <f>CONCATENATE('3 pr-2'!D41)</f>
        <v>Varėnos miesto centrinės dalies modernizavimas ir pritaikymas visuomenės poreikiams (II etapas)</v>
      </c>
      <c r="D39" s="311" t="str">
        <f>CONCATENATE('3 pr-2'!E41)</f>
        <v>Varėnos rajono savivaldybės administracija</v>
      </c>
      <c r="E39" s="311" t="str">
        <f>CONCATENATE('3 pr-2'!F41)</f>
        <v>Lietuvos Respublikos vidaus reikalų ministerija</v>
      </c>
      <c r="F39" s="311" t="str">
        <f>CONCATENATE('3 pr-2'!G41)</f>
        <v>Varėnos r. sav.</v>
      </c>
      <c r="G39" s="130" t="str">
        <f>CONCATENATE('3 pr-2'!H41)</f>
        <v xml:space="preserve">07.1.1-CPVA-R-905 </v>
      </c>
      <c r="H39" s="130" t="str">
        <f>CONCATENATE('3 pr-2'!I41)</f>
        <v>R</v>
      </c>
      <c r="I39" s="130" t="str">
        <f>CONCATENATE('3 pr-2'!J41)</f>
        <v>ITI</v>
      </c>
      <c r="J39" s="130" t="str">
        <f>CONCATENATE('3 pr-2'!K41)</f>
        <v>-</v>
      </c>
      <c r="K39" s="130" t="str">
        <f>MID('3 pr-2'!B41,10,2)</f>
        <v>28</v>
      </c>
      <c r="L39" s="130" t="str">
        <f>IFERROR(INDEX(Veiklos!$C$2:$C$54,MATCH(K39,Veiklos!$D$2:$D$54,0),1),"")</f>
        <v>Kitos viešosios infrastruktūros modernizavimas (viešosios erdvės): rekreacinės teritorijos ir gamtinis karkasas</v>
      </c>
      <c r="M39" s="130" t="str">
        <f>MID('3 pr-2'!B41,12,2)</f>
        <v>29</v>
      </c>
      <c r="N39" s="130" t="str">
        <f>IFERROR(INDEX(Veiklos!$C$2:$C$54,MATCH(M39,Veiklos!$D$2:$D$54,0),1),"")</f>
        <v>Kitos viešosios infrastruktūros modernizavimas (viešosios erdvės): visuomeninės, komercinės ir bendro naudojimo paskirties teritorijos</v>
      </c>
      <c r="O39" s="130" t="str">
        <f>MID('3 pr-2'!B41,14,2)</f>
        <v>00</v>
      </c>
      <c r="P39" s="130">
        <f>IFERROR(INDEX(Veiklos!$C$2:$C$54,MATCH(O39,Veiklos!$D$2:$D$54,0),1),"")</f>
        <v>0</v>
      </c>
      <c r="Q39" s="130" t="s">
        <v>66</v>
      </c>
      <c r="R39" s="130" t="s">
        <v>66</v>
      </c>
      <c r="S39" s="130" t="s">
        <v>66</v>
      </c>
      <c r="T39" s="130" t="s">
        <v>66</v>
      </c>
      <c r="U39" s="316">
        <v>1</v>
      </c>
      <c r="V39" s="504">
        <f>SUM('3 pr-2'!L41)</f>
        <v>815103</v>
      </c>
      <c r="W39" s="504">
        <f>SUM('3 pr-2'!AA41)</f>
        <v>685370</v>
      </c>
    </row>
    <row r="40" spans="1:23" ht="77.25" thickBot="1">
      <c r="A40" s="130" t="str">
        <f>CONCATENATE('3 pr-2'!A42)</f>
        <v>1.1.1.3.3</v>
      </c>
      <c r="B40" s="130" t="str">
        <f>CONCATENATE('3 pr-2'!B42)</f>
        <v>R01-9905-292800-1133</v>
      </c>
      <c r="C40" s="311" t="str">
        <f>CONCATENATE('3 pr-2'!D42)</f>
        <v>Varėnos miesto Dainų slėnio infrastruktūros atnaujinimas ir pritaikymas visuomenės poreikiams</v>
      </c>
      <c r="D40" s="311" t="str">
        <f>CONCATENATE('3 pr-2'!E42)</f>
        <v>Varėnos rajono savivaldybės administracija</v>
      </c>
      <c r="E40" s="311" t="str">
        <f>CONCATENATE('3 pr-2'!F42)</f>
        <v>Lietuvos Respublikos vidaus reikalų ministerija</v>
      </c>
      <c r="F40" s="311" t="str">
        <f>CONCATENATE('3 pr-2'!G42)</f>
        <v>Varėnos r. sav.</v>
      </c>
      <c r="G40" s="130" t="str">
        <f>CONCATENATE('3 pr-2'!H42)</f>
        <v xml:space="preserve">07.1.1-CPVA-R-905 </v>
      </c>
      <c r="H40" s="130" t="str">
        <f>CONCATENATE('3 pr-2'!I42)</f>
        <v>R</v>
      </c>
      <c r="I40" s="130" t="str">
        <f>CONCATENATE('3 pr-2'!J42)</f>
        <v>ITI</v>
      </c>
      <c r="J40" s="130" t="str">
        <f>CONCATENATE('3 pr-2'!K42)</f>
        <v>-</v>
      </c>
      <c r="K40" s="130" t="str">
        <f>MID('3 pr-2'!B42,10,2)</f>
        <v>29</v>
      </c>
      <c r="L40" s="130" t="str">
        <f>IFERROR(INDEX(Veiklos!$C$2:$C$54,MATCH(K40,Veiklos!$D$2:$D$54,0),1),"")</f>
        <v>Kitos viešosios infrastruktūros modernizavimas (viešosios erdvės): visuomeninės, komercinės ir bendro naudojimo paskirties teritorijos</v>
      </c>
      <c r="M40" s="130" t="str">
        <f>MID('3 pr-2'!B42,12,2)</f>
        <v>28</v>
      </c>
      <c r="N40" s="130" t="str">
        <f>IFERROR(INDEX(Veiklos!$C$2:$C$54,MATCH(M40,Veiklos!$D$2:$D$54,0),1),"")</f>
        <v>Kitos viešosios infrastruktūros modernizavimas (viešosios erdvės): rekreacinės teritorijos ir gamtinis karkasas</v>
      </c>
      <c r="O40" s="130" t="str">
        <f>MID('3 pr-2'!B42,14,2)</f>
        <v>00</v>
      </c>
      <c r="P40" s="130">
        <f>IFERROR(INDEX(Veiklos!$C$2:$C$54,MATCH(O40,Veiklos!$D$2:$D$54,0),1),"")</f>
        <v>0</v>
      </c>
      <c r="Q40" s="130" t="s">
        <v>66</v>
      </c>
      <c r="R40" s="130" t="s">
        <v>66</v>
      </c>
      <c r="S40" s="130" t="s">
        <v>66</v>
      </c>
      <c r="T40" s="130" t="s">
        <v>66</v>
      </c>
      <c r="U40" s="316">
        <v>1</v>
      </c>
      <c r="V40" s="504">
        <f>SUM('3 pr-2'!L42)</f>
        <v>514646.41000000003</v>
      </c>
      <c r="W40" s="504">
        <f>SUM('3 pr-2'!AA42)</f>
        <v>437449.44</v>
      </c>
    </row>
    <row r="41" spans="1:23" ht="51.75" thickBot="1">
      <c r="A41" s="130" t="str">
        <f>CONCATENATE('3 pr-2'!A43)</f>
        <v>1.1.1.3.4</v>
      </c>
      <c r="B41" s="130" t="str">
        <f>CONCATENATE('3 pr-2'!B43)</f>
        <v>R01-9905-280000-1134</v>
      </c>
      <c r="C41" s="311" t="str">
        <f>CONCATENATE('3 pr-2'!D43)</f>
        <v>Karloniškės ežero ir jo prieigų sutvarkymas ir pritaikymas aktyviam poilsiui</v>
      </c>
      <c r="D41" s="311" t="str">
        <f>CONCATENATE('3 pr-2'!E43)</f>
        <v>Varėnos rajono savivaldybės administracija</v>
      </c>
      <c r="E41" s="311" t="str">
        <f>CONCATENATE('3 pr-2'!F43)</f>
        <v>Lietuvos Respublikos vidaus reikalų ministerija</v>
      </c>
      <c r="F41" s="311" t="str">
        <f>CONCATENATE('3 pr-2'!G43)</f>
        <v>Varėnos r. sav.</v>
      </c>
      <c r="G41" s="130" t="str">
        <f>CONCATENATE('3 pr-2'!H43)</f>
        <v xml:space="preserve">07.1.1-CPVA-R-905 </v>
      </c>
      <c r="H41" s="130" t="str">
        <f>CONCATENATE('3 pr-2'!I43)</f>
        <v>R</v>
      </c>
      <c r="I41" s="130" t="str">
        <f>CONCATENATE('3 pr-2'!J43)</f>
        <v>ITI</v>
      </c>
      <c r="J41" s="130" t="str">
        <f>CONCATENATE('3 pr-2'!K43)</f>
        <v>-</v>
      </c>
      <c r="K41" s="130" t="str">
        <f>MID('3 pr-2'!B43,10,2)</f>
        <v>28</v>
      </c>
      <c r="L41" s="130" t="str">
        <f>IFERROR(INDEX(Veiklos!$C$2:$C$54,MATCH(K41,Veiklos!$D$2:$D$54,0),1),"")</f>
        <v>Kitos viešosios infrastruktūros modernizavimas (viešosios erdvės): rekreacinės teritorijos ir gamtinis karkasas</v>
      </c>
      <c r="M41" s="130" t="str">
        <f>MID('3 pr-2'!B43,12,2)</f>
        <v>00</v>
      </c>
      <c r="N41" s="130">
        <f>IFERROR(INDEX(Veiklos!$C$2:$C$54,MATCH(M41,Veiklos!$D$2:$D$54,0),1),"")</f>
        <v>0</v>
      </c>
      <c r="O41" s="130" t="str">
        <f>MID('3 pr-2'!B43,14,2)</f>
        <v>00</v>
      </c>
      <c r="P41" s="130">
        <f>IFERROR(INDEX(Veiklos!$C$2:$C$54,MATCH(O41,Veiklos!$D$2:$D$54,0),1),"")</f>
        <v>0</v>
      </c>
      <c r="Q41" s="130" t="s">
        <v>66</v>
      </c>
      <c r="R41" s="130" t="s">
        <v>66</v>
      </c>
      <c r="S41" s="130" t="s">
        <v>66</v>
      </c>
      <c r="T41" s="130" t="s">
        <v>66</v>
      </c>
      <c r="U41" s="316">
        <v>1</v>
      </c>
      <c r="V41" s="504">
        <f>SUM('3 pr-2'!L43)</f>
        <v>877516.65</v>
      </c>
      <c r="W41" s="504">
        <f>SUM('3 pr-2'!AA43)</f>
        <v>745889.15</v>
      </c>
    </row>
    <row r="42" spans="1:23" ht="102.75" thickBot="1">
      <c r="A42" s="130" t="str">
        <f>CONCATENATE('3 pr-2'!A44)</f>
        <v>1.1.1.3.5</v>
      </c>
      <c r="B42" s="130" t="str">
        <f>CONCATENATE('3 pr-2'!B44)</f>
        <v>R01-9905-362900-1135</v>
      </c>
      <c r="C42" s="311" t="str">
        <f>CONCATENATE('3 pr-2'!D44)</f>
        <v>Nenaudojamų teritorijų Varėnos mieste sutvarkymas ir pritaikymas verslui</v>
      </c>
      <c r="D42" s="311" t="str">
        <f>CONCATENATE('3 pr-2'!E44)</f>
        <v>Varėnos rajono savivaldybės administracija</v>
      </c>
      <c r="E42" s="311" t="str">
        <f>CONCATENATE('3 pr-2'!F44)</f>
        <v>Lietuvos Respublikos vidaus reikalų ministerija</v>
      </c>
      <c r="F42" s="311" t="str">
        <f>CONCATENATE('3 pr-2'!G44)</f>
        <v>Varėnos r. sav.</v>
      </c>
      <c r="G42" s="130" t="str">
        <f>CONCATENATE('3 pr-2'!H44)</f>
        <v xml:space="preserve">07.1.1-CPVA-R-905 </v>
      </c>
      <c r="H42" s="130" t="str">
        <f>CONCATENATE('3 pr-2'!I44)</f>
        <v>R</v>
      </c>
      <c r="I42" s="130" t="str">
        <f>CONCATENATE('3 pr-2'!J44)</f>
        <v>ITI</v>
      </c>
      <c r="J42" s="130" t="str">
        <f>CONCATENATE('3 pr-2'!K44)</f>
        <v>-</v>
      </c>
      <c r="K42" s="130" t="str">
        <f>MID('3 pr-2'!B44,10,2)</f>
        <v>36</v>
      </c>
      <c r="L42" s="130" t="str">
        <f>IFERROR(INDEX(Veiklos!$C$2:$C$54,MATCH(K42,Veiklos!$D$2:$D$54,0),1),"")</f>
        <v>Viešoji verslui skirta infrastruktūra (pramoniniai parkai, pramonės zonos ir pan.)</v>
      </c>
      <c r="M42" s="130" t="str">
        <f>MID('3 pr-2'!B44,12,2)</f>
        <v>29</v>
      </c>
      <c r="N42" s="130" t="str">
        <f>IFERROR(INDEX(Veiklos!$C$2:$C$54,MATCH(M42,Veiklos!$D$2:$D$54,0),1),"")</f>
        <v>Kitos viešosios infrastruktūros modernizavimas (viešosios erdvės): visuomeninės, komercinės ir bendro naudojimo paskirties teritorijos</v>
      </c>
      <c r="O42" s="130" t="str">
        <f>MID('3 pr-2'!B44,14,2)</f>
        <v>00</v>
      </c>
      <c r="P42" s="130">
        <f>IFERROR(INDEX(Veiklos!$C$2:$C$54,MATCH(O42,Veiklos!$D$2:$D$54,0),1),"")</f>
        <v>0</v>
      </c>
      <c r="Q42" s="130" t="s">
        <v>66</v>
      </c>
      <c r="R42" s="130" t="s">
        <v>66</v>
      </c>
      <c r="S42" s="130" t="s">
        <v>66</v>
      </c>
      <c r="T42" s="130" t="s">
        <v>66</v>
      </c>
      <c r="U42" s="316">
        <v>1</v>
      </c>
      <c r="V42" s="504">
        <f>SUM('3 pr-2'!L44)</f>
        <v>150000</v>
      </c>
      <c r="W42" s="504">
        <f>SUM('3 pr-2'!AA44)</f>
        <v>127500</v>
      </c>
    </row>
    <row r="43" spans="1:23" ht="64.5" thickBot="1">
      <c r="A43" s="130" t="str">
        <f>CONCATENATE('3 pr-2'!A45)</f>
        <v>1.1.1.3.6</v>
      </c>
      <c r="B43" s="130" t="str">
        <f>CONCATENATE('3 pr-2'!B45)</f>
        <v>R01-9905-290000-1136</v>
      </c>
      <c r="C43" s="311" t="str">
        <f>CONCATENATE('3 pr-2'!D45)</f>
        <v>Teritorijų prie daugiabučių gyvenamųjų pastatų Varėnos mieste sutvarkymas ir pritaikymas visuomenės poreikiams</v>
      </c>
      <c r="D43" s="311" t="str">
        <f>CONCATENATE('3 pr-2'!E45)</f>
        <v>Varėnos rajono savivaldybės administracija</v>
      </c>
      <c r="E43" s="311" t="str">
        <f>CONCATENATE('3 pr-2'!F45)</f>
        <v>Lietuvos Respublikos vidaus reikalų ministerija</v>
      </c>
      <c r="F43" s="311" t="str">
        <f>CONCATENATE('3 pr-2'!G45)</f>
        <v>Varėnos r. sav.</v>
      </c>
      <c r="G43" s="130" t="str">
        <f>CONCATENATE('3 pr-2'!H45)</f>
        <v xml:space="preserve">07.1.1-CPVA-R-905 </v>
      </c>
      <c r="H43" s="130" t="str">
        <f>CONCATENATE('3 pr-2'!I45)</f>
        <v>R</v>
      </c>
      <c r="I43" s="130" t="str">
        <f>CONCATENATE('3 pr-2'!J45)</f>
        <v>ITI</v>
      </c>
      <c r="J43" s="130" t="str">
        <f>CONCATENATE('3 pr-2'!K45)</f>
        <v>-</v>
      </c>
      <c r="K43" s="130" t="str">
        <f>MID('3 pr-2'!B45,10,2)</f>
        <v>29</v>
      </c>
      <c r="L43" s="130" t="str">
        <f>IFERROR(INDEX(Veiklos!$C$2:$C$54,MATCH(K43,Veiklos!$D$2:$D$54,0),1),"")</f>
        <v>Kitos viešosios infrastruktūros modernizavimas (viešosios erdvės): visuomeninės, komercinės ir bendro naudojimo paskirties teritorijos</v>
      </c>
      <c r="M43" s="130" t="str">
        <f>MID('3 pr-2'!B45,12,2)</f>
        <v>00</v>
      </c>
      <c r="N43" s="130">
        <f>IFERROR(INDEX(Veiklos!$C$2:$C$54,MATCH(M43,Veiklos!$D$2:$D$54,0),1),"")</f>
        <v>0</v>
      </c>
      <c r="O43" s="130" t="str">
        <f>MID('3 pr-2'!B45,14,2)</f>
        <v>00</v>
      </c>
      <c r="P43" s="130">
        <f>IFERROR(INDEX(Veiklos!$C$2:$C$54,MATCH(O43,Veiklos!$D$2:$D$54,0),1),"")</f>
        <v>0</v>
      </c>
      <c r="Q43" s="130" t="s">
        <v>66</v>
      </c>
      <c r="R43" s="130" t="s">
        <v>66</v>
      </c>
      <c r="S43" s="130" t="s">
        <v>66</v>
      </c>
      <c r="T43" s="130" t="s">
        <v>66</v>
      </c>
      <c r="U43" s="316">
        <v>1</v>
      </c>
      <c r="V43" s="504">
        <f>SUM('3 pr-2'!L45)</f>
        <v>485640.4</v>
      </c>
      <c r="W43" s="504">
        <f>SUM('3 pr-2'!AA45)</f>
        <v>411789.06</v>
      </c>
    </row>
    <row r="44" spans="1:23" ht="44.25" customHeight="1" thickBot="1">
      <c r="A44" s="298" t="s">
        <v>16</v>
      </c>
      <c r="B44" s="626"/>
      <c r="C44" s="1931" t="s">
        <v>823</v>
      </c>
      <c r="D44" s="1940"/>
      <c r="E44" s="1940"/>
      <c r="F44" s="1940"/>
      <c r="G44" s="1940"/>
      <c r="H44" s="1940"/>
      <c r="I44" s="1940"/>
      <c r="J44" s="1941"/>
      <c r="K44" s="508"/>
      <c r="L44" s="509"/>
      <c r="M44" s="510"/>
      <c r="N44" s="509"/>
      <c r="O44" s="510"/>
      <c r="P44" s="509"/>
      <c r="Q44" s="510"/>
      <c r="R44" s="509"/>
      <c r="S44" s="510"/>
      <c r="T44" s="509"/>
      <c r="U44" s="501"/>
      <c r="V44" s="502">
        <f>SUM(V45:V47)</f>
        <v>2431517.75</v>
      </c>
      <c r="W44" s="502">
        <f>SUM(W45:W47)</f>
        <v>1668636.52</v>
      </c>
    </row>
    <row r="45" spans="1:23" s="21" customFormat="1" ht="64.5" thickBot="1">
      <c r="A45" s="130" t="str">
        <f>CONCATENATE('3 pr-2'!A47)</f>
        <v>1.1.1.4.1</v>
      </c>
      <c r="B45" s="130" t="str">
        <f>CONCATENATE('3 pr-2'!B47)</f>
        <v>R01-9902-310000-1141</v>
      </c>
      <c r="C45" s="311" t="str">
        <f>CONCATENATE('3 pr-2'!D47)</f>
        <v>Buvusios pramoninės teritorijos Pramonės g. 1 Alytuje, pritaikymas verslo vystymui ir plėtrai.</v>
      </c>
      <c r="D45" s="311" t="str">
        <f>CONCATENATE('3 pr-2'!E47)</f>
        <v>Alytaus miesto savivaldybės administracija</v>
      </c>
      <c r="E45" s="311" t="str">
        <f>CONCATENATE('3 pr-2'!F47)</f>
        <v>Lietuvos Respublikos vidaus reikalų ministerija</v>
      </c>
      <c r="F45" s="311" t="str">
        <f>CONCATENATE('3 pr-2'!G47)</f>
        <v>Alytaus m. sav.</v>
      </c>
      <c r="G45" s="311" t="str">
        <f>CONCATENATE('3 pr-2'!H47)</f>
        <v>07.1.1-CPVA-V-902</v>
      </c>
      <c r="H45" s="130" t="str">
        <f>CONCATENATE('3 pr-2'!I47)</f>
        <v>V</v>
      </c>
      <c r="I45" s="130" t="str">
        <f>CONCATENATE('3 pr-2'!J47)</f>
        <v>ITI</v>
      </c>
      <c r="J45" s="130" t="str">
        <f>CONCATENATE('3 pr-2'!K47)</f>
        <v>-</v>
      </c>
      <c r="K45" s="130" t="str">
        <f>MID('3 pr-2'!B47,10,2)</f>
        <v>31</v>
      </c>
      <c r="L45" s="130" t="str">
        <f>IFERROR(INDEX(Veiklos!$C$2:$C$54,MATCH(K45,Veiklos!$D$2:$D$54,0),1),"")</f>
        <v>Kitos viešosios infrastruktūros modernizavimas (konversija): pramoninių, buvusių karinių, inžinerinių ir pan. objektų ir teritorijų konversija</v>
      </c>
      <c r="M45" s="130" t="str">
        <f>MID('3 pr-2'!B47,12,2)</f>
        <v>00</v>
      </c>
      <c r="N45" s="130">
        <f>IFERROR(INDEX(Veiklos!$C$2:$C$54,MATCH(M45,Veiklos!$D$2:$D$54,0),1),"")</f>
        <v>0</v>
      </c>
      <c r="O45" s="130" t="str">
        <f>MID('3 pr-2'!B47,14,2)</f>
        <v>00</v>
      </c>
      <c r="P45" s="130">
        <f>IFERROR(INDEX(Veiklos!$C$2:$C$54,MATCH(O45,Veiklos!$D$2:$D$54,0),1),"")</f>
        <v>0</v>
      </c>
      <c r="Q45" s="130"/>
      <c r="R45" s="130"/>
      <c r="S45" s="130"/>
      <c r="T45" s="130"/>
      <c r="U45" s="316">
        <v>1</v>
      </c>
      <c r="V45" s="504">
        <f>SUM('3 pr-2'!L47)</f>
        <v>1286060.7500000002</v>
      </c>
      <c r="W45" s="504">
        <f>SUM('3 pr-2'!AA47)</f>
        <v>1093151.6300000001</v>
      </c>
    </row>
    <row r="46" spans="1:23" ht="64.5" thickBot="1">
      <c r="A46" s="130" t="str">
        <f>CONCATENATE('3 pr-2'!A48)</f>
        <v>1.1.1.4.2</v>
      </c>
      <c r="B46" s="130" t="str">
        <f>CONCATENATE('3 pr-2'!B48)</f>
        <v>R01-9903-290000-1142</v>
      </c>
      <c r="C46" s="311" t="str">
        <f>CONCATENATE('3 pr-2'!D48)</f>
        <v>Amatų centro „Menų kalvė“ Druskininkuose įkūrimas</v>
      </c>
      <c r="D46" s="311" t="str">
        <f>CONCATENATE('3 pr-2'!E48)</f>
        <v xml:space="preserve">Druskininkų savivaldybės administracija  </v>
      </c>
      <c r="E46" s="311" t="str">
        <f>CONCATENATE('3 pr-2'!F48)</f>
        <v>Lietuvos Respublikos vidaus reikalų ministerija</v>
      </c>
      <c r="F46" s="311" t="str">
        <f>CONCATENATE('3 pr-2'!G48)</f>
        <v>Druskininkų sav.</v>
      </c>
      <c r="G46" s="311" t="str">
        <f>CONCATENATE('3 pr-2'!H48)</f>
        <v>07.1.1-CPVA-R-903</v>
      </c>
      <c r="H46" s="130" t="str">
        <f>CONCATENATE('3 pr-2'!I48)</f>
        <v>R</v>
      </c>
      <c r="I46" s="130" t="str">
        <f>CONCATENATE('3 pr-2'!J48)</f>
        <v>ITI</v>
      </c>
      <c r="J46" s="130" t="str">
        <f>CONCATENATE('3 pr-2'!K48)</f>
        <v>-</v>
      </c>
      <c r="K46" s="130" t="str">
        <f>MID('3 pr-2'!B48,10,2)</f>
        <v>29</v>
      </c>
      <c r="L46" s="130" t="str">
        <f>IFERROR(INDEX(Veiklos!$C$2:$C$54,MATCH(K46,Veiklos!$D$2:$D$54,0),1),"")</f>
        <v>Kitos viešosios infrastruktūros modernizavimas (viešosios erdvės): visuomeninės, komercinės ir bendro naudojimo paskirties teritorijos</v>
      </c>
      <c r="M46" s="130" t="str">
        <f>MID('3 pr-2'!B48,12,2)</f>
        <v>00</v>
      </c>
      <c r="N46" s="130">
        <f>IFERROR(INDEX(Veiklos!$C$2:$C$54,MATCH(M46,Veiklos!$D$2:$D$54,0),1),"")</f>
        <v>0</v>
      </c>
      <c r="O46" s="130" t="str">
        <f>MID('3 pr-2'!B48,14,2)</f>
        <v>00</v>
      </c>
      <c r="P46" s="130">
        <f>IFERROR(INDEX(Veiklos!$C$2:$C$54,MATCH(O46,Veiklos!$D$2:$D$54,0),1),"")</f>
        <v>0</v>
      </c>
      <c r="Q46" s="130"/>
      <c r="R46" s="130"/>
      <c r="S46" s="130"/>
      <c r="T46" s="130"/>
      <c r="U46" s="316">
        <v>1</v>
      </c>
      <c r="V46" s="504">
        <f>SUM('3 pr-2'!L48)</f>
        <v>801950</v>
      </c>
      <c r="W46" s="504">
        <f>SUM('3 pr-2'!AA48)</f>
        <v>283503.94</v>
      </c>
    </row>
    <row r="47" spans="1:23" ht="64.5" thickBot="1">
      <c r="A47" s="130" t="str">
        <f>CONCATENATE('3 pr-2'!A49)</f>
        <v>1.1.1.4.3</v>
      </c>
      <c r="B47" s="130" t="str">
        <f>CONCATENATE('3 pr-2'!B49)</f>
        <v>R01-9903-290000-1143</v>
      </c>
      <c r="C47" s="311" t="str">
        <f>CONCATENATE('3 pr-2'!D49)</f>
        <v>Lazdijų miesto kompleksinė infrastruktūros plėtra, III etapas</v>
      </c>
      <c r="D47" s="311" t="str">
        <f>CONCATENATE('3 pr-2'!E49)</f>
        <v>Lazdijų rajono savivaldybės administracija</v>
      </c>
      <c r="E47" s="311" t="str">
        <f>CONCATENATE('3 pr-2'!F49)</f>
        <v>Lietuvos Respublikos vidaus reikalų ministerija</v>
      </c>
      <c r="F47" s="311" t="str">
        <f>CONCATENATE('3 pr-2'!G49)</f>
        <v>Lazdijų r. sav.</v>
      </c>
      <c r="G47" s="311" t="str">
        <f>CONCATENATE('3 pr-2'!H49)</f>
        <v>07.1.1-CPVA-R-903</v>
      </c>
      <c r="H47" s="130" t="str">
        <f>CONCATENATE('3 pr-2'!I49)</f>
        <v>R</v>
      </c>
      <c r="I47" s="130" t="str">
        <f>CONCATENATE('3 pr-2'!J49)</f>
        <v>ITI</v>
      </c>
      <c r="J47" s="130" t="str">
        <f>CONCATENATE('3 pr-2'!K49)</f>
        <v>-</v>
      </c>
      <c r="K47" s="130" t="str">
        <f>MID('3 pr-2'!B49,10,2)</f>
        <v>29</v>
      </c>
      <c r="L47" s="130" t="str">
        <f>IFERROR(INDEX(Veiklos!$C$2:$C$54,MATCH(K47,Veiklos!$D$2:$D$54,0),1),"")</f>
        <v>Kitos viešosios infrastruktūros modernizavimas (viešosios erdvės): visuomeninės, komercinės ir bendro naudojimo paskirties teritorijos</v>
      </c>
      <c r="M47" s="130" t="str">
        <f>MID('3 pr-2'!B49,12,2)</f>
        <v>00</v>
      </c>
      <c r="N47" s="130">
        <f>IFERROR(INDEX(Veiklos!$C$2:$C$54,MATCH(M47,Veiklos!$D$2:$D$54,0),1),"")</f>
        <v>0</v>
      </c>
      <c r="O47" s="130" t="str">
        <f>MID('3 pr-2'!B49,14,2)</f>
        <v>00</v>
      </c>
      <c r="P47" s="130">
        <f>IFERROR(INDEX(Veiklos!$C$2:$C$54,MATCH(O47,Veiklos!$D$2:$D$54,0),1),"")</f>
        <v>0</v>
      </c>
      <c r="Q47" s="130"/>
      <c r="R47" s="130"/>
      <c r="S47" s="130"/>
      <c r="T47" s="130"/>
      <c r="U47" s="316">
        <v>1</v>
      </c>
      <c r="V47" s="504">
        <f>SUM('3 pr-2'!L49)</f>
        <v>343507</v>
      </c>
      <c r="W47" s="504">
        <f>SUM('3 pr-2'!AA49)</f>
        <v>291980.95</v>
      </c>
    </row>
    <row r="48" spans="1:23" ht="46.5" customHeight="1" thickBot="1">
      <c r="A48" s="298" t="s">
        <v>76</v>
      </c>
      <c r="B48" s="625"/>
      <c r="C48" s="1926" t="s">
        <v>628</v>
      </c>
      <c r="D48" s="1940"/>
      <c r="E48" s="1940"/>
      <c r="F48" s="1940"/>
      <c r="G48" s="1940"/>
      <c r="H48" s="1940"/>
      <c r="I48" s="1940"/>
      <c r="J48" s="1941"/>
      <c r="K48" s="508"/>
      <c r="L48" s="509"/>
      <c r="M48" s="510"/>
      <c r="N48" s="509"/>
      <c r="O48" s="510"/>
      <c r="P48" s="509"/>
      <c r="Q48" s="510"/>
      <c r="R48" s="509"/>
      <c r="S48" s="510"/>
      <c r="T48" s="509"/>
      <c r="U48" s="501"/>
      <c r="V48" s="502">
        <f>SUM(V49:V53)</f>
        <v>16349723.129999999</v>
      </c>
      <c r="W48" s="502">
        <f>SUM(W49:W53)</f>
        <v>8901964.3000000007</v>
      </c>
    </row>
    <row r="49" spans="1:23" ht="51.75" thickBot="1">
      <c r="A49" s="130" t="str">
        <f>CONCATENATE('3 pr-2'!A51)</f>
        <v>1.1.1.5.1</v>
      </c>
      <c r="B49" s="130" t="str">
        <f>CONCATENATE('3 pr-2'!B51)</f>
        <v>R01-0014-060700-1151</v>
      </c>
      <c r="C49" s="311" t="str">
        <f>CONCATENATE('3 pr-2'!D51)</f>
        <v>Geriamojo vandens tiekimo ir nuotekų tvarkymo sistemų renovavimas ir plėtra Varėnos rajone</v>
      </c>
      <c r="D49" s="311" t="str">
        <f>CONCATENATE('3 pr-2'!E51)</f>
        <v>UAB „Varėnos vandenys“</v>
      </c>
      <c r="E49" s="311" t="str">
        <f>CONCATENATE('3 pr-2'!F51)</f>
        <v>Lietuvos Respublikos aplinkos ministerija</v>
      </c>
      <c r="F49" s="311" t="str">
        <f>CONCATENATE('3 pr-2'!G51)</f>
        <v>Varėnos r. sav.</v>
      </c>
      <c r="G49" s="130" t="str">
        <f>CONCATENATE('3 pr-2'!H51)</f>
        <v>05.3.2-APVA-R-014</v>
      </c>
      <c r="H49" s="130" t="str">
        <f>CONCATENATE('3 pr-2'!I51)</f>
        <v>R</v>
      </c>
      <c r="I49" s="130" t="str">
        <f>CONCATENATE('3 pr-2'!J51)</f>
        <v>ITI</v>
      </c>
      <c r="J49" s="130" t="str">
        <f>CONCATENATE('3 pr-2'!K51)</f>
        <v>-</v>
      </c>
      <c r="K49" s="130" t="str">
        <f>MID('3 pr-2'!B51,10,2)</f>
        <v>06</v>
      </c>
      <c r="L49" s="130" t="str">
        <f>IFERROR(INDEX(Veiklos!$C$2:$C$54,MATCH(K49,Veiklos!$D$2:$D$54,0),1),"")</f>
        <v>Vandentvarka (esamų geriamo vandens ir nuotekų tinklų modernizavimas)</v>
      </c>
      <c r="M49" s="130" t="str">
        <f>MID('3 pr-2'!B51,12,2)</f>
        <v>07</v>
      </c>
      <c r="N49" s="130" t="str">
        <f>IFERROR(INDEX(Veiklos!$C$2:$C$54,MATCH(M49,Veiklos!$D$2:$D$54,0),1),"")</f>
        <v>Vandentvarka (naujų tinklų įrengimas)</v>
      </c>
      <c r="O49" s="130" t="str">
        <f>MID('3 pr-2'!B51,14,2)</f>
        <v>00</v>
      </c>
      <c r="P49" s="130">
        <f>IFERROR(INDEX(Veiklos!$C$2:$C$54,MATCH(O49,Veiklos!$D$2:$D$54,0),1),"")</f>
        <v>0</v>
      </c>
      <c r="Q49" s="130"/>
      <c r="R49" s="130"/>
      <c r="S49" s="130"/>
      <c r="T49" s="130"/>
      <c r="U49" s="316">
        <v>1</v>
      </c>
      <c r="V49" s="504">
        <f>SUM('3 pr-2'!L51)</f>
        <v>2474472.79</v>
      </c>
      <c r="W49" s="504">
        <f>SUM('3 pr-2'!AA51)</f>
        <v>1614228.26</v>
      </c>
    </row>
    <row r="50" spans="1:23" ht="64.5" thickBot="1">
      <c r="A50" s="130" t="str">
        <f>CONCATENATE('3 pr-2'!A52)</f>
        <v>1.1.1.5.2.</v>
      </c>
      <c r="B50" s="130" t="str">
        <f>CONCATENATE('3 pr-2'!B52)</f>
        <v>R01-0014-060750-1152</v>
      </c>
      <c r="C50" s="311" t="str">
        <f>CONCATENATE('3 pr-2'!D52)</f>
        <v>Geriamojo vandens ir nuotekų tvarkymo sistemų renovavimas Alytaus mieste</v>
      </c>
      <c r="D50" s="311" t="str">
        <f>CONCATENATE('3 pr-2'!E52)</f>
        <v>UAB “Dzūkijos vandenys“</v>
      </c>
      <c r="E50" s="311" t="str">
        <f>CONCATENATE('3 pr-2'!F52)</f>
        <v>Lietuvos Respublikos aplinkos ministerija</v>
      </c>
      <c r="F50" s="311" t="str">
        <f>CONCATENATE('3 pr-2'!G52)</f>
        <v>Alytaus m. sav.</v>
      </c>
      <c r="G50" s="130" t="str">
        <f>CONCATENATE('3 pr-2'!H52)</f>
        <v>05.3.2-APVA-R-014</v>
      </c>
      <c r="H50" s="130" t="str">
        <f>CONCATENATE('3 pr-2'!I52)</f>
        <v>R</v>
      </c>
      <c r="I50" s="130" t="str">
        <f>CONCATENATE('3 pr-2'!J52)</f>
        <v>ITI</v>
      </c>
      <c r="J50" s="130" t="str">
        <f>CONCATENATE('3 pr-2'!K52)</f>
        <v>-</v>
      </c>
      <c r="K50" s="130" t="str">
        <f>MID('3 pr-2'!B52,10,2)</f>
        <v>06</v>
      </c>
      <c r="L50" s="130" t="str">
        <f>IFERROR(INDEX(Veiklos!$C$2:$C$54,MATCH(K50,Veiklos!$D$2:$D$54,0),1),"")</f>
        <v>Vandentvarka (esamų geriamo vandens ir nuotekų tinklų modernizavimas)</v>
      </c>
      <c r="M50" s="130" t="str">
        <f>MID('3 pr-2'!B52,12,2)</f>
        <v>07</v>
      </c>
      <c r="N50" s="130" t="str">
        <f>IFERROR(INDEX(Veiklos!$C$2:$C$54,MATCH(M50,Veiklos!$D$2:$D$54,0),1),"")</f>
        <v>Vandentvarka (naujų tinklų įrengimas)</v>
      </c>
      <c r="O50" s="821" t="str">
        <f>MID('3 pr-2'!B52,14,2)</f>
        <v>50</v>
      </c>
      <c r="P50" s="821" t="str">
        <f>IFERROR(INDEX(Veiklos!$C$2:$C$54,MATCH(O50,Veiklos!$D$2:$D$54,0),1),"")</f>
        <v>Kita (nepriskirta kitoms grupėms) viešoji infrastruktūra ar paslaugos</v>
      </c>
      <c r="Q50" s="130"/>
      <c r="R50" s="130"/>
      <c r="S50" s="130"/>
      <c r="T50" s="130"/>
      <c r="U50" s="316">
        <v>1</v>
      </c>
      <c r="V50" s="504">
        <f>SUM('3 pr-2'!L52)</f>
        <v>5706088</v>
      </c>
      <c r="W50" s="504">
        <f>SUM('3 pr-2'!AA52)</f>
        <v>2696984.31</v>
      </c>
    </row>
    <row r="51" spans="1:23" ht="64.5" thickBot="1">
      <c r="A51" s="130" t="str">
        <f>CONCATENATE('3 pr-2'!A53)</f>
        <v>1.1.1.5.3</v>
      </c>
      <c r="B51" s="130" t="str">
        <f>CONCATENATE('3 pr-2'!B53)</f>
        <v>R01-0014-070650-1153</v>
      </c>
      <c r="C51" s="311" t="str">
        <f>CONCATENATE('3 pr-2'!D53)</f>
        <v>Geriamojo vandens tiekimo ir nuotekų tvarkymo sistemų renovavimas ir plėtra Lazdijų rajono savivaldybėje</v>
      </c>
      <c r="D51" s="311" t="str">
        <f>CONCATENATE('3 pr-2'!E53)</f>
        <v>UAB „Lazdijų vanduo“</v>
      </c>
      <c r="E51" s="311" t="str">
        <f>CONCATENATE('3 pr-2'!F53)</f>
        <v>Lietuvos Respublikos aplinkos ministerija</v>
      </c>
      <c r="F51" s="311" t="str">
        <f>CONCATENATE('3 pr-2'!G53)</f>
        <v>Lazdijų r. sav.</v>
      </c>
      <c r="G51" s="130" t="str">
        <f>CONCATENATE('3 pr-2'!H53)</f>
        <v>05.3.2-APVA-R-014</v>
      </c>
      <c r="H51" s="130" t="str">
        <f>CONCATENATE('3 pr-2'!I53)</f>
        <v>R</v>
      </c>
      <c r="I51" s="130" t="str">
        <f>CONCATENATE('3 pr-2'!J53)</f>
        <v>-</v>
      </c>
      <c r="J51" s="130" t="str">
        <f>CONCATENATE('3 pr-2'!K53)</f>
        <v>-</v>
      </c>
      <c r="K51" s="130" t="str">
        <f>MID('3 pr-2'!B53,10,2)</f>
        <v>07</v>
      </c>
      <c r="L51" s="130" t="str">
        <f>IFERROR(INDEX(Veiklos!$C$2:$C$54,MATCH(K51,Veiklos!$D$2:$D$54,0),1),"")</f>
        <v>Vandentvarka (naujų tinklų įrengimas)</v>
      </c>
      <c r="M51" s="130" t="str">
        <f>MID('3 pr-2'!B53,12,2)</f>
        <v>06</v>
      </c>
      <c r="N51" s="130" t="str">
        <f>IFERROR(INDEX(Veiklos!$C$2:$C$54,MATCH(M51,Veiklos!$D$2:$D$54,0),1),"")</f>
        <v>Vandentvarka (esamų geriamo vandens ir nuotekų tinklų modernizavimas)</v>
      </c>
      <c r="O51" s="821" t="str">
        <f>MID('3 pr-2'!B53,14,2)</f>
        <v>50</v>
      </c>
      <c r="P51" s="821" t="str">
        <f>IFERROR(INDEX(Veiklos!$C$2:$C$54,MATCH(O51,Veiklos!$D$2:$D$54,0),1),"")</f>
        <v>Kita (nepriskirta kitoms grupėms) viešoji infrastruktūra ar paslaugos</v>
      </c>
      <c r="Q51" s="130"/>
      <c r="R51" s="130"/>
      <c r="S51" s="130"/>
      <c r="T51" s="130"/>
      <c r="U51" s="316">
        <v>1</v>
      </c>
      <c r="V51" s="504">
        <f>SUM('3 pr-2'!L53)</f>
        <v>1437425.74</v>
      </c>
      <c r="W51" s="504">
        <f>SUM('3 pr-2'!AA53)</f>
        <v>796102</v>
      </c>
    </row>
    <row r="52" spans="1:23" ht="51.75" thickBot="1">
      <c r="A52" s="130" t="str">
        <f>CONCATENATE('3 pr-2'!A54)</f>
        <v>1.1.1.5.4.</v>
      </c>
      <c r="B52" s="130" t="str">
        <f>CONCATENATE('3 pr-2'!B54)</f>
        <v>R01-0014-060700-1154</v>
      </c>
      <c r="C52" s="311" t="str">
        <f>CONCATENATE('3 pr-2'!D54)</f>
        <v>Vandens tiekimo ir nuotekų šalinimo infrastruktūros renovavimas ir plėtra Druskininkų savivaldybėje</v>
      </c>
      <c r="D52" s="311" t="str">
        <f>CONCATENATE('3 pr-2'!E54)</f>
        <v>UAB "Druskininkų vandenys"</v>
      </c>
      <c r="E52" s="311" t="str">
        <f>CONCATENATE('3 pr-2'!F54)</f>
        <v>Lietuvos Respublikos aplinkos ministerija</v>
      </c>
      <c r="F52" s="311" t="str">
        <f>CONCATENATE('3 pr-2'!G54)</f>
        <v>Druskininkų sav.</v>
      </c>
      <c r="G52" s="130" t="str">
        <f>CONCATENATE('3 pr-2'!H54)</f>
        <v>05.3.2-APVA-R-014</v>
      </c>
      <c r="H52" s="130" t="str">
        <f>CONCATENATE('3 pr-2'!I54)</f>
        <v>R</v>
      </c>
      <c r="I52" s="130" t="str">
        <f>CONCATENATE('3 pr-2'!J54)</f>
        <v>-</v>
      </c>
      <c r="J52" s="130" t="str">
        <f>CONCATENATE('3 pr-2'!K54)</f>
        <v>-</v>
      </c>
      <c r="K52" s="130" t="str">
        <f>MID('3 pr-2'!B54,10,2)</f>
        <v>06</v>
      </c>
      <c r="L52" s="130" t="str">
        <f>IFERROR(INDEX(Veiklos!$C$2:$C$54,MATCH(K52,Veiklos!$D$2:$D$54,0),1),"")</f>
        <v>Vandentvarka (esamų geriamo vandens ir nuotekų tinklų modernizavimas)</v>
      </c>
      <c r="M52" s="130" t="str">
        <f>MID('3 pr-2'!B54,12,2)</f>
        <v>07</v>
      </c>
      <c r="N52" s="130" t="str">
        <f>IFERROR(INDEX(Veiklos!$C$2:$C$54,MATCH(M52,Veiklos!$D$2:$D$54,0),1),"")</f>
        <v>Vandentvarka (naujų tinklų įrengimas)</v>
      </c>
      <c r="O52" s="130" t="str">
        <f>MID('3 pr-2'!B54,14,2)</f>
        <v>00</v>
      </c>
      <c r="P52" s="130">
        <f>IFERROR(INDEX(Veiklos!$C$2:$C$54,MATCH(O52,Veiklos!$D$2:$D$54,0),1),"")</f>
        <v>0</v>
      </c>
      <c r="Q52" s="130"/>
      <c r="R52" s="130"/>
      <c r="S52" s="130"/>
      <c r="T52" s="130"/>
      <c r="U52" s="316">
        <v>1</v>
      </c>
      <c r="V52" s="504">
        <f>SUM('3 pr-2'!L54)</f>
        <v>5160736.5999999996</v>
      </c>
      <c r="W52" s="504">
        <f>SUM('3 pr-2'!AA54)</f>
        <v>2874174.73</v>
      </c>
    </row>
    <row r="53" spans="1:23" ht="64.5" thickBot="1">
      <c r="A53" s="130" t="str">
        <f>CONCATENATE('3 pr-2'!A55)</f>
        <v>1.1.1.5.5.</v>
      </c>
      <c r="B53" s="130" t="str">
        <f>CONCATENATE('3 pr-2'!B55)</f>
        <v>R01-0014-060750-1155</v>
      </c>
      <c r="C53" s="311" t="str">
        <f>CONCATENATE('3 pr-2'!D55)</f>
        <v>Vandens tiekimo ir nuotekų tvarkymo infrastruktūros plėtra Alytaus rajone (Krokialaukyje)</v>
      </c>
      <c r="D53" s="311" t="str">
        <f>CONCATENATE('3 pr-2'!E55)</f>
        <v>SĮ „Simno komunalininkas“</v>
      </c>
      <c r="E53" s="311" t="str">
        <f>CONCATENATE('3 pr-2'!F55)</f>
        <v>Lietuvos Respublikos aplinkos ministerija</v>
      </c>
      <c r="F53" s="311" t="str">
        <f>CONCATENATE('3 pr-2'!G55)</f>
        <v>Alytaus r. sav.</v>
      </c>
      <c r="G53" s="130" t="str">
        <f>CONCATENATE('3 pr-2'!H55)</f>
        <v>05.3.2-APVA-R-014</v>
      </c>
      <c r="H53" s="130" t="str">
        <f>CONCATENATE('3 pr-2'!I55)</f>
        <v>R</v>
      </c>
      <c r="I53" s="130" t="str">
        <f>CONCATENATE('3 pr-2'!J55)</f>
        <v>-</v>
      </c>
      <c r="J53" s="130" t="str">
        <f>CONCATENATE('3 pr-2'!K55)</f>
        <v>-</v>
      </c>
      <c r="K53" s="130" t="str">
        <f>MID('3 pr-2'!B55,10,2)</f>
        <v>06</v>
      </c>
      <c r="L53" s="130" t="str">
        <f>IFERROR(INDEX(Veiklos!$C$2:$C$54,MATCH(K53,Veiklos!$D$2:$D$54,0),1),"")</f>
        <v>Vandentvarka (esamų geriamo vandens ir nuotekų tinklų modernizavimas)</v>
      </c>
      <c r="M53" s="130" t="str">
        <f>MID('3 pr-2'!B55,12,2)</f>
        <v>07</v>
      </c>
      <c r="N53" s="130" t="str">
        <f>IFERROR(INDEX(Veiklos!$C$2:$C$54,MATCH(M53,Veiklos!$D$2:$D$54,0),1),"")</f>
        <v>Vandentvarka (naujų tinklų įrengimas)</v>
      </c>
      <c r="O53" s="130" t="str">
        <f>MID('3 pr-2'!B55,14,2)</f>
        <v>50</v>
      </c>
      <c r="P53" s="130" t="str">
        <f>IFERROR(INDEX(Veiklos!$C$2:$C$54,MATCH(O53,Veiklos!$D$2:$D$54,0),1),"")</f>
        <v>Kita (nepriskirta kitoms grupėms) viešoji infrastruktūra ar paslaugos</v>
      </c>
      <c r="Q53" s="130"/>
      <c r="R53" s="130"/>
      <c r="S53" s="130"/>
      <c r="T53" s="130"/>
      <c r="U53" s="316">
        <v>1</v>
      </c>
      <c r="V53" s="504">
        <f>SUM('3 pr-2'!L55)</f>
        <v>1571000</v>
      </c>
      <c r="W53" s="504">
        <f>SUM('3 pr-2'!AA55)</f>
        <v>920475</v>
      </c>
    </row>
    <row r="54" spans="1:23" ht="35.25" customHeight="1" thickBot="1">
      <c r="A54" s="298" t="s">
        <v>79</v>
      </c>
      <c r="B54" s="625"/>
      <c r="C54" s="1952" t="s">
        <v>826</v>
      </c>
      <c r="D54" s="1940"/>
      <c r="E54" s="1940"/>
      <c r="F54" s="1940"/>
      <c r="G54" s="1940"/>
      <c r="H54" s="1940"/>
      <c r="I54" s="1940"/>
      <c r="J54" s="1941"/>
      <c r="K54" s="508"/>
      <c r="L54" s="509"/>
      <c r="M54" s="510"/>
      <c r="N54" s="509"/>
      <c r="O54" s="510"/>
      <c r="P54" s="509"/>
      <c r="Q54" s="510"/>
      <c r="R54" s="509"/>
      <c r="S54" s="510"/>
      <c r="T54" s="509"/>
      <c r="U54" s="501"/>
      <c r="V54" s="502">
        <f>SUM(V55)</f>
        <v>3990955.51</v>
      </c>
      <c r="W54" s="502">
        <f>SUM(W55)</f>
        <v>3392312.19</v>
      </c>
    </row>
    <row r="55" spans="1:23" ht="26.25" thickBot="1">
      <c r="A55" s="130" t="str">
        <f>CONCATENATE('3 pr-2'!A57)</f>
        <v>1.1.1.6.1</v>
      </c>
      <c r="B55" s="130" t="str">
        <f>CONCATENATE('3 pr-2'!B57)</f>
        <v>R01-0007-080000-1161</v>
      </c>
      <c r="C55" s="130" t="str">
        <f>CONCATENATE('3 pr-2'!D57)</f>
        <v>Paviršinių nuotekų sistemų tvarkymas Alytaus mieste</v>
      </c>
      <c r="D55" s="130" t="str">
        <f>CONCATENATE('3 pr-2'!E57)</f>
        <v>UAB “Dzūkijos vandenys“</v>
      </c>
      <c r="E55" s="130" t="str">
        <f>CONCATENATE('3 pr-2'!F57)</f>
        <v>Lietuvos Respublikos aplinkos ministerija</v>
      </c>
      <c r="F55" s="130" t="str">
        <f>CONCATENATE('3 pr-2'!G57)</f>
        <v>Alytaus m. sav.</v>
      </c>
      <c r="G55" s="130" t="str">
        <f>CONCATENATE('3 pr-2'!H57)</f>
        <v>05.1.1-APVA-R-007</v>
      </c>
      <c r="H55" s="130" t="str">
        <f>CONCATENATE('3 pr-2'!I57)</f>
        <v>R</v>
      </c>
      <c r="I55" s="130" t="str">
        <f>CONCATENATE('3 pr-2'!J57)</f>
        <v>-</v>
      </c>
      <c r="J55" s="130" t="str">
        <f>CONCATENATE('3 pr-2'!K57)</f>
        <v xml:space="preserve"> -</v>
      </c>
      <c r="K55" s="130" t="str">
        <f>MID('3 pr-2'!B57,10,2)</f>
        <v>08</v>
      </c>
      <c r="L55" s="130" t="str">
        <f>IFERROR(INDEX(Veiklos!$C$2:$C$54,MATCH(K55,Veiklos!$D$2:$D$54,0),1),"")</f>
        <v>Lietaus nuotekų sistemų modernizavimas ir plėtra</v>
      </c>
      <c r="M55" s="130" t="str">
        <f>MID('3 pr-2'!B57,12,2)</f>
        <v>00</v>
      </c>
      <c r="N55" s="130">
        <f>IFERROR(INDEX(Veiklos!$C$2:$C$54,MATCH(M55,Veiklos!$D$2:$D$54,0),1),"")</f>
        <v>0</v>
      </c>
      <c r="O55" s="130" t="str">
        <f>MID('3 pr-2'!B57,14,2)</f>
        <v>00</v>
      </c>
      <c r="P55" s="130">
        <f>IFERROR(INDEX(Veiklos!$C$2:$C$54,MATCH(O55,Veiklos!$D$2:$D$54,0),1),"")</f>
        <v>0</v>
      </c>
      <c r="Q55" s="130"/>
      <c r="R55" s="130"/>
      <c r="S55" s="130"/>
      <c r="T55" s="130"/>
      <c r="U55" s="316">
        <v>1</v>
      </c>
      <c r="V55" s="504">
        <f>SUM('3 pr-2'!L57)</f>
        <v>3990955.51</v>
      </c>
      <c r="W55" s="504">
        <f>SUM('3 pr-2'!AA57)</f>
        <v>3392312.19</v>
      </c>
    </row>
    <row r="56" spans="1:23" ht="48" customHeight="1" thickBot="1">
      <c r="A56" s="298" t="s">
        <v>81</v>
      </c>
      <c r="B56" s="625"/>
      <c r="C56" s="1926" t="s">
        <v>827</v>
      </c>
      <c r="D56" s="1940"/>
      <c r="E56" s="1940"/>
      <c r="F56" s="1940"/>
      <c r="G56" s="1940"/>
      <c r="H56" s="1940"/>
      <c r="I56" s="1940"/>
      <c r="J56" s="1941"/>
      <c r="K56" s="508"/>
      <c r="L56" s="509"/>
      <c r="M56" s="510"/>
      <c r="N56" s="509"/>
      <c r="O56" s="510"/>
      <c r="P56" s="509"/>
      <c r="Q56" s="510"/>
      <c r="R56" s="509"/>
      <c r="S56" s="510"/>
      <c r="T56" s="509"/>
      <c r="U56" s="511"/>
      <c r="V56" s="512">
        <f>SUM(V57:V59)</f>
        <v>719317.64705882361</v>
      </c>
      <c r="W56" s="512">
        <f>SUM(W57:W59)</f>
        <v>611420</v>
      </c>
    </row>
    <row r="57" spans="1:23" ht="39" thickBot="1">
      <c r="A57" s="130" t="str">
        <f>CONCATENATE('3 pr-2'!A59)</f>
        <v>1.1.1.7.1</v>
      </c>
      <c r="B57" s="130" t="str">
        <f>CONCATENATE('3 pr-2'!B59)</f>
        <v>R01-8821-420000-1171</v>
      </c>
      <c r="C57" s="311" t="str">
        <f>CONCATENATE('3 pr-2'!D59)</f>
        <v>Alytaus regiono turizmo informacinės infrastruktūros plėtra</v>
      </c>
      <c r="D57" s="311" t="str">
        <f>CONCATENATE('3 pr-2'!E59)</f>
        <v>Alytaus miesto savivaldybės administracija</v>
      </c>
      <c r="E57" s="311" t="str">
        <f>CONCATENATE('3 pr-2'!F59)</f>
        <v>Lietuvos Respublikos ūkio ministerija</v>
      </c>
      <c r="F57" s="311" t="str">
        <f>CONCATENATE('3 pr-2'!G59)</f>
        <v>Alytaus regionas</v>
      </c>
      <c r="G57" s="130" t="str">
        <f>CONCATENATE('3 pr-2'!H59)</f>
        <v>05.4.1-LVPA-R-821</v>
      </c>
      <c r="H57" s="130" t="str">
        <f>CONCATENATE('3 pr-2'!I59)</f>
        <v>R</v>
      </c>
      <c r="I57" s="130" t="str">
        <f>CONCATENATE('3 pr-2'!J59)</f>
        <v>-</v>
      </c>
      <c r="J57" s="130" t="str">
        <f>CONCATENATE('3 pr-2'!K59)</f>
        <v>-</v>
      </c>
      <c r="K57" s="130" t="str">
        <f>MID('3 pr-2'!B59,10,2)</f>
        <v>42</v>
      </c>
      <c r="L57" s="130" t="str">
        <f>IFERROR(INDEX(Veiklos!$C$2:$C$54,MATCH(K57,Veiklos!$D$2:$D$54,0),1),"")</f>
        <v>Viešoji turizmo infrastruktūra</v>
      </c>
      <c r="M57" s="130" t="str">
        <f>MID('3 pr-2'!B59,12,2)</f>
        <v>00</v>
      </c>
      <c r="N57" s="130">
        <f>IFERROR(INDEX(Veiklos!$C$2:$C$54,MATCH(M57,Veiklos!$D$2:$D$54,0),1),"")</f>
        <v>0</v>
      </c>
      <c r="O57" s="130" t="str">
        <f>MID('3 pr-2'!B59,14,2)</f>
        <v>00</v>
      </c>
      <c r="P57" s="130">
        <f>IFERROR(INDEX(Veiklos!$C$2:$C$54,MATCH(O57,Veiklos!$D$2:$D$54,0),1),"")</f>
        <v>0</v>
      </c>
      <c r="Q57" s="130"/>
      <c r="R57" s="130"/>
      <c r="S57" s="130"/>
      <c r="T57" s="130"/>
      <c r="U57" s="316">
        <v>1</v>
      </c>
      <c r="V57" s="504">
        <f>SUM('3 pr-2'!L59)</f>
        <v>208223.52941176473</v>
      </c>
      <c r="W57" s="504">
        <f>SUM('3 pr-2'!AA59)</f>
        <v>176990</v>
      </c>
    </row>
    <row r="58" spans="1:23" ht="64.5" thickBot="1">
      <c r="A58" s="130" t="str">
        <f>CONCATENATE('3 pr-2'!A60)</f>
        <v>1.1.1.7.2</v>
      </c>
      <c r="B58" s="130" t="str">
        <f>CONCATENATE('3 pr-2'!B60)</f>
        <v>R01-8821-420000-1172</v>
      </c>
      <c r="C58" s="311" t="str">
        <f>CONCATENATE('3 pr-2'!D60)</f>
        <v>Turizmo trasų ir maršrutų informacinės infrastruktūros plėtra Lazdijų, Varėnos rajonų ir Druskininkų savivaldybėse</v>
      </c>
      <c r="D58" s="311" t="str">
        <f>CONCATENATE('3 pr-2'!E60)</f>
        <v>Lazdijų rajono savivaldybės administracija</v>
      </c>
      <c r="E58" s="311" t="str">
        <f>CONCATENATE('3 pr-2'!F60)</f>
        <v>Lietuvos Respublikos ūkio ministerija</v>
      </c>
      <c r="F58" s="311" t="str">
        <f>CONCATENATE('3 pr-2'!G60)</f>
        <v xml:space="preserve">Lazdijų, Varėnos rajonų ir Druskininkų savivaldybės </v>
      </c>
      <c r="G58" s="130" t="str">
        <f>CONCATENATE('3 pr-2'!H60)</f>
        <v>05.4.1-LVPA-R-821</v>
      </c>
      <c r="H58" s="130" t="str">
        <f>CONCATENATE('3 pr-2'!I60)</f>
        <v>R</v>
      </c>
      <c r="I58" s="130" t="str">
        <f>CONCATENATE('3 pr-2'!J60)</f>
        <v>-</v>
      </c>
      <c r="J58" s="130" t="str">
        <f>CONCATENATE('3 pr-2'!K60)</f>
        <v>-</v>
      </c>
      <c r="K58" s="130" t="str">
        <f>MID('3 pr-2'!B60,10,2)</f>
        <v>42</v>
      </c>
      <c r="L58" s="130" t="str">
        <f>IFERROR(INDEX(Veiklos!$C$2:$C$54,MATCH(K58,Veiklos!$D$2:$D$54,0),1),"")</f>
        <v>Viešoji turizmo infrastruktūra</v>
      </c>
      <c r="M58" s="130" t="str">
        <f>MID('3 pr-2'!B60,12,2)</f>
        <v>00</v>
      </c>
      <c r="N58" s="130">
        <f>IFERROR(INDEX(Veiklos!$C$2:$C$54,MATCH(M58,Veiklos!$D$2:$D$54,0),1),"")</f>
        <v>0</v>
      </c>
      <c r="O58" s="130" t="str">
        <f>MID('3 pr-2'!B60,14,2)</f>
        <v>00</v>
      </c>
      <c r="P58" s="130">
        <f>IFERROR(INDEX(Veiklos!$C$2:$C$54,MATCH(O58,Veiklos!$D$2:$D$54,0),1),"")</f>
        <v>0</v>
      </c>
      <c r="Q58" s="130"/>
      <c r="R58" s="130"/>
      <c r="S58" s="130"/>
      <c r="T58" s="130"/>
      <c r="U58" s="316">
        <v>1</v>
      </c>
      <c r="V58" s="504">
        <f>SUM('3 pr-2'!L60)</f>
        <v>288106</v>
      </c>
      <c r="W58" s="504">
        <f>SUM('3 pr-2'!AA60)</f>
        <v>244890.1</v>
      </c>
    </row>
    <row r="59" spans="1:23" ht="64.5" thickBot="1">
      <c r="A59" s="130" t="str">
        <f>CONCATENATE('3 pr-2'!A61)</f>
        <v>1.1.1.7.3</v>
      </c>
      <c r="B59" s="130" t="str">
        <f>CONCATENATE('3 pr-2'!B61)</f>
        <v>R01-8821-420000-1173</v>
      </c>
      <c r="C59" s="311" t="str">
        <f>CONCATENATE('3 pr-2'!D61)</f>
        <v>Turizmo trasų ir maršrutų informacinės infrastruktūros plėtra Lazdijų, Varėnos rajonų ir Druskininkų savivaldybėse, II etapas</v>
      </c>
      <c r="D59" s="311" t="str">
        <f>CONCATENATE('3 pr-2'!E61)</f>
        <v>Lazdijų rajono savivaldybės administracija</v>
      </c>
      <c r="E59" s="311" t="str">
        <f>CONCATENATE('3 pr-2'!F61)</f>
        <v>Lietuvos Respublikos ūkio ministerija</v>
      </c>
      <c r="F59" s="311" t="str">
        <f>CONCATENATE('3 pr-2'!G61)</f>
        <v xml:space="preserve">Lazdijų, Varėnos rajonų ir Druskininkų savivaldybės </v>
      </c>
      <c r="G59" s="130" t="str">
        <f>CONCATENATE('3 pr-2'!H61)</f>
        <v>05.4.1-LVPA-R-821</v>
      </c>
      <c r="H59" s="130" t="str">
        <f>CONCATENATE('3 pr-2'!I61)</f>
        <v>R</v>
      </c>
      <c r="I59" s="130" t="str">
        <f>CONCATENATE('3 pr-2'!J61)</f>
        <v>-</v>
      </c>
      <c r="J59" s="130" t="str">
        <f>CONCATENATE('3 pr-2'!K61)</f>
        <v>-</v>
      </c>
      <c r="K59" s="130" t="str">
        <f>MID('3 pr-2'!B61,10,2)</f>
        <v>42</v>
      </c>
      <c r="L59" s="130" t="str">
        <f>IFERROR(INDEX(Veiklos!$C$2:$C$54,MATCH(K59,Veiklos!$D$2:$D$54,0),1),"")</f>
        <v>Viešoji turizmo infrastruktūra</v>
      </c>
      <c r="M59" s="130" t="str">
        <f>MID('3 pr-2'!B61,12,2)</f>
        <v>00</v>
      </c>
      <c r="N59" s="130">
        <f>IFERROR(INDEX(Veiklos!$C$2:$C$54,MATCH(M59,Veiklos!$D$2:$D$54,0),1),"")</f>
        <v>0</v>
      </c>
      <c r="O59" s="130" t="str">
        <f>MID('3 pr-2'!B61,14,2)</f>
        <v>00</v>
      </c>
      <c r="P59" s="130">
        <f>IFERROR(INDEX(Veiklos!$C$2:$C$54,MATCH(O59,Veiklos!$D$2:$D$54,0),1),"")</f>
        <v>0</v>
      </c>
      <c r="Q59" s="130"/>
      <c r="R59" s="130"/>
      <c r="S59" s="130"/>
      <c r="T59" s="130"/>
      <c r="U59" s="316">
        <v>1</v>
      </c>
      <c r="V59" s="504">
        <f>SUM('3 pr-2'!L61)</f>
        <v>222988.11764705885</v>
      </c>
      <c r="W59" s="504">
        <f>SUM('3 pr-2'!AA61)</f>
        <v>189539.9</v>
      </c>
    </row>
    <row r="60" spans="1:23" ht="35.25" customHeight="1" thickBot="1">
      <c r="A60" s="513" t="s">
        <v>84</v>
      </c>
      <c r="B60" s="627"/>
      <c r="C60" s="1926" t="s">
        <v>822</v>
      </c>
      <c r="D60" s="1940"/>
      <c r="E60" s="1940"/>
      <c r="F60" s="1940"/>
      <c r="G60" s="1940"/>
      <c r="H60" s="1940"/>
      <c r="I60" s="1940"/>
      <c r="J60" s="1941"/>
      <c r="K60" s="514"/>
      <c r="L60" s="515"/>
      <c r="M60" s="516"/>
      <c r="N60" s="515"/>
      <c r="O60" s="516"/>
      <c r="P60" s="515"/>
      <c r="Q60" s="516"/>
      <c r="R60" s="515"/>
      <c r="S60" s="516"/>
      <c r="T60" s="515"/>
      <c r="U60" s="517"/>
      <c r="V60" s="512">
        <f>SUM(V61:V64)</f>
        <v>1972835.5100000002</v>
      </c>
      <c r="W60" s="512">
        <f>SUM(W61:W64)</f>
        <v>1198163.7</v>
      </c>
    </row>
    <row r="61" spans="1:23" ht="39" thickBot="1">
      <c r="A61" s="130" t="str">
        <f>CONCATENATE('3 pr-2'!A63)</f>
        <v>1.1.1.8.1</v>
      </c>
      <c r="B61" s="130" t="str">
        <f>CONCATENATE('3 pr-2'!B63)</f>
        <v>R01-3305-330000-1181</v>
      </c>
      <c r="C61" s="311" t="str">
        <f>CONCATENATE('3 pr-2'!D63)</f>
        <v>Kultūros įstaigų infrastruktūros modernizavimas Varėnos mieste</v>
      </c>
      <c r="D61" s="311" t="str">
        <f>CONCATENATE('3 pr-2'!E63)</f>
        <v>Varėnos rajono savivaldybės administracija</v>
      </c>
      <c r="E61" s="311" t="str">
        <f>CONCATENATE('3 pr-2'!F63)</f>
        <v>Lietuvos Respublikos kultūros ministerija</v>
      </c>
      <c r="F61" s="311" t="str">
        <f>CONCATENATE('3 pr-2'!G63)</f>
        <v>Varėnos r. sav.</v>
      </c>
      <c r="G61" s="130" t="str">
        <f>CONCATENATE('3 pr-2'!H63)</f>
        <v>07.1.1-CPVA-R-305</v>
      </c>
      <c r="H61" s="130" t="str">
        <f>CONCATENATE('3 pr-2'!I63)</f>
        <v>R</v>
      </c>
      <c r="I61" s="130" t="str">
        <f>CONCATENATE('3 pr-2'!J63)</f>
        <v>ITI</v>
      </c>
      <c r="J61" s="130" t="str">
        <f>CONCATENATE('3 pr-2'!K63)</f>
        <v>-</v>
      </c>
      <c r="K61" s="130" t="str">
        <f>MID('3 pr-2'!B63,10,2)</f>
        <v>33</v>
      </c>
      <c r="L61" s="130" t="str">
        <f>IFERROR(INDEX(Veiklos!$C$2:$C$54,MATCH(K61,Veiklos!$D$2:$D$54,0),1),"")</f>
        <v>Kitos viešosios infrastruktūros modernizavimas (pastatai ir statiniai): kultūros objektai</v>
      </c>
      <c r="M61" s="130" t="str">
        <f>MID('3 pr-2'!B63,12,2)</f>
        <v>00</v>
      </c>
      <c r="N61" s="130">
        <f>IFERROR(INDEX(Veiklos!$C$2:$C$54,MATCH(M61,Veiklos!$D$2:$D$54,0),1),"")</f>
        <v>0</v>
      </c>
      <c r="O61" s="130" t="str">
        <f>MID('3 pr-2'!B63,14,2)</f>
        <v>00</v>
      </c>
      <c r="P61" s="130">
        <f>IFERROR(INDEX(Veiklos!$C$2:$C$54,MATCH(O61,Veiklos!$D$2:$D$54,0),1),"")</f>
        <v>0</v>
      </c>
      <c r="Q61" s="130"/>
      <c r="R61" s="130"/>
      <c r="S61" s="130"/>
      <c r="T61" s="130"/>
      <c r="U61" s="316">
        <v>1</v>
      </c>
      <c r="V61" s="504">
        <f>SUM('3 pr-2'!L63)</f>
        <v>352401</v>
      </c>
      <c r="W61" s="504">
        <f>SUM('3 pr-2'!AA63)</f>
        <v>299540.84999999998</v>
      </c>
    </row>
    <row r="62" spans="1:23" s="21" customFormat="1" ht="51.75" thickBot="1">
      <c r="A62" s="130" t="str">
        <f>CONCATENATE('3 pr-2'!A64)</f>
        <v>1.1.1.8.2</v>
      </c>
      <c r="B62" s="130" t="str">
        <f>CONCATENATE('3 pr-2'!B64)</f>
        <v>R01-3305-330000-1182</v>
      </c>
      <c r="C62" s="311" t="str">
        <f>CONCATENATE('3 pr-2'!D64)</f>
        <v>VšĮ Alytaus kultūros ir komunikacijos centro pastato Alytuje, Pramonės g. 1B, rekonstravimas</v>
      </c>
      <c r="D62" s="311" t="str">
        <f>CONCATENATE('3 pr-2'!E64)</f>
        <v>Alytaus miesto savivaldybės administracija</v>
      </c>
      <c r="E62" s="311" t="str">
        <f>CONCATENATE('3 pr-2'!F64)</f>
        <v>Lietuvos Respublikos kultūros ministerija</v>
      </c>
      <c r="F62" s="311" t="str">
        <f>CONCATENATE('3 pr-2'!G64)</f>
        <v>Alytaus m. sav.</v>
      </c>
      <c r="G62" s="130" t="str">
        <f>CONCATENATE('3 pr-2'!H64)</f>
        <v>07.1.1-CPVA-R-305</v>
      </c>
      <c r="H62" s="130" t="str">
        <f>CONCATENATE('3 pr-2'!I64)</f>
        <v>R</v>
      </c>
      <c r="I62" s="130" t="str">
        <f>CONCATENATE('3 pr-2'!J64)</f>
        <v>ITI</v>
      </c>
      <c r="J62" s="130" t="str">
        <f>CONCATENATE('3 pr-2'!K64)</f>
        <v>-</v>
      </c>
      <c r="K62" s="130" t="str">
        <f>MID('3 pr-2'!B64,10,2)</f>
        <v>33</v>
      </c>
      <c r="L62" s="130" t="str">
        <f>IFERROR(INDEX(Veiklos!$C$2:$C$54,MATCH(K62,Veiklos!$D$2:$D$54,0),1),"")</f>
        <v>Kitos viešosios infrastruktūros modernizavimas (pastatai ir statiniai): kultūros objektai</v>
      </c>
      <c r="M62" s="130" t="str">
        <f>MID('3 pr-2'!B64,12,2)</f>
        <v>00</v>
      </c>
      <c r="N62" s="130">
        <f>IFERROR(INDEX(Veiklos!$C$2:$C$54,MATCH(M62,Veiklos!$D$2:$D$54,0),1),"")</f>
        <v>0</v>
      </c>
      <c r="O62" s="130" t="str">
        <f>MID('3 pr-2'!B64,14,2)</f>
        <v>00</v>
      </c>
      <c r="P62" s="130">
        <f>IFERROR(INDEX(Veiklos!$C$2:$C$54,MATCH(O62,Veiklos!$D$2:$D$54,0),1),"")</f>
        <v>0</v>
      </c>
      <c r="Q62" s="130"/>
      <c r="R62" s="130"/>
      <c r="S62" s="130"/>
      <c r="T62" s="130"/>
      <c r="U62" s="316">
        <v>1</v>
      </c>
      <c r="V62" s="504">
        <f>SUM('3 pr-2'!L64)</f>
        <v>783264.16</v>
      </c>
      <c r="W62" s="504">
        <f>SUM('3 pr-2'!AA64)</f>
        <v>299541</v>
      </c>
    </row>
    <row r="63" spans="1:23" s="21" customFormat="1" ht="51.75" thickBot="1">
      <c r="A63" s="130" t="str">
        <f>CONCATENATE('3 pr-2'!A65)</f>
        <v>1.1.1.8.3</v>
      </c>
      <c r="B63" s="130" t="str">
        <f>CONCATENATE('3 pr-2'!B65)</f>
        <v>R01-3305-330000-1183</v>
      </c>
      <c r="C63" s="311" t="str">
        <f>CONCATENATE('3 pr-2'!D65)</f>
        <v>Druskininkų kultūros centro lauko scenos, Vilniaus al. 24, Druskininkai, modernizavimas ir pritaikymas kultūros poreikiams</v>
      </c>
      <c r="D63" s="311" t="str">
        <f>CONCATENATE('3 pr-2'!E65)</f>
        <v xml:space="preserve">Druskininkų savivaldybės administracija  </v>
      </c>
      <c r="E63" s="311" t="str">
        <f>CONCATENATE('3 pr-2'!F65)</f>
        <v>Lietuvos Respublikos kultūros ministerija</v>
      </c>
      <c r="F63" s="311" t="str">
        <f>CONCATENATE('3 pr-2'!G65)</f>
        <v>Druskininkų sav.</v>
      </c>
      <c r="G63" s="130" t="str">
        <f>CONCATENATE('3 pr-2'!H65)</f>
        <v>07.1.1-CPVA-R-305</v>
      </c>
      <c r="H63" s="130" t="str">
        <f>CONCATENATE('3 pr-2'!I65)</f>
        <v>R</v>
      </c>
      <c r="I63" s="130" t="str">
        <f>CONCATENATE('3 pr-2'!J65)</f>
        <v>ITI</v>
      </c>
      <c r="J63" s="130" t="str">
        <f>CONCATENATE('3 pr-2'!K65)</f>
        <v>-</v>
      </c>
      <c r="K63" s="130" t="str">
        <f>MID('3 pr-2'!B65,10,2)</f>
        <v>33</v>
      </c>
      <c r="L63" s="130" t="str">
        <f>IFERROR(INDEX(Veiklos!$C$2:$C$54,MATCH(K63,Veiklos!$D$2:$D$54,0),1),"")</f>
        <v>Kitos viešosios infrastruktūros modernizavimas (pastatai ir statiniai): kultūros objektai</v>
      </c>
      <c r="M63" s="130" t="str">
        <f>MID('3 pr-2'!B65,12,2)</f>
        <v>00</v>
      </c>
      <c r="N63" s="130">
        <f>IFERROR(INDEX(Veiklos!$C$2:$C$54,MATCH(M63,Veiklos!$D$2:$D$54,0),1),"")</f>
        <v>0</v>
      </c>
      <c r="O63" s="130" t="str">
        <f>MID('3 pr-2'!B65,14,2)</f>
        <v>00</v>
      </c>
      <c r="P63" s="130">
        <f>IFERROR(INDEX(Veiklos!$C$2:$C$54,MATCH(O63,Veiklos!$D$2:$D$54,0),1),"")</f>
        <v>0</v>
      </c>
      <c r="Q63" s="130"/>
      <c r="R63" s="130"/>
      <c r="S63" s="130"/>
      <c r="T63" s="130"/>
      <c r="U63" s="316">
        <v>1</v>
      </c>
      <c r="V63" s="504">
        <f>SUM('3 pr-2'!L65)</f>
        <v>352401</v>
      </c>
      <c r="W63" s="504">
        <f>SUM('3 pr-2'!AA65)</f>
        <v>299540.84999999998</v>
      </c>
    </row>
    <row r="64" spans="1:23" s="21" customFormat="1" ht="51.75" thickBot="1">
      <c r="A64" s="130" t="str">
        <f>CONCATENATE('3 pr-2'!A66)</f>
        <v>1.1.1.8.4</v>
      </c>
      <c r="B64" s="130" t="str">
        <f>CONCATENATE('3 pr-2'!B66)</f>
        <v>R01-3305-330200-1184</v>
      </c>
      <c r="C64" s="311" t="str">
        <f>CONCATENATE('3 pr-2'!D66)</f>
        <v>Pastato rekonstrukcija ir pritaikymas kultūrinėms, muziejinėms ir edukacinėms reikmėms</v>
      </c>
      <c r="D64" s="311" t="str">
        <f>CONCATENATE('3 pr-2'!E66)</f>
        <v>Lazdijų rajono savivaldybės administracija</v>
      </c>
      <c r="E64" s="311" t="str">
        <f>CONCATENATE('3 pr-2'!F66)</f>
        <v>Lietuvos Respublikos kultūros ministerija</v>
      </c>
      <c r="F64" s="311" t="str">
        <f>CONCATENATE('3 pr-2'!G66)</f>
        <v>Lazdijų r. sav.</v>
      </c>
      <c r="G64" s="130" t="str">
        <f>CONCATENATE('3 pr-2'!H66)</f>
        <v>07.1.1-CPVA-R-305</v>
      </c>
      <c r="H64" s="130" t="str">
        <f>CONCATENATE('3 pr-2'!I66)</f>
        <v>R</v>
      </c>
      <c r="I64" s="130" t="str">
        <f>CONCATENATE('3 pr-2'!J66)</f>
        <v>ITI</v>
      </c>
      <c r="J64" s="130" t="str">
        <f>CONCATENATE('3 pr-2'!K66)</f>
        <v>-</v>
      </c>
      <c r="K64" s="130" t="str">
        <f>MID('3 pr-2'!B66,10,2)</f>
        <v>33</v>
      </c>
      <c r="L64" s="130" t="str">
        <f>IFERROR(INDEX(Veiklos!$C$2:$C$54,MATCH(K64,Veiklos!$D$2:$D$54,0),1),"")</f>
        <v>Kitos viešosios infrastruktūros modernizavimas (pastatai ir statiniai): kultūros objektai</v>
      </c>
      <c r="M64" s="130" t="str">
        <f>MID('3 pr-2'!B66,12,2)</f>
        <v>02</v>
      </c>
      <c r="N64" s="130" t="str">
        <f>IFERROR(INDEX(Veiklos!$C$2:$C$54,MATCH(M64,Veiklos!$D$2:$D$54,0),1),"")</f>
        <v>Viešųjų pastatų energinio efektyvumo didinimas</v>
      </c>
      <c r="O64" s="130" t="str">
        <f>MID('3 pr-2'!B66,14,2)</f>
        <v>00</v>
      </c>
      <c r="P64" s="130">
        <f>IFERROR(INDEX(Veiklos!$C$2:$C$54,MATCH(O64,Veiklos!$D$2:$D$54,0),1),"")</f>
        <v>0</v>
      </c>
      <c r="Q64" s="130"/>
      <c r="R64" s="130"/>
      <c r="S64" s="130"/>
      <c r="T64" s="130"/>
      <c r="U64" s="316">
        <v>1</v>
      </c>
      <c r="V64" s="504">
        <f>SUM('3 pr-2'!L66)</f>
        <v>484769.35</v>
      </c>
      <c r="W64" s="504">
        <f>SUM('3 pr-2'!AA66)</f>
        <v>299541</v>
      </c>
    </row>
    <row r="65" spans="1:24" ht="39" customHeight="1" thickBot="1">
      <c r="A65" s="298" t="s">
        <v>86</v>
      </c>
      <c r="B65" s="627"/>
      <c r="C65" s="1931" t="s">
        <v>821</v>
      </c>
      <c r="D65" s="1940"/>
      <c r="E65" s="1940"/>
      <c r="F65" s="1940"/>
      <c r="G65" s="1940"/>
      <c r="H65" s="1940"/>
      <c r="I65" s="1940"/>
      <c r="J65" s="1941"/>
      <c r="K65" s="514"/>
      <c r="L65" s="515"/>
      <c r="M65" s="516"/>
      <c r="N65" s="515"/>
      <c r="O65" s="516"/>
      <c r="P65" s="515"/>
      <c r="Q65" s="516"/>
      <c r="R65" s="515"/>
      <c r="S65" s="516"/>
      <c r="T65" s="515"/>
      <c r="U65" s="517"/>
      <c r="V65" s="512">
        <f>SUM(V66:V70)</f>
        <v>1461941.12</v>
      </c>
      <c r="W65" s="512">
        <f>SUM(W66:W70)</f>
        <v>1023865.66</v>
      </c>
    </row>
    <row r="66" spans="1:24" ht="51.75" thickBot="1">
      <c r="A66" s="130" t="str">
        <f>CONCATENATE('3 pr-2'!A68)</f>
        <v>1.1.1.9.1</v>
      </c>
      <c r="B66" s="130" t="str">
        <f>CONCATENATE('3 pr-2'!B68)</f>
        <v>R01-3302-440000-1191</v>
      </c>
      <c r="C66" s="311" t="str">
        <f>CONCATENATE('3 pr-2'!D68)</f>
        <v>Buvusios sinagogos pastato Kauno g. 9A Alytuje rekonstravimas ir aplinkinės teritorijos sutvarkymas</v>
      </c>
      <c r="D66" s="311" t="str">
        <f>CONCATENATE('3 pr-2'!E68)</f>
        <v>Alytaus miesto savivaldybės administracija</v>
      </c>
      <c r="E66" s="311" t="str">
        <f>CONCATENATE('3 pr-2'!F68)</f>
        <v>Lietuvos Respublikos kultūros ministerija</v>
      </c>
      <c r="F66" s="311" t="str">
        <f>CONCATENATE('3 pr-2'!G68)</f>
        <v>Alytaus m. sav.</v>
      </c>
      <c r="G66" s="130" t="str">
        <f>CONCATENATE('3 pr-2'!H68)</f>
        <v>05.4.1-CPVA-R-302</v>
      </c>
      <c r="H66" s="130" t="str">
        <f>CONCATENATE('3 pr-2'!I68)</f>
        <v>R</v>
      </c>
      <c r="I66" s="130" t="str">
        <f>CONCATENATE('3 pr-2'!J68)</f>
        <v>ITI</v>
      </c>
      <c r="J66" s="130" t="str">
        <f>CONCATENATE('3 pr-2'!K68)</f>
        <v xml:space="preserve"> -</v>
      </c>
      <c r="K66" s="130" t="str">
        <f>MID('3 pr-2'!B68,10,2)</f>
        <v>44</v>
      </c>
      <c r="L66" s="130" t="str">
        <f>IFERROR(INDEX(Veiklos!$C$2:$C$54,MATCH(K66,Veiklos!$D$2:$D$54,0),1),"")</f>
        <v>Kultūros paveldo objektų sutvarkymas ir pritaikymas</v>
      </c>
      <c r="M66" s="130" t="str">
        <f>MID('3 pr-2'!B68,12,2)</f>
        <v>00</v>
      </c>
      <c r="N66" s="130">
        <f>IFERROR(INDEX(Veiklos!$C$2:$C$54,MATCH(M66,Veiklos!$D$2:$D$54,0),1),"")</f>
        <v>0</v>
      </c>
      <c r="O66" s="130" t="str">
        <f>MID('3 pr-2'!B68,14,2)</f>
        <v>00</v>
      </c>
      <c r="P66" s="130">
        <f>IFERROR(INDEX(Veiklos!$C$2:$C$54,MATCH(O66,Veiklos!$D$2:$D$54,0),1),"")</f>
        <v>0</v>
      </c>
      <c r="Q66" s="130"/>
      <c r="R66" s="130"/>
      <c r="S66" s="130"/>
      <c r="T66" s="130"/>
      <c r="U66" s="316">
        <v>1</v>
      </c>
      <c r="V66" s="504">
        <f>SUM('3 pr-2'!L68)</f>
        <v>444560.16000000003</v>
      </c>
      <c r="W66" s="504">
        <f>SUM('3 pr-2'!AA68)</f>
        <v>206056</v>
      </c>
    </row>
    <row r="67" spans="1:24" s="21" customFormat="1" ht="51.75" thickBot="1">
      <c r="A67" s="130" t="str">
        <f>CONCATENATE('3 pr-2'!A69)</f>
        <v>1.1.1.9.2</v>
      </c>
      <c r="B67" s="130" t="str">
        <f>CONCATENATE('3 pr-2'!B69)</f>
        <v>R01-3302-440000-1192</v>
      </c>
      <c r="C67" s="311" t="str">
        <f>CONCATENATE('3 pr-2'!D69)</f>
        <v>Mažosios dailės galerijos, M.K.Čiurlionio g. 37, Druskininkai, modernizavimas ir pritaikymas kultūros poreikiams</v>
      </c>
      <c r="D67" s="311" t="str">
        <f>CONCATENATE('3 pr-2'!E69)</f>
        <v xml:space="preserve">Druskininkų savivaldybės administracija  </v>
      </c>
      <c r="E67" s="311" t="str">
        <f>CONCATENATE('3 pr-2'!F69)</f>
        <v>Lietuvos Respublikos kultūros ministerija</v>
      </c>
      <c r="F67" s="311" t="str">
        <f>CONCATENATE('3 pr-2'!G69)</f>
        <v>Druskininkų sav.</v>
      </c>
      <c r="G67" s="130" t="str">
        <f>CONCATENATE('3 pr-2'!H69)</f>
        <v>05.4.1-CPVA-R-302</v>
      </c>
      <c r="H67" s="130" t="str">
        <f>CONCATENATE('3 pr-2'!I69)</f>
        <v>R</v>
      </c>
      <c r="I67" s="130" t="str">
        <f>CONCATENATE('3 pr-2'!J69)</f>
        <v>-</v>
      </c>
      <c r="J67" s="130" t="str">
        <f>CONCATENATE('3 pr-2'!K69)</f>
        <v/>
      </c>
      <c r="K67" s="130" t="str">
        <f>MID('3 pr-2'!B69,10,2)</f>
        <v>44</v>
      </c>
      <c r="L67" s="130" t="str">
        <f>IFERROR(INDEX(Veiklos!$C$2:$C$54,MATCH(K67,Veiklos!$D$2:$D$54,0),1),"")</f>
        <v>Kultūros paveldo objektų sutvarkymas ir pritaikymas</v>
      </c>
      <c r="M67" s="130" t="str">
        <f>MID('3 pr-2'!B69,12,2)</f>
        <v>00</v>
      </c>
      <c r="N67" s="130">
        <f>IFERROR(INDEX(Veiklos!$C$2:$C$54,MATCH(M67,Veiklos!$D$2:$D$54,0),1),"")</f>
        <v>0</v>
      </c>
      <c r="O67" s="130" t="str">
        <f>MID('3 pr-2'!B69,14,2)</f>
        <v>00</v>
      </c>
      <c r="P67" s="130">
        <f>IFERROR(INDEX(Veiklos!$C$2:$C$54,MATCH(O67,Veiklos!$D$2:$D$54,0),1),"")</f>
        <v>0</v>
      </c>
      <c r="Q67" s="130"/>
      <c r="R67" s="130"/>
      <c r="S67" s="130"/>
      <c r="T67" s="130"/>
      <c r="U67" s="316">
        <v>1</v>
      </c>
      <c r="V67" s="504">
        <f>SUM('3 pr-2'!L69)</f>
        <v>297670.41000000003</v>
      </c>
      <c r="W67" s="504">
        <f>SUM('3 pr-2'!AA69)</f>
        <v>206056</v>
      </c>
    </row>
    <row r="68" spans="1:24" s="21" customFormat="1" ht="39" thickBot="1">
      <c r="A68" s="130" t="str">
        <f>CONCATENATE('3 pr-2'!A70)</f>
        <v>1.1.1.9.3</v>
      </c>
      <c r="B68" s="130" t="str">
        <f>CONCATENATE('3 pr-2'!B70)</f>
        <v>R01-3302-440200-1193</v>
      </c>
      <c r="C68" s="311" t="str">
        <f>CONCATENATE('3 pr-2'!D70)</f>
        <v>Motiejaus Gustaičio memorialinio namo kompleksinis sutvarkymas</v>
      </c>
      <c r="D68" s="311" t="str">
        <f>CONCATENATE('3 pr-2'!E70)</f>
        <v>Lazdijų rajono savivaldybės administracija</v>
      </c>
      <c r="E68" s="311" t="str">
        <f>CONCATENATE('3 pr-2'!F70)</f>
        <v>Lietuvos Respublikos kultūros ministerija</v>
      </c>
      <c r="F68" s="311" t="str">
        <f>CONCATENATE('3 pr-2'!G70)</f>
        <v>Lazdijų r. sav.</v>
      </c>
      <c r="G68" s="130" t="str">
        <f>CONCATENATE('3 pr-2'!H70)</f>
        <v>05.4.1-CPVA-R-302</v>
      </c>
      <c r="H68" s="130" t="str">
        <f>CONCATENATE('3 pr-2'!I70)</f>
        <v>R</v>
      </c>
      <c r="I68" s="130" t="str">
        <f>CONCATENATE('3 pr-2'!J70)</f>
        <v>ITI</v>
      </c>
      <c r="J68" s="130" t="str">
        <f>CONCATENATE('3 pr-2'!K70)</f>
        <v>-</v>
      </c>
      <c r="K68" s="130" t="str">
        <f>MID('3 pr-2'!B70,10,2)</f>
        <v>44</v>
      </c>
      <c r="L68" s="130" t="str">
        <f>IFERROR(INDEX(Veiklos!$C$2:$C$54,MATCH(K68,Veiklos!$D$2:$D$54,0),1),"")</f>
        <v>Kultūros paveldo objektų sutvarkymas ir pritaikymas</v>
      </c>
      <c r="M68" s="130" t="str">
        <f>MID('3 pr-2'!B70,12,2)</f>
        <v>02</v>
      </c>
      <c r="N68" s="130" t="str">
        <f>IFERROR(INDEX(Veiklos!$C$2:$C$54,MATCH(M68,Veiklos!$D$2:$D$54,0),1),"")</f>
        <v>Viešųjų pastatų energinio efektyvumo didinimas</v>
      </c>
      <c r="O68" s="130" t="str">
        <f>MID('3 pr-2'!B70,14,2)</f>
        <v>00</v>
      </c>
      <c r="P68" s="130">
        <f>IFERROR(INDEX(Veiklos!$C$2:$C$54,MATCH(O68,Veiklos!$D$2:$D$54,0),1),"")</f>
        <v>0</v>
      </c>
      <c r="Q68" s="130"/>
      <c r="R68" s="130"/>
      <c r="S68" s="130"/>
      <c r="T68" s="130"/>
      <c r="U68" s="316">
        <v>1</v>
      </c>
      <c r="V68" s="504">
        <f>SUM('3 pr-2'!L70)</f>
        <v>242419</v>
      </c>
      <c r="W68" s="504">
        <f>SUM('3 pr-2'!AA70)</f>
        <v>206056</v>
      </c>
    </row>
    <row r="69" spans="1:24" s="21" customFormat="1" ht="39" thickBot="1">
      <c r="A69" s="130" t="str">
        <f>CONCATENATE('3 pr-2'!A71)</f>
        <v>1.1.1.9.4</v>
      </c>
      <c r="B69" s="130" t="str">
        <f>CONCATENATE('3 pr-2'!B71)</f>
        <v>R01-3302-440000-1194</v>
      </c>
      <c r="C69" s="311" t="str">
        <f>CONCATENATE('3 pr-2'!D71)</f>
        <v>Kurnėnų Lauryno Radziukyno mokyklos pritaikymas kultūrinėms ir turistinėms reikmėms</v>
      </c>
      <c r="D69" s="311" t="str">
        <f>CONCATENATE('3 pr-2'!E71)</f>
        <v>Alytaus rajono savivaldybės administracija</v>
      </c>
      <c r="E69" s="311" t="str">
        <f>CONCATENATE('3 pr-2'!F71)</f>
        <v>Lietuvos Respublikos kultūros ministerija</v>
      </c>
      <c r="F69" s="311" t="str">
        <f>CONCATENATE('3 pr-2'!G71)</f>
        <v>Alytaus r. sav.</v>
      </c>
      <c r="G69" s="130" t="str">
        <f>CONCATENATE('3 pr-2'!H71)</f>
        <v>05.4.1-CPVA-R-302</v>
      </c>
      <c r="H69" s="130" t="str">
        <f>CONCATENATE('3 pr-2'!I71)</f>
        <v>R</v>
      </c>
      <c r="I69" s="130" t="str">
        <f>CONCATENATE('3 pr-2'!J71)</f>
        <v>-</v>
      </c>
      <c r="J69" s="130" t="str">
        <f>CONCATENATE('3 pr-2'!K71)</f>
        <v>-</v>
      </c>
      <c r="K69" s="130" t="str">
        <f>MID('3 pr-2'!B71,10,2)</f>
        <v>44</v>
      </c>
      <c r="L69" s="130" t="str">
        <f>IFERROR(INDEX(Veiklos!$C$2:$C$54,MATCH(K69,Veiklos!$D$2:$D$54,0),1),"")</f>
        <v>Kultūros paveldo objektų sutvarkymas ir pritaikymas</v>
      </c>
      <c r="M69" s="130" t="str">
        <f>MID('3 pr-2'!B71,12,2)</f>
        <v>00</v>
      </c>
      <c r="N69" s="130">
        <f>IFERROR(INDEX(Veiklos!$C$2:$C$54,MATCH(M69,Veiklos!$D$2:$D$54,0),1),"")</f>
        <v>0</v>
      </c>
      <c r="O69" s="130" t="str">
        <f>MID('3 pr-2'!B71,14,2)</f>
        <v>00</v>
      </c>
      <c r="P69" s="130">
        <f>IFERROR(INDEX(Veiklos!$C$2:$C$54,MATCH(O69,Veiklos!$D$2:$D$54,0),1),"")</f>
        <v>0</v>
      </c>
      <c r="Q69" s="130"/>
      <c r="R69" s="130"/>
      <c r="S69" s="130"/>
      <c r="T69" s="130"/>
      <c r="U69" s="316">
        <v>1</v>
      </c>
      <c r="V69" s="504">
        <f>SUM('3 pr-2'!L71)</f>
        <v>234872.55</v>
      </c>
      <c r="W69" s="504">
        <f>SUM('3 pr-2'!AA71)</f>
        <v>199641.66</v>
      </c>
    </row>
    <row r="70" spans="1:24" ht="39" thickBot="1">
      <c r="A70" s="130" t="str">
        <f>CONCATENATE('3 pr-2'!A72)</f>
        <v>1.1.1.9.5</v>
      </c>
      <c r="B70" s="130" t="str">
        <f>CONCATENATE('3 pr-2'!B72)</f>
        <v>R01-3302-440000-1195</v>
      </c>
      <c r="C70" s="311" t="str">
        <f>CONCATENATE('3 pr-2'!D72)</f>
        <v>Vinco Krėvės-Mickevičiaus memorialinio muziejaus atnaujinimas</v>
      </c>
      <c r="D70" s="311" t="str">
        <f>CONCATENATE('3 pr-2'!E72)</f>
        <v>Varėnos rajono savivaldybės administracija</v>
      </c>
      <c r="E70" s="311" t="str">
        <f>CONCATENATE('3 pr-2'!F72)</f>
        <v>Lietuvos Respublikos kultūros ministerija</v>
      </c>
      <c r="F70" s="311" t="str">
        <f>CONCATENATE('3 pr-2'!G72)</f>
        <v>Varėnos r. sav.</v>
      </c>
      <c r="G70" s="130" t="str">
        <f>CONCATENATE('3 pr-2'!H72)</f>
        <v>05.4.1-CPVA-R-302</v>
      </c>
      <c r="H70" s="130" t="str">
        <f>CONCATENATE('3 pr-2'!I72)</f>
        <v>R</v>
      </c>
      <c r="I70" s="130" t="str">
        <f>CONCATENATE('3 pr-2'!J72)</f>
        <v>-</v>
      </c>
      <c r="J70" s="130" t="str">
        <f>CONCATENATE('3 pr-2'!K72)</f>
        <v>-</v>
      </c>
      <c r="K70" s="130" t="str">
        <f>MID('3 pr-2'!B72,10,2)</f>
        <v>44</v>
      </c>
      <c r="L70" s="130" t="str">
        <f>IFERROR(INDEX(Veiklos!$C$2:$C$54,MATCH(K70,Veiklos!$D$2:$D$54,0),1),"")</f>
        <v>Kultūros paveldo objektų sutvarkymas ir pritaikymas</v>
      </c>
      <c r="M70" s="130" t="str">
        <f>MID('3 pr-2'!B72,12,2)</f>
        <v>00</v>
      </c>
      <c r="N70" s="130">
        <f>IFERROR(INDEX(Veiklos!$C$2:$C$54,MATCH(M70,Veiklos!$D$2:$D$54,0),1),"")</f>
        <v>0</v>
      </c>
      <c r="O70" s="130" t="str">
        <f>MID('3 pr-2'!B72,14,2)</f>
        <v>00</v>
      </c>
      <c r="P70" s="130">
        <f>IFERROR(INDEX(Veiklos!$C$2:$C$54,MATCH(O70,Veiklos!$D$2:$D$54,0),1),"")</f>
        <v>0</v>
      </c>
      <c r="Q70" s="130"/>
      <c r="R70" s="130"/>
      <c r="S70" s="130"/>
      <c r="T70" s="130"/>
      <c r="U70" s="316">
        <v>1</v>
      </c>
      <c r="V70" s="504">
        <f>SUM('3 pr-2'!L72)</f>
        <v>242419</v>
      </c>
      <c r="W70" s="504">
        <f>SUM('3 pr-2'!AA72)</f>
        <v>206056</v>
      </c>
    </row>
    <row r="71" spans="1:24" ht="60.75" customHeight="1" thickBot="1">
      <c r="A71" s="134" t="s">
        <v>22</v>
      </c>
      <c r="B71" s="628"/>
      <c r="C71" s="1923" t="s">
        <v>612</v>
      </c>
      <c r="D71" s="1938"/>
      <c r="E71" s="1938"/>
      <c r="F71" s="1938"/>
      <c r="G71" s="1938"/>
      <c r="H71" s="1938"/>
      <c r="I71" s="1938"/>
      <c r="J71" s="1939"/>
      <c r="K71" s="494"/>
      <c r="L71" s="495"/>
      <c r="M71" s="496"/>
      <c r="N71" s="495"/>
      <c r="O71" s="496"/>
      <c r="P71" s="495"/>
      <c r="Q71" s="496"/>
      <c r="R71" s="495"/>
      <c r="S71" s="496"/>
      <c r="T71" s="495"/>
      <c r="U71" s="495"/>
      <c r="V71" s="518"/>
      <c r="W71" s="519"/>
    </row>
    <row r="72" spans="1:24" ht="39" customHeight="1" thickBot="1">
      <c r="A72" s="298" t="s">
        <v>88</v>
      </c>
      <c r="B72" s="625"/>
      <c r="C72" s="1926" t="s">
        <v>828</v>
      </c>
      <c r="D72" s="1940"/>
      <c r="E72" s="1940"/>
      <c r="F72" s="1940"/>
      <c r="G72" s="1940"/>
      <c r="H72" s="1940"/>
      <c r="I72" s="1940"/>
      <c r="J72" s="1941"/>
      <c r="K72" s="514"/>
      <c r="L72" s="515"/>
      <c r="M72" s="516"/>
      <c r="N72" s="515"/>
      <c r="O72" s="516"/>
      <c r="P72" s="515"/>
      <c r="Q72" s="516"/>
      <c r="R72" s="515"/>
      <c r="S72" s="516"/>
      <c r="T72" s="515"/>
      <c r="U72" s="517"/>
      <c r="V72" s="512">
        <f>SUM(V73:V76)</f>
        <v>2005982</v>
      </c>
      <c r="W72" s="512">
        <f>SUM(W73:W76)</f>
        <v>1263272</v>
      </c>
    </row>
    <row r="73" spans="1:24" ht="39" thickBot="1">
      <c r="A73" s="130" t="str">
        <f>CONCATENATE('3 pr-2'!A75)</f>
        <v>1.1.2.1.1</v>
      </c>
      <c r="B73" s="130" t="str">
        <f>CONCATENATE('3 pr-2'!B75)</f>
        <v>R01-5518-100000-1211</v>
      </c>
      <c r="C73" s="311" t="str">
        <f>CONCATENATE('3 pr-2'!D75)</f>
        <v>Nekenksmingų aplinkai viešojo transporto priemonių įsigijimas Alytaus mieste</v>
      </c>
      <c r="D73" s="311" t="str">
        <f>CONCATENATE('3 pr-2'!E75)</f>
        <v>Alytaus miesto savivaldybės administracija</v>
      </c>
      <c r="E73" s="311" t="str">
        <f>CONCATENATE('3 pr-2'!F75)</f>
        <v>Lietuvos Respublikos susisiekimo ministerija</v>
      </c>
      <c r="F73" s="311" t="str">
        <f>CONCATENATE('3 pr-2'!G75)</f>
        <v>Alytaus m. sav.</v>
      </c>
      <c r="G73" s="130" t="str">
        <f>CONCATENATE('3 pr-2'!H75)</f>
        <v>04.5.1-TID-R-518</v>
      </c>
      <c r="H73" s="130" t="str">
        <f>CONCATENATE('3 pr-2'!I75)</f>
        <v>R</v>
      </c>
      <c r="I73" s="130" t="str">
        <f>CONCATENATE('3 pr-2'!J75)</f>
        <v>ITI</v>
      </c>
      <c r="J73" s="130" t="str">
        <f>CONCATENATE('3 pr-2'!K75)</f>
        <v>-</v>
      </c>
      <c r="K73" s="130" t="str">
        <f>MID('3 pr-2'!B75,10,2)</f>
        <v>10</v>
      </c>
      <c r="L73" s="130" t="str">
        <f>IFERROR(INDEX(Veiklos!$C$2:$C$54,MATCH(K73,Veiklos!$D$2:$D$54,0),1),"")</f>
        <v>Viešojo transporto priemonių įsigijimas</v>
      </c>
      <c r="M73" s="130" t="str">
        <f>MID('3 pr-2'!B75,12,2)</f>
        <v>00</v>
      </c>
      <c r="N73" s="130">
        <f>IFERROR(INDEX(Veiklos!$C$2:$C$54,MATCH(M73,Veiklos!$D$2:$D$54,0),1),"")</f>
        <v>0</v>
      </c>
      <c r="O73" s="130" t="str">
        <f>MID('3 pr-2'!B75,14,2)</f>
        <v>00</v>
      </c>
      <c r="P73" s="130">
        <f>IFERROR(INDEX(Veiklos!$C$2:$C$54,MATCH(O73,Veiklos!$D$2:$D$54,0),1),"")</f>
        <v>0</v>
      </c>
      <c r="Q73" s="130"/>
      <c r="R73" s="130"/>
      <c r="S73" s="130"/>
      <c r="T73" s="130"/>
      <c r="U73" s="316">
        <v>1</v>
      </c>
      <c r="V73" s="504">
        <f>SUM('3 pr-2'!L75)</f>
        <v>406091</v>
      </c>
      <c r="W73" s="504">
        <f>SUM('3 pr-2'!AA75)</f>
        <v>345177</v>
      </c>
    </row>
    <row r="74" spans="1:24" ht="39" thickBot="1">
      <c r="A74" s="130" t="str">
        <f>CONCATENATE('3 pr-2'!A76)</f>
        <v>1.1.2.1.2</v>
      </c>
      <c r="B74" s="130" t="str">
        <f>CONCATENATE('3 pr-2'!B76)</f>
        <v>R01-5518-100000-1212</v>
      </c>
      <c r="C74" s="311" t="str">
        <f>CONCATENATE('3 pr-2'!D76)</f>
        <v>Vietinio susisiekimo transporto priemonių įsigijimas</v>
      </c>
      <c r="D74" s="311" t="str">
        <f>CONCATENATE('3 pr-2'!E76)</f>
        <v>Alytaus rajono savivaldybės administracija</v>
      </c>
      <c r="E74" s="311" t="str">
        <f>CONCATENATE('3 pr-2'!F76)</f>
        <v>Lietuvos Respublikos susisiekimo ministerija</v>
      </c>
      <c r="F74" s="311" t="str">
        <f>CONCATENATE('3 pr-2'!G76)</f>
        <v>Alytaus r. sav.</v>
      </c>
      <c r="G74" s="130" t="str">
        <f>CONCATENATE('3 pr-2'!H76)</f>
        <v>04.5.1-TID-R-518</v>
      </c>
      <c r="H74" s="130" t="str">
        <f>CONCATENATE('3 pr-2'!I76)</f>
        <v>R</v>
      </c>
      <c r="I74" s="130" t="str">
        <f>CONCATENATE('3 pr-2'!J76)</f>
        <v>-</v>
      </c>
      <c r="J74" s="130" t="str">
        <f>CONCATENATE('3 pr-2'!K76)</f>
        <v>-</v>
      </c>
      <c r="K74" s="130" t="str">
        <f>MID('3 pr-2'!B76,10,2)</f>
        <v>10</v>
      </c>
      <c r="L74" s="130" t="str">
        <f>IFERROR(INDEX(Veiklos!$C$2:$C$54,MATCH(K74,Veiklos!$D$2:$D$54,0),1),"")</f>
        <v>Viešojo transporto priemonių įsigijimas</v>
      </c>
      <c r="M74" s="130" t="str">
        <f>MID('3 pr-2'!B76,12,2)</f>
        <v>00</v>
      </c>
      <c r="N74" s="130">
        <f>IFERROR(INDEX(Veiklos!$C$2:$C$54,MATCH(M74,Veiklos!$D$2:$D$54,0),1),"")</f>
        <v>0</v>
      </c>
      <c r="O74" s="130" t="str">
        <f>MID('3 pr-2'!B76,14,2)</f>
        <v>00</v>
      </c>
      <c r="P74" s="130">
        <f>IFERROR(INDEX(Veiklos!$C$2:$C$54,MATCH(O74,Veiklos!$D$2:$D$54,0),1),"")</f>
        <v>0</v>
      </c>
      <c r="Q74" s="130"/>
      <c r="R74" s="130"/>
      <c r="S74" s="130"/>
      <c r="T74" s="130"/>
      <c r="U74" s="316">
        <v>1</v>
      </c>
      <c r="V74" s="504">
        <f>SUM('3 pr-2'!L76)</f>
        <v>496947</v>
      </c>
      <c r="W74" s="504">
        <f>SUM('3 pr-2'!AA76)</f>
        <v>277249</v>
      </c>
    </row>
    <row r="75" spans="1:24" ht="39" thickBot="1">
      <c r="A75" s="130" t="str">
        <f>CONCATENATE('3 pr-2'!A77)</f>
        <v>1.1.2.1.3</v>
      </c>
      <c r="B75" s="130" t="str">
        <f>CONCATENATE('3 pr-2'!B77)</f>
        <v>R01-5518-100000-1213</v>
      </c>
      <c r="C75" s="311" t="str">
        <f>CONCATENATE('3 pr-2'!D77)</f>
        <v>Ekologiškų transporto priemonių įsigijimas Druskininkų savivaldybėje</v>
      </c>
      <c r="D75" s="311" t="str">
        <f>CONCATENATE('3 pr-2'!E77)</f>
        <v xml:space="preserve">Druskininkų savivaldybės administracija  </v>
      </c>
      <c r="E75" s="311" t="str">
        <f>CONCATENATE('3 pr-2'!F77)</f>
        <v>Lietuvos Respublikos susisiekimo ministerija</v>
      </c>
      <c r="F75" s="311" t="str">
        <f>CONCATENATE('3 pr-2'!G77)</f>
        <v>Druskininkų sav.</v>
      </c>
      <c r="G75" s="130" t="str">
        <f>CONCATENATE('3 pr-2'!H77)</f>
        <v>04.5.1-TID-R-518</v>
      </c>
      <c r="H75" s="130" t="str">
        <f>CONCATENATE('3 pr-2'!I77)</f>
        <v>R</v>
      </c>
      <c r="I75" s="130" t="str">
        <f>CONCATENATE('3 pr-2'!J77)</f>
        <v>-</v>
      </c>
      <c r="J75" s="130" t="str">
        <f>CONCATENATE('3 pr-2'!K77)</f>
        <v>-</v>
      </c>
      <c r="K75" s="130" t="str">
        <f>MID('3 pr-2'!B77,10,2)</f>
        <v>10</v>
      </c>
      <c r="L75" s="130" t="str">
        <f>IFERROR(INDEX(Veiklos!$C$2:$C$54,MATCH(K75,Veiklos!$D$2:$D$54,0),1),"")</f>
        <v>Viešojo transporto priemonių įsigijimas</v>
      </c>
      <c r="M75" s="130" t="str">
        <f>MID('3 pr-2'!B77,12,2)</f>
        <v>00</v>
      </c>
      <c r="N75" s="130">
        <f>IFERROR(INDEX(Veiklos!$C$2:$C$54,MATCH(M75,Veiklos!$D$2:$D$54,0),1),"")</f>
        <v>0</v>
      </c>
      <c r="O75" s="130" t="str">
        <f>MID('3 pr-2'!B77,14,2)</f>
        <v>00</v>
      </c>
      <c r="P75" s="130">
        <f>IFERROR(INDEX(Veiklos!$C$2:$C$54,MATCH(O75,Veiklos!$D$2:$D$54,0),1),"")</f>
        <v>0</v>
      </c>
      <c r="Q75" s="130"/>
      <c r="R75" s="130"/>
      <c r="S75" s="130"/>
      <c r="T75" s="130"/>
      <c r="U75" s="316">
        <v>1</v>
      </c>
      <c r="V75" s="504">
        <f>SUM('3 pr-2'!L77)</f>
        <v>840240</v>
      </c>
      <c r="W75" s="504">
        <f>SUM('3 pr-2'!AA77)</f>
        <v>417548</v>
      </c>
    </row>
    <row r="76" spans="1:24" ht="39" thickBot="1">
      <c r="A76" s="130" t="str">
        <f>CONCATENATE('3 pr-2'!A78)</f>
        <v>1.1.2.1.4</v>
      </c>
      <c r="B76" s="130" t="str">
        <f>CONCATENATE('3 pr-2'!B78)</f>
        <v>R01-5518-100000-1214</v>
      </c>
      <c r="C76" s="311" t="str">
        <f>CONCATENATE('3 pr-2'!D78)</f>
        <v>Ekologiškų transporto priemonių įsigijimas Lazdijų rajono savivaldybėje</v>
      </c>
      <c r="D76" s="311" t="str">
        <f>CONCATENATE('3 pr-2'!E78)</f>
        <v>Lazdijų rajono savivaldybės administracija</v>
      </c>
      <c r="E76" s="311" t="str">
        <f>CONCATENATE('3 pr-2'!F78)</f>
        <v>Lietuvos Respublikos susisiekimo ministerija</v>
      </c>
      <c r="F76" s="311" t="str">
        <f>CONCATENATE('3 pr-2'!G78)</f>
        <v>Lazdijų r. sav.</v>
      </c>
      <c r="G76" s="130" t="str">
        <f>CONCATENATE('3 pr-2'!H78)</f>
        <v>04.5.1-TID-R-518</v>
      </c>
      <c r="H76" s="130" t="str">
        <f>CONCATENATE('3 pr-2'!I78)</f>
        <v>R</v>
      </c>
      <c r="I76" s="130" t="str">
        <f>CONCATENATE('3 pr-2'!J78)</f>
        <v>-</v>
      </c>
      <c r="J76" s="130" t="str">
        <f>CONCATENATE('3 pr-2'!K78)</f>
        <v>-</v>
      </c>
      <c r="K76" s="130" t="str">
        <f>MID('3 pr-2'!B78,10,2)</f>
        <v>10</v>
      </c>
      <c r="L76" s="130" t="str">
        <f>IFERROR(INDEX(Veiklos!$C$2:$C$54,MATCH(K76,Veiklos!$D$2:$D$54,0),1),"")</f>
        <v>Viešojo transporto priemonių įsigijimas</v>
      </c>
      <c r="M76" s="130" t="str">
        <f>MID('3 pr-2'!B78,12,2)</f>
        <v>00</v>
      </c>
      <c r="N76" s="130">
        <f>IFERROR(INDEX(Veiklos!$C$2:$C$54,MATCH(M76,Veiklos!$D$2:$D$54,0),1),"")</f>
        <v>0</v>
      </c>
      <c r="O76" s="130" t="str">
        <f>MID('3 pr-2'!B78,14,2)</f>
        <v>00</v>
      </c>
      <c r="P76" s="130">
        <f>IFERROR(INDEX(Veiklos!$C$2:$C$54,MATCH(O76,Veiklos!$D$2:$D$54,0),1),"")</f>
        <v>0</v>
      </c>
      <c r="Q76" s="130"/>
      <c r="R76" s="130"/>
      <c r="S76" s="130"/>
      <c r="T76" s="130"/>
      <c r="U76" s="316">
        <v>1</v>
      </c>
      <c r="V76" s="504">
        <f>SUM('3 pr-2'!L78)</f>
        <v>262704</v>
      </c>
      <c r="W76" s="504">
        <f>SUM('3 pr-2'!AA78)</f>
        <v>223298</v>
      </c>
    </row>
    <row r="77" spans="1:24" ht="40.5" customHeight="1" thickBot="1">
      <c r="A77" s="298" t="s">
        <v>90</v>
      </c>
      <c r="B77" s="625"/>
      <c r="C77" s="1931" t="s">
        <v>820</v>
      </c>
      <c r="D77" s="1929"/>
      <c r="E77" s="1929"/>
      <c r="F77" s="1929"/>
      <c r="G77" s="1929"/>
      <c r="H77" s="1929"/>
      <c r="I77" s="1929"/>
      <c r="J77" s="1930"/>
      <c r="K77" s="514"/>
      <c r="L77" s="515"/>
      <c r="M77" s="516"/>
      <c r="N77" s="515"/>
      <c r="O77" s="516"/>
      <c r="P77" s="515"/>
      <c r="Q77" s="516"/>
      <c r="R77" s="515"/>
      <c r="S77" s="516"/>
      <c r="T77" s="515"/>
      <c r="U77" s="517"/>
      <c r="V77" s="512">
        <f>SUM(V78:V83)</f>
        <v>1894943.24</v>
      </c>
      <c r="W77" s="512">
        <f>SUM(W78:W83)</f>
        <v>1610702.1</v>
      </c>
    </row>
    <row r="78" spans="1:24" ht="77.25" thickBot="1">
      <c r="A78" s="130" t="str">
        <f>CONCATENATE('3 pr-2'!A80)</f>
        <v>1.1.2.2.1</v>
      </c>
      <c r="B78" s="130" t="str">
        <f>CONCATENATE('3 pr-2'!B80)</f>
        <v>R01-5514-190000-1221</v>
      </c>
      <c r="C78" s="311" t="str">
        <f>CONCATENATE('3 pr-2'!D80)</f>
        <v>Darnaus judumo priemonių diegimas Alytaus mieste</v>
      </c>
      <c r="D78" s="311" t="str">
        <f>CONCATENATE('3 pr-2'!E80)</f>
        <v>Alytaus miesto savivaldybės administracija</v>
      </c>
      <c r="E78" s="311" t="str">
        <f>CONCATENATE('3 pr-2'!F80)</f>
        <v>Lietuvos Respublikos susisiekimo ministerija</v>
      </c>
      <c r="F78" s="311" t="str">
        <f>CONCATENATE('3 pr-2'!G80)</f>
        <v>Alytaus m. sav.</v>
      </c>
      <c r="G78" s="130" t="str">
        <f>CONCATENATE('3 pr-2'!H80)</f>
        <v>04.5.1.-TID-R-514</v>
      </c>
      <c r="H78" s="130" t="str">
        <f>CONCATENATE('3 pr-2'!I80)</f>
        <v>R</v>
      </c>
      <c r="I78" s="130" t="str">
        <f>CONCATENATE('3 pr-2'!J80)</f>
        <v>ITI</v>
      </c>
      <c r="J78" s="130"/>
      <c r="K78" s="130" t="str">
        <f>MID('3 pr-2'!B80,10,2)</f>
        <v>19</v>
      </c>
      <c r="L78" s="130" t="str">
        <f>IFERROR(INDEX(Veiklos!$C$2:$C$54,MATCH(K78,Veiklos!$D$2:$D$54,0),1),"")</f>
        <v>Darnaus judumo priemonės miestuose (pėsčiųjų ir dviračių takų infrastruktūra, Park and Ride, Bike and Ride aikštelės, elektromobilių įkrovimo stotelių įrengimas ir kita)</v>
      </c>
      <c r="M78" s="130" t="str">
        <f>MID('3 pr-2'!B80,12,2)</f>
        <v>00</v>
      </c>
      <c r="N78" s="130">
        <f>IFERROR(INDEX(Veiklos!$C$2:$C$54,MATCH(M78,Veiklos!$D$2:$D$54,0),1),"")</f>
        <v>0</v>
      </c>
      <c r="O78" s="130" t="str">
        <f>MID('3 pr-2'!B80,14,2)</f>
        <v>00</v>
      </c>
      <c r="P78" s="130">
        <f>IFERROR(INDEX(Veiklos!$C$2:$C$54,MATCH(O78,Veiklos!$D$2:$D$54,0),1),"")</f>
        <v>0</v>
      </c>
      <c r="Q78" s="130"/>
      <c r="R78" s="130"/>
      <c r="S78" s="130"/>
      <c r="T78" s="130"/>
      <c r="U78" s="316">
        <v>1</v>
      </c>
      <c r="V78" s="504">
        <f>SUM('3 pr-2'!L80)</f>
        <v>1143469</v>
      </c>
      <c r="W78" s="504">
        <f>SUM('3 pr-2'!AA80)</f>
        <v>971949</v>
      </c>
      <c r="X78" s="59"/>
    </row>
    <row r="79" spans="1:24" ht="77.25" thickBot="1">
      <c r="A79" s="130" t="str">
        <f>CONCATENATE('3 pr-2'!A81)</f>
        <v>1.1.2.2.2</v>
      </c>
      <c r="B79" s="130" t="str">
        <f>CONCATENATE('3 pr-2'!B81)</f>
        <v>R01-5514-190000-1222</v>
      </c>
      <c r="C79" s="311" t="str">
        <f>CONCATENATE('3 pr-2'!D81)</f>
        <v>Alytaus miesto darnaus judumo plano parengimas</v>
      </c>
      <c r="D79" s="311" t="str">
        <f>CONCATENATE('3 pr-2'!E81)</f>
        <v>Alytaus miesto savivaldybės administracija</v>
      </c>
      <c r="E79" s="311" t="str">
        <f>CONCATENATE('3 pr-2'!F81)</f>
        <v>Lietuvos Respublikos susisiekimo ministerija</v>
      </c>
      <c r="F79" s="311" t="str">
        <f>CONCATENATE('3 pr-2'!G81)</f>
        <v>Alytaus m. sav.</v>
      </c>
      <c r="G79" s="130" t="str">
        <f>CONCATENATE('3 pr-2'!H81)</f>
        <v>04.5.1-TID-V-513</v>
      </c>
      <c r="H79" s="130" t="str">
        <f>CONCATENATE('3 pr-2'!I81)</f>
        <v>V</v>
      </c>
      <c r="I79" s="130" t="str">
        <f>CONCATENATE('3 pr-2'!J81)</f>
        <v>ITI</v>
      </c>
      <c r="J79" s="130"/>
      <c r="K79" s="130" t="str">
        <f>MID('3 pr-2'!B81,10,2)</f>
        <v>19</v>
      </c>
      <c r="L79" s="130" t="str">
        <f>IFERROR(INDEX(Veiklos!$C$2:$C$54,MATCH(K79,Veiklos!$D$2:$D$54,0),1),"")</f>
        <v>Darnaus judumo priemonės miestuose (pėsčiųjų ir dviračių takų infrastruktūra, Park and Ride, Bike and Ride aikštelės, elektromobilių įkrovimo stotelių įrengimas ir kita)</v>
      </c>
      <c r="M79" s="130" t="str">
        <f>MID('3 pr-2'!B81,12,2)</f>
        <v>00</v>
      </c>
      <c r="N79" s="130">
        <f>IFERROR(INDEX(Veiklos!$C$2:$C$54,MATCH(M79,Veiklos!$D$2:$D$54,0),1),"")</f>
        <v>0</v>
      </c>
      <c r="O79" s="130" t="str">
        <f>MID('3 pr-2'!B81,14,2)</f>
        <v>00</v>
      </c>
      <c r="P79" s="130">
        <f>IFERROR(INDEX(Veiklos!$C$2:$C$54,MATCH(O79,Veiklos!$D$2:$D$54,0),1),"")</f>
        <v>0</v>
      </c>
      <c r="Q79" s="130"/>
      <c r="R79" s="130"/>
      <c r="S79" s="130"/>
      <c r="T79" s="130"/>
      <c r="U79" s="316">
        <v>1</v>
      </c>
      <c r="V79" s="504">
        <f>SUM('3 pr-2'!L81)</f>
        <v>33638</v>
      </c>
      <c r="W79" s="504">
        <f>SUM('3 pr-2'!AA81)</f>
        <v>28592.3</v>
      </c>
    </row>
    <row r="80" spans="1:24" ht="77.25" thickBot="1">
      <c r="A80" s="130" t="str">
        <f>CONCATENATE('3 pr-2'!A82)</f>
        <v>1.1.2.2.3</v>
      </c>
      <c r="B80" s="130" t="str">
        <f>CONCATENATE('3 pr-2'!B82)</f>
        <v>R01-5514-191800-1223</v>
      </c>
      <c r="C80" s="311" t="str">
        <f>CONCATENATE('3 pr-2'!D82)</f>
        <v>Intelektinių transporto sistemų diegimas Druskininkuose</v>
      </c>
      <c r="D80" s="311" t="str">
        <f>CONCATENATE('3 pr-2'!E82)</f>
        <v>Druskininkų savivaldybės administracija</v>
      </c>
      <c r="E80" s="311" t="str">
        <f>CONCATENATE('3 pr-2'!F82)</f>
        <v>Lietuvos Respublikos susisiekimo ministerija</v>
      </c>
      <c r="F80" s="311" t="str">
        <f>CONCATENATE('3 pr-2'!G82)</f>
        <v>Druskininkų sav.</v>
      </c>
      <c r="G80" s="130" t="str">
        <f>CONCATENATE('3 pr-2'!H82)</f>
        <v>04.5.1.-TID-R-514</v>
      </c>
      <c r="H80" s="130" t="str">
        <f>CONCATENATE('3 pr-2'!I82)</f>
        <v>R</v>
      </c>
      <c r="I80" s="130" t="str">
        <f>CONCATENATE('3 pr-2'!J82)</f>
        <v>-</v>
      </c>
      <c r="J80" s="130"/>
      <c r="K80" s="130" t="str">
        <f>MID('3 pr-2'!B82,10,2)</f>
        <v>19</v>
      </c>
      <c r="L80" s="130" t="str">
        <f>IFERROR(INDEX(Veiklos!$C$2:$C$54,MATCH(K80,Veiklos!$D$2:$D$54,0),1),"")</f>
        <v>Darnaus judumo priemonės miestuose (pėsčiųjų ir dviračių takų infrastruktūra, Park and Ride, Bike and Ride aikštelės, elektromobilių įkrovimo stotelių įrengimas ir kita)</v>
      </c>
      <c r="M80" s="130" t="str">
        <f>MID('3 pr-2'!B82,12,2)</f>
        <v>18</v>
      </c>
      <c r="N80" s="130" t="str">
        <f>IFERROR(INDEX(Veiklos!$C$2:$C$54,MATCH(M80,Veiklos!$D$2:$D$54,0),1),"")</f>
        <v>Intelektinės transporto sistemos</v>
      </c>
      <c r="O80" s="130" t="str">
        <f>MID('3 pr-2'!B82,14,2)</f>
        <v>00</v>
      </c>
      <c r="P80" s="130">
        <f>IFERROR(INDEX(Veiklos!$C$2:$C$54,MATCH(O80,Veiklos!$D$2:$D$54,0),1),"")</f>
        <v>0</v>
      </c>
      <c r="Q80" s="130"/>
      <c r="R80" s="130"/>
      <c r="S80" s="130"/>
      <c r="T80" s="130"/>
      <c r="U80" s="316">
        <v>1</v>
      </c>
      <c r="V80" s="504">
        <f>SUM('3 pr-2'!L82)</f>
        <v>160836.24</v>
      </c>
      <c r="W80" s="504">
        <f>SUM('3 pr-2'!AA82)</f>
        <v>136710.79999999999</v>
      </c>
    </row>
    <row r="81" spans="1:23" ht="77.25" thickBot="1">
      <c r="A81" s="130" t="str">
        <f>CONCATENATE('3 pr-2'!A83)</f>
        <v>1.1.2.2.4</v>
      </c>
      <c r="B81" s="130" t="str">
        <f>CONCATENATE('3 pr-2'!B83)</f>
        <v>R01-5514-190000-1224</v>
      </c>
      <c r="C81" s="311" t="str">
        <f>CONCATENATE('3 pr-2'!D83)</f>
        <v>Darnaus judumo plano Druskininkuose parengimas</v>
      </c>
      <c r="D81" s="311" t="str">
        <f>CONCATENATE('3 pr-2'!E83)</f>
        <v>Druskininkų savivaldybės administracija</v>
      </c>
      <c r="E81" s="311" t="str">
        <f>CONCATENATE('3 pr-2'!F83)</f>
        <v>Lietuvos Respublikos susisiekimo ministerija</v>
      </c>
      <c r="F81" s="311" t="str">
        <f>CONCATENATE('3 pr-2'!G83)</f>
        <v>Druskininkų sav.</v>
      </c>
      <c r="G81" s="130" t="str">
        <f>CONCATENATE('3 pr-2'!H83)</f>
        <v>04.5.1-TID-V-513</v>
      </c>
      <c r="H81" s="130" t="str">
        <f>CONCATENATE('3 pr-2'!I83)</f>
        <v>V</v>
      </c>
      <c r="I81" s="130" t="str">
        <f>CONCATENATE('3 pr-2'!J83)</f>
        <v>ITI</v>
      </c>
      <c r="J81" s="130"/>
      <c r="K81" s="130" t="str">
        <f>MID('3 pr-2'!B83,10,2)</f>
        <v>19</v>
      </c>
      <c r="L81" s="130" t="str">
        <f>IFERROR(INDEX(Veiklos!$C$2:$C$54,MATCH(K81,Veiklos!$D$2:$D$54,0),1),"")</f>
        <v>Darnaus judumo priemonės miestuose (pėsčiųjų ir dviračių takų infrastruktūra, Park and Ride, Bike and Ride aikštelės, elektromobilių įkrovimo stotelių įrengimas ir kita)</v>
      </c>
      <c r="M81" s="130" t="str">
        <f>MID('3 pr-2'!B83,12,2)</f>
        <v>00</v>
      </c>
      <c r="N81" s="130">
        <f>IFERROR(INDEX(Veiklos!$C$2:$C$54,MATCH(M81,Veiklos!$D$2:$D$54,0),1),"")</f>
        <v>0</v>
      </c>
      <c r="O81" s="130" t="str">
        <f>MID('3 pr-2'!B83,14,2)</f>
        <v>00</v>
      </c>
      <c r="P81" s="130">
        <f>IFERROR(INDEX(Veiklos!$C$2:$C$54,MATCH(O81,Veiklos!$D$2:$D$54,0),1),"")</f>
        <v>0</v>
      </c>
      <c r="Q81" s="130"/>
      <c r="R81" s="130"/>
      <c r="S81" s="130"/>
      <c r="T81" s="130"/>
      <c r="U81" s="316">
        <v>1</v>
      </c>
      <c r="V81" s="504">
        <f>SUM('3 pr-2'!L83)</f>
        <v>17000</v>
      </c>
      <c r="W81" s="504">
        <f>SUM('3 pr-2'!AA83)</f>
        <v>14450</v>
      </c>
    </row>
    <row r="82" spans="1:23" ht="77.25" thickBot="1">
      <c r="A82" s="130" t="str">
        <f>CONCATENATE('3 pr-2'!A84)</f>
        <v>1.1.2.2.5</v>
      </c>
      <c r="B82" s="130" t="str">
        <f>CONCATENATE('3 pr-2'!B84)</f>
        <v>R01-5514-190000-1225</v>
      </c>
      <c r="C82" s="311" t="str">
        <f>CONCATENATE('3 pr-2'!D84)</f>
        <v>Viešojo transporto organizavimo tobulinimas rekonstruojant Druskininkų miesto gatvių infrastruktūrą</v>
      </c>
      <c r="D82" s="311" t="str">
        <f>CONCATENATE('3 pr-2'!E84)</f>
        <v>Druskininkų savivaldybės administracija</v>
      </c>
      <c r="E82" s="311" t="str">
        <f>CONCATENATE('3 pr-2'!F84)</f>
        <v>Lietuvos Respublikos susisiekimo ministerija</v>
      </c>
      <c r="F82" s="311" t="str">
        <f>CONCATENATE('3 pr-2'!G84)</f>
        <v>Druskininkų sav.</v>
      </c>
      <c r="G82" s="130" t="str">
        <f>CONCATENATE('3 pr-2'!H84)</f>
        <v>04.5.1.-TID-R-514</v>
      </c>
      <c r="H82" s="130" t="str">
        <f>CONCATENATE('3 pr-2'!I84)</f>
        <v>R</v>
      </c>
      <c r="I82" s="130" t="str">
        <f>CONCATENATE('3 pr-2'!J84)</f>
        <v>-</v>
      </c>
      <c r="J82" s="130"/>
      <c r="K82" s="130" t="str">
        <f>MID('3 pr-2'!B84,10,2)</f>
        <v>19</v>
      </c>
      <c r="L82" s="130" t="str">
        <f>IFERROR(INDEX(Veiklos!$C$2:$C$54,MATCH(K82,Veiklos!$D$2:$D$54,0),1),"")</f>
        <v>Darnaus judumo priemonės miestuose (pėsčiųjų ir dviračių takų infrastruktūra, Park and Ride, Bike and Ride aikštelės, elektromobilių įkrovimo stotelių įrengimas ir kita)</v>
      </c>
      <c r="M82" s="130" t="str">
        <f>MID('3 pr-2'!B84,12,2)</f>
        <v>00</v>
      </c>
      <c r="N82" s="130">
        <f>IFERROR(INDEX(Veiklos!$C$2:$C$54,MATCH(M82,Veiklos!$D$2:$D$54,0),1),"")</f>
        <v>0</v>
      </c>
      <c r="O82" s="130" t="str">
        <f>MID('3 pr-2'!B84,14,2)</f>
        <v>00</v>
      </c>
      <c r="P82" s="130">
        <f>IFERROR(INDEX(Veiklos!$C$2:$C$54,MATCH(O82,Veiklos!$D$2:$D$54,0),1),"")</f>
        <v>0</v>
      </c>
      <c r="Q82" s="130"/>
      <c r="R82" s="130"/>
      <c r="S82" s="130"/>
      <c r="T82" s="130"/>
      <c r="U82" s="316">
        <v>1</v>
      </c>
      <c r="V82" s="504">
        <f>SUM('3 pr-2'!L84)</f>
        <v>290000</v>
      </c>
      <c r="W82" s="504">
        <f>SUM('3 pr-2'!AA84)</f>
        <v>246500</v>
      </c>
    </row>
    <row r="83" spans="1:23" ht="77.25" thickBot="1">
      <c r="A83" s="130" t="str">
        <f>CONCATENATE('3 pr-2'!A85)</f>
        <v>1.1.2.2.6</v>
      </c>
      <c r="B83" s="130" t="str">
        <f>CONCATENATE('3 pr-2'!B85)</f>
        <v>R01-5514-190000-1226</v>
      </c>
      <c r="C83" s="311" t="str">
        <f>CONCATENATE('3 pr-2'!D85)</f>
        <v>Vandens transporto infrastruktūros įrengimas skatinant kitų rūšių transportą</v>
      </c>
      <c r="D83" s="311" t="str">
        <f>CONCATENATE('3 pr-2'!E85)</f>
        <v>Druskininkų savivaldybės administracija</v>
      </c>
      <c r="E83" s="311" t="str">
        <f>CONCATENATE('3 pr-2'!F85)</f>
        <v>Lietuvos Respublikos susisiekimo ministerija</v>
      </c>
      <c r="F83" s="311" t="str">
        <f>CONCATENATE('3 pr-2'!G85)</f>
        <v>Druskininkų sav.</v>
      </c>
      <c r="G83" s="130" t="str">
        <f>CONCATENATE('3 pr-2'!H85)</f>
        <v>04.5.1.-TID-R-514</v>
      </c>
      <c r="H83" s="130" t="str">
        <f>CONCATENATE('3 pr-2'!I85)</f>
        <v>R</v>
      </c>
      <c r="I83" s="130" t="str">
        <f>CONCATENATE('3 pr-2'!J85)</f>
        <v>-</v>
      </c>
      <c r="J83" s="130"/>
      <c r="K83" s="130" t="str">
        <f>MID('3 pr-2'!B85,10,2)</f>
        <v>19</v>
      </c>
      <c r="L83" s="130" t="str">
        <f>IFERROR(INDEX(Veiklos!$C$2:$C$54,MATCH(K83,Veiklos!$D$2:$D$54,0),1),"")</f>
        <v>Darnaus judumo priemonės miestuose (pėsčiųjų ir dviračių takų infrastruktūra, Park and Ride, Bike and Ride aikštelės, elektromobilių įkrovimo stotelių įrengimas ir kita)</v>
      </c>
      <c r="M83" s="130" t="str">
        <f>MID('3 pr-2'!B85,12,2)</f>
        <v>00</v>
      </c>
      <c r="N83" s="130">
        <f>IFERROR(INDEX(Veiklos!$C$2:$C$54,MATCH(M83,Veiklos!$D$2:$D$54,0),1),"")</f>
        <v>0</v>
      </c>
      <c r="O83" s="130" t="str">
        <f>MID('3 pr-2'!B85,14,2)</f>
        <v>00</v>
      </c>
      <c r="P83" s="130">
        <f>IFERROR(INDEX(Veiklos!$C$2:$C$54,MATCH(O83,Veiklos!$D$2:$D$54,0),1),"")</f>
        <v>0</v>
      </c>
      <c r="Q83" s="130"/>
      <c r="R83" s="130"/>
      <c r="S83" s="130"/>
      <c r="T83" s="130"/>
      <c r="U83" s="316">
        <v>1</v>
      </c>
      <c r="V83" s="504">
        <f>SUM('3 pr-2'!L85)</f>
        <v>250000</v>
      </c>
      <c r="W83" s="504">
        <f>SUM('3 pr-2'!AA85)</f>
        <v>212500</v>
      </c>
    </row>
    <row r="84" spans="1:23" ht="39.75" customHeight="1" thickBot="1">
      <c r="A84" s="298" t="s">
        <v>92</v>
      </c>
      <c r="B84" s="625"/>
      <c r="C84" s="1931" t="s">
        <v>819</v>
      </c>
      <c r="D84" s="1929"/>
      <c r="E84" s="1929"/>
      <c r="F84" s="1929"/>
      <c r="G84" s="1929"/>
      <c r="H84" s="1929"/>
      <c r="I84" s="1929"/>
      <c r="J84" s="1930"/>
      <c r="K84" s="288"/>
      <c r="L84" s="289"/>
      <c r="M84" s="290"/>
      <c r="N84" s="289"/>
      <c r="O84" s="290"/>
      <c r="P84" s="289"/>
      <c r="Q84" s="290"/>
      <c r="R84" s="289"/>
      <c r="S84" s="290"/>
      <c r="T84" s="289"/>
      <c r="U84" s="520"/>
      <c r="V84" s="521">
        <f>SUM(V85:V89)</f>
        <v>500953.05</v>
      </c>
      <c r="W84" s="521">
        <f>SUM(W85:W89)</f>
        <v>415660.69</v>
      </c>
    </row>
    <row r="85" spans="1:23" ht="77.25" thickBot="1">
      <c r="A85" s="130" t="str">
        <f>CONCATENATE('3 pr-2'!A87)</f>
        <v>1.1.2.3.1</v>
      </c>
      <c r="B85" s="130" t="str">
        <f>CONCATENATE('3 pr-2'!B87)</f>
        <v>R01-5516-190000-1231</v>
      </c>
      <c r="C85" s="311" t="str">
        <f>CONCATENATE('3 pr-2'!D87)</f>
        <v>Dviračių ir pėsčiųjų takų įrengimas Varėnos miesto J. Basanavičiaus ir Žiedo gatvėse</v>
      </c>
      <c r="D85" s="311" t="str">
        <f>CONCATENATE('3 pr-2'!E87)</f>
        <v>Varėnos rajono savivaldybės administracija</v>
      </c>
      <c r="E85" s="311" t="str">
        <f>CONCATENATE('3 pr-2'!F87)</f>
        <v>Lietuvos Respublikos susisiekimo ministerija</v>
      </c>
      <c r="F85" s="311" t="str">
        <f>CONCATENATE('3 pr-2'!G87)</f>
        <v>Varėnos r. sav.</v>
      </c>
      <c r="G85" s="130" t="str">
        <f>CONCATENATE('3 pr-2'!H87)</f>
        <v>04.5.1-TID-R-516</v>
      </c>
      <c r="H85" s="130" t="str">
        <f>CONCATENATE('3 pr-2'!I87)</f>
        <v>R</v>
      </c>
      <c r="I85" s="130" t="str">
        <f>CONCATENATE('3 pr-2'!J87)</f>
        <v>ITI</v>
      </c>
      <c r="J85" s="130" t="str">
        <f>CONCATENATE('3 pr-2'!K87)</f>
        <v>-</v>
      </c>
      <c r="K85" s="130" t="str">
        <f>MID('3 pr-2'!B87,10,2)</f>
        <v>19</v>
      </c>
      <c r="L85" s="130" t="str">
        <f>IFERROR(INDEX(Veiklos!$C$2:$C$54,MATCH(K85,Veiklos!$D$2:$D$54,0),1),"")</f>
        <v>Darnaus judumo priemonės miestuose (pėsčiųjų ir dviračių takų infrastruktūra, Park and Ride, Bike and Ride aikštelės, elektromobilių įkrovimo stotelių įrengimas ir kita)</v>
      </c>
      <c r="M85" s="130" t="str">
        <f>MID('3 pr-2'!B87,12,2)</f>
        <v>00</v>
      </c>
      <c r="N85" s="130">
        <f>IFERROR(INDEX(Veiklos!$C$2:$C$54,MATCH(M85,Veiklos!$D$2:$D$54,0),1),"")</f>
        <v>0</v>
      </c>
      <c r="O85" s="130" t="str">
        <f>MID('3 pr-2'!B87,14,2)</f>
        <v>00</v>
      </c>
      <c r="P85" s="130">
        <f>IFERROR(INDEX(Veiklos!$C$2:$C$54,MATCH(O85,Veiklos!$D$2:$D$54,0),1),"")</f>
        <v>0</v>
      </c>
      <c r="Q85" s="130"/>
      <c r="R85" s="130"/>
      <c r="S85" s="130"/>
      <c r="T85" s="130"/>
      <c r="U85" s="316">
        <v>1</v>
      </c>
      <c r="V85" s="504">
        <f>SUM('3 pr-2'!L87)</f>
        <v>103306</v>
      </c>
      <c r="W85" s="504">
        <f>SUM('3 pr-2'!AA87)</f>
        <v>87810</v>
      </c>
    </row>
    <row r="86" spans="1:23" ht="77.25" thickBot="1">
      <c r="A86" s="314" t="str">
        <f>CONCATENATE('3 pr-2'!A88)</f>
        <v>1.1.2.3.2</v>
      </c>
      <c r="B86" s="130" t="str">
        <f>CONCATENATE('3 pr-2'!B88)</f>
        <v>R01-5516-190000-1232</v>
      </c>
      <c r="C86" s="522" t="str">
        <f>CONCATENATE('3 pr-2'!D88)</f>
        <v>Dviračių trasų infrastruktūros įrengimas nuo Putinų g. žiedo Pramonės gatvėje, Alytaus mieste</v>
      </c>
      <c r="D86" s="522" t="str">
        <f>CONCATENATE('3 pr-2'!E88)</f>
        <v>Alytaus miesto savivaldybės administracija</v>
      </c>
      <c r="E86" s="522" t="str">
        <f>CONCATENATE('3 pr-2'!F88)</f>
        <v>Lietuvos Respublikos susisiekimo ministerija</v>
      </c>
      <c r="F86" s="522" t="str">
        <f>CONCATENATE('3 pr-2'!G88)</f>
        <v>Alytaus m. sav.</v>
      </c>
      <c r="G86" s="314" t="str">
        <f>CONCATENATE('3 pr-2'!H88)</f>
        <v>04.5.1-TID-R-516</v>
      </c>
      <c r="H86" s="314" t="str">
        <f>CONCATENATE('3 pr-2'!I88)</f>
        <v>R</v>
      </c>
      <c r="I86" s="314" t="str">
        <f>CONCATENATE('3 pr-2'!J88)</f>
        <v>ITI</v>
      </c>
      <c r="J86" s="314" t="str">
        <f>CONCATENATE('3 pr-2'!K88)</f>
        <v>-</v>
      </c>
      <c r="K86" s="130" t="str">
        <f>MID('3 pr-2'!B88,10,2)</f>
        <v>19</v>
      </c>
      <c r="L86" s="130" t="str">
        <f>IFERROR(INDEX(Veiklos!$C$2:$C$54,MATCH(K86,Veiklos!$D$2:$D$54,0),1),"")</f>
        <v>Darnaus judumo priemonės miestuose (pėsčiųjų ir dviračių takų infrastruktūra, Park and Ride, Bike and Ride aikštelės, elektromobilių įkrovimo stotelių įrengimas ir kita)</v>
      </c>
      <c r="M86" s="130" t="str">
        <f>MID('3 pr-2'!B88,12,2)</f>
        <v>00</v>
      </c>
      <c r="N86" s="130">
        <f>IFERROR(INDEX(Veiklos!$C$2:$C$54,MATCH(M86,Veiklos!$D$2:$D$54,0),1),"")</f>
        <v>0</v>
      </c>
      <c r="O86" s="130" t="str">
        <f>MID('3 pr-2'!B88,14,2)</f>
        <v>00</v>
      </c>
      <c r="P86" s="130">
        <f>IFERROR(INDEX(Veiklos!$C$2:$C$54,MATCH(O86,Veiklos!$D$2:$D$54,0),1),"")</f>
        <v>0</v>
      </c>
      <c r="Q86" s="314"/>
      <c r="R86" s="314"/>
      <c r="S86" s="314"/>
      <c r="T86" s="314"/>
      <c r="U86" s="523">
        <v>1</v>
      </c>
      <c r="V86" s="524">
        <f>SUM('3 pr-2'!L88)</f>
        <v>133670.07</v>
      </c>
      <c r="W86" s="524">
        <f>SUM('3 pr-2'!AA88)</f>
        <v>113619.56</v>
      </c>
    </row>
    <row r="87" spans="1:23" s="21" customFormat="1" ht="77.25" thickBot="1">
      <c r="A87" s="315" t="str">
        <f>CONCATENATE('3 pr-2'!A89)</f>
        <v>1.1.2.3.3</v>
      </c>
      <c r="B87" s="130" t="str">
        <f>CONCATENATE('3 pr-2'!B89)</f>
        <v>R01-5516-190000-1233</v>
      </c>
      <c r="C87" s="522" t="str">
        <f>CONCATENATE('3 pr-2'!D89)</f>
        <v>Dviračių ir pėsčiųjų takų plėtra Lazdijų miesto Turistų gatvėje iki sodų bendrijos „Baltasis“ Lazdijų seniūnijoje</v>
      </c>
      <c r="D87" s="522" t="str">
        <f>CONCATENATE('3 pr-2'!E89)</f>
        <v>Lazdijų rajono savivaldybės administracija</v>
      </c>
      <c r="E87" s="522" t="str">
        <f>CONCATENATE('3 pr-2'!F89)</f>
        <v>Lietuvos Respublikos susisiekimo ministerija</v>
      </c>
      <c r="F87" s="522" t="str">
        <f>CONCATENATE('3 pr-2'!G89)</f>
        <v>Lazdijų r. sav.</v>
      </c>
      <c r="G87" s="314" t="str">
        <f>CONCATENATE('3 pr-2'!H89)</f>
        <v>04.5.1-TID-R-516</v>
      </c>
      <c r="H87" s="314" t="str">
        <f>CONCATENATE('3 pr-2'!I89)</f>
        <v>R</v>
      </c>
      <c r="I87" s="314" t="str">
        <f>CONCATENATE('3 pr-2'!J89)</f>
        <v>ITI</v>
      </c>
      <c r="J87" s="314" t="str">
        <f>CONCATENATE('3 pr-2'!K89)</f>
        <v>-</v>
      </c>
      <c r="K87" s="130" t="str">
        <f>MID('3 pr-2'!B89,10,2)</f>
        <v>19</v>
      </c>
      <c r="L87" s="130" t="str">
        <f>IFERROR(INDEX(Veiklos!$C$2:$C$54,MATCH(K87,Veiklos!$D$2:$D$54,0),1),"")</f>
        <v>Darnaus judumo priemonės miestuose (pėsčiųjų ir dviračių takų infrastruktūra, Park and Ride, Bike and Ride aikštelės, elektromobilių įkrovimo stotelių įrengimas ir kita)</v>
      </c>
      <c r="M87" s="130" t="str">
        <f>MID('3 pr-2'!B89,12,2)</f>
        <v>00</v>
      </c>
      <c r="N87" s="130">
        <f>IFERROR(INDEX(Veiklos!$C$2:$C$54,MATCH(M87,Veiklos!$D$2:$D$54,0),1),"")</f>
        <v>0</v>
      </c>
      <c r="O87" s="130" t="str">
        <f>MID('3 pr-2'!B89,14,2)</f>
        <v>00</v>
      </c>
      <c r="P87" s="130">
        <f>IFERROR(INDEX(Veiklos!$C$2:$C$54,MATCH(O87,Veiklos!$D$2:$D$54,0),1),"")</f>
        <v>0</v>
      </c>
      <c r="Q87" s="314"/>
      <c r="R87" s="314"/>
      <c r="S87" s="314"/>
      <c r="T87" s="314"/>
      <c r="U87" s="504">
        <v>1</v>
      </c>
      <c r="V87" s="504">
        <f>SUM('3 pr-2'!L89)</f>
        <v>93938.42</v>
      </c>
      <c r="W87" s="504">
        <f>SUM('3 pr-2'!AA89)</f>
        <v>73501</v>
      </c>
    </row>
    <row r="88" spans="1:23" s="21" customFormat="1" ht="77.25" thickBot="1">
      <c r="A88" s="312" t="str">
        <f>CONCATENATE('3 pr-2'!A90)</f>
        <v>1.1.2.3.4</v>
      </c>
      <c r="B88" s="130" t="str">
        <f>CONCATENATE('3 pr-2'!B90)</f>
        <v>R01-5516-190000-1234</v>
      </c>
      <c r="C88" s="311" t="str">
        <f>CONCATENATE('3 pr-2'!D90)</f>
        <v>Pėsčiųjų ir dviračių takų plėtra Simno seniūnijoje</v>
      </c>
      <c r="D88" s="311" t="str">
        <f>CONCATENATE('3 pr-2'!E90)</f>
        <v>Alytaus rajono savivaldybės administracija</v>
      </c>
      <c r="E88" s="311" t="str">
        <f>CONCATENATE('3 pr-2'!F90)</f>
        <v>Lietuvos Respublikos susisiekimo ministerija</v>
      </c>
      <c r="F88" s="311" t="str">
        <f>CONCATENATE('3 pr-2'!G90)</f>
        <v>Alytaus r. sav.</v>
      </c>
      <c r="G88" s="130" t="str">
        <f>CONCATENATE('3 pr-2'!H90)</f>
        <v>04.5.1-TID-R-516</v>
      </c>
      <c r="H88" s="130" t="str">
        <f>CONCATENATE('3 pr-2'!I90)</f>
        <v>R</v>
      </c>
      <c r="I88" s="130" t="str">
        <f>CONCATENATE('3 pr-2'!J90)</f>
        <v>-</v>
      </c>
      <c r="J88" s="130" t="str">
        <f>CONCATENATE('3 pr-2'!K90)</f>
        <v>-</v>
      </c>
      <c r="K88" s="130" t="str">
        <f>MID('3 pr-2'!B90,10,2)</f>
        <v>19</v>
      </c>
      <c r="L88" s="130" t="str">
        <f>IFERROR(INDEX(Veiklos!$C$2:$C$54,MATCH(K88,Veiklos!$D$2:$D$54,0),1),"")</f>
        <v>Darnaus judumo priemonės miestuose (pėsčiųjų ir dviračių takų infrastruktūra, Park and Ride, Bike and Ride aikštelės, elektromobilių įkrovimo stotelių įrengimas ir kita)</v>
      </c>
      <c r="M88" s="130" t="str">
        <f>MID('3 pr-2'!B90,12,2)</f>
        <v>00</v>
      </c>
      <c r="N88" s="130">
        <f>IFERROR(INDEX(Veiklos!$C$2:$C$54,MATCH(M88,Veiklos!$D$2:$D$54,0),1),"")</f>
        <v>0</v>
      </c>
      <c r="O88" s="130" t="str">
        <f>MID('3 pr-2'!B90,14,2)</f>
        <v>00</v>
      </c>
      <c r="P88" s="130">
        <f>IFERROR(INDEX(Veiklos!$C$2:$C$54,MATCH(O88,Veiklos!$D$2:$D$54,0),1),"")</f>
        <v>0</v>
      </c>
      <c r="Q88" s="130"/>
      <c r="R88" s="130"/>
      <c r="S88" s="130"/>
      <c r="T88" s="130"/>
      <c r="U88" s="525">
        <v>1</v>
      </c>
      <c r="V88" s="526">
        <f>SUM('3 pr-2'!L90)</f>
        <v>98949.56</v>
      </c>
      <c r="W88" s="526">
        <f>SUM('3 pr-2'!AA90)</f>
        <v>84107.13</v>
      </c>
    </row>
    <row r="89" spans="1:23" s="21" customFormat="1" ht="77.25" thickBot="1">
      <c r="A89" s="130" t="str">
        <f>CONCATENATE('3 pr-2'!A91)</f>
        <v>1.1.2.3.5</v>
      </c>
      <c r="B89" s="130" t="str">
        <f>CONCATENATE('3 pr-2'!B91)</f>
        <v>R01-5516-190000-1235</v>
      </c>
      <c r="C89" s="311" t="str">
        <f>CONCATENATE('3 pr-2'!D91)</f>
        <v>Dviračių ir pėsčiųjų tako, esančio šalia Ratnyčios upelio Druskininkų mieste, rekonstrukcija</v>
      </c>
      <c r="D89" s="311" t="str">
        <f>CONCATENATE('3 pr-2'!E91)</f>
        <v xml:space="preserve">Druskininkų savivaldybės administracija  </v>
      </c>
      <c r="E89" s="311" t="str">
        <f>CONCATENATE('3 pr-2'!F91)</f>
        <v>Lietuvos Respublikos susisiekimo ministerija</v>
      </c>
      <c r="F89" s="311" t="str">
        <f>CONCATENATE('3 pr-2'!G91)</f>
        <v>Druskininkų sav.</v>
      </c>
      <c r="G89" s="130" t="str">
        <f>CONCATENATE('3 pr-2'!H91)</f>
        <v>04.5.1-TID-R-516</v>
      </c>
      <c r="H89" s="130" t="str">
        <f>CONCATENATE('3 pr-2'!I91)</f>
        <v>R</v>
      </c>
      <c r="I89" s="130" t="str">
        <f>CONCATENATE('3 pr-2'!J91)</f>
        <v>-</v>
      </c>
      <c r="J89" s="130" t="str">
        <f>CONCATENATE('3 pr-2'!K91)</f>
        <v>-</v>
      </c>
      <c r="K89" s="130" t="str">
        <f>MID('3 pr-2'!B91,10,2)</f>
        <v>19</v>
      </c>
      <c r="L89" s="130" t="str">
        <f>IFERROR(INDEX(Veiklos!$C$2:$C$54,MATCH(K89,Veiklos!$D$2:$D$54,0),1),"")</f>
        <v>Darnaus judumo priemonės miestuose (pėsčiųjų ir dviračių takų infrastruktūra, Park and Ride, Bike and Ride aikštelės, elektromobilių įkrovimo stotelių įrengimas ir kita)</v>
      </c>
      <c r="M89" s="130" t="str">
        <f>MID('3 pr-2'!B91,12,2)</f>
        <v>00</v>
      </c>
      <c r="N89" s="130">
        <f>IFERROR(INDEX(Veiklos!$C$2:$C$54,MATCH(M89,Veiklos!$D$2:$D$54,0),1),"")</f>
        <v>0</v>
      </c>
      <c r="O89" s="130" t="str">
        <f>MID('3 pr-2'!B91,14,2)</f>
        <v>00</v>
      </c>
      <c r="P89" s="130">
        <f>IFERROR(INDEX(Veiklos!$C$2:$C$54,MATCH(O89,Veiklos!$D$2:$D$54,0),1),"")</f>
        <v>0</v>
      </c>
      <c r="Q89" s="130"/>
      <c r="R89" s="130"/>
      <c r="S89" s="130"/>
      <c r="T89" s="130"/>
      <c r="U89" s="316">
        <v>1</v>
      </c>
      <c r="V89" s="504">
        <f>SUM('3 pr-2'!L91)</f>
        <v>71089</v>
      </c>
      <c r="W89" s="504">
        <f>SUM('3 pr-2'!AA91)</f>
        <v>56623</v>
      </c>
    </row>
    <row r="90" spans="1:23" ht="37.5" customHeight="1" thickBot="1">
      <c r="A90" s="527" t="s">
        <v>94</v>
      </c>
      <c r="B90" s="130" t="str">
        <f>CONCATENATE('3 pr-2'!B92)</f>
        <v>Priemonė:
Vietinių kelių techninių parametrų ir eismo saugos gerinimas</v>
      </c>
      <c r="C90" s="1936" t="s">
        <v>616</v>
      </c>
      <c r="D90" s="1942"/>
      <c r="E90" s="1942"/>
      <c r="F90" s="1942"/>
      <c r="G90" s="1942"/>
      <c r="H90" s="1942"/>
      <c r="I90" s="1942"/>
      <c r="J90" s="1942"/>
      <c r="K90" s="291"/>
      <c r="L90" s="292"/>
      <c r="M90" s="293"/>
      <c r="N90" s="294"/>
      <c r="O90" s="293"/>
      <c r="P90" s="294"/>
      <c r="Q90" s="293"/>
      <c r="R90" s="294"/>
      <c r="S90" s="293"/>
      <c r="T90" s="294"/>
      <c r="U90" s="528"/>
      <c r="V90" s="529">
        <f>SUM(V91:V96)</f>
        <v>4180526.84</v>
      </c>
      <c r="W90" s="530">
        <f>SUM(W91:W96)</f>
        <v>2922543.7800000003</v>
      </c>
    </row>
    <row r="91" spans="1:23" ht="39" thickBot="1">
      <c r="A91" s="130" t="str">
        <f>CONCATENATE('3 pr-2'!A93)</f>
        <v>1.1.2.4.1</v>
      </c>
      <c r="B91" s="130" t="str">
        <f>CONCATENATE('3 pr-2'!B93)</f>
        <v>R01-5511-120000-1241</v>
      </c>
      <c r="C91" s="311" t="str">
        <f>CONCATENATE('3 pr-2'!D93)</f>
        <v>Varėnos miesto J. Basanavičiaus, Savanorių, M. K. Čiurlionio gatvių rekonstrukcija</v>
      </c>
      <c r="D91" s="311" t="str">
        <f>CONCATENATE('3 pr-2'!E93)</f>
        <v>Varėnos rajono savivaldybės administracija</v>
      </c>
      <c r="E91" s="311" t="str">
        <f>CONCATENATE('3 pr-2'!F93)</f>
        <v>Lietuvos Respublikos susisiekimo ministerija</v>
      </c>
      <c r="F91" s="311" t="str">
        <f>CONCATENATE('3 pr-2'!G93)</f>
        <v>Varėnos r. sav.</v>
      </c>
      <c r="G91" s="130" t="str">
        <f>CONCATENATE('3 pr-2'!H93)</f>
        <v>06.2.1-TID-R-511</v>
      </c>
      <c r="H91" s="130" t="str">
        <f>CONCATENATE('3 pr-2'!I93)</f>
        <v>R</v>
      </c>
      <c r="I91" s="130" t="str">
        <f>CONCATENATE('3 pr-2'!J93)</f>
        <v>ITI</v>
      </c>
      <c r="J91" s="130" t="str">
        <f>CONCATENATE('3 pr-2'!K93)</f>
        <v>-</v>
      </c>
      <c r="K91" s="130" t="str">
        <f>MID('3 pr-2'!B93,10,2)</f>
        <v>12</v>
      </c>
      <c r="L91" s="130" t="str">
        <f>IFERROR(INDEX(Veiklos!$C$2:$C$54,MATCH(K91,Veiklos!$D$2:$D$54,0),1),"")</f>
        <v>Vietinės reikšmės keliai ir gatvės (rekonstrukcija)</v>
      </c>
      <c r="M91" s="130" t="str">
        <f>MID('3 pr-2'!B93,12,2)</f>
        <v>00</v>
      </c>
      <c r="N91" s="130">
        <f>IFERROR(INDEX(Veiklos!$C$2:$C$54,MATCH(M91,Veiklos!$D$2:$D$54,0),1),"")</f>
        <v>0</v>
      </c>
      <c r="O91" s="130" t="str">
        <f>MID('3 pr-2'!B93,14,2)</f>
        <v>00</v>
      </c>
      <c r="P91" s="130">
        <f>IFERROR(INDEX(Veiklos!$C$2:$C$54,MATCH(O91,Veiklos!$D$2:$D$54,0),1),"")</f>
        <v>0</v>
      </c>
      <c r="Q91" s="130"/>
      <c r="R91" s="130"/>
      <c r="S91" s="130"/>
      <c r="T91" s="130"/>
      <c r="U91" s="316">
        <v>1</v>
      </c>
      <c r="V91" s="504">
        <f>SUM('3 pr-2'!L93)</f>
        <v>835464</v>
      </c>
      <c r="W91" s="504">
        <f>SUM('3 pr-2'!AA93)</f>
        <v>710144</v>
      </c>
    </row>
    <row r="92" spans="1:23" ht="39" thickBot="1">
      <c r="A92" s="130" t="str">
        <f>CONCATENATE('3 pr-2'!A94)</f>
        <v>1.1.2.4.2</v>
      </c>
      <c r="B92" s="130" t="str">
        <f>CONCATENATE('3 pr-2'!B94)</f>
        <v>R01-5511-110000-1242</v>
      </c>
      <c r="C92" s="311" t="str">
        <f>CONCATENATE('3 pr-2'!D94)</f>
        <v>Perspektyvinės gatvės nuo Pramonės g. iki Naujosios g. Alytuje įrengimas</v>
      </c>
      <c r="D92" s="311" t="str">
        <f>CONCATENATE('3 pr-2'!E94)</f>
        <v>Alytaus miesto savivaldybės administracija</v>
      </c>
      <c r="E92" s="311" t="str">
        <f>CONCATENATE('3 pr-2'!F94)</f>
        <v>Lietuvos Respublikos susisiekimo ministerija</v>
      </c>
      <c r="F92" s="311" t="str">
        <f>CONCATENATE('3 pr-2'!G94)</f>
        <v>Alytaus m. sav.</v>
      </c>
      <c r="G92" s="130" t="str">
        <f>CONCATENATE('3 pr-2'!H94)</f>
        <v>06.2.1-TID-R-511</v>
      </c>
      <c r="H92" s="130" t="str">
        <f>CONCATENATE('3 pr-2'!I94)</f>
        <v>R</v>
      </c>
      <c r="I92" s="130" t="str">
        <f>CONCATENATE('3 pr-2'!J94)</f>
        <v>ITI</v>
      </c>
      <c r="J92" s="130" t="str">
        <f>CONCATENATE('3 pr-2'!K94)</f>
        <v>-</v>
      </c>
      <c r="K92" s="130" t="str">
        <f>MID('3 pr-2'!B94,10,2)</f>
        <v>11</v>
      </c>
      <c r="L92" s="130" t="str">
        <f>IFERROR(INDEX(Veiklos!$C$2:$C$54,MATCH(K92,Veiklos!$D$2:$D$54,0),1),"")</f>
        <v>Vietinės reikšmės keliai ir gatvės (statyba)</v>
      </c>
      <c r="M92" s="130" t="str">
        <f>MID('3 pr-2'!B94,12,2)</f>
        <v>00</v>
      </c>
      <c r="N92" s="130">
        <f>IFERROR(INDEX(Veiklos!$C$2:$C$54,MATCH(M92,Veiklos!$D$2:$D$54,0),1),"")</f>
        <v>0</v>
      </c>
      <c r="O92" s="130" t="str">
        <f>MID('3 pr-2'!B94,14,2)</f>
        <v>00</v>
      </c>
      <c r="P92" s="130">
        <f>IFERROR(INDEX(Veiklos!$C$2:$C$54,MATCH(O92,Veiklos!$D$2:$D$54,0),1),"")</f>
        <v>0</v>
      </c>
      <c r="Q92" s="130"/>
      <c r="R92" s="130"/>
      <c r="S92" s="130"/>
      <c r="T92" s="130"/>
      <c r="U92" s="316">
        <v>1</v>
      </c>
      <c r="V92" s="504">
        <f>SUM('3 pr-2'!L94)</f>
        <v>879927.06</v>
      </c>
      <c r="W92" s="504">
        <f>SUM('3 pr-2'!AA94)</f>
        <v>747938</v>
      </c>
    </row>
    <row r="93" spans="1:23" ht="39" thickBot="1">
      <c r="A93" s="130" t="str">
        <f>CONCATENATE('3 pr-2'!A95)</f>
        <v>1.1.2.4.3.</v>
      </c>
      <c r="B93" s="130" t="str">
        <f>CONCATENATE('3 pr-2'!B95)</f>
        <v>R01-5511-500000-1243</v>
      </c>
      <c r="C93" s="311" t="str">
        <f>CONCATENATE('3 pr-2'!D95)</f>
        <v>Saugaus eismo priemonių diegimas Alytaus mieste</v>
      </c>
      <c r="D93" s="311" t="str">
        <f>CONCATENATE('3 pr-2'!E95)</f>
        <v>Alytaus miesto savivaldybės administracija</v>
      </c>
      <c r="E93" s="311" t="str">
        <f>CONCATENATE('3 pr-2'!F95)</f>
        <v>Lietuvos Respublikos susisiekimo ministerija</v>
      </c>
      <c r="F93" s="311" t="str">
        <f>CONCATENATE('3 pr-2'!G95)</f>
        <v>Alytaus m. sav.</v>
      </c>
      <c r="G93" s="130" t="str">
        <f>CONCATENATE('3 pr-2'!H95)</f>
        <v>06.2.1-TID-R-511</v>
      </c>
      <c r="H93" s="130" t="str">
        <f>CONCATENATE('3 pr-2'!I95)</f>
        <v>R</v>
      </c>
      <c r="I93" s="130" t="str">
        <f>CONCATENATE('3 pr-2'!J95)</f>
        <v>-</v>
      </c>
      <c r="J93" s="130" t="str">
        <f>CONCATENATE('3 pr-2'!K95)</f>
        <v>-</v>
      </c>
      <c r="K93" s="130" t="str">
        <f>MID('3 pr-2'!B95,10,2)</f>
        <v>50</v>
      </c>
      <c r="L93" s="130" t="str">
        <f>IFERROR(INDEX(Veiklos!$C$2:$C$54,MATCH(K93,Veiklos!$D$2:$D$54,0),1),"")</f>
        <v>Kita (nepriskirta kitoms grupėms) viešoji infrastruktūra ar paslaugos</v>
      </c>
      <c r="M93" s="130" t="str">
        <f>MID('3 pr-2'!B95,12,2)</f>
        <v>00</v>
      </c>
      <c r="N93" s="130">
        <f>IFERROR(INDEX(Veiklos!$C$2:$C$54,MATCH(M93,Veiklos!$D$2:$D$54,0),1),"")</f>
        <v>0</v>
      </c>
      <c r="O93" s="130" t="str">
        <f>MID('3 pr-2'!B95,14,2)</f>
        <v>00</v>
      </c>
      <c r="P93" s="130">
        <f>IFERROR(INDEX(Veiklos!$C$2:$C$54,MATCH(O93,Veiklos!$D$2:$D$54,0),1),"")</f>
        <v>0</v>
      </c>
      <c r="Q93" s="130"/>
      <c r="R93" s="130"/>
      <c r="S93" s="130"/>
      <c r="T93" s="130"/>
      <c r="U93" s="316">
        <v>1</v>
      </c>
      <c r="V93" s="504">
        <f>SUM('3 pr-2'!L95)</f>
        <v>274146.8</v>
      </c>
      <c r="W93" s="504">
        <f>SUM('3 pr-2'!AA95)</f>
        <v>233024.78</v>
      </c>
    </row>
    <row r="94" spans="1:23" ht="39" thickBot="1">
      <c r="A94" s="130" t="str">
        <f>CONCATENATE('3 pr-2'!A96)</f>
        <v>1.1.2.4.4</v>
      </c>
      <c r="B94" s="130" t="str">
        <f>CONCATENATE('3 pr-2'!B96)</f>
        <v>R01-5511-500000-1244</v>
      </c>
      <c r="C94" s="311" t="str">
        <f>CONCATENATE('3 pr-2'!D96)</f>
        <v>Eismo saugos priemonių diegimas Alytaus rajono savivaldybėje</v>
      </c>
      <c r="D94" s="311" t="str">
        <f>CONCATENATE('3 pr-2'!E96)</f>
        <v>Alytaus rajono savivaldybės administracija</v>
      </c>
      <c r="E94" s="311" t="str">
        <f>CONCATENATE('3 pr-2'!F96)</f>
        <v>Lietuvos Respublikos susisiekimo ministerija</v>
      </c>
      <c r="F94" s="311" t="str">
        <f>CONCATENATE('3 pr-2'!G96)</f>
        <v>Alytaus r. sav.</v>
      </c>
      <c r="G94" s="130" t="str">
        <f>CONCATENATE('3 pr-2'!H96)</f>
        <v>06.2.1-TID-R-511</v>
      </c>
      <c r="H94" s="130" t="str">
        <f>CONCATENATE('3 pr-2'!I96)</f>
        <v>R</v>
      </c>
      <c r="I94" s="130" t="str">
        <f>CONCATENATE('3 pr-2'!J96)</f>
        <v>-</v>
      </c>
      <c r="J94" s="130" t="str">
        <f>CONCATENATE('3 pr-2'!K96)</f>
        <v>-</v>
      </c>
      <c r="K94" s="130" t="str">
        <f>MID('3 pr-2'!B96,10,2)</f>
        <v>50</v>
      </c>
      <c r="L94" s="130" t="str">
        <f>IFERROR(INDEX(Veiklos!$C$2:$C$54,MATCH(K94,Veiklos!$D$2:$D$54,0),1),"")</f>
        <v>Kita (nepriskirta kitoms grupėms) viešoji infrastruktūra ar paslaugos</v>
      </c>
      <c r="M94" s="130" t="str">
        <f>MID('3 pr-2'!B96,12,2)</f>
        <v>00</v>
      </c>
      <c r="N94" s="130">
        <f>IFERROR(INDEX(Veiklos!$C$2:$C$54,MATCH(M94,Veiklos!$D$2:$D$54,0),1),"")</f>
        <v>0</v>
      </c>
      <c r="O94" s="130" t="str">
        <f>MID('3 pr-2'!B96,14,2)</f>
        <v>00</v>
      </c>
      <c r="P94" s="130">
        <f>IFERROR(INDEX(Veiklos!$C$2:$C$54,MATCH(O94,Veiklos!$D$2:$D$54,0),1),"")</f>
        <v>0</v>
      </c>
      <c r="Q94" s="130"/>
      <c r="R94" s="130"/>
      <c r="S94" s="130"/>
      <c r="T94" s="130"/>
      <c r="U94" s="316">
        <v>1</v>
      </c>
      <c r="V94" s="504">
        <f>SUM('3 pr-2'!L96)</f>
        <v>274817.98</v>
      </c>
      <c r="W94" s="504">
        <f>SUM('3 pr-2'!AA96)</f>
        <v>200844</v>
      </c>
    </row>
    <row r="95" spans="1:23" ht="39" thickBot="1">
      <c r="A95" s="130" t="str">
        <f>CONCATENATE('3 pr-2'!A97)</f>
        <v>1.1.2.4.5</v>
      </c>
      <c r="B95" s="130" t="str">
        <f>CONCATENATE('3 pr-2'!B97)</f>
        <v>R01-5511-120900-1245</v>
      </c>
      <c r="C95" s="311" t="str">
        <f>CONCATENATE('3 pr-2'!D97)</f>
        <v>M.K. Čiurlionio gatvės atkarpos Druskininkų m. rekonstrukcija</v>
      </c>
      <c r="D95" s="311" t="str">
        <f>CONCATENATE('3 pr-2'!E97)</f>
        <v xml:space="preserve">Druskininkų savivaldybės administracija  </v>
      </c>
      <c r="E95" s="311" t="str">
        <f>CONCATENATE('3 pr-2'!F97)</f>
        <v>Lietuvos Respublikos susisiekimo ministerija</v>
      </c>
      <c r="F95" s="311" t="str">
        <f>CONCATENATE('3 pr-2'!G97)</f>
        <v>Druskininkų sav.</v>
      </c>
      <c r="G95" s="130" t="str">
        <f>CONCATENATE('3 pr-2'!H97)</f>
        <v>06.2.1-TID-R-511</v>
      </c>
      <c r="H95" s="130" t="str">
        <f>CONCATENATE('3 pr-2'!I97)</f>
        <v>R</v>
      </c>
      <c r="I95" s="130" t="str">
        <f>CONCATENATE('3 pr-2'!J97)</f>
        <v>ITI</v>
      </c>
      <c r="J95" s="130" t="str">
        <f>CONCATENATE('3 pr-2'!K97)</f>
        <v>-</v>
      </c>
      <c r="K95" s="130" t="str">
        <f>MID('3 pr-2'!B97,10,2)</f>
        <v>12</v>
      </c>
      <c r="L95" s="130" t="str">
        <f>IFERROR(INDEX(Veiklos!$C$2:$C$54,MATCH(K95,Veiklos!$D$2:$D$54,0),1),"")</f>
        <v>Vietinės reikšmės keliai ir gatvės (rekonstrukcija)</v>
      </c>
      <c r="M95" s="130" t="str">
        <f>MID('3 pr-2'!B97,12,2)</f>
        <v>09</v>
      </c>
      <c r="N95" s="130" t="str">
        <f>IFERROR(INDEX(Veiklos!$C$2:$C$54,MATCH(M95,Veiklos!$D$2:$D$54,0),1),"")</f>
        <v>Viešojo transporto infrastruktūra</v>
      </c>
      <c r="O95" s="130" t="str">
        <f>MID('3 pr-2'!B97,14,2)</f>
        <v>00</v>
      </c>
      <c r="P95" s="130">
        <f>IFERROR(INDEX(Veiklos!$C$2:$C$54,MATCH(O95,Veiklos!$D$2:$D$54,0),1),"")</f>
        <v>0</v>
      </c>
      <c r="Q95" s="130"/>
      <c r="R95" s="130"/>
      <c r="S95" s="130"/>
      <c r="T95" s="130"/>
      <c r="U95" s="316">
        <v>1</v>
      </c>
      <c r="V95" s="504">
        <f>SUM('3 pr-2'!L97)</f>
        <v>1156237</v>
      </c>
      <c r="W95" s="504">
        <f>SUM('3 pr-2'!AA97)</f>
        <v>384649</v>
      </c>
    </row>
    <row r="96" spans="1:23" ht="51.75" thickBot="1">
      <c r="A96" s="130" t="str">
        <f>CONCATENATE('3 pr-2'!A98)</f>
        <v>1.1.2.4.6</v>
      </c>
      <c r="B96" s="130" t="str">
        <f>CONCATENATE('3 pr-2'!B98)</f>
        <v>R01-5511-120000-1246</v>
      </c>
      <c r="C96" s="311" t="str">
        <f>CONCATENATE('3 pr-2'!D98)</f>
        <v>Lazdijų miesto Seinų ir Lazdijos gatvių bei vietinės reikšmės kelio nuo Janonio gatvės iki Lazdijų hipodromo rekonstravimas</v>
      </c>
      <c r="D96" s="311" t="str">
        <f>CONCATENATE('3 pr-2'!E98)</f>
        <v>Lazdijų rajono savivaldybės administracija</v>
      </c>
      <c r="E96" s="311" t="str">
        <f>CONCATENATE('3 pr-2'!F98)</f>
        <v>Lietuvos Respublikos susisiekimo ministerija</v>
      </c>
      <c r="F96" s="311" t="str">
        <f>CONCATENATE('3 pr-2'!G98)</f>
        <v>Lazdijų r. sav.</v>
      </c>
      <c r="G96" s="130" t="str">
        <f>CONCATENATE('3 pr-2'!H98)</f>
        <v>06.2.1-TID-R-511</v>
      </c>
      <c r="H96" s="130" t="str">
        <f>CONCATENATE('3 pr-2'!I98)</f>
        <v>R</v>
      </c>
      <c r="I96" s="130" t="str">
        <f>CONCATENATE('3 pr-2'!J98)</f>
        <v>ITI</v>
      </c>
      <c r="J96" s="130" t="str">
        <f>CONCATENATE('3 pr-2'!K98)</f>
        <v>-</v>
      </c>
      <c r="K96" s="130" t="str">
        <f>MID('3 pr-2'!B98,10,2)</f>
        <v>12</v>
      </c>
      <c r="L96" s="130" t="str">
        <f>IFERROR(INDEX(Veiklos!$C$2:$C$54,MATCH(K96,Veiklos!$D$2:$D$54,0),1),"")</f>
        <v>Vietinės reikšmės keliai ir gatvės (rekonstrukcija)</v>
      </c>
      <c r="M96" s="130" t="str">
        <f>MID('3 pr-2'!B98,12,2)</f>
        <v>00</v>
      </c>
      <c r="N96" s="130">
        <f>IFERROR(INDEX(Veiklos!$C$2:$C$54,MATCH(M96,Veiklos!$D$2:$D$54,0),1),"")</f>
        <v>0</v>
      </c>
      <c r="O96" s="130" t="str">
        <f>MID('3 pr-2'!B98,14,2)</f>
        <v>00</v>
      </c>
      <c r="P96" s="130">
        <f>IFERROR(INDEX(Veiklos!$C$2:$C$54,MATCH(O96,Veiklos!$D$2:$D$54,0),1),"")</f>
        <v>0</v>
      </c>
      <c r="Q96" s="130"/>
      <c r="R96" s="130"/>
      <c r="S96" s="130"/>
      <c r="T96" s="130"/>
      <c r="U96" s="316">
        <v>1</v>
      </c>
      <c r="V96" s="504">
        <f>SUM('3 pr-2'!L98)</f>
        <v>759934</v>
      </c>
      <c r="W96" s="504">
        <f>SUM('3 pr-2'!AA98)</f>
        <v>645944</v>
      </c>
    </row>
    <row r="97" spans="1:23" ht="39" thickBot="1">
      <c r="A97" s="130" t="str">
        <f>CONCATENATE('3 pr-2'!A99)</f>
        <v>1.1.2.4.7</v>
      </c>
      <c r="B97" s="130" t="str">
        <f>CONCATENATE('3 pr-2'!B99)</f>
        <v>R01-5511-120000-1247</v>
      </c>
      <c r="C97" s="311" t="str">
        <f>CONCATENATE('3 pr-2'!D99)</f>
        <v>Eismo saugumo priemonių diegimas Druskininkų savivaldybėje</v>
      </c>
      <c r="D97" s="311" t="str">
        <f>CONCATENATE('3 pr-2'!E99)</f>
        <v xml:space="preserve">Druskininkų savivaldybės administracija  </v>
      </c>
      <c r="E97" s="311" t="str">
        <f>CONCATENATE('3 pr-2'!F99)</f>
        <v>Lietuvos Respublikos susisiekimo ministerija</v>
      </c>
      <c r="F97" s="311" t="str">
        <f>CONCATENATE('3 pr-2'!G99)</f>
        <v>Druskininkų sav.</v>
      </c>
      <c r="G97" s="130" t="str">
        <f>CONCATENATE('3 pr-2'!H99)</f>
        <v>06.2.1-TID-R-511</v>
      </c>
      <c r="H97" s="130" t="str">
        <f>CONCATENATE('3 pr-2'!I99)</f>
        <v>R</v>
      </c>
      <c r="I97" s="130" t="str">
        <f>CONCATENATE('3 pr-2'!J99)</f>
        <v>-</v>
      </c>
      <c r="J97" s="130" t="str">
        <f>CONCATENATE('3 pr-2'!K99)</f>
        <v>-</v>
      </c>
      <c r="K97" s="130" t="str">
        <f>MID('3 pr-2'!B99,10,2)</f>
        <v>12</v>
      </c>
      <c r="L97" s="130" t="str">
        <f>IFERROR(INDEX(Veiklos!$C$2:$C$54,MATCH(K97,Veiklos!$D$2:$D$54,0),1),"")</f>
        <v>Vietinės reikšmės keliai ir gatvės (rekonstrukcija)</v>
      </c>
      <c r="M97" s="130" t="str">
        <f>MID('3 pr-2'!B99,12,2)</f>
        <v>00</v>
      </c>
      <c r="N97" s="130">
        <f>IFERROR(INDEX(Veiklos!$C$2:$C$54,MATCH(M97,Veiklos!$D$2:$D$54,0),1),"")</f>
        <v>0</v>
      </c>
      <c r="O97" s="130" t="str">
        <f>MID('3 pr-2'!B99,14,2)</f>
        <v>00</v>
      </c>
      <c r="P97" s="130">
        <f>IFERROR(INDEX(Veiklos!$C$2:$C$54,MATCH(O97,Veiklos!$D$2:$D$54,0),1),"")</f>
        <v>0</v>
      </c>
      <c r="Q97" s="130"/>
      <c r="R97" s="331"/>
      <c r="S97" s="130"/>
      <c r="T97" s="331"/>
      <c r="U97" s="316">
        <v>1</v>
      </c>
      <c r="V97" s="504">
        <f>SUM('3 pr-2'!L99)</f>
        <v>135352</v>
      </c>
      <c r="W97" s="504">
        <f>SUM('3 pr-2'!AA99)</f>
        <v>112989</v>
      </c>
    </row>
    <row r="98" spans="1:23" ht="49.5" customHeight="1" thickBot="1">
      <c r="A98" s="141" t="s">
        <v>27</v>
      </c>
      <c r="B98" s="629"/>
      <c r="C98" s="1943" t="str">
        <f>CONCATENATE('3 pr-2'!D100)</f>
        <v/>
      </c>
      <c r="D98" s="1944"/>
      <c r="E98" s="1944"/>
      <c r="F98" s="1944"/>
      <c r="G98" s="1944"/>
      <c r="H98" s="1944"/>
      <c r="I98" s="1944"/>
      <c r="J98" s="1945"/>
      <c r="K98" s="490"/>
      <c r="L98" s="531"/>
      <c r="M98" s="493"/>
      <c r="N98" s="531"/>
      <c r="O98" s="493"/>
      <c r="P98" s="531"/>
      <c r="Q98" s="493"/>
      <c r="R98" s="531"/>
      <c r="S98" s="493"/>
      <c r="T98" s="493"/>
      <c r="U98" s="531"/>
      <c r="V98" s="532"/>
      <c r="W98" s="532"/>
    </row>
    <row r="99" spans="1:23" ht="61.5" customHeight="1" thickBot="1">
      <c r="A99" s="134" t="s">
        <v>28</v>
      </c>
      <c r="B99" s="628"/>
      <c r="C99" s="1933" t="s">
        <v>618</v>
      </c>
      <c r="D99" s="1946"/>
      <c r="E99" s="1946"/>
      <c r="F99" s="1946"/>
      <c r="G99" s="1946"/>
      <c r="H99" s="1946"/>
      <c r="I99" s="1946"/>
      <c r="J99" s="1947"/>
      <c r="K99" s="494"/>
      <c r="L99" s="533"/>
      <c r="M99" s="497"/>
      <c r="N99" s="533"/>
      <c r="O99" s="497"/>
      <c r="P99" s="533"/>
      <c r="Q99" s="534"/>
      <c r="R99" s="533"/>
      <c r="S99" s="534"/>
      <c r="T99" s="497"/>
      <c r="U99" s="533"/>
      <c r="V99" s="535"/>
      <c r="W99" s="536"/>
    </row>
    <row r="100" spans="1:23" ht="41.25" customHeight="1" thickBot="1">
      <c r="A100" s="298" t="s">
        <v>96</v>
      </c>
      <c r="B100" s="625"/>
      <c r="C100" s="1931" t="s">
        <v>818</v>
      </c>
      <c r="D100" s="1929"/>
      <c r="E100" s="1929"/>
      <c r="F100" s="1929"/>
      <c r="G100" s="1929"/>
      <c r="H100" s="1929"/>
      <c r="I100" s="1929"/>
      <c r="J100" s="1929"/>
      <c r="K100" s="291"/>
      <c r="L100" s="292"/>
      <c r="M100" s="293"/>
      <c r="N100" s="294"/>
      <c r="O100" s="293"/>
      <c r="P100" s="294"/>
      <c r="Q100" s="293"/>
      <c r="R100" s="294"/>
      <c r="S100" s="293"/>
      <c r="T100" s="294"/>
      <c r="U100" s="528"/>
      <c r="V100" s="529">
        <f>SUM(V101:V105)</f>
        <v>1343975.4100000001</v>
      </c>
      <c r="W100" s="530">
        <f>SUM(W101:W105)</f>
        <v>1142377</v>
      </c>
    </row>
    <row r="101" spans="1:23" ht="64.5" thickBot="1">
      <c r="A101" s="130" t="str">
        <f>CONCATENATE('3 pr-2'!A103)</f>
        <v>2.1.1.1.1</v>
      </c>
      <c r="B101" s="130" t="str">
        <f>CONCATENATE('3 pr-2'!B103)</f>
        <v>R01-7724-220000-2111</v>
      </c>
      <c r="C101" s="311" t="str">
        <f>CONCATENATE('3 pr-2'!D103)</f>
        <v>Varėnos r. Merkinės Vinco Krėvės gimnazijos laisvų patalpų pritaikymas ikimokyklinio ir priešmokyklinio ugdymo grupėms įrengti</v>
      </c>
      <c r="D101" s="311" t="str">
        <f>CONCATENATE('3 pr-2'!E103)</f>
        <v>Varėnos rajono savivaldybės administracija</v>
      </c>
      <c r="E101" s="311" t="str">
        <f>CONCATENATE('3 pr-2'!F103)</f>
        <v>Lietuvos Respublikos švietimo ir mokslo ministerija</v>
      </c>
      <c r="F101" s="311" t="str">
        <f>CONCATENATE('3 pr-2'!G103)</f>
        <v>Varėnos r. sav.</v>
      </c>
      <c r="G101" s="130" t="str">
        <f>CONCATENATE('3 pr-2'!H103)</f>
        <v>09.1.3-CPVA-R-724</v>
      </c>
      <c r="H101" s="130" t="str">
        <f>CONCATENATE('3 pr-2'!I103)</f>
        <v>R</v>
      </c>
      <c r="I101" s="130" t="str">
        <f>CONCATENATE('3 pr-2'!J103)</f>
        <v>-</v>
      </c>
      <c r="J101" s="130" t="str">
        <f>CONCATENATE('3 pr-2'!K103)</f>
        <v>-</v>
      </c>
      <c r="K101" s="130" t="str">
        <f>MID('3 pr-2'!B103,10,2)</f>
        <v>22</v>
      </c>
      <c r="L101" s="130" t="str">
        <f>IFERROR(INDEX(Veiklos!$C$2:$C$54,MATCH(K101,Veiklos!$D$2:$D$54,0),1),"")</f>
        <v>Bendrojo lavinimo mokyklų modernizavimas</v>
      </c>
      <c r="M101" s="130" t="str">
        <f>MID('3 pr-2'!B103,12,2)</f>
        <v>00</v>
      </c>
      <c r="N101" s="130">
        <f>IFERROR(INDEX(Veiklos!$C$2:$C$54,MATCH(M101,Veiklos!$D$2:$D$54,0),1),"")</f>
        <v>0</v>
      </c>
      <c r="O101" s="130" t="str">
        <f>MID('3 pr-2'!B103,14,2)</f>
        <v>00</v>
      </c>
      <c r="P101" s="130">
        <f>IFERROR(INDEX(Veiklos!$C$2:$C$54,MATCH(O101,Veiklos!$D$2:$D$54,0),1),"")</f>
        <v>0</v>
      </c>
      <c r="Q101" s="130"/>
      <c r="R101" s="130"/>
      <c r="S101" s="130"/>
      <c r="T101" s="130"/>
      <c r="U101" s="316">
        <v>1</v>
      </c>
      <c r="V101" s="504">
        <f>SUM('3 pr-2'!L103)</f>
        <v>220453</v>
      </c>
      <c r="W101" s="504">
        <f>SUM('3 pr-2'!AA103)</f>
        <v>187385</v>
      </c>
    </row>
    <row r="102" spans="1:23" ht="51.75" thickBot="1">
      <c r="A102" s="130" t="str">
        <f>CONCATENATE('3 pr-2'!A104)</f>
        <v>2.1.1.1.2</v>
      </c>
      <c r="B102" s="130" t="str">
        <f>CONCATENATE('3 pr-2'!B104)</f>
        <v>R01-7724-220000-2112</v>
      </c>
      <c r="C102" s="311" t="str">
        <f>CONCATENATE('3 pr-2'!D104)</f>
        <v>Alytaus rajono bendrojo ugdymo įstaigų aprūpinimas gamtos, technologijų, menų ir kitų mokslų laboratorijų įranga</v>
      </c>
      <c r="D102" s="311" t="str">
        <f>CONCATENATE('3 pr-2'!E104)</f>
        <v>Alytaus rajono savivaldybės administracija</v>
      </c>
      <c r="E102" s="311" t="str">
        <f>CONCATENATE('3 pr-2'!F104)</f>
        <v>Lietuvos Respublikos švietimo ir mokslo ministerija</v>
      </c>
      <c r="F102" s="311" t="str">
        <f>CONCATENATE('3 pr-2'!G104)</f>
        <v>Alytaus r. sav.</v>
      </c>
      <c r="G102" s="130" t="str">
        <f>CONCATENATE('3 pr-2'!H104)</f>
        <v>09.1.3-CPVA-R-724</v>
      </c>
      <c r="H102" s="130" t="str">
        <f>CONCATENATE('3 pr-2'!I104)</f>
        <v>R</v>
      </c>
      <c r="I102" s="130" t="str">
        <f>CONCATENATE('3 pr-2'!J104)</f>
        <v>-</v>
      </c>
      <c r="J102" s="130" t="str">
        <f>CONCATENATE('3 pr-2'!K104)</f>
        <v>-</v>
      </c>
      <c r="K102" s="130" t="str">
        <f>MID('3 pr-2'!B104,10,2)</f>
        <v>22</v>
      </c>
      <c r="L102" s="130" t="str">
        <f>IFERROR(INDEX(Veiklos!$C$2:$C$54,MATCH(K102,Veiklos!$D$2:$D$54,0),1),"")</f>
        <v>Bendrojo lavinimo mokyklų modernizavimas</v>
      </c>
      <c r="M102" s="130" t="str">
        <f>MID('3 pr-2'!B104,12,2)</f>
        <v>00</v>
      </c>
      <c r="N102" s="130">
        <f>IFERROR(INDEX(Veiklos!$C$2:$C$54,MATCH(M102,Veiklos!$D$2:$D$54,0),1),"")</f>
        <v>0</v>
      </c>
      <c r="O102" s="130" t="str">
        <f>MID('3 pr-2'!B104,14,2)</f>
        <v>00</v>
      </c>
      <c r="P102" s="130">
        <f>IFERROR(INDEX(Veiklos!$C$2:$C$54,MATCH(O102,Veiklos!$D$2:$D$54,0),1),"")</f>
        <v>0</v>
      </c>
      <c r="Q102" s="130"/>
      <c r="R102" s="130"/>
      <c r="S102" s="130"/>
      <c r="T102" s="130"/>
      <c r="U102" s="316">
        <v>1</v>
      </c>
      <c r="V102" s="504">
        <f>SUM('3 pr-2'!L104)</f>
        <v>106845.41</v>
      </c>
      <c r="W102" s="504">
        <f>SUM('3 pr-2'!AA104)</f>
        <v>90818</v>
      </c>
    </row>
    <row r="103" spans="1:23" ht="39" thickBot="1">
      <c r="A103" s="130" t="str">
        <f>CONCATENATE('3 pr-2'!A105)</f>
        <v>2.1.1.1.3</v>
      </c>
      <c r="B103" s="130" t="str">
        <f>CONCATENATE('3 pr-2'!B105)</f>
        <v>R01-7724-220000-2113</v>
      </c>
      <c r="C103" s="311" t="str">
        <f>CONCATENATE('3 pr-2'!D105)</f>
        <v>Modernių ir saugių erdvių kūrimas Dzūkijos pagrindinėje mokykloje, Alytuje</v>
      </c>
      <c r="D103" s="311" t="str">
        <f>CONCATENATE('3 pr-2'!E105)</f>
        <v>Alytaus miesto savivaldybės administracija</v>
      </c>
      <c r="E103" s="311" t="str">
        <f>CONCATENATE('3 pr-2'!F105)</f>
        <v>Lietuvos Respublikos švietimo ir mokslo ministerija</v>
      </c>
      <c r="F103" s="311" t="str">
        <f>CONCATENATE('3 pr-2'!G105)</f>
        <v>Alytaus m. sav.</v>
      </c>
      <c r="G103" s="130" t="str">
        <f>CONCATENATE('3 pr-2'!H105)</f>
        <v>09.1.3-CPVA-R-724</v>
      </c>
      <c r="H103" s="130" t="str">
        <f>CONCATENATE('3 pr-2'!I105)</f>
        <v>R</v>
      </c>
      <c r="I103" s="130" t="str">
        <f>CONCATENATE('3 pr-2'!J105)</f>
        <v>-</v>
      </c>
      <c r="J103" s="130" t="str">
        <f>CONCATENATE('3 pr-2'!K105)</f>
        <v>-</v>
      </c>
      <c r="K103" s="130" t="str">
        <f>MID('3 pr-2'!B105,10,2)</f>
        <v>22</v>
      </c>
      <c r="L103" s="130" t="str">
        <f>IFERROR(INDEX(Veiklos!$C$2:$C$54,MATCH(K103,Veiklos!$D$2:$D$54,0),1),"")</f>
        <v>Bendrojo lavinimo mokyklų modernizavimas</v>
      </c>
      <c r="M103" s="130" t="str">
        <f>MID('3 pr-2'!B105,12,2)</f>
        <v>00</v>
      </c>
      <c r="N103" s="130">
        <f>IFERROR(INDEX(Veiklos!$C$2:$C$54,MATCH(M103,Veiklos!$D$2:$D$54,0),1),"")</f>
        <v>0</v>
      </c>
      <c r="O103" s="130" t="str">
        <f>MID('3 pr-2'!B105,14,2)</f>
        <v>00</v>
      </c>
      <c r="P103" s="130">
        <f>IFERROR(INDEX(Veiklos!$C$2:$C$54,MATCH(O103,Veiklos!$D$2:$D$54,0),1),"")</f>
        <v>0</v>
      </c>
      <c r="Q103" s="130"/>
      <c r="R103" s="130"/>
      <c r="S103" s="130"/>
      <c r="T103" s="130"/>
      <c r="U103" s="316">
        <v>1</v>
      </c>
      <c r="V103" s="504">
        <f>SUM('3 pr-2'!L105)</f>
        <v>657021</v>
      </c>
      <c r="W103" s="504">
        <f>SUM('3 pr-2'!AA105)</f>
        <v>558467</v>
      </c>
    </row>
    <row r="104" spans="1:23" ht="39" thickBot="1">
      <c r="A104" s="130" t="str">
        <f>CONCATENATE('3 pr-2'!A106)</f>
        <v>2.1.1.1.4</v>
      </c>
      <c r="B104" s="130" t="str">
        <f>CONCATENATE('3 pr-2'!B106)</f>
        <v>R01-7724-220000-2114</v>
      </c>
      <c r="C104" s="311" t="str">
        <f>CONCATENATE('3 pr-2'!D106)</f>
        <v>Modernių ir saugių erdvių sukūrimas bendrojo ugdymo mokyklose Druskininkų sav.</v>
      </c>
      <c r="D104" s="311" t="str">
        <f>CONCATENATE('3 pr-2'!E106)</f>
        <v>Druskininkų savivaldybės administracija</v>
      </c>
      <c r="E104" s="311" t="str">
        <f>CONCATENATE('3 pr-2'!F106)</f>
        <v>Lietuvos Respublikos švietimo ir mokslo ministerija</v>
      </c>
      <c r="F104" s="311" t="str">
        <f>CONCATENATE('3 pr-2'!G106)</f>
        <v>Druskininkų sav.</v>
      </c>
      <c r="G104" s="130" t="str">
        <f>CONCATENATE('3 pr-2'!H106)</f>
        <v>09.1.3-CPVA-R-724</v>
      </c>
      <c r="H104" s="130" t="str">
        <f>CONCATENATE('3 pr-2'!I106)</f>
        <v>R</v>
      </c>
      <c r="I104" s="130" t="str">
        <f>CONCATENATE('3 pr-2'!J106)</f>
        <v>-</v>
      </c>
      <c r="J104" s="130" t="str">
        <f>CONCATENATE('3 pr-2'!K106)</f>
        <v>-</v>
      </c>
      <c r="K104" s="130" t="str">
        <f>MID('3 pr-2'!B106,10,2)</f>
        <v>22</v>
      </c>
      <c r="L104" s="130" t="str">
        <f>IFERROR(INDEX(Veiklos!$C$2:$C$54,MATCH(K104,Veiklos!$D$2:$D$54,0),1),"")</f>
        <v>Bendrojo lavinimo mokyklų modernizavimas</v>
      </c>
      <c r="M104" s="130" t="str">
        <f>MID('3 pr-2'!B106,12,2)</f>
        <v>00</v>
      </c>
      <c r="N104" s="130">
        <f>IFERROR(INDEX(Veiklos!$C$2:$C$54,MATCH(M104,Veiklos!$D$2:$D$54,0),1),"")</f>
        <v>0</v>
      </c>
      <c r="O104" s="130" t="str">
        <f>MID('3 pr-2'!B106,14,2)</f>
        <v>00</v>
      </c>
      <c r="P104" s="130">
        <f>IFERROR(INDEX(Veiklos!$C$2:$C$54,MATCH(O104,Veiklos!$D$2:$D$54,0),1),"")</f>
        <v>0</v>
      </c>
      <c r="Q104" s="130"/>
      <c r="R104" s="130"/>
      <c r="S104" s="130"/>
      <c r="T104" s="130"/>
      <c r="U104" s="316">
        <v>1</v>
      </c>
      <c r="V104" s="504">
        <f>SUM('3 pr-2'!L106)</f>
        <v>163877</v>
      </c>
      <c r="W104" s="504">
        <f>SUM('3 pr-2'!AA106)</f>
        <v>139295</v>
      </c>
    </row>
    <row r="105" spans="1:23" ht="51.75" thickBot="1">
      <c r="A105" s="130" t="str">
        <f>CONCATENATE('3 pr-2'!A107)</f>
        <v>2.1.1.1.5</v>
      </c>
      <c r="B105" s="130" t="str">
        <f>CONCATENATE('3 pr-2'!B107)</f>
        <v>R01-7724-220000-2115</v>
      </c>
      <c r="C105" s="311" t="str">
        <f>CONCATENATE('3 pr-2'!D107)</f>
        <v>Modernių ir saugių erdvių sukūrimas bendrojo ugdymo įstaigose Lazdijų rajono savivaldybėje</v>
      </c>
      <c r="D105" s="311" t="str">
        <f>CONCATENATE('3 pr-2'!E107)</f>
        <v>Lazdijų rajono savivaldybės administracija</v>
      </c>
      <c r="E105" s="311" t="str">
        <f>CONCATENATE('3 pr-2'!F107)</f>
        <v>Lietuvos Respublikos švietimo ir mokslo ministerija</v>
      </c>
      <c r="F105" s="311" t="str">
        <f>CONCATENATE('3 pr-2'!G107)</f>
        <v>Lazdijų r. sav.</v>
      </c>
      <c r="G105" s="130" t="str">
        <f>CONCATENATE('3 pr-2'!H107)</f>
        <v>09.1.3-CPVA-R-724</v>
      </c>
      <c r="H105" s="130" t="str">
        <f>CONCATENATE('3 pr-2'!I107)</f>
        <v>R</v>
      </c>
      <c r="I105" s="130" t="str">
        <f>CONCATENATE('3 pr-2'!J107)</f>
        <v>-</v>
      </c>
      <c r="J105" s="130" t="str">
        <f>CONCATENATE('3 pr-2'!K107)</f>
        <v>-</v>
      </c>
      <c r="K105" s="130" t="str">
        <f>MID('3 pr-2'!B107,10,2)</f>
        <v>22</v>
      </c>
      <c r="L105" s="130" t="str">
        <f>IFERROR(INDEX(Veiklos!$C$2:$C$54,MATCH(K105,Veiklos!$D$2:$D$54,0),1),"")</f>
        <v>Bendrojo lavinimo mokyklų modernizavimas</v>
      </c>
      <c r="M105" s="130" t="str">
        <f>MID('3 pr-2'!B107,12,2)</f>
        <v>00</v>
      </c>
      <c r="N105" s="130">
        <f>IFERROR(INDEX(Veiklos!$C$2:$C$54,MATCH(M105,Veiklos!$D$2:$D$54,0),1),"")</f>
        <v>0</v>
      </c>
      <c r="O105" s="130" t="str">
        <f>MID('3 pr-2'!B107,14,2)</f>
        <v>00</v>
      </c>
      <c r="P105" s="130">
        <f>IFERROR(INDEX(Veiklos!$C$2:$C$54,MATCH(O105,Veiklos!$D$2:$D$54,0),1),"")</f>
        <v>0</v>
      </c>
      <c r="Q105" s="130"/>
      <c r="R105" s="130"/>
      <c r="S105" s="130"/>
      <c r="T105" s="130"/>
      <c r="U105" s="316">
        <v>1</v>
      </c>
      <c r="V105" s="504">
        <f>SUM('3 pr-2'!L107)</f>
        <v>195779</v>
      </c>
      <c r="W105" s="504">
        <f>SUM('3 pr-2'!AA107)</f>
        <v>166412</v>
      </c>
    </row>
    <row r="106" spans="1:23" ht="39" customHeight="1" thickBot="1">
      <c r="A106" s="298" t="s">
        <v>99</v>
      </c>
      <c r="B106" s="625"/>
      <c r="C106" s="1931" t="s">
        <v>817</v>
      </c>
      <c r="D106" s="1929"/>
      <c r="E106" s="1929"/>
      <c r="F106" s="1929"/>
      <c r="G106" s="1929"/>
      <c r="H106" s="1929"/>
      <c r="I106" s="1929"/>
      <c r="J106" s="1930"/>
      <c r="K106" s="291"/>
      <c r="L106" s="292"/>
      <c r="M106" s="293"/>
      <c r="N106" s="294"/>
      <c r="O106" s="293"/>
      <c r="P106" s="294"/>
      <c r="Q106" s="293"/>
      <c r="R106" s="294"/>
      <c r="S106" s="293"/>
      <c r="T106" s="294"/>
      <c r="U106" s="528"/>
      <c r="V106" s="529">
        <f>SUM(V107:V111)</f>
        <v>1973870.18</v>
      </c>
      <c r="W106" s="530">
        <f>SUM(W107:W111)</f>
        <v>1486007</v>
      </c>
    </row>
    <row r="107" spans="1:23" ht="39" thickBot="1">
      <c r="A107" s="130" t="str">
        <f>CONCATENATE('3 pr-2'!A109)</f>
        <v>2.1.1.2.1</v>
      </c>
      <c r="B107" s="130" t="str">
        <f>CONCATENATE('3 pr-2'!B109)</f>
        <v>R01-7725-240000-2121</v>
      </c>
      <c r="C107" s="311" t="str">
        <f>CONCATENATE('3 pr-2'!D109)</f>
        <v>Varėnos moksleivių kūrybos centro pastato J.Basanavičiaus g. 38, Varėnoje, modernizavimas</v>
      </c>
      <c r="D107" s="311" t="str">
        <f>CONCATENATE('3 pr-2'!E109)</f>
        <v>Varėnos rajono savivaldybės administracija</v>
      </c>
      <c r="E107" s="311" t="str">
        <f>CONCATENATE('3 pr-2'!F109)</f>
        <v>Lietuvos Respublikos švietimo ir mokslo ministerija</v>
      </c>
      <c r="F107" s="311" t="str">
        <f>CONCATENATE('3 pr-2'!G109)</f>
        <v>Varėnos r. sav.</v>
      </c>
      <c r="G107" s="130" t="str">
        <f>CONCATENATE('3 pr-2'!H109)</f>
        <v>09.13.CPVA-R-725</v>
      </c>
      <c r="H107" s="130" t="str">
        <f>CONCATENATE('3 pr-2'!I109)</f>
        <v>R</v>
      </c>
      <c r="I107" s="130" t="str">
        <f>CONCATENATE('3 pr-2'!J109)</f>
        <v>-</v>
      </c>
      <c r="J107" s="130" t="str">
        <f>CONCATENATE('3 pr-2'!K109)</f>
        <v>-</v>
      </c>
      <c r="K107" s="130" t="str">
        <f>MID('3 pr-2'!B109,10,2)</f>
        <v>24</v>
      </c>
      <c r="L107" s="130" t="str">
        <f>IFERROR(INDEX(Veiklos!$C$2:$C$54,MATCH(K107,Veiklos!$D$2:$D$54,0),1),"")</f>
        <v>Neformaliojo švietimo įstaigų modernizavimas</v>
      </c>
      <c r="M107" s="130" t="str">
        <f>MID('3 pr-2'!B109,12,2)</f>
        <v>00</v>
      </c>
      <c r="N107" s="130">
        <f>IFERROR(INDEX(Veiklos!$C$2:$C$54,MATCH(M107,Veiklos!$D$2:$D$54,0),1),"")</f>
        <v>0</v>
      </c>
      <c r="O107" s="130" t="str">
        <f>MID('3 pr-2'!B109,14,2)</f>
        <v>00</v>
      </c>
      <c r="P107" s="130">
        <f>IFERROR(INDEX(Veiklos!$C$2:$C$54,MATCH(O107,Veiklos!$D$2:$D$54,0),1),"")</f>
        <v>0</v>
      </c>
      <c r="Q107" s="130"/>
      <c r="R107" s="130"/>
      <c r="S107" s="130"/>
      <c r="T107" s="130"/>
      <c r="U107" s="316">
        <v>1</v>
      </c>
      <c r="V107" s="504">
        <f>SUM('3 pr-2'!L109)</f>
        <v>437551</v>
      </c>
      <c r="W107" s="504">
        <f>SUM('3 pr-2'!AA109)</f>
        <v>371918</v>
      </c>
    </row>
    <row r="108" spans="1:23" ht="39" thickBot="1">
      <c r="A108" s="130" t="str">
        <f>CONCATENATE('3 pr-2'!A110)</f>
        <v>2.1.1.2.2</v>
      </c>
      <c r="B108" s="130" t="str">
        <f>CONCATENATE('3 pr-2'!B110)</f>
        <v>R01-7725-240000-2122</v>
      </c>
      <c r="C108" s="311" t="str">
        <f>CONCATENATE('3 pr-2'!D110)</f>
        <v>Alytaus r. meno ir sporto mokyklos edukacinių erdvių įkūrimas ir atnaujinimas</v>
      </c>
      <c r="D108" s="311" t="str">
        <f>CONCATENATE('3 pr-2'!E110)</f>
        <v>Alytaus rajono savivaldybės administracija</v>
      </c>
      <c r="E108" s="311" t="str">
        <f>CONCATENATE('3 pr-2'!F110)</f>
        <v>Lietuvos Respublikos švietimo ir mokslo ministerija</v>
      </c>
      <c r="F108" s="311" t="str">
        <f>CONCATENATE('3 pr-2'!G110)</f>
        <v>Alytaus r. sav.</v>
      </c>
      <c r="G108" s="130" t="str">
        <f>CONCATENATE('3 pr-2'!H110)</f>
        <v>09.13.CPVA-R-725</v>
      </c>
      <c r="H108" s="130" t="str">
        <f>CONCATENATE('3 pr-2'!I110)</f>
        <v>R</v>
      </c>
      <c r="I108" s="130" t="str">
        <f>CONCATENATE('3 pr-2'!J110)</f>
        <v>-</v>
      </c>
      <c r="J108" s="130" t="str">
        <f>CONCATENATE('3 pr-2'!K110)</f>
        <v>-</v>
      </c>
      <c r="K108" s="130" t="str">
        <f>MID('3 pr-2'!B110,10,2)</f>
        <v>24</v>
      </c>
      <c r="L108" s="130" t="str">
        <f>IFERROR(INDEX(Veiklos!$C$2:$C$54,MATCH(K108,Veiklos!$D$2:$D$54,0),1),"")</f>
        <v>Neformaliojo švietimo įstaigų modernizavimas</v>
      </c>
      <c r="M108" s="130" t="str">
        <f>MID('3 pr-2'!B110,12,2)</f>
        <v>00</v>
      </c>
      <c r="N108" s="130">
        <f>IFERROR(INDEX(Veiklos!$C$2:$C$54,MATCH(M108,Veiklos!$D$2:$D$54,0),1),"")</f>
        <v>0</v>
      </c>
      <c r="O108" s="130" t="str">
        <f>MID('3 pr-2'!B110,14,2)</f>
        <v>00</v>
      </c>
      <c r="P108" s="130">
        <f>IFERROR(INDEX(Veiklos!$C$2:$C$54,MATCH(O108,Veiklos!$D$2:$D$54,0),1),"")</f>
        <v>0</v>
      </c>
      <c r="Q108" s="130"/>
      <c r="R108" s="130"/>
      <c r="S108" s="130"/>
      <c r="T108" s="130"/>
      <c r="U108" s="316">
        <v>1</v>
      </c>
      <c r="V108" s="504">
        <f>SUM('3 pr-2'!L110)</f>
        <v>856424.88</v>
      </c>
      <c r="W108" s="504">
        <f>SUM('3 pr-2'!AA110)</f>
        <v>536611</v>
      </c>
    </row>
    <row r="109" spans="1:23" ht="39" thickBot="1">
      <c r="A109" s="130" t="str">
        <f>CONCATENATE('3 pr-2'!A111)</f>
        <v>2.1.1.2.3</v>
      </c>
      <c r="B109" s="130" t="str">
        <f>CONCATENATE('3 pr-2'!B111)</f>
        <v>R01-7725-240000-2123</v>
      </c>
      <c r="C109" s="311" t="str">
        <f>CONCATENATE('3 pr-2'!D111)</f>
        <v>Alytaus muzikos mokyklos pastato modernizavimas ir ugdymo aplinkos gerinimas</v>
      </c>
      <c r="D109" s="311" t="str">
        <f>CONCATENATE('3 pr-2'!E111)</f>
        <v>Alytaus miesto savivaldybės administracija</v>
      </c>
      <c r="E109" s="311" t="str">
        <f>CONCATENATE('3 pr-2'!F111)</f>
        <v>Lietuvos Respublikos švietimo ir mokslo ministerija</v>
      </c>
      <c r="F109" s="311" t="str">
        <f>CONCATENATE('3 pr-2'!G111)</f>
        <v>Alytaus m. sav.</v>
      </c>
      <c r="G109" s="130" t="str">
        <f>CONCATENATE('3 pr-2'!H111)</f>
        <v>09.13.CPVA-R-725</v>
      </c>
      <c r="H109" s="130" t="str">
        <f>CONCATENATE('3 pr-2'!I111)</f>
        <v>R</v>
      </c>
      <c r="I109" s="130" t="str">
        <f>CONCATENATE('3 pr-2'!J111)</f>
        <v>-</v>
      </c>
      <c r="J109" s="130" t="str">
        <f>CONCATENATE('3 pr-2'!K111)</f>
        <v>-</v>
      </c>
      <c r="K109" s="130" t="str">
        <f>MID('3 pr-2'!B111,10,2)</f>
        <v>24</v>
      </c>
      <c r="L109" s="130" t="str">
        <f>IFERROR(INDEX(Veiklos!$C$2:$C$54,MATCH(K109,Veiklos!$D$2:$D$54,0),1),"")</f>
        <v>Neformaliojo švietimo įstaigų modernizavimas</v>
      </c>
      <c r="M109" s="130" t="str">
        <f>MID('3 pr-2'!B111,12,2)</f>
        <v>00</v>
      </c>
      <c r="N109" s="130">
        <f>IFERROR(INDEX(Veiklos!$C$2:$C$54,MATCH(M109,Veiklos!$D$2:$D$54,0),1),"")</f>
        <v>0</v>
      </c>
      <c r="O109" s="130" t="str">
        <f>MID('3 pr-2'!B111,14,2)</f>
        <v>00</v>
      </c>
      <c r="P109" s="130">
        <f>IFERROR(INDEX(Veiklos!$C$2:$C$54,MATCH(O109,Veiklos!$D$2:$D$54,0),1),"")</f>
        <v>0</v>
      </c>
      <c r="Q109" s="130"/>
      <c r="R109" s="130"/>
      <c r="S109" s="130"/>
      <c r="T109" s="130"/>
      <c r="U109" s="316">
        <v>1</v>
      </c>
      <c r="V109" s="504">
        <f>SUM('3 pr-2'!L111)</f>
        <v>397378</v>
      </c>
      <c r="W109" s="504">
        <f>SUM('3 pr-2'!AA111)</f>
        <v>337771</v>
      </c>
    </row>
    <row r="110" spans="1:23" ht="39" thickBot="1">
      <c r="A110" s="130" t="str">
        <f>CONCATENATE('3 pr-2'!A112)</f>
        <v>2.1.1.2.4</v>
      </c>
      <c r="B110" s="130" t="str">
        <f>CONCATENATE('3 pr-2'!B112)</f>
        <v>R01-7725-240000-2124</v>
      </c>
      <c r="C110" s="311" t="str">
        <f>CONCATENATE('3 pr-2'!D112)</f>
        <v>Druskininkų M. K. Čiurlionio meno mokyklos infrastruktūros tobulinimas</v>
      </c>
      <c r="D110" s="311" t="str">
        <f>CONCATENATE('3 pr-2'!E112)</f>
        <v xml:space="preserve">Druskininkų savivaldybės administracija  </v>
      </c>
      <c r="E110" s="311" t="str">
        <f>CONCATENATE('3 pr-2'!F112)</f>
        <v>Lietuvos Respublikos švietimo ir mokslo ministerija</v>
      </c>
      <c r="F110" s="311" t="str">
        <f>CONCATENATE('3 pr-2'!G112)</f>
        <v>Druskininkų sav.</v>
      </c>
      <c r="G110" s="130" t="str">
        <f>CONCATENATE('3 pr-2'!H112)</f>
        <v>09.13.CPVA-R-725</v>
      </c>
      <c r="H110" s="130" t="str">
        <f>CONCATENATE('3 pr-2'!I112)</f>
        <v>R</v>
      </c>
      <c r="I110" s="130" t="str">
        <f>CONCATENATE('3 pr-2'!J112)</f>
        <v>-</v>
      </c>
      <c r="J110" s="130" t="str">
        <f>CONCATENATE('3 pr-2'!K112)</f>
        <v>-</v>
      </c>
      <c r="K110" s="130" t="str">
        <f>MID('3 pr-2'!B112,10,2)</f>
        <v>24</v>
      </c>
      <c r="L110" s="130" t="str">
        <f>IFERROR(INDEX(Veiklos!$C$2:$C$54,MATCH(K110,Veiklos!$D$2:$D$54,0),1),"")</f>
        <v>Neformaliojo švietimo įstaigų modernizavimas</v>
      </c>
      <c r="M110" s="130" t="str">
        <f>MID('3 pr-2'!B112,12,2)</f>
        <v>00</v>
      </c>
      <c r="N110" s="130">
        <f>IFERROR(INDEX(Veiklos!$C$2:$C$54,MATCH(M110,Veiklos!$D$2:$D$54,0),1),"")</f>
        <v>0</v>
      </c>
      <c r="O110" s="130" t="str">
        <f>MID('3 pr-2'!B112,14,2)</f>
        <v>00</v>
      </c>
      <c r="P110" s="130">
        <f>IFERROR(INDEX(Veiklos!$C$2:$C$54,MATCH(O110,Veiklos!$D$2:$D$54,0),1),"")</f>
        <v>0</v>
      </c>
      <c r="Q110" s="130"/>
      <c r="R110" s="130"/>
      <c r="S110" s="130"/>
      <c r="T110" s="130"/>
      <c r="U110" s="316">
        <v>1</v>
      </c>
      <c r="V110" s="504">
        <f>SUM('3 pr-2'!L112)</f>
        <v>146702.29999999999</v>
      </c>
      <c r="W110" s="504">
        <f>SUM('3 pr-2'!AA112)</f>
        <v>124266</v>
      </c>
    </row>
    <row r="111" spans="1:23" ht="39" thickBot="1">
      <c r="A111" s="130" t="str">
        <f>CONCATENATE('3 pr-2'!A113)</f>
        <v>2.1.1.2.5</v>
      </c>
      <c r="B111" s="130" t="str">
        <f>CONCATENATE('3 pr-2'!B113)</f>
        <v>R01-7725-240000-2125</v>
      </c>
      <c r="C111" s="311" t="str">
        <f>CONCATENATE('3 pr-2'!D113)</f>
        <v>Neformaliojo švietimo įstaigų Lazdijų rajono savivaldybėje infrastruktūros tobulinimas</v>
      </c>
      <c r="D111" s="311" t="str">
        <f>CONCATENATE('3 pr-2'!E113)</f>
        <v>VšĮ „Lazdijų sporto centras“</v>
      </c>
      <c r="E111" s="311" t="str">
        <f>CONCATENATE('3 pr-2'!F113)</f>
        <v>Lietuvos Respublikos švietimo ir mokslo ministerija</v>
      </c>
      <c r="F111" s="311" t="str">
        <f>CONCATENATE('3 pr-2'!G113)</f>
        <v>Lazdijų r. sav.</v>
      </c>
      <c r="G111" s="130" t="str">
        <f>CONCATENATE('3 pr-2'!H113)</f>
        <v>09.13.CPVA-R-725</v>
      </c>
      <c r="H111" s="130" t="str">
        <f>CONCATENATE('3 pr-2'!I113)</f>
        <v>R</v>
      </c>
      <c r="I111" s="130" t="str">
        <f>CONCATENATE('3 pr-2'!J113)</f>
        <v>-</v>
      </c>
      <c r="J111" s="130" t="str">
        <f>CONCATENATE('3 pr-2'!K113)</f>
        <v>-</v>
      </c>
      <c r="K111" s="130" t="str">
        <f>MID('3 pr-2'!B113,10,2)</f>
        <v>24</v>
      </c>
      <c r="L111" s="130" t="str">
        <f>IFERROR(INDEX(Veiklos!$C$2:$C$54,MATCH(K111,Veiklos!$D$2:$D$54,0),1),"")</f>
        <v>Neformaliojo švietimo įstaigų modernizavimas</v>
      </c>
      <c r="M111" s="130" t="str">
        <f>MID('3 pr-2'!B113,12,2)</f>
        <v>00</v>
      </c>
      <c r="N111" s="130">
        <f>IFERROR(INDEX(Veiklos!$C$2:$C$54,MATCH(M111,Veiklos!$D$2:$D$54,0),1),"")</f>
        <v>0</v>
      </c>
      <c r="O111" s="130" t="str">
        <f>MID('3 pr-2'!B113,14,2)</f>
        <v>00</v>
      </c>
      <c r="P111" s="130">
        <f>IFERROR(INDEX(Veiklos!$C$2:$C$54,MATCH(O111,Veiklos!$D$2:$D$54,0),1),"")</f>
        <v>0</v>
      </c>
      <c r="Q111" s="130"/>
      <c r="R111" s="130"/>
      <c r="S111" s="130"/>
      <c r="T111" s="130"/>
      <c r="U111" s="316">
        <v>1</v>
      </c>
      <c r="V111" s="504">
        <f>SUM('3 pr-2'!L113)</f>
        <v>135814</v>
      </c>
      <c r="W111" s="504">
        <f>SUM('3 pr-2'!AA113)</f>
        <v>115441</v>
      </c>
    </row>
    <row r="112" spans="1:23" ht="40.5" customHeight="1" thickBot="1">
      <c r="A112" s="298" t="s">
        <v>101</v>
      </c>
      <c r="B112" s="625"/>
      <c r="C112" s="1926" t="s">
        <v>1132</v>
      </c>
      <c r="D112" s="1929"/>
      <c r="E112" s="1929"/>
      <c r="F112" s="1929"/>
      <c r="G112" s="1929"/>
      <c r="H112" s="1929"/>
      <c r="I112" s="1929"/>
      <c r="J112" s="1930"/>
      <c r="K112" s="291"/>
      <c r="L112" s="292"/>
      <c r="M112" s="293"/>
      <c r="N112" s="294"/>
      <c r="O112" s="293"/>
      <c r="P112" s="294"/>
      <c r="Q112" s="293"/>
      <c r="R112" s="294"/>
      <c r="S112" s="293"/>
      <c r="T112" s="294"/>
      <c r="U112" s="528"/>
      <c r="V112" s="529">
        <f>SUM(V113:V117)</f>
        <v>1459021.7699999998</v>
      </c>
      <c r="W112" s="530">
        <f>SUM(W113:W117)</f>
        <v>1138588</v>
      </c>
    </row>
    <row r="113" spans="1:23" ht="39" thickBot="1">
      <c r="A113" s="130" t="str">
        <f>CONCATENATE('3 pr-2'!A115)</f>
        <v>2.1.1.3.1</v>
      </c>
      <c r="B113" s="130" t="str">
        <f>CONCATENATE('3 pr-2'!B115)</f>
        <v>R01-7705-230000-2131</v>
      </c>
      <c r="C113" s="311" t="str">
        <f>CONCATENATE('3 pr-2'!D115)</f>
        <v>Varėnos "Pasakos" vaikų lopšelio-darželio pastato modernizavimas</v>
      </c>
      <c r="D113" s="311" t="str">
        <f>CONCATENATE('3 pr-2'!E115)</f>
        <v>Varėnos rajono savivaldybės administracija</v>
      </c>
      <c r="E113" s="311" t="str">
        <f>CONCATENATE('3 pr-2'!F115)</f>
        <v>Lietuvos Respublikos švietimo ir mokslo ministerija</v>
      </c>
      <c r="F113" s="311" t="str">
        <f>CONCATENATE('3 pr-2'!G115)</f>
        <v>Varėnos r. sav.</v>
      </c>
      <c r="G113" s="130" t="str">
        <f>CONCATENATE('3 pr-2'!H115)</f>
        <v>09.1.3-CPVA-R-705</v>
      </c>
      <c r="H113" s="130" t="str">
        <f>CONCATENATE('3 pr-2'!I115)</f>
        <v>R</v>
      </c>
      <c r="I113" s="130" t="str">
        <f>CONCATENATE('3 pr-2'!J115)</f>
        <v>-</v>
      </c>
      <c r="J113" s="130" t="str">
        <f>CONCATENATE('3 pr-2'!K115)</f>
        <v>-</v>
      </c>
      <c r="K113" s="130" t="str">
        <f>MID('3 pr-2'!B115,10,2)</f>
        <v>23</v>
      </c>
      <c r="L113" s="130" t="str">
        <f>IFERROR(INDEX(Veiklos!$C$2:$C$54,MATCH(K113,Veiklos!$D$2:$D$54,0),1),"")</f>
        <v>Ikimokyklinio ar priešmokyklinio ugdymo įstaigų modernizavimas</v>
      </c>
      <c r="M113" s="130" t="str">
        <f>MID('3 pr-2'!B115,12,2)</f>
        <v>00</v>
      </c>
      <c r="N113" s="130">
        <f>IFERROR(INDEX(Veiklos!$C$2:$C$54,MATCH(M113,Veiklos!$D$2:$D$54,0),1),"")</f>
        <v>0</v>
      </c>
      <c r="O113" s="130" t="str">
        <f>MID('3 pr-2'!B115,14,2)</f>
        <v>00</v>
      </c>
      <c r="P113" s="130">
        <f>IFERROR(INDEX(Veiklos!$C$2:$C$54,MATCH(O113,Veiklos!$D$2:$D$54,0),1),"")</f>
        <v>0</v>
      </c>
      <c r="Q113" s="130"/>
      <c r="R113" s="130"/>
      <c r="S113" s="130"/>
      <c r="T113" s="130"/>
      <c r="U113" s="316">
        <v>1</v>
      </c>
      <c r="V113" s="504">
        <f>SUM('3 pr-2'!L115)</f>
        <v>370000</v>
      </c>
      <c r="W113" s="504">
        <f>SUM('3 pr-2'!AA115)</f>
        <v>287307</v>
      </c>
    </row>
    <row r="114" spans="1:23" ht="51.75" thickBot="1">
      <c r="A114" s="130" t="str">
        <f>CONCATENATE('3 pr-2'!A116)</f>
        <v>2.1.1.3.2</v>
      </c>
      <c r="B114" s="130" t="str">
        <f>CONCATENATE('3 pr-2'!B116)</f>
        <v>R01-7705-230000-2132</v>
      </c>
      <c r="C114" s="311" t="str">
        <f>CONCATENATE('3 pr-2'!D116)</f>
        <v>Alytaus r. ikimokyklinio ir priešmokyklinio ugdymo prieinamumo didinimas įkuriant ir atnaujinant edukacines erdves</v>
      </c>
      <c r="D114" s="311" t="str">
        <f>CONCATENATE('3 pr-2'!E116)</f>
        <v>Alytaus rajono savivaldybės administracija</v>
      </c>
      <c r="E114" s="311" t="str">
        <f>CONCATENATE('3 pr-2'!F116)</f>
        <v>Lietuvos Respublikos švietimo ir mokslo ministerija</v>
      </c>
      <c r="F114" s="311" t="str">
        <f>CONCATENATE('3 pr-2'!G116)</f>
        <v>Alytaus r. sav.</v>
      </c>
      <c r="G114" s="130" t="str">
        <f>CONCATENATE('3 pr-2'!H116)</f>
        <v>09.1.3-CPVA-R-705</v>
      </c>
      <c r="H114" s="130" t="str">
        <f>CONCATENATE('3 pr-2'!I116)</f>
        <v>R</v>
      </c>
      <c r="I114" s="130" t="str">
        <f>CONCATENATE('3 pr-2'!J116)</f>
        <v/>
      </c>
      <c r="J114" s="130" t="str">
        <f>CONCATENATE('3 pr-2'!K116)</f>
        <v/>
      </c>
      <c r="K114" s="130" t="str">
        <f>MID('3 pr-2'!B116,10,2)</f>
        <v>23</v>
      </c>
      <c r="L114" s="130" t="str">
        <f>IFERROR(INDEX(Veiklos!$C$2:$C$54,MATCH(K114,Veiklos!$D$2:$D$54,0),1),"")</f>
        <v>Ikimokyklinio ar priešmokyklinio ugdymo įstaigų modernizavimas</v>
      </c>
      <c r="M114" s="130" t="str">
        <f>MID('3 pr-2'!B116,12,2)</f>
        <v>00</v>
      </c>
      <c r="N114" s="130">
        <f>IFERROR(INDEX(Veiklos!$C$2:$C$54,MATCH(M114,Veiklos!$D$2:$D$54,0),1),"")</f>
        <v>0</v>
      </c>
      <c r="O114" s="130" t="str">
        <f>MID('3 pr-2'!B116,14,2)</f>
        <v>00</v>
      </c>
      <c r="P114" s="130">
        <f>IFERROR(INDEX(Veiklos!$C$2:$C$54,MATCH(O114,Veiklos!$D$2:$D$54,0),1),"")</f>
        <v>0</v>
      </c>
      <c r="Q114" s="130"/>
      <c r="R114" s="130"/>
      <c r="S114" s="130"/>
      <c r="T114" s="130"/>
      <c r="U114" s="316">
        <v>1</v>
      </c>
      <c r="V114" s="504">
        <f>SUM('3 pr-2'!L116)</f>
        <v>597456.88</v>
      </c>
      <c r="W114" s="504">
        <f>SUM('3 pr-2'!AA116)</f>
        <v>494007</v>
      </c>
    </row>
    <row r="115" spans="1:23" ht="39" thickBot="1">
      <c r="A115" s="130" t="str">
        <f>CONCATENATE('3 pr-2'!A117)</f>
        <v>2.1.1.3.3</v>
      </c>
      <c r="B115" s="130" t="str">
        <f>CONCATENATE('3 pr-2'!B117)</f>
        <v>R01-7705-230000-2133</v>
      </c>
      <c r="C115" s="311" t="str">
        <f>CONCATENATE('3 pr-2'!D117)</f>
        <v>Alytaus lopšelio-darželio „Girinukas“ ugdymo aplinkos modernizavimas</v>
      </c>
      <c r="D115" s="311" t="str">
        <f>CONCATENATE('3 pr-2'!E117)</f>
        <v>Alytaus miesto savivaldybės administracija</v>
      </c>
      <c r="E115" s="311" t="str">
        <f>CONCATENATE('3 pr-2'!F117)</f>
        <v>Lietuvos Respublikos švietimo ir mokslo ministerija</v>
      </c>
      <c r="F115" s="311" t="str">
        <f>CONCATENATE('3 pr-2'!G117)</f>
        <v>Alytaus m. sav.</v>
      </c>
      <c r="G115" s="130" t="str">
        <f>CONCATENATE('3 pr-2'!H117)</f>
        <v>09.1.3-CPVA-R-705</v>
      </c>
      <c r="H115" s="130" t="str">
        <f>CONCATENATE('3 pr-2'!I117)</f>
        <v>R</v>
      </c>
      <c r="I115" s="130" t="str">
        <f>CONCATENATE('3 pr-2'!J117)</f>
        <v>-</v>
      </c>
      <c r="J115" s="130" t="str">
        <f>CONCATENATE('3 pr-2'!K117)</f>
        <v>-</v>
      </c>
      <c r="K115" s="130" t="str">
        <f>MID('3 pr-2'!B117,10,2)</f>
        <v>23</v>
      </c>
      <c r="L115" s="130" t="str">
        <f>IFERROR(INDEX(Veiklos!$C$2:$C$54,MATCH(K115,Veiklos!$D$2:$D$54,0),1),"")</f>
        <v>Ikimokyklinio ar priešmokyklinio ugdymo įstaigų modernizavimas</v>
      </c>
      <c r="M115" s="130" t="str">
        <f>MID('3 pr-2'!B117,12,2)</f>
        <v>00</v>
      </c>
      <c r="N115" s="130">
        <f>IFERROR(INDEX(Veiklos!$C$2:$C$54,MATCH(M115,Veiklos!$D$2:$D$54,0),1),"")</f>
        <v>0</v>
      </c>
      <c r="O115" s="130" t="str">
        <f>MID('3 pr-2'!B117,14,2)</f>
        <v>00</v>
      </c>
      <c r="P115" s="130">
        <f>IFERROR(INDEX(Veiklos!$C$2:$C$54,MATCH(O115,Veiklos!$D$2:$D$54,0),1),"")</f>
        <v>0</v>
      </c>
      <c r="Q115" s="130"/>
      <c r="R115" s="130"/>
      <c r="S115" s="130"/>
      <c r="T115" s="130"/>
      <c r="U115" s="316">
        <v>1</v>
      </c>
      <c r="V115" s="504">
        <f>SUM('3 pr-2'!L117)</f>
        <v>181986</v>
      </c>
      <c r="W115" s="504">
        <f>SUM('3 pr-2'!AA117)</f>
        <v>154688</v>
      </c>
    </row>
    <row r="116" spans="1:23" ht="51.75" thickBot="1">
      <c r="A116" s="130" t="str">
        <f>CONCATENATE('3 pr-2'!A118)</f>
        <v>2.1.1.3.4</v>
      </c>
      <c r="B116" s="130" t="str">
        <f>CONCATENATE('3 pr-2'!B118)</f>
        <v>R01-7705-230000-2134</v>
      </c>
      <c r="C116" s="311" t="str">
        <f>CONCATENATE('3 pr-2'!D118)</f>
        <v>Druskininkų sav. Viečiūnų progimnazijos ikimokyklinio ugdymo skyriaus „Linelis“ ugdymo prieinamumo didinimas</v>
      </c>
      <c r="D116" s="311" t="str">
        <f>CONCATENATE('3 pr-2'!E118)</f>
        <v xml:space="preserve">Druskininkų savivaldybės administracija  </v>
      </c>
      <c r="E116" s="311" t="str">
        <f>CONCATENATE('3 pr-2'!F118)</f>
        <v>Lietuvos Respublikos švietimo ir mokslo ministerija</v>
      </c>
      <c r="F116" s="311" t="str">
        <f>CONCATENATE('3 pr-2'!G118)</f>
        <v>Druskininkų sav.</v>
      </c>
      <c r="G116" s="130" t="str">
        <f>CONCATENATE('3 pr-2'!H118)</f>
        <v>09.1.3-CPVA-R-705</v>
      </c>
      <c r="H116" s="130" t="str">
        <f>CONCATENATE('3 pr-2'!I118)</f>
        <v>R</v>
      </c>
      <c r="I116" s="130" t="str">
        <f>CONCATENATE('3 pr-2'!J118)</f>
        <v>-</v>
      </c>
      <c r="J116" s="130" t="str">
        <f>CONCATENATE('3 pr-2'!K118)</f>
        <v>-</v>
      </c>
      <c r="K116" s="130" t="str">
        <f>MID('3 pr-2'!B118,10,2)</f>
        <v>23</v>
      </c>
      <c r="L116" s="130" t="str">
        <f>IFERROR(INDEX(Veiklos!$C$2:$C$54,MATCH(K116,Veiklos!$D$2:$D$54,0),1),"")</f>
        <v>Ikimokyklinio ar priešmokyklinio ugdymo įstaigų modernizavimas</v>
      </c>
      <c r="M116" s="130" t="str">
        <f>MID('3 pr-2'!B118,12,2)</f>
        <v>00</v>
      </c>
      <c r="N116" s="130">
        <f>IFERROR(INDEX(Veiklos!$C$2:$C$54,MATCH(M116,Veiklos!$D$2:$D$54,0),1),"")</f>
        <v>0</v>
      </c>
      <c r="O116" s="130" t="str">
        <f>MID('3 pr-2'!B118,14,2)</f>
        <v>00</v>
      </c>
      <c r="P116" s="130">
        <f>IFERROR(INDEX(Veiklos!$C$2:$C$54,MATCH(O116,Veiklos!$D$2:$D$54,0),1),"")</f>
        <v>0</v>
      </c>
      <c r="Q116" s="130"/>
      <c r="R116" s="130"/>
      <c r="S116" s="130"/>
      <c r="T116" s="130"/>
      <c r="U116" s="316">
        <v>1</v>
      </c>
      <c r="V116" s="504">
        <f>SUM('3 pr-2'!L118)</f>
        <v>176024.68</v>
      </c>
      <c r="W116" s="504">
        <f>SUM('3 pr-2'!AA118)</f>
        <v>89074</v>
      </c>
    </row>
    <row r="117" spans="1:23" ht="39" thickBot="1">
      <c r="A117" s="130" t="str">
        <f>CONCATENATE('3 pr-2'!A119)</f>
        <v>2.1.1.3.5</v>
      </c>
      <c r="B117" s="130" t="str">
        <f>CONCATENATE('3 pr-2'!B119)</f>
        <v>R01-7705-230000-2135</v>
      </c>
      <c r="C117" s="311" t="str">
        <f>CONCATENATE('3 pr-2'!D119)</f>
        <v>Ikimokyklinio ir priešmokyklinio ugdymo įstaigų Lazdijų rajono savivaldybėje modernizavimas</v>
      </c>
      <c r="D117" s="311" t="str">
        <f>CONCATENATE('3 pr-2'!E119)</f>
        <v>Lazdijų rajono savivaldybės administracija</v>
      </c>
      <c r="E117" s="311" t="str">
        <f>CONCATENATE('3 pr-2'!F119)</f>
        <v>Lietuvos Respublikos švietimo ir mokslo ministerija</v>
      </c>
      <c r="F117" s="311" t="str">
        <f>CONCATENATE('3 pr-2'!G119)</f>
        <v>Lazdijų r. sav.</v>
      </c>
      <c r="G117" s="130" t="str">
        <f>CONCATENATE('3 pr-2'!H119)</f>
        <v>09.1.3-CPVA-R-705</v>
      </c>
      <c r="H117" s="130" t="str">
        <f>CONCATENATE('3 pr-2'!I119)</f>
        <v>R</v>
      </c>
      <c r="I117" s="130" t="str">
        <f>CONCATENATE('3 pr-2'!J119)</f>
        <v>-</v>
      </c>
      <c r="J117" s="130" t="str">
        <f>CONCATENATE('3 pr-2'!K119)</f>
        <v>-</v>
      </c>
      <c r="K117" s="130" t="str">
        <f>MID('3 pr-2'!B119,10,2)</f>
        <v>23</v>
      </c>
      <c r="L117" s="130" t="str">
        <f>IFERROR(INDEX(Veiklos!$C$2:$C$54,MATCH(K117,Veiklos!$D$2:$D$54,0),1),"")</f>
        <v>Ikimokyklinio ar priešmokyklinio ugdymo įstaigų modernizavimas</v>
      </c>
      <c r="M117" s="130" t="str">
        <f>MID('3 pr-2'!B119,12,2)</f>
        <v>00</v>
      </c>
      <c r="N117" s="130">
        <f>IFERROR(INDEX(Veiklos!$C$2:$C$54,MATCH(M117,Veiklos!$D$2:$D$54,0),1),"")</f>
        <v>0</v>
      </c>
      <c r="O117" s="130" t="str">
        <f>MID('3 pr-2'!B119,14,2)</f>
        <v>00</v>
      </c>
      <c r="P117" s="130">
        <f>IFERROR(INDEX(Veiklos!$C$2:$C$54,MATCH(O117,Veiklos!$D$2:$D$54,0),1),"")</f>
        <v>0</v>
      </c>
      <c r="Q117" s="130"/>
      <c r="R117" s="130"/>
      <c r="S117" s="130"/>
      <c r="T117" s="130"/>
      <c r="U117" s="316">
        <v>1</v>
      </c>
      <c r="V117" s="504">
        <f>SUM('3 pr-2'!L119)</f>
        <v>133554.21</v>
      </c>
      <c r="W117" s="504">
        <f>SUM('3 pr-2'!AA119)</f>
        <v>113512</v>
      </c>
    </row>
    <row r="118" spans="1:23" ht="55.5" customHeight="1" thickBot="1">
      <c r="A118" s="134" t="s">
        <v>32</v>
      </c>
      <c r="B118" s="628"/>
      <c r="C118" s="1933" t="s">
        <v>621</v>
      </c>
      <c r="D118" s="1934"/>
      <c r="E118" s="1934"/>
      <c r="F118" s="1934"/>
      <c r="G118" s="1934"/>
      <c r="H118" s="1934"/>
      <c r="I118" s="1934"/>
      <c r="J118" s="1935"/>
      <c r="K118" s="494"/>
      <c r="L118" s="495"/>
      <c r="M118" s="496"/>
      <c r="N118" s="495"/>
      <c r="O118" s="496"/>
      <c r="P118" s="495"/>
      <c r="Q118" s="496"/>
      <c r="R118" s="495"/>
      <c r="S118" s="496"/>
      <c r="T118" s="495"/>
      <c r="U118" s="495"/>
      <c r="V118" s="518"/>
      <c r="W118" s="519"/>
    </row>
    <row r="119" spans="1:23" ht="44.25" customHeight="1" thickBot="1">
      <c r="A119" s="297" t="s">
        <v>33</v>
      </c>
      <c r="B119" s="624"/>
      <c r="C119" s="1931" t="s">
        <v>816</v>
      </c>
      <c r="D119" s="1929"/>
      <c r="E119" s="1929"/>
      <c r="F119" s="1929"/>
      <c r="G119" s="1929"/>
      <c r="H119" s="1929"/>
      <c r="I119" s="1929"/>
      <c r="J119" s="1930"/>
      <c r="K119" s="508"/>
      <c r="L119" s="509"/>
      <c r="M119" s="510"/>
      <c r="N119" s="509"/>
      <c r="O119" s="510"/>
      <c r="P119" s="509"/>
      <c r="Q119" s="510"/>
      <c r="R119" s="509"/>
      <c r="S119" s="510"/>
      <c r="T119" s="509"/>
      <c r="U119" s="537"/>
      <c r="V119" s="512">
        <f>SUM(V120:V127)</f>
        <v>1000263.03</v>
      </c>
      <c r="W119" s="512">
        <f>SUM(W120:W127)</f>
        <v>850222.07999999996</v>
      </c>
    </row>
    <row r="120" spans="1:23" ht="51.75" thickBot="1">
      <c r="A120" s="130" t="str">
        <f>CONCATENATE('3 pr-2'!A122)</f>
        <v>2.1.2.1.1</v>
      </c>
      <c r="B120" s="130" t="str">
        <f>CONCATENATE('3 pr-2'!B122)</f>
        <v>R01-6609-274710-2211</v>
      </c>
      <c r="C120" s="311" t="str">
        <f>CONCATENATE('3 pr-2'!D122)</f>
        <v>Alytaus poliklinikos teikiamų pirminės sveikatos priežiūros paslaugų prieinamumo didinimas ir kokybės gerinimas</v>
      </c>
      <c r="D120" s="311" t="str">
        <f>CONCATENATE('3 pr-2'!E122)</f>
        <v>VšĮ Alytaus poliklinika</v>
      </c>
      <c r="E120" s="311" t="str">
        <f>CONCATENATE('3 pr-2'!F122)</f>
        <v>Lietuvos Respublikos Sveikatos apsaugos ministerija</v>
      </c>
      <c r="F120" s="311" t="str">
        <f>CONCATENATE('3 pr-2'!G122)</f>
        <v>Alytaus m. sav.</v>
      </c>
      <c r="G120" s="130" t="str">
        <f>CONCATENATE('3 pr-2'!H122)</f>
        <v>08.1.3-CPVA-R-609</v>
      </c>
      <c r="H120" s="130" t="str">
        <f>CONCATENATE('3 pr-2'!I122)</f>
        <v>R</v>
      </c>
      <c r="I120" s="130" t="str">
        <f>CONCATENATE('3 pr-2'!J122)</f>
        <v>-</v>
      </c>
      <c r="J120" s="130" t="str">
        <f>CONCATENATE('3 pr-2'!K122)</f>
        <v>-</v>
      </c>
      <c r="K120" s="130" t="str">
        <f>MID('3 pr-2'!B122,10,2)</f>
        <v>27</v>
      </c>
      <c r="L120" s="130" t="str">
        <f>IFERROR(INDEX(Veiklos!$C$2:$C$54,MATCH(K120,Veiklos!$D$2:$D$54,0),1),"")</f>
        <v>Socialinių ir sveikatos paslaugų infrastruktūra</v>
      </c>
      <c r="M120" s="130" t="str">
        <f>MID('3 pr-2'!B122,12,2)</f>
        <v>47</v>
      </c>
      <c r="N120" s="130" t="str">
        <f>IFERROR(INDEX(Veiklos!$C$2:$C$54,MATCH(M120,Veiklos!$D$2:$D$54,0),1),"")</f>
        <v>Sveikatos paslaugų plėtra (ne infrastruktūra)</v>
      </c>
      <c r="O120" s="130" t="str">
        <f>MID('3 pr-2'!B122,14,2)</f>
        <v>10</v>
      </c>
      <c r="P120" s="130" t="str">
        <f>IFERROR(INDEX(Veiklos!$C$2:$C$54,MATCH(O120,Veiklos!$D$2:$D$54,0),1),"")</f>
        <v>Viešojo transporto priemonių įsigijimas</v>
      </c>
      <c r="Q120" s="130"/>
      <c r="R120" s="130"/>
      <c r="S120" s="130"/>
      <c r="T120" s="130"/>
      <c r="U120" s="316">
        <v>1</v>
      </c>
      <c r="V120" s="504">
        <f>SUM('3 pr-2'!L122)</f>
        <v>458183</v>
      </c>
      <c r="W120" s="504">
        <f>SUM('3 pr-2'!AA122)</f>
        <v>389456</v>
      </c>
    </row>
    <row r="121" spans="1:23" ht="90" thickBot="1">
      <c r="A121" s="130" t="str">
        <f>CONCATENATE('3 pr-2'!A123)</f>
        <v>2.1.2.1.2</v>
      </c>
      <c r="B121" s="130" t="str">
        <f>CONCATENATE('3 pr-2'!B123)</f>
        <v>R01-6609-274710-2212</v>
      </c>
      <c r="C121" s="311" t="str">
        <f>CONCATENATE('3 pr-2'!D123)</f>
        <v>Sveikatos priežiūros paslaugų modernizavimas bei optimizavimas pirminės sveikatos priežiūros centre</v>
      </c>
      <c r="D121" s="311" t="str">
        <f>CONCATENATE('3 pr-2'!E123)</f>
        <v xml:space="preserve">VšĮ Alytaus miesto savivaldybės pirminės sveikatos priežiūros centras </v>
      </c>
      <c r="E121" s="311" t="str">
        <f>CONCATENATE('3 pr-2'!F123)</f>
        <v>Lietuvos Respublikos Sveikatos apsaugos ministerija</v>
      </c>
      <c r="F121" s="311" t="str">
        <f>CONCATENATE('3 pr-2'!G123)</f>
        <v>Alytaus m. sav.</v>
      </c>
      <c r="G121" s="130" t="str">
        <f>CONCATENATE('3 pr-2'!H123)</f>
        <v>08.1.3-CPVA-R-609</v>
      </c>
      <c r="H121" s="130" t="str">
        <f>CONCATENATE('3 pr-2'!I123)</f>
        <v>R</v>
      </c>
      <c r="I121" s="130" t="str">
        <f>CONCATENATE('3 pr-2'!J123)</f>
        <v>-</v>
      </c>
      <c r="J121" s="130" t="str">
        <f>CONCATENATE('3 pr-2'!K123)</f>
        <v>-</v>
      </c>
      <c r="K121" s="130" t="str">
        <f>MID('3 pr-2'!B123,10,2)</f>
        <v>27</v>
      </c>
      <c r="L121" s="130" t="str">
        <f>IFERROR(INDEX(Veiklos!$C$2:$C$54,MATCH(K121,Veiklos!$D$2:$D$54,0),1),"")</f>
        <v>Socialinių ir sveikatos paslaugų infrastruktūra</v>
      </c>
      <c r="M121" s="130" t="str">
        <f>MID('3 pr-2'!B123,12,2)</f>
        <v>47</v>
      </c>
      <c r="N121" s="130" t="str">
        <f>IFERROR(INDEX(Veiklos!$C$2:$C$54,MATCH(M121,Veiklos!$D$2:$D$54,0),1),"")</f>
        <v>Sveikatos paslaugų plėtra (ne infrastruktūra)</v>
      </c>
      <c r="O121" s="130" t="str">
        <f>MID('3 pr-2'!B123,14,2)</f>
        <v>10</v>
      </c>
      <c r="P121" s="130" t="str">
        <f>IFERROR(INDEX(Veiklos!$C$2:$C$54,MATCH(O121,Veiklos!$D$2:$D$54,0),1),"")</f>
        <v>Viešojo transporto priemonių įsigijimas</v>
      </c>
      <c r="Q121" s="130"/>
      <c r="R121" s="130"/>
      <c r="S121" s="130"/>
      <c r="T121" s="130"/>
      <c r="U121" s="316">
        <v>1</v>
      </c>
      <c r="V121" s="504">
        <f>SUM('3 pr-2'!L123)</f>
        <v>50356</v>
      </c>
      <c r="W121" s="504">
        <f>SUM('3 pr-2'!AA123)</f>
        <v>42802</v>
      </c>
    </row>
    <row r="122" spans="1:23" ht="64.5" thickBot="1">
      <c r="A122" s="130" t="str">
        <f>CONCATENATE('3 pr-2'!A124)</f>
        <v>2.1.2.1.3</v>
      </c>
      <c r="B122" s="130" t="str">
        <f>CONCATENATE('3 pr-2'!B124)</f>
        <v>R01-6609-274700-2213</v>
      </c>
      <c r="C122" s="311" t="str">
        <f>CONCATENATE('3 pr-2'!D124)</f>
        <v>UAB "MediCA klinika" teikiamų pirminės asmens sveikatos priežiūros paslaugų efektyvumo didinimas Alytaus miesto savivaldybėje</v>
      </c>
      <c r="D122" s="311" t="str">
        <f>CONCATENATE('3 pr-2'!E124)</f>
        <v>UAB „MediCA klinika“</v>
      </c>
      <c r="E122" s="311" t="str">
        <f>CONCATENATE('3 pr-2'!F124)</f>
        <v>Lietuvos Respublikos Sveikatos apsaugos ministerija</v>
      </c>
      <c r="F122" s="311" t="str">
        <f>CONCATENATE('3 pr-2'!G124)</f>
        <v>Alytaus m. sav.</v>
      </c>
      <c r="G122" s="130" t="str">
        <f>CONCATENATE('3 pr-2'!H124)</f>
        <v>08.1.3-CPVA-R-609</v>
      </c>
      <c r="H122" s="130" t="str">
        <f>CONCATENATE('3 pr-2'!I124)</f>
        <v>R</v>
      </c>
      <c r="I122" s="130" t="str">
        <f>CONCATENATE('3 pr-2'!J124)</f>
        <v>-</v>
      </c>
      <c r="J122" s="130" t="str">
        <f>CONCATENATE('3 pr-2'!K124)</f>
        <v>-</v>
      </c>
      <c r="K122" s="130" t="str">
        <f>MID('3 pr-2'!B124,10,2)</f>
        <v>27</v>
      </c>
      <c r="L122" s="130" t="str">
        <f>IFERROR(INDEX(Veiklos!$C$2:$C$54,MATCH(K122,Veiklos!$D$2:$D$54,0),1),"")</f>
        <v>Socialinių ir sveikatos paslaugų infrastruktūra</v>
      </c>
      <c r="M122" s="130" t="str">
        <f>MID('3 pr-2'!B124,12,2)</f>
        <v>47</v>
      </c>
      <c r="N122" s="130" t="str">
        <f>IFERROR(INDEX(Veiklos!$C$2:$C$54,MATCH(M122,Veiklos!$D$2:$D$54,0),1),"")</f>
        <v>Sveikatos paslaugų plėtra (ne infrastruktūra)</v>
      </c>
      <c r="O122" s="130" t="str">
        <f>MID('3 pr-2'!B124,14,2)</f>
        <v>00</v>
      </c>
      <c r="P122" s="130">
        <f>IFERROR(INDEX(Veiklos!$C$2:$C$54,MATCH(O122,Veiklos!$D$2:$D$54,0),1),"")</f>
        <v>0</v>
      </c>
      <c r="Q122" s="130"/>
      <c r="R122" s="130"/>
      <c r="S122" s="130"/>
      <c r="T122" s="130"/>
      <c r="U122" s="316">
        <v>1</v>
      </c>
      <c r="V122" s="504">
        <f>SUM('3 pr-2'!L124)</f>
        <v>83468</v>
      </c>
      <c r="W122" s="504">
        <f>SUM('3 pr-2'!AA124)</f>
        <v>70948</v>
      </c>
    </row>
    <row r="123" spans="1:23" ht="39" thickBot="1">
      <c r="A123" s="130" t="str">
        <f>CONCATENATE('3 pr-2'!A125)</f>
        <v>2.1.2.1.4</v>
      </c>
      <c r="B123" s="130" t="str">
        <f>CONCATENATE('3 pr-2'!B125)</f>
        <v>R01-6609-274710-2214</v>
      </c>
      <c r="C123" s="311" t="str">
        <f>CONCATENATE('3 pr-2'!D125)</f>
        <v>UAB "Pagalba ligoniui" teikiamų paslaugų efektyvumo didinimas</v>
      </c>
      <c r="D123" s="311" t="str">
        <f>CONCATENATE('3 pr-2'!E125)</f>
        <v>UAB „Pagalba ligoniui“, Alytaus filialas</v>
      </c>
      <c r="E123" s="311" t="str">
        <f>CONCATENATE('3 pr-2'!F125)</f>
        <v>Lietuvos Respublikos Sveikatos apsaugos ministerija</v>
      </c>
      <c r="F123" s="311" t="str">
        <f>CONCATENATE('3 pr-2'!G125)</f>
        <v>Alytaus m. sav.</v>
      </c>
      <c r="G123" s="130" t="str">
        <f>CONCATENATE('3 pr-2'!H125)</f>
        <v>08.1.3-CPVA-R-609</v>
      </c>
      <c r="H123" s="130" t="str">
        <f>CONCATENATE('3 pr-2'!I125)</f>
        <v>R</v>
      </c>
      <c r="I123" s="130" t="str">
        <f>CONCATENATE('3 pr-2'!J125)</f>
        <v>-</v>
      </c>
      <c r="J123" s="130" t="str">
        <f>CONCATENATE('3 pr-2'!K125)</f>
        <v>-</v>
      </c>
      <c r="K123" s="130" t="str">
        <f>MID('3 pr-2'!B125,10,2)</f>
        <v>27</v>
      </c>
      <c r="L123" s="130" t="str">
        <f>IFERROR(INDEX(Veiklos!$C$2:$C$54,MATCH(K123,Veiklos!$D$2:$D$54,0),1),"")</f>
        <v>Socialinių ir sveikatos paslaugų infrastruktūra</v>
      </c>
      <c r="M123" s="130" t="str">
        <f>MID('3 pr-2'!B125,12,2)</f>
        <v>47</v>
      </c>
      <c r="N123" s="130" t="str">
        <f>IFERROR(INDEX(Veiklos!$C$2:$C$54,MATCH(M123,Veiklos!$D$2:$D$54,0),1),"")</f>
        <v>Sveikatos paslaugų plėtra (ne infrastruktūra)</v>
      </c>
      <c r="O123" s="130" t="str">
        <f>MID('3 pr-2'!B125,14,2)</f>
        <v>10</v>
      </c>
      <c r="P123" s="130" t="str">
        <f>IFERROR(INDEX(Veiklos!$C$2:$C$54,MATCH(O123,Veiklos!$D$2:$D$54,0),1),"")</f>
        <v>Viešojo transporto priemonių įsigijimas</v>
      </c>
      <c r="Q123" s="130"/>
      <c r="R123" s="130"/>
      <c r="S123" s="130"/>
      <c r="T123" s="130"/>
      <c r="U123" s="316">
        <v>1</v>
      </c>
      <c r="V123" s="504">
        <f>SUM('3 pr-2'!L125)</f>
        <v>43413.03</v>
      </c>
      <c r="W123" s="504">
        <f>SUM('3 pr-2'!AA125)</f>
        <v>36901.08</v>
      </c>
    </row>
    <row r="124" spans="1:23" ht="90" thickBot="1">
      <c r="A124" s="130" t="str">
        <f>CONCATENATE('3 pr-2'!A126)</f>
        <v>2.1.2.1.5</v>
      </c>
      <c r="B124" s="130" t="str">
        <f>CONCATENATE('3 pr-2'!B126)</f>
        <v>R01-6609-274710-2215</v>
      </c>
      <c r="C124" s="311" t="str">
        <f>CONCATENATE('3 pr-2'!D126)</f>
        <v>Pirminės asmens sveikatos priežiūros veiklos efektyvumo didinimas Alytaus rajono savivaldybėje</v>
      </c>
      <c r="D124" s="311" t="str">
        <f>CONCATENATE('3 pr-2'!E126)</f>
        <v>VšĮ Alytaus rajono savivaldybės pirminės sveikatos priežiūros centras</v>
      </c>
      <c r="E124" s="311" t="str">
        <f>CONCATENATE('3 pr-2'!F126)</f>
        <v>Lietuvos Respublikos Sveikatos apsaugos ministerija</v>
      </c>
      <c r="F124" s="311" t="str">
        <f>CONCATENATE('3 pr-2'!G126)</f>
        <v>Alytaus r. sav.</v>
      </c>
      <c r="G124" s="130" t="str">
        <f>CONCATENATE('3 pr-2'!H126)</f>
        <v>08.1.3-CPVA-R-609</v>
      </c>
      <c r="H124" s="130" t="str">
        <f>CONCATENATE('3 pr-2'!I126)</f>
        <v>R</v>
      </c>
      <c r="I124" s="130" t="str">
        <f>CONCATENATE('3 pr-2'!J126)</f>
        <v>-</v>
      </c>
      <c r="J124" s="130" t="str">
        <f>CONCATENATE('3 pr-2'!K126)</f>
        <v>-</v>
      </c>
      <c r="K124" s="130" t="str">
        <f>MID('3 pr-2'!B126,10,2)</f>
        <v>27</v>
      </c>
      <c r="L124" s="130" t="str">
        <f>IFERROR(INDEX(Veiklos!$C$2:$C$54,MATCH(K124,Veiklos!$D$2:$D$54,0),1),"")</f>
        <v>Socialinių ir sveikatos paslaugų infrastruktūra</v>
      </c>
      <c r="M124" s="130" t="str">
        <f>MID('3 pr-2'!B126,12,2)</f>
        <v>47</v>
      </c>
      <c r="N124" s="130" t="str">
        <f>IFERROR(INDEX(Veiklos!$C$2:$C$54,MATCH(M124,Veiklos!$D$2:$D$54,0),1),"")</f>
        <v>Sveikatos paslaugų plėtra (ne infrastruktūra)</v>
      </c>
      <c r="O124" s="130" t="str">
        <f>MID('3 pr-2'!B126,14,2)</f>
        <v>10</v>
      </c>
      <c r="P124" s="130" t="str">
        <f>IFERROR(INDEX(Veiklos!$C$2:$C$54,MATCH(O124,Veiklos!$D$2:$D$54,0),1),"")</f>
        <v>Viešojo transporto priemonių įsigijimas</v>
      </c>
      <c r="Q124" s="130"/>
      <c r="R124" s="130"/>
      <c r="S124" s="130"/>
      <c r="T124" s="130"/>
      <c r="U124" s="316">
        <v>1</v>
      </c>
      <c r="V124" s="504">
        <f>SUM('3 pr-2'!L126)</f>
        <v>171636</v>
      </c>
      <c r="W124" s="504">
        <f>SUM('3 pr-2'!AA126)</f>
        <v>145890</v>
      </c>
    </row>
    <row r="125" spans="1:23" ht="39" thickBot="1">
      <c r="A125" s="130" t="str">
        <f>CONCATENATE('3 pr-2'!A127)</f>
        <v>2.1.2.1.6</v>
      </c>
      <c r="B125" s="130" t="str">
        <f>CONCATENATE('3 pr-2'!B127)</f>
        <v>R01-6609-471000-2216</v>
      </c>
      <c r="C125" s="311" t="str">
        <f>CONCATENATE('3 pr-2'!D127)</f>
        <v>Sveikatos priežiūros paslaugų gerinimas UAB „Disolis“</v>
      </c>
      <c r="D125" s="311" t="str">
        <f>CONCATENATE('3 pr-2'!E127)</f>
        <v>UAB „Disolis“</v>
      </c>
      <c r="E125" s="311" t="str">
        <f>CONCATENATE('3 pr-2'!F127)</f>
        <v>Lietuvos Respublikos Sveikatos apsaugos ministerija</v>
      </c>
      <c r="F125" s="311" t="str">
        <f>CONCATENATE('3 pr-2'!G127)</f>
        <v>Alytaus r. sav.</v>
      </c>
      <c r="G125" s="130" t="str">
        <f>CONCATENATE('3 pr-2'!H127)</f>
        <v>08.1.3-CPVA-R-609</v>
      </c>
      <c r="H125" s="130" t="str">
        <f>CONCATENATE('3 pr-2'!I127)</f>
        <v>R</v>
      </c>
      <c r="I125" s="130" t="str">
        <f>CONCATENATE('3 pr-2'!J127)</f>
        <v>-</v>
      </c>
      <c r="J125" s="130" t="str">
        <f>CONCATENATE('3 pr-2'!K127)</f>
        <v>-</v>
      </c>
      <c r="K125" s="130" t="str">
        <f>MID('3 pr-2'!B127,10,2)</f>
        <v>47</v>
      </c>
      <c r="L125" s="130" t="str">
        <f>IFERROR(INDEX(Veiklos!$C$2:$C$54,MATCH(K125,Veiklos!$D$2:$D$54,0),1),"")</f>
        <v>Sveikatos paslaugų plėtra (ne infrastruktūra)</v>
      </c>
      <c r="M125" s="130" t="str">
        <f>MID('3 pr-2'!B127,12,2)</f>
        <v>10</v>
      </c>
      <c r="N125" s="130" t="str">
        <f>IFERROR(INDEX(Veiklos!$C$2:$C$54,MATCH(M125,Veiklos!$D$2:$D$54,0),1),"")</f>
        <v>Viešojo transporto priemonių įsigijimas</v>
      </c>
      <c r="O125" s="130" t="str">
        <f>MID('3 pr-2'!B127,14,2)</f>
        <v>00</v>
      </c>
      <c r="P125" s="130">
        <f>IFERROR(INDEX(Veiklos!$C$2:$C$54,MATCH(O125,Veiklos!$D$2:$D$54,0),1),"")</f>
        <v>0</v>
      </c>
      <c r="Q125" s="130"/>
      <c r="R125" s="130"/>
      <c r="S125" s="130"/>
      <c r="T125" s="130"/>
      <c r="U125" s="316">
        <v>1</v>
      </c>
      <c r="V125" s="504">
        <f>SUM('3 pr-2'!L127)</f>
        <v>17386</v>
      </c>
      <c r="W125" s="504">
        <f>SUM('3 pr-2'!AA127)</f>
        <v>14778</v>
      </c>
    </row>
    <row r="126" spans="1:23" ht="64.5" thickBot="1">
      <c r="A126" s="130" t="str">
        <f>CONCATENATE('3 pr-2'!A128)</f>
        <v>2.1.2.1.7</v>
      </c>
      <c r="B126" s="130" t="str">
        <f>CONCATENATE('3 pr-2'!B128)</f>
        <v>R01-6609-274710-2217</v>
      </c>
      <c r="C126" s="311" t="str">
        <f>CONCATENATE('3 pr-2'!D128)</f>
        <v>Pirminės asmens sveikatos priežiūros kokybės ir prieinamumo gerinimas Druskininkų savivaldybėje</v>
      </c>
      <c r="D126" s="311" t="str">
        <f>CONCATENATE('3 pr-2'!E128)</f>
        <v>VšĮ Druskininkų pirminės sveikatos priežiūros centras</v>
      </c>
      <c r="E126" s="311" t="str">
        <f>CONCATENATE('3 pr-2'!F128)</f>
        <v>Lietuvos Respublikos Sveikatos apsaugos ministerija</v>
      </c>
      <c r="F126" s="311" t="str">
        <f>CONCATENATE('3 pr-2'!G128)</f>
        <v>Druskininkų sav.</v>
      </c>
      <c r="G126" s="130" t="str">
        <f>CONCATENATE('3 pr-2'!H128)</f>
        <v>08.1.3-CPVA-R-609</v>
      </c>
      <c r="H126" s="130" t="str">
        <f>CONCATENATE('3 pr-2'!I128)</f>
        <v>R</v>
      </c>
      <c r="I126" s="130" t="str">
        <f>CONCATENATE('3 pr-2'!J128)</f>
        <v>-</v>
      </c>
      <c r="J126" s="130" t="str">
        <f>CONCATENATE('3 pr-2'!K128)</f>
        <v>-</v>
      </c>
      <c r="K126" s="130" t="str">
        <f>MID('3 pr-2'!B128,10,2)</f>
        <v>27</v>
      </c>
      <c r="L126" s="130" t="str">
        <f>IFERROR(INDEX(Veiklos!$C$2:$C$54,MATCH(K126,Veiklos!$D$2:$D$54,0),1),"")</f>
        <v>Socialinių ir sveikatos paslaugų infrastruktūra</v>
      </c>
      <c r="M126" s="130" t="str">
        <f>MID('3 pr-2'!B128,12,2)</f>
        <v>47</v>
      </c>
      <c r="N126" s="130" t="str">
        <f>IFERROR(INDEX(Veiklos!$C$2:$C$54,MATCH(M126,Veiklos!$D$2:$D$54,0),1),"")</f>
        <v>Sveikatos paslaugų plėtra (ne infrastruktūra)</v>
      </c>
      <c r="O126" s="130" t="str">
        <f>MID('3 pr-2'!B128,14,2)</f>
        <v>10</v>
      </c>
      <c r="P126" s="130" t="str">
        <f>IFERROR(INDEX(Veiklos!$C$2:$C$54,MATCH(O126,Veiklos!$D$2:$D$54,0),1),"")</f>
        <v>Viešojo transporto priemonių įsigijimas</v>
      </c>
      <c r="Q126" s="130"/>
      <c r="R126" s="130"/>
      <c r="S126" s="130"/>
      <c r="T126" s="130"/>
      <c r="U126" s="316">
        <v>1</v>
      </c>
      <c r="V126" s="504">
        <f>SUM('3 pr-2'!L128)</f>
        <v>163532</v>
      </c>
      <c r="W126" s="504">
        <f>SUM('3 pr-2'!AA128)</f>
        <v>139002</v>
      </c>
    </row>
    <row r="127" spans="1:23" ht="51.75" thickBot="1">
      <c r="A127" s="130" t="str">
        <f>CONCATENATE('3 pr-2'!A129)</f>
        <v>2.1.2.1.8</v>
      </c>
      <c r="B127" s="130" t="str">
        <f>CONCATENATE('3 pr-2'!B129)</f>
        <v>R01-6609-104700-2218</v>
      </c>
      <c r="C127" s="311" t="str">
        <f>CONCATENATE('3 pr-2'!D129)</f>
        <v>UAB "Druskininkų šeimos klinika" asmens sveikatos priežiūros paslaugų prieinamumo ir efektyvumo didinimas</v>
      </c>
      <c r="D127" s="311" t="str">
        <f>CONCATENATE('3 pr-2'!E129)</f>
        <v>UAB „Druskininkų šeimos klinika“</v>
      </c>
      <c r="E127" s="311" t="str">
        <f>CONCATENATE('3 pr-2'!F129)</f>
        <v>Lietuvos Respublikos Sveikatos apsaugos ministerija</v>
      </c>
      <c r="F127" s="311" t="str">
        <f>CONCATENATE('3 pr-2'!G129)</f>
        <v>Druskininkų sav.</v>
      </c>
      <c r="G127" s="130" t="str">
        <f>CONCATENATE('3 pr-2'!H129)</f>
        <v>08.1.3-CPVA-R-609</v>
      </c>
      <c r="H127" s="130" t="str">
        <f>CONCATENATE('3 pr-2'!I129)</f>
        <v>R</v>
      </c>
      <c r="I127" s="130" t="str">
        <f>CONCATENATE('3 pr-2'!J129)</f>
        <v>-</v>
      </c>
      <c r="J127" s="130" t="str">
        <f>CONCATENATE('3 pr-2'!K129)</f>
        <v>-</v>
      </c>
      <c r="K127" s="130" t="str">
        <f>MID('3 pr-2'!B129,10,2)</f>
        <v>10</v>
      </c>
      <c r="L127" s="130" t="str">
        <f>IFERROR(INDEX(Veiklos!$C$2:$C$54,MATCH(K127,Veiklos!$D$2:$D$54,0),1),"")</f>
        <v>Viešojo transporto priemonių įsigijimas</v>
      </c>
      <c r="M127" s="130" t="str">
        <f>MID('3 pr-2'!B129,12,2)</f>
        <v>47</v>
      </c>
      <c r="N127" s="130" t="str">
        <f>IFERROR(INDEX(Veiklos!$C$2:$C$54,MATCH(M127,Veiklos!$D$2:$D$54,0),1),"")</f>
        <v>Sveikatos paslaugų plėtra (ne infrastruktūra)</v>
      </c>
      <c r="O127" s="130" t="str">
        <f>MID('3 pr-2'!B129,14,2)</f>
        <v>00</v>
      </c>
      <c r="P127" s="130">
        <f>IFERROR(INDEX(Veiklos!$C$2:$C$54,MATCH(O127,Veiklos!$D$2:$D$54,0),1),"")</f>
        <v>0</v>
      </c>
      <c r="Q127" s="130"/>
      <c r="R127" s="130"/>
      <c r="S127" s="130"/>
      <c r="T127" s="130"/>
      <c r="U127" s="316">
        <v>1</v>
      </c>
      <c r="V127" s="504">
        <f>SUM('3 pr-2'!L129)</f>
        <v>12289</v>
      </c>
      <c r="W127" s="504">
        <f>SUM('3 pr-2'!AA129)</f>
        <v>10445</v>
      </c>
    </row>
    <row r="128" spans="1:23" ht="64.5" thickBot="1">
      <c r="A128" s="130" t="str">
        <f>CONCATENATE('3 pr-2'!A130)</f>
        <v>2.1.2.1.9</v>
      </c>
      <c r="B128" s="130" t="str">
        <f>CONCATENATE('3 pr-2'!B130)</f>
        <v>R01-6609-274710-2219</v>
      </c>
      <c r="C128" s="311" t="str">
        <f>CONCATENATE('3 pr-2'!D130)</f>
        <v>I. S. Kavaliauskienės įmonės teikiamų pirminės ambulatorinės asmens sveikatos priežiūros paslaugų kokybės ir prieinamumo gerinimas</v>
      </c>
      <c r="D128" s="311" t="str">
        <f>CONCATENATE('3 pr-2'!E130)</f>
        <v>Irenos Stanislavos Kavaliauskienės įmonė</v>
      </c>
      <c r="E128" s="311" t="str">
        <f>CONCATENATE('3 pr-2'!F130)</f>
        <v>Lietuvos Respublikos Sveikatos apsaugos ministerija</v>
      </c>
      <c r="F128" s="311" t="str">
        <f>CONCATENATE('3 pr-2'!G130)</f>
        <v>Druskininkų sav.</v>
      </c>
      <c r="G128" s="130" t="str">
        <f>CONCATENATE('3 pr-2'!H130)</f>
        <v>08.1.3-CPVA-R-609</v>
      </c>
      <c r="H128" s="130" t="str">
        <f>CONCATENATE('3 pr-2'!I130)</f>
        <v>R</v>
      </c>
      <c r="I128" s="130" t="str">
        <f>CONCATENATE('3 pr-2'!J130)</f>
        <v>-</v>
      </c>
      <c r="J128" s="130" t="str">
        <f>CONCATENATE('3 pr-2'!K130)</f>
        <v>-</v>
      </c>
      <c r="K128" s="130" t="str">
        <f>MID('3 pr-2'!B130,10,2)</f>
        <v>27</v>
      </c>
      <c r="L128" s="130" t="str">
        <f>IFERROR(INDEX(Veiklos!$C$2:$C$54,MATCH(K128,Veiklos!$D$2:$D$54,0),1),"")</f>
        <v>Socialinių ir sveikatos paslaugų infrastruktūra</v>
      </c>
      <c r="M128" s="130" t="str">
        <f>MID('3 pr-2'!B130,12,2)</f>
        <v>47</v>
      </c>
      <c r="N128" s="130" t="str">
        <f>IFERROR(INDEX(Veiklos!$C$2:$C$54,MATCH(M128,Veiklos!$D$2:$D$54,0),1),"")</f>
        <v>Sveikatos paslaugų plėtra (ne infrastruktūra)</v>
      </c>
      <c r="O128" s="130" t="str">
        <f>MID('3 pr-2'!B130,14,2)</f>
        <v>10</v>
      </c>
      <c r="P128" s="130" t="str">
        <f>IFERROR(INDEX(Veiklos!$C$2:$C$54,MATCH(O128,Veiklos!$D$2:$D$54,0),1),"")</f>
        <v>Viešojo transporto priemonių įsigijimas</v>
      </c>
      <c r="Q128" s="130"/>
      <c r="R128" s="130"/>
      <c r="S128" s="130"/>
      <c r="T128" s="130"/>
      <c r="U128" s="316">
        <v>1</v>
      </c>
      <c r="V128" s="504">
        <f>SUM('3 pr-2'!L130)</f>
        <v>25517</v>
      </c>
      <c r="W128" s="504">
        <f>SUM('3 pr-2'!AA130)</f>
        <v>21689.45</v>
      </c>
    </row>
    <row r="129" spans="1:23" ht="64.5" thickBot="1">
      <c r="A129" s="130" t="str">
        <f>CONCATENATE('3 pr-2'!A131)</f>
        <v>2.1.2.1.10</v>
      </c>
      <c r="B129" s="130" t="str">
        <f>CONCATENATE('3 pr-2'!B131)</f>
        <v>R01-6609-274710-2220</v>
      </c>
      <c r="C129" s="311" t="str">
        <f>CONCATENATE('3 pr-2'!D131)</f>
        <v>Pirminės ambulatorinės asmens sveikatos priežiūros efektyvumo didinimas R. Ambrazaitienės ir L. Puzinovienės šeimos gydytojų kabinetuose</v>
      </c>
      <c r="D129" s="311" t="str">
        <f>CONCATENATE('3 pr-2'!E131)</f>
        <v>UAB „Rasos Ambrazaitienės šeimos gydytojo kabinetas“</v>
      </c>
      <c r="E129" s="311" t="str">
        <f>CONCATENATE('3 pr-2'!F131)</f>
        <v>Lietuvos Respublikos Sveikatos apsaugos ministerija</v>
      </c>
      <c r="F129" s="311" t="str">
        <f>CONCATENATE('3 pr-2'!G131)</f>
        <v>Druskininkų sav.</v>
      </c>
      <c r="G129" s="130" t="str">
        <f>CONCATENATE('3 pr-2'!H131)</f>
        <v>08.1.3-CPVA-R-609</v>
      </c>
      <c r="H129" s="130" t="str">
        <f>CONCATENATE('3 pr-2'!I131)</f>
        <v>R</v>
      </c>
      <c r="I129" s="130" t="str">
        <f>CONCATENATE('3 pr-2'!J131)</f>
        <v>-</v>
      </c>
      <c r="J129" s="130" t="str">
        <f>CONCATENATE('3 pr-2'!K131)</f>
        <v>-</v>
      </c>
      <c r="K129" s="130" t="str">
        <f>MID('3 pr-2'!B131,10,2)</f>
        <v>27</v>
      </c>
      <c r="L129" s="130" t="str">
        <f>IFERROR(INDEX(Veiklos!$C$2:$C$54,MATCH(K129,Veiklos!$D$2:$D$54,0),1),"")</f>
        <v>Socialinių ir sveikatos paslaugų infrastruktūra</v>
      </c>
      <c r="M129" s="130" t="str">
        <f>MID('3 pr-2'!B131,12,2)</f>
        <v>47</v>
      </c>
      <c r="N129" s="130" t="str">
        <f>IFERROR(INDEX(Veiklos!$C$2:$C$54,MATCH(M129,Veiklos!$D$2:$D$54,0),1),"")</f>
        <v>Sveikatos paslaugų plėtra (ne infrastruktūra)</v>
      </c>
      <c r="O129" s="130" t="str">
        <f>MID('3 pr-2'!B131,14,2)</f>
        <v>10</v>
      </c>
      <c r="P129" s="130" t="str">
        <f>IFERROR(INDEX(Veiklos!$C$2:$C$54,MATCH(O129,Veiklos!$D$2:$D$54,0),1),"")</f>
        <v>Viešojo transporto priemonių įsigijimas</v>
      </c>
      <c r="Q129" s="130"/>
      <c r="R129" s="130"/>
      <c r="S129" s="130"/>
      <c r="T129" s="130"/>
      <c r="U129" s="316">
        <v>1</v>
      </c>
      <c r="V129" s="504">
        <f>SUM('3 pr-2'!L131)</f>
        <v>27906</v>
      </c>
      <c r="W129" s="504">
        <f>SUM('3 pr-2'!AA131)</f>
        <v>23720</v>
      </c>
    </row>
    <row r="130" spans="1:23" ht="51.75" thickBot="1">
      <c r="A130" s="130" t="str">
        <f>CONCATENATE('3 pr-2'!A132)</f>
        <v>2.1.2.1.11</v>
      </c>
      <c r="B130" s="130" t="str">
        <f>CONCATENATE('3 pr-2'!B132)</f>
        <v>R01-6609-274700-2221</v>
      </c>
      <c r="C130" s="311" t="str">
        <f>CONCATENATE('3 pr-2'!D132)</f>
        <v>Pirminės asmens sveikatos priežiūros veiklos efektyvumo didinimas Lazdijų rajono savivaldybėje</v>
      </c>
      <c r="D130" s="311" t="str">
        <f>CONCATENATE('3 pr-2'!E132)</f>
        <v>Lazdijų rajono savivaldybės administracija</v>
      </c>
      <c r="E130" s="311" t="str">
        <f>CONCATENATE('3 pr-2'!F132)</f>
        <v>Lietuvos Respublikos Sveikatos apsaugos ministerija</v>
      </c>
      <c r="F130" s="311" t="str">
        <f>CONCATENATE('3 pr-2'!G132)</f>
        <v>Lazdijų r. sav.</v>
      </c>
      <c r="G130" s="130" t="str">
        <f>CONCATENATE('3 pr-2'!H132)</f>
        <v>08.1.3-CPVA-R-609</v>
      </c>
      <c r="H130" s="130" t="str">
        <f>CONCATENATE('3 pr-2'!I132)</f>
        <v>R</v>
      </c>
      <c r="I130" s="130" t="str">
        <f>CONCATENATE('3 pr-2'!J132)</f>
        <v>-</v>
      </c>
      <c r="J130" s="130" t="str">
        <f>CONCATENATE('3 pr-2'!K132)</f>
        <v>-</v>
      </c>
      <c r="K130" s="130" t="str">
        <f>MID('3 pr-2'!B132,10,2)</f>
        <v>27</v>
      </c>
      <c r="L130" s="130" t="str">
        <f>IFERROR(INDEX(Veiklos!$C$2:$C$54,MATCH(K130,Veiklos!$D$2:$D$54,0),1),"")</f>
        <v>Socialinių ir sveikatos paslaugų infrastruktūra</v>
      </c>
      <c r="M130" s="130" t="str">
        <f>MID('3 pr-2'!B132,12,2)</f>
        <v>47</v>
      </c>
      <c r="N130" s="130" t="str">
        <f>IFERROR(INDEX(Veiklos!$C$2:$C$54,MATCH(M130,Veiklos!$D$2:$D$54,0),1),"")</f>
        <v>Sveikatos paslaugų plėtra (ne infrastruktūra)</v>
      </c>
      <c r="O130" s="130" t="str">
        <f>MID('3 pr-2'!B132,14,2)</f>
        <v>00</v>
      </c>
      <c r="P130" s="130">
        <f>IFERROR(INDEX(Veiklos!$C$2:$C$54,MATCH(O130,Veiklos!$D$2:$D$54,0),1),"")</f>
        <v>0</v>
      </c>
      <c r="Q130" s="130"/>
      <c r="R130" s="130"/>
      <c r="S130" s="130"/>
      <c r="T130" s="130"/>
      <c r="U130" s="316">
        <v>1</v>
      </c>
      <c r="V130" s="504">
        <f>SUM('3 pr-2'!L132)</f>
        <v>192719</v>
      </c>
      <c r="W130" s="504">
        <f>SUM('3 pr-2'!AA132)</f>
        <v>163811</v>
      </c>
    </row>
    <row r="131" spans="1:23" ht="64.5" thickBot="1">
      <c r="A131" s="130" t="str">
        <f>CONCATENATE('3 pr-2'!A133)</f>
        <v>2.1.2.1.12</v>
      </c>
      <c r="B131" s="130" t="str">
        <f>CONCATENATE('3 pr-2'!B133)</f>
        <v>R01-6609-274710-2222</v>
      </c>
      <c r="C131" s="311" t="str">
        <f>CONCATENATE('3 pr-2'!D133)</f>
        <v>Pirminės asmens sveikatos priežiūros veiklos efektyvumo didinimas Varėnos rajono savivaldybėje</v>
      </c>
      <c r="D131" s="311" t="str">
        <f>CONCATENATE('3 pr-2'!E133)</f>
        <v>VšĮ Varėnos pirminės sveikatos priežiūros centras</v>
      </c>
      <c r="E131" s="311" t="str">
        <f>CONCATENATE('3 pr-2'!F133)</f>
        <v>Lietuvos Respublikos Sveikatos apsaugos ministerija</v>
      </c>
      <c r="F131" s="311" t="str">
        <f>CONCATENATE('3 pr-2'!G133)</f>
        <v>Varėnos r. sav.</v>
      </c>
      <c r="G131" s="130" t="str">
        <f>CONCATENATE('3 pr-2'!H133)</f>
        <v>08.1.3-CPVA-R-609</v>
      </c>
      <c r="H131" s="130" t="str">
        <f>CONCATENATE('3 pr-2'!I133)</f>
        <v>R</v>
      </c>
      <c r="I131" s="130" t="str">
        <f>CONCATENATE('3 pr-2'!J133)</f>
        <v>-</v>
      </c>
      <c r="J131" s="130" t="str">
        <f>CONCATENATE('3 pr-2'!K133)</f>
        <v>-</v>
      </c>
      <c r="K131" s="130" t="str">
        <f>MID('3 pr-2'!B133,10,2)</f>
        <v>27</v>
      </c>
      <c r="L131" s="130" t="str">
        <f>IFERROR(INDEX(Veiklos!$C$2:$C$54,MATCH(K131,Veiklos!$D$2:$D$54,0),1),"")</f>
        <v>Socialinių ir sveikatos paslaugų infrastruktūra</v>
      </c>
      <c r="M131" s="130" t="str">
        <f>MID('3 pr-2'!B133,12,2)</f>
        <v>47</v>
      </c>
      <c r="N131" s="130" t="str">
        <f>IFERROR(INDEX(Veiklos!$C$2:$C$54,MATCH(M131,Veiklos!$D$2:$D$54,0),1),"")</f>
        <v>Sveikatos paslaugų plėtra (ne infrastruktūra)</v>
      </c>
      <c r="O131" s="130" t="str">
        <f>MID('3 pr-2'!B133,14,2)</f>
        <v>10</v>
      </c>
      <c r="P131" s="130" t="str">
        <f>IFERROR(INDEX(Veiklos!$C$2:$C$54,MATCH(O131,Veiklos!$D$2:$D$54,0),1),"")</f>
        <v>Viešojo transporto priemonių įsigijimas</v>
      </c>
      <c r="Q131" s="130"/>
      <c r="R131" s="130"/>
      <c r="S131" s="130"/>
      <c r="T131" s="130"/>
      <c r="U131" s="316">
        <v>1</v>
      </c>
      <c r="V131" s="504">
        <f>SUM('3 pr-2'!L133)</f>
        <v>192678</v>
      </c>
      <c r="W131" s="504">
        <f>SUM('3 pr-2'!AA133)</f>
        <v>163776</v>
      </c>
    </row>
    <row r="132" spans="1:23" ht="51.75" thickBot="1">
      <c r="A132" s="130" t="str">
        <f>CONCATENATE('3 pr-2'!A134)</f>
        <v>2.1.2.1.13</v>
      </c>
      <c r="B132" s="130" t="str">
        <f>CONCATENATE('3 pr-2'!B134)</f>
        <v>R01-6609-470000-2223</v>
      </c>
      <c r="C132" s="311" t="str">
        <f>CONCATENATE('3 pr-2'!D134)</f>
        <v>Pirminės asmens sveikatos priežiūros veiklos efektyvumo didinimas N. Jarašienės personalinėje įmonėje</v>
      </c>
      <c r="D132" s="311" t="str">
        <f>CONCATENATE('3 pr-2'!E134)</f>
        <v>N. Jarašienės personalinė įmonė</v>
      </c>
      <c r="E132" s="311" t="str">
        <f>CONCATENATE('3 pr-2'!F134)</f>
        <v>Lietuvos Respublikos Sveikatos apsaugos ministerija</v>
      </c>
      <c r="F132" s="311" t="str">
        <f>CONCATENATE('3 pr-2'!G134)</f>
        <v>Varėnos r. sav.</v>
      </c>
      <c r="G132" s="130" t="str">
        <f>CONCATENATE('3 pr-2'!H134)</f>
        <v>08.1.3-CPVA-R-609</v>
      </c>
      <c r="H132" s="130" t="str">
        <f>CONCATENATE('3 pr-2'!I134)</f>
        <v>R</v>
      </c>
      <c r="I132" s="130" t="str">
        <f>CONCATENATE('3 pr-2'!J134)</f>
        <v>-</v>
      </c>
      <c r="J132" s="130" t="str">
        <f>CONCATENATE('3 pr-2'!K134)</f>
        <v>-</v>
      </c>
      <c r="K132" s="130" t="str">
        <f>MID('3 pr-2'!B134,10,2)</f>
        <v>47</v>
      </c>
      <c r="L132" s="130" t="str">
        <f>IFERROR(INDEX(Veiklos!$C$2:$C$54,MATCH(K132,Veiklos!$D$2:$D$54,0),1),"")</f>
        <v>Sveikatos paslaugų plėtra (ne infrastruktūra)</v>
      </c>
      <c r="M132" s="130" t="str">
        <f>MID('3 pr-2'!B134,12,2)</f>
        <v>00</v>
      </c>
      <c r="N132" s="130">
        <f>IFERROR(INDEX(Veiklos!$C$2:$C$54,MATCH(M132,Veiklos!$D$2:$D$54,0),1),"")</f>
        <v>0</v>
      </c>
      <c r="O132" s="130" t="str">
        <f>MID('3 pr-2'!B134,14,2)</f>
        <v>00</v>
      </c>
      <c r="P132" s="130">
        <f>IFERROR(INDEX(Veiklos!$C$2:$C$54,MATCH(O132,Veiklos!$D$2:$D$54,0),1),"")</f>
        <v>0</v>
      </c>
      <c r="Q132" s="130"/>
      <c r="R132" s="130"/>
      <c r="S132" s="130"/>
      <c r="T132" s="130"/>
      <c r="U132" s="316">
        <v>1</v>
      </c>
      <c r="V132" s="504">
        <f>SUM('3 pr-2'!L134)</f>
        <v>8305</v>
      </c>
      <c r="W132" s="504">
        <f>SUM('3 pr-2'!AA134)</f>
        <v>7059</v>
      </c>
    </row>
    <row r="133" spans="1:23" ht="38.25" customHeight="1" thickBot="1">
      <c r="A133" s="295" t="s">
        <v>34</v>
      </c>
      <c r="B133" s="425"/>
      <c r="C133" s="1931" t="str">
        <f>CONCATENATE('3 pr-2'!D135)</f>
        <v/>
      </c>
      <c r="D133" s="1929"/>
      <c r="E133" s="1929"/>
      <c r="F133" s="1929"/>
      <c r="G133" s="1929"/>
      <c r="H133" s="1929"/>
      <c r="I133" s="1929"/>
      <c r="J133" s="1930"/>
      <c r="K133" s="508"/>
      <c r="L133" s="509"/>
      <c r="M133" s="510"/>
      <c r="N133" s="509"/>
      <c r="O133" s="510"/>
      <c r="P133" s="509"/>
      <c r="Q133" s="510"/>
      <c r="R133" s="509"/>
      <c r="S133" s="510"/>
      <c r="T133" s="509"/>
      <c r="U133" s="537"/>
      <c r="V133" s="502">
        <f>SUM(V134:V138)</f>
        <v>994984.5399999998</v>
      </c>
      <c r="W133" s="502">
        <f>SUM(W134:W138)</f>
        <v>845736.85</v>
      </c>
    </row>
    <row r="134" spans="1:23" ht="64.5" thickBot="1">
      <c r="A134" s="130" t="str">
        <f>CONCATENATE('3 pr-2'!A136)</f>
        <v>2.1.2.2.1</v>
      </c>
      <c r="B134" s="130" t="str">
        <f>CONCATENATE('3 pr-2'!B136)</f>
        <v>R01-6630-475000-2221</v>
      </c>
      <c r="C134" s="311" t="str">
        <f>CONCATENATE('3 pr-2'!D136)</f>
        <v>Sveikos gyvensenos skatinimas Alytaus rajone</v>
      </c>
      <c r="D134" s="311" t="str">
        <f>CONCATENATE('3 pr-2'!E136)</f>
        <v>Alytaus rajono savivaldybės visuomenės sveikatos biuras</v>
      </c>
      <c r="E134" s="311" t="str">
        <f>CONCATENATE('3 pr-2'!F136)</f>
        <v>Lietuvos Respublikos Sveikatos apsaugos ministerija</v>
      </c>
      <c r="F134" s="311" t="str">
        <f>CONCATENATE('3 pr-2'!G136)</f>
        <v>Alytaus r. sav.</v>
      </c>
      <c r="G134" s="130" t="str">
        <f>CONCATENATE('3 pr-2'!H136)</f>
        <v>08.4.2-ESFA-R-630</v>
      </c>
      <c r="H134" s="130" t="str">
        <f>CONCATENATE('3 pr-2'!I136)</f>
        <v>R</v>
      </c>
      <c r="I134" s="130" t="str">
        <f>CONCATENATE('3 pr-2'!J136)</f>
        <v>-</v>
      </c>
      <c r="J134" s="130" t="str">
        <f>CONCATENATE('3 pr-2'!K136)</f>
        <v>-</v>
      </c>
      <c r="K134" s="130" t="str">
        <f>MID('3 pr-2'!B136,10,2)</f>
        <v>47</v>
      </c>
      <c r="L134" s="130" t="str">
        <f>IFERROR(INDEX(Veiklos!$C$2:$C$54,MATCH(K134,Veiklos!$D$2:$D$54,0),1),"")</f>
        <v>Sveikatos paslaugų plėtra (ne infrastruktūra)</v>
      </c>
      <c r="M134" s="130" t="str">
        <f>MID('3 pr-2'!B136,12,2)</f>
        <v>50</v>
      </c>
      <c r="N134" s="130" t="str">
        <f>IFERROR(INDEX(Veiklos!$C$2:$C$54,MATCH(M134,Veiklos!$D$2:$D$54,0),1),"")</f>
        <v>Kita (nepriskirta kitoms grupėms) viešoji infrastruktūra ar paslaugos</v>
      </c>
      <c r="O134" s="130" t="str">
        <f>MID('3 pr-2'!B136,14,2)</f>
        <v>00</v>
      </c>
      <c r="P134" s="130">
        <f>IFERROR(INDEX(Veiklos!$C$2:$C$54,MATCH(O134,Veiklos!$D$2:$D$54,0),1),"")</f>
        <v>0</v>
      </c>
      <c r="Q134" s="130"/>
      <c r="R134" s="130"/>
      <c r="S134" s="130"/>
      <c r="T134" s="130"/>
      <c r="U134" s="316">
        <v>1</v>
      </c>
      <c r="V134" s="504">
        <f>SUM('3 pr-2'!L136)</f>
        <v>198997.18</v>
      </c>
      <c r="W134" s="504">
        <f>SUM('3 pr-2'!AA136)</f>
        <v>169147.6</v>
      </c>
    </row>
    <row r="135" spans="1:23" ht="39" thickBot="1">
      <c r="A135" s="130" t="str">
        <f>CONCATENATE('3 pr-2'!A137)</f>
        <v>2.1.2.2.2</v>
      </c>
      <c r="B135" s="130" t="str">
        <f>CONCATENATE('3 pr-2'!B137)</f>
        <v>R01-6630-470000-2222</v>
      </c>
      <c r="C135" s="311" t="str">
        <f>CONCATENATE('3 pr-2'!D137)</f>
        <v>Mažais žingsneliais – sveikos gyvensenos link</v>
      </c>
      <c r="D135" s="311" t="str">
        <f>CONCATENATE('3 pr-2'!E137)</f>
        <v>Alytaus miesto savivaldybės administracija</v>
      </c>
      <c r="E135" s="311" t="str">
        <f>CONCATENATE('3 pr-2'!F137)</f>
        <v>Lietuvos Respublikos Sveikatos apsaugos ministerija</v>
      </c>
      <c r="F135" s="311" t="str">
        <f>CONCATENATE('3 pr-2'!G137)</f>
        <v>Alytaus m. sav.</v>
      </c>
      <c r="G135" s="130" t="str">
        <f>CONCATENATE('3 pr-2'!H137)</f>
        <v>08.4.2-ESFA-R-630</v>
      </c>
      <c r="H135" s="130" t="str">
        <f>CONCATENATE('3 pr-2'!I137)</f>
        <v>R</v>
      </c>
      <c r="I135" s="130" t="str">
        <f>CONCATENATE('3 pr-2'!J137)</f>
        <v>-</v>
      </c>
      <c r="J135" s="130" t="str">
        <f>CONCATENATE('3 pr-2'!K137)</f>
        <v>-</v>
      </c>
      <c r="K135" s="130" t="str">
        <f>MID('3 pr-2'!B137,10,2)</f>
        <v>47</v>
      </c>
      <c r="L135" s="130" t="str">
        <f>IFERROR(INDEX(Veiklos!$C$2:$C$54,MATCH(K135,Veiklos!$D$2:$D$54,0),1),"")</f>
        <v>Sveikatos paslaugų plėtra (ne infrastruktūra)</v>
      </c>
      <c r="M135" s="130" t="str">
        <f>MID('3 pr-2'!B137,12,2)</f>
        <v>00</v>
      </c>
      <c r="N135" s="130">
        <f>IFERROR(INDEX(Veiklos!$C$2:$C$54,MATCH(M135,Veiklos!$D$2:$D$54,0),1),"")</f>
        <v>0</v>
      </c>
      <c r="O135" s="130" t="str">
        <f>MID('3 pr-2'!B137,14,2)</f>
        <v>00</v>
      </c>
      <c r="P135" s="130">
        <f>IFERROR(INDEX(Veiklos!$C$2:$C$54,MATCH(O135,Veiklos!$D$2:$D$54,0),1),"")</f>
        <v>0</v>
      </c>
      <c r="Q135" s="130"/>
      <c r="R135" s="130"/>
      <c r="S135" s="130"/>
      <c r="T135" s="130"/>
      <c r="U135" s="316">
        <v>1</v>
      </c>
      <c r="V135" s="504">
        <f>SUM('3 pr-2'!L137)</f>
        <v>198996</v>
      </c>
      <c r="W135" s="504">
        <f>SUM('3 pr-2'!AA137)</f>
        <v>169146.6</v>
      </c>
    </row>
    <row r="136" spans="1:23" ht="64.5" thickBot="1">
      <c r="A136" s="130" t="str">
        <f>CONCATENATE('3 pr-2'!A138)</f>
        <v>2.1.2.2.3</v>
      </c>
      <c r="B136" s="130" t="str">
        <f>CONCATENATE('3 pr-2'!B138)</f>
        <v>R01-6630-470000-2223</v>
      </c>
      <c r="C136" s="311" t="str">
        <f>CONCATENATE('3 pr-2'!D138)</f>
        <v>Sveikos gyvensenos skatinimas Varėnos rajono savivaldybėje</v>
      </c>
      <c r="D136" s="311" t="str">
        <f>CONCATENATE('3 pr-2'!E138)</f>
        <v>Varėnos rajono savivaldybės visuomenės sveikatos biuras</v>
      </c>
      <c r="E136" s="311" t="str">
        <f>CONCATENATE('3 pr-2'!F138)</f>
        <v>Lietuvos Respublikos Sveikatos apsaugos ministerija</v>
      </c>
      <c r="F136" s="311" t="str">
        <f>CONCATENATE('3 pr-2'!G138)</f>
        <v>Varėnos r. sav.</v>
      </c>
      <c r="G136" s="130" t="str">
        <f>CONCATENATE('3 pr-2'!H138)</f>
        <v>08.4.2-ESFA-R-630</v>
      </c>
      <c r="H136" s="130" t="str">
        <f>CONCATENATE('3 pr-2'!I138)</f>
        <v>R</v>
      </c>
      <c r="I136" s="130" t="str">
        <f>CONCATENATE('3 pr-2'!J138)</f>
        <v>-</v>
      </c>
      <c r="J136" s="130" t="str">
        <f>CONCATENATE('3 pr-2'!K138)</f>
        <v>-</v>
      </c>
      <c r="K136" s="130" t="str">
        <f>MID('3 pr-2'!B138,10,2)</f>
        <v>47</v>
      </c>
      <c r="L136" s="130" t="str">
        <f>IFERROR(INDEX(Veiklos!$C$2:$C$54,MATCH(K136,Veiklos!$D$2:$D$54,0),1),"")</f>
        <v>Sveikatos paslaugų plėtra (ne infrastruktūra)</v>
      </c>
      <c r="M136" s="130" t="str">
        <f>MID('3 pr-2'!B138,12,2)</f>
        <v>00</v>
      </c>
      <c r="N136" s="130">
        <f>IFERROR(INDEX(Veiklos!$C$2:$C$54,MATCH(M136,Veiklos!$D$2:$D$54,0),1),"")</f>
        <v>0</v>
      </c>
      <c r="O136" s="130" t="str">
        <f>MID('3 pr-2'!B138,14,2)</f>
        <v>00</v>
      </c>
      <c r="P136" s="130">
        <f>IFERROR(INDEX(Veiklos!$C$2:$C$54,MATCH(O136,Veiklos!$D$2:$D$54,0),1),"")</f>
        <v>0</v>
      </c>
      <c r="Q136" s="130"/>
      <c r="R136" s="130"/>
      <c r="S136" s="130"/>
      <c r="T136" s="130"/>
      <c r="U136" s="316">
        <v>1</v>
      </c>
      <c r="V136" s="504">
        <f>SUM('3 pr-2'!L138)</f>
        <v>198997</v>
      </c>
      <c r="W136" s="504">
        <f>SUM('3 pr-2'!AA138)</f>
        <v>169147.45</v>
      </c>
    </row>
    <row r="137" spans="1:23" ht="64.5" thickBot="1">
      <c r="A137" s="130" t="str">
        <f>CONCATENATE('3 pr-2'!A139)</f>
        <v>2.1.2.2.4.</v>
      </c>
      <c r="B137" s="130" t="str">
        <f>CONCATENATE('3 pr-2'!B139)</f>
        <v>R01-6630-470000-2224</v>
      </c>
      <c r="C137" s="311" t="str">
        <f>CONCATENATE('3 pr-2'!D139)</f>
        <v>Sveika bendruomenė – stipri visuomenė</v>
      </c>
      <c r="D137" s="311" t="str">
        <f>CONCATENATE('3 pr-2'!E139)</f>
        <v>Druskininkų savivaldybės visuomenės sveikatos biuras</v>
      </c>
      <c r="E137" s="311" t="str">
        <f>CONCATENATE('3 pr-2'!F139)</f>
        <v>Lietuvos Respublikos Sveikatos apsaugos ministerija</v>
      </c>
      <c r="F137" s="311" t="str">
        <f>CONCATENATE('3 pr-2'!G139)</f>
        <v>Druskininkų sav.</v>
      </c>
      <c r="G137" s="130" t="str">
        <f>CONCATENATE('3 pr-2'!H139)</f>
        <v>08.4.2-ESFA-R-630</v>
      </c>
      <c r="H137" s="130" t="str">
        <f>CONCATENATE('3 pr-2'!I139)</f>
        <v>R</v>
      </c>
      <c r="I137" s="130" t="str">
        <f>CONCATENATE('3 pr-2'!J139)</f>
        <v>-</v>
      </c>
      <c r="J137" s="130" t="str">
        <f>CONCATENATE('3 pr-2'!K139)</f>
        <v>-</v>
      </c>
      <c r="K137" s="130" t="str">
        <f>MID('3 pr-2'!B139,10,2)</f>
        <v>47</v>
      </c>
      <c r="L137" s="130" t="str">
        <f>IFERROR(INDEX(Veiklos!$C$2:$C$54,MATCH(K137,Veiklos!$D$2:$D$54,0),1),"")</f>
        <v>Sveikatos paslaugų plėtra (ne infrastruktūra)</v>
      </c>
      <c r="M137" s="130" t="str">
        <f>MID('3 pr-2'!B139,12,2)</f>
        <v>00</v>
      </c>
      <c r="N137" s="130">
        <f>IFERROR(INDEX(Veiklos!$C$2:$C$54,MATCH(M137,Veiklos!$D$2:$D$54,0),1),"")</f>
        <v>0</v>
      </c>
      <c r="O137" s="130" t="str">
        <f>MID('3 pr-2'!B139,14,2)</f>
        <v>00</v>
      </c>
      <c r="P137" s="130">
        <f>IFERROR(INDEX(Veiklos!$C$2:$C$54,MATCH(O137,Veiklos!$D$2:$D$54,0),1),"")</f>
        <v>0</v>
      </c>
      <c r="Q137" s="130"/>
      <c r="R137" s="130"/>
      <c r="S137" s="130"/>
      <c r="T137" s="130"/>
      <c r="U137" s="316">
        <v>1</v>
      </c>
      <c r="V137" s="504">
        <f>SUM('3 pr-2'!L139)</f>
        <v>198997.18</v>
      </c>
      <c r="W137" s="504">
        <f>SUM('3 pr-2'!AA139)</f>
        <v>169147.6</v>
      </c>
    </row>
    <row r="138" spans="1:23" ht="64.5" thickBot="1">
      <c r="A138" s="130" t="str">
        <f>CONCATENATE('3 pr-2'!A140)</f>
        <v>2.1.2.2.5</v>
      </c>
      <c r="B138" s="130" t="str">
        <f>CONCATENATE('3 pr-2'!B140)</f>
        <v>R01-6630-470000-2225</v>
      </c>
      <c r="C138" s="311" t="str">
        <f>CONCATENATE('3 pr-2'!D140)</f>
        <v>Sveikos gyvensenos skatinimas Lazdijų rajono savivaldybėje</v>
      </c>
      <c r="D138" s="311" t="str">
        <f>CONCATENATE('3 pr-2'!E140)</f>
        <v>Lazdijų rajono savivaldybės visuomenės sveikatos biuras</v>
      </c>
      <c r="E138" s="311" t="str">
        <f>CONCATENATE('3 pr-2'!F140)</f>
        <v>Lietuvos Respublikos Sveikatos apsaugos ministerija</v>
      </c>
      <c r="F138" s="311" t="str">
        <f>CONCATENATE('3 pr-2'!G140)</f>
        <v>Lazdijų r. sav.</v>
      </c>
      <c r="G138" s="130" t="str">
        <f>CONCATENATE('3 pr-2'!H140)</f>
        <v>08.4.2-ESFA-R-630</v>
      </c>
      <c r="H138" s="130" t="str">
        <f>CONCATENATE('3 pr-2'!I140)</f>
        <v>R</v>
      </c>
      <c r="I138" s="130" t="str">
        <f>CONCATENATE('3 pr-2'!J140)</f>
        <v>-</v>
      </c>
      <c r="J138" s="130" t="str">
        <f>CONCATENATE('3 pr-2'!K140)</f>
        <v>-</v>
      </c>
      <c r="K138" s="130" t="str">
        <f>MID('3 pr-2'!B140,10,2)</f>
        <v>47</v>
      </c>
      <c r="L138" s="130" t="str">
        <f>IFERROR(INDEX(Veiklos!$C$2:$C$54,MATCH(K138,Veiklos!$D$2:$D$54,0),1),"")</f>
        <v>Sveikatos paslaugų plėtra (ne infrastruktūra)</v>
      </c>
      <c r="M138" s="130" t="str">
        <f>MID('3 pr-2'!B140,12,2)</f>
        <v>00</v>
      </c>
      <c r="N138" s="130">
        <f>IFERROR(INDEX(Veiklos!$C$2:$C$54,MATCH(M138,Veiklos!$D$2:$D$54,0),1),"")</f>
        <v>0</v>
      </c>
      <c r="O138" s="130" t="str">
        <f>MID('3 pr-2'!B140,14,2)</f>
        <v>00</v>
      </c>
      <c r="P138" s="130">
        <f>IFERROR(INDEX(Veiklos!$C$2:$C$54,MATCH(O138,Veiklos!$D$2:$D$54,0),1),"")</f>
        <v>0</v>
      </c>
      <c r="Q138" s="130"/>
      <c r="R138" s="130"/>
      <c r="S138" s="130"/>
      <c r="T138" s="130"/>
      <c r="U138" s="316">
        <v>1</v>
      </c>
      <c r="V138" s="504">
        <f>SUM('3 pr-2'!L140)</f>
        <v>198997.18</v>
      </c>
      <c r="W138" s="504">
        <f>SUM('3 pr-2'!AA140)</f>
        <v>169147.6</v>
      </c>
    </row>
    <row r="139" spans="1:23" ht="38.25" customHeight="1" thickBot="1">
      <c r="A139" s="295" t="str">
        <f>CONCATENATE('3 pr-2'!A141)</f>
        <v>2.1.2.3</v>
      </c>
      <c r="B139" s="130" t="str">
        <f>CONCATENATE('3 pr-2'!B141)</f>
        <v>Priemonė:
Priemonių, gerinančių ambulatorinių sveikatos priežiūros paslaugų prieinamumą tuberkulioze sergantiems pacientams, įgyvendinimas</v>
      </c>
      <c r="C139" s="1931" t="str">
        <f>CONCATENATE('3 pr-2'!D141)</f>
        <v/>
      </c>
      <c r="D139" s="1929"/>
      <c r="E139" s="1929"/>
      <c r="F139" s="1929"/>
      <c r="G139" s="1929"/>
      <c r="H139" s="1929"/>
      <c r="I139" s="1929"/>
      <c r="J139" s="1930"/>
      <c r="K139" s="508"/>
      <c r="L139" s="509"/>
      <c r="M139" s="510"/>
      <c r="N139" s="509"/>
      <c r="O139" s="510"/>
      <c r="P139" s="509"/>
      <c r="Q139" s="510"/>
      <c r="R139" s="509"/>
      <c r="S139" s="510"/>
      <c r="T139" s="509"/>
      <c r="U139" s="537"/>
      <c r="V139" s="502">
        <f>SUM(V140:V150)</f>
        <v>2389537.7800000003</v>
      </c>
      <c r="W139" s="502">
        <f>SUM(W140:W150)</f>
        <v>1701911.85</v>
      </c>
    </row>
    <row r="140" spans="1:23" ht="90" thickBot="1">
      <c r="A140" s="130" t="str">
        <f>CONCATENATE('3 pr-2'!A142)</f>
        <v>2.1.2.3.1</v>
      </c>
      <c r="B140" s="130" t="str">
        <f>CONCATENATE('3 pr-2'!B142)</f>
        <v>R01-6615-475000-2231</v>
      </c>
      <c r="C140" s="311" t="str">
        <f>CONCATENATE('3 pr-2'!D142)</f>
        <v>Priemonių, gerinančių ambulatorinių sveikatos priežiūros paslaugų prieinamumą tuberkulioze sergantiems asmenims, Alytaus rajone, įgyvendinimas</v>
      </c>
      <c r="D140" s="311" t="str">
        <f>CONCATENATE('3 pr-2'!E142)</f>
        <v>VšĮ Alytaus rajono savivaldybės pirminės sveikatos priežiūros centras</v>
      </c>
      <c r="E140" s="311" t="str">
        <f>CONCATENATE('3 pr-2'!F142)</f>
        <v>Lietuvos Respublikos Sveikatos apsaugos ministerija</v>
      </c>
      <c r="F140" s="311" t="str">
        <f>CONCATENATE('3 pr-2'!G142)</f>
        <v>Alytaus r. sav.</v>
      </c>
      <c r="G140" s="130" t="str">
        <f>CONCATENATE('3 pr-2'!H142)</f>
        <v>08.4.2-ESFA-R-615</v>
      </c>
      <c r="H140" s="130" t="str">
        <f>CONCATENATE('3 pr-2'!I142)</f>
        <v>R</v>
      </c>
      <c r="I140" s="130" t="str">
        <f>CONCATENATE('3 pr-2'!J142)</f>
        <v>-</v>
      </c>
      <c r="J140" s="130" t="str">
        <f>CONCATENATE('3 pr-2'!K142)</f>
        <v>-</v>
      </c>
      <c r="K140" s="130" t="str">
        <f>MID('3 pr-2'!B142,10,2)</f>
        <v>47</v>
      </c>
      <c r="L140" s="130" t="str">
        <f>IFERROR(INDEX(Veiklos!$C$2:$C$54,MATCH(K140,Veiklos!$D$2:$D$54,0),1),"")</f>
        <v>Sveikatos paslaugų plėtra (ne infrastruktūra)</v>
      </c>
      <c r="M140" s="130" t="str">
        <f>MID('3 pr-2'!B142,12,2)</f>
        <v>50</v>
      </c>
      <c r="N140" s="130" t="str">
        <f>IFERROR(INDEX(Veiklos!$C$2:$C$54,MATCH(M140,Veiklos!$D$2:$D$54,0),1),"")</f>
        <v>Kita (nepriskirta kitoms grupėms) viešoji infrastruktūra ar paslaugos</v>
      </c>
      <c r="O140" s="130" t="str">
        <f>MID('3 pr-2'!B142,14,2)</f>
        <v>00</v>
      </c>
      <c r="P140" s="130">
        <f>IFERROR(INDEX(Veiklos!$C$2:$C$54,MATCH(O140,Veiklos!$D$2:$D$54,0),1),"")</f>
        <v>0</v>
      </c>
      <c r="Q140" s="130"/>
      <c r="R140" s="130"/>
      <c r="S140" s="130"/>
      <c r="T140" s="130"/>
      <c r="U140" s="316">
        <v>1</v>
      </c>
      <c r="V140" s="504">
        <f>SUM('3 pr-2'!L142)</f>
        <v>10453</v>
      </c>
      <c r="W140" s="504">
        <f>SUM('3 pr-2'!AA142)</f>
        <v>8214.61</v>
      </c>
    </row>
    <row r="141" spans="1:23" ht="39" thickBot="1">
      <c r="A141" s="130" t="str">
        <f>CONCATENATE('3 pr-2'!A143)</f>
        <v>2.1.2.3.2</v>
      </c>
      <c r="B141" s="130" t="str">
        <f>CONCATENATE('3 pr-2'!B143)</f>
        <v>R01-6615-470000-2232</v>
      </c>
      <c r="C141" s="311" t="str">
        <f>CONCATENATE('3 pr-2'!D143)</f>
        <v>Ambulatorinių sveikatos priežiūros paslaugų gerinimas tuberkulioze sergantiems asmenims</v>
      </c>
      <c r="D141" s="311" t="str">
        <f>CONCATENATE('3 pr-2'!E143)</f>
        <v>Alytaus miesto savivaldybės administracija</v>
      </c>
      <c r="E141" s="311" t="str">
        <f>CONCATENATE('3 pr-2'!F143)</f>
        <v>Lietuvos Respublikos Sveikatos apsaugos ministerija</v>
      </c>
      <c r="F141" s="311" t="str">
        <f>CONCATENATE('3 pr-2'!G143)</f>
        <v>Alytaus m. sav.</v>
      </c>
      <c r="G141" s="130" t="str">
        <f>CONCATENATE('3 pr-2'!H143)</f>
        <v>08.4.2-ESFA-R-615</v>
      </c>
      <c r="H141" s="130" t="str">
        <f>CONCATENATE('3 pr-2'!I143)</f>
        <v>R</v>
      </c>
      <c r="I141" s="130" t="str">
        <f>CONCATENATE('3 pr-2'!J143)</f>
        <v>-</v>
      </c>
      <c r="J141" s="130" t="str">
        <f>CONCATENATE('3 pr-2'!K143)</f>
        <v>-</v>
      </c>
      <c r="K141" s="130" t="str">
        <f>MID('3 pr-2'!B143,10,2)</f>
        <v>47</v>
      </c>
      <c r="L141" s="130" t="str">
        <f>IFERROR(INDEX(Veiklos!$C$2:$C$54,MATCH(K141,Veiklos!$D$2:$D$54,0),1),"")</f>
        <v>Sveikatos paslaugų plėtra (ne infrastruktūra)</v>
      </c>
      <c r="M141" s="130" t="str">
        <f>MID('3 pr-2'!B143,12,2)</f>
        <v>00</v>
      </c>
      <c r="N141" s="130">
        <f>IFERROR(INDEX(Veiklos!$C$2:$C$54,MATCH(M141,Veiklos!$D$2:$D$54,0),1),"")</f>
        <v>0</v>
      </c>
      <c r="O141" s="130" t="str">
        <f>MID('3 pr-2'!B143,14,2)</f>
        <v>00</v>
      </c>
      <c r="P141" s="130">
        <f>IFERROR(INDEX(Veiklos!$C$2:$C$54,MATCH(O141,Veiklos!$D$2:$D$54,0),1),"")</f>
        <v>0</v>
      </c>
      <c r="Q141" s="130"/>
      <c r="R141" s="130"/>
      <c r="S141" s="130"/>
      <c r="T141" s="130"/>
      <c r="U141" s="316">
        <v>1</v>
      </c>
      <c r="V141" s="504">
        <f>SUM('3 pr-2'!L143)</f>
        <v>17041.18</v>
      </c>
      <c r="W141" s="504">
        <f>SUM('3 pr-2'!AA143)</f>
        <v>14485.09</v>
      </c>
    </row>
    <row r="142" spans="1:23" ht="39" thickBot="1">
      <c r="A142" s="130" t="str">
        <f>CONCATENATE('3 pr-2'!A144)</f>
        <v>2.1.2.3.3</v>
      </c>
      <c r="B142" s="130" t="str">
        <f>CONCATENATE('3 pr-2'!B144)</f>
        <v>R01-6615-470000-2233</v>
      </c>
      <c r="C142" s="311" t="str">
        <f>CONCATENATE('3 pr-2'!D144)</f>
        <v>Paslaugų tuberkulioze sergantiems asmenims gerinimas Lazdijų rajono savivaldybėje</v>
      </c>
      <c r="D142" s="311" t="str">
        <f>CONCATENATE('3 pr-2'!E144)</f>
        <v>Lazdijų rajono savivaldybės administracija</v>
      </c>
      <c r="E142" s="311" t="str">
        <f>CONCATENATE('3 pr-2'!F144)</f>
        <v>Lietuvos Respublikos Sveikatos apsaugos ministerija</v>
      </c>
      <c r="F142" s="311" t="str">
        <f>CONCATENATE('3 pr-2'!G144)</f>
        <v>Lazdijų r. sav.</v>
      </c>
      <c r="G142" s="130" t="str">
        <f>CONCATENATE('3 pr-2'!H144)</f>
        <v>08.4.2-ESFA-R-615</v>
      </c>
      <c r="H142" s="130" t="str">
        <f>CONCATENATE('3 pr-2'!I144)</f>
        <v>R</v>
      </c>
      <c r="I142" s="130" t="str">
        <f>CONCATENATE('3 pr-2'!J144)</f>
        <v>-</v>
      </c>
      <c r="J142" s="130" t="str">
        <f>CONCATENATE('3 pr-2'!K144)</f>
        <v>-</v>
      </c>
      <c r="K142" s="130" t="str">
        <f>MID('3 pr-2'!B144,10,2)</f>
        <v>47</v>
      </c>
      <c r="L142" s="130" t="str">
        <f>IFERROR(INDEX(Veiklos!$C$2:$C$54,MATCH(K142,Veiklos!$D$2:$D$54,0),1),"")</f>
        <v>Sveikatos paslaugų plėtra (ne infrastruktūra)</v>
      </c>
      <c r="M142" s="130" t="str">
        <f>MID('3 pr-2'!B144,12,2)</f>
        <v>00</v>
      </c>
      <c r="N142" s="130">
        <f>IFERROR(INDEX(Veiklos!$C$2:$C$54,MATCH(M142,Veiklos!$D$2:$D$54,0),1),"")</f>
        <v>0</v>
      </c>
      <c r="O142" s="130" t="str">
        <f>MID('3 pr-2'!B144,14,2)</f>
        <v>00</v>
      </c>
      <c r="P142" s="130">
        <f>IFERROR(INDEX(Veiklos!$C$2:$C$54,MATCH(O142,Veiklos!$D$2:$D$54,0),1),"")</f>
        <v>0</v>
      </c>
      <c r="Q142" s="130"/>
      <c r="R142" s="130"/>
      <c r="S142" s="130"/>
      <c r="T142" s="130"/>
      <c r="U142" s="316">
        <v>1</v>
      </c>
      <c r="V142" s="504">
        <f>SUM('3 pr-2'!L144)</f>
        <v>15224</v>
      </c>
      <c r="W142" s="504">
        <f>SUM('3 pr-2'!AA144)</f>
        <v>12940.4</v>
      </c>
    </row>
    <row r="143" spans="1:23" ht="64.5" thickBot="1">
      <c r="A143" s="130" t="str">
        <f>CONCATENATE('3 pr-2'!A145)</f>
        <v>2.1.2.3.4</v>
      </c>
      <c r="B143" s="130" t="str">
        <f>CONCATENATE('3 pr-2'!B145)</f>
        <v>R01-6615-470000-2234</v>
      </c>
      <c r="C143" s="311" t="str">
        <f>CONCATENATE('3 pr-2'!D145)</f>
        <v>Ambulatorinių sveikatos priežiūros paslaugų tuberkulioze sergantiems asmenims prieinamumo gerinimas Druskininkų savivaldybėje</v>
      </c>
      <c r="D143" s="311" t="str">
        <f>CONCATENATE('3 pr-2'!E145)</f>
        <v>Druskininkų pirminės sveikatos priežiūros centras</v>
      </c>
      <c r="E143" s="311" t="str">
        <f>CONCATENATE('3 pr-2'!F145)</f>
        <v>Lietuvos Respublikos Sveikatos apsaugos ministerija</v>
      </c>
      <c r="F143" s="311" t="str">
        <f>CONCATENATE('3 pr-2'!G145)</f>
        <v>Druskininkų sav.</v>
      </c>
      <c r="G143" s="130" t="str">
        <f>CONCATENATE('3 pr-2'!H145)</f>
        <v>08.4.2-ESFA-R-615</v>
      </c>
      <c r="H143" s="130" t="str">
        <f>CONCATENATE('3 pr-2'!I145)</f>
        <v>R</v>
      </c>
      <c r="I143" s="130" t="str">
        <f>CONCATENATE('3 pr-2'!J145)</f>
        <v>-</v>
      </c>
      <c r="J143" s="130" t="str">
        <f>CONCATENATE('3 pr-2'!K145)</f>
        <v>-</v>
      </c>
      <c r="K143" s="130" t="str">
        <f>MID('3 pr-2'!B145,10,2)</f>
        <v>47</v>
      </c>
      <c r="L143" s="130" t="str">
        <f>IFERROR(INDEX(Veiklos!$C$2:$C$54,MATCH(K143,Veiklos!$D$2:$D$54,0),1),"")</f>
        <v>Sveikatos paslaugų plėtra (ne infrastruktūra)</v>
      </c>
      <c r="M143" s="130" t="str">
        <f>MID('3 pr-2'!B145,12,2)</f>
        <v>00</v>
      </c>
      <c r="N143" s="130">
        <f>IFERROR(INDEX(Veiklos!$C$2:$C$54,MATCH(M143,Veiklos!$D$2:$D$54,0),1),"")</f>
        <v>0</v>
      </c>
      <c r="O143" s="130" t="str">
        <f>MID('3 pr-2'!B145,14,2)</f>
        <v>00</v>
      </c>
      <c r="P143" s="130">
        <f>IFERROR(INDEX(Veiklos!$C$2:$C$54,MATCH(O143,Veiklos!$D$2:$D$54,0),1),"")</f>
        <v>0</v>
      </c>
      <c r="Q143" s="130"/>
      <c r="R143" s="130"/>
      <c r="S143" s="130"/>
      <c r="T143" s="130"/>
      <c r="U143" s="316">
        <v>1</v>
      </c>
      <c r="V143" s="504">
        <f>SUM('3 pr-2'!L145)</f>
        <v>6816</v>
      </c>
      <c r="W143" s="504">
        <f>SUM('3 pr-2'!AA145)</f>
        <v>5793.6</v>
      </c>
    </row>
    <row r="144" spans="1:23" ht="51.75" thickBot="1">
      <c r="A144" s="130" t="str">
        <f>CONCATENATE('3 pr-2'!A146)</f>
        <v>2.1.2.3.5</v>
      </c>
      <c r="B144" s="130" t="str">
        <f>CONCATENATE('3 pr-2'!B146)</f>
        <v>R01-6615-470000-2235</v>
      </c>
      <c r="C144" s="311" t="str">
        <f>CONCATENATE('3 pr-2'!D146)</f>
        <v>Ambulatorinių sveikatos priežiūros paslaugų prieinamumo gerinimas tuberkulioze sergantiems asmenims Varėnos rajono savivaldybėje</v>
      </c>
      <c r="D144" s="311" t="str">
        <f>CONCATENATE('3 pr-2'!E146)</f>
        <v>Varėnos rajono savivaldybės administracija</v>
      </c>
      <c r="E144" s="311" t="str">
        <f>CONCATENATE('3 pr-2'!F146)</f>
        <v>Lietuvos Respublikos Sveikatos apsaugos ministerija</v>
      </c>
      <c r="F144" s="311" t="str">
        <f>CONCATENATE('3 pr-2'!G146)</f>
        <v>Varėnos r. sav.</v>
      </c>
      <c r="G144" s="130" t="str">
        <f>CONCATENATE('3 pr-2'!H146)</f>
        <v>08.4.2-ESFA-R-615</v>
      </c>
      <c r="H144" s="130" t="str">
        <f>CONCATENATE('3 pr-2'!I146)</f>
        <v>R</v>
      </c>
      <c r="I144" s="130" t="str">
        <f>CONCATENATE('3 pr-2'!J146)</f>
        <v>-</v>
      </c>
      <c r="J144" s="130" t="str">
        <f>CONCATENATE('3 pr-2'!K146)</f>
        <v>-</v>
      </c>
      <c r="K144" s="130" t="str">
        <f>MID('3 pr-2'!B146,10,2)</f>
        <v>47</v>
      </c>
      <c r="L144" s="130" t="str">
        <f>IFERROR(INDEX(Veiklos!$C$2:$C$54,MATCH(K144,Veiklos!$D$2:$D$54,0),1),"")</f>
        <v>Sveikatos paslaugų plėtra (ne infrastruktūra)</v>
      </c>
      <c r="M144" s="130" t="str">
        <f>MID('3 pr-2'!B146,12,2)</f>
        <v>00</v>
      </c>
      <c r="N144" s="130">
        <f>IFERROR(INDEX(Veiklos!$C$2:$C$54,MATCH(M144,Veiklos!$D$2:$D$54,0),1),"")</f>
        <v>0</v>
      </c>
      <c r="O144" s="130" t="str">
        <f>MID('3 pr-2'!B146,14,2)</f>
        <v>00</v>
      </c>
      <c r="P144" s="130">
        <f>IFERROR(INDEX(Veiklos!$C$2:$C$54,MATCH(O144,Veiklos!$D$2:$D$54,0),1),"")</f>
        <v>0</v>
      </c>
      <c r="Q144" s="130"/>
      <c r="R144" s="130"/>
      <c r="S144" s="130"/>
      <c r="T144" s="130"/>
      <c r="U144" s="316">
        <v>1</v>
      </c>
      <c r="V144" s="504">
        <f>SUM('3 pr-2'!L146)</f>
        <v>15679</v>
      </c>
      <c r="W144" s="504">
        <f>SUM('3 pr-2'!AA146)</f>
        <v>13327</v>
      </c>
    </row>
    <row r="145" spans="1:23" ht="40.5" customHeight="1" thickBot="1">
      <c r="A145" s="134" t="s">
        <v>35</v>
      </c>
      <c r="B145" s="628"/>
      <c r="C145" s="1933" t="s">
        <v>627</v>
      </c>
      <c r="D145" s="1934"/>
      <c r="E145" s="1934"/>
      <c r="F145" s="1934"/>
      <c r="G145" s="1934"/>
      <c r="H145" s="1934"/>
      <c r="I145" s="1934"/>
      <c r="J145" s="1935"/>
      <c r="K145" s="494"/>
      <c r="L145" s="533"/>
      <c r="M145" s="497"/>
      <c r="N145" s="533"/>
      <c r="O145" s="497"/>
      <c r="P145" s="533"/>
      <c r="Q145" s="497"/>
      <c r="R145" s="533"/>
      <c r="S145" s="497"/>
      <c r="T145" s="533"/>
      <c r="U145" s="533"/>
      <c r="V145" s="535"/>
      <c r="W145" s="535"/>
    </row>
    <row r="146" spans="1:23" ht="27.75" customHeight="1" thickBot="1">
      <c r="A146" s="296" t="s">
        <v>36</v>
      </c>
      <c r="B146" s="305"/>
      <c r="C146" s="1936" t="s">
        <v>623</v>
      </c>
      <c r="D146" s="1937"/>
      <c r="E146" s="1937"/>
      <c r="F146" s="1937"/>
      <c r="G146" s="1937"/>
      <c r="H146" s="1937"/>
      <c r="I146" s="1937"/>
      <c r="J146" s="1937"/>
      <c r="K146" s="291"/>
      <c r="L146" s="538"/>
      <c r="M146" s="293"/>
      <c r="N146" s="538"/>
      <c r="O146" s="293"/>
      <c r="P146" s="538"/>
      <c r="Q146" s="293"/>
      <c r="R146" s="538"/>
      <c r="S146" s="293"/>
      <c r="T146" s="538"/>
      <c r="U146" s="539"/>
      <c r="V146" s="529">
        <f>SUM(V147:V151)</f>
        <v>1235321.8</v>
      </c>
      <c r="W146" s="529">
        <f>SUM(W147:W151)</f>
        <v>885761.15</v>
      </c>
    </row>
    <row r="147" spans="1:23" ht="39" thickBot="1">
      <c r="A147" s="130" t="str">
        <f>CONCATENATE('3 pr-2'!A149)</f>
        <v>2.1.3.1.1</v>
      </c>
      <c r="B147" s="130" t="str">
        <f>CONCATENATE('3 pr-2'!B149)</f>
        <v>R01-4407-270000-2311</v>
      </c>
      <c r="C147" s="311" t="str">
        <f>CONCATENATE('3 pr-2'!D149)</f>
        <v>Socialinių paslaugų infrastruktūros plėtra Varėnos rajono savivaldybėje</v>
      </c>
      <c r="D147" s="311" t="str">
        <f>CONCATENATE('3 pr-2'!E149)</f>
        <v>Varėnos rajono savivaldybės administracija</v>
      </c>
      <c r="E147" s="311" t="str">
        <f>CONCATENATE('3 pr-2'!F149)</f>
        <v>Lietuvos Respublikos socialinės apsaugos ir darbo ministerija</v>
      </c>
      <c r="F147" s="311" t="str">
        <f>CONCATENATE('3 pr-2'!G149)</f>
        <v>Varėnos r. sav.</v>
      </c>
      <c r="G147" s="130" t="str">
        <f>CONCATENATE('3 pr-2'!H149)</f>
        <v>08.1.1-CPVA-R-407</v>
      </c>
      <c r="H147" s="130" t="str">
        <f>CONCATENATE('3 pr-2'!I149)</f>
        <v>R</v>
      </c>
      <c r="I147" s="130" t="str">
        <f>CONCATENATE('3 pr-2'!J149)</f>
        <v>-</v>
      </c>
      <c r="J147" s="130" t="str">
        <f>CONCATENATE('3 pr-2'!K149)</f>
        <v>-</v>
      </c>
      <c r="K147" s="130" t="str">
        <f>MID('3 pr-2'!B149,10,2)</f>
        <v>27</v>
      </c>
      <c r="L147" s="130" t="str">
        <f>IFERROR(INDEX(Veiklos!$C$2:$C$54,MATCH(K147,Veiklos!$D$2:$D$54,0),1),"")</f>
        <v>Socialinių ir sveikatos paslaugų infrastruktūra</v>
      </c>
      <c r="M147" s="130" t="str">
        <f>MID('3 pr-2'!B149,12,2)</f>
        <v>00</v>
      </c>
      <c r="N147" s="130">
        <f>IFERROR(INDEX(Veiklos!$C$2:$C$54,MATCH(M147,Veiklos!$D$2:$D$54,0),1),"")</f>
        <v>0</v>
      </c>
      <c r="O147" s="130" t="str">
        <f>MID('3 pr-2'!B149,14,2)</f>
        <v>00</v>
      </c>
      <c r="P147" s="130">
        <f>IFERROR(INDEX(Veiklos!$C$2:$C$54,MATCH(O147,Veiklos!$D$2:$D$54,0),1),"")</f>
        <v>0</v>
      </c>
      <c r="Q147" s="130"/>
      <c r="R147" s="130"/>
      <c r="S147" s="130"/>
      <c r="T147" s="130"/>
      <c r="U147" s="316">
        <v>1</v>
      </c>
      <c r="V147" s="504">
        <f>SUM('3 pr-2'!L149)</f>
        <v>148480</v>
      </c>
      <c r="W147" s="504">
        <f>SUM('3 pr-2'!AA149)</f>
        <v>126208</v>
      </c>
    </row>
    <row r="148" spans="1:23" ht="39" thickBot="1">
      <c r="A148" s="130" t="str">
        <f>CONCATENATE('3 pr-2'!A150)</f>
        <v>2.1.3.1.2</v>
      </c>
      <c r="B148" s="130" t="str">
        <f>CONCATENATE('3 pr-2'!B150)</f>
        <v>R01-4407-274800-2312</v>
      </c>
      <c r="C148" s="311" t="str">
        <f>CONCATENATE('3 pr-2'!D150)</f>
        <v>Psichosocialinės pagalbos centro įkūrimas</v>
      </c>
      <c r="D148" s="311" t="str">
        <f>CONCATENATE('3 pr-2'!E150)</f>
        <v>Alytaus rajono savivaldybės administracija</v>
      </c>
      <c r="E148" s="311" t="str">
        <f>CONCATENATE('3 pr-2'!F150)</f>
        <v>Lietuvos Respublikos socialinės apsaugos ir darbo ministerija</v>
      </c>
      <c r="F148" s="311" t="str">
        <f>CONCATENATE('3 pr-2'!G150)</f>
        <v>Alytaus r. sav.</v>
      </c>
      <c r="G148" s="130" t="str">
        <f>CONCATENATE('3 pr-2'!H150)</f>
        <v>08.1.1-CPVA-R-407</v>
      </c>
      <c r="H148" s="130" t="str">
        <f>CONCATENATE('3 pr-2'!I150)</f>
        <v>R</v>
      </c>
      <c r="I148" s="130" t="str">
        <f>CONCATENATE('3 pr-2'!J150)</f>
        <v/>
      </c>
      <c r="J148" s="130" t="str">
        <f>CONCATENATE('3 pr-2'!K150)</f>
        <v>-</v>
      </c>
      <c r="K148" s="130" t="str">
        <f>MID('3 pr-2'!B150,10,2)</f>
        <v>27</v>
      </c>
      <c r="L148" s="130" t="str">
        <f>IFERROR(INDEX(Veiklos!$C$2:$C$54,MATCH(K148,Veiklos!$D$2:$D$54,0),1),"")</f>
        <v>Socialinių ir sveikatos paslaugų infrastruktūra</v>
      </c>
      <c r="M148" s="130" t="str">
        <f>MID('3 pr-2'!B150,12,2)</f>
        <v>48</v>
      </c>
      <c r="N148" s="130" t="str">
        <f>IFERROR(INDEX(Veiklos!$C$2:$C$54,MATCH(M148,Veiklos!$D$2:$D$54,0),1),"")</f>
        <v>Socialinių paslaugų plėtra (ne infrastruktūra)</v>
      </c>
      <c r="O148" s="130" t="str">
        <f>MID('3 pr-2'!B150,14,2)</f>
        <v>00</v>
      </c>
      <c r="P148" s="130">
        <f>IFERROR(INDEX(Veiklos!$C$2:$C$54,MATCH(O148,Veiklos!$D$2:$D$54,0),1),"")</f>
        <v>0</v>
      </c>
      <c r="Q148" s="130"/>
      <c r="R148" s="130"/>
      <c r="S148" s="130"/>
      <c r="T148" s="130"/>
      <c r="U148" s="316">
        <v>1</v>
      </c>
      <c r="V148" s="504">
        <f>SUM('3 pr-2'!L150)</f>
        <v>188353</v>
      </c>
      <c r="W148" s="504">
        <f>SUM('3 pr-2'!AA150)</f>
        <v>160100</v>
      </c>
    </row>
    <row r="149" spans="1:23" ht="39" thickBot="1">
      <c r="A149" s="130" t="str">
        <f>CONCATENATE('3 pr-2'!A151)</f>
        <v>2.1.3.1.3</v>
      </c>
      <c r="B149" s="130" t="str">
        <f>CONCATENATE('3 pr-2'!B151)</f>
        <v>R01-4407-270000-2313</v>
      </c>
      <c r="C149" s="311" t="str">
        <f>CONCATENATE('3 pr-2'!D151)</f>
        <v>Socialinių paslaugų plėtra Alytaus mieste</v>
      </c>
      <c r="D149" s="311" t="str">
        <f>CONCATENATE('3 pr-2'!E151)</f>
        <v>Alytaus miesto savivaldybės administracija</v>
      </c>
      <c r="E149" s="311" t="str">
        <f>CONCATENATE('3 pr-2'!F151)</f>
        <v>Lietuvos Respublikos socialinės apsaugos ir darbo ministerija</v>
      </c>
      <c r="F149" s="311" t="str">
        <f>CONCATENATE('3 pr-2'!G151)</f>
        <v>Alytaus m. sav.</v>
      </c>
      <c r="G149" s="130" t="str">
        <f>CONCATENATE('3 pr-2'!H151)</f>
        <v>08.1.1-CPVA-R-407</v>
      </c>
      <c r="H149" s="130" t="str">
        <f>CONCATENATE('3 pr-2'!I151)</f>
        <v>R</v>
      </c>
      <c r="I149" s="130" t="str">
        <f>CONCATENATE('3 pr-2'!J151)</f>
        <v>-</v>
      </c>
      <c r="J149" s="130" t="str">
        <f>CONCATENATE('3 pr-2'!K151)</f>
        <v>-</v>
      </c>
      <c r="K149" s="130" t="str">
        <f>MID('3 pr-2'!B151,10,2)</f>
        <v>27</v>
      </c>
      <c r="L149" s="130" t="str">
        <f>IFERROR(INDEX(Veiklos!$C$2:$C$54,MATCH(K149,Veiklos!$D$2:$D$54,0),1),"")</f>
        <v>Socialinių ir sveikatos paslaugų infrastruktūra</v>
      </c>
      <c r="M149" s="130" t="str">
        <f>MID('3 pr-2'!B151,12,2)</f>
        <v>00</v>
      </c>
      <c r="N149" s="130">
        <f>IFERROR(INDEX(Veiklos!$C$2:$C$54,MATCH(M149,Veiklos!$D$2:$D$54,0),1),"")</f>
        <v>0</v>
      </c>
      <c r="O149" s="130" t="str">
        <f>MID('3 pr-2'!B151,14,2)</f>
        <v>00</v>
      </c>
      <c r="P149" s="130">
        <f>IFERROR(INDEX(Veiklos!$C$2:$C$54,MATCH(O149,Veiklos!$D$2:$D$54,0),1),"")</f>
        <v>0</v>
      </c>
      <c r="Q149" s="130"/>
      <c r="R149" s="130"/>
      <c r="S149" s="130"/>
      <c r="T149" s="130"/>
      <c r="U149" s="316">
        <v>1</v>
      </c>
      <c r="V149" s="504">
        <f>SUM('3 pr-2'!L151)</f>
        <v>600732.80000000005</v>
      </c>
      <c r="W149" s="504">
        <f>SUM('3 pr-2'!AA151)</f>
        <v>346361</v>
      </c>
    </row>
    <row r="150" spans="1:23" ht="39" thickBot="1">
      <c r="A150" s="130" t="str">
        <f>CONCATENATE('3 pr-2'!A152)</f>
        <v>2.1.3.1.4</v>
      </c>
      <c r="B150" s="130" t="str">
        <f>CONCATENATE('3 pr-2'!B152)</f>
        <v>R01-4407-270000-2314</v>
      </c>
      <c r="C150" s="311" t="str">
        <f>CONCATENATE('3 pr-2'!D152)</f>
        <v>Socialinių paslaugų infrastruktūros plėtra Druskininkų savivaldybėje</v>
      </c>
      <c r="D150" s="311" t="str">
        <f>CONCATENATE('3 pr-2'!E152)</f>
        <v>Druskininkų savivaldybės administracija</v>
      </c>
      <c r="E150" s="311" t="str">
        <f>CONCATENATE('3 pr-2'!F152)</f>
        <v>Lietuvos Respublikos socialinės apsaugos ir darbo ministerija</v>
      </c>
      <c r="F150" s="311" t="str">
        <f>CONCATENATE('3 pr-2'!G152)</f>
        <v>Druskininkų sav.</v>
      </c>
      <c r="G150" s="130" t="str">
        <f>CONCATENATE('3 pr-2'!H152)</f>
        <v>08.1.1-CPVA-R-407</v>
      </c>
      <c r="H150" s="130" t="str">
        <f>CONCATENATE('3 pr-2'!I152)</f>
        <v>R</v>
      </c>
      <c r="I150" s="130" t="str">
        <f>CONCATENATE('3 pr-2'!J152)</f>
        <v>-</v>
      </c>
      <c r="J150" s="130" t="str">
        <f>CONCATENATE('3 pr-2'!K152)</f>
        <v>-</v>
      </c>
      <c r="K150" s="130" t="str">
        <f>MID('3 pr-2'!B152,10,2)</f>
        <v>27</v>
      </c>
      <c r="L150" s="130" t="str">
        <f>IFERROR(INDEX(Veiklos!$C$2:$C$54,MATCH(K150,Veiklos!$D$2:$D$54,0),1),"")</f>
        <v>Socialinių ir sveikatos paslaugų infrastruktūra</v>
      </c>
      <c r="M150" s="130" t="str">
        <f>MID('3 pr-2'!B152,12,2)</f>
        <v>00</v>
      </c>
      <c r="N150" s="130">
        <f>IFERROR(INDEX(Veiklos!$C$2:$C$54,MATCH(M150,Veiklos!$D$2:$D$54,0),1),"")</f>
        <v>0</v>
      </c>
      <c r="O150" s="130" t="str">
        <f>MID('3 pr-2'!B152,14,2)</f>
        <v>00</v>
      </c>
      <c r="P150" s="130">
        <f>IFERROR(INDEX(Veiklos!$C$2:$C$54,MATCH(O150,Veiklos!$D$2:$D$54,0),1),"")</f>
        <v>0</v>
      </c>
      <c r="Q150" s="130"/>
      <c r="R150" s="130"/>
      <c r="S150" s="130"/>
      <c r="T150" s="130"/>
      <c r="U150" s="316">
        <v>1</v>
      </c>
      <c r="V150" s="504">
        <f>SUM('3 pr-2'!L152)</f>
        <v>151437</v>
      </c>
      <c r="W150" s="504">
        <f>SUM('3 pr-2'!AA152)</f>
        <v>128721</v>
      </c>
    </row>
    <row r="151" spans="1:23" ht="39" thickBot="1">
      <c r="A151" s="130" t="str">
        <f>CONCATENATE('3 pr-2'!A153)</f>
        <v>2.1.3.1.5</v>
      </c>
      <c r="B151" s="130" t="str">
        <f>CONCATENATE('3 pr-2'!B153)</f>
        <v>R01-4407-270000-2315</v>
      </c>
      <c r="C151" s="311" t="str">
        <f>CONCATENATE('3 pr-2'!D153)</f>
        <v>Socialinių paslaugų infrastruktūros modernizavimas ir plėtra VšĮ Kapčiamiesčio globos namuose</v>
      </c>
      <c r="D151" s="311" t="str">
        <f>CONCATENATE('3 pr-2'!E153)</f>
        <v>VšĮ Kapčiamiesčio globos namai</v>
      </c>
      <c r="E151" s="311" t="str">
        <f>CONCATENATE('3 pr-2'!F153)</f>
        <v>Lietuvos Respublikos socialinės apsaugos ir darbo ministerija</v>
      </c>
      <c r="F151" s="311" t="str">
        <f>CONCATENATE('3 pr-2'!G153)</f>
        <v>Lazdijų r. sav.</v>
      </c>
      <c r="G151" s="130" t="str">
        <f>CONCATENATE('3 pr-2'!H153)</f>
        <v>08.1.1-CPVA-R-407</v>
      </c>
      <c r="H151" s="130" t="str">
        <f>CONCATENATE('3 pr-2'!I153)</f>
        <v>R</v>
      </c>
      <c r="I151" s="130" t="str">
        <f>CONCATENATE('3 pr-2'!J153)</f>
        <v>-</v>
      </c>
      <c r="J151" s="130" t="str">
        <f>CONCATENATE('3 pr-2'!K153)</f>
        <v>-</v>
      </c>
      <c r="K151" s="130" t="str">
        <f>MID('3 pr-2'!B153,10,2)</f>
        <v>27</v>
      </c>
      <c r="L151" s="130" t="str">
        <f>IFERROR(INDEX(Veiklos!$C$2:$C$54,MATCH(K151,Veiklos!$D$2:$D$54,0),1),"")</f>
        <v>Socialinių ir sveikatos paslaugų infrastruktūra</v>
      </c>
      <c r="M151" s="130" t="str">
        <f>MID('3 pr-2'!B153,12,2)</f>
        <v>00</v>
      </c>
      <c r="N151" s="130">
        <f>IFERROR(INDEX(Veiklos!$C$2:$C$54,MATCH(M151,Veiklos!$D$2:$D$54,0),1),"")</f>
        <v>0</v>
      </c>
      <c r="O151" s="130" t="str">
        <f>MID('3 pr-2'!B153,14,2)</f>
        <v>00</v>
      </c>
      <c r="P151" s="130">
        <f>IFERROR(INDEX(Veiklos!$C$2:$C$54,MATCH(O151,Veiklos!$D$2:$D$54,0),1),"")</f>
        <v>0</v>
      </c>
      <c r="Q151" s="130"/>
      <c r="R151" s="130"/>
      <c r="S151" s="130"/>
      <c r="T151" s="130"/>
      <c r="U151" s="316">
        <v>1</v>
      </c>
      <c r="V151" s="504">
        <f>SUM('3 pr-2'!L153)</f>
        <v>146319</v>
      </c>
      <c r="W151" s="504">
        <f>SUM('3 pr-2'!AA153)</f>
        <v>124371.15</v>
      </c>
    </row>
    <row r="152" spans="1:23" ht="38.25" customHeight="1" thickBot="1">
      <c r="A152" s="300" t="s">
        <v>37</v>
      </c>
      <c r="B152" s="319"/>
      <c r="C152" s="1931" t="s">
        <v>815</v>
      </c>
      <c r="D152" s="1929"/>
      <c r="E152" s="1929"/>
      <c r="F152" s="1929"/>
      <c r="G152" s="1929"/>
      <c r="H152" s="1929"/>
      <c r="I152" s="1929"/>
      <c r="J152" s="1930"/>
      <c r="K152" s="508"/>
      <c r="L152" s="540"/>
      <c r="M152" s="293"/>
      <c r="N152" s="540"/>
      <c r="O152" s="293"/>
      <c r="P152" s="540"/>
      <c r="Q152" s="293"/>
      <c r="R152" s="540"/>
      <c r="S152" s="293"/>
      <c r="T152" s="540"/>
      <c r="U152" s="541"/>
      <c r="V152" s="529">
        <f>SUM(V153:V157)</f>
        <v>2966201.12</v>
      </c>
      <c r="W152" s="512">
        <f>SUM(W153:W157)</f>
        <v>2520973.6399999997</v>
      </c>
    </row>
    <row r="153" spans="1:23" ht="39" thickBot="1">
      <c r="A153" s="130" t="str">
        <f>CONCATENATE('3 pr-2'!A155)</f>
        <v>2.1.3.2.1</v>
      </c>
      <c r="B153" s="130" t="str">
        <f>CONCATENATE('3 pr-2'!B155)</f>
        <v>R01-4408-260000-2321</v>
      </c>
      <c r="C153" s="311" t="str">
        <f>CONCATENATE('3 pr-2'!D155)</f>
        <v>Socialinio būsto plėtra Varėnos rajone</v>
      </c>
      <c r="D153" s="311" t="str">
        <f>CONCATENATE('3 pr-2'!E155)</f>
        <v>Varėnos rajono savivaldybės administracija</v>
      </c>
      <c r="E153" s="311" t="str">
        <f>CONCATENATE('3 pr-2'!F155)</f>
        <v>Lietuvos Respublikos socialinės apsaugos ir darbo ministerija</v>
      </c>
      <c r="F153" s="311" t="str">
        <f>CONCATENATE('3 pr-2'!G155)</f>
        <v>Varėnos r. sav.</v>
      </c>
      <c r="G153" s="130" t="str">
        <f>CONCATENATE('3 pr-2'!H155)</f>
        <v>08.1.2-CPVA-R-408</v>
      </c>
      <c r="H153" s="130" t="str">
        <f>CONCATENATE('3 pr-2'!I155)</f>
        <v>R</v>
      </c>
      <c r="I153" s="130" t="str">
        <f>CONCATENATE('3 pr-2'!J155)</f>
        <v>-</v>
      </c>
      <c r="J153" s="130" t="str">
        <f>CONCATENATE('3 pr-2'!K155)</f>
        <v>-</v>
      </c>
      <c r="K153" s="130" t="str">
        <f>MID('3 pr-2'!B155,10,2)</f>
        <v>26</v>
      </c>
      <c r="L153" s="130" t="str">
        <f>IFERROR(INDEX(Veiklos!$C$2:$C$54,MATCH(K153,Veiklos!$D$2:$D$54,0),1),"")</f>
        <v>Socialinio būsto įsigijimas</v>
      </c>
      <c r="M153" s="130" t="str">
        <f>MID('3 pr-2'!B155,12,2)</f>
        <v>00</v>
      </c>
      <c r="N153" s="130">
        <f>IFERROR(INDEX(Veiklos!$C$2:$C$54,MATCH(M153,Veiklos!$D$2:$D$54,0),1),"")</f>
        <v>0</v>
      </c>
      <c r="O153" s="130" t="str">
        <f>MID('3 pr-2'!B155,14,2)</f>
        <v>00</v>
      </c>
      <c r="P153" s="130">
        <f>IFERROR(INDEX(Veiklos!$C$2:$C$54,MATCH(O153,Veiklos!$D$2:$D$54,0),1),"")</f>
        <v>0</v>
      </c>
      <c r="Q153" s="130"/>
      <c r="R153" s="130"/>
      <c r="S153" s="130"/>
      <c r="T153" s="130"/>
      <c r="U153" s="316">
        <v>1</v>
      </c>
      <c r="V153" s="504">
        <f>SUM('3 pr-2'!L155)</f>
        <v>736499</v>
      </c>
      <c r="W153" s="504">
        <f>SUM('3 pr-2'!AA155)</f>
        <v>626024</v>
      </c>
    </row>
    <row r="154" spans="1:23" ht="39" thickBot="1">
      <c r="A154" s="130" t="str">
        <f>CONCATENATE('3 pr-2'!A156)</f>
        <v>2.1.3.2.2</v>
      </c>
      <c r="B154" s="130" t="str">
        <f>CONCATENATE('3 pr-2'!B156)</f>
        <v>R01-4408-250000-2322</v>
      </c>
      <c r="C154" s="311" t="str">
        <f>CONCATENATE('3 pr-2'!D156)</f>
        <v>Būsto prieinamumo pažeidžiamoms gyventojų grupėms didinimas Alytaus rajone</v>
      </c>
      <c r="D154" s="311" t="str">
        <f>CONCATENATE('3 pr-2'!E156)</f>
        <v>Alytaus rajono savivaldybės administracija</v>
      </c>
      <c r="E154" s="311" t="str">
        <f>CONCATENATE('3 pr-2'!F156)</f>
        <v>Lietuvos Respublikos socialinės apsaugos ir darbo ministerija</v>
      </c>
      <c r="F154" s="311" t="str">
        <f>CONCATENATE('3 pr-2'!G156)</f>
        <v>Alytaus r. sav.</v>
      </c>
      <c r="G154" s="130" t="str">
        <f>CONCATENATE('3 pr-2'!H156)</f>
        <v>08.1.2-CPVA-R-408</v>
      </c>
      <c r="H154" s="130" t="str">
        <f>CONCATENATE('3 pr-2'!I156)</f>
        <v>R</v>
      </c>
      <c r="I154" s="130" t="str">
        <f>CONCATENATE('3 pr-2'!J156)</f>
        <v>-</v>
      </c>
      <c r="J154" s="130" t="str">
        <f>CONCATENATE('3 pr-2'!K156)</f>
        <v>-</v>
      </c>
      <c r="K154" s="130" t="str">
        <f>MID('3 pr-2'!B156,10,2)</f>
        <v>25</v>
      </c>
      <c r="L154" s="130" t="str">
        <f>IFERROR(INDEX(Veiklos!$C$2:$C$54,MATCH(K154,Veiklos!$D$2:$D$54,0),1),"")</f>
        <v>Socialinio būsto infrastruktūra (nauja statyba arba pritaikymas)</v>
      </c>
      <c r="M154" s="130" t="str">
        <f>MID('3 pr-2'!B156,12,2)</f>
        <v>00</v>
      </c>
      <c r="N154" s="130">
        <f>IFERROR(INDEX(Veiklos!$C$2:$C$54,MATCH(M154,Veiklos!$D$2:$D$54,0),1),"")</f>
        <v>0</v>
      </c>
      <c r="O154" s="130" t="str">
        <f>MID('3 pr-2'!B156,14,2)</f>
        <v>00</v>
      </c>
      <c r="P154" s="130">
        <f>IFERROR(INDEX(Veiklos!$C$2:$C$54,MATCH(O154,Veiklos!$D$2:$D$54,0),1),"")</f>
        <v>0</v>
      </c>
      <c r="Q154" s="130"/>
      <c r="R154" s="130"/>
      <c r="S154" s="130"/>
      <c r="T154" s="130"/>
      <c r="U154" s="316">
        <v>1</v>
      </c>
      <c r="V154" s="504">
        <f>SUM('3 pr-2'!L156)</f>
        <v>241889</v>
      </c>
      <c r="W154" s="504">
        <f>SUM('3 pr-2'!AA156)</f>
        <v>205605.65</v>
      </c>
    </row>
    <row r="155" spans="1:23" ht="39" thickBot="1">
      <c r="A155" s="130" t="str">
        <f>CONCATENATE('3 pr-2'!A157)</f>
        <v>2.1.3.1.3</v>
      </c>
      <c r="B155" s="130" t="str">
        <f>CONCATENATE('3 pr-2'!B157)</f>
        <v>R01-4408-260000-2323</v>
      </c>
      <c r="C155" s="311" t="str">
        <f>CONCATENATE('3 pr-2'!D157)</f>
        <v>Socialinio būsto plėtra Alytaus mieste</v>
      </c>
      <c r="D155" s="311" t="str">
        <f>CONCATENATE('3 pr-2'!E157)</f>
        <v>Alytaus miesto savivaldybės administracija</v>
      </c>
      <c r="E155" s="311" t="str">
        <f>CONCATENATE('3 pr-2'!F157)</f>
        <v>Lietuvos Respublikos socialinės apsaugos ir darbo ministerija</v>
      </c>
      <c r="F155" s="311" t="str">
        <f>CONCATENATE('3 pr-2'!G157)</f>
        <v>Alytaus m. sav.</v>
      </c>
      <c r="G155" s="130" t="str">
        <f>CONCATENATE('3 pr-2'!H157)</f>
        <v>08.1.2-CPVA-R-408</v>
      </c>
      <c r="H155" s="130" t="str">
        <f>CONCATENATE('3 pr-2'!I157)</f>
        <v>R</v>
      </c>
      <c r="I155" s="130" t="str">
        <f>CONCATENATE('3 pr-2'!J157)</f>
        <v>-</v>
      </c>
      <c r="J155" s="130" t="str">
        <f>CONCATENATE('3 pr-2'!K157)</f>
        <v>-</v>
      </c>
      <c r="K155" s="130" t="str">
        <f>MID('3 pr-2'!B157,10,2)</f>
        <v>26</v>
      </c>
      <c r="L155" s="130" t="str">
        <f>IFERROR(INDEX(Veiklos!$C$2:$C$54,MATCH(K155,Veiklos!$D$2:$D$54,0),1),"")</f>
        <v>Socialinio būsto įsigijimas</v>
      </c>
      <c r="M155" s="130" t="str">
        <f>MID('3 pr-2'!B157,12,2)</f>
        <v>00</v>
      </c>
      <c r="N155" s="130">
        <f>IFERROR(INDEX(Veiklos!$C$2:$C$54,MATCH(M155,Veiklos!$D$2:$D$54,0),1),"")</f>
        <v>0</v>
      </c>
      <c r="O155" s="130" t="str">
        <f>MID('3 pr-2'!B157,14,2)</f>
        <v>00</v>
      </c>
      <c r="P155" s="130">
        <f>IFERROR(INDEX(Veiklos!$C$2:$C$54,MATCH(O155,Veiklos!$D$2:$D$54,0),1),"")</f>
        <v>0</v>
      </c>
      <c r="Q155" s="130"/>
      <c r="R155" s="130"/>
      <c r="S155" s="130"/>
      <c r="T155" s="130"/>
      <c r="U155" s="316">
        <v>1</v>
      </c>
      <c r="V155" s="504">
        <f>SUM('3 pr-2'!L157)</f>
        <v>891741.17999999993</v>
      </c>
      <c r="W155" s="504">
        <f>SUM('3 pr-2'!AA157)</f>
        <v>757980</v>
      </c>
    </row>
    <row r="156" spans="1:23" ht="39" thickBot="1">
      <c r="A156" s="130" t="str">
        <f>CONCATENATE('3 pr-2'!A158)</f>
        <v>2.1.3.2.4</v>
      </c>
      <c r="B156" s="130" t="str">
        <f>CONCATENATE('3 pr-2'!B158)</f>
        <v>R01-4408-260000-2324</v>
      </c>
      <c r="C156" s="311" t="str">
        <f>CONCATENATE('3 pr-2'!D158)</f>
        <v>Socialinio būsto fondo plėtra Druskininkų savivaldybėje</v>
      </c>
      <c r="D156" s="311" t="str">
        <f>CONCATENATE('3 pr-2'!E158)</f>
        <v>Druskininkų savivaldybės administracija</v>
      </c>
      <c r="E156" s="311" t="str">
        <f>CONCATENATE('3 pr-2'!F158)</f>
        <v>Lietuvos Respublikos socialinės apsaugos ir darbo ministerija</v>
      </c>
      <c r="F156" s="311" t="str">
        <f>CONCATENATE('3 pr-2'!G158)</f>
        <v>Druskininkų sav.</v>
      </c>
      <c r="G156" s="130" t="str">
        <f>CONCATENATE('3 pr-2'!H158)</f>
        <v>08.1.2-CPVA-R-408</v>
      </c>
      <c r="H156" s="130" t="str">
        <f>CONCATENATE('3 pr-2'!I158)</f>
        <v>R</v>
      </c>
      <c r="I156" s="130" t="str">
        <f>CONCATENATE('3 pr-2'!J158)</f>
        <v>-</v>
      </c>
      <c r="J156" s="130" t="str">
        <f>CONCATENATE('3 pr-2'!K158)</f>
        <v>-</v>
      </c>
      <c r="K156" s="130" t="str">
        <f>MID('3 pr-2'!B158,10,2)</f>
        <v>26</v>
      </c>
      <c r="L156" s="130" t="str">
        <f>IFERROR(INDEX(Veiklos!$C$2:$C$54,MATCH(K156,Veiklos!$D$2:$D$54,0),1),"")</f>
        <v>Socialinio būsto įsigijimas</v>
      </c>
      <c r="M156" s="130" t="str">
        <f>MID('3 pr-2'!B158,12,2)</f>
        <v>00</v>
      </c>
      <c r="N156" s="130">
        <f>IFERROR(INDEX(Veiklos!$C$2:$C$54,MATCH(M156,Veiklos!$D$2:$D$54,0),1),"")</f>
        <v>0</v>
      </c>
      <c r="O156" s="130" t="str">
        <f>MID('3 pr-2'!B158,14,2)</f>
        <v>00</v>
      </c>
      <c r="P156" s="130">
        <f>IFERROR(INDEX(Veiklos!$C$2:$C$54,MATCH(O156,Veiklos!$D$2:$D$54,0),1),"")</f>
        <v>0</v>
      </c>
      <c r="Q156" s="130"/>
      <c r="R156" s="130"/>
      <c r="S156" s="130"/>
      <c r="T156" s="130"/>
      <c r="U156" s="316">
        <v>1</v>
      </c>
      <c r="V156" s="504">
        <f>SUM('3 pr-2'!L158)</f>
        <v>727472.94</v>
      </c>
      <c r="W156" s="504">
        <f>SUM('3 pr-2'!AA158)</f>
        <v>618351.99</v>
      </c>
    </row>
    <row r="157" spans="1:23" ht="39" thickBot="1">
      <c r="A157" s="130" t="str">
        <f>CONCATENATE('3 pr-2'!A159)</f>
        <v>2.1.3.2.5</v>
      </c>
      <c r="B157" s="130" t="str">
        <f>CONCATENATE('3 pr-2'!B159)</f>
        <v>R01-4408-252600-2325</v>
      </c>
      <c r="C157" s="311" t="str">
        <f>CONCATENATE('3 pr-2'!D159)</f>
        <v>Socialinio būsto fondo plėtra Lazdijų rajono savivaldybėje</v>
      </c>
      <c r="D157" s="311" t="str">
        <f>CONCATENATE('3 pr-2'!E159)</f>
        <v>Lazdijų rajono savivaldybės administracija</v>
      </c>
      <c r="E157" s="311" t="str">
        <f>CONCATENATE('3 pr-2'!F159)</f>
        <v>Lietuvos Respublikos socialinės apsaugos ir darbo ministerija</v>
      </c>
      <c r="F157" s="311" t="str">
        <f>CONCATENATE('3 pr-2'!G159)</f>
        <v>Lazdijų r. sav.</v>
      </c>
      <c r="G157" s="130" t="str">
        <f>CONCATENATE('3 pr-2'!H159)</f>
        <v>08.1.2-CPVA-R-408</v>
      </c>
      <c r="H157" s="130" t="str">
        <f>CONCATENATE('3 pr-2'!I159)</f>
        <v>R</v>
      </c>
      <c r="I157" s="130" t="str">
        <f>CONCATENATE('3 pr-2'!J159)</f>
        <v>-</v>
      </c>
      <c r="J157" s="130" t="str">
        <f>CONCATENATE('3 pr-2'!K159)</f>
        <v>-</v>
      </c>
      <c r="K157" s="130" t="str">
        <f>MID('3 pr-2'!B159,10,2)</f>
        <v>25</v>
      </c>
      <c r="L157" s="130" t="str">
        <f>IFERROR(INDEX(Veiklos!$C$2:$C$54,MATCH(K157,Veiklos!$D$2:$D$54,0),1),"")</f>
        <v>Socialinio būsto infrastruktūra (nauja statyba arba pritaikymas)</v>
      </c>
      <c r="M157" s="130" t="str">
        <f>MID('3 pr-2'!B159,12,2)</f>
        <v>26</v>
      </c>
      <c r="N157" s="130" t="str">
        <f>IFERROR(INDEX(Veiklos!$C$2:$C$54,MATCH(M157,Veiklos!$D$2:$D$54,0),1),"")</f>
        <v>Socialinio būsto įsigijimas</v>
      </c>
      <c r="O157" s="130" t="str">
        <f>MID('3 pr-2'!B159,14,2)</f>
        <v>00</v>
      </c>
      <c r="P157" s="130">
        <f>IFERROR(INDEX(Veiklos!$C$2:$C$54,MATCH(O157,Veiklos!$D$2:$D$54,0),1),"")</f>
        <v>0</v>
      </c>
      <c r="Q157" s="130"/>
      <c r="R157" s="130"/>
      <c r="S157" s="130"/>
      <c r="T157" s="130"/>
      <c r="U157" s="316">
        <v>1</v>
      </c>
      <c r="V157" s="504">
        <f>SUM('3 pr-2'!L159)</f>
        <v>368599</v>
      </c>
      <c r="W157" s="504">
        <f>SUM('3 pr-2'!AA159)</f>
        <v>313012</v>
      </c>
    </row>
    <row r="158" spans="1:23" ht="46.5" customHeight="1" thickBot="1">
      <c r="A158" s="134" t="s">
        <v>38</v>
      </c>
      <c r="B158" s="628"/>
      <c r="C158" s="1933" t="s">
        <v>625</v>
      </c>
      <c r="D158" s="1934"/>
      <c r="E158" s="1934"/>
      <c r="F158" s="1934"/>
      <c r="G158" s="1934"/>
      <c r="H158" s="1934"/>
      <c r="I158" s="1934"/>
      <c r="J158" s="1935"/>
      <c r="K158" s="535"/>
      <c r="L158" s="533"/>
      <c r="M158" s="497"/>
      <c r="N158" s="533"/>
      <c r="O158" s="497"/>
      <c r="P158" s="533"/>
      <c r="Q158" s="497"/>
      <c r="R158" s="533"/>
      <c r="S158" s="497"/>
      <c r="T158" s="533"/>
      <c r="U158" s="533"/>
      <c r="V158" s="535"/>
      <c r="W158" s="535"/>
    </row>
    <row r="159" spans="1:23" ht="36.75" customHeight="1" thickBot="1">
      <c r="A159" s="297" t="s">
        <v>109</v>
      </c>
      <c r="B159" s="624"/>
      <c r="C159" s="1931" t="s">
        <v>814</v>
      </c>
      <c r="D159" s="1929"/>
      <c r="E159" s="1929"/>
      <c r="F159" s="1929"/>
      <c r="G159" s="1929"/>
      <c r="H159" s="1929"/>
      <c r="I159" s="1929"/>
      <c r="J159" s="1930"/>
      <c r="K159" s="542"/>
      <c r="L159" s="540"/>
      <c r="M159" s="543"/>
      <c r="N159" s="540"/>
      <c r="O159" s="543"/>
      <c r="P159" s="540"/>
      <c r="Q159" s="543"/>
      <c r="R159" s="540"/>
      <c r="S159" s="543"/>
      <c r="T159" s="540"/>
      <c r="U159" s="541"/>
      <c r="V159" s="529">
        <f>SUM(V160:V164)</f>
        <v>906987.73</v>
      </c>
      <c r="W159" s="529">
        <f>SUM(W160:W164)</f>
        <v>770807.84000000008</v>
      </c>
    </row>
    <row r="160" spans="1:23" ht="39" thickBot="1">
      <c r="A160" s="130" t="str">
        <f>CONCATENATE('3 pr-2'!A162)</f>
        <v>2.1.4.1.1</v>
      </c>
      <c r="B160" s="130" t="str">
        <f>CONCATENATE('3 pr-2'!B162)</f>
        <v>R01-9920-490000-2411</v>
      </c>
      <c r="C160" s="311" t="str">
        <f>CONCATENATE('3 pr-2'!D162)</f>
        <v>Paslaugų teikimo ir asmenų aptarnavimo kokybės gerinimas Varėnos rajono savivaldybėje</v>
      </c>
      <c r="D160" s="311" t="str">
        <f>CONCATENATE('3 pr-2'!E162)</f>
        <v>Varėnos rajono savivaldybės administracija</v>
      </c>
      <c r="E160" s="311" t="str">
        <f>CONCATENATE('3 pr-2'!F162)</f>
        <v>Lietuvos Respublikos vidaus reikalų ministerija</v>
      </c>
      <c r="F160" s="311" t="str">
        <f>CONCATENATE('3 pr-2'!G162)</f>
        <v>Varėnos r. sav.</v>
      </c>
      <c r="G160" s="130" t="str">
        <f>CONCATENATE('3 pr-2'!H162)</f>
        <v>10.1.3-ESFA-R-920</v>
      </c>
      <c r="H160" s="130" t="str">
        <f>CONCATENATE('3 pr-2'!I162)</f>
        <v>R</v>
      </c>
      <c r="I160" s="130" t="str">
        <f>CONCATENATE('3 pr-2'!J162)</f>
        <v>-</v>
      </c>
      <c r="J160" s="130" t="str">
        <f>CONCATENATE('3 pr-2'!K162)</f>
        <v>-</v>
      </c>
      <c r="K160" s="130" t="str">
        <f>MID('3 pr-2'!B162,10,2)</f>
        <v>49</v>
      </c>
      <c r="L160" s="130" t="str">
        <f>IFERROR(INDEX(Veiklos!$C$2:$C$54,MATCH(K160,Veiklos!$D$2:$D$54,0),1),"")</f>
        <v>Viešojo valdymo tobulinimas</v>
      </c>
      <c r="M160" s="130" t="str">
        <f>MID('3 pr-2'!B162,12,2)</f>
        <v>00</v>
      </c>
      <c r="N160" s="130">
        <f>IFERROR(INDEX(Veiklos!$C$2:$C$54,MATCH(M160,Veiklos!$D$2:$D$54,0),1),"")</f>
        <v>0</v>
      </c>
      <c r="O160" s="130" t="str">
        <f>MID('3 pr-2'!B162,14,2)</f>
        <v>00</v>
      </c>
      <c r="P160" s="130">
        <f>IFERROR(INDEX(Veiklos!$C$2:$C$54,MATCH(O160,Veiklos!$D$2:$D$54,0),1),"")</f>
        <v>0</v>
      </c>
      <c r="Q160" s="130"/>
      <c r="R160" s="130"/>
      <c r="S160" s="130"/>
      <c r="T160" s="130"/>
      <c r="U160" s="316">
        <v>1</v>
      </c>
      <c r="V160" s="504">
        <f>SUM('3 pr-2'!L162)</f>
        <v>172733.52</v>
      </c>
      <c r="W160" s="504">
        <f>SUM('3 pr-2'!AA162)</f>
        <v>146823.49</v>
      </c>
    </row>
    <row r="161" spans="1:23" ht="39" thickBot="1">
      <c r="A161" s="130" t="str">
        <f>CONCATENATE('3 pr-2'!A163)</f>
        <v>2.1.4.1.2</v>
      </c>
      <c r="B161" s="130" t="str">
        <f>CONCATENATE('3 pr-2'!B163)</f>
        <v>R01-9920-490000-2412</v>
      </c>
      <c r="C161" s="311" t="str">
        <f>CONCATENATE('3 pr-2'!D163)</f>
        <v>Paslaugų ir asmenų aptarnavimo kokybės gerinimas Alytaus rajono savivaldybėje</v>
      </c>
      <c r="D161" s="311" t="str">
        <f>CONCATENATE('3 pr-2'!E163)</f>
        <v>Alytaus rajono savivaldybės administracija</v>
      </c>
      <c r="E161" s="311" t="str">
        <f>CONCATENATE('3 pr-2'!F163)</f>
        <v>Lietuvos Respublikos vidaus reikalų ministerija</v>
      </c>
      <c r="F161" s="311" t="str">
        <f>CONCATENATE('3 pr-2'!G163)</f>
        <v>Alytaus r. sav.</v>
      </c>
      <c r="G161" s="130" t="str">
        <f>CONCATENATE('3 pr-2'!H163)</f>
        <v>10.1.3-ESFA-R-920</v>
      </c>
      <c r="H161" s="130" t="str">
        <f>CONCATENATE('3 pr-2'!I163)</f>
        <v>R</v>
      </c>
      <c r="I161" s="130" t="str">
        <f>CONCATENATE('3 pr-2'!J163)</f>
        <v>-</v>
      </c>
      <c r="J161" s="130" t="str">
        <f>CONCATENATE('3 pr-2'!K163)</f>
        <v>-</v>
      </c>
      <c r="K161" s="130" t="str">
        <f>MID('3 pr-2'!B163,10,2)</f>
        <v>49</v>
      </c>
      <c r="L161" s="130" t="str">
        <f>IFERROR(INDEX(Veiklos!$C$2:$C$54,MATCH(K161,Veiklos!$D$2:$D$54,0),1),"")</f>
        <v>Viešojo valdymo tobulinimas</v>
      </c>
      <c r="M161" s="130" t="str">
        <f>MID('3 pr-2'!B163,12,2)</f>
        <v>00</v>
      </c>
      <c r="N161" s="130">
        <f>IFERROR(INDEX(Veiklos!$C$2:$C$54,MATCH(M161,Veiklos!$D$2:$D$54,0),1),"")</f>
        <v>0</v>
      </c>
      <c r="O161" s="130" t="str">
        <f>MID('3 pr-2'!B163,14,2)</f>
        <v>00</v>
      </c>
      <c r="P161" s="130">
        <f>IFERROR(INDEX(Veiklos!$C$2:$C$54,MATCH(O161,Veiklos!$D$2:$D$54,0),1),"")</f>
        <v>0</v>
      </c>
      <c r="Q161" s="130"/>
      <c r="R161" s="130"/>
      <c r="S161" s="130"/>
      <c r="T161" s="130"/>
      <c r="U161" s="316">
        <v>1</v>
      </c>
      <c r="V161" s="504">
        <f>SUM('3 pr-2'!L163)</f>
        <v>192832.21</v>
      </c>
      <c r="W161" s="504">
        <f>SUM('3 pr-2'!AA163)</f>
        <v>163907.37</v>
      </c>
    </row>
    <row r="162" spans="1:23" s="21" customFormat="1" ht="51.75" thickBot="1">
      <c r="A162" s="130" t="str">
        <f>CONCATENATE('3 pr-2'!A164)</f>
        <v>2.1.4.1.3</v>
      </c>
      <c r="B162" s="130" t="str">
        <f>CONCATENATE('3 pr-2'!B164)</f>
        <v>R01-9920-490000-2413</v>
      </c>
      <c r="C162" s="311" t="str">
        <f>CONCATENATE('3 pr-2'!D164)</f>
        <v>Lazdijų rajono savivaldybės administracijos ir jos viešojo valdymo institucijų teikiamų paslaugų procesų tobulinimas</v>
      </c>
      <c r="D162" s="311" t="str">
        <f>CONCATENATE('3 pr-2'!E164)</f>
        <v>Lazdijų rajono savivaldybės administracija</v>
      </c>
      <c r="E162" s="311" t="str">
        <f>CONCATENATE('3 pr-2'!F164)</f>
        <v>Lietuvos Respublikos vidaus reikalų ministerija</v>
      </c>
      <c r="F162" s="311" t="str">
        <f>CONCATENATE('3 pr-2'!G164)</f>
        <v>Lazdijų r. sav.</v>
      </c>
      <c r="G162" s="130" t="str">
        <f>CONCATENATE('3 pr-2'!H164)</f>
        <v>10.1.3-ESFA-R-920</v>
      </c>
      <c r="H162" s="130" t="str">
        <f>CONCATENATE('3 pr-2'!I164)</f>
        <v>R</v>
      </c>
      <c r="I162" s="130" t="str">
        <f>CONCATENATE('3 pr-2'!J164)</f>
        <v>-</v>
      </c>
      <c r="J162" s="130" t="str">
        <f>CONCATENATE('3 pr-2'!K164)</f>
        <v>-</v>
      </c>
      <c r="K162" s="130" t="str">
        <f>MID('3 pr-2'!B164,10,2)</f>
        <v>49</v>
      </c>
      <c r="L162" s="130" t="str">
        <f>IFERROR(INDEX(Veiklos!$C$2:$C$54,MATCH(K162,Veiklos!$D$2:$D$54,0),1),"")</f>
        <v>Viešojo valdymo tobulinimas</v>
      </c>
      <c r="M162" s="130" t="str">
        <f>MID('3 pr-2'!B164,12,2)</f>
        <v>00</v>
      </c>
      <c r="N162" s="130">
        <f>IFERROR(INDEX(Veiklos!$C$2:$C$54,MATCH(M162,Veiklos!$D$2:$D$54,0),1),"")</f>
        <v>0</v>
      </c>
      <c r="O162" s="130" t="str">
        <f>MID('3 pr-2'!B164,14,2)</f>
        <v>00</v>
      </c>
      <c r="P162" s="130">
        <f>IFERROR(INDEX(Veiklos!$C$2:$C$54,MATCH(O162,Veiklos!$D$2:$D$54,0),1),"")</f>
        <v>0</v>
      </c>
      <c r="Q162" s="130"/>
      <c r="R162" s="130"/>
      <c r="S162" s="130"/>
      <c r="T162" s="130"/>
      <c r="U162" s="316">
        <v>1</v>
      </c>
      <c r="V162" s="504">
        <f>SUM('3 pr-2'!L164)</f>
        <v>163986.88</v>
      </c>
      <c r="W162" s="504">
        <f>SUM('3 pr-2'!AA164)</f>
        <v>139388</v>
      </c>
    </row>
    <row r="163" spans="1:23" s="21" customFormat="1" ht="64.5" thickBot="1">
      <c r="A163" s="130" t="str">
        <f>CONCATENATE('3 pr-2'!A165)</f>
        <v>2.1.4.1.4</v>
      </c>
      <c r="B163" s="130" t="str">
        <f>CONCATENATE('3 pr-2'!B165)</f>
        <v>R01-9920-490000-2414</v>
      </c>
      <c r="C163" s="311" t="str">
        <f>CONCATENATE('3 pr-2'!D165)</f>
        <v>Teikiamų paslaugų procesų tobulinimas ir asmenų aptarnavimo kokybės gerinimas Alytaus m. sav. administracijoje ir jai pavaldžiose įstaigose. I etapas</v>
      </c>
      <c r="D163" s="311" t="str">
        <f>CONCATENATE('3 pr-2'!E165)</f>
        <v>Alytaus miesto savivaldybės administracija</v>
      </c>
      <c r="E163" s="311" t="str">
        <f>CONCATENATE('3 pr-2'!F165)</f>
        <v>Lietuvos Respublikos vidaus reikalų ministerija</v>
      </c>
      <c r="F163" s="311" t="str">
        <f>CONCATENATE('3 pr-2'!G165)</f>
        <v>Alytaus m. sav.</v>
      </c>
      <c r="G163" s="130" t="str">
        <f>CONCATENATE('3 pr-2'!H165)</f>
        <v>10.1.3-ESFA-R-920</v>
      </c>
      <c r="H163" s="130" t="str">
        <f>CONCATENATE('3 pr-2'!I165)</f>
        <v>R</v>
      </c>
      <c r="I163" s="130" t="str">
        <f>CONCATENATE('3 pr-2'!J165)</f>
        <v>-</v>
      </c>
      <c r="J163" s="130" t="str">
        <f>CONCATENATE('3 pr-2'!K165)</f>
        <v>-</v>
      </c>
      <c r="K163" s="130" t="str">
        <f>MID('3 pr-2'!B165,10,2)</f>
        <v>49</v>
      </c>
      <c r="L163" s="130" t="str">
        <f>IFERROR(INDEX(Veiklos!$C$2:$C$54,MATCH(K163,Veiklos!$D$2:$D$54,0),1),"")</f>
        <v>Viešojo valdymo tobulinimas</v>
      </c>
      <c r="M163" s="130" t="str">
        <f>MID('3 pr-2'!B165,12,2)</f>
        <v>00</v>
      </c>
      <c r="N163" s="130">
        <f>IFERROR(INDEX(Veiklos!$C$2:$C$54,MATCH(M163,Veiklos!$D$2:$D$54,0),1),"")</f>
        <v>0</v>
      </c>
      <c r="O163" s="130" t="str">
        <f>MID('3 pr-2'!B165,14,2)</f>
        <v>00</v>
      </c>
      <c r="P163" s="130">
        <f>IFERROR(INDEX(Veiklos!$C$2:$C$54,MATCH(O163,Veiklos!$D$2:$D$54,0),1),"")</f>
        <v>0</v>
      </c>
      <c r="Q163" s="130"/>
      <c r="R163" s="130"/>
      <c r="S163" s="130"/>
      <c r="T163" s="130"/>
      <c r="U163" s="316">
        <v>1</v>
      </c>
      <c r="V163" s="504">
        <f>SUM('3 pr-2'!L165)</f>
        <v>215693.16</v>
      </c>
      <c r="W163" s="504">
        <f>SUM('3 pr-2'!AA165)</f>
        <v>183339.18</v>
      </c>
    </row>
    <row r="164" spans="1:23" s="21" customFormat="1" ht="39" thickBot="1">
      <c r="A164" s="130" t="str">
        <f>CONCATENATE('3 pr-2'!A166)</f>
        <v>2.1.4.1.5</v>
      </c>
      <c r="B164" s="130" t="str">
        <f>CONCATENATE('3 pr-2'!B166)</f>
        <v>R01-9920-490000-2415</v>
      </c>
      <c r="C164" s="311" t="str">
        <f>CONCATENATE('3 pr-2'!D166)</f>
        <v>Paslaugų teikimo ir asmenų aptarnavimo kokybės gerinimas Druskininkų savivaldybėje</v>
      </c>
      <c r="D164" s="311" t="str">
        <f>CONCATENATE('3 pr-2'!E166)</f>
        <v>Druskininkų savivaldybės administracija</v>
      </c>
      <c r="E164" s="311" t="str">
        <f>CONCATENATE('3 pr-2'!F166)</f>
        <v>Lietuvos Respublikos vidaus reikalų ministerija</v>
      </c>
      <c r="F164" s="311" t="str">
        <f>CONCATENATE('3 pr-2'!G166)</f>
        <v>Druskininkų sav.</v>
      </c>
      <c r="G164" s="130" t="str">
        <f>CONCATENATE('3 pr-2'!H166)</f>
        <v>10.1.3-ESFA-R-920</v>
      </c>
      <c r="H164" s="130" t="str">
        <f>CONCATENATE('3 pr-2'!I166)</f>
        <v>R</v>
      </c>
      <c r="I164" s="130" t="str">
        <f>CONCATENATE('3 pr-2'!J166)</f>
        <v>-</v>
      </c>
      <c r="J164" s="130" t="str">
        <f>CONCATENATE('3 pr-2'!K166)</f>
        <v>-</v>
      </c>
      <c r="K164" s="130" t="str">
        <f>MID('3 pr-2'!B166,10,2)</f>
        <v>49</v>
      </c>
      <c r="L164" s="130" t="str">
        <f>IFERROR(INDEX(Veiklos!$C$2:$C$54,MATCH(K164,Veiklos!$D$2:$D$54,0),1),"")</f>
        <v>Viešojo valdymo tobulinimas</v>
      </c>
      <c r="M164" s="130" t="str">
        <f>MID('3 pr-2'!B166,12,2)</f>
        <v>00</v>
      </c>
      <c r="N164" s="130">
        <f>IFERROR(INDEX(Veiklos!$C$2:$C$54,MATCH(M164,Veiklos!$D$2:$D$54,0),1),"")</f>
        <v>0</v>
      </c>
      <c r="O164" s="130" t="str">
        <f>MID('3 pr-2'!B166,14,2)</f>
        <v>00</v>
      </c>
      <c r="P164" s="130">
        <f>IFERROR(INDEX(Veiklos!$C$2:$C$54,MATCH(O164,Veiklos!$D$2:$D$54,0),1),"")</f>
        <v>0</v>
      </c>
      <c r="Q164" s="130"/>
      <c r="R164" s="130"/>
      <c r="S164" s="130"/>
      <c r="T164" s="130"/>
      <c r="U164" s="316">
        <v>1</v>
      </c>
      <c r="V164" s="504">
        <f>SUM('3 pr-2'!L166)</f>
        <v>161741.96</v>
      </c>
      <c r="W164" s="504">
        <f>SUM('3 pr-2'!AA166)</f>
        <v>137349.79999999999</v>
      </c>
    </row>
    <row r="165" spans="1:23" s="21" customFormat="1" ht="64.5" thickBot="1">
      <c r="A165" s="130" t="str">
        <f>CONCATENATE('3 pr-2'!A167)</f>
        <v>2.1.4.1.6</v>
      </c>
      <c r="B165" s="130" t="str">
        <f>CONCATENATE('3 pr-2'!B167)</f>
        <v>R01-9920-490000-2416</v>
      </c>
      <c r="C165" s="311" t="str">
        <f>CONCATENATE('3 pr-2'!D167)</f>
        <v>Teikiamų paslaugų procesų tobulinimas ir asmenų aptarnavimo kokybės gerinimas Alytaus m. sav. administracijoje ir jai pavaldžiose įstaigose. II etapas</v>
      </c>
      <c r="D165" s="311" t="str">
        <f>CONCATENATE('3 pr-2'!E167)</f>
        <v>Alytaus miesto savivaldybės administracija</v>
      </c>
      <c r="E165" s="311" t="str">
        <f>CONCATENATE('3 pr-2'!F167)</f>
        <v>Lietuvos Respublikos vidaus reikalų ministerija</v>
      </c>
      <c r="F165" s="311" t="str">
        <f>CONCATENATE('3 pr-2'!G167)</f>
        <v>Alytaus m. sav.</v>
      </c>
      <c r="G165" s="130" t="str">
        <f>CONCATENATE('3 pr-2'!H167)</f>
        <v>10.1.3-ESFA-R-920</v>
      </c>
      <c r="H165" s="130" t="str">
        <f>CONCATENATE('3 pr-2'!I167)</f>
        <v>R</v>
      </c>
      <c r="I165" s="130" t="str">
        <f>CONCATENATE('3 pr-2'!J167)</f>
        <v>-</v>
      </c>
      <c r="J165" s="130" t="str">
        <f>CONCATENATE('3 pr-2'!K167)</f>
        <v>-</v>
      </c>
      <c r="K165" s="130" t="str">
        <f>MID('3 pr-2'!B167,10,2)</f>
        <v>49</v>
      </c>
      <c r="L165" s="130" t="str">
        <f>IFERROR(INDEX(Veiklos!$C$2:$C$54,MATCH(K165,Veiklos!$D$2:$D$54,0),1),"")</f>
        <v>Viešojo valdymo tobulinimas</v>
      </c>
      <c r="M165" s="130" t="str">
        <f>MID('3 pr-2'!B167,12,2)</f>
        <v>00</v>
      </c>
      <c r="N165" s="130">
        <f>IFERROR(INDEX(Veiklos!$C$2:$C$54,MATCH(M165,Veiklos!$D$2:$D$54,0),1),"")</f>
        <v>0</v>
      </c>
      <c r="O165" s="130" t="str">
        <f>MID('3 pr-2'!B167,14,2)</f>
        <v>00</v>
      </c>
      <c r="P165" s="130">
        <f>IFERROR(INDEX(Veiklos!$C$2:$C$54,MATCH(O165,Veiklos!$D$2:$D$54,0),1),"")</f>
        <v>0</v>
      </c>
      <c r="Q165" s="130"/>
      <c r="R165" s="130"/>
      <c r="S165" s="130"/>
      <c r="T165" s="130"/>
      <c r="U165" s="316">
        <v>1</v>
      </c>
      <c r="V165" s="504">
        <f>SUM('3 pr-2'!L167)</f>
        <v>200000</v>
      </c>
      <c r="W165" s="504">
        <f>SUM('3 pr-2'!AA167)</f>
        <v>170000</v>
      </c>
    </row>
    <row r="166" spans="1:23" ht="54" customHeight="1" thickBot="1">
      <c r="A166" s="132" t="s">
        <v>40</v>
      </c>
      <c r="B166" s="630"/>
      <c r="C166" s="1932" t="s">
        <v>598</v>
      </c>
      <c r="D166" s="1924"/>
      <c r="E166" s="1924"/>
      <c r="F166" s="1924"/>
      <c r="G166" s="1924"/>
      <c r="H166" s="1924"/>
      <c r="I166" s="1924"/>
      <c r="J166" s="1925"/>
      <c r="K166" s="544"/>
      <c r="L166" s="545"/>
      <c r="M166" s="546"/>
      <c r="N166" s="547"/>
      <c r="O166" s="546"/>
      <c r="P166" s="547"/>
      <c r="Q166" s="546"/>
      <c r="R166" s="547"/>
      <c r="S166" s="546"/>
      <c r="T166" s="547"/>
      <c r="U166" s="547"/>
      <c r="V166" s="548"/>
      <c r="W166" s="548"/>
    </row>
    <row r="167" spans="1:23" ht="41.25" customHeight="1" thickBot="1">
      <c r="A167" s="134" t="s">
        <v>41</v>
      </c>
      <c r="B167" s="628"/>
      <c r="C167" s="1923" t="s">
        <v>599</v>
      </c>
      <c r="D167" s="1924"/>
      <c r="E167" s="1924"/>
      <c r="F167" s="1924"/>
      <c r="G167" s="1924"/>
      <c r="H167" s="1924"/>
      <c r="I167" s="1924"/>
      <c r="J167" s="1925"/>
      <c r="K167" s="334"/>
      <c r="L167" s="549"/>
      <c r="M167" s="496"/>
      <c r="N167" s="495"/>
      <c r="O167" s="496"/>
      <c r="P167" s="495"/>
      <c r="Q167" s="496"/>
      <c r="R167" s="495"/>
      <c r="S167" s="496"/>
      <c r="T167" s="495"/>
      <c r="U167" s="495"/>
      <c r="V167" s="518"/>
      <c r="W167" s="519"/>
    </row>
    <row r="168" spans="1:23" ht="39" customHeight="1" thickBot="1">
      <c r="A168" s="297" t="s">
        <v>42</v>
      </c>
      <c r="B168" s="624"/>
      <c r="C168" s="1926" t="s">
        <v>812</v>
      </c>
      <c r="D168" s="1927"/>
      <c r="E168" s="1927"/>
      <c r="F168" s="1927"/>
      <c r="G168" s="1927"/>
      <c r="H168" s="1927"/>
      <c r="I168" s="1927"/>
      <c r="J168" s="1928"/>
      <c r="K168" s="550"/>
      <c r="L168" s="551"/>
      <c r="M168" s="510"/>
      <c r="N168" s="509"/>
      <c r="O168" s="510"/>
      <c r="P168" s="509"/>
      <c r="Q168" s="510"/>
      <c r="R168" s="509"/>
      <c r="S168" s="510"/>
      <c r="T168" s="509"/>
      <c r="U168" s="537"/>
      <c r="V168" s="512">
        <f>SUM(V169:V169)</f>
        <v>4130687.05</v>
      </c>
      <c r="W168" s="512">
        <f>SUM(W169:W169)</f>
        <v>3352807.77</v>
      </c>
    </row>
    <row r="169" spans="1:23" ht="51.75" thickBot="1">
      <c r="A169" s="130" t="str">
        <f>CONCATENATE('3 pr-2'!A171)</f>
        <v>3.1.1.1.1</v>
      </c>
      <c r="B169" s="130" t="str">
        <f>CONCATENATE('3 pr-2'!B171)</f>
        <v>R01-0008-050000-3111</v>
      </c>
      <c r="C169" s="311" t="str">
        <f>CONCATENATE('3 pr-2'!D171)</f>
        <v>Komunalinių atliekų tvarkymo infrastruktūros plėtra Alytaus regione</v>
      </c>
      <c r="D169" s="311" t="str">
        <f>CONCATENATE('3 pr-2'!E171)</f>
        <v>Alytaus regiono atliekų tvarkymo centras</v>
      </c>
      <c r="E169" s="311" t="str">
        <f>CONCATENATE('3 pr-2'!F171)</f>
        <v>Lietuvos Respublikos aplinkos ministerija</v>
      </c>
      <c r="F169" s="311" t="str">
        <f>CONCATENATE('3 pr-2'!G171)</f>
        <v>Alytaus regionas</v>
      </c>
      <c r="G169" s="130" t="str">
        <f>CONCATENATE('3 pr-2'!H171)</f>
        <v>05.2.1-APVA-R-008</v>
      </c>
      <c r="H169" s="130" t="str">
        <f>CONCATENATE('3 pr-2'!I171)</f>
        <v>R</v>
      </c>
      <c r="I169" s="130" t="str">
        <f>CONCATENATE('3 pr-2'!J171)</f>
        <v>-</v>
      </c>
      <c r="J169" s="130" t="str">
        <f>CONCATENATE('3 pr-2'!K171)</f>
        <v>-</v>
      </c>
      <c r="K169" s="130" t="str">
        <f>MID('3 pr-2'!B171,10,2)</f>
        <v>05</v>
      </c>
      <c r="L169" s="130" t="str">
        <f>IFERROR(INDEX(Veiklos!$C$2:$C$54,MATCH(K169,Veiklos!$D$2:$D$54,0),1),"")</f>
        <v>Atliekų tvarkymas (mažinimo, rūšiavimo ir perdirbimo skatinimo priemonės)</v>
      </c>
      <c r="M169" s="130" t="str">
        <f>MID('3 pr-2'!B171,12,2)</f>
        <v>00</v>
      </c>
      <c r="N169" s="130">
        <f>IFERROR(INDEX(Veiklos!$C$2:$C$54,MATCH(M169,Veiklos!$D$2:$D$54,0),1),"")</f>
        <v>0</v>
      </c>
      <c r="O169" s="130" t="str">
        <f>MID('3 pr-2'!B171,14,2)</f>
        <v>00</v>
      </c>
      <c r="P169" s="130">
        <f>IFERROR(INDEX(Veiklos!$C$2:$C$54,MATCH(O169,Veiklos!$D$2:$D$54,0),1),"")</f>
        <v>0</v>
      </c>
      <c r="Q169" s="130"/>
      <c r="R169" s="130"/>
      <c r="S169" s="130"/>
      <c r="T169" s="130"/>
      <c r="U169" s="316">
        <v>1</v>
      </c>
      <c r="V169" s="504">
        <f>SUM('3 pr-2'!L171)</f>
        <v>4130687.05</v>
      </c>
      <c r="W169" s="504">
        <f>SUM('3 pr-2'!AA171)</f>
        <v>3352807.77</v>
      </c>
    </row>
    <row r="170" spans="1:23" ht="39" customHeight="1" thickBot="1">
      <c r="A170" s="134" t="s">
        <v>43</v>
      </c>
      <c r="B170" s="628"/>
      <c r="C170" s="1923" t="s">
        <v>600</v>
      </c>
      <c r="D170" s="1924"/>
      <c r="E170" s="1924"/>
      <c r="F170" s="1924"/>
      <c r="G170" s="1924"/>
      <c r="H170" s="1924"/>
      <c r="I170" s="1924"/>
      <c r="J170" s="1925"/>
      <c r="K170" s="552"/>
      <c r="L170" s="553"/>
      <c r="M170" s="497"/>
      <c r="N170" s="554"/>
      <c r="O170" s="497"/>
      <c r="P170" s="554"/>
      <c r="Q170" s="497"/>
      <c r="R170" s="554"/>
      <c r="S170" s="497"/>
      <c r="T170" s="554"/>
      <c r="U170" s="554"/>
      <c r="V170" s="535"/>
      <c r="W170" s="518"/>
    </row>
    <row r="171" spans="1:23" ht="36.75" customHeight="1" thickBot="1">
      <c r="A171" s="297" t="s">
        <v>113</v>
      </c>
      <c r="B171" s="624"/>
      <c r="C171" s="1926" t="s">
        <v>813</v>
      </c>
      <c r="D171" s="1929"/>
      <c r="E171" s="1929"/>
      <c r="F171" s="1929"/>
      <c r="G171" s="1929"/>
      <c r="H171" s="1929"/>
      <c r="I171" s="1929"/>
      <c r="J171" s="1930"/>
      <c r="K171" s="555"/>
      <c r="L171" s="556"/>
      <c r="M171" s="543"/>
      <c r="N171" s="540"/>
      <c r="O171" s="543"/>
      <c r="P171" s="540"/>
      <c r="Q171" s="543"/>
      <c r="R171" s="540"/>
      <c r="S171" s="543"/>
      <c r="T171" s="540"/>
      <c r="U171" s="541"/>
      <c r="V171" s="557">
        <f>SUM(V172:V177)</f>
        <v>1532943.8199999998</v>
      </c>
      <c r="W171" s="502">
        <f>SUM(W172:W177)</f>
        <v>1303001.8800000001</v>
      </c>
    </row>
    <row r="172" spans="1:23" ht="39" thickBot="1">
      <c r="A172" s="130" t="str">
        <f>CONCATENATE('3 pr-2'!A174)</f>
        <v>3.1.2.1.1</v>
      </c>
      <c r="B172" s="130" t="str">
        <f>CONCATENATE('3 pr-2'!B174)</f>
        <v>R01-0019-380000-3211</v>
      </c>
      <c r="C172" s="311" t="str">
        <f>CONCATENATE('3 pr-2'!D174)</f>
        <v>Kraštovaizdžio formavimas ir tvarkymas Varėnos r. savivaldybėje (I etapas)</v>
      </c>
      <c r="D172" s="311" t="str">
        <f>CONCATENATE('3 pr-2'!E174)</f>
        <v>Varėnos rajono savivaldybės administracija</v>
      </c>
      <c r="E172" s="311" t="str">
        <f>CONCATENATE('3 pr-2'!F174)</f>
        <v>Lietuvos Respublikos aplinkos ministerija</v>
      </c>
      <c r="F172" s="311" t="str">
        <f>CONCATENATE('3 pr-2'!G174)</f>
        <v>Varėnos r. sav.</v>
      </c>
      <c r="G172" s="130" t="str">
        <f>CONCATENATE('3 pr-2'!H174)</f>
        <v>05.5.1-APVA-R-019</v>
      </c>
      <c r="H172" s="130" t="str">
        <f>CONCATENATE('3 pr-2'!I174)</f>
        <v>R</v>
      </c>
      <c r="I172" s="130" t="str">
        <f>CONCATENATE('3 pr-2'!J174)</f>
        <v>-</v>
      </c>
      <c r="J172" s="130" t="str">
        <f>CONCATENATE('3 pr-2'!K174)</f>
        <v>-</v>
      </c>
      <c r="K172" s="130" t="str">
        <f>MID('3 pr-2'!B174,10,2)</f>
        <v>38</v>
      </c>
      <c r="L172" s="130" t="str">
        <f>IFERROR(INDEX(Veiklos!$C$2:$C$54,MATCH(K172,Veiklos!$D$2:$D$54,0),1),"")</f>
        <v>Kraštovaizdžio tvarkymas (kraštovaizdžio etalonai, pažeistos teritorijos ir pan.)</v>
      </c>
      <c r="M172" s="130" t="str">
        <f>MID('3 pr-2'!B174,12,2)</f>
        <v>00</v>
      </c>
      <c r="N172" s="130">
        <f>IFERROR(INDEX(Veiklos!$C$2:$C$54,MATCH(M172,Veiklos!$D$2:$D$54,0),1),"")</f>
        <v>0</v>
      </c>
      <c r="O172" s="130" t="str">
        <f>MID('3 pr-2'!B174,14,2)</f>
        <v>00</v>
      </c>
      <c r="P172" s="130">
        <f>IFERROR(INDEX(Veiklos!$C$2:$C$54,MATCH(O172,Veiklos!$D$2:$D$54,0),1),"")</f>
        <v>0</v>
      </c>
      <c r="Q172" s="130"/>
      <c r="R172" s="130"/>
      <c r="S172" s="130"/>
      <c r="T172" s="130"/>
      <c r="U172" s="316">
        <v>1</v>
      </c>
      <c r="V172" s="504">
        <f>SUM('3 pr-2'!L174)</f>
        <v>309522</v>
      </c>
      <c r="W172" s="504">
        <f>SUM('3 pr-2'!AA174)</f>
        <v>263093.7</v>
      </c>
    </row>
    <row r="173" spans="1:23" ht="39" thickBot="1">
      <c r="A173" s="130" t="str">
        <f>CONCATENATE('3 pr-2'!A175)</f>
        <v>3.1.2.1.2</v>
      </c>
      <c r="B173" s="130" t="str">
        <f>CONCATENATE('3 pr-2'!B175)</f>
        <v>R01-0019-380000-3212</v>
      </c>
      <c r="C173" s="311" t="str">
        <f>CONCATENATE('3 pr-2'!D175)</f>
        <v>Kraštovaizdžio formavimas ir tvarkymas Varėnos r. savivaldybėje (II etapas)</v>
      </c>
      <c r="D173" s="311" t="str">
        <f>CONCATENATE('3 pr-2'!E175)</f>
        <v>Varėnos rajono savivaldybės administracija</v>
      </c>
      <c r="E173" s="311" t="str">
        <f>CONCATENATE('3 pr-2'!F175)</f>
        <v>Lietuvos Respublikos aplinkos ministerija</v>
      </c>
      <c r="F173" s="311" t="str">
        <f>CONCATENATE('3 pr-2'!G175)</f>
        <v>Varėnos r. sav.</v>
      </c>
      <c r="G173" s="130" t="str">
        <f>CONCATENATE('3 pr-2'!H175)</f>
        <v>05.5.1-APVA-R-019</v>
      </c>
      <c r="H173" s="130" t="str">
        <f>CONCATENATE('3 pr-2'!I175)</f>
        <v>R</v>
      </c>
      <c r="I173" s="130" t="str">
        <f>CONCATENATE('3 pr-2'!J175)</f>
        <v>-</v>
      </c>
      <c r="J173" s="130" t="str">
        <f>CONCATENATE('3 pr-2'!K175)</f>
        <v>-</v>
      </c>
      <c r="K173" s="130" t="str">
        <f>MID('3 pr-2'!B175,10,2)</f>
        <v>38</v>
      </c>
      <c r="L173" s="130" t="str">
        <f>IFERROR(INDEX(Veiklos!$C$2:$C$54,MATCH(K173,Veiklos!$D$2:$D$54,0),1),"")</f>
        <v>Kraštovaizdžio tvarkymas (kraštovaizdžio etalonai, pažeistos teritorijos ir pan.)</v>
      </c>
      <c r="M173" s="130" t="str">
        <f>MID('3 pr-2'!B175,12,2)</f>
        <v>00</v>
      </c>
      <c r="N173" s="130">
        <f>IFERROR(INDEX(Veiklos!$C$2:$C$54,MATCH(M173,Veiklos!$D$2:$D$54,0),1),"")</f>
        <v>0</v>
      </c>
      <c r="O173" s="130" t="str">
        <f>MID('3 pr-2'!B175,14,2)</f>
        <v>00</v>
      </c>
      <c r="P173" s="130">
        <f>IFERROR(INDEX(Veiklos!$C$2:$C$54,MATCH(O173,Veiklos!$D$2:$D$54,0),1),"")</f>
        <v>0</v>
      </c>
      <c r="Q173" s="130"/>
      <c r="R173" s="130"/>
      <c r="S173" s="130"/>
      <c r="T173" s="130"/>
      <c r="U173" s="316">
        <v>1</v>
      </c>
      <c r="V173" s="504">
        <f>SUM('3 pr-2'!L175)</f>
        <v>554211</v>
      </c>
      <c r="W173" s="504">
        <f>SUM('3 pr-2'!AA175)</f>
        <v>471079</v>
      </c>
    </row>
    <row r="174" spans="1:23" ht="39" thickBot="1">
      <c r="A174" s="130" t="str">
        <f>CONCATENATE('3 pr-2'!A176)</f>
        <v>3.1.2.1.3</v>
      </c>
      <c r="B174" s="130" t="str">
        <f>CONCATENATE('3 pr-2'!B176)</f>
        <v>R01-0019-380000-3213</v>
      </c>
      <c r="C174" s="311" t="str">
        <f>CONCATENATE('3 pr-2'!D176)</f>
        <v>Bešeimininkių apleistų pastatų ir įrenginių tvarkymas Alytaus rajono savivaldybėje</v>
      </c>
      <c r="D174" s="311" t="str">
        <f>CONCATENATE('3 pr-2'!E176)</f>
        <v>Alytaus rajono savivaldybės administracija</v>
      </c>
      <c r="E174" s="311" t="str">
        <f>CONCATENATE('3 pr-2'!F176)</f>
        <v>Lietuvos Respublikos aplinkos ministerija</v>
      </c>
      <c r="F174" s="311" t="str">
        <f>CONCATENATE('3 pr-2'!G176)</f>
        <v>Alytaus r. sav.</v>
      </c>
      <c r="G174" s="130" t="str">
        <f>CONCATENATE('3 pr-2'!H176)</f>
        <v>05.5.1-APVA-R-019</v>
      </c>
      <c r="H174" s="130" t="str">
        <f>CONCATENATE('3 pr-2'!I176)</f>
        <v>R</v>
      </c>
      <c r="I174" s="130" t="str">
        <f>CONCATENATE('3 pr-2'!J176)</f>
        <v/>
      </c>
      <c r="J174" s="130" t="str">
        <f>CONCATENATE('3 pr-2'!K176)</f>
        <v/>
      </c>
      <c r="K174" s="130" t="str">
        <f>MID('3 pr-2'!B176,10,2)</f>
        <v>38</v>
      </c>
      <c r="L174" s="130" t="str">
        <f>IFERROR(INDEX(Veiklos!$C$2:$C$54,MATCH(K174,Veiklos!$D$2:$D$54,0),1),"")</f>
        <v>Kraštovaizdžio tvarkymas (kraštovaizdžio etalonai, pažeistos teritorijos ir pan.)</v>
      </c>
      <c r="M174" s="130" t="str">
        <f>MID('3 pr-2'!B176,12,2)</f>
        <v>00</v>
      </c>
      <c r="N174" s="130">
        <f>IFERROR(INDEX(Veiklos!$C$2:$C$54,MATCH(M174,Veiklos!$D$2:$D$54,0),1),"")</f>
        <v>0</v>
      </c>
      <c r="O174" s="130" t="str">
        <f>MID('3 pr-2'!B176,14,2)</f>
        <v>00</v>
      </c>
      <c r="P174" s="130">
        <f>IFERROR(INDEX(Veiklos!$C$2:$C$54,MATCH(O174,Veiklos!$D$2:$D$54,0),1),"")</f>
        <v>0</v>
      </c>
      <c r="Q174" s="130"/>
      <c r="R174" s="130"/>
      <c r="S174" s="130"/>
      <c r="T174" s="130"/>
      <c r="U174" s="316">
        <v>1</v>
      </c>
      <c r="V174" s="504">
        <f>SUM('3 pr-2'!L176)</f>
        <v>101765.7</v>
      </c>
      <c r="W174" s="504">
        <f>SUM('3 pr-2'!AA176)</f>
        <v>86500.800000000003</v>
      </c>
    </row>
    <row r="175" spans="1:23" ht="51.75" thickBot="1">
      <c r="A175" s="130" t="str">
        <f>CONCATENATE('3 pr-2'!A177)</f>
        <v>3.1.2.1.4</v>
      </c>
      <c r="B175" s="130" t="str">
        <f>CONCATENATE('3 pr-2'!B177)</f>
        <v>R01-0019-380000-3214</v>
      </c>
      <c r="C175" s="311" t="str">
        <f>CONCATENATE('3 pr-2'!D177)</f>
        <v>Alytaus miesto bendrojo plano korektūra zonuojant kraštovaizdžio struktūrą, nustatant reglamentus ir principus</v>
      </c>
      <c r="D175" s="311" t="str">
        <f>CONCATENATE('3 pr-2'!E177)</f>
        <v>Alytaus miesto savivaldybės administracija</v>
      </c>
      <c r="E175" s="311" t="str">
        <f>CONCATENATE('3 pr-2'!F177)</f>
        <v>Lietuvos Respublikos aplinkos ministerija</v>
      </c>
      <c r="F175" s="311" t="str">
        <f>CONCATENATE('3 pr-2'!G177)</f>
        <v>Alytaus m. sav.</v>
      </c>
      <c r="G175" s="130" t="str">
        <f>CONCATENATE('3 pr-2'!H177)</f>
        <v>05.5.1-APVA-R-019</v>
      </c>
      <c r="H175" s="130" t="str">
        <f>CONCATENATE('3 pr-2'!I177)</f>
        <v>R</v>
      </c>
      <c r="I175" s="130" t="str">
        <f>CONCATENATE('3 pr-2'!J177)</f>
        <v/>
      </c>
      <c r="J175" s="130" t="str">
        <f>CONCATENATE('3 pr-2'!K177)</f>
        <v>-</v>
      </c>
      <c r="K175" s="130" t="str">
        <f>MID('3 pr-2'!B177,10,2)</f>
        <v>38</v>
      </c>
      <c r="L175" s="130" t="str">
        <f>IFERROR(INDEX(Veiklos!$C$2:$C$54,MATCH(K175,Veiklos!$D$2:$D$54,0),1),"")</f>
        <v>Kraštovaizdžio tvarkymas (kraštovaizdžio etalonai, pažeistos teritorijos ir pan.)</v>
      </c>
      <c r="M175" s="130" t="str">
        <f>MID('3 pr-2'!B177,12,2)</f>
        <v>00</v>
      </c>
      <c r="N175" s="130">
        <f>IFERROR(INDEX(Veiklos!$C$2:$C$54,MATCH(M175,Veiklos!$D$2:$D$54,0),1),"")</f>
        <v>0</v>
      </c>
      <c r="O175" s="130" t="str">
        <f>MID('3 pr-2'!B177,14,2)</f>
        <v>00</v>
      </c>
      <c r="P175" s="130">
        <f>IFERROR(INDEX(Veiklos!$C$2:$C$54,MATCH(O175,Veiklos!$D$2:$D$54,0),1),"")</f>
        <v>0</v>
      </c>
      <c r="Q175" s="130"/>
      <c r="R175" s="130"/>
      <c r="S175" s="130"/>
      <c r="T175" s="130"/>
      <c r="U175" s="316">
        <v>1</v>
      </c>
      <c r="V175" s="504">
        <f>SUM('3 pr-2'!L177)</f>
        <v>3993</v>
      </c>
      <c r="W175" s="504">
        <f>SUM('3 pr-2'!AA177)</f>
        <v>3394.05</v>
      </c>
    </row>
    <row r="176" spans="1:23" ht="39" thickBot="1">
      <c r="A176" s="130" t="str">
        <f>CONCATENATE('3 pr-2'!A178)</f>
        <v>3.1.2.1.5</v>
      </c>
      <c r="B176" s="130" t="str">
        <f>CONCATENATE('3 pr-2'!B178)</f>
        <v>R01-0019-380000-3215</v>
      </c>
      <c r="C176" s="311" t="str">
        <f>CONCATENATE('3 pr-2'!D178)</f>
        <v>Bešeimininkių apleistų pastatų Druskininkų savivaldybės teritorijoje likvidavimas</v>
      </c>
      <c r="D176" s="311" t="str">
        <f>CONCATENATE('3 pr-2'!E178)</f>
        <v>Druskininkų savivaldybės administracija</v>
      </c>
      <c r="E176" s="311" t="str">
        <f>CONCATENATE('3 pr-2'!F178)</f>
        <v>Lietuvos Respublikos aplinkos ministerija</v>
      </c>
      <c r="F176" s="311" t="str">
        <f>CONCATENATE('3 pr-2'!G178)</f>
        <v>Druskininkų sav.</v>
      </c>
      <c r="G176" s="130" t="str">
        <f>CONCATENATE('3 pr-2'!H178)</f>
        <v>05.5.1-APVA-R-019</v>
      </c>
      <c r="H176" s="130" t="str">
        <f>CONCATENATE('3 pr-2'!I178)</f>
        <v>R</v>
      </c>
      <c r="I176" s="130" t="str">
        <f>CONCATENATE('3 pr-2'!J178)</f>
        <v>-</v>
      </c>
      <c r="J176" s="130" t="str">
        <f>CONCATENATE('3 pr-2'!K178)</f>
        <v>-</v>
      </c>
      <c r="K176" s="130" t="str">
        <f>MID('3 pr-2'!B178,10,2)</f>
        <v>38</v>
      </c>
      <c r="L176" s="130" t="str">
        <f>IFERROR(INDEX(Veiklos!$C$2:$C$54,MATCH(K176,Veiklos!$D$2:$D$54,0),1),"")</f>
        <v>Kraštovaizdžio tvarkymas (kraštovaizdžio etalonai, pažeistos teritorijos ir pan.)</v>
      </c>
      <c r="M176" s="130" t="str">
        <f>MID('3 pr-2'!B178,12,2)</f>
        <v>00</v>
      </c>
      <c r="N176" s="130">
        <f>IFERROR(INDEX(Veiklos!$C$2:$C$54,MATCH(M176,Veiklos!$D$2:$D$54,0),1),"")</f>
        <v>0</v>
      </c>
      <c r="O176" s="130" t="str">
        <f>MID('3 pr-2'!B178,14,2)</f>
        <v>00</v>
      </c>
      <c r="P176" s="130">
        <f>IFERROR(INDEX(Veiklos!$C$2:$C$54,MATCH(O176,Veiklos!$D$2:$D$54,0),1),"")</f>
        <v>0</v>
      </c>
      <c r="Q176" s="130"/>
      <c r="R176" s="130"/>
      <c r="S176" s="130"/>
      <c r="T176" s="130"/>
      <c r="U176" s="316">
        <v>1</v>
      </c>
      <c r="V176" s="504">
        <f>SUM('3 pr-2'!L178)</f>
        <v>121153.53</v>
      </c>
      <c r="W176" s="504">
        <f>SUM('3 pr-2'!AA178)</f>
        <v>102980.52</v>
      </c>
    </row>
    <row r="177" spans="1:23" ht="39" thickBot="1">
      <c r="A177" s="130" t="str">
        <f>CONCATENATE('3 pr-2'!A179)</f>
        <v>3.1.2.1.6</v>
      </c>
      <c r="B177" s="130" t="str">
        <f>CONCATENATE('3 pr-2'!B179)</f>
        <v>R01-0019-380000-3216</v>
      </c>
      <c r="C177" s="311" t="str">
        <f>CONCATENATE('3 pr-2'!D179)</f>
        <v>Kraštovaizdžio formavimas Lazdijų rajono savivaldybėje</v>
      </c>
      <c r="D177" s="311" t="str">
        <f>CONCATENATE('3 pr-2'!E179)</f>
        <v>Lazdijų rajono savivaldybės administracija</v>
      </c>
      <c r="E177" s="311" t="str">
        <f>CONCATENATE('3 pr-2'!F179)</f>
        <v>Lietuvos Respublikos aplinkos ministerija</v>
      </c>
      <c r="F177" s="311" t="str">
        <f>CONCATENATE('3 pr-2'!G179)</f>
        <v>Lazdijų r. sav.</v>
      </c>
      <c r="G177" s="130" t="str">
        <f>CONCATENATE('3 pr-2'!H179)</f>
        <v>05.5.1-APVA-R-019</v>
      </c>
      <c r="H177" s="130" t="str">
        <f>CONCATENATE('3 pr-2'!I179)</f>
        <v>R</v>
      </c>
      <c r="I177" s="130" t="str">
        <f>CONCATENATE('3 pr-2'!J179)</f>
        <v>-</v>
      </c>
      <c r="J177" s="130" t="str">
        <f>CONCATENATE('3 pr-2'!K179)</f>
        <v>-</v>
      </c>
      <c r="K177" s="130" t="str">
        <f>MID('3 pr-2'!B179,10,2)</f>
        <v>38</v>
      </c>
      <c r="L177" s="130" t="str">
        <f>IFERROR(INDEX(Veiklos!$C$2:$C$54,MATCH(K177,Veiklos!$D$2:$D$54,0),1),"")</f>
        <v>Kraštovaizdžio tvarkymas (kraštovaizdžio etalonai, pažeistos teritorijos ir pan.)</v>
      </c>
      <c r="M177" s="130" t="str">
        <f>MID('3 pr-2'!B179,12,2)</f>
        <v>00</v>
      </c>
      <c r="N177" s="130">
        <f>IFERROR(INDEX(Veiklos!$C$2:$C$54,MATCH(M177,Veiklos!$D$2:$D$54,0),1),"")</f>
        <v>0</v>
      </c>
      <c r="O177" s="130" t="str">
        <f>MID('3 pr-2'!B179,14,2)</f>
        <v>00</v>
      </c>
      <c r="P177" s="130">
        <f>IFERROR(INDEX(Veiklos!$C$2:$C$54,MATCH(O177,Veiklos!$D$2:$D$54,0),1),"")</f>
        <v>0</v>
      </c>
      <c r="Q177" s="130"/>
      <c r="R177" s="130"/>
      <c r="S177" s="130"/>
      <c r="T177" s="130"/>
      <c r="U177" s="316">
        <v>1</v>
      </c>
      <c r="V177" s="504">
        <f>SUM('3 pr-2'!L179)</f>
        <v>442298.58999999997</v>
      </c>
      <c r="W177" s="504">
        <f>SUM('3 pr-2'!AA179)</f>
        <v>375953.81</v>
      </c>
    </row>
    <row r="178" spans="1:23" ht="51.75" thickBot="1">
      <c r="A178" s="130" t="str">
        <f>CONCATENATE('3 pr-2'!A180)</f>
        <v>3.1.2.1.7</v>
      </c>
      <c r="B178" s="130" t="str">
        <f>CONCATENATE('3 pr-2'!B180)</f>
        <v>R01-0019-283800-3217</v>
      </c>
      <c r="C178" s="311" t="str">
        <f>CONCATENATE('3 pr-2'!D180)</f>
        <v>Kraštovaizdžio formavimas Lazdijų rajono savivaldybėje (II etapas)</v>
      </c>
      <c r="D178" s="311" t="str">
        <f>CONCATENATE('3 pr-2'!E180)</f>
        <v>Lazdijų rajono savivaldybės administracija</v>
      </c>
      <c r="E178" s="311" t="str">
        <f>CONCATENATE('3 pr-2'!F180)</f>
        <v>Lietuvos Respublikos aplinkos ministerija</v>
      </c>
      <c r="F178" s="311" t="str">
        <f>CONCATENATE('3 pr-2'!G180)</f>
        <v>Lazdijų r. sav.</v>
      </c>
      <c r="G178" s="130" t="str">
        <f>CONCATENATE('3 pr-2'!H180)</f>
        <v>05.5.1-APVA-R-019</v>
      </c>
      <c r="H178" s="130" t="str">
        <f>CONCATENATE('3 pr-2'!I180)</f>
        <v>R</v>
      </c>
      <c r="I178" s="130" t="str">
        <f>CONCATENATE('3 pr-2'!J180)</f>
        <v>-</v>
      </c>
      <c r="J178" s="130" t="str">
        <f>CONCATENATE('3 pr-2'!K180)</f>
        <v>-</v>
      </c>
      <c r="K178" s="130" t="str">
        <f>MID('3 pr-2'!B180,10,2)</f>
        <v>28</v>
      </c>
      <c r="L178" s="130" t="str">
        <f>IFERROR(INDEX(Veiklos!$C$2:$C$54,MATCH(K178,Veiklos!$D$2:$D$54,0),1),"")</f>
        <v>Kitos viešosios infrastruktūros modernizavimas (viešosios erdvės): rekreacinės teritorijos ir gamtinis karkasas</v>
      </c>
      <c r="M178" s="130" t="str">
        <f>MID('3 pr-2'!B180,12,2)</f>
        <v>38</v>
      </c>
      <c r="N178" s="130" t="str">
        <f>IFERROR(INDEX(Veiklos!$C$2:$C$54,MATCH(M178,Veiklos!$D$2:$D$54,0),1),"")</f>
        <v>Kraštovaizdžio tvarkymas (kraštovaizdžio etalonai, pažeistos teritorijos ir pan.)</v>
      </c>
      <c r="O178" s="130" t="str">
        <f>MID('3 pr-2'!B180,14,2)</f>
        <v>00</v>
      </c>
      <c r="P178" s="130">
        <f>IFERROR(INDEX(Veiklos!$C$2:$C$54,MATCH(O178,Veiklos!$D$2:$D$54,0),1),"")</f>
        <v>0</v>
      </c>
      <c r="Q178" s="130"/>
      <c r="R178" s="130"/>
      <c r="S178" s="130"/>
      <c r="T178" s="130"/>
      <c r="U178" s="316">
        <v>1</v>
      </c>
      <c r="V178" s="504">
        <f>SUM('3 pr-2'!L180)</f>
        <v>149792.22</v>
      </c>
      <c r="W178" s="504">
        <f>SUM('3 pr-2'!AA180)</f>
        <v>127323.39</v>
      </c>
    </row>
    <row r="179" spans="1:23" ht="39" thickBot="1">
      <c r="A179" s="130" t="str">
        <f>CONCATENATE('3 pr-2'!A181)</f>
        <v>3.1.2.1.8</v>
      </c>
      <c r="B179" s="130" t="str">
        <f>CONCATENATE('3 pr-2'!B181)</f>
        <v>R01-0019-380000-3218</v>
      </c>
      <c r="C179" s="311" t="str">
        <f>CONCATENATE('3 pr-2'!D181)</f>
        <v>Bešeimininkių apleistų pastatų ir įrenginių tvarkymas Alytaus rajono savivaldybėje (II etapas)</v>
      </c>
      <c r="D179" s="311" t="str">
        <f>CONCATENATE('3 pr-2'!E181)</f>
        <v>Alytaus rajono savivaldybės administracija</v>
      </c>
      <c r="E179" s="311" t="str">
        <f>CONCATENATE('3 pr-2'!F181)</f>
        <v>Lietuvos Respublikos aplinkos ministerija</v>
      </c>
      <c r="F179" s="311" t="str">
        <f>CONCATENATE('3 pr-2'!G181)</f>
        <v>Alytaus r. sav.</v>
      </c>
      <c r="G179" s="130" t="str">
        <f>CONCATENATE('3 pr-2'!H181)</f>
        <v>05.5.1-APVA-R-019</v>
      </c>
      <c r="H179" s="130" t="str">
        <f>CONCATENATE('3 pr-2'!I181)</f>
        <v>R</v>
      </c>
      <c r="I179" s="130" t="str">
        <f>CONCATENATE('3 pr-2'!J181)</f>
        <v>-</v>
      </c>
      <c r="J179" s="130" t="str">
        <f>CONCATENATE('3 pr-2'!K181)</f>
        <v>-</v>
      </c>
      <c r="K179" s="130" t="str">
        <f>MID('3 pr-2'!B181,10,2)</f>
        <v>38</v>
      </c>
      <c r="L179" s="130" t="str">
        <f>IFERROR(INDEX(Veiklos!$C$2:$C$54,MATCH(K179,Veiklos!$D$2:$D$54,0),1),"")</f>
        <v>Kraštovaizdžio tvarkymas (kraštovaizdžio etalonai, pažeistos teritorijos ir pan.)</v>
      </c>
      <c r="M179" s="130" t="str">
        <f>MID('3 pr-2'!B181,12,2)</f>
        <v>00</v>
      </c>
      <c r="N179" s="130">
        <f>IFERROR(INDEX(Veiklos!$C$2:$C$54,MATCH(M179,Veiklos!$D$2:$D$54,0),1),"")</f>
        <v>0</v>
      </c>
      <c r="O179" s="130" t="str">
        <f>MID('3 pr-2'!B181,14,2)</f>
        <v>00</v>
      </c>
      <c r="P179" s="130">
        <f>IFERROR(INDEX(Veiklos!$C$2:$C$54,MATCH(O179,Veiklos!$D$2:$D$54,0),1),"")</f>
        <v>0</v>
      </c>
      <c r="Q179" s="130"/>
      <c r="R179" s="130"/>
      <c r="S179" s="130"/>
      <c r="T179" s="130"/>
      <c r="U179" s="316">
        <v>1</v>
      </c>
      <c r="V179" s="504">
        <f>SUM('3 pr-2'!L181)</f>
        <v>736537.6470588235</v>
      </c>
      <c r="W179" s="504">
        <f>SUM('3 pr-2'!AA181)</f>
        <v>626057</v>
      </c>
    </row>
    <row r="180" spans="1:23" ht="39" thickBot="1">
      <c r="A180" s="130" t="str">
        <f>CONCATENATE('3 pr-2'!A182)</f>
        <v>3.1.2.1.9</v>
      </c>
      <c r="B180" s="130" t="str">
        <f>CONCATENATE('3 pr-2'!B182)</f>
        <v>R01-0019-380000-3219</v>
      </c>
      <c r="C180" s="311" t="str">
        <f>CONCATENATE('3 pr-2'!D182)</f>
        <v>Etaloninio kraštovaizdžio formavimas Druskininkų savivaldybės pasienyje</v>
      </c>
      <c r="D180" s="311" t="str">
        <f>CONCATENATE('3 pr-2'!E182)</f>
        <v>Druskininkų savivaldybės administracija</v>
      </c>
      <c r="E180" s="311" t="str">
        <f>CONCATENATE('3 pr-2'!F182)</f>
        <v>Lietuvos Respublikos aplinkos ministerija</v>
      </c>
      <c r="F180" s="311" t="str">
        <f>CONCATENATE('3 pr-2'!G182)</f>
        <v>Druskininkų sav.</v>
      </c>
      <c r="G180" s="130" t="str">
        <f>CONCATENATE('3 pr-2'!H182)</f>
        <v>05.5.1-APVA-R-019</v>
      </c>
      <c r="H180" s="130" t="str">
        <f>CONCATENATE('3 pr-2'!I182)</f>
        <v>R</v>
      </c>
      <c r="I180" s="130" t="str">
        <f>CONCATENATE('3 pr-2'!J182)</f>
        <v>-</v>
      </c>
      <c r="J180" s="130" t="str">
        <f>CONCATENATE('3 pr-2'!K182)</f>
        <v>-</v>
      </c>
      <c r="K180" s="130" t="str">
        <f>MID('3 pr-2'!B182,10,2)</f>
        <v>38</v>
      </c>
      <c r="L180" s="130" t="str">
        <f>IFERROR(INDEX(Veiklos!$C$2:$C$54,MATCH(K180,Veiklos!$D$2:$D$54,0),1),"")</f>
        <v>Kraštovaizdžio tvarkymas (kraštovaizdžio etalonai, pažeistos teritorijos ir pan.)</v>
      </c>
      <c r="M180" s="130" t="str">
        <f>MID('3 pr-2'!B182,12,2)</f>
        <v>00</v>
      </c>
      <c r="N180" s="130">
        <f>IFERROR(INDEX(Veiklos!$C$2:$C$54,MATCH(M180,Veiklos!$D$2:$D$54,0),1),"")</f>
        <v>0</v>
      </c>
      <c r="O180" s="130" t="str">
        <f>MID('3 pr-2'!B182,14,2)</f>
        <v>00</v>
      </c>
      <c r="P180" s="130">
        <f>IFERROR(INDEX(Veiklos!$C$2:$C$54,MATCH(O180,Veiklos!$D$2:$D$54,0),1),"")</f>
        <v>0</v>
      </c>
      <c r="Q180" s="130"/>
      <c r="R180" s="130"/>
      <c r="S180" s="130"/>
      <c r="T180" s="130"/>
      <c r="U180" s="316">
        <v>1</v>
      </c>
      <c r="V180" s="504">
        <f>SUM('3 pr-2'!L182)</f>
        <v>88524.094117647051</v>
      </c>
      <c r="W180" s="504">
        <f>SUM('3 pr-2'!AA182)</f>
        <v>75245.48</v>
      </c>
    </row>
    <row r="182" spans="1:23">
      <c r="C182" s="48" t="s">
        <v>1244</v>
      </c>
    </row>
    <row r="183" spans="1:23">
      <c r="C183" s="48" t="s">
        <v>1245</v>
      </c>
    </row>
    <row r="184" spans="1:23">
      <c r="C184" s="48" t="s">
        <v>1246</v>
      </c>
    </row>
    <row r="185" spans="1:23">
      <c r="C185" s="48" t="s">
        <v>1247</v>
      </c>
    </row>
  </sheetData>
  <autoFilter ref="A1:W180" xr:uid="{00000000-0009-0000-0000-000003000000}"/>
  <mergeCells count="35">
    <mergeCell ref="C65:J65"/>
    <mergeCell ref="C7:J7"/>
    <mergeCell ref="C6:J6"/>
    <mergeCell ref="C5:J5"/>
    <mergeCell ref="C31:J31"/>
    <mergeCell ref="C37:J37"/>
    <mergeCell ref="C44:J44"/>
    <mergeCell ref="C48:J48"/>
    <mergeCell ref="C54:J54"/>
    <mergeCell ref="C56:J56"/>
    <mergeCell ref="C60:J60"/>
    <mergeCell ref="C119:J119"/>
    <mergeCell ref="C71:J71"/>
    <mergeCell ref="C72:J72"/>
    <mergeCell ref="C77:J77"/>
    <mergeCell ref="C84:J84"/>
    <mergeCell ref="C90:J90"/>
    <mergeCell ref="C98:J98"/>
    <mergeCell ref="C99:J99"/>
    <mergeCell ref="C100:J100"/>
    <mergeCell ref="C106:J106"/>
    <mergeCell ref="C112:J112"/>
    <mergeCell ref="C118:J118"/>
    <mergeCell ref="C133:J133"/>
    <mergeCell ref="C145:J145"/>
    <mergeCell ref="C146:J146"/>
    <mergeCell ref="C159:J159"/>
    <mergeCell ref="C158:J158"/>
    <mergeCell ref="C139:J139"/>
    <mergeCell ref="C167:J167"/>
    <mergeCell ref="C168:J168"/>
    <mergeCell ref="C170:J170"/>
    <mergeCell ref="C171:J171"/>
    <mergeCell ref="C152:J152"/>
    <mergeCell ref="C166:J166"/>
  </mergeCells>
  <pageMargins left="0.25" right="0.25" top="0.75" bottom="0.75" header="0.3" footer="0.3"/>
  <pageSetup paperSize="8" scale="33" fitToHeight="0" orientation="landscape" r:id="rId1"/>
  <headerFooter>
    <oddHeader>&amp;C&amp;"Times New Roman,Paprastas"&amp;12Alytaus regiono 2014 – 2020 metų plėtros planas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EM185"/>
  <sheetViews>
    <sheetView showGridLines="0" showRuler="0" topLeftCell="A10" zoomScaleNormal="100" zoomScalePageLayoutView="95" workbookViewId="0">
      <pane ySplit="2220" topLeftCell="A85" activePane="bottomLeft"/>
      <selection activeCell="CP3" sqref="CP1:CW1048576"/>
      <selection pane="bottomLeft" activeCell="BA91" sqref="BA91"/>
    </sheetView>
  </sheetViews>
  <sheetFormatPr defaultColWidth="9.140625" defaultRowHeight="15"/>
  <cols>
    <col min="1" max="1" width="8.7109375" style="83" customWidth="1"/>
    <col min="2" max="2" width="12.7109375" style="83" customWidth="1"/>
    <col min="3" max="3" width="13.42578125" style="1733" hidden="1" customWidth="1"/>
    <col min="4" max="4" width="18.140625" style="657" customWidth="1"/>
    <col min="5" max="5" width="11.7109375" style="83" customWidth="1"/>
    <col min="6" max="6" width="13.28515625" style="83" customWidth="1"/>
    <col min="7" max="7" width="11.42578125" style="83" customWidth="1"/>
    <col min="8" max="8" width="14.7109375" style="83" customWidth="1"/>
    <col min="9" max="9" width="4.140625" style="83" bestFit="1" customWidth="1"/>
    <col min="10" max="10" width="3.28515625" style="83" bestFit="1" customWidth="1"/>
    <col min="11" max="11" width="5.140625" style="83" customWidth="1"/>
    <col min="12" max="12" width="8.28515625" style="83" customWidth="1"/>
    <col min="13" max="13" width="16.5703125" style="83" customWidth="1"/>
    <col min="14" max="14" width="5.28515625" style="1690" hidden="1" customWidth="1"/>
    <col min="15" max="15" width="7" style="1690" hidden="1" customWidth="1"/>
    <col min="16" max="19" width="4.42578125" style="1690" hidden="1" customWidth="1"/>
    <col min="20" max="20" width="4.85546875" style="1690" hidden="1" customWidth="1"/>
    <col min="21" max="21" width="7" style="1690" hidden="1" customWidth="1"/>
    <col min="22" max="22" width="8.85546875" style="83" bestFit="1" customWidth="1"/>
    <col min="23" max="24" width="9.28515625" style="1733" hidden="1" customWidth="1"/>
    <col min="25" max="26" width="6.140625" style="1733" hidden="1" customWidth="1"/>
    <col min="27" max="27" width="7.7109375" style="1733" hidden="1" customWidth="1"/>
    <col min="28" max="28" width="6.140625" style="1733" hidden="1" customWidth="1"/>
    <col min="29" max="29" width="6.5703125" style="1733" hidden="1" customWidth="1"/>
    <col min="30" max="31" width="6.140625" style="1733" hidden="1" customWidth="1"/>
    <col min="32" max="32" width="8.28515625" style="83" customWidth="1"/>
    <col min="33" max="33" width="17.28515625" style="83" customWidth="1"/>
    <col min="34" max="40" width="4.42578125" style="1690" hidden="1" customWidth="1"/>
    <col min="41" max="41" width="4.5703125" style="1690" hidden="1" customWidth="1"/>
    <col min="42" max="42" width="7.7109375" style="83" customWidth="1"/>
    <col min="43" max="43" width="8" style="1733" hidden="1" customWidth="1"/>
    <col min="44" max="44" width="9.42578125" style="1733" hidden="1" customWidth="1"/>
    <col min="45" max="45" width="4.5703125" style="1733" hidden="1" customWidth="1"/>
    <col min="46" max="46" width="6.28515625" style="1733" hidden="1" customWidth="1"/>
    <col min="47" max="51" width="5.85546875" style="1733" hidden="1" customWidth="1"/>
    <col min="52" max="52" width="7.85546875" style="83" customWidth="1"/>
    <col min="53" max="53" width="15.140625" style="83" customWidth="1"/>
    <col min="54" max="60" width="4.42578125" style="1690" hidden="1" customWidth="1"/>
    <col min="61" max="61" width="4.5703125" style="1690" hidden="1" customWidth="1"/>
    <col min="62" max="62" width="9.28515625" style="83" customWidth="1"/>
    <col min="63" max="64" width="9.140625" style="83" hidden="1" customWidth="1"/>
    <col min="65" max="66" width="4.85546875" style="83" hidden="1" customWidth="1"/>
    <col min="67" max="67" width="5.7109375" style="83" hidden="1" customWidth="1"/>
    <col min="68" max="68" width="5.140625" style="83" hidden="1" customWidth="1"/>
    <col min="69" max="71" width="4.85546875" style="83" hidden="1" customWidth="1"/>
    <col min="72" max="72" width="7.7109375" style="83" customWidth="1"/>
    <col min="73" max="73" width="15.42578125" style="83" customWidth="1"/>
    <col min="74" max="80" width="4.42578125" style="1690" hidden="1" customWidth="1"/>
    <col min="81" max="81" width="4.5703125" style="1690" hidden="1" customWidth="1"/>
    <col min="82" max="82" width="9.140625" style="83" customWidth="1"/>
    <col min="83" max="84" width="9.140625" style="83" hidden="1" customWidth="1"/>
    <col min="85" max="91" width="5.28515625" style="83" hidden="1" customWidth="1"/>
    <col min="92" max="92" width="9.140625" style="83"/>
    <col min="93" max="93" width="14.140625" style="83" customWidth="1"/>
    <col min="94" max="100" width="4.42578125" style="1690" hidden="1" customWidth="1"/>
    <col min="101" max="101" width="7.28515625" style="1690" hidden="1" customWidth="1"/>
    <col min="102" max="102" width="9.42578125" style="83" customWidth="1"/>
    <col min="103" max="104" width="10.7109375" style="83" hidden="1" customWidth="1"/>
    <col min="105" max="105" width="5.28515625" style="83" hidden="1" customWidth="1"/>
    <col min="106" max="106" width="7.85546875" style="83" hidden="1" customWidth="1"/>
    <col min="107" max="111" width="5.28515625" style="83" hidden="1" customWidth="1"/>
    <col min="112" max="112" width="9.140625" style="83" hidden="1" customWidth="1"/>
    <col min="113" max="113" width="14.140625" style="83" hidden="1" customWidth="1"/>
    <col min="114" max="120" width="4.42578125" style="83" hidden="1" customWidth="1"/>
    <col min="121" max="121" width="4.5703125" style="83" hidden="1" customWidth="1"/>
    <col min="122" max="122" width="9.42578125" style="83" hidden="1" customWidth="1"/>
    <col min="123" max="124" width="10.7109375" style="83" hidden="1" customWidth="1"/>
    <col min="125" max="125" width="5.28515625" style="83" hidden="1" customWidth="1"/>
    <col min="126" max="126" width="7.85546875" style="83" hidden="1" customWidth="1"/>
    <col min="127" max="131" width="5.28515625" style="83" hidden="1" customWidth="1"/>
    <col min="132" max="132" width="9.140625" style="83" hidden="1" customWidth="1"/>
    <col min="133" max="133" width="14.140625" style="83" hidden="1" customWidth="1"/>
    <col min="134" max="136" width="10.7109375" style="83" hidden="1" customWidth="1"/>
    <col min="137" max="137" width="5.28515625" style="83" hidden="1" customWidth="1"/>
    <col min="138" max="138" width="7.85546875" style="83" hidden="1" customWidth="1"/>
    <col min="139" max="143" width="5.28515625" style="83" hidden="1" customWidth="1"/>
    <col min="144" max="16384" width="9.140625" style="83"/>
  </cols>
  <sheetData>
    <row r="2" spans="1:143">
      <c r="A2" s="744"/>
      <c r="B2" s="744"/>
      <c r="C2" s="1725"/>
    </row>
    <row r="3" spans="1:143" ht="16.5" thickBot="1">
      <c r="A3" s="745" t="s">
        <v>1369</v>
      </c>
      <c r="B3" s="745"/>
      <c r="C3" s="1726"/>
    </row>
    <row r="4" spans="1:143" ht="54" customHeight="1" thickTop="1" thickBot="1">
      <c r="A4" s="1973" t="s">
        <v>7</v>
      </c>
      <c r="B4" s="1973" t="str">
        <f>CONCATENATE('3 pr-2'!B4)</f>
        <v xml:space="preserve">Unikalus numeris**** </v>
      </c>
      <c r="C4" s="1727" t="str">
        <f>CONCATENATE('ketv. 2'!B3)</f>
        <v>Projekto kodas</v>
      </c>
      <c r="D4" s="1979" t="s">
        <v>49</v>
      </c>
      <c r="E4" s="1964" t="s">
        <v>50</v>
      </c>
      <c r="F4" s="1964" t="s">
        <v>51</v>
      </c>
      <c r="G4" s="1964" t="s">
        <v>52</v>
      </c>
      <c r="H4" s="1968" t="s">
        <v>53</v>
      </c>
      <c r="I4" s="1964" t="s">
        <v>321</v>
      </c>
      <c r="J4" s="1964" t="s">
        <v>167</v>
      </c>
      <c r="K4" s="1964" t="s">
        <v>322</v>
      </c>
      <c r="L4" s="1953" t="s">
        <v>438</v>
      </c>
      <c r="M4" s="143" t="s">
        <v>832</v>
      </c>
      <c r="N4" s="1969" t="s">
        <v>777</v>
      </c>
      <c r="O4" s="1962"/>
      <c r="P4" s="1962"/>
      <c r="Q4" s="1962"/>
      <c r="R4" s="1962"/>
      <c r="S4" s="1962"/>
      <c r="T4" s="1962"/>
      <c r="U4" s="1963"/>
      <c r="V4" s="1953" t="s">
        <v>439</v>
      </c>
      <c r="W4" s="1970" t="s">
        <v>797</v>
      </c>
      <c r="X4" s="1970" t="s">
        <v>802</v>
      </c>
      <c r="Y4" s="1746">
        <v>2017</v>
      </c>
      <c r="Z4" s="1747">
        <v>2018</v>
      </c>
      <c r="AA4" s="1747">
        <v>2019</v>
      </c>
      <c r="AB4" s="1747">
        <v>2020</v>
      </c>
      <c r="AC4" s="1747">
        <v>2021</v>
      </c>
      <c r="AD4" s="1747">
        <v>2022</v>
      </c>
      <c r="AE4" s="1747">
        <v>2023</v>
      </c>
      <c r="AF4" s="1953" t="s">
        <v>327</v>
      </c>
      <c r="AG4" s="143" t="s">
        <v>440</v>
      </c>
      <c r="AH4" s="1969" t="s">
        <v>777</v>
      </c>
      <c r="AI4" s="1962"/>
      <c r="AJ4" s="1962"/>
      <c r="AK4" s="1962"/>
      <c r="AL4" s="1962"/>
      <c r="AM4" s="1962"/>
      <c r="AN4" s="1962"/>
      <c r="AO4" s="1963"/>
      <c r="AP4" s="1953" t="s">
        <v>441</v>
      </c>
      <c r="AQ4" s="1970" t="s">
        <v>798</v>
      </c>
      <c r="AR4" s="1970" t="s">
        <v>3477</v>
      </c>
      <c r="AS4" s="1747">
        <v>2017</v>
      </c>
      <c r="AT4" s="1747">
        <v>2018</v>
      </c>
      <c r="AU4" s="1747">
        <v>2019</v>
      </c>
      <c r="AV4" s="1747">
        <v>2020</v>
      </c>
      <c r="AW4" s="1747">
        <v>2021</v>
      </c>
      <c r="AX4" s="1747">
        <v>2022</v>
      </c>
      <c r="AY4" s="1775">
        <v>2023</v>
      </c>
      <c r="AZ4" s="1953" t="s">
        <v>329</v>
      </c>
      <c r="BA4" s="144" t="s">
        <v>442</v>
      </c>
      <c r="BB4" s="1969" t="s">
        <v>777</v>
      </c>
      <c r="BC4" s="1962"/>
      <c r="BD4" s="1962"/>
      <c r="BE4" s="1962"/>
      <c r="BF4" s="1962"/>
      <c r="BG4" s="1962"/>
      <c r="BH4" s="1962"/>
      <c r="BI4" s="1963"/>
      <c r="BJ4" s="1953" t="s">
        <v>443</v>
      </c>
      <c r="BK4" s="1953" t="s">
        <v>799</v>
      </c>
      <c r="BL4" s="1953" t="s">
        <v>3476</v>
      </c>
      <c r="BM4" s="1089">
        <v>2017</v>
      </c>
      <c r="BN4" s="1090">
        <v>2018</v>
      </c>
      <c r="BO4" s="1090">
        <v>2019</v>
      </c>
      <c r="BP4" s="1090">
        <v>2020</v>
      </c>
      <c r="BQ4" s="1090">
        <v>2021</v>
      </c>
      <c r="BR4" s="1090">
        <v>2022</v>
      </c>
      <c r="BS4" s="1090">
        <v>2023</v>
      </c>
      <c r="BT4" s="1953" t="s">
        <v>444</v>
      </c>
      <c r="BU4" s="143" t="s">
        <v>445</v>
      </c>
      <c r="BV4" s="1969" t="s">
        <v>777</v>
      </c>
      <c r="BW4" s="1962"/>
      <c r="BX4" s="1962"/>
      <c r="BY4" s="1962"/>
      <c r="BZ4" s="1962"/>
      <c r="CA4" s="1962"/>
      <c r="CB4" s="1962"/>
      <c r="CC4" s="1963"/>
      <c r="CD4" s="1953" t="s">
        <v>446</v>
      </c>
      <c r="CE4" s="1953" t="s">
        <v>800</v>
      </c>
      <c r="CF4" s="1953" t="s">
        <v>3478</v>
      </c>
      <c r="CG4" s="1090">
        <v>2017</v>
      </c>
      <c r="CH4" s="1090">
        <v>2018</v>
      </c>
      <c r="CI4" s="1090">
        <v>2019</v>
      </c>
      <c r="CJ4" s="1090">
        <v>2020</v>
      </c>
      <c r="CK4" s="1090">
        <v>2021</v>
      </c>
      <c r="CL4" s="1090">
        <v>2022</v>
      </c>
      <c r="CM4" s="1090">
        <v>2023</v>
      </c>
      <c r="CN4" s="1953" t="s">
        <v>835</v>
      </c>
      <c r="CO4" s="143" t="s">
        <v>836</v>
      </c>
      <c r="CP4" s="1961" t="s">
        <v>777</v>
      </c>
      <c r="CQ4" s="1962"/>
      <c r="CR4" s="1962"/>
      <c r="CS4" s="1962"/>
      <c r="CT4" s="1962"/>
      <c r="CU4" s="1962"/>
      <c r="CV4" s="1962"/>
      <c r="CW4" s="1963"/>
      <c r="CX4" s="1953" t="s">
        <v>837</v>
      </c>
      <c r="CY4" s="1953" t="s">
        <v>801</v>
      </c>
      <c r="CZ4" s="1953" t="s">
        <v>803</v>
      </c>
      <c r="DA4" s="1091">
        <v>2017</v>
      </c>
      <c r="DB4" s="143">
        <v>2018</v>
      </c>
      <c r="DC4" s="1092">
        <v>2019</v>
      </c>
      <c r="DD4" s="1092">
        <v>2020</v>
      </c>
      <c r="DE4" s="1092">
        <v>2021</v>
      </c>
      <c r="DF4" s="1092">
        <v>2022</v>
      </c>
      <c r="DG4" s="1092">
        <v>2023</v>
      </c>
      <c r="DH4" s="1953" t="s">
        <v>1803</v>
      </c>
      <c r="DI4" s="143" t="s">
        <v>1805</v>
      </c>
      <c r="DJ4" s="1981" t="s">
        <v>777</v>
      </c>
      <c r="DK4" s="1982"/>
      <c r="DL4" s="1982"/>
      <c r="DM4" s="1982"/>
      <c r="DN4" s="1982"/>
      <c r="DO4" s="1982"/>
      <c r="DP4" s="1982"/>
      <c r="DQ4" s="1983"/>
      <c r="DR4" s="1953" t="s">
        <v>1806</v>
      </c>
      <c r="DS4" s="1953" t="s">
        <v>1807</v>
      </c>
      <c r="DT4" s="1953" t="s">
        <v>3479</v>
      </c>
      <c r="DU4" s="1091">
        <v>2017</v>
      </c>
      <c r="DV4" s="143">
        <v>2018</v>
      </c>
      <c r="DW4" s="1092">
        <v>2019</v>
      </c>
      <c r="DX4" s="1092">
        <v>2020</v>
      </c>
      <c r="DY4" s="1092">
        <v>2021</v>
      </c>
      <c r="DZ4" s="1092">
        <v>2022</v>
      </c>
      <c r="EA4" s="1092">
        <v>2023</v>
      </c>
      <c r="EB4" s="1953" t="s">
        <v>1804</v>
      </c>
      <c r="EC4" s="143" t="s">
        <v>1805</v>
      </c>
      <c r="ED4" s="1953" t="s">
        <v>1814</v>
      </c>
      <c r="EE4" s="1953" t="s">
        <v>1808</v>
      </c>
      <c r="EF4" s="1953" t="s">
        <v>1809</v>
      </c>
      <c r="EG4" s="1091">
        <v>2017</v>
      </c>
      <c r="EH4" s="143">
        <v>2018</v>
      </c>
      <c r="EI4" s="1092">
        <v>2019</v>
      </c>
      <c r="EJ4" s="1092">
        <v>2020</v>
      </c>
      <c r="EK4" s="1092">
        <v>2021</v>
      </c>
      <c r="EL4" s="1092">
        <v>2022</v>
      </c>
      <c r="EM4" s="1092">
        <v>2023</v>
      </c>
    </row>
    <row r="5" spans="1:143" ht="24.75" customHeight="1" thickTop="1" thickBot="1">
      <c r="A5" s="1974"/>
      <c r="B5" s="1974"/>
      <c r="C5" s="1728" t="str">
        <f>CONCATENATE('ketv. 2'!B4)</f>
        <v/>
      </c>
      <c r="D5" s="1980"/>
      <c r="E5" s="1954"/>
      <c r="F5" s="1954"/>
      <c r="G5" s="1954"/>
      <c r="H5" s="1954"/>
      <c r="I5" s="1954"/>
      <c r="J5" s="1954"/>
      <c r="K5" s="1954"/>
      <c r="L5" s="1954"/>
      <c r="M5" s="1321" t="s">
        <v>447</v>
      </c>
      <c r="N5" s="1692">
        <v>2017</v>
      </c>
      <c r="O5" s="1692">
        <v>2018</v>
      </c>
      <c r="P5" s="1692">
        <v>2019</v>
      </c>
      <c r="Q5" s="1692">
        <v>2020</v>
      </c>
      <c r="R5" s="1692">
        <v>2021</v>
      </c>
      <c r="S5" s="1692">
        <v>2022</v>
      </c>
      <c r="T5" s="1692">
        <v>2023</v>
      </c>
      <c r="U5" s="1692" t="s">
        <v>331</v>
      </c>
      <c r="V5" s="1954"/>
      <c r="W5" s="1971"/>
      <c r="X5" s="1971"/>
      <c r="Y5" s="1965" t="s">
        <v>831</v>
      </c>
      <c r="Z5" s="1966"/>
      <c r="AA5" s="1966"/>
      <c r="AB5" s="1966"/>
      <c r="AC5" s="1966"/>
      <c r="AD5" s="1966"/>
      <c r="AE5" s="1967"/>
      <c r="AF5" s="1954"/>
      <c r="AG5" s="1321" t="s">
        <v>447</v>
      </c>
      <c r="AH5" s="1692">
        <v>2017</v>
      </c>
      <c r="AI5" s="1692">
        <v>2018</v>
      </c>
      <c r="AJ5" s="1692">
        <v>2019</v>
      </c>
      <c r="AK5" s="1692">
        <v>2020</v>
      </c>
      <c r="AL5" s="1692">
        <v>2021</v>
      </c>
      <c r="AM5" s="1692">
        <v>2022</v>
      </c>
      <c r="AN5" s="1692">
        <v>2023</v>
      </c>
      <c r="AO5" s="1692" t="s">
        <v>331</v>
      </c>
      <c r="AP5" s="1954"/>
      <c r="AQ5" s="1971"/>
      <c r="AR5" s="1971"/>
      <c r="AS5" s="1965" t="s">
        <v>831</v>
      </c>
      <c r="AT5" s="1966"/>
      <c r="AU5" s="1966"/>
      <c r="AV5" s="1966"/>
      <c r="AW5" s="1966"/>
      <c r="AX5" s="1966"/>
      <c r="AY5" s="1967"/>
      <c r="AZ5" s="1954"/>
      <c r="BA5" s="832" t="s">
        <v>447</v>
      </c>
      <c r="BB5" s="1692">
        <v>2017</v>
      </c>
      <c r="BC5" s="1692">
        <v>2018</v>
      </c>
      <c r="BD5" s="1692">
        <v>2019</v>
      </c>
      <c r="BE5" s="1692">
        <v>2020</v>
      </c>
      <c r="BF5" s="1692">
        <v>2021</v>
      </c>
      <c r="BG5" s="1692">
        <v>2022</v>
      </c>
      <c r="BH5" s="1692">
        <v>2023</v>
      </c>
      <c r="BI5" s="1692" t="s">
        <v>331</v>
      </c>
      <c r="BJ5" s="1954"/>
      <c r="BK5" s="1954"/>
      <c r="BL5" s="1954"/>
      <c r="BM5" s="1958" t="s">
        <v>831</v>
      </c>
      <c r="BN5" s="1959"/>
      <c r="BO5" s="1959"/>
      <c r="BP5" s="1959"/>
      <c r="BQ5" s="1959"/>
      <c r="BR5" s="1959"/>
      <c r="BS5" s="1960"/>
      <c r="BT5" s="1954"/>
      <c r="BU5" s="1321" t="s">
        <v>447</v>
      </c>
      <c r="BV5" s="1692">
        <v>2017</v>
      </c>
      <c r="BW5" s="1692">
        <v>2018</v>
      </c>
      <c r="BX5" s="1692">
        <v>2019</v>
      </c>
      <c r="BY5" s="1692">
        <v>2020</v>
      </c>
      <c r="BZ5" s="1692">
        <v>2021</v>
      </c>
      <c r="CA5" s="1692">
        <v>2022</v>
      </c>
      <c r="CB5" s="1692">
        <v>2023</v>
      </c>
      <c r="CC5" s="1692" t="s">
        <v>331</v>
      </c>
      <c r="CD5" s="1954"/>
      <c r="CE5" s="1954"/>
      <c r="CF5" s="1954"/>
      <c r="CG5" s="1958" t="s">
        <v>831</v>
      </c>
      <c r="CH5" s="1959"/>
      <c r="CI5" s="1959"/>
      <c r="CJ5" s="1959"/>
      <c r="CK5" s="1959"/>
      <c r="CL5" s="1959"/>
      <c r="CM5" s="1960"/>
      <c r="CN5" s="1954"/>
      <c r="CO5" s="1321" t="s">
        <v>447</v>
      </c>
      <c r="CP5" s="1692">
        <v>2017</v>
      </c>
      <c r="CQ5" s="1692">
        <v>2018</v>
      </c>
      <c r="CR5" s="1692">
        <v>2019</v>
      </c>
      <c r="CS5" s="1692">
        <v>2020</v>
      </c>
      <c r="CT5" s="1692">
        <v>2021</v>
      </c>
      <c r="CU5" s="1692">
        <v>2022</v>
      </c>
      <c r="CV5" s="1692">
        <v>2023</v>
      </c>
      <c r="CW5" s="1692" t="s">
        <v>331</v>
      </c>
      <c r="CX5" s="1954"/>
      <c r="CY5" s="1954"/>
      <c r="CZ5" s="1954"/>
      <c r="DA5" s="1955" t="s">
        <v>831</v>
      </c>
      <c r="DB5" s="1956"/>
      <c r="DC5" s="1956"/>
      <c r="DD5" s="1956"/>
      <c r="DE5" s="1956"/>
      <c r="DF5" s="1956"/>
      <c r="DG5" s="1957"/>
      <c r="DH5" s="1954"/>
      <c r="DI5" s="1321" t="s">
        <v>447</v>
      </c>
      <c r="DJ5" s="1321">
        <v>2017</v>
      </c>
      <c r="DK5" s="1321">
        <v>2018</v>
      </c>
      <c r="DL5" s="1321">
        <v>2019</v>
      </c>
      <c r="DM5" s="1321">
        <v>2020</v>
      </c>
      <c r="DN5" s="1321">
        <v>2021</v>
      </c>
      <c r="DO5" s="1321">
        <v>2022</v>
      </c>
      <c r="DP5" s="1321">
        <v>2023</v>
      </c>
      <c r="DQ5" s="1321" t="s">
        <v>331</v>
      </c>
      <c r="DR5" s="1954"/>
      <c r="DS5" s="1954"/>
      <c r="DT5" s="1954"/>
      <c r="DU5" s="1955" t="s">
        <v>831</v>
      </c>
      <c r="DV5" s="1956"/>
      <c r="DW5" s="1956"/>
      <c r="DX5" s="1956"/>
      <c r="DY5" s="1956"/>
      <c r="DZ5" s="1956"/>
      <c r="EA5" s="1957"/>
      <c r="EB5" s="1954"/>
      <c r="EC5" s="1321" t="s">
        <v>447</v>
      </c>
      <c r="ED5" s="1954"/>
      <c r="EE5" s="1954"/>
      <c r="EF5" s="1954"/>
      <c r="EG5" s="1955" t="s">
        <v>831</v>
      </c>
      <c r="EH5" s="1956"/>
      <c r="EI5" s="1956"/>
      <c r="EJ5" s="1956"/>
      <c r="EK5" s="1956"/>
      <c r="EL5" s="1956"/>
      <c r="EM5" s="1957"/>
    </row>
    <row r="6" spans="1:143" ht="16.5" thickTop="1" thickBot="1">
      <c r="A6" s="1320" t="str">
        <f>CONCATENATE('3 pr-2'!B6)</f>
        <v/>
      </c>
      <c r="B6" s="1324"/>
      <c r="C6" s="1729"/>
      <c r="D6" s="1324"/>
      <c r="E6" s="1324"/>
      <c r="F6" s="1324"/>
      <c r="G6" s="1324"/>
      <c r="H6" s="1324"/>
      <c r="I6" s="1324"/>
      <c r="J6" s="1324"/>
      <c r="K6" s="1324"/>
      <c r="L6" s="1315"/>
      <c r="M6" s="1315"/>
      <c r="N6" s="1693"/>
      <c r="O6" s="1693"/>
      <c r="P6" s="1693"/>
      <c r="Q6" s="1693"/>
      <c r="R6" s="1693"/>
      <c r="S6" s="1693"/>
      <c r="T6" s="1693"/>
      <c r="U6" s="1693"/>
      <c r="V6" s="1315"/>
      <c r="W6" s="1748"/>
      <c r="X6" s="1748"/>
      <c r="Y6" s="1748"/>
      <c r="Z6" s="1748"/>
      <c r="AA6" s="1748"/>
      <c r="AB6" s="1748"/>
      <c r="AC6" s="1748"/>
      <c r="AD6" s="1748"/>
      <c r="AE6" s="1748"/>
      <c r="AF6" s="1315"/>
      <c r="AG6" s="1315"/>
      <c r="AH6" s="1693"/>
      <c r="AI6" s="1693"/>
      <c r="AJ6" s="1693"/>
      <c r="AK6" s="1693"/>
      <c r="AL6" s="1693"/>
      <c r="AM6" s="1693"/>
      <c r="AN6" s="1693"/>
      <c r="AO6" s="1693"/>
      <c r="AP6" s="1315"/>
      <c r="AQ6" s="1748"/>
      <c r="AR6" s="1748"/>
      <c r="AS6" s="1748"/>
      <c r="AT6" s="1748"/>
      <c r="AU6" s="1748"/>
      <c r="AV6" s="1748"/>
      <c r="AW6" s="1748"/>
      <c r="AX6" s="1748"/>
      <c r="AY6" s="1748"/>
      <c r="AZ6" s="1315"/>
      <c r="BA6" s="1315"/>
      <c r="BB6" s="1693"/>
      <c r="BC6" s="1693"/>
      <c r="BD6" s="1693"/>
      <c r="BE6" s="1693"/>
      <c r="BF6" s="1693"/>
      <c r="BG6" s="1693"/>
      <c r="BH6" s="1693"/>
      <c r="BI6" s="1693"/>
      <c r="BJ6" s="1315"/>
      <c r="BK6" s="1315"/>
      <c r="BL6" s="1315"/>
      <c r="BM6" s="1315"/>
      <c r="BN6" s="1315"/>
      <c r="BO6" s="1315"/>
      <c r="BP6" s="1315"/>
      <c r="BQ6" s="1315"/>
      <c r="BR6" s="1315"/>
      <c r="BS6" s="1315"/>
      <c r="BT6" s="1315"/>
      <c r="BU6" s="1315"/>
      <c r="BV6" s="1693"/>
      <c r="BW6" s="1693"/>
      <c r="BX6" s="1693"/>
      <c r="BY6" s="1693"/>
      <c r="BZ6" s="1693"/>
      <c r="CA6" s="1693"/>
      <c r="CB6" s="1693"/>
      <c r="CC6" s="1693"/>
      <c r="CD6" s="1315"/>
      <c r="CE6" s="1315"/>
      <c r="CF6" s="1315"/>
      <c r="CG6" s="1315"/>
      <c r="CH6" s="1315"/>
      <c r="CI6" s="1315"/>
      <c r="CJ6" s="1315"/>
      <c r="CK6" s="1315"/>
      <c r="CL6" s="1315"/>
      <c r="CM6" s="1315"/>
      <c r="CN6" s="1315"/>
      <c r="CO6" s="1315"/>
      <c r="CP6" s="1693"/>
      <c r="CQ6" s="1693"/>
      <c r="CR6" s="1693"/>
      <c r="CS6" s="1693"/>
      <c r="CT6" s="1693"/>
      <c r="CU6" s="1693"/>
      <c r="CV6" s="1693"/>
      <c r="CW6" s="1693"/>
      <c r="CX6" s="1315"/>
      <c r="CY6" s="1315"/>
      <c r="CZ6" s="1315"/>
      <c r="DA6" s="282"/>
      <c r="DB6" s="699"/>
      <c r="DC6" s="699"/>
      <c r="DD6" s="699"/>
      <c r="DE6" s="699"/>
      <c r="DF6" s="699"/>
      <c r="DG6" s="699"/>
      <c r="DH6" s="1315"/>
      <c r="DI6" s="1315"/>
      <c r="DR6" s="1315"/>
      <c r="DS6" s="1315"/>
      <c r="DT6" s="1315"/>
      <c r="DU6" s="1315"/>
      <c r="DV6" s="1315"/>
      <c r="DW6" s="1315"/>
      <c r="DX6" s="1315"/>
      <c r="DY6" s="1315"/>
      <c r="DZ6" s="1315"/>
      <c r="EA6" s="1315"/>
      <c r="EB6" s="1315"/>
      <c r="EC6" s="1315"/>
      <c r="ED6" s="1315"/>
      <c r="EE6" s="1315"/>
      <c r="EF6" s="1315"/>
      <c r="EG6" s="282"/>
      <c r="EH6" s="699"/>
      <c r="EI6" s="699"/>
      <c r="EJ6" s="699"/>
      <c r="EK6" s="699"/>
      <c r="EL6" s="699"/>
      <c r="EM6" s="699"/>
    </row>
    <row r="7" spans="1:143" ht="75.75" customHeight="1" thickBot="1">
      <c r="A7" s="834" t="s">
        <v>11</v>
      </c>
      <c r="B7" s="1975" t="str">
        <f>CONCATENATE('3 pr-2'!B7)</f>
        <v>Tikslas: 
DIDINTI ŪKINĖS VEIKLOS ĮVAIROVĘ IR PAGERINTI SĄLYGAS INVESTICIJŲ PRITRAUKIMUI, MAŽINANT GEOGRAFINIŲ SĄLYGŲ IR DEMOGRAFINIŲ PROCESŲ SUKELIAMUS GYVENIMO KOKYBĖS NETOLYGUMUS</v>
      </c>
      <c r="C7" s="1894"/>
      <c r="D7" s="1894"/>
      <c r="E7" s="1894"/>
      <c r="F7" s="1894"/>
      <c r="G7" s="1894"/>
      <c r="H7" s="1894"/>
      <c r="I7" s="1894"/>
      <c r="J7" s="1894"/>
      <c r="K7" s="1895"/>
      <c r="L7" s="306" t="s">
        <v>66</v>
      </c>
      <c r="M7" s="307"/>
      <c r="N7" s="1694"/>
      <c r="O7" s="1695"/>
      <c r="P7" s="1695"/>
      <c r="Q7" s="1695"/>
      <c r="R7" s="1695"/>
      <c r="S7" s="1695"/>
      <c r="T7" s="1695"/>
      <c r="U7" s="1696"/>
      <c r="V7" s="306" t="s">
        <v>66</v>
      </c>
      <c r="W7" s="1749"/>
      <c r="X7" s="1750"/>
      <c r="Y7" s="1751"/>
      <c r="Z7" s="1752"/>
      <c r="AA7" s="1752"/>
      <c r="AB7" s="1752"/>
      <c r="AC7" s="1752"/>
      <c r="AD7" s="1752"/>
      <c r="AE7" s="1753"/>
      <c r="AF7" s="309"/>
      <c r="AG7" s="307" t="s">
        <v>66</v>
      </c>
      <c r="AH7" s="1714"/>
      <c r="AI7" s="1695"/>
      <c r="AJ7" s="1695"/>
      <c r="AK7" s="1695"/>
      <c r="AL7" s="1695"/>
      <c r="AM7" s="1695"/>
      <c r="AN7" s="1695"/>
      <c r="AO7" s="1696"/>
      <c r="AP7" s="306"/>
      <c r="AQ7" s="1776"/>
      <c r="AR7" s="1750"/>
      <c r="AS7" s="1752"/>
      <c r="AT7" s="1752"/>
      <c r="AU7" s="1752"/>
      <c r="AV7" s="1752"/>
      <c r="AW7" s="1752"/>
      <c r="AX7" s="1752"/>
      <c r="AY7" s="1777"/>
      <c r="AZ7" s="306" t="s">
        <v>66</v>
      </c>
      <c r="BA7" s="309"/>
      <c r="BB7" s="1714"/>
      <c r="BC7" s="1695"/>
      <c r="BD7" s="1695"/>
      <c r="BE7" s="1695"/>
      <c r="BF7" s="1695"/>
      <c r="BG7" s="1695"/>
      <c r="BH7" s="1695"/>
      <c r="BI7" s="1696"/>
      <c r="BJ7" s="306" t="s">
        <v>66</v>
      </c>
      <c r="BK7" s="1677"/>
      <c r="BL7" s="306"/>
      <c r="BM7" s="1677"/>
      <c r="BN7" s="1676"/>
      <c r="BO7" s="1676"/>
      <c r="BP7" s="1676"/>
      <c r="BQ7" s="1676"/>
      <c r="BR7" s="1676"/>
      <c r="BS7" s="1676"/>
      <c r="BT7" s="310"/>
      <c r="BU7" s="473"/>
      <c r="BV7" s="1714"/>
      <c r="BW7" s="1695"/>
      <c r="BX7" s="1695"/>
      <c r="BY7" s="1695"/>
      <c r="BZ7" s="1695"/>
      <c r="CA7" s="1695"/>
      <c r="CB7" s="1695"/>
      <c r="CC7" s="1696"/>
      <c r="CD7" s="306"/>
      <c r="CE7" s="1677"/>
      <c r="CF7" s="306"/>
      <c r="CG7" s="1676"/>
      <c r="CH7" s="1676"/>
      <c r="CI7" s="1676"/>
      <c r="CJ7" s="1676"/>
      <c r="CK7" s="1676"/>
      <c r="CL7" s="1676"/>
      <c r="CM7" s="1676"/>
      <c r="CN7" s="310"/>
      <c r="CO7" s="475"/>
      <c r="CP7" s="1721"/>
      <c r="CQ7" s="1695"/>
      <c r="CR7" s="1695"/>
      <c r="CS7" s="1695"/>
      <c r="CT7" s="1695"/>
      <c r="CU7" s="1695"/>
      <c r="CV7" s="1695"/>
      <c r="CW7" s="1722"/>
      <c r="CX7" s="308"/>
      <c r="CY7" s="304"/>
      <c r="CZ7" s="304"/>
      <c r="DA7" s="304"/>
      <c r="DB7" s="699"/>
      <c r="DC7" s="699"/>
      <c r="DD7" s="699"/>
      <c r="DE7" s="699"/>
      <c r="DF7" s="699"/>
      <c r="DG7" s="699"/>
      <c r="DH7" s="310"/>
      <c r="DI7" s="475"/>
      <c r="DJ7" s="748"/>
      <c r="DK7" s="747"/>
      <c r="DL7" s="747"/>
      <c r="DM7" s="747"/>
      <c r="DN7" s="747"/>
      <c r="DO7" s="747"/>
      <c r="DP7" s="747"/>
      <c r="DQ7" s="749"/>
      <c r="DR7" s="308"/>
      <c r="DS7" s="304"/>
      <c r="DT7" s="304"/>
      <c r="DU7" s="304"/>
      <c r="DV7" s="699"/>
      <c r="DW7" s="699"/>
      <c r="DX7" s="699"/>
      <c r="DY7" s="699"/>
      <c r="DZ7" s="699"/>
      <c r="EA7" s="699"/>
      <c r="EB7" s="310"/>
      <c r="EC7" s="475"/>
      <c r="ED7" s="304"/>
      <c r="EE7" s="304"/>
      <c r="EF7" s="304"/>
      <c r="EG7" s="304"/>
      <c r="EH7" s="699"/>
      <c r="EI7" s="699"/>
      <c r="EJ7" s="699"/>
      <c r="EK7" s="699"/>
      <c r="EL7" s="699"/>
      <c r="EM7" s="699"/>
    </row>
    <row r="8" spans="1:143" ht="54" customHeight="1" thickBot="1">
      <c r="A8" s="695" t="s">
        <v>12</v>
      </c>
      <c r="B8" s="1976" t="str">
        <f>CONCATENATE('3 pr-2'!B8)</f>
        <v>Uždavinys: 
Sudaryti sąlygas darbo vietų kūrimui, kuriant ir atnaujinant viešąją ir ekoinžinerinę  infrastruktūrą,  gamtos, kultūros paveldo objektus ir kultūros įstaigas</v>
      </c>
      <c r="C8" s="1977"/>
      <c r="D8" s="1977"/>
      <c r="E8" s="1977"/>
      <c r="F8" s="1977"/>
      <c r="G8" s="1977"/>
      <c r="H8" s="1977"/>
      <c r="I8" s="1977"/>
      <c r="J8" s="1977"/>
      <c r="K8" s="1978"/>
      <c r="L8" s="306" t="s">
        <v>66</v>
      </c>
      <c r="M8" s="307"/>
      <c r="N8" s="1694"/>
      <c r="O8" s="1695"/>
      <c r="P8" s="1695"/>
      <c r="Q8" s="1695"/>
      <c r="R8" s="1695"/>
      <c r="S8" s="1695"/>
      <c r="T8" s="1695"/>
      <c r="U8" s="1696"/>
      <c r="V8" s="306" t="s">
        <v>66</v>
      </c>
      <c r="W8" s="1749"/>
      <c r="X8" s="1750"/>
      <c r="Y8" s="1751"/>
      <c r="Z8" s="1752"/>
      <c r="AA8" s="1752"/>
      <c r="AB8" s="1752"/>
      <c r="AC8" s="1752"/>
      <c r="AD8" s="1752"/>
      <c r="AE8" s="1753"/>
      <c r="AF8" s="309"/>
      <c r="AG8" s="307" t="s">
        <v>66</v>
      </c>
      <c r="AH8" s="1715"/>
      <c r="AI8" s="1716"/>
      <c r="AJ8" s="1716"/>
      <c r="AK8" s="1716"/>
      <c r="AL8" s="1716"/>
      <c r="AM8" s="1716"/>
      <c r="AN8" s="1716"/>
      <c r="AO8" s="1717"/>
      <c r="AP8" s="306"/>
      <c r="AQ8" s="1776"/>
      <c r="AR8" s="1750"/>
      <c r="AS8" s="1752"/>
      <c r="AT8" s="1752"/>
      <c r="AU8" s="1752"/>
      <c r="AV8" s="1752"/>
      <c r="AW8" s="1752"/>
      <c r="AX8" s="1752"/>
      <c r="AY8" s="1777"/>
      <c r="AZ8" s="306" t="s">
        <v>66</v>
      </c>
      <c r="BA8" s="309"/>
      <c r="BB8" s="1715"/>
      <c r="BC8" s="1716"/>
      <c r="BD8" s="1716"/>
      <c r="BE8" s="1716"/>
      <c r="BF8" s="1716"/>
      <c r="BG8" s="1716"/>
      <c r="BH8" s="1716"/>
      <c r="BI8" s="1717"/>
      <c r="BJ8" s="306" t="s">
        <v>66</v>
      </c>
      <c r="BK8" s="1677"/>
      <c r="BL8" s="306"/>
      <c r="BM8" s="1677"/>
      <c r="BN8" s="1676"/>
      <c r="BO8" s="1676"/>
      <c r="BP8" s="1676"/>
      <c r="BQ8" s="1676"/>
      <c r="BR8" s="1676"/>
      <c r="BS8" s="1676"/>
      <c r="BT8" s="310"/>
      <c r="BU8" s="473"/>
      <c r="BV8" s="1715"/>
      <c r="BW8" s="1716"/>
      <c r="BX8" s="1716"/>
      <c r="BY8" s="1716"/>
      <c r="BZ8" s="1716"/>
      <c r="CA8" s="1716"/>
      <c r="CB8" s="1716"/>
      <c r="CC8" s="1717"/>
      <c r="CD8" s="306"/>
      <c r="CE8" s="1677"/>
      <c r="CF8" s="306"/>
      <c r="CG8" s="1676"/>
      <c r="CH8" s="1676"/>
      <c r="CI8" s="1676"/>
      <c r="CJ8" s="1676"/>
      <c r="CK8" s="1676"/>
      <c r="CL8" s="1676"/>
      <c r="CM8" s="1676"/>
      <c r="CN8" s="310"/>
      <c r="CO8" s="475"/>
      <c r="CP8" s="1721"/>
      <c r="CQ8" s="1695"/>
      <c r="CR8" s="1695"/>
      <c r="CS8" s="1695"/>
      <c r="CT8" s="1695"/>
      <c r="CU8" s="1695"/>
      <c r="CV8" s="1695"/>
      <c r="CW8" s="1722"/>
      <c r="CX8" s="308"/>
      <c r="CY8" s="304"/>
      <c r="CZ8" s="304"/>
      <c r="DA8" s="304"/>
      <c r="DB8" s="699"/>
      <c r="DC8" s="699"/>
      <c r="DD8" s="699"/>
      <c r="DE8" s="699"/>
      <c r="DF8" s="699"/>
      <c r="DG8" s="699"/>
      <c r="DH8" s="310"/>
      <c r="DI8" s="475"/>
      <c r="DJ8" s="748"/>
      <c r="DK8" s="747"/>
      <c r="DL8" s="747"/>
      <c r="DM8" s="747"/>
      <c r="DN8" s="747"/>
      <c r="DO8" s="747"/>
      <c r="DP8" s="747"/>
      <c r="DQ8" s="749"/>
      <c r="DR8" s="308"/>
      <c r="DS8" s="304"/>
      <c r="DT8" s="304"/>
      <c r="DU8" s="304"/>
      <c r="DV8" s="699"/>
      <c r="DW8" s="699"/>
      <c r="DX8" s="699"/>
      <c r="DY8" s="699"/>
      <c r="DZ8" s="699"/>
      <c r="EA8" s="699"/>
      <c r="EB8" s="310"/>
      <c r="EC8" s="475"/>
      <c r="ED8" s="304"/>
      <c r="EE8" s="304"/>
      <c r="EF8" s="304"/>
      <c r="EG8" s="304"/>
      <c r="EH8" s="699"/>
      <c r="EI8" s="699"/>
      <c r="EJ8" s="699"/>
      <c r="EK8" s="699"/>
      <c r="EL8" s="699"/>
      <c r="EM8" s="699"/>
    </row>
    <row r="9" spans="1:143" ht="37.5" customHeight="1" thickBot="1">
      <c r="A9" s="697" t="s">
        <v>67</v>
      </c>
      <c r="B9" s="1972" t="str">
        <f>CONCATENATE('3 pr-2'!B9)</f>
        <v>Priemonė:
Kaimo gyvenamųjų vietovių (turinčių iki 1 tūkst. gyventojų) atnaujinimas</v>
      </c>
      <c r="C9" s="1894"/>
      <c r="D9" s="1894"/>
      <c r="E9" s="1894"/>
      <c r="F9" s="1894"/>
      <c r="G9" s="1894"/>
      <c r="H9" s="1894"/>
      <c r="I9" s="1894"/>
      <c r="J9" s="1894"/>
      <c r="K9" s="1895"/>
      <c r="L9" s="1322"/>
      <c r="M9" s="474"/>
      <c r="N9" s="1697">
        <f>SUM(N10:N32)</f>
        <v>0</v>
      </c>
      <c r="O9" s="1697">
        <f t="shared" ref="O9:T9" si="0">SUM(O10:O32)</f>
        <v>0</v>
      </c>
      <c r="P9" s="1697">
        <f t="shared" si="0"/>
        <v>0</v>
      </c>
      <c r="Q9" s="1697">
        <f t="shared" si="0"/>
        <v>0</v>
      </c>
      <c r="R9" s="1697">
        <f t="shared" si="0"/>
        <v>0</v>
      </c>
      <c r="S9" s="1697">
        <f t="shared" si="0"/>
        <v>0</v>
      </c>
      <c r="T9" s="1697">
        <f t="shared" si="0"/>
        <v>0</v>
      </c>
      <c r="U9" s="1698">
        <f>SUM(N9:T9)</f>
        <v>0</v>
      </c>
      <c r="V9" s="736"/>
      <c r="W9" s="1754"/>
      <c r="X9" s="1755"/>
      <c r="Y9" s="1756">
        <f>SUM(Y10:Y32)</f>
        <v>0</v>
      </c>
      <c r="Z9" s="1756">
        <f t="shared" ref="Z9:AE9" si="1">SUM(Z10:Z32)</f>
        <v>31</v>
      </c>
      <c r="AA9" s="1756">
        <f t="shared" si="1"/>
        <v>5</v>
      </c>
      <c r="AB9" s="1756">
        <f t="shared" si="1"/>
        <v>0</v>
      </c>
      <c r="AC9" s="1756">
        <f t="shared" si="1"/>
        <v>0</v>
      </c>
      <c r="AD9" s="1756">
        <f t="shared" si="1"/>
        <v>0</v>
      </c>
      <c r="AE9" s="1756">
        <f t="shared" si="1"/>
        <v>0</v>
      </c>
      <c r="AF9" s="751"/>
      <c r="AG9" s="474"/>
      <c r="AH9" s="1697">
        <f>SUM(AH10:AH32)</f>
        <v>0</v>
      </c>
      <c r="AI9" s="1697">
        <f t="shared" ref="AI9" si="2">SUM(AI10:AI32)</f>
        <v>0</v>
      </c>
      <c r="AJ9" s="1697">
        <f t="shared" ref="AJ9" si="3">SUM(AJ10:AJ32)</f>
        <v>0</v>
      </c>
      <c r="AK9" s="1697">
        <f t="shared" ref="AK9" si="4">SUM(AK10:AK32)</f>
        <v>0</v>
      </c>
      <c r="AL9" s="1697">
        <f t="shared" ref="AL9" si="5">SUM(AL10:AL32)</f>
        <v>0</v>
      </c>
      <c r="AM9" s="1697">
        <f t="shared" ref="AM9" si="6">SUM(AM10:AM32)</f>
        <v>0</v>
      </c>
      <c r="AN9" s="1697">
        <f t="shared" ref="AN9" si="7">SUM(AN10:AN32)</f>
        <v>0</v>
      </c>
      <c r="AO9" s="1701">
        <f>SUM(AH9:AN9)</f>
        <v>0</v>
      </c>
      <c r="AP9" s="736"/>
      <c r="AQ9" s="1756"/>
      <c r="AR9" s="1756"/>
      <c r="AS9" s="1756">
        <f>SUM(AS10:AS32)</f>
        <v>0</v>
      </c>
      <c r="AT9" s="1756">
        <f t="shared" ref="AT9" si="8">SUM(AT10:AT32)</f>
        <v>6394</v>
      </c>
      <c r="AU9" s="1756">
        <f t="shared" ref="AU9" si="9">SUM(AU10:AU32)</f>
        <v>1163</v>
      </c>
      <c r="AV9" s="1756">
        <f t="shared" ref="AV9" si="10">SUM(AV10:AV32)</f>
        <v>0</v>
      </c>
      <c r="AW9" s="1756">
        <f t="shared" ref="AW9" si="11">SUM(AW10:AW32)</f>
        <v>0</v>
      </c>
      <c r="AX9" s="1756">
        <f t="shared" ref="AX9" si="12">SUM(AX10:AX32)</f>
        <v>0</v>
      </c>
      <c r="AY9" s="1756">
        <f t="shared" ref="AY9" si="13">SUM(AY10:AY32)</f>
        <v>0</v>
      </c>
      <c r="AZ9" s="736"/>
      <c r="BA9" s="752"/>
      <c r="BB9" s="1697">
        <f>SUM(BB10:BB32)</f>
        <v>0</v>
      </c>
      <c r="BC9" s="1697">
        <f t="shared" ref="BC9:BH9" si="14">SUM(BC10:BC32)</f>
        <v>0</v>
      </c>
      <c r="BD9" s="1697">
        <f t="shared" si="14"/>
        <v>0</v>
      </c>
      <c r="BE9" s="1697">
        <f t="shared" si="14"/>
        <v>0</v>
      </c>
      <c r="BF9" s="1697">
        <f t="shared" si="14"/>
        <v>0</v>
      </c>
      <c r="BG9" s="1697">
        <f t="shared" si="14"/>
        <v>0</v>
      </c>
      <c r="BH9" s="1697">
        <f t="shared" si="14"/>
        <v>0</v>
      </c>
      <c r="BI9" s="1701">
        <f>SUM(BB9:BH9)</f>
        <v>0</v>
      </c>
      <c r="BJ9" s="736"/>
      <c r="BK9" s="506"/>
      <c r="BL9" s="506"/>
      <c r="BM9" s="506">
        <f>SUM(BM10:BM32)</f>
        <v>0</v>
      </c>
      <c r="BN9" s="506">
        <f t="shared" ref="BN9" si="15">SUM(BN10:BN32)</f>
        <v>18</v>
      </c>
      <c r="BO9" s="506">
        <f t="shared" ref="BO9" si="16">SUM(BO10:BO32)</f>
        <v>5</v>
      </c>
      <c r="BP9" s="506">
        <f t="shared" ref="BP9" si="17">SUM(BP10:BP32)</f>
        <v>0</v>
      </c>
      <c r="BQ9" s="506">
        <f t="shared" ref="BQ9" si="18">SUM(BQ10:BQ32)</f>
        <v>0</v>
      </c>
      <c r="BR9" s="506">
        <f t="shared" ref="BR9" si="19">SUM(BR10:BR32)</f>
        <v>0</v>
      </c>
      <c r="BS9" s="506">
        <f t="shared" ref="BS9" si="20">SUM(BS10:BS32)</f>
        <v>0</v>
      </c>
      <c r="BT9" s="506"/>
      <c r="BU9" s="472"/>
      <c r="BV9" s="1710">
        <f>SUM(BV10:BV32)</f>
        <v>0</v>
      </c>
      <c r="BW9" s="1710">
        <f t="shared" ref="BW9:CB9" si="21">SUM(BW10:BW32)</f>
        <v>0</v>
      </c>
      <c r="BX9" s="1710">
        <f t="shared" si="21"/>
        <v>0</v>
      </c>
      <c r="BY9" s="1710">
        <f t="shared" si="21"/>
        <v>0</v>
      </c>
      <c r="BZ9" s="1710">
        <f t="shared" si="21"/>
        <v>0</v>
      </c>
      <c r="CA9" s="1710">
        <f t="shared" si="21"/>
        <v>0</v>
      </c>
      <c r="CB9" s="1710">
        <f t="shared" si="21"/>
        <v>0</v>
      </c>
      <c r="CC9" s="1719">
        <f>SUM(BV9:CB9)</f>
        <v>0</v>
      </c>
      <c r="CD9" s="506"/>
      <c r="CE9" s="506"/>
      <c r="CF9" s="506"/>
      <c r="CG9" s="506">
        <f>SUM(CG10:CG32)</f>
        <v>0</v>
      </c>
      <c r="CH9" s="506">
        <f t="shared" ref="CH9:CM9" si="22">SUM(CH10:CH32)</f>
        <v>0</v>
      </c>
      <c r="CI9" s="506">
        <f t="shared" si="22"/>
        <v>0</v>
      </c>
      <c r="CJ9" s="506">
        <f t="shared" si="22"/>
        <v>0</v>
      </c>
      <c r="CK9" s="506">
        <f t="shared" si="22"/>
        <v>0</v>
      </c>
      <c r="CL9" s="506">
        <f t="shared" si="22"/>
        <v>0</v>
      </c>
      <c r="CM9" s="506">
        <f t="shared" si="22"/>
        <v>0</v>
      </c>
      <c r="CN9" s="753"/>
      <c r="CO9" s="472"/>
      <c r="CP9" s="1712">
        <f>SUM(CP10:CP32)</f>
        <v>0</v>
      </c>
      <c r="CQ9" s="1710">
        <f t="shared" ref="CQ9" si="23">SUM(CQ10:CQ32)</f>
        <v>0</v>
      </c>
      <c r="CR9" s="1710">
        <f t="shared" ref="CR9" si="24">SUM(CR10:CR32)</f>
        <v>0</v>
      </c>
      <c r="CS9" s="1710">
        <f t="shared" ref="CS9" si="25">SUM(CS10:CS32)</f>
        <v>0</v>
      </c>
      <c r="CT9" s="1710">
        <f t="shared" ref="CT9" si="26">SUM(CT10:CT32)</f>
        <v>0</v>
      </c>
      <c r="CU9" s="1710">
        <f t="shared" ref="CU9" si="27">SUM(CU10:CU32)</f>
        <v>0</v>
      </c>
      <c r="CV9" s="1710">
        <f t="shared" ref="CV9" si="28">SUM(CV10:CV32)</f>
        <v>0</v>
      </c>
      <c r="CW9" s="1719">
        <f>SUM(CP9:CV9)</f>
        <v>0</v>
      </c>
      <c r="CX9" s="506"/>
      <c r="CY9" s="506"/>
      <c r="CZ9" s="506"/>
      <c r="DA9" s="506">
        <f>SUM(DA10:DA32)</f>
        <v>0</v>
      </c>
      <c r="DB9" s="506">
        <f t="shared" ref="DB9:DG9" si="29">SUM(DB10:DB32)</f>
        <v>0</v>
      </c>
      <c r="DC9" s="506">
        <f t="shared" si="29"/>
        <v>0</v>
      </c>
      <c r="DD9" s="506">
        <f t="shared" si="29"/>
        <v>0</v>
      </c>
      <c r="DE9" s="506">
        <f t="shared" si="29"/>
        <v>0</v>
      </c>
      <c r="DF9" s="506">
        <f t="shared" si="29"/>
        <v>0</v>
      </c>
      <c r="DG9" s="506">
        <f t="shared" si="29"/>
        <v>0</v>
      </c>
      <c r="DH9" s="753"/>
      <c r="DI9" s="472"/>
      <c r="DJ9" s="754">
        <f>SUM(DJ10:DJ32)</f>
        <v>0</v>
      </c>
      <c r="DK9" s="506">
        <f t="shared" ref="DK9:DP9" si="30">SUM(DK10:DK32)</f>
        <v>0</v>
      </c>
      <c r="DL9" s="506">
        <f t="shared" si="30"/>
        <v>0</v>
      </c>
      <c r="DM9" s="506">
        <f t="shared" si="30"/>
        <v>0</v>
      </c>
      <c r="DN9" s="506">
        <f t="shared" si="30"/>
        <v>0</v>
      </c>
      <c r="DO9" s="506">
        <f t="shared" si="30"/>
        <v>0</v>
      </c>
      <c r="DP9" s="506">
        <f t="shared" si="30"/>
        <v>0</v>
      </c>
      <c r="DQ9" s="739">
        <f>SUM(DJ9:DP9)</f>
        <v>0</v>
      </c>
      <c r="DR9" s="506"/>
      <c r="DS9" s="506"/>
      <c r="DT9" s="506"/>
      <c r="DU9" s="506">
        <f>SUM(DU10:DU32)</f>
        <v>0</v>
      </c>
      <c r="DV9" s="506">
        <f t="shared" ref="DV9:EA9" si="31">SUM(DV10:DV32)</f>
        <v>0</v>
      </c>
      <c r="DW9" s="506">
        <f t="shared" si="31"/>
        <v>0</v>
      </c>
      <c r="DX9" s="506">
        <f t="shared" si="31"/>
        <v>0</v>
      </c>
      <c r="DY9" s="506">
        <f t="shared" si="31"/>
        <v>0</v>
      </c>
      <c r="DZ9" s="506">
        <f t="shared" si="31"/>
        <v>0</v>
      </c>
      <c r="EA9" s="506">
        <f t="shared" si="31"/>
        <v>0</v>
      </c>
      <c r="EB9" s="753"/>
      <c r="EC9" s="472"/>
      <c r="ED9" s="506"/>
      <c r="EE9" s="506"/>
      <c r="EF9" s="506"/>
      <c r="EG9" s="506">
        <f>SUM(EG10:EG32)</f>
        <v>0</v>
      </c>
      <c r="EH9" s="506">
        <f t="shared" ref="EH9:EM9" si="32">SUM(EH10:EH32)</f>
        <v>0</v>
      </c>
      <c r="EI9" s="506">
        <f t="shared" si="32"/>
        <v>0</v>
      </c>
      <c r="EJ9" s="506">
        <f t="shared" si="32"/>
        <v>0</v>
      </c>
      <c r="EK9" s="506">
        <f t="shared" si="32"/>
        <v>0</v>
      </c>
      <c r="EL9" s="506">
        <f t="shared" si="32"/>
        <v>0</v>
      </c>
      <c r="EM9" s="506">
        <f t="shared" si="32"/>
        <v>0</v>
      </c>
    </row>
    <row r="10" spans="1:143" ht="75" thickTop="1" thickBot="1">
      <c r="A10" s="130" t="str">
        <f>CONCATENATE('3 pr-2'!A10)</f>
        <v>1.1.1.1.1</v>
      </c>
      <c r="B10" s="130" t="str">
        <f>CONCATENATE('3 pr-2'!B10)</f>
        <v>R01-ZM72-120000-1101</v>
      </c>
      <c r="C10" s="1730" t="str">
        <f>CONCATENATE('ketv. 2'!B9)</f>
        <v>20KI-KA-17-1-02616-PR001</v>
      </c>
      <c r="D10" s="78" t="str">
        <f>CONCATENATE('3 pr-2'!D10)</f>
        <v xml:space="preserve">Druskininkų savivaldybės Viečiūnų seniūnijos Ilgio ir Raigardo seniūnaitijų kelių būklės gerinimas  </v>
      </c>
      <c r="E10" s="130" t="str">
        <f>CONCATENATE('3 pr-2'!E10)</f>
        <v xml:space="preserve">Druskininkų savivaldybės administracija  </v>
      </c>
      <c r="F10" s="130" t="str">
        <f>CONCATENATE('3 pr-2'!F10)</f>
        <v>Lietuvos Respublikos žemės ūkio ministerija</v>
      </c>
      <c r="G10" s="130" t="str">
        <f>CONCATENATE('3 pr-2'!G10)</f>
        <v>Druskininkų sav.</v>
      </c>
      <c r="H10" s="130" t="str">
        <f>CONCATENATE('3 pr-2'!H10)</f>
        <v xml:space="preserve">Pagrindinės paslaugos ir kaimų atnaujinimas kaimo vietovėse </v>
      </c>
      <c r="I10" s="130" t="str">
        <f>CONCATENATE('3 pr-2'!I10)</f>
        <v>R</v>
      </c>
      <c r="J10" s="130" t="str">
        <f>CONCATENATE('3 pr-2'!J10)</f>
        <v>-</v>
      </c>
      <c r="K10" s="130" t="str">
        <f>CONCATENATE('3 pr-2'!K10)</f>
        <v>-</v>
      </c>
      <c r="L10" s="130" t="s">
        <v>448</v>
      </c>
      <c r="M10" s="471" t="s">
        <v>449</v>
      </c>
      <c r="N10" s="1699"/>
      <c r="O10" s="1699"/>
      <c r="P10" s="1699"/>
      <c r="Q10" s="1699"/>
      <c r="R10" s="1699"/>
      <c r="S10" s="1699"/>
      <c r="T10" s="1699"/>
      <c r="U10" s="1700">
        <f>SUM(N10:T10)</f>
        <v>0</v>
      </c>
      <c r="V10" s="130">
        <v>2</v>
      </c>
      <c r="W10" s="1757" t="str">
        <f>IF('ketv. 6 '!L9&gt;0,"taip",0)</f>
        <v>taip</v>
      </c>
      <c r="X10" s="1732"/>
      <c r="Y10" s="1732">
        <f>IF(YEAR('3 pr-2'!$AK10)=2017,$V10,0)</f>
        <v>0</v>
      </c>
      <c r="Z10" s="1732">
        <f>IF(YEAR('3 pr-2'!$AK10)=2018,$V10,0)</f>
        <v>2</v>
      </c>
      <c r="AA10" s="1732">
        <f>IF(YEAR('3 pr-2'!$AK10)=2019,$V10,0)</f>
        <v>0</v>
      </c>
      <c r="AB10" s="1732">
        <f>IF(YEAR('3 pr-2'!$AK10)=2020,$V10,0)</f>
        <v>0</v>
      </c>
      <c r="AC10" s="1732">
        <f>IF(YEAR('3 pr-2'!$AK10)=2021,$V10,0)</f>
        <v>0</v>
      </c>
      <c r="AD10" s="1732">
        <f>IF(YEAR('3 pr-2'!$AK10)=2022,$V10,0)</f>
        <v>0</v>
      </c>
      <c r="AE10" s="1732">
        <f>IF(YEAR('3 pr-2'!$AK10)=2023,$V10,0)</f>
        <v>0</v>
      </c>
      <c r="AF10" s="317" t="s">
        <v>450</v>
      </c>
      <c r="AG10" s="471" t="s">
        <v>451</v>
      </c>
      <c r="AH10" s="1699"/>
      <c r="AI10" s="1699"/>
      <c r="AJ10" s="1699"/>
      <c r="AK10" s="1699"/>
      <c r="AL10" s="1699"/>
      <c r="AM10" s="1699"/>
      <c r="AN10" s="1699"/>
      <c r="AO10" s="1718">
        <f>SUM(AH10:AN10)</f>
        <v>0</v>
      </c>
      <c r="AP10" s="130">
        <v>411</v>
      </c>
      <c r="AQ10" s="1778"/>
      <c r="AR10" s="1732"/>
      <c r="AS10" s="1732">
        <f>IF(YEAR('3 pr-2'!$AK10)=2017,$AP10,0)</f>
        <v>0</v>
      </c>
      <c r="AT10" s="1732">
        <f>IF(YEAR('3 pr-2'!$AK10)=2018,$AP10,0)</f>
        <v>411</v>
      </c>
      <c r="AU10" s="1732">
        <f>IF(YEAR('3 pr-2'!$AK10)=2019,$AP10,0)</f>
        <v>0</v>
      </c>
      <c r="AV10" s="1732">
        <f>IF(YEAR('3 pr-2'!$AK10)=2020,$AP10,0)</f>
        <v>0</v>
      </c>
      <c r="AW10" s="1732">
        <f>IF(YEAR('3 pr-2'!$AK10)=2021,$AP10,0)</f>
        <v>0</v>
      </c>
      <c r="AX10" s="1732">
        <f>IF(YEAR('3 pr-2'!$AK10)=2022,$AP10,0)</f>
        <v>0</v>
      </c>
      <c r="AY10" s="1732">
        <f>IF(YEAR('3 pr-2'!$AK10)=2023,$AP10,0)</f>
        <v>0</v>
      </c>
      <c r="AZ10" s="130" t="s">
        <v>452</v>
      </c>
      <c r="BA10" s="470" t="s">
        <v>453</v>
      </c>
      <c r="BB10" s="1699"/>
      <c r="BC10" s="1699"/>
      <c r="BD10" s="1699"/>
      <c r="BE10" s="1699"/>
      <c r="BF10" s="1699"/>
      <c r="BG10" s="1699"/>
      <c r="BH10" s="1699"/>
      <c r="BI10" s="1718">
        <f>SUM(BB10:BH10)</f>
        <v>0</v>
      </c>
      <c r="BJ10" s="130">
        <v>1</v>
      </c>
      <c r="BK10" s="1501"/>
      <c r="BL10" s="130"/>
      <c r="BM10" s="130">
        <f>IF(YEAR('3 pr-2'!AK10)=2017,BJ10,0)</f>
        <v>0</v>
      </c>
      <c r="BN10" s="130">
        <f>IF(YEAR('3 pr-2'!AK10)=2018,BJ10,0)</f>
        <v>1</v>
      </c>
      <c r="BO10" s="130">
        <f>IF(YEAR('3 pr-2'!AK10)=2019,BJ10,0)</f>
        <v>0</v>
      </c>
      <c r="BP10" s="130">
        <f>IF(YEAR('3 pr-2'!AK10)=2020,BJ10,0)</f>
        <v>0</v>
      </c>
      <c r="BQ10" s="130">
        <f>IF(YEAR('3 pr-2'!AK10)=2021,BJ10,0)</f>
        <v>0</v>
      </c>
      <c r="BR10" s="130">
        <f>IF(YEAR('3 pr-2'!AK10)=2022,BJ10,0)</f>
        <v>0</v>
      </c>
      <c r="BS10" s="130">
        <f>IF(YEAR('3 pr-2'!AK10)=2023,BJ10,0)</f>
        <v>0</v>
      </c>
      <c r="BT10" s="317"/>
      <c r="BU10" s="471"/>
      <c r="BV10" s="1699"/>
      <c r="BW10" s="1699"/>
      <c r="BX10" s="1699"/>
      <c r="BY10" s="1699"/>
      <c r="BZ10" s="1699"/>
      <c r="CA10" s="1699"/>
      <c r="CB10" s="1699"/>
      <c r="CC10" s="1718">
        <f>SUM(BV10:CB10)</f>
        <v>0</v>
      </c>
      <c r="CD10" s="130"/>
      <c r="CE10" s="130"/>
      <c r="CF10" s="130"/>
      <c r="CG10" s="130">
        <f>IF(YEAR('3 pr-2'!$AK10)=2017,$CD10,0)</f>
        <v>0</v>
      </c>
      <c r="CH10" s="130">
        <f>IF(YEAR('3 pr-2'!$AK10)=2018,$CD10,0)</f>
        <v>0</v>
      </c>
      <c r="CI10" s="130">
        <f>IF(YEAR('3 pr-2'!$AK10)=2019,$CD10,0)</f>
        <v>0</v>
      </c>
      <c r="CJ10" s="130">
        <f>IF(YEAR('3 pr-2'!$AK10)=2020,$CD10,0)</f>
        <v>0</v>
      </c>
      <c r="CK10" s="130">
        <f>IF(YEAR('3 pr-2'!$AK10)=2021,$CD10,0)</f>
        <v>0</v>
      </c>
      <c r="CL10" s="130">
        <f>IF(YEAR('3 pr-2'!$AK10)=2022,$CD10,0)</f>
        <v>0</v>
      </c>
      <c r="CM10" s="130">
        <f>IF(YEAR('3 pr-2'!$AK10)=2023,$CD10,0)</f>
        <v>0</v>
      </c>
      <c r="CN10" s="317"/>
      <c r="CO10" s="472"/>
      <c r="CP10" s="1704"/>
      <c r="CQ10" s="1699"/>
      <c r="CR10" s="1699"/>
      <c r="CS10" s="1699"/>
      <c r="CT10" s="1699"/>
      <c r="CU10" s="1699"/>
      <c r="CV10" s="1699"/>
      <c r="CW10" s="1718">
        <f>SUM(CP10:CV10)</f>
        <v>0</v>
      </c>
      <c r="CX10" s="318"/>
      <c r="CY10" s="303"/>
      <c r="CZ10" s="303"/>
      <c r="DA10" s="506">
        <f>IF(YEAR('3 pr-2'!AK10)=2017,CX10,0)</f>
        <v>0</v>
      </c>
      <c r="DB10" s="506">
        <f>IF(YEAR('3 pr-2'!AK10)=2018,CX10,0)</f>
        <v>0</v>
      </c>
      <c r="DC10" s="506">
        <f>IF(YEAR('3 pr-2'!AK10)=2019,CX10,0)</f>
        <v>0</v>
      </c>
      <c r="DD10" s="506">
        <f>IF(YEAR('3 pr-2'!AK10)=2020,CX10,0)</f>
        <v>0</v>
      </c>
      <c r="DE10" s="506">
        <f>IF(YEAR('3 pr-2'!AK10)=2021,CX10,0)</f>
        <v>0</v>
      </c>
      <c r="DF10" s="506">
        <f>IF(YEAR('3 pr-2'!AK10)=2022,CX10,0)</f>
        <v>0</v>
      </c>
      <c r="DG10" s="506">
        <f>IF(YEAR('3 pr-2'!AK10)=2023,CX10,0)</f>
        <v>0</v>
      </c>
      <c r="DH10" s="317"/>
      <c r="DI10" s="472"/>
      <c r="DJ10" s="318"/>
      <c r="DK10" s="130"/>
      <c r="DL10" s="130"/>
      <c r="DM10" s="130"/>
      <c r="DN10" s="130"/>
      <c r="DO10" s="130"/>
      <c r="DP10" s="130"/>
      <c r="DQ10" s="756">
        <f>SUM(DJ10:DP10)</f>
        <v>0</v>
      </c>
      <c r="DR10" s="318"/>
      <c r="DS10" s="303"/>
      <c r="DT10" s="303"/>
      <c r="DU10" s="506">
        <f>IF(YEAR('3 pr-2'!BF10)=2017,DS10,0)</f>
        <v>0</v>
      </c>
      <c r="DV10" s="506">
        <f>IF(YEAR('3 pr-2'!BF10)=2018,DS10,0)</f>
        <v>0</v>
      </c>
      <c r="DW10" s="506">
        <f>IF(YEAR('3 pr-2'!BF10)=2019,DS10,0)</f>
        <v>0</v>
      </c>
      <c r="DX10" s="506">
        <f>IF(YEAR('3 pr-2'!BF10)=2020,DS10,0)</f>
        <v>0</v>
      </c>
      <c r="DY10" s="506">
        <f>IF(YEAR('3 pr-2'!BF10)=2021,DS10,0)</f>
        <v>0</v>
      </c>
      <c r="DZ10" s="506">
        <f>IF(YEAR('3 pr-2'!BF10)=2022,DS10,0)</f>
        <v>0</v>
      </c>
      <c r="EA10" s="506">
        <f>IF(YEAR('3 pr-2'!BF10)=2023,DS10,0)</f>
        <v>0</v>
      </c>
      <c r="EB10" s="317"/>
      <c r="EC10" s="472"/>
      <c r="ED10" s="303"/>
      <c r="EE10" s="303"/>
      <c r="EF10" s="303"/>
      <c r="EG10" s="506">
        <f>IF(YEAR('3 pr-2'!BP10)=2017,ED10,0)</f>
        <v>0</v>
      </c>
      <c r="EH10" s="506">
        <f>IF(YEAR('3 pr-2'!BP10)=2018,ED10,0)</f>
        <v>0</v>
      </c>
      <c r="EI10" s="506">
        <f>IF(YEAR('3 pr-2'!BP10)=2019,ED10,0)</f>
        <v>0</v>
      </c>
      <c r="EJ10" s="506">
        <f>IF(YEAR('3 pr-2'!BP10)=2020,ED10,0)</f>
        <v>0</v>
      </c>
      <c r="EK10" s="506">
        <f>IF(YEAR('3 pr-2'!BP10)=2021,ED10,0)</f>
        <v>0</v>
      </c>
      <c r="EL10" s="506">
        <f>IF(YEAR('3 pr-2'!BP10)=2022,ED10,0)</f>
        <v>0</v>
      </c>
      <c r="EM10" s="506">
        <f>IF(YEAR('3 pr-2'!BP10)=2023,ED10,0)</f>
        <v>0</v>
      </c>
    </row>
    <row r="11" spans="1:143" ht="75" thickTop="1" thickBot="1">
      <c r="A11" s="130" t="str">
        <f>CONCATENATE('3 pr-2'!A11)</f>
        <v>1.1.1.1.2</v>
      </c>
      <c r="B11" s="130" t="str">
        <f>CONCATENATE('3 pr-2'!B11)</f>
        <v>R01-ZM72-120000-1102</v>
      </c>
      <c r="C11" s="1730" t="str">
        <f>CONCATENATE('ketv. 2'!B10)</f>
        <v>20KI-KA-17-1-02617-PR001</v>
      </c>
      <c r="D11" s="78" t="str">
        <f>CONCATENATE('3 pr-2'!D11)</f>
        <v>Druskininkų savivaldybės Viečiūnų seniūnijos Ratnyčėlės seniūnaitijos kelių būklės gerinimas</v>
      </c>
      <c r="E11" s="11" t="str">
        <f>CONCATENATE('3 pr-2'!E11)</f>
        <v xml:space="preserve">Druskininkų savivaldybės administracija  </v>
      </c>
      <c r="F11" s="11" t="str">
        <f>CONCATENATE('3 pr-2'!F11)</f>
        <v>Lietuvos Respublikos žemės ūkio ministerija</v>
      </c>
      <c r="G11" s="11" t="str">
        <f>CONCATENATE('3 pr-2'!G11)</f>
        <v>Druskininkų sav.</v>
      </c>
      <c r="H11" s="11" t="str">
        <f>CONCATENATE('3 pr-2'!H11)</f>
        <v xml:space="preserve">Pagrindinės paslaugos ir kaimų atnaujinimas kaimo vietovėse </v>
      </c>
      <c r="I11" s="130" t="str">
        <f>CONCATENATE('3 pr-2'!I11)</f>
        <v>R</v>
      </c>
      <c r="J11" s="130" t="str">
        <f>CONCATENATE('3 pr-2'!J11)</f>
        <v>-</v>
      </c>
      <c r="K11" s="130" t="str">
        <f>CONCATENATE('3 pr-2'!K11)</f>
        <v>-</v>
      </c>
      <c r="L11" s="130" t="s">
        <v>448</v>
      </c>
      <c r="M11" s="471" t="s">
        <v>449</v>
      </c>
      <c r="N11" s="1699"/>
      <c r="O11" s="1699"/>
      <c r="P11" s="1699"/>
      <c r="Q11" s="1699"/>
      <c r="R11" s="1699"/>
      <c r="S11" s="1699"/>
      <c r="T11" s="1699"/>
      <c r="U11" s="1700"/>
      <c r="V11" s="130">
        <v>2</v>
      </c>
      <c r="W11" s="1757" t="str">
        <f>IF('ketv. 6 '!L10&gt;0,"taip",0)</f>
        <v>taip</v>
      </c>
      <c r="X11" s="1732"/>
      <c r="Y11" s="1732">
        <f>IF(YEAR('3 pr-2'!$AK11)=2017,$V11,0)</f>
        <v>0</v>
      </c>
      <c r="Z11" s="1732">
        <f>IF(YEAR('3 pr-2'!$AK11)=2018,$V11,0)</f>
        <v>2</v>
      </c>
      <c r="AA11" s="1732">
        <f>IF(YEAR('3 pr-2'!$AK11)=2019,$V11,0)</f>
        <v>0</v>
      </c>
      <c r="AB11" s="1732">
        <f>IF(YEAR('3 pr-2'!$AK11)=2020,$V11,0)</f>
        <v>0</v>
      </c>
      <c r="AC11" s="1732">
        <f>IF(YEAR('3 pr-2'!$AK11)=2021,$V11,0)</f>
        <v>0</v>
      </c>
      <c r="AD11" s="1732">
        <f>IF(YEAR('3 pr-2'!$AK11)=2022,$V11,0)</f>
        <v>0</v>
      </c>
      <c r="AE11" s="1732">
        <f>IF(YEAR('3 pr-2'!$AK11)=2023,$V11,0)</f>
        <v>0</v>
      </c>
      <c r="AF11" s="317" t="s">
        <v>450</v>
      </c>
      <c r="AG11" s="471" t="s">
        <v>451</v>
      </c>
      <c r="AH11" s="1699"/>
      <c r="AI11" s="1699"/>
      <c r="AJ11" s="1699"/>
      <c r="AK11" s="1699"/>
      <c r="AL11" s="1699"/>
      <c r="AM11" s="1699"/>
      <c r="AN11" s="1699"/>
      <c r="AO11" s="1718">
        <f t="shared" ref="AO11:AO32" si="33">SUM(AH11:AN11)</f>
        <v>0</v>
      </c>
      <c r="AP11" s="130">
        <v>123</v>
      </c>
      <c r="AQ11" s="1778"/>
      <c r="AR11" s="1732"/>
      <c r="AS11" s="1732">
        <f>IF(YEAR('3 pr-2'!$AK11)=2017,$AP11,0)</f>
        <v>0</v>
      </c>
      <c r="AT11" s="1732">
        <f>IF(YEAR('3 pr-2'!$AK11)=2018,$AP11,0)</f>
        <v>123</v>
      </c>
      <c r="AU11" s="1732">
        <f>IF(YEAR('3 pr-2'!$AK11)=2019,$AP11,0)</f>
        <v>0</v>
      </c>
      <c r="AV11" s="1732">
        <f>IF(YEAR('3 pr-2'!$AK11)=2020,$AP11,0)</f>
        <v>0</v>
      </c>
      <c r="AW11" s="1732">
        <f>IF(YEAR('3 pr-2'!$AK11)=2021,$AP11,0)</f>
        <v>0</v>
      </c>
      <c r="AX11" s="1732">
        <f>IF(YEAR('3 pr-2'!$AK11)=2022,$AP11,0)</f>
        <v>0</v>
      </c>
      <c r="AY11" s="1732">
        <f>IF(YEAR('3 pr-2'!$AK11)=2023,$AP11,0)</f>
        <v>0</v>
      </c>
      <c r="AZ11" s="130" t="s">
        <v>452</v>
      </c>
      <c r="BA11" s="470" t="s">
        <v>453</v>
      </c>
      <c r="BB11" s="1699"/>
      <c r="BC11" s="1699"/>
      <c r="BD11" s="1699"/>
      <c r="BE11" s="1699"/>
      <c r="BF11" s="1699"/>
      <c r="BG11" s="1699"/>
      <c r="BH11" s="1699"/>
      <c r="BI11" s="1718">
        <f t="shared" ref="BI11:BI32" si="34">SUM(BB11:BH11)</f>
        <v>0</v>
      </c>
      <c r="BJ11" s="130">
        <v>1</v>
      </c>
      <c r="BK11" s="1501"/>
      <c r="BL11" s="130"/>
      <c r="BM11" s="130">
        <f>IF(YEAR('3 pr-2'!AK11)=2017,BJ11,0)</f>
        <v>0</v>
      </c>
      <c r="BN11" s="130">
        <f>IF(YEAR('3 pr-2'!AK11)=2018,BJ11,0)</f>
        <v>1</v>
      </c>
      <c r="BO11" s="130">
        <f>IF(YEAR('3 pr-2'!AK11)=2019,BJ11,0)</f>
        <v>0</v>
      </c>
      <c r="BP11" s="130">
        <f>IF(YEAR('3 pr-2'!AK11)=2020,BJ11,0)</f>
        <v>0</v>
      </c>
      <c r="BQ11" s="130">
        <f>IF(YEAR('3 pr-2'!AK11)=2021,BJ11,0)</f>
        <v>0</v>
      </c>
      <c r="BR11" s="130">
        <f>IF(YEAR('3 pr-2'!AK11)=2022,BJ11,0)</f>
        <v>0</v>
      </c>
      <c r="BS11" s="130">
        <f>IF(YEAR('3 pr-2'!AK11)=2023,BJ11,0)</f>
        <v>0</v>
      </c>
      <c r="BT11" s="317"/>
      <c r="BU11" s="471"/>
      <c r="BV11" s="1699"/>
      <c r="BW11" s="1699"/>
      <c r="BX11" s="1699"/>
      <c r="BY11" s="1699"/>
      <c r="BZ11" s="1699"/>
      <c r="CA11" s="1699"/>
      <c r="CB11" s="1699"/>
      <c r="CC11" s="1718">
        <f t="shared" ref="CC11:CC45" si="35">SUM(BV11:CB11)</f>
        <v>0</v>
      </c>
      <c r="CD11" s="130"/>
      <c r="CE11" s="130"/>
      <c r="CF11" s="130"/>
      <c r="CG11" s="130">
        <f>IF(YEAR('3 pr-2'!$AK11)=2017,$CD11,0)</f>
        <v>0</v>
      </c>
      <c r="CH11" s="130">
        <f>IF(YEAR('3 pr-2'!$AK11)=2018,$CD11,0)</f>
        <v>0</v>
      </c>
      <c r="CI11" s="130">
        <f>IF(YEAR('3 pr-2'!$AK11)=2019,$CD11,0)</f>
        <v>0</v>
      </c>
      <c r="CJ11" s="130">
        <f>IF(YEAR('3 pr-2'!$AK11)=2020,$CD11,0)</f>
        <v>0</v>
      </c>
      <c r="CK11" s="130">
        <f>IF(YEAR('3 pr-2'!$AK11)=2021,$CD11,0)</f>
        <v>0</v>
      </c>
      <c r="CL11" s="130">
        <f>IF(YEAR('3 pr-2'!$AK11)=2022,$CD11,0)</f>
        <v>0</v>
      </c>
      <c r="CM11" s="130">
        <f>IF(YEAR('3 pr-2'!$AK11)=2023,$CD11,0)</f>
        <v>0</v>
      </c>
      <c r="CN11" s="317"/>
      <c r="CO11" s="472"/>
      <c r="CP11" s="1704"/>
      <c r="CQ11" s="1699"/>
      <c r="CR11" s="1699"/>
      <c r="CS11" s="1699"/>
      <c r="CT11" s="1699"/>
      <c r="CU11" s="1699"/>
      <c r="CV11" s="1699"/>
      <c r="CW11" s="1718">
        <f t="shared" ref="CW11:CW45" si="36">SUM(CP11:CV11)</f>
        <v>0</v>
      </c>
      <c r="CX11" s="318"/>
      <c r="CY11" s="303"/>
      <c r="CZ11" s="303"/>
      <c r="DA11" s="506">
        <f>IF(YEAR('3 pr-2'!AK11)=2017,CX11,0)</f>
        <v>0</v>
      </c>
      <c r="DB11" s="506">
        <f>IF(YEAR('3 pr-2'!AK11)=2018,CX11,0)</f>
        <v>0</v>
      </c>
      <c r="DC11" s="506">
        <f>IF(YEAR('3 pr-2'!AK11)=2019,CX11,0)</f>
        <v>0</v>
      </c>
      <c r="DD11" s="506">
        <f>IF(YEAR('3 pr-2'!AK11)=2020,CX11,0)</f>
        <v>0</v>
      </c>
      <c r="DE11" s="506">
        <f>IF(YEAR('3 pr-2'!AK11)=2021,CX11,0)</f>
        <v>0</v>
      </c>
      <c r="DF11" s="506">
        <f>IF(YEAR('3 pr-2'!AK11)=2022,CX11,0)</f>
        <v>0</v>
      </c>
      <c r="DG11" s="506">
        <f>IF(YEAR('3 pr-2'!AK11)=2023,CX11,0)</f>
        <v>0</v>
      </c>
      <c r="DH11" s="317"/>
      <c r="DI11" s="472"/>
      <c r="DJ11" s="318"/>
      <c r="DK11" s="130"/>
      <c r="DL11" s="130"/>
      <c r="DM11" s="130"/>
      <c r="DN11" s="130"/>
      <c r="DO11" s="130"/>
      <c r="DP11" s="130"/>
      <c r="DQ11" s="756">
        <f t="shared" ref="DQ11:DQ45" si="37">SUM(DJ11:DP11)</f>
        <v>0</v>
      </c>
      <c r="DR11" s="318"/>
      <c r="DS11" s="303"/>
      <c r="DT11" s="303"/>
      <c r="DU11" s="506">
        <f>IF(YEAR('3 pr-2'!BF11)=2017,DS11,0)</f>
        <v>0</v>
      </c>
      <c r="DV11" s="506">
        <f>IF(YEAR('3 pr-2'!BF11)=2018,DS11,0)</f>
        <v>0</v>
      </c>
      <c r="DW11" s="506">
        <f>IF(YEAR('3 pr-2'!BF11)=2019,DS11,0)</f>
        <v>0</v>
      </c>
      <c r="DX11" s="506">
        <f>IF(YEAR('3 pr-2'!BF11)=2020,DS11,0)</f>
        <v>0</v>
      </c>
      <c r="DY11" s="506">
        <f>IF(YEAR('3 pr-2'!BF11)=2021,DS11,0)</f>
        <v>0</v>
      </c>
      <c r="DZ11" s="506">
        <f>IF(YEAR('3 pr-2'!BF11)=2022,DS11,0)</f>
        <v>0</v>
      </c>
      <c r="EA11" s="506">
        <f>IF(YEAR('3 pr-2'!BF11)=2023,DS11,0)</f>
        <v>0</v>
      </c>
      <c r="EB11" s="317"/>
      <c r="EC11" s="472"/>
      <c r="ED11" s="303"/>
      <c r="EE11" s="303"/>
      <c r="EF11" s="303"/>
      <c r="EG11" s="506">
        <f>IF(YEAR('3 pr-2'!BP11)=2017,ED11,0)</f>
        <v>0</v>
      </c>
      <c r="EH11" s="506">
        <f>IF(YEAR('3 pr-2'!BP11)=2018,ED11,0)</f>
        <v>0</v>
      </c>
      <c r="EI11" s="506">
        <f>IF(YEAR('3 pr-2'!BP11)=2019,ED11,0)</f>
        <v>0</v>
      </c>
      <c r="EJ11" s="506">
        <f>IF(YEAR('3 pr-2'!BP11)=2020,ED11,0)</f>
        <v>0</v>
      </c>
      <c r="EK11" s="506">
        <f>IF(YEAR('3 pr-2'!BP11)=2021,ED11,0)</f>
        <v>0</v>
      </c>
      <c r="EL11" s="506">
        <f>IF(YEAR('3 pr-2'!BP11)=2022,ED11,0)</f>
        <v>0</v>
      </c>
      <c r="EM11" s="506">
        <f>IF(YEAR('3 pr-2'!BP11)=2023,ED11,0)</f>
        <v>0</v>
      </c>
    </row>
    <row r="12" spans="1:143" ht="75" thickTop="1" thickBot="1">
      <c r="A12" s="130" t="str">
        <f>CONCATENATE('3 pr-2'!A12)</f>
        <v>1.1.1.1.3</v>
      </c>
      <c r="B12" s="130" t="str">
        <f>CONCATENATE('3 pr-2'!B12)</f>
        <v>R01-ZM72-120000-1103</v>
      </c>
      <c r="C12" s="1730" t="str">
        <f>CONCATENATE('ketv. 2'!B11)</f>
        <v>20KI-KA-17-1-02622-PR001</v>
      </c>
      <c r="D12" s="78" t="str">
        <f>CONCATENATE('3 pr-2'!D12)</f>
        <v>Druskininkų savivaldybės Leipalingio seniūnijos Klonio seniūnaitijos kelių būklės gerinimas</v>
      </c>
      <c r="E12" s="11" t="str">
        <f>CONCATENATE('3 pr-2'!E12)</f>
        <v xml:space="preserve">Druskininkų savivaldybės administracija  </v>
      </c>
      <c r="F12" s="11" t="str">
        <f>CONCATENATE('3 pr-2'!F12)</f>
        <v>Lietuvos Respublikos žemės ūkio ministerija</v>
      </c>
      <c r="G12" s="11" t="str">
        <f>CONCATENATE('3 pr-2'!G12)</f>
        <v>Druskininkų sav.</v>
      </c>
      <c r="H12" s="11" t="str">
        <f>CONCATENATE('3 pr-2'!H12)</f>
        <v xml:space="preserve">Pagrindinės paslaugos ir kaimų atnaujinimas kaimo vietovėse </v>
      </c>
      <c r="I12" s="130" t="str">
        <f>CONCATENATE('3 pr-2'!I12)</f>
        <v>R</v>
      </c>
      <c r="J12" s="130" t="str">
        <f>CONCATENATE('3 pr-2'!J12)</f>
        <v>-</v>
      </c>
      <c r="K12" s="130" t="str">
        <f>CONCATENATE('3 pr-2'!K12)</f>
        <v>-</v>
      </c>
      <c r="L12" s="130" t="s">
        <v>448</v>
      </c>
      <c r="M12" s="471" t="s">
        <v>449</v>
      </c>
      <c r="N12" s="1699"/>
      <c r="O12" s="1699"/>
      <c r="P12" s="1699"/>
      <c r="Q12" s="1699"/>
      <c r="R12" s="1699"/>
      <c r="S12" s="1699"/>
      <c r="T12" s="1699"/>
      <c r="U12" s="1700"/>
      <c r="V12" s="130">
        <v>2</v>
      </c>
      <c r="W12" s="1757" t="str">
        <f>IF('ketv. 6 '!L11&gt;0,"taip",0)</f>
        <v>taip</v>
      </c>
      <c r="X12" s="1732"/>
      <c r="Y12" s="1732">
        <f>IF(YEAR('3 pr-2'!$AK12)=2017,$V12,0)</f>
        <v>0</v>
      </c>
      <c r="Z12" s="1732">
        <f>IF(YEAR('3 pr-2'!$AK12)=2018,$V12,0)</f>
        <v>2</v>
      </c>
      <c r="AA12" s="1732">
        <f>IF(YEAR('3 pr-2'!$AK12)=2019,$V12,0)</f>
        <v>0</v>
      </c>
      <c r="AB12" s="1732">
        <f>IF(YEAR('3 pr-2'!$AK12)=2020,$V12,0)</f>
        <v>0</v>
      </c>
      <c r="AC12" s="1732">
        <f>IF(YEAR('3 pr-2'!$AK12)=2021,$V12,0)</f>
        <v>0</v>
      </c>
      <c r="AD12" s="1732">
        <f>IF(YEAR('3 pr-2'!$AK12)=2022,$V12,0)</f>
        <v>0</v>
      </c>
      <c r="AE12" s="1732">
        <f>IF(YEAR('3 pr-2'!$AK12)=2023,$V12,0)</f>
        <v>0</v>
      </c>
      <c r="AF12" s="317" t="s">
        <v>450</v>
      </c>
      <c r="AG12" s="471" t="s">
        <v>451</v>
      </c>
      <c r="AH12" s="1699"/>
      <c r="AI12" s="1699"/>
      <c r="AJ12" s="1699"/>
      <c r="AK12" s="1699"/>
      <c r="AL12" s="1699"/>
      <c r="AM12" s="1699"/>
      <c r="AN12" s="1699"/>
      <c r="AO12" s="1718">
        <f t="shared" si="33"/>
        <v>0</v>
      </c>
      <c r="AP12" s="130">
        <v>77</v>
      </c>
      <c r="AQ12" s="1778"/>
      <c r="AR12" s="1732"/>
      <c r="AS12" s="1732">
        <f>IF(YEAR('3 pr-2'!$AK12)=2017,$AP12,0)</f>
        <v>0</v>
      </c>
      <c r="AT12" s="1732">
        <f>IF(YEAR('3 pr-2'!$AK12)=2018,$AP12,0)</f>
        <v>77</v>
      </c>
      <c r="AU12" s="1732">
        <f>IF(YEAR('3 pr-2'!$AK12)=2019,$AP12,0)</f>
        <v>0</v>
      </c>
      <c r="AV12" s="1732">
        <f>IF(YEAR('3 pr-2'!$AK12)=2020,$AP12,0)</f>
        <v>0</v>
      </c>
      <c r="AW12" s="1732">
        <f>IF(YEAR('3 pr-2'!$AK12)=2021,$AP12,0)</f>
        <v>0</v>
      </c>
      <c r="AX12" s="1732">
        <f>IF(YEAR('3 pr-2'!$AK12)=2022,$AP12,0)</f>
        <v>0</v>
      </c>
      <c r="AY12" s="1732">
        <f>IF(YEAR('3 pr-2'!$AK12)=2023,$AP12,0)</f>
        <v>0</v>
      </c>
      <c r="AZ12" s="130" t="s">
        <v>452</v>
      </c>
      <c r="BA12" s="470" t="s">
        <v>453</v>
      </c>
      <c r="BB12" s="1699"/>
      <c r="BC12" s="1699"/>
      <c r="BD12" s="1699"/>
      <c r="BE12" s="1699"/>
      <c r="BF12" s="1699"/>
      <c r="BG12" s="1699"/>
      <c r="BH12" s="1699"/>
      <c r="BI12" s="1718">
        <f t="shared" si="34"/>
        <v>0</v>
      </c>
      <c r="BJ12" s="130">
        <v>1</v>
      </c>
      <c r="BK12" s="1501"/>
      <c r="BL12" s="130"/>
      <c r="BM12" s="130">
        <f>IF(YEAR('3 pr-2'!AK12)=2017,BJ12,0)</f>
        <v>0</v>
      </c>
      <c r="BN12" s="130">
        <f>IF(YEAR('3 pr-2'!AK12)=2018,BJ12,0)</f>
        <v>1</v>
      </c>
      <c r="BO12" s="130">
        <f>IF(YEAR('3 pr-2'!AK12)=2019,BJ12,0)</f>
        <v>0</v>
      </c>
      <c r="BP12" s="130">
        <f>IF(YEAR('3 pr-2'!AK12)=2020,BJ12,0)</f>
        <v>0</v>
      </c>
      <c r="BQ12" s="130">
        <f>IF(YEAR('3 pr-2'!AK12)=2021,BJ12,0)</f>
        <v>0</v>
      </c>
      <c r="BR12" s="130">
        <f>IF(YEAR('3 pr-2'!AK12)=2022,BJ12,0)</f>
        <v>0</v>
      </c>
      <c r="BS12" s="130">
        <f>IF(YEAR('3 pr-2'!AK12)=2023,BJ12,0)</f>
        <v>0</v>
      </c>
      <c r="BT12" s="317"/>
      <c r="BU12" s="471"/>
      <c r="BV12" s="1699"/>
      <c r="BW12" s="1699"/>
      <c r="BX12" s="1699"/>
      <c r="BY12" s="1699"/>
      <c r="BZ12" s="1699"/>
      <c r="CA12" s="1699"/>
      <c r="CB12" s="1699"/>
      <c r="CC12" s="1718">
        <f t="shared" si="35"/>
        <v>0</v>
      </c>
      <c r="CD12" s="130"/>
      <c r="CE12" s="130"/>
      <c r="CF12" s="130"/>
      <c r="CG12" s="130">
        <f>IF(YEAR('3 pr-2'!$AK12)=2017,$CD12,0)</f>
        <v>0</v>
      </c>
      <c r="CH12" s="130">
        <f>IF(YEAR('3 pr-2'!$AK12)=2018,$CD12,0)</f>
        <v>0</v>
      </c>
      <c r="CI12" s="130">
        <f>IF(YEAR('3 pr-2'!$AK12)=2019,$CD12,0)</f>
        <v>0</v>
      </c>
      <c r="CJ12" s="130">
        <f>IF(YEAR('3 pr-2'!$AK12)=2020,$CD12,0)</f>
        <v>0</v>
      </c>
      <c r="CK12" s="130">
        <f>IF(YEAR('3 pr-2'!$AK12)=2021,$CD12,0)</f>
        <v>0</v>
      </c>
      <c r="CL12" s="130">
        <f>IF(YEAR('3 pr-2'!$AK12)=2022,$CD12,0)</f>
        <v>0</v>
      </c>
      <c r="CM12" s="130">
        <f>IF(YEAR('3 pr-2'!$AK12)=2023,$CD12,0)</f>
        <v>0</v>
      </c>
      <c r="CN12" s="317"/>
      <c r="CO12" s="472"/>
      <c r="CP12" s="1704"/>
      <c r="CQ12" s="1699"/>
      <c r="CR12" s="1699"/>
      <c r="CS12" s="1699"/>
      <c r="CT12" s="1699"/>
      <c r="CU12" s="1699"/>
      <c r="CV12" s="1699"/>
      <c r="CW12" s="1718">
        <f t="shared" si="36"/>
        <v>0</v>
      </c>
      <c r="CX12" s="318"/>
      <c r="CY12" s="303"/>
      <c r="CZ12" s="303"/>
      <c r="DA12" s="506">
        <f>IF(YEAR('3 pr-2'!AK12)=2017,CX12,0)</f>
        <v>0</v>
      </c>
      <c r="DB12" s="506">
        <f>IF(YEAR('3 pr-2'!AK12)=2018,CX12,0)</f>
        <v>0</v>
      </c>
      <c r="DC12" s="506">
        <f>IF(YEAR('3 pr-2'!AK12)=2019,CX12,0)</f>
        <v>0</v>
      </c>
      <c r="DD12" s="506">
        <f>IF(YEAR('3 pr-2'!AK12)=2020,CX12,0)</f>
        <v>0</v>
      </c>
      <c r="DE12" s="506">
        <f>IF(YEAR('3 pr-2'!AK12)=2021,CX12,0)</f>
        <v>0</v>
      </c>
      <c r="DF12" s="506">
        <f>IF(YEAR('3 pr-2'!AK12)=2022,CX12,0)</f>
        <v>0</v>
      </c>
      <c r="DG12" s="506">
        <f>IF(YEAR('3 pr-2'!AK12)=2023,CX12,0)</f>
        <v>0</v>
      </c>
      <c r="DH12" s="317"/>
      <c r="DI12" s="472"/>
      <c r="DJ12" s="318"/>
      <c r="DK12" s="130"/>
      <c r="DL12" s="130"/>
      <c r="DM12" s="130"/>
      <c r="DN12" s="130"/>
      <c r="DO12" s="130"/>
      <c r="DP12" s="130"/>
      <c r="DQ12" s="756">
        <f t="shared" si="37"/>
        <v>0</v>
      </c>
      <c r="DR12" s="318"/>
      <c r="DS12" s="303"/>
      <c r="DT12" s="303"/>
      <c r="DU12" s="506">
        <f>IF(YEAR('3 pr-2'!BF12)=2017,DS12,0)</f>
        <v>0</v>
      </c>
      <c r="DV12" s="506">
        <f>IF(YEAR('3 pr-2'!BF12)=2018,DS12,0)</f>
        <v>0</v>
      </c>
      <c r="DW12" s="506">
        <f>IF(YEAR('3 pr-2'!BF12)=2019,DS12,0)</f>
        <v>0</v>
      </c>
      <c r="DX12" s="506">
        <f>IF(YEAR('3 pr-2'!BF12)=2020,DS12,0)</f>
        <v>0</v>
      </c>
      <c r="DY12" s="506">
        <f>IF(YEAR('3 pr-2'!BF12)=2021,DS12,0)</f>
        <v>0</v>
      </c>
      <c r="DZ12" s="506">
        <f>IF(YEAR('3 pr-2'!BF12)=2022,DS12,0)</f>
        <v>0</v>
      </c>
      <c r="EA12" s="506">
        <f>IF(YEAR('3 pr-2'!BF12)=2023,DS12,0)</f>
        <v>0</v>
      </c>
      <c r="EB12" s="317"/>
      <c r="EC12" s="472"/>
      <c r="ED12" s="303"/>
      <c r="EE12" s="303"/>
      <c r="EF12" s="303"/>
      <c r="EG12" s="506">
        <f>IF(YEAR('3 pr-2'!BP12)=2017,ED12,0)</f>
        <v>0</v>
      </c>
      <c r="EH12" s="506">
        <f>IF(YEAR('3 pr-2'!BP12)=2018,ED12,0)</f>
        <v>0</v>
      </c>
      <c r="EI12" s="506">
        <f>IF(YEAR('3 pr-2'!BP12)=2019,ED12,0)</f>
        <v>0</v>
      </c>
      <c r="EJ12" s="506">
        <f>IF(YEAR('3 pr-2'!BP12)=2020,ED12,0)</f>
        <v>0</v>
      </c>
      <c r="EK12" s="506">
        <f>IF(YEAR('3 pr-2'!BP12)=2021,ED12,0)</f>
        <v>0</v>
      </c>
      <c r="EL12" s="506">
        <f>IF(YEAR('3 pr-2'!BP12)=2022,ED12,0)</f>
        <v>0</v>
      </c>
      <c r="EM12" s="506">
        <f>IF(YEAR('3 pr-2'!BP12)=2023,ED12,0)</f>
        <v>0</v>
      </c>
    </row>
    <row r="13" spans="1:143" ht="75" thickTop="1" thickBot="1">
      <c r="A13" s="130" t="str">
        <f>CONCATENATE('3 pr-2'!A13)</f>
        <v>1.1.1.1.4</v>
      </c>
      <c r="B13" s="130" t="str">
        <f>CONCATENATE('3 pr-2'!B13)</f>
        <v>R01-ZM72-330200-1104</v>
      </c>
      <c r="C13" s="1730" t="str">
        <f>CONCATENATE('ketv. 2'!B12)</f>
        <v>20KI-KA-17-1-02368-PR001</v>
      </c>
      <c r="D13" s="78" t="str">
        <f>CONCATENATE('3 pr-2'!D13)</f>
        <v>Rudaminos laisvalaikio salės pritaikymas bendruomenės poreikiams ir liaudies amatų plėtrai</v>
      </c>
      <c r="E13" s="11" t="str">
        <f>CONCATENATE('3 pr-2'!E13)</f>
        <v>Viešoji įstaiga Lazdijų kultūros centras</v>
      </c>
      <c r="F13" s="11" t="str">
        <f>CONCATENATE('3 pr-2'!F13)</f>
        <v>Lietuvos Respublikos žemės ūkio ministerija</v>
      </c>
      <c r="G13" s="11" t="str">
        <f>CONCATENATE('3 pr-2'!G13)</f>
        <v>Lazdijų r. sav.</v>
      </c>
      <c r="H13" s="11" t="str">
        <f>CONCATENATE('3 pr-2'!H13)</f>
        <v xml:space="preserve">Pagrindinės paslaugos ir kaimų atnaujinimas kaimo vietovėse </v>
      </c>
      <c r="I13" s="130" t="str">
        <f>CONCATENATE('3 pr-2'!I13)</f>
        <v>R</v>
      </c>
      <c r="J13" s="130" t="str">
        <f>CONCATENATE('3 pr-2'!J13)</f>
        <v>-</v>
      </c>
      <c r="K13" s="130" t="str">
        <f>CONCATENATE('3 pr-2'!K13)</f>
        <v>-</v>
      </c>
      <c r="L13" s="130" t="s">
        <v>448</v>
      </c>
      <c r="M13" s="471" t="s">
        <v>449</v>
      </c>
      <c r="N13" s="1699"/>
      <c r="O13" s="1699"/>
      <c r="P13" s="1699"/>
      <c r="Q13" s="1699"/>
      <c r="R13" s="1699"/>
      <c r="S13" s="1699"/>
      <c r="T13" s="1699"/>
      <c r="U13" s="1700"/>
      <c r="V13" s="130">
        <v>1</v>
      </c>
      <c r="W13" s="1757" t="str">
        <f>IF('ketv. 6 '!L12&gt;0,"taip",0)</f>
        <v>taip</v>
      </c>
      <c r="X13" s="1732"/>
      <c r="Y13" s="1732">
        <f>IF(YEAR('3 pr-2'!$AK13)=2017,$V13,0)</f>
        <v>0</v>
      </c>
      <c r="Z13" s="1732">
        <f>IF(YEAR('3 pr-2'!$AK13)=2018,$V13,0)</f>
        <v>1</v>
      </c>
      <c r="AA13" s="1732">
        <f>IF(YEAR('3 pr-2'!$AK13)=2019,$V13,0)</f>
        <v>0</v>
      </c>
      <c r="AB13" s="1732">
        <f>IF(YEAR('3 pr-2'!$AK13)=2020,$V13,0)</f>
        <v>0</v>
      </c>
      <c r="AC13" s="1732">
        <f>IF(YEAR('3 pr-2'!$AK13)=2021,$V13,0)</f>
        <v>0</v>
      </c>
      <c r="AD13" s="1732">
        <f>IF(YEAR('3 pr-2'!$AK13)=2022,$V13,0)</f>
        <v>0</v>
      </c>
      <c r="AE13" s="1732">
        <f>IF(YEAR('3 pr-2'!$AK13)=2023,$V13,0)</f>
        <v>0</v>
      </c>
      <c r="AF13" s="317" t="s">
        <v>450</v>
      </c>
      <c r="AG13" s="471" t="s">
        <v>451</v>
      </c>
      <c r="AH13" s="1699"/>
      <c r="AI13" s="1699"/>
      <c r="AJ13" s="1699"/>
      <c r="AK13" s="1699"/>
      <c r="AL13" s="1699"/>
      <c r="AM13" s="1699"/>
      <c r="AN13" s="1699"/>
      <c r="AO13" s="1718">
        <f t="shared" si="33"/>
        <v>0</v>
      </c>
      <c r="AP13" s="130">
        <v>256</v>
      </c>
      <c r="AQ13" s="1778"/>
      <c r="AR13" s="1732"/>
      <c r="AS13" s="1732">
        <f>IF(YEAR('3 pr-2'!$AK13)=2017,$AP13,0)</f>
        <v>0</v>
      </c>
      <c r="AT13" s="1732">
        <f>IF(YEAR('3 pr-2'!$AK13)=2018,$AP13,0)</f>
        <v>256</v>
      </c>
      <c r="AU13" s="1732">
        <f>IF(YEAR('3 pr-2'!$AK13)=2019,$AP13,0)</f>
        <v>0</v>
      </c>
      <c r="AV13" s="1732">
        <f>IF(YEAR('3 pr-2'!$AK13)=2020,$AP13,0)</f>
        <v>0</v>
      </c>
      <c r="AW13" s="1732">
        <f>IF(YEAR('3 pr-2'!$AK13)=2021,$AP13,0)</f>
        <v>0</v>
      </c>
      <c r="AX13" s="1732">
        <f>IF(YEAR('3 pr-2'!$AK13)=2022,$AP13,0)</f>
        <v>0</v>
      </c>
      <c r="AY13" s="1732">
        <f>IF(YEAR('3 pr-2'!$AK13)=2023,$AP13,0)</f>
        <v>0</v>
      </c>
      <c r="AZ13" s="130" t="s">
        <v>452</v>
      </c>
      <c r="BA13" s="470" t="s">
        <v>453</v>
      </c>
      <c r="BB13" s="1699"/>
      <c r="BC13" s="1699"/>
      <c r="BD13" s="1699"/>
      <c r="BE13" s="1699"/>
      <c r="BF13" s="1699"/>
      <c r="BG13" s="1699"/>
      <c r="BH13" s="1699"/>
      <c r="BI13" s="1718">
        <f t="shared" si="34"/>
        <v>0</v>
      </c>
      <c r="BJ13" s="130">
        <v>1</v>
      </c>
      <c r="BK13" s="1501"/>
      <c r="BL13" s="130"/>
      <c r="BM13" s="130">
        <f>IF(YEAR('3 pr-2'!AK13)=2017,BJ13,0)</f>
        <v>0</v>
      </c>
      <c r="BN13" s="130">
        <f>IF(YEAR('3 pr-2'!AK13)=2018,BJ13,0)</f>
        <v>1</v>
      </c>
      <c r="BO13" s="130">
        <f>IF(YEAR('3 pr-2'!AK13)=2019,BJ13,0)</f>
        <v>0</v>
      </c>
      <c r="BP13" s="130">
        <f>IF(YEAR('3 pr-2'!AK13)=2020,BJ13,0)</f>
        <v>0</v>
      </c>
      <c r="BQ13" s="130">
        <f>IF(YEAR('3 pr-2'!AK13)=2021,BJ13,0)</f>
        <v>0</v>
      </c>
      <c r="BR13" s="130">
        <f>IF(YEAR('3 pr-2'!AK13)=2022,BJ13,0)</f>
        <v>0</v>
      </c>
      <c r="BS13" s="130">
        <f>IF(YEAR('3 pr-2'!AK13)=2023,BJ13,0)</f>
        <v>0</v>
      </c>
      <c r="BT13" s="317"/>
      <c r="BU13" s="471"/>
      <c r="BV13" s="1699"/>
      <c r="BW13" s="1699"/>
      <c r="BX13" s="1699"/>
      <c r="BY13" s="1699"/>
      <c r="BZ13" s="1699"/>
      <c r="CA13" s="1699"/>
      <c r="CB13" s="1699"/>
      <c r="CC13" s="1718">
        <f t="shared" si="35"/>
        <v>0</v>
      </c>
      <c r="CD13" s="130"/>
      <c r="CE13" s="130"/>
      <c r="CF13" s="130"/>
      <c r="CG13" s="130">
        <f>IF(YEAR('3 pr-2'!$AK13)=2017,$CD13,0)</f>
        <v>0</v>
      </c>
      <c r="CH13" s="130">
        <f>IF(YEAR('3 pr-2'!$AK13)=2018,$CD13,0)</f>
        <v>0</v>
      </c>
      <c r="CI13" s="130">
        <f>IF(YEAR('3 pr-2'!$AK13)=2019,$CD13,0)</f>
        <v>0</v>
      </c>
      <c r="CJ13" s="130">
        <f>IF(YEAR('3 pr-2'!$AK13)=2020,$CD13,0)</f>
        <v>0</v>
      </c>
      <c r="CK13" s="130">
        <f>IF(YEAR('3 pr-2'!$AK13)=2021,$CD13,0)</f>
        <v>0</v>
      </c>
      <c r="CL13" s="130">
        <f>IF(YEAR('3 pr-2'!$AK13)=2022,$CD13,0)</f>
        <v>0</v>
      </c>
      <c r="CM13" s="130">
        <f>IF(YEAR('3 pr-2'!$AK13)=2023,$CD13,0)</f>
        <v>0</v>
      </c>
      <c r="CN13" s="317"/>
      <c r="CO13" s="472"/>
      <c r="CP13" s="1704"/>
      <c r="CQ13" s="1699"/>
      <c r="CR13" s="1699"/>
      <c r="CS13" s="1699"/>
      <c r="CT13" s="1699"/>
      <c r="CU13" s="1699"/>
      <c r="CV13" s="1699"/>
      <c r="CW13" s="1718">
        <f t="shared" si="36"/>
        <v>0</v>
      </c>
      <c r="CX13" s="318"/>
      <c r="CY13" s="303"/>
      <c r="CZ13" s="303"/>
      <c r="DA13" s="506">
        <f>IF(YEAR('3 pr-2'!AK13)=2017,CX13,0)</f>
        <v>0</v>
      </c>
      <c r="DB13" s="506">
        <f>IF(YEAR('3 pr-2'!AK13)=2018,CX13,0)</f>
        <v>0</v>
      </c>
      <c r="DC13" s="506">
        <f>IF(YEAR('3 pr-2'!AK13)=2019,CX13,0)</f>
        <v>0</v>
      </c>
      <c r="DD13" s="506">
        <f>IF(YEAR('3 pr-2'!AK13)=2020,CX13,0)</f>
        <v>0</v>
      </c>
      <c r="DE13" s="506">
        <f>IF(YEAR('3 pr-2'!AK13)=2021,CX13,0)</f>
        <v>0</v>
      </c>
      <c r="DF13" s="506">
        <f>IF(YEAR('3 pr-2'!AK13)=2022,CX13,0)</f>
        <v>0</v>
      </c>
      <c r="DG13" s="506">
        <f>IF(YEAR('3 pr-2'!AK13)=2023,CX13,0)</f>
        <v>0</v>
      </c>
      <c r="DH13" s="317"/>
      <c r="DI13" s="472"/>
      <c r="DJ13" s="318"/>
      <c r="DK13" s="130"/>
      <c r="DL13" s="130"/>
      <c r="DM13" s="130"/>
      <c r="DN13" s="130"/>
      <c r="DO13" s="130"/>
      <c r="DP13" s="130"/>
      <c r="DQ13" s="756">
        <f t="shared" si="37"/>
        <v>0</v>
      </c>
      <c r="DR13" s="318"/>
      <c r="DS13" s="303"/>
      <c r="DT13" s="303"/>
      <c r="DU13" s="506">
        <f>IF(YEAR('3 pr-2'!BF13)=2017,DS13,0)</f>
        <v>0</v>
      </c>
      <c r="DV13" s="506">
        <f>IF(YEAR('3 pr-2'!BF13)=2018,DS13,0)</f>
        <v>0</v>
      </c>
      <c r="DW13" s="506">
        <f>IF(YEAR('3 pr-2'!BF13)=2019,DS13,0)</f>
        <v>0</v>
      </c>
      <c r="DX13" s="506">
        <f>IF(YEAR('3 pr-2'!BF13)=2020,DS13,0)</f>
        <v>0</v>
      </c>
      <c r="DY13" s="506">
        <f>IF(YEAR('3 pr-2'!BF13)=2021,DS13,0)</f>
        <v>0</v>
      </c>
      <c r="DZ13" s="506">
        <f>IF(YEAR('3 pr-2'!BF13)=2022,DS13,0)</f>
        <v>0</v>
      </c>
      <c r="EA13" s="506">
        <f>IF(YEAR('3 pr-2'!BF13)=2023,DS13,0)</f>
        <v>0</v>
      </c>
      <c r="EB13" s="317"/>
      <c r="EC13" s="472"/>
      <c r="ED13" s="303"/>
      <c r="EE13" s="303"/>
      <c r="EF13" s="303"/>
      <c r="EG13" s="506">
        <f>IF(YEAR('3 pr-2'!BP13)=2017,ED13,0)</f>
        <v>0</v>
      </c>
      <c r="EH13" s="506">
        <f>IF(YEAR('3 pr-2'!BP13)=2018,ED13,0)</f>
        <v>0</v>
      </c>
      <c r="EI13" s="506">
        <f>IF(YEAR('3 pr-2'!BP13)=2019,ED13,0)</f>
        <v>0</v>
      </c>
      <c r="EJ13" s="506">
        <f>IF(YEAR('3 pr-2'!BP13)=2020,ED13,0)</f>
        <v>0</v>
      </c>
      <c r="EK13" s="506">
        <f>IF(YEAR('3 pr-2'!BP13)=2021,ED13,0)</f>
        <v>0</v>
      </c>
      <c r="EL13" s="506">
        <f>IF(YEAR('3 pr-2'!BP13)=2022,ED13,0)</f>
        <v>0</v>
      </c>
      <c r="EM13" s="506">
        <f>IF(YEAR('3 pr-2'!BP13)=2023,ED13,0)</f>
        <v>0</v>
      </c>
    </row>
    <row r="14" spans="1:143" ht="75" thickTop="1" thickBot="1">
      <c r="A14" s="130" t="str">
        <f>CONCATENATE('3 pr-2'!A14)</f>
        <v>1.1.1.1.5</v>
      </c>
      <c r="B14" s="130" t="str">
        <f>CONCATENATE('3 pr-2'!B14)</f>
        <v>R01-ZM72-120000-1105</v>
      </c>
      <c r="C14" s="1730" t="str">
        <f>CONCATENATE('ketv. 2'!B13)</f>
        <v>20KI-KA-17-1-02619-PR001</v>
      </c>
      <c r="D14" s="78" t="str">
        <f>CONCATENATE('3 pr-2'!D14)</f>
        <v>Druskininkų savivaldybės Leipalingio seniūnijos Bilso seniūnaitijos kelių būklės gerinimas</v>
      </c>
      <c r="E14" s="11" t="str">
        <f>CONCATENATE('3 pr-2'!E14)</f>
        <v xml:space="preserve">Druskininkų savivaldybės administracija  </v>
      </c>
      <c r="F14" s="11" t="str">
        <f>CONCATENATE('3 pr-2'!F14)</f>
        <v>Lietuvos Respublikos žemės ūkio ministerija</v>
      </c>
      <c r="G14" s="11" t="str">
        <f>CONCATENATE('3 pr-2'!G14)</f>
        <v>Druskininkų sav.</v>
      </c>
      <c r="H14" s="11" t="str">
        <f>CONCATENATE('3 pr-2'!H14)</f>
        <v xml:space="preserve">Pagrindinės paslaugos ir kaimų atnaujinimas kaimo vietovėse </v>
      </c>
      <c r="I14" s="130" t="str">
        <f>CONCATENATE('3 pr-2'!I14)</f>
        <v>R</v>
      </c>
      <c r="J14" s="130" t="str">
        <f>CONCATENATE('3 pr-2'!J14)</f>
        <v>-</v>
      </c>
      <c r="K14" s="130" t="str">
        <f>CONCATENATE('3 pr-2'!K14)</f>
        <v>-</v>
      </c>
      <c r="L14" s="130" t="s">
        <v>448</v>
      </c>
      <c r="M14" s="471" t="s">
        <v>449</v>
      </c>
      <c r="N14" s="1699"/>
      <c r="O14" s="1699"/>
      <c r="P14" s="1699"/>
      <c r="Q14" s="1699"/>
      <c r="R14" s="1699"/>
      <c r="S14" s="1699"/>
      <c r="T14" s="1699"/>
      <c r="U14" s="1700"/>
      <c r="V14" s="130">
        <v>1</v>
      </c>
      <c r="W14" s="1757" t="str">
        <f>IF('ketv. 6 '!L13&gt;0,"taip",0)</f>
        <v>taip</v>
      </c>
      <c r="X14" s="1732"/>
      <c r="Y14" s="1732">
        <f>IF(YEAR('3 pr-2'!$AK14)=2017,$V14,0)</f>
        <v>0</v>
      </c>
      <c r="Z14" s="1732">
        <f>IF(YEAR('3 pr-2'!$AK14)=2018,$V14,0)</f>
        <v>1</v>
      </c>
      <c r="AA14" s="1732">
        <f>IF(YEAR('3 pr-2'!$AK14)=2019,$V14,0)</f>
        <v>0</v>
      </c>
      <c r="AB14" s="1732">
        <f>IF(YEAR('3 pr-2'!$AK14)=2020,$V14,0)</f>
        <v>0</v>
      </c>
      <c r="AC14" s="1732">
        <f>IF(YEAR('3 pr-2'!$AK14)=2021,$V14,0)</f>
        <v>0</v>
      </c>
      <c r="AD14" s="1732">
        <f>IF(YEAR('3 pr-2'!$AK14)=2022,$V14,0)</f>
        <v>0</v>
      </c>
      <c r="AE14" s="1732">
        <f>IF(YEAR('3 pr-2'!$AK14)=2023,$V14,0)</f>
        <v>0</v>
      </c>
      <c r="AF14" s="317" t="s">
        <v>450</v>
      </c>
      <c r="AG14" s="471" t="s">
        <v>451</v>
      </c>
      <c r="AH14" s="1699"/>
      <c r="AI14" s="1699"/>
      <c r="AJ14" s="1699"/>
      <c r="AK14" s="1699"/>
      <c r="AL14" s="1699"/>
      <c r="AM14" s="1699"/>
      <c r="AN14" s="1699"/>
      <c r="AO14" s="1718">
        <f t="shared" si="33"/>
        <v>0</v>
      </c>
      <c r="AP14" s="130">
        <v>52</v>
      </c>
      <c r="AQ14" s="1778"/>
      <c r="AR14" s="1732"/>
      <c r="AS14" s="1732">
        <f>IF(YEAR('3 pr-2'!$AK14)=2017,$AP14,0)</f>
        <v>0</v>
      </c>
      <c r="AT14" s="1732">
        <f>IF(YEAR('3 pr-2'!$AK14)=2018,$AP14,0)</f>
        <v>52</v>
      </c>
      <c r="AU14" s="1732">
        <f>IF(YEAR('3 pr-2'!$AK14)=2019,$AP14,0)</f>
        <v>0</v>
      </c>
      <c r="AV14" s="1732">
        <f>IF(YEAR('3 pr-2'!$AK14)=2020,$AP14,0)</f>
        <v>0</v>
      </c>
      <c r="AW14" s="1732">
        <f>IF(YEAR('3 pr-2'!$AK14)=2021,$AP14,0)</f>
        <v>0</v>
      </c>
      <c r="AX14" s="1732">
        <f>IF(YEAR('3 pr-2'!$AK14)=2022,$AP14,0)</f>
        <v>0</v>
      </c>
      <c r="AY14" s="1732">
        <f>IF(YEAR('3 pr-2'!$AK14)=2023,$AP14,0)</f>
        <v>0</v>
      </c>
      <c r="AZ14" s="130" t="s">
        <v>452</v>
      </c>
      <c r="BA14" s="470" t="s">
        <v>453</v>
      </c>
      <c r="BB14" s="1699"/>
      <c r="BC14" s="1699"/>
      <c r="BD14" s="1699"/>
      <c r="BE14" s="1699"/>
      <c r="BF14" s="1699"/>
      <c r="BG14" s="1699"/>
      <c r="BH14" s="1699"/>
      <c r="BI14" s="1718">
        <f t="shared" si="34"/>
        <v>0</v>
      </c>
      <c r="BJ14" s="130">
        <v>1</v>
      </c>
      <c r="BK14" s="1501"/>
      <c r="BL14" s="130"/>
      <c r="BM14" s="130">
        <f>IF(YEAR('3 pr-2'!AK14)=2017,BJ14,0)</f>
        <v>0</v>
      </c>
      <c r="BN14" s="130">
        <f>IF(YEAR('3 pr-2'!AK14)=2018,BJ14,0)</f>
        <v>1</v>
      </c>
      <c r="BO14" s="130">
        <f>IF(YEAR('3 pr-2'!AK14)=2019,BJ14,0)</f>
        <v>0</v>
      </c>
      <c r="BP14" s="130">
        <f>IF(YEAR('3 pr-2'!AK14)=2020,BJ14,0)</f>
        <v>0</v>
      </c>
      <c r="BQ14" s="130">
        <f>IF(YEAR('3 pr-2'!AK14)=2021,BJ14,0)</f>
        <v>0</v>
      </c>
      <c r="BR14" s="130">
        <f>IF(YEAR('3 pr-2'!AK14)=2022,BJ14,0)</f>
        <v>0</v>
      </c>
      <c r="BS14" s="130">
        <f>IF(YEAR('3 pr-2'!AK14)=2023,BJ14,0)</f>
        <v>0</v>
      </c>
      <c r="BT14" s="317"/>
      <c r="BU14" s="471"/>
      <c r="BV14" s="1699"/>
      <c r="BW14" s="1699"/>
      <c r="BX14" s="1699"/>
      <c r="BY14" s="1699"/>
      <c r="BZ14" s="1699"/>
      <c r="CA14" s="1699"/>
      <c r="CB14" s="1699"/>
      <c r="CC14" s="1718">
        <f t="shared" si="35"/>
        <v>0</v>
      </c>
      <c r="CD14" s="130"/>
      <c r="CE14" s="130"/>
      <c r="CF14" s="130"/>
      <c r="CG14" s="130">
        <f>IF(YEAR('3 pr-2'!$AK14)=2017,$CD14,0)</f>
        <v>0</v>
      </c>
      <c r="CH14" s="130">
        <f>IF(YEAR('3 pr-2'!$AK14)=2018,$CD14,0)</f>
        <v>0</v>
      </c>
      <c r="CI14" s="130">
        <f>IF(YEAR('3 pr-2'!$AK14)=2019,$CD14,0)</f>
        <v>0</v>
      </c>
      <c r="CJ14" s="130">
        <f>IF(YEAR('3 pr-2'!$AK14)=2020,$CD14,0)</f>
        <v>0</v>
      </c>
      <c r="CK14" s="130">
        <f>IF(YEAR('3 pr-2'!$AK14)=2021,$CD14,0)</f>
        <v>0</v>
      </c>
      <c r="CL14" s="130">
        <f>IF(YEAR('3 pr-2'!$AK14)=2022,$CD14,0)</f>
        <v>0</v>
      </c>
      <c r="CM14" s="130">
        <f>IF(YEAR('3 pr-2'!$AK14)=2023,$CD14,0)</f>
        <v>0</v>
      </c>
      <c r="CN14" s="317"/>
      <c r="CO14" s="472"/>
      <c r="CP14" s="1704"/>
      <c r="CQ14" s="1699"/>
      <c r="CR14" s="1699"/>
      <c r="CS14" s="1699"/>
      <c r="CT14" s="1699"/>
      <c r="CU14" s="1699"/>
      <c r="CV14" s="1699"/>
      <c r="CW14" s="1718">
        <f t="shared" si="36"/>
        <v>0</v>
      </c>
      <c r="CX14" s="318"/>
      <c r="CY14" s="303"/>
      <c r="CZ14" s="303"/>
      <c r="DA14" s="506">
        <f>IF(YEAR('3 pr-2'!AK14)=2017,CX14,0)</f>
        <v>0</v>
      </c>
      <c r="DB14" s="506">
        <f>IF(YEAR('3 pr-2'!AK14)=2018,CX14,0)</f>
        <v>0</v>
      </c>
      <c r="DC14" s="506">
        <f>IF(YEAR('3 pr-2'!AK14)=2019,CX14,0)</f>
        <v>0</v>
      </c>
      <c r="DD14" s="506">
        <f>IF(YEAR('3 pr-2'!AK14)=2020,CX14,0)</f>
        <v>0</v>
      </c>
      <c r="DE14" s="506">
        <f>IF(YEAR('3 pr-2'!AK14)=2021,CX14,0)</f>
        <v>0</v>
      </c>
      <c r="DF14" s="506">
        <f>IF(YEAR('3 pr-2'!AK14)=2022,CX14,0)</f>
        <v>0</v>
      </c>
      <c r="DG14" s="506">
        <f>IF(YEAR('3 pr-2'!AK14)=2023,CX14,0)</f>
        <v>0</v>
      </c>
      <c r="DH14" s="317"/>
      <c r="DI14" s="472"/>
      <c r="DJ14" s="318"/>
      <c r="DK14" s="130"/>
      <c r="DL14" s="130"/>
      <c r="DM14" s="130"/>
      <c r="DN14" s="130"/>
      <c r="DO14" s="130"/>
      <c r="DP14" s="130"/>
      <c r="DQ14" s="756">
        <f t="shared" si="37"/>
        <v>0</v>
      </c>
      <c r="DR14" s="318"/>
      <c r="DS14" s="303"/>
      <c r="DT14" s="303"/>
      <c r="DU14" s="506">
        <f>IF(YEAR('3 pr-2'!BF14)=2017,DS14,0)</f>
        <v>0</v>
      </c>
      <c r="DV14" s="506">
        <f>IF(YEAR('3 pr-2'!BF14)=2018,DS14,0)</f>
        <v>0</v>
      </c>
      <c r="DW14" s="506">
        <f>IF(YEAR('3 pr-2'!BF14)=2019,DS14,0)</f>
        <v>0</v>
      </c>
      <c r="DX14" s="506">
        <f>IF(YEAR('3 pr-2'!BF14)=2020,DS14,0)</f>
        <v>0</v>
      </c>
      <c r="DY14" s="506">
        <f>IF(YEAR('3 pr-2'!BF14)=2021,DS14,0)</f>
        <v>0</v>
      </c>
      <c r="DZ14" s="506">
        <f>IF(YEAR('3 pr-2'!BF14)=2022,DS14,0)</f>
        <v>0</v>
      </c>
      <c r="EA14" s="506">
        <f>IF(YEAR('3 pr-2'!BF14)=2023,DS14,0)</f>
        <v>0</v>
      </c>
      <c r="EB14" s="317"/>
      <c r="EC14" s="472"/>
      <c r="ED14" s="303"/>
      <c r="EE14" s="303"/>
      <c r="EF14" s="303"/>
      <c r="EG14" s="506">
        <f>IF(YEAR('3 pr-2'!BP14)=2017,ED14,0)</f>
        <v>0</v>
      </c>
      <c r="EH14" s="506">
        <f>IF(YEAR('3 pr-2'!BP14)=2018,ED14,0)</f>
        <v>0</v>
      </c>
      <c r="EI14" s="506">
        <f>IF(YEAR('3 pr-2'!BP14)=2019,ED14,0)</f>
        <v>0</v>
      </c>
      <c r="EJ14" s="506">
        <f>IF(YEAR('3 pr-2'!BP14)=2020,ED14,0)</f>
        <v>0</v>
      </c>
      <c r="EK14" s="506">
        <f>IF(YEAR('3 pr-2'!BP14)=2021,ED14,0)</f>
        <v>0</v>
      </c>
      <c r="EL14" s="506">
        <f>IF(YEAR('3 pr-2'!BP14)=2022,ED14,0)</f>
        <v>0</v>
      </c>
      <c r="EM14" s="506">
        <f>IF(YEAR('3 pr-2'!BP14)=2023,ED14,0)</f>
        <v>0</v>
      </c>
    </row>
    <row r="15" spans="1:143" ht="75" thickTop="1" thickBot="1">
      <c r="A15" s="130" t="str">
        <f>CONCATENATE('3 pr-2'!A15)</f>
        <v>1.1.1.1.6</v>
      </c>
      <c r="B15" s="130" t="str">
        <f>CONCATENATE('3 pr-2'!B15)</f>
        <v>R01-ZM72-330200-1106</v>
      </c>
      <c r="C15" s="1730" t="str">
        <f>CONCATENATE('ketv. 2'!B14)</f>
        <v>20KI-KA-17-1-02374-PR001</v>
      </c>
      <c r="D15" s="78" t="str">
        <f>CONCATENATE('3 pr-2'!D15)</f>
        <v>Lazdijų rajono kaimų patrauklumo didinimas atnaujinant bibliotekas</v>
      </c>
      <c r="E15" s="11" t="str">
        <f>CONCATENATE('3 pr-2'!E15)</f>
        <v xml:space="preserve">Biudžetinė įstaiga Lazdijų rajono savivaldybės viešoji biblioteka </v>
      </c>
      <c r="F15" s="11" t="str">
        <f>CONCATENATE('3 pr-2'!F15)</f>
        <v>Lietuvos Respublikos žemės ūkio ministerija</v>
      </c>
      <c r="G15" s="11" t="str">
        <f>CONCATENATE('3 pr-2'!G15)</f>
        <v>Lazdijų r. sav.</v>
      </c>
      <c r="H15" s="11" t="str">
        <f>CONCATENATE('3 pr-2'!H15)</f>
        <v xml:space="preserve">Pagrindinės paslaugos ir kaimų atnaujinimas kaimo vietovėse </v>
      </c>
      <c r="I15" s="130" t="str">
        <f>CONCATENATE('3 pr-2'!I15)</f>
        <v>R</v>
      </c>
      <c r="J15" s="130" t="str">
        <f>CONCATENATE('3 pr-2'!J15)</f>
        <v>-</v>
      </c>
      <c r="K15" s="130" t="str">
        <f>CONCATENATE('3 pr-2'!K15)</f>
        <v>-</v>
      </c>
      <c r="L15" s="130" t="s">
        <v>448</v>
      </c>
      <c r="M15" s="471" t="s">
        <v>449</v>
      </c>
      <c r="N15" s="1699"/>
      <c r="O15" s="1699"/>
      <c r="P15" s="1699"/>
      <c r="Q15" s="1699"/>
      <c r="R15" s="1699"/>
      <c r="S15" s="1699"/>
      <c r="T15" s="1699"/>
      <c r="U15" s="1700"/>
      <c r="V15" s="130">
        <v>3</v>
      </c>
      <c r="W15" s="1757" t="str">
        <f>IF('ketv. 6 '!L14&gt;0,"taip",0)</f>
        <v>taip</v>
      </c>
      <c r="X15" s="1732"/>
      <c r="Y15" s="1732">
        <f>IF(YEAR('3 pr-2'!$AK15)=2017,$V15,0)</f>
        <v>0</v>
      </c>
      <c r="Z15" s="1732">
        <f>IF(YEAR('3 pr-2'!$AK15)=2018,$V15,0)</f>
        <v>3</v>
      </c>
      <c r="AA15" s="1732">
        <f>IF(YEAR('3 pr-2'!$AK15)=2019,$V15,0)</f>
        <v>0</v>
      </c>
      <c r="AB15" s="1732">
        <f>IF(YEAR('3 pr-2'!$AK15)=2020,$V15,0)</f>
        <v>0</v>
      </c>
      <c r="AC15" s="1732">
        <f>IF(YEAR('3 pr-2'!$AK15)=2021,$V15,0)</f>
        <v>0</v>
      </c>
      <c r="AD15" s="1732">
        <f>IF(YEAR('3 pr-2'!$AK15)=2022,$V15,0)</f>
        <v>0</v>
      </c>
      <c r="AE15" s="1732">
        <f>IF(YEAR('3 pr-2'!$AK15)=2023,$V15,0)</f>
        <v>0</v>
      </c>
      <c r="AF15" s="317" t="s">
        <v>450</v>
      </c>
      <c r="AG15" s="471" t="s">
        <v>451</v>
      </c>
      <c r="AH15" s="1699"/>
      <c r="AI15" s="1699"/>
      <c r="AJ15" s="1699"/>
      <c r="AK15" s="1699"/>
      <c r="AL15" s="1699"/>
      <c r="AM15" s="1699"/>
      <c r="AN15" s="1699"/>
      <c r="AO15" s="1718">
        <f t="shared" si="33"/>
        <v>0</v>
      </c>
      <c r="AP15" s="130">
        <v>501</v>
      </c>
      <c r="AQ15" s="1778"/>
      <c r="AR15" s="1732"/>
      <c r="AS15" s="1732">
        <f>IF(YEAR('3 pr-2'!$AK15)=2017,$AP15,0)</f>
        <v>0</v>
      </c>
      <c r="AT15" s="1732">
        <f>IF(YEAR('3 pr-2'!$AK15)=2018,$AP15,0)</f>
        <v>501</v>
      </c>
      <c r="AU15" s="1732">
        <f>IF(YEAR('3 pr-2'!$AK15)=2019,$AP15,0)</f>
        <v>0</v>
      </c>
      <c r="AV15" s="1732">
        <f>IF(YEAR('3 pr-2'!$AK15)=2020,$AP15,0)</f>
        <v>0</v>
      </c>
      <c r="AW15" s="1732">
        <f>IF(YEAR('3 pr-2'!$AK15)=2021,$AP15,0)</f>
        <v>0</v>
      </c>
      <c r="AX15" s="1732">
        <f>IF(YEAR('3 pr-2'!$AK15)=2022,$AP15,0)</f>
        <v>0</v>
      </c>
      <c r="AY15" s="1732">
        <f>IF(YEAR('3 pr-2'!$AK15)=2023,$AP15,0)</f>
        <v>0</v>
      </c>
      <c r="AZ15" s="130" t="s">
        <v>452</v>
      </c>
      <c r="BA15" s="470" t="s">
        <v>453</v>
      </c>
      <c r="BB15" s="1699"/>
      <c r="BC15" s="1699"/>
      <c r="BD15" s="1699"/>
      <c r="BE15" s="1699"/>
      <c r="BF15" s="1699"/>
      <c r="BG15" s="1699"/>
      <c r="BH15" s="1699"/>
      <c r="BI15" s="1718">
        <f t="shared" si="34"/>
        <v>0</v>
      </c>
      <c r="BJ15" s="130">
        <v>1</v>
      </c>
      <c r="BK15" s="1501"/>
      <c r="BL15" s="130"/>
      <c r="BM15" s="130">
        <f>IF(YEAR('3 pr-2'!AK15)=2017,BJ15,0)</f>
        <v>0</v>
      </c>
      <c r="BN15" s="130">
        <f>IF(YEAR('3 pr-2'!AK15)=2018,BJ15,0)</f>
        <v>1</v>
      </c>
      <c r="BO15" s="130">
        <f>IF(YEAR('3 pr-2'!AK15)=2019,BJ15,0)</f>
        <v>0</v>
      </c>
      <c r="BP15" s="130">
        <f>IF(YEAR('3 pr-2'!AK15)=2020,BJ15,0)</f>
        <v>0</v>
      </c>
      <c r="BQ15" s="130">
        <f>IF(YEAR('3 pr-2'!AK15)=2021,BJ15,0)</f>
        <v>0</v>
      </c>
      <c r="BR15" s="130">
        <f>IF(YEAR('3 pr-2'!AK15)=2022,BJ15,0)</f>
        <v>0</v>
      </c>
      <c r="BS15" s="130">
        <f>IF(YEAR('3 pr-2'!AK15)=2023,BJ15,0)</f>
        <v>0</v>
      </c>
      <c r="BT15" s="317"/>
      <c r="BU15" s="471"/>
      <c r="BV15" s="1699"/>
      <c r="BW15" s="1699"/>
      <c r="BX15" s="1699"/>
      <c r="BY15" s="1699"/>
      <c r="BZ15" s="1699"/>
      <c r="CA15" s="1699"/>
      <c r="CB15" s="1699"/>
      <c r="CC15" s="1718">
        <f t="shared" si="35"/>
        <v>0</v>
      </c>
      <c r="CD15" s="130"/>
      <c r="CE15" s="130"/>
      <c r="CF15" s="130"/>
      <c r="CG15" s="130">
        <f>IF(YEAR('3 pr-2'!$AK15)=2017,$CD15,0)</f>
        <v>0</v>
      </c>
      <c r="CH15" s="130">
        <f>IF(YEAR('3 pr-2'!$AK15)=2018,$CD15,0)</f>
        <v>0</v>
      </c>
      <c r="CI15" s="130">
        <f>IF(YEAR('3 pr-2'!$AK15)=2019,$CD15,0)</f>
        <v>0</v>
      </c>
      <c r="CJ15" s="130">
        <f>IF(YEAR('3 pr-2'!$AK15)=2020,$CD15,0)</f>
        <v>0</v>
      </c>
      <c r="CK15" s="130">
        <f>IF(YEAR('3 pr-2'!$AK15)=2021,$CD15,0)</f>
        <v>0</v>
      </c>
      <c r="CL15" s="130">
        <f>IF(YEAR('3 pr-2'!$AK15)=2022,$CD15,0)</f>
        <v>0</v>
      </c>
      <c r="CM15" s="130">
        <f>IF(YEAR('3 pr-2'!$AK15)=2023,$CD15,0)</f>
        <v>0</v>
      </c>
      <c r="CN15" s="317"/>
      <c r="CO15" s="472"/>
      <c r="CP15" s="1704"/>
      <c r="CQ15" s="1699"/>
      <c r="CR15" s="1699"/>
      <c r="CS15" s="1699"/>
      <c r="CT15" s="1699"/>
      <c r="CU15" s="1699"/>
      <c r="CV15" s="1699"/>
      <c r="CW15" s="1718">
        <f t="shared" si="36"/>
        <v>0</v>
      </c>
      <c r="CX15" s="318"/>
      <c r="CY15" s="303"/>
      <c r="CZ15" s="303"/>
      <c r="DA15" s="506">
        <f>IF(YEAR('3 pr-2'!AK15)=2017,CX15,0)</f>
        <v>0</v>
      </c>
      <c r="DB15" s="506">
        <f>IF(YEAR('3 pr-2'!AK15)=2018,CX15,0)</f>
        <v>0</v>
      </c>
      <c r="DC15" s="506">
        <f>IF(YEAR('3 pr-2'!AK15)=2019,CX15,0)</f>
        <v>0</v>
      </c>
      <c r="DD15" s="506">
        <f>IF(YEAR('3 pr-2'!AK15)=2020,CX15,0)</f>
        <v>0</v>
      </c>
      <c r="DE15" s="506">
        <f>IF(YEAR('3 pr-2'!AK15)=2021,CX15,0)</f>
        <v>0</v>
      </c>
      <c r="DF15" s="506">
        <f>IF(YEAR('3 pr-2'!AK15)=2022,CX15,0)</f>
        <v>0</v>
      </c>
      <c r="DG15" s="506">
        <f>IF(YEAR('3 pr-2'!AK15)=2023,CX15,0)</f>
        <v>0</v>
      </c>
      <c r="DH15" s="317"/>
      <c r="DI15" s="472"/>
      <c r="DJ15" s="318"/>
      <c r="DK15" s="130"/>
      <c r="DL15" s="130"/>
      <c r="DM15" s="130"/>
      <c r="DN15" s="130"/>
      <c r="DO15" s="130"/>
      <c r="DP15" s="130"/>
      <c r="DQ15" s="756">
        <f t="shared" si="37"/>
        <v>0</v>
      </c>
      <c r="DR15" s="318"/>
      <c r="DS15" s="303"/>
      <c r="DT15" s="303"/>
      <c r="DU15" s="506">
        <f>IF(YEAR('3 pr-2'!BF15)=2017,DS15,0)</f>
        <v>0</v>
      </c>
      <c r="DV15" s="506">
        <f>IF(YEAR('3 pr-2'!BF15)=2018,DS15,0)</f>
        <v>0</v>
      </c>
      <c r="DW15" s="506">
        <f>IF(YEAR('3 pr-2'!BF15)=2019,DS15,0)</f>
        <v>0</v>
      </c>
      <c r="DX15" s="506">
        <f>IF(YEAR('3 pr-2'!BF15)=2020,DS15,0)</f>
        <v>0</v>
      </c>
      <c r="DY15" s="506">
        <f>IF(YEAR('3 pr-2'!BF15)=2021,DS15,0)</f>
        <v>0</v>
      </c>
      <c r="DZ15" s="506">
        <f>IF(YEAR('3 pr-2'!BF15)=2022,DS15,0)</f>
        <v>0</v>
      </c>
      <c r="EA15" s="506">
        <f>IF(YEAR('3 pr-2'!BF15)=2023,DS15,0)</f>
        <v>0</v>
      </c>
      <c r="EB15" s="317"/>
      <c r="EC15" s="472"/>
      <c r="ED15" s="303"/>
      <c r="EE15" s="303"/>
      <c r="EF15" s="303"/>
      <c r="EG15" s="506">
        <f>IF(YEAR('3 pr-2'!BP15)=2017,ED15,0)</f>
        <v>0</v>
      </c>
      <c r="EH15" s="506">
        <f>IF(YEAR('3 pr-2'!BP15)=2018,ED15,0)</f>
        <v>0</v>
      </c>
      <c r="EI15" s="506">
        <f>IF(YEAR('3 pr-2'!BP15)=2019,ED15,0)</f>
        <v>0</v>
      </c>
      <c r="EJ15" s="506">
        <f>IF(YEAR('3 pr-2'!BP15)=2020,ED15,0)</f>
        <v>0</v>
      </c>
      <c r="EK15" s="506">
        <f>IF(YEAR('3 pr-2'!BP15)=2021,ED15,0)</f>
        <v>0</v>
      </c>
      <c r="EL15" s="506">
        <f>IF(YEAR('3 pr-2'!BP15)=2022,ED15,0)</f>
        <v>0</v>
      </c>
      <c r="EM15" s="506">
        <f>IF(YEAR('3 pr-2'!BP15)=2023,ED15,0)</f>
        <v>0</v>
      </c>
    </row>
    <row r="16" spans="1:143" ht="75" thickTop="1" thickBot="1">
      <c r="A16" s="130" t="str">
        <f>CONCATENATE('3 pr-2'!A16)</f>
        <v>1.1.1.1.7</v>
      </c>
      <c r="B16" s="130" t="str">
        <f>CONCATENATE('3 pr-2'!B16)</f>
        <v>R01-ZM72-123200-1107</v>
      </c>
      <c r="C16" s="1730" t="str">
        <f>CONCATENATE('ketv. 2'!B15)</f>
        <v>20KI-KA-17-1-02437-PR001</v>
      </c>
      <c r="D16" s="78" t="str">
        <f>CONCATENATE('3 pr-2'!D16)</f>
        <v>Alytaus rajono Miroslavo kaimo multifunkcinės sporto aikštės įrengimas ir gatvių bei šaligatvių rekonstrukcija</v>
      </c>
      <c r="E16" s="11" t="str">
        <f>CONCATENATE('3 pr-2'!E16)</f>
        <v>Alytaus rajono savivaldybės administracija</v>
      </c>
      <c r="F16" s="11" t="str">
        <f>CONCATENATE('3 pr-2'!F16)</f>
        <v>Lietuvos Respublikos žemės ūkio ministerija</v>
      </c>
      <c r="G16" s="11" t="str">
        <f>CONCATENATE('3 pr-2'!G16)</f>
        <v>Alytaus r. sav.</v>
      </c>
      <c r="H16" s="11" t="str">
        <f>CONCATENATE('3 pr-2'!H16)</f>
        <v xml:space="preserve">Pagrindinės paslaugos ir kaimų atnaujinimas kaimo vietovėse </v>
      </c>
      <c r="I16" s="130" t="str">
        <f>CONCATENATE('3 pr-2'!I16)</f>
        <v>R</v>
      </c>
      <c r="J16" s="130" t="str">
        <f>CONCATENATE('3 pr-2'!J16)</f>
        <v>-</v>
      </c>
      <c r="K16" s="130" t="str">
        <f>CONCATENATE('3 pr-2'!K16)</f>
        <v>-</v>
      </c>
      <c r="L16" s="130" t="s">
        <v>448</v>
      </c>
      <c r="M16" s="471" t="s">
        <v>449</v>
      </c>
      <c r="N16" s="1699"/>
      <c r="O16" s="1699"/>
      <c r="P16" s="1699"/>
      <c r="Q16" s="1699"/>
      <c r="R16" s="1699"/>
      <c r="S16" s="1699"/>
      <c r="T16" s="1699"/>
      <c r="U16" s="1700"/>
      <c r="V16" s="130">
        <v>3</v>
      </c>
      <c r="W16" s="1757" t="str">
        <f>IF('ketv. 6 '!L15&gt;0,"taip",0)</f>
        <v>taip</v>
      </c>
      <c r="X16" s="1732"/>
      <c r="Y16" s="1732">
        <f>IF(YEAR('3 pr-2'!$AK16)=2017,$V16,0)</f>
        <v>0</v>
      </c>
      <c r="Z16" s="1732">
        <f>IF(YEAR('3 pr-2'!$AK16)=2018,$V16,0)</f>
        <v>3</v>
      </c>
      <c r="AA16" s="1732">
        <f>IF(YEAR('3 pr-2'!$AK16)=2019,$V16,0)</f>
        <v>0</v>
      </c>
      <c r="AB16" s="1732">
        <f>IF(YEAR('3 pr-2'!$AK16)=2020,$V16,0)</f>
        <v>0</v>
      </c>
      <c r="AC16" s="1732">
        <f>IF(YEAR('3 pr-2'!$AK16)=2021,$V16,0)</f>
        <v>0</v>
      </c>
      <c r="AD16" s="1732">
        <f>IF(YEAR('3 pr-2'!$AK16)=2022,$V16,0)</f>
        <v>0</v>
      </c>
      <c r="AE16" s="1732">
        <f>IF(YEAR('3 pr-2'!$AK16)=2023,$V16,0)</f>
        <v>0</v>
      </c>
      <c r="AF16" s="317" t="s">
        <v>450</v>
      </c>
      <c r="AG16" s="471" t="s">
        <v>451</v>
      </c>
      <c r="AH16" s="1699"/>
      <c r="AI16" s="1699"/>
      <c r="AJ16" s="1699"/>
      <c r="AK16" s="1699"/>
      <c r="AL16" s="1699"/>
      <c r="AM16" s="1699"/>
      <c r="AN16" s="1699"/>
      <c r="AO16" s="1718">
        <f t="shared" si="33"/>
        <v>0</v>
      </c>
      <c r="AP16" s="130">
        <v>382</v>
      </c>
      <c r="AQ16" s="1778"/>
      <c r="AR16" s="1732"/>
      <c r="AS16" s="1732">
        <f>IF(YEAR('3 pr-2'!$AK16)=2017,$AP16,0)</f>
        <v>0</v>
      </c>
      <c r="AT16" s="1732">
        <f>IF(YEAR('3 pr-2'!$AK16)=2018,$AP16,0)</f>
        <v>382</v>
      </c>
      <c r="AU16" s="1732">
        <f>IF(YEAR('3 pr-2'!$AK16)=2019,$AP16,0)</f>
        <v>0</v>
      </c>
      <c r="AV16" s="1732">
        <f>IF(YEAR('3 pr-2'!$AK16)=2020,$AP16,0)</f>
        <v>0</v>
      </c>
      <c r="AW16" s="1732">
        <f>IF(YEAR('3 pr-2'!$AK16)=2021,$AP16,0)</f>
        <v>0</v>
      </c>
      <c r="AX16" s="1732">
        <f>IF(YEAR('3 pr-2'!$AK16)=2022,$AP16,0)</f>
        <v>0</v>
      </c>
      <c r="AY16" s="1732">
        <f>IF(YEAR('3 pr-2'!$AK16)=2023,$AP16,0)</f>
        <v>0</v>
      </c>
      <c r="AZ16" s="130" t="s">
        <v>452</v>
      </c>
      <c r="BA16" s="470" t="s">
        <v>453</v>
      </c>
      <c r="BB16" s="1699"/>
      <c r="BC16" s="1699"/>
      <c r="BD16" s="1699"/>
      <c r="BE16" s="1699"/>
      <c r="BF16" s="1699"/>
      <c r="BG16" s="1699"/>
      <c r="BH16" s="1699"/>
      <c r="BI16" s="1718">
        <f t="shared" si="34"/>
        <v>0</v>
      </c>
      <c r="BJ16" s="130">
        <v>1</v>
      </c>
      <c r="BK16" s="1501"/>
      <c r="BL16" s="130"/>
      <c r="BM16" s="130">
        <f>IF(YEAR('3 pr-2'!AK16)=2017,BJ16,0)</f>
        <v>0</v>
      </c>
      <c r="BN16" s="130">
        <f>IF(YEAR('3 pr-2'!AK16)=2018,BJ16,0)</f>
        <v>1</v>
      </c>
      <c r="BO16" s="130">
        <f>IF(YEAR('3 pr-2'!AK16)=2019,BJ16,0)</f>
        <v>0</v>
      </c>
      <c r="BP16" s="130">
        <f>IF(YEAR('3 pr-2'!AK16)=2020,BJ16,0)</f>
        <v>0</v>
      </c>
      <c r="BQ16" s="130">
        <f>IF(YEAR('3 pr-2'!AK16)=2021,BJ16,0)</f>
        <v>0</v>
      </c>
      <c r="BR16" s="130">
        <f>IF(YEAR('3 pr-2'!AK16)=2022,BJ16,0)</f>
        <v>0</v>
      </c>
      <c r="BS16" s="130">
        <f>IF(YEAR('3 pr-2'!AK16)=2023,BJ16,0)</f>
        <v>0</v>
      </c>
      <c r="BT16" s="317"/>
      <c r="BU16" s="471"/>
      <c r="BV16" s="1699"/>
      <c r="BW16" s="1699"/>
      <c r="BX16" s="1699"/>
      <c r="BY16" s="1699"/>
      <c r="BZ16" s="1699"/>
      <c r="CA16" s="1699"/>
      <c r="CB16" s="1699"/>
      <c r="CC16" s="1718">
        <f t="shared" si="35"/>
        <v>0</v>
      </c>
      <c r="CD16" s="130"/>
      <c r="CE16" s="130"/>
      <c r="CF16" s="130"/>
      <c r="CG16" s="130">
        <f>IF(YEAR('3 pr-2'!$AK16)=2017,$CD16,0)</f>
        <v>0</v>
      </c>
      <c r="CH16" s="130">
        <f>IF(YEAR('3 pr-2'!$AK16)=2018,$CD16,0)</f>
        <v>0</v>
      </c>
      <c r="CI16" s="130">
        <f>IF(YEAR('3 pr-2'!$AK16)=2019,$CD16,0)</f>
        <v>0</v>
      </c>
      <c r="CJ16" s="130">
        <f>IF(YEAR('3 pr-2'!$AK16)=2020,$CD16,0)</f>
        <v>0</v>
      </c>
      <c r="CK16" s="130">
        <f>IF(YEAR('3 pr-2'!$AK16)=2021,$CD16,0)</f>
        <v>0</v>
      </c>
      <c r="CL16" s="130">
        <f>IF(YEAR('3 pr-2'!$AK16)=2022,$CD16,0)</f>
        <v>0</v>
      </c>
      <c r="CM16" s="130">
        <f>IF(YEAR('3 pr-2'!$AK16)=2023,$CD16,0)</f>
        <v>0</v>
      </c>
      <c r="CN16" s="317"/>
      <c r="CO16" s="472"/>
      <c r="CP16" s="1704"/>
      <c r="CQ16" s="1699"/>
      <c r="CR16" s="1699"/>
      <c r="CS16" s="1699"/>
      <c r="CT16" s="1699"/>
      <c r="CU16" s="1699"/>
      <c r="CV16" s="1699"/>
      <c r="CW16" s="1718">
        <f t="shared" si="36"/>
        <v>0</v>
      </c>
      <c r="CX16" s="318"/>
      <c r="CY16" s="303"/>
      <c r="CZ16" s="303"/>
      <c r="DA16" s="506">
        <f>IF(YEAR('3 pr-2'!AK16)=2017,CX16,0)</f>
        <v>0</v>
      </c>
      <c r="DB16" s="506">
        <f>IF(YEAR('3 pr-2'!AK16)=2018,CX16,0)</f>
        <v>0</v>
      </c>
      <c r="DC16" s="506">
        <f>IF(YEAR('3 pr-2'!AK16)=2019,CX16,0)</f>
        <v>0</v>
      </c>
      <c r="DD16" s="506">
        <f>IF(YEAR('3 pr-2'!AK16)=2020,CX16,0)</f>
        <v>0</v>
      </c>
      <c r="DE16" s="506">
        <f>IF(YEAR('3 pr-2'!AK16)=2021,CX16,0)</f>
        <v>0</v>
      </c>
      <c r="DF16" s="506">
        <f>IF(YEAR('3 pr-2'!AK16)=2022,CX16,0)</f>
        <v>0</v>
      </c>
      <c r="DG16" s="506">
        <f>IF(YEAR('3 pr-2'!AK16)=2023,CX16,0)</f>
        <v>0</v>
      </c>
      <c r="DH16" s="317"/>
      <c r="DI16" s="472"/>
      <c r="DJ16" s="318"/>
      <c r="DK16" s="130"/>
      <c r="DL16" s="130"/>
      <c r="DM16" s="130"/>
      <c r="DN16" s="130"/>
      <c r="DO16" s="130"/>
      <c r="DP16" s="130"/>
      <c r="DQ16" s="756">
        <f t="shared" si="37"/>
        <v>0</v>
      </c>
      <c r="DR16" s="318"/>
      <c r="DS16" s="303"/>
      <c r="DT16" s="303"/>
      <c r="DU16" s="506">
        <f>IF(YEAR('3 pr-2'!BF16)=2017,DS16,0)</f>
        <v>0</v>
      </c>
      <c r="DV16" s="506">
        <f>IF(YEAR('3 pr-2'!BF16)=2018,DS16,0)</f>
        <v>0</v>
      </c>
      <c r="DW16" s="506">
        <f>IF(YEAR('3 pr-2'!BF16)=2019,DS16,0)</f>
        <v>0</v>
      </c>
      <c r="DX16" s="506">
        <f>IF(YEAR('3 pr-2'!BF16)=2020,DS16,0)</f>
        <v>0</v>
      </c>
      <c r="DY16" s="506">
        <f>IF(YEAR('3 pr-2'!BF16)=2021,DS16,0)</f>
        <v>0</v>
      </c>
      <c r="DZ16" s="506">
        <f>IF(YEAR('3 pr-2'!BF16)=2022,DS16,0)</f>
        <v>0</v>
      </c>
      <c r="EA16" s="506">
        <f>IF(YEAR('3 pr-2'!BF16)=2023,DS16,0)</f>
        <v>0</v>
      </c>
      <c r="EB16" s="317"/>
      <c r="EC16" s="472"/>
      <c r="ED16" s="303"/>
      <c r="EE16" s="303"/>
      <c r="EF16" s="303"/>
      <c r="EG16" s="506">
        <f>IF(YEAR('3 pr-2'!BP16)=2017,ED16,0)</f>
        <v>0</v>
      </c>
      <c r="EH16" s="506">
        <f>IF(YEAR('3 pr-2'!BP16)=2018,ED16,0)</f>
        <v>0</v>
      </c>
      <c r="EI16" s="506">
        <f>IF(YEAR('3 pr-2'!BP16)=2019,ED16,0)</f>
        <v>0</v>
      </c>
      <c r="EJ16" s="506">
        <f>IF(YEAR('3 pr-2'!BP16)=2020,ED16,0)</f>
        <v>0</v>
      </c>
      <c r="EK16" s="506">
        <f>IF(YEAR('3 pr-2'!BP16)=2021,ED16,0)</f>
        <v>0</v>
      </c>
      <c r="EL16" s="506">
        <f>IF(YEAR('3 pr-2'!BP16)=2022,ED16,0)</f>
        <v>0</v>
      </c>
      <c r="EM16" s="506">
        <f>IF(YEAR('3 pr-2'!BP16)=2023,ED16,0)</f>
        <v>0</v>
      </c>
    </row>
    <row r="17" spans="1:143" ht="75" thickTop="1" thickBot="1">
      <c r="A17" s="130" t="str">
        <f>CONCATENATE('3 pr-2'!A17)</f>
        <v>1.1.1.1.8</v>
      </c>
      <c r="B17" s="130" t="str">
        <f>CONCATENATE('3 pr-2'!B17)</f>
        <v>R01-ZM72-123200-1108</v>
      </c>
      <c r="C17" s="1730" t="str">
        <f>CONCATENATE('ketv. 2'!B16)</f>
        <v>20KI-KA-17-1-02242-PR001</v>
      </c>
      <c r="D17" s="78" t="str">
        <f>CONCATENATE('3 pr-2'!D17)</f>
        <v>Alytaus rajono Luksnėnų kaimo multifunkcinės sporto aikštės įrengimas ir gatvių rekonstrukcija</v>
      </c>
      <c r="E17" s="11" t="str">
        <f>CONCATENATE('3 pr-2'!E17)</f>
        <v>Alytaus rajono savivaldybės administracija</v>
      </c>
      <c r="F17" s="11" t="str">
        <f>CONCATENATE('3 pr-2'!F17)</f>
        <v>Lietuvos Respublikos žemės ūkio ministerija</v>
      </c>
      <c r="G17" s="11" t="str">
        <f>CONCATENATE('3 pr-2'!G17)</f>
        <v>Alytaus r. sav.</v>
      </c>
      <c r="H17" s="11" t="str">
        <f>CONCATENATE('3 pr-2'!H17)</f>
        <v xml:space="preserve">Pagrindinės paslaugos ir kaimų atnaujinimas kaimo vietovėse </v>
      </c>
      <c r="I17" s="130" t="str">
        <f>CONCATENATE('3 pr-2'!I17)</f>
        <v>R</v>
      </c>
      <c r="J17" s="130" t="str">
        <f>CONCATENATE('3 pr-2'!J17)</f>
        <v>-</v>
      </c>
      <c r="K17" s="130" t="str">
        <f>CONCATENATE('3 pr-2'!K17)</f>
        <v>-</v>
      </c>
      <c r="L17" s="130" t="s">
        <v>448</v>
      </c>
      <c r="M17" s="471" t="s">
        <v>449</v>
      </c>
      <c r="N17" s="1699"/>
      <c r="O17" s="1699"/>
      <c r="P17" s="1699"/>
      <c r="Q17" s="1699"/>
      <c r="R17" s="1699"/>
      <c r="S17" s="1699"/>
      <c r="T17" s="1699"/>
      <c r="U17" s="1700"/>
      <c r="V17" s="130">
        <v>2</v>
      </c>
      <c r="W17" s="1757" t="str">
        <f>IF('ketv. 6 '!L16&gt;0,"taip",0)</f>
        <v>taip</v>
      </c>
      <c r="X17" s="1732"/>
      <c r="Y17" s="1732">
        <f>IF(YEAR('3 pr-2'!$AK17)=2017,$V17,0)</f>
        <v>0</v>
      </c>
      <c r="Z17" s="1732">
        <f>IF(YEAR('3 pr-2'!$AK17)=2018,$V17,0)</f>
        <v>2</v>
      </c>
      <c r="AA17" s="1732">
        <f>IF(YEAR('3 pr-2'!$AK17)=2019,$V17,0)</f>
        <v>0</v>
      </c>
      <c r="AB17" s="1732">
        <f>IF(YEAR('3 pr-2'!$AK17)=2020,$V17,0)</f>
        <v>0</v>
      </c>
      <c r="AC17" s="1732">
        <f>IF(YEAR('3 pr-2'!$AK17)=2021,$V17,0)</f>
        <v>0</v>
      </c>
      <c r="AD17" s="1732">
        <f>IF(YEAR('3 pr-2'!$AK17)=2022,$V17,0)</f>
        <v>0</v>
      </c>
      <c r="AE17" s="1732">
        <f>IF(YEAR('3 pr-2'!$AK17)=2023,$V17,0)</f>
        <v>0</v>
      </c>
      <c r="AF17" s="317" t="s">
        <v>450</v>
      </c>
      <c r="AG17" s="471" t="s">
        <v>451</v>
      </c>
      <c r="AH17" s="1699"/>
      <c r="AI17" s="1699"/>
      <c r="AJ17" s="1699"/>
      <c r="AK17" s="1699"/>
      <c r="AL17" s="1699"/>
      <c r="AM17" s="1699"/>
      <c r="AN17" s="1699"/>
      <c r="AO17" s="1718">
        <f t="shared" si="33"/>
        <v>0</v>
      </c>
      <c r="AP17" s="130">
        <v>491</v>
      </c>
      <c r="AQ17" s="1778"/>
      <c r="AR17" s="1732"/>
      <c r="AS17" s="1732">
        <f>IF(YEAR('3 pr-2'!$AK17)=2017,$AP17,0)</f>
        <v>0</v>
      </c>
      <c r="AT17" s="1732">
        <f>IF(YEAR('3 pr-2'!$AK17)=2018,$AP17,0)</f>
        <v>491</v>
      </c>
      <c r="AU17" s="1732">
        <f>IF(YEAR('3 pr-2'!$AK17)=2019,$AP17,0)</f>
        <v>0</v>
      </c>
      <c r="AV17" s="1732">
        <f>IF(YEAR('3 pr-2'!$AK17)=2020,$AP17,0)</f>
        <v>0</v>
      </c>
      <c r="AW17" s="1732">
        <f>IF(YEAR('3 pr-2'!$AK17)=2021,$AP17,0)</f>
        <v>0</v>
      </c>
      <c r="AX17" s="1732">
        <f>IF(YEAR('3 pr-2'!$AK17)=2022,$AP17,0)</f>
        <v>0</v>
      </c>
      <c r="AY17" s="1732">
        <f>IF(YEAR('3 pr-2'!$AK17)=2023,$AP17,0)</f>
        <v>0</v>
      </c>
      <c r="AZ17" s="130" t="s">
        <v>452</v>
      </c>
      <c r="BA17" s="470" t="s">
        <v>453</v>
      </c>
      <c r="BB17" s="1699"/>
      <c r="BC17" s="1699"/>
      <c r="BD17" s="1699"/>
      <c r="BE17" s="1699"/>
      <c r="BF17" s="1699"/>
      <c r="BG17" s="1699"/>
      <c r="BH17" s="1699"/>
      <c r="BI17" s="1718">
        <f t="shared" si="34"/>
        <v>0</v>
      </c>
      <c r="BJ17" s="130">
        <v>1</v>
      </c>
      <c r="BK17" s="1501"/>
      <c r="BL17" s="130"/>
      <c r="BM17" s="130">
        <f>IF(YEAR('3 pr-2'!AK17)=2017,BJ17,0)</f>
        <v>0</v>
      </c>
      <c r="BN17" s="130">
        <f>IF(YEAR('3 pr-2'!AK17)=2018,BJ17,0)</f>
        <v>1</v>
      </c>
      <c r="BO17" s="130">
        <f>IF(YEAR('3 pr-2'!AK17)=2019,BJ17,0)</f>
        <v>0</v>
      </c>
      <c r="BP17" s="130">
        <f>IF(YEAR('3 pr-2'!AK17)=2020,BJ17,0)</f>
        <v>0</v>
      </c>
      <c r="BQ17" s="130">
        <f>IF(YEAR('3 pr-2'!AK17)=2021,BJ17,0)</f>
        <v>0</v>
      </c>
      <c r="BR17" s="130">
        <f>IF(YEAR('3 pr-2'!AK17)=2022,BJ17,0)</f>
        <v>0</v>
      </c>
      <c r="BS17" s="130">
        <f>IF(YEAR('3 pr-2'!AK17)=2023,BJ17,0)</f>
        <v>0</v>
      </c>
      <c r="BT17" s="317"/>
      <c r="BU17" s="471"/>
      <c r="BV17" s="1699"/>
      <c r="BW17" s="1699"/>
      <c r="BX17" s="1699"/>
      <c r="BY17" s="1699"/>
      <c r="BZ17" s="1699"/>
      <c r="CA17" s="1699"/>
      <c r="CB17" s="1699"/>
      <c r="CC17" s="1718">
        <f t="shared" si="35"/>
        <v>0</v>
      </c>
      <c r="CD17" s="130"/>
      <c r="CE17" s="130"/>
      <c r="CF17" s="130"/>
      <c r="CG17" s="130">
        <f>IF(YEAR('3 pr-2'!$AK17)=2017,$CD17,0)</f>
        <v>0</v>
      </c>
      <c r="CH17" s="130">
        <f>IF(YEAR('3 pr-2'!$AK17)=2018,$CD17,0)</f>
        <v>0</v>
      </c>
      <c r="CI17" s="130">
        <f>IF(YEAR('3 pr-2'!$AK17)=2019,$CD17,0)</f>
        <v>0</v>
      </c>
      <c r="CJ17" s="130">
        <f>IF(YEAR('3 pr-2'!$AK17)=2020,$CD17,0)</f>
        <v>0</v>
      </c>
      <c r="CK17" s="130">
        <f>IF(YEAR('3 pr-2'!$AK17)=2021,$CD17,0)</f>
        <v>0</v>
      </c>
      <c r="CL17" s="130">
        <f>IF(YEAR('3 pr-2'!$AK17)=2022,$CD17,0)</f>
        <v>0</v>
      </c>
      <c r="CM17" s="130">
        <f>IF(YEAR('3 pr-2'!$AK17)=2023,$CD17,0)</f>
        <v>0</v>
      </c>
      <c r="CN17" s="317"/>
      <c r="CO17" s="472"/>
      <c r="CP17" s="1704"/>
      <c r="CQ17" s="1699"/>
      <c r="CR17" s="1699"/>
      <c r="CS17" s="1699"/>
      <c r="CT17" s="1699"/>
      <c r="CU17" s="1699"/>
      <c r="CV17" s="1699"/>
      <c r="CW17" s="1718">
        <f t="shared" si="36"/>
        <v>0</v>
      </c>
      <c r="CX17" s="318"/>
      <c r="CY17" s="303"/>
      <c r="CZ17" s="303"/>
      <c r="DA17" s="506">
        <f>IF(YEAR('3 pr-2'!AK17)=2017,CX17,0)</f>
        <v>0</v>
      </c>
      <c r="DB17" s="506">
        <f>IF(YEAR('3 pr-2'!AK17)=2018,CX17,0)</f>
        <v>0</v>
      </c>
      <c r="DC17" s="506">
        <f>IF(YEAR('3 pr-2'!AK17)=2019,CX17,0)</f>
        <v>0</v>
      </c>
      <c r="DD17" s="506">
        <f>IF(YEAR('3 pr-2'!AK17)=2020,CX17,0)</f>
        <v>0</v>
      </c>
      <c r="DE17" s="506">
        <f>IF(YEAR('3 pr-2'!AK17)=2021,CX17,0)</f>
        <v>0</v>
      </c>
      <c r="DF17" s="506">
        <f>IF(YEAR('3 pr-2'!AK17)=2022,CX17,0)</f>
        <v>0</v>
      </c>
      <c r="DG17" s="506">
        <f>IF(YEAR('3 pr-2'!AK17)=2023,CX17,0)</f>
        <v>0</v>
      </c>
      <c r="DH17" s="317"/>
      <c r="DI17" s="472"/>
      <c r="DJ17" s="318"/>
      <c r="DK17" s="130"/>
      <c r="DL17" s="130"/>
      <c r="DM17" s="130"/>
      <c r="DN17" s="130"/>
      <c r="DO17" s="130"/>
      <c r="DP17" s="130"/>
      <c r="DQ17" s="756">
        <f t="shared" si="37"/>
        <v>0</v>
      </c>
      <c r="DR17" s="318"/>
      <c r="DS17" s="303"/>
      <c r="DT17" s="303"/>
      <c r="DU17" s="506">
        <f>IF(YEAR('3 pr-2'!BF17)=2017,DS17,0)</f>
        <v>0</v>
      </c>
      <c r="DV17" s="506">
        <f>IF(YEAR('3 pr-2'!BF17)=2018,DS17,0)</f>
        <v>0</v>
      </c>
      <c r="DW17" s="506">
        <f>IF(YEAR('3 pr-2'!BF17)=2019,DS17,0)</f>
        <v>0</v>
      </c>
      <c r="DX17" s="506">
        <f>IF(YEAR('3 pr-2'!BF17)=2020,DS17,0)</f>
        <v>0</v>
      </c>
      <c r="DY17" s="506">
        <f>IF(YEAR('3 pr-2'!BF17)=2021,DS17,0)</f>
        <v>0</v>
      </c>
      <c r="DZ17" s="506">
        <f>IF(YEAR('3 pr-2'!BF17)=2022,DS17,0)</f>
        <v>0</v>
      </c>
      <c r="EA17" s="506">
        <f>IF(YEAR('3 pr-2'!BF17)=2023,DS17,0)</f>
        <v>0</v>
      </c>
      <c r="EB17" s="317"/>
      <c r="EC17" s="472"/>
      <c r="ED17" s="303"/>
      <c r="EE17" s="303"/>
      <c r="EF17" s="303"/>
      <c r="EG17" s="506">
        <f>IF(YEAR('3 pr-2'!BP17)=2017,ED17,0)</f>
        <v>0</v>
      </c>
      <c r="EH17" s="506">
        <f>IF(YEAR('3 pr-2'!BP17)=2018,ED17,0)</f>
        <v>0</v>
      </c>
      <c r="EI17" s="506">
        <f>IF(YEAR('3 pr-2'!BP17)=2019,ED17,0)</f>
        <v>0</v>
      </c>
      <c r="EJ17" s="506">
        <f>IF(YEAR('3 pr-2'!BP17)=2020,ED17,0)</f>
        <v>0</v>
      </c>
      <c r="EK17" s="506">
        <f>IF(YEAR('3 pr-2'!BP17)=2021,ED17,0)</f>
        <v>0</v>
      </c>
      <c r="EL17" s="506">
        <f>IF(YEAR('3 pr-2'!BP17)=2022,ED17,0)</f>
        <v>0</v>
      </c>
      <c r="EM17" s="506">
        <f>IF(YEAR('3 pr-2'!BP17)=2023,ED17,0)</f>
        <v>0</v>
      </c>
    </row>
    <row r="18" spans="1:143" ht="75" thickTop="1" thickBot="1">
      <c r="A18" s="130" t="str">
        <f>CONCATENATE('3 pr-2'!A18)</f>
        <v>1.1.1.1.9</v>
      </c>
      <c r="B18" s="130" t="str">
        <f>CONCATENATE('3 pr-2'!B18)</f>
        <v>R01-ZM72-340000-1109</v>
      </c>
      <c r="C18" s="1730" t="str">
        <f>CONCATENATE('ketv. 2'!B17)</f>
        <v>20KI-KA-17-1-02372-PR001</v>
      </c>
      <c r="D18" s="78" t="str">
        <f>CONCATENATE('3 pr-2'!D18)</f>
        <v>Krikštonių laisvalaikio salės pritaikymas bendruomenės poreikiams</v>
      </c>
      <c r="E18" s="11" t="str">
        <f>CONCATENATE('3 pr-2'!E18)</f>
        <v xml:space="preserve">Viešoji įstaiga Lazdijų kultūros centras </v>
      </c>
      <c r="F18" s="11" t="str">
        <f>CONCATENATE('3 pr-2'!F18)</f>
        <v>Lietuvos Respublikos žemės ūkio ministerija</v>
      </c>
      <c r="G18" s="11" t="str">
        <f>CONCATENATE('3 pr-2'!G18)</f>
        <v>Lazdijų r. sav.</v>
      </c>
      <c r="H18" s="11" t="str">
        <f>CONCATENATE('3 pr-2'!H18)</f>
        <v xml:space="preserve">Pagrindinės paslaugos ir kaimų atnaujinimas kaimo vietovėse </v>
      </c>
      <c r="I18" s="130" t="str">
        <f>CONCATENATE('3 pr-2'!I18)</f>
        <v>R</v>
      </c>
      <c r="J18" s="130" t="str">
        <f>CONCATENATE('3 pr-2'!J18)</f>
        <v>-</v>
      </c>
      <c r="K18" s="130" t="str">
        <f>CONCATENATE('3 pr-2'!K18)</f>
        <v>-</v>
      </c>
      <c r="L18" s="130" t="s">
        <v>448</v>
      </c>
      <c r="M18" s="471" t="s">
        <v>449</v>
      </c>
      <c r="N18" s="1699"/>
      <c r="O18" s="1699"/>
      <c r="P18" s="1699"/>
      <c r="Q18" s="1699"/>
      <c r="R18" s="1699"/>
      <c r="S18" s="1699"/>
      <c r="T18" s="1699"/>
      <c r="U18" s="1700"/>
      <c r="V18" s="130">
        <v>1</v>
      </c>
      <c r="W18" s="1757" t="str">
        <f>IF('ketv. 6 '!L17&gt;0,"taip",0)</f>
        <v>taip</v>
      </c>
      <c r="X18" s="1732"/>
      <c r="Y18" s="1732">
        <f>IF(YEAR('3 pr-2'!$AK18)=2017,$V18,0)</f>
        <v>0</v>
      </c>
      <c r="Z18" s="1732">
        <f>IF(YEAR('3 pr-2'!$AK18)=2018,$V18,0)</f>
        <v>1</v>
      </c>
      <c r="AA18" s="1732">
        <f>IF(YEAR('3 pr-2'!$AK18)=2019,$V18,0)</f>
        <v>0</v>
      </c>
      <c r="AB18" s="1732">
        <f>IF(YEAR('3 pr-2'!$AK18)=2020,$V18,0)</f>
        <v>0</v>
      </c>
      <c r="AC18" s="1732">
        <f>IF(YEAR('3 pr-2'!$AK18)=2021,$V18,0)</f>
        <v>0</v>
      </c>
      <c r="AD18" s="1732">
        <f>IF(YEAR('3 pr-2'!$AK18)=2022,$V18,0)</f>
        <v>0</v>
      </c>
      <c r="AE18" s="1732">
        <f>IF(YEAR('3 pr-2'!$AK18)=2023,$V18,0)</f>
        <v>0</v>
      </c>
      <c r="AF18" s="317" t="s">
        <v>450</v>
      </c>
      <c r="AG18" s="471" t="s">
        <v>451</v>
      </c>
      <c r="AH18" s="1699"/>
      <c r="AI18" s="1699"/>
      <c r="AJ18" s="1699"/>
      <c r="AK18" s="1699"/>
      <c r="AL18" s="1699"/>
      <c r="AM18" s="1699"/>
      <c r="AN18" s="1699"/>
      <c r="AO18" s="1718">
        <f t="shared" si="33"/>
        <v>0</v>
      </c>
      <c r="AP18" s="130">
        <v>228</v>
      </c>
      <c r="AQ18" s="1778"/>
      <c r="AR18" s="1732"/>
      <c r="AS18" s="1732">
        <f>IF(YEAR('3 pr-2'!$AK18)=2017,$AP18,0)</f>
        <v>0</v>
      </c>
      <c r="AT18" s="1732">
        <f>IF(YEAR('3 pr-2'!$AK18)=2018,$AP18,0)</f>
        <v>228</v>
      </c>
      <c r="AU18" s="1732">
        <f>IF(YEAR('3 pr-2'!$AK18)=2019,$AP18,0)</f>
        <v>0</v>
      </c>
      <c r="AV18" s="1732">
        <f>IF(YEAR('3 pr-2'!$AK18)=2020,$AP18,0)</f>
        <v>0</v>
      </c>
      <c r="AW18" s="1732">
        <f>IF(YEAR('3 pr-2'!$AK18)=2021,$AP18,0)</f>
        <v>0</v>
      </c>
      <c r="AX18" s="1732">
        <f>IF(YEAR('3 pr-2'!$AK18)=2022,$AP18,0)</f>
        <v>0</v>
      </c>
      <c r="AY18" s="1732">
        <f>IF(YEAR('3 pr-2'!$AK18)=2023,$AP18,0)</f>
        <v>0</v>
      </c>
      <c r="AZ18" s="130" t="s">
        <v>452</v>
      </c>
      <c r="BA18" s="470" t="s">
        <v>453</v>
      </c>
      <c r="BB18" s="1699"/>
      <c r="BC18" s="1699"/>
      <c r="BD18" s="1699"/>
      <c r="BE18" s="1699"/>
      <c r="BF18" s="1699"/>
      <c r="BG18" s="1699"/>
      <c r="BH18" s="1699"/>
      <c r="BI18" s="1718">
        <f t="shared" si="34"/>
        <v>0</v>
      </c>
      <c r="BJ18" s="130">
        <v>1</v>
      </c>
      <c r="BK18" s="1501"/>
      <c r="BL18" s="130"/>
      <c r="BM18" s="130">
        <f>IF(YEAR('3 pr-2'!AK18)=2017,BJ18,0)</f>
        <v>0</v>
      </c>
      <c r="BN18" s="130">
        <f>IF(YEAR('3 pr-2'!AK18)=2018,BJ18,0)</f>
        <v>1</v>
      </c>
      <c r="BO18" s="130">
        <f>IF(YEAR('3 pr-2'!AK18)=2019,BJ18,0)</f>
        <v>0</v>
      </c>
      <c r="BP18" s="130">
        <f>IF(YEAR('3 pr-2'!AK18)=2020,BJ18,0)</f>
        <v>0</v>
      </c>
      <c r="BQ18" s="130">
        <f>IF(YEAR('3 pr-2'!AK18)=2021,BJ18,0)</f>
        <v>0</v>
      </c>
      <c r="BR18" s="130">
        <f>IF(YEAR('3 pr-2'!AK18)=2022,BJ18,0)</f>
        <v>0</v>
      </c>
      <c r="BS18" s="130">
        <f>IF(YEAR('3 pr-2'!AK18)=2023,BJ18,0)</f>
        <v>0</v>
      </c>
      <c r="BT18" s="317"/>
      <c r="BU18" s="471"/>
      <c r="BV18" s="1699"/>
      <c r="BW18" s="1699"/>
      <c r="BX18" s="1699"/>
      <c r="BY18" s="1699"/>
      <c r="BZ18" s="1699"/>
      <c r="CA18" s="1699"/>
      <c r="CB18" s="1699"/>
      <c r="CC18" s="1718">
        <f t="shared" si="35"/>
        <v>0</v>
      </c>
      <c r="CD18" s="130"/>
      <c r="CE18" s="130"/>
      <c r="CF18" s="130"/>
      <c r="CG18" s="130">
        <f>IF(YEAR('3 pr-2'!$AK18)=2017,$CD18,0)</f>
        <v>0</v>
      </c>
      <c r="CH18" s="130">
        <f>IF(YEAR('3 pr-2'!$AK18)=2018,$CD18,0)</f>
        <v>0</v>
      </c>
      <c r="CI18" s="130">
        <f>IF(YEAR('3 pr-2'!$AK18)=2019,$CD18,0)</f>
        <v>0</v>
      </c>
      <c r="CJ18" s="130">
        <f>IF(YEAR('3 pr-2'!$AK18)=2020,$CD18,0)</f>
        <v>0</v>
      </c>
      <c r="CK18" s="130">
        <f>IF(YEAR('3 pr-2'!$AK18)=2021,$CD18,0)</f>
        <v>0</v>
      </c>
      <c r="CL18" s="130">
        <f>IF(YEAR('3 pr-2'!$AK18)=2022,$CD18,0)</f>
        <v>0</v>
      </c>
      <c r="CM18" s="130">
        <f>IF(YEAR('3 pr-2'!$AK18)=2023,$CD18,0)</f>
        <v>0</v>
      </c>
      <c r="CN18" s="317"/>
      <c r="CO18" s="472"/>
      <c r="CP18" s="1704"/>
      <c r="CQ18" s="1699"/>
      <c r="CR18" s="1699"/>
      <c r="CS18" s="1699"/>
      <c r="CT18" s="1699"/>
      <c r="CU18" s="1699"/>
      <c r="CV18" s="1699"/>
      <c r="CW18" s="1718">
        <f t="shared" si="36"/>
        <v>0</v>
      </c>
      <c r="CX18" s="318"/>
      <c r="CY18" s="303"/>
      <c r="CZ18" s="303"/>
      <c r="DA18" s="506">
        <f>IF(YEAR('3 pr-2'!AK18)=2017,CX18,0)</f>
        <v>0</v>
      </c>
      <c r="DB18" s="506">
        <f>IF(YEAR('3 pr-2'!AK18)=2018,CX18,0)</f>
        <v>0</v>
      </c>
      <c r="DC18" s="506">
        <f>IF(YEAR('3 pr-2'!AK18)=2019,CX18,0)</f>
        <v>0</v>
      </c>
      <c r="DD18" s="506">
        <f>IF(YEAR('3 pr-2'!AK18)=2020,CX18,0)</f>
        <v>0</v>
      </c>
      <c r="DE18" s="506">
        <f>IF(YEAR('3 pr-2'!AK18)=2021,CX18,0)</f>
        <v>0</v>
      </c>
      <c r="DF18" s="506">
        <f>IF(YEAR('3 pr-2'!AK18)=2022,CX18,0)</f>
        <v>0</v>
      </c>
      <c r="DG18" s="506">
        <f>IF(YEAR('3 pr-2'!AK18)=2023,CX18,0)</f>
        <v>0</v>
      </c>
      <c r="DH18" s="317"/>
      <c r="DI18" s="472"/>
      <c r="DJ18" s="318"/>
      <c r="DK18" s="130"/>
      <c r="DL18" s="130"/>
      <c r="DM18" s="130"/>
      <c r="DN18" s="130"/>
      <c r="DO18" s="130"/>
      <c r="DP18" s="130"/>
      <c r="DQ18" s="756">
        <f t="shared" si="37"/>
        <v>0</v>
      </c>
      <c r="DR18" s="318"/>
      <c r="DS18" s="303"/>
      <c r="DT18" s="303"/>
      <c r="DU18" s="506">
        <f>IF(YEAR('3 pr-2'!BF18)=2017,DS18,0)</f>
        <v>0</v>
      </c>
      <c r="DV18" s="506">
        <f>IF(YEAR('3 pr-2'!BF18)=2018,DS18,0)</f>
        <v>0</v>
      </c>
      <c r="DW18" s="506">
        <f>IF(YEAR('3 pr-2'!BF18)=2019,DS18,0)</f>
        <v>0</v>
      </c>
      <c r="DX18" s="506">
        <f>IF(YEAR('3 pr-2'!BF18)=2020,DS18,0)</f>
        <v>0</v>
      </c>
      <c r="DY18" s="506">
        <f>IF(YEAR('3 pr-2'!BF18)=2021,DS18,0)</f>
        <v>0</v>
      </c>
      <c r="DZ18" s="506">
        <f>IF(YEAR('3 pr-2'!BF18)=2022,DS18,0)</f>
        <v>0</v>
      </c>
      <c r="EA18" s="506">
        <f>IF(YEAR('3 pr-2'!BF18)=2023,DS18,0)</f>
        <v>0</v>
      </c>
      <c r="EB18" s="317"/>
      <c r="EC18" s="472"/>
      <c r="ED18" s="303"/>
      <c r="EE18" s="303"/>
      <c r="EF18" s="303"/>
      <c r="EG18" s="506">
        <f>IF(YEAR('3 pr-2'!BP18)=2017,ED18,0)</f>
        <v>0</v>
      </c>
      <c r="EH18" s="506">
        <f>IF(YEAR('3 pr-2'!BP18)=2018,ED18,0)</f>
        <v>0</v>
      </c>
      <c r="EI18" s="506">
        <f>IF(YEAR('3 pr-2'!BP18)=2019,ED18,0)</f>
        <v>0</v>
      </c>
      <c r="EJ18" s="506">
        <f>IF(YEAR('3 pr-2'!BP18)=2020,ED18,0)</f>
        <v>0</v>
      </c>
      <c r="EK18" s="506">
        <f>IF(YEAR('3 pr-2'!BP18)=2021,ED18,0)</f>
        <v>0</v>
      </c>
      <c r="EL18" s="506">
        <f>IF(YEAR('3 pr-2'!BP18)=2022,ED18,0)</f>
        <v>0</v>
      </c>
      <c r="EM18" s="506">
        <f>IF(YEAR('3 pr-2'!BP18)=2023,ED18,0)</f>
        <v>0</v>
      </c>
    </row>
    <row r="19" spans="1:143" ht="75" thickTop="1" thickBot="1">
      <c r="A19" s="130" t="str">
        <f>CONCATENATE('3 pr-2'!A19)</f>
        <v>1.1.1.1.10</v>
      </c>
      <c r="B19" s="130" t="str">
        <f>CONCATENATE('3 pr-2'!B19)</f>
        <v>R01-ZM72-340200-1110</v>
      </c>
      <c r="C19" s="1730" t="str">
        <f>CONCATENATE('ketv. 2'!B18)</f>
        <v>20KI-KA-17-1-02370-PR001</v>
      </c>
      <c r="D19" s="78" t="str">
        <f>CONCATENATE('3 pr-2'!D19)</f>
        <v>Kučiūnų laisvalaikio salės pritaikymas bendruomenės poreikiams</v>
      </c>
      <c r="E19" s="11" t="str">
        <f>CONCATENATE('3 pr-2'!E19)</f>
        <v xml:space="preserve">Viešoji įstaiga Lazdijų kultūros centras </v>
      </c>
      <c r="F19" s="11" t="str">
        <f>CONCATENATE('3 pr-2'!F19)</f>
        <v>Lietuvos Respublikos žemės ūkio ministerija</v>
      </c>
      <c r="G19" s="11" t="str">
        <f>CONCATENATE('3 pr-2'!G19)</f>
        <v>Lazdijų r. sav.</v>
      </c>
      <c r="H19" s="11" t="str">
        <f>CONCATENATE('3 pr-2'!H19)</f>
        <v xml:space="preserve">Pagrindinės paslaugos ir kaimų atnaujinimas kaimo vietovėse </v>
      </c>
      <c r="I19" s="130" t="str">
        <f>CONCATENATE('3 pr-2'!I19)</f>
        <v>R</v>
      </c>
      <c r="J19" s="130" t="str">
        <f>CONCATENATE('3 pr-2'!J19)</f>
        <v>-</v>
      </c>
      <c r="K19" s="130" t="str">
        <f>CONCATENATE('3 pr-2'!K19)</f>
        <v>-</v>
      </c>
      <c r="L19" s="130" t="s">
        <v>448</v>
      </c>
      <c r="M19" s="471" t="s">
        <v>449</v>
      </c>
      <c r="N19" s="1699"/>
      <c r="O19" s="1699"/>
      <c r="P19" s="1699"/>
      <c r="Q19" s="1699"/>
      <c r="R19" s="1699"/>
      <c r="S19" s="1699"/>
      <c r="T19" s="1699"/>
      <c r="U19" s="1700"/>
      <c r="V19" s="130">
        <v>1</v>
      </c>
      <c r="W19" s="1757" t="str">
        <f>IF('ketv. 6 '!L18&gt;0,"taip",0)</f>
        <v>taip</v>
      </c>
      <c r="X19" s="1732"/>
      <c r="Y19" s="1732">
        <f>IF(YEAR('3 pr-2'!$AK19)=2017,$V19,0)</f>
        <v>0</v>
      </c>
      <c r="Z19" s="1732">
        <f>IF(YEAR('3 pr-2'!$AK19)=2018,$V19,0)</f>
        <v>1</v>
      </c>
      <c r="AA19" s="1732">
        <f>IF(YEAR('3 pr-2'!$AK19)=2019,$V19,0)</f>
        <v>0</v>
      </c>
      <c r="AB19" s="1732">
        <f>IF(YEAR('3 pr-2'!$AK19)=2020,$V19,0)</f>
        <v>0</v>
      </c>
      <c r="AC19" s="1732">
        <f>IF(YEAR('3 pr-2'!$AK19)=2021,$V19,0)</f>
        <v>0</v>
      </c>
      <c r="AD19" s="1732">
        <f>IF(YEAR('3 pr-2'!$AK19)=2022,$V19,0)</f>
        <v>0</v>
      </c>
      <c r="AE19" s="1732">
        <f>IF(YEAR('3 pr-2'!$AK19)=2023,$V19,0)</f>
        <v>0</v>
      </c>
      <c r="AF19" s="317" t="s">
        <v>450</v>
      </c>
      <c r="AG19" s="471" t="s">
        <v>451</v>
      </c>
      <c r="AH19" s="1699"/>
      <c r="AI19" s="1699"/>
      <c r="AJ19" s="1699"/>
      <c r="AK19" s="1699"/>
      <c r="AL19" s="1699"/>
      <c r="AM19" s="1699"/>
      <c r="AN19" s="1699"/>
      <c r="AO19" s="1718">
        <f t="shared" si="33"/>
        <v>0</v>
      </c>
      <c r="AP19" s="130">
        <v>273</v>
      </c>
      <c r="AQ19" s="1778"/>
      <c r="AR19" s="1732"/>
      <c r="AS19" s="1732">
        <f>IF(YEAR('3 pr-2'!$AK19)=2017,$AP19,0)</f>
        <v>0</v>
      </c>
      <c r="AT19" s="1732">
        <f>IF(YEAR('3 pr-2'!$AK19)=2018,$AP19,0)</f>
        <v>273</v>
      </c>
      <c r="AU19" s="1732">
        <f>IF(YEAR('3 pr-2'!$AK19)=2019,$AP19,0)</f>
        <v>0</v>
      </c>
      <c r="AV19" s="1732">
        <f>IF(YEAR('3 pr-2'!$AK19)=2020,$AP19,0)</f>
        <v>0</v>
      </c>
      <c r="AW19" s="1732">
        <f>IF(YEAR('3 pr-2'!$AK19)=2021,$AP19,0)</f>
        <v>0</v>
      </c>
      <c r="AX19" s="1732">
        <f>IF(YEAR('3 pr-2'!$AK19)=2022,$AP19,0)</f>
        <v>0</v>
      </c>
      <c r="AY19" s="1732">
        <f>IF(YEAR('3 pr-2'!$AK19)=2023,$AP19,0)</f>
        <v>0</v>
      </c>
      <c r="AZ19" s="130" t="s">
        <v>452</v>
      </c>
      <c r="BA19" s="470" t="s">
        <v>453</v>
      </c>
      <c r="BB19" s="1699"/>
      <c r="BC19" s="1699"/>
      <c r="BD19" s="1699"/>
      <c r="BE19" s="1699"/>
      <c r="BF19" s="1699"/>
      <c r="BG19" s="1699"/>
      <c r="BH19" s="1699"/>
      <c r="BI19" s="1718">
        <f t="shared" si="34"/>
        <v>0</v>
      </c>
      <c r="BJ19" s="130">
        <v>1</v>
      </c>
      <c r="BK19" s="1501"/>
      <c r="BL19" s="130"/>
      <c r="BM19" s="130">
        <f>IF(YEAR('3 pr-2'!AK19)=2017,BJ19,0)</f>
        <v>0</v>
      </c>
      <c r="BN19" s="130">
        <f>IF(YEAR('3 pr-2'!AK19)=2018,BJ19,0)</f>
        <v>1</v>
      </c>
      <c r="BO19" s="130">
        <f>IF(YEAR('3 pr-2'!AK19)=2019,BJ19,0)</f>
        <v>0</v>
      </c>
      <c r="BP19" s="130">
        <f>IF(YEAR('3 pr-2'!AK19)=2020,BJ19,0)</f>
        <v>0</v>
      </c>
      <c r="BQ19" s="130">
        <f>IF(YEAR('3 pr-2'!AK19)=2021,BJ19,0)</f>
        <v>0</v>
      </c>
      <c r="BR19" s="130">
        <f>IF(YEAR('3 pr-2'!AK19)=2022,BJ19,0)</f>
        <v>0</v>
      </c>
      <c r="BS19" s="130">
        <f>IF(YEAR('3 pr-2'!AK19)=2023,BJ19,0)</f>
        <v>0</v>
      </c>
      <c r="BT19" s="317"/>
      <c r="BU19" s="471"/>
      <c r="BV19" s="1699"/>
      <c r="BW19" s="1699"/>
      <c r="BX19" s="1699"/>
      <c r="BY19" s="1699"/>
      <c r="BZ19" s="1699"/>
      <c r="CA19" s="1699"/>
      <c r="CB19" s="1699"/>
      <c r="CC19" s="1718">
        <f t="shared" si="35"/>
        <v>0</v>
      </c>
      <c r="CD19" s="130"/>
      <c r="CE19" s="130"/>
      <c r="CF19" s="130"/>
      <c r="CG19" s="130">
        <f>IF(YEAR('3 pr-2'!$AK19)=2017,$CD19,0)</f>
        <v>0</v>
      </c>
      <c r="CH19" s="130">
        <f>IF(YEAR('3 pr-2'!$AK19)=2018,$CD19,0)</f>
        <v>0</v>
      </c>
      <c r="CI19" s="130">
        <f>IF(YEAR('3 pr-2'!$AK19)=2019,$CD19,0)</f>
        <v>0</v>
      </c>
      <c r="CJ19" s="130">
        <f>IF(YEAR('3 pr-2'!$AK19)=2020,$CD19,0)</f>
        <v>0</v>
      </c>
      <c r="CK19" s="130">
        <f>IF(YEAR('3 pr-2'!$AK19)=2021,$CD19,0)</f>
        <v>0</v>
      </c>
      <c r="CL19" s="130">
        <f>IF(YEAR('3 pr-2'!$AK19)=2022,$CD19,0)</f>
        <v>0</v>
      </c>
      <c r="CM19" s="130">
        <f>IF(YEAR('3 pr-2'!$AK19)=2023,$CD19,0)</f>
        <v>0</v>
      </c>
      <c r="CN19" s="317"/>
      <c r="CO19" s="472"/>
      <c r="CP19" s="1704"/>
      <c r="CQ19" s="1699"/>
      <c r="CR19" s="1699"/>
      <c r="CS19" s="1699"/>
      <c r="CT19" s="1699"/>
      <c r="CU19" s="1699"/>
      <c r="CV19" s="1699"/>
      <c r="CW19" s="1718">
        <f t="shared" si="36"/>
        <v>0</v>
      </c>
      <c r="CX19" s="318"/>
      <c r="CY19" s="303"/>
      <c r="CZ19" s="303"/>
      <c r="DA19" s="506">
        <f>IF(YEAR('3 pr-2'!AK19)=2017,CX19,0)</f>
        <v>0</v>
      </c>
      <c r="DB19" s="506">
        <f>IF(YEAR('3 pr-2'!AK19)=2018,CX19,0)</f>
        <v>0</v>
      </c>
      <c r="DC19" s="506">
        <f>IF(YEAR('3 pr-2'!AK19)=2019,CX19,0)</f>
        <v>0</v>
      </c>
      <c r="DD19" s="506">
        <f>IF(YEAR('3 pr-2'!AK19)=2020,CX19,0)</f>
        <v>0</v>
      </c>
      <c r="DE19" s="506">
        <f>IF(YEAR('3 pr-2'!AK19)=2021,CX19,0)</f>
        <v>0</v>
      </c>
      <c r="DF19" s="506">
        <f>IF(YEAR('3 pr-2'!AK19)=2022,CX19,0)</f>
        <v>0</v>
      </c>
      <c r="DG19" s="506">
        <f>IF(YEAR('3 pr-2'!AK19)=2023,CX19,0)</f>
        <v>0</v>
      </c>
      <c r="DH19" s="317"/>
      <c r="DI19" s="472"/>
      <c r="DJ19" s="318"/>
      <c r="DK19" s="130"/>
      <c r="DL19" s="130"/>
      <c r="DM19" s="130"/>
      <c r="DN19" s="130"/>
      <c r="DO19" s="130"/>
      <c r="DP19" s="130"/>
      <c r="DQ19" s="756">
        <f t="shared" si="37"/>
        <v>0</v>
      </c>
      <c r="DR19" s="318"/>
      <c r="DS19" s="303"/>
      <c r="DT19" s="303"/>
      <c r="DU19" s="506">
        <f>IF(YEAR('3 pr-2'!BF19)=2017,DS19,0)</f>
        <v>0</v>
      </c>
      <c r="DV19" s="506">
        <f>IF(YEAR('3 pr-2'!BF19)=2018,DS19,0)</f>
        <v>0</v>
      </c>
      <c r="DW19" s="506">
        <f>IF(YEAR('3 pr-2'!BF19)=2019,DS19,0)</f>
        <v>0</v>
      </c>
      <c r="DX19" s="506">
        <f>IF(YEAR('3 pr-2'!BF19)=2020,DS19,0)</f>
        <v>0</v>
      </c>
      <c r="DY19" s="506">
        <f>IF(YEAR('3 pr-2'!BF19)=2021,DS19,0)</f>
        <v>0</v>
      </c>
      <c r="DZ19" s="506">
        <f>IF(YEAR('3 pr-2'!BF19)=2022,DS19,0)</f>
        <v>0</v>
      </c>
      <c r="EA19" s="506">
        <f>IF(YEAR('3 pr-2'!BF19)=2023,DS19,0)</f>
        <v>0</v>
      </c>
      <c r="EB19" s="317"/>
      <c r="EC19" s="472"/>
      <c r="ED19" s="303"/>
      <c r="EE19" s="303"/>
      <c r="EF19" s="303"/>
      <c r="EG19" s="506">
        <f>IF(YEAR('3 pr-2'!BP19)=2017,ED19,0)</f>
        <v>0</v>
      </c>
      <c r="EH19" s="506">
        <f>IF(YEAR('3 pr-2'!BP19)=2018,ED19,0)</f>
        <v>0</v>
      </c>
      <c r="EI19" s="506">
        <f>IF(YEAR('3 pr-2'!BP19)=2019,ED19,0)</f>
        <v>0</v>
      </c>
      <c r="EJ19" s="506">
        <f>IF(YEAR('3 pr-2'!BP19)=2020,ED19,0)</f>
        <v>0</v>
      </c>
      <c r="EK19" s="506">
        <f>IF(YEAR('3 pr-2'!BP19)=2021,ED19,0)</f>
        <v>0</v>
      </c>
      <c r="EL19" s="506">
        <f>IF(YEAR('3 pr-2'!BP19)=2022,ED19,0)</f>
        <v>0</v>
      </c>
      <c r="EM19" s="506">
        <f>IF(YEAR('3 pr-2'!BP19)=2023,ED19,0)</f>
        <v>0</v>
      </c>
    </row>
    <row r="20" spans="1:143" ht="75" thickTop="1" thickBot="1">
      <c r="A20" s="130" t="str">
        <f>CONCATENATE('3 pr-2'!A20)</f>
        <v>1.1.1.1.11</v>
      </c>
      <c r="B20" s="130" t="str">
        <f>CONCATENATE('3 pr-2'!B20)</f>
        <v>R01-ZM72-320000-1111</v>
      </c>
      <c r="C20" s="1730" t="str">
        <f>CONCATENATE('ketv. 2'!B19)</f>
        <v>20KI-KA-17-1-02354-PR001</v>
      </c>
      <c r="D20" s="78" t="str">
        <f>CONCATENATE('3 pr-2'!D20)</f>
        <v>Laisvalaikio infrastruktūros sukūrimas Lazdijų rajono kaimo gyvenamosiose vietovėse</v>
      </c>
      <c r="E20" s="11" t="str">
        <f>CONCATENATE('3 pr-2'!E20)</f>
        <v>Lazdijų rajono savivaldybės administracija</v>
      </c>
      <c r="F20" s="11" t="str">
        <f>CONCATENATE('3 pr-2'!F20)</f>
        <v>Lietuvos Respublikos žemės ūkio ministerija</v>
      </c>
      <c r="G20" s="11" t="str">
        <f>CONCATENATE('3 pr-2'!G20)</f>
        <v>Lazdijų r. sav.</v>
      </c>
      <c r="H20" s="11" t="str">
        <f>CONCATENATE('3 pr-2'!H20)</f>
        <v xml:space="preserve">Pagrindinės paslaugos ir kaimų atnaujinimas kaimo vietovėse </v>
      </c>
      <c r="I20" s="130" t="str">
        <f>CONCATENATE('3 pr-2'!I20)</f>
        <v>R</v>
      </c>
      <c r="J20" s="130" t="str">
        <f>CONCATENATE('3 pr-2'!J20)</f>
        <v>-</v>
      </c>
      <c r="K20" s="130" t="str">
        <f>CONCATENATE('3 pr-2'!K20)</f>
        <v>-</v>
      </c>
      <c r="L20" s="130" t="s">
        <v>448</v>
      </c>
      <c r="M20" s="471" t="s">
        <v>449</v>
      </c>
      <c r="N20" s="1699"/>
      <c r="O20" s="1699"/>
      <c r="P20" s="1699"/>
      <c r="Q20" s="1699"/>
      <c r="R20" s="1699"/>
      <c r="S20" s="1699"/>
      <c r="T20" s="1699"/>
      <c r="U20" s="1700"/>
      <c r="V20" s="130">
        <v>1</v>
      </c>
      <c r="W20" s="1757" t="str">
        <f>IF('ketv. 6 '!L19&gt;0,"taip",0)</f>
        <v>taip</v>
      </c>
      <c r="X20" s="1732"/>
      <c r="Y20" s="1732">
        <f>IF(YEAR('3 pr-2'!$AK20)=2017,$V20,0)</f>
        <v>0</v>
      </c>
      <c r="Z20" s="1732">
        <f>IF(YEAR('3 pr-2'!$AK20)=2018,$V20,0)</f>
        <v>1</v>
      </c>
      <c r="AA20" s="1732">
        <f>IF(YEAR('3 pr-2'!$AK20)=2019,$V20,0)</f>
        <v>0</v>
      </c>
      <c r="AB20" s="1732">
        <f>IF(YEAR('3 pr-2'!$AK20)=2020,$V20,0)</f>
        <v>0</v>
      </c>
      <c r="AC20" s="1732">
        <f>IF(YEAR('3 pr-2'!$AK20)=2021,$V20,0)</f>
        <v>0</v>
      </c>
      <c r="AD20" s="1732">
        <f>IF(YEAR('3 pr-2'!$AK20)=2022,$V20,0)</f>
        <v>0</v>
      </c>
      <c r="AE20" s="1732">
        <f>IF(YEAR('3 pr-2'!$AK20)=2023,$V20,0)</f>
        <v>0</v>
      </c>
      <c r="AF20" s="317" t="s">
        <v>450</v>
      </c>
      <c r="AG20" s="471" t="s">
        <v>451</v>
      </c>
      <c r="AH20" s="1699"/>
      <c r="AI20" s="1699"/>
      <c r="AJ20" s="1699"/>
      <c r="AK20" s="1699"/>
      <c r="AL20" s="1699"/>
      <c r="AM20" s="1699"/>
      <c r="AN20" s="1699"/>
      <c r="AO20" s="1718">
        <f t="shared" si="33"/>
        <v>0</v>
      </c>
      <c r="AP20" s="130">
        <v>631</v>
      </c>
      <c r="AQ20" s="1778"/>
      <c r="AR20" s="1732"/>
      <c r="AS20" s="1732">
        <f>IF(YEAR('3 pr-2'!$AK20)=2017,$AP20,0)</f>
        <v>0</v>
      </c>
      <c r="AT20" s="1732">
        <f>IF(YEAR('3 pr-2'!$AK20)=2018,$AP20,0)</f>
        <v>631</v>
      </c>
      <c r="AU20" s="1732">
        <f>IF(YEAR('3 pr-2'!$AK20)=2019,$AP20,0)</f>
        <v>0</v>
      </c>
      <c r="AV20" s="1732">
        <f>IF(YEAR('3 pr-2'!$AK20)=2020,$AP20,0)</f>
        <v>0</v>
      </c>
      <c r="AW20" s="1732">
        <f>IF(YEAR('3 pr-2'!$AK20)=2021,$AP20,0)</f>
        <v>0</v>
      </c>
      <c r="AX20" s="1732">
        <f>IF(YEAR('3 pr-2'!$AK20)=2022,$AP20,0)</f>
        <v>0</v>
      </c>
      <c r="AY20" s="1732">
        <f>IF(YEAR('3 pr-2'!$AK20)=2023,$AP20,0)</f>
        <v>0</v>
      </c>
      <c r="AZ20" s="130" t="s">
        <v>452</v>
      </c>
      <c r="BA20" s="470" t="s">
        <v>453</v>
      </c>
      <c r="BB20" s="1699"/>
      <c r="BC20" s="1699"/>
      <c r="BD20" s="1699"/>
      <c r="BE20" s="1699"/>
      <c r="BF20" s="1699"/>
      <c r="BG20" s="1699"/>
      <c r="BH20" s="1699"/>
      <c r="BI20" s="1718">
        <f t="shared" si="34"/>
        <v>0</v>
      </c>
      <c r="BJ20" s="130">
        <v>1</v>
      </c>
      <c r="BK20" s="1501"/>
      <c r="BL20" s="130"/>
      <c r="BM20" s="130">
        <f>IF(YEAR('3 pr-2'!AK20)=2017,BJ20,0)</f>
        <v>0</v>
      </c>
      <c r="BN20" s="130">
        <f>IF(YEAR('3 pr-2'!AK20)=2018,BJ20,0)</f>
        <v>1</v>
      </c>
      <c r="BO20" s="130">
        <f>IF(YEAR('3 pr-2'!AK20)=2019,BJ20,0)</f>
        <v>0</v>
      </c>
      <c r="BP20" s="130">
        <f>IF(YEAR('3 pr-2'!AK20)=2020,BJ20,0)</f>
        <v>0</v>
      </c>
      <c r="BQ20" s="130">
        <f>IF(YEAR('3 pr-2'!AK20)=2021,BJ20,0)</f>
        <v>0</v>
      </c>
      <c r="BR20" s="130">
        <f>IF(YEAR('3 pr-2'!AK20)=2022,BJ20,0)</f>
        <v>0</v>
      </c>
      <c r="BS20" s="130">
        <f>IF(YEAR('3 pr-2'!AK20)=2023,BJ20,0)</f>
        <v>0</v>
      </c>
      <c r="BT20" s="317"/>
      <c r="BU20" s="471"/>
      <c r="BV20" s="1699"/>
      <c r="BW20" s="1699"/>
      <c r="BX20" s="1699"/>
      <c r="BY20" s="1699"/>
      <c r="BZ20" s="1699"/>
      <c r="CA20" s="1699"/>
      <c r="CB20" s="1699"/>
      <c r="CC20" s="1718">
        <f t="shared" si="35"/>
        <v>0</v>
      </c>
      <c r="CD20" s="130"/>
      <c r="CE20" s="130"/>
      <c r="CF20" s="130"/>
      <c r="CG20" s="130">
        <f>IF(YEAR('3 pr-2'!$AK20)=2017,$CD20,0)</f>
        <v>0</v>
      </c>
      <c r="CH20" s="130">
        <f>IF(YEAR('3 pr-2'!$AK20)=2018,$CD20,0)</f>
        <v>0</v>
      </c>
      <c r="CI20" s="130">
        <f>IF(YEAR('3 pr-2'!$AK20)=2019,$CD20,0)</f>
        <v>0</v>
      </c>
      <c r="CJ20" s="130">
        <f>IF(YEAR('3 pr-2'!$AK20)=2020,$CD20,0)</f>
        <v>0</v>
      </c>
      <c r="CK20" s="130">
        <f>IF(YEAR('3 pr-2'!$AK20)=2021,$CD20,0)</f>
        <v>0</v>
      </c>
      <c r="CL20" s="130">
        <f>IF(YEAR('3 pr-2'!$AK20)=2022,$CD20,0)</f>
        <v>0</v>
      </c>
      <c r="CM20" s="130">
        <f>IF(YEAR('3 pr-2'!$AK20)=2023,$CD20,0)</f>
        <v>0</v>
      </c>
      <c r="CN20" s="317"/>
      <c r="CO20" s="472"/>
      <c r="CP20" s="1704"/>
      <c r="CQ20" s="1699"/>
      <c r="CR20" s="1699"/>
      <c r="CS20" s="1699"/>
      <c r="CT20" s="1699"/>
      <c r="CU20" s="1699"/>
      <c r="CV20" s="1699"/>
      <c r="CW20" s="1718">
        <f t="shared" si="36"/>
        <v>0</v>
      </c>
      <c r="CX20" s="318"/>
      <c r="CY20" s="303"/>
      <c r="CZ20" s="303"/>
      <c r="DA20" s="506">
        <f>IF(YEAR('3 pr-2'!AK20)=2017,CX20,0)</f>
        <v>0</v>
      </c>
      <c r="DB20" s="506">
        <f>IF(YEAR('3 pr-2'!AK20)=2018,CX20,0)</f>
        <v>0</v>
      </c>
      <c r="DC20" s="506">
        <f>IF(YEAR('3 pr-2'!AK20)=2019,CX20,0)</f>
        <v>0</v>
      </c>
      <c r="DD20" s="506">
        <f>IF(YEAR('3 pr-2'!AK20)=2020,CX20,0)</f>
        <v>0</v>
      </c>
      <c r="DE20" s="506">
        <f>IF(YEAR('3 pr-2'!AK20)=2021,CX20,0)</f>
        <v>0</v>
      </c>
      <c r="DF20" s="506">
        <f>IF(YEAR('3 pr-2'!AK20)=2022,CX20,0)</f>
        <v>0</v>
      </c>
      <c r="DG20" s="506">
        <f>IF(YEAR('3 pr-2'!AK20)=2023,CX20,0)</f>
        <v>0</v>
      </c>
      <c r="DH20" s="317"/>
      <c r="DI20" s="472"/>
      <c r="DJ20" s="318"/>
      <c r="DK20" s="130"/>
      <c r="DL20" s="130"/>
      <c r="DM20" s="130"/>
      <c r="DN20" s="130"/>
      <c r="DO20" s="130"/>
      <c r="DP20" s="130"/>
      <c r="DQ20" s="756">
        <f t="shared" si="37"/>
        <v>0</v>
      </c>
      <c r="DR20" s="318"/>
      <c r="DS20" s="303"/>
      <c r="DT20" s="303"/>
      <c r="DU20" s="506">
        <f>IF(YEAR('3 pr-2'!BF20)=2017,DS20,0)</f>
        <v>0</v>
      </c>
      <c r="DV20" s="506">
        <f>IF(YEAR('3 pr-2'!BF20)=2018,DS20,0)</f>
        <v>0</v>
      </c>
      <c r="DW20" s="506">
        <f>IF(YEAR('3 pr-2'!BF20)=2019,DS20,0)</f>
        <v>0</v>
      </c>
      <c r="DX20" s="506">
        <f>IF(YEAR('3 pr-2'!BF20)=2020,DS20,0)</f>
        <v>0</v>
      </c>
      <c r="DY20" s="506">
        <f>IF(YEAR('3 pr-2'!BF20)=2021,DS20,0)</f>
        <v>0</v>
      </c>
      <c r="DZ20" s="506">
        <f>IF(YEAR('3 pr-2'!BF20)=2022,DS20,0)</f>
        <v>0</v>
      </c>
      <c r="EA20" s="506">
        <f>IF(YEAR('3 pr-2'!BF20)=2023,DS20,0)</f>
        <v>0</v>
      </c>
      <c r="EB20" s="317"/>
      <c r="EC20" s="472"/>
      <c r="ED20" s="303"/>
      <c r="EE20" s="303"/>
      <c r="EF20" s="303"/>
      <c r="EG20" s="506">
        <f>IF(YEAR('3 pr-2'!BP20)=2017,ED20,0)</f>
        <v>0</v>
      </c>
      <c r="EH20" s="506">
        <f>IF(YEAR('3 pr-2'!BP20)=2018,ED20,0)</f>
        <v>0</v>
      </c>
      <c r="EI20" s="506">
        <f>IF(YEAR('3 pr-2'!BP20)=2019,ED20,0)</f>
        <v>0</v>
      </c>
      <c r="EJ20" s="506">
        <f>IF(YEAR('3 pr-2'!BP20)=2020,ED20,0)</f>
        <v>0</v>
      </c>
      <c r="EK20" s="506">
        <f>IF(YEAR('3 pr-2'!BP20)=2021,ED20,0)</f>
        <v>0</v>
      </c>
      <c r="EL20" s="506">
        <f>IF(YEAR('3 pr-2'!BP20)=2022,ED20,0)</f>
        <v>0</v>
      </c>
      <c r="EM20" s="506">
        <f>IF(YEAR('3 pr-2'!BP20)=2023,ED20,0)</f>
        <v>0</v>
      </c>
    </row>
    <row r="21" spans="1:143" ht="75" thickTop="1" thickBot="1">
      <c r="A21" s="130" t="str">
        <f>CONCATENATE('3 pr-2'!A21)</f>
        <v>1.1.1.1.12</v>
      </c>
      <c r="B21" s="130" t="str">
        <f>CONCATENATE('3 pr-2'!B21)</f>
        <v>R01-ZM72-120000-1112</v>
      </c>
      <c r="C21" s="1730" t="str">
        <f>CONCATENATE('ketv. 2'!B20)</f>
        <v>20KI-KA-17-1-02470-PR001</v>
      </c>
      <c r="D21" s="78" t="str">
        <f>CONCATENATE('3 pr-2'!D21)</f>
        <v>Alytaus rajono Butrimonių miestelio šaligatvių kapitalinis remontas ir gyvenvietės apšvietimo įrengimas</v>
      </c>
      <c r="E21" s="11" t="str">
        <f>CONCATENATE('3 pr-2'!E21)</f>
        <v>Alytaus rajono savivaldybės administracija</v>
      </c>
      <c r="F21" s="11" t="str">
        <f>CONCATENATE('3 pr-2'!F21)</f>
        <v>Lietuvos Respublikos žemės ūkio ministerija</v>
      </c>
      <c r="G21" s="11" t="str">
        <f>CONCATENATE('3 pr-2'!G21)</f>
        <v>Alytaus r. sav.</v>
      </c>
      <c r="H21" s="11" t="str">
        <f>CONCATENATE('3 pr-2'!H21)</f>
        <v xml:space="preserve">Pagrindinės paslaugos ir kaimų atnaujinimas kaimo vietovėse </v>
      </c>
      <c r="I21" s="130" t="str">
        <f>CONCATENATE('3 pr-2'!I21)</f>
        <v>R</v>
      </c>
      <c r="J21" s="130" t="str">
        <f>CONCATENATE('3 pr-2'!J21)</f>
        <v>-</v>
      </c>
      <c r="K21" s="130" t="str">
        <f>CONCATENATE('3 pr-2'!K21)</f>
        <v>-</v>
      </c>
      <c r="L21" s="130" t="s">
        <v>448</v>
      </c>
      <c r="M21" s="471" t="s">
        <v>449</v>
      </c>
      <c r="N21" s="1699"/>
      <c r="O21" s="1699"/>
      <c r="P21" s="1699"/>
      <c r="Q21" s="1699"/>
      <c r="R21" s="1699"/>
      <c r="S21" s="1699"/>
      <c r="T21" s="1699"/>
      <c r="U21" s="1700"/>
      <c r="V21" s="130">
        <v>2</v>
      </c>
      <c r="W21" s="1757" t="str">
        <f>IF('ketv. 6 '!L20&gt;0,"taip",0)</f>
        <v>taip</v>
      </c>
      <c r="X21" s="1732"/>
      <c r="Y21" s="1732">
        <f>IF(YEAR('3 pr-2'!$AK21)=2017,$V21,0)</f>
        <v>0</v>
      </c>
      <c r="Z21" s="1732">
        <f>IF(YEAR('3 pr-2'!$AK21)=2018,$V21,0)</f>
        <v>2</v>
      </c>
      <c r="AA21" s="1732">
        <f>IF(YEAR('3 pr-2'!$AK21)=2019,$V21,0)</f>
        <v>0</v>
      </c>
      <c r="AB21" s="1732">
        <f>IF(YEAR('3 pr-2'!$AK21)=2020,$V21,0)</f>
        <v>0</v>
      </c>
      <c r="AC21" s="1732">
        <f>IF(YEAR('3 pr-2'!$AK21)=2021,$V21,0)</f>
        <v>0</v>
      </c>
      <c r="AD21" s="1732">
        <f>IF(YEAR('3 pr-2'!$AK21)=2022,$V21,0)</f>
        <v>0</v>
      </c>
      <c r="AE21" s="1732">
        <f>IF(YEAR('3 pr-2'!$AK21)=2023,$V21,0)</f>
        <v>0</v>
      </c>
      <c r="AF21" s="317" t="s">
        <v>450</v>
      </c>
      <c r="AG21" s="471" t="s">
        <v>451</v>
      </c>
      <c r="AH21" s="1699"/>
      <c r="AI21" s="1699"/>
      <c r="AJ21" s="1699"/>
      <c r="AK21" s="1699"/>
      <c r="AL21" s="1699"/>
      <c r="AM21" s="1699"/>
      <c r="AN21" s="1699"/>
      <c r="AO21" s="1718">
        <f t="shared" si="33"/>
        <v>0</v>
      </c>
      <c r="AP21" s="130">
        <v>941</v>
      </c>
      <c r="AQ21" s="1778"/>
      <c r="AR21" s="1732"/>
      <c r="AS21" s="1732">
        <f>IF(YEAR('3 pr-2'!$AK21)=2017,$AP21,0)</f>
        <v>0</v>
      </c>
      <c r="AT21" s="1732">
        <f>IF(YEAR('3 pr-2'!$AK21)=2018,$AP21,0)</f>
        <v>941</v>
      </c>
      <c r="AU21" s="1732">
        <f>IF(YEAR('3 pr-2'!$AK21)=2019,$AP21,0)</f>
        <v>0</v>
      </c>
      <c r="AV21" s="1732">
        <f>IF(YEAR('3 pr-2'!$AK21)=2020,$AP21,0)</f>
        <v>0</v>
      </c>
      <c r="AW21" s="1732">
        <f>IF(YEAR('3 pr-2'!$AK21)=2021,$AP21,0)</f>
        <v>0</v>
      </c>
      <c r="AX21" s="1732">
        <f>IF(YEAR('3 pr-2'!$AK21)=2022,$AP21,0)</f>
        <v>0</v>
      </c>
      <c r="AY21" s="1732">
        <f>IF(YEAR('3 pr-2'!$AK21)=2023,$AP21,0)</f>
        <v>0</v>
      </c>
      <c r="AZ21" s="130" t="s">
        <v>452</v>
      </c>
      <c r="BA21" s="470" t="s">
        <v>453</v>
      </c>
      <c r="BB21" s="1699"/>
      <c r="BC21" s="1699"/>
      <c r="BD21" s="1699"/>
      <c r="BE21" s="1699"/>
      <c r="BF21" s="1699"/>
      <c r="BG21" s="1699"/>
      <c r="BH21" s="1699"/>
      <c r="BI21" s="1718">
        <f t="shared" si="34"/>
        <v>0</v>
      </c>
      <c r="BJ21" s="130">
        <v>1</v>
      </c>
      <c r="BK21" s="1501"/>
      <c r="BL21" s="130"/>
      <c r="BM21" s="130">
        <f>IF(YEAR('3 pr-2'!AK21)=2017,BJ21,0)</f>
        <v>0</v>
      </c>
      <c r="BN21" s="130">
        <f>IF(YEAR('3 pr-2'!AK21)=2018,BJ21,0)</f>
        <v>1</v>
      </c>
      <c r="BO21" s="130">
        <f>IF(YEAR('3 pr-2'!AK21)=2019,BJ21,0)</f>
        <v>0</v>
      </c>
      <c r="BP21" s="130">
        <f>IF(YEAR('3 pr-2'!AK21)=2020,BJ21,0)</f>
        <v>0</v>
      </c>
      <c r="BQ21" s="130">
        <f>IF(YEAR('3 pr-2'!AK21)=2021,BJ21,0)</f>
        <v>0</v>
      </c>
      <c r="BR21" s="130">
        <f>IF(YEAR('3 pr-2'!AK21)=2022,BJ21,0)</f>
        <v>0</v>
      </c>
      <c r="BS21" s="130">
        <f>IF(YEAR('3 pr-2'!AK21)=2023,BJ21,0)</f>
        <v>0</v>
      </c>
      <c r="BT21" s="317"/>
      <c r="BU21" s="471"/>
      <c r="BV21" s="1699"/>
      <c r="BW21" s="1699"/>
      <c r="BX21" s="1699"/>
      <c r="BY21" s="1699"/>
      <c r="BZ21" s="1699"/>
      <c r="CA21" s="1699"/>
      <c r="CB21" s="1699"/>
      <c r="CC21" s="1718">
        <f t="shared" si="35"/>
        <v>0</v>
      </c>
      <c r="CD21" s="130"/>
      <c r="CE21" s="130"/>
      <c r="CF21" s="130"/>
      <c r="CG21" s="130">
        <f>IF(YEAR('3 pr-2'!$AK21)=2017,$CD21,0)</f>
        <v>0</v>
      </c>
      <c r="CH21" s="130">
        <f>IF(YEAR('3 pr-2'!$AK21)=2018,$CD21,0)</f>
        <v>0</v>
      </c>
      <c r="CI21" s="130">
        <f>IF(YEAR('3 pr-2'!$AK21)=2019,$CD21,0)</f>
        <v>0</v>
      </c>
      <c r="CJ21" s="130">
        <f>IF(YEAR('3 pr-2'!$AK21)=2020,$CD21,0)</f>
        <v>0</v>
      </c>
      <c r="CK21" s="130">
        <f>IF(YEAR('3 pr-2'!$AK21)=2021,$CD21,0)</f>
        <v>0</v>
      </c>
      <c r="CL21" s="130">
        <f>IF(YEAR('3 pr-2'!$AK21)=2022,$CD21,0)</f>
        <v>0</v>
      </c>
      <c r="CM21" s="130">
        <f>IF(YEAR('3 pr-2'!$AK21)=2023,$CD21,0)</f>
        <v>0</v>
      </c>
      <c r="CN21" s="317"/>
      <c r="CO21" s="472"/>
      <c r="CP21" s="1704"/>
      <c r="CQ21" s="1699"/>
      <c r="CR21" s="1699"/>
      <c r="CS21" s="1699"/>
      <c r="CT21" s="1699"/>
      <c r="CU21" s="1699"/>
      <c r="CV21" s="1699"/>
      <c r="CW21" s="1718">
        <f t="shared" si="36"/>
        <v>0</v>
      </c>
      <c r="CX21" s="318"/>
      <c r="CY21" s="303"/>
      <c r="CZ21" s="303"/>
      <c r="DA21" s="506">
        <f>IF(YEAR('3 pr-2'!AK21)=2017,CX21,0)</f>
        <v>0</v>
      </c>
      <c r="DB21" s="506">
        <f>IF(YEAR('3 pr-2'!AK21)=2018,CX21,0)</f>
        <v>0</v>
      </c>
      <c r="DC21" s="506">
        <f>IF(YEAR('3 pr-2'!AK21)=2019,CX21,0)</f>
        <v>0</v>
      </c>
      <c r="DD21" s="506">
        <f>IF(YEAR('3 pr-2'!AK21)=2020,CX21,0)</f>
        <v>0</v>
      </c>
      <c r="DE21" s="506">
        <f>IF(YEAR('3 pr-2'!AK21)=2021,CX21,0)</f>
        <v>0</v>
      </c>
      <c r="DF21" s="506">
        <f>IF(YEAR('3 pr-2'!AK21)=2022,CX21,0)</f>
        <v>0</v>
      </c>
      <c r="DG21" s="506">
        <f>IF(YEAR('3 pr-2'!AK21)=2023,CX21,0)</f>
        <v>0</v>
      </c>
      <c r="DH21" s="317"/>
      <c r="DI21" s="472"/>
      <c r="DJ21" s="318"/>
      <c r="DK21" s="130"/>
      <c r="DL21" s="130"/>
      <c r="DM21" s="130"/>
      <c r="DN21" s="130"/>
      <c r="DO21" s="130"/>
      <c r="DP21" s="130"/>
      <c r="DQ21" s="756">
        <f t="shared" si="37"/>
        <v>0</v>
      </c>
      <c r="DR21" s="318"/>
      <c r="DS21" s="303"/>
      <c r="DT21" s="303"/>
      <c r="DU21" s="506">
        <f>IF(YEAR('3 pr-2'!BF21)=2017,DS21,0)</f>
        <v>0</v>
      </c>
      <c r="DV21" s="506">
        <f>IF(YEAR('3 pr-2'!BF21)=2018,DS21,0)</f>
        <v>0</v>
      </c>
      <c r="DW21" s="506">
        <f>IF(YEAR('3 pr-2'!BF21)=2019,DS21,0)</f>
        <v>0</v>
      </c>
      <c r="DX21" s="506">
        <f>IF(YEAR('3 pr-2'!BF21)=2020,DS21,0)</f>
        <v>0</v>
      </c>
      <c r="DY21" s="506">
        <f>IF(YEAR('3 pr-2'!BF21)=2021,DS21,0)</f>
        <v>0</v>
      </c>
      <c r="DZ21" s="506">
        <f>IF(YEAR('3 pr-2'!BF21)=2022,DS21,0)</f>
        <v>0</v>
      </c>
      <c r="EA21" s="506">
        <f>IF(YEAR('3 pr-2'!BF21)=2023,DS21,0)</f>
        <v>0</v>
      </c>
      <c r="EB21" s="317"/>
      <c r="EC21" s="472"/>
      <c r="ED21" s="303"/>
      <c r="EE21" s="303"/>
      <c r="EF21" s="303"/>
      <c r="EG21" s="506">
        <f>IF(YEAR('3 pr-2'!BP21)=2017,ED21,0)</f>
        <v>0</v>
      </c>
      <c r="EH21" s="506">
        <f>IF(YEAR('3 pr-2'!BP21)=2018,ED21,0)</f>
        <v>0</v>
      </c>
      <c r="EI21" s="506">
        <f>IF(YEAR('3 pr-2'!BP21)=2019,ED21,0)</f>
        <v>0</v>
      </c>
      <c r="EJ21" s="506">
        <f>IF(YEAR('3 pr-2'!BP21)=2020,ED21,0)</f>
        <v>0</v>
      </c>
      <c r="EK21" s="506">
        <f>IF(YEAR('3 pr-2'!BP21)=2021,ED21,0)</f>
        <v>0</v>
      </c>
      <c r="EL21" s="506">
        <f>IF(YEAR('3 pr-2'!BP21)=2022,ED21,0)</f>
        <v>0</v>
      </c>
      <c r="EM21" s="506">
        <f>IF(YEAR('3 pr-2'!BP21)=2023,ED21,0)</f>
        <v>0</v>
      </c>
    </row>
    <row r="22" spans="1:143" ht="75" thickTop="1" thickBot="1">
      <c r="A22" s="130" t="str">
        <f>CONCATENATE('3 pr-2'!A22)</f>
        <v>1.1.1.1.13</v>
      </c>
      <c r="B22" s="130" t="str">
        <f>CONCATENATE('3 pr-2'!B22)</f>
        <v>R01-ZM72-123200-1113</v>
      </c>
      <c r="C22" s="1730" t="str">
        <f>CONCATENATE('ketv. 2'!B21)</f>
        <v>20KI-KA-17-1-02438-PR001</v>
      </c>
      <c r="D22" s="78" t="str">
        <f>CONCATENATE('3 pr-2'!D22)</f>
        <v>Alytaus rajono Genių kaimo sporto aikštės įrengimas ir gatvių rekonstrukcija</v>
      </c>
      <c r="E22" s="11" t="str">
        <f>CONCATENATE('3 pr-2'!E22)</f>
        <v>Alytaus rajono savivaldybės administracija</v>
      </c>
      <c r="F22" s="11" t="str">
        <f>CONCATENATE('3 pr-2'!F22)</f>
        <v>Lietuvos Respublikos žemės ūkio ministerija</v>
      </c>
      <c r="G22" s="11" t="str">
        <f>CONCATENATE('3 pr-2'!G22)</f>
        <v>Alytaus r. sav.</v>
      </c>
      <c r="H22" s="11" t="str">
        <f>CONCATENATE('3 pr-2'!H22)</f>
        <v xml:space="preserve">Pagrindinės paslaugos ir kaimų atnaujinimas kaimo vietovėse </v>
      </c>
      <c r="I22" s="130" t="str">
        <f>CONCATENATE('3 pr-2'!I22)</f>
        <v>R</v>
      </c>
      <c r="J22" s="130" t="str">
        <f>CONCATENATE('3 pr-2'!J22)</f>
        <v>-</v>
      </c>
      <c r="K22" s="130" t="str">
        <f>CONCATENATE('3 pr-2'!K22)</f>
        <v>-</v>
      </c>
      <c r="L22" s="130" t="s">
        <v>448</v>
      </c>
      <c r="M22" s="471" t="s">
        <v>449</v>
      </c>
      <c r="N22" s="1699"/>
      <c r="O22" s="1699"/>
      <c r="P22" s="1699"/>
      <c r="Q22" s="1699"/>
      <c r="R22" s="1699"/>
      <c r="S22" s="1699"/>
      <c r="T22" s="1699"/>
      <c r="U22" s="1700"/>
      <c r="V22" s="130">
        <v>2</v>
      </c>
      <c r="W22" s="1757" t="str">
        <f>IF('ketv. 6 '!L21&gt;0,"taip",0)</f>
        <v>taip</v>
      </c>
      <c r="X22" s="1732"/>
      <c r="Y22" s="1732">
        <f>IF(YEAR('3 pr-2'!$AK22)=2017,$V22,0)</f>
        <v>0</v>
      </c>
      <c r="Z22" s="1732">
        <f>IF(YEAR('3 pr-2'!$AK22)=2018,$V22,0)</f>
        <v>2</v>
      </c>
      <c r="AA22" s="1732">
        <f>IF(YEAR('3 pr-2'!$AK22)=2019,$V22,0)</f>
        <v>0</v>
      </c>
      <c r="AB22" s="1732">
        <f>IF(YEAR('3 pr-2'!$AK22)=2020,$V22,0)</f>
        <v>0</v>
      </c>
      <c r="AC22" s="1732">
        <f>IF(YEAR('3 pr-2'!$AK22)=2021,$V22,0)</f>
        <v>0</v>
      </c>
      <c r="AD22" s="1732">
        <f>IF(YEAR('3 pr-2'!$AK22)=2022,$V22,0)</f>
        <v>0</v>
      </c>
      <c r="AE22" s="1732">
        <f>IF(YEAR('3 pr-2'!$AK22)=2023,$V22,0)</f>
        <v>0</v>
      </c>
      <c r="AF22" s="317" t="s">
        <v>450</v>
      </c>
      <c r="AG22" s="471" t="s">
        <v>451</v>
      </c>
      <c r="AH22" s="1699"/>
      <c r="AI22" s="1699"/>
      <c r="AJ22" s="1699"/>
      <c r="AK22" s="1699"/>
      <c r="AL22" s="1699"/>
      <c r="AM22" s="1699"/>
      <c r="AN22" s="1699"/>
      <c r="AO22" s="1718">
        <f t="shared" si="33"/>
        <v>0</v>
      </c>
      <c r="AP22" s="130">
        <v>309</v>
      </c>
      <c r="AQ22" s="1778"/>
      <c r="AR22" s="1732"/>
      <c r="AS22" s="1732">
        <f>IF(YEAR('3 pr-2'!$AK22)=2017,$AP22,0)</f>
        <v>0</v>
      </c>
      <c r="AT22" s="1732">
        <f>IF(YEAR('3 pr-2'!$AK22)=2018,$AP22,0)</f>
        <v>309</v>
      </c>
      <c r="AU22" s="1732">
        <f>IF(YEAR('3 pr-2'!$AK22)=2019,$AP22,0)</f>
        <v>0</v>
      </c>
      <c r="AV22" s="1732">
        <f>IF(YEAR('3 pr-2'!$AK22)=2020,$AP22,0)</f>
        <v>0</v>
      </c>
      <c r="AW22" s="1732">
        <f>IF(YEAR('3 pr-2'!$AK22)=2021,$AP22,0)</f>
        <v>0</v>
      </c>
      <c r="AX22" s="1732">
        <f>IF(YEAR('3 pr-2'!$AK22)=2022,$AP22,0)</f>
        <v>0</v>
      </c>
      <c r="AY22" s="1732">
        <f>IF(YEAR('3 pr-2'!$AK22)=2023,$AP22,0)</f>
        <v>0</v>
      </c>
      <c r="AZ22" s="130" t="s">
        <v>452</v>
      </c>
      <c r="BA22" s="470" t="s">
        <v>453</v>
      </c>
      <c r="BB22" s="1699"/>
      <c r="BC22" s="1699"/>
      <c r="BD22" s="1699"/>
      <c r="BE22" s="1699"/>
      <c r="BF22" s="1699"/>
      <c r="BG22" s="1699"/>
      <c r="BH22" s="1699"/>
      <c r="BI22" s="1718">
        <f t="shared" si="34"/>
        <v>0</v>
      </c>
      <c r="BJ22" s="130">
        <v>1</v>
      </c>
      <c r="BK22" s="1501"/>
      <c r="BL22" s="130"/>
      <c r="BM22" s="130">
        <f>IF(YEAR('3 pr-2'!AK22)=2017,BJ22,0)</f>
        <v>0</v>
      </c>
      <c r="BN22" s="130">
        <f>IF(YEAR('3 pr-2'!AK22)=2018,BJ22,0)</f>
        <v>1</v>
      </c>
      <c r="BO22" s="130">
        <f>IF(YEAR('3 pr-2'!AK22)=2019,BJ22,0)</f>
        <v>0</v>
      </c>
      <c r="BP22" s="130">
        <f>IF(YEAR('3 pr-2'!AK22)=2020,BJ22,0)</f>
        <v>0</v>
      </c>
      <c r="BQ22" s="130">
        <f>IF(YEAR('3 pr-2'!AK22)=2021,BJ22,0)</f>
        <v>0</v>
      </c>
      <c r="BR22" s="130">
        <f>IF(YEAR('3 pr-2'!AK22)=2022,BJ22,0)</f>
        <v>0</v>
      </c>
      <c r="BS22" s="130">
        <f>IF(YEAR('3 pr-2'!AK22)=2023,BJ22,0)</f>
        <v>0</v>
      </c>
      <c r="BT22" s="317"/>
      <c r="BU22" s="471"/>
      <c r="BV22" s="1699"/>
      <c r="BW22" s="1699"/>
      <c r="BX22" s="1699"/>
      <c r="BY22" s="1699"/>
      <c r="BZ22" s="1699"/>
      <c r="CA22" s="1699"/>
      <c r="CB22" s="1699"/>
      <c r="CC22" s="1718">
        <f t="shared" si="35"/>
        <v>0</v>
      </c>
      <c r="CD22" s="130"/>
      <c r="CE22" s="130"/>
      <c r="CF22" s="130"/>
      <c r="CG22" s="130">
        <f>IF(YEAR('3 pr-2'!$AK22)=2017,$CD22,0)</f>
        <v>0</v>
      </c>
      <c r="CH22" s="130">
        <f>IF(YEAR('3 pr-2'!$AK22)=2018,$CD22,0)</f>
        <v>0</v>
      </c>
      <c r="CI22" s="130">
        <f>IF(YEAR('3 pr-2'!$AK22)=2019,$CD22,0)</f>
        <v>0</v>
      </c>
      <c r="CJ22" s="130">
        <f>IF(YEAR('3 pr-2'!$AK22)=2020,$CD22,0)</f>
        <v>0</v>
      </c>
      <c r="CK22" s="130">
        <f>IF(YEAR('3 pr-2'!$AK22)=2021,$CD22,0)</f>
        <v>0</v>
      </c>
      <c r="CL22" s="130">
        <f>IF(YEAR('3 pr-2'!$AK22)=2022,$CD22,0)</f>
        <v>0</v>
      </c>
      <c r="CM22" s="130">
        <f>IF(YEAR('3 pr-2'!$AK22)=2023,$CD22,0)</f>
        <v>0</v>
      </c>
      <c r="CN22" s="317"/>
      <c r="CO22" s="472"/>
      <c r="CP22" s="1704"/>
      <c r="CQ22" s="1699"/>
      <c r="CR22" s="1699"/>
      <c r="CS22" s="1699"/>
      <c r="CT22" s="1699"/>
      <c r="CU22" s="1699"/>
      <c r="CV22" s="1699"/>
      <c r="CW22" s="1718">
        <f t="shared" si="36"/>
        <v>0</v>
      </c>
      <c r="CX22" s="318"/>
      <c r="CY22" s="303"/>
      <c r="CZ22" s="303"/>
      <c r="DA22" s="506">
        <f>IF(YEAR('3 pr-2'!AK22)=2017,CX22,0)</f>
        <v>0</v>
      </c>
      <c r="DB22" s="506">
        <f>IF(YEAR('3 pr-2'!AK22)=2018,CX22,0)</f>
        <v>0</v>
      </c>
      <c r="DC22" s="506">
        <f>IF(YEAR('3 pr-2'!AK22)=2019,CX22,0)</f>
        <v>0</v>
      </c>
      <c r="DD22" s="506">
        <f>IF(YEAR('3 pr-2'!AK22)=2020,CX22,0)</f>
        <v>0</v>
      </c>
      <c r="DE22" s="506">
        <f>IF(YEAR('3 pr-2'!AK22)=2021,CX22,0)</f>
        <v>0</v>
      </c>
      <c r="DF22" s="506">
        <f>IF(YEAR('3 pr-2'!AK22)=2022,CX22,0)</f>
        <v>0</v>
      </c>
      <c r="DG22" s="506">
        <f>IF(YEAR('3 pr-2'!AK22)=2023,CX22,0)</f>
        <v>0</v>
      </c>
      <c r="DH22" s="317"/>
      <c r="DI22" s="472"/>
      <c r="DJ22" s="318"/>
      <c r="DK22" s="130"/>
      <c r="DL22" s="130"/>
      <c r="DM22" s="130"/>
      <c r="DN22" s="130"/>
      <c r="DO22" s="130"/>
      <c r="DP22" s="130"/>
      <c r="DQ22" s="756">
        <f t="shared" si="37"/>
        <v>0</v>
      </c>
      <c r="DR22" s="318"/>
      <c r="DS22" s="303"/>
      <c r="DT22" s="303"/>
      <c r="DU22" s="506">
        <f>IF(YEAR('3 pr-2'!BF22)=2017,DS22,0)</f>
        <v>0</v>
      </c>
      <c r="DV22" s="506">
        <f>IF(YEAR('3 pr-2'!BF22)=2018,DS22,0)</f>
        <v>0</v>
      </c>
      <c r="DW22" s="506">
        <f>IF(YEAR('3 pr-2'!BF22)=2019,DS22,0)</f>
        <v>0</v>
      </c>
      <c r="DX22" s="506">
        <f>IF(YEAR('3 pr-2'!BF22)=2020,DS22,0)</f>
        <v>0</v>
      </c>
      <c r="DY22" s="506">
        <f>IF(YEAR('3 pr-2'!BF22)=2021,DS22,0)</f>
        <v>0</v>
      </c>
      <c r="DZ22" s="506">
        <f>IF(YEAR('3 pr-2'!BF22)=2022,DS22,0)</f>
        <v>0</v>
      </c>
      <c r="EA22" s="506">
        <f>IF(YEAR('3 pr-2'!BF22)=2023,DS22,0)</f>
        <v>0</v>
      </c>
      <c r="EB22" s="317"/>
      <c r="EC22" s="472"/>
      <c r="ED22" s="303"/>
      <c r="EE22" s="303"/>
      <c r="EF22" s="303"/>
      <c r="EG22" s="506">
        <f>IF(YEAR('3 pr-2'!BP22)=2017,ED22,0)</f>
        <v>0</v>
      </c>
      <c r="EH22" s="506">
        <f>IF(YEAR('3 pr-2'!BP22)=2018,ED22,0)</f>
        <v>0</v>
      </c>
      <c r="EI22" s="506">
        <f>IF(YEAR('3 pr-2'!BP22)=2019,ED22,0)</f>
        <v>0</v>
      </c>
      <c r="EJ22" s="506">
        <f>IF(YEAR('3 pr-2'!BP22)=2020,ED22,0)</f>
        <v>0</v>
      </c>
      <c r="EK22" s="506">
        <f>IF(YEAR('3 pr-2'!BP22)=2021,ED22,0)</f>
        <v>0</v>
      </c>
      <c r="EL22" s="506">
        <f>IF(YEAR('3 pr-2'!BP22)=2022,ED22,0)</f>
        <v>0</v>
      </c>
      <c r="EM22" s="506">
        <f>IF(YEAR('3 pr-2'!BP22)=2023,ED22,0)</f>
        <v>0</v>
      </c>
    </row>
    <row r="23" spans="1:143" ht="75" thickTop="1" thickBot="1">
      <c r="A23" s="130" t="str">
        <f>CONCATENATE('3 pr-2'!A23)</f>
        <v>1.1.1.1.14</v>
      </c>
      <c r="B23" s="130" t="str">
        <f>CONCATENATE('3 pr-2'!B23)</f>
        <v>R01-ZM72-122900-1114</v>
      </c>
      <c r="C23" s="1730" t="str">
        <f>CONCATENATE('ketv. 2'!B22)</f>
        <v>20KI-KA-17-1-01647-PR001</v>
      </c>
      <c r="D23" s="78" t="str">
        <f>CONCATENATE('3 pr-2'!D23)</f>
        <v>Varėnos r. Dargužių kaimo Liepų gatvės ir viešosios erdvės įrengimas</v>
      </c>
      <c r="E23" s="11" t="str">
        <f>CONCATENATE('3 pr-2'!E23)</f>
        <v xml:space="preserve">Varėnos rajono savivaldybės administracija </v>
      </c>
      <c r="F23" s="11" t="str">
        <f>CONCATENATE('3 pr-2'!F23)</f>
        <v>Lietuvos Respublikos žemės ūkio ministerija</v>
      </c>
      <c r="G23" s="11" t="str">
        <f>CONCATENATE('3 pr-2'!G23)</f>
        <v>Varėnos r. sav.</v>
      </c>
      <c r="H23" s="11" t="str">
        <f>CONCATENATE('3 pr-2'!H23)</f>
        <v xml:space="preserve">Pagrindinės paslaugos ir kaimų atnaujinimas kaimo vietovėse </v>
      </c>
      <c r="I23" s="130" t="str">
        <f>CONCATENATE('3 pr-2'!I23)</f>
        <v>R</v>
      </c>
      <c r="J23" s="130" t="str">
        <f>CONCATENATE('3 pr-2'!J23)</f>
        <v>-</v>
      </c>
      <c r="K23" s="130" t="str">
        <f>CONCATENATE('3 pr-2'!K23)</f>
        <v>-</v>
      </c>
      <c r="L23" s="130" t="s">
        <v>448</v>
      </c>
      <c r="M23" s="471" t="s">
        <v>449</v>
      </c>
      <c r="N23" s="1699"/>
      <c r="O23" s="1699"/>
      <c r="P23" s="1699"/>
      <c r="Q23" s="1699"/>
      <c r="R23" s="1699"/>
      <c r="S23" s="1699"/>
      <c r="T23" s="1699"/>
      <c r="U23" s="1700"/>
      <c r="V23" s="130">
        <v>1</v>
      </c>
      <c r="W23" s="1757" t="str">
        <f>IF('ketv. 6 '!L22&gt;0,"taip",0)</f>
        <v>taip</v>
      </c>
      <c r="X23" s="1732"/>
      <c r="Y23" s="1732">
        <f>IF(YEAR('3 pr-2'!$AK23)=2017,$V23,0)</f>
        <v>0</v>
      </c>
      <c r="Z23" s="1732">
        <f>IF(YEAR('3 pr-2'!$AK23)=2018,$V23,0)</f>
        <v>0</v>
      </c>
      <c r="AA23" s="1732">
        <f>IF(YEAR('3 pr-2'!$AK23)=2019,$V23,0)</f>
        <v>1</v>
      </c>
      <c r="AB23" s="1732">
        <f>IF(YEAR('3 pr-2'!$AK23)=2020,$V23,0)</f>
        <v>0</v>
      </c>
      <c r="AC23" s="1732">
        <f>IF(YEAR('3 pr-2'!$AK23)=2021,$V23,0)</f>
        <v>0</v>
      </c>
      <c r="AD23" s="1732">
        <f>IF(YEAR('3 pr-2'!$AK23)=2022,$V23,0)</f>
        <v>0</v>
      </c>
      <c r="AE23" s="1732">
        <f>IF(YEAR('3 pr-2'!$AK23)=2023,$V23,0)</f>
        <v>0</v>
      </c>
      <c r="AF23" s="317" t="s">
        <v>450</v>
      </c>
      <c r="AG23" s="471" t="s">
        <v>451</v>
      </c>
      <c r="AH23" s="1699"/>
      <c r="AI23" s="1699"/>
      <c r="AJ23" s="1699"/>
      <c r="AK23" s="1699"/>
      <c r="AL23" s="1699"/>
      <c r="AM23" s="1699"/>
      <c r="AN23" s="1699"/>
      <c r="AO23" s="1718">
        <f t="shared" si="33"/>
        <v>0</v>
      </c>
      <c r="AP23" s="130">
        <v>252</v>
      </c>
      <c r="AQ23" s="1778"/>
      <c r="AR23" s="1732"/>
      <c r="AS23" s="1732">
        <f>IF(YEAR('3 pr-2'!$AK23)=2017,$AP23,0)</f>
        <v>0</v>
      </c>
      <c r="AT23" s="1732">
        <f>IF(YEAR('3 pr-2'!$AK23)=2018,$AP23,0)</f>
        <v>0</v>
      </c>
      <c r="AU23" s="1732">
        <f>IF(YEAR('3 pr-2'!$AK23)=2019,$AP23,0)</f>
        <v>252</v>
      </c>
      <c r="AV23" s="1732">
        <f>IF(YEAR('3 pr-2'!$AK23)=2020,$AP23,0)</f>
        <v>0</v>
      </c>
      <c r="AW23" s="1732">
        <f>IF(YEAR('3 pr-2'!$AK23)=2021,$AP23,0)</f>
        <v>0</v>
      </c>
      <c r="AX23" s="1732">
        <f>IF(YEAR('3 pr-2'!$AK23)=2022,$AP23,0)</f>
        <v>0</v>
      </c>
      <c r="AY23" s="1732">
        <f>IF(YEAR('3 pr-2'!$AK23)=2023,$AP23,0)</f>
        <v>0</v>
      </c>
      <c r="AZ23" s="130" t="s">
        <v>452</v>
      </c>
      <c r="BA23" s="470" t="s">
        <v>453</v>
      </c>
      <c r="BB23" s="1699"/>
      <c r="BC23" s="1699"/>
      <c r="BD23" s="1699"/>
      <c r="BE23" s="1699"/>
      <c r="BF23" s="1699"/>
      <c r="BG23" s="1699"/>
      <c r="BH23" s="1699"/>
      <c r="BI23" s="1718">
        <f t="shared" si="34"/>
        <v>0</v>
      </c>
      <c r="BJ23" s="130">
        <v>1</v>
      </c>
      <c r="BK23" s="1501"/>
      <c r="BL23" s="130"/>
      <c r="BM23" s="130">
        <f>IF(YEAR('3 pr-2'!AK23)=2017,BJ23,0)</f>
        <v>0</v>
      </c>
      <c r="BN23" s="130">
        <f>IF(YEAR('3 pr-2'!AK23)=2018,BJ23,0)</f>
        <v>0</v>
      </c>
      <c r="BO23" s="130">
        <f>IF(YEAR('3 pr-2'!AK23)=2019,BJ23,0)</f>
        <v>1</v>
      </c>
      <c r="BP23" s="130">
        <f>IF(YEAR('3 pr-2'!AK23)=2020,BJ23,0)</f>
        <v>0</v>
      </c>
      <c r="BQ23" s="130">
        <f>IF(YEAR('3 pr-2'!AK23)=2021,BJ23,0)</f>
        <v>0</v>
      </c>
      <c r="BR23" s="130">
        <f>IF(YEAR('3 pr-2'!AK23)=2022,BJ23,0)</f>
        <v>0</v>
      </c>
      <c r="BS23" s="130">
        <f>IF(YEAR('3 pr-2'!AK23)=2023,BJ23,0)</f>
        <v>0</v>
      </c>
      <c r="BT23" s="317"/>
      <c r="BU23" s="471"/>
      <c r="BV23" s="1699"/>
      <c r="BW23" s="1699"/>
      <c r="BX23" s="1699"/>
      <c r="BY23" s="1699"/>
      <c r="BZ23" s="1699"/>
      <c r="CA23" s="1699"/>
      <c r="CB23" s="1699"/>
      <c r="CC23" s="1718">
        <f t="shared" si="35"/>
        <v>0</v>
      </c>
      <c r="CD23" s="130"/>
      <c r="CE23" s="130"/>
      <c r="CF23" s="130"/>
      <c r="CG23" s="130">
        <f>IF(YEAR('3 pr-2'!$AK23)=2017,$CD23,0)</f>
        <v>0</v>
      </c>
      <c r="CH23" s="130">
        <f>IF(YEAR('3 pr-2'!$AK23)=2018,$CD23,0)</f>
        <v>0</v>
      </c>
      <c r="CI23" s="130">
        <f>IF(YEAR('3 pr-2'!$AK23)=2019,$CD23,0)</f>
        <v>0</v>
      </c>
      <c r="CJ23" s="130">
        <f>IF(YEAR('3 pr-2'!$AK23)=2020,$CD23,0)</f>
        <v>0</v>
      </c>
      <c r="CK23" s="130">
        <f>IF(YEAR('3 pr-2'!$AK23)=2021,$CD23,0)</f>
        <v>0</v>
      </c>
      <c r="CL23" s="130">
        <f>IF(YEAR('3 pr-2'!$AK23)=2022,$CD23,0)</f>
        <v>0</v>
      </c>
      <c r="CM23" s="130">
        <f>IF(YEAR('3 pr-2'!$AK23)=2023,$CD23,0)</f>
        <v>0</v>
      </c>
      <c r="CN23" s="317"/>
      <c r="CO23" s="472"/>
      <c r="CP23" s="1704"/>
      <c r="CQ23" s="1699"/>
      <c r="CR23" s="1699"/>
      <c r="CS23" s="1699"/>
      <c r="CT23" s="1699"/>
      <c r="CU23" s="1699"/>
      <c r="CV23" s="1699"/>
      <c r="CW23" s="1718">
        <f t="shared" si="36"/>
        <v>0</v>
      </c>
      <c r="CX23" s="318"/>
      <c r="CY23" s="303"/>
      <c r="CZ23" s="303"/>
      <c r="DA23" s="506">
        <f>IF(YEAR('3 pr-2'!AK23)=2017,CX23,0)</f>
        <v>0</v>
      </c>
      <c r="DB23" s="506">
        <f>IF(YEAR('3 pr-2'!AK23)=2018,CX23,0)</f>
        <v>0</v>
      </c>
      <c r="DC23" s="506">
        <f>IF(YEAR('3 pr-2'!AK23)=2019,CX23,0)</f>
        <v>0</v>
      </c>
      <c r="DD23" s="506">
        <f>IF(YEAR('3 pr-2'!AK23)=2020,CX23,0)</f>
        <v>0</v>
      </c>
      <c r="DE23" s="506">
        <f>IF(YEAR('3 pr-2'!AK23)=2021,CX23,0)</f>
        <v>0</v>
      </c>
      <c r="DF23" s="506">
        <f>IF(YEAR('3 pr-2'!AK23)=2022,CX23,0)</f>
        <v>0</v>
      </c>
      <c r="DG23" s="506">
        <f>IF(YEAR('3 pr-2'!AK23=2023),CX23,0)</f>
        <v>0</v>
      </c>
      <c r="DH23" s="317"/>
      <c r="DI23" s="472"/>
      <c r="DJ23" s="318"/>
      <c r="DK23" s="130"/>
      <c r="DL23" s="130"/>
      <c r="DM23" s="130"/>
      <c r="DN23" s="130"/>
      <c r="DO23" s="130"/>
      <c r="DP23" s="130"/>
      <c r="DQ23" s="756">
        <f t="shared" si="37"/>
        <v>0</v>
      </c>
      <c r="DR23" s="318"/>
      <c r="DS23" s="303"/>
      <c r="DT23" s="303"/>
      <c r="DU23" s="506">
        <f>IF(YEAR('3 pr-2'!BF23)=2017,DS23,0)</f>
        <v>0</v>
      </c>
      <c r="DV23" s="506">
        <f>IF(YEAR('3 pr-2'!BF23)=2018,DS23,0)</f>
        <v>0</v>
      </c>
      <c r="DW23" s="506">
        <f>IF(YEAR('3 pr-2'!BF23)=2019,DS23,0)</f>
        <v>0</v>
      </c>
      <c r="DX23" s="506">
        <f>IF(YEAR('3 pr-2'!BF23)=2020,DS23,0)</f>
        <v>0</v>
      </c>
      <c r="DY23" s="506">
        <f>IF(YEAR('3 pr-2'!BF23)=2021,DS23,0)</f>
        <v>0</v>
      </c>
      <c r="DZ23" s="506">
        <f>IF(YEAR('3 pr-2'!BF23)=2022,DS23,0)</f>
        <v>0</v>
      </c>
      <c r="EA23" s="506">
        <f>IF(YEAR('3 pr-2'!BF23=2023),DS23,0)</f>
        <v>0</v>
      </c>
      <c r="EB23" s="317"/>
      <c r="EC23" s="472"/>
      <c r="ED23" s="303"/>
      <c r="EE23" s="303"/>
      <c r="EF23" s="303"/>
      <c r="EG23" s="506">
        <f>IF(YEAR('3 pr-2'!BP23)=2017,ED23,0)</f>
        <v>0</v>
      </c>
      <c r="EH23" s="506">
        <f>IF(YEAR('3 pr-2'!BP23)=2018,ED23,0)</f>
        <v>0</v>
      </c>
      <c r="EI23" s="506">
        <f>IF(YEAR('3 pr-2'!BP23)=2019,ED23,0)</f>
        <v>0</v>
      </c>
      <c r="EJ23" s="506">
        <f>IF(YEAR('3 pr-2'!BP23)=2020,ED23,0)</f>
        <v>0</v>
      </c>
      <c r="EK23" s="506">
        <f>IF(YEAR('3 pr-2'!BP23)=2021,ED23,0)</f>
        <v>0</v>
      </c>
      <c r="EL23" s="506">
        <f>IF(YEAR('3 pr-2'!BP23)=2022,ED23,0)</f>
        <v>0</v>
      </c>
      <c r="EM23" s="506">
        <f>IF(YEAR('3 pr-2'!BP23=2023),ED23,0)</f>
        <v>0</v>
      </c>
    </row>
    <row r="24" spans="1:143" ht="75" thickTop="1" thickBot="1">
      <c r="A24" s="130" t="str">
        <f>CONCATENATE('3 pr-2'!A24)</f>
        <v>1.1.1.1.15</v>
      </c>
      <c r="B24" s="130" t="str">
        <f>CONCATENATE('3 pr-2'!B24)</f>
        <v>R01-ZM72-123200-1115</v>
      </c>
      <c r="C24" s="1730" t="str">
        <f>CONCATENATE('ketv. 2'!B23)</f>
        <v>20KI-KA-17-1-02469-PR001</v>
      </c>
      <c r="D24" s="78" t="str">
        <f>CONCATENATE('3 pr-2'!D24)</f>
        <v>Alytaus rajono Vaisodžių kaimo sporto aikštės įrengimas ir gatvių apšvietimo atnaujinimas bei plėtra</v>
      </c>
      <c r="E24" s="11" t="str">
        <f>CONCATENATE('3 pr-2'!E24)</f>
        <v>Alytaus rajono savivaldybės administracija</v>
      </c>
      <c r="F24" s="11" t="str">
        <f>CONCATENATE('3 pr-2'!F24)</f>
        <v>Lietuvos Respublikos žemės ūkio ministerija</v>
      </c>
      <c r="G24" s="11" t="str">
        <f>CONCATENATE('3 pr-2'!G24)</f>
        <v>Alytaus r. sav.</v>
      </c>
      <c r="H24" s="11" t="str">
        <f>CONCATENATE('3 pr-2'!H24)</f>
        <v xml:space="preserve">Pagrindinės paslaugos ir kaimų atnaujinimas kaimo vietovėse </v>
      </c>
      <c r="I24" s="130" t="str">
        <f>CONCATENATE('3 pr-2'!I24)</f>
        <v>R</v>
      </c>
      <c r="J24" s="130" t="str">
        <f>CONCATENATE('3 pr-2'!J24)</f>
        <v>-</v>
      </c>
      <c r="K24" s="130" t="str">
        <f>CONCATENATE('3 pr-2'!K24)</f>
        <v>-</v>
      </c>
      <c r="L24" s="130" t="s">
        <v>448</v>
      </c>
      <c r="M24" s="471" t="s">
        <v>449</v>
      </c>
      <c r="N24" s="1699"/>
      <c r="O24" s="1699"/>
      <c r="P24" s="1699"/>
      <c r="Q24" s="1699"/>
      <c r="R24" s="1699"/>
      <c r="S24" s="1699"/>
      <c r="T24" s="1699"/>
      <c r="U24" s="1700"/>
      <c r="V24" s="130">
        <v>2</v>
      </c>
      <c r="W24" s="1757" t="str">
        <f>IF('ketv. 6 '!L23&gt;0,"taip",0)</f>
        <v>taip</v>
      </c>
      <c r="X24" s="1732"/>
      <c r="Y24" s="1732">
        <f>IF(YEAR('3 pr-2'!$AK24)=2017,$V24,0)</f>
        <v>0</v>
      </c>
      <c r="Z24" s="1732">
        <f>IF(YEAR('3 pr-2'!$AK24)=2018,$V24,0)</f>
        <v>2</v>
      </c>
      <c r="AA24" s="1732">
        <f>IF(YEAR('3 pr-2'!$AK24)=2019,$V24,0)</f>
        <v>0</v>
      </c>
      <c r="AB24" s="1732">
        <f>IF(YEAR('3 pr-2'!$AK24)=2020,$V24,0)</f>
        <v>0</v>
      </c>
      <c r="AC24" s="1732">
        <f>IF(YEAR('3 pr-2'!$AK24)=2021,$V24,0)</f>
        <v>0</v>
      </c>
      <c r="AD24" s="1732">
        <f>IF(YEAR('3 pr-2'!$AK24)=2022,$V24,0)</f>
        <v>0</v>
      </c>
      <c r="AE24" s="1732">
        <f>IF(YEAR('3 pr-2'!$AK24)=2023,$V24,0)</f>
        <v>0</v>
      </c>
      <c r="AF24" s="317" t="s">
        <v>450</v>
      </c>
      <c r="AG24" s="471" t="s">
        <v>451</v>
      </c>
      <c r="AH24" s="1699"/>
      <c r="AI24" s="1699"/>
      <c r="AJ24" s="1699"/>
      <c r="AK24" s="1699"/>
      <c r="AL24" s="1699"/>
      <c r="AM24" s="1699"/>
      <c r="AN24" s="1699"/>
      <c r="AO24" s="1718">
        <f t="shared" si="33"/>
        <v>0</v>
      </c>
      <c r="AP24" s="130">
        <v>309</v>
      </c>
      <c r="AQ24" s="1778"/>
      <c r="AR24" s="1732"/>
      <c r="AS24" s="1732">
        <f>IF(YEAR('3 pr-2'!$AK24)=2017,$AP24,0)</f>
        <v>0</v>
      </c>
      <c r="AT24" s="1732">
        <f>IF(YEAR('3 pr-2'!$AK24)=2018,$AP24,0)</f>
        <v>309</v>
      </c>
      <c r="AU24" s="1732">
        <f>IF(YEAR('3 pr-2'!$AK24)=2019,$AP24,0)</f>
        <v>0</v>
      </c>
      <c r="AV24" s="1732">
        <f>IF(YEAR('3 pr-2'!$AK24)=2020,$AP24,0)</f>
        <v>0</v>
      </c>
      <c r="AW24" s="1732">
        <f>IF(YEAR('3 pr-2'!$AK24)=2021,$AP24,0)</f>
        <v>0</v>
      </c>
      <c r="AX24" s="1732">
        <f>IF(YEAR('3 pr-2'!$AK24)=2022,$AP24,0)</f>
        <v>0</v>
      </c>
      <c r="AY24" s="1732">
        <f>IF(YEAR('3 pr-2'!$AK24)=2023,$AP24,0)</f>
        <v>0</v>
      </c>
      <c r="AZ24" s="130" t="s">
        <v>452</v>
      </c>
      <c r="BA24" s="470" t="s">
        <v>453</v>
      </c>
      <c r="BB24" s="1699"/>
      <c r="BC24" s="1699"/>
      <c r="BD24" s="1699"/>
      <c r="BE24" s="1699"/>
      <c r="BF24" s="1699"/>
      <c r="BG24" s="1699"/>
      <c r="BH24" s="1699"/>
      <c r="BI24" s="1718">
        <f t="shared" si="34"/>
        <v>0</v>
      </c>
      <c r="BJ24" s="130">
        <v>1</v>
      </c>
      <c r="BK24" s="1501"/>
      <c r="BL24" s="130"/>
      <c r="BM24" s="130">
        <f>IF(YEAR('3 pr-2'!AK24)=2017,BJ24,0)</f>
        <v>0</v>
      </c>
      <c r="BN24" s="130">
        <f>IF(YEAR('3 pr-2'!AK24)=2018,BJ24,0)</f>
        <v>1</v>
      </c>
      <c r="BO24" s="130">
        <f>IF(YEAR('3 pr-2'!AK24)=2019,BJ24,0)</f>
        <v>0</v>
      </c>
      <c r="BP24" s="130">
        <f>IF(YEAR('3 pr-2'!AK24)=2020,BJ24,0)</f>
        <v>0</v>
      </c>
      <c r="BQ24" s="130">
        <f>IF(YEAR('3 pr-2'!AK24)=2021,BJ24,0)</f>
        <v>0</v>
      </c>
      <c r="BR24" s="130">
        <f>IF(YEAR('3 pr-2'!AK24)=2022,BJ24,0)</f>
        <v>0</v>
      </c>
      <c r="BS24" s="130">
        <f>IF(YEAR('3 pr-2'!AK24)=2023,BJ24,0)</f>
        <v>0</v>
      </c>
      <c r="BT24" s="317"/>
      <c r="BU24" s="471"/>
      <c r="BV24" s="1699"/>
      <c r="BW24" s="1699"/>
      <c r="BX24" s="1699"/>
      <c r="BY24" s="1699"/>
      <c r="BZ24" s="1699"/>
      <c r="CA24" s="1699"/>
      <c r="CB24" s="1699"/>
      <c r="CC24" s="1718">
        <f t="shared" si="35"/>
        <v>0</v>
      </c>
      <c r="CD24" s="130"/>
      <c r="CE24" s="130"/>
      <c r="CF24" s="130"/>
      <c r="CG24" s="130">
        <f>IF(YEAR('3 pr-2'!$AK24)=2017,$CD24,0)</f>
        <v>0</v>
      </c>
      <c r="CH24" s="130">
        <f>IF(YEAR('3 pr-2'!$AK24)=2018,$CD24,0)</f>
        <v>0</v>
      </c>
      <c r="CI24" s="130">
        <f>IF(YEAR('3 pr-2'!$AK24)=2019,$CD24,0)</f>
        <v>0</v>
      </c>
      <c r="CJ24" s="130">
        <f>IF(YEAR('3 pr-2'!$AK24)=2020,$CD24,0)</f>
        <v>0</v>
      </c>
      <c r="CK24" s="130">
        <f>IF(YEAR('3 pr-2'!$AK24)=2021,$CD24,0)</f>
        <v>0</v>
      </c>
      <c r="CL24" s="130">
        <f>IF(YEAR('3 pr-2'!$AK24)=2022,$CD24,0)</f>
        <v>0</v>
      </c>
      <c r="CM24" s="130">
        <f>IF(YEAR('3 pr-2'!$AK24)=2023,$CD24,0)</f>
        <v>0</v>
      </c>
      <c r="CN24" s="317"/>
      <c r="CO24" s="472"/>
      <c r="CP24" s="1704"/>
      <c r="CQ24" s="1699"/>
      <c r="CR24" s="1699"/>
      <c r="CS24" s="1699"/>
      <c r="CT24" s="1699"/>
      <c r="CU24" s="1699"/>
      <c r="CV24" s="1699"/>
      <c r="CW24" s="1718">
        <f t="shared" si="36"/>
        <v>0</v>
      </c>
      <c r="CX24" s="318"/>
      <c r="CY24" s="303"/>
      <c r="CZ24" s="303"/>
      <c r="DA24" s="506">
        <f>IF(YEAR('3 pr-2'!AK24)=2017,CX24,0)</f>
        <v>0</v>
      </c>
      <c r="DB24" s="506">
        <f>IF(YEAR('3 pr-2'!AK24)=2018,CX24,0)</f>
        <v>0</v>
      </c>
      <c r="DC24" s="506">
        <f>IF(YEAR('3 pr-2'!AK24)=2019,CX24,0)</f>
        <v>0</v>
      </c>
      <c r="DD24" s="506">
        <f>IF(YEAR('3 pr-2'!AK24)=2020,CX24,0)</f>
        <v>0</v>
      </c>
      <c r="DE24" s="506">
        <f>IF(YEAR('3 pr-2'!AK24)=2021,CX24,0)</f>
        <v>0</v>
      </c>
      <c r="DF24" s="506">
        <f>IF(YEAR('3 pr-2'!AK24)=2022,CX24,0)</f>
        <v>0</v>
      </c>
      <c r="DG24" s="506">
        <f>IF(YEAR('3 pr-2'!AK24)=2023,CX24,0)</f>
        <v>0</v>
      </c>
      <c r="DH24" s="317"/>
      <c r="DI24" s="472"/>
      <c r="DJ24" s="318"/>
      <c r="DK24" s="130"/>
      <c r="DL24" s="130"/>
      <c r="DM24" s="130"/>
      <c r="DN24" s="130"/>
      <c r="DO24" s="130"/>
      <c r="DP24" s="130"/>
      <c r="DQ24" s="756">
        <f t="shared" si="37"/>
        <v>0</v>
      </c>
      <c r="DR24" s="318"/>
      <c r="DS24" s="303"/>
      <c r="DT24" s="303"/>
      <c r="DU24" s="506">
        <f>IF(YEAR('3 pr-2'!BF24)=2017,DS24,0)</f>
        <v>0</v>
      </c>
      <c r="DV24" s="506">
        <f>IF(YEAR('3 pr-2'!BF24)=2018,DS24,0)</f>
        <v>0</v>
      </c>
      <c r="DW24" s="506">
        <f>IF(YEAR('3 pr-2'!BF24)=2019,DS24,0)</f>
        <v>0</v>
      </c>
      <c r="DX24" s="506">
        <f>IF(YEAR('3 pr-2'!BF24)=2020,DS24,0)</f>
        <v>0</v>
      </c>
      <c r="DY24" s="506">
        <f>IF(YEAR('3 pr-2'!BF24)=2021,DS24,0)</f>
        <v>0</v>
      </c>
      <c r="DZ24" s="506">
        <f>IF(YEAR('3 pr-2'!BF24)=2022,DS24,0)</f>
        <v>0</v>
      </c>
      <c r="EA24" s="506">
        <f>IF(YEAR('3 pr-2'!BF24)=2023,DS24,0)</f>
        <v>0</v>
      </c>
      <c r="EB24" s="317"/>
      <c r="EC24" s="472"/>
      <c r="ED24" s="303"/>
      <c r="EE24" s="303"/>
      <c r="EF24" s="303"/>
      <c r="EG24" s="506">
        <f>IF(YEAR('3 pr-2'!BP24)=2017,ED24,0)</f>
        <v>0</v>
      </c>
      <c r="EH24" s="506">
        <f>IF(YEAR('3 pr-2'!BP24)=2018,ED24,0)</f>
        <v>0</v>
      </c>
      <c r="EI24" s="506">
        <f>IF(YEAR('3 pr-2'!BP24)=2019,ED24,0)</f>
        <v>0</v>
      </c>
      <c r="EJ24" s="506">
        <f>IF(YEAR('3 pr-2'!BP24)=2020,ED24,0)</f>
        <v>0</v>
      </c>
      <c r="EK24" s="506">
        <f>IF(YEAR('3 pr-2'!BP24)=2021,ED24,0)</f>
        <v>0</v>
      </c>
      <c r="EL24" s="506">
        <f>IF(YEAR('3 pr-2'!BP24)=2022,ED24,0)</f>
        <v>0</v>
      </c>
      <c r="EM24" s="506">
        <f>IF(YEAR('3 pr-2'!BP24)=2023,ED24,0)</f>
        <v>0</v>
      </c>
    </row>
    <row r="25" spans="1:143" ht="75" thickTop="1" thickBot="1">
      <c r="A25" s="130" t="str">
        <f>CONCATENATE('3 pr-2'!A25)</f>
        <v>1.1.1.1.16</v>
      </c>
      <c r="B25" s="130" t="str">
        <f>CONCATENATE('3 pr-2'!B25)</f>
        <v>R01-ZM72-123200-1116</v>
      </c>
      <c r="C25" s="1730" t="str">
        <f>CONCATENATE('ketv. 2'!B24)</f>
        <v>20KI-KA-17-1-02240-PR001</v>
      </c>
      <c r="D25" s="78" t="str">
        <f>CONCATENATE('3 pr-2'!D25)</f>
        <v>Alytaus rajono Talokių kaimo sporto aikštės įrengimas ir Plytinės gatvės apšvietimas</v>
      </c>
      <c r="E25" s="11" t="str">
        <f>CONCATENATE('3 pr-2'!E25)</f>
        <v>Alytaus rajono savivaldybės administracija</v>
      </c>
      <c r="F25" s="11" t="str">
        <f>CONCATENATE('3 pr-2'!F25)</f>
        <v>Lietuvos Respublikos žemės ūkio ministerija</v>
      </c>
      <c r="G25" s="11" t="str">
        <f>CONCATENATE('3 pr-2'!G25)</f>
        <v>Alytaus r. sav.</v>
      </c>
      <c r="H25" s="11" t="str">
        <f>CONCATENATE('3 pr-2'!H25)</f>
        <v xml:space="preserve">Pagrindinės paslaugos ir kaimų atnaujinimas kaimo vietovėse </v>
      </c>
      <c r="I25" s="130" t="str">
        <f>CONCATENATE('3 pr-2'!I25)</f>
        <v>R</v>
      </c>
      <c r="J25" s="130" t="str">
        <f>CONCATENATE('3 pr-2'!J25)</f>
        <v>-</v>
      </c>
      <c r="K25" s="130" t="str">
        <f>CONCATENATE('3 pr-2'!K25)</f>
        <v>-</v>
      </c>
      <c r="L25" s="130" t="s">
        <v>448</v>
      </c>
      <c r="M25" s="471" t="s">
        <v>449</v>
      </c>
      <c r="N25" s="1699"/>
      <c r="O25" s="1699"/>
      <c r="P25" s="1699"/>
      <c r="Q25" s="1699"/>
      <c r="R25" s="1699"/>
      <c r="S25" s="1699"/>
      <c r="T25" s="1699"/>
      <c r="U25" s="1700"/>
      <c r="V25" s="130">
        <v>2</v>
      </c>
      <c r="W25" s="1757" t="str">
        <f>IF('ketv. 6 '!L24&gt;0,"taip",0)</f>
        <v>taip</v>
      </c>
      <c r="X25" s="1732"/>
      <c r="Y25" s="1732">
        <f>IF(YEAR('3 pr-2'!$AK25)=2017,$V25,0)</f>
        <v>0</v>
      </c>
      <c r="Z25" s="1732">
        <f>IF(YEAR('3 pr-2'!$AK25)=2018,$V25,0)</f>
        <v>2</v>
      </c>
      <c r="AA25" s="1732">
        <f>IF(YEAR('3 pr-2'!$AK25)=2019,$V25,0)</f>
        <v>0</v>
      </c>
      <c r="AB25" s="1732">
        <f>IF(YEAR('3 pr-2'!$AK25)=2020,$V25,0)</f>
        <v>0</v>
      </c>
      <c r="AC25" s="1732">
        <f>IF(YEAR('3 pr-2'!$AK25)=2021,$V25,0)</f>
        <v>0</v>
      </c>
      <c r="AD25" s="1732">
        <f>IF(YEAR('3 pr-2'!$AK25)=2022,$V25,0)</f>
        <v>0</v>
      </c>
      <c r="AE25" s="1732">
        <f>IF(YEAR('3 pr-2'!$AK25)=2023,$V25,0)</f>
        <v>0</v>
      </c>
      <c r="AF25" s="317" t="s">
        <v>450</v>
      </c>
      <c r="AG25" s="471" t="s">
        <v>451</v>
      </c>
      <c r="AH25" s="1699"/>
      <c r="AI25" s="1699"/>
      <c r="AJ25" s="1699"/>
      <c r="AK25" s="1699"/>
      <c r="AL25" s="1699"/>
      <c r="AM25" s="1699"/>
      <c r="AN25" s="1699"/>
      <c r="AO25" s="1718">
        <f t="shared" si="33"/>
        <v>0</v>
      </c>
      <c r="AP25" s="130">
        <v>396</v>
      </c>
      <c r="AQ25" s="1778"/>
      <c r="AR25" s="1732"/>
      <c r="AS25" s="1732">
        <f>IF(YEAR('3 pr-2'!$AK25)=2017,$AP25,0)</f>
        <v>0</v>
      </c>
      <c r="AT25" s="1732">
        <f>IF(YEAR('3 pr-2'!$AK25)=2018,$AP25,0)</f>
        <v>396</v>
      </c>
      <c r="AU25" s="1732">
        <f>IF(YEAR('3 pr-2'!$AK25)=2019,$AP25,0)</f>
        <v>0</v>
      </c>
      <c r="AV25" s="1732">
        <f>IF(YEAR('3 pr-2'!$AK25)=2020,$AP25,0)</f>
        <v>0</v>
      </c>
      <c r="AW25" s="1732">
        <f>IF(YEAR('3 pr-2'!$AK25)=2021,$AP25,0)</f>
        <v>0</v>
      </c>
      <c r="AX25" s="1732">
        <f>IF(YEAR('3 pr-2'!$AK25)=2022,$AP25,0)</f>
        <v>0</v>
      </c>
      <c r="AY25" s="1732">
        <f>IF(YEAR('3 pr-2'!$AK25)=2023,$AP25,0)</f>
        <v>0</v>
      </c>
      <c r="AZ25" s="130" t="s">
        <v>452</v>
      </c>
      <c r="BA25" s="470" t="s">
        <v>453</v>
      </c>
      <c r="BB25" s="1699"/>
      <c r="BC25" s="1699"/>
      <c r="BD25" s="1699"/>
      <c r="BE25" s="1699"/>
      <c r="BF25" s="1699"/>
      <c r="BG25" s="1699"/>
      <c r="BH25" s="1699"/>
      <c r="BI25" s="1718">
        <f t="shared" si="34"/>
        <v>0</v>
      </c>
      <c r="BJ25" s="130">
        <v>1</v>
      </c>
      <c r="BK25" s="1501"/>
      <c r="BL25" s="130"/>
      <c r="BM25" s="130">
        <f>IF(YEAR('3 pr-2'!AK25)=2017,BJ25,0)</f>
        <v>0</v>
      </c>
      <c r="BN25" s="130">
        <f>IF(YEAR('3 pr-2'!AK25)=2018,BJ25,0)</f>
        <v>1</v>
      </c>
      <c r="BO25" s="130">
        <f>IF(YEAR('3 pr-2'!AK25)=2019,BJ25,0)</f>
        <v>0</v>
      </c>
      <c r="BP25" s="130">
        <f>IF(YEAR('3 pr-2'!AK25)=2020,BJ25,0)</f>
        <v>0</v>
      </c>
      <c r="BQ25" s="130">
        <f>IF(YEAR('3 pr-2'!AK25)=2021,BJ25,0)</f>
        <v>0</v>
      </c>
      <c r="BR25" s="130">
        <f>IF(YEAR('3 pr-2'!AK25)=2022,BJ25,0)</f>
        <v>0</v>
      </c>
      <c r="BS25" s="130">
        <f>IF(YEAR('3 pr-2'!AK25)=2023,BJ25,0)</f>
        <v>0</v>
      </c>
      <c r="BT25" s="317"/>
      <c r="BU25" s="471"/>
      <c r="BV25" s="1699"/>
      <c r="BW25" s="1699"/>
      <c r="BX25" s="1699"/>
      <c r="BY25" s="1699"/>
      <c r="BZ25" s="1699"/>
      <c r="CA25" s="1699"/>
      <c r="CB25" s="1699"/>
      <c r="CC25" s="1718">
        <f t="shared" si="35"/>
        <v>0</v>
      </c>
      <c r="CD25" s="130"/>
      <c r="CE25" s="130"/>
      <c r="CF25" s="130"/>
      <c r="CG25" s="130">
        <f>IF(YEAR('3 pr-2'!$AK25)=2017,$CD25,0)</f>
        <v>0</v>
      </c>
      <c r="CH25" s="130">
        <f>IF(YEAR('3 pr-2'!$AK25)=2018,$CD25,0)</f>
        <v>0</v>
      </c>
      <c r="CI25" s="130">
        <f>IF(YEAR('3 pr-2'!$AK25)=2019,$CD25,0)</f>
        <v>0</v>
      </c>
      <c r="CJ25" s="130">
        <f>IF(YEAR('3 pr-2'!$AK25)=2020,$CD25,0)</f>
        <v>0</v>
      </c>
      <c r="CK25" s="130">
        <f>IF(YEAR('3 pr-2'!$AK25)=2021,$CD25,0)</f>
        <v>0</v>
      </c>
      <c r="CL25" s="130">
        <f>IF(YEAR('3 pr-2'!$AK25)=2022,$CD25,0)</f>
        <v>0</v>
      </c>
      <c r="CM25" s="130">
        <f>IF(YEAR('3 pr-2'!$AK25)=2023,$CD25,0)</f>
        <v>0</v>
      </c>
      <c r="CN25" s="317"/>
      <c r="CO25" s="472"/>
      <c r="CP25" s="1704"/>
      <c r="CQ25" s="1699"/>
      <c r="CR25" s="1699"/>
      <c r="CS25" s="1699"/>
      <c r="CT25" s="1699"/>
      <c r="CU25" s="1699"/>
      <c r="CV25" s="1699"/>
      <c r="CW25" s="1718">
        <f t="shared" si="36"/>
        <v>0</v>
      </c>
      <c r="CX25" s="318"/>
      <c r="CY25" s="303"/>
      <c r="CZ25" s="303"/>
      <c r="DA25" s="506">
        <f>IF(YEAR('3 pr-2'!AK25)=2017,CX25,0)</f>
        <v>0</v>
      </c>
      <c r="DB25" s="506">
        <f>IF(YEAR('3 pr-2'!AK25)=2018,CX25,0)</f>
        <v>0</v>
      </c>
      <c r="DC25" s="506">
        <f>IF(YEAR('3 pr-2'!AK25)=2019,CX25,0)</f>
        <v>0</v>
      </c>
      <c r="DD25" s="506">
        <f>IF(YEAR('3 pr-2'!AK25)=2020,CX25,0)</f>
        <v>0</v>
      </c>
      <c r="DE25" s="506">
        <f>IF(YEAR('3 pr-2'!AK25)=2021,CX25,0)</f>
        <v>0</v>
      </c>
      <c r="DF25" s="506">
        <f>IF(YEAR('3 pr-2'!AK25)=2022,CX25,0)</f>
        <v>0</v>
      </c>
      <c r="DG25" s="506">
        <f>IF(YEAR('3 pr-2'!AK25)=2023,CX25,0)</f>
        <v>0</v>
      </c>
      <c r="DH25" s="317"/>
      <c r="DI25" s="472"/>
      <c r="DJ25" s="318"/>
      <c r="DK25" s="130"/>
      <c r="DL25" s="130"/>
      <c r="DM25" s="130"/>
      <c r="DN25" s="130"/>
      <c r="DO25" s="130"/>
      <c r="DP25" s="130"/>
      <c r="DQ25" s="756">
        <f t="shared" si="37"/>
        <v>0</v>
      </c>
      <c r="DR25" s="318"/>
      <c r="DS25" s="303"/>
      <c r="DT25" s="303"/>
      <c r="DU25" s="506">
        <f>IF(YEAR('3 pr-2'!BF25)=2017,DS25,0)</f>
        <v>0</v>
      </c>
      <c r="DV25" s="506">
        <f>IF(YEAR('3 pr-2'!BF25)=2018,DS25,0)</f>
        <v>0</v>
      </c>
      <c r="DW25" s="506">
        <f>IF(YEAR('3 pr-2'!BF25)=2019,DS25,0)</f>
        <v>0</v>
      </c>
      <c r="DX25" s="506">
        <f>IF(YEAR('3 pr-2'!BF25)=2020,DS25,0)</f>
        <v>0</v>
      </c>
      <c r="DY25" s="506">
        <f>IF(YEAR('3 pr-2'!BF25)=2021,DS25,0)</f>
        <v>0</v>
      </c>
      <c r="DZ25" s="506">
        <f>IF(YEAR('3 pr-2'!BF25)=2022,DS25,0)</f>
        <v>0</v>
      </c>
      <c r="EA25" s="506">
        <f>IF(YEAR('3 pr-2'!BF25)=2023,DS25,0)</f>
        <v>0</v>
      </c>
      <c r="EB25" s="317"/>
      <c r="EC25" s="472"/>
      <c r="ED25" s="303"/>
      <c r="EE25" s="303"/>
      <c r="EF25" s="303"/>
      <c r="EG25" s="506">
        <f>IF(YEAR('3 pr-2'!BP25)=2017,ED25,0)</f>
        <v>0</v>
      </c>
      <c r="EH25" s="506">
        <f>IF(YEAR('3 pr-2'!BP25)=2018,ED25,0)</f>
        <v>0</v>
      </c>
      <c r="EI25" s="506">
        <f>IF(YEAR('3 pr-2'!BP25)=2019,ED25,0)</f>
        <v>0</v>
      </c>
      <c r="EJ25" s="506">
        <f>IF(YEAR('3 pr-2'!BP25)=2020,ED25,0)</f>
        <v>0</v>
      </c>
      <c r="EK25" s="506">
        <f>IF(YEAR('3 pr-2'!BP25)=2021,ED25,0)</f>
        <v>0</v>
      </c>
      <c r="EL25" s="506">
        <f>IF(YEAR('3 pr-2'!BP25)=2022,ED25,0)</f>
        <v>0</v>
      </c>
      <c r="EM25" s="506">
        <f>IF(YEAR('3 pr-2'!BP25)=2023,ED25,0)</f>
        <v>0</v>
      </c>
    </row>
    <row r="26" spans="1:143" ht="75" thickTop="1" thickBot="1">
      <c r="A26" s="130" t="str">
        <f>CONCATENATE('3 pr-2'!A26)</f>
        <v>1.1.1.1.17</v>
      </c>
      <c r="B26" s="130" t="str">
        <f>CONCATENATE('3 pr-2'!B26)</f>
        <v>R01-ZM72-120000-1117</v>
      </c>
      <c r="C26" s="1730" t="str">
        <f>CONCATENATE('ketv. 2'!B25)</f>
        <v>20KI-KA-17-1-01639-PR001</v>
      </c>
      <c r="D26" s="78" t="str">
        <f>CONCATENATE('3 pr-2'!D26)</f>
        <v>Varėnos r. Rudnios kaimo Pušyno gatvės įrengimas</v>
      </c>
      <c r="E26" s="11" t="str">
        <f>CONCATENATE('3 pr-2'!E26)</f>
        <v xml:space="preserve">Varėnos rajono savivaldybės administracija </v>
      </c>
      <c r="F26" s="11" t="str">
        <f>CONCATENATE('3 pr-2'!F26)</f>
        <v>Lietuvos Respublikos žemės ūkio ministerija</v>
      </c>
      <c r="G26" s="11" t="str">
        <f>CONCATENATE('3 pr-2'!G26)</f>
        <v>Varėnos r. sav.</v>
      </c>
      <c r="H26" s="11" t="str">
        <f>CONCATENATE('3 pr-2'!H26)</f>
        <v xml:space="preserve">Pagrindinės paslaugos ir kaimų atnaujinimas kaimo vietovėse </v>
      </c>
      <c r="I26" s="130" t="str">
        <f>CONCATENATE('3 pr-2'!I26)</f>
        <v>R</v>
      </c>
      <c r="J26" s="130" t="str">
        <f>CONCATENATE('3 pr-2'!J26)</f>
        <v>-</v>
      </c>
      <c r="K26" s="130" t="str">
        <f>CONCATENATE('3 pr-2'!K26)</f>
        <v>-</v>
      </c>
      <c r="L26" s="130" t="s">
        <v>448</v>
      </c>
      <c r="M26" s="471" t="s">
        <v>449</v>
      </c>
      <c r="N26" s="1699"/>
      <c r="O26" s="1699"/>
      <c r="P26" s="1699"/>
      <c r="Q26" s="1699"/>
      <c r="R26" s="1699"/>
      <c r="S26" s="1699"/>
      <c r="T26" s="1699"/>
      <c r="U26" s="1700"/>
      <c r="V26" s="130">
        <v>1</v>
      </c>
      <c r="W26" s="1757" t="str">
        <f>IF('ketv. 6 '!L25&gt;0,"taip",0)</f>
        <v>taip</v>
      </c>
      <c r="X26" s="1732"/>
      <c r="Y26" s="1732">
        <f>IF(YEAR('3 pr-2'!$AK26)=2017,$V26,0)</f>
        <v>0</v>
      </c>
      <c r="Z26" s="1732">
        <f>IF(YEAR('3 pr-2'!$AK26)=2018,$V26,0)</f>
        <v>0</v>
      </c>
      <c r="AA26" s="1732">
        <f>IF(YEAR('3 pr-2'!$AK26)=2019,$V26,0)</f>
        <v>1</v>
      </c>
      <c r="AB26" s="1732">
        <f>IF(YEAR('3 pr-2'!$AK26)=2020,$V26,0)</f>
        <v>0</v>
      </c>
      <c r="AC26" s="1732">
        <f>IF(YEAR('3 pr-2'!$AK26)=2021,$V26,0)</f>
        <v>0</v>
      </c>
      <c r="AD26" s="1732">
        <f>IF(YEAR('3 pr-2'!$AK26)=2022,$V26,0)</f>
        <v>0</v>
      </c>
      <c r="AE26" s="1732">
        <f>IF(YEAR('3 pr-2'!$AK26)=2023,$V26,0)</f>
        <v>0</v>
      </c>
      <c r="AF26" s="317" t="s">
        <v>450</v>
      </c>
      <c r="AG26" s="471" t="s">
        <v>451</v>
      </c>
      <c r="AH26" s="1699"/>
      <c r="AI26" s="1699"/>
      <c r="AJ26" s="1699"/>
      <c r="AK26" s="1699"/>
      <c r="AL26" s="1699"/>
      <c r="AM26" s="1699"/>
      <c r="AN26" s="1699"/>
      <c r="AO26" s="1718">
        <f t="shared" si="33"/>
        <v>0</v>
      </c>
      <c r="AP26" s="130">
        <v>74</v>
      </c>
      <c r="AQ26" s="1778"/>
      <c r="AR26" s="1732"/>
      <c r="AS26" s="1732">
        <f>IF(YEAR('3 pr-2'!$AK26)=2017,$AP26,0)</f>
        <v>0</v>
      </c>
      <c r="AT26" s="1732">
        <f>IF(YEAR('3 pr-2'!$AK26)=2018,$AP26,0)</f>
        <v>0</v>
      </c>
      <c r="AU26" s="1732">
        <f>IF(YEAR('3 pr-2'!$AK26)=2019,$AP26,0)</f>
        <v>74</v>
      </c>
      <c r="AV26" s="1732">
        <f>IF(YEAR('3 pr-2'!$AK26)=2020,$AP26,0)</f>
        <v>0</v>
      </c>
      <c r="AW26" s="1732">
        <f>IF(YEAR('3 pr-2'!$AK26)=2021,$AP26,0)</f>
        <v>0</v>
      </c>
      <c r="AX26" s="1732">
        <f>IF(YEAR('3 pr-2'!$AK26)=2022,$AP26,0)</f>
        <v>0</v>
      </c>
      <c r="AY26" s="1732">
        <f>IF(YEAR('3 pr-2'!$AK26)=2023,$AP26,0)</f>
        <v>0</v>
      </c>
      <c r="AZ26" s="130" t="s">
        <v>452</v>
      </c>
      <c r="BA26" s="470" t="s">
        <v>453</v>
      </c>
      <c r="BB26" s="1699"/>
      <c r="BC26" s="1699"/>
      <c r="BD26" s="1699"/>
      <c r="BE26" s="1699"/>
      <c r="BF26" s="1699"/>
      <c r="BG26" s="1699"/>
      <c r="BH26" s="1699"/>
      <c r="BI26" s="1718">
        <f t="shared" si="34"/>
        <v>0</v>
      </c>
      <c r="BJ26" s="130">
        <v>1</v>
      </c>
      <c r="BK26" s="1501"/>
      <c r="BL26" s="130"/>
      <c r="BM26" s="130">
        <f>IF(YEAR('3 pr-2'!AK26)=2017,BJ26,0)</f>
        <v>0</v>
      </c>
      <c r="BN26" s="130">
        <f>IF(YEAR('3 pr-2'!AK26)=2018,BJ26,0)</f>
        <v>0</v>
      </c>
      <c r="BO26" s="130">
        <f>IF(YEAR('3 pr-2'!AK26)=2019,BJ26,0)</f>
        <v>1</v>
      </c>
      <c r="BP26" s="130">
        <f>IF(YEAR('3 pr-2'!AK26)=2020,BJ26,0)</f>
        <v>0</v>
      </c>
      <c r="BQ26" s="130">
        <f>IF(YEAR('3 pr-2'!AK26)=2021,BJ26,0)</f>
        <v>0</v>
      </c>
      <c r="BR26" s="130">
        <f>IF(YEAR('3 pr-2'!AK26)=2022,BJ26,0)</f>
        <v>0</v>
      </c>
      <c r="BS26" s="130">
        <f>IF(YEAR('3 pr-2'!AK26)=2023,BJ26,0)</f>
        <v>0</v>
      </c>
      <c r="BT26" s="317"/>
      <c r="BU26" s="471"/>
      <c r="BV26" s="1699"/>
      <c r="BW26" s="1699"/>
      <c r="BX26" s="1699"/>
      <c r="BY26" s="1699"/>
      <c r="BZ26" s="1699"/>
      <c r="CA26" s="1699"/>
      <c r="CB26" s="1699"/>
      <c r="CC26" s="1718">
        <f t="shared" si="35"/>
        <v>0</v>
      </c>
      <c r="CD26" s="130"/>
      <c r="CE26" s="130"/>
      <c r="CF26" s="130"/>
      <c r="CG26" s="130">
        <f>IF(YEAR('3 pr-2'!$AK26)=2017,$CD26,0)</f>
        <v>0</v>
      </c>
      <c r="CH26" s="130">
        <f>IF(YEAR('3 pr-2'!$AK26)=2018,$CD26,0)</f>
        <v>0</v>
      </c>
      <c r="CI26" s="130">
        <f>IF(YEAR('3 pr-2'!$AK26)=2019,$CD26,0)</f>
        <v>0</v>
      </c>
      <c r="CJ26" s="130">
        <f>IF(YEAR('3 pr-2'!$AK26)=2020,$CD26,0)</f>
        <v>0</v>
      </c>
      <c r="CK26" s="130">
        <f>IF(YEAR('3 pr-2'!$AK26)=2021,$CD26,0)</f>
        <v>0</v>
      </c>
      <c r="CL26" s="130">
        <f>IF(YEAR('3 pr-2'!$AK26)=2022,$CD26,0)</f>
        <v>0</v>
      </c>
      <c r="CM26" s="130">
        <f>IF(YEAR('3 pr-2'!$AK26)=2023,$CD26,0)</f>
        <v>0</v>
      </c>
      <c r="CN26" s="317"/>
      <c r="CO26" s="472"/>
      <c r="CP26" s="1704"/>
      <c r="CQ26" s="1699"/>
      <c r="CR26" s="1699"/>
      <c r="CS26" s="1699"/>
      <c r="CT26" s="1699"/>
      <c r="CU26" s="1699"/>
      <c r="CV26" s="1699"/>
      <c r="CW26" s="1718">
        <f t="shared" si="36"/>
        <v>0</v>
      </c>
      <c r="CX26" s="318"/>
      <c r="CY26" s="303"/>
      <c r="CZ26" s="303"/>
      <c r="DA26" s="506">
        <f>IF(YEAR('3 pr-2'!AK26)=2017,CX26,0)</f>
        <v>0</v>
      </c>
      <c r="DB26" s="506">
        <f>IF(YEAR('3 pr-2'!AK26)=2018,CX26,0)</f>
        <v>0</v>
      </c>
      <c r="DC26" s="506">
        <f>IF(YEAR('3 pr-2'!AK26)=2019,CX26,0)</f>
        <v>0</v>
      </c>
      <c r="DD26" s="506">
        <f>IF(YEAR('3 pr-2'!AK26)=2020,CX26,0)</f>
        <v>0</v>
      </c>
      <c r="DE26" s="506">
        <f>IF(YEAR('3 pr-2'!AK26)=2021,CX26,0)</f>
        <v>0</v>
      </c>
      <c r="DF26" s="506">
        <f>IF(YEAR('3 pr-2'!AK26)=2022,CX26,0)</f>
        <v>0</v>
      </c>
      <c r="DG26" s="506">
        <f>IF(YEAR('3 pr-2'!AK26)=2023,CX26,0)</f>
        <v>0</v>
      </c>
      <c r="DH26" s="317"/>
      <c r="DI26" s="472"/>
      <c r="DJ26" s="318"/>
      <c r="DK26" s="130"/>
      <c r="DL26" s="130"/>
      <c r="DM26" s="130"/>
      <c r="DN26" s="130"/>
      <c r="DO26" s="130"/>
      <c r="DP26" s="130"/>
      <c r="DQ26" s="756">
        <f t="shared" si="37"/>
        <v>0</v>
      </c>
      <c r="DR26" s="318"/>
      <c r="DS26" s="303"/>
      <c r="DT26" s="303"/>
      <c r="DU26" s="506">
        <f>IF(YEAR('3 pr-2'!BF26)=2017,DS26,0)</f>
        <v>0</v>
      </c>
      <c r="DV26" s="506">
        <f>IF(YEAR('3 pr-2'!BF26)=2018,DS26,0)</f>
        <v>0</v>
      </c>
      <c r="DW26" s="506">
        <f>IF(YEAR('3 pr-2'!BF26)=2019,DS26,0)</f>
        <v>0</v>
      </c>
      <c r="DX26" s="506">
        <f>IF(YEAR('3 pr-2'!BF26)=2020,DS26,0)</f>
        <v>0</v>
      </c>
      <c r="DY26" s="506">
        <f>IF(YEAR('3 pr-2'!BF26)=2021,DS26,0)</f>
        <v>0</v>
      </c>
      <c r="DZ26" s="506">
        <f>IF(YEAR('3 pr-2'!BF26)=2022,DS26,0)</f>
        <v>0</v>
      </c>
      <c r="EA26" s="506">
        <f>IF(YEAR('3 pr-2'!BF26)=2023,DS26,0)</f>
        <v>0</v>
      </c>
      <c r="EB26" s="317"/>
      <c r="EC26" s="472"/>
      <c r="ED26" s="303"/>
      <c r="EE26" s="303"/>
      <c r="EF26" s="303"/>
      <c r="EG26" s="506">
        <f>IF(YEAR('3 pr-2'!BP26)=2017,ED26,0)</f>
        <v>0</v>
      </c>
      <c r="EH26" s="506">
        <f>IF(YEAR('3 pr-2'!BP26)=2018,ED26,0)</f>
        <v>0</v>
      </c>
      <c r="EI26" s="506">
        <f>IF(YEAR('3 pr-2'!BP26)=2019,ED26,0)</f>
        <v>0</v>
      </c>
      <c r="EJ26" s="506">
        <f>IF(YEAR('3 pr-2'!BP26)=2020,ED26,0)</f>
        <v>0</v>
      </c>
      <c r="EK26" s="506">
        <f>IF(YEAR('3 pr-2'!BP26)=2021,ED26,0)</f>
        <v>0</v>
      </c>
      <c r="EL26" s="506">
        <f>IF(YEAR('3 pr-2'!BP26)=2022,ED26,0)</f>
        <v>0</v>
      </c>
      <c r="EM26" s="506">
        <f>IF(YEAR('3 pr-2'!BP26)=2023,ED26,0)</f>
        <v>0</v>
      </c>
    </row>
    <row r="27" spans="1:143" ht="75" thickTop="1" thickBot="1">
      <c r="A27" s="130" t="str">
        <f>CONCATENATE('3 pr-2'!A27)</f>
        <v>1.1.1.1.18</v>
      </c>
      <c r="B27" s="130" t="str">
        <f>CONCATENATE('3 pr-2'!B27)</f>
        <v>R01-ZM72-340000-1118</v>
      </c>
      <c r="C27" s="1730" t="str">
        <f>CONCATENATE('ketv. 2'!B26)</f>
        <v>20KI-KA-17-1-01666-PR001</v>
      </c>
      <c r="D27" s="78" t="str">
        <f>CONCATENATE('3 pr-2'!D27)</f>
        <v>Varėnos kultūros centro Žilinų filialo pastato atnaujinimas ir pritaikymas bendruomenės poreikiams</v>
      </c>
      <c r="E27" s="11" t="str">
        <f>CONCATENATE('3 pr-2'!E27)</f>
        <v xml:space="preserve">Varėnos rajono savivaldybės administracija </v>
      </c>
      <c r="F27" s="11" t="str">
        <f>CONCATENATE('3 pr-2'!F27)</f>
        <v>Lietuvos Respublikos žemės ūkio ministerija</v>
      </c>
      <c r="G27" s="11" t="str">
        <f>CONCATENATE('3 pr-2'!G27)</f>
        <v>Varėnos r. sav.</v>
      </c>
      <c r="H27" s="11" t="str">
        <f>CONCATENATE('3 pr-2'!H27)</f>
        <v xml:space="preserve">Pagrindinės paslaugos ir kaimų atnaujinimas kaimo vietovėse </v>
      </c>
      <c r="I27" s="130" t="str">
        <f>CONCATENATE('3 pr-2'!I27)</f>
        <v>R</v>
      </c>
      <c r="J27" s="130" t="str">
        <f>CONCATENATE('3 pr-2'!J27)</f>
        <v>-</v>
      </c>
      <c r="K27" s="130" t="str">
        <f>CONCATENATE('3 pr-2'!K27)</f>
        <v>-</v>
      </c>
      <c r="L27" s="130" t="s">
        <v>448</v>
      </c>
      <c r="M27" s="471" t="s">
        <v>449</v>
      </c>
      <c r="N27" s="1699"/>
      <c r="O27" s="1699"/>
      <c r="P27" s="1699"/>
      <c r="Q27" s="1699"/>
      <c r="R27" s="1699"/>
      <c r="S27" s="1699"/>
      <c r="T27" s="1699"/>
      <c r="U27" s="1700"/>
      <c r="V27" s="130">
        <v>1</v>
      </c>
      <c r="W27" s="1757" t="str">
        <f>IF('ketv. 6 '!L26&gt;0,"taip",0)</f>
        <v>taip</v>
      </c>
      <c r="X27" s="1732"/>
      <c r="Y27" s="1732">
        <f>IF(YEAR('3 pr-2'!$AK27)=2017,$V27,0)</f>
        <v>0</v>
      </c>
      <c r="Z27" s="1732">
        <f>IF(YEAR('3 pr-2'!$AK27)=2018,$V27,0)</f>
        <v>0</v>
      </c>
      <c r="AA27" s="1732">
        <f>IF(YEAR('3 pr-2'!$AK27)=2019,$V27,0)</f>
        <v>1</v>
      </c>
      <c r="AB27" s="1732">
        <f>IF(YEAR('3 pr-2'!$AK27)=2020,$V27,0)</f>
        <v>0</v>
      </c>
      <c r="AC27" s="1732">
        <f>IF(YEAR('3 pr-2'!$AK27)=2021,$V27,0)</f>
        <v>0</v>
      </c>
      <c r="AD27" s="1732">
        <f>IF(YEAR('3 pr-2'!$AK27)=2022,$V27,0)</f>
        <v>0</v>
      </c>
      <c r="AE27" s="1732">
        <f>IF(YEAR('3 pr-2'!$AK27)=2023,$V27,0)</f>
        <v>0</v>
      </c>
      <c r="AF27" s="317" t="s">
        <v>450</v>
      </c>
      <c r="AG27" s="471" t="s">
        <v>451</v>
      </c>
      <c r="AH27" s="1699"/>
      <c r="AI27" s="1699"/>
      <c r="AJ27" s="1699"/>
      <c r="AK27" s="1699"/>
      <c r="AL27" s="1699"/>
      <c r="AM27" s="1699"/>
      <c r="AN27" s="1699"/>
      <c r="AO27" s="1718">
        <f t="shared" si="33"/>
        <v>0</v>
      </c>
      <c r="AP27" s="130">
        <v>392</v>
      </c>
      <c r="AQ27" s="1778"/>
      <c r="AR27" s="1732"/>
      <c r="AS27" s="1732">
        <f>IF(YEAR('3 pr-2'!$AK27)=2017,$AP27,0)</f>
        <v>0</v>
      </c>
      <c r="AT27" s="1732">
        <f>IF(YEAR('3 pr-2'!$AK27)=2018,$AP27,0)</f>
        <v>0</v>
      </c>
      <c r="AU27" s="1732">
        <f>IF(YEAR('3 pr-2'!$AK27)=2019,$AP27,0)</f>
        <v>392</v>
      </c>
      <c r="AV27" s="1732">
        <f>IF(YEAR('3 pr-2'!$AK27)=2020,$AP27,0)</f>
        <v>0</v>
      </c>
      <c r="AW27" s="1732">
        <f>IF(YEAR('3 pr-2'!$AK27)=2021,$AP27,0)</f>
        <v>0</v>
      </c>
      <c r="AX27" s="1732">
        <f>IF(YEAR('3 pr-2'!$AK27)=2022,$AP27,0)</f>
        <v>0</v>
      </c>
      <c r="AY27" s="1732">
        <f>IF(YEAR('3 pr-2'!$AK27)=2023,$AP27,0)</f>
        <v>0</v>
      </c>
      <c r="AZ27" s="130" t="s">
        <v>452</v>
      </c>
      <c r="BA27" s="470" t="s">
        <v>453</v>
      </c>
      <c r="BB27" s="1699"/>
      <c r="BC27" s="1699"/>
      <c r="BD27" s="1699"/>
      <c r="BE27" s="1699"/>
      <c r="BF27" s="1699"/>
      <c r="BG27" s="1699"/>
      <c r="BH27" s="1699"/>
      <c r="BI27" s="1718">
        <f t="shared" si="34"/>
        <v>0</v>
      </c>
      <c r="BJ27" s="130">
        <v>1</v>
      </c>
      <c r="BK27" s="1501"/>
      <c r="BL27" s="130"/>
      <c r="BM27" s="130">
        <f>IF(YEAR('3 pr-2'!AK27)=2017,BJ27,0)</f>
        <v>0</v>
      </c>
      <c r="BN27" s="130">
        <f>IF(YEAR('3 pr-2'!AK27)=2018,BJ27,0)</f>
        <v>0</v>
      </c>
      <c r="BO27" s="130">
        <f>IF(YEAR('3 pr-2'!AK27)=2019,BJ27,0)</f>
        <v>1</v>
      </c>
      <c r="BP27" s="130">
        <f>IF(YEAR('3 pr-2'!AK27)=2020,BJ27,0)</f>
        <v>0</v>
      </c>
      <c r="BQ27" s="130">
        <f>IF(YEAR('3 pr-2'!AK27)=2021,BJ27,0)</f>
        <v>0</v>
      </c>
      <c r="BR27" s="130">
        <f>IF(YEAR('3 pr-2'!AK27)=2022,BJ27,0)</f>
        <v>0</v>
      </c>
      <c r="BS27" s="130">
        <f>IF(YEAR('3 pr-2'!AK27)=2023,BJ27,0)</f>
        <v>0</v>
      </c>
      <c r="BT27" s="317"/>
      <c r="BU27" s="471"/>
      <c r="BV27" s="1699"/>
      <c r="BW27" s="1699"/>
      <c r="BX27" s="1699"/>
      <c r="BY27" s="1699"/>
      <c r="BZ27" s="1699"/>
      <c r="CA27" s="1699"/>
      <c r="CB27" s="1699"/>
      <c r="CC27" s="1718">
        <f t="shared" si="35"/>
        <v>0</v>
      </c>
      <c r="CD27" s="130"/>
      <c r="CE27" s="130"/>
      <c r="CF27" s="130"/>
      <c r="CG27" s="130">
        <f>IF(YEAR('3 pr-2'!$AK27)=2017,$CD27,0)</f>
        <v>0</v>
      </c>
      <c r="CH27" s="130">
        <f>IF(YEAR('3 pr-2'!$AK27)=2018,$CD27,0)</f>
        <v>0</v>
      </c>
      <c r="CI27" s="130">
        <f>IF(YEAR('3 pr-2'!$AK27)=2019,$CD27,0)</f>
        <v>0</v>
      </c>
      <c r="CJ27" s="130">
        <f>IF(YEAR('3 pr-2'!$AK27)=2020,$CD27,0)</f>
        <v>0</v>
      </c>
      <c r="CK27" s="130">
        <f>IF(YEAR('3 pr-2'!$AK27)=2021,$CD27,0)</f>
        <v>0</v>
      </c>
      <c r="CL27" s="130">
        <f>IF(YEAR('3 pr-2'!$AK27)=2022,$CD27,0)</f>
        <v>0</v>
      </c>
      <c r="CM27" s="130">
        <f>IF(YEAR('3 pr-2'!$AK27)=2023,$CD27,0)</f>
        <v>0</v>
      </c>
      <c r="CN27" s="317"/>
      <c r="CO27" s="472"/>
      <c r="CP27" s="1704"/>
      <c r="CQ27" s="1699"/>
      <c r="CR27" s="1699"/>
      <c r="CS27" s="1699"/>
      <c r="CT27" s="1699"/>
      <c r="CU27" s="1699"/>
      <c r="CV27" s="1699"/>
      <c r="CW27" s="1718">
        <f t="shared" si="36"/>
        <v>0</v>
      </c>
      <c r="CX27" s="318"/>
      <c r="CY27" s="303"/>
      <c r="CZ27" s="303"/>
      <c r="DA27" s="506">
        <f>IF(YEAR('3 pr-2'!AK27)=2017,CX27,0)</f>
        <v>0</v>
      </c>
      <c r="DB27" s="506">
        <f>IF(YEAR('3 pr-2'!AK27)=2018,CX27,0)</f>
        <v>0</v>
      </c>
      <c r="DC27" s="506">
        <f>IF(YEAR('3 pr-2'!AK27)=2019,CX27,0)</f>
        <v>0</v>
      </c>
      <c r="DD27" s="506">
        <f>IF(YEAR('3 pr-2'!AK27)=2020,CX27,0)</f>
        <v>0</v>
      </c>
      <c r="DE27" s="506">
        <f>IF(YEAR('3 pr-2'!AK27)=2021,CX27,0)</f>
        <v>0</v>
      </c>
      <c r="DF27" s="506">
        <f>IF(YEAR('3 pr-2'!AK27)=2022,CX27,0)</f>
        <v>0</v>
      </c>
      <c r="DG27" s="506">
        <f>IF(YEAR('3 pr-2'!AK27)=2023,CX27,0)</f>
        <v>0</v>
      </c>
      <c r="DH27" s="317"/>
      <c r="DI27" s="472"/>
      <c r="DJ27" s="318"/>
      <c r="DK27" s="130"/>
      <c r="DL27" s="130"/>
      <c r="DM27" s="130"/>
      <c r="DN27" s="130"/>
      <c r="DO27" s="130"/>
      <c r="DP27" s="130"/>
      <c r="DQ27" s="756">
        <f t="shared" si="37"/>
        <v>0</v>
      </c>
      <c r="DR27" s="318"/>
      <c r="DS27" s="303"/>
      <c r="DT27" s="303"/>
      <c r="DU27" s="506">
        <f>IF(YEAR('3 pr-2'!BF27)=2017,DS27,0)</f>
        <v>0</v>
      </c>
      <c r="DV27" s="506">
        <f>IF(YEAR('3 pr-2'!BF27)=2018,DS27,0)</f>
        <v>0</v>
      </c>
      <c r="DW27" s="506">
        <f>IF(YEAR('3 pr-2'!BF27)=2019,DS27,0)</f>
        <v>0</v>
      </c>
      <c r="DX27" s="506">
        <f>IF(YEAR('3 pr-2'!BF27)=2020,DS27,0)</f>
        <v>0</v>
      </c>
      <c r="DY27" s="506">
        <f>IF(YEAR('3 pr-2'!BF27)=2021,DS27,0)</f>
        <v>0</v>
      </c>
      <c r="DZ27" s="506">
        <f>IF(YEAR('3 pr-2'!BF27)=2022,DS27,0)</f>
        <v>0</v>
      </c>
      <c r="EA27" s="506">
        <f>IF(YEAR('3 pr-2'!BF27)=2023,DS27,0)</f>
        <v>0</v>
      </c>
      <c r="EB27" s="317"/>
      <c r="EC27" s="472"/>
      <c r="ED27" s="303"/>
      <c r="EE27" s="303"/>
      <c r="EF27" s="303"/>
      <c r="EG27" s="506">
        <f>IF(YEAR('3 pr-2'!BP27)=2017,ED27,0)</f>
        <v>0</v>
      </c>
      <c r="EH27" s="506">
        <f>IF(YEAR('3 pr-2'!BP27)=2018,ED27,0)</f>
        <v>0</v>
      </c>
      <c r="EI27" s="506">
        <f>IF(YEAR('3 pr-2'!BP27)=2019,ED27,0)</f>
        <v>0</v>
      </c>
      <c r="EJ27" s="506">
        <f>IF(YEAR('3 pr-2'!BP27)=2020,ED27,0)</f>
        <v>0</v>
      </c>
      <c r="EK27" s="506">
        <f>IF(YEAR('3 pr-2'!BP27)=2021,ED27,0)</f>
        <v>0</v>
      </c>
      <c r="EL27" s="506">
        <f>IF(YEAR('3 pr-2'!BP27)=2022,ED27,0)</f>
        <v>0</v>
      </c>
      <c r="EM27" s="506">
        <f>IF(YEAR('3 pr-2'!BP27)=2023,ED27,0)</f>
        <v>0</v>
      </c>
    </row>
    <row r="28" spans="1:143" ht="75" thickTop="1" thickBot="1">
      <c r="A28" s="130" t="str">
        <f>CONCATENATE('3 pr-2'!A28)</f>
        <v>1.1.1.1.19</v>
      </c>
      <c r="B28" s="130" t="str">
        <f>CONCATENATE('3 pr-2'!B28)</f>
        <v>R01-ZM72-120000-1119</v>
      </c>
      <c r="C28" s="1730" t="str">
        <f>CONCATENATE('ketv. 2'!B27)</f>
        <v>20KI-KA-17-1-02648-PR001</v>
      </c>
      <c r="D28" s="78" t="str">
        <f>CONCATENATE('3 pr-2'!D28)</f>
        <v>Alytaus rajono Pivašiūnų kaimo šaligatvių, laiptų kapitalinis remontas ir gyvenvietės apšvietimo įrengimas</v>
      </c>
      <c r="E28" s="11" t="str">
        <f>CONCATENATE('3 pr-2'!E28)</f>
        <v>Alytaus rajono savivaldybės administracija</v>
      </c>
      <c r="F28" s="11" t="str">
        <f>CONCATENATE('3 pr-2'!F28)</f>
        <v>Lietuvos Respublikos žemės ūkio ministerija</v>
      </c>
      <c r="G28" s="11" t="str">
        <f>CONCATENATE('3 pr-2'!G28)</f>
        <v>Alytaus r. sav.</v>
      </c>
      <c r="H28" s="11" t="str">
        <f>CONCATENATE('3 pr-2'!H28)</f>
        <v xml:space="preserve">Pagrindinės paslaugos ir kaimų atnaujinimas kaimo vietovėse </v>
      </c>
      <c r="I28" s="130" t="str">
        <f>CONCATENATE('3 pr-2'!I28)</f>
        <v>R</v>
      </c>
      <c r="J28" s="130" t="str">
        <f>CONCATENATE('3 pr-2'!J28)</f>
        <v>-</v>
      </c>
      <c r="K28" s="130" t="str">
        <f>CONCATENATE('3 pr-2'!K28)</f>
        <v>-</v>
      </c>
      <c r="L28" s="130" t="s">
        <v>448</v>
      </c>
      <c r="M28" s="471" t="s">
        <v>449</v>
      </c>
      <c r="N28" s="1699"/>
      <c r="O28" s="1699"/>
      <c r="P28" s="1699"/>
      <c r="Q28" s="1699"/>
      <c r="R28" s="1699"/>
      <c r="S28" s="1699"/>
      <c r="T28" s="1699"/>
      <c r="U28" s="1700"/>
      <c r="V28" s="130">
        <v>2</v>
      </c>
      <c r="W28" s="1757" t="str">
        <f>IF('ketv. 6 '!L27&gt;0,"taip",0)</f>
        <v>taip</v>
      </c>
      <c r="X28" s="1732"/>
      <c r="Y28" s="1732">
        <f>IF(YEAR('3 pr-2'!$AK28)=2017,$V28,0)</f>
        <v>0</v>
      </c>
      <c r="Z28" s="1732">
        <f>IF(YEAR('3 pr-2'!$AK28)=2018,$V28,0)</f>
        <v>2</v>
      </c>
      <c r="AA28" s="1732">
        <f>IF(YEAR('3 pr-2'!$AK28)=2019,$V28,0)</f>
        <v>0</v>
      </c>
      <c r="AB28" s="1732">
        <f>IF(YEAR('3 pr-2'!$AK28)=2020,$V28,0)</f>
        <v>0</v>
      </c>
      <c r="AC28" s="1732">
        <f>IF(YEAR('3 pr-2'!$AK28)=2021,$V28,0)</f>
        <v>0</v>
      </c>
      <c r="AD28" s="1732">
        <f>IF(YEAR('3 pr-2'!$AK28)=2022,$V28,0)</f>
        <v>0</v>
      </c>
      <c r="AE28" s="1732">
        <f>IF(YEAR('3 pr-2'!$AK28)=2023,$V28,0)</f>
        <v>0</v>
      </c>
      <c r="AF28" s="317" t="s">
        <v>450</v>
      </c>
      <c r="AG28" s="471" t="s">
        <v>451</v>
      </c>
      <c r="AH28" s="1699"/>
      <c r="AI28" s="1699"/>
      <c r="AJ28" s="1699"/>
      <c r="AK28" s="1699"/>
      <c r="AL28" s="1699"/>
      <c r="AM28" s="1699"/>
      <c r="AN28" s="1699"/>
      <c r="AO28" s="1718">
        <f t="shared" si="33"/>
        <v>0</v>
      </c>
      <c r="AP28" s="130">
        <v>292</v>
      </c>
      <c r="AQ28" s="1778"/>
      <c r="AR28" s="1732"/>
      <c r="AS28" s="1732">
        <f>IF(YEAR('3 pr-2'!$AK28)=2017,$AP28,0)</f>
        <v>0</v>
      </c>
      <c r="AT28" s="1732">
        <f>IF(YEAR('3 pr-2'!$AK28)=2018,$AP28,0)</f>
        <v>292</v>
      </c>
      <c r="AU28" s="1732">
        <f>IF(YEAR('3 pr-2'!$AK28)=2019,$AP28,0)</f>
        <v>0</v>
      </c>
      <c r="AV28" s="1732">
        <f>IF(YEAR('3 pr-2'!$AK28)=2020,$AP28,0)</f>
        <v>0</v>
      </c>
      <c r="AW28" s="1732">
        <f>IF(YEAR('3 pr-2'!$AK28)=2021,$AP28,0)</f>
        <v>0</v>
      </c>
      <c r="AX28" s="1732">
        <f>IF(YEAR('3 pr-2'!$AK28)=2022,$AP28,0)</f>
        <v>0</v>
      </c>
      <c r="AY28" s="1732">
        <f>IF(YEAR('3 pr-2'!$AK28)=2023,$AP28,0)</f>
        <v>0</v>
      </c>
      <c r="AZ28" s="130" t="s">
        <v>452</v>
      </c>
      <c r="BA28" s="470" t="s">
        <v>453</v>
      </c>
      <c r="BB28" s="1699"/>
      <c r="BC28" s="1699"/>
      <c r="BD28" s="1699"/>
      <c r="BE28" s="1699"/>
      <c r="BF28" s="1699"/>
      <c r="BG28" s="1699"/>
      <c r="BH28" s="1699"/>
      <c r="BI28" s="1718">
        <f t="shared" si="34"/>
        <v>0</v>
      </c>
      <c r="BJ28" s="130">
        <v>1</v>
      </c>
      <c r="BK28" s="1501"/>
      <c r="BL28" s="130"/>
      <c r="BM28" s="130">
        <f>IF(YEAR('3 pr-2'!AK28)=2017,BJ28,0)</f>
        <v>0</v>
      </c>
      <c r="BN28" s="130">
        <f>IF(YEAR('3 pr-2'!AK28)=2018,BJ28,0)</f>
        <v>1</v>
      </c>
      <c r="BO28" s="130">
        <f>IF(YEAR('3 pr-2'!AK28)=2019,BJ28,0)</f>
        <v>0</v>
      </c>
      <c r="BP28" s="130">
        <f>IF(YEAR('3 pr-2'!AK28)=2020,BJ28,0)</f>
        <v>0</v>
      </c>
      <c r="BQ28" s="130">
        <f>IF(YEAR('3 pr-2'!AK28)=2021,BJ28,0)</f>
        <v>0</v>
      </c>
      <c r="BR28" s="130">
        <f>IF(YEAR('3 pr-2'!AK28)=2022,BJ28,0)</f>
        <v>0</v>
      </c>
      <c r="BS28" s="130">
        <f>IF(YEAR('3 pr-2'!AK28)=2023,BJ28,0)</f>
        <v>0</v>
      </c>
      <c r="BT28" s="317"/>
      <c r="BU28" s="471"/>
      <c r="BV28" s="1699"/>
      <c r="BW28" s="1699"/>
      <c r="BX28" s="1699"/>
      <c r="BY28" s="1699"/>
      <c r="BZ28" s="1699"/>
      <c r="CA28" s="1699"/>
      <c r="CB28" s="1699"/>
      <c r="CC28" s="1718">
        <f t="shared" si="35"/>
        <v>0</v>
      </c>
      <c r="CD28" s="130"/>
      <c r="CE28" s="130"/>
      <c r="CF28" s="130"/>
      <c r="CG28" s="130">
        <f>IF(YEAR('3 pr-2'!$AK28)=2017,$CD28,0)</f>
        <v>0</v>
      </c>
      <c r="CH28" s="130">
        <f>IF(YEAR('3 pr-2'!$AK28)=2018,$CD28,0)</f>
        <v>0</v>
      </c>
      <c r="CI28" s="130">
        <f>IF(YEAR('3 pr-2'!$AK28)=2019,$CD28,0)</f>
        <v>0</v>
      </c>
      <c r="CJ28" s="130">
        <f>IF(YEAR('3 pr-2'!$AK28)=2020,$CD28,0)</f>
        <v>0</v>
      </c>
      <c r="CK28" s="130">
        <f>IF(YEAR('3 pr-2'!$AK28)=2021,$CD28,0)</f>
        <v>0</v>
      </c>
      <c r="CL28" s="130">
        <f>IF(YEAR('3 pr-2'!$AK28)=2022,$CD28,0)</f>
        <v>0</v>
      </c>
      <c r="CM28" s="130">
        <f>IF(YEAR('3 pr-2'!$AK28)=2023,$CD28,0)</f>
        <v>0</v>
      </c>
      <c r="CN28" s="317"/>
      <c r="CO28" s="472"/>
      <c r="CP28" s="1704"/>
      <c r="CQ28" s="1699"/>
      <c r="CR28" s="1699"/>
      <c r="CS28" s="1699"/>
      <c r="CT28" s="1699"/>
      <c r="CU28" s="1699"/>
      <c r="CV28" s="1699"/>
      <c r="CW28" s="1718">
        <f t="shared" si="36"/>
        <v>0</v>
      </c>
      <c r="CX28" s="318"/>
      <c r="CY28" s="303"/>
      <c r="CZ28" s="303"/>
      <c r="DA28" s="506">
        <f>IF(YEAR('3 pr-2'!AK28)=2017,CX28,0)</f>
        <v>0</v>
      </c>
      <c r="DB28" s="506">
        <f>IF(YEAR('3 pr-2'!AK28)=2018,CX28,0)</f>
        <v>0</v>
      </c>
      <c r="DC28" s="506">
        <f>IF(YEAR('3 pr-2'!AK28)=2019,CX28,0)</f>
        <v>0</v>
      </c>
      <c r="DD28" s="506">
        <f>IF(YEAR('3 pr-2'!AK28)=2020,CX28,0)</f>
        <v>0</v>
      </c>
      <c r="DE28" s="506">
        <f>IF(YEAR('3 pr-2'!AK28)=2021,CX28,0)</f>
        <v>0</v>
      </c>
      <c r="DF28" s="506">
        <f>IF(YEAR('3 pr-2'!AK28)=2022,CX28,0)</f>
        <v>0</v>
      </c>
      <c r="DG28" s="506">
        <f>IF(YEAR('3 pr-2'!AK28)=2023,CX28,0)</f>
        <v>0</v>
      </c>
      <c r="DH28" s="317"/>
      <c r="DI28" s="472"/>
      <c r="DJ28" s="318"/>
      <c r="DK28" s="130"/>
      <c r="DL28" s="130"/>
      <c r="DM28" s="130"/>
      <c r="DN28" s="130"/>
      <c r="DO28" s="130"/>
      <c r="DP28" s="130"/>
      <c r="DQ28" s="756">
        <f t="shared" si="37"/>
        <v>0</v>
      </c>
      <c r="DR28" s="318"/>
      <c r="DS28" s="303"/>
      <c r="DT28" s="303"/>
      <c r="DU28" s="506">
        <f>IF(YEAR('3 pr-2'!BF28)=2017,DS28,0)</f>
        <v>0</v>
      </c>
      <c r="DV28" s="506">
        <f>IF(YEAR('3 pr-2'!BF28)=2018,DS28,0)</f>
        <v>0</v>
      </c>
      <c r="DW28" s="506">
        <f>IF(YEAR('3 pr-2'!BF28)=2019,DS28,0)</f>
        <v>0</v>
      </c>
      <c r="DX28" s="506">
        <f>IF(YEAR('3 pr-2'!BF28)=2020,DS28,0)</f>
        <v>0</v>
      </c>
      <c r="DY28" s="506">
        <f>IF(YEAR('3 pr-2'!BF28)=2021,DS28,0)</f>
        <v>0</v>
      </c>
      <c r="DZ28" s="506">
        <f>IF(YEAR('3 pr-2'!BF28)=2022,DS28,0)</f>
        <v>0</v>
      </c>
      <c r="EA28" s="506">
        <f>IF(YEAR('3 pr-2'!BF28)=2023,DS28,0)</f>
        <v>0</v>
      </c>
      <c r="EB28" s="317"/>
      <c r="EC28" s="472"/>
      <c r="ED28" s="303"/>
      <c r="EE28" s="303"/>
      <c r="EF28" s="303"/>
      <c r="EG28" s="506">
        <f>IF(YEAR('3 pr-2'!BP28)=2017,ED28,0)</f>
        <v>0</v>
      </c>
      <c r="EH28" s="506">
        <f>IF(YEAR('3 pr-2'!BP28)=2018,ED28,0)</f>
        <v>0</v>
      </c>
      <c r="EI28" s="506">
        <f>IF(YEAR('3 pr-2'!BP28)=2019,ED28,0)</f>
        <v>0</v>
      </c>
      <c r="EJ28" s="506">
        <f>IF(YEAR('3 pr-2'!BP28)=2020,ED28,0)</f>
        <v>0</v>
      </c>
      <c r="EK28" s="506">
        <f>IF(YEAR('3 pr-2'!BP28)=2021,ED28,0)</f>
        <v>0</v>
      </c>
      <c r="EL28" s="506">
        <f>IF(YEAR('3 pr-2'!BP28)=2022,ED28,0)</f>
        <v>0</v>
      </c>
      <c r="EM28" s="506">
        <f>IF(YEAR('3 pr-2'!BP28)=2023,ED28,0)</f>
        <v>0</v>
      </c>
    </row>
    <row r="29" spans="1:143" ht="85.5" thickTop="1" thickBot="1">
      <c r="A29" s="130" t="str">
        <f>CONCATENATE('3 pr-2'!A29)</f>
        <v>1.1.1.1.20</v>
      </c>
      <c r="B29" s="130" t="str">
        <f>CONCATENATE('3 pr-2'!B29)</f>
        <v>R01-ZM72-340000-1120</v>
      </c>
      <c r="C29" s="1730" t="str">
        <f>CONCATENATE('ketv. 2'!B28)</f>
        <v>20KI-KA-17-1-01736-PR001</v>
      </c>
      <c r="D29" s="78" t="str">
        <f>CONCATENATE('3 pr-2'!D29)</f>
        <v>Pastato, esančio Pušelės g. 11, Naujųjų Valkininkų k., Varėnos r., atnaujinimas ir pritaikymas bendruomenės poreikiams</v>
      </c>
      <c r="E29" s="11" t="str">
        <f>CONCATENATE('3 pr-2'!E29)</f>
        <v xml:space="preserve">Varėnos rajono savivaldybės administracija </v>
      </c>
      <c r="F29" s="11" t="str">
        <f>CONCATENATE('3 pr-2'!F29)</f>
        <v>Lietuvos Respublikos žemės ūkio ministerija</v>
      </c>
      <c r="G29" s="11" t="str">
        <f>CONCATENATE('3 pr-2'!G29)</f>
        <v>Varėnos r. sav.</v>
      </c>
      <c r="H29" s="11" t="str">
        <f>CONCATENATE('3 pr-2'!H29)</f>
        <v xml:space="preserve">Pagrindinės paslaugos ir kaimų atnaujinimas kaimo vietovėse </v>
      </c>
      <c r="I29" s="130" t="str">
        <f>CONCATENATE('3 pr-2'!I29)</f>
        <v>R</v>
      </c>
      <c r="J29" s="130" t="str">
        <f>CONCATENATE('3 pr-2'!J29)</f>
        <v>-</v>
      </c>
      <c r="K29" s="130" t="str">
        <f>CONCATENATE('3 pr-2'!K29)</f>
        <v>-</v>
      </c>
      <c r="L29" s="130" t="s">
        <v>448</v>
      </c>
      <c r="M29" s="471" t="s">
        <v>449</v>
      </c>
      <c r="N29" s="1699"/>
      <c r="O29" s="1699"/>
      <c r="P29" s="1699"/>
      <c r="Q29" s="1699"/>
      <c r="R29" s="1699"/>
      <c r="S29" s="1699"/>
      <c r="T29" s="1699"/>
      <c r="U29" s="1700"/>
      <c r="V29" s="130">
        <v>1</v>
      </c>
      <c r="W29" s="1757" t="str">
        <f>IF('ketv. 6 '!L28&gt;0,"taip",0)</f>
        <v>taip</v>
      </c>
      <c r="X29" s="1732"/>
      <c r="Y29" s="1732">
        <f>IF(YEAR('3 pr-2'!$AK29)=2017,$V29,0)</f>
        <v>0</v>
      </c>
      <c r="Z29" s="1732">
        <f>IF(YEAR('3 pr-2'!$AK29)=2018,$V29,0)</f>
        <v>0</v>
      </c>
      <c r="AA29" s="1732">
        <f>IF(YEAR('3 pr-2'!$AK29)=2019,$V29,0)</f>
        <v>1</v>
      </c>
      <c r="AB29" s="1732">
        <f>IF(YEAR('3 pr-2'!$AK29)=2020,$V29,0)</f>
        <v>0</v>
      </c>
      <c r="AC29" s="1732">
        <f>IF(YEAR('3 pr-2'!$AK29)=2021,$V29,0)</f>
        <v>0</v>
      </c>
      <c r="AD29" s="1732">
        <f>IF(YEAR('3 pr-2'!$AK29)=2022,$V29,0)</f>
        <v>0</v>
      </c>
      <c r="AE29" s="1732">
        <f>IF(YEAR('3 pr-2'!$AK29)=2023,$V29,0)</f>
        <v>0</v>
      </c>
      <c r="AF29" s="317" t="s">
        <v>450</v>
      </c>
      <c r="AG29" s="471" t="s">
        <v>451</v>
      </c>
      <c r="AH29" s="1699"/>
      <c r="AI29" s="1699"/>
      <c r="AJ29" s="1699"/>
      <c r="AK29" s="1699"/>
      <c r="AL29" s="1699"/>
      <c r="AM29" s="1699"/>
      <c r="AN29" s="1699"/>
      <c r="AO29" s="1718">
        <f t="shared" si="33"/>
        <v>0</v>
      </c>
      <c r="AP29" s="130">
        <v>370</v>
      </c>
      <c r="AQ29" s="1778"/>
      <c r="AR29" s="1732"/>
      <c r="AS29" s="1732">
        <f>IF(YEAR('3 pr-2'!$AK29)=2017,$AP29,0)</f>
        <v>0</v>
      </c>
      <c r="AT29" s="1732">
        <f>IF(YEAR('3 pr-2'!$AK29)=2018,$AP29,0)</f>
        <v>0</v>
      </c>
      <c r="AU29" s="1732">
        <f>IF(YEAR('3 pr-2'!$AK29)=2019,$AP29,0)</f>
        <v>370</v>
      </c>
      <c r="AV29" s="1732">
        <f>IF(YEAR('3 pr-2'!$AK29)=2020,$AP29,0)</f>
        <v>0</v>
      </c>
      <c r="AW29" s="1732">
        <f>IF(YEAR('3 pr-2'!$AK29)=2021,$AP29,0)</f>
        <v>0</v>
      </c>
      <c r="AX29" s="1732">
        <f>IF(YEAR('3 pr-2'!$AK29)=2022,$AP29,0)</f>
        <v>0</v>
      </c>
      <c r="AY29" s="1732">
        <f>IF(YEAR('3 pr-2'!$AK29)=2023,$AP29,0)</f>
        <v>0</v>
      </c>
      <c r="AZ29" s="130" t="s">
        <v>452</v>
      </c>
      <c r="BA29" s="470" t="s">
        <v>453</v>
      </c>
      <c r="BB29" s="1699"/>
      <c r="BC29" s="1699"/>
      <c r="BD29" s="1699"/>
      <c r="BE29" s="1699"/>
      <c r="BF29" s="1699"/>
      <c r="BG29" s="1699"/>
      <c r="BH29" s="1699"/>
      <c r="BI29" s="1718">
        <f t="shared" si="34"/>
        <v>0</v>
      </c>
      <c r="BJ29" s="130">
        <v>1</v>
      </c>
      <c r="BK29" s="1501"/>
      <c r="BL29" s="130"/>
      <c r="BM29" s="130">
        <f>IF(YEAR('3 pr-2'!AK29)=2017,BJ29,0)</f>
        <v>0</v>
      </c>
      <c r="BN29" s="130">
        <f>IF(YEAR('3 pr-2'!AK29)=2018,BJ29,0)</f>
        <v>0</v>
      </c>
      <c r="BO29" s="130">
        <f>IF(YEAR('3 pr-2'!AK29)=2019,BJ29,0)</f>
        <v>1</v>
      </c>
      <c r="BP29" s="130">
        <f>IF(YEAR('3 pr-2'!AK29)=2020,BJ29,0)</f>
        <v>0</v>
      </c>
      <c r="BQ29" s="130">
        <f>IF(YEAR('3 pr-2'!AK29)=2021,BJ29,0)</f>
        <v>0</v>
      </c>
      <c r="BR29" s="130">
        <f>IF(YEAR('3 pr-2'!AK29)=2022,BJ29,0)</f>
        <v>0</v>
      </c>
      <c r="BS29" s="130">
        <f>IF(YEAR('3 pr-2'!AK29)=2023,BJ29,0)</f>
        <v>0</v>
      </c>
      <c r="BT29" s="317"/>
      <c r="BU29" s="471"/>
      <c r="BV29" s="1699"/>
      <c r="BW29" s="1699"/>
      <c r="BX29" s="1699"/>
      <c r="BY29" s="1699"/>
      <c r="BZ29" s="1699"/>
      <c r="CA29" s="1699"/>
      <c r="CB29" s="1699"/>
      <c r="CC29" s="1718">
        <f t="shared" si="35"/>
        <v>0</v>
      </c>
      <c r="CD29" s="130"/>
      <c r="CE29" s="130"/>
      <c r="CF29" s="130"/>
      <c r="CG29" s="130">
        <f>IF(YEAR('3 pr-2'!$AK29)=2017,$CD29,0)</f>
        <v>0</v>
      </c>
      <c r="CH29" s="130">
        <f>IF(YEAR('3 pr-2'!$AK29)=2018,$CD29,0)</f>
        <v>0</v>
      </c>
      <c r="CI29" s="130">
        <f>IF(YEAR('3 pr-2'!$AK29)=2019,$CD29,0)</f>
        <v>0</v>
      </c>
      <c r="CJ29" s="130">
        <f>IF(YEAR('3 pr-2'!$AK29)=2020,$CD29,0)</f>
        <v>0</v>
      </c>
      <c r="CK29" s="130">
        <f>IF(YEAR('3 pr-2'!$AK29)=2021,$CD29,0)</f>
        <v>0</v>
      </c>
      <c r="CL29" s="130">
        <f>IF(YEAR('3 pr-2'!$AK29)=2022,$CD29,0)</f>
        <v>0</v>
      </c>
      <c r="CM29" s="130">
        <f>IF(YEAR('3 pr-2'!$AK29)=2023,$CD29,0)</f>
        <v>0</v>
      </c>
      <c r="CN29" s="317"/>
      <c r="CO29" s="472"/>
      <c r="CP29" s="1704"/>
      <c r="CQ29" s="1699"/>
      <c r="CR29" s="1699"/>
      <c r="CS29" s="1699"/>
      <c r="CT29" s="1699"/>
      <c r="CU29" s="1699"/>
      <c r="CV29" s="1699"/>
      <c r="CW29" s="1718">
        <f t="shared" si="36"/>
        <v>0</v>
      </c>
      <c r="CX29" s="318"/>
      <c r="CY29" s="303"/>
      <c r="CZ29" s="303"/>
      <c r="DA29" s="506">
        <f>IF(YEAR('3 pr-2'!AK29)=2017,CX29,0)</f>
        <v>0</v>
      </c>
      <c r="DB29" s="506">
        <f>IF(YEAR('3 pr-2'!AK29)=2018,CX29,0)</f>
        <v>0</v>
      </c>
      <c r="DC29" s="506">
        <f>IF(YEAR('3 pr-2'!AK29)=2019,CX29,0)</f>
        <v>0</v>
      </c>
      <c r="DD29" s="506">
        <f>IF(YEAR('3 pr-2'!AK29)=2020,CX29,0)</f>
        <v>0</v>
      </c>
      <c r="DE29" s="506">
        <f>IF(YEAR('3 pr-2'!AK29)=2021,CX29,0)</f>
        <v>0</v>
      </c>
      <c r="DF29" s="506">
        <f>IF(YEAR('3 pr-2'!AK29)=2022,CX29,0)</f>
        <v>0</v>
      </c>
      <c r="DG29" s="506">
        <f>IF(YEAR('3 pr-2'!AK29)=2023,CX29,0)</f>
        <v>0</v>
      </c>
      <c r="DH29" s="317"/>
      <c r="DI29" s="472"/>
      <c r="DJ29" s="318"/>
      <c r="DK29" s="130"/>
      <c r="DL29" s="130"/>
      <c r="DM29" s="130"/>
      <c r="DN29" s="130"/>
      <c r="DO29" s="130"/>
      <c r="DP29" s="130"/>
      <c r="DQ29" s="756">
        <f t="shared" si="37"/>
        <v>0</v>
      </c>
      <c r="DR29" s="318"/>
      <c r="DS29" s="303"/>
      <c r="DT29" s="303"/>
      <c r="DU29" s="506">
        <f>IF(YEAR('3 pr-2'!BF29)=2017,DS29,0)</f>
        <v>0</v>
      </c>
      <c r="DV29" s="506">
        <f>IF(YEAR('3 pr-2'!BF29)=2018,DS29,0)</f>
        <v>0</v>
      </c>
      <c r="DW29" s="506">
        <f>IF(YEAR('3 pr-2'!BF29)=2019,DS29,0)</f>
        <v>0</v>
      </c>
      <c r="DX29" s="506">
        <f>IF(YEAR('3 pr-2'!BF29)=2020,DS29,0)</f>
        <v>0</v>
      </c>
      <c r="DY29" s="506">
        <f>IF(YEAR('3 pr-2'!BF29)=2021,DS29,0)</f>
        <v>0</v>
      </c>
      <c r="DZ29" s="506">
        <f>IF(YEAR('3 pr-2'!BF29)=2022,DS29,0)</f>
        <v>0</v>
      </c>
      <c r="EA29" s="506">
        <f>IF(YEAR('3 pr-2'!BF29)=2023,DS29,0)</f>
        <v>0</v>
      </c>
      <c r="EB29" s="317"/>
      <c r="EC29" s="472"/>
      <c r="ED29" s="303"/>
      <c r="EE29" s="303"/>
      <c r="EF29" s="303"/>
      <c r="EG29" s="506">
        <f>IF(YEAR('3 pr-2'!BP29)=2017,ED29,0)</f>
        <v>0</v>
      </c>
      <c r="EH29" s="506">
        <f>IF(YEAR('3 pr-2'!BP29)=2018,ED29,0)</f>
        <v>0</v>
      </c>
      <c r="EI29" s="506">
        <f>IF(YEAR('3 pr-2'!BP29)=2019,ED29,0)</f>
        <v>0</v>
      </c>
      <c r="EJ29" s="506">
        <f>IF(YEAR('3 pr-2'!BP29)=2020,ED29,0)</f>
        <v>0</v>
      </c>
      <c r="EK29" s="506">
        <f>IF(YEAR('3 pr-2'!BP29)=2021,ED29,0)</f>
        <v>0</v>
      </c>
      <c r="EL29" s="506">
        <f>IF(YEAR('3 pr-2'!BP29)=2022,ED29,0)</f>
        <v>0</v>
      </c>
      <c r="EM29" s="506">
        <f>IF(YEAR('3 pr-2'!BP29)=2023,ED29,0)</f>
        <v>0</v>
      </c>
    </row>
    <row r="30" spans="1:143" ht="75" thickTop="1" thickBot="1">
      <c r="A30" s="130" t="str">
        <f>CONCATENATE('3 pr-2'!A30)</f>
        <v>1.1.1.1.21</v>
      </c>
      <c r="B30" s="130" t="str">
        <f>CONCATENATE('3 pr-2'!B30)</f>
        <v>R01-ZM72-120000-1121</v>
      </c>
      <c r="C30" s="1730" t="str">
        <f>CONCATENATE('ketv. 2'!B29)</f>
        <v>20KI-KA-17-1-02364-PR001</v>
      </c>
      <c r="D30" s="78" t="str">
        <f>CONCATENATE('3 pr-2'!D30)</f>
        <v>Kaimo gyvenamųjų vietovių Lazdijų rajono savivaldybėje patrauklumo gerinimas</v>
      </c>
      <c r="E30" s="11" t="str">
        <f>CONCATENATE('3 pr-2'!E30)</f>
        <v>Lazdijų rajono savivaldybės administracija</v>
      </c>
      <c r="F30" s="11" t="str">
        <f>CONCATENATE('3 pr-2'!F30)</f>
        <v>Lietuvos Respublikos žemės ūkio ministerija</v>
      </c>
      <c r="G30" s="11" t="str">
        <f>CONCATENATE('3 pr-2'!G30)</f>
        <v>Lazdijų r. sav.</v>
      </c>
      <c r="H30" s="11" t="str">
        <f>CONCATENATE('3 pr-2'!H30)</f>
        <v xml:space="preserve">Pagrindinės paslaugos ir kaimų atnaujinimas kaimo vietovėse </v>
      </c>
      <c r="I30" s="130" t="str">
        <f>CONCATENATE('3 pr-2'!I30)</f>
        <v>R</v>
      </c>
      <c r="J30" s="130" t="str">
        <f>CONCATENATE('3 pr-2'!J30)</f>
        <v>-</v>
      </c>
      <c r="K30" s="130" t="str">
        <f>CONCATENATE('3 pr-2'!K30)</f>
        <v>-</v>
      </c>
      <c r="L30" s="130" t="s">
        <v>448</v>
      </c>
      <c r="M30" s="471" t="s">
        <v>449</v>
      </c>
      <c r="N30" s="1699"/>
      <c r="O30" s="1699"/>
      <c r="P30" s="1699"/>
      <c r="Q30" s="1699"/>
      <c r="R30" s="1699"/>
      <c r="S30" s="1699"/>
      <c r="T30" s="1699"/>
      <c r="U30" s="1700"/>
      <c r="V30" s="130">
        <v>1</v>
      </c>
      <c r="W30" s="1757" t="str">
        <f>IF('ketv. 6 '!L29&gt;0,"taip",0)</f>
        <v>taip</v>
      </c>
      <c r="X30" s="1732"/>
      <c r="Y30" s="1732">
        <f>IF(YEAR('3 pr-2'!$AK30)=2017,$V30,0)</f>
        <v>0</v>
      </c>
      <c r="Z30" s="1732">
        <f>IF(YEAR('3 pr-2'!$AK30)=2018,$V30,0)</f>
        <v>1</v>
      </c>
      <c r="AA30" s="1732">
        <f>IF(YEAR('3 pr-2'!$AK30)=2019,$V30,0)</f>
        <v>0</v>
      </c>
      <c r="AB30" s="1732">
        <f>IF(YEAR('3 pr-2'!$AK30)=2020,$V30,0)</f>
        <v>0</v>
      </c>
      <c r="AC30" s="1732">
        <f>IF(YEAR('3 pr-2'!$AK30)=2021,$V30,0)</f>
        <v>0</v>
      </c>
      <c r="AD30" s="1732">
        <f>IF(YEAR('3 pr-2'!$AK30)=2022,$V30,0)</f>
        <v>0</v>
      </c>
      <c r="AE30" s="1732">
        <f>IF(YEAR('3 pr-2'!$AK30)=2023,$V30,0)</f>
        <v>0</v>
      </c>
      <c r="AF30" s="317" t="s">
        <v>450</v>
      </c>
      <c r="AG30" s="471" t="s">
        <v>451</v>
      </c>
      <c r="AH30" s="1699"/>
      <c r="AI30" s="1699"/>
      <c r="AJ30" s="1699"/>
      <c r="AK30" s="1699"/>
      <c r="AL30" s="1699"/>
      <c r="AM30" s="1699"/>
      <c r="AN30" s="1699"/>
      <c r="AO30" s="1718">
        <f t="shared" si="33"/>
        <v>0</v>
      </c>
      <c r="AP30" s="130">
        <v>495</v>
      </c>
      <c r="AQ30" s="1778"/>
      <c r="AR30" s="1732"/>
      <c r="AS30" s="1732">
        <f>IF(YEAR('3 pr-2'!$AK30)=2017,$AP30,0)</f>
        <v>0</v>
      </c>
      <c r="AT30" s="1732">
        <f>IF(YEAR('3 pr-2'!$AK30)=2018,$AP30,0)</f>
        <v>495</v>
      </c>
      <c r="AU30" s="1732">
        <f>IF(YEAR('3 pr-2'!$AK30)=2019,$AP30,0)</f>
        <v>0</v>
      </c>
      <c r="AV30" s="1732">
        <f>IF(YEAR('3 pr-2'!$AK30)=2020,$AP30,0)</f>
        <v>0</v>
      </c>
      <c r="AW30" s="1732">
        <f>IF(YEAR('3 pr-2'!$AK30)=2021,$AP30,0)</f>
        <v>0</v>
      </c>
      <c r="AX30" s="1732">
        <f>IF(YEAR('3 pr-2'!$AK30)=2022,$AP30,0)</f>
        <v>0</v>
      </c>
      <c r="AY30" s="1732">
        <f>IF(YEAR('3 pr-2'!$AK30)=2023,$AP30,0)</f>
        <v>0</v>
      </c>
      <c r="AZ30" s="130" t="s">
        <v>452</v>
      </c>
      <c r="BA30" s="470" t="s">
        <v>453</v>
      </c>
      <c r="BB30" s="1699"/>
      <c r="BC30" s="1699"/>
      <c r="BD30" s="1699"/>
      <c r="BE30" s="1699"/>
      <c r="BF30" s="1699"/>
      <c r="BG30" s="1699"/>
      <c r="BH30" s="1699"/>
      <c r="BI30" s="1718">
        <f t="shared" si="34"/>
        <v>0</v>
      </c>
      <c r="BJ30" s="130">
        <v>1</v>
      </c>
      <c r="BK30" s="1501"/>
      <c r="BL30" s="130"/>
      <c r="BM30" s="130">
        <f>IF(YEAR('3 pr-2'!AK30)=2017,BJ30,0)</f>
        <v>0</v>
      </c>
      <c r="BN30" s="130">
        <f>IF(YEAR('3 pr-2'!AK30)=2018,BJ30,0)</f>
        <v>1</v>
      </c>
      <c r="BO30" s="130">
        <f>IF(YEAR('3 pr-2'!AK30)=2019,BJ30,0)</f>
        <v>0</v>
      </c>
      <c r="BP30" s="130">
        <f>IF(YEAR('3 pr-2'!AK30)=2020,BJ30,0)</f>
        <v>0</v>
      </c>
      <c r="BQ30" s="130">
        <f>IF(YEAR('3 pr-2'!AK30)=2021,BJ30,0)</f>
        <v>0</v>
      </c>
      <c r="BR30" s="130">
        <f>IF(YEAR('3 pr-2'!AK30)=2022,BJ30,0)</f>
        <v>0</v>
      </c>
      <c r="BS30" s="130">
        <f>IF(YEAR('3 pr-2'!AK30)=2023,BJ30,0)</f>
        <v>0</v>
      </c>
      <c r="BT30" s="317"/>
      <c r="BU30" s="471"/>
      <c r="BV30" s="1699"/>
      <c r="BW30" s="1699"/>
      <c r="BX30" s="1699"/>
      <c r="BY30" s="1699"/>
      <c r="BZ30" s="1699"/>
      <c r="CA30" s="1699"/>
      <c r="CB30" s="1699"/>
      <c r="CC30" s="1718">
        <f t="shared" si="35"/>
        <v>0</v>
      </c>
      <c r="CD30" s="130"/>
      <c r="CE30" s="130"/>
      <c r="CF30" s="130"/>
      <c r="CG30" s="130">
        <f>IF(YEAR('3 pr-2'!$AK30)=2017,$CD30,0)</f>
        <v>0</v>
      </c>
      <c r="CH30" s="130">
        <f>IF(YEAR('3 pr-2'!$AK30)=2018,$CD30,0)</f>
        <v>0</v>
      </c>
      <c r="CI30" s="130">
        <f>IF(YEAR('3 pr-2'!$AK30)=2019,$CD30,0)</f>
        <v>0</v>
      </c>
      <c r="CJ30" s="130">
        <f>IF(YEAR('3 pr-2'!$AK30)=2020,$CD30,0)</f>
        <v>0</v>
      </c>
      <c r="CK30" s="130">
        <f>IF(YEAR('3 pr-2'!$AK30)=2021,$CD30,0)</f>
        <v>0</v>
      </c>
      <c r="CL30" s="130">
        <f>IF(YEAR('3 pr-2'!$AK30)=2022,$CD30,0)</f>
        <v>0</v>
      </c>
      <c r="CM30" s="130">
        <f>IF(YEAR('3 pr-2'!$AK30)=2023,$CD30,0)</f>
        <v>0</v>
      </c>
      <c r="CN30" s="317"/>
      <c r="CO30" s="472"/>
      <c r="CP30" s="1704"/>
      <c r="CQ30" s="1699"/>
      <c r="CR30" s="1699"/>
      <c r="CS30" s="1699"/>
      <c r="CT30" s="1699"/>
      <c r="CU30" s="1699"/>
      <c r="CV30" s="1699"/>
      <c r="CW30" s="1718">
        <f t="shared" si="36"/>
        <v>0</v>
      </c>
      <c r="CX30" s="318"/>
      <c r="CY30" s="303"/>
      <c r="CZ30" s="303"/>
      <c r="DA30" s="506">
        <f>IF(YEAR('3 pr-2'!AK30)=2017,CX30,0)</f>
        <v>0</v>
      </c>
      <c r="DB30" s="506">
        <f>IF(YEAR('3 pr-2'!AK30)=2018,CX30,0)</f>
        <v>0</v>
      </c>
      <c r="DC30" s="506">
        <f>IF(YEAR('3 pr-2'!AK30)=2019,CX30,0)</f>
        <v>0</v>
      </c>
      <c r="DD30" s="506">
        <f>IF(YEAR('3 pr-2'!AK30)=2020,CX30,0)</f>
        <v>0</v>
      </c>
      <c r="DE30" s="506">
        <f>IF(YEAR('3 pr-2'!AK30)=2021,CX30,0)</f>
        <v>0</v>
      </c>
      <c r="DF30" s="506">
        <f>IF(YEAR('3 pr-2'!AK30)=2022,CX30,0)</f>
        <v>0</v>
      </c>
      <c r="DG30" s="506">
        <f>IF(YEAR('3 pr-2'!AK30)=2023,CX30,0)</f>
        <v>0</v>
      </c>
      <c r="DH30" s="317"/>
      <c r="DI30" s="472"/>
      <c r="DJ30" s="318"/>
      <c r="DK30" s="130"/>
      <c r="DL30" s="130"/>
      <c r="DM30" s="130"/>
      <c r="DN30" s="130"/>
      <c r="DO30" s="130"/>
      <c r="DP30" s="130"/>
      <c r="DQ30" s="756">
        <f t="shared" si="37"/>
        <v>0</v>
      </c>
      <c r="DR30" s="318"/>
      <c r="DS30" s="303"/>
      <c r="DT30" s="303"/>
      <c r="DU30" s="506">
        <f>IF(YEAR('3 pr-2'!BF30)=2017,DS30,0)</f>
        <v>0</v>
      </c>
      <c r="DV30" s="506">
        <f>IF(YEAR('3 pr-2'!BF30)=2018,DS30,0)</f>
        <v>0</v>
      </c>
      <c r="DW30" s="506">
        <f>IF(YEAR('3 pr-2'!BF30)=2019,DS30,0)</f>
        <v>0</v>
      </c>
      <c r="DX30" s="506">
        <f>IF(YEAR('3 pr-2'!BF30)=2020,DS30,0)</f>
        <v>0</v>
      </c>
      <c r="DY30" s="506">
        <f>IF(YEAR('3 pr-2'!BF30)=2021,DS30,0)</f>
        <v>0</v>
      </c>
      <c r="DZ30" s="506">
        <f>IF(YEAR('3 pr-2'!BF30)=2022,DS30,0)</f>
        <v>0</v>
      </c>
      <c r="EA30" s="506">
        <f>IF(YEAR('3 pr-2'!BF30)=2023,DS30,0)</f>
        <v>0</v>
      </c>
      <c r="EB30" s="317"/>
      <c r="EC30" s="472"/>
      <c r="ED30" s="303"/>
      <c r="EE30" s="303"/>
      <c r="EF30" s="303"/>
      <c r="EG30" s="506">
        <f>IF(YEAR('3 pr-2'!BP30)=2017,ED30,0)</f>
        <v>0</v>
      </c>
      <c r="EH30" s="506">
        <f>IF(YEAR('3 pr-2'!BP30)=2018,ED30,0)</f>
        <v>0</v>
      </c>
      <c r="EI30" s="506">
        <f>IF(YEAR('3 pr-2'!BP30)=2019,ED30,0)</f>
        <v>0</v>
      </c>
      <c r="EJ30" s="506">
        <f>IF(YEAR('3 pr-2'!BP30)=2020,ED30,0)</f>
        <v>0</v>
      </c>
      <c r="EK30" s="506">
        <f>IF(YEAR('3 pr-2'!BP30)=2021,ED30,0)</f>
        <v>0</v>
      </c>
      <c r="EL30" s="506">
        <f>IF(YEAR('3 pr-2'!BP30)=2022,ED30,0)</f>
        <v>0</v>
      </c>
      <c r="EM30" s="506">
        <f>IF(YEAR('3 pr-2'!BP30)=2023,ED30,0)</f>
        <v>0</v>
      </c>
    </row>
    <row r="31" spans="1:143" ht="75" thickTop="1" thickBot="1">
      <c r="A31" s="130" t="str">
        <f>CONCATENATE('3 pr-2'!A31)</f>
        <v>1.1.1.1.22</v>
      </c>
      <c r="B31" s="130" t="str">
        <f>CONCATENATE('3 pr-2'!B31)</f>
        <v>R01-ZM72-120000-1122</v>
      </c>
      <c r="C31" s="1730" t="str">
        <f>CONCATENATE('ketv. 2'!B30)</f>
        <v>20KI-KA-17-1-02241-PR001</v>
      </c>
      <c r="D31" s="78" t="str">
        <f>CONCATENATE('3 pr-2'!D31)</f>
        <v>Alytaus rajono Makniūnų kaimo šaligatvių atnaujinimas ir plėtra</v>
      </c>
      <c r="E31" s="11" t="str">
        <f>CONCATENATE('3 pr-2'!E31)</f>
        <v>Alytaus rajono savivaldybės administracija</v>
      </c>
      <c r="F31" s="11" t="str">
        <f>CONCATENATE('3 pr-2'!F31)</f>
        <v>Lietuvos Respublikos žemės ūkio ministerija</v>
      </c>
      <c r="G31" s="11" t="str">
        <f>CONCATENATE('3 pr-2'!G31)</f>
        <v>Alytaus r. sav.</v>
      </c>
      <c r="H31" s="11" t="str">
        <f>CONCATENATE('3 pr-2'!H31)</f>
        <v xml:space="preserve">Pagrindinės paslaugos ir kaimų atnaujinimas kaimo vietovėse </v>
      </c>
      <c r="I31" s="130" t="str">
        <f>CONCATENATE('3 pr-2'!I31)</f>
        <v>R</v>
      </c>
      <c r="J31" s="130" t="str">
        <f>CONCATENATE('3 pr-2'!J31)</f>
        <v>-</v>
      </c>
      <c r="K31" s="130" t="str">
        <f>CONCATENATE('3 pr-2'!K31)</f>
        <v>-</v>
      </c>
      <c r="L31" s="130" t="s">
        <v>448</v>
      </c>
      <c r="M31" s="471" t="s">
        <v>449</v>
      </c>
      <c r="N31" s="1699"/>
      <c r="O31" s="1699"/>
      <c r="P31" s="1699"/>
      <c r="Q31" s="1699"/>
      <c r="R31" s="1699"/>
      <c r="S31" s="1699"/>
      <c r="T31" s="1699"/>
      <c r="U31" s="1700"/>
      <c r="V31" s="130">
        <v>1</v>
      </c>
      <c r="W31" s="1757" t="str">
        <f>IF('ketv. 6 '!L30&gt;0,"taip",0)</f>
        <v>taip</v>
      </c>
      <c r="X31" s="1732"/>
      <c r="Y31" s="1732">
        <f>IF(YEAR('3 pr-2'!$AK31)=2017,$V31,0)</f>
        <v>0</v>
      </c>
      <c r="Z31" s="1732">
        <f>IF(YEAR('3 pr-2'!$AK31)=2018,$V31,0)</f>
        <v>1</v>
      </c>
      <c r="AA31" s="1732">
        <f>IF(YEAR('3 pr-2'!$AK31)=2019,$V31,0)</f>
        <v>0</v>
      </c>
      <c r="AB31" s="1732">
        <f>IF(YEAR('3 pr-2'!$AK31)=2020,$V31,0)</f>
        <v>0</v>
      </c>
      <c r="AC31" s="1732">
        <f>IF(YEAR('3 pr-2'!$AK31)=2021,$V31,0)</f>
        <v>0</v>
      </c>
      <c r="AD31" s="1732">
        <f>IF(YEAR('3 pr-2'!$AK31)=2022,$V31,0)</f>
        <v>0</v>
      </c>
      <c r="AE31" s="1732">
        <f>IF(YEAR('3 pr-2'!$AK31)=2023,$V31,0)</f>
        <v>0</v>
      </c>
      <c r="AF31" s="317" t="s">
        <v>450</v>
      </c>
      <c r="AG31" s="471" t="s">
        <v>451</v>
      </c>
      <c r="AH31" s="1699"/>
      <c r="AI31" s="1699"/>
      <c r="AJ31" s="1699"/>
      <c r="AK31" s="1699"/>
      <c r="AL31" s="1699"/>
      <c r="AM31" s="1699"/>
      <c r="AN31" s="1699"/>
      <c r="AO31" s="1718">
        <f t="shared" si="33"/>
        <v>0</v>
      </c>
      <c r="AP31" s="130">
        <v>227</v>
      </c>
      <c r="AQ31" s="1778"/>
      <c r="AR31" s="1732"/>
      <c r="AS31" s="1732">
        <f>IF(YEAR('3 pr-2'!$AK31)=2017,$AP31,0)</f>
        <v>0</v>
      </c>
      <c r="AT31" s="1732">
        <f>IF(YEAR('3 pr-2'!$AK31)=2018,$AP31,0)</f>
        <v>227</v>
      </c>
      <c r="AU31" s="1732">
        <f>IF(YEAR('3 pr-2'!$AK31)=2019,$AP31,0)</f>
        <v>0</v>
      </c>
      <c r="AV31" s="1732">
        <f>IF(YEAR('3 pr-2'!$AK31)=2020,$AP31,0)</f>
        <v>0</v>
      </c>
      <c r="AW31" s="1732">
        <f>IF(YEAR('3 pr-2'!$AK31)=2021,$AP31,0)</f>
        <v>0</v>
      </c>
      <c r="AX31" s="1732">
        <f>IF(YEAR('3 pr-2'!$AK31)=2022,$AP31,0)</f>
        <v>0</v>
      </c>
      <c r="AY31" s="1732">
        <f>IF(YEAR('3 pr-2'!$AK31)=2023,$AP31,0)</f>
        <v>0</v>
      </c>
      <c r="AZ31" s="130" t="s">
        <v>452</v>
      </c>
      <c r="BA31" s="470" t="s">
        <v>453</v>
      </c>
      <c r="BB31" s="1699"/>
      <c r="BC31" s="1699"/>
      <c r="BD31" s="1699"/>
      <c r="BE31" s="1699"/>
      <c r="BF31" s="1699"/>
      <c r="BG31" s="1699"/>
      <c r="BH31" s="1699"/>
      <c r="BI31" s="1718">
        <f t="shared" si="34"/>
        <v>0</v>
      </c>
      <c r="BJ31" s="130">
        <v>1</v>
      </c>
      <c r="BK31" s="1501"/>
      <c r="BL31" s="130"/>
      <c r="BM31" s="130">
        <f>IF(YEAR('3 pr-2'!AK31)=2017,BJ31,0)</f>
        <v>0</v>
      </c>
      <c r="BN31" s="130">
        <f>IF(YEAR('3 pr-2'!AK31)=2018,BJ31,0)</f>
        <v>1</v>
      </c>
      <c r="BO31" s="130">
        <f>IF(YEAR('3 pr-2'!AK31)=2019,BJ31,0)</f>
        <v>0</v>
      </c>
      <c r="BP31" s="130">
        <f>IF(YEAR('3 pr-2'!AK31)=2020,BJ31,0)</f>
        <v>0</v>
      </c>
      <c r="BQ31" s="130">
        <f>IF(YEAR('3 pr-2'!AK31)=2021,BJ31,0)</f>
        <v>0</v>
      </c>
      <c r="BR31" s="130">
        <f>IF(YEAR('3 pr-2'!AK31)=2022,BJ31,0)</f>
        <v>0</v>
      </c>
      <c r="BS31" s="130">
        <f>IF(YEAR('3 pr-2'!AK31)=2023,BJ31,0)</f>
        <v>0</v>
      </c>
      <c r="BT31" s="317"/>
      <c r="BU31" s="471"/>
      <c r="BV31" s="1699"/>
      <c r="BW31" s="1699"/>
      <c r="BX31" s="1699"/>
      <c r="BY31" s="1699"/>
      <c r="BZ31" s="1699"/>
      <c r="CA31" s="1699"/>
      <c r="CB31" s="1699"/>
      <c r="CC31" s="1718">
        <f t="shared" si="35"/>
        <v>0</v>
      </c>
      <c r="CD31" s="130"/>
      <c r="CE31" s="130"/>
      <c r="CF31" s="130"/>
      <c r="CG31" s="130">
        <f>IF(YEAR('3 pr-2'!$AK31)=2017,$CD31,0)</f>
        <v>0</v>
      </c>
      <c r="CH31" s="130">
        <f>IF(YEAR('3 pr-2'!$AK31)=2018,$CD31,0)</f>
        <v>0</v>
      </c>
      <c r="CI31" s="130">
        <f>IF(YEAR('3 pr-2'!$AK31)=2019,$CD31,0)</f>
        <v>0</v>
      </c>
      <c r="CJ31" s="130">
        <f>IF(YEAR('3 pr-2'!$AK31)=2020,$CD31,0)</f>
        <v>0</v>
      </c>
      <c r="CK31" s="130">
        <f>IF(YEAR('3 pr-2'!$AK31)=2021,$CD31,0)</f>
        <v>0</v>
      </c>
      <c r="CL31" s="130">
        <f>IF(YEAR('3 pr-2'!$AK31)=2022,$CD31,0)</f>
        <v>0</v>
      </c>
      <c r="CM31" s="130">
        <f>IF(YEAR('3 pr-2'!$AK31)=2023,$CD31,0)</f>
        <v>0</v>
      </c>
      <c r="CN31" s="317"/>
      <c r="CO31" s="472"/>
      <c r="CP31" s="1704"/>
      <c r="CQ31" s="1699"/>
      <c r="CR31" s="1699"/>
      <c r="CS31" s="1699"/>
      <c r="CT31" s="1699"/>
      <c r="CU31" s="1699"/>
      <c r="CV31" s="1699"/>
      <c r="CW31" s="1718">
        <f t="shared" si="36"/>
        <v>0</v>
      </c>
      <c r="CX31" s="318"/>
      <c r="CY31" s="303"/>
      <c r="CZ31" s="303"/>
      <c r="DA31" s="506">
        <f>IF(YEAR('3 pr-2'!AK31)=2017,CX31,0)</f>
        <v>0</v>
      </c>
      <c r="DB31" s="506">
        <f>IF(YEAR('3 pr-2'!AK31)=2018,CX31,0)</f>
        <v>0</v>
      </c>
      <c r="DC31" s="506">
        <f>IF(YEAR('3 pr-2'!AK31)=2019,CX31,0)</f>
        <v>0</v>
      </c>
      <c r="DD31" s="506">
        <f>IF(YEAR('3 pr-2'!AK31)=2020,CX31,0)</f>
        <v>0</v>
      </c>
      <c r="DE31" s="506">
        <f>IF(YEAR('3 pr-2'!AK31)=2021,CX31,0)</f>
        <v>0</v>
      </c>
      <c r="DF31" s="506">
        <f>IF(YEAR('3 pr-2'!AK31)=2022,CX31,0)</f>
        <v>0</v>
      </c>
      <c r="DG31" s="506">
        <f>IF(YEAR('3 pr-2'!AK31)=2023,CX31,0)</f>
        <v>0</v>
      </c>
      <c r="DH31" s="317"/>
      <c r="DI31" s="472"/>
      <c r="DJ31" s="318"/>
      <c r="DK31" s="130"/>
      <c r="DL31" s="130"/>
      <c r="DM31" s="130"/>
      <c r="DN31" s="130"/>
      <c r="DO31" s="130"/>
      <c r="DP31" s="130"/>
      <c r="DQ31" s="756">
        <f t="shared" si="37"/>
        <v>0</v>
      </c>
      <c r="DR31" s="318"/>
      <c r="DS31" s="303"/>
      <c r="DT31" s="303"/>
      <c r="DU31" s="506">
        <f>IF(YEAR('3 pr-2'!BF31)=2017,DS31,0)</f>
        <v>0</v>
      </c>
      <c r="DV31" s="506">
        <f>IF(YEAR('3 pr-2'!BF31)=2018,DS31,0)</f>
        <v>0</v>
      </c>
      <c r="DW31" s="506">
        <f>IF(YEAR('3 pr-2'!BF31)=2019,DS31,0)</f>
        <v>0</v>
      </c>
      <c r="DX31" s="506">
        <f>IF(YEAR('3 pr-2'!BF31)=2020,DS31,0)</f>
        <v>0</v>
      </c>
      <c r="DY31" s="506">
        <f>IF(YEAR('3 pr-2'!BF31)=2021,DS31,0)</f>
        <v>0</v>
      </c>
      <c r="DZ31" s="506">
        <f>IF(YEAR('3 pr-2'!BF31)=2022,DS31,0)</f>
        <v>0</v>
      </c>
      <c r="EA31" s="506">
        <f>IF(YEAR('3 pr-2'!BF31)=2023,DS31,0)</f>
        <v>0</v>
      </c>
      <c r="EB31" s="317"/>
      <c r="EC31" s="472"/>
      <c r="ED31" s="303"/>
      <c r="EE31" s="303"/>
      <c r="EF31" s="303"/>
      <c r="EG31" s="506">
        <f>IF(YEAR('3 pr-2'!BP31)=2017,ED31,0)</f>
        <v>0</v>
      </c>
      <c r="EH31" s="506">
        <f>IF(YEAR('3 pr-2'!BP31)=2018,ED31,0)</f>
        <v>0</v>
      </c>
      <c r="EI31" s="506">
        <f>IF(YEAR('3 pr-2'!BP31)=2019,ED31,0)</f>
        <v>0</v>
      </c>
      <c r="EJ31" s="506">
        <f>IF(YEAR('3 pr-2'!BP31)=2020,ED31,0)</f>
        <v>0</v>
      </c>
      <c r="EK31" s="506">
        <f>IF(YEAR('3 pr-2'!BP31)=2021,ED31,0)</f>
        <v>0</v>
      </c>
      <c r="EL31" s="506">
        <f>IF(YEAR('3 pr-2'!BP31)=2022,ED31,0)</f>
        <v>0</v>
      </c>
      <c r="EM31" s="506">
        <f>IF(YEAR('3 pr-2'!BP31)=2023,ED31,0)</f>
        <v>0</v>
      </c>
    </row>
    <row r="32" spans="1:143" ht="75" thickTop="1" thickBot="1">
      <c r="A32" s="130" t="str">
        <f>CONCATENATE('3 pr-2'!A32)</f>
        <v>1.1.1.1.23</v>
      </c>
      <c r="B32" s="130" t="str">
        <f>CONCATENATE('3 pr-2'!B32)</f>
        <v>R01-ZM72-120000-1123</v>
      </c>
      <c r="C32" s="1730" t="str">
        <f>CONCATENATE('ketv. 2'!B31)</f>
        <v>20KI-KA-17-1-</v>
      </c>
      <c r="D32" s="78" t="str">
        <f>CONCATENATE('3 pr-2'!D32)</f>
        <v>Varėnos r. Vazgirdonių kaimo Klevų gatvės įrengimas</v>
      </c>
      <c r="E32" s="11" t="str">
        <f>CONCATENATE('3 pr-2'!E32)</f>
        <v xml:space="preserve">Varėnos rajono savivaldybės administracija </v>
      </c>
      <c r="F32" s="11" t="str">
        <f>CONCATENATE('3 pr-2'!F32)</f>
        <v>Lietuvos Respublikos žemės ūkio ministerija</v>
      </c>
      <c r="G32" s="11" t="str">
        <f>CONCATENATE('3 pr-2'!G32)</f>
        <v>Varėnos r. sav.</v>
      </c>
      <c r="H32" s="11" t="str">
        <f>CONCATENATE('3 pr-2'!H32)</f>
        <v xml:space="preserve">Pagrindinės paslaugos ir kaimų atnaujinimas kaimo vietovėse </v>
      </c>
      <c r="I32" s="130" t="str">
        <f>CONCATENATE('3 pr-2'!I32)</f>
        <v>R</v>
      </c>
      <c r="J32" s="130" t="str">
        <f>CONCATENATE('3 pr-2'!J32)</f>
        <v>-</v>
      </c>
      <c r="K32" s="130" t="str">
        <f>CONCATENATE('3 pr-2'!K32)</f>
        <v>-</v>
      </c>
      <c r="L32" s="130" t="s">
        <v>448</v>
      </c>
      <c r="M32" s="471" t="s">
        <v>449</v>
      </c>
      <c r="N32" s="1699"/>
      <c r="O32" s="1699"/>
      <c r="P32" s="1699"/>
      <c r="Q32" s="1699"/>
      <c r="R32" s="1699"/>
      <c r="S32" s="1699"/>
      <c r="T32" s="1699"/>
      <c r="U32" s="1700"/>
      <c r="V32" s="130">
        <v>1</v>
      </c>
      <c r="W32" s="1757">
        <f>IF('ketv. 6 '!L31&gt;0,"taip",0)</f>
        <v>0</v>
      </c>
      <c r="X32" s="1732"/>
      <c r="Y32" s="1732">
        <f>IF(YEAR('3 pr-2'!$AK32)=2017,$V32,0)</f>
        <v>0</v>
      </c>
      <c r="Z32" s="1732">
        <f>IF(YEAR('3 pr-2'!$AK32)=2018,$V32,0)</f>
        <v>0</v>
      </c>
      <c r="AA32" s="1732">
        <f>IF(YEAR('3 pr-2'!$AK32)=2019,$V32,0)</f>
        <v>1</v>
      </c>
      <c r="AB32" s="1732">
        <f>IF(YEAR('3 pr-2'!$AK32)=2020,$V32,0)</f>
        <v>0</v>
      </c>
      <c r="AC32" s="1732">
        <f>IF(YEAR('3 pr-2'!$AK32)=2021,$V32,0)</f>
        <v>0</v>
      </c>
      <c r="AD32" s="1732">
        <f>IF(YEAR('3 pr-2'!$AK32)=2022,$V32,0)</f>
        <v>0</v>
      </c>
      <c r="AE32" s="1732">
        <f>IF(YEAR('3 pr-2'!$AK32)=2023,$V32,0)</f>
        <v>0</v>
      </c>
      <c r="AF32" s="317" t="s">
        <v>450</v>
      </c>
      <c r="AG32" s="471" t="s">
        <v>451</v>
      </c>
      <c r="AH32" s="1699"/>
      <c r="AI32" s="1699"/>
      <c r="AJ32" s="1699"/>
      <c r="AK32" s="1699"/>
      <c r="AL32" s="1699"/>
      <c r="AM32" s="1699"/>
      <c r="AN32" s="1699"/>
      <c r="AO32" s="1718">
        <f t="shared" si="33"/>
        <v>0</v>
      </c>
      <c r="AP32" s="130">
        <v>75</v>
      </c>
      <c r="AQ32" s="1778"/>
      <c r="AR32" s="1732"/>
      <c r="AS32" s="1732">
        <f>IF(YEAR('3 pr-2'!$AK32)=2017,$AP32,0)</f>
        <v>0</v>
      </c>
      <c r="AT32" s="1732">
        <f>IF(YEAR('3 pr-2'!$AK32)=2018,$AP32,0)</f>
        <v>0</v>
      </c>
      <c r="AU32" s="1732">
        <f>IF(YEAR('3 pr-2'!$AK32)=2019,$AP32,0)</f>
        <v>75</v>
      </c>
      <c r="AV32" s="1732">
        <f>IF(YEAR('3 pr-2'!$AK32)=2020,$AP32,0)</f>
        <v>0</v>
      </c>
      <c r="AW32" s="1732">
        <f>IF(YEAR('3 pr-2'!$AK32)=2021,$AP32,0)</f>
        <v>0</v>
      </c>
      <c r="AX32" s="1732">
        <f>IF(YEAR('3 pr-2'!$AK32)=2022,$AP32,0)</f>
        <v>0</v>
      </c>
      <c r="AY32" s="1732">
        <f>IF(YEAR('3 pr-2'!$AK32)=2023,$AP32,0)</f>
        <v>0</v>
      </c>
      <c r="AZ32" s="130" t="s">
        <v>452</v>
      </c>
      <c r="BA32" s="470" t="s">
        <v>453</v>
      </c>
      <c r="BB32" s="1699"/>
      <c r="BC32" s="1699"/>
      <c r="BD32" s="1699"/>
      <c r="BE32" s="1699"/>
      <c r="BF32" s="1699"/>
      <c r="BG32" s="1699"/>
      <c r="BH32" s="1699"/>
      <c r="BI32" s="1718">
        <f t="shared" si="34"/>
        <v>0</v>
      </c>
      <c r="BJ32" s="130">
        <v>1</v>
      </c>
      <c r="BK32" s="1501"/>
      <c r="BL32" s="130"/>
      <c r="BM32" s="130">
        <f>IF(YEAR('3 pr-2'!AK32)=2017,BJ32,0)</f>
        <v>0</v>
      </c>
      <c r="BN32" s="130">
        <f>IF(YEAR('3 pr-2'!AK32)=2018,BJ32,0)</f>
        <v>0</v>
      </c>
      <c r="BO32" s="130">
        <f>IF(YEAR('3 pr-2'!AK32)=2019,BJ32,0)</f>
        <v>1</v>
      </c>
      <c r="BP32" s="130">
        <f>IF(YEAR('3 pr-2'!AK32)=2020,BJ32,0)</f>
        <v>0</v>
      </c>
      <c r="BQ32" s="130">
        <f>IF(YEAR('3 pr-2'!AK32)=2021,BJ32,0)</f>
        <v>0</v>
      </c>
      <c r="BR32" s="130">
        <f>IF(YEAR('3 pr-2'!AK32)=2022,BJ32,0)</f>
        <v>0</v>
      </c>
      <c r="BS32" s="130">
        <f>IF(YEAR('3 pr-2'!AK32)=2023,BJ32,0)</f>
        <v>0</v>
      </c>
      <c r="BT32" s="317"/>
      <c r="BU32" s="471"/>
      <c r="BV32" s="1699"/>
      <c r="BW32" s="1699"/>
      <c r="BX32" s="1699"/>
      <c r="BY32" s="1699"/>
      <c r="BZ32" s="1699"/>
      <c r="CA32" s="1699"/>
      <c r="CB32" s="1699"/>
      <c r="CC32" s="1718">
        <f t="shared" si="35"/>
        <v>0</v>
      </c>
      <c r="CD32" s="130"/>
      <c r="CE32" s="130"/>
      <c r="CF32" s="130"/>
      <c r="CG32" s="130">
        <f>IF(YEAR('3 pr-2'!$AK32)=2017,$CD32,0)</f>
        <v>0</v>
      </c>
      <c r="CH32" s="130">
        <f>IF(YEAR('3 pr-2'!$AK32)=2018,$CD32,0)</f>
        <v>0</v>
      </c>
      <c r="CI32" s="130">
        <f>IF(YEAR('3 pr-2'!$AK32)=2019,$CD32,0)</f>
        <v>0</v>
      </c>
      <c r="CJ32" s="130">
        <f>IF(YEAR('3 pr-2'!$AK32)=2020,$CD32,0)</f>
        <v>0</v>
      </c>
      <c r="CK32" s="130">
        <f>IF(YEAR('3 pr-2'!$AK32)=2021,$CD32,0)</f>
        <v>0</v>
      </c>
      <c r="CL32" s="130">
        <f>IF(YEAR('3 pr-2'!$AK32)=2022,$CD32,0)</f>
        <v>0</v>
      </c>
      <c r="CM32" s="130">
        <f>IF(YEAR('3 pr-2'!$AK32)=2023,$CD32,0)</f>
        <v>0</v>
      </c>
      <c r="CN32" s="317"/>
      <c r="CO32" s="472"/>
      <c r="CP32" s="1704"/>
      <c r="CQ32" s="1699"/>
      <c r="CR32" s="1699"/>
      <c r="CS32" s="1699"/>
      <c r="CT32" s="1699"/>
      <c r="CU32" s="1699"/>
      <c r="CV32" s="1699"/>
      <c r="CW32" s="1718">
        <f t="shared" si="36"/>
        <v>0</v>
      </c>
      <c r="CX32" s="318"/>
      <c r="CY32" s="303"/>
      <c r="CZ32" s="303"/>
      <c r="DA32" s="506">
        <f>IF(YEAR('3 pr-2'!AK32)=2017,CX32,0)</f>
        <v>0</v>
      </c>
      <c r="DB32" s="506">
        <f>IF(YEAR('3 pr-2'!AK32)=2018,CX32,0)</f>
        <v>0</v>
      </c>
      <c r="DC32" s="506">
        <f>IF(YEAR('3 pr-2'!AK32)=2019,CX32,0)</f>
        <v>0</v>
      </c>
      <c r="DD32" s="506">
        <f>IF(YEAR('3 pr-2'!AK32)=2020,CX32,0)</f>
        <v>0</v>
      </c>
      <c r="DE32" s="506">
        <f>IF(YEAR('3 pr-2'!AK32)=2021,CX32,0)</f>
        <v>0</v>
      </c>
      <c r="DF32" s="506">
        <f>IF(YEAR('3 pr-2'!AK32)=2022,CX32,0)</f>
        <v>0</v>
      </c>
      <c r="DG32" s="506">
        <f>IF(YEAR('3 pr-2'!AK32)=2023,CX32,0)</f>
        <v>0</v>
      </c>
      <c r="DH32" s="317"/>
      <c r="DI32" s="472"/>
      <c r="DJ32" s="318"/>
      <c r="DK32" s="130"/>
      <c r="DL32" s="130"/>
      <c r="DM32" s="130"/>
      <c r="DN32" s="130"/>
      <c r="DO32" s="130"/>
      <c r="DP32" s="130"/>
      <c r="DQ32" s="756">
        <f t="shared" si="37"/>
        <v>0</v>
      </c>
      <c r="DR32" s="318"/>
      <c r="DS32" s="303"/>
      <c r="DT32" s="303"/>
      <c r="DU32" s="506">
        <f>IF(YEAR('3 pr-2'!BF32)=2017,DS32,0)</f>
        <v>0</v>
      </c>
      <c r="DV32" s="506">
        <f>IF(YEAR('3 pr-2'!BF32)=2018,DS32,0)</f>
        <v>0</v>
      </c>
      <c r="DW32" s="506">
        <f>IF(YEAR('3 pr-2'!BF32)=2019,DS32,0)</f>
        <v>0</v>
      </c>
      <c r="DX32" s="506">
        <f>IF(YEAR('3 pr-2'!BF32)=2020,DS32,0)</f>
        <v>0</v>
      </c>
      <c r="DY32" s="506">
        <f>IF(YEAR('3 pr-2'!BF32)=2021,DS32,0)</f>
        <v>0</v>
      </c>
      <c r="DZ32" s="506">
        <f>IF(YEAR('3 pr-2'!BF32)=2022,DS32,0)</f>
        <v>0</v>
      </c>
      <c r="EA32" s="506">
        <f>IF(YEAR('3 pr-2'!BF32)=2023,DS32,0)</f>
        <v>0</v>
      </c>
      <c r="EB32" s="317"/>
      <c r="EC32" s="472"/>
      <c r="ED32" s="303"/>
      <c r="EE32" s="303"/>
      <c r="EF32" s="303"/>
      <c r="EG32" s="506">
        <f>IF(YEAR('3 pr-2'!BP32)=2017,ED32,0)</f>
        <v>0</v>
      </c>
      <c r="EH32" s="506">
        <f>IF(YEAR('3 pr-2'!BP32)=2018,ED32,0)</f>
        <v>0</v>
      </c>
      <c r="EI32" s="506">
        <f>IF(YEAR('3 pr-2'!BP32)=2019,ED32,0)</f>
        <v>0</v>
      </c>
      <c r="EJ32" s="506">
        <f>IF(YEAR('3 pr-2'!BP32)=2020,ED32,0)</f>
        <v>0</v>
      </c>
      <c r="EK32" s="506">
        <f>IF(YEAR('3 pr-2'!BP32)=2021,ED32,0)</f>
        <v>0</v>
      </c>
      <c r="EL32" s="506">
        <f>IF(YEAR('3 pr-2'!BP32)=2022,ED32,0)</f>
        <v>0</v>
      </c>
      <c r="EM32" s="506">
        <f>IF(YEAR('3 pr-2'!BP32)=2023,ED32,0)</f>
        <v>0</v>
      </c>
    </row>
    <row r="33" spans="1:143" ht="30" customHeight="1" thickBot="1">
      <c r="A33" s="697" t="str">
        <f>CONCATENATE('3 pr-2'!A33)</f>
        <v>1.1.1.2</v>
      </c>
      <c r="B33" s="1972" t="str">
        <f>CONCATENATE('3 pr-2'!B33)</f>
        <v>Priemonė:
Kaimo gyvenamųjų vietovių (turinčių 1-6 tūkst. gyventojų) atnaujinimas ir plėtra</v>
      </c>
      <c r="C33" s="1894"/>
      <c r="D33" s="1894"/>
      <c r="E33" s="1894"/>
      <c r="F33" s="1894"/>
      <c r="G33" s="1894"/>
      <c r="H33" s="1894"/>
      <c r="I33" s="1894"/>
      <c r="J33" s="1894"/>
      <c r="K33" s="1895"/>
      <c r="L33" s="1322"/>
      <c r="M33" s="474"/>
      <c r="N33" s="1697">
        <f>SUM(N34:N38)</f>
        <v>0</v>
      </c>
      <c r="O33" s="1697">
        <f t="shared" ref="O33:T33" si="38">SUM(O34:O38)</f>
        <v>0</v>
      </c>
      <c r="P33" s="1697">
        <f t="shared" si="38"/>
        <v>0</v>
      </c>
      <c r="Q33" s="1697">
        <f t="shared" si="38"/>
        <v>0</v>
      </c>
      <c r="R33" s="1697">
        <f t="shared" si="38"/>
        <v>0</v>
      </c>
      <c r="S33" s="1697">
        <f t="shared" si="38"/>
        <v>0</v>
      </c>
      <c r="T33" s="1697">
        <f t="shared" si="38"/>
        <v>0</v>
      </c>
      <c r="U33" s="1698">
        <f t="shared" ref="U33:U39" si="39">SUM(N33:T33)</f>
        <v>0</v>
      </c>
      <c r="V33" s="1094"/>
      <c r="W33" s="1754"/>
      <c r="X33" s="1755"/>
      <c r="Y33" s="1756">
        <f t="shared" ref="Y33:AE33" si="40">SUM(Y34:Y38)</f>
        <v>0</v>
      </c>
      <c r="Z33" s="1756">
        <f t="shared" si="40"/>
        <v>0</v>
      </c>
      <c r="AA33" s="1756">
        <f t="shared" si="40"/>
        <v>47400</v>
      </c>
      <c r="AB33" s="1756">
        <f t="shared" si="40"/>
        <v>35784.449999999997</v>
      </c>
      <c r="AC33" s="1756">
        <f t="shared" si="40"/>
        <v>7440</v>
      </c>
      <c r="AD33" s="1756">
        <f t="shared" si="40"/>
        <v>0</v>
      </c>
      <c r="AE33" s="1756">
        <f t="shared" si="40"/>
        <v>0</v>
      </c>
      <c r="AF33" s="746"/>
      <c r="AG33" s="752"/>
      <c r="AH33" s="1697">
        <f>SUM(AH34:AH38)</f>
        <v>0</v>
      </c>
      <c r="AI33" s="1697">
        <f t="shared" ref="AI33" si="41">SUM(AI34:AI38)</f>
        <v>0</v>
      </c>
      <c r="AJ33" s="1697">
        <f t="shared" ref="AJ33" si="42">SUM(AJ34:AJ38)</f>
        <v>0</v>
      </c>
      <c r="AK33" s="1697">
        <f t="shared" ref="AK33" si="43">SUM(AK34:AK38)</f>
        <v>0</v>
      </c>
      <c r="AL33" s="1697">
        <f t="shared" ref="AL33" si="44">SUM(AL34:AL38)</f>
        <v>0</v>
      </c>
      <c r="AM33" s="1697">
        <f t="shared" ref="AM33" si="45">SUM(AM34:AM38)</f>
        <v>0</v>
      </c>
      <c r="AN33" s="1697">
        <f t="shared" ref="AN33" si="46">SUM(AN34:AN38)</f>
        <v>0</v>
      </c>
      <c r="AO33" s="1701">
        <f t="shared" ref="AO33:AO37" si="47">SUM(AH33:AN33)</f>
        <v>0</v>
      </c>
      <c r="AP33" s="736"/>
      <c r="AQ33" s="1756"/>
      <c r="AR33" s="1756"/>
      <c r="AS33" s="1756">
        <f t="shared" ref="AS33:AY33" si="48">SUM(AS34:AS38)</f>
        <v>0</v>
      </c>
      <c r="AT33" s="1756">
        <f t="shared" si="48"/>
        <v>0</v>
      </c>
      <c r="AU33" s="1756">
        <f t="shared" si="48"/>
        <v>0</v>
      </c>
      <c r="AV33" s="1756">
        <f t="shared" si="48"/>
        <v>539.76</v>
      </c>
      <c r="AW33" s="1756">
        <f t="shared" si="48"/>
        <v>0</v>
      </c>
      <c r="AX33" s="1756">
        <f t="shared" si="48"/>
        <v>0</v>
      </c>
      <c r="AY33" s="1756">
        <f t="shared" si="48"/>
        <v>0</v>
      </c>
      <c r="AZ33" s="736" t="s">
        <v>66</v>
      </c>
      <c r="BA33" s="752"/>
      <c r="BB33" s="1697">
        <f>SUM(BB34:BB38)</f>
        <v>0</v>
      </c>
      <c r="BC33" s="1697">
        <f t="shared" ref="BC33" si="49">SUM(BC34:BC38)</f>
        <v>0</v>
      </c>
      <c r="BD33" s="1697">
        <f t="shared" ref="BD33" si="50">SUM(BD34:BD38)</f>
        <v>0</v>
      </c>
      <c r="BE33" s="1697">
        <f t="shared" ref="BE33" si="51">SUM(BE34:BE38)</f>
        <v>0</v>
      </c>
      <c r="BF33" s="1697">
        <f t="shared" ref="BF33" si="52">SUM(BF34:BF38)</f>
        <v>0</v>
      </c>
      <c r="BG33" s="1697">
        <f t="shared" ref="BG33" si="53">SUM(BG34:BG38)</f>
        <v>0</v>
      </c>
      <c r="BH33" s="1697">
        <f t="shared" ref="BH33" si="54">SUM(BH34:BH38)</f>
        <v>0</v>
      </c>
      <c r="BI33" s="1701">
        <f t="shared" ref="BI33:BI45" si="55">SUM(BB33:BH33)</f>
        <v>0</v>
      </c>
      <c r="BJ33" s="736" t="s">
        <v>66</v>
      </c>
      <c r="BK33" s="304"/>
      <c r="BL33" s="304"/>
      <c r="BM33" s="304"/>
      <c r="BN33" s="304"/>
      <c r="BO33" s="304"/>
      <c r="BP33" s="304"/>
      <c r="BQ33" s="304"/>
      <c r="BR33" s="304"/>
      <c r="BS33" s="304"/>
      <c r="BT33" s="304"/>
      <c r="BU33" s="472"/>
      <c r="BV33" s="1697">
        <f>SUM(BV34:BV38)</f>
        <v>0</v>
      </c>
      <c r="BW33" s="1697">
        <f t="shared" ref="BW33" si="56">SUM(BW34:BW38)</f>
        <v>0</v>
      </c>
      <c r="BX33" s="1697">
        <f t="shared" ref="BX33" si="57">SUM(BX34:BX38)</f>
        <v>0</v>
      </c>
      <c r="BY33" s="1697">
        <f t="shared" ref="BY33" si="58">SUM(BY34:BY38)</f>
        <v>0</v>
      </c>
      <c r="BZ33" s="1697">
        <f t="shared" ref="BZ33" si="59">SUM(BZ34:BZ38)</f>
        <v>0</v>
      </c>
      <c r="CA33" s="1697">
        <f t="shared" ref="CA33" si="60">SUM(CA34:CA38)</f>
        <v>0</v>
      </c>
      <c r="CB33" s="1697">
        <f t="shared" ref="CB33" si="61">SUM(CB34:CB38)</f>
        <v>0</v>
      </c>
      <c r="CC33" s="1701">
        <f t="shared" si="35"/>
        <v>0</v>
      </c>
      <c r="CD33" s="304"/>
      <c r="CE33" s="304"/>
      <c r="CF33" s="304"/>
      <c r="CG33" s="304"/>
      <c r="CH33" s="304"/>
      <c r="CI33" s="304"/>
      <c r="CJ33" s="304"/>
      <c r="CK33" s="304"/>
      <c r="CL33" s="304"/>
      <c r="CM33" s="304"/>
      <c r="CN33" s="750"/>
      <c r="CO33" s="472"/>
      <c r="CP33" s="1723">
        <f>SUM(CP34:CP38)</f>
        <v>0</v>
      </c>
      <c r="CQ33" s="1697">
        <f t="shared" ref="CQ33" si="62">SUM(CQ34:CQ38)</f>
        <v>0</v>
      </c>
      <c r="CR33" s="1697">
        <f t="shared" ref="CR33" si="63">SUM(CR34:CR38)</f>
        <v>0</v>
      </c>
      <c r="CS33" s="1697">
        <f t="shared" ref="CS33" si="64">SUM(CS34:CS38)</f>
        <v>0</v>
      </c>
      <c r="CT33" s="1697">
        <f t="shared" ref="CT33" si="65">SUM(CT34:CT38)</f>
        <v>0</v>
      </c>
      <c r="CU33" s="1697">
        <f t="shared" ref="CU33" si="66">SUM(CU34:CU38)</f>
        <v>0</v>
      </c>
      <c r="CV33" s="1697">
        <f t="shared" ref="CV33" si="67">SUM(CV34:CV38)</f>
        <v>0</v>
      </c>
      <c r="CW33" s="1701">
        <f t="shared" si="36"/>
        <v>0</v>
      </c>
      <c r="CX33" s="304"/>
      <c r="CY33" s="506"/>
      <c r="CZ33" s="506"/>
      <c r="DA33" s="506"/>
      <c r="DB33" s="506"/>
      <c r="DC33" s="506"/>
      <c r="DD33" s="506"/>
      <c r="DE33" s="506"/>
      <c r="DF33" s="506"/>
      <c r="DG33" s="506"/>
      <c r="DH33" s="750"/>
      <c r="DI33" s="472"/>
      <c r="DJ33" s="725">
        <f>SUM(DJ34:DJ38)</f>
        <v>0</v>
      </c>
      <c r="DK33" s="304">
        <f t="shared" ref="DK33:DP33" si="68">SUM(DK34:DK38)</f>
        <v>0</v>
      </c>
      <c r="DL33" s="304">
        <f t="shared" si="68"/>
        <v>0</v>
      </c>
      <c r="DM33" s="304">
        <f t="shared" si="68"/>
        <v>0</v>
      </c>
      <c r="DN33" s="304">
        <f t="shared" si="68"/>
        <v>0</v>
      </c>
      <c r="DO33" s="304">
        <f t="shared" si="68"/>
        <v>0</v>
      </c>
      <c r="DP33" s="304">
        <f t="shared" si="68"/>
        <v>0</v>
      </c>
      <c r="DQ33" s="736">
        <f t="shared" si="37"/>
        <v>0</v>
      </c>
      <c r="DR33" s="304"/>
      <c r="DS33" s="506"/>
      <c r="DT33" s="506"/>
      <c r="DU33" s="506"/>
      <c r="DV33" s="506"/>
      <c r="DW33" s="506"/>
      <c r="DX33" s="506"/>
      <c r="DY33" s="506"/>
      <c r="DZ33" s="506"/>
      <c r="EA33" s="506"/>
      <c r="EB33" s="750"/>
      <c r="EC33" s="472"/>
      <c r="ED33" s="506"/>
      <c r="EE33" s="506"/>
      <c r="EF33" s="506"/>
      <c r="EG33" s="506"/>
      <c r="EH33" s="506"/>
      <c r="EI33" s="506"/>
      <c r="EJ33" s="506"/>
      <c r="EK33" s="506"/>
      <c r="EL33" s="506"/>
      <c r="EM33" s="506"/>
    </row>
    <row r="34" spans="1:143" ht="85.5" thickTop="1" thickBot="1">
      <c r="A34" s="130" t="str">
        <f>CONCATENATE('3 pr-2'!A34)</f>
        <v>1.1.1.2.1</v>
      </c>
      <c r="B34" s="130" t="str">
        <f>CONCATENATE('3 pr-2'!B34)</f>
        <v>R01-9908-293400-1121</v>
      </c>
      <c r="C34" s="1730" t="str">
        <f>CONCATENATE('ketv. 2'!B33)</f>
        <v>08.2.1-CPVA-R-908-11-0002</v>
      </c>
      <c r="D34" s="78" t="str">
        <f>CONCATENATE('3 pr-2'!D34)</f>
        <v>Matuizų kaimo viešosios infrastruktūros atnaujinimas ir pritaikymas bendruomenės poreikiams</v>
      </c>
      <c r="E34" s="11" t="str">
        <f>CONCATENATE('3 pr-2'!E34)</f>
        <v>Varėnos rajono savivaldybės administracija</v>
      </c>
      <c r="F34" s="11" t="str">
        <f>CONCATENATE('3 pr-2'!F34)</f>
        <v>Lietuvos Respublikos vidaus reikalų ministerija</v>
      </c>
      <c r="G34" s="11" t="str">
        <f>CONCATENATE('3 pr-2'!G34)</f>
        <v>Varėnos r. sav.</v>
      </c>
      <c r="H34" s="130" t="str">
        <f>CONCATENATE('3 pr-2'!H34)</f>
        <v>8.2.1-CPVA-R-908</v>
      </c>
      <c r="I34" s="130" t="str">
        <f>CONCATENATE('3 pr-2'!I34)</f>
        <v>R</v>
      </c>
      <c r="J34" s="130" t="str">
        <f>CONCATENATE('3 pr-2'!J34)</f>
        <v>-</v>
      </c>
      <c r="K34" s="130" t="str">
        <f>CONCATENATE('3 pr-2'!K34)</f>
        <v>-</v>
      </c>
      <c r="L34" s="130" t="s">
        <v>381</v>
      </c>
      <c r="M34" s="471" t="s">
        <v>454</v>
      </c>
      <c r="N34" s="1699"/>
      <c r="O34" s="1699"/>
      <c r="P34" s="1699"/>
      <c r="Q34" s="1699"/>
      <c r="R34" s="1699"/>
      <c r="S34" s="1699"/>
      <c r="T34" s="1699"/>
      <c r="U34" s="1700">
        <f>SUM(N34:T34)</f>
        <v>0</v>
      </c>
      <c r="V34" s="1032">
        <v>15003.25</v>
      </c>
      <c r="W34" s="1758">
        <v>15003.25</v>
      </c>
      <c r="X34" s="1759">
        <f>SUM(V34-W34)</f>
        <v>0</v>
      </c>
      <c r="Y34" s="1732">
        <f>IF(YEAR('3 pr-2'!$AK34)=2017,$V34,0)</f>
        <v>0</v>
      </c>
      <c r="Z34" s="1732">
        <f>IF(YEAR('3 pr-2'!$AK34)=2018,$V34,0)</f>
        <v>0</v>
      </c>
      <c r="AA34" s="1732">
        <f>IF(YEAR('3 pr-2'!$AK34)=2019,$V34,0)</f>
        <v>0</v>
      </c>
      <c r="AB34" s="1732">
        <f>IF(YEAR('3 pr-2'!$AK34)=2020,$V34,0)</f>
        <v>15003.25</v>
      </c>
      <c r="AC34" s="1732">
        <f>IF(YEAR('3 pr-2'!$AK34)=2021,$V34,0)</f>
        <v>0</v>
      </c>
      <c r="AD34" s="1732">
        <f>IF(YEAR('3 pr-2'!$AK34)=2022,$V34,0)</f>
        <v>0</v>
      </c>
      <c r="AE34" s="1732">
        <f>IF(YEAR('3 pr-2'!$AK34)=2023,$V34,0)</f>
        <v>0</v>
      </c>
      <c r="AF34" s="317" t="s">
        <v>382</v>
      </c>
      <c r="AG34" s="471" t="s">
        <v>455</v>
      </c>
      <c r="AH34" s="1699"/>
      <c r="AI34" s="1699"/>
      <c r="AJ34" s="1699"/>
      <c r="AK34" s="1699"/>
      <c r="AL34" s="1699"/>
      <c r="AM34" s="1699"/>
      <c r="AN34" s="1699"/>
      <c r="AO34" s="1718">
        <f t="shared" si="47"/>
        <v>0</v>
      </c>
      <c r="AP34" s="130">
        <v>539.76</v>
      </c>
      <c r="AQ34" s="1778">
        <v>539.76</v>
      </c>
      <c r="AR34" s="1759">
        <f>SUM(AP34-AQ34)</f>
        <v>0</v>
      </c>
      <c r="AS34" s="1732">
        <f>IF(YEAR('3 pr-2'!$AK34)=2017,$AP34,0)</f>
        <v>0</v>
      </c>
      <c r="AT34" s="1732">
        <f>IF(YEAR('3 pr-2'!$AK34)=2018,$AP34,0)</f>
        <v>0</v>
      </c>
      <c r="AU34" s="1732">
        <f>IF(YEAR('3 pr-2'!$AK34)=2019,$AP34,0)</f>
        <v>0</v>
      </c>
      <c r="AV34" s="1732">
        <f>IF(YEAR('3 pr-2'!$AK34)=2020,$AP34,0)</f>
        <v>539.76</v>
      </c>
      <c r="AW34" s="1732">
        <f>IF(YEAR('3 pr-2'!$AK34)=2021,$AP34,0)</f>
        <v>0</v>
      </c>
      <c r="AX34" s="1732">
        <f>IF(YEAR('3 pr-2'!$AK34)=2022,$AP34,0)</f>
        <v>0</v>
      </c>
      <c r="AY34" s="1732">
        <f>IF(YEAR('3 pr-2'!$AK34)=2023,$AP34,0)</f>
        <v>0</v>
      </c>
      <c r="AZ34" s="130" t="s">
        <v>66</v>
      </c>
      <c r="BA34" s="470"/>
      <c r="BB34" s="1699"/>
      <c r="BC34" s="1699"/>
      <c r="BD34" s="1699"/>
      <c r="BE34" s="1699"/>
      <c r="BF34" s="1699"/>
      <c r="BG34" s="1699"/>
      <c r="BH34" s="1699"/>
      <c r="BI34" s="1718">
        <f t="shared" si="55"/>
        <v>0</v>
      </c>
      <c r="BJ34" s="130" t="s">
        <v>66</v>
      </c>
      <c r="BK34" s="1501"/>
      <c r="BL34" s="130"/>
      <c r="BM34" s="130">
        <f>IF(YEAR('3 pr-2'!AK34)=2017,BJ34,0)</f>
        <v>0</v>
      </c>
      <c r="BN34" s="130">
        <f>IF(YEAR('3 pr-2'!AK34)=2018,BJ34,0)</f>
        <v>0</v>
      </c>
      <c r="BO34" s="130">
        <f>IF(YEAR('3 pr-2'!AK34)=2019,BJ34,0)</f>
        <v>0</v>
      </c>
      <c r="BP34" s="130" t="str">
        <f>IF(YEAR('3 pr-2'!AK34)=2020,BJ34,0)</f>
        <v>-</v>
      </c>
      <c r="BQ34" s="130">
        <f>IF(YEAR('3 pr-2'!AK34)=2021,BJ34,0)</f>
        <v>0</v>
      </c>
      <c r="BR34" s="130">
        <f>IF(YEAR('3 pr-2'!AK34)=2022,BJ34,0)</f>
        <v>0</v>
      </c>
      <c r="BS34" s="130">
        <f>IF(YEAR('3 pr-2'!AK34)=2023,BJ34,0)</f>
        <v>0</v>
      </c>
      <c r="BT34" s="317"/>
      <c r="BU34" s="471"/>
      <c r="BV34" s="1699"/>
      <c r="BW34" s="1699"/>
      <c r="BX34" s="1699"/>
      <c r="BY34" s="1699"/>
      <c r="BZ34" s="1699"/>
      <c r="CA34" s="1699"/>
      <c r="CB34" s="1699"/>
      <c r="CC34" s="1718">
        <f t="shared" si="35"/>
        <v>0</v>
      </c>
      <c r="CD34" s="130"/>
      <c r="CE34" s="130"/>
      <c r="CF34" s="130"/>
      <c r="CG34" s="130">
        <f>IF(YEAR('3 pr-2'!$AK34)=2017,$CD34,0)</f>
        <v>0</v>
      </c>
      <c r="CH34" s="130">
        <f>IF(YEAR('3 pr-2'!$AK34)=2018,$CD34,0)</f>
        <v>0</v>
      </c>
      <c r="CI34" s="130">
        <f>IF(YEAR('3 pr-2'!$AK34)=2019,$CD34,0)</f>
        <v>0</v>
      </c>
      <c r="CJ34" s="130">
        <f>IF(YEAR('3 pr-2'!$AK34)=2020,$CD34,0)</f>
        <v>0</v>
      </c>
      <c r="CK34" s="130">
        <f>IF(YEAR('3 pr-2'!$AK34)=2021,$CD34,0)</f>
        <v>0</v>
      </c>
      <c r="CL34" s="130">
        <f>IF(YEAR('3 pr-2'!$AK34)=2022,$CD34,0)</f>
        <v>0</v>
      </c>
      <c r="CM34" s="130">
        <f>IF(YEAR('3 pr-2'!$AK34)=2023,$CD34,0)</f>
        <v>0</v>
      </c>
      <c r="CN34" s="317"/>
      <c r="CO34" s="472"/>
      <c r="CP34" s="1704"/>
      <c r="CQ34" s="1699"/>
      <c r="CR34" s="1699"/>
      <c r="CS34" s="1699"/>
      <c r="CT34" s="1699"/>
      <c r="CU34" s="1699"/>
      <c r="CV34" s="1699"/>
      <c r="CW34" s="1718">
        <f t="shared" si="36"/>
        <v>0</v>
      </c>
      <c r="CX34" s="318"/>
      <c r="CY34" s="303"/>
      <c r="CZ34" s="303"/>
      <c r="DA34" s="506">
        <f>IF(YEAR('3 pr-2'!AK34)=2017,CX34,0)</f>
        <v>0</v>
      </c>
      <c r="DB34" s="506">
        <f>IF(YEAR('3 pr-2'!AK34)=2018,CX34,0)</f>
        <v>0</v>
      </c>
      <c r="DC34" s="506">
        <f>IF(YEAR('3 pr-2'!AK34)=2019,CX34,0)</f>
        <v>0</v>
      </c>
      <c r="DD34" s="506">
        <f>IF(YEAR('3 pr-2'!AK34)=2020,CX34,0)</f>
        <v>0</v>
      </c>
      <c r="DE34" s="506">
        <f>IF(YEAR('3 pr-2'!AK34)=2021,CX34,0)</f>
        <v>0</v>
      </c>
      <c r="DF34" s="506">
        <f>IF(YEAR('3 pr-2'!AK34)=2022,CX34,0)</f>
        <v>0</v>
      </c>
      <c r="DG34" s="506">
        <f>IF(YEAR('3 pr-2'!AK34)=2023,CX34,0)</f>
        <v>0</v>
      </c>
      <c r="DH34" s="317"/>
      <c r="DI34" s="472"/>
      <c r="DJ34" s="318"/>
      <c r="DK34" s="130"/>
      <c r="DL34" s="130"/>
      <c r="DM34" s="130"/>
      <c r="DN34" s="130"/>
      <c r="DO34" s="130"/>
      <c r="DP34" s="130"/>
      <c r="DQ34" s="756">
        <f t="shared" si="37"/>
        <v>0</v>
      </c>
      <c r="DR34" s="318"/>
      <c r="DS34" s="303"/>
      <c r="DT34" s="303"/>
      <c r="DU34" s="506">
        <f>IF(YEAR('3 pr-2'!BF34)=2017,DS34,0)</f>
        <v>0</v>
      </c>
      <c r="DV34" s="506">
        <f>IF(YEAR('3 pr-2'!BF34)=2018,DS34,0)</f>
        <v>0</v>
      </c>
      <c r="DW34" s="506">
        <f>IF(YEAR('3 pr-2'!BF34)=2019,DS34,0)</f>
        <v>0</v>
      </c>
      <c r="DX34" s="506">
        <f>IF(YEAR('3 pr-2'!BF34)=2020,DS34,0)</f>
        <v>0</v>
      </c>
      <c r="DY34" s="506">
        <f>IF(YEAR('3 pr-2'!BF34)=2021,DS34,0)</f>
        <v>0</v>
      </c>
      <c r="DZ34" s="506">
        <f>IF(YEAR('3 pr-2'!BF34)=2022,DS34,0)</f>
        <v>0</v>
      </c>
      <c r="EA34" s="506">
        <f>IF(YEAR('3 pr-2'!BF34)=2023,DS34,0)</f>
        <v>0</v>
      </c>
      <c r="EB34" s="317"/>
      <c r="EC34" s="472"/>
      <c r="ED34" s="303"/>
      <c r="EE34" s="303"/>
      <c r="EF34" s="303"/>
      <c r="EG34" s="506">
        <f>IF(YEAR('3 pr-2'!BP34)=2017,ED34,0)</f>
        <v>0</v>
      </c>
      <c r="EH34" s="506">
        <f>IF(YEAR('3 pr-2'!BP34)=2018,ED34,0)</f>
        <v>0</v>
      </c>
      <c r="EI34" s="506">
        <f>IF(YEAR('3 pr-2'!BP34)=2019,ED34,0)</f>
        <v>0</v>
      </c>
      <c r="EJ34" s="506">
        <f>IF(YEAR('3 pr-2'!BP34)=2020,ED34,0)</f>
        <v>0</v>
      </c>
      <c r="EK34" s="506">
        <f>IF(YEAR('3 pr-2'!BP34)=2021,ED34,0)</f>
        <v>0</v>
      </c>
      <c r="EL34" s="506">
        <f>IF(YEAR('3 pr-2'!BP34)=2022,ED34,0)</f>
        <v>0</v>
      </c>
      <c r="EM34" s="506">
        <f>IF(YEAR('3 pr-2'!BP34)=2023,ED34,0)</f>
        <v>0</v>
      </c>
    </row>
    <row r="35" spans="1:143" ht="85.5" thickTop="1" thickBot="1">
      <c r="A35" s="130" t="str">
        <f>CONCATENATE('3 pr-2'!A35)</f>
        <v>1.1.1.2.2</v>
      </c>
      <c r="B35" s="130" t="str">
        <f>CONCATENATE('3 pr-2'!B35)</f>
        <v>R01-9908-290000-1122</v>
      </c>
      <c r="C35" s="1730" t="str">
        <f>CONCATENATE('ketv. 2'!B34)</f>
        <v>08.2.1-CPVA-R-908-11-0001</v>
      </c>
      <c r="D35" s="78" t="str">
        <f>CONCATENATE('3 pr-2'!D35)</f>
        <v>Senosios Varėnos kaimo viešosios infrastruktūros atnaujinimas ir pritaikymas bendruomenės poreikiams</v>
      </c>
      <c r="E35" s="11" t="str">
        <f>CONCATENATE('3 pr-2'!E35)</f>
        <v>Varėnos rajono savivaldybės administracija</v>
      </c>
      <c r="F35" s="11" t="str">
        <f>CONCATENATE('3 pr-2'!F35)</f>
        <v>Lietuvos Respublikos vidaus reikalų ministerija</v>
      </c>
      <c r="G35" s="11" t="str">
        <f>CONCATENATE('3 pr-2'!G35)</f>
        <v>Varėnos r. sav.</v>
      </c>
      <c r="H35" s="130" t="str">
        <f>CONCATENATE('3 pr-2'!H35)</f>
        <v>8.2.1-CPVA-R-908</v>
      </c>
      <c r="I35" s="130" t="str">
        <f>CONCATENATE('3 pr-2'!I35)</f>
        <v>R</v>
      </c>
      <c r="J35" s="130" t="str">
        <f>CONCATENATE('3 pr-2'!J35)</f>
        <v>-</v>
      </c>
      <c r="K35" s="130" t="str">
        <f>CONCATENATE('3 pr-2'!K35)</f>
        <v>-</v>
      </c>
      <c r="L35" s="130" t="s">
        <v>381</v>
      </c>
      <c r="M35" s="471" t="s">
        <v>454</v>
      </c>
      <c r="N35" s="1699"/>
      <c r="O35" s="1699"/>
      <c r="P35" s="1699"/>
      <c r="Q35" s="1699"/>
      <c r="R35" s="1699"/>
      <c r="S35" s="1699"/>
      <c r="T35" s="1699"/>
      <c r="U35" s="1700">
        <f t="shared" ref="U35:U38" si="69">SUM(N35:T35)</f>
        <v>0</v>
      </c>
      <c r="V35" s="1032">
        <v>20781.2</v>
      </c>
      <c r="W35" s="1758">
        <v>20781.2</v>
      </c>
      <c r="X35" s="1759">
        <f>SUM(V35-W35)</f>
        <v>0</v>
      </c>
      <c r="Y35" s="1732">
        <f>IF(YEAR('3 pr-2'!$AK35)=2017,$V35,0)</f>
        <v>0</v>
      </c>
      <c r="Z35" s="1732">
        <f>IF(YEAR('3 pr-2'!$AK35)=2018,$V35,0)</f>
        <v>0</v>
      </c>
      <c r="AA35" s="1732">
        <f>IF(YEAR('3 pr-2'!$AK35)=2019,$V35,0)</f>
        <v>0</v>
      </c>
      <c r="AB35" s="1732">
        <f>IF(YEAR('3 pr-2'!$AK35)=2020,$V35,0)</f>
        <v>20781.2</v>
      </c>
      <c r="AC35" s="1732">
        <f>IF(YEAR('3 pr-2'!$AK35)=2021,$V35,0)</f>
        <v>0</v>
      </c>
      <c r="AD35" s="1732">
        <f>IF(YEAR('3 pr-2'!$AK35)=2022,$V35,0)</f>
        <v>0</v>
      </c>
      <c r="AE35" s="1732">
        <f>IF(YEAR('3 pr-2'!$AK35)=2023,$V35,0)</f>
        <v>0</v>
      </c>
      <c r="AF35" s="317"/>
      <c r="AG35" s="471"/>
      <c r="AH35" s="1699"/>
      <c r="AI35" s="1699"/>
      <c r="AJ35" s="1699"/>
      <c r="AK35" s="1699"/>
      <c r="AL35" s="1699"/>
      <c r="AM35" s="1699"/>
      <c r="AN35" s="1699"/>
      <c r="AO35" s="1718">
        <f t="shared" si="47"/>
        <v>0</v>
      </c>
      <c r="AP35" s="130"/>
      <c r="AQ35" s="1778"/>
      <c r="AR35" s="1732"/>
      <c r="AS35" s="1732">
        <f>IF(YEAR('3 pr-2'!$AK35)=2017,$AP35,0)</f>
        <v>0</v>
      </c>
      <c r="AT35" s="1732">
        <f>IF(YEAR('3 pr-2'!$AK35)=2018,$AP35,0)</f>
        <v>0</v>
      </c>
      <c r="AU35" s="1732">
        <f>IF(YEAR('3 pr-2'!$AK35)=2019,$AP35,0)</f>
        <v>0</v>
      </c>
      <c r="AV35" s="1732">
        <f>IF(YEAR('3 pr-2'!$AK35)=2020,$AP35,0)</f>
        <v>0</v>
      </c>
      <c r="AW35" s="1732">
        <f>IF(YEAR('3 pr-2'!$AK35)=2021,$AP35,0)</f>
        <v>0</v>
      </c>
      <c r="AX35" s="1732">
        <f>IF(YEAR('3 pr-2'!$AK35)=2022,$AP35,0)</f>
        <v>0</v>
      </c>
      <c r="AY35" s="1732">
        <f>IF(YEAR('3 pr-2'!$AK35)=2023,$AP35,0)</f>
        <v>0</v>
      </c>
      <c r="AZ35" s="130"/>
      <c r="BA35" s="470"/>
      <c r="BB35" s="1699"/>
      <c r="BC35" s="1699"/>
      <c r="BD35" s="1699"/>
      <c r="BE35" s="1699"/>
      <c r="BF35" s="1699"/>
      <c r="BG35" s="1699"/>
      <c r="BH35" s="1699"/>
      <c r="BI35" s="1718">
        <f t="shared" si="55"/>
        <v>0</v>
      </c>
      <c r="BJ35" s="130"/>
      <c r="BK35" s="1501"/>
      <c r="BL35" s="130"/>
      <c r="BM35" s="130">
        <f>IF(YEAR('3 pr-2'!AK35)=2017,BJ35,0)</f>
        <v>0</v>
      </c>
      <c r="BN35" s="130">
        <f>IF(YEAR('3 pr-2'!AK35)=2018,BJ35,0)</f>
        <v>0</v>
      </c>
      <c r="BO35" s="130">
        <f>IF(YEAR('3 pr-2'!AK35)=2019,BJ35,0)</f>
        <v>0</v>
      </c>
      <c r="BP35" s="130">
        <f>IF(YEAR('3 pr-2'!AK35)=2020,BJ35,0)</f>
        <v>0</v>
      </c>
      <c r="BQ35" s="130">
        <f>IF(YEAR('3 pr-2'!AK35)=2021,BJ35,0)</f>
        <v>0</v>
      </c>
      <c r="BR35" s="130">
        <f>IF(YEAR('3 pr-2'!AK35)=2022,BJ35,0)</f>
        <v>0</v>
      </c>
      <c r="BS35" s="130">
        <f>IF(YEAR('3 pr-2'!AK35)=2023,BJ35,0)</f>
        <v>0</v>
      </c>
      <c r="BT35" s="317"/>
      <c r="BU35" s="471"/>
      <c r="BV35" s="1699"/>
      <c r="BW35" s="1699"/>
      <c r="BX35" s="1699"/>
      <c r="BY35" s="1699"/>
      <c r="BZ35" s="1699"/>
      <c r="CA35" s="1699"/>
      <c r="CB35" s="1699"/>
      <c r="CC35" s="1718">
        <f t="shared" si="35"/>
        <v>0</v>
      </c>
      <c r="CD35" s="130"/>
      <c r="CE35" s="130"/>
      <c r="CF35" s="130"/>
      <c r="CG35" s="130">
        <f>IF(YEAR('3 pr-2'!$AK35)=2017,$CD35,0)</f>
        <v>0</v>
      </c>
      <c r="CH35" s="130">
        <f>IF(YEAR('3 pr-2'!$AK35)=2018,$CD35,0)</f>
        <v>0</v>
      </c>
      <c r="CI35" s="130">
        <f>IF(YEAR('3 pr-2'!$AK35)=2019,$CD35,0)</f>
        <v>0</v>
      </c>
      <c r="CJ35" s="130">
        <f>IF(YEAR('3 pr-2'!$AK35)=2020,$CD35,0)</f>
        <v>0</v>
      </c>
      <c r="CK35" s="130">
        <f>IF(YEAR('3 pr-2'!$AK35)=2021,$CD35,0)</f>
        <v>0</v>
      </c>
      <c r="CL35" s="130">
        <f>IF(YEAR('3 pr-2'!$AK35)=2022,$CD35,0)</f>
        <v>0</v>
      </c>
      <c r="CM35" s="130">
        <f>IF(YEAR('3 pr-2'!$AK35)=2023,$CD35,0)</f>
        <v>0</v>
      </c>
      <c r="CN35" s="317"/>
      <c r="CO35" s="472"/>
      <c r="CP35" s="1704"/>
      <c r="CQ35" s="1699"/>
      <c r="CR35" s="1699"/>
      <c r="CS35" s="1699"/>
      <c r="CT35" s="1699"/>
      <c r="CU35" s="1699"/>
      <c r="CV35" s="1699"/>
      <c r="CW35" s="1718">
        <f t="shared" si="36"/>
        <v>0</v>
      </c>
      <c r="CX35" s="318"/>
      <c r="CY35" s="303"/>
      <c r="CZ35" s="303"/>
      <c r="DA35" s="506">
        <f>IF(YEAR('3 pr-2'!AK35)=2017,CX35,0)</f>
        <v>0</v>
      </c>
      <c r="DB35" s="506">
        <f>IF(YEAR('3 pr-2'!AK35)=2018,CX35,0)</f>
        <v>0</v>
      </c>
      <c r="DC35" s="506">
        <f>IF(YEAR('3 pr-2'!AK35)=2019,CX35,0)</f>
        <v>0</v>
      </c>
      <c r="DD35" s="506">
        <f>IF(YEAR('3 pr-2'!AK35)=2020,CX35,0)</f>
        <v>0</v>
      </c>
      <c r="DE35" s="506">
        <f>IF(YEAR('3 pr-2'!AK35)=2021,CX35,0)</f>
        <v>0</v>
      </c>
      <c r="DF35" s="506">
        <f>IF(YEAR('3 pr-2'!AK35)=2022,CX35,0)</f>
        <v>0</v>
      </c>
      <c r="DG35" s="506">
        <f>IF(YEAR('3 pr-2'!AK35)=2023,CX35,0)</f>
        <v>0</v>
      </c>
      <c r="DH35" s="317"/>
      <c r="DI35" s="472"/>
      <c r="DJ35" s="318"/>
      <c r="DK35" s="130"/>
      <c r="DL35" s="130"/>
      <c r="DM35" s="130"/>
      <c r="DN35" s="130"/>
      <c r="DO35" s="130"/>
      <c r="DP35" s="130"/>
      <c r="DQ35" s="756">
        <f t="shared" si="37"/>
        <v>0</v>
      </c>
      <c r="DR35" s="318"/>
      <c r="DS35" s="303"/>
      <c r="DT35" s="303"/>
      <c r="DU35" s="506">
        <f>IF(YEAR('3 pr-2'!BF35)=2017,DS35,0)</f>
        <v>0</v>
      </c>
      <c r="DV35" s="506">
        <f>IF(YEAR('3 pr-2'!BF35)=2018,DS35,0)</f>
        <v>0</v>
      </c>
      <c r="DW35" s="506">
        <f>IF(YEAR('3 pr-2'!BF35)=2019,DS35,0)</f>
        <v>0</v>
      </c>
      <c r="DX35" s="506">
        <f>IF(YEAR('3 pr-2'!BF35)=2020,DS35,0)</f>
        <v>0</v>
      </c>
      <c r="DY35" s="506">
        <f>IF(YEAR('3 pr-2'!BF35)=2021,DS35,0)</f>
        <v>0</v>
      </c>
      <c r="DZ35" s="506">
        <f>IF(YEAR('3 pr-2'!BF35)=2022,DS35,0)</f>
        <v>0</v>
      </c>
      <c r="EA35" s="506">
        <f>IF(YEAR('3 pr-2'!BF35)=2023,DS35,0)</f>
        <v>0</v>
      </c>
      <c r="EB35" s="317"/>
      <c r="EC35" s="472"/>
      <c r="ED35" s="303"/>
      <c r="EE35" s="303"/>
      <c r="EF35" s="303"/>
      <c r="EG35" s="506">
        <f>IF(YEAR('3 pr-2'!BP35)=2017,ED35,0)</f>
        <v>0</v>
      </c>
      <c r="EH35" s="506">
        <f>IF(YEAR('3 pr-2'!BP35)=2018,ED35,0)</f>
        <v>0</v>
      </c>
      <c r="EI35" s="506">
        <f>IF(YEAR('3 pr-2'!BP35)=2019,ED35,0)</f>
        <v>0</v>
      </c>
      <c r="EJ35" s="506">
        <f>IF(YEAR('3 pr-2'!BP35)=2020,ED35,0)</f>
        <v>0</v>
      </c>
      <c r="EK35" s="506">
        <f>IF(YEAR('3 pr-2'!BP35)=2021,ED35,0)</f>
        <v>0</v>
      </c>
      <c r="EL35" s="506">
        <f>IF(YEAR('3 pr-2'!BP35)=2022,ED35,0)</f>
        <v>0</v>
      </c>
      <c r="EM35" s="506">
        <f>IF(YEAR('3 pr-2'!BP35)=2023,ED35,0)</f>
        <v>0</v>
      </c>
    </row>
    <row r="36" spans="1:143" ht="49.5" thickTop="1" thickBot="1">
      <c r="A36" s="130" t="str">
        <f>CONCATENATE('3 pr-2'!A36)</f>
        <v>1.1.1.2.3</v>
      </c>
      <c r="B36" s="130" t="str">
        <f>CONCATENATE('3 pr-2'!B36)</f>
        <v>R01-9908-290000-1123</v>
      </c>
      <c r="C36" s="1730" t="str">
        <f>CONCATENATE('ketv. 2'!B35)</f>
        <v>08.2.1-CPVA-R-908-11-0005</v>
      </c>
      <c r="D36" s="78" t="str">
        <f>CONCATENATE('3 pr-2'!D36)</f>
        <v>Kompleksinė Miklusėnų gyvenvietės plėtra</v>
      </c>
      <c r="E36" s="11" t="str">
        <f>CONCATENATE('3 pr-2'!E36)</f>
        <v>Alytaus rajono savivaldybės administracija</v>
      </c>
      <c r="F36" s="11" t="str">
        <f>CONCATENATE('3 pr-2'!F36)</f>
        <v>Lietuvos Respublikos vidaus reikalų ministerija</v>
      </c>
      <c r="G36" s="11" t="str">
        <f>CONCATENATE('3 pr-2'!G36)</f>
        <v>Alytaus r. sav.</v>
      </c>
      <c r="H36" s="130" t="str">
        <f>CONCATENATE('3 pr-2'!H36)</f>
        <v>8.2.1-CPVA-R-908</v>
      </c>
      <c r="I36" s="130" t="str">
        <f>CONCATENATE('3 pr-2'!I36)</f>
        <v>R</v>
      </c>
      <c r="J36" s="130" t="str">
        <f>CONCATENATE('3 pr-2'!J36)</f>
        <v>-</v>
      </c>
      <c r="K36" s="130" t="str">
        <f>CONCATENATE('3 pr-2'!K36)</f>
        <v>-</v>
      </c>
      <c r="L36" s="130" t="s">
        <v>381</v>
      </c>
      <c r="M36" s="471" t="s">
        <v>456</v>
      </c>
      <c r="N36" s="1699"/>
      <c r="O36" s="1699"/>
      <c r="P36" s="1699"/>
      <c r="Q36" s="1699"/>
      <c r="R36" s="1699"/>
      <c r="S36" s="1699"/>
      <c r="T36" s="1699"/>
      <c r="U36" s="1700">
        <f t="shared" si="69"/>
        <v>0</v>
      </c>
      <c r="V36" s="1032">
        <v>7440</v>
      </c>
      <c r="W36" s="1758" t="str">
        <f>IF('ketv. 6 '!L35&gt;0,"taip","nėra")</f>
        <v>nėra</v>
      </c>
      <c r="X36" s="1732"/>
      <c r="Y36" s="1732">
        <f>IF(YEAR('3 pr-2'!$AK36)=2017,$V36,0)</f>
        <v>0</v>
      </c>
      <c r="Z36" s="1732">
        <f>IF(YEAR('3 pr-2'!$AK36)=2018,$V36,0)</f>
        <v>0</v>
      </c>
      <c r="AA36" s="1732">
        <f>IF(YEAR('3 pr-2'!$AK36)=2019,$V36,0)</f>
        <v>0</v>
      </c>
      <c r="AB36" s="1732">
        <f>IF(YEAR('3 pr-2'!$AK36)=2020,$V36,0)</f>
        <v>0</v>
      </c>
      <c r="AC36" s="1732">
        <f>IF(YEAR('3 pr-2'!$AK36)=2021,$V36,0)</f>
        <v>7440</v>
      </c>
      <c r="AD36" s="1732">
        <f>IF(YEAR('3 pr-2'!$AK36)=2022,$V36,0)</f>
        <v>0</v>
      </c>
      <c r="AE36" s="1732">
        <f>IF(YEAR('3 pr-2'!$AK36)=2023,$V36,0)</f>
        <v>0</v>
      </c>
      <c r="AF36" s="317"/>
      <c r="AG36" s="471"/>
      <c r="AH36" s="1699"/>
      <c r="AI36" s="1699"/>
      <c r="AJ36" s="1699"/>
      <c r="AK36" s="1699"/>
      <c r="AL36" s="1699"/>
      <c r="AM36" s="1699"/>
      <c r="AN36" s="1699"/>
      <c r="AO36" s="1718">
        <f t="shared" si="47"/>
        <v>0</v>
      </c>
      <c r="AP36" s="130"/>
      <c r="AQ36" s="1778"/>
      <c r="AR36" s="1732"/>
      <c r="AS36" s="1732">
        <f>IF(YEAR('3 pr-2'!$AK36)=2017,$AP36,0)</f>
        <v>0</v>
      </c>
      <c r="AT36" s="1732">
        <f>IF(YEAR('3 pr-2'!$AK36)=2018,$AP36,0)</f>
        <v>0</v>
      </c>
      <c r="AU36" s="1732">
        <f>IF(YEAR('3 pr-2'!$AK36)=2019,$AP36,0)</f>
        <v>0</v>
      </c>
      <c r="AV36" s="1732">
        <f>IF(YEAR('3 pr-2'!$AK36)=2020,$AP36,0)</f>
        <v>0</v>
      </c>
      <c r="AW36" s="1732">
        <f>IF(YEAR('3 pr-2'!$AK36)=2021,$AP36,0)</f>
        <v>0</v>
      </c>
      <c r="AX36" s="1732">
        <f>IF(YEAR('3 pr-2'!$AK36)=2022,$AP36,0)</f>
        <v>0</v>
      </c>
      <c r="AY36" s="1732">
        <f>IF(YEAR('3 pr-2'!$AK36)=2023,$AP36,0)</f>
        <v>0</v>
      </c>
      <c r="AZ36" s="130"/>
      <c r="BA36" s="470"/>
      <c r="BB36" s="1699"/>
      <c r="BC36" s="1699"/>
      <c r="BD36" s="1699"/>
      <c r="BE36" s="1699"/>
      <c r="BF36" s="1699"/>
      <c r="BG36" s="1699"/>
      <c r="BH36" s="1699"/>
      <c r="BI36" s="1718">
        <f t="shared" si="55"/>
        <v>0</v>
      </c>
      <c r="BJ36" s="130"/>
      <c r="BK36" s="1501"/>
      <c r="BL36" s="130"/>
      <c r="BM36" s="130">
        <f>IF(YEAR('3 pr-2'!AK36)=2017,BJ36,0)</f>
        <v>0</v>
      </c>
      <c r="BN36" s="130">
        <f>IF(YEAR('3 pr-2'!AK36)=2018,BJ36,0)</f>
        <v>0</v>
      </c>
      <c r="BO36" s="130">
        <f>IF(YEAR('3 pr-2'!AK36)=2019,BJ36,0)</f>
        <v>0</v>
      </c>
      <c r="BP36" s="130">
        <f>IF(YEAR('3 pr-2'!AK36)=2020,BJ36,0)</f>
        <v>0</v>
      </c>
      <c r="BQ36" s="130">
        <f>IF(YEAR('3 pr-2'!AK36)=2021,BJ36,0)</f>
        <v>0</v>
      </c>
      <c r="BR36" s="130">
        <f>IF(YEAR('3 pr-2'!AK36)=2022,BJ36,0)</f>
        <v>0</v>
      </c>
      <c r="BS36" s="130">
        <f>IF(YEAR('3 pr-2'!AK36)=2023,BJ36,0)</f>
        <v>0</v>
      </c>
      <c r="BT36" s="317"/>
      <c r="BU36" s="471"/>
      <c r="BV36" s="1699"/>
      <c r="BW36" s="1699"/>
      <c r="BX36" s="1699"/>
      <c r="BY36" s="1699"/>
      <c r="BZ36" s="1699"/>
      <c r="CA36" s="1699"/>
      <c r="CB36" s="1699"/>
      <c r="CC36" s="1718">
        <f t="shared" si="35"/>
        <v>0</v>
      </c>
      <c r="CD36" s="130"/>
      <c r="CE36" s="130"/>
      <c r="CF36" s="130"/>
      <c r="CG36" s="130">
        <f>IF(YEAR('3 pr-2'!$AK36)=2017,$CD36,0)</f>
        <v>0</v>
      </c>
      <c r="CH36" s="130">
        <f>IF(YEAR('3 pr-2'!$AK36)=2018,$CD36,0)</f>
        <v>0</v>
      </c>
      <c r="CI36" s="130">
        <f>IF(YEAR('3 pr-2'!$AK36)=2019,$CD36,0)</f>
        <v>0</v>
      </c>
      <c r="CJ36" s="130">
        <f>IF(YEAR('3 pr-2'!$AK36)=2020,$CD36,0)</f>
        <v>0</v>
      </c>
      <c r="CK36" s="130">
        <f>IF(YEAR('3 pr-2'!$AK36)=2021,$CD36,0)</f>
        <v>0</v>
      </c>
      <c r="CL36" s="130">
        <f>IF(YEAR('3 pr-2'!$AK36)=2022,$CD36,0)</f>
        <v>0</v>
      </c>
      <c r="CM36" s="130">
        <f>IF(YEAR('3 pr-2'!$AK36)=2023,$CD36,0)</f>
        <v>0</v>
      </c>
      <c r="CN36" s="317"/>
      <c r="CO36" s="472"/>
      <c r="CP36" s="1704"/>
      <c r="CQ36" s="1699"/>
      <c r="CR36" s="1699"/>
      <c r="CS36" s="1699"/>
      <c r="CT36" s="1699"/>
      <c r="CU36" s="1699"/>
      <c r="CV36" s="1699"/>
      <c r="CW36" s="1718">
        <f t="shared" si="36"/>
        <v>0</v>
      </c>
      <c r="CX36" s="318"/>
      <c r="CY36" s="303"/>
      <c r="CZ36" s="303"/>
      <c r="DA36" s="506">
        <f>IF(YEAR('3 pr-2'!AK36)=2017,CX36,0)</f>
        <v>0</v>
      </c>
      <c r="DB36" s="506">
        <f>IF(YEAR('3 pr-2'!AK36)=2018,CX36,0)</f>
        <v>0</v>
      </c>
      <c r="DC36" s="506">
        <f>IF(YEAR('3 pr-2'!AK36)=2019,CX36,0)</f>
        <v>0</v>
      </c>
      <c r="DD36" s="506">
        <f>IF(YEAR('3 pr-2'!AK36)=2020,CX36,0)</f>
        <v>0</v>
      </c>
      <c r="DE36" s="506">
        <f>IF(YEAR('3 pr-2'!AK36)=2021,CX36,0)</f>
        <v>0</v>
      </c>
      <c r="DF36" s="506">
        <f>IF(YEAR('3 pr-2'!AK36)=2022,CX36,0)</f>
        <v>0</v>
      </c>
      <c r="DG36" s="506">
        <f>IF(YEAR('3 pr-2'!AK36)=2023,CX36,0)</f>
        <v>0</v>
      </c>
      <c r="DH36" s="317"/>
      <c r="DI36" s="472"/>
      <c r="DJ36" s="318"/>
      <c r="DK36" s="130"/>
      <c r="DL36" s="130"/>
      <c r="DM36" s="130"/>
      <c r="DN36" s="130"/>
      <c r="DO36" s="130"/>
      <c r="DP36" s="130"/>
      <c r="DQ36" s="756">
        <f t="shared" si="37"/>
        <v>0</v>
      </c>
      <c r="DR36" s="318"/>
      <c r="DS36" s="303"/>
      <c r="DT36" s="303"/>
      <c r="DU36" s="506">
        <f>IF(YEAR('3 pr-2'!BF36)=2017,DS36,0)</f>
        <v>0</v>
      </c>
      <c r="DV36" s="506">
        <f>IF(YEAR('3 pr-2'!BF36)=2018,DS36,0)</f>
        <v>0</v>
      </c>
      <c r="DW36" s="506">
        <f>IF(YEAR('3 pr-2'!BF36)=2019,DS36,0)</f>
        <v>0</v>
      </c>
      <c r="DX36" s="506">
        <f>IF(YEAR('3 pr-2'!BF36)=2020,DS36,0)</f>
        <v>0</v>
      </c>
      <c r="DY36" s="506">
        <f>IF(YEAR('3 pr-2'!BF36)=2021,DS36,0)</f>
        <v>0</v>
      </c>
      <c r="DZ36" s="506">
        <f>IF(YEAR('3 pr-2'!BF36)=2022,DS36,0)</f>
        <v>0</v>
      </c>
      <c r="EA36" s="506">
        <f>IF(YEAR('3 pr-2'!BF36)=2023,DS36,0)</f>
        <v>0</v>
      </c>
      <c r="EB36" s="317"/>
      <c r="EC36" s="472"/>
      <c r="ED36" s="303"/>
      <c r="EE36" s="303"/>
      <c r="EF36" s="303"/>
      <c r="EG36" s="506">
        <f>IF(YEAR('3 pr-2'!BP36)=2017,ED36,0)</f>
        <v>0</v>
      </c>
      <c r="EH36" s="506">
        <f>IF(YEAR('3 pr-2'!BP36)=2018,ED36,0)</f>
        <v>0</v>
      </c>
      <c r="EI36" s="506">
        <f>IF(YEAR('3 pr-2'!BP36)=2019,ED36,0)</f>
        <v>0</v>
      </c>
      <c r="EJ36" s="506">
        <f>IF(YEAR('3 pr-2'!BP36)=2020,ED36,0)</f>
        <v>0</v>
      </c>
      <c r="EK36" s="506">
        <f>IF(YEAR('3 pr-2'!BP36)=2021,ED36,0)</f>
        <v>0</v>
      </c>
      <c r="EL36" s="506">
        <f>IF(YEAR('3 pr-2'!BP36)=2022,ED36,0)</f>
        <v>0</v>
      </c>
      <c r="EM36" s="506">
        <f>IF(YEAR('3 pr-2'!BP36)=2023,ED36,0)</f>
        <v>0</v>
      </c>
    </row>
    <row r="37" spans="1:143" ht="49.5" thickTop="1" thickBot="1">
      <c r="A37" s="130" t="str">
        <f>CONCATENATE('3 pr-2'!A37)</f>
        <v>1.1.1.2.4</v>
      </c>
      <c r="B37" s="130" t="str">
        <f>CONCATENATE('3 pr-2'!B37)</f>
        <v>R01-9908-290000-1124</v>
      </c>
      <c r="C37" s="1730" t="str">
        <f>CONCATENATE('ketv. 2'!B36)</f>
        <v>08.2.1-CPVA-R-908-11-0003</v>
      </c>
      <c r="D37" s="78" t="str">
        <f>CONCATENATE('3 pr-2'!D37)</f>
        <v>Leipalingio viešosios erdvės pritaikymas bendruomenės poreikiams</v>
      </c>
      <c r="E37" s="11" t="str">
        <f>CONCATENATE('3 pr-2'!E37)</f>
        <v xml:space="preserve">Druskininkų savivaldybės administracija  </v>
      </c>
      <c r="F37" s="11" t="str">
        <f>CONCATENATE('3 pr-2'!F37)</f>
        <v>Lietuvos Respublikos vidaus reikalų ministerija</v>
      </c>
      <c r="G37" s="11" t="str">
        <f>CONCATENATE('3 pr-2'!G37)</f>
        <v>Druskininkų sav.</v>
      </c>
      <c r="H37" s="130" t="str">
        <f>CONCATENATE('3 pr-2'!H37)</f>
        <v>8.2.1-CPVA-R-908</v>
      </c>
      <c r="I37" s="130" t="str">
        <f>CONCATENATE('3 pr-2'!I37)</f>
        <v>R</v>
      </c>
      <c r="J37" s="130" t="str">
        <f>CONCATENATE('3 pr-2'!J37)</f>
        <v>-</v>
      </c>
      <c r="K37" s="130" t="str">
        <f>CONCATENATE('3 pr-2'!K37)</f>
        <v>-</v>
      </c>
      <c r="L37" s="130" t="s">
        <v>381</v>
      </c>
      <c r="M37" s="471" t="s">
        <v>830</v>
      </c>
      <c r="N37" s="1699"/>
      <c r="O37" s="1699"/>
      <c r="P37" s="1699"/>
      <c r="Q37" s="1699"/>
      <c r="R37" s="1699"/>
      <c r="S37" s="1699"/>
      <c r="T37" s="1699"/>
      <c r="U37" s="1700">
        <f t="shared" si="69"/>
        <v>0</v>
      </c>
      <c r="V37" s="1032">
        <v>24114</v>
      </c>
      <c r="W37" s="1758">
        <v>24114</v>
      </c>
      <c r="X37" s="1759">
        <f>SUM(V37-W37)</f>
        <v>0</v>
      </c>
      <c r="Y37" s="1732">
        <f>IF(YEAR('3 pr-2'!$AK37)=2017,$V37,0)</f>
        <v>0</v>
      </c>
      <c r="Z37" s="1732">
        <f>IF(YEAR('3 pr-2'!$AK37)=2018,$V37,0)</f>
        <v>0</v>
      </c>
      <c r="AA37" s="1732">
        <f>IF(YEAR('3 pr-2'!$AK37)=2019,$V37,0)</f>
        <v>24114</v>
      </c>
      <c r="AB37" s="1732">
        <f>IF(YEAR('3 pr-2'!$AK37)=2020,$V37,0)</f>
        <v>0</v>
      </c>
      <c r="AC37" s="1732">
        <f>IF(YEAR('3 pr-2'!$AK37)=2021,$V37,0)</f>
        <v>0</v>
      </c>
      <c r="AD37" s="1732">
        <f>IF(YEAR('3 pr-2'!$AK37)=2022,$V37,0)</f>
        <v>0</v>
      </c>
      <c r="AE37" s="1732">
        <f>IF(YEAR('3 pr-2'!$AK37)=2023,$V37,0)</f>
        <v>0</v>
      </c>
      <c r="AF37" s="317"/>
      <c r="AG37" s="471"/>
      <c r="AH37" s="1699"/>
      <c r="AI37" s="1699"/>
      <c r="AJ37" s="1699"/>
      <c r="AK37" s="1699"/>
      <c r="AL37" s="1699"/>
      <c r="AM37" s="1699"/>
      <c r="AN37" s="1699"/>
      <c r="AO37" s="1718">
        <f t="shared" si="47"/>
        <v>0</v>
      </c>
      <c r="AP37" s="130"/>
      <c r="AQ37" s="1778"/>
      <c r="AR37" s="1732"/>
      <c r="AS37" s="1732">
        <f>IF(YEAR('3 pr-2'!$AK37)=2017,$AP37,0)</f>
        <v>0</v>
      </c>
      <c r="AT37" s="1732">
        <f>IF(YEAR('3 pr-2'!$AK37)=2018,$AP37,0)</f>
        <v>0</v>
      </c>
      <c r="AU37" s="1732">
        <f>IF(YEAR('3 pr-2'!$AK37)=2019,$AP37,0)</f>
        <v>0</v>
      </c>
      <c r="AV37" s="1732">
        <f>IF(YEAR('3 pr-2'!$AK37)=2020,$AP37,0)</f>
        <v>0</v>
      </c>
      <c r="AW37" s="1732">
        <f>IF(YEAR('3 pr-2'!$AK37)=2021,$AP37,0)</f>
        <v>0</v>
      </c>
      <c r="AX37" s="1732">
        <f>IF(YEAR('3 pr-2'!$AK37)=2022,$AP37,0)</f>
        <v>0</v>
      </c>
      <c r="AY37" s="1732">
        <f>IF(YEAR('3 pr-2'!$AK37)=2023,$AP37,0)</f>
        <v>0</v>
      </c>
      <c r="AZ37" s="130"/>
      <c r="BA37" s="470"/>
      <c r="BB37" s="1699"/>
      <c r="BC37" s="1699"/>
      <c r="BD37" s="1699"/>
      <c r="BE37" s="1699"/>
      <c r="BF37" s="1699"/>
      <c r="BG37" s="1699"/>
      <c r="BH37" s="1699"/>
      <c r="BI37" s="1718">
        <f t="shared" si="55"/>
        <v>0</v>
      </c>
      <c r="BJ37" s="130"/>
      <c r="BK37" s="1501"/>
      <c r="BL37" s="130"/>
      <c r="BM37" s="130">
        <f>IF(YEAR('3 pr-2'!AK37)=2017,BJ37,0)</f>
        <v>0</v>
      </c>
      <c r="BN37" s="130">
        <f>IF(YEAR('3 pr-2'!AK37)=2018,BJ37,0)</f>
        <v>0</v>
      </c>
      <c r="BO37" s="130">
        <f>IF(YEAR('3 pr-2'!AK37)=2019,BJ37,0)</f>
        <v>0</v>
      </c>
      <c r="BP37" s="130">
        <f>IF(YEAR('3 pr-2'!AK37)=2020,BJ37,0)</f>
        <v>0</v>
      </c>
      <c r="BQ37" s="130">
        <f>IF(YEAR('3 pr-2'!AK37)=2021,BJ37,0)</f>
        <v>0</v>
      </c>
      <c r="BR37" s="130">
        <f>IF(YEAR('3 pr-2'!AK37)=2022,BJ37,0)</f>
        <v>0</v>
      </c>
      <c r="BS37" s="130">
        <f>IF(YEAR('3 pr-2'!AK37)=2023,BJ37,0)</f>
        <v>0</v>
      </c>
      <c r="BT37" s="317"/>
      <c r="BU37" s="471"/>
      <c r="BV37" s="1699"/>
      <c r="BW37" s="1699"/>
      <c r="BX37" s="1699"/>
      <c r="BY37" s="1699"/>
      <c r="BZ37" s="1699"/>
      <c r="CA37" s="1699"/>
      <c r="CB37" s="1699"/>
      <c r="CC37" s="1718">
        <f t="shared" si="35"/>
        <v>0</v>
      </c>
      <c r="CD37" s="130"/>
      <c r="CE37" s="130"/>
      <c r="CF37" s="130"/>
      <c r="CG37" s="130">
        <f>IF(YEAR('3 pr-2'!$AK37)=2017,$CD37,0)</f>
        <v>0</v>
      </c>
      <c r="CH37" s="130">
        <f>IF(YEAR('3 pr-2'!$AK37)=2018,$CD37,0)</f>
        <v>0</v>
      </c>
      <c r="CI37" s="130">
        <f>IF(YEAR('3 pr-2'!$AK37)=2019,$CD37,0)</f>
        <v>0</v>
      </c>
      <c r="CJ37" s="130">
        <f>IF(YEAR('3 pr-2'!$AK37)=2020,$CD37,0)</f>
        <v>0</v>
      </c>
      <c r="CK37" s="130">
        <f>IF(YEAR('3 pr-2'!$AK37)=2021,$CD37,0)</f>
        <v>0</v>
      </c>
      <c r="CL37" s="130">
        <f>IF(YEAR('3 pr-2'!$AK37)=2022,$CD37,0)</f>
        <v>0</v>
      </c>
      <c r="CM37" s="130">
        <f>IF(YEAR('3 pr-2'!$AK37)=2023,$CD37,0)</f>
        <v>0</v>
      </c>
      <c r="CN37" s="317"/>
      <c r="CO37" s="472"/>
      <c r="CP37" s="1704"/>
      <c r="CQ37" s="1699"/>
      <c r="CR37" s="1699"/>
      <c r="CS37" s="1699"/>
      <c r="CT37" s="1699"/>
      <c r="CU37" s="1699"/>
      <c r="CV37" s="1699"/>
      <c r="CW37" s="1718">
        <f t="shared" si="36"/>
        <v>0</v>
      </c>
      <c r="CX37" s="318"/>
      <c r="CY37" s="303"/>
      <c r="CZ37" s="303"/>
      <c r="DA37" s="506">
        <f>IF(YEAR('3 pr-2'!AK37)=2017,CX37,0)</f>
        <v>0</v>
      </c>
      <c r="DB37" s="506">
        <f>IF(YEAR('3 pr-2'!AK37)=2018,CX37,0)</f>
        <v>0</v>
      </c>
      <c r="DC37" s="506">
        <f>IF(YEAR('3 pr-2'!AK37)=2019,CX37,0)</f>
        <v>0</v>
      </c>
      <c r="DD37" s="506">
        <f>IF(YEAR('3 pr-2'!AK37)=2020,CX37,0)</f>
        <v>0</v>
      </c>
      <c r="DE37" s="506">
        <f>IF(YEAR('3 pr-2'!AK37)=2021,CX37,0)</f>
        <v>0</v>
      </c>
      <c r="DF37" s="506">
        <f>IF(YEAR('3 pr-2'!AK37)=2022,CX37,0)</f>
        <v>0</v>
      </c>
      <c r="DG37" s="506">
        <f>IF(YEAR('3 pr-2'!AK37)=2023,CX37,0)</f>
        <v>0</v>
      </c>
      <c r="DH37" s="317"/>
      <c r="DI37" s="472"/>
      <c r="DJ37" s="318"/>
      <c r="DK37" s="130"/>
      <c r="DL37" s="130"/>
      <c r="DM37" s="130"/>
      <c r="DN37" s="130"/>
      <c r="DO37" s="130"/>
      <c r="DP37" s="130"/>
      <c r="DQ37" s="756">
        <f t="shared" si="37"/>
        <v>0</v>
      </c>
      <c r="DR37" s="318"/>
      <c r="DS37" s="303"/>
      <c r="DT37" s="303"/>
      <c r="DU37" s="506">
        <f>IF(YEAR('3 pr-2'!BF37)=2017,DS37,0)</f>
        <v>0</v>
      </c>
      <c r="DV37" s="506">
        <f>IF(YEAR('3 pr-2'!BF37)=2018,DS37,0)</f>
        <v>0</v>
      </c>
      <c r="DW37" s="506">
        <f>IF(YEAR('3 pr-2'!BF37)=2019,DS37,0)</f>
        <v>0</v>
      </c>
      <c r="DX37" s="506">
        <f>IF(YEAR('3 pr-2'!BF37)=2020,DS37,0)</f>
        <v>0</v>
      </c>
      <c r="DY37" s="506">
        <f>IF(YEAR('3 pr-2'!BF37)=2021,DS37,0)</f>
        <v>0</v>
      </c>
      <c r="DZ37" s="506">
        <f>IF(YEAR('3 pr-2'!BF37)=2022,DS37,0)</f>
        <v>0</v>
      </c>
      <c r="EA37" s="506">
        <f>IF(YEAR('3 pr-2'!BF37)=2023,DS37,0)</f>
        <v>0</v>
      </c>
      <c r="EB37" s="317"/>
      <c r="EC37" s="472"/>
      <c r="ED37" s="303"/>
      <c r="EE37" s="303"/>
      <c r="EF37" s="303"/>
      <c r="EG37" s="506">
        <f>IF(YEAR('3 pr-2'!BP37)=2017,ED37,0)</f>
        <v>0</v>
      </c>
      <c r="EH37" s="506">
        <f>IF(YEAR('3 pr-2'!BP37)=2018,ED37,0)</f>
        <v>0</v>
      </c>
      <c r="EI37" s="506">
        <f>IF(YEAR('3 pr-2'!BP37)=2019,ED37,0)</f>
        <v>0</v>
      </c>
      <c r="EJ37" s="506">
        <f>IF(YEAR('3 pr-2'!BP37)=2020,ED37,0)</f>
        <v>0</v>
      </c>
      <c r="EK37" s="506">
        <f>IF(YEAR('3 pr-2'!BP37)=2021,ED37,0)</f>
        <v>0</v>
      </c>
      <c r="EL37" s="506">
        <f>IF(YEAR('3 pr-2'!BP37)=2022,ED37,0)</f>
        <v>0</v>
      </c>
      <c r="EM37" s="506">
        <f>IF(YEAR('3 pr-2'!BP37)=2023,ED37,0)</f>
        <v>0</v>
      </c>
    </row>
    <row r="38" spans="1:143" ht="49.5" thickTop="1" thickBot="1">
      <c r="A38" s="130" t="str">
        <f>CONCATENATE('3 pr-2'!A38)</f>
        <v>1.1.1.2.5</v>
      </c>
      <c r="B38" s="130" t="str">
        <f>CONCATENATE('3 pr-2'!B38)</f>
        <v>R01-9908-290000-1125</v>
      </c>
      <c r="C38" s="1730" t="str">
        <f>CONCATENATE('ketv. 2'!B37)</f>
        <v>08.2.1-CPVA-R-908-11-0004</v>
      </c>
      <c r="D38" s="78" t="str">
        <f>CONCATENATE('3 pr-2'!D38)</f>
        <v>Viečiūnų viešosios erdvės pritaikymas bendruomenės poreikiams</v>
      </c>
      <c r="E38" s="11" t="str">
        <f>CONCATENATE('3 pr-2'!E38)</f>
        <v xml:space="preserve">Druskininkų savivaldybės administracija  </v>
      </c>
      <c r="F38" s="11" t="str">
        <f>CONCATENATE('3 pr-2'!F38)</f>
        <v>Lietuvos Respublikos vidaus reikalų ministerija</v>
      </c>
      <c r="G38" s="11" t="str">
        <f>CONCATENATE('3 pr-2'!G38)</f>
        <v>Druskininkų sav.</v>
      </c>
      <c r="H38" s="130" t="str">
        <f>CONCATENATE('3 pr-2'!H38)</f>
        <v>8.2.1-CPVA-R-908</v>
      </c>
      <c r="I38" s="130" t="str">
        <f>CONCATENATE('3 pr-2'!I38)</f>
        <v>R</v>
      </c>
      <c r="J38" s="130" t="str">
        <f>CONCATENATE('3 pr-2'!J38)</f>
        <v>-</v>
      </c>
      <c r="K38" s="130" t="str">
        <f>CONCATENATE('3 pr-2'!K38)</f>
        <v>-</v>
      </c>
      <c r="L38" s="130" t="s">
        <v>381</v>
      </c>
      <c r="M38" s="471" t="s">
        <v>830</v>
      </c>
      <c r="N38" s="1699"/>
      <c r="O38" s="1699"/>
      <c r="P38" s="1699"/>
      <c r="Q38" s="1699"/>
      <c r="R38" s="1699"/>
      <c r="S38" s="1699"/>
      <c r="T38" s="1699"/>
      <c r="U38" s="1700">
        <f t="shared" si="69"/>
        <v>0</v>
      </c>
      <c r="V38" s="1032">
        <v>23286</v>
      </c>
      <c r="W38" s="1758">
        <v>23286</v>
      </c>
      <c r="X38" s="1759">
        <f>SUM(W38-V38)</f>
        <v>0</v>
      </c>
      <c r="Y38" s="1732">
        <f>IF(YEAR('3 pr-2'!$AK38)=2017,$V38,0)</f>
        <v>0</v>
      </c>
      <c r="Z38" s="1732">
        <f>IF(YEAR('3 pr-2'!$AK38)=2018,$V38,0)</f>
        <v>0</v>
      </c>
      <c r="AA38" s="1732">
        <f>IF(YEAR('3 pr-2'!$AK38)=2019,$V38,0)</f>
        <v>23286</v>
      </c>
      <c r="AB38" s="1732">
        <f>IF(YEAR('3 pr-2'!$AK38)=2020,$V38,0)</f>
        <v>0</v>
      </c>
      <c r="AC38" s="1732">
        <f>IF(YEAR('3 pr-2'!$AK38)=2021,$V38,0)</f>
        <v>0</v>
      </c>
      <c r="AD38" s="1732">
        <f>IF(YEAR('3 pr-2'!$AK38)=2022,$V38,0)</f>
        <v>0</v>
      </c>
      <c r="AE38" s="1732">
        <f>IF(YEAR('3 pr-2'!$AK38)=2023,$V38,0)</f>
        <v>0</v>
      </c>
      <c r="AF38" s="317"/>
      <c r="AG38" s="471"/>
      <c r="AH38" s="1699"/>
      <c r="AI38" s="1699"/>
      <c r="AJ38" s="1699"/>
      <c r="AK38" s="1699"/>
      <c r="AL38" s="1699"/>
      <c r="AM38" s="1699"/>
      <c r="AN38" s="1699"/>
      <c r="AO38" s="1718"/>
      <c r="AP38" s="130"/>
      <c r="AQ38" s="1778"/>
      <c r="AR38" s="1732"/>
      <c r="AS38" s="1732">
        <f>IF(YEAR('3 pr-2'!$AK38)=2017,$AP38,0)</f>
        <v>0</v>
      </c>
      <c r="AT38" s="1732">
        <f>IF(YEAR('3 pr-2'!$AK38)=2018,$AP38,0)</f>
        <v>0</v>
      </c>
      <c r="AU38" s="1732">
        <f>IF(YEAR('3 pr-2'!$AK38)=2019,$AP38,0)</f>
        <v>0</v>
      </c>
      <c r="AV38" s="1732">
        <f>IF(YEAR('3 pr-2'!$AK38)=2020,$AP38,0)</f>
        <v>0</v>
      </c>
      <c r="AW38" s="1732">
        <f>IF(YEAR('3 pr-2'!$AK38)=2021,$AP38,0)</f>
        <v>0</v>
      </c>
      <c r="AX38" s="1732">
        <f>IF(YEAR('3 pr-2'!$AK38)=2022,$AP38,0)</f>
        <v>0</v>
      </c>
      <c r="AY38" s="1732">
        <f>IF(YEAR('3 pr-2'!$AK38)=2023,$AP38,0)</f>
        <v>0</v>
      </c>
      <c r="AZ38" s="130"/>
      <c r="BA38" s="470"/>
      <c r="BB38" s="1699"/>
      <c r="BC38" s="1699"/>
      <c r="BD38" s="1699"/>
      <c r="BE38" s="1699"/>
      <c r="BF38" s="1699"/>
      <c r="BG38" s="1699"/>
      <c r="BH38" s="1699"/>
      <c r="BI38" s="1718">
        <f t="shared" si="55"/>
        <v>0</v>
      </c>
      <c r="BJ38" s="130"/>
      <c r="BK38" s="1501"/>
      <c r="BL38" s="130"/>
      <c r="BM38" s="130">
        <f>IF(YEAR('3 pr-2'!AK38)=2017,BJ38,0)</f>
        <v>0</v>
      </c>
      <c r="BN38" s="130">
        <f>IF(YEAR('3 pr-2'!AK38)=2018,BJ38,0)</f>
        <v>0</v>
      </c>
      <c r="BO38" s="130">
        <f>IF(YEAR('3 pr-2'!AK38)=2019,BJ38,0)</f>
        <v>0</v>
      </c>
      <c r="BP38" s="130">
        <f>IF(YEAR('3 pr-2'!AK38)=2020,BJ38,0)</f>
        <v>0</v>
      </c>
      <c r="BQ38" s="130">
        <f>IF(YEAR('3 pr-2'!AK38)=2021,BJ38,0)</f>
        <v>0</v>
      </c>
      <c r="BR38" s="130">
        <f>IF(YEAR('3 pr-2'!AK38)=2022,BJ38,0)</f>
        <v>0</v>
      </c>
      <c r="BS38" s="130">
        <f>IF(YEAR('3 pr-2'!AK38)=2023,BJ38,0)</f>
        <v>0</v>
      </c>
      <c r="BT38" s="317"/>
      <c r="BU38" s="471"/>
      <c r="BV38" s="1699"/>
      <c r="BW38" s="1699"/>
      <c r="BX38" s="1699"/>
      <c r="BY38" s="1699"/>
      <c r="BZ38" s="1699"/>
      <c r="CA38" s="1699"/>
      <c r="CB38" s="1699"/>
      <c r="CC38" s="1718">
        <f t="shared" si="35"/>
        <v>0</v>
      </c>
      <c r="CD38" s="130"/>
      <c r="CE38" s="130"/>
      <c r="CF38" s="130"/>
      <c r="CG38" s="130">
        <f>IF(YEAR('3 pr-2'!$AK38)=2017,$CD38,0)</f>
        <v>0</v>
      </c>
      <c r="CH38" s="130">
        <f>IF(YEAR('3 pr-2'!$AK38)=2018,$CD38,0)</f>
        <v>0</v>
      </c>
      <c r="CI38" s="130">
        <f>IF(YEAR('3 pr-2'!$AK38)=2019,$CD38,0)</f>
        <v>0</v>
      </c>
      <c r="CJ38" s="130">
        <f>IF(YEAR('3 pr-2'!$AK38)=2020,$CD38,0)</f>
        <v>0</v>
      </c>
      <c r="CK38" s="130">
        <f>IF(YEAR('3 pr-2'!$AK38)=2021,$CD38,0)</f>
        <v>0</v>
      </c>
      <c r="CL38" s="130">
        <f>IF(YEAR('3 pr-2'!$AK38)=2022,$CD38,0)</f>
        <v>0</v>
      </c>
      <c r="CM38" s="130">
        <f>IF(YEAR('3 pr-2'!$AK38)=2023,$CD38,0)</f>
        <v>0</v>
      </c>
      <c r="CN38" s="317"/>
      <c r="CO38" s="472"/>
      <c r="CP38" s="1704"/>
      <c r="CQ38" s="1699"/>
      <c r="CR38" s="1699"/>
      <c r="CS38" s="1699"/>
      <c r="CT38" s="1699"/>
      <c r="CU38" s="1699"/>
      <c r="CV38" s="1699"/>
      <c r="CW38" s="1718">
        <f t="shared" si="36"/>
        <v>0</v>
      </c>
      <c r="CX38" s="318"/>
      <c r="CY38" s="303"/>
      <c r="CZ38" s="303"/>
      <c r="DA38" s="506">
        <f>IF(YEAR('3 pr-2'!AK38)=2017,CX38,0)</f>
        <v>0</v>
      </c>
      <c r="DB38" s="506">
        <f>IF(YEAR('3 pr-2'!AK38)=2018,CX38,0)</f>
        <v>0</v>
      </c>
      <c r="DC38" s="506">
        <f>IF(YEAR('3 pr-2'!AK38)=2019,CX38,0)</f>
        <v>0</v>
      </c>
      <c r="DD38" s="506">
        <f>IF(YEAR('3 pr-2'!AK38)=2020,CX38,0)</f>
        <v>0</v>
      </c>
      <c r="DE38" s="506">
        <f>IF(YEAR('3 pr-2'!AK38)=2021,CX38,0)</f>
        <v>0</v>
      </c>
      <c r="DF38" s="506">
        <f>IF(YEAR('3 pr-2'!AK38)=2022,CX38,0)</f>
        <v>0</v>
      </c>
      <c r="DG38" s="506">
        <f>IF(YEAR('3 pr-2'!AK38)=2023,CX38,0)</f>
        <v>0</v>
      </c>
      <c r="DH38" s="317"/>
      <c r="DI38" s="472"/>
      <c r="DJ38" s="318"/>
      <c r="DK38" s="130"/>
      <c r="DL38" s="130"/>
      <c r="DM38" s="130"/>
      <c r="DN38" s="130"/>
      <c r="DO38" s="130"/>
      <c r="DP38" s="130"/>
      <c r="DQ38" s="756">
        <f t="shared" si="37"/>
        <v>0</v>
      </c>
      <c r="DR38" s="318"/>
      <c r="DS38" s="303"/>
      <c r="DT38" s="303"/>
      <c r="DU38" s="506">
        <f>IF(YEAR('3 pr-2'!BF38)=2017,DS38,0)</f>
        <v>0</v>
      </c>
      <c r="DV38" s="506">
        <f>IF(YEAR('3 pr-2'!BF38)=2018,DS38,0)</f>
        <v>0</v>
      </c>
      <c r="DW38" s="506">
        <f>IF(YEAR('3 pr-2'!BF38)=2019,DS38,0)</f>
        <v>0</v>
      </c>
      <c r="DX38" s="506">
        <f>IF(YEAR('3 pr-2'!BF38)=2020,DS38,0)</f>
        <v>0</v>
      </c>
      <c r="DY38" s="506">
        <f>IF(YEAR('3 pr-2'!BF38)=2021,DS38,0)</f>
        <v>0</v>
      </c>
      <c r="DZ38" s="506">
        <f>IF(YEAR('3 pr-2'!BF38)=2022,DS38,0)</f>
        <v>0</v>
      </c>
      <c r="EA38" s="506">
        <f>IF(YEAR('3 pr-2'!BF38)=2023,DS38,0)</f>
        <v>0</v>
      </c>
      <c r="EB38" s="317"/>
      <c r="EC38" s="472"/>
      <c r="ED38" s="303"/>
      <c r="EE38" s="303"/>
      <c r="EF38" s="303"/>
      <c r="EG38" s="506">
        <f>IF(YEAR('3 pr-2'!BP38)=2017,ED38,0)</f>
        <v>0</v>
      </c>
      <c r="EH38" s="506">
        <f>IF(YEAR('3 pr-2'!BP38)=2018,ED38,0)</f>
        <v>0</v>
      </c>
      <c r="EI38" s="506">
        <f>IF(YEAR('3 pr-2'!BP38)=2019,ED38,0)</f>
        <v>0</v>
      </c>
      <c r="EJ38" s="506">
        <f>IF(YEAR('3 pr-2'!BP38)=2020,ED38,0)</f>
        <v>0</v>
      </c>
      <c r="EK38" s="506">
        <f>IF(YEAR('3 pr-2'!BP38)=2021,ED38,0)</f>
        <v>0</v>
      </c>
      <c r="EL38" s="506">
        <f>IF(YEAR('3 pr-2'!BP38)=2022,ED38,0)</f>
        <v>0</v>
      </c>
      <c r="EM38" s="506">
        <f>IF(YEAR('3 pr-2'!BP38)=2023,ED38,0)</f>
        <v>0</v>
      </c>
    </row>
    <row r="39" spans="1:143" ht="29.25" customHeight="1" thickBot="1">
      <c r="A39" s="697" t="str">
        <f>CONCATENATE('3 pr-2'!A39)</f>
        <v>1.1.1.3</v>
      </c>
      <c r="B39" s="1972" t="str">
        <f>CONCATENATE('3 pr-2'!B39)</f>
        <v>Priemonė:
Varėnos miesto kompleksinė plėtra</v>
      </c>
      <c r="C39" s="1894"/>
      <c r="D39" s="1894"/>
      <c r="E39" s="1894"/>
      <c r="F39" s="1894"/>
      <c r="G39" s="1894"/>
      <c r="H39" s="1894"/>
      <c r="I39" s="1894"/>
      <c r="J39" s="1894"/>
      <c r="K39" s="1895"/>
      <c r="L39" s="1322"/>
      <c r="M39" s="474"/>
      <c r="N39" s="1697">
        <f>SUM(N40:N44)</f>
        <v>0</v>
      </c>
      <c r="O39" s="1697">
        <f t="shared" ref="O39:T39" si="70">SUM(O40:O44)</f>
        <v>26133.71</v>
      </c>
      <c r="P39" s="1697">
        <f t="shared" si="70"/>
        <v>0</v>
      </c>
      <c r="Q39" s="1697">
        <f t="shared" si="70"/>
        <v>0</v>
      </c>
      <c r="R39" s="1697">
        <f t="shared" si="70"/>
        <v>0</v>
      </c>
      <c r="S39" s="1697">
        <f t="shared" si="70"/>
        <v>0</v>
      </c>
      <c r="T39" s="1697">
        <f t="shared" si="70"/>
        <v>0</v>
      </c>
      <c r="U39" s="1698">
        <f t="shared" si="39"/>
        <v>26133.71</v>
      </c>
      <c r="V39" s="1095"/>
      <c r="W39" s="1754"/>
      <c r="X39" s="1755"/>
      <c r="Y39" s="1756">
        <f t="shared" ref="Y39:AE39" si="71">SUM(Y40:Y45)</f>
        <v>0</v>
      </c>
      <c r="Z39" s="1756">
        <f t="shared" si="71"/>
        <v>26133.71</v>
      </c>
      <c r="AA39" s="1756">
        <f t="shared" si="71"/>
        <v>62250</v>
      </c>
      <c r="AB39" s="1756">
        <f t="shared" si="71"/>
        <v>155689.41</v>
      </c>
      <c r="AC39" s="1756">
        <f t="shared" si="71"/>
        <v>0</v>
      </c>
      <c r="AD39" s="1756">
        <f t="shared" si="71"/>
        <v>0</v>
      </c>
      <c r="AE39" s="1756">
        <f t="shared" si="71"/>
        <v>0</v>
      </c>
      <c r="AF39" s="746"/>
      <c r="AG39" s="752"/>
      <c r="AH39" s="1697"/>
      <c r="AI39" s="1697"/>
      <c r="AJ39" s="1697"/>
      <c r="AK39" s="1697"/>
      <c r="AL39" s="1697"/>
      <c r="AM39" s="1697"/>
      <c r="AN39" s="1697"/>
      <c r="AO39" s="1701">
        <v>0</v>
      </c>
      <c r="AP39" s="736"/>
      <c r="AQ39" s="1756"/>
      <c r="AR39" s="1756"/>
      <c r="AS39" s="1756">
        <f t="shared" ref="AS39:AY39" si="72">SUM(AS40:AS45)</f>
        <v>0</v>
      </c>
      <c r="AT39" s="1756">
        <f t="shared" si="72"/>
        <v>0</v>
      </c>
      <c r="AU39" s="1756">
        <f t="shared" si="72"/>
        <v>34.56</v>
      </c>
      <c r="AV39" s="1756">
        <f t="shared" si="72"/>
        <v>0</v>
      </c>
      <c r="AW39" s="1756">
        <f t="shared" si="72"/>
        <v>0</v>
      </c>
      <c r="AX39" s="1756">
        <f t="shared" si="72"/>
        <v>0</v>
      </c>
      <c r="AY39" s="1756">
        <f t="shared" si="72"/>
        <v>0</v>
      </c>
      <c r="AZ39" s="736"/>
      <c r="BA39" s="752"/>
      <c r="BB39" s="1697">
        <f>SUM(BB40:BB44)</f>
        <v>0</v>
      </c>
      <c r="BC39" s="1697">
        <f t="shared" ref="BC39" si="73">SUM(BC40:BC44)</f>
        <v>0</v>
      </c>
      <c r="BD39" s="1697">
        <f t="shared" ref="BD39" si="74">SUM(BD40:BD44)</f>
        <v>0</v>
      </c>
      <c r="BE39" s="1697">
        <f t="shared" ref="BE39" si="75">SUM(BE40:BE44)</f>
        <v>0</v>
      </c>
      <c r="BF39" s="1697">
        <f t="shared" ref="BF39" si="76">SUM(BF40:BF44)</f>
        <v>0</v>
      </c>
      <c r="BG39" s="1697">
        <f t="shared" ref="BG39" si="77">SUM(BG40:BG44)</f>
        <v>0</v>
      </c>
      <c r="BH39" s="1697">
        <f t="shared" ref="BH39" si="78">SUM(BH40:BH44)</f>
        <v>0</v>
      </c>
      <c r="BI39" s="1701">
        <f t="shared" si="55"/>
        <v>0</v>
      </c>
      <c r="BJ39" s="736"/>
      <c r="BK39" s="304"/>
      <c r="BL39" s="304"/>
      <c r="BM39" s="304"/>
      <c r="BN39" s="304"/>
      <c r="BO39" s="304"/>
      <c r="BP39" s="304"/>
      <c r="BQ39" s="304"/>
      <c r="BR39" s="304"/>
      <c r="BS39" s="304"/>
      <c r="BT39" s="304"/>
      <c r="BU39" s="472"/>
      <c r="BV39" s="1697">
        <f>SUM(BV40:BV44)</f>
        <v>0</v>
      </c>
      <c r="BW39" s="1697">
        <f t="shared" ref="BW39" si="79">SUM(BW40:BW44)</f>
        <v>0</v>
      </c>
      <c r="BX39" s="1697">
        <f t="shared" ref="BX39" si="80">SUM(BX40:BX44)</f>
        <v>0</v>
      </c>
      <c r="BY39" s="1697">
        <f t="shared" ref="BY39" si="81">SUM(BY40:BY44)</f>
        <v>0</v>
      </c>
      <c r="BZ39" s="1697">
        <f t="shared" ref="BZ39" si="82">SUM(BZ40:BZ44)</f>
        <v>0</v>
      </c>
      <c r="CA39" s="1697">
        <f t="shared" ref="CA39" si="83">SUM(CA40:CA44)</f>
        <v>0</v>
      </c>
      <c r="CB39" s="1697">
        <f t="shared" ref="CB39" si="84">SUM(CB40:CB44)</f>
        <v>0</v>
      </c>
      <c r="CC39" s="1701">
        <f t="shared" si="35"/>
        <v>0</v>
      </c>
      <c r="CD39" s="304"/>
      <c r="CE39" s="304"/>
      <c r="CF39" s="304"/>
      <c r="CG39" s="304"/>
      <c r="CH39" s="304"/>
      <c r="CI39" s="304"/>
      <c r="CJ39" s="304"/>
      <c r="CK39" s="304"/>
      <c r="CL39" s="304"/>
      <c r="CM39" s="304"/>
      <c r="CN39" s="750"/>
      <c r="CO39" s="472"/>
      <c r="CP39" s="1723">
        <f>SUM(CP40:CP44)</f>
        <v>0</v>
      </c>
      <c r="CQ39" s="1697">
        <f t="shared" ref="CQ39" si="85">SUM(CQ40:CQ44)</f>
        <v>0</v>
      </c>
      <c r="CR39" s="1697">
        <f t="shared" ref="CR39" si="86">SUM(CR40:CR44)</f>
        <v>0</v>
      </c>
      <c r="CS39" s="1697">
        <f t="shared" ref="CS39" si="87">SUM(CS40:CS44)</f>
        <v>0</v>
      </c>
      <c r="CT39" s="1697">
        <f t="shared" ref="CT39" si="88">SUM(CT40:CT44)</f>
        <v>0</v>
      </c>
      <c r="CU39" s="1697">
        <f t="shared" ref="CU39" si="89">SUM(CU40:CU44)</f>
        <v>0</v>
      </c>
      <c r="CV39" s="1697">
        <f t="shared" ref="CV39" si="90">SUM(CV40:CV44)</f>
        <v>0</v>
      </c>
      <c r="CW39" s="1701">
        <f t="shared" si="36"/>
        <v>0</v>
      </c>
      <c r="CX39" s="304"/>
      <c r="CY39" s="506"/>
      <c r="CZ39" s="506"/>
      <c r="DA39" s="506"/>
      <c r="DB39" s="506"/>
      <c r="DC39" s="506"/>
      <c r="DD39" s="506"/>
      <c r="DE39" s="506"/>
      <c r="DF39" s="506"/>
      <c r="DG39" s="506"/>
      <c r="DH39" s="750"/>
      <c r="DI39" s="472"/>
      <c r="DJ39" s="725">
        <f>SUM(DJ40:DJ44)</f>
        <v>0</v>
      </c>
      <c r="DK39" s="304">
        <f t="shared" ref="DK39:DP39" si="91">SUM(DK40:DK44)</f>
        <v>0</v>
      </c>
      <c r="DL39" s="304">
        <f t="shared" si="91"/>
        <v>0</v>
      </c>
      <c r="DM39" s="304">
        <f t="shared" si="91"/>
        <v>0</v>
      </c>
      <c r="DN39" s="304">
        <f t="shared" si="91"/>
        <v>0</v>
      </c>
      <c r="DO39" s="304">
        <f t="shared" si="91"/>
        <v>0</v>
      </c>
      <c r="DP39" s="304">
        <f t="shared" si="91"/>
        <v>0</v>
      </c>
      <c r="DQ39" s="736">
        <f t="shared" si="37"/>
        <v>0</v>
      </c>
      <c r="DR39" s="304"/>
      <c r="DS39" s="506"/>
      <c r="DT39" s="506"/>
      <c r="DU39" s="506"/>
      <c r="DV39" s="506"/>
      <c r="DW39" s="506"/>
      <c r="DX39" s="506"/>
      <c r="DY39" s="506"/>
      <c r="DZ39" s="506"/>
      <c r="EA39" s="506"/>
      <c r="EB39" s="750"/>
      <c r="EC39" s="472"/>
      <c r="ED39" s="506"/>
      <c r="EE39" s="506"/>
      <c r="EF39" s="506"/>
      <c r="EG39" s="506"/>
      <c r="EH39" s="506"/>
      <c r="EI39" s="506"/>
      <c r="EJ39" s="506"/>
      <c r="EK39" s="506"/>
      <c r="EL39" s="506"/>
      <c r="EM39" s="506"/>
    </row>
    <row r="40" spans="1:143" ht="61.5" thickTop="1" thickBot="1">
      <c r="A40" s="130" t="str">
        <f>CONCATENATE('3 pr-2'!A40)</f>
        <v>1.1.1.3.1</v>
      </c>
      <c r="B40" s="130" t="str">
        <f>CONCATENATE('3 pr-2'!B40)</f>
        <v>R01-9905-290000-1131</v>
      </c>
      <c r="C40" s="1730" t="str">
        <f>CONCATENATE('ketv. 2'!B39)</f>
        <v>07.1.1-CPVA-R-905-11-0001</v>
      </c>
      <c r="D40" s="78" t="str">
        <f>CONCATENATE('3 pr-2'!D40)</f>
        <v>Varėnos miesto centrinės dalies modernizavimas ir pritaikymas visuomenės poreikiams (I etapas)</v>
      </c>
      <c r="E40" s="11" t="str">
        <f>CONCATENATE('3 pr-2'!E40)</f>
        <v>Varėnos rajono savivaldybės administracija</v>
      </c>
      <c r="F40" s="11" t="str">
        <f>CONCATENATE('3 pr-2'!F40)</f>
        <v>Lietuvos Respublikos vidaus reikalų ministerija</v>
      </c>
      <c r="G40" s="11" t="str">
        <f>CONCATENATE('3 pr-2'!G40)</f>
        <v>Varėnos r. sav.</v>
      </c>
      <c r="H40" s="130" t="str">
        <f>CONCATENATE('3 pr-2'!H40)</f>
        <v xml:space="preserve">07.1.1-CPVA-R-905 </v>
      </c>
      <c r="I40" s="130" t="str">
        <f>CONCATENATE('3 pr-2'!I40)</f>
        <v>R</v>
      </c>
      <c r="J40" s="130" t="str">
        <f>CONCATENATE('3 pr-2'!J40)</f>
        <v>ITI</v>
      </c>
      <c r="K40" s="130" t="str">
        <f>CONCATENATE('3 pr-2'!K40)</f>
        <v>-</v>
      </c>
      <c r="L40" s="130" t="s">
        <v>459</v>
      </c>
      <c r="M40" s="471" t="s">
        <v>457</v>
      </c>
      <c r="N40" s="1699"/>
      <c r="O40" s="1699">
        <v>26133.71</v>
      </c>
      <c r="P40" s="1699"/>
      <c r="Q40" s="1699"/>
      <c r="R40" s="1699"/>
      <c r="S40" s="1699"/>
      <c r="T40" s="1699"/>
      <c r="U40" s="1700"/>
      <c r="V40" s="1498">
        <v>26133.71</v>
      </c>
      <c r="W40" s="1758">
        <v>26133.71</v>
      </c>
      <c r="X40" s="1759">
        <f t="shared" ref="X40:X45" si="92">SUM(W40-V40)</f>
        <v>0</v>
      </c>
      <c r="Y40" s="1732">
        <f>IF(YEAR('3 pr-2'!$AK40)=2017,$V40,0)</f>
        <v>0</v>
      </c>
      <c r="Z40" s="1732">
        <f>IF(YEAR('3 pr-2'!$AK40)=2018,$V40,0)</f>
        <v>26133.71</v>
      </c>
      <c r="AA40" s="1732">
        <f>IF(YEAR('3 pr-2'!$AK40)=2019,$V40,0)</f>
        <v>0</v>
      </c>
      <c r="AB40" s="1732">
        <f>IF(YEAR('3 pr-2'!$AK40)=2020,$V40,0)</f>
        <v>0</v>
      </c>
      <c r="AC40" s="1732">
        <f>IF(YEAR('3 pr-2'!$AK40)=2021,$V40,0)</f>
        <v>0</v>
      </c>
      <c r="AD40" s="1732">
        <f>IF(YEAR('3 pr-2'!$AK40)=2022,$V40,0)</f>
        <v>0</v>
      </c>
      <c r="AE40" s="1732">
        <f>IF(YEAR('3 pr-2'!$AK40)=2023,$V40,0)</f>
        <v>0</v>
      </c>
      <c r="AF40" s="317"/>
      <c r="AG40" s="471"/>
      <c r="AH40" s="1699"/>
      <c r="AI40" s="1699"/>
      <c r="AJ40" s="1699"/>
      <c r="AK40" s="1699"/>
      <c r="AL40" s="1699"/>
      <c r="AM40" s="1699"/>
      <c r="AN40" s="1699"/>
      <c r="AO40" s="1718">
        <f t="shared" ref="AO40:AO45" si="93">SUM(AH40:AN40)</f>
        <v>0</v>
      </c>
      <c r="AP40" s="130"/>
      <c r="AQ40" s="1778"/>
      <c r="AR40" s="1732"/>
      <c r="AS40" s="1732">
        <f>IF(YEAR('3 pr-2'!$AK40)=2017,$AP40,0)</f>
        <v>0</v>
      </c>
      <c r="AT40" s="1732">
        <f>IF(YEAR('3 pr-2'!$AK40)=2018,$AP40,0)</f>
        <v>0</v>
      </c>
      <c r="AU40" s="1732">
        <f>IF(YEAR('3 pr-2'!$AK40)=2019,$AP40,0)</f>
        <v>0</v>
      </c>
      <c r="AV40" s="1732">
        <f>IF(YEAR('3 pr-2'!$AK40)=2020,$AP40,0)</f>
        <v>0</v>
      </c>
      <c r="AW40" s="1732">
        <f>IF(YEAR('3 pr-2'!$AK40)=2021,$AP40,0)</f>
        <v>0</v>
      </c>
      <c r="AX40" s="1732">
        <f>IF(YEAR('3 pr-2'!$AK40)=2022,$AP40,0)</f>
        <v>0</v>
      </c>
      <c r="AY40" s="1732">
        <f>IF(YEAR('3 pr-2'!$AK40)=2023,$AP40,0)</f>
        <v>0</v>
      </c>
      <c r="AZ40" s="130"/>
      <c r="BA40" s="470"/>
      <c r="BB40" s="1699"/>
      <c r="BC40" s="1699"/>
      <c r="BD40" s="1699"/>
      <c r="BE40" s="1699"/>
      <c r="BF40" s="1699"/>
      <c r="BG40" s="1699"/>
      <c r="BH40" s="1699"/>
      <c r="BI40" s="1718">
        <f t="shared" si="55"/>
        <v>0</v>
      </c>
      <c r="BJ40" s="130"/>
      <c r="BK40" s="1501"/>
      <c r="BL40" s="130"/>
      <c r="BM40" s="130">
        <f>IF(YEAR('3 pr-2'!AK40)=2017,BJ40,0)</f>
        <v>0</v>
      </c>
      <c r="BN40" s="130">
        <f>IF(YEAR('3 pr-2'!AK40)=2018,BJ40,0)</f>
        <v>0</v>
      </c>
      <c r="BO40" s="130">
        <f>IF(YEAR('3 pr-2'!AK40)=2019,BJ40,0)</f>
        <v>0</v>
      </c>
      <c r="BP40" s="130">
        <f>IF(YEAR('3 pr-2'!AK40)=2020,BJ40,0)</f>
        <v>0</v>
      </c>
      <c r="BQ40" s="130">
        <f>IF(YEAR('3 pr-2'!AK40)=2021,BJ40,0)</f>
        <v>0</v>
      </c>
      <c r="BR40" s="130">
        <f>IF(YEAR('3 pr-2'!AK40)=2022,BJ40,0)</f>
        <v>0</v>
      </c>
      <c r="BS40" s="130">
        <f>IF(YEAR('3 pr-2'!AK40)=2023,BJ40,0)</f>
        <v>0</v>
      </c>
      <c r="BT40" s="317"/>
      <c r="BU40" s="471"/>
      <c r="BV40" s="1699"/>
      <c r="BW40" s="1699"/>
      <c r="BX40" s="1699"/>
      <c r="BY40" s="1699"/>
      <c r="BZ40" s="1699"/>
      <c r="CA40" s="1699"/>
      <c r="CB40" s="1699"/>
      <c r="CC40" s="1718">
        <f t="shared" si="35"/>
        <v>0</v>
      </c>
      <c r="CD40" s="130"/>
      <c r="CE40" s="130"/>
      <c r="CF40" s="130"/>
      <c r="CG40" s="130">
        <f>IF(YEAR('3 pr-2'!$AK40)=2017,$CD40,0)</f>
        <v>0</v>
      </c>
      <c r="CH40" s="130">
        <f>IF(YEAR('3 pr-2'!$AK40)=2018,$CD40,0)</f>
        <v>0</v>
      </c>
      <c r="CI40" s="130">
        <f>IF(YEAR('3 pr-2'!$AK40)=2019,$CD40,0)</f>
        <v>0</v>
      </c>
      <c r="CJ40" s="130">
        <f>IF(YEAR('3 pr-2'!$AK40)=2020,$CD40,0)</f>
        <v>0</v>
      </c>
      <c r="CK40" s="130">
        <f>IF(YEAR('3 pr-2'!$AK40)=2021,$CD40,0)</f>
        <v>0</v>
      </c>
      <c r="CL40" s="130">
        <f>IF(YEAR('3 pr-2'!$AK40)=2022,$CD40,0)</f>
        <v>0</v>
      </c>
      <c r="CM40" s="130">
        <f>IF(YEAR('3 pr-2'!$AK40)=2023,$CD40,0)</f>
        <v>0</v>
      </c>
      <c r="CN40" s="317"/>
      <c r="CO40" s="472"/>
      <c r="CP40" s="1704"/>
      <c r="CQ40" s="1699"/>
      <c r="CR40" s="1699"/>
      <c r="CS40" s="1699"/>
      <c r="CT40" s="1699"/>
      <c r="CU40" s="1699"/>
      <c r="CV40" s="1699"/>
      <c r="CW40" s="1718">
        <f t="shared" si="36"/>
        <v>0</v>
      </c>
      <c r="CX40" s="318"/>
      <c r="CY40" s="303"/>
      <c r="CZ40" s="303"/>
      <c r="DA40" s="506">
        <f>IF(YEAR('3 pr-2'!AK40)=2017,CX40,0)</f>
        <v>0</v>
      </c>
      <c r="DB40" s="506">
        <f>IF(YEAR('3 pr-2'!AK40)=2018,CX40,0)</f>
        <v>0</v>
      </c>
      <c r="DC40" s="506">
        <f>IF(YEAR('3 pr-2'!AK40)=2019,CX40,0)</f>
        <v>0</v>
      </c>
      <c r="DD40" s="506">
        <f>IF(YEAR('3 pr-2'!AK40)=2020,CX40,0)</f>
        <v>0</v>
      </c>
      <c r="DE40" s="506">
        <f>IF(YEAR('3 pr-2'!AK40)=2021,CX40,0)</f>
        <v>0</v>
      </c>
      <c r="DF40" s="506">
        <f>IF(YEAR('3 pr-2'!AK40)=2022,CX40,0)</f>
        <v>0</v>
      </c>
      <c r="DG40" s="506">
        <f>IF(YEAR('3 pr-2'!AK40)=2023,CX40,0)</f>
        <v>0</v>
      </c>
      <c r="DH40" s="317"/>
      <c r="DI40" s="472"/>
      <c r="DJ40" s="318"/>
      <c r="DK40" s="130"/>
      <c r="DL40" s="130"/>
      <c r="DM40" s="130"/>
      <c r="DN40" s="130"/>
      <c r="DO40" s="130"/>
      <c r="DP40" s="130"/>
      <c r="DQ40" s="756">
        <f t="shared" si="37"/>
        <v>0</v>
      </c>
      <c r="DR40" s="318"/>
      <c r="DS40" s="303"/>
      <c r="DT40" s="303"/>
      <c r="DU40" s="506">
        <f>IF(YEAR('3 pr-2'!BF40)=2017,DS40,0)</f>
        <v>0</v>
      </c>
      <c r="DV40" s="506">
        <f>IF(YEAR('3 pr-2'!BF40)=2018,DS40,0)</f>
        <v>0</v>
      </c>
      <c r="DW40" s="506">
        <f>IF(YEAR('3 pr-2'!BF40)=2019,DS40,0)</f>
        <v>0</v>
      </c>
      <c r="DX40" s="506">
        <f>IF(YEAR('3 pr-2'!BF40)=2020,DS40,0)</f>
        <v>0</v>
      </c>
      <c r="DY40" s="506">
        <f>IF(YEAR('3 pr-2'!BF40)=2021,DS40,0)</f>
        <v>0</v>
      </c>
      <c r="DZ40" s="506">
        <f>IF(YEAR('3 pr-2'!BF40)=2022,DS40,0)</f>
        <v>0</v>
      </c>
      <c r="EA40" s="506">
        <f>IF(YEAR('3 pr-2'!BF40)=2023,DS40,0)</f>
        <v>0</v>
      </c>
      <c r="EB40" s="317"/>
      <c r="EC40" s="472"/>
      <c r="ED40" s="303"/>
      <c r="EE40" s="303"/>
      <c r="EF40" s="303"/>
      <c r="EG40" s="506">
        <f>IF(YEAR('3 pr-2'!BP40)=2017,ED40,0)</f>
        <v>0</v>
      </c>
      <c r="EH40" s="506">
        <f>IF(YEAR('3 pr-2'!BP40)=2018,ED40,0)</f>
        <v>0</v>
      </c>
      <c r="EI40" s="506">
        <f>IF(YEAR('3 pr-2'!BP40)=2019,ED40,0)</f>
        <v>0</v>
      </c>
      <c r="EJ40" s="506">
        <f>IF(YEAR('3 pr-2'!BP40)=2020,ED40,0)</f>
        <v>0</v>
      </c>
      <c r="EK40" s="506">
        <f>IF(YEAR('3 pr-2'!BP40)=2021,ED40,0)</f>
        <v>0</v>
      </c>
      <c r="EL40" s="506">
        <f>IF(YEAR('3 pr-2'!BP40)=2022,ED40,0)</f>
        <v>0</v>
      </c>
      <c r="EM40" s="506">
        <f>IF(YEAR('3 pr-2'!BP40)=2023,ED40,0)</f>
        <v>0</v>
      </c>
    </row>
    <row r="41" spans="1:143" ht="61.5" thickTop="1" thickBot="1">
      <c r="A41" s="130" t="str">
        <f>CONCATENATE('3 pr-2'!A41)</f>
        <v>1.1.1.3.2</v>
      </c>
      <c r="B41" s="130" t="str">
        <f>CONCATENATE('3 pr-2'!B41)</f>
        <v>R01-9905-282900-1132</v>
      </c>
      <c r="C41" s="1730" t="str">
        <f>CONCATENATE('ketv. 2'!B40)</f>
        <v>07.1.1-CPVA-R-905-11-0002</v>
      </c>
      <c r="D41" s="78" t="str">
        <f>CONCATENATE('3 pr-2'!D41)</f>
        <v>Varėnos miesto centrinės dalies modernizavimas ir pritaikymas visuomenės poreikiams (II etapas)</v>
      </c>
      <c r="E41" s="11" t="str">
        <f>CONCATENATE('3 pr-2'!E41)</f>
        <v>Varėnos rajono savivaldybės administracija</v>
      </c>
      <c r="F41" s="11" t="str">
        <f>CONCATENATE('3 pr-2'!F41)</f>
        <v>Lietuvos Respublikos vidaus reikalų ministerija</v>
      </c>
      <c r="G41" s="11" t="str">
        <f>CONCATENATE('3 pr-2'!G41)</f>
        <v>Varėnos r. sav.</v>
      </c>
      <c r="H41" s="130" t="str">
        <f>CONCATENATE('3 pr-2'!H41)</f>
        <v xml:space="preserve">07.1.1-CPVA-R-905 </v>
      </c>
      <c r="I41" s="130" t="str">
        <f>CONCATENATE('3 pr-2'!I41)</f>
        <v>R</v>
      </c>
      <c r="J41" s="130" t="str">
        <f>CONCATENATE('3 pr-2'!J41)</f>
        <v>ITI</v>
      </c>
      <c r="K41" s="130" t="str">
        <f>CONCATENATE('3 pr-2'!K41)</f>
        <v>-</v>
      </c>
      <c r="L41" s="130" t="s">
        <v>459</v>
      </c>
      <c r="M41" s="471" t="s">
        <v>457</v>
      </c>
      <c r="N41" s="1699"/>
      <c r="O41" s="1699"/>
      <c r="P41" s="1699"/>
      <c r="Q41" s="1699"/>
      <c r="R41" s="1699"/>
      <c r="S41" s="1699"/>
      <c r="T41" s="1699"/>
      <c r="U41" s="1700"/>
      <c r="V41" s="1032">
        <v>62250</v>
      </c>
      <c r="W41" s="1758">
        <v>62250</v>
      </c>
      <c r="X41" s="1759">
        <f t="shared" si="92"/>
        <v>0</v>
      </c>
      <c r="Y41" s="1732">
        <f>IF(YEAR('3 pr-2'!$AK41)=2017,$V41,0)</f>
        <v>0</v>
      </c>
      <c r="Z41" s="1732">
        <f>IF(YEAR('3 pr-2'!$AK41)=2018,$V41,0)</f>
        <v>0</v>
      </c>
      <c r="AA41" s="1732">
        <f>IF(YEAR('3 pr-2'!$AK41)=2019,$V41,0)</f>
        <v>62250</v>
      </c>
      <c r="AB41" s="1732">
        <f>IF(YEAR('3 pr-2'!$AK41)=2020,$V41,0)</f>
        <v>0</v>
      </c>
      <c r="AC41" s="1732">
        <f>IF(YEAR('3 pr-2'!$AK41)=2021,$V41,0)</f>
        <v>0</v>
      </c>
      <c r="AD41" s="1732">
        <f>IF(YEAR('3 pr-2'!$AK41)=2022,$V41,0)</f>
        <v>0</v>
      </c>
      <c r="AE41" s="1732">
        <f>IF(YEAR('3 pr-2'!$AK41)=2023,$V41,0)</f>
        <v>0</v>
      </c>
      <c r="AF41" s="317" t="s">
        <v>461</v>
      </c>
      <c r="AG41" s="471" t="s">
        <v>462</v>
      </c>
      <c r="AH41" s="1699"/>
      <c r="AI41" s="1699">
        <v>34.049999999999997</v>
      </c>
      <c r="AJ41" s="1699"/>
      <c r="AK41" s="1699"/>
      <c r="AL41" s="1699"/>
      <c r="AM41" s="1699"/>
      <c r="AN41" s="1699"/>
      <c r="AO41" s="1718">
        <f t="shared" si="93"/>
        <v>34.049999999999997</v>
      </c>
      <c r="AP41" s="130">
        <v>34.56</v>
      </c>
      <c r="AQ41" s="1778">
        <v>34.56</v>
      </c>
      <c r="AR41" s="1732">
        <f>SUM(AQ41-AP41)</f>
        <v>0</v>
      </c>
      <c r="AS41" s="1732">
        <f>IF(YEAR('3 pr-2'!$AK41)=2017,$AP41,0)</f>
        <v>0</v>
      </c>
      <c r="AT41" s="1732">
        <f>IF(YEAR('3 pr-2'!$AK41)=2018,$AP41,0)</f>
        <v>0</v>
      </c>
      <c r="AU41" s="1732">
        <f>IF(YEAR('3 pr-2'!$AK41)=2019,$AP41,0)</f>
        <v>34.56</v>
      </c>
      <c r="AV41" s="1732">
        <f>IF(YEAR('3 pr-2'!$AK41)=2020,$AP41,0)</f>
        <v>0</v>
      </c>
      <c r="AW41" s="1732">
        <f>IF(YEAR('3 pr-2'!$AK41)=2021,$AP41,0)</f>
        <v>0</v>
      </c>
      <c r="AX41" s="1732">
        <f>IF(YEAR('3 pr-2'!$AK41)=2022,$AP41,0)</f>
        <v>0</v>
      </c>
      <c r="AY41" s="1732">
        <f>IF(YEAR('3 pr-2'!$AK41)=2023,$AP41,0)</f>
        <v>0</v>
      </c>
      <c r="AZ41" s="130"/>
      <c r="BA41" s="989"/>
      <c r="BB41" s="1699"/>
      <c r="BC41" s="1699"/>
      <c r="BD41" s="1699"/>
      <c r="BE41" s="1699"/>
      <c r="BF41" s="1699"/>
      <c r="BG41" s="1699"/>
      <c r="BH41" s="1699"/>
      <c r="BI41" s="1718">
        <f t="shared" si="55"/>
        <v>0</v>
      </c>
      <c r="BJ41" s="130"/>
      <c r="BK41" s="1501"/>
      <c r="BL41" s="130"/>
      <c r="BM41" s="130">
        <f>IF(YEAR('3 pr-2'!AK41)=2017,BJ41,0)</f>
        <v>0</v>
      </c>
      <c r="BN41" s="130">
        <f>IF(YEAR('3 pr-2'!AK41)=2018,BJ41,0)</f>
        <v>0</v>
      </c>
      <c r="BO41" s="130">
        <f>IF(YEAR('3 pr-2'!AK41)=2019,BJ41,0)</f>
        <v>0</v>
      </c>
      <c r="BP41" s="130">
        <f>IF(YEAR('3 pr-2'!AK41)=2020,BJ41,0)</f>
        <v>0</v>
      </c>
      <c r="BQ41" s="130">
        <f>IF(YEAR('3 pr-2'!AK41)=2021,BJ41,0)</f>
        <v>0</v>
      </c>
      <c r="BR41" s="130">
        <f>IF(YEAR('3 pr-2'!AK41)=2022,BJ41,0)</f>
        <v>0</v>
      </c>
      <c r="BS41" s="130">
        <f>IF(YEAR('3 pr-2'!AK41)=2023,BJ41,0)</f>
        <v>0</v>
      </c>
      <c r="BT41" s="317"/>
      <c r="BU41" s="471"/>
      <c r="BV41" s="1699"/>
      <c r="BW41" s="1699"/>
      <c r="BX41" s="1699"/>
      <c r="BY41" s="1699"/>
      <c r="BZ41" s="1699"/>
      <c r="CA41" s="1699"/>
      <c r="CB41" s="1699"/>
      <c r="CC41" s="1718">
        <f t="shared" si="35"/>
        <v>0</v>
      </c>
      <c r="CD41" s="130"/>
      <c r="CE41" s="130"/>
      <c r="CF41" s="130"/>
      <c r="CG41" s="130">
        <f>IF(YEAR('3 pr-2'!$AK41)=2017,$CD41,0)</f>
        <v>0</v>
      </c>
      <c r="CH41" s="130">
        <f>IF(YEAR('3 pr-2'!$AK41)=2018,$CD41,0)</f>
        <v>0</v>
      </c>
      <c r="CI41" s="130">
        <f>IF(YEAR('3 pr-2'!$AK41)=2019,$CD41,0)</f>
        <v>0</v>
      </c>
      <c r="CJ41" s="130">
        <f>IF(YEAR('3 pr-2'!$AK41)=2020,$CD41,0)</f>
        <v>0</v>
      </c>
      <c r="CK41" s="130">
        <f>IF(YEAR('3 pr-2'!$AK41)=2021,$CD41,0)</f>
        <v>0</v>
      </c>
      <c r="CL41" s="130">
        <f>IF(YEAR('3 pr-2'!$AK41)=2022,$CD41,0)</f>
        <v>0</v>
      </c>
      <c r="CM41" s="130">
        <f>IF(YEAR('3 pr-2'!$AK41)=2023,$CD41,0)</f>
        <v>0</v>
      </c>
      <c r="CN41" s="317"/>
      <c r="CO41" s="472"/>
      <c r="CP41" s="1704"/>
      <c r="CQ41" s="1699"/>
      <c r="CR41" s="1699"/>
      <c r="CS41" s="1699"/>
      <c r="CT41" s="1699"/>
      <c r="CU41" s="1699"/>
      <c r="CV41" s="1699"/>
      <c r="CW41" s="1718">
        <f t="shared" si="36"/>
        <v>0</v>
      </c>
      <c r="CX41" s="318"/>
      <c r="CY41" s="303"/>
      <c r="CZ41" s="303"/>
      <c r="DA41" s="506">
        <f>IF(YEAR('3 pr-2'!AK41)=2017,CX41,0)</f>
        <v>0</v>
      </c>
      <c r="DB41" s="506">
        <f>IF(YEAR('3 pr-2'!AK41)=2018,CX41,0)</f>
        <v>0</v>
      </c>
      <c r="DC41" s="506">
        <f>IF(YEAR('3 pr-2'!AK41)=2019,CX41,0)</f>
        <v>0</v>
      </c>
      <c r="DD41" s="506">
        <f>IF(YEAR('3 pr-2'!AK41)=2020,CX41,0)</f>
        <v>0</v>
      </c>
      <c r="DE41" s="506">
        <f>IF(YEAR('3 pr-2'!AK41)=2021,CX41,0)</f>
        <v>0</v>
      </c>
      <c r="DF41" s="506">
        <f>IF(YEAR('3 pr-2'!AK41)=2022,CX41,0)</f>
        <v>0</v>
      </c>
      <c r="DG41" s="506">
        <f>IF(YEAR('3 pr-2'!AK41)=2023,CX41,0)</f>
        <v>0</v>
      </c>
      <c r="DH41" s="317"/>
      <c r="DI41" s="472"/>
      <c r="DJ41" s="318"/>
      <c r="DK41" s="130"/>
      <c r="DL41" s="130"/>
      <c r="DM41" s="130"/>
      <c r="DN41" s="130"/>
      <c r="DO41" s="130"/>
      <c r="DP41" s="130"/>
      <c r="DQ41" s="756">
        <f t="shared" si="37"/>
        <v>0</v>
      </c>
      <c r="DR41" s="318"/>
      <c r="DS41" s="303"/>
      <c r="DT41" s="303"/>
      <c r="DU41" s="506">
        <f>IF(YEAR('3 pr-2'!BF41)=2017,DS41,0)</f>
        <v>0</v>
      </c>
      <c r="DV41" s="506">
        <f>IF(YEAR('3 pr-2'!BF41)=2018,DS41,0)</f>
        <v>0</v>
      </c>
      <c r="DW41" s="506">
        <f>IF(YEAR('3 pr-2'!BF41)=2019,DS41,0)</f>
        <v>0</v>
      </c>
      <c r="DX41" s="506">
        <f>IF(YEAR('3 pr-2'!BF41)=2020,DS41,0)</f>
        <v>0</v>
      </c>
      <c r="DY41" s="506">
        <f>IF(YEAR('3 pr-2'!BF41)=2021,DS41,0)</f>
        <v>0</v>
      </c>
      <c r="DZ41" s="506">
        <f>IF(YEAR('3 pr-2'!BF41)=2022,DS41,0)</f>
        <v>0</v>
      </c>
      <c r="EA41" s="506">
        <f>IF(YEAR('3 pr-2'!BF41)=2023,DS41,0)</f>
        <v>0</v>
      </c>
      <c r="EB41" s="317"/>
      <c r="EC41" s="472"/>
      <c r="ED41" s="303"/>
      <c r="EE41" s="303"/>
      <c r="EF41" s="303"/>
      <c r="EG41" s="506">
        <f>IF(YEAR('3 pr-2'!BP41)=2017,ED41,0)</f>
        <v>0</v>
      </c>
      <c r="EH41" s="506">
        <f>IF(YEAR('3 pr-2'!BP41)=2018,ED41,0)</f>
        <v>0</v>
      </c>
      <c r="EI41" s="506">
        <f>IF(YEAR('3 pr-2'!BP41)=2019,ED41,0)</f>
        <v>0</v>
      </c>
      <c r="EJ41" s="506">
        <f>IF(YEAR('3 pr-2'!BP41)=2020,ED41,0)</f>
        <v>0</v>
      </c>
      <c r="EK41" s="506">
        <f>IF(YEAR('3 pr-2'!BP41)=2021,ED41,0)</f>
        <v>0</v>
      </c>
      <c r="EL41" s="506">
        <f>IF(YEAR('3 pr-2'!BP41)=2022,ED41,0)</f>
        <v>0</v>
      </c>
      <c r="EM41" s="506">
        <f>IF(YEAR('3 pr-2'!BP41)=2023,ED41,0)</f>
        <v>0</v>
      </c>
    </row>
    <row r="42" spans="1:143" ht="61.5" thickTop="1" thickBot="1">
      <c r="A42" s="130" t="str">
        <f>CONCATENATE('3 pr-2'!A42)</f>
        <v>1.1.1.3.3</v>
      </c>
      <c r="B42" s="130" t="str">
        <f>CONCATENATE('3 pr-2'!B42)</f>
        <v>R01-9905-292800-1133</v>
      </c>
      <c r="C42" s="1730" t="str">
        <f>CONCATENATE('ketv. 2'!B41)</f>
        <v>07.1.1-CPVA-R-905-11-0004</v>
      </c>
      <c r="D42" s="78" t="str">
        <f>CONCATENATE('3 pr-2'!D42)</f>
        <v>Varėnos miesto Dainų slėnio infrastruktūros atnaujinimas ir pritaikymas visuomenės poreikiams</v>
      </c>
      <c r="E42" s="11" t="str">
        <f>CONCATENATE('3 pr-2'!E42)</f>
        <v>Varėnos rajono savivaldybės administracija</v>
      </c>
      <c r="F42" s="11" t="str">
        <f>CONCATENATE('3 pr-2'!F42)</f>
        <v>Lietuvos Respublikos vidaus reikalų ministerija</v>
      </c>
      <c r="G42" s="11" t="str">
        <f>CONCATENATE('3 pr-2'!G42)</f>
        <v>Varėnos r. sav.</v>
      </c>
      <c r="H42" s="130" t="str">
        <f>CONCATENATE('3 pr-2'!H42)</f>
        <v xml:space="preserve">07.1.1-CPVA-R-905 </v>
      </c>
      <c r="I42" s="130" t="str">
        <f>CONCATENATE('3 pr-2'!I42)</f>
        <v>R</v>
      </c>
      <c r="J42" s="130" t="str">
        <f>CONCATENATE('3 pr-2'!J42)</f>
        <v>ITI</v>
      </c>
      <c r="K42" s="130" t="str">
        <f>CONCATENATE('3 pr-2'!K42)</f>
        <v>-</v>
      </c>
      <c r="L42" s="130" t="s">
        <v>459</v>
      </c>
      <c r="M42" s="471" t="s">
        <v>458</v>
      </c>
      <c r="N42" s="1699"/>
      <c r="O42" s="1699"/>
      <c r="P42" s="1699"/>
      <c r="Q42" s="1699"/>
      <c r="R42" s="1699"/>
      <c r="S42" s="1699"/>
      <c r="T42" s="1699"/>
      <c r="U42" s="1700"/>
      <c r="V42" s="1032">
        <v>7684</v>
      </c>
      <c r="W42" s="1758">
        <v>7684</v>
      </c>
      <c r="X42" s="1759">
        <f t="shared" si="92"/>
        <v>0</v>
      </c>
      <c r="Y42" s="1732">
        <f>IF(YEAR('3 pr-2'!$AK42)=2017,$V42,0)</f>
        <v>0</v>
      </c>
      <c r="Z42" s="1732">
        <f>IF(YEAR('3 pr-2'!$AK42)=2018,$V42,0)</f>
        <v>0</v>
      </c>
      <c r="AA42" s="1732">
        <f>IF(YEAR('3 pr-2'!$AK42)=2019,$V42,0)</f>
        <v>0</v>
      </c>
      <c r="AB42" s="1732">
        <f>IF(YEAR('3 pr-2'!$AK42)=2020,$V42,0)</f>
        <v>7684</v>
      </c>
      <c r="AC42" s="1732">
        <f>IF(YEAR('3 pr-2'!$AK42)=2021,$V42,0)</f>
        <v>0</v>
      </c>
      <c r="AD42" s="1732">
        <f>IF(YEAR('3 pr-2'!$AK42)=2022,$V42,0)</f>
        <v>0</v>
      </c>
      <c r="AE42" s="1732">
        <f>IF(YEAR('3 pr-2'!$AK42)=2023,$V42,0)</f>
        <v>0</v>
      </c>
      <c r="AF42" s="317"/>
      <c r="AG42" s="471"/>
      <c r="AH42" s="1699"/>
      <c r="AI42" s="1699"/>
      <c r="AJ42" s="1699"/>
      <c r="AK42" s="1699"/>
      <c r="AL42" s="1699"/>
      <c r="AM42" s="1699"/>
      <c r="AN42" s="1699"/>
      <c r="AO42" s="1718">
        <f t="shared" si="93"/>
        <v>0</v>
      </c>
      <c r="AP42" s="130"/>
      <c r="AQ42" s="1778"/>
      <c r="AR42" s="1732"/>
      <c r="AS42" s="1732">
        <f>IF(YEAR('3 pr-2'!$AK42)=2017,$AP42,0)</f>
        <v>0</v>
      </c>
      <c r="AT42" s="1732">
        <f>IF(YEAR('3 pr-2'!$AK42)=2018,$AP42,0)</f>
        <v>0</v>
      </c>
      <c r="AU42" s="1732">
        <f>IF(YEAR('3 pr-2'!$AK42)=2019,$AP42,0)</f>
        <v>0</v>
      </c>
      <c r="AV42" s="1732">
        <f>IF(YEAR('3 pr-2'!$AK42)=2020,$AP42,0)</f>
        <v>0</v>
      </c>
      <c r="AW42" s="1732">
        <f>IF(YEAR('3 pr-2'!$AK42)=2021,$AP42,0)</f>
        <v>0</v>
      </c>
      <c r="AX42" s="1732">
        <f>IF(YEAR('3 pr-2'!$AK42)=2022,$AP42,0)</f>
        <v>0</v>
      </c>
      <c r="AY42" s="1732">
        <f>IF(YEAR('3 pr-2'!$AK42)=2023,$AP42,0)</f>
        <v>0</v>
      </c>
      <c r="AZ42" s="130"/>
      <c r="BA42" s="470"/>
      <c r="BB42" s="1699"/>
      <c r="BC42" s="1699"/>
      <c r="BD42" s="1699"/>
      <c r="BE42" s="1699"/>
      <c r="BF42" s="1699"/>
      <c r="BG42" s="1699"/>
      <c r="BH42" s="1699"/>
      <c r="BI42" s="1718">
        <f t="shared" si="55"/>
        <v>0</v>
      </c>
      <c r="BJ42" s="130"/>
      <c r="BK42" s="1501"/>
      <c r="BL42" s="130"/>
      <c r="BM42" s="130">
        <f>IF(YEAR('3 pr-2'!AK42)=2017,BJ42,0)</f>
        <v>0</v>
      </c>
      <c r="BN42" s="130">
        <f>IF(YEAR('3 pr-2'!AK42)=2018,BJ42,0)</f>
        <v>0</v>
      </c>
      <c r="BO42" s="130">
        <f>IF(YEAR('3 pr-2'!AK42)=2019,BJ42,0)</f>
        <v>0</v>
      </c>
      <c r="BP42" s="130">
        <f>IF(YEAR('3 pr-2'!AK42)=2020,BJ42,0)</f>
        <v>0</v>
      </c>
      <c r="BQ42" s="130">
        <f>IF(YEAR('3 pr-2'!AK42)=2021,BJ42,0)</f>
        <v>0</v>
      </c>
      <c r="BR42" s="130">
        <f>IF(YEAR('3 pr-2'!AK42)=2022,BJ42,0)</f>
        <v>0</v>
      </c>
      <c r="BS42" s="130">
        <f>IF(YEAR('3 pr-2'!AK42)=2023,BJ42,0)</f>
        <v>0</v>
      </c>
      <c r="BT42" s="317"/>
      <c r="BU42" s="471"/>
      <c r="BV42" s="1699"/>
      <c r="BW42" s="1699"/>
      <c r="BX42" s="1699"/>
      <c r="BY42" s="1699"/>
      <c r="BZ42" s="1699"/>
      <c r="CA42" s="1699"/>
      <c r="CB42" s="1699"/>
      <c r="CC42" s="1718">
        <f t="shared" si="35"/>
        <v>0</v>
      </c>
      <c r="CD42" s="130"/>
      <c r="CE42" s="130"/>
      <c r="CF42" s="130"/>
      <c r="CG42" s="130">
        <f>IF(YEAR('3 pr-2'!$AK42)=2017,$CD42,0)</f>
        <v>0</v>
      </c>
      <c r="CH42" s="130">
        <f>IF(YEAR('3 pr-2'!$AK42)=2018,$CD42,0)</f>
        <v>0</v>
      </c>
      <c r="CI42" s="130">
        <f>IF(YEAR('3 pr-2'!$AK42)=2019,$CD42,0)</f>
        <v>0</v>
      </c>
      <c r="CJ42" s="130">
        <f>IF(YEAR('3 pr-2'!$AK42)=2020,$CD42,0)</f>
        <v>0</v>
      </c>
      <c r="CK42" s="130">
        <f>IF(YEAR('3 pr-2'!$AK42)=2021,$CD42,0)</f>
        <v>0</v>
      </c>
      <c r="CL42" s="130">
        <f>IF(YEAR('3 pr-2'!$AK42)=2022,$CD42,0)</f>
        <v>0</v>
      </c>
      <c r="CM42" s="130">
        <f>IF(YEAR('3 pr-2'!$AK42)=2023,$CD42,0)</f>
        <v>0</v>
      </c>
      <c r="CN42" s="317"/>
      <c r="CO42" s="472"/>
      <c r="CP42" s="1704"/>
      <c r="CQ42" s="1699"/>
      <c r="CR42" s="1699"/>
      <c r="CS42" s="1699"/>
      <c r="CT42" s="1699"/>
      <c r="CU42" s="1699"/>
      <c r="CV42" s="1699"/>
      <c r="CW42" s="1718">
        <f t="shared" si="36"/>
        <v>0</v>
      </c>
      <c r="CX42" s="318"/>
      <c r="CY42" s="303"/>
      <c r="CZ42" s="303"/>
      <c r="DA42" s="506">
        <f>IF(YEAR('3 pr-2'!AK42)=2017,CX42,0)</f>
        <v>0</v>
      </c>
      <c r="DB42" s="506">
        <f>IF(YEAR('3 pr-2'!AK42)=2018,CX42,0)</f>
        <v>0</v>
      </c>
      <c r="DC42" s="506">
        <f>IF(YEAR('3 pr-2'!AK42)=2019,CX42,0)</f>
        <v>0</v>
      </c>
      <c r="DD42" s="506">
        <f>IF(YEAR('3 pr-2'!AK42)=2020,CX42,0)</f>
        <v>0</v>
      </c>
      <c r="DE42" s="506">
        <f>IF(YEAR('3 pr-2'!AK42)=2021,CX42,0)</f>
        <v>0</v>
      </c>
      <c r="DF42" s="506">
        <f>IF(YEAR('3 pr-2'!AK42)=2022,CX42,0)</f>
        <v>0</v>
      </c>
      <c r="DG42" s="506">
        <f>IF(YEAR('3 pr-2'!AK42)=2023,CX42,0)</f>
        <v>0</v>
      </c>
      <c r="DH42" s="317"/>
      <c r="DI42" s="472"/>
      <c r="DJ42" s="318"/>
      <c r="DK42" s="130"/>
      <c r="DL42" s="130"/>
      <c r="DM42" s="130"/>
      <c r="DN42" s="130"/>
      <c r="DO42" s="130"/>
      <c r="DP42" s="130"/>
      <c r="DQ42" s="756">
        <f t="shared" si="37"/>
        <v>0</v>
      </c>
      <c r="DR42" s="318"/>
      <c r="DS42" s="303"/>
      <c r="DT42" s="303"/>
      <c r="DU42" s="506">
        <f>IF(YEAR('3 pr-2'!BF42)=2017,DS42,0)</f>
        <v>0</v>
      </c>
      <c r="DV42" s="506">
        <f>IF(YEAR('3 pr-2'!BF42)=2018,DS42,0)</f>
        <v>0</v>
      </c>
      <c r="DW42" s="506">
        <f>IF(YEAR('3 pr-2'!BF42)=2019,DS42,0)</f>
        <v>0</v>
      </c>
      <c r="DX42" s="506">
        <f>IF(YEAR('3 pr-2'!BF42)=2020,DS42,0)</f>
        <v>0</v>
      </c>
      <c r="DY42" s="506">
        <f>IF(YEAR('3 pr-2'!BF42)=2021,DS42,0)</f>
        <v>0</v>
      </c>
      <c r="DZ42" s="506">
        <f>IF(YEAR('3 pr-2'!BF42)=2022,DS42,0)</f>
        <v>0</v>
      </c>
      <c r="EA42" s="506">
        <f>IF(YEAR('3 pr-2'!BF42)=2023,DS42,0)</f>
        <v>0</v>
      </c>
      <c r="EB42" s="317"/>
      <c r="EC42" s="472"/>
      <c r="ED42" s="303"/>
      <c r="EE42" s="303"/>
      <c r="EF42" s="303"/>
      <c r="EG42" s="506">
        <f>IF(YEAR('3 pr-2'!BP42)=2017,ED42,0)</f>
        <v>0</v>
      </c>
      <c r="EH42" s="506">
        <f>IF(YEAR('3 pr-2'!BP42)=2018,ED42,0)</f>
        <v>0</v>
      </c>
      <c r="EI42" s="506">
        <f>IF(YEAR('3 pr-2'!BP42)=2019,ED42,0)</f>
        <v>0</v>
      </c>
      <c r="EJ42" s="506">
        <f>IF(YEAR('3 pr-2'!BP42)=2020,ED42,0)</f>
        <v>0</v>
      </c>
      <c r="EK42" s="506">
        <f>IF(YEAR('3 pr-2'!BP42)=2021,ED42,0)</f>
        <v>0</v>
      </c>
      <c r="EL42" s="506">
        <f>IF(YEAR('3 pr-2'!BP42)=2022,ED42,0)</f>
        <v>0</v>
      </c>
      <c r="EM42" s="506">
        <f>IF(YEAR('3 pr-2'!BP42)=2023,ED42,0)</f>
        <v>0</v>
      </c>
    </row>
    <row r="43" spans="1:143" ht="49.5" thickTop="1" thickBot="1">
      <c r="A43" s="130" t="str">
        <f>CONCATENATE('3 pr-2'!A43)</f>
        <v>1.1.1.3.4</v>
      </c>
      <c r="B43" s="130" t="str">
        <f>CONCATENATE('3 pr-2'!B43)</f>
        <v>R01-9905-280000-1134</v>
      </c>
      <c r="C43" s="1730" t="str">
        <f>CONCATENATE('ketv. 2'!B42)</f>
        <v>07.1.1-CPVA-R-905-11-0003</v>
      </c>
      <c r="D43" s="78" t="str">
        <f>CONCATENATE('3 pr-2'!D43)</f>
        <v>Karloniškės ežero ir jo prieigų sutvarkymas ir pritaikymas aktyviam poilsiui</v>
      </c>
      <c r="E43" s="11" t="str">
        <f>CONCATENATE('3 pr-2'!E43)</f>
        <v>Varėnos rajono savivaldybės administracija</v>
      </c>
      <c r="F43" s="11" t="str">
        <f>CONCATENATE('3 pr-2'!F43)</f>
        <v>Lietuvos Respublikos vidaus reikalų ministerija</v>
      </c>
      <c r="G43" s="11" t="str">
        <f>CONCATENATE('3 pr-2'!G43)</f>
        <v>Varėnos r. sav.</v>
      </c>
      <c r="H43" s="130" t="str">
        <f>CONCATENATE('3 pr-2'!H43)</f>
        <v xml:space="preserve">07.1.1-CPVA-R-905 </v>
      </c>
      <c r="I43" s="130" t="str">
        <f>CONCATENATE('3 pr-2'!I43)</f>
        <v>R</v>
      </c>
      <c r="J43" s="130" t="str">
        <f>CONCATENATE('3 pr-2'!J43)</f>
        <v>ITI</v>
      </c>
      <c r="K43" s="130" t="str">
        <f>CONCATENATE('3 pr-2'!K43)</f>
        <v>-</v>
      </c>
      <c r="L43" s="130" t="s">
        <v>459</v>
      </c>
      <c r="M43" s="471" t="s">
        <v>458</v>
      </c>
      <c r="N43" s="1699"/>
      <c r="O43" s="1699"/>
      <c r="P43" s="1699"/>
      <c r="Q43" s="1699"/>
      <c r="R43" s="1699"/>
      <c r="S43" s="1699"/>
      <c r="T43" s="1699"/>
      <c r="U43" s="1700"/>
      <c r="V43" s="1032">
        <v>94207.41</v>
      </c>
      <c r="W43" s="1758">
        <v>94207.41</v>
      </c>
      <c r="X43" s="1759">
        <f t="shared" si="92"/>
        <v>0</v>
      </c>
      <c r="Y43" s="1732">
        <f>IF(YEAR('3 pr-2'!$AK43)=2017,$V43,0)</f>
        <v>0</v>
      </c>
      <c r="Z43" s="1732">
        <f>IF(YEAR('3 pr-2'!$AK43)=2018,$V43,0)</f>
        <v>0</v>
      </c>
      <c r="AA43" s="1732">
        <f>IF(YEAR('3 pr-2'!$AK43)=2019,$V43,0)</f>
        <v>0</v>
      </c>
      <c r="AB43" s="1732">
        <f>IF(YEAR('3 pr-2'!$AK43)=2020,$V43,0)</f>
        <v>94207.41</v>
      </c>
      <c r="AC43" s="1732">
        <f>IF(YEAR('3 pr-2'!$AK43)=2021,$V43,0)</f>
        <v>0</v>
      </c>
      <c r="AD43" s="1732">
        <f>IF(YEAR('3 pr-2'!$AK43)=2022,$V43,0)</f>
        <v>0</v>
      </c>
      <c r="AE43" s="1732">
        <f>IF(YEAR('3 pr-2'!$AK43)=2023,$V43,0)</f>
        <v>0</v>
      </c>
      <c r="AF43" s="317"/>
      <c r="AG43" s="471"/>
      <c r="AH43" s="1699"/>
      <c r="AI43" s="1699"/>
      <c r="AJ43" s="1699"/>
      <c r="AK43" s="1699"/>
      <c r="AL43" s="1699"/>
      <c r="AM43" s="1699"/>
      <c r="AN43" s="1699"/>
      <c r="AO43" s="1718">
        <f t="shared" si="93"/>
        <v>0</v>
      </c>
      <c r="AP43" s="130"/>
      <c r="AQ43" s="1778"/>
      <c r="AR43" s="1732"/>
      <c r="AS43" s="1732">
        <f>IF(YEAR('3 pr-2'!$AK43)=2017,$AP43,0)</f>
        <v>0</v>
      </c>
      <c r="AT43" s="1732">
        <f>IF(YEAR('3 pr-2'!$AK43)=2018,$AP43,0)</f>
        <v>0</v>
      </c>
      <c r="AU43" s="1732">
        <f>IF(YEAR('3 pr-2'!$AK43)=2019,$AP43,0)</f>
        <v>0</v>
      </c>
      <c r="AV43" s="1732">
        <f>IF(YEAR('3 pr-2'!$AK43)=2020,$AP43,0)</f>
        <v>0</v>
      </c>
      <c r="AW43" s="1732">
        <f>IF(YEAR('3 pr-2'!$AK43)=2021,$AP43,0)</f>
        <v>0</v>
      </c>
      <c r="AX43" s="1732">
        <f>IF(YEAR('3 pr-2'!$AK43)=2022,$AP43,0)</f>
        <v>0</v>
      </c>
      <c r="AY43" s="1732">
        <f>IF(YEAR('3 pr-2'!$AK43)=2023,$AP43,0)</f>
        <v>0</v>
      </c>
      <c r="AZ43" s="130"/>
      <c r="BA43" s="470"/>
      <c r="BB43" s="1699"/>
      <c r="BC43" s="1699"/>
      <c r="BD43" s="1699"/>
      <c r="BE43" s="1699"/>
      <c r="BF43" s="1699"/>
      <c r="BG43" s="1699"/>
      <c r="BH43" s="1699"/>
      <c r="BI43" s="1718">
        <f t="shared" si="55"/>
        <v>0</v>
      </c>
      <c r="BJ43" s="130"/>
      <c r="BK43" s="1501"/>
      <c r="BL43" s="130"/>
      <c r="BM43" s="130">
        <f>IF(YEAR('3 pr-2'!AK43)=2017,BJ43,0)</f>
        <v>0</v>
      </c>
      <c r="BN43" s="130">
        <f>IF(YEAR('3 pr-2'!AK43)=2018,BJ43,0)</f>
        <v>0</v>
      </c>
      <c r="BO43" s="130">
        <f>IF(YEAR('3 pr-2'!AK43)=2019,BJ43,0)</f>
        <v>0</v>
      </c>
      <c r="BP43" s="130">
        <f>IF(YEAR('3 pr-2'!AK43)=2020,BJ43,0)</f>
        <v>0</v>
      </c>
      <c r="BQ43" s="130">
        <f>IF(YEAR('3 pr-2'!AK43)=2021,BJ43,0)</f>
        <v>0</v>
      </c>
      <c r="BR43" s="130">
        <f>IF(YEAR('3 pr-2'!AK43)=2022,BJ43,0)</f>
        <v>0</v>
      </c>
      <c r="BS43" s="130">
        <f>IF(YEAR('3 pr-2'!AK43)=2023,BJ43,0)</f>
        <v>0</v>
      </c>
      <c r="BT43" s="317"/>
      <c r="BU43" s="471"/>
      <c r="BV43" s="1699"/>
      <c r="BW43" s="1699"/>
      <c r="BX43" s="1699"/>
      <c r="BY43" s="1699"/>
      <c r="BZ43" s="1699"/>
      <c r="CA43" s="1699"/>
      <c r="CB43" s="1699"/>
      <c r="CC43" s="1718">
        <f t="shared" si="35"/>
        <v>0</v>
      </c>
      <c r="CD43" s="130"/>
      <c r="CE43" s="130"/>
      <c r="CF43" s="130"/>
      <c r="CG43" s="130">
        <f>IF(YEAR('3 pr-2'!$AK43)=2017,$CD43,0)</f>
        <v>0</v>
      </c>
      <c r="CH43" s="130">
        <f>IF(YEAR('3 pr-2'!$AK43)=2018,$CD43,0)</f>
        <v>0</v>
      </c>
      <c r="CI43" s="130">
        <f>IF(YEAR('3 pr-2'!$AK43)=2019,$CD43,0)</f>
        <v>0</v>
      </c>
      <c r="CJ43" s="130">
        <f>IF(YEAR('3 pr-2'!$AK43)=2020,$CD43,0)</f>
        <v>0</v>
      </c>
      <c r="CK43" s="130">
        <f>IF(YEAR('3 pr-2'!$AK43)=2021,$CD43,0)</f>
        <v>0</v>
      </c>
      <c r="CL43" s="130">
        <f>IF(YEAR('3 pr-2'!$AK43)=2022,$CD43,0)</f>
        <v>0</v>
      </c>
      <c r="CM43" s="130">
        <f>IF(YEAR('3 pr-2'!$AK43)=2023,$CD43,0)</f>
        <v>0</v>
      </c>
      <c r="CN43" s="317"/>
      <c r="CO43" s="472"/>
      <c r="CP43" s="1704"/>
      <c r="CQ43" s="1699"/>
      <c r="CR43" s="1699"/>
      <c r="CS43" s="1699"/>
      <c r="CT43" s="1699"/>
      <c r="CU43" s="1699"/>
      <c r="CV43" s="1699"/>
      <c r="CW43" s="1718">
        <f t="shared" si="36"/>
        <v>0</v>
      </c>
      <c r="CX43" s="318"/>
      <c r="CY43" s="303"/>
      <c r="CZ43" s="303"/>
      <c r="DA43" s="506">
        <f>IF(YEAR('3 pr-2'!AK43)=2017,CX43,0)</f>
        <v>0</v>
      </c>
      <c r="DB43" s="506">
        <f>IF(YEAR('3 pr-2'!AK43)=2018,CX43,0)</f>
        <v>0</v>
      </c>
      <c r="DC43" s="506">
        <f>IF(YEAR('3 pr-2'!AK43)=2019,CX43,0)</f>
        <v>0</v>
      </c>
      <c r="DD43" s="506">
        <f>IF(YEAR('3 pr-2'!AK43)=2020,CX43,0)</f>
        <v>0</v>
      </c>
      <c r="DE43" s="506">
        <f>IF(YEAR('3 pr-2'!AK43)=2021,CX43,0)</f>
        <v>0</v>
      </c>
      <c r="DF43" s="506">
        <f>IF(YEAR('3 pr-2'!AK43)=2022,CX43,0)</f>
        <v>0</v>
      </c>
      <c r="DG43" s="506">
        <f>IF(YEAR('3 pr-2'!AK43)=2023,CX43,0)</f>
        <v>0</v>
      </c>
      <c r="DH43" s="317"/>
      <c r="DI43" s="472"/>
      <c r="DJ43" s="318"/>
      <c r="DK43" s="130"/>
      <c r="DL43" s="130"/>
      <c r="DM43" s="130"/>
      <c r="DN43" s="130"/>
      <c r="DO43" s="130"/>
      <c r="DP43" s="130"/>
      <c r="DQ43" s="756">
        <f t="shared" si="37"/>
        <v>0</v>
      </c>
      <c r="DR43" s="318"/>
      <c r="DS43" s="303"/>
      <c r="DT43" s="303"/>
      <c r="DU43" s="506">
        <f>IF(YEAR('3 pr-2'!BF43)=2017,DS43,0)</f>
        <v>0</v>
      </c>
      <c r="DV43" s="506">
        <f>IF(YEAR('3 pr-2'!BF43)=2018,DS43,0)</f>
        <v>0</v>
      </c>
      <c r="DW43" s="506">
        <f>IF(YEAR('3 pr-2'!BF43)=2019,DS43,0)</f>
        <v>0</v>
      </c>
      <c r="DX43" s="506">
        <f>IF(YEAR('3 pr-2'!BF43)=2020,DS43,0)</f>
        <v>0</v>
      </c>
      <c r="DY43" s="506">
        <f>IF(YEAR('3 pr-2'!BF43)=2021,DS43,0)</f>
        <v>0</v>
      </c>
      <c r="DZ43" s="506">
        <f>IF(YEAR('3 pr-2'!BF43)=2022,DS43,0)</f>
        <v>0</v>
      </c>
      <c r="EA43" s="506">
        <f>IF(YEAR('3 pr-2'!BF43)=2023,DS43,0)</f>
        <v>0</v>
      </c>
      <c r="EB43" s="317"/>
      <c r="EC43" s="472"/>
      <c r="ED43" s="303"/>
      <c r="EE43" s="303"/>
      <c r="EF43" s="303"/>
      <c r="EG43" s="506">
        <f>IF(YEAR('3 pr-2'!BP43)=2017,ED43,0)</f>
        <v>0</v>
      </c>
      <c r="EH43" s="506">
        <f>IF(YEAR('3 pr-2'!BP43)=2018,ED43,0)</f>
        <v>0</v>
      </c>
      <c r="EI43" s="506">
        <f>IF(YEAR('3 pr-2'!BP43)=2019,ED43,0)</f>
        <v>0</v>
      </c>
      <c r="EJ43" s="506">
        <f>IF(YEAR('3 pr-2'!BP43)=2020,ED43,0)</f>
        <v>0</v>
      </c>
      <c r="EK43" s="506">
        <f>IF(YEAR('3 pr-2'!BP43)=2021,ED43,0)</f>
        <v>0</v>
      </c>
      <c r="EL43" s="506">
        <f>IF(YEAR('3 pr-2'!BP43)=2022,ED43,0)</f>
        <v>0</v>
      </c>
      <c r="EM43" s="506">
        <f>IF(YEAR('3 pr-2'!BP43)=2023,ED43,0)</f>
        <v>0</v>
      </c>
    </row>
    <row r="44" spans="1:143" ht="49.5" thickTop="1" thickBot="1">
      <c r="A44" s="130" t="str">
        <f>CONCATENATE('3 pr-2'!A44)</f>
        <v>1.1.1.3.5</v>
      </c>
      <c r="B44" s="130" t="str">
        <f>CONCATENATE('3 pr-2'!B44)</f>
        <v>R01-9905-362900-1135</v>
      </c>
      <c r="C44" s="1730" t="str">
        <f>CONCATENATE('ketv. 2'!B43)</f>
        <v>07.1.1-CPVA-R-905-11-0005</v>
      </c>
      <c r="D44" s="78" t="str">
        <f>CONCATENATE('3 pr-2'!D44)</f>
        <v>Nenaudojamų teritorijų Varėnos mieste sutvarkymas ir pritaikymas verslui</v>
      </c>
      <c r="E44" s="11" t="str">
        <f>CONCATENATE('3 pr-2'!E44)</f>
        <v>Varėnos rajono savivaldybės administracija</v>
      </c>
      <c r="F44" s="11" t="str">
        <f>CONCATENATE('3 pr-2'!F44)</f>
        <v>Lietuvos Respublikos vidaus reikalų ministerija</v>
      </c>
      <c r="G44" s="11" t="str">
        <f>CONCATENATE('3 pr-2'!G44)</f>
        <v>Varėnos r. sav.</v>
      </c>
      <c r="H44" s="130" t="str">
        <f>CONCATENATE('3 pr-2'!H44)</f>
        <v xml:space="preserve">07.1.1-CPVA-R-905 </v>
      </c>
      <c r="I44" s="130" t="str">
        <f>CONCATENATE('3 pr-2'!I44)</f>
        <v>R</v>
      </c>
      <c r="J44" s="130" t="str">
        <f>CONCATENATE('3 pr-2'!J44)</f>
        <v>ITI</v>
      </c>
      <c r="K44" s="130" t="str">
        <f>CONCATENATE('3 pr-2'!K44)</f>
        <v>-</v>
      </c>
      <c r="L44" s="130" t="s">
        <v>459</v>
      </c>
      <c r="M44" s="471" t="s">
        <v>458</v>
      </c>
      <c r="N44" s="1699"/>
      <c r="O44" s="1699"/>
      <c r="P44" s="1699"/>
      <c r="Q44" s="1699"/>
      <c r="R44" s="1699"/>
      <c r="S44" s="1699"/>
      <c r="T44" s="1699"/>
      <c r="U44" s="1700"/>
      <c r="V44" s="1032">
        <v>25000</v>
      </c>
      <c r="W44" s="1758">
        <v>26298</v>
      </c>
      <c r="X44" s="1759">
        <f t="shared" si="92"/>
        <v>1298</v>
      </c>
      <c r="Y44" s="1732">
        <f>IF(YEAR('3 pr-2'!$AK44)=2017,$V44,0)</f>
        <v>0</v>
      </c>
      <c r="Z44" s="1732">
        <f>IF(YEAR('3 pr-2'!$AK44)=2018,$V44,0)</f>
        <v>0</v>
      </c>
      <c r="AA44" s="1732">
        <f>IF(YEAR('3 pr-2'!$AK44)=2019,$V44,0)</f>
        <v>0</v>
      </c>
      <c r="AB44" s="1732">
        <f>IF(YEAR('3 pr-2'!$AK44)=2020,$V44,0)</f>
        <v>25000</v>
      </c>
      <c r="AC44" s="1732">
        <f>IF(YEAR('3 pr-2'!$AK44)=2021,$V44,0)</f>
        <v>0</v>
      </c>
      <c r="AD44" s="1732">
        <f>IF(YEAR('3 pr-2'!$AK44)=2022,$V44,0)</f>
        <v>0</v>
      </c>
      <c r="AE44" s="1732">
        <f>IF(YEAR('3 pr-2'!$AK44)=2023,$V44,0)</f>
        <v>0</v>
      </c>
      <c r="AF44" s="317"/>
      <c r="AG44" s="471"/>
      <c r="AH44" s="1699"/>
      <c r="AI44" s="1699"/>
      <c r="AJ44" s="1699"/>
      <c r="AK44" s="1699"/>
      <c r="AL44" s="1699"/>
      <c r="AM44" s="1699"/>
      <c r="AN44" s="1699"/>
      <c r="AO44" s="1718">
        <f t="shared" si="93"/>
        <v>0</v>
      </c>
      <c r="AP44" s="130"/>
      <c r="AQ44" s="1778"/>
      <c r="AR44" s="1732"/>
      <c r="AS44" s="1732">
        <f>IF(YEAR('3 pr-2'!$AK44)=2017,$AP44,0)</f>
        <v>0</v>
      </c>
      <c r="AT44" s="1732">
        <f>IF(YEAR('3 pr-2'!$AK44)=2018,$AP44,0)</f>
        <v>0</v>
      </c>
      <c r="AU44" s="1732">
        <f>IF(YEAR('3 pr-2'!$AK44)=2019,$AP44,0)</f>
        <v>0</v>
      </c>
      <c r="AV44" s="1732">
        <f>IF(YEAR('3 pr-2'!$AK44)=2020,$AP44,0)</f>
        <v>0</v>
      </c>
      <c r="AW44" s="1732">
        <f>IF(YEAR('3 pr-2'!$AK44)=2021,$AP44,0)</f>
        <v>0</v>
      </c>
      <c r="AX44" s="1732">
        <f>IF(YEAR('3 pr-2'!$AK44)=2022,$AP44,0)</f>
        <v>0</v>
      </c>
      <c r="AY44" s="1732">
        <f>IF(YEAR('3 pr-2'!$AK44)=2023,$AP44,0)</f>
        <v>0</v>
      </c>
      <c r="AZ44" s="130"/>
      <c r="BA44" s="470"/>
      <c r="BB44" s="1699"/>
      <c r="BC44" s="1699"/>
      <c r="BD44" s="1699"/>
      <c r="BE44" s="1699"/>
      <c r="BF44" s="1699"/>
      <c r="BG44" s="1699"/>
      <c r="BH44" s="1699"/>
      <c r="BI44" s="1718">
        <f t="shared" si="55"/>
        <v>0</v>
      </c>
      <c r="BJ44" s="130"/>
      <c r="BK44" s="1501"/>
      <c r="BL44" s="130"/>
      <c r="BM44" s="130">
        <f>IF(YEAR('3 pr-2'!AK44)=2017,BJ44,0)</f>
        <v>0</v>
      </c>
      <c r="BN44" s="130">
        <f>IF(YEAR('3 pr-2'!AK44)=2018,BJ44,0)</f>
        <v>0</v>
      </c>
      <c r="BO44" s="130">
        <f>IF(YEAR('3 pr-2'!AK44)=2019,BJ44,0)</f>
        <v>0</v>
      </c>
      <c r="BP44" s="130">
        <f>IF(YEAR('3 pr-2'!AK44)=2020,BJ44,0)</f>
        <v>0</v>
      </c>
      <c r="BQ44" s="130">
        <f>IF(YEAR('3 pr-2'!AK44)=2021,BJ44,0)</f>
        <v>0</v>
      </c>
      <c r="BR44" s="130">
        <f>IF(YEAR('3 pr-2'!AK44)=2022,BJ44,0)</f>
        <v>0</v>
      </c>
      <c r="BS44" s="130">
        <f>IF(YEAR('3 pr-2'!AK44)=2023,BJ44,0)</f>
        <v>0</v>
      </c>
      <c r="BT44" s="317"/>
      <c r="BU44" s="471"/>
      <c r="BV44" s="1699"/>
      <c r="BW44" s="1699"/>
      <c r="BX44" s="1699"/>
      <c r="BY44" s="1699"/>
      <c r="BZ44" s="1699"/>
      <c r="CA44" s="1699"/>
      <c r="CB44" s="1699"/>
      <c r="CC44" s="1718">
        <f t="shared" si="35"/>
        <v>0</v>
      </c>
      <c r="CD44" s="130"/>
      <c r="CE44" s="130"/>
      <c r="CF44" s="130"/>
      <c r="CG44" s="130">
        <f>IF(YEAR('3 pr-2'!$AK44)=2017,$CD44,0)</f>
        <v>0</v>
      </c>
      <c r="CH44" s="130">
        <f>IF(YEAR('3 pr-2'!$AK44)=2018,$CD44,0)</f>
        <v>0</v>
      </c>
      <c r="CI44" s="130">
        <f>IF(YEAR('3 pr-2'!$AK44)=2019,$CD44,0)</f>
        <v>0</v>
      </c>
      <c r="CJ44" s="130">
        <f>IF(YEAR('3 pr-2'!$AK44)=2020,$CD44,0)</f>
        <v>0</v>
      </c>
      <c r="CK44" s="130">
        <f>IF(YEAR('3 pr-2'!$AK44)=2021,$CD44,0)</f>
        <v>0</v>
      </c>
      <c r="CL44" s="130">
        <f>IF(YEAR('3 pr-2'!$AK44)=2022,$CD44,0)</f>
        <v>0</v>
      </c>
      <c r="CM44" s="130">
        <f>IF(YEAR('3 pr-2'!$AK44)=2023,$CD44,0)</f>
        <v>0</v>
      </c>
      <c r="CN44" s="317"/>
      <c r="CO44" s="472"/>
      <c r="CP44" s="1704"/>
      <c r="CQ44" s="1699"/>
      <c r="CR44" s="1699"/>
      <c r="CS44" s="1699"/>
      <c r="CT44" s="1699"/>
      <c r="CU44" s="1699"/>
      <c r="CV44" s="1699"/>
      <c r="CW44" s="1718">
        <f t="shared" si="36"/>
        <v>0</v>
      </c>
      <c r="CX44" s="318"/>
      <c r="CY44" s="303"/>
      <c r="CZ44" s="303"/>
      <c r="DA44" s="506">
        <f>IF(YEAR('3 pr-2'!AK44)=2017,CX44,0)</f>
        <v>0</v>
      </c>
      <c r="DB44" s="506">
        <f>IF(YEAR('3 pr-2'!AK44)=2018,CX44,0)</f>
        <v>0</v>
      </c>
      <c r="DC44" s="506">
        <f>IF(YEAR('3 pr-2'!AK44)=2019,CX44,0)</f>
        <v>0</v>
      </c>
      <c r="DD44" s="506">
        <f>IF(YEAR('3 pr-2'!AK44)=2020,CX44,0)</f>
        <v>0</v>
      </c>
      <c r="DE44" s="506">
        <f>IF(YEAR('3 pr-2'!AK44)=2021,CX44,0)</f>
        <v>0</v>
      </c>
      <c r="DF44" s="506">
        <f>IF(YEAR('3 pr-2'!AK44)=2022,CX44,0)</f>
        <v>0</v>
      </c>
      <c r="DG44" s="506">
        <f>IF(YEAR('3 pr-2'!AK44)=2023,CX44,0)</f>
        <v>0</v>
      </c>
      <c r="DH44" s="317"/>
      <c r="DI44" s="472"/>
      <c r="DJ44" s="318"/>
      <c r="DK44" s="130"/>
      <c r="DL44" s="130"/>
      <c r="DM44" s="130"/>
      <c r="DN44" s="130"/>
      <c r="DO44" s="130"/>
      <c r="DP44" s="130"/>
      <c r="DQ44" s="756">
        <f t="shared" si="37"/>
        <v>0</v>
      </c>
      <c r="DR44" s="318"/>
      <c r="DS44" s="303"/>
      <c r="DT44" s="303"/>
      <c r="DU44" s="506">
        <f>IF(YEAR('3 pr-2'!BF44)=2017,DS44,0)</f>
        <v>0</v>
      </c>
      <c r="DV44" s="506">
        <f>IF(YEAR('3 pr-2'!BF44)=2018,DS44,0)</f>
        <v>0</v>
      </c>
      <c r="DW44" s="506">
        <f>IF(YEAR('3 pr-2'!BF44)=2019,DS44,0)</f>
        <v>0</v>
      </c>
      <c r="DX44" s="506">
        <f>IF(YEAR('3 pr-2'!BF44)=2020,DS44,0)</f>
        <v>0</v>
      </c>
      <c r="DY44" s="506">
        <f>IF(YEAR('3 pr-2'!BF44)=2021,DS44,0)</f>
        <v>0</v>
      </c>
      <c r="DZ44" s="506">
        <f>IF(YEAR('3 pr-2'!BF44)=2022,DS44,0)</f>
        <v>0</v>
      </c>
      <c r="EA44" s="506">
        <f>IF(YEAR('3 pr-2'!BF44)=2023,DS44,0)</f>
        <v>0</v>
      </c>
      <c r="EB44" s="317"/>
      <c r="EC44" s="472"/>
      <c r="ED44" s="303"/>
      <c r="EE44" s="303"/>
      <c r="EF44" s="303"/>
      <c r="EG44" s="506">
        <f>IF(YEAR('3 pr-2'!BP44)=2017,ED44,0)</f>
        <v>0</v>
      </c>
      <c r="EH44" s="506">
        <f>IF(YEAR('3 pr-2'!BP44)=2018,ED44,0)</f>
        <v>0</v>
      </c>
      <c r="EI44" s="506">
        <f>IF(YEAR('3 pr-2'!BP44)=2019,ED44,0)</f>
        <v>0</v>
      </c>
      <c r="EJ44" s="506">
        <f>IF(YEAR('3 pr-2'!BP44)=2020,ED44,0)</f>
        <v>0</v>
      </c>
      <c r="EK44" s="506">
        <f>IF(YEAR('3 pr-2'!BP44)=2021,ED44,0)</f>
        <v>0</v>
      </c>
      <c r="EL44" s="506">
        <f>IF(YEAR('3 pr-2'!BP44)=2022,ED44,0)</f>
        <v>0</v>
      </c>
      <c r="EM44" s="506">
        <f>IF(YEAR('3 pr-2'!BP44)=2023,ED44,0)</f>
        <v>0</v>
      </c>
    </row>
    <row r="45" spans="1:143" ht="73.5" thickTop="1" thickBot="1">
      <c r="A45" s="130" t="str">
        <f>CONCATENATE('3 pr-2'!A45)</f>
        <v>1.1.1.3.6</v>
      </c>
      <c r="B45" s="130" t="str">
        <f>CONCATENATE('3 pr-2'!B45)</f>
        <v>R01-9905-290000-1136</v>
      </c>
      <c r="C45" s="1730" t="str">
        <f>CONCATENATE('ketv. 2'!B44)</f>
        <v>07.1.1-CPVA-R-905-11-0006</v>
      </c>
      <c r="D45" s="78" t="str">
        <f>CONCATENATE('3 pr-2'!D45)</f>
        <v>Teritorijų prie daugiabučių gyvenamųjų pastatų Varėnos mieste sutvarkymas ir pritaikymas visuomenės poreikiams</v>
      </c>
      <c r="E45" s="11" t="str">
        <f>CONCATENATE('3 pr-2'!E45)</f>
        <v>Varėnos rajono savivaldybės administracija</v>
      </c>
      <c r="F45" s="11" t="str">
        <f>CONCATENATE('3 pr-2'!F45)</f>
        <v>Lietuvos Respublikos vidaus reikalų ministerija</v>
      </c>
      <c r="G45" s="11" t="str">
        <f>CONCATENATE('3 pr-2'!G45)</f>
        <v>Varėnos r. sav.</v>
      </c>
      <c r="H45" s="130" t="str">
        <f>CONCATENATE('3 pr-2'!H45)</f>
        <v xml:space="preserve">07.1.1-CPVA-R-905 </v>
      </c>
      <c r="I45" s="130" t="str">
        <f>CONCATENATE('3 pr-2'!I45)</f>
        <v>R</v>
      </c>
      <c r="J45" s="130" t="str">
        <f>CONCATENATE('3 pr-2'!J45)</f>
        <v>ITI</v>
      </c>
      <c r="K45" s="130" t="str">
        <f>CONCATENATE('3 pr-2'!K45)</f>
        <v>-</v>
      </c>
      <c r="L45" s="130" t="s">
        <v>459</v>
      </c>
      <c r="M45" s="471" t="s">
        <v>458</v>
      </c>
      <c r="N45" s="1699"/>
      <c r="O45" s="1699"/>
      <c r="P45" s="1699"/>
      <c r="Q45" s="1699"/>
      <c r="R45" s="1699"/>
      <c r="S45" s="1699"/>
      <c r="T45" s="1699"/>
      <c r="U45" s="1700"/>
      <c r="V45" s="1032">
        <v>28798</v>
      </c>
      <c r="W45" s="1758">
        <v>28798</v>
      </c>
      <c r="X45" s="1759">
        <f t="shared" si="92"/>
        <v>0</v>
      </c>
      <c r="Y45" s="1732">
        <f>IF(YEAR('3 pr-2'!$AK45)=2017,$V45,0)</f>
        <v>0</v>
      </c>
      <c r="Z45" s="1732">
        <f>IF(YEAR('3 pr-2'!$AK45)=2018,$V45,0)</f>
        <v>0</v>
      </c>
      <c r="AA45" s="1732">
        <f>IF(YEAR('3 pr-2'!$AK45)=2019,$V45,0)</f>
        <v>0</v>
      </c>
      <c r="AB45" s="1732">
        <f>IF(YEAR('3 pr-2'!$AK45)=2020,$V45,0)</f>
        <v>28798</v>
      </c>
      <c r="AC45" s="1732">
        <f>IF(YEAR('3 pr-2'!$AK45)=2021,$V45,0)</f>
        <v>0</v>
      </c>
      <c r="AD45" s="1732">
        <f>IF(YEAR('3 pr-2'!$AK45)=2022,$V45,0)</f>
        <v>0</v>
      </c>
      <c r="AE45" s="1732">
        <f>IF(YEAR('3 pr-2'!$AK45)=2023,$V45,0)</f>
        <v>0</v>
      </c>
      <c r="AF45" s="317"/>
      <c r="AG45" s="471"/>
      <c r="AH45" s="1699"/>
      <c r="AI45" s="1699"/>
      <c r="AJ45" s="1699"/>
      <c r="AK45" s="1699"/>
      <c r="AL45" s="1699"/>
      <c r="AM45" s="1699"/>
      <c r="AN45" s="1699"/>
      <c r="AO45" s="1718">
        <f t="shared" si="93"/>
        <v>0</v>
      </c>
      <c r="AP45" s="130"/>
      <c r="AQ45" s="1778"/>
      <c r="AR45" s="1732"/>
      <c r="AS45" s="1732">
        <f>IF(YEAR('3 pr-2'!$AK45)=2017,$AP45,0)</f>
        <v>0</v>
      </c>
      <c r="AT45" s="1732">
        <f>IF(YEAR('3 pr-2'!$AK45)=2018,$AP45,0)</f>
        <v>0</v>
      </c>
      <c r="AU45" s="1732">
        <f>IF(YEAR('3 pr-2'!$AK45)=2019,$AP45,0)</f>
        <v>0</v>
      </c>
      <c r="AV45" s="1732">
        <f>IF(YEAR('3 pr-2'!$AK45)=2020,$AP45,0)</f>
        <v>0</v>
      </c>
      <c r="AW45" s="1732">
        <f>IF(YEAR('3 pr-2'!$AK45)=2021,$AP45,0)</f>
        <v>0</v>
      </c>
      <c r="AX45" s="1732">
        <f>IF(YEAR('3 pr-2'!$AK45)=2022,$AP45,0)</f>
        <v>0</v>
      </c>
      <c r="AY45" s="1732">
        <f>IF(YEAR('3 pr-2'!$AK45)=2023,$AP45,0)</f>
        <v>0</v>
      </c>
      <c r="AZ45" s="130"/>
      <c r="BA45" s="470"/>
      <c r="BB45" s="1699"/>
      <c r="BC45" s="1699"/>
      <c r="BD45" s="1699"/>
      <c r="BE45" s="1699"/>
      <c r="BF45" s="1699"/>
      <c r="BG45" s="1699"/>
      <c r="BH45" s="1699"/>
      <c r="BI45" s="1718">
        <f t="shared" si="55"/>
        <v>0</v>
      </c>
      <c r="BJ45" s="130"/>
      <c r="BK45" s="1501"/>
      <c r="BL45" s="130"/>
      <c r="BM45" s="130">
        <f>IF(YEAR('3 pr-2'!AK45)=2017,BJ45,0)</f>
        <v>0</v>
      </c>
      <c r="BN45" s="130">
        <f>IF(YEAR('3 pr-2'!AK45)=2018,BJ45,0)</f>
        <v>0</v>
      </c>
      <c r="BO45" s="130">
        <f>IF(YEAR('3 pr-2'!AK45)=2019,BJ45,0)</f>
        <v>0</v>
      </c>
      <c r="BP45" s="130">
        <f>IF(YEAR('3 pr-2'!AK45)=2020,BJ45,0)</f>
        <v>0</v>
      </c>
      <c r="BQ45" s="130">
        <f>IF(YEAR('3 pr-2'!AK45)=2021,BJ45,0)</f>
        <v>0</v>
      </c>
      <c r="BR45" s="130">
        <f>IF(YEAR('3 pr-2'!AK45)=2022,BJ45,0)</f>
        <v>0</v>
      </c>
      <c r="BS45" s="130">
        <f>IF(YEAR('3 pr-2'!AK45)=2023,BJ45,0)</f>
        <v>0</v>
      </c>
      <c r="BT45" s="317"/>
      <c r="BU45" s="471"/>
      <c r="BV45" s="1699"/>
      <c r="BW45" s="1699"/>
      <c r="BX45" s="1699"/>
      <c r="BY45" s="1699"/>
      <c r="BZ45" s="1699"/>
      <c r="CA45" s="1699"/>
      <c r="CB45" s="1699"/>
      <c r="CC45" s="1718">
        <f t="shared" si="35"/>
        <v>0</v>
      </c>
      <c r="CD45" s="130"/>
      <c r="CE45" s="130"/>
      <c r="CF45" s="130"/>
      <c r="CG45" s="130">
        <f>IF(YEAR('3 pr-2'!$AK45)=2017,$CD45,0)</f>
        <v>0</v>
      </c>
      <c r="CH45" s="130">
        <f>IF(YEAR('3 pr-2'!$AK45)=2018,$CD45,0)</f>
        <v>0</v>
      </c>
      <c r="CI45" s="130">
        <f>IF(YEAR('3 pr-2'!$AK45)=2019,$CD45,0)</f>
        <v>0</v>
      </c>
      <c r="CJ45" s="130">
        <f>IF(YEAR('3 pr-2'!$AK45)=2020,$CD45,0)</f>
        <v>0</v>
      </c>
      <c r="CK45" s="130">
        <f>IF(YEAR('3 pr-2'!$AK45)=2021,$CD45,0)</f>
        <v>0</v>
      </c>
      <c r="CL45" s="130">
        <f>IF(YEAR('3 pr-2'!$AK45)=2022,$CD45,0)</f>
        <v>0</v>
      </c>
      <c r="CM45" s="130">
        <f>IF(YEAR('3 pr-2'!$AK45)=2023,$CD45,0)</f>
        <v>0</v>
      </c>
      <c r="CN45" s="317"/>
      <c r="CO45" s="472"/>
      <c r="CP45" s="1704"/>
      <c r="CQ45" s="1699"/>
      <c r="CR45" s="1699"/>
      <c r="CS45" s="1699"/>
      <c r="CT45" s="1699"/>
      <c r="CU45" s="1699"/>
      <c r="CV45" s="1699"/>
      <c r="CW45" s="1718">
        <f t="shared" si="36"/>
        <v>0</v>
      </c>
      <c r="CX45" s="318"/>
      <c r="CY45" s="303"/>
      <c r="CZ45" s="303"/>
      <c r="DA45" s="506">
        <f>IF(YEAR('3 pr-2'!AK45)=2017,CX45,0)</f>
        <v>0</v>
      </c>
      <c r="DB45" s="506">
        <f>IF(YEAR('3 pr-2'!AK45)=2018,CX45,0)</f>
        <v>0</v>
      </c>
      <c r="DC45" s="506">
        <f>IF(YEAR('3 pr-2'!AK45)=2019,CX45,0)</f>
        <v>0</v>
      </c>
      <c r="DD45" s="506">
        <f>IF(YEAR('3 pr-2'!AK45)=2020,CX45,0)</f>
        <v>0</v>
      </c>
      <c r="DE45" s="506">
        <f>IF(YEAR('3 pr-2'!AK45)=2021,CX45,0)</f>
        <v>0</v>
      </c>
      <c r="DF45" s="506">
        <f>IF(YEAR('3 pr-2'!AK45)=2022,CX45,0)</f>
        <v>0</v>
      </c>
      <c r="DG45" s="506">
        <f>IF(YEAR('3 pr-2'!AK45)=2023,CX45,0)</f>
        <v>0</v>
      </c>
      <c r="DH45" s="317"/>
      <c r="DI45" s="472"/>
      <c r="DJ45" s="318"/>
      <c r="DK45" s="130"/>
      <c r="DL45" s="130"/>
      <c r="DM45" s="130"/>
      <c r="DN45" s="130"/>
      <c r="DO45" s="130"/>
      <c r="DP45" s="130"/>
      <c r="DQ45" s="756">
        <f t="shared" si="37"/>
        <v>0</v>
      </c>
      <c r="DR45" s="318"/>
      <c r="DS45" s="303"/>
      <c r="DT45" s="303"/>
      <c r="DU45" s="506">
        <f>IF(YEAR('3 pr-2'!BF45)=2017,DS45,0)</f>
        <v>0</v>
      </c>
      <c r="DV45" s="506">
        <f>IF(YEAR('3 pr-2'!BF45)=2018,DS45,0)</f>
        <v>0</v>
      </c>
      <c r="DW45" s="506">
        <f>IF(YEAR('3 pr-2'!BF45)=2019,DS45,0)</f>
        <v>0</v>
      </c>
      <c r="DX45" s="506">
        <f>IF(YEAR('3 pr-2'!BF45)=2020,DS45,0)</f>
        <v>0</v>
      </c>
      <c r="DY45" s="506">
        <f>IF(YEAR('3 pr-2'!BF45)=2021,DS45,0)</f>
        <v>0</v>
      </c>
      <c r="DZ45" s="506">
        <f>IF(YEAR('3 pr-2'!BF45)=2022,DS45,0)</f>
        <v>0</v>
      </c>
      <c r="EA45" s="506">
        <f>IF(YEAR('3 pr-2'!BF45)=2023,DS45,0)</f>
        <v>0</v>
      </c>
      <c r="EB45" s="317"/>
      <c r="EC45" s="472"/>
      <c r="ED45" s="303"/>
      <c r="EE45" s="303"/>
      <c r="EF45" s="303"/>
      <c r="EG45" s="506">
        <f>IF(YEAR('3 pr-2'!BP45)=2017,ED45,0)</f>
        <v>0</v>
      </c>
      <c r="EH45" s="506">
        <f>IF(YEAR('3 pr-2'!BP45)=2018,ED45,0)</f>
        <v>0</v>
      </c>
      <c r="EI45" s="506">
        <f>IF(YEAR('3 pr-2'!BP45)=2019,ED45,0)</f>
        <v>0</v>
      </c>
      <c r="EJ45" s="506">
        <f>IF(YEAR('3 pr-2'!BP45)=2020,ED45,0)</f>
        <v>0</v>
      </c>
      <c r="EK45" s="506">
        <f>IF(YEAR('3 pr-2'!BP45)=2021,ED45,0)</f>
        <v>0</v>
      </c>
      <c r="EL45" s="506">
        <f>IF(YEAR('3 pr-2'!BP45)=2022,ED45,0)</f>
        <v>0</v>
      </c>
      <c r="EM45" s="506">
        <f>IF(YEAR('3 pr-2'!BP45)=2023,ED45,0)</f>
        <v>0</v>
      </c>
    </row>
    <row r="46" spans="1:143" ht="36.75" customHeight="1" thickBot="1">
      <c r="A46" s="697" t="str">
        <f>CONCATENATE('3 pr-2'!A46)</f>
        <v>1.1.1.4</v>
      </c>
      <c r="B46" s="1972" t="str">
        <f>CONCATENATE('3 pr-2'!B46)</f>
        <v xml:space="preserve">Priemonė:
Alytaus, Druskininkų ir Lazdijų miestų kompleksinė plėtra
</v>
      </c>
      <c r="C46" s="1894"/>
      <c r="D46" s="1894"/>
      <c r="E46" s="1894"/>
      <c r="F46" s="1894"/>
      <c r="G46" s="1894"/>
      <c r="H46" s="1894"/>
      <c r="I46" s="1894"/>
      <c r="J46" s="1894"/>
      <c r="K46" s="1895"/>
      <c r="L46" s="1322"/>
      <c r="M46" s="474"/>
      <c r="N46" s="1697">
        <f>SUM(N47:N49)</f>
        <v>0</v>
      </c>
      <c r="O46" s="1697">
        <f t="shared" ref="O46:T46" si="94">SUM(O47:O49)</f>
        <v>16459.5</v>
      </c>
      <c r="P46" s="1697">
        <f t="shared" si="94"/>
        <v>0</v>
      </c>
      <c r="Q46" s="1697">
        <f t="shared" si="94"/>
        <v>0</v>
      </c>
      <c r="R46" s="1697">
        <f t="shared" si="94"/>
        <v>0</v>
      </c>
      <c r="S46" s="1697">
        <f t="shared" si="94"/>
        <v>0</v>
      </c>
      <c r="T46" s="1697">
        <f t="shared" si="94"/>
        <v>0</v>
      </c>
      <c r="U46" s="1691">
        <f>SUM(U47:U49)</f>
        <v>16459.5</v>
      </c>
      <c r="V46" s="736"/>
      <c r="W46" s="1754">
        <f t="shared" ref="W46:X46" si="95">SUM(W47:W49)</f>
        <v>16459.5</v>
      </c>
      <c r="X46" s="1755">
        <f t="shared" si="95"/>
        <v>0</v>
      </c>
      <c r="Y46" s="1756">
        <f t="shared" ref="Y46:AE46" si="96">SUM(Y47:Y49)</f>
        <v>0</v>
      </c>
      <c r="Z46" s="1756">
        <f t="shared" si="96"/>
        <v>24572.5</v>
      </c>
      <c r="AA46" s="1756">
        <f t="shared" si="96"/>
        <v>0</v>
      </c>
      <c r="AB46" s="1756">
        <f t="shared" si="96"/>
        <v>0</v>
      </c>
      <c r="AC46" s="1756">
        <f t="shared" si="96"/>
        <v>0</v>
      </c>
      <c r="AD46" s="1756">
        <f t="shared" si="96"/>
        <v>0</v>
      </c>
      <c r="AE46" s="1756">
        <f t="shared" si="96"/>
        <v>0</v>
      </c>
      <c r="AF46" s="746"/>
      <c r="AG46" s="752"/>
      <c r="AH46" s="1697">
        <f>SUM(AH47:AH49)</f>
        <v>0</v>
      </c>
      <c r="AI46" s="1697">
        <f t="shared" ref="AI46" si="97">SUM(AI47:AI49)</f>
        <v>0</v>
      </c>
      <c r="AJ46" s="1697">
        <f t="shared" ref="AJ46" si="98">SUM(AJ47:AJ49)</f>
        <v>0</v>
      </c>
      <c r="AK46" s="1697">
        <f t="shared" ref="AK46" si="99">SUM(AK47:AK49)</f>
        <v>0</v>
      </c>
      <c r="AL46" s="1697">
        <f t="shared" ref="AL46" si="100">SUM(AL47:AL49)</f>
        <v>0</v>
      </c>
      <c r="AM46" s="1697">
        <f t="shared" ref="AM46" si="101">SUM(AM47:AM49)</f>
        <v>0</v>
      </c>
      <c r="AN46" s="1697">
        <f t="shared" ref="AN46" si="102">SUM(AN47:AN49)</f>
        <v>0</v>
      </c>
      <c r="AO46" s="1701">
        <f>SUM(AO47:AO49)</f>
        <v>0</v>
      </c>
      <c r="AP46" s="736"/>
      <c r="AQ46" s="1756"/>
      <c r="AR46" s="1756"/>
      <c r="AS46" s="1756">
        <f t="shared" ref="AS46" si="103">SUM(AS47:AS49)</f>
        <v>0</v>
      </c>
      <c r="AT46" s="1779">
        <f>SUM(AT47:AT49)</f>
        <v>690.97</v>
      </c>
      <c r="AU46" s="1756">
        <f t="shared" ref="AU46" si="104">SUM(AU47:AU49)</f>
        <v>0</v>
      </c>
      <c r="AV46" s="1756">
        <f t="shared" ref="AV46" si="105">SUM(AV47:AV49)</f>
        <v>0</v>
      </c>
      <c r="AW46" s="1756">
        <f t="shared" ref="AW46" si="106">SUM(AW47:AW49)</f>
        <v>0</v>
      </c>
      <c r="AX46" s="1756">
        <f t="shared" ref="AX46" si="107">SUM(AX47:AX49)</f>
        <v>0</v>
      </c>
      <c r="AY46" s="1756">
        <f t="shared" ref="AY46" si="108">SUM(AY47:AY49)</f>
        <v>0</v>
      </c>
      <c r="AZ46" s="736"/>
      <c r="BA46" s="752"/>
      <c r="BB46" s="1697">
        <f>SUM(BB47:BB49)</f>
        <v>0</v>
      </c>
      <c r="BC46" s="1697">
        <f t="shared" ref="BC46" si="109">SUM(BC47:BC49)</f>
        <v>0</v>
      </c>
      <c r="BD46" s="1697">
        <f t="shared" ref="BD46" si="110">SUM(BD47:BD49)</f>
        <v>0</v>
      </c>
      <c r="BE46" s="1697">
        <f t="shared" ref="BE46" si="111">SUM(BE47:BE49)</f>
        <v>0</v>
      </c>
      <c r="BF46" s="1697">
        <f t="shared" ref="BF46" si="112">SUM(BF47:BF49)</f>
        <v>0</v>
      </c>
      <c r="BG46" s="1697">
        <f t="shared" ref="BG46" si="113">SUM(BG47:BG49)</f>
        <v>0</v>
      </c>
      <c r="BH46" s="1697">
        <f t="shared" ref="BH46" si="114">SUM(BH47:BH49)</f>
        <v>0</v>
      </c>
      <c r="BI46" s="1701">
        <f>SUM(BI47:BI49)</f>
        <v>0</v>
      </c>
      <c r="BJ46" s="736"/>
      <c r="BK46" s="304"/>
      <c r="BL46" s="304"/>
      <c r="BM46" s="304">
        <f t="shared" ref="BM46" si="115">SUM(BM47:BM49)</f>
        <v>0</v>
      </c>
      <c r="BN46" s="304">
        <f t="shared" ref="BN46" si="116">SUM(BN47:BN49)</f>
        <v>0</v>
      </c>
      <c r="BO46" s="304">
        <f t="shared" ref="BO46" si="117">SUM(BO47:BO49)</f>
        <v>0</v>
      </c>
      <c r="BP46" s="304">
        <f t="shared" ref="BP46" si="118">SUM(BP47:BP49)</f>
        <v>0</v>
      </c>
      <c r="BQ46" s="304">
        <f t="shared" ref="BQ46" si="119">SUM(BQ47:BQ49)</f>
        <v>0</v>
      </c>
      <c r="BR46" s="304">
        <f t="shared" ref="BR46" si="120">SUM(BR47:BR49)</f>
        <v>0</v>
      </c>
      <c r="BS46" s="304">
        <f t="shared" ref="BS46" si="121">SUM(BS47:BS49)</f>
        <v>0</v>
      </c>
      <c r="BT46" s="304"/>
      <c r="BU46" s="472"/>
      <c r="BV46" s="1697">
        <f>SUM(BV47:BV49)</f>
        <v>0</v>
      </c>
      <c r="BW46" s="1697">
        <f t="shared" ref="BW46" si="122">SUM(BW47:BW49)</f>
        <v>0</v>
      </c>
      <c r="BX46" s="1697">
        <f t="shared" ref="BX46" si="123">SUM(BX47:BX49)</f>
        <v>0</v>
      </c>
      <c r="BY46" s="1697">
        <f t="shared" ref="BY46" si="124">SUM(BY47:BY49)</f>
        <v>0</v>
      </c>
      <c r="BZ46" s="1697">
        <f t="shared" ref="BZ46" si="125">SUM(BZ47:BZ49)</f>
        <v>0</v>
      </c>
      <c r="CA46" s="1697">
        <f t="shared" ref="CA46" si="126">SUM(CA47:CA49)</f>
        <v>0</v>
      </c>
      <c r="CB46" s="1697">
        <f t="shared" ref="CB46" si="127">SUM(CB47:CB49)</f>
        <v>0</v>
      </c>
      <c r="CC46" s="1701">
        <f>SUM(CC47:CC49)</f>
        <v>0</v>
      </c>
      <c r="CD46" s="304"/>
      <c r="CE46" s="304"/>
      <c r="CF46" s="304"/>
      <c r="CG46" s="304"/>
      <c r="CH46" s="304"/>
      <c r="CI46" s="304"/>
      <c r="CJ46" s="304"/>
      <c r="CK46" s="304"/>
      <c r="CL46" s="304"/>
      <c r="CM46" s="304"/>
      <c r="CN46" s="750"/>
      <c r="CO46" s="472"/>
      <c r="CP46" s="1723">
        <f>SUM(CP47:CP49)</f>
        <v>0</v>
      </c>
      <c r="CQ46" s="1697">
        <f t="shared" ref="CQ46" si="128">SUM(CQ47:CQ49)</f>
        <v>0</v>
      </c>
      <c r="CR46" s="1697">
        <f t="shared" ref="CR46" si="129">SUM(CR47:CR49)</f>
        <v>0</v>
      </c>
      <c r="CS46" s="1697">
        <f t="shared" ref="CS46" si="130">SUM(CS47:CS49)</f>
        <v>0</v>
      </c>
      <c r="CT46" s="1697">
        <f t="shared" ref="CT46" si="131">SUM(CT47:CT49)</f>
        <v>0</v>
      </c>
      <c r="CU46" s="1697">
        <f t="shared" ref="CU46" si="132">SUM(CU47:CU49)</f>
        <v>0</v>
      </c>
      <c r="CV46" s="1697">
        <f t="shared" ref="CV46" si="133">SUM(CV47:CV49)</f>
        <v>0</v>
      </c>
      <c r="CW46" s="1701">
        <f>SUM(CW47:CW49)</f>
        <v>0</v>
      </c>
      <c r="CX46" s="304"/>
      <c r="CY46" s="506"/>
      <c r="CZ46" s="506"/>
      <c r="DA46" s="506"/>
      <c r="DB46" s="506"/>
      <c r="DC46" s="506"/>
      <c r="DD46" s="506"/>
      <c r="DE46" s="506"/>
      <c r="DF46" s="506"/>
      <c r="DG46" s="506"/>
      <c r="DH46" s="750"/>
      <c r="DI46" s="472"/>
      <c r="DJ46" s="725">
        <f>SUM(DJ47:DJ49)</f>
        <v>0</v>
      </c>
      <c r="DK46" s="304">
        <f t="shared" ref="DK46:DP46" si="134">SUM(DK47:DK49)</f>
        <v>0</v>
      </c>
      <c r="DL46" s="304">
        <f t="shared" si="134"/>
        <v>0</v>
      </c>
      <c r="DM46" s="304">
        <f t="shared" si="134"/>
        <v>0</v>
      </c>
      <c r="DN46" s="304">
        <f t="shared" si="134"/>
        <v>0</v>
      </c>
      <c r="DO46" s="304">
        <f t="shared" si="134"/>
        <v>0</v>
      </c>
      <c r="DP46" s="304">
        <f t="shared" si="134"/>
        <v>0</v>
      </c>
      <c r="DQ46" s="736">
        <f>SUM(DQ47:DQ49)</f>
        <v>0</v>
      </c>
      <c r="DR46" s="304"/>
      <c r="DS46" s="506"/>
      <c r="DT46" s="506"/>
      <c r="DU46" s="506"/>
      <c r="DV46" s="506"/>
      <c r="DW46" s="506"/>
      <c r="DX46" s="506"/>
      <c r="DY46" s="506"/>
      <c r="DZ46" s="506"/>
      <c r="EA46" s="506"/>
      <c r="EB46" s="750"/>
      <c r="EC46" s="472"/>
      <c r="ED46" s="506"/>
      <c r="EE46" s="506"/>
      <c r="EF46" s="506"/>
      <c r="EG46" s="506"/>
      <c r="EH46" s="506"/>
      <c r="EI46" s="506"/>
      <c r="EJ46" s="506"/>
      <c r="EK46" s="506"/>
      <c r="EL46" s="506"/>
      <c r="EM46" s="506"/>
    </row>
    <row r="47" spans="1:143" ht="61.5" thickTop="1" thickBot="1">
      <c r="A47" s="130" t="str">
        <f>CONCATENATE('3 pr-2'!A47)</f>
        <v>1.1.1.4.1</v>
      </c>
      <c r="B47" s="130" t="str">
        <f>CONCATENATE('3 pr-2'!B47)</f>
        <v>R01-9902-310000-1141</v>
      </c>
      <c r="C47" s="1730" t="str">
        <f>CONCATENATE('ketv. 2'!B46)</f>
        <v>07.1.1-CPVA-V-902-01-0008</v>
      </c>
      <c r="D47" s="78" t="str">
        <f>CONCATENATE('3 pr-2'!D47)</f>
        <v>Buvusios pramoninės teritorijos Pramonės g. 1 Alytuje, pritaikymas verslo vystymui ir plėtrai.</v>
      </c>
      <c r="E47" s="11" t="str">
        <f>CONCATENATE('3 pr-2'!E47)</f>
        <v>Alytaus miesto savivaldybės administracija</v>
      </c>
      <c r="F47" s="11" t="str">
        <f>CONCATENATE('3 pr-2'!F47)</f>
        <v>Lietuvos Respublikos vidaus reikalų ministerija</v>
      </c>
      <c r="G47" s="11" t="str">
        <f>CONCATENATE('3 pr-2'!G47)</f>
        <v>Alytaus m. sav.</v>
      </c>
      <c r="H47" s="130" t="str">
        <f>CONCATENATE('3 pr-2'!H47)</f>
        <v>07.1.1-CPVA-V-902</v>
      </c>
      <c r="I47" s="130" t="str">
        <f>CONCATENATE('3 pr-2'!I47)</f>
        <v>V</v>
      </c>
      <c r="J47" s="130" t="str">
        <f>CONCATENATE('3 pr-2'!J47)</f>
        <v>ITI</v>
      </c>
      <c r="K47" s="130" t="str">
        <f>CONCATENATE('3 pr-2'!K47)</f>
        <v>-</v>
      </c>
      <c r="L47" s="130" t="s">
        <v>459</v>
      </c>
      <c r="M47" s="471" t="s">
        <v>460</v>
      </c>
      <c r="N47" s="1699"/>
      <c r="O47" s="1699">
        <v>16459.5</v>
      </c>
      <c r="P47" s="1699"/>
      <c r="Q47" s="1699"/>
      <c r="R47" s="1699"/>
      <c r="S47" s="1699"/>
      <c r="T47" s="1699"/>
      <c r="U47" s="1698">
        <f>SUM(N47:T47)</f>
        <v>16459.5</v>
      </c>
      <c r="V47" s="130">
        <v>16459.5</v>
      </c>
      <c r="W47" s="1760">
        <v>16459.5</v>
      </c>
      <c r="X47" s="1732">
        <f>SUM(W47-V47)</f>
        <v>0</v>
      </c>
      <c r="Y47" s="1732">
        <f>IF(YEAR('3 pr-2'!$AK47)=2017,$V47,0)</f>
        <v>0</v>
      </c>
      <c r="Z47" s="1732">
        <f>IF(YEAR('3 pr-2'!$AK47)=2018,$V47,0)</f>
        <v>16459.5</v>
      </c>
      <c r="AA47" s="1732">
        <f>IF(YEAR('3 pr-2'!$AK47)=2019,$V47,0)</f>
        <v>0</v>
      </c>
      <c r="AB47" s="1732">
        <f>IF(YEAR('3 pr-2'!$AK47)=2020,$V47,0)</f>
        <v>0</v>
      </c>
      <c r="AC47" s="1732">
        <f>IF(YEAR('3 pr-2'!$AK47)=2021,$V47,0)</f>
        <v>0</v>
      </c>
      <c r="AD47" s="1732">
        <f>IF(YEAR('3 pr-2'!$AK47)=2022,$V47,0)</f>
        <v>0</v>
      </c>
      <c r="AE47" s="1732">
        <f>IF(YEAR('3 pr-2'!$AK47)=2023,$V47,0)</f>
        <v>0</v>
      </c>
      <c r="AF47" s="317"/>
      <c r="AG47" s="471"/>
      <c r="AH47" s="1699"/>
      <c r="AI47" s="1699"/>
      <c r="AJ47" s="1699"/>
      <c r="AK47" s="1699"/>
      <c r="AL47" s="1699"/>
      <c r="AM47" s="1699"/>
      <c r="AN47" s="1699"/>
      <c r="AO47" s="1718">
        <f t="shared" ref="AO47:AO71" si="135">SUM(AH47:AN47)</f>
        <v>0</v>
      </c>
      <c r="AP47" s="130"/>
      <c r="AQ47" s="1778"/>
      <c r="AR47" s="1732"/>
      <c r="AS47" s="1732">
        <f>IF(YEAR('3 pr-2'!$AK47)=2017,$AP47,0)</f>
        <v>0</v>
      </c>
      <c r="AT47" s="1732">
        <f>IF(YEAR('3 pr-2'!$AK47)=2018,$AP47,0)</f>
        <v>0</v>
      </c>
      <c r="AU47" s="1732">
        <f>IF(YEAR('3 pr-2'!$AK47)=2019,$AP47,0)</f>
        <v>0</v>
      </c>
      <c r="AV47" s="1732">
        <f>IF(YEAR('3 pr-2'!$AK47)=2020,$AP47,0)</f>
        <v>0</v>
      </c>
      <c r="AW47" s="1732">
        <f>IF(YEAR('3 pr-2'!$AK47)=2021,$AP47,0)</f>
        <v>0</v>
      </c>
      <c r="AX47" s="1732">
        <f>IF(YEAR('3 pr-2'!$AK47)=2022,$AP47,0)</f>
        <v>0</v>
      </c>
      <c r="AY47" s="1732">
        <f>IF(YEAR('3 pr-2'!$AK47)=2023,$AP47,0)</f>
        <v>0</v>
      </c>
      <c r="AZ47" s="130"/>
      <c r="BA47" s="470"/>
      <c r="BB47" s="1699"/>
      <c r="BC47" s="1699"/>
      <c r="BD47" s="1699"/>
      <c r="BE47" s="1699"/>
      <c r="BF47" s="1699"/>
      <c r="BG47" s="1699"/>
      <c r="BH47" s="1699"/>
      <c r="BI47" s="1718">
        <f t="shared" ref="BI47:BI49" si="136">SUM(BB47:BH47)</f>
        <v>0</v>
      </c>
      <c r="BJ47" s="130"/>
      <c r="BK47" s="1501"/>
      <c r="BL47" s="130"/>
      <c r="BM47" s="130">
        <f>IF(YEAR('3 pr-2'!AK47)=2017,BJ47,0)</f>
        <v>0</v>
      </c>
      <c r="BN47" s="130">
        <f>IF(YEAR('3 pr-2'!AK47)=2018,BJ47,0)</f>
        <v>0</v>
      </c>
      <c r="BO47" s="130">
        <f>IF(YEAR('3 pr-2'!AK47)=2019,BJ47,0)</f>
        <v>0</v>
      </c>
      <c r="BP47" s="130">
        <f>IF(YEAR('3 pr-2'!AK47)=2020,BJ47,0)</f>
        <v>0</v>
      </c>
      <c r="BQ47" s="130">
        <f>IF(YEAR('3 pr-2'!AK47)=2021,BJ47,0)</f>
        <v>0</v>
      </c>
      <c r="BR47" s="130">
        <f>IF(YEAR('3 pr-2'!AK47)=2022,BJ47,0)</f>
        <v>0</v>
      </c>
      <c r="BS47" s="130">
        <f>IF(YEAR('3 pr-2'!AK47)=2023,BJ47,0)</f>
        <v>0</v>
      </c>
      <c r="BT47" s="317"/>
      <c r="BU47" s="471"/>
      <c r="BV47" s="1699"/>
      <c r="BW47" s="1699"/>
      <c r="BX47" s="1699"/>
      <c r="BY47" s="1699"/>
      <c r="BZ47" s="1699"/>
      <c r="CA47" s="1699"/>
      <c r="CB47" s="1699"/>
      <c r="CC47" s="1718">
        <f t="shared" ref="CC47:CC72" si="137">SUM(BV47:CB47)</f>
        <v>0</v>
      </c>
      <c r="CD47" s="130"/>
      <c r="CE47" s="130"/>
      <c r="CF47" s="130"/>
      <c r="CG47" s="130">
        <f>IF(YEAR('3 pr-2'!$AK47)=2017,$CD47,0)</f>
        <v>0</v>
      </c>
      <c r="CH47" s="130">
        <f>IF(YEAR('3 pr-2'!$AK47)=2018,$CD47,0)</f>
        <v>0</v>
      </c>
      <c r="CI47" s="130">
        <f>IF(YEAR('3 pr-2'!$AK47)=2019,$CD47,0)</f>
        <v>0</v>
      </c>
      <c r="CJ47" s="130">
        <f>IF(YEAR('3 pr-2'!$AK47)=2020,$CD47,0)</f>
        <v>0</v>
      </c>
      <c r="CK47" s="130">
        <f>IF(YEAR('3 pr-2'!$AK47)=2021,$CD47,0)</f>
        <v>0</v>
      </c>
      <c r="CL47" s="130">
        <f>IF(YEAR('3 pr-2'!$AK47)=2022,$CD47,0)</f>
        <v>0</v>
      </c>
      <c r="CM47" s="130">
        <f>IF(YEAR('3 pr-2'!$AK47)=2023,$CD47,0)</f>
        <v>0</v>
      </c>
      <c r="CN47" s="317"/>
      <c r="CO47" s="472"/>
      <c r="CP47" s="1704"/>
      <c r="CQ47" s="1699"/>
      <c r="CR47" s="1699"/>
      <c r="CS47" s="1699"/>
      <c r="CT47" s="1699"/>
      <c r="CU47" s="1699"/>
      <c r="CV47" s="1699"/>
      <c r="CW47" s="1718">
        <f t="shared" ref="CW47:CW72" si="138">SUM(CP47:CV47)</f>
        <v>0</v>
      </c>
      <c r="CX47" s="318"/>
      <c r="CY47" s="303"/>
      <c r="CZ47" s="303"/>
      <c r="DA47" s="506">
        <f>IF(YEAR('3 pr-2'!AK47)=2017,CX47,0)</f>
        <v>0</v>
      </c>
      <c r="DB47" s="506">
        <f>IF(YEAR('3 pr-2'!AK47)=2018,CX47,0)</f>
        <v>0</v>
      </c>
      <c r="DC47" s="506">
        <f>IF(YEAR('3 pr-2'!AK47)=2019,CX47,0)</f>
        <v>0</v>
      </c>
      <c r="DD47" s="506">
        <f>IF(YEAR('3 pr-2'!AK47)=2020,CX47,0)</f>
        <v>0</v>
      </c>
      <c r="DE47" s="506">
        <f>IF(YEAR('3 pr-2'!AK47)=2021,CX47,0)</f>
        <v>0</v>
      </c>
      <c r="DF47" s="506">
        <f>IF(YEAR('3 pr-2'!AK47)=2022,CX47,0)</f>
        <v>0</v>
      </c>
      <c r="DG47" s="506">
        <f>IF(YEAR('3 pr-2'!AK47)=2023,CX47,0)</f>
        <v>0</v>
      </c>
      <c r="DH47" s="317"/>
      <c r="DI47" s="472"/>
      <c r="DJ47" s="318"/>
      <c r="DK47" s="130"/>
      <c r="DL47" s="130"/>
      <c r="DM47" s="130"/>
      <c r="DN47" s="130"/>
      <c r="DO47" s="130"/>
      <c r="DP47" s="130"/>
      <c r="DQ47" s="756">
        <f t="shared" ref="DQ47:DQ56" si="139">SUM(DJ47:DP47)</f>
        <v>0</v>
      </c>
      <c r="DR47" s="318"/>
      <c r="DS47" s="303"/>
      <c r="DT47" s="303"/>
      <c r="DU47" s="506">
        <f>IF(YEAR('3 pr-2'!BF47)=2017,DS47,0)</f>
        <v>0</v>
      </c>
      <c r="DV47" s="506">
        <f>IF(YEAR('3 pr-2'!BF47)=2018,DS47,0)</f>
        <v>0</v>
      </c>
      <c r="DW47" s="506">
        <f>IF(YEAR('3 pr-2'!BF47)=2019,DS47,0)</f>
        <v>0</v>
      </c>
      <c r="DX47" s="506">
        <f>IF(YEAR('3 pr-2'!BF47)=2020,DS47,0)</f>
        <v>0</v>
      </c>
      <c r="DY47" s="506">
        <f>IF(YEAR('3 pr-2'!BF47)=2021,DS47,0)</f>
        <v>0</v>
      </c>
      <c r="DZ47" s="506">
        <f>IF(YEAR('3 pr-2'!BF47)=2022,DS47,0)</f>
        <v>0</v>
      </c>
      <c r="EA47" s="506">
        <f>IF(YEAR('3 pr-2'!BF47)=2023,DS47,0)</f>
        <v>0</v>
      </c>
      <c r="EB47" s="317"/>
      <c r="EC47" s="472"/>
      <c r="ED47" s="303"/>
      <c r="EE47" s="303"/>
      <c r="EF47" s="303"/>
      <c r="EG47" s="506">
        <f>IF(YEAR('3 pr-2'!BP47)=2017,ED47,0)</f>
        <v>0</v>
      </c>
      <c r="EH47" s="506">
        <f>IF(YEAR('3 pr-2'!BP47)=2018,ED47,0)</f>
        <v>0</v>
      </c>
      <c r="EI47" s="506">
        <f>IF(YEAR('3 pr-2'!BP47)=2019,ED47,0)</f>
        <v>0</v>
      </c>
      <c r="EJ47" s="506">
        <f>IF(YEAR('3 pr-2'!BP47)=2020,ED47,0)</f>
        <v>0</v>
      </c>
      <c r="EK47" s="506">
        <f>IF(YEAR('3 pr-2'!BP47)=2021,ED47,0)</f>
        <v>0</v>
      </c>
      <c r="EL47" s="506">
        <f>IF(YEAR('3 pr-2'!BP47)=2022,ED47,0)</f>
        <v>0</v>
      </c>
      <c r="EM47" s="506">
        <f>IF(YEAR('3 pr-2'!BP47)=2023,ED47,0)</f>
        <v>0</v>
      </c>
    </row>
    <row r="48" spans="1:143" ht="49.5" thickTop="1" thickBot="1">
      <c r="A48" s="130" t="str">
        <f>CONCATENATE('3 pr-2'!A48)</f>
        <v>1.1.1.4.2</v>
      </c>
      <c r="B48" s="130" t="str">
        <f>CONCATENATE('3 pr-2'!B48)</f>
        <v>R01-9903-290000-1142</v>
      </c>
      <c r="C48" s="1730" t="str">
        <f>CONCATENATE('ketv. 2'!B47)</f>
        <v>07.1.1-CPVA-R-903-11-0001</v>
      </c>
      <c r="D48" s="78" t="str">
        <f>CONCATENATE('3 pr-2'!D48)</f>
        <v>Amatų centro „Menų kalvė“ Druskininkuose įkūrimas</v>
      </c>
      <c r="E48" s="11" t="str">
        <f>CONCATENATE('3 pr-2'!E48)</f>
        <v xml:space="preserve">Druskininkų savivaldybės administracija  </v>
      </c>
      <c r="F48" s="11" t="str">
        <f>CONCATENATE('3 pr-2'!F48)</f>
        <v>Lietuvos Respublikos vidaus reikalų ministerija</v>
      </c>
      <c r="G48" s="11" t="str">
        <f>CONCATENATE('3 pr-2'!G48)</f>
        <v>Druskininkų sav.</v>
      </c>
      <c r="H48" s="130" t="str">
        <f>CONCATENATE('3 pr-2'!H48)</f>
        <v>07.1.1-CPVA-R-903</v>
      </c>
      <c r="I48" s="130" t="str">
        <f>CONCATENATE('3 pr-2'!I48)</f>
        <v>R</v>
      </c>
      <c r="J48" s="130" t="str">
        <f>CONCATENATE('3 pr-2'!J48)</f>
        <v>ITI</v>
      </c>
      <c r="K48" s="130" t="str">
        <f>CONCATENATE('3 pr-2'!K48)</f>
        <v>-</v>
      </c>
      <c r="L48" s="130" t="s">
        <v>459</v>
      </c>
      <c r="M48" s="471" t="s">
        <v>460</v>
      </c>
      <c r="N48" s="1699"/>
      <c r="O48" s="1699"/>
      <c r="P48" s="1699"/>
      <c r="Q48" s="1699"/>
      <c r="R48" s="1699"/>
      <c r="S48" s="1699"/>
      <c r="T48" s="1699"/>
      <c r="U48" s="1698">
        <f t="shared" ref="U48:U49" si="140">SUM(N48:T48)</f>
        <v>0</v>
      </c>
      <c r="V48" s="130">
        <v>2113</v>
      </c>
      <c r="W48" s="1760" t="str">
        <f>IF('ketv. 6 '!$L$47&gt;0,"2113,00",0)</f>
        <v>2113,00</v>
      </c>
      <c r="X48" s="1732">
        <f>SUM(W48-V48)</f>
        <v>0</v>
      </c>
      <c r="Y48" s="1732">
        <f>IF(YEAR('3 pr-2'!$AK48)=2017,$V48,0)</f>
        <v>0</v>
      </c>
      <c r="Z48" s="1732">
        <f>IF(YEAR('3 pr-2'!$AK48)=2018,$V48,0)</f>
        <v>2113</v>
      </c>
      <c r="AA48" s="1732">
        <f>IF(YEAR('3 pr-2'!$AK48)=2019,$V48,0)</f>
        <v>0</v>
      </c>
      <c r="AB48" s="1732">
        <f>IF(YEAR('3 pr-2'!$AK48)=2020,$V48,0)</f>
        <v>0</v>
      </c>
      <c r="AC48" s="1732">
        <f>IF(YEAR('3 pr-2'!$AK48)=2021,$V48,0)</f>
        <v>0</v>
      </c>
      <c r="AD48" s="1732">
        <f>IF(YEAR('3 pr-2'!$AK48)=2022,$V48,0)</f>
        <v>0</v>
      </c>
      <c r="AE48" s="1732">
        <f>IF(YEAR('3 pr-2'!$AK48)=2023,$V48,0)</f>
        <v>0</v>
      </c>
      <c r="AF48" s="317" t="s">
        <v>461</v>
      </c>
      <c r="AG48" s="471" t="s">
        <v>462</v>
      </c>
      <c r="AH48" s="1699"/>
      <c r="AI48" s="1699"/>
      <c r="AJ48" s="1699"/>
      <c r="AK48" s="1699"/>
      <c r="AL48" s="1699"/>
      <c r="AM48" s="1699"/>
      <c r="AN48" s="1699"/>
      <c r="AO48" s="1718">
        <f t="shared" si="135"/>
        <v>0</v>
      </c>
      <c r="AP48" s="631">
        <v>690.97</v>
      </c>
      <c r="AQ48" s="1757" t="str">
        <f>IF('ketv. 6 '!$L$47&gt;0,"690,97",0)</f>
        <v>690,97</v>
      </c>
      <c r="AR48" s="1732">
        <f>SUM(AQ48-AP48)</f>
        <v>0</v>
      </c>
      <c r="AS48" s="1732">
        <f>IF(YEAR('3 pr-2'!$AK48)=2017,$AP48,0)</f>
        <v>0</v>
      </c>
      <c r="AT48" s="1732">
        <f>IF(YEAR('3 pr-2'!$AK48)=2018,$AP48,0)</f>
        <v>690.97</v>
      </c>
      <c r="AU48" s="1732">
        <f>IF(YEAR('3 pr-2'!$AK48)=2019,$AP48,0)</f>
        <v>0</v>
      </c>
      <c r="AV48" s="1732">
        <f>IF(YEAR('3 pr-2'!$AK48)=2020,$AP48,0)</f>
        <v>0</v>
      </c>
      <c r="AW48" s="1732">
        <f>IF(YEAR('3 pr-2'!$AK48)=2021,$AP48,0)</f>
        <v>0</v>
      </c>
      <c r="AX48" s="1732">
        <f>IF(YEAR('3 pr-2'!$AK48)=2022,$AP48,0)</f>
        <v>0</v>
      </c>
      <c r="AY48" s="1732">
        <f>IF(YEAR('3 pr-2'!$AK48)=2023,$AP48,0)</f>
        <v>0</v>
      </c>
      <c r="AZ48" s="130"/>
      <c r="BA48" s="470"/>
      <c r="BB48" s="1699"/>
      <c r="BC48" s="1699"/>
      <c r="BD48" s="1699"/>
      <c r="BE48" s="1699"/>
      <c r="BF48" s="1699"/>
      <c r="BG48" s="1699"/>
      <c r="BH48" s="1699"/>
      <c r="BI48" s="1718">
        <f t="shared" si="136"/>
        <v>0</v>
      </c>
      <c r="BJ48" s="130"/>
      <c r="BK48" s="1501"/>
      <c r="BL48" s="130"/>
      <c r="BM48" s="130">
        <f>IF(YEAR('3 pr-2'!AK48)=2017,BJ48,0)</f>
        <v>0</v>
      </c>
      <c r="BN48" s="130">
        <f>IF(YEAR('3 pr-2'!AK48)=2018,BJ48,0)</f>
        <v>0</v>
      </c>
      <c r="BO48" s="130">
        <f>IF(YEAR('3 pr-2'!AK48)=2019,BJ48,0)</f>
        <v>0</v>
      </c>
      <c r="BP48" s="130">
        <f>IF(YEAR('3 pr-2'!AK48)=2020,BJ48,0)</f>
        <v>0</v>
      </c>
      <c r="BQ48" s="130">
        <f>IF(YEAR('3 pr-2'!AK48)=2021,BJ48,0)</f>
        <v>0</v>
      </c>
      <c r="BR48" s="130">
        <f>IF(YEAR('3 pr-2'!AK48)=2022,BJ48,0)</f>
        <v>0</v>
      </c>
      <c r="BS48" s="130">
        <f>IF(YEAR('3 pr-2'!AK48)=2023,BJ48,0)</f>
        <v>0</v>
      </c>
      <c r="BT48" s="317"/>
      <c r="BU48" s="471"/>
      <c r="BV48" s="1699"/>
      <c r="BW48" s="1699"/>
      <c r="BX48" s="1699"/>
      <c r="BY48" s="1699"/>
      <c r="BZ48" s="1699"/>
      <c r="CA48" s="1699"/>
      <c r="CB48" s="1699"/>
      <c r="CC48" s="1718">
        <f t="shared" si="137"/>
        <v>0</v>
      </c>
      <c r="CD48" s="130"/>
      <c r="CE48" s="130"/>
      <c r="CF48" s="130"/>
      <c r="CG48" s="130">
        <f>IF(YEAR('3 pr-2'!$AK48)=2017,$CD48,0)</f>
        <v>0</v>
      </c>
      <c r="CH48" s="130">
        <f>IF(YEAR('3 pr-2'!$AK48)=2018,$CD48,0)</f>
        <v>0</v>
      </c>
      <c r="CI48" s="130">
        <f>IF(YEAR('3 pr-2'!$AK48)=2019,$CD48,0)</f>
        <v>0</v>
      </c>
      <c r="CJ48" s="130">
        <f>IF(YEAR('3 pr-2'!$AK48)=2020,$CD48,0)</f>
        <v>0</v>
      </c>
      <c r="CK48" s="130">
        <f>IF(YEAR('3 pr-2'!$AK48)=2021,$CD48,0)</f>
        <v>0</v>
      </c>
      <c r="CL48" s="130">
        <f>IF(YEAR('3 pr-2'!$AK48)=2022,$CD48,0)</f>
        <v>0</v>
      </c>
      <c r="CM48" s="130">
        <f>IF(YEAR('3 pr-2'!$AK48)=2023,$CD48,0)</f>
        <v>0</v>
      </c>
      <c r="CN48" s="317"/>
      <c r="CO48" s="472"/>
      <c r="CP48" s="1704"/>
      <c r="CQ48" s="1699"/>
      <c r="CR48" s="1699"/>
      <c r="CS48" s="1699"/>
      <c r="CT48" s="1699"/>
      <c r="CU48" s="1699"/>
      <c r="CV48" s="1699"/>
      <c r="CW48" s="1718">
        <f t="shared" si="138"/>
        <v>0</v>
      </c>
      <c r="CX48" s="318"/>
      <c r="CY48" s="303"/>
      <c r="CZ48" s="303"/>
      <c r="DA48" s="506">
        <f>IF(YEAR('3 pr-2'!AK48)=2017,CX48,0)</f>
        <v>0</v>
      </c>
      <c r="DB48" s="506">
        <f>IF(YEAR('3 pr-2'!AK48)=2018,CX48,0)</f>
        <v>0</v>
      </c>
      <c r="DC48" s="506">
        <f>IF(YEAR('3 pr-2'!AK48)=2019,CX48,0)</f>
        <v>0</v>
      </c>
      <c r="DD48" s="506">
        <f>IF(YEAR('3 pr-2'!AK48)=2020,CX48,0)</f>
        <v>0</v>
      </c>
      <c r="DE48" s="506">
        <f>IF(YEAR('3 pr-2'!AK48)=2021,CX48,0)</f>
        <v>0</v>
      </c>
      <c r="DF48" s="506">
        <f>IF(YEAR('3 pr-2'!AK48)=2022,CX48,0)</f>
        <v>0</v>
      </c>
      <c r="DG48" s="506">
        <f>IF(YEAR('3 pr-2'!AK48)=2023,CX48,0)</f>
        <v>0</v>
      </c>
      <c r="DH48" s="317"/>
      <c r="DI48" s="472"/>
      <c r="DJ48" s="318"/>
      <c r="DK48" s="130"/>
      <c r="DL48" s="130"/>
      <c r="DM48" s="130"/>
      <c r="DN48" s="130"/>
      <c r="DO48" s="130"/>
      <c r="DP48" s="130"/>
      <c r="DQ48" s="756">
        <f t="shared" si="139"/>
        <v>0</v>
      </c>
      <c r="DR48" s="318"/>
      <c r="DS48" s="303"/>
      <c r="DT48" s="303"/>
      <c r="DU48" s="506">
        <f>IF(YEAR('3 pr-2'!BF48)=2017,DS48,0)</f>
        <v>0</v>
      </c>
      <c r="DV48" s="506">
        <f>IF(YEAR('3 pr-2'!BF48)=2018,DS48,0)</f>
        <v>0</v>
      </c>
      <c r="DW48" s="506">
        <f>IF(YEAR('3 pr-2'!BF48)=2019,DS48,0)</f>
        <v>0</v>
      </c>
      <c r="DX48" s="506">
        <f>IF(YEAR('3 pr-2'!BF48)=2020,DS48,0)</f>
        <v>0</v>
      </c>
      <c r="DY48" s="506">
        <f>IF(YEAR('3 pr-2'!BF48)=2021,DS48,0)</f>
        <v>0</v>
      </c>
      <c r="DZ48" s="506">
        <f>IF(YEAR('3 pr-2'!BF48)=2022,DS48,0)</f>
        <v>0</v>
      </c>
      <c r="EA48" s="506">
        <f>IF(YEAR('3 pr-2'!BF48)=2023,DS48,0)</f>
        <v>0</v>
      </c>
      <c r="EB48" s="317"/>
      <c r="EC48" s="472"/>
      <c r="ED48" s="303"/>
      <c r="EE48" s="303"/>
      <c r="EF48" s="303"/>
      <c r="EG48" s="506">
        <f>IF(YEAR('3 pr-2'!BP48)=2017,ED48,0)</f>
        <v>0</v>
      </c>
      <c r="EH48" s="506">
        <f>IF(YEAR('3 pr-2'!BP48)=2018,ED48,0)</f>
        <v>0</v>
      </c>
      <c r="EI48" s="506">
        <f>IF(YEAR('3 pr-2'!BP48)=2019,ED48,0)</f>
        <v>0</v>
      </c>
      <c r="EJ48" s="506">
        <f>IF(YEAR('3 pr-2'!BP48)=2020,ED48,0)</f>
        <v>0</v>
      </c>
      <c r="EK48" s="506">
        <f>IF(YEAR('3 pr-2'!BP48)=2021,ED48,0)</f>
        <v>0</v>
      </c>
      <c r="EL48" s="506">
        <f>IF(YEAR('3 pr-2'!BP48)=2022,ED48,0)</f>
        <v>0</v>
      </c>
      <c r="EM48" s="506">
        <f>IF(YEAR('3 pr-2'!BP48)=2023,ED48,0)</f>
        <v>0</v>
      </c>
    </row>
    <row r="49" spans="1:143" ht="49.5" thickTop="1" thickBot="1">
      <c r="A49" s="130" t="str">
        <f>CONCATENATE('3 pr-2'!A49)</f>
        <v>1.1.1.4.3</v>
      </c>
      <c r="B49" s="130" t="str">
        <f>CONCATENATE('3 pr-2'!B49)</f>
        <v>R01-9903-290000-1143</v>
      </c>
      <c r="C49" s="1730" t="str">
        <f>CONCATENATE('ketv. 2'!B48)</f>
        <v>07.1.1-CPVA-R-903-11-0002</v>
      </c>
      <c r="D49" s="78" t="str">
        <f>CONCATENATE('3 pr-2'!D49)</f>
        <v>Lazdijų miesto kompleksinė infrastruktūros plėtra, III etapas</v>
      </c>
      <c r="E49" s="11" t="str">
        <f>CONCATENATE('3 pr-2'!E49)</f>
        <v>Lazdijų rajono savivaldybės administracija</v>
      </c>
      <c r="F49" s="11" t="str">
        <f>CONCATENATE('3 pr-2'!F49)</f>
        <v>Lietuvos Respublikos vidaus reikalų ministerija</v>
      </c>
      <c r="G49" s="11" t="str">
        <f>CONCATENATE('3 pr-2'!G49)</f>
        <v>Lazdijų r. sav.</v>
      </c>
      <c r="H49" s="130" t="str">
        <f>CONCATENATE('3 pr-2'!H49)</f>
        <v>07.1.1-CPVA-R-903</v>
      </c>
      <c r="I49" s="130" t="str">
        <f>CONCATENATE('3 pr-2'!I49)</f>
        <v>R</v>
      </c>
      <c r="J49" s="130" t="str">
        <f>CONCATENATE('3 pr-2'!J49)</f>
        <v>ITI</v>
      </c>
      <c r="K49" s="130" t="str">
        <f>CONCATENATE('3 pr-2'!K49)</f>
        <v>-</v>
      </c>
      <c r="L49" s="130" t="s">
        <v>459</v>
      </c>
      <c r="M49" s="471" t="s">
        <v>463</v>
      </c>
      <c r="N49" s="1699"/>
      <c r="O49" s="1699"/>
      <c r="P49" s="1699"/>
      <c r="Q49" s="1699"/>
      <c r="R49" s="1699"/>
      <c r="S49" s="1699"/>
      <c r="T49" s="1699"/>
      <c r="U49" s="1698">
        <f t="shared" si="140"/>
        <v>0</v>
      </c>
      <c r="V49" s="130">
        <v>6000</v>
      </c>
      <c r="W49" s="1760" t="str">
        <f>IF('ketv. 6 '!L48&gt;0,"6000",0)</f>
        <v>6000</v>
      </c>
      <c r="X49" s="1732">
        <f>SUM(W49-V49)</f>
        <v>0</v>
      </c>
      <c r="Y49" s="1732">
        <f>IF(YEAR('3 pr-2'!$AK49)=2017,$V49,0)</f>
        <v>0</v>
      </c>
      <c r="Z49" s="1732">
        <f>IF(YEAR('3 pr-2'!$AK49)=2018,$V49,0)</f>
        <v>6000</v>
      </c>
      <c r="AA49" s="1732">
        <f>IF(YEAR('3 pr-2'!$AK49)=2019,$V49,0)</f>
        <v>0</v>
      </c>
      <c r="AB49" s="1732">
        <f>IF(YEAR('3 pr-2'!$AK49)=2020,$V49,0)</f>
        <v>0</v>
      </c>
      <c r="AC49" s="1732">
        <f>IF(YEAR('3 pr-2'!$AK49)=2021,$V49,0)</f>
        <v>0</v>
      </c>
      <c r="AD49" s="1732">
        <f>IF(YEAR('3 pr-2'!$AK49)=2022,$V49,0)</f>
        <v>0</v>
      </c>
      <c r="AE49" s="1732">
        <f>IF(YEAR('3 pr-2'!$AK49)=2023,$V49,0)</f>
        <v>0</v>
      </c>
      <c r="AF49" s="317"/>
      <c r="AG49" s="471"/>
      <c r="AH49" s="1699"/>
      <c r="AI49" s="1699"/>
      <c r="AJ49" s="1699"/>
      <c r="AK49" s="1699"/>
      <c r="AL49" s="1699"/>
      <c r="AM49" s="1699"/>
      <c r="AN49" s="1699"/>
      <c r="AO49" s="1718">
        <f t="shared" si="135"/>
        <v>0</v>
      </c>
      <c r="AP49" s="130"/>
      <c r="AQ49" s="1778"/>
      <c r="AR49" s="1732"/>
      <c r="AS49" s="1732">
        <f>IF(YEAR('3 pr-2'!$AK49)=2017,$AP49,0)</f>
        <v>0</v>
      </c>
      <c r="AT49" s="1732">
        <f>IF(YEAR('3 pr-2'!$AK49)=2018,$AP49,0)</f>
        <v>0</v>
      </c>
      <c r="AU49" s="1732">
        <f>IF(YEAR('3 pr-2'!$AK49)=2019,$AP49,0)</f>
        <v>0</v>
      </c>
      <c r="AV49" s="1732">
        <f>IF(YEAR('3 pr-2'!$AK49)=2020,$AP49,0)</f>
        <v>0</v>
      </c>
      <c r="AW49" s="1732">
        <f>IF(YEAR('3 pr-2'!$AK49)=2021,$AP49,0)</f>
        <v>0</v>
      </c>
      <c r="AX49" s="1732">
        <f>IF(YEAR('3 pr-2'!$AK49)=2022,$AP49,0)</f>
        <v>0</v>
      </c>
      <c r="AY49" s="1732">
        <f>IF(YEAR('3 pr-2'!$AK49)=2023,$AP49,0)</f>
        <v>0</v>
      </c>
      <c r="AZ49" s="130"/>
      <c r="BA49" s="470"/>
      <c r="BB49" s="1699"/>
      <c r="BC49" s="1699"/>
      <c r="BD49" s="1699"/>
      <c r="BE49" s="1699"/>
      <c r="BF49" s="1699"/>
      <c r="BG49" s="1699"/>
      <c r="BH49" s="1699"/>
      <c r="BI49" s="1718">
        <f t="shared" si="136"/>
        <v>0</v>
      </c>
      <c r="BJ49" s="130"/>
      <c r="BK49" s="1501"/>
      <c r="BL49" s="130"/>
      <c r="BM49" s="130">
        <f>IF(YEAR('3 pr-2'!AK49)=2017,BJ49,0)</f>
        <v>0</v>
      </c>
      <c r="BN49" s="130">
        <f>IF(YEAR('3 pr-2'!AK49)=2018,BJ49,0)</f>
        <v>0</v>
      </c>
      <c r="BO49" s="130">
        <f>IF(YEAR('3 pr-2'!AK49)=2019,BJ49,0)</f>
        <v>0</v>
      </c>
      <c r="BP49" s="130">
        <f>IF(YEAR('3 pr-2'!AK49)=2020,BJ49,0)</f>
        <v>0</v>
      </c>
      <c r="BQ49" s="130">
        <f>IF(YEAR('3 pr-2'!AK49)=2021,BJ49,0)</f>
        <v>0</v>
      </c>
      <c r="BR49" s="130">
        <f>IF(YEAR('3 pr-2'!AK49)=2022,BJ49,0)</f>
        <v>0</v>
      </c>
      <c r="BS49" s="130">
        <f>IF(YEAR('3 pr-2'!AK49)=2023,BJ49,0)</f>
        <v>0</v>
      </c>
      <c r="BT49" s="317"/>
      <c r="BU49" s="471"/>
      <c r="BV49" s="1699"/>
      <c r="BW49" s="1699"/>
      <c r="BX49" s="1699"/>
      <c r="BY49" s="1699"/>
      <c r="BZ49" s="1699"/>
      <c r="CA49" s="1699"/>
      <c r="CB49" s="1699"/>
      <c r="CC49" s="1718">
        <f t="shared" si="137"/>
        <v>0</v>
      </c>
      <c r="CD49" s="130"/>
      <c r="CE49" s="130"/>
      <c r="CF49" s="130"/>
      <c r="CG49" s="130">
        <f>IF(YEAR('3 pr-2'!$AK49)=2017,$CD49,0)</f>
        <v>0</v>
      </c>
      <c r="CH49" s="130">
        <f>IF(YEAR('3 pr-2'!$AK49)=2018,$CD49,0)</f>
        <v>0</v>
      </c>
      <c r="CI49" s="130">
        <f>IF(YEAR('3 pr-2'!$AK49)=2019,$CD49,0)</f>
        <v>0</v>
      </c>
      <c r="CJ49" s="130">
        <f>IF(YEAR('3 pr-2'!$AK49)=2020,$CD49,0)</f>
        <v>0</v>
      </c>
      <c r="CK49" s="130">
        <f>IF(YEAR('3 pr-2'!$AK49)=2021,$CD49,0)</f>
        <v>0</v>
      </c>
      <c r="CL49" s="130">
        <f>IF(YEAR('3 pr-2'!$AK49)=2022,$CD49,0)</f>
        <v>0</v>
      </c>
      <c r="CM49" s="130">
        <f>IF(YEAR('3 pr-2'!$AK49)=2023,$CD49,0)</f>
        <v>0</v>
      </c>
      <c r="CN49" s="317"/>
      <c r="CO49" s="472"/>
      <c r="CP49" s="1704"/>
      <c r="CQ49" s="1699"/>
      <c r="CR49" s="1699"/>
      <c r="CS49" s="1699"/>
      <c r="CT49" s="1699"/>
      <c r="CU49" s="1699"/>
      <c r="CV49" s="1699"/>
      <c r="CW49" s="1718">
        <f t="shared" si="138"/>
        <v>0</v>
      </c>
      <c r="CX49" s="318"/>
      <c r="CY49" s="303"/>
      <c r="CZ49" s="303"/>
      <c r="DA49" s="506">
        <f>IF(YEAR('3 pr-2'!AK49)=2017,CX49,0)</f>
        <v>0</v>
      </c>
      <c r="DB49" s="506">
        <f>IF(YEAR('3 pr-2'!AK49)=2018,CX49,0)</f>
        <v>0</v>
      </c>
      <c r="DC49" s="506">
        <f>IF(YEAR('3 pr-2'!AK49)=2019,CX49,0)</f>
        <v>0</v>
      </c>
      <c r="DD49" s="506">
        <f>IF(YEAR('3 pr-2'!AK49)=2020,CX49,0)</f>
        <v>0</v>
      </c>
      <c r="DE49" s="506">
        <f>IF(YEAR('3 pr-2'!AK49)=2021,CX49,0)</f>
        <v>0</v>
      </c>
      <c r="DF49" s="506">
        <f>IF(YEAR('3 pr-2'!AK49)=2022,CX49,0)</f>
        <v>0</v>
      </c>
      <c r="DG49" s="506">
        <f>IF(YEAR('3 pr-2'!AK49)=2023,CX49,0)</f>
        <v>0</v>
      </c>
      <c r="DH49" s="317"/>
      <c r="DI49" s="472"/>
      <c r="DJ49" s="318"/>
      <c r="DK49" s="130"/>
      <c r="DL49" s="130"/>
      <c r="DM49" s="130"/>
      <c r="DN49" s="130"/>
      <c r="DO49" s="130"/>
      <c r="DP49" s="130"/>
      <c r="DQ49" s="756">
        <f t="shared" si="139"/>
        <v>0</v>
      </c>
      <c r="DR49" s="318"/>
      <c r="DS49" s="303"/>
      <c r="DT49" s="303"/>
      <c r="DU49" s="506">
        <f>IF(YEAR('3 pr-2'!BF49)=2017,DS49,0)</f>
        <v>0</v>
      </c>
      <c r="DV49" s="506">
        <f>IF(YEAR('3 pr-2'!BF49)=2018,DS49,0)</f>
        <v>0</v>
      </c>
      <c r="DW49" s="506">
        <f>IF(YEAR('3 pr-2'!BF49)=2019,DS49,0)</f>
        <v>0</v>
      </c>
      <c r="DX49" s="506">
        <f>IF(YEAR('3 pr-2'!BF49)=2020,DS49,0)</f>
        <v>0</v>
      </c>
      <c r="DY49" s="506">
        <f>IF(YEAR('3 pr-2'!BF49)=2021,DS49,0)</f>
        <v>0</v>
      </c>
      <c r="DZ49" s="506">
        <f>IF(YEAR('3 pr-2'!BF49)=2022,DS49,0)</f>
        <v>0</v>
      </c>
      <c r="EA49" s="506">
        <f>IF(YEAR('3 pr-2'!BF49)=2023,DS49,0)</f>
        <v>0</v>
      </c>
      <c r="EB49" s="317"/>
      <c r="EC49" s="472"/>
      <c r="ED49" s="303"/>
      <c r="EE49" s="303"/>
      <c r="EF49" s="303"/>
      <c r="EG49" s="506">
        <f>IF(YEAR('3 pr-2'!BP49)=2017,ED49,0)</f>
        <v>0</v>
      </c>
      <c r="EH49" s="506">
        <f>IF(YEAR('3 pr-2'!BP49)=2018,ED49,0)</f>
        <v>0</v>
      </c>
      <c r="EI49" s="506">
        <f>IF(YEAR('3 pr-2'!BP49)=2019,ED49,0)</f>
        <v>0</v>
      </c>
      <c r="EJ49" s="506">
        <f>IF(YEAR('3 pr-2'!BP49)=2020,ED49,0)</f>
        <v>0</v>
      </c>
      <c r="EK49" s="506">
        <f>IF(YEAR('3 pr-2'!BP49)=2021,ED49,0)</f>
        <v>0</v>
      </c>
      <c r="EL49" s="506">
        <f>IF(YEAR('3 pr-2'!BP49)=2022,ED49,0)</f>
        <v>0</v>
      </c>
      <c r="EM49" s="506">
        <f>IF(YEAR('3 pr-2'!BP49)=2023,ED49,0)</f>
        <v>0</v>
      </c>
    </row>
    <row r="50" spans="1:143" ht="28.5" customHeight="1" thickBot="1">
      <c r="A50" s="697" t="str">
        <f>CONCATENATE('3 pr-2'!A50)</f>
        <v>1.1.1.5</v>
      </c>
      <c r="B50" s="1972" t="str">
        <f>CONCATENATE('3 pr-2'!B50)</f>
        <v xml:space="preserve">Priemonė:
Geriamojo vandens tiekimo ir nuotekų tvarkymo sistemų renovavimas ir plėtra, įmonių valdymo tobulinimas </v>
      </c>
      <c r="C50" s="1894"/>
      <c r="D50" s="1894"/>
      <c r="E50" s="1894"/>
      <c r="F50" s="1894"/>
      <c r="G50" s="1894"/>
      <c r="H50" s="1894"/>
      <c r="I50" s="1894"/>
      <c r="J50" s="1894"/>
      <c r="K50" s="1895"/>
      <c r="L50" s="1322"/>
      <c r="M50" s="474"/>
      <c r="N50" s="1701">
        <f>SUM(N51:N55)</f>
        <v>0</v>
      </c>
      <c r="O50" s="1701">
        <f t="shared" ref="O50:T50" si="141">SUM(O51:O55)</f>
        <v>47</v>
      </c>
      <c r="P50" s="1701">
        <f t="shared" si="141"/>
        <v>34</v>
      </c>
      <c r="Q50" s="1701">
        <f t="shared" si="141"/>
        <v>0</v>
      </c>
      <c r="R50" s="1701">
        <f t="shared" si="141"/>
        <v>0</v>
      </c>
      <c r="S50" s="1701">
        <f t="shared" si="141"/>
        <v>0</v>
      </c>
      <c r="T50" s="1701">
        <f t="shared" si="141"/>
        <v>0</v>
      </c>
      <c r="U50" s="1691">
        <f t="shared" ref="U50" si="142">SUM(N50:T50)</f>
        <v>81</v>
      </c>
      <c r="V50" s="736"/>
      <c r="W50" s="1754"/>
      <c r="X50" s="1755"/>
      <c r="Y50" s="1761">
        <f t="shared" ref="Y50:AE50" si="143">SUM(Y51:Y55)</f>
        <v>0</v>
      </c>
      <c r="Z50" s="1761">
        <f t="shared" si="143"/>
        <v>0</v>
      </c>
      <c r="AA50" s="1761">
        <f t="shared" si="143"/>
        <v>240</v>
      </c>
      <c r="AB50" s="1761">
        <f t="shared" si="143"/>
        <v>284</v>
      </c>
      <c r="AC50" s="1761">
        <f t="shared" si="143"/>
        <v>422</v>
      </c>
      <c r="AD50" s="1761">
        <f t="shared" si="143"/>
        <v>0</v>
      </c>
      <c r="AE50" s="1761">
        <f t="shared" si="143"/>
        <v>0</v>
      </c>
      <c r="AF50" s="746"/>
      <c r="AG50" s="752"/>
      <c r="AH50" s="1701">
        <f>SUM(AH51:AH55)</f>
        <v>0</v>
      </c>
      <c r="AI50" s="1701">
        <f t="shared" ref="AI50" si="144">SUM(AI51:AI55)</f>
        <v>0</v>
      </c>
      <c r="AJ50" s="1701">
        <f t="shared" ref="AJ50" si="145">SUM(AJ51:AJ55)</f>
        <v>108</v>
      </c>
      <c r="AK50" s="1701">
        <f t="shared" ref="AK50" si="146">SUM(AK51:AK55)</f>
        <v>0</v>
      </c>
      <c r="AL50" s="1701">
        <f t="shared" ref="AL50" si="147">SUM(AL51:AL55)</f>
        <v>0</v>
      </c>
      <c r="AM50" s="1701">
        <f t="shared" ref="AM50" si="148">SUM(AM51:AM55)</f>
        <v>0</v>
      </c>
      <c r="AN50" s="1701">
        <f t="shared" ref="AN50" si="149">SUM(AN51:AN55)</f>
        <v>0</v>
      </c>
      <c r="AO50" s="1701">
        <f t="shared" si="135"/>
        <v>108</v>
      </c>
      <c r="AP50" s="736"/>
      <c r="AQ50" s="1761"/>
      <c r="AR50" s="1761"/>
      <c r="AS50" s="1761">
        <f t="shared" ref="AS50" si="150">SUM(AS51:AS55)</f>
        <v>0</v>
      </c>
      <c r="AT50" s="1761">
        <f t="shared" ref="AT50" si="151">SUM(AT51:AT55)</f>
        <v>0</v>
      </c>
      <c r="AU50" s="1761">
        <f t="shared" ref="AU50" si="152">SUM(AU51:AU55)</f>
        <v>0</v>
      </c>
      <c r="AV50" s="1761">
        <f t="shared" ref="AV50" si="153">SUM(AV51:AV55)</f>
        <v>25724</v>
      </c>
      <c r="AW50" s="1761">
        <f t="shared" ref="AW50" si="154">SUM(AW51:AW55)</f>
        <v>15887</v>
      </c>
      <c r="AX50" s="1761">
        <f t="shared" ref="AX50" si="155">SUM(AX51:AX55)</f>
        <v>0</v>
      </c>
      <c r="AY50" s="1761">
        <f t="shared" ref="AY50" si="156">SUM(AY51:AY55)</f>
        <v>0</v>
      </c>
      <c r="AZ50" s="736"/>
      <c r="BA50" s="752"/>
      <c r="BB50" s="1701">
        <f>SUM(BB51:BB55)</f>
        <v>0</v>
      </c>
      <c r="BC50" s="1701">
        <f t="shared" ref="BC50" si="157">SUM(BC51:BC55)</f>
        <v>4</v>
      </c>
      <c r="BD50" s="1701">
        <f t="shared" ref="BD50" si="158">SUM(BD51:BD55)</f>
        <v>9</v>
      </c>
      <c r="BE50" s="1701">
        <f t="shared" ref="BE50" si="159">SUM(BE51:BE55)</f>
        <v>0</v>
      </c>
      <c r="BF50" s="1701">
        <f t="shared" ref="BF50" si="160">SUM(BF51:BF55)</f>
        <v>0</v>
      </c>
      <c r="BG50" s="1701">
        <f t="shared" ref="BG50" si="161">SUM(BG51:BG55)</f>
        <v>0</v>
      </c>
      <c r="BH50" s="1701">
        <f t="shared" ref="BH50" si="162">SUM(BH51:BH55)</f>
        <v>0</v>
      </c>
      <c r="BI50" s="1701">
        <f t="shared" ref="BI50:BI72" si="163">SUM(BB50:BH50)</f>
        <v>13</v>
      </c>
      <c r="BJ50" s="736"/>
      <c r="BK50" s="736"/>
      <c r="BL50" s="736"/>
      <c r="BM50" s="736">
        <f t="shared" ref="BM50" si="164">SUM(BM51:BM55)</f>
        <v>0</v>
      </c>
      <c r="BN50" s="736">
        <f t="shared" ref="BN50" si="165">SUM(BN51:BN55)</f>
        <v>0</v>
      </c>
      <c r="BO50" s="736">
        <f t="shared" ref="BO50" si="166">SUM(BO51:BO55)</f>
        <v>210</v>
      </c>
      <c r="BP50" s="736">
        <f t="shared" ref="BP50" si="167">SUM(BP51:BP55)</f>
        <v>844</v>
      </c>
      <c r="BQ50" s="736">
        <f t="shared" ref="BQ50" si="168">SUM(BQ51:BQ55)</f>
        <v>432</v>
      </c>
      <c r="BR50" s="736">
        <f t="shared" ref="BR50" si="169">SUM(BR51:BR55)</f>
        <v>0</v>
      </c>
      <c r="BS50" s="736">
        <f t="shared" ref="BS50" si="170">SUM(BS51:BS55)</f>
        <v>0</v>
      </c>
      <c r="BT50" s="736"/>
      <c r="BU50" s="474"/>
      <c r="BV50" s="1701">
        <f>SUM(BV51:BV55)</f>
        <v>0</v>
      </c>
      <c r="BW50" s="1701">
        <f t="shared" ref="BW50" si="171">SUM(BW51:BW55)</f>
        <v>0.83</v>
      </c>
      <c r="BX50" s="1701">
        <f t="shared" ref="BX50" si="172">SUM(BX51:BX55)</f>
        <v>650</v>
      </c>
      <c r="BY50" s="1701">
        <f t="shared" ref="BY50" si="173">SUM(BY51:BY55)</f>
        <v>0</v>
      </c>
      <c r="BZ50" s="1701">
        <f t="shared" ref="BZ50" si="174">SUM(BZ51:BZ55)</f>
        <v>0</v>
      </c>
      <c r="CA50" s="1701">
        <f t="shared" ref="CA50" si="175">SUM(CA51:CA55)</f>
        <v>0</v>
      </c>
      <c r="CB50" s="1701">
        <f t="shared" ref="CB50" si="176">SUM(CB51:CB55)</f>
        <v>0</v>
      </c>
      <c r="CC50" s="1701">
        <f t="shared" si="137"/>
        <v>650.83000000000004</v>
      </c>
      <c r="CD50" s="736"/>
      <c r="CE50" s="736"/>
      <c r="CF50" s="736"/>
      <c r="CG50" s="736">
        <f t="shared" ref="CG50" si="177">SUM(CG51:CG55)</f>
        <v>0</v>
      </c>
      <c r="CH50" s="736">
        <f t="shared" ref="CH50" si="178">SUM(CH51:CH55)</f>
        <v>0</v>
      </c>
      <c r="CI50" s="736">
        <f t="shared" ref="CI50" si="179">SUM(CI51:CI55)</f>
        <v>210</v>
      </c>
      <c r="CJ50" s="736">
        <f t="shared" ref="CJ50" si="180">SUM(CJ51:CJ55)</f>
        <v>1239</v>
      </c>
      <c r="CK50" s="736">
        <f t="shared" ref="CK50" si="181">SUM(CK51:CK55)</f>
        <v>0</v>
      </c>
      <c r="CL50" s="736">
        <f t="shared" ref="CL50" si="182">SUM(CL51:CL55)</f>
        <v>0</v>
      </c>
      <c r="CM50" s="736">
        <f t="shared" ref="CM50" si="183">SUM(CM51:CM55)</f>
        <v>0</v>
      </c>
      <c r="CN50" s="1322"/>
      <c r="CO50" s="474"/>
      <c r="CP50" s="1706">
        <f>SUM(CP51:CP55)</f>
        <v>0</v>
      </c>
      <c r="CQ50" s="1701">
        <f t="shared" ref="CQ50" si="184">SUM(CQ51:CQ55)</f>
        <v>13.479999999999999</v>
      </c>
      <c r="CR50" s="1701">
        <f t="shared" ref="CR50" si="185">SUM(CR51:CR55)</f>
        <v>1.6600000000000001</v>
      </c>
      <c r="CS50" s="1701">
        <f t="shared" ref="CS50" si="186">SUM(CS51:CS55)</f>
        <v>0</v>
      </c>
      <c r="CT50" s="1701">
        <f t="shared" ref="CT50" si="187">SUM(CT51:CT55)</f>
        <v>0</v>
      </c>
      <c r="CU50" s="1701">
        <f t="shared" ref="CU50" si="188">SUM(CU51:CU55)</f>
        <v>0</v>
      </c>
      <c r="CV50" s="1701">
        <f t="shared" ref="CV50" si="189">SUM(CV51:CV55)</f>
        <v>0</v>
      </c>
      <c r="CW50" s="1701">
        <f t="shared" si="138"/>
        <v>15.139999999999999</v>
      </c>
      <c r="CX50" s="736"/>
      <c r="CY50" s="506"/>
      <c r="CZ50" s="506"/>
      <c r="DA50" s="506">
        <f t="shared" ref="DA50" si="190">SUM(DA51:DA55)</f>
        <v>0</v>
      </c>
      <c r="DB50" s="506">
        <f t="shared" ref="DB50" si="191">SUM(DB51:DB55)</f>
        <v>0</v>
      </c>
      <c r="DC50" s="506">
        <f t="shared" ref="DC50" si="192">SUM(DC51:DC55)</f>
        <v>0</v>
      </c>
      <c r="DD50" s="506">
        <f t="shared" ref="DD50" si="193">SUM(DD51:DD55)</f>
        <v>19.520000000000003</v>
      </c>
      <c r="DE50" s="506">
        <f t="shared" ref="DE50" si="194">SUM(DE51:DE55)</f>
        <v>3.2</v>
      </c>
      <c r="DF50" s="506">
        <f t="shared" ref="DF50" si="195">SUM(DF51:DF55)</f>
        <v>0</v>
      </c>
      <c r="DG50" s="506">
        <f t="shared" ref="DG50" si="196">SUM(DG51:DG55)</f>
        <v>0</v>
      </c>
      <c r="DH50" s="1322"/>
      <c r="DI50" s="474"/>
      <c r="DJ50" s="757">
        <f>SUM(DJ51:DJ55)</f>
        <v>0</v>
      </c>
      <c r="DK50" s="736">
        <f t="shared" ref="DK50:DP50" si="197">SUM(DK51:DK55)</f>
        <v>0</v>
      </c>
      <c r="DL50" s="736">
        <f t="shared" si="197"/>
        <v>0</v>
      </c>
      <c r="DM50" s="736">
        <f t="shared" si="197"/>
        <v>0</v>
      </c>
      <c r="DN50" s="736">
        <f t="shared" si="197"/>
        <v>0</v>
      </c>
      <c r="DO50" s="736">
        <f t="shared" si="197"/>
        <v>0</v>
      </c>
      <c r="DP50" s="736">
        <f t="shared" si="197"/>
        <v>0</v>
      </c>
      <c r="DQ50" s="736">
        <f t="shared" si="139"/>
        <v>0</v>
      </c>
      <c r="DR50" s="736"/>
      <c r="DS50" s="506"/>
      <c r="DT50" s="506"/>
      <c r="DU50" s="506">
        <f t="shared" ref="DU50:EA50" si="198">SUM(DU51:DU55)</f>
        <v>0</v>
      </c>
      <c r="DV50" s="506">
        <f t="shared" si="198"/>
        <v>0</v>
      </c>
      <c r="DW50" s="506">
        <f t="shared" si="198"/>
        <v>0</v>
      </c>
      <c r="DX50" s="506">
        <f t="shared" si="198"/>
        <v>26260</v>
      </c>
      <c r="DY50" s="506">
        <f t="shared" si="198"/>
        <v>0</v>
      </c>
      <c r="DZ50" s="506">
        <f t="shared" si="198"/>
        <v>0</v>
      </c>
      <c r="EA50" s="506">
        <f t="shared" si="198"/>
        <v>0</v>
      </c>
      <c r="EB50" s="1322"/>
      <c r="EC50" s="474"/>
      <c r="ED50" s="506"/>
      <c r="EE50" s="506"/>
      <c r="EF50" s="506"/>
      <c r="EG50" s="506">
        <f t="shared" ref="EG50:EM50" si="199">SUM(EG51:EG55)</f>
        <v>0</v>
      </c>
      <c r="EH50" s="506">
        <f t="shared" si="199"/>
        <v>0</v>
      </c>
      <c r="EI50" s="506">
        <f t="shared" si="199"/>
        <v>0</v>
      </c>
      <c r="EJ50" s="506">
        <f t="shared" si="199"/>
        <v>0</v>
      </c>
      <c r="EK50" s="506">
        <f t="shared" si="199"/>
        <v>0</v>
      </c>
      <c r="EL50" s="506">
        <f t="shared" si="199"/>
        <v>0</v>
      </c>
      <c r="EM50" s="506">
        <f t="shared" si="199"/>
        <v>0</v>
      </c>
    </row>
    <row r="51" spans="1:143" ht="64.5" thickTop="1" thickBot="1">
      <c r="A51" s="130" t="str">
        <f>CONCATENATE('3 pr-2'!A51)</f>
        <v>1.1.1.5.1</v>
      </c>
      <c r="B51" s="130" t="str">
        <f>CONCATENATE('3 pr-2'!B51)</f>
        <v>R01-0014-060700-1151</v>
      </c>
      <c r="C51" s="1730" t="str">
        <f>CONCATENATE('ketv. 2'!B50)</f>
        <v>05.3.2-APVA-R-014-11-0001</v>
      </c>
      <c r="D51" s="78" t="str">
        <f>CONCATENATE('3 pr-2'!D51)</f>
        <v>Geriamojo vandens tiekimo ir nuotekų tvarkymo sistemų renovavimas ir plėtra Varėnos rajone</v>
      </c>
      <c r="E51" s="11" t="str">
        <f>CONCATENATE('3 pr-2'!E51)</f>
        <v>UAB „Varėnos vandenys“</v>
      </c>
      <c r="F51" s="11" t="str">
        <f>CONCATENATE('3 pr-2'!F51)</f>
        <v>Lietuvos Respublikos aplinkos ministerija</v>
      </c>
      <c r="G51" s="11" t="str">
        <f>CONCATENATE('3 pr-2'!G51)</f>
        <v>Varėnos r. sav.</v>
      </c>
      <c r="H51" s="130" t="str">
        <f>CONCATENATE('3 pr-2'!H51)</f>
        <v>05.3.2-APVA-R-014</v>
      </c>
      <c r="I51" s="130" t="str">
        <f>CONCATENATE('3 pr-2'!I51)</f>
        <v>R</v>
      </c>
      <c r="J51" s="130" t="str">
        <f>CONCATENATE('3 pr-2'!J51)</f>
        <v>ITI</v>
      </c>
      <c r="K51" s="130" t="str">
        <f>CONCATENATE('3 pr-2'!K51)</f>
        <v>-</v>
      </c>
      <c r="L51" s="130" t="s">
        <v>464</v>
      </c>
      <c r="M51" s="471" t="s">
        <v>465</v>
      </c>
      <c r="N51" s="1699"/>
      <c r="O51" s="1699">
        <v>45</v>
      </c>
      <c r="P51" s="1699">
        <v>34</v>
      </c>
      <c r="Q51" s="1699"/>
      <c r="R51" s="1699"/>
      <c r="S51" s="1699"/>
      <c r="T51" s="1699"/>
      <c r="U51" s="1700">
        <f>SUM(N51:T51)</f>
        <v>79</v>
      </c>
      <c r="V51" s="130">
        <v>194</v>
      </c>
      <c r="W51" s="1757">
        <v>194</v>
      </c>
      <c r="X51" s="1732">
        <f>SUM(W51-V51)</f>
        <v>0</v>
      </c>
      <c r="Y51" s="1732">
        <f>IF(YEAR('3 pr-2'!$AK51)=2017,$V51,0)</f>
        <v>0</v>
      </c>
      <c r="Z51" s="1732">
        <f>IF(YEAR('3 pr-2'!$AK51)=2018,$V51,0)</f>
        <v>0</v>
      </c>
      <c r="AA51" s="1732">
        <f>IF(YEAR('3 pr-2'!$AK51)=2019,$V51,0)</f>
        <v>0</v>
      </c>
      <c r="AB51" s="1732">
        <f>IF(YEAR('3 pr-2'!$AK51)=2020,$V51,0)</f>
        <v>194</v>
      </c>
      <c r="AC51" s="1732">
        <f>IF(YEAR('3 pr-2'!$AK51)=2021,$V51,0)</f>
        <v>0</v>
      </c>
      <c r="AD51" s="1732">
        <f>IF(YEAR('3 pr-2'!$AK51)=2022,$V51,0)</f>
        <v>0</v>
      </c>
      <c r="AE51" s="1732">
        <f>IF(YEAR('3 pr-2'!$AK51)=2023,$V51,0)</f>
        <v>0</v>
      </c>
      <c r="AF51" s="317" t="s">
        <v>472</v>
      </c>
      <c r="AG51" s="471" t="s">
        <v>473</v>
      </c>
      <c r="AH51" s="1699"/>
      <c r="AI51" s="1699"/>
      <c r="AJ51" s="1699">
        <v>108</v>
      </c>
      <c r="AK51" s="1699"/>
      <c r="AL51" s="1699"/>
      <c r="AM51" s="1699"/>
      <c r="AN51" s="1699"/>
      <c r="AO51" s="1718">
        <f t="shared" si="135"/>
        <v>108</v>
      </c>
      <c r="AP51" s="130">
        <v>274</v>
      </c>
      <c r="AQ51" s="1780">
        <v>274</v>
      </c>
      <c r="AR51" s="1732">
        <f>SUM(AQ51-AP51)</f>
        <v>0</v>
      </c>
      <c r="AS51" s="1732">
        <f>IF(YEAR('3 pr-2'!$AK51)=2017,$AP51,0)</f>
        <v>0</v>
      </c>
      <c r="AT51" s="1732">
        <f>IF(YEAR('3 pr-2'!$AK51)=2018,$AP51,0)</f>
        <v>0</v>
      </c>
      <c r="AU51" s="1732">
        <f>IF(YEAR('3 pr-2'!$AK51)=2019,$AP51,0)</f>
        <v>0</v>
      </c>
      <c r="AV51" s="1732">
        <f>IF(YEAR('3 pr-2'!$AK51)=2020,$AP51,0)</f>
        <v>274</v>
      </c>
      <c r="AW51" s="1732">
        <f>IF(YEAR('3 pr-2'!$AK51)=2021,$AP51,0)</f>
        <v>0</v>
      </c>
      <c r="AX51" s="1732">
        <f>IF(YEAR('3 pr-2'!$AK51)=2022,$AP51,0)</f>
        <v>0</v>
      </c>
      <c r="AY51" s="1732">
        <f>IF(YEAR('3 pr-2'!$AK51)=2023,$AP51,0)</f>
        <v>0</v>
      </c>
      <c r="AZ51" s="130" t="s">
        <v>466</v>
      </c>
      <c r="BA51" s="470" t="s">
        <v>467</v>
      </c>
      <c r="BB51" s="1699"/>
      <c r="BC51" s="1699"/>
      <c r="BD51" s="1699">
        <v>9</v>
      </c>
      <c r="BE51" s="1699"/>
      <c r="BF51" s="1699"/>
      <c r="BG51" s="1699"/>
      <c r="BH51" s="1699"/>
      <c r="BI51" s="1718">
        <f t="shared" si="163"/>
        <v>9</v>
      </c>
      <c r="BJ51" s="130">
        <v>433</v>
      </c>
      <c r="BK51" s="1501">
        <v>433</v>
      </c>
      <c r="BL51" s="130">
        <f>SUM(BK51-BJ51)</f>
        <v>0</v>
      </c>
      <c r="BM51" s="130">
        <f>IF(YEAR('3 pr-2'!AK51)=2017,BJ51,0)</f>
        <v>0</v>
      </c>
      <c r="BN51" s="130">
        <f>IF(YEAR('3 pr-2'!AK51)=2018,BJ51,0)</f>
        <v>0</v>
      </c>
      <c r="BO51" s="130">
        <f>IF(YEAR('3 pr-2'!AK51)=2019,BJ51,0)</f>
        <v>0</v>
      </c>
      <c r="BP51" s="130">
        <f>IF(YEAR('3 pr-2'!AK51)=2020,BJ51,0)</f>
        <v>433</v>
      </c>
      <c r="BQ51" s="130">
        <f>IF(YEAR('3 pr-2'!AK51)=2021,BJ51,0)</f>
        <v>0</v>
      </c>
      <c r="BR51" s="130">
        <f>IF(YEAR('3 pr-2'!AK51)=2022,BJ51,0)</f>
        <v>0</v>
      </c>
      <c r="BS51" s="130">
        <f>IF(YEAR('3 pr-2'!AK51)=2023,BJ51,0)</f>
        <v>0</v>
      </c>
      <c r="BT51" s="317" t="s">
        <v>468</v>
      </c>
      <c r="BU51" s="471" t="s">
        <v>469</v>
      </c>
      <c r="BV51" s="1699"/>
      <c r="BW51" s="1699">
        <v>0.83</v>
      </c>
      <c r="BX51" s="1699">
        <v>650</v>
      </c>
      <c r="BY51" s="1699"/>
      <c r="BZ51" s="1699"/>
      <c r="CA51" s="1699"/>
      <c r="CB51" s="1699"/>
      <c r="CC51" s="1718">
        <f t="shared" si="137"/>
        <v>650.83000000000004</v>
      </c>
      <c r="CD51" s="130">
        <v>828</v>
      </c>
      <c r="CE51" s="130">
        <v>828</v>
      </c>
      <c r="CF51" s="130">
        <f>SUM(CE51-CD51)</f>
        <v>0</v>
      </c>
      <c r="CG51" s="130">
        <f>IF(YEAR('3 pr-2'!$AK51)=2017,$CD51,0)</f>
        <v>0</v>
      </c>
      <c r="CH51" s="130">
        <f>IF(YEAR('3 pr-2'!$AK51)=2018,$CD51,0)</f>
        <v>0</v>
      </c>
      <c r="CI51" s="130">
        <f>IF(YEAR('3 pr-2'!$AK51)=2019,$CD51,0)</f>
        <v>0</v>
      </c>
      <c r="CJ51" s="130">
        <f>IF(YEAR('3 pr-2'!$AK51)=2020,$CD51,0)</f>
        <v>828</v>
      </c>
      <c r="CK51" s="130">
        <f>IF(YEAR('3 pr-2'!$AK51)=2021,$CD51,0)</f>
        <v>0</v>
      </c>
      <c r="CL51" s="130">
        <f>IF(YEAR('3 pr-2'!$AK51)=2022,$CD51,0)</f>
        <v>0</v>
      </c>
      <c r="CM51" s="130">
        <f>IF(YEAR('3 pr-2'!$AK51)=2023,$CD51,0)</f>
        <v>0</v>
      </c>
      <c r="CN51" s="317" t="s">
        <v>470</v>
      </c>
      <c r="CO51" s="472" t="s">
        <v>471</v>
      </c>
      <c r="CP51" s="1704"/>
      <c r="CQ51" s="1699">
        <v>0.45</v>
      </c>
      <c r="CR51" s="1699">
        <v>0.38</v>
      </c>
      <c r="CS51" s="1699"/>
      <c r="CT51" s="1699"/>
      <c r="CU51" s="1699"/>
      <c r="CV51" s="1699"/>
      <c r="CW51" s="1718">
        <f t="shared" si="138"/>
        <v>0.83000000000000007</v>
      </c>
      <c r="CX51" s="318">
        <v>3.1</v>
      </c>
      <c r="CY51" s="303">
        <v>3.1</v>
      </c>
      <c r="CZ51" s="303">
        <f>SUM(CY51-CX51)</f>
        <v>0</v>
      </c>
      <c r="DA51" s="506">
        <f>IF(YEAR('3 pr-2'!$AK$51)=2017,CX51,0)</f>
        <v>0</v>
      </c>
      <c r="DB51" s="506">
        <f>IF(YEAR('3 pr-2'!$AK$51)=2018,CX51,0)</f>
        <v>0</v>
      </c>
      <c r="DC51" s="506">
        <f>IF(YEAR('3 pr-2'!$AK$51)=2019,CX51,0)</f>
        <v>0</v>
      </c>
      <c r="DD51" s="506">
        <f>IF(YEAR('3 pr-2'!$AK$51)=2020,CX51,0)</f>
        <v>3.1</v>
      </c>
      <c r="DE51" s="506">
        <f>IF(YEAR('3 pr-2'!$AK$51)=2021,CX51,0)</f>
        <v>0</v>
      </c>
      <c r="DF51" s="506">
        <f>IF(YEAR('3 pr-2'!$AK$51)=2022,CX51,0)</f>
        <v>0</v>
      </c>
      <c r="DG51" s="506">
        <f>IF(YEAR('3 pr-2'!$AK$51)=2023,CX51,0)</f>
        <v>0</v>
      </c>
      <c r="DH51" s="317" t="s">
        <v>1810</v>
      </c>
      <c r="DI51" s="831" t="s">
        <v>1811</v>
      </c>
      <c r="DJ51" s="318"/>
      <c r="DK51" s="130"/>
      <c r="DL51" s="130"/>
      <c r="DM51" s="130"/>
      <c r="DN51" s="130"/>
      <c r="DO51" s="130"/>
      <c r="DP51" s="130"/>
      <c r="DQ51" s="756"/>
      <c r="DR51" s="318">
        <v>0</v>
      </c>
      <c r="DS51" s="1096">
        <v>148</v>
      </c>
      <c r="DT51" s="1096">
        <f>SUM(DS51-DR51)</f>
        <v>148</v>
      </c>
      <c r="DU51" s="506">
        <f>IF(YEAR('3 pr-2'!$AK$51)=2017,DS51,0)</f>
        <v>0</v>
      </c>
      <c r="DV51" s="506">
        <f>IF(YEAR('3 pr-2'!$AK$51)=2018,DS51,0)</f>
        <v>0</v>
      </c>
      <c r="DW51" s="506">
        <f>IF(YEAR('3 pr-2'!$AK$51)=2019,DS51,0)</f>
        <v>0</v>
      </c>
      <c r="DX51" s="506">
        <f>IF(YEAR('3 pr-2'!$AK$51)=2020,DS51,0)</f>
        <v>148</v>
      </c>
      <c r="DY51" s="506">
        <f>IF(YEAR('3 pr-2'!$AK$51)=2021,DS51,0)</f>
        <v>0</v>
      </c>
      <c r="DZ51" s="506">
        <f>IF(YEAR('3 pr-2'!$AK$51)=2022,DS51,0)</f>
        <v>0</v>
      </c>
      <c r="EA51" s="506">
        <f>IF(YEAR('3 pr-2'!$AK$51)=2023,DS51,0)</f>
        <v>0</v>
      </c>
      <c r="EB51" s="317" t="s">
        <v>1812</v>
      </c>
      <c r="EC51" s="831" t="s">
        <v>1813</v>
      </c>
      <c r="ED51" s="303">
        <v>0</v>
      </c>
      <c r="EE51" s="303">
        <v>1139</v>
      </c>
      <c r="EF51" s="303">
        <f>SUM(EE51-ED51)</f>
        <v>1139</v>
      </c>
      <c r="EG51" s="506">
        <f>IF(YEAR('3 pr-2'!$AK$51)=2017,ED51,0)</f>
        <v>0</v>
      </c>
      <c r="EH51" s="506">
        <f>IF(YEAR('3 pr-2'!$AK$51)=2018,ED51,0)</f>
        <v>0</v>
      </c>
      <c r="EI51" s="506">
        <f>IF(YEAR('3 pr-2'!$AK$51)=2019,ED51,0)</f>
        <v>0</v>
      </c>
      <c r="EJ51" s="506">
        <f>IF(YEAR('3 pr-2'!$AK$51)=2020,ED51,0)</f>
        <v>0</v>
      </c>
      <c r="EK51" s="506">
        <f>IF(YEAR('3 pr-2'!$AK$51)=2021,ED51,0)</f>
        <v>0</v>
      </c>
      <c r="EL51" s="506">
        <f>IF(YEAR('3 pr-2'!$AK$51)=2022,ED51,0)</f>
        <v>0</v>
      </c>
      <c r="EM51" s="506">
        <f>IF(YEAR('3 pr-2'!$AK$51)=2023,ED51,0)</f>
        <v>0</v>
      </c>
    </row>
    <row r="52" spans="1:143" ht="64.5" thickTop="1" thickBot="1">
      <c r="A52" s="130" t="str">
        <f>CONCATENATE('3 pr-2'!A52)</f>
        <v>1.1.1.5.2.</v>
      </c>
      <c r="B52" s="130" t="str">
        <f>CONCATENATE('3 pr-2'!B52)</f>
        <v>R01-0014-060750-1152</v>
      </c>
      <c r="C52" s="1730" t="str">
        <f>CONCATENATE('ketv. 2'!B51)</f>
        <v>05.3.2-APVA-R-014-11-0002</v>
      </c>
      <c r="D52" s="78" t="str">
        <f>CONCATENATE('3 pr-2'!D52)</f>
        <v>Geriamojo vandens ir nuotekų tvarkymo sistemų renovavimas Alytaus mieste</v>
      </c>
      <c r="E52" s="11" t="str">
        <f>CONCATENATE('3 pr-2'!E52)</f>
        <v>UAB “Dzūkijos vandenys“</v>
      </c>
      <c r="F52" s="11" t="str">
        <f>CONCATENATE('3 pr-2'!F52)</f>
        <v>Lietuvos Respublikos aplinkos ministerija</v>
      </c>
      <c r="G52" s="11" t="str">
        <f>CONCATENATE('3 pr-2'!G52)</f>
        <v>Alytaus m. sav.</v>
      </c>
      <c r="H52" s="130" t="str">
        <f>CONCATENATE('3 pr-2'!H52)</f>
        <v>05.3.2-APVA-R-014</v>
      </c>
      <c r="I52" s="130" t="str">
        <f>CONCATENATE('3 pr-2'!I52)</f>
        <v>R</v>
      </c>
      <c r="J52" s="130" t="str">
        <f>CONCATENATE('3 pr-2'!J52)</f>
        <v>ITI</v>
      </c>
      <c r="K52" s="130" t="str">
        <f>CONCATENATE('3 pr-2'!K52)</f>
        <v>-</v>
      </c>
      <c r="L52" s="130"/>
      <c r="M52" s="471"/>
      <c r="N52" s="1699"/>
      <c r="O52" s="1699"/>
      <c r="P52" s="1699"/>
      <c r="Q52" s="1699"/>
      <c r="R52" s="1699"/>
      <c r="S52" s="1699"/>
      <c r="T52" s="1699"/>
      <c r="U52" s="1700"/>
      <c r="V52" s="130"/>
      <c r="W52" s="1757">
        <v>0</v>
      </c>
      <c r="X52" s="1732"/>
      <c r="Y52" s="1732">
        <f>IF(YEAR('3 pr-2'!$AK52)=2017,$V52,0)</f>
        <v>0</v>
      </c>
      <c r="Z52" s="1732">
        <f>IF(YEAR('3 pr-2'!$AK52)=2018,$V52,0)</f>
        <v>0</v>
      </c>
      <c r="AA52" s="1732">
        <f>IF(YEAR('3 pr-2'!$AK52)=2019,$V52,0)</f>
        <v>0</v>
      </c>
      <c r="AB52" s="1732">
        <f>IF(YEAR('3 pr-2'!$AK52)=2020,$V52,0)</f>
        <v>0</v>
      </c>
      <c r="AC52" s="1732">
        <f>IF(YEAR('3 pr-2'!$AK52)=2021,$V52,0)</f>
        <v>0</v>
      </c>
      <c r="AD52" s="1732">
        <f>IF(YEAR('3 pr-2'!$AK52)=2022,$V52,0)</f>
        <v>0</v>
      </c>
      <c r="AE52" s="1732">
        <f>IF(YEAR('3 pr-2'!$AK52)=2023,$V52,0)</f>
        <v>0</v>
      </c>
      <c r="AF52" s="317" t="s">
        <v>472</v>
      </c>
      <c r="AG52" s="471" t="s">
        <v>473</v>
      </c>
      <c r="AH52" s="1699"/>
      <c r="AI52" s="1699"/>
      <c r="AJ52" s="1699"/>
      <c r="AK52" s="1699"/>
      <c r="AL52" s="1699"/>
      <c r="AM52" s="1699"/>
      <c r="AN52" s="1699"/>
      <c r="AO52" s="1718">
        <f t="shared" si="135"/>
        <v>0</v>
      </c>
      <c r="AP52" s="312">
        <v>25000</v>
      </c>
      <c r="AQ52" s="1780">
        <v>25000</v>
      </c>
      <c r="AR52" s="1732">
        <f>SUM(AQ52-AP52)</f>
        <v>0</v>
      </c>
      <c r="AS52" s="1732">
        <f>IF(YEAR('3 pr-2'!$AK52)=2017,$AP52,0)</f>
        <v>0</v>
      </c>
      <c r="AT52" s="1732">
        <f>IF(YEAR('3 pr-2'!$AK52)=2018,$AP52,0)</f>
        <v>0</v>
      </c>
      <c r="AU52" s="1732">
        <f>IF(YEAR('3 pr-2'!$AK52)=2019,$AP52,0)</f>
        <v>0</v>
      </c>
      <c r="AV52" s="1732">
        <f>IF(YEAR('3 pr-2'!$AK52)=2020,$AP52,0)</f>
        <v>25000</v>
      </c>
      <c r="AW52" s="1732">
        <f>IF(YEAR('3 pr-2'!$AK52)=2021,$AP52,0)</f>
        <v>0</v>
      </c>
      <c r="AX52" s="1732">
        <f>IF(YEAR('3 pr-2'!$AK52)=2022,$AP52,0)</f>
        <v>0</v>
      </c>
      <c r="AY52" s="1732">
        <f>IF(YEAR('3 pr-2'!$AK52)=2023,$AP52,0)</f>
        <v>0</v>
      </c>
      <c r="AZ52" s="130"/>
      <c r="BA52" s="470"/>
      <c r="BB52" s="1699"/>
      <c r="BC52" s="1699"/>
      <c r="BD52" s="1699"/>
      <c r="BE52" s="1699"/>
      <c r="BF52" s="1699"/>
      <c r="BG52" s="1699"/>
      <c r="BH52" s="1699"/>
      <c r="BI52" s="1718">
        <f t="shared" si="163"/>
        <v>0</v>
      </c>
      <c r="BJ52" s="130"/>
      <c r="BK52" s="1501"/>
      <c r="BL52" s="130"/>
      <c r="BM52" s="130">
        <f>IF(YEAR('3 pr-2'!AK52)=2017,BJ52,0)</f>
        <v>0</v>
      </c>
      <c r="BN52" s="130">
        <f>IF(YEAR('3 pr-2'!AK52)=2018,BJ52,0)</f>
        <v>0</v>
      </c>
      <c r="BO52" s="130">
        <f>IF(YEAR('3 pr-2'!AK52)=2019,BJ52,0)</f>
        <v>0</v>
      </c>
      <c r="BP52" s="130">
        <f>IF(YEAR('3 pr-2'!AK52)=2020,BJ52,0)</f>
        <v>0</v>
      </c>
      <c r="BQ52" s="130">
        <f>IF(YEAR('3 pr-2'!AK52)=2021,BJ52,0)</f>
        <v>0</v>
      </c>
      <c r="BR52" s="130">
        <f>IF(YEAR('3 pr-2'!AK52)=2022,BJ52,0)</f>
        <v>0</v>
      </c>
      <c r="BS52" s="130">
        <f>IF(YEAR('3 pr-2'!AK52)=2023,BJ52,0)</f>
        <v>0</v>
      </c>
      <c r="BT52" s="317"/>
      <c r="BU52" s="471"/>
      <c r="BV52" s="1699"/>
      <c r="BW52" s="1699"/>
      <c r="BX52" s="1699"/>
      <c r="BY52" s="1699"/>
      <c r="BZ52" s="1699"/>
      <c r="CA52" s="1699"/>
      <c r="CB52" s="1699"/>
      <c r="CC52" s="1718">
        <f t="shared" si="137"/>
        <v>0</v>
      </c>
      <c r="CD52" s="130"/>
      <c r="CE52" s="130"/>
      <c r="CF52" s="130"/>
      <c r="CG52" s="130">
        <f>IF(YEAR('3 pr-2'!$AK52)=2017,$CD52,0)</f>
        <v>0</v>
      </c>
      <c r="CH52" s="130">
        <f>IF(YEAR('3 pr-2'!$AK52)=2018,$CD52,0)</f>
        <v>0</v>
      </c>
      <c r="CI52" s="130">
        <f>IF(YEAR('3 pr-2'!$AK52)=2019,$CD52,0)</f>
        <v>0</v>
      </c>
      <c r="CJ52" s="130">
        <f>IF(YEAR('3 pr-2'!$AK52)=2020,$CD52,0)</f>
        <v>0</v>
      </c>
      <c r="CK52" s="130">
        <f>IF(YEAR('3 pr-2'!$AK52)=2021,$CD52,0)</f>
        <v>0</v>
      </c>
      <c r="CL52" s="130">
        <f>IF(YEAR('3 pr-2'!$AK52)=2022,$CD52,0)</f>
        <v>0</v>
      </c>
      <c r="CM52" s="130">
        <f>IF(YEAR('3 pr-2'!$AK52)=2023,$CD52,0)</f>
        <v>0</v>
      </c>
      <c r="CN52" s="317" t="s">
        <v>470</v>
      </c>
      <c r="CO52" s="472" t="s">
        <v>471</v>
      </c>
      <c r="CP52" s="1704"/>
      <c r="CQ52" s="1699">
        <v>12.5</v>
      </c>
      <c r="CR52" s="1699">
        <v>1.28</v>
      </c>
      <c r="CS52" s="1699"/>
      <c r="CT52" s="1699"/>
      <c r="CU52" s="1699"/>
      <c r="CV52" s="1699"/>
      <c r="CW52" s="1718">
        <f t="shared" si="138"/>
        <v>13.78</v>
      </c>
      <c r="CX52" s="318">
        <v>16.420000000000002</v>
      </c>
      <c r="CY52" s="303">
        <v>16.420000000000002</v>
      </c>
      <c r="CZ52" s="303">
        <f>SUM(CY52-CX52)</f>
        <v>0</v>
      </c>
      <c r="DA52" s="506">
        <f>IF(YEAR('3 pr-2'!AK52)=2017,CX52,0)</f>
        <v>0</v>
      </c>
      <c r="DB52" s="506">
        <f>IF(YEAR('3 pr-2'!AK52)=2018,CX52,0)</f>
        <v>0</v>
      </c>
      <c r="DC52" s="506">
        <f>IF(YEAR('3 pr-2'!AK52)=2019,CX52,0)</f>
        <v>0</v>
      </c>
      <c r="DD52" s="506">
        <f>IF(YEAR('3 pr-2'!AK52)=2020,CX52,0)</f>
        <v>16.420000000000002</v>
      </c>
      <c r="DE52" s="506">
        <f>IF(YEAR('3 pr-2'!AK52)=2021,CX52,0)</f>
        <v>0</v>
      </c>
      <c r="DF52" s="506">
        <f>IF(YEAR('3 pr-2'!AK52)=2022,CX52,0)</f>
        <v>0</v>
      </c>
      <c r="DG52" s="506">
        <f>IF(YEAR('3 pr-2'!AK52)=2023,CX52,0)</f>
        <v>0</v>
      </c>
      <c r="DH52" s="317" t="s">
        <v>1810</v>
      </c>
      <c r="DI52" s="831" t="s">
        <v>1811</v>
      </c>
      <c r="DJ52" s="318"/>
      <c r="DK52" s="130"/>
      <c r="DL52" s="130"/>
      <c r="DM52" s="130"/>
      <c r="DN52" s="130"/>
      <c r="DO52" s="130"/>
      <c r="DP52" s="130"/>
      <c r="DQ52" s="756"/>
      <c r="DR52" s="318">
        <v>0</v>
      </c>
      <c r="DS52" s="303">
        <v>25000</v>
      </c>
      <c r="DT52" s="303">
        <f t="shared" ref="DT52:DT55" si="200">SUM(DS52-DR52)</f>
        <v>25000</v>
      </c>
      <c r="DU52" s="506">
        <f>IF(YEAR('3 pr-2'!$AK$51)=2017,DS52,0)</f>
        <v>0</v>
      </c>
      <c r="DV52" s="506">
        <f>IF(YEAR('3 pr-2'!$AK$51)=2018,DS52,0)</f>
        <v>0</v>
      </c>
      <c r="DW52" s="506">
        <f>IF(YEAR('3 pr-2'!$AK$51)=2019,DS52,0)</f>
        <v>0</v>
      </c>
      <c r="DX52" s="506">
        <f>IF(YEAR('3 pr-2'!$AK$51)=2020,DS52,0)</f>
        <v>25000</v>
      </c>
      <c r="DY52" s="506">
        <f>IF(YEAR('3 pr-2'!$AK$51)=2021,DS52,0)</f>
        <v>0</v>
      </c>
      <c r="DZ52" s="506">
        <f>IF(YEAR('3 pr-2'!$AK$51)=2022,DS52,0)</f>
        <v>0</v>
      </c>
      <c r="EA52" s="506">
        <f>IF(YEAR('3 pr-2'!$AK$51)=2023,DS52,0)</f>
        <v>0</v>
      </c>
      <c r="EB52" s="317"/>
      <c r="EC52" s="472"/>
      <c r="ED52" s="303"/>
      <c r="EE52" s="303"/>
      <c r="EF52" s="303">
        <f t="shared" ref="EF52:EF55" si="201">SUM(EE52-ED52)</f>
        <v>0</v>
      </c>
      <c r="EG52" s="506">
        <f>IF(YEAR('3 pr-2'!$AK$51)=2017,ED52,0)</f>
        <v>0</v>
      </c>
      <c r="EH52" s="506">
        <f>IF(YEAR('3 pr-2'!$AK$51)=2018,ED52,0)</f>
        <v>0</v>
      </c>
      <c r="EI52" s="506">
        <f>IF(YEAR('3 pr-2'!$AK$51)=2019,ED52,0)</f>
        <v>0</v>
      </c>
      <c r="EJ52" s="506">
        <f>IF(YEAR('3 pr-2'!$AK$51)=2020,ED52,0)</f>
        <v>0</v>
      </c>
      <c r="EK52" s="506">
        <f>IF(YEAR('3 pr-2'!$AK$51)=2021,ED52,0)</f>
        <v>0</v>
      </c>
      <c r="EL52" s="506">
        <f>IF(YEAR('3 pr-2'!$AK$51)=2022,ED52,0)</f>
        <v>0</v>
      </c>
      <c r="EM52" s="506">
        <f>IF(YEAR('3 pr-2'!$AK$51)=2023,ED52,0)</f>
        <v>0</v>
      </c>
    </row>
    <row r="53" spans="1:143" ht="73.5" thickTop="1" thickBot="1">
      <c r="A53" s="130" t="str">
        <f>CONCATENATE('3 pr-2'!A53)</f>
        <v>1.1.1.5.3</v>
      </c>
      <c r="B53" s="130" t="str">
        <f>CONCATENATE('3 pr-2'!B53)</f>
        <v>R01-0014-070650-1153</v>
      </c>
      <c r="C53" s="1730" t="str">
        <f>CONCATENATE('ketv. 2'!B52)</f>
        <v>05.3.2-APVA-R-014-11-0004</v>
      </c>
      <c r="D53" s="78" t="str">
        <f>CONCATENATE('3 pr-2'!D53)</f>
        <v>Geriamojo vandens tiekimo ir nuotekų tvarkymo sistemų renovavimas ir plėtra Lazdijų rajono savivaldybėje</v>
      </c>
      <c r="E53" s="11" t="str">
        <f>CONCATENATE('3 pr-2'!E53)</f>
        <v>UAB „Lazdijų vanduo“</v>
      </c>
      <c r="F53" s="11" t="str">
        <f>CONCATENATE('3 pr-2'!F53)</f>
        <v>Lietuvos Respublikos aplinkos ministerija</v>
      </c>
      <c r="G53" s="11" t="str">
        <f>CONCATENATE('3 pr-2'!G53)</f>
        <v>Lazdijų r. sav.</v>
      </c>
      <c r="H53" s="130" t="str">
        <f>CONCATENATE('3 pr-2'!H53)</f>
        <v>05.3.2-APVA-R-014</v>
      </c>
      <c r="I53" s="130" t="str">
        <f>CONCATENATE('3 pr-2'!I53)</f>
        <v>R</v>
      </c>
      <c r="J53" s="130" t="str">
        <f>CONCATENATE('3 pr-2'!J53)</f>
        <v>-</v>
      </c>
      <c r="K53" s="130" t="str">
        <f>CONCATENATE('3 pr-2'!K53)</f>
        <v>-</v>
      </c>
      <c r="L53" s="130" t="s">
        <v>464</v>
      </c>
      <c r="M53" s="471" t="s">
        <v>474</v>
      </c>
      <c r="N53" s="1699"/>
      <c r="O53" s="1699"/>
      <c r="P53" s="1699"/>
      <c r="Q53" s="1699"/>
      <c r="R53" s="1699"/>
      <c r="S53" s="1699"/>
      <c r="T53" s="1699"/>
      <c r="U53" s="1700"/>
      <c r="V53" s="130">
        <v>240</v>
      </c>
      <c r="W53" s="1757" t="str">
        <f>IF('ketv. 6 '!L52&gt;0,"240",0)</f>
        <v>240</v>
      </c>
      <c r="X53" s="1732">
        <f>SUM(W53-V53)</f>
        <v>0</v>
      </c>
      <c r="Y53" s="1732">
        <f>IF(YEAR('3 pr-2'!$AK53)=2017,$V53,0)</f>
        <v>0</v>
      </c>
      <c r="Z53" s="1732">
        <f>IF(YEAR('3 pr-2'!$AK53)=2018,$V53,0)</f>
        <v>0</v>
      </c>
      <c r="AA53" s="1732">
        <f>IF(YEAR('3 pr-2'!$AK53)=2019,$V53,0)</f>
        <v>240</v>
      </c>
      <c r="AB53" s="1732">
        <f>IF(YEAR('3 pr-2'!$AK53)=2020,$V53,0)</f>
        <v>0</v>
      </c>
      <c r="AC53" s="1732">
        <f>IF(YEAR('3 pr-2'!$AK53)=2021,$V53,0)</f>
        <v>0</v>
      </c>
      <c r="AD53" s="1732">
        <f>IF(YEAR('3 pr-2'!$AK53)=2022,$V53,0)</f>
        <v>0</v>
      </c>
      <c r="AE53" s="1732">
        <f>IF(YEAR('3 pr-2'!$AK53)=2023,$V53,0)</f>
        <v>0</v>
      </c>
      <c r="AF53" s="317"/>
      <c r="AG53" s="471"/>
      <c r="AH53" s="1699"/>
      <c r="AI53" s="1699"/>
      <c r="AJ53" s="1699"/>
      <c r="AK53" s="1699"/>
      <c r="AL53" s="1699"/>
      <c r="AM53" s="1699"/>
      <c r="AN53" s="1699"/>
      <c r="AO53" s="1718">
        <f t="shared" si="135"/>
        <v>0</v>
      </c>
      <c r="AP53" s="130"/>
      <c r="AQ53" s="1780"/>
      <c r="AR53" s="1732"/>
      <c r="AS53" s="1732">
        <f>IF(YEAR('3 pr-2'!$AK53)=2017,$AP53,0)</f>
        <v>0</v>
      </c>
      <c r="AT53" s="1732">
        <f>IF(YEAR('3 pr-2'!$AK53)=2018,$AP53,0)</f>
        <v>0</v>
      </c>
      <c r="AU53" s="1732">
        <f>IF(YEAR('3 pr-2'!$AK53)=2019,$AP53,0)</f>
        <v>0</v>
      </c>
      <c r="AV53" s="1732">
        <f>IF(YEAR('3 pr-2'!$AK53)=2020,$AP53,0)</f>
        <v>0</v>
      </c>
      <c r="AW53" s="1732">
        <f>IF(YEAR('3 pr-2'!$AK53)=2021,$AP53,0)</f>
        <v>0</v>
      </c>
      <c r="AX53" s="1732">
        <f>IF(YEAR('3 pr-2'!$AK53)=2022,$AP53,0)</f>
        <v>0</v>
      </c>
      <c r="AY53" s="1732">
        <f>IF(YEAR('3 pr-2'!$AK53)=2023,$AP53,0)</f>
        <v>0</v>
      </c>
      <c r="AZ53" s="130" t="s">
        <v>466</v>
      </c>
      <c r="BA53" s="470" t="s">
        <v>475</v>
      </c>
      <c r="BB53" s="1699"/>
      <c r="BC53" s="1699"/>
      <c r="BD53" s="1699"/>
      <c r="BE53" s="1699"/>
      <c r="BF53" s="1699"/>
      <c r="BG53" s="1699"/>
      <c r="BH53" s="1699"/>
      <c r="BI53" s="1718">
        <f t="shared" si="163"/>
        <v>0</v>
      </c>
      <c r="BJ53" s="130">
        <v>210</v>
      </c>
      <c r="BK53" s="1501">
        <v>210</v>
      </c>
      <c r="BL53" s="130">
        <f>SUM(BK53-BJ53)</f>
        <v>0</v>
      </c>
      <c r="BM53" s="130">
        <f>IF(YEAR('3 pr-2'!AK53)=2017,BJ53,0)</f>
        <v>0</v>
      </c>
      <c r="BN53" s="130">
        <f>IF(YEAR('3 pr-2'!AK53)=2018,BJ53,0)</f>
        <v>0</v>
      </c>
      <c r="BO53" s="130">
        <f>IF(YEAR('3 pr-2'!AK53)=2019,BJ53,0)</f>
        <v>210</v>
      </c>
      <c r="BP53" s="130">
        <f>IF(YEAR('3 pr-2'!AK53)=2020,BJ53,0)</f>
        <v>0</v>
      </c>
      <c r="BQ53" s="130">
        <f>IF(YEAR('3 pr-2'!AK53)=2021,BJ53,0)</f>
        <v>0</v>
      </c>
      <c r="BR53" s="130">
        <f>IF(YEAR('3 pr-2'!AK53)=2022,BJ53,0)</f>
        <v>0</v>
      </c>
      <c r="BS53" s="130">
        <f>IF(YEAR('3 pr-2'!AK53)=2023,BJ53,0)</f>
        <v>0</v>
      </c>
      <c r="BT53" s="317" t="s">
        <v>468</v>
      </c>
      <c r="BU53" s="471" t="s">
        <v>476</v>
      </c>
      <c r="BV53" s="1699"/>
      <c r="BW53" s="1699"/>
      <c r="BX53" s="1699"/>
      <c r="BY53" s="1699"/>
      <c r="BZ53" s="1699"/>
      <c r="CA53" s="1699"/>
      <c r="CB53" s="1699"/>
      <c r="CC53" s="1718">
        <f t="shared" si="137"/>
        <v>0</v>
      </c>
      <c r="CD53" s="130">
        <v>210</v>
      </c>
      <c r="CE53" s="130">
        <v>210</v>
      </c>
      <c r="CF53" s="130">
        <f>SUM(CE53-CD53)</f>
        <v>0</v>
      </c>
      <c r="CG53" s="130">
        <f>IF(YEAR('3 pr-2'!$AK53)=2017,$CD53,0)</f>
        <v>0</v>
      </c>
      <c r="CH53" s="130">
        <f>IF(YEAR('3 pr-2'!$AK53)=2018,$CD53,0)</f>
        <v>0</v>
      </c>
      <c r="CI53" s="130">
        <f>IF(YEAR('3 pr-2'!$AK53)=2019,$CD53,0)</f>
        <v>210</v>
      </c>
      <c r="CJ53" s="130">
        <f>IF(YEAR('3 pr-2'!$AK53)=2020,$CD53,0)</f>
        <v>0</v>
      </c>
      <c r="CK53" s="130">
        <f>IF(YEAR('3 pr-2'!$AK53)=2021,$CD53,0)</f>
        <v>0</v>
      </c>
      <c r="CL53" s="130">
        <f>IF(YEAR('3 pr-2'!$AK53)=2022,$CD53,0)</f>
        <v>0</v>
      </c>
      <c r="CM53" s="130">
        <f>IF(YEAR('3 pr-2'!$AK53)=2023,$CD53,0)</f>
        <v>0</v>
      </c>
      <c r="CN53" s="317"/>
      <c r="CO53" s="472"/>
      <c r="CP53" s="1704"/>
      <c r="CQ53" s="1699"/>
      <c r="CR53" s="1699"/>
      <c r="CS53" s="1699"/>
      <c r="CT53" s="1699"/>
      <c r="CU53" s="1699"/>
      <c r="CV53" s="1699"/>
      <c r="CW53" s="1718">
        <f t="shared" si="138"/>
        <v>0</v>
      </c>
      <c r="CX53" s="318"/>
      <c r="CY53" s="303"/>
      <c r="CZ53" s="303"/>
      <c r="DA53" s="506">
        <f>IF(YEAR('3 pr-2'!AK53)=2017,CX53,0)</f>
        <v>0</v>
      </c>
      <c r="DB53" s="506">
        <f>IF(YEAR('3 pr-2'!AK53)=2018,CX53,0)</f>
        <v>0</v>
      </c>
      <c r="DC53" s="506">
        <f>IF(YEAR('3 pr-2'!AK53)=2019,CX53,0)</f>
        <v>0</v>
      </c>
      <c r="DD53" s="506">
        <f>IF(YEAR('3 pr-2'!AK53)=2020,CX53,0)</f>
        <v>0</v>
      </c>
      <c r="DE53" s="506">
        <f>IF(YEAR('3 pr-2'!AK53)=2021,CX53,0)</f>
        <v>0</v>
      </c>
      <c r="DF53" s="506">
        <f>IF(YEAR('3 pr-2'!AK53)=2022,CX53,0)</f>
        <v>0</v>
      </c>
      <c r="DG53" s="506">
        <f>IF(YEAR('3 pr-2'!AK53)=2023,CX53,0)</f>
        <v>0</v>
      </c>
      <c r="DH53" s="317" t="s">
        <v>1810</v>
      </c>
      <c r="DI53" s="831" t="s">
        <v>1811</v>
      </c>
      <c r="DJ53" s="318"/>
      <c r="DK53" s="130"/>
      <c r="DL53" s="130"/>
      <c r="DM53" s="130"/>
      <c r="DN53" s="130"/>
      <c r="DO53" s="130"/>
      <c r="DP53" s="130"/>
      <c r="DQ53" s="756"/>
      <c r="DR53" s="318">
        <v>0</v>
      </c>
      <c r="DS53" s="1096">
        <v>240</v>
      </c>
      <c r="DT53" s="1096">
        <f t="shared" si="200"/>
        <v>240</v>
      </c>
      <c r="DU53" s="506">
        <f>IF(YEAR('3 pr-2'!$AK$51)=2017,DS53,0)</f>
        <v>0</v>
      </c>
      <c r="DV53" s="506">
        <f>IF(YEAR('3 pr-2'!$AK$51)=2018,DS53,0)</f>
        <v>0</v>
      </c>
      <c r="DW53" s="506">
        <f>IF(YEAR('3 pr-2'!$AK$51)=2019,DS53,0)</f>
        <v>0</v>
      </c>
      <c r="DX53" s="506">
        <f>IF(YEAR('3 pr-2'!$AK$51)=2020,DS53,0)</f>
        <v>240</v>
      </c>
      <c r="DY53" s="506">
        <f>IF(YEAR('3 pr-2'!$AK$51)=2021,DS53,0)</f>
        <v>0</v>
      </c>
      <c r="DZ53" s="506">
        <f>IF(YEAR('3 pr-2'!$AK$51)=2022,DS53,0)</f>
        <v>0</v>
      </c>
      <c r="EA53" s="506">
        <f>IF(YEAR('3 pr-2'!$AK$51)=2023,DS53,0)</f>
        <v>0</v>
      </c>
      <c r="EB53" s="317" t="s">
        <v>1812</v>
      </c>
      <c r="EC53" s="831" t="s">
        <v>1813</v>
      </c>
      <c r="ED53" s="303">
        <v>0</v>
      </c>
      <c r="EE53" s="303">
        <v>210</v>
      </c>
      <c r="EF53" s="303">
        <f t="shared" si="201"/>
        <v>210</v>
      </c>
      <c r="EG53" s="506">
        <f>IF(YEAR('3 pr-2'!$AK$51)=2017,ED53,0)</f>
        <v>0</v>
      </c>
      <c r="EH53" s="506">
        <f>IF(YEAR('3 pr-2'!$AK$51)=2018,ED53,0)</f>
        <v>0</v>
      </c>
      <c r="EI53" s="506">
        <f>IF(YEAR('3 pr-2'!$AK$51)=2019,ED53,0)</f>
        <v>0</v>
      </c>
      <c r="EJ53" s="506">
        <f>IF(YEAR('3 pr-2'!$AK$51)=2020,ED53,0)</f>
        <v>0</v>
      </c>
      <c r="EK53" s="506">
        <f>IF(YEAR('3 pr-2'!$AK$51)=2021,ED53,0)</f>
        <v>0</v>
      </c>
      <c r="EL53" s="506">
        <f>IF(YEAR('3 pr-2'!$AK$51)=2022,ED53,0)</f>
        <v>0</v>
      </c>
      <c r="EM53" s="506">
        <f>IF(YEAR('3 pr-2'!$AK$51)=2023,ED53,0)</f>
        <v>0</v>
      </c>
    </row>
    <row r="54" spans="1:143" ht="73.5" thickTop="1" thickBot="1">
      <c r="A54" s="130" t="str">
        <f>CONCATENATE('3 pr-2'!A54)</f>
        <v>1.1.1.5.4.</v>
      </c>
      <c r="B54" s="130" t="str">
        <f>CONCATENATE('3 pr-2'!B54)</f>
        <v>R01-0014-060700-1154</v>
      </c>
      <c r="C54" s="1730" t="str">
        <f>CONCATENATE('ketv. 2'!B53)</f>
        <v>05.3.2-APVA-R-014-11-0003</v>
      </c>
      <c r="D54" s="78" t="str">
        <f>CONCATENATE('3 pr-2'!D54)</f>
        <v>Vandens tiekimo ir nuotekų šalinimo infrastruktūros renovavimas ir plėtra Druskininkų savivaldybėje</v>
      </c>
      <c r="E54" s="11" t="str">
        <f>CONCATENATE('3 pr-2'!E54)</f>
        <v>UAB "Druskininkų vandenys"</v>
      </c>
      <c r="F54" s="11" t="str">
        <f>CONCATENATE('3 pr-2'!F54)</f>
        <v>Lietuvos Respublikos aplinkos ministerija</v>
      </c>
      <c r="G54" s="11" t="str">
        <f>CONCATENATE('3 pr-2'!G54)</f>
        <v>Druskininkų sav.</v>
      </c>
      <c r="H54" s="130" t="str">
        <f>CONCATENATE('3 pr-2'!H54)</f>
        <v>05.3.2-APVA-R-014</v>
      </c>
      <c r="I54" s="130" t="str">
        <f>CONCATENATE('3 pr-2'!I54)</f>
        <v>R</v>
      </c>
      <c r="J54" s="130" t="str">
        <f>CONCATENATE('3 pr-2'!J54)</f>
        <v>-</v>
      </c>
      <c r="K54" s="130" t="str">
        <f>CONCATENATE('3 pr-2'!K54)</f>
        <v>-</v>
      </c>
      <c r="L54" s="130" t="s">
        <v>464</v>
      </c>
      <c r="M54" s="471" t="s">
        <v>465</v>
      </c>
      <c r="N54" s="1699"/>
      <c r="O54" s="1699">
        <v>2</v>
      </c>
      <c r="P54" s="1699"/>
      <c r="Q54" s="1699"/>
      <c r="R54" s="1699"/>
      <c r="S54" s="1699"/>
      <c r="T54" s="1699"/>
      <c r="U54" s="1700"/>
      <c r="V54" s="130">
        <v>422</v>
      </c>
      <c r="W54" s="1757" t="str">
        <f>IF('ketv. 6 '!L53&gt;0,"422",0)</f>
        <v>422</v>
      </c>
      <c r="X54" s="1732">
        <f>SUM(W54-V54)</f>
        <v>0</v>
      </c>
      <c r="Y54" s="1732">
        <f>IF(YEAR('3 pr-2'!$AK54)=2017,$V54,0)</f>
        <v>0</v>
      </c>
      <c r="Z54" s="1732">
        <f>IF(YEAR('3 pr-2'!$AK54)=2018,$V54,0)</f>
        <v>0</v>
      </c>
      <c r="AA54" s="1732">
        <f>IF(YEAR('3 pr-2'!$AK54)=2019,$V54,0)</f>
        <v>0</v>
      </c>
      <c r="AB54" s="1732">
        <f>IF(YEAR('3 pr-2'!$AK54)=2020,$V54,0)</f>
        <v>0</v>
      </c>
      <c r="AC54" s="1732">
        <f>IF(YEAR('3 pr-2'!$AK54)=2021,$V54,0)</f>
        <v>422</v>
      </c>
      <c r="AD54" s="1732">
        <f>IF(YEAR('3 pr-2'!$AK54)=2022,$V54,0)</f>
        <v>0</v>
      </c>
      <c r="AE54" s="1732">
        <f>IF(YEAR('3 pr-2'!$AK54)=2023,$V54,0)</f>
        <v>0</v>
      </c>
      <c r="AF54" s="317" t="s">
        <v>472</v>
      </c>
      <c r="AG54" s="672" t="s">
        <v>473</v>
      </c>
      <c r="AH54" s="1699"/>
      <c r="AI54" s="1699"/>
      <c r="AJ54" s="1699"/>
      <c r="AK54" s="1699"/>
      <c r="AL54" s="1699"/>
      <c r="AM54" s="1699"/>
      <c r="AN54" s="1699"/>
      <c r="AO54" s="1718">
        <f t="shared" si="135"/>
        <v>0</v>
      </c>
      <c r="AP54" s="130">
        <v>15887</v>
      </c>
      <c r="AQ54" s="1780">
        <v>15887</v>
      </c>
      <c r="AR54" s="1732"/>
      <c r="AS54" s="1732">
        <f>IF(YEAR('3 pr-2'!$AK54)=2017,$AP54,0)</f>
        <v>0</v>
      </c>
      <c r="AT54" s="1732">
        <f>IF(YEAR('3 pr-2'!$AK54)=2018,$AP54,0)</f>
        <v>0</v>
      </c>
      <c r="AU54" s="1732">
        <f>IF(YEAR('3 pr-2'!$AK54)=2019,$AP54,0)</f>
        <v>0</v>
      </c>
      <c r="AV54" s="1732">
        <f>IF(YEAR('3 pr-2'!$AK54)=2020,$AP54,0)</f>
        <v>0</v>
      </c>
      <c r="AW54" s="1732">
        <f>IF(YEAR('3 pr-2'!$AK54)=2021,$AP54,0)</f>
        <v>15887</v>
      </c>
      <c r="AX54" s="1732">
        <f>IF(YEAR('3 pr-2'!$AK54)=2022,$AP54,0)</f>
        <v>0</v>
      </c>
      <c r="AY54" s="1732">
        <f>IF(YEAR('3 pr-2'!$AK54)=2023,$AP54,0)</f>
        <v>0</v>
      </c>
      <c r="AZ54" s="130" t="s">
        <v>466</v>
      </c>
      <c r="BA54" s="480" t="s">
        <v>467</v>
      </c>
      <c r="BB54" s="1699"/>
      <c r="BC54" s="1699">
        <v>4</v>
      </c>
      <c r="BD54" s="1699"/>
      <c r="BE54" s="1699"/>
      <c r="BF54" s="1699"/>
      <c r="BG54" s="1699"/>
      <c r="BH54" s="1699"/>
      <c r="BI54" s="1718">
        <f t="shared" si="163"/>
        <v>4</v>
      </c>
      <c r="BJ54" s="130">
        <v>432</v>
      </c>
      <c r="BK54" s="1501">
        <v>432</v>
      </c>
      <c r="BL54" s="130">
        <f>SUM(BK54-BJ54)</f>
        <v>0</v>
      </c>
      <c r="BM54" s="130">
        <f>IF(YEAR('3 pr-2'!AK54)=2017,BJ54,0)</f>
        <v>0</v>
      </c>
      <c r="BN54" s="130">
        <f>IF(YEAR('3 pr-2'!AK54)=2018,BJ54,0)</f>
        <v>0</v>
      </c>
      <c r="BO54" s="130">
        <f>IF(YEAR('3 pr-2'!AK54)=2019,BJ54,0)</f>
        <v>0</v>
      </c>
      <c r="BP54" s="130">
        <f>IF(YEAR('3 pr-2'!AK54)=2020,BJ54,0)</f>
        <v>0</v>
      </c>
      <c r="BQ54" s="130">
        <f>IF(YEAR('3 pr-2'!AK54)=2021,BJ54,0)</f>
        <v>432</v>
      </c>
      <c r="BR54" s="130">
        <f>IF(YEAR('3 pr-2'!AK54)=2022,BJ54,0)</f>
        <v>0</v>
      </c>
      <c r="BS54" s="130">
        <f>IF(YEAR('3 pr-2'!AK54)=2023,BJ54,0)</f>
        <v>0</v>
      </c>
      <c r="BT54" s="317"/>
      <c r="BU54" s="672"/>
      <c r="BV54" s="1699"/>
      <c r="BW54" s="1699"/>
      <c r="BX54" s="1699"/>
      <c r="BY54" s="1699"/>
      <c r="BZ54" s="1699"/>
      <c r="CA54" s="1699"/>
      <c r="CB54" s="1699"/>
      <c r="CC54" s="1718">
        <f t="shared" si="137"/>
        <v>0</v>
      </c>
      <c r="CD54" s="130"/>
      <c r="CE54" s="130"/>
      <c r="CF54" s="130"/>
      <c r="CG54" s="130">
        <f>IF(YEAR('3 pr-2'!$AK54)=2017,$CD54,0)</f>
        <v>0</v>
      </c>
      <c r="CH54" s="130">
        <f>IF(YEAR('3 pr-2'!$AK54)=2018,$CD54,0)</f>
        <v>0</v>
      </c>
      <c r="CI54" s="130">
        <f>IF(YEAR('3 pr-2'!$AK54)=2019,$CD54,0)</f>
        <v>0</v>
      </c>
      <c r="CJ54" s="130">
        <f>IF(YEAR('3 pr-2'!$AK54)=2020,$CD54,0)</f>
        <v>0</v>
      </c>
      <c r="CK54" s="130">
        <f>IF(YEAR('3 pr-2'!$AK54)=2021,$CD54,0)</f>
        <v>0</v>
      </c>
      <c r="CL54" s="130">
        <f>IF(YEAR('3 pr-2'!$AK54)=2022,$CD54,0)</f>
        <v>0</v>
      </c>
      <c r="CM54" s="130">
        <f>IF(YEAR('3 pr-2'!$AK54)=2023,$CD54,0)</f>
        <v>0</v>
      </c>
      <c r="CN54" s="317" t="s">
        <v>470</v>
      </c>
      <c r="CO54" s="472" t="s">
        <v>471</v>
      </c>
      <c r="CP54" s="1704"/>
      <c r="CQ54" s="1699">
        <v>0.53</v>
      </c>
      <c r="CR54" s="1699"/>
      <c r="CS54" s="1699"/>
      <c r="CT54" s="1699"/>
      <c r="CU54" s="1699"/>
      <c r="CV54" s="1699"/>
      <c r="CW54" s="1718">
        <f t="shared" si="138"/>
        <v>0.53</v>
      </c>
      <c r="CX54" s="318">
        <v>3.2</v>
      </c>
      <c r="CY54" s="303">
        <v>3.2</v>
      </c>
      <c r="CZ54" s="303">
        <f>SUM(CY54-CX54)</f>
        <v>0</v>
      </c>
      <c r="DA54" s="506">
        <f>IF(YEAR('3 pr-2'!AK54)=2017,CX54,0)</f>
        <v>0</v>
      </c>
      <c r="DB54" s="506">
        <f>IF(YEAR('3 pr-2'!AK54)=2018,CX54,0)</f>
        <v>0</v>
      </c>
      <c r="DC54" s="506">
        <f>IF(YEAR('3 pr-2'!AK54)=2019,CX54,0)</f>
        <v>0</v>
      </c>
      <c r="DD54" s="506">
        <f>IF(YEAR('3 pr-2'!AK54)=2020,CX54,0)</f>
        <v>0</v>
      </c>
      <c r="DE54" s="506">
        <f>IF(YEAR('3 pr-2'!AK54)=2021,CX54,0)</f>
        <v>3.2</v>
      </c>
      <c r="DF54" s="506">
        <f>IF(YEAR('3 pr-2'!AK54)=2022,CX54,0)</f>
        <v>0</v>
      </c>
      <c r="DG54" s="506">
        <f>IF(YEAR('3 pr-2'!AK54)=2023,CX54,0)</f>
        <v>0</v>
      </c>
      <c r="DH54" s="317" t="s">
        <v>1810</v>
      </c>
      <c r="DI54" s="831" t="s">
        <v>1811</v>
      </c>
      <c r="DJ54" s="318"/>
      <c r="DK54" s="130"/>
      <c r="DL54" s="130"/>
      <c r="DM54" s="130"/>
      <c r="DN54" s="130"/>
      <c r="DO54" s="130"/>
      <c r="DP54" s="130"/>
      <c r="DQ54" s="756">
        <f t="shared" ref="DQ54" si="202">SUM(DJ54:DP54)</f>
        <v>0</v>
      </c>
      <c r="DR54" s="318">
        <v>0</v>
      </c>
      <c r="DS54" s="303">
        <v>422</v>
      </c>
      <c r="DT54" s="303">
        <f t="shared" si="200"/>
        <v>422</v>
      </c>
      <c r="DU54" s="506">
        <f>IF(YEAR('3 pr-2'!$AK$51)=2017,DS54,0)</f>
        <v>0</v>
      </c>
      <c r="DV54" s="506">
        <f>IF(YEAR('3 pr-2'!$AK$51)=2018,DS54,0)</f>
        <v>0</v>
      </c>
      <c r="DW54" s="506">
        <f>IF(YEAR('3 pr-2'!$AK$51)=2019,DS54,0)</f>
        <v>0</v>
      </c>
      <c r="DX54" s="506">
        <f>IF(YEAR('3 pr-2'!$AK$51)=2020,DS54,0)</f>
        <v>422</v>
      </c>
      <c r="DY54" s="506">
        <f>IF(YEAR('3 pr-2'!$AK$51)=2021,DS54,0)</f>
        <v>0</v>
      </c>
      <c r="DZ54" s="506">
        <f>IF(YEAR('3 pr-2'!$AK$51)=2022,DS54,0)</f>
        <v>0</v>
      </c>
      <c r="EA54" s="506">
        <f>IF(YEAR('3 pr-2'!$AK$51)=2023,DS54,0)</f>
        <v>0</v>
      </c>
      <c r="EB54" s="317" t="s">
        <v>1812</v>
      </c>
      <c r="EC54" s="831" t="s">
        <v>1813</v>
      </c>
      <c r="ED54" s="1096">
        <v>0</v>
      </c>
      <c r="EE54" s="303">
        <v>419</v>
      </c>
      <c r="EF54" s="303">
        <f t="shared" si="201"/>
        <v>419</v>
      </c>
      <c r="EG54" s="506">
        <f>IF(YEAR('3 pr-2'!$AK$51)=2017,ED54,0)</f>
        <v>0</v>
      </c>
      <c r="EH54" s="506">
        <f>IF(YEAR('3 pr-2'!$AK$51)=2018,ED54,0)</f>
        <v>0</v>
      </c>
      <c r="EI54" s="506">
        <f>IF(YEAR('3 pr-2'!$AK$51)=2019,ED54,0)</f>
        <v>0</v>
      </c>
      <c r="EJ54" s="506">
        <f>IF(YEAR('3 pr-2'!$AK$51)=2020,ED54,0)</f>
        <v>0</v>
      </c>
      <c r="EK54" s="506">
        <f>IF(YEAR('3 pr-2'!$AK$51)=2021,ED54,0)</f>
        <v>0</v>
      </c>
      <c r="EL54" s="506">
        <f>IF(YEAR('3 pr-2'!$AK$51)=2022,ED54,0)</f>
        <v>0</v>
      </c>
      <c r="EM54" s="506">
        <f>IF(YEAR('3 pr-2'!$AK$51)=2023,ED54,0)</f>
        <v>0</v>
      </c>
    </row>
    <row r="55" spans="1:143" ht="64.5" thickTop="1" thickBot="1">
      <c r="A55" s="130" t="str">
        <f>CONCATENATE('3 pr-2'!A55)</f>
        <v>1.1.1.5.5.</v>
      </c>
      <c r="B55" s="130" t="str">
        <f>CONCATENATE('3 pr-2'!B55)</f>
        <v>R01-0014-060750-1155</v>
      </c>
      <c r="C55" s="1730" t="str">
        <f>CONCATENATE('ketv. 2'!B54)</f>
        <v>05.3.2-APVA-R-014-11-0005</v>
      </c>
      <c r="D55" s="78" t="str">
        <f>CONCATENATE('3 pr-2'!D55)</f>
        <v>Vandens tiekimo ir nuotekų tvarkymo infrastruktūros plėtra Alytaus rajone (Krokialaukyje)</v>
      </c>
      <c r="E55" s="11" t="str">
        <f>CONCATENATE('3 pr-2'!E55)</f>
        <v>SĮ „Simno komunalininkas“</v>
      </c>
      <c r="F55" s="11" t="str">
        <f>CONCATENATE('3 pr-2'!F55)</f>
        <v>Lietuvos Respublikos aplinkos ministerija</v>
      </c>
      <c r="G55" s="11" t="str">
        <f>CONCATENATE('3 pr-2'!G55)</f>
        <v>Alytaus r. sav.</v>
      </c>
      <c r="H55" s="130" t="str">
        <f>CONCATENATE('3 pr-2'!H55)</f>
        <v>05.3.2-APVA-R-014</v>
      </c>
      <c r="I55" s="130" t="str">
        <f>CONCATENATE('3 pr-2'!I55)</f>
        <v>R</v>
      </c>
      <c r="J55" s="130" t="str">
        <f>CONCATENATE('3 pr-2'!J55)</f>
        <v>-</v>
      </c>
      <c r="K55" s="130" t="str">
        <f>CONCATENATE('3 pr-2'!K55)</f>
        <v>-</v>
      </c>
      <c r="L55" s="130" t="s">
        <v>464</v>
      </c>
      <c r="M55" s="471" t="s">
        <v>465</v>
      </c>
      <c r="N55" s="1699"/>
      <c r="O55" s="1699"/>
      <c r="P55" s="1699"/>
      <c r="Q55" s="1699"/>
      <c r="R55" s="1699"/>
      <c r="S55" s="1699"/>
      <c r="T55" s="1699"/>
      <c r="U55" s="1700"/>
      <c r="V55" s="130">
        <v>90</v>
      </c>
      <c r="W55" s="1757">
        <v>90</v>
      </c>
      <c r="X55" s="1732">
        <f>SUM(W55-V55)</f>
        <v>0</v>
      </c>
      <c r="Y55" s="1732">
        <f>IF(YEAR('3 pr-2'!$AK55)=2017,$V55,0)</f>
        <v>0</v>
      </c>
      <c r="Z55" s="1732">
        <f>IF(YEAR('3 pr-2'!$AK55)=2018,$V55,0)</f>
        <v>0</v>
      </c>
      <c r="AA55" s="1732">
        <f>IF(YEAR('3 pr-2'!$AK55)=2019,$V55,0)</f>
        <v>0</v>
      </c>
      <c r="AB55" s="1732">
        <f>IF(YEAR('3 pr-2'!$AK55)=2020,$V55,0)</f>
        <v>90</v>
      </c>
      <c r="AC55" s="1732">
        <f>IF(YEAR('3 pr-2'!$AK55)=2021,$V55,0)</f>
        <v>0</v>
      </c>
      <c r="AD55" s="1732">
        <f>IF(YEAR('3 pr-2'!$AK55)=2022,$V55,0)</f>
        <v>0</v>
      </c>
      <c r="AE55" s="1732">
        <f>IF(YEAR('3 pr-2'!$AK55)=2023,$V55,0)</f>
        <v>0</v>
      </c>
      <c r="AF55" s="317" t="s">
        <v>472</v>
      </c>
      <c r="AG55" s="471" t="s">
        <v>473</v>
      </c>
      <c r="AH55" s="1699"/>
      <c r="AI55" s="1699"/>
      <c r="AJ55" s="1699"/>
      <c r="AK55" s="1699"/>
      <c r="AL55" s="1699"/>
      <c r="AM55" s="1699"/>
      <c r="AN55" s="1699"/>
      <c r="AO55" s="1718">
        <f t="shared" si="135"/>
        <v>0</v>
      </c>
      <c r="AP55" s="130">
        <v>450</v>
      </c>
      <c r="AQ55" s="1778">
        <v>450</v>
      </c>
      <c r="AR55" s="1732">
        <f>SUM(AQ55-AP55)</f>
        <v>0</v>
      </c>
      <c r="AS55" s="1732">
        <f>IF(YEAR('3 pr-2'!$AK55)=2017,$AP55,0)</f>
        <v>0</v>
      </c>
      <c r="AT55" s="1732">
        <f>IF(YEAR('3 pr-2'!$AK55)=2018,$AP55,0)</f>
        <v>0</v>
      </c>
      <c r="AU55" s="1732">
        <f>IF(YEAR('3 pr-2'!$AK55)=2019,$AP55,0)</f>
        <v>0</v>
      </c>
      <c r="AV55" s="1732">
        <f>IF(YEAR('3 pr-2'!$AK55)=2020,$AP55,0)</f>
        <v>450</v>
      </c>
      <c r="AW55" s="1732">
        <f>IF(YEAR('3 pr-2'!$AK55)=2021,$AP55,0)</f>
        <v>0</v>
      </c>
      <c r="AX55" s="1732">
        <f>IF(YEAR('3 pr-2'!$AK55)=2022,$AP55,0)</f>
        <v>0</v>
      </c>
      <c r="AY55" s="1732">
        <f>IF(YEAR('3 pr-2'!$AK55)=2023,$AP55,0)</f>
        <v>0</v>
      </c>
      <c r="AZ55" s="130" t="s">
        <v>466</v>
      </c>
      <c r="BA55" s="470" t="s">
        <v>467</v>
      </c>
      <c r="BB55" s="1699"/>
      <c r="BC55" s="1699"/>
      <c r="BD55" s="1699"/>
      <c r="BE55" s="1699"/>
      <c r="BF55" s="1699"/>
      <c r="BG55" s="1699"/>
      <c r="BH55" s="1699"/>
      <c r="BI55" s="1718">
        <f t="shared" si="163"/>
        <v>0</v>
      </c>
      <c r="BJ55" s="130">
        <v>411</v>
      </c>
      <c r="BK55" s="1501">
        <v>411</v>
      </c>
      <c r="BL55" s="130">
        <f>SUM(BK55-BJ55)</f>
        <v>0</v>
      </c>
      <c r="BM55" s="130">
        <f>IF(YEAR('3 pr-2'!AK55)=2017,BJ55,0)</f>
        <v>0</v>
      </c>
      <c r="BN55" s="130">
        <f>IF(YEAR('3 pr-2'!AK55)=2018,BJ55,0)</f>
        <v>0</v>
      </c>
      <c r="BO55" s="130">
        <f>IF(YEAR('3 pr-2'!AK55)=2019,BJ55,0)</f>
        <v>0</v>
      </c>
      <c r="BP55" s="130">
        <f>IF(YEAR('3 pr-2'!AK55)=2020,BJ55,0)</f>
        <v>411</v>
      </c>
      <c r="BQ55" s="130">
        <f>IF(YEAR('3 pr-2'!AK55)=2021,BJ55,0)</f>
        <v>0</v>
      </c>
      <c r="BR55" s="130">
        <f>IF(YEAR('3 pr-2'!AK55)=2022,BJ55,0)</f>
        <v>0</v>
      </c>
      <c r="BS55" s="130">
        <f>IF(YEAR('3 pr-2'!AK55)=2023,BJ55,0)</f>
        <v>0</v>
      </c>
      <c r="BT55" s="317" t="s">
        <v>468</v>
      </c>
      <c r="BU55" s="471" t="s">
        <v>469</v>
      </c>
      <c r="BV55" s="1699"/>
      <c r="BW55" s="1699"/>
      <c r="BX55" s="1699"/>
      <c r="BY55" s="1699"/>
      <c r="BZ55" s="1699"/>
      <c r="CA55" s="1699"/>
      <c r="CB55" s="1699"/>
      <c r="CC55" s="1718">
        <f t="shared" si="137"/>
        <v>0</v>
      </c>
      <c r="CD55" s="130">
        <v>411</v>
      </c>
      <c r="CE55" s="130">
        <v>411</v>
      </c>
      <c r="CF55" s="130">
        <f>SUM(CE55-CD55)</f>
        <v>0</v>
      </c>
      <c r="CG55" s="130">
        <f>IF(YEAR('3 pr-2'!$AK55)=2017,$CD55,0)</f>
        <v>0</v>
      </c>
      <c r="CH55" s="130">
        <f>IF(YEAR('3 pr-2'!$AK55)=2018,$CD55,0)</f>
        <v>0</v>
      </c>
      <c r="CI55" s="130">
        <f>IF(YEAR('3 pr-2'!$AK55)=2019,$CD55,0)</f>
        <v>0</v>
      </c>
      <c r="CJ55" s="130">
        <f>IF(YEAR('3 pr-2'!$AK55)=2020,$CD55,0)</f>
        <v>411</v>
      </c>
      <c r="CK55" s="130">
        <f>IF(YEAR('3 pr-2'!$AK55)=2021,$CD55,0)</f>
        <v>0</v>
      </c>
      <c r="CL55" s="130">
        <f>IF(YEAR('3 pr-2'!$AK55)=2022,$CD55,0)</f>
        <v>0</v>
      </c>
      <c r="CM55" s="130">
        <f>IF(YEAR('3 pr-2'!$AK55)=2023,$CD55,0)</f>
        <v>0</v>
      </c>
      <c r="CN55" s="317"/>
      <c r="CO55" s="472"/>
      <c r="CP55" s="1704"/>
      <c r="CQ55" s="1699"/>
      <c r="CR55" s="1699"/>
      <c r="CS55" s="1699"/>
      <c r="CT55" s="1699"/>
      <c r="CU55" s="1699"/>
      <c r="CV55" s="1699"/>
      <c r="CW55" s="1718">
        <f t="shared" si="138"/>
        <v>0</v>
      </c>
      <c r="CX55" s="318"/>
      <c r="CY55" s="303"/>
      <c r="CZ55" s="303"/>
      <c r="DA55" s="506">
        <f>IF(YEAR('3 pr-2'!AK55)=2017,CX55,0)</f>
        <v>0</v>
      </c>
      <c r="DB55" s="506">
        <f>IF(YEAR('3 pr-2'!AK55)=2018,CX55,0)</f>
        <v>0</v>
      </c>
      <c r="DC55" s="506">
        <f>IF(YEAR('3 pr-2'!AK55)=2019,CX55,0)</f>
        <v>0</v>
      </c>
      <c r="DD55" s="506">
        <f>IF(YEAR('3 pr-2'!AK55)=2020,CX55,0)</f>
        <v>0</v>
      </c>
      <c r="DE55" s="506">
        <f>IF(YEAR('3 pr-2'!AK55)=2021,CX55,0)</f>
        <v>0</v>
      </c>
      <c r="DF55" s="506">
        <f>IF(YEAR('3 pr-2'!AK55)=2022,CX55,0)</f>
        <v>0</v>
      </c>
      <c r="DG55" s="506">
        <f>IF(YEAR('3 pr-2'!AK55)=2023,CX55,0)</f>
        <v>0</v>
      </c>
      <c r="DH55" s="317" t="s">
        <v>1810</v>
      </c>
      <c r="DI55" s="831" t="s">
        <v>1811</v>
      </c>
      <c r="DJ55" s="318"/>
      <c r="DK55" s="130"/>
      <c r="DL55" s="130"/>
      <c r="DM55" s="130"/>
      <c r="DN55" s="130"/>
      <c r="DO55" s="130"/>
      <c r="DP55" s="130"/>
      <c r="DQ55" s="756">
        <f t="shared" si="139"/>
        <v>0</v>
      </c>
      <c r="DR55" s="318">
        <v>0</v>
      </c>
      <c r="DS55" s="1096">
        <v>450</v>
      </c>
      <c r="DT55" s="1096">
        <f t="shared" si="200"/>
        <v>450</v>
      </c>
      <c r="DU55" s="506">
        <f>IF(YEAR('3 pr-2'!$AK$51)=2017,DS55,0)</f>
        <v>0</v>
      </c>
      <c r="DV55" s="506">
        <f>IF(YEAR('3 pr-2'!$AK$51)=2018,DS55,0)</f>
        <v>0</v>
      </c>
      <c r="DW55" s="506">
        <f>IF(YEAR('3 pr-2'!$AK$51)=2019,DS55,0)</f>
        <v>0</v>
      </c>
      <c r="DX55" s="506">
        <f>IF(YEAR('3 pr-2'!$AK$51)=2020,DS55,0)</f>
        <v>450</v>
      </c>
      <c r="DY55" s="506">
        <f>IF(YEAR('3 pr-2'!$AK$51)=2021,DS55,0)</f>
        <v>0</v>
      </c>
      <c r="DZ55" s="506">
        <f>IF(YEAR('3 pr-2'!$AK$51)=2022,DS55,0)</f>
        <v>0</v>
      </c>
      <c r="EA55" s="506">
        <f>IF(YEAR('3 pr-2'!$AK$51)=2023,DS55,0)</f>
        <v>0</v>
      </c>
      <c r="EB55" s="317" t="s">
        <v>1812</v>
      </c>
      <c r="EC55" s="831" t="s">
        <v>1813</v>
      </c>
      <c r="ED55" s="1096">
        <v>0</v>
      </c>
      <c r="EE55" s="1096">
        <v>411</v>
      </c>
      <c r="EF55" s="1096">
        <f t="shared" si="201"/>
        <v>411</v>
      </c>
      <c r="EG55" s="506">
        <f>IF(YEAR('3 pr-2'!$AK$51)=2017,ED55,0)</f>
        <v>0</v>
      </c>
      <c r="EH55" s="506">
        <f>IF(YEAR('3 pr-2'!$AK$51)=2018,ED55,0)</f>
        <v>0</v>
      </c>
      <c r="EI55" s="506">
        <f>IF(YEAR('3 pr-2'!$AK$51)=2019,ED55,0)</f>
        <v>0</v>
      </c>
      <c r="EJ55" s="506">
        <f>IF(YEAR('3 pr-2'!$AK$51)=2020,ED55,0)</f>
        <v>0</v>
      </c>
      <c r="EK55" s="506">
        <f>IF(YEAR('3 pr-2'!$AK$51)=2021,ED55,0)</f>
        <v>0</v>
      </c>
      <c r="EL55" s="506">
        <f>IF(YEAR('3 pr-2'!$AK$51)=2022,ED55,0)</f>
        <v>0</v>
      </c>
      <c r="EM55" s="506">
        <f>IF(YEAR('3 pr-2'!$AK$51)=2023,ED55,0)</f>
        <v>0</v>
      </c>
    </row>
    <row r="56" spans="1:143" ht="30" customHeight="1" thickBot="1">
      <c r="A56" s="697" t="str">
        <f>CONCATENATE('3 pr-2'!A56)</f>
        <v>1.1.1.6</v>
      </c>
      <c r="B56" s="1972" t="str">
        <f>CONCATENATE('3 pr-2'!B56)</f>
        <v>Priemonė:
Paviršinių nuotekų sistemų tvarkymas</v>
      </c>
      <c r="C56" s="1894"/>
      <c r="D56" s="1894"/>
      <c r="E56" s="1894"/>
      <c r="F56" s="1894"/>
      <c r="G56" s="1894"/>
      <c r="H56" s="1894"/>
      <c r="I56" s="1894"/>
      <c r="J56" s="1894"/>
      <c r="K56" s="1895"/>
      <c r="L56" s="1322"/>
      <c r="M56" s="474"/>
      <c r="N56" s="1697">
        <f>SUM(N57)</f>
        <v>0</v>
      </c>
      <c r="O56" s="1697">
        <f t="shared" ref="O56:T56" si="203">SUM(O57)</f>
        <v>101.4</v>
      </c>
      <c r="P56" s="1697">
        <f t="shared" si="203"/>
        <v>0</v>
      </c>
      <c r="Q56" s="1697">
        <f t="shared" si="203"/>
        <v>0</v>
      </c>
      <c r="R56" s="1697">
        <f t="shared" si="203"/>
        <v>0</v>
      </c>
      <c r="S56" s="1697">
        <f t="shared" si="203"/>
        <v>0</v>
      </c>
      <c r="T56" s="1697">
        <f t="shared" si="203"/>
        <v>0</v>
      </c>
      <c r="U56" s="1698">
        <f t="shared" ref="U56:U57" si="204">SUM(N56:T56)</f>
        <v>101.4</v>
      </c>
      <c r="V56" s="736"/>
      <c r="W56" s="1754"/>
      <c r="X56" s="1755"/>
      <c r="Y56" s="1756">
        <f t="shared" ref="Y56:AE56" si="205">SUM(Y57)</f>
        <v>0</v>
      </c>
      <c r="Z56" s="1756">
        <f t="shared" si="205"/>
        <v>0</v>
      </c>
      <c r="AA56" s="1756">
        <f t="shared" si="205"/>
        <v>0</v>
      </c>
      <c r="AB56" s="1756">
        <f t="shared" si="205"/>
        <v>262.58999999999997</v>
      </c>
      <c r="AC56" s="1756">
        <f t="shared" si="205"/>
        <v>0</v>
      </c>
      <c r="AD56" s="1756">
        <f t="shared" si="205"/>
        <v>0</v>
      </c>
      <c r="AE56" s="1756">
        <f t="shared" si="205"/>
        <v>0</v>
      </c>
      <c r="AF56" s="746"/>
      <c r="AG56" s="752"/>
      <c r="AH56" s="1697">
        <f>SUM(AH57)</f>
        <v>0</v>
      </c>
      <c r="AI56" s="1697">
        <f t="shared" ref="AI56" si="206">SUM(AI57)</f>
        <v>0</v>
      </c>
      <c r="AJ56" s="1697">
        <f t="shared" ref="AJ56" si="207">SUM(AJ57)</f>
        <v>0</v>
      </c>
      <c r="AK56" s="1697">
        <f t="shared" ref="AK56" si="208">SUM(AK57)</f>
        <v>0</v>
      </c>
      <c r="AL56" s="1697">
        <f t="shared" ref="AL56" si="209">SUM(AL57)</f>
        <v>0</v>
      </c>
      <c r="AM56" s="1697">
        <f t="shared" ref="AM56" si="210">SUM(AM57)</f>
        <v>0</v>
      </c>
      <c r="AN56" s="1697">
        <f t="shared" ref="AN56" si="211">SUM(AN57)</f>
        <v>0</v>
      </c>
      <c r="AO56" s="1701">
        <f t="shared" si="135"/>
        <v>0</v>
      </c>
      <c r="AP56" s="736"/>
      <c r="AQ56" s="1756"/>
      <c r="AR56" s="1756"/>
      <c r="AS56" s="1756">
        <f t="shared" ref="AS56" si="212">SUM(AS57)</f>
        <v>0</v>
      </c>
      <c r="AT56" s="1756">
        <f t="shared" ref="AT56" si="213">SUM(AT57)</f>
        <v>0</v>
      </c>
      <c r="AU56" s="1756">
        <f t="shared" ref="AU56" si="214">SUM(AU57)</f>
        <v>0</v>
      </c>
      <c r="AV56" s="1756">
        <f t="shared" ref="AV56" si="215">SUM(AV57)</f>
        <v>26</v>
      </c>
      <c r="AW56" s="1756">
        <f t="shared" ref="AW56" si="216">SUM(AW57)</f>
        <v>0</v>
      </c>
      <c r="AX56" s="1756">
        <f t="shared" ref="AX56" si="217">SUM(AX57)</f>
        <v>0</v>
      </c>
      <c r="AY56" s="1756">
        <f t="shared" ref="AY56" si="218">SUM(AY57)</f>
        <v>0</v>
      </c>
      <c r="AZ56" s="736"/>
      <c r="BA56" s="752"/>
      <c r="BB56" s="1697">
        <f>SUM(BB57)</f>
        <v>0</v>
      </c>
      <c r="BC56" s="1697">
        <f t="shared" ref="BC56" si="219">SUM(BC57)</f>
        <v>0</v>
      </c>
      <c r="BD56" s="1697">
        <f t="shared" ref="BD56" si="220">SUM(BD57)</f>
        <v>0</v>
      </c>
      <c r="BE56" s="1697">
        <f t="shared" ref="BE56" si="221">SUM(BE57)</f>
        <v>0</v>
      </c>
      <c r="BF56" s="1697">
        <f t="shared" ref="BF56" si="222">SUM(BF57)</f>
        <v>0</v>
      </c>
      <c r="BG56" s="1697">
        <f t="shared" ref="BG56" si="223">SUM(BG57)</f>
        <v>0</v>
      </c>
      <c r="BH56" s="1697">
        <f t="shared" ref="BH56" si="224">SUM(BH57)</f>
        <v>0</v>
      </c>
      <c r="BI56" s="1701">
        <f t="shared" si="163"/>
        <v>0</v>
      </c>
      <c r="BJ56" s="736"/>
      <c r="BK56" s="304"/>
      <c r="BL56" s="304"/>
      <c r="BM56" s="304"/>
      <c r="BN56" s="304"/>
      <c r="BO56" s="304"/>
      <c r="BP56" s="304"/>
      <c r="BQ56" s="304"/>
      <c r="BR56" s="304"/>
      <c r="BS56" s="304"/>
      <c r="BT56" s="304"/>
      <c r="BU56" s="472"/>
      <c r="BV56" s="1697">
        <f>SUM(BV57)</f>
        <v>0</v>
      </c>
      <c r="BW56" s="1697">
        <f t="shared" ref="BW56" si="225">SUM(BW57)</f>
        <v>0</v>
      </c>
      <c r="BX56" s="1697">
        <f t="shared" ref="BX56" si="226">SUM(BX57)</f>
        <v>0</v>
      </c>
      <c r="BY56" s="1697">
        <f t="shared" ref="BY56" si="227">SUM(BY57)</f>
        <v>0</v>
      </c>
      <c r="BZ56" s="1697">
        <f t="shared" ref="BZ56" si="228">SUM(BZ57)</f>
        <v>0</v>
      </c>
      <c r="CA56" s="1697">
        <f t="shared" ref="CA56" si="229">SUM(CA57)</f>
        <v>0</v>
      </c>
      <c r="CB56" s="1697">
        <f t="shared" ref="CB56" si="230">SUM(CB57)</f>
        <v>0</v>
      </c>
      <c r="CC56" s="1701">
        <f t="shared" si="137"/>
        <v>0</v>
      </c>
      <c r="CD56" s="304"/>
      <c r="CE56" s="304"/>
      <c r="CF56" s="304"/>
      <c r="CG56" s="304"/>
      <c r="CH56" s="304"/>
      <c r="CI56" s="304"/>
      <c r="CJ56" s="304"/>
      <c r="CK56" s="304"/>
      <c r="CL56" s="304"/>
      <c r="CM56" s="304"/>
      <c r="CN56" s="750"/>
      <c r="CO56" s="472"/>
      <c r="CP56" s="1723">
        <f>SUM(CP57)</f>
        <v>0</v>
      </c>
      <c r="CQ56" s="1697">
        <f t="shared" ref="CQ56" si="231">SUM(CQ57)</f>
        <v>0</v>
      </c>
      <c r="CR56" s="1697">
        <f t="shared" ref="CR56" si="232">SUM(CR57)</f>
        <v>0</v>
      </c>
      <c r="CS56" s="1697">
        <f t="shared" ref="CS56" si="233">SUM(CS57)</f>
        <v>0</v>
      </c>
      <c r="CT56" s="1697">
        <f t="shared" ref="CT56" si="234">SUM(CT57)</f>
        <v>0</v>
      </c>
      <c r="CU56" s="1697">
        <f t="shared" ref="CU56" si="235">SUM(CU57)</f>
        <v>0</v>
      </c>
      <c r="CV56" s="1697">
        <f t="shared" ref="CV56" si="236">SUM(CV57)</f>
        <v>0</v>
      </c>
      <c r="CW56" s="1701">
        <f t="shared" si="138"/>
        <v>0</v>
      </c>
      <c r="CX56" s="304"/>
      <c r="CY56" s="506"/>
      <c r="CZ56" s="506"/>
      <c r="DA56" s="506">
        <f>IF(YEAR('3 pr-2'!AK56)=2017,CX56,0)</f>
        <v>0</v>
      </c>
      <c r="DB56" s="506">
        <f>IF(YEAR('3 pr-2'!AK56)=2018,CX56,0)</f>
        <v>0</v>
      </c>
      <c r="DC56" s="506">
        <f>IF(YEAR('3 pr-2'!AK56)=2019,CX56,0)</f>
        <v>0</v>
      </c>
      <c r="DD56" s="506">
        <f>IF(YEAR('3 pr-2'!AK56)=2020,CX56,0)</f>
        <v>0</v>
      </c>
      <c r="DE56" s="506">
        <f>IF(YEAR('3 pr-2'!AK56)=2021,CX56,0)</f>
        <v>0</v>
      </c>
      <c r="DF56" s="506">
        <f>IF(YEAR('3 pr-2'!AK56)=2022,CX56,0)</f>
        <v>0</v>
      </c>
      <c r="DG56" s="506">
        <f>IF(YEAR('3 pr-2'!AK56)=2023,CX56,0)</f>
        <v>0</v>
      </c>
      <c r="DH56" s="750"/>
      <c r="DI56" s="472"/>
      <c r="DJ56" s="725">
        <f>SUM(DJ57)</f>
        <v>0</v>
      </c>
      <c r="DK56" s="304">
        <f t="shared" ref="DK56:DP56" si="237">SUM(DK57)</f>
        <v>0</v>
      </c>
      <c r="DL56" s="304">
        <f t="shared" si="237"/>
        <v>0</v>
      </c>
      <c r="DM56" s="304">
        <f t="shared" si="237"/>
        <v>0</v>
      </c>
      <c r="DN56" s="304">
        <f t="shared" si="237"/>
        <v>0</v>
      </c>
      <c r="DO56" s="304">
        <f t="shared" si="237"/>
        <v>0</v>
      </c>
      <c r="DP56" s="304">
        <f t="shared" si="237"/>
        <v>0</v>
      </c>
      <c r="DQ56" s="736">
        <f t="shared" si="139"/>
        <v>0</v>
      </c>
      <c r="DR56" s="304"/>
      <c r="DS56" s="506"/>
      <c r="DT56" s="506"/>
      <c r="DU56" s="506">
        <f>IF(YEAR('3 pr-2'!BF56)=2017,DS56,0)</f>
        <v>0</v>
      </c>
      <c r="DV56" s="506">
        <f>IF(YEAR('3 pr-2'!BF56)=2018,DS56,0)</f>
        <v>0</v>
      </c>
      <c r="DW56" s="506">
        <f>IF(YEAR('3 pr-2'!BF56)=2019,DS56,0)</f>
        <v>0</v>
      </c>
      <c r="DX56" s="506">
        <f>IF(YEAR('3 pr-2'!BF56)=2020,DS56,0)</f>
        <v>0</v>
      </c>
      <c r="DY56" s="506">
        <f>IF(YEAR('3 pr-2'!BF56)=2021,DS56,0)</f>
        <v>0</v>
      </c>
      <c r="DZ56" s="506">
        <f>IF(YEAR('3 pr-2'!BF56)=2022,DS56,0)</f>
        <v>0</v>
      </c>
      <c r="EA56" s="506">
        <f>IF(YEAR('3 pr-2'!BF56)=2023,DS56,0)</f>
        <v>0</v>
      </c>
      <c r="EB56" s="750"/>
      <c r="EC56" s="472"/>
      <c r="ED56" s="506"/>
      <c r="EE56" s="506"/>
      <c r="EF56" s="506"/>
      <c r="EG56" s="506">
        <f>IF(YEAR('3 pr-2'!BP56)=2017,ED56,0)</f>
        <v>0</v>
      </c>
      <c r="EH56" s="506">
        <f>IF(YEAR('3 pr-2'!BP56)=2018,ED56,0)</f>
        <v>0</v>
      </c>
      <c r="EI56" s="506">
        <f>IF(YEAR('3 pr-2'!BP56)=2019,ED56,0)</f>
        <v>0</v>
      </c>
      <c r="EJ56" s="506">
        <f>IF(YEAR('3 pr-2'!BP56)=2020,ED56,0)</f>
        <v>0</v>
      </c>
      <c r="EK56" s="506">
        <f>IF(YEAR('3 pr-2'!BP56)=2021,ED56,0)</f>
        <v>0</v>
      </c>
      <c r="EL56" s="506">
        <f>IF(YEAR('3 pr-2'!BP56)=2022,ED56,0)</f>
        <v>0</v>
      </c>
      <c r="EM56" s="506">
        <f>IF(YEAR('3 pr-2'!BP56)=2023,ED56,0)</f>
        <v>0</v>
      </c>
    </row>
    <row r="57" spans="1:143" ht="64.5" thickTop="1" thickBot="1">
      <c r="A57" s="11" t="str">
        <f>CONCATENATE('3 pr-2'!A57)</f>
        <v>1.1.1.6.1</v>
      </c>
      <c r="B57" s="11" t="str">
        <f>CONCATENATE('3 pr-2'!B57)</f>
        <v>R01-0007-080000-1161</v>
      </c>
      <c r="C57" s="1728" t="str">
        <f>CONCATENATE('ketv. 2'!B56)</f>
        <v>05.1.1-APVA-R-007-11-0001</v>
      </c>
      <c r="D57" s="78" t="str">
        <f>CONCATENATE('3 pr-2'!D57)</f>
        <v>Paviršinių nuotekų sistemų tvarkymas Alytaus mieste</v>
      </c>
      <c r="E57" s="11" t="str">
        <f>CONCATENATE('3 pr-2'!E57)</f>
        <v>UAB “Dzūkijos vandenys“</v>
      </c>
      <c r="F57" s="11" t="str">
        <f>CONCATENATE('3 pr-2'!F57)</f>
        <v>Lietuvos Respublikos aplinkos ministerija</v>
      </c>
      <c r="G57" s="11" t="str">
        <f>CONCATENATE('3 pr-2'!G57)</f>
        <v>Alytaus m. sav.</v>
      </c>
      <c r="H57" s="11" t="str">
        <f>CONCATENATE('3 pr-2'!H57)</f>
        <v>05.1.1-APVA-R-007</v>
      </c>
      <c r="I57" s="11" t="str">
        <f>CONCATENATE('3 pr-2'!I57)</f>
        <v>R</v>
      </c>
      <c r="J57" s="11" t="str">
        <f>CONCATENATE('3 pr-2'!J57)</f>
        <v>-</v>
      </c>
      <c r="K57" s="11" t="str">
        <f>CONCATENATE('3 pr-2'!K57)</f>
        <v xml:space="preserve"> -</v>
      </c>
      <c r="L57" s="301" t="s">
        <v>477</v>
      </c>
      <c r="M57" s="471" t="s">
        <v>478</v>
      </c>
      <c r="N57" s="1697"/>
      <c r="O57" s="1697">
        <v>101.4</v>
      </c>
      <c r="P57" s="1697"/>
      <c r="Q57" s="1697"/>
      <c r="R57" s="1697"/>
      <c r="S57" s="1697"/>
      <c r="T57" s="1697"/>
      <c r="U57" s="1691">
        <f t="shared" si="204"/>
        <v>101.4</v>
      </c>
      <c r="V57" s="1260">
        <v>262.58999999999997</v>
      </c>
      <c r="W57" s="1762">
        <v>262.58999999999997</v>
      </c>
      <c r="X57" s="1759">
        <f>SUM(W57-V57)</f>
        <v>0</v>
      </c>
      <c r="Y57" s="1732">
        <f>IF(YEAR('3 pr-2'!$AK57)=2017,$V57,0)</f>
        <v>0</v>
      </c>
      <c r="Z57" s="1732">
        <f>IF(YEAR('3 pr-2'!$AK57)=2018,$V57,0)</f>
        <v>0</v>
      </c>
      <c r="AA57" s="1732">
        <f>IF(YEAR('3 pr-2'!$AK57)=2019,$V57,0)</f>
        <v>0</v>
      </c>
      <c r="AB57" s="1732">
        <f>IF(YEAR('3 pr-2'!$AK57)=2020,$V57,0)</f>
        <v>262.58999999999997</v>
      </c>
      <c r="AC57" s="1732">
        <f>IF(YEAR('3 pr-2'!$AK57)=2021,$V57,0)</f>
        <v>0</v>
      </c>
      <c r="AD57" s="1732">
        <f>IF(YEAR('3 pr-2'!$AK57)=2022,$V57,0)</f>
        <v>0</v>
      </c>
      <c r="AE57" s="1732">
        <f>IF(YEAR('3 pr-2'!$AK57)=2023,$V57,0)</f>
        <v>0</v>
      </c>
      <c r="AF57" s="302" t="s">
        <v>479</v>
      </c>
      <c r="AG57" s="471" t="s">
        <v>480</v>
      </c>
      <c r="AH57" s="1697">
        <v>0</v>
      </c>
      <c r="AI57" s="1697"/>
      <c r="AJ57" s="1697"/>
      <c r="AK57" s="1697"/>
      <c r="AL57" s="1697"/>
      <c r="AM57" s="1697"/>
      <c r="AN57" s="1697"/>
      <c r="AO57" s="1701">
        <f t="shared" si="135"/>
        <v>0</v>
      </c>
      <c r="AP57" s="301">
        <v>26</v>
      </c>
      <c r="AQ57" s="1781">
        <v>26</v>
      </c>
      <c r="AR57" s="1732">
        <f>SUM(AQ57-AP57)</f>
        <v>0</v>
      </c>
      <c r="AS57" s="1732">
        <f>IF(YEAR('3 pr-2'!$AK57)=2017,$AP57,0)</f>
        <v>0</v>
      </c>
      <c r="AT57" s="1732">
        <f>IF(YEAR('3 pr-2'!$AK57)=2018,$AP57,0)</f>
        <v>0</v>
      </c>
      <c r="AU57" s="1732">
        <f>IF(YEAR('3 pr-2'!$AK57)=2019,$AP57,0)</f>
        <v>0</v>
      </c>
      <c r="AV57" s="1732">
        <f>IF(YEAR('3 pr-2'!$AK57)=2020,$AP57,0)</f>
        <v>26</v>
      </c>
      <c r="AW57" s="1732">
        <f>IF(YEAR('3 pr-2'!$AK57)=2021,$AP57,0)</f>
        <v>0</v>
      </c>
      <c r="AX57" s="1732">
        <f>IF(YEAR('3 pr-2'!$AK57)=2022,$AP57,0)</f>
        <v>0</v>
      </c>
      <c r="AY57" s="1732">
        <f>IF(YEAR('3 pr-2'!$AK57)=2023,$AP57,0)</f>
        <v>0</v>
      </c>
      <c r="AZ57" s="301"/>
      <c r="BA57" s="470"/>
      <c r="BB57" s="1697"/>
      <c r="BC57" s="1697"/>
      <c r="BD57" s="1697"/>
      <c r="BE57" s="1697"/>
      <c r="BF57" s="1697"/>
      <c r="BG57" s="1697"/>
      <c r="BH57" s="1697"/>
      <c r="BI57" s="1701">
        <f>SUM(BB57:BH57)</f>
        <v>0</v>
      </c>
      <c r="BJ57" s="301"/>
      <c r="BK57" s="1678"/>
      <c r="BL57" s="301"/>
      <c r="BM57" s="130">
        <f>IF(YEAR('3 pr-2'!AK57)=2017,BJ57,0)</f>
        <v>0</v>
      </c>
      <c r="BN57" s="130">
        <f>IF(YEAR('3 pr-2'!AK57)=2018,BJ57,0)</f>
        <v>0</v>
      </c>
      <c r="BO57" s="130">
        <f>IF(YEAR('3 pr-2'!AK57)=2019,BJ57,0)</f>
        <v>0</v>
      </c>
      <c r="BP57" s="130">
        <f>IF(YEAR('3 pr-2'!AK57)=2020,BJ57,0)</f>
        <v>0</v>
      </c>
      <c r="BQ57" s="130">
        <f>IF(YEAR('3 pr-2'!AK57)=2021,BJ57,0)</f>
        <v>0</v>
      </c>
      <c r="BR57" s="130">
        <f>IF(YEAR('3 pr-2'!AK57)=2022,BJ57,0)</f>
        <v>0</v>
      </c>
      <c r="BS57" s="130">
        <f>IF(YEAR('3 pr-2'!AK57)=2023,BJ57,0)</f>
        <v>0</v>
      </c>
      <c r="BT57" s="302"/>
      <c r="BU57" s="471"/>
      <c r="BV57" s="1697"/>
      <c r="BW57" s="1697"/>
      <c r="BX57" s="1697"/>
      <c r="BY57" s="1697"/>
      <c r="BZ57" s="1697"/>
      <c r="CA57" s="1697"/>
      <c r="CB57" s="1697"/>
      <c r="CC57" s="1701">
        <f t="shared" si="137"/>
        <v>0</v>
      </c>
      <c r="CD57" s="301"/>
      <c r="CE57" s="301"/>
      <c r="CF57" s="301"/>
      <c r="CG57" s="130">
        <f>IF(YEAR('3 pr-2'!$AK57)=2017,$CD57,0)</f>
        <v>0</v>
      </c>
      <c r="CH57" s="130">
        <f>IF(YEAR('3 pr-2'!$AK57)=2018,$CD57,0)</f>
        <v>0</v>
      </c>
      <c r="CI57" s="130">
        <f>IF(YEAR('3 pr-2'!$AK57)=2019,$CD57,0)</f>
        <v>0</v>
      </c>
      <c r="CJ57" s="130">
        <f>IF(YEAR('3 pr-2'!$AK57)=2020,$CD57,0)</f>
        <v>0</v>
      </c>
      <c r="CK57" s="130">
        <f>IF(YEAR('3 pr-2'!$AK57)=2021,$CD57,0)</f>
        <v>0</v>
      </c>
      <c r="CL57" s="130">
        <f>IF(YEAR('3 pr-2'!$AK57)=2022,$CD57,0)</f>
        <v>0</v>
      </c>
      <c r="CM57" s="130">
        <f>IF(YEAR('3 pr-2'!$AK57)=2023,$CD57,0)</f>
        <v>0</v>
      </c>
      <c r="CN57" s="302"/>
      <c r="CO57" s="472"/>
      <c r="CP57" s="1723"/>
      <c r="CQ57" s="1697"/>
      <c r="CR57" s="1697"/>
      <c r="CS57" s="1697"/>
      <c r="CT57" s="1697"/>
      <c r="CU57" s="1697"/>
      <c r="CV57" s="1697"/>
      <c r="CW57" s="1701">
        <f t="shared" si="138"/>
        <v>0</v>
      </c>
      <c r="CX57" s="303"/>
      <c r="CY57" s="303"/>
      <c r="CZ57" s="303"/>
      <c r="DA57" s="506">
        <f>IF(YEAR('3 pr-2'!AK57)=2017,CX57,0)</f>
        <v>0</v>
      </c>
      <c r="DB57" s="506">
        <f>IF(YEAR('3 pr-2'!AK57)=2018,CX57,0)</f>
        <v>0</v>
      </c>
      <c r="DC57" s="506">
        <f>IF(YEAR('3 pr-2'!AK57)=2019,CX57,0)</f>
        <v>0</v>
      </c>
      <c r="DD57" s="506">
        <f>IF(YEAR('3 pr-2'!AK57)=2020,CX57,0)</f>
        <v>0</v>
      </c>
      <c r="DE57" s="506">
        <f>IF(YEAR('3 pr-2'!AK57)=2021,CX57,0)</f>
        <v>0</v>
      </c>
      <c r="DF57" s="506">
        <f>IF(YEAR('3 pr-2'!AK57)=2022,CX57,0)</f>
        <v>0</v>
      </c>
      <c r="DG57" s="506">
        <f>IF(YEAR('3 pr-2'!AK57)=2023,CX57,0)</f>
        <v>0</v>
      </c>
      <c r="DH57" s="302"/>
      <c r="DI57" s="472"/>
      <c r="DJ57" s="725"/>
      <c r="DK57" s="304"/>
      <c r="DL57" s="304"/>
      <c r="DM57" s="304"/>
      <c r="DN57" s="304"/>
      <c r="DO57" s="304"/>
      <c r="DP57" s="304"/>
      <c r="DQ57" s="736"/>
      <c r="DR57" s="303"/>
      <c r="DS57" s="303"/>
      <c r="DT57" s="303"/>
      <c r="DU57" s="506"/>
      <c r="DV57" s="506"/>
      <c r="DW57" s="506"/>
      <c r="DX57" s="506"/>
      <c r="DY57" s="506"/>
      <c r="DZ57" s="506"/>
      <c r="EA57" s="506"/>
      <c r="EB57" s="302"/>
      <c r="EC57" s="472"/>
      <c r="ED57" s="303"/>
      <c r="EE57" s="303"/>
      <c r="EF57" s="303"/>
      <c r="EG57" s="506">
        <f>IF(YEAR('3 pr-2'!BP57)=2017,ED57,0)</f>
        <v>0</v>
      </c>
      <c r="EH57" s="506">
        <f>IF(YEAR('3 pr-2'!BP57)=2018,ED57,0)</f>
        <v>0</v>
      </c>
      <c r="EI57" s="506">
        <f>IF(YEAR('3 pr-2'!BP57)=2019,ED57,0)</f>
        <v>0</v>
      </c>
      <c r="EJ57" s="506">
        <f>IF(YEAR('3 pr-2'!BP57)=2020,ED57,0)</f>
        <v>0</v>
      </c>
      <c r="EK57" s="506">
        <f>IF(YEAR('3 pr-2'!BP57)=2021,ED57,0)</f>
        <v>0</v>
      </c>
      <c r="EL57" s="506">
        <f>IF(YEAR('3 pr-2'!BP57)=2022,ED57,0)</f>
        <v>0</v>
      </c>
      <c r="EM57" s="506">
        <f>IF(YEAR('3 pr-2'!BP57)=2023,ED57,0)</f>
        <v>0</v>
      </c>
    </row>
    <row r="58" spans="1:143" ht="37.5" customHeight="1" thickBot="1">
      <c r="A58" s="697" t="str">
        <f>CONCATENATE('3 pr-2'!A58)</f>
        <v>1.1.1.7</v>
      </c>
      <c r="B58" s="1972" t="str">
        <f>CONCATENATE('3 pr-2'!B58)</f>
        <v>Priemonė:
Savivaldybes jungiančių turizmo trasų ir turizmo maršrutų informacinės infrastruktūros plėtra</v>
      </c>
      <c r="C58" s="1894"/>
      <c r="D58" s="1894"/>
      <c r="E58" s="1894"/>
      <c r="F58" s="1894"/>
      <c r="G58" s="1894"/>
      <c r="H58" s="1894"/>
      <c r="I58" s="1894"/>
      <c r="J58" s="1894"/>
      <c r="K58" s="1895"/>
      <c r="L58" s="1322"/>
      <c r="M58" s="474"/>
      <c r="N58" s="1697">
        <f>SUM(N59:N61)</f>
        <v>0</v>
      </c>
      <c r="O58" s="1697">
        <f t="shared" ref="O58:T58" si="238">SUM(O59:O61)</f>
        <v>156</v>
      </c>
      <c r="P58" s="1697">
        <f t="shared" si="238"/>
        <v>0</v>
      </c>
      <c r="Q58" s="1697">
        <f t="shared" si="238"/>
        <v>0</v>
      </c>
      <c r="R58" s="1697">
        <f t="shared" si="238"/>
        <v>0</v>
      </c>
      <c r="S58" s="1697">
        <f t="shared" si="238"/>
        <v>0</v>
      </c>
      <c r="T58" s="1697">
        <f t="shared" si="238"/>
        <v>0</v>
      </c>
      <c r="U58" s="1698">
        <f t="shared" ref="U58:U61" si="239">SUM(N58:T58)</f>
        <v>156</v>
      </c>
      <c r="V58" s="736"/>
      <c r="W58" s="1754"/>
      <c r="X58" s="1755"/>
      <c r="Y58" s="1756">
        <f t="shared" ref="Y58:AE58" si="240">SUM(Y59:Y61)</f>
        <v>0</v>
      </c>
      <c r="Z58" s="1756">
        <f t="shared" si="240"/>
        <v>294</v>
      </c>
      <c r="AA58" s="1756">
        <f t="shared" si="240"/>
        <v>301</v>
      </c>
      <c r="AB58" s="1756">
        <f t="shared" si="240"/>
        <v>0</v>
      </c>
      <c r="AC58" s="1756">
        <f t="shared" si="240"/>
        <v>38</v>
      </c>
      <c r="AD58" s="1756">
        <f t="shared" si="240"/>
        <v>0</v>
      </c>
      <c r="AE58" s="1756">
        <f t="shared" si="240"/>
        <v>0</v>
      </c>
      <c r="AF58" s="746"/>
      <c r="AG58" s="752"/>
      <c r="AH58" s="1697">
        <f>SUM(AH59:AH61)</f>
        <v>0</v>
      </c>
      <c r="AI58" s="1697">
        <f t="shared" ref="AI58" si="241">SUM(AI59:AI61)</f>
        <v>0</v>
      </c>
      <c r="AJ58" s="1697">
        <f t="shared" ref="AJ58" si="242">SUM(AJ59:AJ61)</f>
        <v>0</v>
      </c>
      <c r="AK58" s="1697">
        <f t="shared" ref="AK58" si="243">SUM(AK59:AK61)</f>
        <v>0</v>
      </c>
      <c r="AL58" s="1697">
        <f t="shared" ref="AL58" si="244">SUM(AL59:AL61)</f>
        <v>0</v>
      </c>
      <c r="AM58" s="1697">
        <f t="shared" ref="AM58" si="245">SUM(AM59:AM61)</f>
        <v>0</v>
      </c>
      <c r="AN58" s="1697">
        <f t="shared" ref="AN58" si="246">SUM(AN59:AN61)</f>
        <v>0</v>
      </c>
      <c r="AO58" s="1701">
        <f t="shared" si="135"/>
        <v>0</v>
      </c>
      <c r="AP58" s="736"/>
      <c r="AQ58" s="1756"/>
      <c r="AR58" s="1756"/>
      <c r="AS58" s="1756"/>
      <c r="AT58" s="1756"/>
      <c r="AU58" s="1756"/>
      <c r="AV58" s="1756"/>
      <c r="AW58" s="1756"/>
      <c r="AX58" s="1756"/>
      <c r="AY58" s="1756"/>
      <c r="AZ58" s="736"/>
      <c r="BA58" s="752"/>
      <c r="BB58" s="1697">
        <f>SUM(BB59:BB61)</f>
        <v>0</v>
      </c>
      <c r="BC58" s="1697">
        <f t="shared" ref="BC58" si="247">SUM(BC59:BC61)</f>
        <v>0</v>
      </c>
      <c r="BD58" s="1697">
        <f t="shared" ref="BD58" si="248">SUM(BD59:BD61)</f>
        <v>0</v>
      </c>
      <c r="BE58" s="1697">
        <f t="shared" ref="BE58" si="249">SUM(BE59:BE61)</f>
        <v>0</v>
      </c>
      <c r="BF58" s="1697">
        <f t="shared" ref="BF58" si="250">SUM(BF59:BF61)</f>
        <v>0</v>
      </c>
      <c r="BG58" s="1697">
        <f t="shared" ref="BG58" si="251">SUM(BG59:BG61)</f>
        <v>0</v>
      </c>
      <c r="BH58" s="1697">
        <f t="shared" ref="BH58" si="252">SUM(BH59:BH61)</f>
        <v>0</v>
      </c>
      <c r="BI58" s="1701">
        <f t="shared" si="163"/>
        <v>0</v>
      </c>
      <c r="BJ58" s="736"/>
      <c r="BK58" s="304"/>
      <c r="BL58" s="304"/>
      <c r="BM58" s="304"/>
      <c r="BN58" s="304"/>
      <c r="BO58" s="304"/>
      <c r="BP58" s="304"/>
      <c r="BQ58" s="304"/>
      <c r="BR58" s="304"/>
      <c r="BS58" s="304"/>
      <c r="BT58" s="304"/>
      <c r="BU58" s="472"/>
      <c r="BV58" s="1697">
        <f>SUM(BV59:BV61)</f>
        <v>0</v>
      </c>
      <c r="BW58" s="1697">
        <f t="shared" ref="BW58" si="253">SUM(BW59:BW61)</f>
        <v>0</v>
      </c>
      <c r="BX58" s="1697">
        <f t="shared" ref="BX58" si="254">SUM(BX59:BX61)</f>
        <v>0</v>
      </c>
      <c r="BY58" s="1697">
        <f t="shared" ref="BY58" si="255">SUM(BY59:BY61)</f>
        <v>0</v>
      </c>
      <c r="BZ58" s="1697">
        <f t="shared" ref="BZ58" si="256">SUM(BZ59:BZ61)</f>
        <v>0</v>
      </c>
      <c r="CA58" s="1697">
        <f t="shared" ref="CA58" si="257">SUM(CA59:CA61)</f>
        <v>0</v>
      </c>
      <c r="CB58" s="1697">
        <f t="shared" ref="CB58" si="258">SUM(CB59:CB61)</f>
        <v>0</v>
      </c>
      <c r="CC58" s="1701">
        <f t="shared" si="137"/>
        <v>0</v>
      </c>
      <c r="CD58" s="304"/>
      <c r="CE58" s="304"/>
      <c r="CF58" s="304"/>
      <c r="CG58" s="304"/>
      <c r="CH58" s="304"/>
      <c r="CI58" s="304"/>
      <c r="CJ58" s="304"/>
      <c r="CK58" s="304"/>
      <c r="CL58" s="304"/>
      <c r="CM58" s="304"/>
      <c r="CN58" s="750"/>
      <c r="CO58" s="472"/>
      <c r="CP58" s="1723">
        <f>SUM(CP59:CP61)</f>
        <v>0</v>
      </c>
      <c r="CQ58" s="1697">
        <f t="shared" ref="CQ58" si="259">SUM(CQ59:CQ61)</f>
        <v>0</v>
      </c>
      <c r="CR58" s="1697">
        <f t="shared" ref="CR58" si="260">SUM(CR59:CR61)</f>
        <v>0</v>
      </c>
      <c r="CS58" s="1697">
        <f t="shared" ref="CS58" si="261">SUM(CS59:CS61)</f>
        <v>0</v>
      </c>
      <c r="CT58" s="1697">
        <f t="shared" ref="CT58" si="262">SUM(CT59:CT61)</f>
        <v>0</v>
      </c>
      <c r="CU58" s="1697">
        <f t="shared" ref="CU58" si="263">SUM(CU59:CU61)</f>
        <v>0</v>
      </c>
      <c r="CV58" s="1697">
        <f t="shared" ref="CV58" si="264">SUM(CV59:CV61)</f>
        <v>0</v>
      </c>
      <c r="CW58" s="1701">
        <f t="shared" si="138"/>
        <v>0</v>
      </c>
      <c r="CX58" s="304"/>
      <c r="CY58" s="506"/>
      <c r="CZ58" s="506"/>
      <c r="DA58" s="506"/>
      <c r="DB58" s="506"/>
      <c r="DC58" s="506"/>
      <c r="DD58" s="506"/>
      <c r="DE58" s="506"/>
      <c r="DF58" s="506"/>
      <c r="DG58" s="506"/>
      <c r="DH58" s="750"/>
      <c r="DI58" s="472"/>
      <c r="DJ58" s="725"/>
      <c r="DK58" s="304"/>
      <c r="DL58" s="304"/>
      <c r="DM58" s="304"/>
      <c r="DN58" s="304"/>
      <c r="DO58" s="304"/>
      <c r="DP58" s="304"/>
      <c r="DQ58" s="736"/>
      <c r="DR58" s="304"/>
      <c r="DS58" s="506"/>
      <c r="DT58" s="506"/>
      <c r="DU58" s="506"/>
      <c r="DV58" s="506"/>
      <c r="DW58" s="506"/>
      <c r="DX58" s="506"/>
      <c r="DY58" s="506"/>
      <c r="DZ58" s="506"/>
      <c r="EA58" s="506"/>
      <c r="EB58" s="750"/>
      <c r="EC58" s="472"/>
      <c r="ED58" s="506"/>
      <c r="EE58" s="506"/>
      <c r="EF58" s="506"/>
      <c r="EG58" s="506"/>
      <c r="EH58" s="506"/>
      <c r="EI58" s="506"/>
      <c r="EJ58" s="506"/>
      <c r="EK58" s="506"/>
      <c r="EL58" s="506"/>
      <c r="EM58" s="506"/>
    </row>
    <row r="59" spans="1:143" ht="37.5" thickTop="1" thickBot="1">
      <c r="A59" s="130" t="str">
        <f>CONCATENATE('3 pr-2'!A59)</f>
        <v>1.1.1.7.1</v>
      </c>
      <c r="B59" s="130" t="str">
        <f>CONCATENATE('3 pr-2'!B59)</f>
        <v>R01-8821-420000-1171</v>
      </c>
      <c r="C59" s="1730" t="str">
        <f>CONCATENATE('ketv. 2'!B58)</f>
        <v>05.4.1-LVPA-R-821-11-0002</v>
      </c>
      <c r="D59" s="78" t="str">
        <f>CONCATENATE('3 pr-2'!D59)</f>
        <v>Alytaus regiono turizmo informacinės infrastruktūros plėtra</v>
      </c>
      <c r="E59" s="11" t="str">
        <f>CONCATENATE('3 pr-2'!E59)</f>
        <v>Alytaus miesto savivaldybės administracija</v>
      </c>
      <c r="F59" s="11" t="str">
        <f>CONCATENATE('3 pr-2'!F59)</f>
        <v>Lietuvos Respublikos ūkio ministerija</v>
      </c>
      <c r="G59" s="11" t="str">
        <f>CONCATENATE('3 pr-2'!G59)</f>
        <v>Alytaus regionas</v>
      </c>
      <c r="H59" s="130" t="str">
        <f>CONCATENATE('3 pr-2'!H59)</f>
        <v>05.4.1-LVPA-R-821</v>
      </c>
      <c r="I59" s="130" t="str">
        <f>CONCATENATE('3 pr-2'!I59)</f>
        <v>R</v>
      </c>
      <c r="J59" s="130" t="str">
        <f>CONCATENATE('3 pr-2'!J59)</f>
        <v>-</v>
      </c>
      <c r="K59" s="130" t="str">
        <f>CONCATENATE('3 pr-2'!K59)</f>
        <v>-</v>
      </c>
      <c r="L59" s="130" t="s">
        <v>481</v>
      </c>
      <c r="M59" s="471" t="s">
        <v>482</v>
      </c>
      <c r="N59" s="1699"/>
      <c r="O59" s="1699"/>
      <c r="P59" s="1699"/>
      <c r="Q59" s="1699"/>
      <c r="R59" s="1699"/>
      <c r="S59" s="1699"/>
      <c r="T59" s="1699"/>
      <c r="U59" s="1700">
        <f t="shared" si="239"/>
        <v>0</v>
      </c>
      <c r="V59" s="130">
        <v>294</v>
      </c>
      <c r="W59" s="1757" t="str">
        <f>IF('ketv. 6 '!L58&gt;0,"294",0)</f>
        <v>294</v>
      </c>
      <c r="X59" s="1732">
        <f>SUM(W59-V59)</f>
        <v>0</v>
      </c>
      <c r="Y59" s="1732">
        <f>IF(YEAR('3 pr-2'!$AK59)=2017,$V59,0)</f>
        <v>0</v>
      </c>
      <c r="Z59" s="1732">
        <f>IF(YEAR('3 pr-2'!$AK59)=2018,$V59,0)</f>
        <v>294</v>
      </c>
      <c r="AA59" s="1732">
        <f>IF(YEAR('3 pr-2'!$AK59)=2019,$V59,0)</f>
        <v>0</v>
      </c>
      <c r="AB59" s="1732">
        <f>IF(YEAR('3 pr-2'!$AK59)=2020,$V59,0)</f>
        <v>0</v>
      </c>
      <c r="AC59" s="1732">
        <f>IF(YEAR('3 pr-2'!$AK59)=2021,$V59,0)</f>
        <v>0</v>
      </c>
      <c r="AD59" s="1732">
        <f>IF(YEAR('3 pr-2'!$AK59)=2022,$V59,0)</f>
        <v>0</v>
      </c>
      <c r="AE59" s="1732">
        <f>IF(YEAR('3 pr-2'!$AK59)=2023,$V59,0)</f>
        <v>0</v>
      </c>
      <c r="AF59" s="317"/>
      <c r="AG59" s="471"/>
      <c r="AH59" s="1699"/>
      <c r="AI59" s="1699"/>
      <c r="AJ59" s="1699"/>
      <c r="AK59" s="1699"/>
      <c r="AL59" s="1699"/>
      <c r="AM59" s="1699"/>
      <c r="AN59" s="1699"/>
      <c r="AO59" s="1718">
        <f t="shared" si="135"/>
        <v>0</v>
      </c>
      <c r="AP59" s="130"/>
      <c r="AQ59" s="1778"/>
      <c r="AR59" s="1732"/>
      <c r="AS59" s="1732">
        <f>IF(YEAR('3 pr-2'!$AK59)=2017,$AP59,0)</f>
        <v>0</v>
      </c>
      <c r="AT59" s="1732">
        <f>IF(YEAR('3 pr-2'!$AK59)=2018,$AP59,0)</f>
        <v>0</v>
      </c>
      <c r="AU59" s="1732">
        <f>IF(YEAR('3 pr-2'!$AK59)=2019,$AP59,0)</f>
        <v>0</v>
      </c>
      <c r="AV59" s="1732">
        <f>IF(YEAR('3 pr-2'!$AK59)=2020,$AP59,0)</f>
        <v>0</v>
      </c>
      <c r="AW59" s="1732">
        <f>IF(YEAR('3 pr-2'!$AK59)=2021,$AP59,0)</f>
        <v>0</v>
      </c>
      <c r="AX59" s="1732">
        <f>IF(YEAR('3 pr-2'!$AK59)=2022,$AP59,0)</f>
        <v>0</v>
      </c>
      <c r="AY59" s="1732">
        <f>IF(YEAR('3 pr-2'!$AK59)=2023,$AP59,0)</f>
        <v>0</v>
      </c>
      <c r="AZ59" s="130"/>
      <c r="BA59" s="470"/>
      <c r="BB59" s="1699"/>
      <c r="BC59" s="1699"/>
      <c r="BD59" s="1699"/>
      <c r="BE59" s="1699"/>
      <c r="BF59" s="1699"/>
      <c r="BG59" s="1699"/>
      <c r="BH59" s="1699"/>
      <c r="BI59" s="1718">
        <f t="shared" si="163"/>
        <v>0</v>
      </c>
      <c r="BJ59" s="130"/>
      <c r="BK59" s="1501"/>
      <c r="BL59" s="130"/>
      <c r="BM59" s="130">
        <f>IF(YEAR('3 pr-2'!AK59)=2017,BJ59,0)</f>
        <v>0</v>
      </c>
      <c r="BN59" s="130">
        <f>IF(YEAR('3 pr-2'!AK59)=2018,BJ59,0)</f>
        <v>0</v>
      </c>
      <c r="BO59" s="130">
        <f>IF(YEAR('3 pr-2'!AK59)=2019,BJ59,0)</f>
        <v>0</v>
      </c>
      <c r="BP59" s="130">
        <f>IF(YEAR('3 pr-2'!AK59)=2020,BJ59,0)</f>
        <v>0</v>
      </c>
      <c r="BQ59" s="130">
        <f>IF(YEAR('3 pr-2'!AK59)=2021,BJ59,0)</f>
        <v>0</v>
      </c>
      <c r="BR59" s="130">
        <f>IF(YEAR('3 pr-2'!AK59)=2022,BJ59,0)</f>
        <v>0</v>
      </c>
      <c r="BS59" s="130">
        <f>IF(YEAR('3 pr-2'!AK59)=2023,BJ59,0)</f>
        <v>0</v>
      </c>
      <c r="BT59" s="317"/>
      <c r="BU59" s="471"/>
      <c r="BV59" s="1699"/>
      <c r="BW59" s="1699"/>
      <c r="BX59" s="1699"/>
      <c r="BY59" s="1699"/>
      <c r="BZ59" s="1699"/>
      <c r="CA59" s="1699"/>
      <c r="CB59" s="1699"/>
      <c r="CC59" s="1718">
        <f t="shared" si="137"/>
        <v>0</v>
      </c>
      <c r="CD59" s="130"/>
      <c r="CE59" s="130"/>
      <c r="CF59" s="130"/>
      <c r="CG59" s="130">
        <f>IF(YEAR('3 pr-2'!$AK59)=2017,$CD59,0)</f>
        <v>0</v>
      </c>
      <c r="CH59" s="130">
        <f>IF(YEAR('3 pr-2'!$AK59)=2018,$CD59,0)</f>
        <v>0</v>
      </c>
      <c r="CI59" s="130">
        <f>IF(YEAR('3 pr-2'!$AK59)=2019,$CD59,0)</f>
        <v>0</v>
      </c>
      <c r="CJ59" s="130">
        <f>IF(YEAR('3 pr-2'!$AK59)=2020,$CD59,0)</f>
        <v>0</v>
      </c>
      <c r="CK59" s="130">
        <f>IF(YEAR('3 pr-2'!$AK59)=2021,$CD59,0)</f>
        <v>0</v>
      </c>
      <c r="CL59" s="130">
        <f>IF(YEAR('3 pr-2'!$AK59)=2022,$CD59,0)</f>
        <v>0</v>
      </c>
      <c r="CM59" s="130">
        <f>IF(YEAR('3 pr-2'!$AK59)=2023,$CD59,0)</f>
        <v>0</v>
      </c>
      <c r="CN59" s="317"/>
      <c r="CO59" s="472"/>
      <c r="CP59" s="1704"/>
      <c r="CQ59" s="1699"/>
      <c r="CR59" s="1699"/>
      <c r="CS59" s="1699"/>
      <c r="CT59" s="1699"/>
      <c r="CU59" s="1699"/>
      <c r="CV59" s="1699"/>
      <c r="CW59" s="1718">
        <f t="shared" si="138"/>
        <v>0</v>
      </c>
      <c r="CX59" s="318"/>
      <c r="CY59" s="303"/>
      <c r="CZ59" s="303"/>
      <c r="DA59" s="506">
        <f>IF(YEAR('3 pr-2'!AK59)=2017,CX59,0)</f>
        <v>0</v>
      </c>
      <c r="DB59" s="506">
        <f>IF(YEAR('3 pr-2'!AK59)=2018,CX59,0)</f>
        <v>0</v>
      </c>
      <c r="DC59" s="506">
        <f>IF(YEAR('3 pr-2'!AK59)=2019,CX59,0)</f>
        <v>0</v>
      </c>
      <c r="DD59" s="506">
        <f>IF(YEAR('3 pr-2'!AK59)=2020,CX59,0)</f>
        <v>0</v>
      </c>
      <c r="DE59" s="506">
        <f>IF(YEAR('3 pr-2'!AK59)=2021,CX59,0)</f>
        <v>0</v>
      </c>
      <c r="DF59" s="506">
        <f>IF(YEAR('3 pr-2'!AK59)=2022,CX59,0)</f>
        <v>0</v>
      </c>
      <c r="DG59" s="506">
        <f>IF(YEAR('3 pr-2'!AK59)=2023,CX59,0)</f>
        <v>0</v>
      </c>
      <c r="DH59" s="317"/>
      <c r="DI59" s="472"/>
      <c r="DJ59" s="318"/>
      <c r="DK59" s="130"/>
      <c r="DL59" s="130"/>
      <c r="DM59" s="130"/>
      <c r="DN59" s="130"/>
      <c r="DO59" s="130"/>
      <c r="DP59" s="130"/>
      <c r="DQ59" s="756"/>
      <c r="DR59" s="318"/>
      <c r="DS59" s="303"/>
      <c r="DT59" s="303"/>
      <c r="DU59" s="506"/>
      <c r="DV59" s="506"/>
      <c r="DW59" s="506"/>
      <c r="DX59" s="506"/>
      <c r="DY59" s="506"/>
      <c r="DZ59" s="506"/>
      <c r="EA59" s="506"/>
      <c r="EB59" s="317"/>
      <c r="EC59" s="472"/>
      <c r="ED59" s="303"/>
      <c r="EE59" s="303"/>
      <c r="EF59" s="303"/>
      <c r="EG59" s="506">
        <f>IF(YEAR('3 pr-2'!BP59)=2017,ED59,0)</f>
        <v>0</v>
      </c>
      <c r="EH59" s="506">
        <f>IF(YEAR('3 pr-2'!BP59)=2018,ED59,0)</f>
        <v>0</v>
      </c>
      <c r="EI59" s="506">
        <f>IF(YEAR('3 pr-2'!BP59)=2019,ED59,0)</f>
        <v>0</v>
      </c>
      <c r="EJ59" s="506">
        <f>IF(YEAR('3 pr-2'!BP59)=2020,ED59,0)</f>
        <v>0</v>
      </c>
      <c r="EK59" s="506">
        <f>IF(YEAR('3 pr-2'!BP59)=2021,ED59,0)</f>
        <v>0</v>
      </c>
      <c r="EL59" s="506">
        <f>IF(YEAR('3 pr-2'!BP59)=2022,ED59,0)</f>
        <v>0</v>
      </c>
      <c r="EM59" s="506">
        <f>IF(YEAR('3 pr-2'!BP59)=2023,ED59,0)</f>
        <v>0</v>
      </c>
    </row>
    <row r="60" spans="1:143" ht="73.5" thickTop="1" thickBot="1">
      <c r="A60" s="130" t="str">
        <f>CONCATENATE('3 pr-2'!A60)</f>
        <v>1.1.1.7.2</v>
      </c>
      <c r="B60" s="130" t="str">
        <f>CONCATENATE('3 pr-2'!B60)</f>
        <v>R01-8821-420000-1172</v>
      </c>
      <c r="C60" s="1730" t="str">
        <f>CONCATENATE('ketv. 2'!B59)</f>
        <v>05.4.1-LVPA-R-821-11-0001</v>
      </c>
      <c r="D60" s="78" t="str">
        <f>CONCATENATE('3 pr-2'!D60)</f>
        <v>Turizmo trasų ir maršrutų informacinės infrastruktūros plėtra Lazdijų, Varėnos rajonų ir Druskininkų savivaldybėse</v>
      </c>
      <c r="E60" s="11" t="str">
        <f>CONCATENATE('3 pr-2'!E60)</f>
        <v>Lazdijų rajono savivaldybės administracija</v>
      </c>
      <c r="F60" s="11" t="str">
        <f>CONCATENATE('3 pr-2'!F60)</f>
        <v>Lietuvos Respublikos ūkio ministerija</v>
      </c>
      <c r="G60" s="11" t="str">
        <f>CONCATENATE('3 pr-2'!G60)</f>
        <v xml:space="preserve">Lazdijų, Varėnos rajonų ir Druskininkų savivaldybės </v>
      </c>
      <c r="H60" s="130" t="str">
        <f>CONCATENATE('3 pr-2'!H60)</f>
        <v>05.4.1-LVPA-R-821</v>
      </c>
      <c r="I60" s="130" t="str">
        <f>CONCATENATE('3 pr-2'!I60)</f>
        <v>R</v>
      </c>
      <c r="J60" s="130" t="str">
        <f>CONCATENATE('3 pr-2'!J60)</f>
        <v>-</v>
      </c>
      <c r="K60" s="130" t="str">
        <f>CONCATENATE('3 pr-2'!K60)</f>
        <v>-</v>
      </c>
      <c r="L60" s="130" t="s">
        <v>481</v>
      </c>
      <c r="M60" s="471" t="s">
        <v>482</v>
      </c>
      <c r="N60" s="1699"/>
      <c r="O60" s="1699">
        <v>156</v>
      </c>
      <c r="P60" s="1699"/>
      <c r="Q60" s="1699"/>
      <c r="R60" s="1699"/>
      <c r="S60" s="1699"/>
      <c r="T60" s="1699"/>
      <c r="U60" s="1700">
        <f t="shared" si="239"/>
        <v>156</v>
      </c>
      <c r="V60" s="130">
        <v>301</v>
      </c>
      <c r="W60" s="1757" t="str">
        <f>IF('ketv. 6 '!L59&gt;0,"301",0)</f>
        <v>301</v>
      </c>
      <c r="X60" s="1732">
        <f>SUM(W60-V60)</f>
        <v>0</v>
      </c>
      <c r="Y60" s="1732">
        <f>IF(YEAR('3 pr-2'!$AK60)=2017,$V60,0)</f>
        <v>0</v>
      </c>
      <c r="Z60" s="1732">
        <f>IF(YEAR('3 pr-2'!$AK60)=2018,$V60,0)</f>
        <v>0</v>
      </c>
      <c r="AA60" s="1732">
        <f>IF(YEAR('3 pr-2'!$AK60)=2019,$V60,0)</f>
        <v>301</v>
      </c>
      <c r="AB60" s="1732">
        <f>IF(YEAR('3 pr-2'!$AK60)=2020,$V60,0)</f>
        <v>0</v>
      </c>
      <c r="AC60" s="1732">
        <f>IF(YEAR('3 pr-2'!$AK60)=2021,$V60,0)</f>
        <v>0</v>
      </c>
      <c r="AD60" s="1732">
        <f>IF(YEAR('3 pr-2'!$AK60)=2022,$V60,0)</f>
        <v>0</v>
      </c>
      <c r="AE60" s="1732">
        <f>IF(YEAR('3 pr-2'!$AK60)=2023,$V60,0)</f>
        <v>0</v>
      </c>
      <c r="AF60" s="317"/>
      <c r="AG60" s="471"/>
      <c r="AH60" s="1699"/>
      <c r="AI60" s="1699"/>
      <c r="AJ60" s="1699"/>
      <c r="AK60" s="1699"/>
      <c r="AL60" s="1699"/>
      <c r="AM60" s="1699"/>
      <c r="AN60" s="1699"/>
      <c r="AO60" s="1718">
        <f t="shared" si="135"/>
        <v>0</v>
      </c>
      <c r="AP60" s="130"/>
      <c r="AQ60" s="1778"/>
      <c r="AR60" s="1732"/>
      <c r="AS60" s="1732">
        <f>IF(YEAR('3 pr-2'!$AK60)=2017,$AP60,0)</f>
        <v>0</v>
      </c>
      <c r="AT60" s="1732">
        <f>IF(YEAR('3 pr-2'!$AK60)=2018,$AP60,0)</f>
        <v>0</v>
      </c>
      <c r="AU60" s="1732">
        <f>IF(YEAR('3 pr-2'!$AK60)=2019,$AP60,0)</f>
        <v>0</v>
      </c>
      <c r="AV60" s="1732">
        <f>IF(YEAR('3 pr-2'!$AK60)=2020,$AP60,0)</f>
        <v>0</v>
      </c>
      <c r="AW60" s="1732">
        <f>IF(YEAR('3 pr-2'!$AK60)=2021,$AP60,0)</f>
        <v>0</v>
      </c>
      <c r="AX60" s="1732">
        <f>IF(YEAR('3 pr-2'!$AK60)=2022,$AP60,0)</f>
        <v>0</v>
      </c>
      <c r="AY60" s="1732">
        <f>IF(YEAR('3 pr-2'!$AK60)=2023,$AP60,0)</f>
        <v>0</v>
      </c>
      <c r="AZ60" s="130"/>
      <c r="BA60" s="470"/>
      <c r="BB60" s="1699"/>
      <c r="BC60" s="1699"/>
      <c r="BD60" s="1699"/>
      <c r="BE60" s="1699"/>
      <c r="BF60" s="1699"/>
      <c r="BG60" s="1699"/>
      <c r="BH60" s="1699"/>
      <c r="BI60" s="1718">
        <f t="shared" si="163"/>
        <v>0</v>
      </c>
      <c r="BJ60" s="130"/>
      <c r="BK60" s="1501"/>
      <c r="BL60" s="130"/>
      <c r="BM60" s="130">
        <f>IF(YEAR('3 pr-2'!AK60)=2017,BJ60,0)</f>
        <v>0</v>
      </c>
      <c r="BN60" s="130">
        <f>IF(YEAR('3 pr-2'!AK60)=2018,BJ60,0)</f>
        <v>0</v>
      </c>
      <c r="BO60" s="130">
        <f>IF(YEAR('3 pr-2'!AK60)=2019,BJ60,0)</f>
        <v>0</v>
      </c>
      <c r="BP60" s="130">
        <f>IF(YEAR('3 pr-2'!AK60)=2020,BJ60,0)</f>
        <v>0</v>
      </c>
      <c r="BQ60" s="130">
        <f>IF(YEAR('3 pr-2'!AK60)=2021,BJ60,0)</f>
        <v>0</v>
      </c>
      <c r="BR60" s="130">
        <f>IF(YEAR('3 pr-2'!AK60)=2022,BJ60,0)</f>
        <v>0</v>
      </c>
      <c r="BS60" s="130">
        <f>IF(YEAR('3 pr-2'!AK60)=2023,BJ60,0)</f>
        <v>0</v>
      </c>
      <c r="BT60" s="317"/>
      <c r="BU60" s="471"/>
      <c r="BV60" s="1699"/>
      <c r="BW60" s="1699"/>
      <c r="BX60" s="1699"/>
      <c r="BY60" s="1699"/>
      <c r="BZ60" s="1699"/>
      <c r="CA60" s="1699"/>
      <c r="CB60" s="1699"/>
      <c r="CC60" s="1718">
        <f t="shared" si="137"/>
        <v>0</v>
      </c>
      <c r="CD60" s="130"/>
      <c r="CE60" s="130"/>
      <c r="CF60" s="130"/>
      <c r="CG60" s="130">
        <f>IF(YEAR('3 pr-2'!$AK60)=2017,$CD60,0)</f>
        <v>0</v>
      </c>
      <c r="CH60" s="130">
        <f>IF(YEAR('3 pr-2'!$AK60)=2018,$CD60,0)</f>
        <v>0</v>
      </c>
      <c r="CI60" s="130">
        <f>IF(YEAR('3 pr-2'!$AK60)=2019,$CD60,0)</f>
        <v>0</v>
      </c>
      <c r="CJ60" s="130">
        <f>IF(YEAR('3 pr-2'!$AK60)=2020,$CD60,0)</f>
        <v>0</v>
      </c>
      <c r="CK60" s="130">
        <f>IF(YEAR('3 pr-2'!$AK60)=2021,$CD60,0)</f>
        <v>0</v>
      </c>
      <c r="CL60" s="130">
        <f>IF(YEAR('3 pr-2'!$AK60)=2022,$CD60,0)</f>
        <v>0</v>
      </c>
      <c r="CM60" s="130">
        <f>IF(YEAR('3 pr-2'!$AK60)=2023,$CD60,0)</f>
        <v>0</v>
      </c>
      <c r="CN60" s="317"/>
      <c r="CO60" s="472"/>
      <c r="CP60" s="1704"/>
      <c r="CQ60" s="1699"/>
      <c r="CR60" s="1699"/>
      <c r="CS60" s="1699"/>
      <c r="CT60" s="1699"/>
      <c r="CU60" s="1699"/>
      <c r="CV60" s="1699"/>
      <c r="CW60" s="1718">
        <f t="shared" si="138"/>
        <v>0</v>
      </c>
      <c r="CX60" s="318"/>
      <c r="CY60" s="303"/>
      <c r="CZ60" s="303"/>
      <c r="DA60" s="506">
        <f>IF(YEAR('3 pr-2'!AK60)=2017,CX60,0)</f>
        <v>0</v>
      </c>
      <c r="DB60" s="506">
        <f>IF(YEAR('3 pr-2'!AK60)=2018,CX60,0)</f>
        <v>0</v>
      </c>
      <c r="DC60" s="506">
        <f>IF(YEAR('3 pr-2'!AK60)=2019,CX60,0)</f>
        <v>0</v>
      </c>
      <c r="DD60" s="506">
        <f>IF(YEAR('3 pr-2'!AK60)=2020,CX60,0)</f>
        <v>0</v>
      </c>
      <c r="DE60" s="506">
        <f>IF(YEAR('3 pr-2'!AK60)=2021,CX60,0)</f>
        <v>0</v>
      </c>
      <c r="DF60" s="506">
        <f>IF(YEAR('3 pr-2'!AK60)=2022,CX60,0)</f>
        <v>0</v>
      </c>
      <c r="DG60" s="506">
        <f>IF(YEAR('3 pr-2'!AK60)=2023,CX60,0)</f>
        <v>0</v>
      </c>
      <c r="DH60" s="317"/>
      <c r="DI60" s="472"/>
      <c r="DJ60" s="318"/>
      <c r="DK60" s="130"/>
      <c r="DL60" s="130"/>
      <c r="DM60" s="130"/>
      <c r="DN60" s="130"/>
      <c r="DO60" s="130"/>
      <c r="DP60" s="130"/>
      <c r="DQ60" s="756"/>
      <c r="DR60" s="318"/>
      <c r="DS60" s="303"/>
      <c r="DT60" s="303"/>
      <c r="DU60" s="506"/>
      <c r="DV60" s="506"/>
      <c r="DW60" s="506"/>
      <c r="DX60" s="506"/>
      <c r="DY60" s="506"/>
      <c r="DZ60" s="506"/>
      <c r="EA60" s="506"/>
      <c r="EB60" s="317"/>
      <c r="EC60" s="472"/>
      <c r="ED60" s="303"/>
      <c r="EE60" s="303"/>
      <c r="EF60" s="303"/>
      <c r="EG60" s="506">
        <f>IF(YEAR('3 pr-2'!BP60)=2017,ED60,0)</f>
        <v>0</v>
      </c>
      <c r="EH60" s="506">
        <f>IF(YEAR('3 pr-2'!BP60)=2018,ED60,0)</f>
        <v>0</v>
      </c>
      <c r="EI60" s="506">
        <f>IF(YEAR('3 pr-2'!BP60)=2019,ED60,0)</f>
        <v>0</v>
      </c>
      <c r="EJ60" s="506">
        <f>IF(YEAR('3 pr-2'!BP60)=2020,ED60,0)</f>
        <v>0</v>
      </c>
      <c r="EK60" s="506">
        <f>IF(YEAR('3 pr-2'!BP60)=2021,ED60,0)</f>
        <v>0</v>
      </c>
      <c r="EL60" s="506">
        <f>IF(YEAR('3 pr-2'!BP60)=2022,ED60,0)</f>
        <v>0</v>
      </c>
      <c r="EM60" s="506">
        <f>IF(YEAR('3 pr-2'!BP60)=2023,ED60,0)</f>
        <v>0</v>
      </c>
    </row>
    <row r="61" spans="1:143" ht="73.5" thickTop="1" thickBot="1">
      <c r="A61" s="130" t="str">
        <f>CONCATENATE('3 pr-2'!A61)</f>
        <v>1.1.1.7.3</v>
      </c>
      <c r="B61" s="130" t="str">
        <f>CONCATENATE('3 pr-2'!B61)</f>
        <v>R01-8821-420000-1173</v>
      </c>
      <c r="C61" s="1730" t="str">
        <f>CONCATENATE('ketv. 2'!B60)</f>
        <v>05.4.1-LVPA-R-821-11-0003</v>
      </c>
      <c r="D61" s="78" t="str">
        <f>CONCATENATE('3 pr-2'!D61)</f>
        <v>Turizmo trasų ir maršrutų informacinės infrastruktūros plėtra Lazdijų, Varėnos rajonų ir Druskininkų savivaldybėse, II etapas</v>
      </c>
      <c r="E61" s="11" t="str">
        <f>CONCATENATE('3 pr-2'!E61)</f>
        <v>Lazdijų rajono savivaldybės administracija</v>
      </c>
      <c r="F61" s="11" t="str">
        <f>CONCATENATE('3 pr-2'!F61)</f>
        <v>Lietuvos Respublikos ūkio ministerija</v>
      </c>
      <c r="G61" s="11" t="str">
        <f>CONCATENATE('3 pr-2'!G61)</f>
        <v xml:space="preserve">Lazdijų, Varėnos rajonų ir Druskininkų savivaldybės </v>
      </c>
      <c r="H61" s="130" t="str">
        <f>CONCATENATE('3 pr-2'!H61)</f>
        <v>05.4.1-LVPA-R-821</v>
      </c>
      <c r="I61" s="130" t="str">
        <f>CONCATENATE('3 pr-2'!I61)</f>
        <v>R</v>
      </c>
      <c r="J61" s="130" t="str">
        <f>CONCATENATE('3 pr-2'!J61)</f>
        <v>-</v>
      </c>
      <c r="K61" s="130" t="str">
        <f>CONCATENATE('3 pr-2'!K61)</f>
        <v>-</v>
      </c>
      <c r="L61" s="130" t="s">
        <v>481</v>
      </c>
      <c r="M61" s="471" t="s">
        <v>482</v>
      </c>
      <c r="N61" s="1699"/>
      <c r="O61" s="1699"/>
      <c r="P61" s="1699"/>
      <c r="Q61" s="1699"/>
      <c r="R61" s="1699"/>
      <c r="S61" s="1699"/>
      <c r="T61" s="1699"/>
      <c r="U61" s="1700">
        <f t="shared" si="239"/>
        <v>0</v>
      </c>
      <c r="V61" s="130">
        <v>38</v>
      </c>
      <c r="W61" s="1757" t="str">
        <f>IF('ketv. 6 '!L60&gt;0,"taip","nėra")</f>
        <v>nėra</v>
      </c>
      <c r="X61" s="1732"/>
      <c r="Y61" s="1732">
        <f>IF(YEAR('3 pr-2'!$AK61)=2017,$V61,0)</f>
        <v>0</v>
      </c>
      <c r="Z61" s="1732">
        <f>IF(YEAR('3 pr-2'!$AK61)=2018,$V61,0)</f>
        <v>0</v>
      </c>
      <c r="AA61" s="1732">
        <f>IF(YEAR('3 pr-2'!$AK61)=2019,$V61,0)</f>
        <v>0</v>
      </c>
      <c r="AB61" s="1732">
        <f>IF(YEAR('3 pr-2'!$AK61)=2020,$V61,0)</f>
        <v>0</v>
      </c>
      <c r="AC61" s="1732">
        <f>IF(YEAR('3 pr-2'!$AK61)=2021,$V61,0)</f>
        <v>38</v>
      </c>
      <c r="AD61" s="1732">
        <f>IF(YEAR('3 pr-2'!$AK61)=2022,$V61,0)</f>
        <v>0</v>
      </c>
      <c r="AE61" s="1732">
        <f>IF(YEAR('3 pr-2'!$AK61)=2023,$V61,0)</f>
        <v>0</v>
      </c>
      <c r="AF61" s="317"/>
      <c r="AG61" s="471"/>
      <c r="AH61" s="1699"/>
      <c r="AI61" s="1699"/>
      <c r="AJ61" s="1699"/>
      <c r="AK61" s="1699"/>
      <c r="AL61" s="1699"/>
      <c r="AM61" s="1699"/>
      <c r="AN61" s="1699"/>
      <c r="AO61" s="1718">
        <f t="shared" si="135"/>
        <v>0</v>
      </c>
      <c r="AP61" s="130"/>
      <c r="AQ61" s="1778"/>
      <c r="AR61" s="1732"/>
      <c r="AS61" s="1732">
        <f>IF(YEAR('3 pr-2'!$AK61)=2017,$AP61,0)</f>
        <v>0</v>
      </c>
      <c r="AT61" s="1732">
        <f>IF(YEAR('3 pr-2'!$AK61)=2018,$AP61,0)</f>
        <v>0</v>
      </c>
      <c r="AU61" s="1732">
        <f>IF(YEAR('3 pr-2'!$AK61)=2019,$AP61,0)</f>
        <v>0</v>
      </c>
      <c r="AV61" s="1732">
        <f>IF(YEAR('3 pr-2'!$AK61)=2020,$AP61,0)</f>
        <v>0</v>
      </c>
      <c r="AW61" s="1732">
        <f>IF(YEAR('3 pr-2'!$AK61)=2021,$AP61,0)</f>
        <v>0</v>
      </c>
      <c r="AX61" s="1732">
        <f>IF(YEAR('3 pr-2'!$AK61)=2022,$AP61,0)</f>
        <v>0</v>
      </c>
      <c r="AY61" s="1732">
        <f>IF(YEAR('3 pr-2'!$AK61)=2023,$AP61,0)</f>
        <v>0</v>
      </c>
      <c r="AZ61" s="130"/>
      <c r="BA61" s="470"/>
      <c r="BB61" s="1699"/>
      <c r="BC61" s="1699"/>
      <c r="BD61" s="1699"/>
      <c r="BE61" s="1699"/>
      <c r="BF61" s="1699"/>
      <c r="BG61" s="1699"/>
      <c r="BH61" s="1699"/>
      <c r="BI61" s="1718">
        <f t="shared" si="163"/>
        <v>0</v>
      </c>
      <c r="BJ61" s="130"/>
      <c r="BK61" s="1501"/>
      <c r="BL61" s="130"/>
      <c r="BM61" s="130">
        <f>IF(YEAR('3 pr-2'!AK61)=2017,BJ61,0)</f>
        <v>0</v>
      </c>
      <c r="BN61" s="130">
        <f>IF(YEAR('3 pr-2'!AK61)=2018,BJ61,0)</f>
        <v>0</v>
      </c>
      <c r="BO61" s="130">
        <f>IF(YEAR('3 pr-2'!AK61)=2019,BJ61,0)</f>
        <v>0</v>
      </c>
      <c r="BP61" s="130">
        <f>IF(YEAR('3 pr-2'!AK61)=2020,BJ61,0)</f>
        <v>0</v>
      </c>
      <c r="BQ61" s="130">
        <f>IF(YEAR('3 pr-2'!AK61)=2021,BJ61,0)</f>
        <v>0</v>
      </c>
      <c r="BR61" s="130">
        <f>IF(YEAR('3 pr-2'!AK61)=2022,BJ61,0)</f>
        <v>0</v>
      </c>
      <c r="BS61" s="130">
        <f>IF(YEAR('3 pr-2'!AK61)=2023,BJ61,0)</f>
        <v>0</v>
      </c>
      <c r="BT61" s="317"/>
      <c r="BU61" s="471"/>
      <c r="BV61" s="1699"/>
      <c r="BW61" s="1699"/>
      <c r="BX61" s="1699"/>
      <c r="BY61" s="1699"/>
      <c r="BZ61" s="1699"/>
      <c r="CA61" s="1699"/>
      <c r="CB61" s="1699"/>
      <c r="CC61" s="1718">
        <f t="shared" si="137"/>
        <v>0</v>
      </c>
      <c r="CD61" s="130"/>
      <c r="CE61" s="130"/>
      <c r="CF61" s="130"/>
      <c r="CG61" s="130">
        <f>IF(YEAR('3 pr-2'!$AK61)=2017,$CD61,0)</f>
        <v>0</v>
      </c>
      <c r="CH61" s="130">
        <f>IF(YEAR('3 pr-2'!$AK61)=2018,$CD61,0)</f>
        <v>0</v>
      </c>
      <c r="CI61" s="130">
        <f>IF(YEAR('3 pr-2'!$AK61)=2019,$CD61,0)</f>
        <v>0</v>
      </c>
      <c r="CJ61" s="130">
        <f>IF(YEAR('3 pr-2'!$AK61)=2020,$CD61,0)</f>
        <v>0</v>
      </c>
      <c r="CK61" s="130">
        <f>IF(YEAR('3 pr-2'!$AK61)=2021,$CD61,0)</f>
        <v>0</v>
      </c>
      <c r="CL61" s="130">
        <f>IF(YEAR('3 pr-2'!$AK61)=2022,$CD61,0)</f>
        <v>0</v>
      </c>
      <c r="CM61" s="130">
        <f>IF(YEAR('3 pr-2'!$AK61)=2023,$CD61,0)</f>
        <v>0</v>
      </c>
      <c r="CN61" s="317"/>
      <c r="CO61" s="472"/>
      <c r="CP61" s="1704"/>
      <c r="CQ61" s="1699"/>
      <c r="CR61" s="1699"/>
      <c r="CS61" s="1699"/>
      <c r="CT61" s="1699"/>
      <c r="CU61" s="1699"/>
      <c r="CV61" s="1699"/>
      <c r="CW61" s="1718">
        <f t="shared" si="138"/>
        <v>0</v>
      </c>
      <c r="CX61" s="318"/>
      <c r="CY61" s="303"/>
      <c r="CZ61" s="303"/>
      <c r="DA61" s="506">
        <f>IF(YEAR('3 pr-2'!AK61)=2017,CX61,0)</f>
        <v>0</v>
      </c>
      <c r="DB61" s="506">
        <f>IF(YEAR('3 pr-2'!AK61)=2018,CX61,0)</f>
        <v>0</v>
      </c>
      <c r="DC61" s="506">
        <f>IF(YEAR('3 pr-2'!AK61)=2019,CX61,0)</f>
        <v>0</v>
      </c>
      <c r="DD61" s="506">
        <f>IF(YEAR('3 pr-2'!AK61)=2020,CX61,0)</f>
        <v>0</v>
      </c>
      <c r="DE61" s="506">
        <f>IF(YEAR('3 pr-2'!AK61)=2021,CX61,0)</f>
        <v>0</v>
      </c>
      <c r="DF61" s="506">
        <f>IF(YEAR('3 pr-2'!AK61)=2022,CX61,0)</f>
        <v>0</v>
      </c>
      <c r="DG61" s="506">
        <f>IF(YEAR('3 pr-2'!AK61)=2023,CX61,0)</f>
        <v>0</v>
      </c>
      <c r="DH61" s="317"/>
      <c r="DI61" s="472"/>
      <c r="DJ61" s="318"/>
      <c r="DK61" s="130"/>
      <c r="DL61" s="130"/>
      <c r="DM61" s="130"/>
      <c r="DN61" s="130"/>
      <c r="DO61" s="130"/>
      <c r="DP61" s="130"/>
      <c r="DQ61" s="756"/>
      <c r="DR61" s="318"/>
      <c r="DS61" s="303"/>
      <c r="DT61" s="303"/>
      <c r="DU61" s="506"/>
      <c r="DV61" s="506"/>
      <c r="DW61" s="506"/>
      <c r="DX61" s="506"/>
      <c r="DY61" s="506"/>
      <c r="DZ61" s="506"/>
      <c r="EA61" s="506"/>
      <c r="EB61" s="317"/>
      <c r="EC61" s="472"/>
      <c r="ED61" s="303"/>
      <c r="EE61" s="303"/>
      <c r="EF61" s="303"/>
      <c r="EG61" s="506">
        <f>IF(YEAR('3 pr-2'!BP61)=2017,ED61,0)</f>
        <v>0</v>
      </c>
      <c r="EH61" s="506">
        <f>IF(YEAR('3 pr-2'!BP61)=2018,ED61,0)</f>
        <v>0</v>
      </c>
      <c r="EI61" s="506">
        <f>IF(YEAR('3 pr-2'!BP61)=2019,ED61,0)</f>
        <v>0</v>
      </c>
      <c r="EJ61" s="506">
        <f>IF(YEAR('3 pr-2'!BP61)=2020,ED61,0)</f>
        <v>0</v>
      </c>
      <c r="EK61" s="506">
        <f>IF(YEAR('3 pr-2'!BP61)=2021,ED61,0)</f>
        <v>0</v>
      </c>
      <c r="EL61" s="506">
        <f>IF(YEAR('3 pr-2'!BP61)=2022,ED61,0)</f>
        <v>0</v>
      </c>
      <c r="EM61" s="506">
        <f>IF(YEAR('3 pr-2'!BP61)=2023,ED61,0)</f>
        <v>0</v>
      </c>
    </row>
    <row r="62" spans="1:143" ht="33" customHeight="1" thickBot="1">
      <c r="A62" s="697" t="str">
        <f>CONCATENATE('3 pr-2'!A62)</f>
        <v>1.1.1.8</v>
      </c>
      <c r="B62" s="1972" t="str">
        <f>CONCATENATE('3 pr-2'!B62)</f>
        <v>Priemonė:
Modernizuoti savivaldybių kultūros infrastruktūrą</v>
      </c>
      <c r="C62" s="1894"/>
      <c r="D62" s="1894"/>
      <c r="E62" s="1894"/>
      <c r="F62" s="1894"/>
      <c r="G62" s="1894"/>
      <c r="H62" s="1894"/>
      <c r="I62" s="1894"/>
      <c r="J62" s="1894"/>
      <c r="K62" s="1895"/>
      <c r="L62" s="1322"/>
      <c r="M62" s="474"/>
      <c r="N62" s="1697">
        <f>SUM(N63:N66)</f>
        <v>0</v>
      </c>
      <c r="O62" s="1697">
        <f t="shared" ref="O62:T62" si="265">SUM(O63:O66)</f>
        <v>0</v>
      </c>
      <c r="P62" s="1697">
        <f t="shared" si="265"/>
        <v>1</v>
      </c>
      <c r="Q62" s="1697">
        <f t="shared" si="265"/>
        <v>0</v>
      </c>
      <c r="R62" s="1697">
        <f t="shared" si="265"/>
        <v>0</v>
      </c>
      <c r="S62" s="1697">
        <f t="shared" si="265"/>
        <v>0</v>
      </c>
      <c r="T62" s="1697">
        <f t="shared" si="265"/>
        <v>0</v>
      </c>
      <c r="U62" s="1698">
        <f t="shared" ref="U62:U66" si="266">SUM(N62:T62)</f>
        <v>1</v>
      </c>
      <c r="V62" s="736"/>
      <c r="W62" s="1754"/>
      <c r="X62" s="1755"/>
      <c r="Y62" s="1756">
        <f t="shared" ref="Y62:AE62" si="267">SUM(Y63:Y66)</f>
        <v>0</v>
      </c>
      <c r="Z62" s="1756">
        <f t="shared" si="267"/>
        <v>1</v>
      </c>
      <c r="AA62" s="1756">
        <f t="shared" si="267"/>
        <v>4</v>
      </c>
      <c r="AB62" s="1756">
        <f t="shared" si="267"/>
        <v>0</v>
      </c>
      <c r="AC62" s="1756">
        <f t="shared" si="267"/>
        <v>0</v>
      </c>
      <c r="AD62" s="1756">
        <f t="shared" si="267"/>
        <v>0</v>
      </c>
      <c r="AE62" s="1756">
        <f t="shared" si="267"/>
        <v>0</v>
      </c>
      <c r="AF62" s="746"/>
      <c r="AG62" s="752"/>
      <c r="AH62" s="1697">
        <f>SUM(AH63:AH66)</f>
        <v>0</v>
      </c>
      <c r="AI62" s="1697">
        <f t="shared" ref="AI62" si="268">SUM(AI63:AI66)</f>
        <v>0</v>
      </c>
      <c r="AJ62" s="1697">
        <f t="shared" ref="AJ62" si="269">SUM(AJ63:AJ66)</f>
        <v>0</v>
      </c>
      <c r="AK62" s="1697">
        <f t="shared" ref="AK62" si="270">SUM(AK63:AK66)</f>
        <v>0</v>
      </c>
      <c r="AL62" s="1697">
        <f t="shared" ref="AL62" si="271">SUM(AL63:AL66)</f>
        <v>0</v>
      </c>
      <c r="AM62" s="1697">
        <f t="shared" ref="AM62" si="272">SUM(AM63:AM66)</f>
        <v>0</v>
      </c>
      <c r="AN62" s="1697">
        <f t="shared" ref="AN62" si="273">SUM(AN63:AN66)</f>
        <v>0</v>
      </c>
      <c r="AO62" s="1701">
        <f t="shared" si="135"/>
        <v>0</v>
      </c>
      <c r="AP62" s="736"/>
      <c r="AQ62" s="1756"/>
      <c r="AR62" s="1756"/>
      <c r="AS62" s="1756">
        <f t="shared" ref="AS62" si="274">SUM(AS63:AS66)</f>
        <v>0</v>
      </c>
      <c r="AT62" s="1756">
        <f t="shared" ref="AT62" si="275">SUM(AT63:AT66)</f>
        <v>0</v>
      </c>
      <c r="AU62" s="1756">
        <f t="shared" ref="AU62" si="276">SUM(AU63:AU66)</f>
        <v>0</v>
      </c>
      <c r="AV62" s="1756">
        <f t="shared" ref="AV62" si="277">SUM(AV63:AV66)</f>
        <v>0</v>
      </c>
      <c r="AW62" s="1756">
        <f t="shared" ref="AW62" si="278">SUM(AW63:AW66)</f>
        <v>0</v>
      </c>
      <c r="AX62" s="1756">
        <f t="shared" ref="AX62" si="279">SUM(AX63:AX66)</f>
        <v>0</v>
      </c>
      <c r="AY62" s="1756">
        <f t="shared" ref="AY62" si="280">SUM(AY63:AY66)</f>
        <v>0</v>
      </c>
      <c r="AZ62" s="736"/>
      <c r="BA62" s="752"/>
      <c r="BB62" s="1697">
        <f>SUM(BB63:BB66)</f>
        <v>0</v>
      </c>
      <c r="BC62" s="1697">
        <f t="shared" ref="BC62" si="281">SUM(BC63:BC66)</f>
        <v>0</v>
      </c>
      <c r="BD62" s="1697">
        <f t="shared" ref="BD62" si="282">SUM(BD63:BD66)</f>
        <v>0</v>
      </c>
      <c r="BE62" s="1697">
        <f t="shared" ref="BE62" si="283">SUM(BE63:BE66)</f>
        <v>0</v>
      </c>
      <c r="BF62" s="1697">
        <f t="shared" ref="BF62" si="284">SUM(BF63:BF66)</f>
        <v>0</v>
      </c>
      <c r="BG62" s="1697">
        <f t="shared" ref="BG62" si="285">SUM(BG63:BG66)</f>
        <v>0</v>
      </c>
      <c r="BH62" s="1697">
        <f t="shared" ref="BH62" si="286">SUM(BH63:BH66)</f>
        <v>0</v>
      </c>
      <c r="BI62" s="1701">
        <f t="shared" si="163"/>
        <v>0</v>
      </c>
      <c r="BJ62" s="736"/>
      <c r="BK62" s="304"/>
      <c r="BL62" s="304"/>
      <c r="BM62" s="304"/>
      <c r="BN62" s="304"/>
      <c r="BO62" s="304"/>
      <c r="BP62" s="304"/>
      <c r="BQ62" s="304"/>
      <c r="BR62" s="304"/>
      <c r="BS62" s="304"/>
      <c r="BT62" s="304"/>
      <c r="BU62" s="472"/>
      <c r="BV62" s="1697">
        <f>SUM(BV63:BV66)</f>
        <v>0</v>
      </c>
      <c r="BW62" s="1697">
        <f t="shared" ref="BW62" si="287">SUM(BW63:BW66)</f>
        <v>0</v>
      </c>
      <c r="BX62" s="1697">
        <f t="shared" ref="BX62" si="288">SUM(BX63:BX66)</f>
        <v>0</v>
      </c>
      <c r="BY62" s="1697">
        <f t="shared" ref="BY62" si="289">SUM(BY63:BY66)</f>
        <v>0</v>
      </c>
      <c r="BZ62" s="1697">
        <f t="shared" ref="BZ62" si="290">SUM(BZ63:BZ66)</f>
        <v>0</v>
      </c>
      <c r="CA62" s="1697">
        <f t="shared" ref="CA62" si="291">SUM(CA63:CA66)</f>
        <v>0</v>
      </c>
      <c r="CB62" s="1697">
        <f t="shared" ref="CB62" si="292">SUM(CB63:CB66)</f>
        <v>0</v>
      </c>
      <c r="CC62" s="1701">
        <f t="shared" si="137"/>
        <v>0</v>
      </c>
      <c r="CD62" s="304"/>
      <c r="CE62" s="304"/>
      <c r="CF62" s="304"/>
      <c r="CG62" s="304"/>
      <c r="CH62" s="304"/>
      <c r="CI62" s="304"/>
      <c r="CJ62" s="304"/>
      <c r="CK62" s="304"/>
      <c r="CL62" s="304"/>
      <c r="CM62" s="304"/>
      <c r="CN62" s="750"/>
      <c r="CO62" s="472"/>
      <c r="CP62" s="1723">
        <f>SUM(CP63:CP66)</f>
        <v>0</v>
      </c>
      <c r="CQ62" s="1697">
        <f t="shared" ref="CQ62" si="293">SUM(CQ63:CQ66)</f>
        <v>0</v>
      </c>
      <c r="CR62" s="1697">
        <f t="shared" ref="CR62" si="294">SUM(CR63:CR66)</f>
        <v>0</v>
      </c>
      <c r="CS62" s="1697">
        <f t="shared" ref="CS62" si="295">SUM(CS63:CS66)</f>
        <v>0</v>
      </c>
      <c r="CT62" s="1697">
        <f t="shared" ref="CT62" si="296">SUM(CT63:CT66)</f>
        <v>0</v>
      </c>
      <c r="CU62" s="1697">
        <f t="shared" ref="CU62" si="297">SUM(CU63:CU66)</f>
        <v>0</v>
      </c>
      <c r="CV62" s="1697">
        <f t="shared" ref="CV62" si="298">SUM(CV63:CV66)</f>
        <v>0</v>
      </c>
      <c r="CW62" s="1701">
        <f t="shared" si="138"/>
        <v>0</v>
      </c>
      <c r="CX62" s="304"/>
      <c r="CY62" s="506"/>
      <c r="CZ62" s="506"/>
      <c r="DA62" s="506"/>
      <c r="DB62" s="506"/>
      <c r="DC62" s="506"/>
      <c r="DD62" s="506"/>
      <c r="DE62" s="506"/>
      <c r="DF62" s="506"/>
      <c r="DG62" s="506"/>
      <c r="DH62" s="750"/>
      <c r="DI62" s="472"/>
      <c r="DJ62" s="725"/>
      <c r="DK62" s="304"/>
      <c r="DL62" s="304"/>
      <c r="DM62" s="304"/>
      <c r="DN62" s="304"/>
      <c r="DO62" s="304"/>
      <c r="DP62" s="304"/>
      <c r="DQ62" s="736"/>
      <c r="DR62" s="304"/>
      <c r="DS62" s="506"/>
      <c r="DT62" s="506"/>
      <c r="DU62" s="506"/>
      <c r="DV62" s="506"/>
      <c r="DW62" s="506"/>
      <c r="DX62" s="506"/>
      <c r="DY62" s="506"/>
      <c r="DZ62" s="506"/>
      <c r="EA62" s="506"/>
      <c r="EB62" s="750"/>
      <c r="EC62" s="472"/>
      <c r="ED62" s="506"/>
      <c r="EE62" s="506"/>
      <c r="EF62" s="506"/>
      <c r="EG62" s="506"/>
      <c r="EH62" s="506"/>
      <c r="EI62" s="506"/>
      <c r="EJ62" s="506"/>
      <c r="EK62" s="506"/>
      <c r="EL62" s="506"/>
      <c r="EM62" s="506"/>
    </row>
    <row r="63" spans="1:143" ht="49.5" thickTop="1" thickBot="1">
      <c r="A63" s="130" t="str">
        <f>CONCATENATE('3 pr-2'!A63)</f>
        <v>1.1.1.8.1</v>
      </c>
      <c r="B63" s="130" t="str">
        <f>CONCATENATE('3 pr-2'!B63)</f>
        <v>R01-3305-330000-1181</v>
      </c>
      <c r="C63" s="1730" t="str">
        <f>CONCATENATE('ketv. 2'!B62)</f>
        <v>07.1.1-CPVA-R-305-11-0001</v>
      </c>
      <c r="D63" s="78" t="str">
        <f>CONCATENATE('3 pr-2'!D63)</f>
        <v>Kultūros įstaigų infrastruktūros modernizavimas Varėnos mieste</v>
      </c>
      <c r="E63" s="11" t="str">
        <f>CONCATENATE('3 pr-2'!E63)</f>
        <v>Varėnos rajono savivaldybės administracija</v>
      </c>
      <c r="F63" s="11" t="str">
        <f>CONCATENATE('3 pr-2'!F63)</f>
        <v>Lietuvos Respublikos kultūros ministerija</v>
      </c>
      <c r="G63" s="11" t="str">
        <f>CONCATENATE('3 pr-2'!G63)</f>
        <v>Varėnos r. sav.</v>
      </c>
      <c r="H63" s="130" t="str">
        <f>CONCATENATE('3 pr-2'!H63)</f>
        <v>07.1.1-CPVA-R-305</v>
      </c>
      <c r="I63" s="130" t="str">
        <f>CONCATENATE('3 pr-2'!I63)</f>
        <v>R</v>
      </c>
      <c r="J63" s="130" t="str">
        <f>CONCATENATE('3 pr-2'!J63)</f>
        <v>ITI</v>
      </c>
      <c r="K63" s="130" t="str">
        <f>CONCATENATE('3 pr-2'!K63)</f>
        <v>-</v>
      </c>
      <c r="L63" s="130" t="s">
        <v>483</v>
      </c>
      <c r="M63" s="471" t="s">
        <v>484</v>
      </c>
      <c r="N63" s="1699"/>
      <c r="O63" s="1699"/>
      <c r="P63" s="1699"/>
      <c r="Q63" s="1699"/>
      <c r="R63" s="1699"/>
      <c r="S63" s="1699"/>
      <c r="T63" s="1699"/>
      <c r="U63" s="1700">
        <f t="shared" si="266"/>
        <v>0</v>
      </c>
      <c r="V63" s="130">
        <v>2</v>
      </c>
      <c r="W63" s="1757" t="str">
        <f>IF('ketv. 6 '!L62&gt;0,"2",0)</f>
        <v>2</v>
      </c>
      <c r="X63" s="1732">
        <f>SUM(W63-V63)</f>
        <v>0</v>
      </c>
      <c r="Y63" s="1732">
        <f>IF(YEAR('3 pr-2'!$AK63)=2017,$V63,0)</f>
        <v>0</v>
      </c>
      <c r="Z63" s="1732">
        <f>IF(YEAR('3 pr-2'!$AK63)=2018,$V63,0)</f>
        <v>0</v>
      </c>
      <c r="AA63" s="1732">
        <f>IF(YEAR('3 pr-2'!$AK63)=2019,$V63,0)</f>
        <v>2</v>
      </c>
      <c r="AB63" s="1732">
        <f>IF(YEAR('3 pr-2'!$AK63)=2020,$V63,0)</f>
        <v>0</v>
      </c>
      <c r="AC63" s="1732">
        <f>IF(YEAR('3 pr-2'!$AK63)=2021,$V63,0)</f>
        <v>0</v>
      </c>
      <c r="AD63" s="1732">
        <f>IF(YEAR('3 pr-2'!$AK63)=2022,$V63,0)</f>
        <v>0</v>
      </c>
      <c r="AE63" s="1732">
        <f>IF(YEAR('3 pr-2'!$AK63)=2023,$V63,0)</f>
        <v>0</v>
      </c>
      <c r="AF63" s="317"/>
      <c r="AG63" s="471"/>
      <c r="AH63" s="1699"/>
      <c r="AI63" s="1699"/>
      <c r="AJ63" s="1699"/>
      <c r="AK63" s="1699"/>
      <c r="AL63" s="1699"/>
      <c r="AM63" s="1699"/>
      <c r="AN63" s="1699"/>
      <c r="AO63" s="1718">
        <f t="shared" si="135"/>
        <v>0</v>
      </c>
      <c r="AP63" s="130"/>
      <c r="AQ63" s="1778"/>
      <c r="AR63" s="1732"/>
      <c r="AS63" s="1732">
        <f>IF(YEAR('3 pr-2'!$AK63)=2017,$AP63,0)</f>
        <v>0</v>
      </c>
      <c r="AT63" s="1732">
        <f>IF(YEAR('3 pr-2'!$AK63)=2018,$AP63,0)</f>
        <v>0</v>
      </c>
      <c r="AU63" s="1732">
        <f>IF(YEAR('3 pr-2'!$AK63)=2019,$AP63,0)</f>
        <v>0</v>
      </c>
      <c r="AV63" s="1732">
        <f>IF(YEAR('3 pr-2'!$AK63)=2020,$AP63,0)</f>
        <v>0</v>
      </c>
      <c r="AW63" s="1732">
        <f>IF(YEAR('3 pr-2'!$AK63)=2021,$AP63,0)</f>
        <v>0</v>
      </c>
      <c r="AX63" s="1732">
        <f>IF(YEAR('3 pr-2'!$AK63)=2022,$AP63,0)</f>
        <v>0</v>
      </c>
      <c r="AY63" s="1732">
        <f>IF(YEAR('3 pr-2'!$AK63)=2023,$AP63,0)</f>
        <v>0</v>
      </c>
      <c r="AZ63" s="130"/>
      <c r="BA63" s="470"/>
      <c r="BB63" s="1699"/>
      <c r="BC63" s="1699"/>
      <c r="BD63" s="1699"/>
      <c r="BE63" s="1699"/>
      <c r="BF63" s="1699"/>
      <c r="BG63" s="1699"/>
      <c r="BH63" s="1699"/>
      <c r="BI63" s="1718">
        <f t="shared" si="163"/>
        <v>0</v>
      </c>
      <c r="BJ63" s="130"/>
      <c r="BK63" s="1501"/>
      <c r="BL63" s="130"/>
      <c r="BM63" s="130">
        <f>IF(YEAR('3 pr-2'!AK63)=2017,BJ63,0)</f>
        <v>0</v>
      </c>
      <c r="BN63" s="130">
        <f>IF(YEAR('3 pr-2'!AK63)=2018,BJ63,0)</f>
        <v>0</v>
      </c>
      <c r="BO63" s="130">
        <f>IF(YEAR('3 pr-2'!AK63)=2019,BJ63,0)</f>
        <v>0</v>
      </c>
      <c r="BP63" s="130">
        <f>IF(YEAR('3 pr-2'!AK63)=2020,BJ63,0)</f>
        <v>0</v>
      </c>
      <c r="BQ63" s="130">
        <f>IF(YEAR('3 pr-2'!AK63)=2021,BJ63,0)</f>
        <v>0</v>
      </c>
      <c r="BR63" s="130">
        <f>IF(YEAR('3 pr-2'!AK63)=2022,BJ63,0)</f>
        <v>0</v>
      </c>
      <c r="BS63" s="130">
        <f>IF(YEAR('3 pr-2'!AK63)=2023,BJ63,0)</f>
        <v>0</v>
      </c>
      <c r="BT63" s="317"/>
      <c r="BU63" s="471"/>
      <c r="BV63" s="1699"/>
      <c r="BW63" s="1699"/>
      <c r="BX63" s="1699"/>
      <c r="BY63" s="1699"/>
      <c r="BZ63" s="1699"/>
      <c r="CA63" s="1699"/>
      <c r="CB63" s="1699"/>
      <c r="CC63" s="1718">
        <f t="shared" si="137"/>
        <v>0</v>
      </c>
      <c r="CD63" s="130"/>
      <c r="CE63" s="130"/>
      <c r="CF63" s="130"/>
      <c r="CG63" s="130">
        <f>IF(YEAR('3 pr-2'!$AK63)=2017,$CD63,0)</f>
        <v>0</v>
      </c>
      <c r="CH63" s="130">
        <f>IF(YEAR('3 pr-2'!$AK63)=2018,$CD63,0)</f>
        <v>0</v>
      </c>
      <c r="CI63" s="130">
        <f>IF(YEAR('3 pr-2'!$AK63)=2019,$CD63,0)</f>
        <v>0</v>
      </c>
      <c r="CJ63" s="130">
        <f>IF(YEAR('3 pr-2'!$AK63)=2020,$CD63,0)</f>
        <v>0</v>
      </c>
      <c r="CK63" s="130">
        <f>IF(YEAR('3 pr-2'!$AK63)=2021,$CD63,0)</f>
        <v>0</v>
      </c>
      <c r="CL63" s="130">
        <f>IF(YEAR('3 pr-2'!$AK63)=2022,$CD63,0)</f>
        <v>0</v>
      </c>
      <c r="CM63" s="130">
        <f>IF(YEAR('3 pr-2'!$AK63)=2023,$CD63,0)</f>
        <v>0</v>
      </c>
      <c r="CN63" s="317"/>
      <c r="CO63" s="472"/>
      <c r="CP63" s="1704"/>
      <c r="CQ63" s="1699"/>
      <c r="CR63" s="1699"/>
      <c r="CS63" s="1699"/>
      <c r="CT63" s="1699"/>
      <c r="CU63" s="1699"/>
      <c r="CV63" s="1699"/>
      <c r="CW63" s="1718">
        <f t="shared" si="138"/>
        <v>0</v>
      </c>
      <c r="CX63" s="318"/>
      <c r="CY63" s="303"/>
      <c r="CZ63" s="303"/>
      <c r="DA63" s="506">
        <f>IF(YEAR('3 pr-2'!AK63)=2017,CX63,0)</f>
        <v>0</v>
      </c>
      <c r="DB63" s="506">
        <f>IF(YEAR('3 pr-2'!AK63)=2018,CX63,0)</f>
        <v>0</v>
      </c>
      <c r="DC63" s="506">
        <f>IF(YEAR('3 pr-2'!AK63)=2019,CX63,0)</f>
        <v>0</v>
      </c>
      <c r="DD63" s="506">
        <f>IF(YEAR('3 pr-2'!AK63)=2020,CX63,0)</f>
        <v>0</v>
      </c>
      <c r="DE63" s="506">
        <f>IF(YEAR('3 pr-2'!AK63)=2021,CX63,0)</f>
        <v>0</v>
      </c>
      <c r="DF63" s="506">
        <f>IF(YEAR('3 pr-2'!AK63)=2022,CX63,0)</f>
        <v>0</v>
      </c>
      <c r="DG63" s="506">
        <f>IF(YEAR('3 pr-2'!AK63)=2023,CX63,0)</f>
        <v>0</v>
      </c>
      <c r="DH63" s="317"/>
      <c r="DI63" s="472"/>
      <c r="DJ63" s="318"/>
      <c r="DK63" s="130"/>
      <c r="DL63" s="130"/>
      <c r="DM63" s="130"/>
      <c r="DN63" s="130"/>
      <c r="DO63" s="130"/>
      <c r="DP63" s="130"/>
      <c r="DQ63" s="756"/>
      <c r="DR63" s="318"/>
      <c r="DS63" s="303"/>
      <c r="DT63" s="303"/>
      <c r="DU63" s="506"/>
      <c r="DV63" s="506"/>
      <c r="DW63" s="506"/>
      <c r="DX63" s="506"/>
      <c r="DY63" s="506"/>
      <c r="DZ63" s="506"/>
      <c r="EA63" s="506"/>
      <c r="EB63" s="317"/>
      <c r="EC63" s="472"/>
      <c r="ED63" s="303"/>
      <c r="EE63" s="303"/>
      <c r="EF63" s="303"/>
      <c r="EG63" s="506">
        <f>IF(YEAR('3 pr-2'!BP63)=2017,ED63,0)</f>
        <v>0</v>
      </c>
      <c r="EH63" s="506">
        <f>IF(YEAR('3 pr-2'!BP63)=2018,ED63,0)</f>
        <v>0</v>
      </c>
      <c r="EI63" s="506">
        <f>IF(YEAR('3 pr-2'!BP63)=2019,ED63,0)</f>
        <v>0</v>
      </c>
      <c r="EJ63" s="506">
        <f>IF(YEAR('3 pr-2'!BP63)=2020,ED63,0)</f>
        <v>0</v>
      </c>
      <c r="EK63" s="506">
        <f>IF(YEAR('3 pr-2'!BP63)=2021,ED63,0)</f>
        <v>0</v>
      </c>
      <c r="EL63" s="506">
        <f>IF(YEAR('3 pr-2'!BP63)=2022,ED63,0)</f>
        <v>0</v>
      </c>
      <c r="EM63" s="506">
        <f>IF(YEAR('3 pr-2'!BP63)=2023,ED63,0)</f>
        <v>0</v>
      </c>
    </row>
    <row r="64" spans="1:143" ht="61.5" thickTop="1" thickBot="1">
      <c r="A64" s="130" t="str">
        <f>CONCATENATE('3 pr-2'!A64)</f>
        <v>1.1.1.8.2</v>
      </c>
      <c r="B64" s="130" t="str">
        <f>CONCATENATE('3 pr-2'!B64)</f>
        <v>R01-3305-330000-1182</v>
      </c>
      <c r="C64" s="1730" t="str">
        <f>CONCATENATE('ketv. 2'!B63)</f>
        <v>07.1.1-CPVA-R-305-11-0002</v>
      </c>
      <c r="D64" s="78" t="str">
        <f>CONCATENATE('3 pr-2'!D64)</f>
        <v>VšĮ Alytaus kultūros ir komunikacijos centro pastato Alytuje, Pramonės g. 1B, rekonstravimas</v>
      </c>
      <c r="E64" s="11" t="str">
        <f>CONCATENATE('3 pr-2'!E64)</f>
        <v>Alytaus miesto savivaldybės administracija</v>
      </c>
      <c r="F64" s="11" t="str">
        <f>CONCATENATE('3 pr-2'!F64)</f>
        <v>Lietuvos Respublikos kultūros ministerija</v>
      </c>
      <c r="G64" s="11" t="str">
        <f>CONCATENATE('3 pr-2'!G64)</f>
        <v>Alytaus m. sav.</v>
      </c>
      <c r="H64" s="130" t="str">
        <f>CONCATENATE('3 pr-2'!H64)</f>
        <v>07.1.1-CPVA-R-305</v>
      </c>
      <c r="I64" s="130" t="str">
        <f>CONCATENATE('3 pr-2'!I64)</f>
        <v>R</v>
      </c>
      <c r="J64" s="130" t="str">
        <f>CONCATENATE('3 pr-2'!J64)</f>
        <v>ITI</v>
      </c>
      <c r="K64" s="130" t="str">
        <f>CONCATENATE('3 pr-2'!K64)</f>
        <v>-</v>
      </c>
      <c r="L64" s="130" t="s">
        <v>483</v>
      </c>
      <c r="M64" s="471" t="s">
        <v>484</v>
      </c>
      <c r="N64" s="1699"/>
      <c r="O64" s="1699"/>
      <c r="P64" s="1699">
        <v>1</v>
      </c>
      <c r="Q64" s="1699"/>
      <c r="R64" s="1699"/>
      <c r="S64" s="1699"/>
      <c r="T64" s="1699"/>
      <c r="U64" s="1700">
        <f t="shared" si="266"/>
        <v>1</v>
      </c>
      <c r="V64" s="130">
        <v>1</v>
      </c>
      <c r="W64" s="1757" t="str">
        <f>IF('ketv. 6 '!L63&gt;0,"1",0)</f>
        <v>1</v>
      </c>
      <c r="X64" s="1732">
        <f t="shared" ref="X64:X66" si="299">SUM(W64-V64)</f>
        <v>0</v>
      </c>
      <c r="Y64" s="1732">
        <f>IF(YEAR('3 pr-2'!$AK64)=2017,$V64,0)</f>
        <v>0</v>
      </c>
      <c r="Z64" s="1732">
        <f>IF(YEAR('3 pr-2'!$AK64)=2018,$V64,0)</f>
        <v>1</v>
      </c>
      <c r="AA64" s="1732">
        <f>IF(YEAR('3 pr-2'!$AK64)=2019,$V64,0)</f>
        <v>0</v>
      </c>
      <c r="AB64" s="1732">
        <f>IF(YEAR('3 pr-2'!$AK64)=2020,$V64,0)</f>
        <v>0</v>
      </c>
      <c r="AC64" s="1732">
        <f>IF(YEAR('3 pr-2'!$AK64)=2021,$V64,0)</f>
        <v>0</v>
      </c>
      <c r="AD64" s="1732">
        <f>IF(YEAR('3 pr-2'!$AK64)=2022,$V64,0)</f>
        <v>0</v>
      </c>
      <c r="AE64" s="1732">
        <f>IF(YEAR('3 pr-2'!$AK64)=2023,$V64,0)</f>
        <v>0</v>
      </c>
      <c r="AF64" s="317"/>
      <c r="AG64" s="471"/>
      <c r="AH64" s="1699"/>
      <c r="AI64" s="1699"/>
      <c r="AJ64" s="1699"/>
      <c r="AK64" s="1699"/>
      <c r="AL64" s="1699"/>
      <c r="AM64" s="1699"/>
      <c r="AN64" s="1699"/>
      <c r="AO64" s="1718">
        <f t="shared" si="135"/>
        <v>0</v>
      </c>
      <c r="AP64" s="130"/>
      <c r="AQ64" s="1778"/>
      <c r="AR64" s="1732"/>
      <c r="AS64" s="1732">
        <f>IF(YEAR('3 pr-2'!$AK64)=2017,$AP64,0)</f>
        <v>0</v>
      </c>
      <c r="AT64" s="1732">
        <f>IF(YEAR('3 pr-2'!$AK64)=2018,$AP64,0)</f>
        <v>0</v>
      </c>
      <c r="AU64" s="1732">
        <f>IF(YEAR('3 pr-2'!$AK64)=2019,$AP64,0)</f>
        <v>0</v>
      </c>
      <c r="AV64" s="1732">
        <f>IF(YEAR('3 pr-2'!$AK64)=2020,$AP64,0)</f>
        <v>0</v>
      </c>
      <c r="AW64" s="1732">
        <f>IF(YEAR('3 pr-2'!$AK64)=2021,$AP64,0)</f>
        <v>0</v>
      </c>
      <c r="AX64" s="1732">
        <f>IF(YEAR('3 pr-2'!$AK64)=2022,$AP64,0)</f>
        <v>0</v>
      </c>
      <c r="AY64" s="1732">
        <f>IF(YEAR('3 pr-2'!$AK64)=2023,$AP64,0)</f>
        <v>0</v>
      </c>
      <c r="AZ64" s="130"/>
      <c r="BA64" s="470"/>
      <c r="BB64" s="1699"/>
      <c r="BC64" s="1699"/>
      <c r="BD64" s="1699"/>
      <c r="BE64" s="1699"/>
      <c r="BF64" s="1699"/>
      <c r="BG64" s="1699"/>
      <c r="BH64" s="1699"/>
      <c r="BI64" s="1718">
        <f t="shared" si="163"/>
        <v>0</v>
      </c>
      <c r="BJ64" s="130"/>
      <c r="BK64" s="1501"/>
      <c r="BL64" s="130"/>
      <c r="BM64" s="130">
        <f>IF(YEAR('3 pr-2'!AK64)=2017,BJ64,0)</f>
        <v>0</v>
      </c>
      <c r="BN64" s="130">
        <f>IF(YEAR('3 pr-2'!AK64)=2018,BJ64,0)</f>
        <v>0</v>
      </c>
      <c r="BO64" s="130">
        <f>IF(YEAR('3 pr-2'!AK64)=2019,BJ64,0)</f>
        <v>0</v>
      </c>
      <c r="BP64" s="130">
        <f>IF(YEAR('3 pr-2'!AK64)=2020,BJ64,0)</f>
        <v>0</v>
      </c>
      <c r="BQ64" s="130">
        <f>IF(YEAR('3 pr-2'!AK64)=2021,BJ64,0)</f>
        <v>0</v>
      </c>
      <c r="BR64" s="130">
        <f>IF(YEAR('3 pr-2'!AK64)=2022,BJ64,0)</f>
        <v>0</v>
      </c>
      <c r="BS64" s="130">
        <f>IF(YEAR('3 pr-2'!AK64)=2023,BJ64,0)</f>
        <v>0</v>
      </c>
      <c r="BT64" s="317"/>
      <c r="BU64" s="471"/>
      <c r="BV64" s="1699"/>
      <c r="BW64" s="1699"/>
      <c r="BX64" s="1699"/>
      <c r="BY64" s="1699"/>
      <c r="BZ64" s="1699"/>
      <c r="CA64" s="1699"/>
      <c r="CB64" s="1699"/>
      <c r="CC64" s="1718">
        <f t="shared" si="137"/>
        <v>0</v>
      </c>
      <c r="CD64" s="130"/>
      <c r="CE64" s="130"/>
      <c r="CF64" s="130"/>
      <c r="CG64" s="130">
        <f>IF(YEAR('3 pr-2'!AK64)=2017,CD64,0)</f>
        <v>0</v>
      </c>
      <c r="CH64" s="130">
        <f>IF(YEAR('3 pr-2'!AK64)=2018,CD64,0)</f>
        <v>0</v>
      </c>
      <c r="CI64" s="130">
        <f>IF(YEAR('3 pr-2'!AK64)=2019,CD64,0)</f>
        <v>0</v>
      </c>
      <c r="CJ64" s="130">
        <f>IF(YEAR('3 pr-2'!AK64)=2020,CD64,0)</f>
        <v>0</v>
      </c>
      <c r="CK64" s="130">
        <f>IF(YEAR('3 pr-2'!AK64)=2021,CD64,0)</f>
        <v>0</v>
      </c>
      <c r="CL64" s="130">
        <f>IF(YEAR('3 pr-2'!AK64)=2022,CD64,0)</f>
        <v>0</v>
      </c>
      <c r="CM64" s="130">
        <f>IF(YEAR('3 pr-2'!AK64)=2023,CD64,0)</f>
        <v>0</v>
      </c>
      <c r="CN64" s="317"/>
      <c r="CO64" s="472"/>
      <c r="CP64" s="1704"/>
      <c r="CQ64" s="1699"/>
      <c r="CR64" s="1699"/>
      <c r="CS64" s="1699"/>
      <c r="CT64" s="1699"/>
      <c r="CU64" s="1699"/>
      <c r="CV64" s="1699"/>
      <c r="CW64" s="1718">
        <f t="shared" si="138"/>
        <v>0</v>
      </c>
      <c r="CX64" s="318"/>
      <c r="CY64" s="303"/>
      <c r="CZ64" s="303"/>
      <c r="DA64" s="506">
        <f>IF(YEAR('3 pr-2'!AK64)=2017,CX64,0)</f>
        <v>0</v>
      </c>
      <c r="DB64" s="506">
        <f>IF(YEAR('3 pr-2'!AK64)=2018,CX64,0)</f>
        <v>0</v>
      </c>
      <c r="DC64" s="506">
        <f>IF(YEAR('3 pr-2'!AK64)=2019,CX64,0)</f>
        <v>0</v>
      </c>
      <c r="DD64" s="506">
        <f>IF(YEAR('3 pr-2'!AK64)=2020,CX64,0)</f>
        <v>0</v>
      </c>
      <c r="DE64" s="506">
        <f>IF(YEAR('3 pr-2'!AK64)=2021,CX64,0)</f>
        <v>0</v>
      </c>
      <c r="DF64" s="506">
        <f>IF(YEAR('3 pr-2'!AK64)=2022,CX64,0)</f>
        <v>0</v>
      </c>
      <c r="DG64" s="506">
        <f>IF(YEAR('3 pr-2'!AK64)=2023,CX64,0)</f>
        <v>0</v>
      </c>
      <c r="DH64" s="317"/>
      <c r="DI64" s="472"/>
      <c r="DJ64" s="318"/>
      <c r="DK64" s="130"/>
      <c r="DL64" s="130"/>
      <c r="DM64" s="130"/>
      <c r="DN64" s="130"/>
      <c r="DO64" s="130"/>
      <c r="DP64" s="130"/>
      <c r="DQ64" s="756"/>
      <c r="DR64" s="318"/>
      <c r="DS64" s="303"/>
      <c r="DT64" s="303"/>
      <c r="DU64" s="506"/>
      <c r="DV64" s="506"/>
      <c r="DW64" s="506"/>
      <c r="DX64" s="506"/>
      <c r="DY64" s="506"/>
      <c r="DZ64" s="506"/>
      <c r="EA64" s="506"/>
      <c r="EB64" s="317"/>
      <c r="EC64" s="472"/>
      <c r="ED64" s="303"/>
      <c r="EE64" s="303"/>
      <c r="EF64" s="303"/>
      <c r="EG64" s="506">
        <f>IF(YEAR('3 pr-2'!BP64)=2017,ED64,0)</f>
        <v>0</v>
      </c>
      <c r="EH64" s="506">
        <f>IF(YEAR('3 pr-2'!BP64)=2018,ED64,0)</f>
        <v>0</v>
      </c>
      <c r="EI64" s="506">
        <f>IF(YEAR('3 pr-2'!BP64)=2019,ED64,0)</f>
        <v>0</v>
      </c>
      <c r="EJ64" s="506">
        <f>IF(YEAR('3 pr-2'!BP64)=2020,ED64,0)</f>
        <v>0</v>
      </c>
      <c r="EK64" s="506">
        <f>IF(YEAR('3 pr-2'!BP64)=2021,ED64,0)</f>
        <v>0</v>
      </c>
      <c r="EL64" s="506">
        <f>IF(YEAR('3 pr-2'!BP64)=2022,ED64,0)</f>
        <v>0</v>
      </c>
      <c r="EM64" s="506">
        <f>IF(YEAR('3 pr-2'!BP64)=2023,ED64,0)</f>
        <v>0</v>
      </c>
    </row>
    <row r="65" spans="1:143" ht="85.5" thickTop="1" thickBot="1">
      <c r="A65" s="130" t="str">
        <f>CONCATENATE('3 pr-2'!A65)</f>
        <v>1.1.1.8.3</v>
      </c>
      <c r="B65" s="130" t="str">
        <f>CONCATENATE('3 pr-2'!B65)</f>
        <v>R01-3305-330000-1183</v>
      </c>
      <c r="C65" s="1730" t="str">
        <f>CONCATENATE('ketv. 2'!B64)</f>
        <v>07.1.1-CPVA-R-305-11-0003</v>
      </c>
      <c r="D65" s="78" t="str">
        <f>CONCATENATE('3 pr-2'!D65)</f>
        <v>Druskininkų kultūros centro lauko scenos, Vilniaus al. 24, Druskininkai, modernizavimas ir pritaikymas kultūros poreikiams</v>
      </c>
      <c r="E65" s="11" t="str">
        <f>CONCATENATE('3 pr-2'!E65)</f>
        <v xml:space="preserve">Druskininkų savivaldybės administracija  </v>
      </c>
      <c r="F65" s="11" t="str">
        <f>CONCATENATE('3 pr-2'!F65)</f>
        <v>Lietuvos Respublikos kultūros ministerija</v>
      </c>
      <c r="G65" s="11" t="str">
        <f>CONCATENATE('3 pr-2'!G65)</f>
        <v>Druskininkų sav.</v>
      </c>
      <c r="H65" s="130" t="str">
        <f>CONCATENATE('3 pr-2'!H65)</f>
        <v>07.1.1-CPVA-R-305</v>
      </c>
      <c r="I65" s="130" t="str">
        <f>CONCATENATE('3 pr-2'!I65)</f>
        <v>R</v>
      </c>
      <c r="J65" s="130" t="str">
        <f>CONCATENATE('3 pr-2'!J65)</f>
        <v>ITI</v>
      </c>
      <c r="K65" s="130" t="str">
        <f>CONCATENATE('3 pr-2'!K65)</f>
        <v>-</v>
      </c>
      <c r="L65" s="130" t="s">
        <v>483</v>
      </c>
      <c r="M65" s="471" t="s">
        <v>484</v>
      </c>
      <c r="N65" s="1699"/>
      <c r="O65" s="1699"/>
      <c r="P65" s="1699"/>
      <c r="Q65" s="1699"/>
      <c r="R65" s="1699"/>
      <c r="S65" s="1699"/>
      <c r="T65" s="1699"/>
      <c r="U65" s="1700">
        <f t="shared" si="266"/>
        <v>0</v>
      </c>
      <c r="V65" s="130">
        <v>1</v>
      </c>
      <c r="W65" s="1757" t="str">
        <f>IF('ketv. 6 '!L64&gt;0,"1",0)</f>
        <v>1</v>
      </c>
      <c r="X65" s="1732">
        <f t="shared" si="299"/>
        <v>0</v>
      </c>
      <c r="Y65" s="1732">
        <f>IF(YEAR('3 pr-2'!$AK65)=2017,$V65,0)</f>
        <v>0</v>
      </c>
      <c r="Z65" s="1732">
        <f>IF(YEAR('3 pr-2'!$AK65)=2018,$V65,0)</f>
        <v>0</v>
      </c>
      <c r="AA65" s="1732">
        <f>IF(YEAR('3 pr-2'!$AK65)=2019,$V65,0)</f>
        <v>1</v>
      </c>
      <c r="AB65" s="1732">
        <f>IF(YEAR('3 pr-2'!$AK65)=2020,$V65,0)</f>
        <v>0</v>
      </c>
      <c r="AC65" s="1732">
        <f>IF(YEAR('3 pr-2'!$AK65)=2021,$V65,0)</f>
        <v>0</v>
      </c>
      <c r="AD65" s="1732">
        <f>IF(YEAR('3 pr-2'!$AK65)=2022,$V65,0)</f>
        <v>0</v>
      </c>
      <c r="AE65" s="1732">
        <f>IF(YEAR('3 pr-2'!$AK65)=2023,$V65,0)</f>
        <v>0</v>
      </c>
      <c r="AF65" s="317"/>
      <c r="AG65" s="471"/>
      <c r="AH65" s="1699"/>
      <c r="AI65" s="1699"/>
      <c r="AJ65" s="1699"/>
      <c r="AK65" s="1699"/>
      <c r="AL65" s="1699"/>
      <c r="AM65" s="1699"/>
      <c r="AN65" s="1699"/>
      <c r="AO65" s="1718">
        <f t="shared" si="135"/>
        <v>0</v>
      </c>
      <c r="AP65" s="130"/>
      <c r="AQ65" s="1778"/>
      <c r="AR65" s="1732"/>
      <c r="AS65" s="1732">
        <f>IF(YEAR('3 pr-2'!$AK65)=2017,$AP65,0)</f>
        <v>0</v>
      </c>
      <c r="AT65" s="1732">
        <f>IF(YEAR('3 pr-2'!$AK65)=2018,$AP65,0)</f>
        <v>0</v>
      </c>
      <c r="AU65" s="1732">
        <f>IF(YEAR('3 pr-2'!$AK65)=2019,$AP65,0)</f>
        <v>0</v>
      </c>
      <c r="AV65" s="1732">
        <f>IF(YEAR('3 pr-2'!$AK65)=2020,$AP65,0)</f>
        <v>0</v>
      </c>
      <c r="AW65" s="1732">
        <f>IF(YEAR('3 pr-2'!$AK65)=2021,$AP65,0)</f>
        <v>0</v>
      </c>
      <c r="AX65" s="1732">
        <f>IF(YEAR('3 pr-2'!$AK65)=2022,$AP65,0)</f>
        <v>0</v>
      </c>
      <c r="AY65" s="1732">
        <f>IF(YEAR('3 pr-2'!$AK65)=2023,$AP65,0)</f>
        <v>0</v>
      </c>
      <c r="AZ65" s="130"/>
      <c r="BA65" s="470"/>
      <c r="BB65" s="1699"/>
      <c r="BC65" s="1699"/>
      <c r="BD65" s="1699"/>
      <c r="BE65" s="1699"/>
      <c r="BF65" s="1699"/>
      <c r="BG65" s="1699"/>
      <c r="BH65" s="1699"/>
      <c r="BI65" s="1718">
        <f t="shared" si="163"/>
        <v>0</v>
      </c>
      <c r="BJ65" s="130"/>
      <c r="BK65" s="1501"/>
      <c r="BL65" s="130"/>
      <c r="BM65" s="130">
        <f>IF(YEAR('3 pr-2'!AK65)=2017,BJ65,0)</f>
        <v>0</v>
      </c>
      <c r="BN65" s="130">
        <f>IF(YEAR('3 pr-2'!AK65)=2018,BJ65,0)</f>
        <v>0</v>
      </c>
      <c r="BO65" s="130">
        <f>IF(YEAR('3 pr-2'!AK65)=2019,BJ65,0)</f>
        <v>0</v>
      </c>
      <c r="BP65" s="130">
        <f>IF(YEAR('3 pr-2'!AK65)=2020,BJ65,0)</f>
        <v>0</v>
      </c>
      <c r="BQ65" s="130">
        <f>IF(YEAR('3 pr-2'!AK65)=2021,BJ65,0)</f>
        <v>0</v>
      </c>
      <c r="BR65" s="130">
        <f>IF(YEAR('3 pr-2'!AK65)=2022,BJ65,0)</f>
        <v>0</v>
      </c>
      <c r="BS65" s="130">
        <f>IF(YEAR('3 pr-2'!AK65)=2023,BJ65,0)</f>
        <v>0</v>
      </c>
      <c r="BT65" s="317"/>
      <c r="BU65" s="471"/>
      <c r="BV65" s="1699"/>
      <c r="BW65" s="1699"/>
      <c r="BX65" s="1699"/>
      <c r="BY65" s="1699"/>
      <c r="BZ65" s="1699"/>
      <c r="CA65" s="1699"/>
      <c r="CB65" s="1699"/>
      <c r="CC65" s="1718">
        <f t="shared" si="137"/>
        <v>0</v>
      </c>
      <c r="CD65" s="130"/>
      <c r="CE65" s="130"/>
      <c r="CF65" s="130"/>
      <c r="CG65" s="130">
        <f>IF(YEAR('3 pr-2'!$AK65)=2017,$CD65,0)</f>
        <v>0</v>
      </c>
      <c r="CH65" s="130">
        <f>IF(YEAR('3 pr-2'!$AK65)=2018,$CD65,0)</f>
        <v>0</v>
      </c>
      <c r="CI65" s="130">
        <f>IF(YEAR('3 pr-2'!$AK65)=2019,$CD65,0)</f>
        <v>0</v>
      </c>
      <c r="CJ65" s="130">
        <f>IF(YEAR('3 pr-2'!$AK65)=2020,$CD65,0)</f>
        <v>0</v>
      </c>
      <c r="CK65" s="130">
        <f>IF(YEAR('3 pr-2'!$AK65)=2021,$CD65,0)</f>
        <v>0</v>
      </c>
      <c r="CL65" s="130">
        <f>IF(YEAR('3 pr-2'!$AK65)=2022,$CD65,0)</f>
        <v>0</v>
      </c>
      <c r="CM65" s="130">
        <f>IF(YEAR('3 pr-2'!$AK65)=2023,$CD65,0)</f>
        <v>0</v>
      </c>
      <c r="CN65" s="317"/>
      <c r="CO65" s="472"/>
      <c r="CP65" s="1704"/>
      <c r="CQ65" s="1699"/>
      <c r="CR65" s="1699"/>
      <c r="CS65" s="1699"/>
      <c r="CT65" s="1699"/>
      <c r="CU65" s="1699"/>
      <c r="CV65" s="1699"/>
      <c r="CW65" s="1718">
        <f t="shared" si="138"/>
        <v>0</v>
      </c>
      <c r="CX65" s="318"/>
      <c r="CY65" s="303"/>
      <c r="CZ65" s="303"/>
      <c r="DA65" s="506">
        <f>IF(YEAR('3 pr-2'!AK65)=2017,CX65,0)</f>
        <v>0</v>
      </c>
      <c r="DB65" s="506">
        <f>IF(YEAR('3 pr-2'!AK65)=2018,CX65,0)</f>
        <v>0</v>
      </c>
      <c r="DC65" s="506">
        <f>IF(YEAR('3 pr-2'!AK65)=2019,CX65,0)</f>
        <v>0</v>
      </c>
      <c r="DD65" s="506">
        <f>IF(YEAR('3 pr-2'!AK65)=2020,CX65,0)</f>
        <v>0</v>
      </c>
      <c r="DE65" s="506">
        <f>IF(YEAR('3 pr-2'!AK65)=2021,CX65,0)</f>
        <v>0</v>
      </c>
      <c r="DF65" s="506">
        <f>IF(YEAR('3 pr-2'!AK65)=2022,CX65,0)</f>
        <v>0</v>
      </c>
      <c r="DG65" s="506">
        <f>IF(YEAR('3 pr-2'!AK65)=2023,CX65,0)</f>
        <v>0</v>
      </c>
      <c r="DH65" s="317"/>
      <c r="DI65" s="472"/>
      <c r="DJ65" s="318"/>
      <c r="DK65" s="130"/>
      <c r="DL65" s="130"/>
      <c r="DM65" s="130"/>
      <c r="DN65" s="130"/>
      <c r="DO65" s="130"/>
      <c r="DP65" s="130"/>
      <c r="DQ65" s="756"/>
      <c r="DR65" s="318"/>
      <c r="DS65" s="303"/>
      <c r="DT65" s="303"/>
      <c r="DU65" s="506"/>
      <c r="DV65" s="506"/>
      <c r="DW65" s="506"/>
      <c r="DX65" s="506"/>
      <c r="DY65" s="506"/>
      <c r="DZ65" s="506"/>
      <c r="EA65" s="506"/>
      <c r="EB65" s="317"/>
      <c r="EC65" s="472"/>
      <c r="ED65" s="303"/>
      <c r="EE65" s="303"/>
      <c r="EF65" s="303"/>
      <c r="EG65" s="506">
        <f>IF(YEAR('3 pr-2'!BP65)=2017,ED65,0)</f>
        <v>0</v>
      </c>
      <c r="EH65" s="506">
        <f>IF(YEAR('3 pr-2'!BP65)=2018,ED65,0)</f>
        <v>0</v>
      </c>
      <c r="EI65" s="506">
        <f>IF(YEAR('3 pr-2'!BP65)=2019,ED65,0)</f>
        <v>0</v>
      </c>
      <c r="EJ65" s="506">
        <f>IF(YEAR('3 pr-2'!BP65)=2020,ED65,0)</f>
        <v>0</v>
      </c>
      <c r="EK65" s="506">
        <f>IF(YEAR('3 pr-2'!BP65)=2021,ED65,0)</f>
        <v>0</v>
      </c>
      <c r="EL65" s="506">
        <f>IF(YEAR('3 pr-2'!BP65)=2022,ED65,0)</f>
        <v>0</v>
      </c>
      <c r="EM65" s="506">
        <f>IF(YEAR('3 pr-2'!BP65)=2023,ED65,0)</f>
        <v>0</v>
      </c>
    </row>
    <row r="66" spans="1:143" ht="61.5" thickTop="1" thickBot="1">
      <c r="A66" s="130" t="str">
        <f>CONCATENATE('3 pr-2'!A66)</f>
        <v>1.1.1.8.4</v>
      </c>
      <c r="B66" s="130" t="str">
        <f>CONCATENATE('3 pr-2'!B66)</f>
        <v>R01-3305-330200-1184</v>
      </c>
      <c r="C66" s="1730" t="str">
        <f>CONCATENATE('ketv. 2'!B65)</f>
        <v>07.1.1-CPVA-R-305-11-0004</v>
      </c>
      <c r="D66" s="78" t="str">
        <f>CONCATENATE('3 pr-2'!D66)</f>
        <v>Pastato rekonstrukcija ir pritaikymas kultūrinėms, muziejinėms ir edukacinėms reikmėms</v>
      </c>
      <c r="E66" s="11" t="str">
        <f>CONCATENATE('3 pr-2'!E66)</f>
        <v>Lazdijų rajono savivaldybės administracija</v>
      </c>
      <c r="F66" s="11" t="str">
        <f>CONCATENATE('3 pr-2'!F66)</f>
        <v>Lietuvos Respublikos kultūros ministerija</v>
      </c>
      <c r="G66" s="11" t="str">
        <f>CONCATENATE('3 pr-2'!G66)</f>
        <v>Lazdijų r. sav.</v>
      </c>
      <c r="H66" s="130" t="str">
        <f>CONCATENATE('3 pr-2'!H66)</f>
        <v>07.1.1-CPVA-R-305</v>
      </c>
      <c r="I66" s="130" t="str">
        <f>CONCATENATE('3 pr-2'!I66)</f>
        <v>R</v>
      </c>
      <c r="J66" s="130" t="str">
        <f>CONCATENATE('3 pr-2'!J66)</f>
        <v>ITI</v>
      </c>
      <c r="K66" s="130" t="str">
        <f>CONCATENATE('3 pr-2'!K66)</f>
        <v>-</v>
      </c>
      <c r="L66" s="130" t="s">
        <v>483</v>
      </c>
      <c r="M66" s="471" t="s">
        <v>484</v>
      </c>
      <c r="N66" s="1699"/>
      <c r="O66" s="1699"/>
      <c r="P66" s="1699"/>
      <c r="Q66" s="1699"/>
      <c r="R66" s="1699"/>
      <c r="S66" s="1699"/>
      <c r="T66" s="1699"/>
      <c r="U66" s="1700">
        <f t="shared" si="266"/>
        <v>0</v>
      </c>
      <c r="V66" s="130">
        <v>1</v>
      </c>
      <c r="W66" s="1757">
        <v>1</v>
      </c>
      <c r="X66" s="1732">
        <f t="shared" si="299"/>
        <v>0</v>
      </c>
      <c r="Y66" s="1732">
        <f>IF(YEAR('3 pr-2'!$AK66)=2017,$V66,0)</f>
        <v>0</v>
      </c>
      <c r="Z66" s="1732">
        <f>IF(YEAR('3 pr-2'!$AK66)=2018,$V66,0)</f>
        <v>0</v>
      </c>
      <c r="AA66" s="1732">
        <f>IF(YEAR('3 pr-2'!$AK66)=2019,$V66,0)</f>
        <v>1</v>
      </c>
      <c r="AB66" s="1732">
        <f>IF(YEAR('3 pr-2'!$AK66)=2020,$V66,0)</f>
        <v>0</v>
      </c>
      <c r="AC66" s="1732">
        <f>IF(YEAR('3 pr-2'!$AK66)=2021,$V66,0)</f>
        <v>0</v>
      </c>
      <c r="AD66" s="1732">
        <f>IF(YEAR('3 pr-2'!$AK66)=2022,$V66,0)</f>
        <v>0</v>
      </c>
      <c r="AE66" s="1732">
        <f>IF(YEAR('3 pr-2'!$AK66)=2023,$V66,0)</f>
        <v>0</v>
      </c>
      <c r="AF66" s="317"/>
      <c r="AG66" s="471"/>
      <c r="AH66" s="1699"/>
      <c r="AI66" s="1699"/>
      <c r="AJ66" s="1699"/>
      <c r="AK66" s="1699"/>
      <c r="AL66" s="1699"/>
      <c r="AM66" s="1699"/>
      <c r="AN66" s="1699"/>
      <c r="AO66" s="1718">
        <f t="shared" si="135"/>
        <v>0</v>
      </c>
      <c r="AP66" s="130"/>
      <c r="AQ66" s="1778"/>
      <c r="AR66" s="1732"/>
      <c r="AS66" s="1732">
        <f>IF(YEAR('3 pr-2'!$AK66)=2017,$AP66,0)</f>
        <v>0</v>
      </c>
      <c r="AT66" s="1732">
        <f>IF(YEAR('3 pr-2'!$AK66)=2018,$AP66,0)</f>
        <v>0</v>
      </c>
      <c r="AU66" s="1732">
        <f>IF(YEAR('3 pr-2'!$AK66)=2019,$AP66,0)</f>
        <v>0</v>
      </c>
      <c r="AV66" s="1732">
        <f>IF(YEAR('3 pr-2'!$AK66)=2020,$AP66,0)</f>
        <v>0</v>
      </c>
      <c r="AW66" s="1732">
        <f>IF(YEAR('3 pr-2'!$AK66)=2021,$AP66,0)</f>
        <v>0</v>
      </c>
      <c r="AX66" s="1732">
        <f>IF(YEAR('3 pr-2'!$AK66)=2022,$AP66,0)</f>
        <v>0</v>
      </c>
      <c r="AY66" s="1732">
        <f>IF(YEAR('3 pr-2'!$AK66)=2023,$AP66,0)</f>
        <v>0</v>
      </c>
      <c r="AZ66" s="130"/>
      <c r="BA66" s="470"/>
      <c r="BB66" s="1699"/>
      <c r="BC66" s="1699"/>
      <c r="BD66" s="1699"/>
      <c r="BE66" s="1699"/>
      <c r="BF66" s="1699"/>
      <c r="BG66" s="1699"/>
      <c r="BH66" s="1699"/>
      <c r="BI66" s="1718">
        <f t="shared" si="163"/>
        <v>0</v>
      </c>
      <c r="BJ66" s="130"/>
      <c r="BK66" s="1501"/>
      <c r="BL66" s="130"/>
      <c r="BM66" s="130">
        <f>IF(YEAR('3 pr-2'!AK66)=2017,BJ66,0)</f>
        <v>0</v>
      </c>
      <c r="BN66" s="130">
        <f>IF(YEAR('3 pr-2'!AK66)=2018,BJ66,0)</f>
        <v>0</v>
      </c>
      <c r="BO66" s="130">
        <f>IF(YEAR('3 pr-2'!AK66)=2019,BJ66,0)</f>
        <v>0</v>
      </c>
      <c r="BP66" s="130">
        <f>IF(YEAR('3 pr-2'!AK66)=2020,BJ66,0)</f>
        <v>0</v>
      </c>
      <c r="BQ66" s="130">
        <f>IF(YEAR('3 pr-2'!AK66)=2021,BJ66,0)</f>
        <v>0</v>
      </c>
      <c r="BR66" s="130">
        <f>IF(YEAR('3 pr-2'!AK66)=2022,BJ66,0)</f>
        <v>0</v>
      </c>
      <c r="BS66" s="130">
        <f>IF(YEAR('3 pr-2'!AK66)=2023,BJ66,0)</f>
        <v>0</v>
      </c>
      <c r="BT66" s="317"/>
      <c r="BU66" s="471"/>
      <c r="BV66" s="1699"/>
      <c r="BW66" s="1699"/>
      <c r="BX66" s="1699"/>
      <c r="BY66" s="1699"/>
      <c r="BZ66" s="1699"/>
      <c r="CA66" s="1699"/>
      <c r="CB66" s="1699"/>
      <c r="CC66" s="1718">
        <f t="shared" si="137"/>
        <v>0</v>
      </c>
      <c r="CD66" s="130"/>
      <c r="CE66" s="130"/>
      <c r="CF66" s="130"/>
      <c r="CG66" s="130">
        <f>IF(YEAR('3 pr-2'!$AK66)=2017,$CD66,0)</f>
        <v>0</v>
      </c>
      <c r="CH66" s="130">
        <f>IF(YEAR('3 pr-2'!$AK66)=2018,$CD66,0)</f>
        <v>0</v>
      </c>
      <c r="CI66" s="130">
        <f>IF(YEAR('3 pr-2'!$AK66)=2019,$CD66,0)</f>
        <v>0</v>
      </c>
      <c r="CJ66" s="130">
        <f>IF(YEAR('3 pr-2'!$AK66)=2020,$CD66,0)</f>
        <v>0</v>
      </c>
      <c r="CK66" s="130">
        <f>IF(YEAR('3 pr-2'!$AK66)=2021,$CD66,0)</f>
        <v>0</v>
      </c>
      <c r="CL66" s="130">
        <f>IF(YEAR('3 pr-2'!$AK66)=2022,$CD66,0)</f>
        <v>0</v>
      </c>
      <c r="CM66" s="130">
        <f>IF(YEAR('3 pr-2'!$AK66)=2023,$CD66,0)</f>
        <v>0</v>
      </c>
      <c r="CN66" s="317"/>
      <c r="CO66" s="472"/>
      <c r="CP66" s="1704"/>
      <c r="CQ66" s="1699"/>
      <c r="CR66" s="1699"/>
      <c r="CS66" s="1699"/>
      <c r="CT66" s="1699"/>
      <c r="CU66" s="1699"/>
      <c r="CV66" s="1699"/>
      <c r="CW66" s="1718">
        <f t="shared" si="138"/>
        <v>0</v>
      </c>
      <c r="CX66" s="318"/>
      <c r="CY66" s="303"/>
      <c r="CZ66" s="303"/>
      <c r="DA66" s="506">
        <f>IF(YEAR('3 pr-2'!AK66)=2017,CX66,0)</f>
        <v>0</v>
      </c>
      <c r="DB66" s="506">
        <f>IF(YEAR('3 pr-2'!AK66)=2018,CX66,0)</f>
        <v>0</v>
      </c>
      <c r="DC66" s="506">
        <f>IF(YEAR('3 pr-2'!AK66)=2019,CX66,0)</f>
        <v>0</v>
      </c>
      <c r="DD66" s="506">
        <f>IF(YEAR('3 pr-2'!AK66)=2020,CX66,0)</f>
        <v>0</v>
      </c>
      <c r="DE66" s="506">
        <f>IF(YEAR('3 pr-2'!AK66)=2021,CX66,0)</f>
        <v>0</v>
      </c>
      <c r="DF66" s="506">
        <f>IF(YEAR('3 pr-2'!AK66)=2022,CX66,0)</f>
        <v>0</v>
      </c>
      <c r="DG66" s="506">
        <f>IF(YEAR('3 pr-2'!AK66)=2023,CX66,0)</f>
        <v>0</v>
      </c>
      <c r="DH66" s="317"/>
      <c r="DI66" s="472"/>
      <c r="DJ66" s="318"/>
      <c r="DK66" s="130"/>
      <c r="DL66" s="130"/>
      <c r="DM66" s="130"/>
      <c r="DN66" s="130"/>
      <c r="DO66" s="130"/>
      <c r="DP66" s="130"/>
      <c r="DQ66" s="756"/>
      <c r="DR66" s="318"/>
      <c r="DS66" s="303"/>
      <c r="DT66" s="303"/>
      <c r="DU66" s="506"/>
      <c r="DV66" s="506"/>
      <c r="DW66" s="506"/>
      <c r="DX66" s="506"/>
      <c r="DY66" s="506"/>
      <c r="DZ66" s="506"/>
      <c r="EA66" s="506"/>
      <c r="EB66" s="317"/>
      <c r="EC66" s="472"/>
      <c r="ED66" s="303"/>
      <c r="EE66" s="303"/>
      <c r="EF66" s="303"/>
      <c r="EG66" s="506">
        <f>IF(YEAR('3 pr-2'!BP66)=2017,ED66,0)</f>
        <v>0</v>
      </c>
      <c r="EH66" s="506">
        <f>IF(YEAR('3 pr-2'!BP66)=2018,ED66,0)</f>
        <v>0</v>
      </c>
      <c r="EI66" s="506">
        <f>IF(YEAR('3 pr-2'!BP66)=2019,ED66,0)</f>
        <v>0</v>
      </c>
      <c r="EJ66" s="506">
        <f>IF(YEAR('3 pr-2'!BP66)=2020,ED66,0)</f>
        <v>0</v>
      </c>
      <c r="EK66" s="506">
        <f>IF(YEAR('3 pr-2'!BP66)=2021,ED66,0)</f>
        <v>0</v>
      </c>
      <c r="EL66" s="506">
        <f>IF(YEAR('3 pr-2'!BP66)=2022,ED66,0)</f>
        <v>0</v>
      </c>
      <c r="EM66" s="506">
        <f>IF(YEAR('3 pr-2'!BP66)=2023,ED66,0)</f>
        <v>0</v>
      </c>
    </row>
    <row r="67" spans="1:143" ht="30" customHeight="1" thickBot="1">
      <c r="A67" s="697" t="str">
        <f>CONCATENATE('3 pr-2'!A67)</f>
        <v>1.1.1.9</v>
      </c>
      <c r="B67" s="1972" t="str">
        <f>CONCATENATE('3 pr-2'!B67)</f>
        <v>Priemonė:
Aktualizuoti savivaldybių kultūros paveldo objektus</v>
      </c>
      <c r="C67" s="1894"/>
      <c r="D67" s="1894"/>
      <c r="E67" s="1894"/>
      <c r="F67" s="1894"/>
      <c r="G67" s="1894"/>
      <c r="H67" s="1894"/>
      <c r="I67" s="1894"/>
      <c r="J67" s="1894"/>
      <c r="K67" s="1895"/>
      <c r="L67" s="1322"/>
      <c r="M67" s="474"/>
      <c r="N67" s="1697">
        <f>SUM(N68:N72)</f>
        <v>0</v>
      </c>
      <c r="O67" s="1697">
        <f t="shared" ref="O67:T67" si="300">SUM(O68:O72)</f>
        <v>0</v>
      </c>
      <c r="P67" s="1697">
        <f t="shared" si="300"/>
        <v>0</v>
      </c>
      <c r="Q67" s="1697">
        <f t="shared" si="300"/>
        <v>0</v>
      </c>
      <c r="R67" s="1697">
        <f t="shared" si="300"/>
        <v>0</v>
      </c>
      <c r="S67" s="1697">
        <f t="shared" si="300"/>
        <v>0</v>
      </c>
      <c r="T67" s="1697">
        <f t="shared" si="300"/>
        <v>0</v>
      </c>
      <c r="U67" s="1698">
        <f t="shared" ref="U67:U72" si="301">SUM(N67:T67)</f>
        <v>0</v>
      </c>
      <c r="V67" s="736"/>
      <c r="W67" s="1754"/>
      <c r="X67" s="1755"/>
      <c r="Y67" s="1756">
        <f t="shared" ref="Y67:AE67" si="302">SUM(Y68:Y72)</f>
        <v>0</v>
      </c>
      <c r="Z67" s="1756">
        <f t="shared" si="302"/>
        <v>0</v>
      </c>
      <c r="AA67" s="1756">
        <f t="shared" si="302"/>
        <v>2</v>
      </c>
      <c r="AB67" s="1756">
        <f t="shared" si="302"/>
        <v>3</v>
      </c>
      <c r="AC67" s="1756">
        <f t="shared" si="302"/>
        <v>0</v>
      </c>
      <c r="AD67" s="1756">
        <f t="shared" si="302"/>
        <v>0</v>
      </c>
      <c r="AE67" s="1756">
        <f t="shared" si="302"/>
        <v>0</v>
      </c>
      <c r="AF67" s="736"/>
      <c r="AG67" s="763"/>
      <c r="AH67" s="1697">
        <f>SUM(AH68:AH72)</f>
        <v>0</v>
      </c>
      <c r="AI67" s="1697">
        <f t="shared" ref="AI67" si="303">SUM(AI68:AI72)</f>
        <v>0</v>
      </c>
      <c r="AJ67" s="1697">
        <f t="shared" ref="AJ67" si="304">SUM(AJ68:AJ72)</f>
        <v>0</v>
      </c>
      <c r="AK67" s="1697">
        <f t="shared" ref="AK67" si="305">SUM(AK68:AK72)</f>
        <v>0</v>
      </c>
      <c r="AL67" s="1697">
        <f t="shared" ref="AL67" si="306">SUM(AL68:AL72)</f>
        <v>0</v>
      </c>
      <c r="AM67" s="1697">
        <f t="shared" ref="AM67" si="307">SUM(AM68:AM72)</f>
        <v>0</v>
      </c>
      <c r="AN67" s="1697">
        <f t="shared" ref="AN67" si="308">SUM(AN68:AN72)</f>
        <v>0</v>
      </c>
      <c r="AO67" s="1701">
        <f t="shared" si="135"/>
        <v>0</v>
      </c>
      <c r="AP67" s="736"/>
      <c r="AQ67" s="1756"/>
      <c r="AR67" s="1756"/>
      <c r="AS67" s="1756">
        <f t="shared" ref="AS67:AY67" si="309">SUM(AS68:AS72)</f>
        <v>0</v>
      </c>
      <c r="AT67" s="1756">
        <f t="shared" si="309"/>
        <v>0</v>
      </c>
      <c r="AU67" s="1756">
        <f t="shared" si="309"/>
        <v>6000</v>
      </c>
      <c r="AV67" s="1756">
        <f t="shared" si="309"/>
        <v>4401</v>
      </c>
      <c r="AW67" s="1756">
        <f t="shared" si="309"/>
        <v>0</v>
      </c>
      <c r="AX67" s="1756">
        <f t="shared" si="309"/>
        <v>0</v>
      </c>
      <c r="AY67" s="1756">
        <f t="shared" si="309"/>
        <v>0</v>
      </c>
      <c r="AZ67" s="736"/>
      <c r="BA67" s="752"/>
      <c r="BB67" s="1697">
        <f>SUM(BB68:BB72)</f>
        <v>0</v>
      </c>
      <c r="BC67" s="1697">
        <f t="shared" ref="BC67" si="310">SUM(BC68:BC72)</f>
        <v>0</v>
      </c>
      <c r="BD67" s="1697">
        <f t="shared" ref="BD67" si="311">SUM(BD68:BD72)</f>
        <v>0</v>
      </c>
      <c r="BE67" s="1697">
        <f t="shared" ref="BE67" si="312">SUM(BE68:BE72)</f>
        <v>0</v>
      </c>
      <c r="BF67" s="1697">
        <f t="shared" ref="BF67" si="313">SUM(BF68:BF72)</f>
        <v>0</v>
      </c>
      <c r="BG67" s="1697">
        <f t="shared" ref="BG67" si="314">SUM(BG68:BG72)</f>
        <v>0</v>
      </c>
      <c r="BH67" s="1697">
        <f t="shared" ref="BH67" si="315">SUM(BH68:BH72)</f>
        <v>0</v>
      </c>
      <c r="BI67" s="1701">
        <f t="shared" si="163"/>
        <v>0</v>
      </c>
      <c r="BJ67" s="736"/>
      <c r="BK67" s="304"/>
      <c r="BL67" s="304"/>
      <c r="BM67" s="304"/>
      <c r="BN67" s="304"/>
      <c r="BO67" s="304"/>
      <c r="BP67" s="304"/>
      <c r="BQ67" s="304"/>
      <c r="BR67" s="304"/>
      <c r="BS67" s="304"/>
      <c r="BT67" s="304"/>
      <c r="BU67" s="472"/>
      <c r="BV67" s="1697">
        <f>SUM(BV68:BV72)</f>
        <v>0</v>
      </c>
      <c r="BW67" s="1697">
        <f t="shared" ref="BW67" si="316">SUM(BW68:BW72)</f>
        <v>0</v>
      </c>
      <c r="BX67" s="1697">
        <f t="shared" ref="BX67" si="317">SUM(BX68:BX72)</f>
        <v>0</v>
      </c>
      <c r="BY67" s="1697">
        <f t="shared" ref="BY67" si="318">SUM(BY68:BY72)</f>
        <v>0</v>
      </c>
      <c r="BZ67" s="1697">
        <f t="shared" ref="BZ67" si="319">SUM(BZ68:BZ72)</f>
        <v>0</v>
      </c>
      <c r="CA67" s="1697">
        <f t="shared" ref="CA67" si="320">SUM(CA68:CA72)</f>
        <v>0</v>
      </c>
      <c r="CB67" s="1697">
        <f t="shared" ref="CB67" si="321">SUM(CB68:CB72)</f>
        <v>0</v>
      </c>
      <c r="CC67" s="1701">
        <f t="shared" si="137"/>
        <v>0</v>
      </c>
      <c r="CD67" s="304"/>
      <c r="CE67" s="304"/>
      <c r="CF67" s="304"/>
      <c r="CG67" s="304"/>
      <c r="CH67" s="304"/>
      <c r="CI67" s="304"/>
      <c r="CJ67" s="304"/>
      <c r="CK67" s="304"/>
      <c r="CL67" s="304"/>
      <c r="CM67" s="304"/>
      <c r="CN67" s="750"/>
      <c r="CO67" s="472"/>
      <c r="CP67" s="1723">
        <f>SUM(CP68:CP72)</f>
        <v>0</v>
      </c>
      <c r="CQ67" s="1697">
        <f t="shared" ref="CQ67" si="322">SUM(CQ68:CQ72)</f>
        <v>0</v>
      </c>
      <c r="CR67" s="1697">
        <f t="shared" ref="CR67" si="323">SUM(CR68:CR72)</f>
        <v>0</v>
      </c>
      <c r="CS67" s="1697">
        <f t="shared" ref="CS67" si="324">SUM(CS68:CS72)</f>
        <v>0</v>
      </c>
      <c r="CT67" s="1697">
        <f t="shared" ref="CT67" si="325">SUM(CT68:CT72)</f>
        <v>0</v>
      </c>
      <c r="CU67" s="1697">
        <f t="shared" ref="CU67" si="326">SUM(CU68:CU72)</f>
        <v>0</v>
      </c>
      <c r="CV67" s="1697">
        <f t="shared" ref="CV67" si="327">SUM(CV68:CV72)</f>
        <v>0</v>
      </c>
      <c r="CW67" s="1701">
        <f t="shared" si="138"/>
        <v>0</v>
      </c>
      <c r="CX67" s="304"/>
      <c r="CY67" s="506"/>
      <c r="CZ67" s="506"/>
      <c r="DA67" s="506"/>
      <c r="DB67" s="506"/>
      <c r="DC67" s="506"/>
      <c r="DD67" s="506"/>
      <c r="DE67" s="506"/>
      <c r="DF67" s="506"/>
      <c r="DG67" s="506"/>
      <c r="DH67" s="750"/>
      <c r="DI67" s="472"/>
      <c r="DJ67" s="725"/>
      <c r="DK67" s="304"/>
      <c r="DL67" s="304"/>
      <c r="DM67" s="304"/>
      <c r="DN67" s="304"/>
      <c r="DO67" s="304"/>
      <c r="DP67" s="304"/>
      <c r="DQ67" s="736"/>
      <c r="DR67" s="304"/>
      <c r="DS67" s="506"/>
      <c r="DT67" s="506"/>
      <c r="DU67" s="506"/>
      <c r="DV67" s="506"/>
      <c r="DW67" s="506"/>
      <c r="DX67" s="506"/>
      <c r="DY67" s="506"/>
      <c r="DZ67" s="506"/>
      <c r="EA67" s="506"/>
      <c r="EB67" s="750"/>
      <c r="EC67" s="472"/>
      <c r="ED67" s="506"/>
      <c r="EE67" s="506"/>
      <c r="EF67" s="506"/>
      <c r="EG67" s="506"/>
      <c r="EH67" s="506"/>
      <c r="EI67" s="506"/>
      <c r="EJ67" s="506"/>
      <c r="EK67" s="506"/>
      <c r="EL67" s="506"/>
      <c r="EM67" s="506"/>
    </row>
    <row r="68" spans="1:143" ht="64.5" thickTop="1" thickBot="1">
      <c r="A68" s="130" t="str">
        <f>CONCATENATE('3 pr-2'!A68)</f>
        <v>1.1.1.9.1</v>
      </c>
      <c r="B68" s="130" t="str">
        <f>CONCATENATE('3 pr-2'!B68)</f>
        <v>R01-3302-440000-1191</v>
      </c>
      <c r="C68" s="1730" t="str">
        <f>CONCATENATE('ketv. 2'!B67)</f>
        <v>05.4.1-CPVA-R-302-11-0003</v>
      </c>
      <c r="D68" s="78" t="str">
        <f>CONCATENATE('3 pr-2'!D68)</f>
        <v>Buvusios sinagogos pastato Kauno g. 9A Alytuje rekonstravimas ir aplinkinės teritorijos sutvarkymas</v>
      </c>
      <c r="E68" s="11" t="str">
        <f>CONCATENATE('3 pr-2'!E68)</f>
        <v>Alytaus miesto savivaldybės administracija</v>
      </c>
      <c r="F68" s="11" t="str">
        <f>CONCATENATE('3 pr-2'!F68)</f>
        <v>Lietuvos Respublikos kultūros ministerija</v>
      </c>
      <c r="G68" s="11" t="str">
        <f>CONCATENATE('3 pr-2'!G68)</f>
        <v>Alytaus m. sav.</v>
      </c>
      <c r="H68" s="130" t="str">
        <f>CONCATENATE('3 pr-2'!H68)</f>
        <v>05.4.1-CPVA-R-302</v>
      </c>
      <c r="I68" s="130" t="str">
        <f>CONCATENATE('3 pr-2'!I68)</f>
        <v>R</v>
      </c>
      <c r="J68" s="130" t="str">
        <f>CONCATENATE('3 pr-2'!J68)</f>
        <v>ITI</v>
      </c>
      <c r="K68" s="130" t="str">
        <f>CONCATENATE('3 pr-2'!K68)</f>
        <v xml:space="preserve"> -</v>
      </c>
      <c r="L68" s="130" t="s">
        <v>485</v>
      </c>
      <c r="M68" s="471" t="s">
        <v>486</v>
      </c>
      <c r="N68" s="1699"/>
      <c r="O68" s="1699"/>
      <c r="P68" s="1699"/>
      <c r="Q68" s="1699"/>
      <c r="R68" s="1699"/>
      <c r="S68" s="1699"/>
      <c r="T68" s="1699"/>
      <c r="U68" s="1700">
        <f t="shared" si="301"/>
        <v>0</v>
      </c>
      <c r="V68" s="130">
        <v>1</v>
      </c>
      <c r="W68" s="1757">
        <v>1</v>
      </c>
      <c r="X68" s="1732">
        <f t="shared" ref="X68:X72" si="328">SUM(W68-V68)</f>
        <v>0</v>
      </c>
      <c r="Y68" s="1732">
        <f>IF(YEAR('3 pr-2'!$AK68)=2017,$V68,0)</f>
        <v>0</v>
      </c>
      <c r="Z68" s="1732">
        <f>IF(YEAR('3 pr-2'!$AK68)=2018,$V68,0)</f>
        <v>0</v>
      </c>
      <c r="AA68" s="1732">
        <f>IF(YEAR('3 pr-2'!$AK68)=2019,$V68,0)</f>
        <v>0</v>
      </c>
      <c r="AB68" s="1732">
        <f>IF(YEAR('3 pr-2'!$AK68)=2020,$V68,0)</f>
        <v>1</v>
      </c>
      <c r="AC68" s="1732">
        <f>IF(YEAR('3 pr-2'!$AK68)=2021,$V68,0)</f>
        <v>0</v>
      </c>
      <c r="AD68" s="1732">
        <f>IF(YEAR('3 pr-2'!$AK68)=2022,$V68,0)</f>
        <v>0</v>
      </c>
      <c r="AE68" s="1732">
        <f>IF(YEAR('3 pr-2'!$AK68)=2023,$V68,0)</f>
        <v>0</v>
      </c>
      <c r="AF68" s="317" t="s">
        <v>1382</v>
      </c>
      <c r="AG68" s="672" t="s">
        <v>1383</v>
      </c>
      <c r="AH68" s="1699"/>
      <c r="AI68" s="1699"/>
      <c r="AJ68" s="1699"/>
      <c r="AK68" s="1699"/>
      <c r="AL68" s="1699"/>
      <c r="AM68" s="1699"/>
      <c r="AN68" s="1699"/>
      <c r="AO68" s="1718"/>
      <c r="AP68" s="130">
        <v>2966</v>
      </c>
      <c r="AQ68" s="1778">
        <v>2966</v>
      </c>
      <c r="AR68" s="1732">
        <f t="shared" ref="AR68:AR72" si="329">SUM(AQ68-AP68)</f>
        <v>0</v>
      </c>
      <c r="AS68" s="1732">
        <f>IF(YEAR('3 pr-2'!$AK68)=2017,$AP68,0)</f>
        <v>0</v>
      </c>
      <c r="AT68" s="1732">
        <f>IF(YEAR('3 pr-2'!$AK68)=2018,$AP68,0)</f>
        <v>0</v>
      </c>
      <c r="AU68" s="1732">
        <f>IF(YEAR('3 pr-2'!$AK68)=2019,$AP68,0)</f>
        <v>0</v>
      </c>
      <c r="AV68" s="1732">
        <f>IF(YEAR('3 pr-2'!$AK68)=2020,$AP68,0)</f>
        <v>2966</v>
      </c>
      <c r="AW68" s="1732">
        <f>IF(YEAR('3 pr-2'!$AK68)=2021,$AP68,0)</f>
        <v>0</v>
      </c>
      <c r="AX68" s="1732">
        <f>IF(YEAR('3 pr-2'!$AK68)=2022,$AP68,0)</f>
        <v>0</v>
      </c>
      <c r="AY68" s="1732">
        <f>IF(YEAR('3 pr-2'!$AK68)=2023,$AP68,0)</f>
        <v>0</v>
      </c>
      <c r="AZ68" s="130"/>
      <c r="BA68" s="470"/>
      <c r="BB68" s="1699"/>
      <c r="BC68" s="1699"/>
      <c r="BD68" s="1699"/>
      <c r="BE68" s="1699"/>
      <c r="BF68" s="1699"/>
      <c r="BG68" s="1699"/>
      <c r="BH68" s="1699"/>
      <c r="BI68" s="1718">
        <f t="shared" si="163"/>
        <v>0</v>
      </c>
      <c r="BJ68" s="130"/>
      <c r="BK68" s="1501"/>
      <c r="BL68" s="130"/>
      <c r="BM68" s="130">
        <f>IF(YEAR('3 pr-2'!AK68)=2017,BJ68,0)</f>
        <v>0</v>
      </c>
      <c r="BN68" s="130">
        <f>IF(YEAR('3 pr-2'!AK68)=2018,BJ68,0)</f>
        <v>0</v>
      </c>
      <c r="BO68" s="130">
        <f>IF(YEAR('3 pr-2'!AK68)=2019,BJ68,0)</f>
        <v>0</v>
      </c>
      <c r="BP68" s="130">
        <f>IF(YEAR('3 pr-2'!AK68)=2020,BJ68,0)</f>
        <v>0</v>
      </c>
      <c r="BQ68" s="130">
        <f>IF(YEAR('3 pr-2'!AK68)=2021,BJ68,0)</f>
        <v>0</v>
      </c>
      <c r="BR68" s="130">
        <f>IF(YEAR('3 pr-2'!AK68)=2022,BJ68,0)</f>
        <v>0</v>
      </c>
      <c r="BS68" s="130">
        <f>IF(YEAR('3 pr-2'!AK68)=2023,BJ68,0)</f>
        <v>0</v>
      </c>
      <c r="BT68" s="317"/>
      <c r="BU68" s="471"/>
      <c r="BV68" s="1699"/>
      <c r="BW68" s="1699"/>
      <c r="BX68" s="1699"/>
      <c r="BY68" s="1699"/>
      <c r="BZ68" s="1699"/>
      <c r="CA68" s="1699"/>
      <c r="CB68" s="1699"/>
      <c r="CC68" s="1718">
        <f t="shared" si="137"/>
        <v>0</v>
      </c>
      <c r="CD68" s="130"/>
      <c r="CE68" s="130"/>
      <c r="CF68" s="130"/>
      <c r="CG68" s="130">
        <f>IF(YEAR('3 pr-2'!$AK68)=2017,$CD68,0)</f>
        <v>0</v>
      </c>
      <c r="CH68" s="130">
        <f>IF(YEAR('3 pr-2'!$AK68)=2018,$CD68,0)</f>
        <v>0</v>
      </c>
      <c r="CI68" s="130">
        <f>IF(YEAR('3 pr-2'!$AK68)=2019,$CD68,0)</f>
        <v>0</v>
      </c>
      <c r="CJ68" s="130">
        <f>IF(YEAR('3 pr-2'!$AK68)=2020,$CD68,0)</f>
        <v>0</v>
      </c>
      <c r="CK68" s="130">
        <f>IF(YEAR('3 pr-2'!$AK68)=2021,$CD68,0)</f>
        <v>0</v>
      </c>
      <c r="CL68" s="130">
        <f>IF(YEAR('3 pr-2'!$AK68)=2022,$CD68,0)</f>
        <v>0</v>
      </c>
      <c r="CM68" s="130">
        <f>IF(YEAR('3 pr-2'!$AK68)=2023,$CD68,0)</f>
        <v>0</v>
      </c>
      <c r="CN68" s="317"/>
      <c r="CO68" s="472"/>
      <c r="CP68" s="1704"/>
      <c r="CQ68" s="1699"/>
      <c r="CR68" s="1699"/>
      <c r="CS68" s="1699"/>
      <c r="CT68" s="1699"/>
      <c r="CU68" s="1699"/>
      <c r="CV68" s="1699"/>
      <c r="CW68" s="1718">
        <f t="shared" si="138"/>
        <v>0</v>
      </c>
      <c r="CX68" s="318"/>
      <c r="CY68" s="303"/>
      <c r="CZ68" s="303"/>
      <c r="DA68" s="506">
        <f>IF(YEAR('3 pr-2'!AK68)=2017,CX68,0)</f>
        <v>0</v>
      </c>
      <c r="DB68" s="506">
        <f>IF(YEAR('3 pr-2'!AK68)=2018,CX68,0)</f>
        <v>0</v>
      </c>
      <c r="DC68" s="506">
        <f>IF(YEAR('3 pr-2'!AK68)=2019,CX68,0)</f>
        <v>0</v>
      </c>
      <c r="DD68" s="506">
        <f>IF(YEAR('3 pr-2'!AK68)=2020,CX68,0)</f>
        <v>0</v>
      </c>
      <c r="DE68" s="506">
        <f>IF(YEAR('3 pr-2'!AK68)=2021,CX68,0)</f>
        <v>0</v>
      </c>
      <c r="DF68" s="506">
        <f>IF(YEAR('3 pr-2'!AK68)=2022,CX68,0)</f>
        <v>0</v>
      </c>
      <c r="DG68" s="506">
        <f>IF(YEAR('3 pr-2'!AK68)=2023,CX68,0)</f>
        <v>0</v>
      </c>
      <c r="DH68" s="317"/>
      <c r="DI68" s="472"/>
      <c r="DJ68" s="318"/>
      <c r="DK68" s="130"/>
      <c r="DL68" s="130"/>
      <c r="DM68" s="130"/>
      <c r="DN68" s="130"/>
      <c r="DO68" s="130"/>
      <c r="DP68" s="130"/>
      <c r="DQ68" s="756"/>
      <c r="DR68" s="318"/>
      <c r="DS68" s="303"/>
      <c r="DT68" s="303"/>
      <c r="DU68" s="506"/>
      <c r="DV68" s="506"/>
      <c r="DW68" s="506"/>
      <c r="DX68" s="506"/>
      <c r="DY68" s="506"/>
      <c r="DZ68" s="506"/>
      <c r="EA68" s="506"/>
      <c r="EB68" s="317"/>
      <c r="EC68" s="472"/>
      <c r="ED68" s="303"/>
      <c r="EE68" s="303"/>
      <c r="EF68" s="303"/>
      <c r="EG68" s="506">
        <f>IF(YEAR('3 pr-2'!BP68)=2017,ED68,0)</f>
        <v>0</v>
      </c>
      <c r="EH68" s="506">
        <f>IF(YEAR('3 pr-2'!BP68)=2018,ED68,0)</f>
        <v>0</v>
      </c>
      <c r="EI68" s="506">
        <f>IF(YEAR('3 pr-2'!BP68)=2019,ED68,0)</f>
        <v>0</v>
      </c>
      <c r="EJ68" s="506">
        <f>IF(YEAR('3 pr-2'!BP68)=2020,ED68,0)</f>
        <v>0</v>
      </c>
      <c r="EK68" s="506">
        <f>IF(YEAR('3 pr-2'!BP68)=2021,ED68,0)</f>
        <v>0</v>
      </c>
      <c r="EL68" s="506">
        <f>IF(YEAR('3 pr-2'!BP68)=2022,ED68,0)</f>
        <v>0</v>
      </c>
      <c r="EM68" s="506">
        <f>IF(YEAR('3 pr-2'!BP68)=2023,ED68,0)</f>
        <v>0</v>
      </c>
    </row>
    <row r="69" spans="1:143" ht="85.5" thickTop="1" thickBot="1">
      <c r="A69" s="130" t="str">
        <f>CONCATENATE('3 pr-2'!A69)</f>
        <v>1.1.1.9.2</v>
      </c>
      <c r="B69" s="130" t="str">
        <f>CONCATENATE('3 pr-2'!B69)</f>
        <v>R01-3302-440000-1192</v>
      </c>
      <c r="C69" s="1730" t="str">
        <f>CONCATENATE('ketv. 2'!B68)</f>
        <v>05.4.1-CPVA-R-302-11-0002</v>
      </c>
      <c r="D69" s="78" t="str">
        <f>CONCATENATE('3 pr-2'!D69)</f>
        <v>Mažosios dailės galerijos, M.K.Čiurlionio g. 37, Druskininkai, modernizavimas ir pritaikymas kultūros poreikiams</v>
      </c>
      <c r="E69" s="11" t="str">
        <f>CONCATENATE('3 pr-2'!E69)</f>
        <v xml:space="preserve">Druskininkų savivaldybės administracija  </v>
      </c>
      <c r="F69" s="11" t="str">
        <f>CONCATENATE('3 pr-2'!F69)</f>
        <v>Lietuvos Respublikos kultūros ministerija</v>
      </c>
      <c r="G69" s="11" t="str">
        <f>CONCATENATE('3 pr-2'!G69)</f>
        <v>Druskininkų sav.</v>
      </c>
      <c r="H69" s="130" t="str">
        <f>CONCATENATE('3 pr-2'!H69)</f>
        <v>05.4.1-CPVA-R-302</v>
      </c>
      <c r="I69" s="130" t="str">
        <f>CONCATENATE('3 pr-2'!I69)</f>
        <v>R</v>
      </c>
      <c r="J69" s="130" t="str">
        <f>CONCATENATE('3 pr-2'!J69)</f>
        <v>-</v>
      </c>
      <c r="K69" s="130" t="str">
        <f>CONCATENATE('3 pr-2'!K69)</f>
        <v/>
      </c>
      <c r="L69" s="130" t="s">
        <v>485</v>
      </c>
      <c r="M69" s="471" t="s">
        <v>487</v>
      </c>
      <c r="N69" s="1699"/>
      <c r="O69" s="1699"/>
      <c r="P69" s="1699"/>
      <c r="Q69" s="1699"/>
      <c r="R69" s="1699"/>
      <c r="S69" s="1699"/>
      <c r="T69" s="1699"/>
      <c r="U69" s="1700">
        <f t="shared" si="301"/>
        <v>0</v>
      </c>
      <c r="V69" s="130">
        <v>1</v>
      </c>
      <c r="W69" s="1757">
        <v>1</v>
      </c>
      <c r="X69" s="1732">
        <f t="shared" si="328"/>
        <v>0</v>
      </c>
      <c r="Y69" s="1732">
        <f>IF(YEAR('3 pr-2'!$AK69)=2017,$V69,0)</f>
        <v>0</v>
      </c>
      <c r="Z69" s="1732">
        <f>IF(YEAR('3 pr-2'!$AK69)=2018,$V69,0)</f>
        <v>0</v>
      </c>
      <c r="AA69" s="1732">
        <f>IF(YEAR('3 pr-2'!$AK69)=2019,$V69,0)</f>
        <v>1</v>
      </c>
      <c r="AB69" s="1732">
        <f>IF(YEAR('3 pr-2'!$AK69)=2020,$V69,0)</f>
        <v>0</v>
      </c>
      <c r="AC69" s="1732">
        <f>IF(YEAR('3 pr-2'!$AK69)=2021,$V69,0)</f>
        <v>0</v>
      </c>
      <c r="AD69" s="1732">
        <f>IF(YEAR('3 pr-2'!$AK69)=2022,$V69,0)</f>
        <v>0</v>
      </c>
      <c r="AE69" s="1732">
        <f>IF(YEAR('3 pr-2'!$AK69)=2023,$V69,0)</f>
        <v>0</v>
      </c>
      <c r="AF69" s="317" t="s">
        <v>1382</v>
      </c>
      <c r="AG69" s="672" t="s">
        <v>1383</v>
      </c>
      <c r="AH69" s="1699"/>
      <c r="AI69" s="1699"/>
      <c r="AJ69" s="1699"/>
      <c r="AK69" s="1699"/>
      <c r="AL69" s="1699"/>
      <c r="AM69" s="1699"/>
      <c r="AN69" s="1699"/>
      <c r="AO69" s="1718">
        <f t="shared" ref="AO69" si="330">SUM(AH69:AN69)</f>
        <v>0</v>
      </c>
      <c r="AP69" s="130">
        <v>3500</v>
      </c>
      <c r="AQ69" s="1778">
        <v>3500</v>
      </c>
      <c r="AR69" s="1732">
        <f t="shared" si="329"/>
        <v>0</v>
      </c>
      <c r="AS69" s="1732">
        <f>IF(YEAR('3 pr-2'!$AK69)=2017,$AP69,0)</f>
        <v>0</v>
      </c>
      <c r="AT69" s="1732">
        <f>IF(YEAR('3 pr-2'!$AK69)=2018,$AP69,0)</f>
        <v>0</v>
      </c>
      <c r="AU69" s="1732">
        <f>IF(YEAR('3 pr-2'!$AK69)=2019,$AP69,0)</f>
        <v>3500</v>
      </c>
      <c r="AV69" s="1732">
        <f>IF(YEAR('3 pr-2'!$AK69)=2020,$AP69,0)</f>
        <v>0</v>
      </c>
      <c r="AW69" s="1732">
        <f>IF(YEAR('3 pr-2'!$AK69)=2021,$AP69,0)</f>
        <v>0</v>
      </c>
      <c r="AX69" s="1732">
        <f>IF(YEAR('3 pr-2'!$AK69)=2022,$AP69,0)</f>
        <v>0</v>
      </c>
      <c r="AY69" s="1732">
        <f>IF(YEAR('3 pr-2'!$AK69)=2023,$AP69,0)</f>
        <v>0</v>
      </c>
      <c r="AZ69" s="130"/>
      <c r="BA69" s="470"/>
      <c r="BB69" s="1699"/>
      <c r="BC69" s="1699"/>
      <c r="BD69" s="1699"/>
      <c r="BE69" s="1699"/>
      <c r="BF69" s="1699"/>
      <c r="BG69" s="1699"/>
      <c r="BH69" s="1699"/>
      <c r="BI69" s="1718">
        <f t="shared" si="163"/>
        <v>0</v>
      </c>
      <c r="BJ69" s="130"/>
      <c r="BK69" s="1501"/>
      <c r="BL69" s="130"/>
      <c r="BM69" s="130">
        <f>IF(YEAR('3 pr-2'!AK69)=2017,BJ69,0)</f>
        <v>0</v>
      </c>
      <c r="BN69" s="130">
        <f>IF(YEAR('3 pr-2'!AK69)=2018,BJ69,0)</f>
        <v>0</v>
      </c>
      <c r="BO69" s="130">
        <f>IF(YEAR('3 pr-2'!AK69)=2019,BJ69,0)</f>
        <v>0</v>
      </c>
      <c r="BP69" s="130">
        <f>IF(YEAR('3 pr-2'!AK69)=2020,BJ69,0)</f>
        <v>0</v>
      </c>
      <c r="BQ69" s="130">
        <f>IF(YEAR('3 pr-2'!AK69)=2021,BJ69,0)</f>
        <v>0</v>
      </c>
      <c r="BR69" s="130">
        <f>IF(YEAR('3 pr-2'!AK69)=2022,BJ69,0)</f>
        <v>0</v>
      </c>
      <c r="BS69" s="130">
        <f>IF(YEAR('3 pr-2'!AK69)=2023,BJ69,0)</f>
        <v>0</v>
      </c>
      <c r="BT69" s="317"/>
      <c r="BU69" s="471"/>
      <c r="BV69" s="1699"/>
      <c r="BW69" s="1699"/>
      <c r="BX69" s="1699"/>
      <c r="BY69" s="1699"/>
      <c r="BZ69" s="1699"/>
      <c r="CA69" s="1699"/>
      <c r="CB69" s="1699"/>
      <c r="CC69" s="1718">
        <f t="shared" si="137"/>
        <v>0</v>
      </c>
      <c r="CD69" s="130"/>
      <c r="CE69" s="130"/>
      <c r="CF69" s="130"/>
      <c r="CG69" s="130">
        <f>IF(YEAR('3 pr-2'!$AK69)=2017,$CD69,0)</f>
        <v>0</v>
      </c>
      <c r="CH69" s="130">
        <f>IF(YEAR('3 pr-2'!$AK69)=2018,$CD69,0)</f>
        <v>0</v>
      </c>
      <c r="CI69" s="130">
        <f>IF(YEAR('3 pr-2'!$AK69)=2019,$CD69,0)</f>
        <v>0</v>
      </c>
      <c r="CJ69" s="130">
        <f>IF(YEAR('3 pr-2'!$AK69)=2020,$CD69,0)</f>
        <v>0</v>
      </c>
      <c r="CK69" s="130">
        <f>IF(YEAR('3 pr-2'!$AK69)=2021,$CD69,0)</f>
        <v>0</v>
      </c>
      <c r="CL69" s="130">
        <f>IF(YEAR('3 pr-2'!$AK69)=2022,$CD69,0)</f>
        <v>0</v>
      </c>
      <c r="CM69" s="130">
        <f>IF(YEAR('3 pr-2'!$AK69)=2023,$CD69,0)</f>
        <v>0</v>
      </c>
      <c r="CN69" s="317"/>
      <c r="CO69" s="472"/>
      <c r="CP69" s="1704"/>
      <c r="CQ69" s="1699"/>
      <c r="CR69" s="1699"/>
      <c r="CS69" s="1699"/>
      <c r="CT69" s="1699"/>
      <c r="CU69" s="1699"/>
      <c r="CV69" s="1699"/>
      <c r="CW69" s="1718">
        <f t="shared" si="138"/>
        <v>0</v>
      </c>
      <c r="CX69" s="318"/>
      <c r="CY69" s="303"/>
      <c r="CZ69" s="303"/>
      <c r="DA69" s="506">
        <f>IF(YEAR('3 pr-2'!AK69)=2017,CX69,0)</f>
        <v>0</v>
      </c>
      <c r="DB69" s="506">
        <f>IF(YEAR('3 pr-2'!AK69)=2018,CX69,0)</f>
        <v>0</v>
      </c>
      <c r="DC69" s="506">
        <f>IF(YEAR('3 pr-2'!AK69)=2019,CX69,0)</f>
        <v>0</v>
      </c>
      <c r="DD69" s="506">
        <f>IF(YEAR('3 pr-2'!AK69)=2020,CX69,0)</f>
        <v>0</v>
      </c>
      <c r="DE69" s="506">
        <f>IF(YEAR('3 pr-2'!AK69)=2021,CX69,0)</f>
        <v>0</v>
      </c>
      <c r="DF69" s="506">
        <f>IF(YEAR('3 pr-2'!AK69)=2022,CX69,0)</f>
        <v>0</v>
      </c>
      <c r="DG69" s="506">
        <f>IF(YEAR('3 pr-2'!AK69)=2023,CX69,0)</f>
        <v>0</v>
      </c>
      <c r="DH69" s="317"/>
      <c r="DI69" s="472"/>
      <c r="DJ69" s="318"/>
      <c r="DK69" s="130"/>
      <c r="DL69" s="130"/>
      <c r="DM69" s="130"/>
      <c r="DN69" s="130"/>
      <c r="DO69" s="130"/>
      <c r="DP69" s="130"/>
      <c r="DQ69" s="756"/>
      <c r="DR69" s="318"/>
      <c r="DS69" s="303"/>
      <c r="DT69" s="303"/>
      <c r="DU69" s="506"/>
      <c r="DV69" s="506"/>
      <c r="DW69" s="506"/>
      <c r="DX69" s="506"/>
      <c r="DY69" s="506"/>
      <c r="DZ69" s="506"/>
      <c r="EA69" s="506"/>
      <c r="EB69" s="317"/>
      <c r="EC69" s="472"/>
      <c r="ED69" s="303"/>
      <c r="EE69" s="303"/>
      <c r="EF69" s="303"/>
      <c r="EG69" s="506">
        <f>IF(YEAR('3 pr-2'!BP69)=2017,ED69,0)</f>
        <v>0</v>
      </c>
      <c r="EH69" s="506">
        <f>IF(YEAR('3 pr-2'!BP69)=2018,ED69,0)</f>
        <v>0</v>
      </c>
      <c r="EI69" s="506">
        <f>IF(YEAR('3 pr-2'!BP69)=2019,ED69,0)</f>
        <v>0</v>
      </c>
      <c r="EJ69" s="506">
        <f>IF(YEAR('3 pr-2'!BP69)=2020,ED69,0)</f>
        <v>0</v>
      </c>
      <c r="EK69" s="506">
        <f>IF(YEAR('3 pr-2'!BP69)=2021,ED69,0)</f>
        <v>0</v>
      </c>
      <c r="EL69" s="506">
        <f>IF(YEAR('3 pr-2'!BP69)=2022,ED69,0)</f>
        <v>0</v>
      </c>
      <c r="EM69" s="506">
        <f>IF(YEAR('3 pr-2'!BP69)=2023,ED69,0)</f>
        <v>0</v>
      </c>
    </row>
    <row r="70" spans="1:143" ht="64.5" thickTop="1" thickBot="1">
      <c r="A70" s="130" t="str">
        <f>CONCATENATE('3 pr-2'!A70)</f>
        <v>1.1.1.9.3</v>
      </c>
      <c r="B70" s="130" t="str">
        <f>CONCATENATE('3 pr-2'!B70)</f>
        <v>R01-3302-440200-1193</v>
      </c>
      <c r="C70" s="1730" t="str">
        <f>CONCATENATE('ketv. 2'!B69)</f>
        <v>05.4.1-CPVA-R-302-11-0001</v>
      </c>
      <c r="D70" s="78" t="str">
        <f>CONCATENATE('3 pr-2'!D70)</f>
        <v>Motiejaus Gustaičio memorialinio namo kompleksinis sutvarkymas</v>
      </c>
      <c r="E70" s="11" t="str">
        <f>CONCATENATE('3 pr-2'!E70)</f>
        <v>Lazdijų rajono savivaldybės administracija</v>
      </c>
      <c r="F70" s="11" t="str">
        <f>CONCATENATE('3 pr-2'!F70)</f>
        <v>Lietuvos Respublikos kultūros ministerija</v>
      </c>
      <c r="G70" s="11" t="str">
        <f>CONCATENATE('3 pr-2'!G70)</f>
        <v>Lazdijų r. sav.</v>
      </c>
      <c r="H70" s="130" t="str">
        <f>CONCATENATE('3 pr-2'!H70)</f>
        <v>05.4.1-CPVA-R-302</v>
      </c>
      <c r="I70" s="130" t="str">
        <f>CONCATENATE('3 pr-2'!I70)</f>
        <v>R</v>
      </c>
      <c r="J70" s="130" t="str">
        <f>CONCATENATE('3 pr-2'!J70)</f>
        <v>ITI</v>
      </c>
      <c r="K70" s="130" t="str">
        <f>CONCATENATE('3 pr-2'!K70)</f>
        <v>-</v>
      </c>
      <c r="L70" s="130" t="s">
        <v>485</v>
      </c>
      <c r="M70" s="471" t="s">
        <v>487</v>
      </c>
      <c r="N70" s="1699"/>
      <c r="O70" s="1699"/>
      <c r="P70" s="1699"/>
      <c r="Q70" s="1699"/>
      <c r="R70" s="1699"/>
      <c r="S70" s="1699"/>
      <c r="T70" s="1699"/>
      <c r="U70" s="1700">
        <f t="shared" si="301"/>
        <v>0</v>
      </c>
      <c r="V70" s="130">
        <v>1</v>
      </c>
      <c r="W70" s="1757">
        <v>1</v>
      </c>
      <c r="X70" s="1732">
        <f t="shared" si="328"/>
        <v>0</v>
      </c>
      <c r="Y70" s="1732">
        <f>IF(YEAR('3 pr-2'!$AK70)=2017,$V70,0)</f>
        <v>0</v>
      </c>
      <c r="Z70" s="1732">
        <f>IF(YEAR('3 pr-2'!$AK70)=2018,$V70,0)</f>
        <v>0</v>
      </c>
      <c r="AA70" s="1732">
        <f>IF(YEAR('3 pr-2'!$AK70)=2019,$V70,0)</f>
        <v>1</v>
      </c>
      <c r="AB70" s="1732">
        <f>IF(YEAR('3 pr-2'!$AK70)=2020,$V70,0)</f>
        <v>0</v>
      </c>
      <c r="AC70" s="1732">
        <f>IF(YEAR('3 pr-2'!$AK70)=2021,$V70,0)</f>
        <v>0</v>
      </c>
      <c r="AD70" s="1732">
        <f>IF(YEAR('3 pr-2'!$AK70)=2022,$V70,0)</f>
        <v>0</v>
      </c>
      <c r="AE70" s="1732">
        <f>IF(YEAR('3 pr-2'!$AK70)=2023,$V70,0)</f>
        <v>0</v>
      </c>
      <c r="AF70" s="317" t="s">
        <v>1382</v>
      </c>
      <c r="AG70" s="672" t="s">
        <v>1383</v>
      </c>
      <c r="AH70" s="1699"/>
      <c r="AI70" s="1699"/>
      <c r="AJ70" s="1699"/>
      <c r="AK70" s="1699"/>
      <c r="AL70" s="1699"/>
      <c r="AM70" s="1699"/>
      <c r="AN70" s="1699"/>
      <c r="AO70" s="1718"/>
      <c r="AP70" s="130">
        <v>2500</v>
      </c>
      <c r="AQ70" s="1778">
        <v>2500</v>
      </c>
      <c r="AR70" s="1732">
        <f t="shared" si="329"/>
        <v>0</v>
      </c>
      <c r="AS70" s="1732">
        <f>IF(YEAR('3 pr-2'!$AK70)=2017,$AP70,0)</f>
        <v>0</v>
      </c>
      <c r="AT70" s="1732">
        <f>IF(YEAR('3 pr-2'!$AK70)=2018,$AP70,0)</f>
        <v>0</v>
      </c>
      <c r="AU70" s="1732">
        <f>IF(YEAR('3 pr-2'!$AK70)=2019,$AP70,0)</f>
        <v>2500</v>
      </c>
      <c r="AV70" s="1732">
        <f>IF(YEAR('3 pr-2'!$AK70)=2020,$AP70,0)</f>
        <v>0</v>
      </c>
      <c r="AW70" s="1732">
        <f>IF(YEAR('3 pr-2'!$AK70)=2021,$AP70,0)</f>
        <v>0</v>
      </c>
      <c r="AX70" s="1732">
        <f>IF(YEAR('3 pr-2'!$AK70)=2022,$AP70,0)</f>
        <v>0</v>
      </c>
      <c r="AY70" s="1732">
        <f>IF(YEAR('3 pr-2'!$AK70)=2023,$AP70,0)</f>
        <v>0</v>
      </c>
      <c r="AZ70" s="130"/>
      <c r="BA70" s="470"/>
      <c r="BB70" s="1699"/>
      <c r="BC70" s="1699"/>
      <c r="BD70" s="1699"/>
      <c r="BE70" s="1699"/>
      <c r="BF70" s="1699"/>
      <c r="BG70" s="1699"/>
      <c r="BH70" s="1699"/>
      <c r="BI70" s="1718">
        <f t="shared" si="163"/>
        <v>0</v>
      </c>
      <c r="BJ70" s="130"/>
      <c r="BK70" s="1501"/>
      <c r="BL70" s="130"/>
      <c r="BM70" s="130">
        <f>IF(YEAR('3 pr-2'!AK70)=2017,BJ70,0)</f>
        <v>0</v>
      </c>
      <c r="BN70" s="130">
        <f>IF(YEAR('3 pr-2'!AK70)=2018,BJ70,0)</f>
        <v>0</v>
      </c>
      <c r="BO70" s="130">
        <f>IF(YEAR('3 pr-2'!AK70)=2019,BJ70,0)</f>
        <v>0</v>
      </c>
      <c r="BP70" s="130">
        <f>IF(YEAR('3 pr-2'!AK70)=2020,BJ70,0)</f>
        <v>0</v>
      </c>
      <c r="BQ70" s="130">
        <f>IF(YEAR('3 pr-2'!AK70)=2021,BJ70,0)</f>
        <v>0</v>
      </c>
      <c r="BR70" s="130">
        <f>IF(YEAR('3 pr-2'!AK70)=2022,BJ70,0)</f>
        <v>0</v>
      </c>
      <c r="BS70" s="130">
        <f>IF(YEAR('3 pr-2'!AK70)=2023,BJ70,0)</f>
        <v>0</v>
      </c>
      <c r="BT70" s="317"/>
      <c r="BU70" s="471"/>
      <c r="BV70" s="1699"/>
      <c r="BW70" s="1699"/>
      <c r="BX70" s="1699"/>
      <c r="BY70" s="1699"/>
      <c r="BZ70" s="1699"/>
      <c r="CA70" s="1699"/>
      <c r="CB70" s="1699"/>
      <c r="CC70" s="1718">
        <f t="shared" si="137"/>
        <v>0</v>
      </c>
      <c r="CD70" s="130"/>
      <c r="CE70" s="130"/>
      <c r="CF70" s="130"/>
      <c r="CG70" s="130">
        <f>IF(YEAR('3 pr-2'!$AK70)=2017,$CD70,0)</f>
        <v>0</v>
      </c>
      <c r="CH70" s="130">
        <f>IF(YEAR('3 pr-2'!$AK70)=2018,$CD70,0)</f>
        <v>0</v>
      </c>
      <c r="CI70" s="130">
        <f>IF(YEAR('3 pr-2'!$AK70)=2019,$CD70,0)</f>
        <v>0</v>
      </c>
      <c r="CJ70" s="130">
        <f>IF(YEAR('3 pr-2'!$AK70)=2020,$CD70,0)</f>
        <v>0</v>
      </c>
      <c r="CK70" s="130">
        <f>IF(YEAR('3 pr-2'!$AK70)=2021,$CD70,0)</f>
        <v>0</v>
      </c>
      <c r="CL70" s="130">
        <f>IF(YEAR('3 pr-2'!$AK70)=2022,$CD70,0)</f>
        <v>0</v>
      </c>
      <c r="CM70" s="130">
        <f>IF(YEAR('3 pr-2'!$AK70)=2023,$CD70,0)</f>
        <v>0</v>
      </c>
      <c r="CN70" s="317"/>
      <c r="CO70" s="472"/>
      <c r="CP70" s="1704"/>
      <c r="CQ70" s="1699"/>
      <c r="CR70" s="1699"/>
      <c r="CS70" s="1699"/>
      <c r="CT70" s="1699"/>
      <c r="CU70" s="1699"/>
      <c r="CV70" s="1699"/>
      <c r="CW70" s="1718">
        <f t="shared" si="138"/>
        <v>0</v>
      </c>
      <c r="CX70" s="318"/>
      <c r="CY70" s="303"/>
      <c r="CZ70" s="303"/>
      <c r="DA70" s="506">
        <f>IF(YEAR('3 pr-2'!AK70)=2017,CX70,0)</f>
        <v>0</v>
      </c>
      <c r="DB70" s="506">
        <f>IF(YEAR('3 pr-2'!AK70)=2018,CX70,0)</f>
        <v>0</v>
      </c>
      <c r="DC70" s="506">
        <f>IF(YEAR('3 pr-2'!AK70)=2019,CX70,0)</f>
        <v>0</v>
      </c>
      <c r="DD70" s="506">
        <f>IF(YEAR('3 pr-2'!AK70)=2020,CX70,0)</f>
        <v>0</v>
      </c>
      <c r="DE70" s="506">
        <f>IF(YEAR('3 pr-2'!AK70)=2021,CX70,0)</f>
        <v>0</v>
      </c>
      <c r="DF70" s="506">
        <f>IF(YEAR('3 pr-2'!AK70)=2022,CX70,0)</f>
        <v>0</v>
      </c>
      <c r="DG70" s="506">
        <f>IF(YEAR('3 pr-2'!AK70)=2023,CX70,0)</f>
        <v>0</v>
      </c>
      <c r="DH70" s="317"/>
      <c r="DI70" s="472"/>
      <c r="DJ70" s="318"/>
      <c r="DK70" s="130"/>
      <c r="DL70" s="130"/>
      <c r="DM70" s="130"/>
      <c r="DN70" s="130"/>
      <c r="DO70" s="130"/>
      <c r="DP70" s="130"/>
      <c r="DQ70" s="756"/>
      <c r="DR70" s="318"/>
      <c r="DS70" s="303"/>
      <c r="DT70" s="303"/>
      <c r="DU70" s="506"/>
      <c r="DV70" s="506"/>
      <c r="DW70" s="506"/>
      <c r="DX70" s="506"/>
      <c r="DY70" s="506"/>
      <c r="DZ70" s="506"/>
      <c r="EA70" s="506"/>
      <c r="EB70" s="317"/>
      <c r="EC70" s="472"/>
      <c r="ED70" s="303"/>
      <c r="EE70" s="303"/>
      <c r="EF70" s="303"/>
      <c r="EG70" s="506">
        <f>IF(YEAR('3 pr-2'!BP70)=2017,ED70,0)</f>
        <v>0</v>
      </c>
      <c r="EH70" s="506">
        <f>IF(YEAR('3 pr-2'!BP70)=2018,ED70,0)</f>
        <v>0</v>
      </c>
      <c r="EI70" s="506">
        <f>IF(YEAR('3 pr-2'!BP70)=2019,ED70,0)</f>
        <v>0</v>
      </c>
      <c r="EJ70" s="506">
        <f>IF(YEAR('3 pr-2'!BP70)=2020,ED70,0)</f>
        <v>0</v>
      </c>
      <c r="EK70" s="506">
        <f>IF(YEAR('3 pr-2'!BP70)=2021,ED70,0)</f>
        <v>0</v>
      </c>
      <c r="EL70" s="506">
        <f>IF(YEAR('3 pr-2'!BP70)=2022,ED70,0)</f>
        <v>0</v>
      </c>
      <c r="EM70" s="506">
        <f>IF(YEAR('3 pr-2'!BP70)=2023,ED70,0)</f>
        <v>0</v>
      </c>
    </row>
    <row r="71" spans="1:143" ht="64.5" thickTop="1" thickBot="1">
      <c r="A71" s="130" t="str">
        <f>CONCATENATE('3 pr-2'!A71)</f>
        <v>1.1.1.9.4</v>
      </c>
      <c r="B71" s="130" t="str">
        <f>CONCATENATE('3 pr-2'!B71)</f>
        <v>R01-3302-440000-1194</v>
      </c>
      <c r="C71" s="1730" t="str">
        <f>CONCATENATE('ketv. 2'!B70)</f>
        <v>05.4.1-CPVA-R-302-11-0004</v>
      </c>
      <c r="D71" s="78" t="str">
        <f>CONCATENATE('3 pr-2'!D71)</f>
        <v>Kurnėnų Lauryno Radziukyno mokyklos pritaikymas kultūrinėms ir turistinėms reikmėms</v>
      </c>
      <c r="E71" s="11" t="str">
        <f>CONCATENATE('3 pr-2'!E71)</f>
        <v>Alytaus rajono savivaldybės administracija</v>
      </c>
      <c r="F71" s="11" t="str">
        <f>CONCATENATE('3 pr-2'!F71)</f>
        <v>Lietuvos Respublikos kultūros ministerija</v>
      </c>
      <c r="G71" s="11" t="str">
        <f>CONCATENATE('3 pr-2'!G71)</f>
        <v>Alytaus r. sav.</v>
      </c>
      <c r="H71" s="130" t="str">
        <f>CONCATENATE('3 pr-2'!H71)</f>
        <v>05.4.1-CPVA-R-302</v>
      </c>
      <c r="I71" s="130" t="str">
        <f>CONCATENATE('3 pr-2'!I71)</f>
        <v>R</v>
      </c>
      <c r="J71" s="130" t="str">
        <f>CONCATENATE('3 pr-2'!J71)</f>
        <v>-</v>
      </c>
      <c r="K71" s="130" t="str">
        <f>CONCATENATE('3 pr-2'!K71)</f>
        <v>-</v>
      </c>
      <c r="L71" s="130" t="s">
        <v>485</v>
      </c>
      <c r="M71" s="471" t="s">
        <v>487</v>
      </c>
      <c r="N71" s="1699"/>
      <c r="O71" s="1699"/>
      <c r="P71" s="1699"/>
      <c r="Q71" s="1699"/>
      <c r="R71" s="1699"/>
      <c r="S71" s="1699"/>
      <c r="T71" s="1699"/>
      <c r="U71" s="1700">
        <f t="shared" si="301"/>
        <v>0</v>
      </c>
      <c r="V71" s="130">
        <v>1</v>
      </c>
      <c r="W71" s="1757">
        <v>1</v>
      </c>
      <c r="X71" s="1732">
        <f t="shared" si="328"/>
        <v>0</v>
      </c>
      <c r="Y71" s="1732">
        <f>IF(YEAR('3 pr-2'!$AK71)=2017,$V71,0)</f>
        <v>0</v>
      </c>
      <c r="Z71" s="1732">
        <f>IF(YEAR('3 pr-2'!$AK71)=2018,$V71,0)</f>
        <v>0</v>
      </c>
      <c r="AA71" s="1732">
        <f>IF(YEAR('3 pr-2'!$AK71)=2019,$V71,0)</f>
        <v>0</v>
      </c>
      <c r="AB71" s="1732">
        <f>IF(YEAR('3 pr-2'!$AK71)=2020,$V71,0)</f>
        <v>1</v>
      </c>
      <c r="AC71" s="1732">
        <f>IF(YEAR('3 pr-2'!$AK71)=2021,$V71,0)</f>
        <v>0</v>
      </c>
      <c r="AD71" s="1732">
        <f>IF(YEAR('3 pr-2'!$AK71)=2022,$V71,0)</f>
        <v>0</v>
      </c>
      <c r="AE71" s="1732">
        <f>IF(YEAR('3 pr-2'!$AK71)=2023,$V71,0)</f>
        <v>0</v>
      </c>
      <c r="AF71" s="317" t="s">
        <v>1382</v>
      </c>
      <c r="AG71" s="672" t="s">
        <v>1383</v>
      </c>
      <c r="AH71" s="1699"/>
      <c r="AI71" s="1699"/>
      <c r="AJ71" s="1699"/>
      <c r="AK71" s="1699"/>
      <c r="AL71" s="1699"/>
      <c r="AM71" s="1699"/>
      <c r="AN71" s="1699"/>
      <c r="AO71" s="1718">
        <f t="shared" si="135"/>
        <v>0</v>
      </c>
      <c r="AP71" s="130">
        <v>613</v>
      </c>
      <c r="AQ71" s="1778">
        <v>613</v>
      </c>
      <c r="AR71" s="1732">
        <f t="shared" si="329"/>
        <v>0</v>
      </c>
      <c r="AS71" s="1732">
        <f>IF(YEAR('3 pr-2'!$AK71)=2017,$AP71,0)</f>
        <v>0</v>
      </c>
      <c r="AT71" s="1732">
        <f>IF(YEAR('3 pr-2'!$AK71)=2018,$AP71,0)</f>
        <v>0</v>
      </c>
      <c r="AU71" s="1732">
        <f>IF(YEAR('3 pr-2'!$AK71)=2019,$AP71,0)</f>
        <v>0</v>
      </c>
      <c r="AV71" s="1732">
        <f>IF(YEAR('3 pr-2'!$AK71)=2020,$AP71,0)</f>
        <v>613</v>
      </c>
      <c r="AW71" s="1732">
        <f>IF(YEAR('3 pr-2'!$AK71)=2021,$AP71,0)</f>
        <v>0</v>
      </c>
      <c r="AX71" s="1732">
        <f>IF(YEAR('3 pr-2'!$AK71)=2022,$AP71,0)</f>
        <v>0</v>
      </c>
      <c r="AY71" s="1732">
        <f>IF(YEAR('3 pr-2'!$AK71)=2023,$AP71,0)</f>
        <v>0</v>
      </c>
      <c r="AZ71" s="130"/>
      <c r="BA71" s="470"/>
      <c r="BB71" s="1699"/>
      <c r="BC71" s="1699"/>
      <c r="BD71" s="1699"/>
      <c r="BE71" s="1699"/>
      <c r="BF71" s="1699"/>
      <c r="BG71" s="1699"/>
      <c r="BH71" s="1699"/>
      <c r="BI71" s="1718">
        <f t="shared" si="163"/>
        <v>0</v>
      </c>
      <c r="BJ71" s="130"/>
      <c r="BK71" s="1501"/>
      <c r="BL71" s="130"/>
      <c r="BM71" s="130">
        <f>IF(YEAR('3 pr-2'!AK71)=2017,BJ71,0)</f>
        <v>0</v>
      </c>
      <c r="BN71" s="130">
        <f>IF(YEAR('3 pr-2'!AK71)=2018,BJ71,0)</f>
        <v>0</v>
      </c>
      <c r="BO71" s="130">
        <f>IF(YEAR('3 pr-2'!AK71)=2019,BJ71,0)</f>
        <v>0</v>
      </c>
      <c r="BP71" s="130">
        <f>IF(YEAR('3 pr-2'!AK71)=2020,BJ71,0)</f>
        <v>0</v>
      </c>
      <c r="BQ71" s="130">
        <f>IF(YEAR('3 pr-2'!AK71)=2021,BJ71,0)</f>
        <v>0</v>
      </c>
      <c r="BR71" s="130">
        <f>IF(YEAR('3 pr-2'!AK71)=2022,BJ71,0)</f>
        <v>0</v>
      </c>
      <c r="BS71" s="130">
        <f>IF(YEAR('3 pr-2'!AK71)=2023,BJ71,0)</f>
        <v>0</v>
      </c>
      <c r="BT71" s="317"/>
      <c r="BU71" s="471"/>
      <c r="BV71" s="1699"/>
      <c r="BW71" s="1699"/>
      <c r="BX71" s="1699"/>
      <c r="BY71" s="1699"/>
      <c r="BZ71" s="1699"/>
      <c r="CA71" s="1699"/>
      <c r="CB71" s="1699"/>
      <c r="CC71" s="1718">
        <f t="shared" si="137"/>
        <v>0</v>
      </c>
      <c r="CD71" s="130"/>
      <c r="CE71" s="130"/>
      <c r="CF71" s="130"/>
      <c r="CG71" s="130">
        <f>IF(YEAR('3 pr-2'!$AK71)=2017,$CD71,0)</f>
        <v>0</v>
      </c>
      <c r="CH71" s="130">
        <f>IF(YEAR('3 pr-2'!$AK71)=2018,$CD71,0)</f>
        <v>0</v>
      </c>
      <c r="CI71" s="130">
        <f>IF(YEAR('3 pr-2'!$AK71)=2019,$CD71,0)</f>
        <v>0</v>
      </c>
      <c r="CJ71" s="130">
        <f>IF(YEAR('3 pr-2'!$AK71)=2020,$CD71,0)</f>
        <v>0</v>
      </c>
      <c r="CK71" s="130">
        <f>IF(YEAR('3 pr-2'!$AK71)=2021,$CD71,0)</f>
        <v>0</v>
      </c>
      <c r="CL71" s="130">
        <f>IF(YEAR('3 pr-2'!$AK71)=2022,$CD71,0)</f>
        <v>0</v>
      </c>
      <c r="CM71" s="130">
        <f>IF(YEAR('3 pr-2'!$AK71)=2023,$CD71,0)</f>
        <v>0</v>
      </c>
      <c r="CN71" s="317"/>
      <c r="CO71" s="472"/>
      <c r="CP71" s="1704"/>
      <c r="CQ71" s="1699"/>
      <c r="CR71" s="1699"/>
      <c r="CS71" s="1699"/>
      <c r="CT71" s="1699"/>
      <c r="CU71" s="1699"/>
      <c r="CV71" s="1699"/>
      <c r="CW71" s="1718">
        <f t="shared" si="138"/>
        <v>0</v>
      </c>
      <c r="CX71" s="318"/>
      <c r="CY71" s="303"/>
      <c r="CZ71" s="303"/>
      <c r="DA71" s="506">
        <f>IF(YEAR('3 pr-2'!AK71)=2017,CX71,0)</f>
        <v>0</v>
      </c>
      <c r="DB71" s="506">
        <f>IF(YEAR('3 pr-2'!AK71)=2018,CX71,0)</f>
        <v>0</v>
      </c>
      <c r="DC71" s="506">
        <f>IF(YEAR('3 pr-2'!AK71)=2019,CX71,0)</f>
        <v>0</v>
      </c>
      <c r="DD71" s="506">
        <f>IF(YEAR('3 pr-2'!AK71)=2020,CX71,0)</f>
        <v>0</v>
      </c>
      <c r="DE71" s="506">
        <f>IF(YEAR('3 pr-2'!AK71)=2021,CX71,0)</f>
        <v>0</v>
      </c>
      <c r="DF71" s="506">
        <f>IF(YEAR('3 pr-2'!AK71)=2022,CX71,0)</f>
        <v>0</v>
      </c>
      <c r="DG71" s="506">
        <f>IF(YEAR('3 pr-2'!AK71)=2023,CX71,0)</f>
        <v>0</v>
      </c>
      <c r="DH71" s="317"/>
      <c r="DI71" s="472"/>
      <c r="DJ71" s="318"/>
      <c r="DK71" s="130"/>
      <c r="DL71" s="130"/>
      <c r="DM71" s="130"/>
      <c r="DN71" s="130"/>
      <c r="DO71" s="130"/>
      <c r="DP71" s="130"/>
      <c r="DQ71" s="756"/>
      <c r="DR71" s="318"/>
      <c r="DS71" s="303"/>
      <c r="DT71" s="303"/>
      <c r="DU71" s="506"/>
      <c r="DV71" s="506"/>
      <c r="DW71" s="506"/>
      <c r="DX71" s="506"/>
      <c r="DY71" s="506"/>
      <c r="DZ71" s="506"/>
      <c r="EA71" s="506"/>
      <c r="EB71" s="317"/>
      <c r="EC71" s="472"/>
      <c r="ED71" s="303"/>
      <c r="EE71" s="303"/>
      <c r="EF71" s="303"/>
      <c r="EG71" s="506">
        <f>IF(YEAR('3 pr-2'!BP71)=2017,ED71,0)</f>
        <v>0</v>
      </c>
      <c r="EH71" s="506">
        <f>IF(YEAR('3 pr-2'!BP71)=2018,ED71,0)</f>
        <v>0</v>
      </c>
      <c r="EI71" s="506">
        <f>IF(YEAR('3 pr-2'!BP71)=2019,ED71,0)</f>
        <v>0</v>
      </c>
      <c r="EJ71" s="506">
        <f>IF(YEAR('3 pr-2'!BP71)=2020,ED71,0)</f>
        <v>0</v>
      </c>
      <c r="EK71" s="506">
        <f>IF(YEAR('3 pr-2'!BP71)=2021,ED71,0)</f>
        <v>0</v>
      </c>
      <c r="EL71" s="506">
        <f>IF(YEAR('3 pr-2'!BP71)=2022,ED71,0)</f>
        <v>0</v>
      </c>
      <c r="EM71" s="506">
        <f>IF(YEAR('3 pr-2'!BP71)=2023,ED71,0)</f>
        <v>0</v>
      </c>
    </row>
    <row r="72" spans="1:143" ht="64.5" thickTop="1" thickBot="1">
      <c r="A72" s="130" t="str">
        <f>CONCATENATE('3 pr-2'!A72)</f>
        <v>1.1.1.9.5</v>
      </c>
      <c r="B72" s="130" t="str">
        <f>CONCATENATE('3 pr-2'!B72)</f>
        <v>R01-3302-440000-1195</v>
      </c>
      <c r="C72" s="1730" t="str">
        <f>CONCATENATE('ketv. 2'!B71)</f>
        <v>05.4.1-CPVA-R-302-11-0005</v>
      </c>
      <c r="D72" s="78" t="str">
        <f>CONCATENATE('3 pr-2'!D72)</f>
        <v>Vinco Krėvės-Mickevičiaus memorialinio muziejaus atnaujinimas</v>
      </c>
      <c r="E72" s="11" t="str">
        <f>CONCATENATE('3 pr-2'!E72)</f>
        <v>Varėnos rajono savivaldybės administracija</v>
      </c>
      <c r="F72" s="11" t="str">
        <f>CONCATENATE('3 pr-2'!F72)</f>
        <v>Lietuvos Respublikos kultūros ministerija</v>
      </c>
      <c r="G72" s="11" t="str">
        <f>CONCATENATE('3 pr-2'!G72)</f>
        <v>Varėnos r. sav.</v>
      </c>
      <c r="H72" s="130" t="str">
        <f>CONCATENATE('3 pr-2'!H72)</f>
        <v>05.4.1-CPVA-R-302</v>
      </c>
      <c r="I72" s="130" t="str">
        <f>CONCATENATE('3 pr-2'!I72)</f>
        <v>R</v>
      </c>
      <c r="J72" s="130" t="str">
        <f>CONCATENATE('3 pr-2'!J72)</f>
        <v>-</v>
      </c>
      <c r="K72" s="130" t="str">
        <f>CONCATENATE('3 pr-2'!K72)</f>
        <v>-</v>
      </c>
      <c r="L72" s="130" t="s">
        <v>485</v>
      </c>
      <c r="M72" s="471" t="s">
        <v>487</v>
      </c>
      <c r="N72" s="1699"/>
      <c r="O72" s="1699"/>
      <c r="P72" s="1699"/>
      <c r="Q72" s="1699"/>
      <c r="R72" s="1699"/>
      <c r="S72" s="1699"/>
      <c r="T72" s="1699"/>
      <c r="U72" s="1700">
        <f t="shared" si="301"/>
        <v>0</v>
      </c>
      <c r="V72" s="130">
        <v>1</v>
      </c>
      <c r="W72" s="1757">
        <v>1</v>
      </c>
      <c r="X72" s="1732">
        <f t="shared" si="328"/>
        <v>0</v>
      </c>
      <c r="Y72" s="1732">
        <f>IF(YEAR('3 pr-2'!$AK72)=2017,$V72,0)</f>
        <v>0</v>
      </c>
      <c r="Z72" s="1732">
        <f>IF(YEAR('3 pr-2'!$AK72)=2018,$V72,0)</f>
        <v>0</v>
      </c>
      <c r="AA72" s="1732">
        <f>IF(YEAR('3 pr-2'!$AK72)=2019,$V72,0)</f>
        <v>0</v>
      </c>
      <c r="AB72" s="1732">
        <f>IF(YEAR('3 pr-2'!$AK72)=2020,$V72,0)</f>
        <v>1</v>
      </c>
      <c r="AC72" s="1732">
        <f>IF(YEAR('3 pr-2'!$AK72)=2021,$V72,0)</f>
        <v>0</v>
      </c>
      <c r="AD72" s="1732">
        <f>IF(YEAR('3 pr-2'!$AK72)=2022,$V72,0)</f>
        <v>0</v>
      </c>
      <c r="AE72" s="1732">
        <f>IF(YEAR('3 pr-2'!$AK72)=2023,$V72,0)</f>
        <v>0</v>
      </c>
      <c r="AF72" s="317" t="s">
        <v>1382</v>
      </c>
      <c r="AG72" s="672" t="s">
        <v>1383</v>
      </c>
      <c r="AH72" s="1699"/>
      <c r="AI72" s="1699"/>
      <c r="AJ72" s="1699"/>
      <c r="AK72" s="1699"/>
      <c r="AL72" s="1699"/>
      <c r="AM72" s="1699"/>
      <c r="AN72" s="1699"/>
      <c r="AO72" s="1718"/>
      <c r="AP72" s="130">
        <v>822</v>
      </c>
      <c r="AQ72" s="1778">
        <v>822</v>
      </c>
      <c r="AR72" s="1732">
        <f t="shared" si="329"/>
        <v>0</v>
      </c>
      <c r="AS72" s="1732">
        <f>IF(YEAR('3 pr-2'!$AK72)=2017,$AP72,0)</f>
        <v>0</v>
      </c>
      <c r="AT72" s="1732">
        <f>IF(YEAR('3 pr-2'!$AK72)=2018,$AP72,0)</f>
        <v>0</v>
      </c>
      <c r="AU72" s="1732">
        <f>IF(YEAR('3 pr-2'!$AK72)=2019,$AP72,0)</f>
        <v>0</v>
      </c>
      <c r="AV72" s="1732">
        <f>IF(YEAR('3 pr-2'!$AK72)=2020,$AP72,0)</f>
        <v>822</v>
      </c>
      <c r="AW72" s="1732">
        <f>IF(YEAR('3 pr-2'!$AK72)=2021,$AP72,0)</f>
        <v>0</v>
      </c>
      <c r="AX72" s="1732">
        <f>IF(YEAR('3 pr-2'!$AK72)=2022,$AP72,0)</f>
        <v>0</v>
      </c>
      <c r="AY72" s="1732">
        <f>IF(YEAR('3 pr-2'!$AK72)=2023,$AP72,0)</f>
        <v>0</v>
      </c>
      <c r="AZ72" s="130"/>
      <c r="BA72" s="470"/>
      <c r="BB72" s="1699"/>
      <c r="BC72" s="1699"/>
      <c r="BD72" s="1699"/>
      <c r="BE72" s="1699"/>
      <c r="BF72" s="1699"/>
      <c r="BG72" s="1699"/>
      <c r="BH72" s="1699"/>
      <c r="BI72" s="1718">
        <f t="shared" si="163"/>
        <v>0</v>
      </c>
      <c r="BJ72" s="130"/>
      <c r="BK72" s="1501"/>
      <c r="BL72" s="130"/>
      <c r="BM72" s="130">
        <f>IF(YEAR('3 pr-2'!AK72)=2017,BJ72,0)</f>
        <v>0</v>
      </c>
      <c r="BN72" s="130">
        <f>IF(YEAR('3 pr-2'!AK72)=2018,BJ72,0)</f>
        <v>0</v>
      </c>
      <c r="BO72" s="130">
        <f>IF(YEAR('3 pr-2'!AK72)=2019,BJ72,0)</f>
        <v>0</v>
      </c>
      <c r="BP72" s="130">
        <f>IF(YEAR('3 pr-2'!AK72)=2020,BJ72,0)</f>
        <v>0</v>
      </c>
      <c r="BQ72" s="130">
        <f>IF(YEAR('3 pr-2'!AK72)=2021,BJ72,0)</f>
        <v>0</v>
      </c>
      <c r="BR72" s="130">
        <f>IF(YEAR('3 pr-2'!AK72)=2022,BJ72,0)</f>
        <v>0</v>
      </c>
      <c r="BS72" s="130">
        <f>IF(YEAR('3 pr-2'!AK72)=2023,BJ72,0)</f>
        <v>0</v>
      </c>
      <c r="BT72" s="317"/>
      <c r="BU72" s="471"/>
      <c r="BV72" s="1699"/>
      <c r="BW72" s="1699"/>
      <c r="BX72" s="1699"/>
      <c r="BY72" s="1699"/>
      <c r="BZ72" s="1699"/>
      <c r="CA72" s="1699"/>
      <c r="CB72" s="1699"/>
      <c r="CC72" s="1718">
        <f t="shared" si="137"/>
        <v>0</v>
      </c>
      <c r="CD72" s="130"/>
      <c r="CE72" s="130"/>
      <c r="CF72" s="130"/>
      <c r="CG72" s="130">
        <f>IF(YEAR('3 pr-2'!$AK72)=2017,$CD72,0)</f>
        <v>0</v>
      </c>
      <c r="CH72" s="130">
        <f>IF(YEAR('3 pr-2'!$AK72)=2018,$CD72,0)</f>
        <v>0</v>
      </c>
      <c r="CI72" s="130">
        <f>IF(YEAR('3 pr-2'!$AK72)=2019,$CD72,0)</f>
        <v>0</v>
      </c>
      <c r="CJ72" s="130">
        <f>IF(YEAR('3 pr-2'!$AK72)=2020,$CD72,0)</f>
        <v>0</v>
      </c>
      <c r="CK72" s="130">
        <f>IF(YEAR('3 pr-2'!$AK72)=2021,$CD72,0)</f>
        <v>0</v>
      </c>
      <c r="CL72" s="130">
        <f>IF(YEAR('3 pr-2'!$AK72)=2022,$CD72,0)</f>
        <v>0</v>
      </c>
      <c r="CM72" s="130">
        <f>IF(YEAR('3 pr-2'!$AK72)=2023,$CD72,0)</f>
        <v>0</v>
      </c>
      <c r="CN72" s="317"/>
      <c r="CO72" s="472"/>
      <c r="CP72" s="1704"/>
      <c r="CQ72" s="1699"/>
      <c r="CR72" s="1699"/>
      <c r="CS72" s="1699"/>
      <c r="CT72" s="1699"/>
      <c r="CU72" s="1699"/>
      <c r="CV72" s="1699"/>
      <c r="CW72" s="1718">
        <f t="shared" si="138"/>
        <v>0</v>
      </c>
      <c r="CX72" s="318"/>
      <c r="CY72" s="303"/>
      <c r="CZ72" s="303"/>
      <c r="DA72" s="506">
        <f>IF(YEAR('3 pr-2'!AK72)=2017,CX72,0)</f>
        <v>0</v>
      </c>
      <c r="DB72" s="506">
        <f>IF(YEAR('3 pr-2'!AK72)=2018,CX72,0)</f>
        <v>0</v>
      </c>
      <c r="DC72" s="506">
        <f>IF(YEAR('3 pr-2'!AK72)=2019,CX72,0)</f>
        <v>0</v>
      </c>
      <c r="DD72" s="506">
        <f>IF(YEAR('3 pr-2'!AK72)=2020,CX72,0)</f>
        <v>0</v>
      </c>
      <c r="DE72" s="506">
        <f>IF(YEAR('3 pr-2'!AK72)=2021,CX72,0)</f>
        <v>0</v>
      </c>
      <c r="DF72" s="506">
        <f>IF(YEAR('3 pr-2'!AK72)=2022,CX72,0)</f>
        <v>0</v>
      </c>
      <c r="DG72" s="506">
        <f>IF(YEAR('3 pr-2'!AK72)=2023,CX72,0)</f>
        <v>0</v>
      </c>
      <c r="DH72" s="317"/>
      <c r="DI72" s="472"/>
      <c r="DJ72" s="318"/>
      <c r="DK72" s="130"/>
      <c r="DL72" s="130"/>
      <c r="DM72" s="130"/>
      <c r="DN72" s="130"/>
      <c r="DO72" s="130"/>
      <c r="DP72" s="130"/>
      <c r="DQ72" s="756"/>
      <c r="DR72" s="318"/>
      <c r="DS72" s="303"/>
      <c r="DT72" s="303"/>
      <c r="DU72" s="506"/>
      <c r="DV72" s="506"/>
      <c r="DW72" s="506"/>
      <c r="DX72" s="506"/>
      <c r="DY72" s="506"/>
      <c r="DZ72" s="506"/>
      <c r="EA72" s="506"/>
      <c r="EB72" s="317"/>
      <c r="EC72" s="472"/>
      <c r="ED72" s="303"/>
      <c r="EE72" s="303"/>
      <c r="EF72" s="303"/>
      <c r="EG72" s="506">
        <f>IF(YEAR('3 pr-2'!BP72)=2017,ED72,0)</f>
        <v>0</v>
      </c>
      <c r="EH72" s="506">
        <f>IF(YEAR('3 pr-2'!BP72)=2018,ED72,0)</f>
        <v>0</v>
      </c>
      <c r="EI72" s="506">
        <f>IF(YEAR('3 pr-2'!BP72)=2019,ED72,0)</f>
        <v>0</v>
      </c>
      <c r="EJ72" s="506">
        <f>IF(YEAR('3 pr-2'!BP72)=2020,ED72,0)</f>
        <v>0</v>
      </c>
      <c r="EK72" s="506">
        <f>IF(YEAR('3 pr-2'!BP72)=2021,ED72,0)</f>
        <v>0</v>
      </c>
      <c r="EL72" s="506">
        <f>IF(YEAR('3 pr-2'!BP72)=2022,ED72,0)</f>
        <v>0</v>
      </c>
      <c r="EM72" s="506">
        <f>IF(YEAR('3 pr-2'!BP72)=2023,ED72,0)</f>
        <v>0</v>
      </c>
    </row>
    <row r="73" spans="1:143" ht="33" customHeight="1" thickBot="1">
      <c r="A73" s="739" t="str">
        <f>CONCATENATE('3 pr-2'!A73)</f>
        <v>1.1.2.</v>
      </c>
      <c r="B73" s="1972" t="str">
        <f>CONCATENATE('3 pr-2'!B73)</f>
        <v>Uždavinys:
Pagerinti darbo jėgos judėjimo galimybes gerinant susisiekimo sistemas</v>
      </c>
      <c r="C73" s="1894"/>
      <c r="D73" s="1894"/>
      <c r="E73" s="1894"/>
      <c r="F73" s="1894"/>
      <c r="G73" s="1894"/>
      <c r="H73" s="1894"/>
      <c r="I73" s="1894"/>
      <c r="J73" s="1894"/>
      <c r="K73" s="1895"/>
      <c r="L73" s="758"/>
      <c r="M73" s="759"/>
      <c r="N73" s="1702"/>
      <c r="O73" s="1702"/>
      <c r="P73" s="1702"/>
      <c r="Q73" s="1702"/>
      <c r="R73" s="1702"/>
      <c r="S73" s="1702"/>
      <c r="T73" s="1702"/>
      <c r="U73" s="1703"/>
      <c r="V73" s="304"/>
      <c r="W73" s="1763"/>
      <c r="X73" s="1764"/>
      <c r="Y73" s="1764"/>
      <c r="Z73" s="1764"/>
      <c r="AA73" s="1764"/>
      <c r="AB73" s="1764"/>
      <c r="AC73" s="1764"/>
      <c r="AD73" s="1764"/>
      <c r="AE73" s="1764"/>
      <c r="AF73" s="758"/>
      <c r="AG73" s="759"/>
      <c r="AH73" s="1702"/>
      <c r="AI73" s="1702"/>
      <c r="AJ73" s="1702"/>
      <c r="AK73" s="1702"/>
      <c r="AL73" s="1702"/>
      <c r="AM73" s="1702"/>
      <c r="AN73" s="1702"/>
      <c r="AO73" s="1702"/>
      <c r="AP73" s="758"/>
      <c r="AQ73" s="1764"/>
      <c r="AR73" s="1764"/>
      <c r="AS73" s="1764"/>
      <c r="AT73" s="1764"/>
      <c r="AU73" s="1764"/>
      <c r="AV73" s="1764"/>
      <c r="AW73" s="1764"/>
      <c r="AX73" s="1764"/>
      <c r="AY73" s="1764"/>
      <c r="AZ73" s="758"/>
      <c r="BA73" s="759"/>
      <c r="BB73" s="1702"/>
      <c r="BC73" s="1702"/>
      <c r="BD73" s="1702"/>
      <c r="BE73" s="1702"/>
      <c r="BF73" s="1702"/>
      <c r="BG73" s="1702"/>
      <c r="BH73" s="1702"/>
      <c r="BI73" s="1702"/>
      <c r="BJ73" s="758"/>
      <c r="BK73" s="758"/>
      <c r="BL73" s="758"/>
      <c r="BM73" s="758"/>
      <c r="BN73" s="758"/>
      <c r="BO73" s="758"/>
      <c r="BP73" s="758"/>
      <c r="BQ73" s="758"/>
      <c r="BR73" s="758"/>
      <c r="BS73" s="758"/>
      <c r="BT73" s="758"/>
      <c r="BU73" s="759"/>
      <c r="BV73" s="1702"/>
      <c r="BW73" s="1702"/>
      <c r="BX73" s="1702"/>
      <c r="BY73" s="1702"/>
      <c r="BZ73" s="1702"/>
      <c r="CA73" s="1702"/>
      <c r="CB73" s="1702"/>
      <c r="CC73" s="1702"/>
      <c r="CD73" s="758"/>
      <c r="CE73" s="758"/>
      <c r="CF73" s="758"/>
      <c r="CG73" s="758"/>
      <c r="CH73" s="758"/>
      <c r="CI73" s="758"/>
      <c r="CJ73" s="758"/>
      <c r="CK73" s="758"/>
      <c r="CL73" s="758"/>
      <c r="CM73" s="758"/>
      <c r="CN73" s="760"/>
      <c r="CO73" s="472"/>
      <c r="CP73" s="1724"/>
      <c r="CQ73" s="1702"/>
      <c r="CR73" s="1702"/>
      <c r="CS73" s="1702"/>
      <c r="CT73" s="1702"/>
      <c r="CU73" s="1702"/>
      <c r="CV73" s="1702"/>
      <c r="CW73" s="1702"/>
      <c r="CX73" s="762"/>
      <c r="CY73" s="282"/>
      <c r="CZ73" s="282"/>
      <c r="DA73" s="282"/>
      <c r="DB73" s="699"/>
      <c r="DC73" s="699"/>
      <c r="DD73" s="699"/>
      <c r="DE73" s="699"/>
      <c r="DF73" s="699"/>
      <c r="DG73" s="699"/>
      <c r="DH73" s="760"/>
      <c r="DI73" s="472"/>
      <c r="DJ73" s="761"/>
      <c r="DK73" s="758"/>
      <c r="DL73" s="758"/>
      <c r="DM73" s="758"/>
      <c r="DN73" s="758"/>
      <c r="DO73" s="758"/>
      <c r="DP73" s="758"/>
      <c r="DQ73" s="758"/>
      <c r="DR73" s="762"/>
      <c r="DS73" s="282"/>
      <c r="DT73" s="282"/>
      <c r="DU73" s="282"/>
      <c r="DV73" s="699"/>
      <c r="DW73" s="699"/>
      <c r="DX73" s="699"/>
      <c r="DY73" s="699"/>
      <c r="DZ73" s="699"/>
      <c r="EA73" s="699"/>
      <c r="EB73" s="760"/>
      <c r="EC73" s="472"/>
      <c r="ED73" s="282"/>
      <c r="EE73" s="282"/>
      <c r="EF73" s="282"/>
      <c r="EG73" s="282"/>
      <c r="EH73" s="699"/>
      <c r="EI73" s="699"/>
      <c r="EJ73" s="699"/>
      <c r="EK73" s="699"/>
      <c r="EL73" s="699"/>
      <c r="EM73" s="699"/>
    </row>
    <row r="74" spans="1:143" ht="33" customHeight="1" thickBot="1">
      <c r="A74" s="697" t="str">
        <f>CONCATENATE('3 pr-2'!A74)</f>
        <v>1.1.2.1</v>
      </c>
      <c r="B74" s="1972" t="str">
        <f>CONCATENATE('3 pr-2'!B74)</f>
        <v>Priemonė:
Vietinio susisiekimo viešojo transporto priemonių parko atnaujinimas</v>
      </c>
      <c r="C74" s="1894"/>
      <c r="D74" s="1894"/>
      <c r="E74" s="1894"/>
      <c r="F74" s="1894"/>
      <c r="G74" s="1894"/>
      <c r="H74" s="1894"/>
      <c r="I74" s="1894"/>
      <c r="J74" s="1894"/>
      <c r="K74" s="1895"/>
      <c r="L74" s="1322"/>
      <c r="M74" s="474"/>
      <c r="N74" s="1697">
        <f t="shared" ref="N74:T74" si="331">SUM(N75:N78)</f>
        <v>0</v>
      </c>
      <c r="O74" s="1697">
        <f t="shared" si="331"/>
        <v>0</v>
      </c>
      <c r="P74" s="1697">
        <f t="shared" si="331"/>
        <v>0</v>
      </c>
      <c r="Q74" s="1697">
        <f t="shared" si="331"/>
        <v>0</v>
      </c>
      <c r="R74" s="1697">
        <f t="shared" si="331"/>
        <v>0</v>
      </c>
      <c r="S74" s="1697">
        <f t="shared" si="331"/>
        <v>0</v>
      </c>
      <c r="T74" s="1697">
        <f t="shared" si="331"/>
        <v>0</v>
      </c>
      <c r="U74" s="1698">
        <f t="shared" ref="U74:U79" si="332">SUM(N74:T74)</f>
        <v>0</v>
      </c>
      <c r="V74" s="736"/>
      <c r="W74" s="1754"/>
      <c r="X74" s="1755"/>
      <c r="Y74" s="1756">
        <f t="shared" ref="Y74:AE74" si="333">SUM(Y75:Y78)</f>
        <v>0</v>
      </c>
      <c r="Z74" s="1756">
        <f t="shared" si="333"/>
        <v>0</v>
      </c>
      <c r="AA74" s="1756">
        <f t="shared" si="333"/>
        <v>2</v>
      </c>
      <c r="AB74" s="1756">
        <f t="shared" si="333"/>
        <v>1</v>
      </c>
      <c r="AC74" s="1756">
        <f t="shared" si="333"/>
        <v>4</v>
      </c>
      <c r="AD74" s="1756">
        <f t="shared" si="333"/>
        <v>0</v>
      </c>
      <c r="AE74" s="1756">
        <f t="shared" si="333"/>
        <v>0</v>
      </c>
      <c r="AF74" s="746"/>
      <c r="AG74" s="752"/>
      <c r="AH74" s="1697">
        <f t="shared" ref="AH74:AN74" si="334">SUM(AH75:AH78)</f>
        <v>0</v>
      </c>
      <c r="AI74" s="1697">
        <f t="shared" si="334"/>
        <v>0</v>
      </c>
      <c r="AJ74" s="1697">
        <f t="shared" si="334"/>
        <v>0</v>
      </c>
      <c r="AK74" s="1697">
        <f t="shared" si="334"/>
        <v>0</v>
      </c>
      <c r="AL74" s="1697">
        <f t="shared" si="334"/>
        <v>0</v>
      </c>
      <c r="AM74" s="1697">
        <f t="shared" si="334"/>
        <v>0</v>
      </c>
      <c r="AN74" s="1697">
        <f t="shared" si="334"/>
        <v>0</v>
      </c>
      <c r="AO74" s="1701">
        <f t="shared" ref="AO74:AO98" si="335">SUM(AH74:AN74)</f>
        <v>0</v>
      </c>
      <c r="AP74" s="736"/>
      <c r="AQ74" s="1756"/>
      <c r="AR74" s="1756"/>
      <c r="AS74" s="1756"/>
      <c r="AT74" s="1756"/>
      <c r="AU74" s="1756"/>
      <c r="AV74" s="1756"/>
      <c r="AW74" s="1756"/>
      <c r="AX74" s="1756"/>
      <c r="AY74" s="1756"/>
      <c r="AZ74" s="736"/>
      <c r="BA74" s="752"/>
      <c r="BB74" s="1697">
        <f t="shared" ref="BB74:BH74" si="336">SUM(BB75:BB78)</f>
        <v>0</v>
      </c>
      <c r="BC74" s="1697">
        <f t="shared" si="336"/>
        <v>0</v>
      </c>
      <c r="BD74" s="1697">
        <f t="shared" si="336"/>
        <v>0</v>
      </c>
      <c r="BE74" s="1697">
        <f t="shared" si="336"/>
        <v>0</v>
      </c>
      <c r="BF74" s="1697">
        <f t="shared" si="336"/>
        <v>0</v>
      </c>
      <c r="BG74" s="1697">
        <f t="shared" si="336"/>
        <v>0</v>
      </c>
      <c r="BH74" s="1697">
        <f t="shared" si="336"/>
        <v>0</v>
      </c>
      <c r="BI74" s="1701">
        <f t="shared" ref="BI74:BI98" si="337">SUM(BB74:BH74)</f>
        <v>0</v>
      </c>
      <c r="BJ74" s="736"/>
      <c r="BK74" s="304"/>
      <c r="BL74" s="304"/>
      <c r="BM74" s="304"/>
      <c r="BN74" s="304"/>
      <c r="BO74" s="304"/>
      <c r="BP74" s="304"/>
      <c r="BQ74" s="304"/>
      <c r="BR74" s="304"/>
      <c r="BS74" s="304"/>
      <c r="BT74" s="304"/>
      <c r="BU74" s="472"/>
      <c r="BV74" s="1697">
        <f t="shared" ref="BV74:CB74" si="338">SUM(BV75:BV78)</f>
        <v>0</v>
      </c>
      <c r="BW74" s="1697">
        <f t="shared" si="338"/>
        <v>0</v>
      </c>
      <c r="BX74" s="1697">
        <f t="shared" si="338"/>
        <v>0</v>
      </c>
      <c r="BY74" s="1697">
        <f t="shared" si="338"/>
        <v>0</v>
      </c>
      <c r="BZ74" s="1697">
        <f t="shared" si="338"/>
        <v>0</v>
      </c>
      <c r="CA74" s="1697">
        <f t="shared" si="338"/>
        <v>0</v>
      </c>
      <c r="CB74" s="1697">
        <f t="shared" si="338"/>
        <v>0</v>
      </c>
      <c r="CC74" s="1701">
        <f t="shared" ref="CC74:CC98" si="339">SUM(BV74:CB74)</f>
        <v>0</v>
      </c>
      <c r="CD74" s="304"/>
      <c r="CE74" s="304"/>
      <c r="CF74" s="304"/>
      <c r="CG74" s="304"/>
      <c r="CH74" s="304"/>
      <c r="CI74" s="304"/>
      <c r="CJ74" s="304"/>
      <c r="CK74" s="304"/>
      <c r="CL74" s="304"/>
      <c r="CM74" s="304"/>
      <c r="CN74" s="750"/>
      <c r="CO74" s="472"/>
      <c r="CP74" s="1723">
        <f t="shared" ref="CP74:CV74" si="340">SUM(CP75:CP78)</f>
        <v>0</v>
      </c>
      <c r="CQ74" s="1697">
        <f t="shared" si="340"/>
        <v>0</v>
      </c>
      <c r="CR74" s="1697">
        <f t="shared" si="340"/>
        <v>0</v>
      </c>
      <c r="CS74" s="1697">
        <f t="shared" si="340"/>
        <v>0</v>
      </c>
      <c r="CT74" s="1697">
        <f t="shared" si="340"/>
        <v>0</v>
      </c>
      <c r="CU74" s="1697">
        <f t="shared" si="340"/>
        <v>0</v>
      </c>
      <c r="CV74" s="1697">
        <f t="shared" si="340"/>
        <v>0</v>
      </c>
      <c r="CW74" s="1701">
        <f t="shared" ref="CW74:CW98" si="341">SUM(CP74:CV74)</f>
        <v>0</v>
      </c>
      <c r="CX74" s="304"/>
      <c r="CY74" s="506"/>
      <c r="CZ74" s="506"/>
      <c r="DA74" s="506"/>
      <c r="DB74" s="506"/>
      <c r="DC74" s="506"/>
      <c r="DD74" s="506"/>
      <c r="DE74" s="506"/>
      <c r="DF74" s="506"/>
      <c r="DG74" s="506"/>
      <c r="DH74" s="750"/>
      <c r="DI74" s="472"/>
      <c r="DJ74" s="725"/>
      <c r="DK74" s="304"/>
      <c r="DL74" s="304"/>
      <c r="DM74" s="304"/>
      <c r="DN74" s="304"/>
      <c r="DO74" s="304"/>
      <c r="DP74" s="304"/>
      <c r="DQ74" s="736"/>
      <c r="DR74" s="304"/>
      <c r="DS74" s="506"/>
      <c r="DT74" s="506"/>
      <c r="DU74" s="506"/>
      <c r="DV74" s="506"/>
      <c r="DW74" s="506"/>
      <c r="DX74" s="506"/>
      <c r="DY74" s="506"/>
      <c r="DZ74" s="506"/>
      <c r="EA74" s="506"/>
      <c r="EB74" s="750"/>
      <c r="EC74" s="472"/>
      <c r="ED74" s="506"/>
      <c r="EE74" s="506"/>
      <c r="EF74" s="506"/>
      <c r="EG74" s="506"/>
      <c r="EH74" s="506"/>
      <c r="EI74" s="506"/>
      <c r="EJ74" s="506"/>
      <c r="EK74" s="506"/>
      <c r="EL74" s="506"/>
      <c r="EM74" s="506"/>
    </row>
    <row r="75" spans="1:143" ht="49.5" thickTop="1" thickBot="1">
      <c r="A75" s="130" t="str">
        <f>CONCATENATE('3 pr-2'!A75)</f>
        <v>1.1.2.1.1</v>
      </c>
      <c r="B75" s="130" t="str">
        <f>CONCATENATE('3 pr-2'!B75)</f>
        <v>R01-5518-100000-1211</v>
      </c>
      <c r="C75" s="1730" t="str">
        <f>CONCATENATE('ketv. 2'!B74)</f>
        <v/>
      </c>
      <c r="D75" s="78" t="str">
        <f>CONCATENATE('3 pr-2'!D75)</f>
        <v>Nekenksmingų aplinkai viešojo transporto priemonių įsigijimas Alytaus mieste</v>
      </c>
      <c r="E75" s="11" t="str">
        <f>CONCATENATE('3 pr-2'!E75)</f>
        <v>Alytaus miesto savivaldybės administracija</v>
      </c>
      <c r="F75" s="11" t="str">
        <f>CONCATENATE('3 pr-2'!F75)</f>
        <v>Lietuvos Respublikos susisiekimo ministerija</v>
      </c>
      <c r="G75" s="11" t="str">
        <f>CONCATENATE('3 pr-2'!G75)</f>
        <v>Alytaus m. sav.</v>
      </c>
      <c r="H75" s="130" t="str">
        <f>CONCATENATE('3 pr-2'!H75)</f>
        <v>04.5.1-TID-R-518</v>
      </c>
      <c r="I75" s="130" t="str">
        <f>CONCATENATE('3 pr-2'!I75)</f>
        <v>R</v>
      </c>
      <c r="J75" s="130" t="str">
        <f>CONCATENATE('3 pr-2'!J75)</f>
        <v>ITI</v>
      </c>
      <c r="K75" s="130" t="str">
        <f>CONCATENATE('3 pr-2'!K75)</f>
        <v>-</v>
      </c>
      <c r="L75" s="130" t="s">
        <v>488</v>
      </c>
      <c r="M75" s="471" t="s">
        <v>490</v>
      </c>
      <c r="N75" s="1699"/>
      <c r="O75" s="1699"/>
      <c r="P75" s="1699"/>
      <c r="Q75" s="1699"/>
      <c r="R75" s="1699"/>
      <c r="S75" s="1699"/>
      <c r="T75" s="1699"/>
      <c r="U75" s="1700">
        <f t="shared" si="332"/>
        <v>0</v>
      </c>
      <c r="V75" s="130">
        <v>2</v>
      </c>
      <c r="W75" s="1757">
        <f>IF('ketv. 6 '!L74&gt;0,"taip",0)</f>
        <v>0</v>
      </c>
      <c r="X75" s="1732"/>
      <c r="Y75" s="1732">
        <f>IF(YEAR('3 pr-2'!$AK75)=2017,$V75,0)</f>
        <v>0</v>
      </c>
      <c r="Z75" s="1732">
        <f>IF(YEAR('3 pr-2'!$AK75)=2018,$V75,0)</f>
        <v>0</v>
      </c>
      <c r="AA75" s="1732">
        <f>IF(YEAR('3 pr-2'!$AK75)=2019,$V75,0)</f>
        <v>0</v>
      </c>
      <c r="AB75" s="1732">
        <f>IF(YEAR('3 pr-2'!$AK75)=2020,$V75,0)</f>
        <v>0</v>
      </c>
      <c r="AC75" s="1732">
        <f>IF(YEAR('3 pr-2'!$AK75)=2021,$V75,0)</f>
        <v>2</v>
      </c>
      <c r="AD75" s="1732">
        <f>IF(YEAR('3 pr-2'!$AK75)=2022,$V75,0)</f>
        <v>0</v>
      </c>
      <c r="AE75" s="1732">
        <f>IF(YEAR('3 pr-2'!$AK75)=2023,$V75,0)</f>
        <v>0</v>
      </c>
      <c r="AF75" s="317"/>
      <c r="AG75" s="471"/>
      <c r="AH75" s="1699"/>
      <c r="AI75" s="1699"/>
      <c r="AJ75" s="1699"/>
      <c r="AK75" s="1699"/>
      <c r="AL75" s="1699"/>
      <c r="AM75" s="1699"/>
      <c r="AN75" s="1699"/>
      <c r="AO75" s="1718">
        <f t="shared" si="335"/>
        <v>0</v>
      </c>
      <c r="AP75" s="130"/>
      <c r="AQ75" s="1778"/>
      <c r="AR75" s="1732"/>
      <c r="AS75" s="1732">
        <f>IF(YEAR('3 pr-2'!$AK75)=2017,$AP75,0)</f>
        <v>0</v>
      </c>
      <c r="AT75" s="1732">
        <f>IF(YEAR('3 pr-2'!$AK75)=2018,$AP75,0)</f>
        <v>0</v>
      </c>
      <c r="AU75" s="1732">
        <f>IF(YEAR('3 pr-2'!$AK75)=2019,$AP75,0)</f>
        <v>0</v>
      </c>
      <c r="AV75" s="1732">
        <f>IF(YEAR('3 pr-2'!$AK75)=2020,$AP75,0)</f>
        <v>0</v>
      </c>
      <c r="AW75" s="1732">
        <f>IF(YEAR('3 pr-2'!$AK75)=2021,$AP75,0)</f>
        <v>0</v>
      </c>
      <c r="AX75" s="1732">
        <f>IF(YEAR('3 pr-2'!$AK75)=2022,$AP75,0)</f>
        <v>0</v>
      </c>
      <c r="AY75" s="1732">
        <f>IF(YEAR('3 pr-2'!$AK75)=2023,$AP75,0)</f>
        <v>0</v>
      </c>
      <c r="AZ75" s="130"/>
      <c r="BA75" s="470"/>
      <c r="BB75" s="1699"/>
      <c r="BC75" s="1699"/>
      <c r="BD75" s="1699"/>
      <c r="BE75" s="1699"/>
      <c r="BF75" s="1699"/>
      <c r="BG75" s="1699"/>
      <c r="BH75" s="1699"/>
      <c r="BI75" s="1718">
        <f t="shared" si="337"/>
        <v>0</v>
      </c>
      <c r="BJ75" s="130"/>
      <c r="BK75" s="1501"/>
      <c r="BL75" s="130"/>
      <c r="BM75" s="130">
        <f>IF(YEAR('3 pr-2'!AK75)=2017,BJ75,0)</f>
        <v>0</v>
      </c>
      <c r="BN75" s="130">
        <f>IF(YEAR('3 pr-2'!AK75)=2018,BJ75,0)</f>
        <v>0</v>
      </c>
      <c r="BO75" s="130">
        <f>IF(YEAR('3 pr-2'!AK75)=2019,BJ75,0)</f>
        <v>0</v>
      </c>
      <c r="BP75" s="130">
        <f>IF(YEAR('3 pr-2'!AK75)=2020,BJ75,0)</f>
        <v>0</v>
      </c>
      <c r="BQ75" s="130">
        <f>IF(YEAR('3 pr-2'!AK75)=2021,BJ75,0)</f>
        <v>0</v>
      </c>
      <c r="BR75" s="130">
        <f>IF(YEAR('3 pr-2'!AK75)=2022,BJ75,0)</f>
        <v>0</v>
      </c>
      <c r="BS75" s="130">
        <f>IF(YEAR('3 pr-2'!AK75)=2023,BJ75,0)</f>
        <v>0</v>
      </c>
      <c r="BT75" s="317"/>
      <c r="BU75" s="471"/>
      <c r="BV75" s="1699"/>
      <c r="BW75" s="1699"/>
      <c r="BX75" s="1699"/>
      <c r="BY75" s="1699"/>
      <c r="BZ75" s="1699"/>
      <c r="CA75" s="1699"/>
      <c r="CB75" s="1699"/>
      <c r="CC75" s="1718">
        <f t="shared" si="339"/>
        <v>0</v>
      </c>
      <c r="CD75" s="130"/>
      <c r="CE75" s="130"/>
      <c r="CF75" s="130"/>
      <c r="CG75" s="130">
        <f>IF(YEAR('3 pr-2'!$AK75)=2017,$CD75,0)</f>
        <v>0</v>
      </c>
      <c r="CH75" s="130">
        <f>IF(YEAR('3 pr-2'!$AK75)=2018,$CD75,0)</f>
        <v>0</v>
      </c>
      <c r="CI75" s="130">
        <f>IF(YEAR('3 pr-2'!$AK75)=2019,$CD75,0)</f>
        <v>0</v>
      </c>
      <c r="CJ75" s="130">
        <f>IF(YEAR('3 pr-2'!$AK75)=2020,$CD75,0)</f>
        <v>0</v>
      </c>
      <c r="CK75" s="130">
        <f>IF(YEAR('3 pr-2'!$AK75)=2021,$CD75,0)</f>
        <v>0</v>
      </c>
      <c r="CL75" s="130">
        <f>IF(YEAR('3 pr-2'!$AK75)=2022,$CD75,0)</f>
        <v>0</v>
      </c>
      <c r="CM75" s="130">
        <f>IF(YEAR('3 pr-2'!$AK75)=2023,$CD75,0)</f>
        <v>0</v>
      </c>
      <c r="CN75" s="317"/>
      <c r="CO75" s="472"/>
      <c r="CP75" s="1704"/>
      <c r="CQ75" s="1699"/>
      <c r="CR75" s="1699"/>
      <c r="CS75" s="1699"/>
      <c r="CT75" s="1699"/>
      <c r="CU75" s="1699"/>
      <c r="CV75" s="1699"/>
      <c r="CW75" s="1718">
        <f t="shared" si="341"/>
        <v>0</v>
      </c>
      <c r="CX75" s="318"/>
      <c r="CY75" s="303"/>
      <c r="CZ75" s="303"/>
      <c r="DA75" s="506">
        <f>IF(YEAR('3 pr-2'!AK75)=2017,CX75,0)</f>
        <v>0</v>
      </c>
      <c r="DB75" s="506">
        <f>IF(YEAR('3 pr-2'!AK75)=2018,CX75,0)</f>
        <v>0</v>
      </c>
      <c r="DC75" s="506">
        <f>IF(YEAR('3 pr-2'!AK75)=2019,CX75,0)</f>
        <v>0</v>
      </c>
      <c r="DD75" s="506">
        <f>IF(YEAR('3 pr-2'!AK75)=2020,CX75,0)</f>
        <v>0</v>
      </c>
      <c r="DE75" s="506">
        <f>IF(YEAR('3 pr-2'!AK75)=2021,CX75,0)</f>
        <v>0</v>
      </c>
      <c r="DF75" s="506">
        <f>IF(YEAR('3 pr-2'!AK75)=2022,CX75,0)</f>
        <v>0</v>
      </c>
      <c r="DG75" s="506">
        <f>IF(YEAR('3 pr-2'!AK75)=2023,CX75,0)</f>
        <v>0</v>
      </c>
      <c r="DH75" s="317"/>
      <c r="DI75" s="472"/>
      <c r="DJ75" s="318"/>
      <c r="DK75" s="130"/>
      <c r="DL75" s="130"/>
      <c r="DM75" s="130"/>
      <c r="DN75" s="130"/>
      <c r="DO75" s="130"/>
      <c r="DP75" s="130"/>
      <c r="DQ75" s="756"/>
      <c r="DR75" s="318"/>
      <c r="DS75" s="303"/>
      <c r="DT75" s="303"/>
      <c r="DU75" s="506"/>
      <c r="DV75" s="506"/>
      <c r="DW75" s="506"/>
      <c r="DX75" s="506"/>
      <c r="DY75" s="506"/>
      <c r="DZ75" s="506"/>
      <c r="EA75" s="506"/>
      <c r="EB75" s="317"/>
      <c r="EC75" s="472"/>
      <c r="ED75" s="303"/>
      <c r="EE75" s="303"/>
      <c r="EF75" s="303"/>
      <c r="EG75" s="506">
        <f>IF(YEAR('3 pr-2'!BP75)=2017,ED75,0)</f>
        <v>0</v>
      </c>
      <c r="EH75" s="506">
        <f>IF(YEAR('3 pr-2'!BP75)=2018,ED75,0)</f>
        <v>0</v>
      </c>
      <c r="EI75" s="506">
        <f>IF(YEAR('3 pr-2'!BP75)=2019,ED75,0)</f>
        <v>0</v>
      </c>
      <c r="EJ75" s="506">
        <f>IF(YEAR('3 pr-2'!BP75)=2020,ED75,0)</f>
        <v>0</v>
      </c>
      <c r="EK75" s="506">
        <f>IF(YEAR('3 pr-2'!BP75)=2021,ED75,0)</f>
        <v>0</v>
      </c>
      <c r="EL75" s="506">
        <f>IF(YEAR('3 pr-2'!BP75)=2022,ED75,0)</f>
        <v>0</v>
      </c>
      <c r="EM75" s="506">
        <f>IF(YEAR('3 pr-2'!BP75)=2023,ED75,0)</f>
        <v>0</v>
      </c>
    </row>
    <row r="76" spans="1:143" ht="49.5" thickTop="1" thickBot="1">
      <c r="A76" s="130" t="str">
        <f>CONCATENATE('3 pr-2'!A76)</f>
        <v>1.1.2.1.2</v>
      </c>
      <c r="B76" s="130" t="str">
        <f>CONCATENATE('3 pr-2'!B76)</f>
        <v>R01-5518-100000-1212</v>
      </c>
      <c r="C76" s="1730" t="str">
        <f>CONCATENATE('ketv. 2'!B75)</f>
        <v/>
      </c>
      <c r="D76" s="78" t="str">
        <f>CONCATENATE('3 pr-2'!D76)</f>
        <v>Vietinio susisiekimo transporto priemonių įsigijimas</v>
      </c>
      <c r="E76" s="11" t="str">
        <f>CONCATENATE('3 pr-2'!E76)</f>
        <v>Alytaus rajono savivaldybės administracija</v>
      </c>
      <c r="F76" s="11" t="str">
        <f>CONCATENATE('3 pr-2'!F76)</f>
        <v>Lietuvos Respublikos susisiekimo ministerija</v>
      </c>
      <c r="G76" s="11" t="str">
        <f>CONCATENATE('3 pr-2'!G76)</f>
        <v>Alytaus r. sav.</v>
      </c>
      <c r="H76" s="130" t="str">
        <f>CONCATENATE('3 pr-2'!H76)</f>
        <v>04.5.1-TID-R-518</v>
      </c>
      <c r="I76" s="130" t="str">
        <f>CONCATENATE('3 pr-2'!I76)</f>
        <v>R</v>
      </c>
      <c r="J76" s="130" t="str">
        <f>CONCATENATE('3 pr-2'!J76)</f>
        <v>-</v>
      </c>
      <c r="K76" s="130" t="str">
        <f>CONCATENATE('3 pr-2'!K76)</f>
        <v>-</v>
      </c>
      <c r="L76" s="130" t="s">
        <v>488</v>
      </c>
      <c r="M76" s="672" t="s">
        <v>489</v>
      </c>
      <c r="N76" s="1699"/>
      <c r="O76" s="1699"/>
      <c r="P76" s="1699"/>
      <c r="Q76" s="1699"/>
      <c r="R76" s="1699"/>
      <c r="S76" s="1699"/>
      <c r="T76" s="1699"/>
      <c r="U76" s="1700">
        <f t="shared" si="332"/>
        <v>0</v>
      </c>
      <c r="V76" s="130">
        <v>2</v>
      </c>
      <c r="W76" s="1757">
        <f>IF('ketv. 6 '!L75&gt;0,"taip",0)</f>
        <v>0</v>
      </c>
      <c r="X76" s="1732"/>
      <c r="Y76" s="1732">
        <f>IF(YEAR('3 pr-2'!$AK76)=2017,$V76,0)</f>
        <v>0</v>
      </c>
      <c r="Z76" s="1732">
        <f>IF(YEAR('3 pr-2'!$AK76)=2018,$V76,0)</f>
        <v>0</v>
      </c>
      <c r="AA76" s="1732">
        <f>IF(YEAR('3 pr-2'!$AK76)=2019,$V76,0)</f>
        <v>0</v>
      </c>
      <c r="AB76" s="1732">
        <f>IF(YEAR('3 pr-2'!$AK76)=2020,$V76,0)</f>
        <v>0</v>
      </c>
      <c r="AC76" s="1732">
        <f>IF(YEAR('3 pr-2'!$AK76)=2021,$V76,0)</f>
        <v>2</v>
      </c>
      <c r="AD76" s="1732">
        <f>IF(YEAR('3 pr-2'!$AK76)=2022,$V76,0)</f>
        <v>0</v>
      </c>
      <c r="AE76" s="1732">
        <f>IF(YEAR('3 pr-2'!$AK76)=2023,$V76,0)</f>
        <v>0</v>
      </c>
      <c r="AF76" s="317"/>
      <c r="AG76" s="471"/>
      <c r="AH76" s="1699"/>
      <c r="AI76" s="1699"/>
      <c r="AJ76" s="1699"/>
      <c r="AK76" s="1699"/>
      <c r="AL76" s="1699"/>
      <c r="AM76" s="1699"/>
      <c r="AN76" s="1699"/>
      <c r="AO76" s="1718">
        <f t="shared" si="335"/>
        <v>0</v>
      </c>
      <c r="AP76" s="130"/>
      <c r="AQ76" s="1778"/>
      <c r="AR76" s="1732"/>
      <c r="AS76" s="1732">
        <f>IF(YEAR('3 pr-2'!$AK76)=2017,$AP76,0)</f>
        <v>0</v>
      </c>
      <c r="AT76" s="1732">
        <f>IF(YEAR('3 pr-2'!$AK76)=2018,$AP76,0)</f>
        <v>0</v>
      </c>
      <c r="AU76" s="1732">
        <f>IF(YEAR('3 pr-2'!$AK76)=2019,$AP76,0)</f>
        <v>0</v>
      </c>
      <c r="AV76" s="1732">
        <f>IF(YEAR('3 pr-2'!$AK76)=2020,$AP76,0)</f>
        <v>0</v>
      </c>
      <c r="AW76" s="1732">
        <f>IF(YEAR('3 pr-2'!$AK76)=2021,$AP76,0)</f>
        <v>0</v>
      </c>
      <c r="AX76" s="1732">
        <f>IF(YEAR('3 pr-2'!$AK76)=2022,$AP76,0)</f>
        <v>0</v>
      </c>
      <c r="AY76" s="1732">
        <f>IF(YEAR('3 pr-2'!$AK76)=2023,$AP76,0)</f>
        <v>0</v>
      </c>
      <c r="AZ76" s="130"/>
      <c r="BA76" s="470"/>
      <c r="BB76" s="1699"/>
      <c r="BC76" s="1699"/>
      <c r="BD76" s="1699"/>
      <c r="BE76" s="1699"/>
      <c r="BF76" s="1699"/>
      <c r="BG76" s="1699"/>
      <c r="BH76" s="1699"/>
      <c r="BI76" s="1718">
        <f t="shared" si="337"/>
        <v>0</v>
      </c>
      <c r="BJ76" s="130"/>
      <c r="BK76" s="1501"/>
      <c r="BL76" s="130"/>
      <c r="BM76" s="130">
        <f>IF(YEAR('3 pr-2'!AK76)=2017,BJ76,0)</f>
        <v>0</v>
      </c>
      <c r="BN76" s="130">
        <f>IF(YEAR('3 pr-2'!AK76)=2018,BJ76,0)</f>
        <v>0</v>
      </c>
      <c r="BO76" s="130">
        <f>IF(YEAR('3 pr-2'!AK76)=2019,BJ76,0)</f>
        <v>0</v>
      </c>
      <c r="BP76" s="130">
        <f>IF(YEAR('3 pr-2'!AK76)=2020,BJ76,0)</f>
        <v>0</v>
      </c>
      <c r="BQ76" s="130">
        <f>IF(YEAR('3 pr-2'!AK76)=2021,BJ76,0)</f>
        <v>0</v>
      </c>
      <c r="BR76" s="130">
        <f>IF(YEAR('3 pr-2'!AK76)=2022,BJ76,0)</f>
        <v>0</v>
      </c>
      <c r="BS76" s="130">
        <f>IF(YEAR('3 pr-2'!AK76)=2023,BJ76,0)</f>
        <v>0</v>
      </c>
      <c r="BT76" s="317"/>
      <c r="BU76" s="471"/>
      <c r="BV76" s="1699"/>
      <c r="BW76" s="1699"/>
      <c r="BX76" s="1699"/>
      <c r="BY76" s="1699"/>
      <c r="BZ76" s="1699"/>
      <c r="CA76" s="1699"/>
      <c r="CB76" s="1699"/>
      <c r="CC76" s="1718">
        <f t="shared" si="339"/>
        <v>0</v>
      </c>
      <c r="CD76" s="130"/>
      <c r="CE76" s="130"/>
      <c r="CF76" s="130"/>
      <c r="CG76" s="130">
        <f>IF(YEAR('3 pr-2'!$AK76)=2017,$CD76,0)</f>
        <v>0</v>
      </c>
      <c r="CH76" s="130">
        <f>IF(YEAR('3 pr-2'!$AK76)=2018,$CD76,0)</f>
        <v>0</v>
      </c>
      <c r="CI76" s="130">
        <f>IF(YEAR('3 pr-2'!$AK76)=2019,$CD76,0)</f>
        <v>0</v>
      </c>
      <c r="CJ76" s="130">
        <f>IF(YEAR('3 pr-2'!$AK76)=2020,$CD76,0)</f>
        <v>0</v>
      </c>
      <c r="CK76" s="130">
        <f>IF(YEAR('3 pr-2'!$AK76)=2021,$CD76,0)</f>
        <v>0</v>
      </c>
      <c r="CL76" s="130">
        <f>IF(YEAR('3 pr-2'!$AK76)=2022,$CD76,0)</f>
        <v>0</v>
      </c>
      <c r="CM76" s="130">
        <f>IF(YEAR('3 pr-2'!$AK76)=2023,$CD76,0)</f>
        <v>0</v>
      </c>
      <c r="CN76" s="317"/>
      <c r="CO76" s="472"/>
      <c r="CP76" s="1704"/>
      <c r="CQ76" s="1699"/>
      <c r="CR76" s="1699"/>
      <c r="CS76" s="1699"/>
      <c r="CT76" s="1699"/>
      <c r="CU76" s="1699"/>
      <c r="CV76" s="1699"/>
      <c r="CW76" s="1718">
        <f t="shared" si="341"/>
        <v>0</v>
      </c>
      <c r="CX76" s="318"/>
      <c r="CY76" s="303"/>
      <c r="CZ76" s="303"/>
      <c r="DA76" s="506">
        <f>IF(YEAR('3 pr-2'!AK76)=2017,CX76,0)</f>
        <v>0</v>
      </c>
      <c r="DB76" s="506">
        <f>IF(YEAR('3 pr-2'!AK76)=2018,CX76,0)</f>
        <v>0</v>
      </c>
      <c r="DC76" s="506">
        <f>IF(YEAR('3 pr-2'!AK76)=2019,CX76,0)</f>
        <v>0</v>
      </c>
      <c r="DD76" s="506">
        <f>IF(YEAR('3 pr-2'!AK76)=2020,CX76,0)</f>
        <v>0</v>
      </c>
      <c r="DE76" s="506">
        <f>IF(YEAR('3 pr-2'!AK76)=2021,CX76,0)</f>
        <v>0</v>
      </c>
      <c r="DF76" s="506">
        <f>IF(YEAR('3 pr-2'!AK76)=2022,CX76,0)</f>
        <v>0</v>
      </c>
      <c r="DG76" s="506">
        <f>IF(YEAR('3 pr-2'!AK76)=2023,CX76,0)</f>
        <v>0</v>
      </c>
      <c r="DH76" s="317"/>
      <c r="DI76" s="472"/>
      <c r="DJ76" s="318"/>
      <c r="DK76" s="130"/>
      <c r="DL76" s="130"/>
      <c r="DM76" s="130"/>
      <c r="DN76" s="130"/>
      <c r="DO76" s="130"/>
      <c r="DP76" s="130"/>
      <c r="DQ76" s="756"/>
      <c r="DR76" s="318"/>
      <c r="DS76" s="303"/>
      <c r="DT76" s="303"/>
      <c r="DU76" s="506"/>
      <c r="DV76" s="506"/>
      <c r="DW76" s="506"/>
      <c r="DX76" s="506"/>
      <c r="DY76" s="506"/>
      <c r="DZ76" s="506"/>
      <c r="EA76" s="506"/>
      <c r="EB76" s="317"/>
      <c r="EC76" s="472"/>
      <c r="ED76" s="303"/>
      <c r="EE76" s="303"/>
      <c r="EF76" s="303"/>
      <c r="EG76" s="506">
        <f>IF(YEAR('3 pr-2'!BP76)=2017,ED76,0)</f>
        <v>0</v>
      </c>
      <c r="EH76" s="506">
        <f>IF(YEAR('3 pr-2'!BP76)=2018,ED76,0)</f>
        <v>0</v>
      </c>
      <c r="EI76" s="506">
        <f>IF(YEAR('3 pr-2'!BP76)=2019,ED76,0)</f>
        <v>0</v>
      </c>
      <c r="EJ76" s="506">
        <f>IF(YEAR('3 pr-2'!BP76)=2020,ED76,0)</f>
        <v>0</v>
      </c>
      <c r="EK76" s="506">
        <f>IF(YEAR('3 pr-2'!BP76)=2021,ED76,0)</f>
        <v>0</v>
      </c>
      <c r="EL76" s="506">
        <f>IF(YEAR('3 pr-2'!BP76)=2022,ED76,0)</f>
        <v>0</v>
      </c>
      <c r="EM76" s="506">
        <f>IF(YEAR('3 pr-2'!BP76)=2023,ED76,0)</f>
        <v>0</v>
      </c>
    </row>
    <row r="77" spans="1:143" ht="49.5" thickTop="1" thickBot="1">
      <c r="A77" s="130" t="str">
        <f>CONCATENATE('3 pr-2'!A77)</f>
        <v>1.1.2.1.3</v>
      </c>
      <c r="B77" s="130" t="str">
        <f>CONCATENATE('3 pr-2'!B77)</f>
        <v>R01-5518-100000-1213</v>
      </c>
      <c r="C77" s="1730" t="str">
        <f>CONCATENATE('ketv. 2'!B76)</f>
        <v>04.5.1-TID-R-518-11-0002</v>
      </c>
      <c r="D77" s="78" t="str">
        <f>CONCATENATE('3 pr-2'!D77)</f>
        <v>Ekologiškų transporto priemonių įsigijimas Druskininkų savivaldybėje</v>
      </c>
      <c r="E77" s="11" t="str">
        <f>CONCATENATE('3 pr-2'!E77)</f>
        <v xml:space="preserve">Druskininkų savivaldybės administracija  </v>
      </c>
      <c r="F77" s="11" t="str">
        <f>CONCATENATE('3 pr-2'!F77)</f>
        <v>Lietuvos Respublikos susisiekimo ministerija</v>
      </c>
      <c r="G77" s="11" t="str">
        <f>CONCATENATE('3 pr-2'!G77)</f>
        <v>Druskininkų sav.</v>
      </c>
      <c r="H77" s="130" t="str">
        <f>CONCATENATE('3 pr-2'!H77)</f>
        <v>04.5.1-TID-R-518</v>
      </c>
      <c r="I77" s="130" t="str">
        <f>CONCATENATE('3 pr-2'!I77)</f>
        <v>R</v>
      </c>
      <c r="J77" s="130" t="str">
        <f>CONCATENATE('3 pr-2'!J77)</f>
        <v>-</v>
      </c>
      <c r="K77" s="130" t="str">
        <f>CONCATENATE('3 pr-2'!K77)</f>
        <v>-</v>
      </c>
      <c r="L77" s="130" t="s">
        <v>488</v>
      </c>
      <c r="M77" s="471" t="s">
        <v>489</v>
      </c>
      <c r="N77" s="1699"/>
      <c r="O77" s="1699"/>
      <c r="P77" s="1699"/>
      <c r="Q77" s="1699"/>
      <c r="R77" s="1699"/>
      <c r="S77" s="1699"/>
      <c r="T77" s="1699"/>
      <c r="U77" s="1700">
        <f t="shared" si="332"/>
        <v>0</v>
      </c>
      <c r="V77" s="130">
        <v>2</v>
      </c>
      <c r="W77" s="1757" t="str">
        <f>IF('ketv. 6 '!L76&gt;0,"taip",0)</f>
        <v>taip</v>
      </c>
      <c r="X77" s="1732"/>
      <c r="Y77" s="1732">
        <f>IF(YEAR('3 pr-2'!$AK77)=2017,$V77,0)</f>
        <v>0</v>
      </c>
      <c r="Z77" s="1732">
        <f>IF(YEAR('3 pr-2'!$AK77)=2018,$V77,0)</f>
        <v>0</v>
      </c>
      <c r="AA77" s="1732">
        <f>IF(YEAR('3 pr-2'!$AK77)=2019,$V77,0)</f>
        <v>2</v>
      </c>
      <c r="AB77" s="1732">
        <f>IF(YEAR('3 pr-2'!$AK77)=2020,$V77,0)</f>
        <v>0</v>
      </c>
      <c r="AC77" s="1732">
        <f>IF(YEAR('3 pr-2'!$AK77)=2021,$V77,0)</f>
        <v>0</v>
      </c>
      <c r="AD77" s="1732">
        <f>IF(YEAR('3 pr-2'!$AK77)=2022,$V77,0)</f>
        <v>0</v>
      </c>
      <c r="AE77" s="1732">
        <f>IF(YEAR('3 pr-2'!$AK77)=2023,$V77,0)</f>
        <v>0</v>
      </c>
      <c r="AF77" s="317"/>
      <c r="AG77" s="471"/>
      <c r="AH77" s="1699"/>
      <c r="AI77" s="1699"/>
      <c r="AJ77" s="1699"/>
      <c r="AK77" s="1699"/>
      <c r="AL77" s="1699"/>
      <c r="AM77" s="1699"/>
      <c r="AN77" s="1699"/>
      <c r="AO77" s="1718">
        <f t="shared" si="335"/>
        <v>0</v>
      </c>
      <c r="AP77" s="130"/>
      <c r="AQ77" s="1778"/>
      <c r="AR77" s="1732"/>
      <c r="AS77" s="1732">
        <f>IF(YEAR('3 pr-2'!$AK77)=2017,$AP77,0)</f>
        <v>0</v>
      </c>
      <c r="AT77" s="1732">
        <f>IF(YEAR('3 pr-2'!$AK77)=2018,$AP77,0)</f>
        <v>0</v>
      </c>
      <c r="AU77" s="1732">
        <f>IF(YEAR('3 pr-2'!$AK77)=2019,$AP77,0)</f>
        <v>0</v>
      </c>
      <c r="AV77" s="1732">
        <f>IF(YEAR('3 pr-2'!$AK77)=2020,$AP77,0)</f>
        <v>0</v>
      </c>
      <c r="AW77" s="1732">
        <f>IF(YEAR('3 pr-2'!$AK77)=2021,$AP77,0)</f>
        <v>0</v>
      </c>
      <c r="AX77" s="1732">
        <f>IF(YEAR('3 pr-2'!$AK77)=2022,$AP77,0)</f>
        <v>0</v>
      </c>
      <c r="AY77" s="1732">
        <f>IF(YEAR('3 pr-2'!$AK77)=2023,$AP77,0)</f>
        <v>0</v>
      </c>
      <c r="AZ77" s="130"/>
      <c r="BA77" s="470"/>
      <c r="BB77" s="1699"/>
      <c r="BC77" s="1699"/>
      <c r="BD77" s="1699"/>
      <c r="BE77" s="1699"/>
      <c r="BF77" s="1699"/>
      <c r="BG77" s="1699"/>
      <c r="BH77" s="1699"/>
      <c r="BI77" s="1718">
        <f t="shared" si="337"/>
        <v>0</v>
      </c>
      <c r="BJ77" s="130"/>
      <c r="BK77" s="1501"/>
      <c r="BL77" s="130"/>
      <c r="BM77" s="130">
        <f>IF(YEAR('3 pr-2'!AK77)=2017,BJ77,0)</f>
        <v>0</v>
      </c>
      <c r="BN77" s="130">
        <f>IF(YEAR('3 pr-2'!AK77)=2018,BJ77,0)</f>
        <v>0</v>
      </c>
      <c r="BO77" s="130">
        <f>IF(YEAR('3 pr-2'!AK77)=2019,BJ77,0)</f>
        <v>0</v>
      </c>
      <c r="BP77" s="130">
        <f>IF(YEAR('3 pr-2'!AK77)=2020,BJ77,0)</f>
        <v>0</v>
      </c>
      <c r="BQ77" s="130">
        <f>IF(YEAR('3 pr-2'!AK77)=2021,BJ77,0)</f>
        <v>0</v>
      </c>
      <c r="BR77" s="130">
        <f>IF(YEAR('3 pr-2'!AK77)=2022,BJ77,0)</f>
        <v>0</v>
      </c>
      <c r="BS77" s="130">
        <f>IF(YEAR('3 pr-2'!AK77)=2023,BJ77,0)</f>
        <v>0</v>
      </c>
      <c r="BT77" s="317"/>
      <c r="BU77" s="471"/>
      <c r="BV77" s="1699"/>
      <c r="BW77" s="1699"/>
      <c r="BX77" s="1699"/>
      <c r="BY77" s="1699"/>
      <c r="BZ77" s="1699"/>
      <c r="CA77" s="1699"/>
      <c r="CB77" s="1699"/>
      <c r="CC77" s="1718">
        <f t="shared" si="339"/>
        <v>0</v>
      </c>
      <c r="CD77" s="130"/>
      <c r="CE77" s="130"/>
      <c r="CF77" s="130"/>
      <c r="CG77" s="130">
        <f>IF(YEAR('3 pr-2'!$AK77)=2017,$CD77,0)</f>
        <v>0</v>
      </c>
      <c r="CH77" s="130">
        <f>IF(YEAR('3 pr-2'!$AK77)=2018,$CD77,0)</f>
        <v>0</v>
      </c>
      <c r="CI77" s="130">
        <f>IF(YEAR('3 pr-2'!$AK77)=2019,$CD77,0)</f>
        <v>0</v>
      </c>
      <c r="CJ77" s="130">
        <f>IF(YEAR('3 pr-2'!$AK77)=2020,$CD77,0)</f>
        <v>0</v>
      </c>
      <c r="CK77" s="130">
        <f>IF(YEAR('3 pr-2'!$AK77)=2021,$CD77,0)</f>
        <v>0</v>
      </c>
      <c r="CL77" s="130">
        <f>IF(YEAR('3 pr-2'!$AK77)=2022,$CD77,0)</f>
        <v>0</v>
      </c>
      <c r="CM77" s="130">
        <f>IF(YEAR('3 pr-2'!$AK77)=2023,$CD77,0)</f>
        <v>0</v>
      </c>
      <c r="CN77" s="317"/>
      <c r="CO77" s="472"/>
      <c r="CP77" s="1704"/>
      <c r="CQ77" s="1699"/>
      <c r="CR77" s="1699"/>
      <c r="CS77" s="1699"/>
      <c r="CT77" s="1699"/>
      <c r="CU77" s="1699"/>
      <c r="CV77" s="1699"/>
      <c r="CW77" s="1718">
        <f t="shared" si="341"/>
        <v>0</v>
      </c>
      <c r="CX77" s="318"/>
      <c r="CY77" s="303"/>
      <c r="CZ77" s="303"/>
      <c r="DA77" s="506">
        <f>IF(YEAR('3 pr-2'!AK77)=2017,CX77,0)</f>
        <v>0</v>
      </c>
      <c r="DB77" s="506">
        <f>IF(YEAR('3 pr-2'!AK77)=2018,CX77,0)</f>
        <v>0</v>
      </c>
      <c r="DC77" s="506">
        <f>IF(YEAR('3 pr-2'!AK77)=2019,CX77,0)</f>
        <v>0</v>
      </c>
      <c r="DD77" s="506">
        <f>IF(YEAR('3 pr-2'!AK77)=2020,CX77,0)</f>
        <v>0</v>
      </c>
      <c r="DE77" s="506">
        <f>IF(YEAR('3 pr-2'!AK77)=2021,CX77,0)</f>
        <v>0</v>
      </c>
      <c r="DF77" s="506">
        <f>IF(YEAR('3 pr-2'!AK77)=2022,CX77,0)</f>
        <v>0</v>
      </c>
      <c r="DG77" s="506">
        <f>IF(YEAR('3 pr-2'!AK77)=2023,CX77,0)</f>
        <v>0</v>
      </c>
      <c r="DH77" s="317"/>
      <c r="DI77" s="472"/>
      <c r="DJ77" s="318"/>
      <c r="DK77" s="130"/>
      <c r="DL77" s="130"/>
      <c r="DM77" s="130"/>
      <c r="DN77" s="130"/>
      <c r="DO77" s="130"/>
      <c r="DP77" s="130"/>
      <c r="DQ77" s="756"/>
      <c r="DR77" s="318"/>
      <c r="DS77" s="303"/>
      <c r="DT77" s="303"/>
      <c r="DU77" s="506"/>
      <c r="DV77" s="506"/>
      <c r="DW77" s="506"/>
      <c r="DX77" s="506"/>
      <c r="DY77" s="506"/>
      <c r="DZ77" s="506"/>
      <c r="EA77" s="506"/>
      <c r="EB77" s="317"/>
      <c r="EC77" s="472"/>
      <c r="ED77" s="303"/>
      <c r="EE77" s="303"/>
      <c r="EF77" s="303"/>
      <c r="EG77" s="506">
        <f>IF(YEAR('3 pr-2'!BP77)=2017,ED77,0)</f>
        <v>0</v>
      </c>
      <c r="EH77" s="506">
        <f>IF(YEAR('3 pr-2'!BP77)=2018,ED77,0)</f>
        <v>0</v>
      </c>
      <c r="EI77" s="506">
        <f>IF(YEAR('3 pr-2'!BP77)=2019,ED77,0)</f>
        <v>0</v>
      </c>
      <c r="EJ77" s="506">
        <f>IF(YEAR('3 pr-2'!BP77)=2020,ED77,0)</f>
        <v>0</v>
      </c>
      <c r="EK77" s="506">
        <f>IF(YEAR('3 pr-2'!BP77)=2021,ED77,0)</f>
        <v>0</v>
      </c>
      <c r="EL77" s="506">
        <f>IF(YEAR('3 pr-2'!BP77)=2022,ED77,0)</f>
        <v>0</v>
      </c>
      <c r="EM77" s="506">
        <f>IF(YEAR('3 pr-2'!BP77)=2023,ED77,0)</f>
        <v>0</v>
      </c>
    </row>
    <row r="78" spans="1:143" ht="49.5" thickTop="1" thickBot="1">
      <c r="A78" s="130" t="str">
        <f>CONCATENATE('3 pr-2'!A78)</f>
        <v>1.1.2.1.4</v>
      </c>
      <c r="B78" s="130" t="str">
        <f>CONCATENATE('3 pr-2'!B78)</f>
        <v>R01-5518-100000-1214</v>
      </c>
      <c r="C78" s="1730" t="str">
        <f>CONCATENATE('ketv. 2'!B77)</f>
        <v>04.5.1-TID-R-518-11-0001</v>
      </c>
      <c r="D78" s="78" t="str">
        <f>CONCATENATE('3 pr-2'!D78)</f>
        <v>Ekologiškų transporto priemonių įsigijimas Lazdijų rajono savivaldybėje</v>
      </c>
      <c r="E78" s="11" t="str">
        <f>CONCATENATE('3 pr-2'!E78)</f>
        <v>Lazdijų rajono savivaldybės administracija</v>
      </c>
      <c r="F78" s="11" t="str">
        <f>CONCATENATE('3 pr-2'!F78)</f>
        <v>Lietuvos Respublikos susisiekimo ministerija</v>
      </c>
      <c r="G78" s="11" t="str">
        <f>CONCATENATE('3 pr-2'!G78)</f>
        <v>Lazdijų r. sav.</v>
      </c>
      <c r="H78" s="130" t="str">
        <f>CONCATENATE('3 pr-2'!H78)</f>
        <v>04.5.1-TID-R-518</v>
      </c>
      <c r="I78" s="130" t="str">
        <f>CONCATENATE('3 pr-2'!I78)</f>
        <v>R</v>
      </c>
      <c r="J78" s="130" t="str">
        <f>CONCATENATE('3 pr-2'!J78)</f>
        <v>-</v>
      </c>
      <c r="K78" s="130" t="str">
        <f>CONCATENATE('3 pr-2'!K78)</f>
        <v>-</v>
      </c>
      <c r="L78" s="130" t="s">
        <v>488</v>
      </c>
      <c r="M78" s="471" t="s">
        <v>489</v>
      </c>
      <c r="N78" s="1699"/>
      <c r="O78" s="1699"/>
      <c r="P78" s="1699"/>
      <c r="Q78" s="1699"/>
      <c r="R78" s="1699"/>
      <c r="S78" s="1699"/>
      <c r="T78" s="1699"/>
      <c r="U78" s="1700">
        <f t="shared" si="332"/>
        <v>0</v>
      </c>
      <c r="V78" s="130">
        <v>1</v>
      </c>
      <c r="W78" s="1757" t="str">
        <f>IF('ketv. 6 '!L77&gt;0,"taip",0)</f>
        <v>taip</v>
      </c>
      <c r="X78" s="1732"/>
      <c r="Y78" s="1732">
        <f>IF(YEAR('3 pr-2'!$AK78)=2017,$V78,0)</f>
        <v>0</v>
      </c>
      <c r="Z78" s="1732">
        <f>IF(YEAR('3 pr-2'!$AK78)=2018,$V78,0)</f>
        <v>0</v>
      </c>
      <c r="AA78" s="1732">
        <f>IF(YEAR('3 pr-2'!$AK78)=2019,$V78,0)</f>
        <v>0</v>
      </c>
      <c r="AB78" s="1732">
        <f>IF(YEAR('3 pr-2'!$AK78)=2020,$V78,0)</f>
        <v>1</v>
      </c>
      <c r="AC78" s="1732">
        <f>IF(YEAR('3 pr-2'!$AK78)=2021,$V78,0)</f>
        <v>0</v>
      </c>
      <c r="AD78" s="1732">
        <f>IF(YEAR('3 pr-2'!$AK78)=2022,$V78,0)</f>
        <v>0</v>
      </c>
      <c r="AE78" s="1732">
        <f>IF(YEAR('3 pr-2'!$AK78)=2023,$V78,0)</f>
        <v>0</v>
      </c>
      <c r="AF78" s="317"/>
      <c r="AG78" s="471"/>
      <c r="AH78" s="1699"/>
      <c r="AI78" s="1699"/>
      <c r="AJ78" s="1699"/>
      <c r="AK78" s="1699"/>
      <c r="AL78" s="1699"/>
      <c r="AM78" s="1699"/>
      <c r="AN78" s="1699"/>
      <c r="AO78" s="1718">
        <f t="shared" si="335"/>
        <v>0</v>
      </c>
      <c r="AP78" s="130"/>
      <c r="AQ78" s="1778"/>
      <c r="AR78" s="1732"/>
      <c r="AS78" s="1732">
        <f>IF(YEAR('3 pr-2'!$AK78)=2017,$AP78,0)</f>
        <v>0</v>
      </c>
      <c r="AT78" s="1732">
        <f>IF(YEAR('3 pr-2'!$AK78)=2018,$AP78,0)</f>
        <v>0</v>
      </c>
      <c r="AU78" s="1732">
        <f>IF(YEAR('3 pr-2'!$AK78)=2019,$AP78,0)</f>
        <v>0</v>
      </c>
      <c r="AV78" s="1732">
        <f>IF(YEAR('3 pr-2'!$AK78)=2020,$AP78,0)</f>
        <v>0</v>
      </c>
      <c r="AW78" s="1732">
        <f>IF(YEAR('3 pr-2'!$AK78)=2021,$AP78,0)</f>
        <v>0</v>
      </c>
      <c r="AX78" s="1732">
        <f>IF(YEAR('3 pr-2'!$AK78)=2022,$AP78,0)</f>
        <v>0</v>
      </c>
      <c r="AY78" s="1732">
        <f>IF(YEAR('3 pr-2'!$AK78)=2023,$AP78,0)</f>
        <v>0</v>
      </c>
      <c r="AZ78" s="130"/>
      <c r="BA78" s="470"/>
      <c r="BB78" s="1699"/>
      <c r="BC78" s="1699"/>
      <c r="BD78" s="1699"/>
      <c r="BE78" s="1699"/>
      <c r="BF78" s="1699"/>
      <c r="BG78" s="1699"/>
      <c r="BH78" s="1699"/>
      <c r="BI78" s="1718">
        <f t="shared" si="337"/>
        <v>0</v>
      </c>
      <c r="BJ78" s="130"/>
      <c r="BK78" s="1501"/>
      <c r="BL78" s="130"/>
      <c r="BM78" s="130">
        <f>IF(YEAR('3 pr-2'!AK78)=2017,BJ78,0)</f>
        <v>0</v>
      </c>
      <c r="BN78" s="130">
        <f>IF(YEAR('3 pr-2'!AK78)=2018,BJ78,0)</f>
        <v>0</v>
      </c>
      <c r="BO78" s="130">
        <f>IF(YEAR('3 pr-2'!AK78)=2019,BJ78,0)</f>
        <v>0</v>
      </c>
      <c r="BP78" s="130">
        <f>IF(YEAR('3 pr-2'!AK78)=2020,BJ78,0)</f>
        <v>0</v>
      </c>
      <c r="BQ78" s="130">
        <f>IF(YEAR('3 pr-2'!AK78)=2021,BJ78,0)</f>
        <v>0</v>
      </c>
      <c r="BR78" s="130">
        <f>IF(YEAR('3 pr-2'!AK78)=2022,BJ78,0)</f>
        <v>0</v>
      </c>
      <c r="BS78" s="130">
        <f>IF(YEAR('3 pr-2'!AK78)=2023,BJ78,0)</f>
        <v>0</v>
      </c>
      <c r="BT78" s="317"/>
      <c r="BU78" s="471"/>
      <c r="BV78" s="1699"/>
      <c r="BW78" s="1699"/>
      <c r="BX78" s="1699"/>
      <c r="BY78" s="1699"/>
      <c r="BZ78" s="1699"/>
      <c r="CA78" s="1699"/>
      <c r="CB78" s="1699"/>
      <c r="CC78" s="1718">
        <f t="shared" si="339"/>
        <v>0</v>
      </c>
      <c r="CD78" s="130"/>
      <c r="CE78" s="130"/>
      <c r="CF78" s="130"/>
      <c r="CG78" s="130">
        <f>IF(YEAR('3 pr-2'!$AK78)=2017,$CD78,0)</f>
        <v>0</v>
      </c>
      <c r="CH78" s="130">
        <f>IF(YEAR('3 pr-2'!$AK78)=2018,$CD78,0)</f>
        <v>0</v>
      </c>
      <c r="CI78" s="130">
        <f>IF(YEAR('3 pr-2'!$AK78)=2019,$CD78,0)</f>
        <v>0</v>
      </c>
      <c r="CJ78" s="130">
        <f>IF(YEAR('3 pr-2'!$AK78)=2020,$CD78,0)</f>
        <v>0</v>
      </c>
      <c r="CK78" s="130">
        <f>IF(YEAR('3 pr-2'!$AK78)=2021,$CD78,0)</f>
        <v>0</v>
      </c>
      <c r="CL78" s="130">
        <f>IF(YEAR('3 pr-2'!$AK78)=2022,$CD78,0)</f>
        <v>0</v>
      </c>
      <c r="CM78" s="130">
        <f>IF(YEAR('3 pr-2'!$AK78)=2023,$CD78,0)</f>
        <v>0</v>
      </c>
      <c r="CN78" s="317"/>
      <c r="CO78" s="472"/>
      <c r="CP78" s="1704"/>
      <c r="CQ78" s="1699"/>
      <c r="CR78" s="1699"/>
      <c r="CS78" s="1699"/>
      <c r="CT78" s="1699"/>
      <c r="CU78" s="1699"/>
      <c r="CV78" s="1699"/>
      <c r="CW78" s="1718">
        <f t="shared" si="341"/>
        <v>0</v>
      </c>
      <c r="CX78" s="318"/>
      <c r="CY78" s="303"/>
      <c r="CZ78" s="303"/>
      <c r="DA78" s="506">
        <f>IF(YEAR('3 pr-2'!AK78)=2017,CX78,0)</f>
        <v>0</v>
      </c>
      <c r="DB78" s="506">
        <f>IF(YEAR('3 pr-2'!AK78)=2018,CX78,0)</f>
        <v>0</v>
      </c>
      <c r="DC78" s="506">
        <f>IF(YEAR('3 pr-2'!AK78)=2019,CX78,0)</f>
        <v>0</v>
      </c>
      <c r="DD78" s="506">
        <f>IF(YEAR('3 pr-2'!AK78)=2020,CX78,0)</f>
        <v>0</v>
      </c>
      <c r="DE78" s="506">
        <f>IF(YEAR('3 pr-2'!AK78)=2021,CX78,0)</f>
        <v>0</v>
      </c>
      <c r="DF78" s="506">
        <f>IF(YEAR('3 pr-2'!AK78)=2022,CX78,0)</f>
        <v>0</v>
      </c>
      <c r="DG78" s="506">
        <f>IF(YEAR('3 pr-2'!AK78)=2023,CX78,0)</f>
        <v>0</v>
      </c>
      <c r="DH78" s="317"/>
      <c r="DI78" s="472"/>
      <c r="DJ78" s="318"/>
      <c r="DK78" s="130"/>
      <c r="DL78" s="130"/>
      <c r="DM78" s="130"/>
      <c r="DN78" s="130"/>
      <c r="DO78" s="130"/>
      <c r="DP78" s="130"/>
      <c r="DQ78" s="756"/>
      <c r="DR78" s="318"/>
      <c r="DS78" s="303"/>
      <c r="DT78" s="303"/>
      <c r="DU78" s="506"/>
      <c r="DV78" s="506"/>
      <c r="DW78" s="506"/>
      <c r="DX78" s="506"/>
      <c r="DY78" s="506"/>
      <c r="DZ78" s="506"/>
      <c r="EA78" s="506"/>
      <c r="EB78" s="317"/>
      <c r="EC78" s="472"/>
      <c r="ED78" s="303"/>
      <c r="EE78" s="303"/>
      <c r="EF78" s="303"/>
      <c r="EG78" s="506">
        <f>IF(YEAR('3 pr-2'!BP78)=2017,ED78,0)</f>
        <v>0</v>
      </c>
      <c r="EH78" s="506">
        <f>IF(YEAR('3 pr-2'!BP78)=2018,ED78,0)</f>
        <v>0</v>
      </c>
      <c r="EI78" s="506">
        <f>IF(YEAR('3 pr-2'!BP78)=2019,ED78,0)</f>
        <v>0</v>
      </c>
      <c r="EJ78" s="506">
        <f>IF(YEAR('3 pr-2'!BP78)=2020,ED78,0)</f>
        <v>0</v>
      </c>
      <c r="EK78" s="506">
        <f>IF(YEAR('3 pr-2'!BP78)=2021,ED78,0)</f>
        <v>0</v>
      </c>
      <c r="EL78" s="506">
        <f>IF(YEAR('3 pr-2'!BP78)=2022,ED78,0)</f>
        <v>0</v>
      </c>
      <c r="EM78" s="506">
        <f>IF(YEAR('3 pr-2'!BP78)=2023,ED78,0)</f>
        <v>0</v>
      </c>
    </row>
    <row r="79" spans="1:143" ht="29.25" customHeight="1" thickBot="1">
      <c r="A79" s="697" t="str">
        <f>CONCATENATE('3 pr-2'!A79)</f>
        <v>1.1.2.2</v>
      </c>
      <c r="B79" s="1972" t="str">
        <f>CONCATENATE('3 pr-2'!B79)</f>
        <v>Priemonė:
Darnaus judumo priemonių diegimas</v>
      </c>
      <c r="C79" s="1894"/>
      <c r="D79" s="1894"/>
      <c r="E79" s="1894"/>
      <c r="F79" s="1894"/>
      <c r="G79" s="1894"/>
      <c r="H79" s="1894"/>
      <c r="I79" s="1894"/>
      <c r="J79" s="1894"/>
      <c r="K79" s="1895"/>
      <c r="L79" s="1322"/>
      <c r="M79" s="474"/>
      <c r="N79" s="1697">
        <f>SUM(N80:N83)</f>
        <v>0</v>
      </c>
      <c r="O79" s="1697">
        <f t="shared" ref="O79:T79" si="342">SUM(O80:O83)</f>
        <v>0</v>
      </c>
      <c r="P79" s="1697">
        <f t="shared" si="342"/>
        <v>0</v>
      </c>
      <c r="Q79" s="1697">
        <f t="shared" si="342"/>
        <v>0</v>
      </c>
      <c r="R79" s="1697">
        <f t="shared" si="342"/>
        <v>0</v>
      </c>
      <c r="S79" s="1697">
        <f t="shared" si="342"/>
        <v>0</v>
      </c>
      <c r="T79" s="1697">
        <f t="shared" si="342"/>
        <v>0</v>
      </c>
      <c r="U79" s="1698">
        <f t="shared" si="332"/>
        <v>0</v>
      </c>
      <c r="V79" s="736"/>
      <c r="W79" s="1754"/>
      <c r="X79" s="1755"/>
      <c r="Y79" s="1761">
        <f t="shared" ref="Y79:AE79" si="343">SUM(Y80:Y85)</f>
        <v>0</v>
      </c>
      <c r="Z79" s="1761">
        <f t="shared" si="343"/>
        <v>0</v>
      </c>
      <c r="AA79" s="1761">
        <f t="shared" si="343"/>
        <v>0</v>
      </c>
      <c r="AB79" s="1761">
        <f t="shared" si="343"/>
        <v>2</v>
      </c>
      <c r="AC79" s="1761">
        <f t="shared" si="343"/>
        <v>3</v>
      </c>
      <c r="AD79" s="1761">
        <f t="shared" si="343"/>
        <v>0</v>
      </c>
      <c r="AE79" s="1761">
        <f t="shared" si="343"/>
        <v>0</v>
      </c>
      <c r="AF79" s="746"/>
      <c r="AG79" s="752"/>
      <c r="AH79" s="1697">
        <f t="shared" ref="AH79:AN79" si="344">SUM(AH80:AH83)</f>
        <v>1</v>
      </c>
      <c r="AI79" s="1697">
        <f t="shared" si="344"/>
        <v>1</v>
      </c>
      <c r="AJ79" s="1697">
        <f t="shared" si="344"/>
        <v>0</v>
      </c>
      <c r="AK79" s="1697">
        <f t="shared" si="344"/>
        <v>0</v>
      </c>
      <c r="AL79" s="1697">
        <f t="shared" si="344"/>
        <v>0</v>
      </c>
      <c r="AM79" s="1697">
        <f t="shared" si="344"/>
        <v>0</v>
      </c>
      <c r="AN79" s="1697">
        <f t="shared" si="344"/>
        <v>0</v>
      </c>
      <c r="AO79" s="1701">
        <f t="shared" si="335"/>
        <v>2</v>
      </c>
      <c r="AP79" s="736"/>
      <c r="AQ79" s="1756"/>
      <c r="AR79" s="1756"/>
      <c r="AS79" s="1756">
        <f t="shared" ref="AS79:AY79" si="345">SUM(AS80:AS83)</f>
        <v>1</v>
      </c>
      <c r="AT79" s="1756">
        <f t="shared" si="345"/>
        <v>1</v>
      </c>
      <c r="AU79" s="1756">
        <f t="shared" si="345"/>
        <v>0</v>
      </c>
      <c r="AV79" s="1756">
        <f t="shared" si="345"/>
        <v>0</v>
      </c>
      <c r="AW79" s="1756">
        <f t="shared" si="345"/>
        <v>0</v>
      </c>
      <c r="AX79" s="1756">
        <f t="shared" si="345"/>
        <v>0</v>
      </c>
      <c r="AY79" s="1756">
        <f t="shared" si="345"/>
        <v>0</v>
      </c>
      <c r="AZ79" s="736"/>
      <c r="BA79" s="752"/>
      <c r="BB79" s="1697">
        <f>SUM(BB80:BB83)</f>
        <v>0</v>
      </c>
      <c r="BC79" s="1697">
        <f t="shared" ref="BC79" si="346">SUM(BC80:BC83)</f>
        <v>0</v>
      </c>
      <c r="BD79" s="1697">
        <f t="shared" ref="BD79" si="347">SUM(BD80:BD83)</f>
        <v>0</v>
      </c>
      <c r="BE79" s="1697">
        <f t="shared" ref="BE79" si="348">SUM(BE80:BE83)</f>
        <v>0</v>
      </c>
      <c r="BF79" s="1697">
        <f t="shared" ref="BF79" si="349">SUM(BF80:BF83)</f>
        <v>0</v>
      </c>
      <c r="BG79" s="1697">
        <f t="shared" ref="BG79" si="350">SUM(BG80:BG83)</f>
        <v>0</v>
      </c>
      <c r="BH79" s="1697">
        <f t="shared" ref="BH79" si="351">SUM(BH80:BH83)</f>
        <v>0</v>
      </c>
      <c r="BI79" s="1701">
        <f t="shared" si="337"/>
        <v>0</v>
      </c>
      <c r="BJ79" s="736"/>
      <c r="BK79" s="304"/>
      <c r="BL79" s="304"/>
      <c r="BM79" s="304">
        <f t="shared" ref="BM79:BS79" si="352">SUM(BM80:BM83)</f>
        <v>0</v>
      </c>
      <c r="BN79" s="304">
        <f t="shared" si="352"/>
        <v>0</v>
      </c>
      <c r="BO79" s="304">
        <f t="shared" si="352"/>
        <v>0</v>
      </c>
      <c r="BP79" s="304">
        <f t="shared" si="352"/>
        <v>1</v>
      </c>
      <c r="BQ79" s="304">
        <f t="shared" si="352"/>
        <v>0</v>
      </c>
      <c r="BR79" s="304">
        <f t="shared" si="352"/>
        <v>0</v>
      </c>
      <c r="BS79" s="304">
        <f t="shared" si="352"/>
        <v>0</v>
      </c>
      <c r="BT79" s="304"/>
      <c r="BU79" s="472"/>
      <c r="BV79" s="1697">
        <f>SUM(BV80:BV83)</f>
        <v>0</v>
      </c>
      <c r="BW79" s="1697">
        <f t="shared" ref="BW79" si="353">SUM(BW80:BW83)</f>
        <v>0</v>
      </c>
      <c r="BX79" s="1697">
        <f t="shared" ref="BX79" si="354">SUM(BX80:BX83)</f>
        <v>0</v>
      </c>
      <c r="BY79" s="1697">
        <f t="shared" ref="BY79" si="355">SUM(BY80:BY83)</f>
        <v>0</v>
      </c>
      <c r="BZ79" s="1697">
        <f t="shared" ref="BZ79" si="356">SUM(BZ80:BZ83)</f>
        <v>0</v>
      </c>
      <c r="CA79" s="1697">
        <f t="shared" ref="CA79" si="357">SUM(CA80:CA83)</f>
        <v>0</v>
      </c>
      <c r="CB79" s="1697">
        <f t="shared" ref="CB79" si="358">SUM(CB80:CB83)</f>
        <v>0</v>
      </c>
      <c r="CC79" s="1701">
        <f t="shared" si="339"/>
        <v>0</v>
      </c>
      <c r="CD79" s="304"/>
      <c r="CE79" s="304"/>
      <c r="CF79" s="304"/>
      <c r="CG79" s="304"/>
      <c r="CH79" s="304"/>
      <c r="CI79" s="304"/>
      <c r="CJ79" s="304"/>
      <c r="CK79" s="304"/>
      <c r="CL79" s="304"/>
      <c r="CM79" s="304"/>
      <c r="CN79" s="750"/>
      <c r="CO79" s="472"/>
      <c r="CP79" s="1723">
        <f>SUM(CP80:CP83)</f>
        <v>0</v>
      </c>
      <c r="CQ79" s="1697">
        <f t="shared" ref="CQ79" si="359">SUM(CQ80:CQ83)</f>
        <v>0</v>
      </c>
      <c r="CR79" s="1697">
        <f t="shared" ref="CR79" si="360">SUM(CR80:CR83)</f>
        <v>0</v>
      </c>
      <c r="CS79" s="1697">
        <f t="shared" ref="CS79" si="361">SUM(CS80:CS83)</f>
        <v>0</v>
      </c>
      <c r="CT79" s="1697">
        <f t="shared" ref="CT79" si="362">SUM(CT80:CT83)</f>
        <v>0</v>
      </c>
      <c r="CU79" s="1697">
        <f t="shared" ref="CU79" si="363">SUM(CU80:CU83)</f>
        <v>0</v>
      </c>
      <c r="CV79" s="1697">
        <f t="shared" ref="CV79" si="364">SUM(CV80:CV83)</f>
        <v>0</v>
      </c>
      <c r="CW79" s="1701">
        <f t="shared" si="341"/>
        <v>0</v>
      </c>
      <c r="CX79" s="304"/>
      <c r="CY79" s="304"/>
      <c r="CZ79" s="304"/>
      <c r="DA79" s="304"/>
      <c r="DB79" s="304"/>
      <c r="DC79" s="304"/>
      <c r="DD79" s="304"/>
      <c r="DE79" s="304"/>
      <c r="DF79" s="304"/>
      <c r="DG79" s="506">
        <f>IF(YEAR('3 pr-2'!AK79)=2023,CX79,0)</f>
        <v>0</v>
      </c>
      <c r="DH79" s="750"/>
      <c r="DI79" s="472"/>
      <c r="DJ79" s="725"/>
      <c r="DK79" s="304"/>
      <c r="DL79" s="304"/>
      <c r="DM79" s="304"/>
      <c r="DN79" s="304"/>
      <c r="DO79" s="304"/>
      <c r="DP79" s="304"/>
      <c r="DQ79" s="736"/>
      <c r="DR79" s="304"/>
      <c r="DS79" s="304"/>
      <c r="DT79" s="304"/>
      <c r="DU79" s="304"/>
      <c r="DV79" s="304"/>
      <c r="DW79" s="304"/>
      <c r="DX79" s="304"/>
      <c r="DY79" s="304"/>
      <c r="DZ79" s="304"/>
      <c r="EA79" s="506"/>
      <c r="EB79" s="750"/>
      <c r="EC79" s="472"/>
      <c r="ED79" s="304"/>
      <c r="EE79" s="304"/>
      <c r="EF79" s="304"/>
      <c r="EG79" s="304"/>
      <c r="EH79" s="304"/>
      <c r="EI79" s="304"/>
      <c r="EJ79" s="304"/>
      <c r="EK79" s="304"/>
      <c r="EL79" s="304"/>
      <c r="EM79" s="506">
        <f>IF(YEAR('3 pr-2'!BP79)=2023,ED79,0)</f>
        <v>0</v>
      </c>
    </row>
    <row r="80" spans="1:143" ht="49.5" thickTop="1" thickBot="1">
      <c r="A80" s="130" t="str">
        <f>CONCATENATE('3 pr-2'!A80)</f>
        <v>1.1.2.2.1</v>
      </c>
      <c r="B80" s="130" t="str">
        <f>CONCATENATE('3 pr-2'!B80)</f>
        <v>R01-5514-190000-1221</v>
      </c>
      <c r="C80" s="1730" t="str">
        <f>CONCATENATE('ketv. 2'!B79)</f>
        <v/>
      </c>
      <c r="D80" s="78" t="str">
        <f>CONCATENATE('3 pr-2'!D80)</f>
        <v>Darnaus judumo priemonių diegimas Alytaus mieste</v>
      </c>
      <c r="E80" s="11" t="str">
        <f>CONCATENATE('3 pr-2'!E80)</f>
        <v>Alytaus miesto savivaldybės administracija</v>
      </c>
      <c r="F80" s="11" t="str">
        <f>CONCATENATE('3 pr-2'!F80)</f>
        <v>Lietuvos Respublikos susisiekimo ministerija</v>
      </c>
      <c r="G80" s="11" t="str">
        <f>CONCATENATE('3 pr-2'!G80)</f>
        <v>Alytaus m. sav.</v>
      </c>
      <c r="H80" s="130" t="str">
        <f>CONCATENATE('3 pr-2'!H80)</f>
        <v>04.5.1.-TID-R-514</v>
      </c>
      <c r="I80" s="130" t="str">
        <f>CONCATENATE('3 pr-2'!I80)</f>
        <v>R</v>
      </c>
      <c r="J80" s="130" t="str">
        <f>CONCATENATE('3 pr-2'!J80)</f>
        <v>ITI</v>
      </c>
      <c r="K80" s="130" t="str">
        <f>CONCATENATE('3 pr-2'!K80)</f>
        <v>-</v>
      </c>
      <c r="L80" s="130" t="s">
        <v>491</v>
      </c>
      <c r="M80" s="471" t="s">
        <v>492</v>
      </c>
      <c r="N80" s="1699"/>
      <c r="O80" s="1699"/>
      <c r="P80" s="1699"/>
      <c r="Q80" s="1699"/>
      <c r="R80" s="1699"/>
      <c r="S80" s="1699"/>
      <c r="T80" s="1699"/>
      <c r="U80" s="1700">
        <f t="shared" ref="U80:U85" si="365">SUM(N80:T80)</f>
        <v>0</v>
      </c>
      <c r="V80" s="130">
        <v>2</v>
      </c>
      <c r="W80" s="1757">
        <f>IF('ketv. 6 '!L79&gt;0,"taip",0)</f>
        <v>0</v>
      </c>
      <c r="X80" s="1732"/>
      <c r="Y80" s="1732">
        <f>IF(YEAR('3 pr-2'!$AK80)=2017,$V80,0)</f>
        <v>0</v>
      </c>
      <c r="Z80" s="1732">
        <f>IF(YEAR('3 pr-2'!$AK80)=2018,$V80,0)</f>
        <v>0</v>
      </c>
      <c r="AA80" s="1732">
        <f>IF(YEAR('3 pr-2'!$AK80)=2019,$V80,0)</f>
        <v>0</v>
      </c>
      <c r="AB80" s="1732">
        <f>IF(YEAR('3 pr-2'!$AK80)=2020,$V80,0)</f>
        <v>0</v>
      </c>
      <c r="AC80" s="1732">
        <f>IF(YEAR('3 pr-2'!$AK80)=2021,$V80,0)</f>
        <v>2</v>
      </c>
      <c r="AD80" s="1732">
        <f>IF(YEAR('3 pr-2'!$AK80)=2022,$V80,0)</f>
        <v>0</v>
      </c>
      <c r="AE80" s="1732">
        <f>IF(YEAR('3 pr-2'!$AK80)=2023,$V80,0)</f>
        <v>0</v>
      </c>
      <c r="AF80" s="317"/>
      <c r="AG80" s="471"/>
      <c r="AH80" s="1699"/>
      <c r="AI80" s="1699"/>
      <c r="AJ80" s="1699"/>
      <c r="AK80" s="1699"/>
      <c r="AL80" s="1699"/>
      <c r="AM80" s="1699"/>
      <c r="AN80" s="1699"/>
      <c r="AO80" s="1718">
        <f t="shared" si="335"/>
        <v>0</v>
      </c>
      <c r="AP80" s="130"/>
      <c r="AQ80" s="1778"/>
      <c r="AR80" s="1732"/>
      <c r="AS80" s="1732">
        <f>IF(YEAR('3 pr-2'!$AK80)=2017,$AP80,0)</f>
        <v>0</v>
      </c>
      <c r="AT80" s="1732">
        <f>IF(YEAR('3 pr-2'!$AK80)=2018,$AP80,0)</f>
        <v>0</v>
      </c>
      <c r="AU80" s="1732">
        <f>IF(YEAR('3 pr-2'!$AK80)=2019,$AP80,0)</f>
        <v>0</v>
      </c>
      <c r="AV80" s="1732">
        <f>IF(YEAR('3 pr-2'!$AK80)=2020,$AP80,0)</f>
        <v>0</v>
      </c>
      <c r="AW80" s="1732">
        <f>IF(YEAR('3 pr-2'!$AK80)=2021,$AP80,0)</f>
        <v>0</v>
      </c>
      <c r="AX80" s="1732">
        <f>IF(YEAR('3 pr-2'!$AK80)=2022,$AP80,0)</f>
        <v>0</v>
      </c>
      <c r="AY80" s="1732">
        <f>IF(YEAR('3 pr-2'!$AK80)=2023,$AP80,0)</f>
        <v>0</v>
      </c>
      <c r="AZ80" s="130"/>
      <c r="BA80" s="470"/>
      <c r="BB80" s="1699"/>
      <c r="BC80" s="1699"/>
      <c r="BD80" s="1699"/>
      <c r="BE80" s="1699"/>
      <c r="BF80" s="1699"/>
      <c r="BG80" s="1699"/>
      <c r="BH80" s="1699"/>
      <c r="BI80" s="1718">
        <f t="shared" si="337"/>
        <v>0</v>
      </c>
      <c r="BJ80" s="130"/>
      <c r="BK80" s="1501"/>
      <c r="BL80" s="130"/>
      <c r="BM80" s="130">
        <f>IF(YEAR('3 pr-2'!AK80)=2017,BJ80,0)</f>
        <v>0</v>
      </c>
      <c r="BN80" s="130">
        <f>IF(YEAR('3 pr-2'!AK80)=2018,BJ80,0)</f>
        <v>0</v>
      </c>
      <c r="BO80" s="130">
        <f>IF(YEAR('3 pr-2'!AK80)=2019,BJ80,0)</f>
        <v>0</v>
      </c>
      <c r="BP80" s="130">
        <f>IF(YEAR('3 pr-2'!AK80)=2020,BJ80,0)</f>
        <v>0</v>
      </c>
      <c r="BQ80" s="130">
        <f>IF(YEAR('3 pr-2'!AK80)=2021,BJ80,0)</f>
        <v>0</v>
      </c>
      <c r="BR80" s="130">
        <f>IF(YEAR('3 pr-2'!AK80)=2022,BJ80,0)</f>
        <v>0</v>
      </c>
      <c r="BS80" s="130">
        <f>IF(YEAR('3 pr-2'!AK80)=2023,BJ80,0)</f>
        <v>0</v>
      </c>
      <c r="BT80" s="317"/>
      <c r="BU80" s="471"/>
      <c r="BV80" s="1699"/>
      <c r="BW80" s="1699"/>
      <c r="BX80" s="1699"/>
      <c r="BY80" s="1699"/>
      <c r="BZ80" s="1699"/>
      <c r="CA80" s="1699"/>
      <c r="CB80" s="1699"/>
      <c r="CC80" s="1718">
        <f t="shared" si="339"/>
        <v>0</v>
      </c>
      <c r="CD80" s="130"/>
      <c r="CE80" s="130"/>
      <c r="CF80" s="130"/>
      <c r="CG80" s="130">
        <f>IF(YEAR('3 pr-2'!$AK80)=2017,$CD80,0)</f>
        <v>0</v>
      </c>
      <c r="CH80" s="130">
        <f>IF(YEAR('3 pr-2'!$AK80)=2018,$CD80,0)</f>
        <v>0</v>
      </c>
      <c r="CI80" s="130">
        <f>IF(YEAR('3 pr-2'!$AK80)=2019,$CD80,0)</f>
        <v>0</v>
      </c>
      <c r="CJ80" s="130">
        <f>IF(YEAR('3 pr-2'!$AK80)=2020,$CD80,0)</f>
        <v>0</v>
      </c>
      <c r="CK80" s="130">
        <f>IF(YEAR('3 pr-2'!$AK80)=2021,$CD80,0)</f>
        <v>0</v>
      </c>
      <c r="CL80" s="130">
        <f>IF(YEAR('3 pr-2'!$AK80)=2022,$CD80,0)</f>
        <v>0</v>
      </c>
      <c r="CM80" s="130">
        <f>IF(YEAR('3 pr-2'!$AK80)=2023,$CD80,0)</f>
        <v>0</v>
      </c>
      <c r="CN80" s="317"/>
      <c r="CO80" s="472"/>
      <c r="CP80" s="1704"/>
      <c r="CQ80" s="1699"/>
      <c r="CR80" s="1699"/>
      <c r="CS80" s="1699"/>
      <c r="CT80" s="1699"/>
      <c r="CU80" s="1699"/>
      <c r="CV80" s="1699"/>
      <c r="CW80" s="1718">
        <f t="shared" si="341"/>
        <v>0</v>
      </c>
      <c r="CX80" s="318"/>
      <c r="CY80" s="303"/>
      <c r="CZ80" s="303"/>
      <c r="DA80" s="506">
        <f>IF(YEAR('3 pr-2'!AK80)=2017,CX80,0)</f>
        <v>0</v>
      </c>
      <c r="DB80" s="506">
        <f>IF(YEAR('3 pr-2'!AK80)=2018,CX80,0)</f>
        <v>0</v>
      </c>
      <c r="DC80" s="506">
        <f>IF(YEAR('3 pr-2'!AK80)=2019,CX80,0)</f>
        <v>0</v>
      </c>
      <c r="DD80" s="506">
        <f>IF(YEAR('3 pr-2'!AK80)=2020,CX80,0)</f>
        <v>0</v>
      </c>
      <c r="DE80" s="506">
        <f>IF(YEAR('3 pr-2'!AK80)=2021,CX80,0)</f>
        <v>0</v>
      </c>
      <c r="DF80" s="506">
        <f>IF(YEAR('3 pr-2'!AK80)=2022,CX80,0)</f>
        <v>0</v>
      </c>
      <c r="DG80" s="506">
        <f>IF(YEAR('3 pr-2'!AK80)=2023,CX80,0)</f>
        <v>0</v>
      </c>
      <c r="DH80" s="317"/>
      <c r="DI80" s="472"/>
      <c r="DJ80" s="318"/>
      <c r="DK80" s="130"/>
      <c r="DL80" s="130"/>
      <c r="DM80" s="130"/>
      <c r="DN80" s="130"/>
      <c r="DO80" s="130"/>
      <c r="DP80" s="130"/>
      <c r="DQ80" s="756"/>
      <c r="DR80" s="318"/>
      <c r="DS80" s="303"/>
      <c r="DT80" s="303"/>
      <c r="DU80" s="506"/>
      <c r="DV80" s="506"/>
      <c r="DW80" s="506"/>
      <c r="DX80" s="506"/>
      <c r="DY80" s="506"/>
      <c r="DZ80" s="506"/>
      <c r="EA80" s="506"/>
      <c r="EB80" s="317"/>
      <c r="EC80" s="472"/>
      <c r="ED80" s="303"/>
      <c r="EE80" s="303"/>
      <c r="EF80" s="303"/>
      <c r="EG80" s="506">
        <f>IF(YEAR('3 pr-2'!BP80)=2017,ED80,0)</f>
        <v>0</v>
      </c>
      <c r="EH80" s="506">
        <f>IF(YEAR('3 pr-2'!BP80)=2018,ED80,0)</f>
        <v>0</v>
      </c>
      <c r="EI80" s="506">
        <f>IF(YEAR('3 pr-2'!BP80)=2019,ED80,0)</f>
        <v>0</v>
      </c>
      <c r="EJ80" s="506">
        <f>IF(YEAR('3 pr-2'!BP80)=2020,ED80,0)</f>
        <v>0</v>
      </c>
      <c r="EK80" s="506">
        <f>IF(YEAR('3 pr-2'!BP80)=2021,ED80,0)</f>
        <v>0</v>
      </c>
      <c r="EL80" s="506">
        <f>IF(YEAR('3 pr-2'!BP80)=2022,ED80,0)</f>
        <v>0</v>
      </c>
      <c r="EM80" s="506">
        <f>IF(YEAR('3 pr-2'!BP80)=2023,ED80,0)</f>
        <v>0</v>
      </c>
    </row>
    <row r="81" spans="1:143" ht="49.5" thickTop="1" thickBot="1">
      <c r="A81" s="130" t="str">
        <f>CONCATENATE('3 pr-2'!A81)</f>
        <v>1.1.2.2.2</v>
      </c>
      <c r="B81" s="130" t="str">
        <f>CONCATENATE('3 pr-2'!B81)</f>
        <v>R01-5514-190000-1222</v>
      </c>
      <c r="C81" s="1730" t="str">
        <f>CONCATENATE('ketv. 2'!B80)</f>
        <v>04.5.1-TID-V-513-01-0015</v>
      </c>
      <c r="D81" s="78" t="str">
        <f>CONCATENATE('3 pr-2'!D81)</f>
        <v>Alytaus miesto darnaus judumo plano parengimas</v>
      </c>
      <c r="E81" s="11" t="str">
        <f>CONCATENATE('3 pr-2'!E81)</f>
        <v>Alytaus miesto savivaldybės administracija</v>
      </c>
      <c r="F81" s="11" t="str">
        <f>CONCATENATE('3 pr-2'!F81)</f>
        <v>Lietuvos Respublikos susisiekimo ministerija</v>
      </c>
      <c r="G81" s="11" t="str">
        <f>CONCATENATE('3 pr-2'!G81)</f>
        <v>Alytaus m. sav.</v>
      </c>
      <c r="H81" s="130" t="str">
        <f>CONCATENATE('3 pr-2'!H81)</f>
        <v>04.5.1-TID-V-513</v>
      </c>
      <c r="I81" s="130" t="str">
        <f>CONCATENATE('3 pr-2'!I81)</f>
        <v>V</v>
      </c>
      <c r="J81" s="130" t="str">
        <f>CONCATENATE('3 pr-2'!J81)</f>
        <v>ITI</v>
      </c>
      <c r="K81" s="130" t="str">
        <f>CONCATENATE('3 pr-2'!K81)</f>
        <v>-</v>
      </c>
      <c r="L81" s="130"/>
      <c r="M81" s="471"/>
      <c r="N81" s="1699"/>
      <c r="O81" s="1699"/>
      <c r="P81" s="1699"/>
      <c r="Q81" s="1699"/>
      <c r="R81" s="1699"/>
      <c r="S81" s="1699"/>
      <c r="T81" s="1699"/>
      <c r="U81" s="1700">
        <f t="shared" si="365"/>
        <v>0</v>
      </c>
      <c r="V81" s="130"/>
      <c r="W81" s="1757" t="str">
        <f>IF('ketv. 6 '!L80&gt;0,"nėra",0)</f>
        <v>nėra</v>
      </c>
      <c r="X81" s="1732"/>
      <c r="Y81" s="1732">
        <f>IF(YEAR('3 pr-2'!$AK81)=2017,$V81,0)</f>
        <v>0</v>
      </c>
      <c r="Z81" s="1732">
        <f>IF(YEAR('3 pr-2'!$AK81)=2018,$V81,0)</f>
        <v>0</v>
      </c>
      <c r="AA81" s="1732">
        <f>IF(YEAR('3 pr-2'!$AK81)=2019,$V81,0)</f>
        <v>0</v>
      </c>
      <c r="AB81" s="1732">
        <f>IF(YEAR('3 pr-2'!$AK81)=2020,$V81,0)</f>
        <v>0</v>
      </c>
      <c r="AC81" s="1732">
        <f>IF(YEAR('3 pr-2'!$AK81)=2021,$V81,0)</f>
        <v>0</v>
      </c>
      <c r="AD81" s="1732">
        <f>IF(YEAR('3 pr-2'!$AK81)=2022,$V81,0)</f>
        <v>0</v>
      </c>
      <c r="AE81" s="1732">
        <f>IF(YEAR('3 pr-2'!$AK81)=2023,$V81,0)</f>
        <v>0</v>
      </c>
      <c r="AF81" s="317" t="s">
        <v>792</v>
      </c>
      <c r="AG81" s="471" t="s">
        <v>793</v>
      </c>
      <c r="AH81" s="1699"/>
      <c r="AI81" s="1699">
        <v>1</v>
      </c>
      <c r="AJ81" s="1699"/>
      <c r="AK81" s="1699"/>
      <c r="AL81" s="1699"/>
      <c r="AM81" s="1699"/>
      <c r="AN81" s="1699"/>
      <c r="AO81" s="1718">
        <f t="shared" ref="AO81" si="366">SUM(AH81:AN81)</f>
        <v>1</v>
      </c>
      <c r="AP81" s="130">
        <v>1</v>
      </c>
      <c r="AQ81" s="1778">
        <v>1</v>
      </c>
      <c r="AR81" s="1732">
        <f>SUM(AQ81-AP81)</f>
        <v>0</v>
      </c>
      <c r="AS81" s="1732">
        <f>IF(YEAR('3 pr-2'!$AK81)=2017,$AP81,0)</f>
        <v>0</v>
      </c>
      <c r="AT81" s="1732">
        <f>IF(YEAR('3 pr-2'!$AK81)=2018,$AP81,0)</f>
        <v>1</v>
      </c>
      <c r="AU81" s="1732">
        <f>IF(YEAR('3 pr-2'!$AK81)=2019,$AP81,0)</f>
        <v>0</v>
      </c>
      <c r="AV81" s="1732">
        <f>IF(YEAR('3 pr-2'!$AK81)=2020,$AP81,0)</f>
        <v>0</v>
      </c>
      <c r="AW81" s="1732">
        <f>IF(YEAR('3 pr-2'!$AK81)=2021,$AP81,0)</f>
        <v>0</v>
      </c>
      <c r="AX81" s="1732">
        <f>IF(YEAR('3 pr-2'!$AK81)=2022,$AP81,0)</f>
        <v>0</v>
      </c>
      <c r="AY81" s="1732">
        <f>IF(YEAR('3 pr-2'!$AK81)=2023,$AP81,0)</f>
        <v>0</v>
      </c>
      <c r="AZ81" s="130"/>
      <c r="BA81" s="470"/>
      <c r="BB81" s="1699"/>
      <c r="BC81" s="1699"/>
      <c r="BD81" s="1699"/>
      <c r="BE81" s="1699"/>
      <c r="BF81" s="1699"/>
      <c r="BG81" s="1699"/>
      <c r="BH81" s="1699"/>
      <c r="BI81" s="1718">
        <f t="shared" si="337"/>
        <v>0</v>
      </c>
      <c r="BJ81" s="130"/>
      <c r="BK81" s="1501"/>
      <c r="BL81" s="130"/>
      <c r="BM81" s="130">
        <f>IF(YEAR('3 pr-2'!AK81)=2017,BJ81,0)</f>
        <v>0</v>
      </c>
      <c r="BN81" s="130">
        <f>IF(YEAR('3 pr-2'!AK81)=2018,BJ81,0)</f>
        <v>0</v>
      </c>
      <c r="BO81" s="130">
        <f>IF(YEAR('3 pr-2'!AK81)=2019,BJ81,0)</f>
        <v>0</v>
      </c>
      <c r="BP81" s="130">
        <f>IF(YEAR('3 pr-2'!AK81)=2020,BJ81,0)</f>
        <v>0</v>
      </c>
      <c r="BQ81" s="130">
        <f>IF(YEAR('3 pr-2'!AK81)=2021,BJ81,0)</f>
        <v>0</v>
      </c>
      <c r="BR81" s="130">
        <f>IF(YEAR('3 pr-2'!AK81)=2022,BJ81,0)</f>
        <v>0</v>
      </c>
      <c r="BS81" s="130">
        <f>IF(YEAR('3 pr-2'!AK81)=2023,BJ81,0)</f>
        <v>0</v>
      </c>
      <c r="BT81" s="317"/>
      <c r="BU81" s="471"/>
      <c r="BV81" s="1699"/>
      <c r="BW81" s="1699"/>
      <c r="BX81" s="1699"/>
      <c r="BY81" s="1699"/>
      <c r="BZ81" s="1699"/>
      <c r="CA81" s="1699"/>
      <c r="CB81" s="1699"/>
      <c r="CC81" s="1718">
        <f t="shared" si="339"/>
        <v>0</v>
      </c>
      <c r="CD81" s="130"/>
      <c r="CE81" s="130"/>
      <c r="CF81" s="130"/>
      <c r="CG81" s="130">
        <f>IF(YEAR('3 pr-2'!$AK81)=2017,$CD81,0)</f>
        <v>0</v>
      </c>
      <c r="CH81" s="130">
        <f>IF(YEAR('3 pr-2'!$AK81)=2018,$CD81,0)</f>
        <v>0</v>
      </c>
      <c r="CI81" s="130">
        <f>IF(YEAR('3 pr-2'!$AK81)=2019,$CD81,0)</f>
        <v>0</v>
      </c>
      <c r="CJ81" s="130">
        <f>IF(YEAR('3 pr-2'!$AK81)=2020,$CD81,0)</f>
        <v>0</v>
      </c>
      <c r="CK81" s="130">
        <f>IF(YEAR('3 pr-2'!$AK81)=2021,$CD81,0)</f>
        <v>0</v>
      </c>
      <c r="CL81" s="130">
        <f>IF(YEAR('3 pr-2'!$AK81)=2022,$CD81,0)</f>
        <v>0</v>
      </c>
      <c r="CM81" s="130">
        <f>IF(YEAR('3 pr-2'!$AK81)=2023,$CD81,0)</f>
        <v>0</v>
      </c>
      <c r="CN81" s="317"/>
      <c r="CO81" s="472"/>
      <c r="CP81" s="1704"/>
      <c r="CQ81" s="1699"/>
      <c r="CR81" s="1699"/>
      <c r="CS81" s="1699"/>
      <c r="CT81" s="1699"/>
      <c r="CU81" s="1699"/>
      <c r="CV81" s="1699"/>
      <c r="CW81" s="1718">
        <f t="shared" si="341"/>
        <v>0</v>
      </c>
      <c r="CX81" s="318"/>
      <c r="CY81" s="303"/>
      <c r="CZ81" s="303"/>
      <c r="DA81" s="506">
        <f>IF(YEAR('3 pr-2'!AK81)=2017,CX81,0)</f>
        <v>0</v>
      </c>
      <c r="DB81" s="506">
        <f>IF(YEAR('3 pr-2'!AK81)=2018,CX81,0)</f>
        <v>0</v>
      </c>
      <c r="DC81" s="506">
        <f>IF(YEAR('3 pr-2'!AK81)=2019,CX81,0)</f>
        <v>0</v>
      </c>
      <c r="DD81" s="506">
        <f>IF(YEAR('3 pr-2'!AK81)=2020,CX81,0)</f>
        <v>0</v>
      </c>
      <c r="DE81" s="506">
        <f>IF(YEAR('3 pr-2'!AK81)=2021,CX81,0)</f>
        <v>0</v>
      </c>
      <c r="DF81" s="506">
        <f>IF(YEAR('3 pr-2'!AK81)=2022,CX81,0)</f>
        <v>0</v>
      </c>
      <c r="DG81" s="506">
        <f>IF(YEAR('3 pr-2'!AK81)=2023,CX81,0)</f>
        <v>0</v>
      </c>
      <c r="DH81" s="317"/>
      <c r="DI81" s="472"/>
      <c r="DJ81" s="318"/>
      <c r="DK81" s="130"/>
      <c r="DL81" s="130"/>
      <c r="DM81" s="130"/>
      <c r="DN81" s="130"/>
      <c r="DO81" s="130"/>
      <c r="DP81" s="130"/>
      <c r="DQ81" s="756"/>
      <c r="DR81" s="318"/>
      <c r="DS81" s="303"/>
      <c r="DT81" s="303"/>
      <c r="DU81" s="506"/>
      <c r="DV81" s="506"/>
      <c r="DW81" s="506"/>
      <c r="DX81" s="506"/>
      <c r="DY81" s="506"/>
      <c r="DZ81" s="506"/>
      <c r="EA81" s="506"/>
      <c r="EB81" s="317"/>
      <c r="EC81" s="472"/>
      <c r="ED81" s="303"/>
      <c r="EE81" s="303"/>
      <c r="EF81" s="303"/>
      <c r="EG81" s="506">
        <f>IF(YEAR('3 pr-2'!BP81)=2017,ED81,0)</f>
        <v>0</v>
      </c>
      <c r="EH81" s="506">
        <f>IF(YEAR('3 pr-2'!BP81)=2018,ED81,0)</f>
        <v>0</v>
      </c>
      <c r="EI81" s="506">
        <f>IF(YEAR('3 pr-2'!BP81)=2019,ED81,0)</f>
        <v>0</v>
      </c>
      <c r="EJ81" s="506">
        <f>IF(YEAR('3 pr-2'!BP81)=2020,ED81,0)</f>
        <v>0</v>
      </c>
      <c r="EK81" s="506">
        <f>IF(YEAR('3 pr-2'!BP81)=2021,ED81,0)</f>
        <v>0</v>
      </c>
      <c r="EL81" s="506">
        <f>IF(YEAR('3 pr-2'!BP81)=2022,ED81,0)</f>
        <v>0</v>
      </c>
      <c r="EM81" s="506">
        <f>IF(YEAR('3 pr-2'!BP81)=2023,ED81,0)</f>
        <v>0</v>
      </c>
    </row>
    <row r="82" spans="1:143" ht="49.5" thickTop="1" thickBot="1">
      <c r="A82" s="130" t="str">
        <f>CONCATENATE('3 pr-2'!A82)</f>
        <v>1.1.2.2.3</v>
      </c>
      <c r="B82" s="130" t="str">
        <f>CONCATENATE('3 pr-2'!B82)</f>
        <v>R01-5514-191800-1223</v>
      </c>
      <c r="C82" s="1730" t="str">
        <f>CONCATENATE('ketv. 2'!B81)</f>
        <v/>
      </c>
      <c r="D82" s="78" t="str">
        <f>CONCATENATE('3 pr-2'!D82)</f>
        <v>Intelektinių transporto sistemų diegimas Druskininkuose</v>
      </c>
      <c r="E82" s="11" t="str">
        <f>CONCATENATE('3 pr-2'!E82)</f>
        <v>Druskininkų savivaldybės administracija</v>
      </c>
      <c r="F82" s="11" t="str">
        <f>CONCATENATE('3 pr-2'!F82)</f>
        <v>Lietuvos Respublikos susisiekimo ministerija</v>
      </c>
      <c r="G82" s="11" t="str">
        <f>CONCATENATE('3 pr-2'!G82)</f>
        <v>Druskininkų sav.</v>
      </c>
      <c r="H82" s="130" t="str">
        <f>CONCATENATE('3 pr-2'!H82)</f>
        <v>04.5.1.-TID-R-514</v>
      </c>
      <c r="I82" s="130" t="str">
        <f>CONCATENATE('3 pr-2'!I82)</f>
        <v>R</v>
      </c>
      <c r="J82" s="130" t="str">
        <f>CONCATENATE('3 pr-2'!J82)</f>
        <v>-</v>
      </c>
      <c r="K82" s="130" t="str">
        <f>CONCATENATE('3 pr-2'!K82)</f>
        <v>-</v>
      </c>
      <c r="L82" s="130" t="s">
        <v>491</v>
      </c>
      <c r="M82" s="471" t="s">
        <v>492</v>
      </c>
      <c r="N82" s="1699"/>
      <c r="O82" s="1699"/>
      <c r="P82" s="1699"/>
      <c r="Q82" s="1699"/>
      <c r="R82" s="1699"/>
      <c r="S82" s="1699"/>
      <c r="T82" s="1699"/>
      <c r="U82" s="1700">
        <f t="shared" si="365"/>
        <v>0</v>
      </c>
      <c r="V82" s="130">
        <v>1</v>
      </c>
      <c r="W82" s="1757">
        <f>IF('ketv. 6 '!L81&gt;0,"taip",0)</f>
        <v>0</v>
      </c>
      <c r="X82" s="1732"/>
      <c r="Y82" s="1732">
        <f>IF(YEAR('3 pr-2'!$AK82)=2017,$V82,0)</f>
        <v>0</v>
      </c>
      <c r="Z82" s="1732">
        <f>IF(YEAR('3 pr-2'!$AK82)=2018,$V82,0)</f>
        <v>0</v>
      </c>
      <c r="AA82" s="1732">
        <f>IF(YEAR('3 pr-2'!$AK82)=2019,$V82,0)</f>
        <v>0</v>
      </c>
      <c r="AB82" s="1732">
        <f>IF(YEAR('3 pr-2'!$AK82)=2020,$V82,0)</f>
        <v>1</v>
      </c>
      <c r="AC82" s="1732">
        <f>IF(YEAR('3 pr-2'!$AK82)=2021,$V82,0)</f>
        <v>0</v>
      </c>
      <c r="AD82" s="1732">
        <f>IF(YEAR('3 pr-2'!$AK82)=2022,$V82,0)</f>
        <v>0</v>
      </c>
      <c r="AE82" s="1732">
        <f>IF(YEAR('3 pr-2'!$AK82)=2023,$V82,0)</f>
        <v>0</v>
      </c>
      <c r="AF82" s="317"/>
      <c r="AG82" s="471"/>
      <c r="AH82" s="1699"/>
      <c r="AI82" s="1699"/>
      <c r="AJ82" s="1699"/>
      <c r="AK82" s="1699"/>
      <c r="AL82" s="1699"/>
      <c r="AM82" s="1699"/>
      <c r="AN82" s="1699"/>
      <c r="AO82" s="1718">
        <f t="shared" si="335"/>
        <v>0</v>
      </c>
      <c r="AP82" s="130"/>
      <c r="AQ82" s="1778"/>
      <c r="AR82" s="1732"/>
      <c r="AS82" s="1732">
        <f>IF(YEAR('3 pr-2'!$AK82)=2017,$AP82,0)</f>
        <v>0</v>
      </c>
      <c r="AT82" s="1732">
        <f>IF(YEAR('3 pr-2'!$AK82)=2018,$AP82,0)</f>
        <v>0</v>
      </c>
      <c r="AU82" s="1732">
        <f>IF(YEAR('3 pr-2'!$AK82)=2019,$AP82,0)</f>
        <v>0</v>
      </c>
      <c r="AV82" s="1732">
        <f>IF(YEAR('3 pr-2'!$AK82)=2020,$AP82,0)</f>
        <v>0</v>
      </c>
      <c r="AW82" s="1732">
        <f>IF(YEAR('3 pr-2'!$AK82)=2021,$AP82,0)</f>
        <v>0</v>
      </c>
      <c r="AX82" s="1732">
        <f>IF(YEAR('3 pr-2'!$AK82)=2022,$AP82,0)</f>
        <v>0</v>
      </c>
      <c r="AY82" s="1732">
        <f>IF(YEAR('3 pr-2'!$AK82)=2023,$AP82,0)</f>
        <v>0</v>
      </c>
      <c r="AZ82" s="130" t="s">
        <v>1411</v>
      </c>
      <c r="BA82" s="480" t="s">
        <v>1412</v>
      </c>
      <c r="BB82" s="1699"/>
      <c r="BC82" s="1699"/>
      <c r="BD82" s="1699"/>
      <c r="BE82" s="1699"/>
      <c r="BF82" s="1699"/>
      <c r="BG82" s="1699"/>
      <c r="BH82" s="1699"/>
      <c r="BI82" s="1718">
        <f t="shared" si="337"/>
        <v>0</v>
      </c>
      <c r="BJ82" s="130">
        <v>1</v>
      </c>
      <c r="BK82" s="1501"/>
      <c r="BL82" s="130"/>
      <c r="BM82" s="130">
        <f>IF(YEAR('3 pr-2'!AK82)=2017,BJ82,0)</f>
        <v>0</v>
      </c>
      <c r="BN82" s="130">
        <f>IF(YEAR('3 pr-2'!AK82)=2018,BJ82,0)</f>
        <v>0</v>
      </c>
      <c r="BO82" s="130">
        <f>IF(YEAR('3 pr-2'!AK82)=2019,BJ82,0)</f>
        <v>0</v>
      </c>
      <c r="BP82" s="130">
        <f>IF(YEAR('3 pr-2'!AK82)=2020,BJ82,0)</f>
        <v>1</v>
      </c>
      <c r="BQ82" s="130">
        <f>IF(YEAR('3 pr-2'!AK82)=2021,BJ82,0)</f>
        <v>0</v>
      </c>
      <c r="BR82" s="130">
        <f>IF(YEAR('3 pr-2'!AK82)=2022,BJ82,0)</f>
        <v>0</v>
      </c>
      <c r="BS82" s="130">
        <f>IF(YEAR('3 pr-2'!AK82)=2023,BJ82,0)</f>
        <v>0</v>
      </c>
      <c r="BT82" s="317"/>
      <c r="BU82" s="471"/>
      <c r="BV82" s="1699"/>
      <c r="BW82" s="1699"/>
      <c r="BX82" s="1699"/>
      <c r="BY82" s="1699"/>
      <c r="BZ82" s="1699"/>
      <c r="CA82" s="1699"/>
      <c r="CB82" s="1699"/>
      <c r="CC82" s="1718">
        <f t="shared" si="339"/>
        <v>0</v>
      </c>
      <c r="CD82" s="130"/>
      <c r="CE82" s="130"/>
      <c r="CF82" s="130"/>
      <c r="CG82" s="130">
        <f>IF(YEAR('3 pr-2'!$AK82)=2017,$CD82,0)</f>
        <v>0</v>
      </c>
      <c r="CH82" s="130">
        <f>IF(YEAR('3 pr-2'!$AK82)=2018,$CD82,0)</f>
        <v>0</v>
      </c>
      <c r="CI82" s="130">
        <f>IF(YEAR('3 pr-2'!$AK82)=2019,$CD82,0)</f>
        <v>0</v>
      </c>
      <c r="CJ82" s="130">
        <f>IF(YEAR('3 pr-2'!$AK82)=2020,$CD82,0)</f>
        <v>0</v>
      </c>
      <c r="CK82" s="130">
        <f>IF(YEAR('3 pr-2'!$AK82)=2021,$CD82,0)</f>
        <v>0</v>
      </c>
      <c r="CL82" s="130">
        <f>IF(YEAR('3 pr-2'!$AK82)=2022,$CD82,0)</f>
        <v>0</v>
      </c>
      <c r="CM82" s="130">
        <f>IF(YEAR('3 pr-2'!$AK82)=2023,$CD82,0)</f>
        <v>0</v>
      </c>
      <c r="CN82" s="317"/>
      <c r="CO82" s="472"/>
      <c r="CP82" s="1704"/>
      <c r="CQ82" s="1699"/>
      <c r="CR82" s="1699"/>
      <c r="CS82" s="1699"/>
      <c r="CT82" s="1699"/>
      <c r="CU82" s="1699"/>
      <c r="CV82" s="1699"/>
      <c r="CW82" s="1718">
        <f t="shared" si="341"/>
        <v>0</v>
      </c>
      <c r="CX82" s="318"/>
      <c r="CY82" s="303"/>
      <c r="CZ82" s="303"/>
      <c r="DA82" s="506">
        <f>IF(YEAR('3 pr-2'!AK82)=2017,CX82,0)</f>
        <v>0</v>
      </c>
      <c r="DB82" s="506">
        <f>IF(YEAR('3 pr-2'!AK82)=2018,CX82,0)</f>
        <v>0</v>
      </c>
      <c r="DC82" s="506">
        <f>IF(YEAR('3 pr-2'!AK82)=2019,CX82,0)</f>
        <v>0</v>
      </c>
      <c r="DD82" s="506">
        <f>IF(YEAR('3 pr-2'!AK82)=2020,CX82,0)</f>
        <v>0</v>
      </c>
      <c r="DE82" s="506">
        <f>IF(YEAR('3 pr-2'!AK82)=2021,CX82,0)</f>
        <v>0</v>
      </c>
      <c r="DF82" s="506">
        <f>IF(YEAR('3 pr-2'!AK82)=2022,CX82,0)</f>
        <v>0</v>
      </c>
      <c r="DG82" s="506">
        <f>IF(YEAR('3 pr-2'!AK82)=2023,CX82,0)</f>
        <v>0</v>
      </c>
      <c r="DH82" s="317"/>
      <c r="DI82" s="472"/>
      <c r="DJ82" s="318"/>
      <c r="DK82" s="130"/>
      <c r="DL82" s="130"/>
      <c r="DM82" s="130"/>
      <c r="DN82" s="130"/>
      <c r="DO82" s="130"/>
      <c r="DP82" s="130"/>
      <c r="DQ82" s="756"/>
      <c r="DR82" s="318"/>
      <c r="DS82" s="303"/>
      <c r="DT82" s="303"/>
      <c r="DU82" s="506"/>
      <c r="DV82" s="506"/>
      <c r="DW82" s="506"/>
      <c r="DX82" s="506"/>
      <c r="DY82" s="506"/>
      <c r="DZ82" s="506"/>
      <c r="EA82" s="506"/>
      <c r="EB82" s="317"/>
      <c r="EC82" s="472"/>
      <c r="ED82" s="303"/>
      <c r="EE82" s="303"/>
      <c r="EF82" s="303"/>
      <c r="EG82" s="506">
        <f>IF(YEAR('3 pr-2'!BP82)=2017,ED82,0)</f>
        <v>0</v>
      </c>
      <c r="EH82" s="506">
        <f>IF(YEAR('3 pr-2'!BP82)=2018,ED82,0)</f>
        <v>0</v>
      </c>
      <c r="EI82" s="506">
        <f>IF(YEAR('3 pr-2'!BP82)=2019,ED82,0)</f>
        <v>0</v>
      </c>
      <c r="EJ82" s="506">
        <f>IF(YEAR('3 pr-2'!BP82)=2020,ED82,0)</f>
        <v>0</v>
      </c>
      <c r="EK82" s="506">
        <f>IF(YEAR('3 pr-2'!BP82)=2021,ED82,0)</f>
        <v>0</v>
      </c>
      <c r="EL82" s="506">
        <f>IF(YEAR('3 pr-2'!BP82)=2022,ED82,0)</f>
        <v>0</v>
      </c>
      <c r="EM82" s="506">
        <f>IF(YEAR('3 pr-2'!BP82)=2023,ED82,0)</f>
        <v>0</v>
      </c>
    </row>
    <row r="83" spans="1:143" ht="49.5" thickTop="1" thickBot="1">
      <c r="A83" s="130" t="str">
        <f>CONCATENATE('3 pr-2'!A83)</f>
        <v>1.1.2.2.4</v>
      </c>
      <c r="B83" s="130" t="str">
        <f>CONCATENATE('3 pr-2'!B83)</f>
        <v>R01-5514-190000-1224</v>
      </c>
      <c r="C83" s="1730" t="str">
        <f>CONCATENATE('ketv. 2'!B82)</f>
        <v>04.5.1-TID-V-513-01-0006</v>
      </c>
      <c r="D83" s="78" t="str">
        <f>CONCATENATE('3 pr-2'!D83)</f>
        <v>Darnaus judumo plano Druskininkuose parengimas</v>
      </c>
      <c r="E83" s="11" t="str">
        <f>CONCATENATE('3 pr-2'!E83)</f>
        <v>Druskininkų savivaldybės administracija</v>
      </c>
      <c r="F83" s="11" t="str">
        <f>CONCATENATE('3 pr-2'!F83)</f>
        <v>Lietuvos Respublikos susisiekimo ministerija</v>
      </c>
      <c r="G83" s="11" t="str">
        <f>CONCATENATE('3 pr-2'!G83)</f>
        <v>Druskininkų sav.</v>
      </c>
      <c r="H83" s="130" t="str">
        <f>CONCATENATE('3 pr-2'!H83)</f>
        <v>04.5.1-TID-V-513</v>
      </c>
      <c r="I83" s="130" t="str">
        <f>CONCATENATE('3 pr-2'!I83)</f>
        <v>V</v>
      </c>
      <c r="J83" s="130" t="str">
        <f>CONCATENATE('3 pr-2'!J83)</f>
        <v>ITI</v>
      </c>
      <c r="K83" s="130" t="str">
        <f>CONCATENATE('3 pr-2'!K83)</f>
        <v>-</v>
      </c>
      <c r="L83" s="130"/>
      <c r="M83" s="471"/>
      <c r="N83" s="1699"/>
      <c r="O83" s="1699"/>
      <c r="P83" s="1699"/>
      <c r="Q83" s="1699"/>
      <c r="R83" s="1699"/>
      <c r="S83" s="1699"/>
      <c r="T83" s="1699"/>
      <c r="U83" s="1700">
        <f t="shared" si="365"/>
        <v>0</v>
      </c>
      <c r="V83" s="130"/>
      <c r="W83" s="1757">
        <v>0</v>
      </c>
      <c r="X83" s="1732"/>
      <c r="Y83" s="1732">
        <f>IF(YEAR('3 pr-2'!$AK83)=2017,$V83,0)</f>
        <v>0</v>
      </c>
      <c r="Z83" s="1732">
        <f>IF(YEAR('3 pr-2'!$AK83)=2018,$V83,0)</f>
        <v>0</v>
      </c>
      <c r="AA83" s="1732">
        <f>IF(YEAR('3 pr-2'!$AK83)=2019,$V83,0)</f>
        <v>0</v>
      </c>
      <c r="AB83" s="1732">
        <f>IF(YEAR('3 pr-2'!$AK83)=2020,$V83,0)</f>
        <v>0</v>
      </c>
      <c r="AC83" s="1732">
        <f>IF(YEAR('3 pr-2'!$AK83)=2021,$V83,0)</f>
        <v>0</v>
      </c>
      <c r="AD83" s="1732">
        <f>IF(YEAR('3 pr-2'!$AK83)=2022,$V83,0)</f>
        <v>0</v>
      </c>
      <c r="AE83" s="1732">
        <f>IF(YEAR('3 pr-2'!$AK83)=2023,$V83,0)</f>
        <v>0</v>
      </c>
      <c r="AF83" s="317" t="s">
        <v>792</v>
      </c>
      <c r="AG83" s="471" t="s">
        <v>793</v>
      </c>
      <c r="AH83" s="1699">
        <v>1</v>
      </c>
      <c r="AI83" s="1699"/>
      <c r="AJ83" s="1699"/>
      <c r="AK83" s="1699"/>
      <c r="AL83" s="1699"/>
      <c r="AM83" s="1699"/>
      <c r="AN83" s="1699"/>
      <c r="AO83" s="1718">
        <f t="shared" ref="AO83" si="367">SUM(AH83:AN83)</f>
        <v>1</v>
      </c>
      <c r="AP83" s="130">
        <v>1</v>
      </c>
      <c r="AQ83" s="1778">
        <v>1</v>
      </c>
      <c r="AR83" s="1732">
        <f>SUM(AQ83-AP83)</f>
        <v>0</v>
      </c>
      <c r="AS83" s="1732">
        <f>IF(YEAR('3 pr-2'!$AK83)=2017,$AP83,0)</f>
        <v>1</v>
      </c>
      <c r="AT83" s="1732">
        <f>IF(YEAR('3 pr-2'!$AK83)=2018,$AP83,0)</f>
        <v>0</v>
      </c>
      <c r="AU83" s="1732">
        <f>IF(YEAR('3 pr-2'!$AK83)=2019,$AP83,0)</f>
        <v>0</v>
      </c>
      <c r="AV83" s="1732">
        <f>IF(YEAR('3 pr-2'!$AK83)=2020,$AP83,0)</f>
        <v>0</v>
      </c>
      <c r="AW83" s="1732">
        <f>IF(YEAR('3 pr-2'!$AK83)=2021,$AP83,0)</f>
        <v>0</v>
      </c>
      <c r="AX83" s="1732">
        <f>IF(YEAR('3 pr-2'!$AK83)=2022,$AP83,0)</f>
        <v>0</v>
      </c>
      <c r="AY83" s="1732">
        <f>IF(YEAR('3 pr-2'!$AK83)=2023,$AP83,0)</f>
        <v>0</v>
      </c>
      <c r="AZ83" s="130"/>
      <c r="BA83" s="470"/>
      <c r="BB83" s="1699"/>
      <c r="BC83" s="1699"/>
      <c r="BD83" s="1699"/>
      <c r="BE83" s="1699"/>
      <c r="BF83" s="1699"/>
      <c r="BG83" s="1699"/>
      <c r="BH83" s="1699"/>
      <c r="BI83" s="1718">
        <f t="shared" si="337"/>
        <v>0</v>
      </c>
      <c r="BJ83" s="130"/>
      <c r="BK83" s="1501"/>
      <c r="BL83" s="130"/>
      <c r="BM83" s="130">
        <f>IF(YEAR('3 pr-2'!AK83)=2017,BJ83,0)</f>
        <v>0</v>
      </c>
      <c r="BN83" s="130">
        <f>IF(YEAR('3 pr-2'!AK83)=2018,BJ83,0)</f>
        <v>0</v>
      </c>
      <c r="BO83" s="130">
        <f>IF(YEAR('3 pr-2'!AK83)=2019,BJ83,0)</f>
        <v>0</v>
      </c>
      <c r="BP83" s="130">
        <f>IF(YEAR('3 pr-2'!AK83)=2020,BJ83,0)</f>
        <v>0</v>
      </c>
      <c r="BQ83" s="130">
        <f>IF(YEAR('3 pr-2'!AK83)=2021,BJ83,0)</f>
        <v>0</v>
      </c>
      <c r="BR83" s="130">
        <f>IF(YEAR('3 pr-2'!AK83)=2022,BJ83,0)</f>
        <v>0</v>
      </c>
      <c r="BS83" s="130">
        <f>IF(YEAR('3 pr-2'!AK83)=2023,BJ83,0)</f>
        <v>0</v>
      </c>
      <c r="BT83" s="317"/>
      <c r="BU83" s="471"/>
      <c r="BV83" s="1699"/>
      <c r="BW83" s="1699"/>
      <c r="BX83" s="1699"/>
      <c r="BY83" s="1699"/>
      <c r="BZ83" s="1699"/>
      <c r="CA83" s="1699"/>
      <c r="CB83" s="1699"/>
      <c r="CC83" s="1718">
        <f t="shared" si="339"/>
        <v>0</v>
      </c>
      <c r="CD83" s="130"/>
      <c r="CE83" s="130"/>
      <c r="CF83" s="130"/>
      <c r="CG83" s="130">
        <f>IF(YEAR('3 pr-2'!$AK83)=2017,$CD83,0)</f>
        <v>0</v>
      </c>
      <c r="CH83" s="130">
        <f>IF(YEAR('3 pr-2'!$AK83)=2018,$CD83,0)</f>
        <v>0</v>
      </c>
      <c r="CI83" s="130">
        <f>IF(YEAR('3 pr-2'!$AK83)=2019,$CD83,0)</f>
        <v>0</v>
      </c>
      <c r="CJ83" s="130">
        <f>IF(YEAR('3 pr-2'!$AK83)=2020,$CD83,0)</f>
        <v>0</v>
      </c>
      <c r="CK83" s="130">
        <f>IF(YEAR('3 pr-2'!$AK83)=2021,$CD83,0)</f>
        <v>0</v>
      </c>
      <c r="CL83" s="130">
        <f>IF(YEAR('3 pr-2'!$AK83)=2022,$CD83,0)</f>
        <v>0</v>
      </c>
      <c r="CM83" s="130">
        <f>IF(YEAR('3 pr-2'!$AK83)=2023,$CD83,0)</f>
        <v>0</v>
      </c>
      <c r="CN83" s="317"/>
      <c r="CO83" s="472"/>
      <c r="CP83" s="1704"/>
      <c r="CQ83" s="1699"/>
      <c r="CR83" s="1699"/>
      <c r="CS83" s="1699"/>
      <c r="CT83" s="1699"/>
      <c r="CU83" s="1699"/>
      <c r="CV83" s="1699"/>
      <c r="CW83" s="1718">
        <f t="shared" si="341"/>
        <v>0</v>
      </c>
      <c r="CX83" s="318"/>
      <c r="CY83" s="303"/>
      <c r="CZ83" s="303"/>
      <c r="DA83" s="506">
        <f>IF(YEAR('3 pr-2'!AK83)=2017,CX83,0)</f>
        <v>0</v>
      </c>
      <c r="DB83" s="506">
        <f>IF(YEAR('3 pr-2'!AK83)=2018,CX83,0)</f>
        <v>0</v>
      </c>
      <c r="DC83" s="506">
        <f>IF(YEAR('3 pr-2'!AK83)=2019,CX83,0)</f>
        <v>0</v>
      </c>
      <c r="DD83" s="506">
        <f>IF(YEAR('3 pr-2'!AK83)=2020,CX83,0)</f>
        <v>0</v>
      </c>
      <c r="DE83" s="506">
        <f>IF(YEAR('3 pr-2'!AK83)=2021,CX83,0)</f>
        <v>0</v>
      </c>
      <c r="DF83" s="506">
        <f>IF(YEAR('3 pr-2'!AK83)=2022,CX83,0)</f>
        <v>0</v>
      </c>
      <c r="DG83" s="506">
        <f>IF(YEAR('3 pr-2'!AK83)=2023,CX83,0)</f>
        <v>0</v>
      </c>
      <c r="DH83" s="317"/>
      <c r="DI83" s="472"/>
      <c r="DJ83" s="318"/>
      <c r="DK83" s="130"/>
      <c r="DL83" s="130"/>
      <c r="DM83" s="130"/>
      <c r="DN83" s="130"/>
      <c r="DO83" s="130"/>
      <c r="DP83" s="130"/>
      <c r="DQ83" s="756"/>
      <c r="DR83" s="318"/>
      <c r="DS83" s="303"/>
      <c r="DT83" s="303"/>
      <c r="DU83" s="506"/>
      <c r="DV83" s="506"/>
      <c r="DW83" s="506"/>
      <c r="DX83" s="506"/>
      <c r="DY83" s="506"/>
      <c r="DZ83" s="506"/>
      <c r="EA83" s="506"/>
      <c r="EB83" s="317"/>
      <c r="EC83" s="472"/>
      <c r="ED83" s="303"/>
      <c r="EE83" s="303"/>
      <c r="EF83" s="303"/>
      <c r="EG83" s="506">
        <f>IF(YEAR('3 pr-2'!BP83)=2017,ED83,0)</f>
        <v>0</v>
      </c>
      <c r="EH83" s="506">
        <f>IF(YEAR('3 pr-2'!BP83)=2018,ED83,0)</f>
        <v>0</v>
      </c>
      <c r="EI83" s="506">
        <f>IF(YEAR('3 pr-2'!BP83)=2019,ED83,0)</f>
        <v>0</v>
      </c>
      <c r="EJ83" s="506">
        <f>IF(YEAR('3 pr-2'!BP83)=2020,ED83,0)</f>
        <v>0</v>
      </c>
      <c r="EK83" s="506">
        <f>IF(YEAR('3 pr-2'!BP83)=2021,ED83,0)</f>
        <v>0</v>
      </c>
      <c r="EL83" s="506">
        <f>IF(YEAR('3 pr-2'!BP83)=2022,ED83,0)</f>
        <v>0</v>
      </c>
      <c r="EM83" s="506">
        <f>IF(YEAR('3 pr-2'!BP83)=2023,ED83,0)</f>
        <v>0</v>
      </c>
    </row>
    <row r="84" spans="1:143" ht="73.5" thickTop="1" thickBot="1">
      <c r="A84" s="130" t="str">
        <f>CONCATENATE('3 pr-2'!A84)</f>
        <v>1.1.2.2.5</v>
      </c>
      <c r="B84" s="130" t="str">
        <f>CONCATENATE('3 pr-2'!B84)</f>
        <v>R01-5514-190000-1225</v>
      </c>
      <c r="C84" s="1730" t="str">
        <f>CONCATENATE('ketv. 2'!B85)</f>
        <v/>
      </c>
      <c r="D84" s="78" t="str">
        <f>CONCATENATE('3 pr-2'!D84)</f>
        <v>Viešojo transporto organizavimo tobulinimas rekonstruojant Druskininkų miesto gatvių infrastruktūrą</v>
      </c>
      <c r="E84" s="11" t="str">
        <f>CONCATENATE('3 pr-2'!E84)</f>
        <v>Druskininkų savivaldybės administracija</v>
      </c>
      <c r="F84" s="11" t="str">
        <f>CONCATENATE('3 pr-2'!F84)</f>
        <v>Lietuvos Respublikos susisiekimo ministerija</v>
      </c>
      <c r="G84" s="11" t="str">
        <f>CONCATENATE('3 pr-2'!G84)</f>
        <v>Druskininkų sav.</v>
      </c>
      <c r="H84" s="130" t="str">
        <f>CONCATENATE('3 pr-2'!H84)</f>
        <v>04.5.1.-TID-R-514</v>
      </c>
      <c r="I84" s="130" t="str">
        <f>CONCATENATE('3 pr-2'!I84)</f>
        <v>R</v>
      </c>
      <c r="J84" s="130" t="str">
        <f>CONCATENATE('3 pr-2'!J84)</f>
        <v>-</v>
      </c>
      <c r="K84" s="130" t="str">
        <f>CONCATENATE('3 pr-2'!K84)</f>
        <v>-</v>
      </c>
      <c r="L84" s="130" t="s">
        <v>491</v>
      </c>
      <c r="M84" s="672" t="s">
        <v>492</v>
      </c>
      <c r="N84" s="1699"/>
      <c r="O84" s="1699"/>
      <c r="P84" s="1699"/>
      <c r="Q84" s="1699"/>
      <c r="R84" s="1699"/>
      <c r="S84" s="1699"/>
      <c r="T84" s="1699"/>
      <c r="U84" s="1700">
        <f t="shared" si="365"/>
        <v>0</v>
      </c>
      <c r="V84" s="130">
        <v>1</v>
      </c>
      <c r="W84" s="1757" t="str">
        <f>IF('ketv. 6 '!L83&gt;0,"taip","nėra")</f>
        <v>nėra</v>
      </c>
      <c r="X84" s="1732"/>
      <c r="Y84" s="1732">
        <f>IF(YEAR('3 pr-2'!$AK84)=2017,$V84,0)</f>
        <v>0</v>
      </c>
      <c r="Z84" s="1732">
        <f>IF(YEAR('3 pr-2'!$AK84)=2018,$V84,0)</f>
        <v>0</v>
      </c>
      <c r="AA84" s="1732">
        <f>IF(YEAR('3 pr-2'!$AK84)=2019,$V84,0)</f>
        <v>0</v>
      </c>
      <c r="AB84" s="1732">
        <f>IF(YEAR('3 pr-2'!$AK84)=2020,$V84,0)</f>
        <v>1</v>
      </c>
      <c r="AC84" s="1732">
        <f>IF(YEAR('3 pr-2'!$AK84)=2021,$V84,0)</f>
        <v>0</v>
      </c>
      <c r="AD84" s="1732">
        <f>IF(YEAR('3 pr-2'!$AK84)=2022,$V84,0)</f>
        <v>0</v>
      </c>
      <c r="AE84" s="1732">
        <f>IF(YEAR('3 pr-2'!$AK84)=2023,$V84,0)</f>
        <v>0</v>
      </c>
      <c r="AF84" s="317"/>
      <c r="AG84" s="471"/>
      <c r="AH84" s="1699"/>
      <c r="AI84" s="1699"/>
      <c r="AJ84" s="1699"/>
      <c r="AK84" s="1699"/>
      <c r="AL84" s="1699"/>
      <c r="AM84" s="1699"/>
      <c r="AN84" s="1699"/>
      <c r="AO84" s="1718"/>
      <c r="AP84" s="130"/>
      <c r="AQ84" s="1778"/>
      <c r="AR84" s="1732"/>
      <c r="AS84" s="1732"/>
      <c r="AT84" s="1732"/>
      <c r="AU84" s="1732"/>
      <c r="AV84" s="1732"/>
      <c r="AW84" s="1732"/>
      <c r="AX84" s="1732"/>
      <c r="AY84" s="1732"/>
      <c r="AZ84" s="130"/>
      <c r="BA84" s="470"/>
      <c r="BB84" s="1699"/>
      <c r="BC84" s="1699"/>
      <c r="BD84" s="1699"/>
      <c r="BE84" s="1699"/>
      <c r="BF84" s="1699"/>
      <c r="BG84" s="1699"/>
      <c r="BH84" s="1699"/>
      <c r="BI84" s="1718"/>
      <c r="BJ84" s="130"/>
      <c r="BK84" s="1501"/>
      <c r="BL84" s="130"/>
      <c r="BM84" s="130"/>
      <c r="BN84" s="130"/>
      <c r="BO84" s="130"/>
      <c r="BP84" s="130"/>
      <c r="BQ84" s="130"/>
      <c r="BR84" s="130"/>
      <c r="BS84" s="130"/>
      <c r="BT84" s="317"/>
      <c r="BU84" s="471"/>
      <c r="BV84" s="1699"/>
      <c r="BW84" s="1699"/>
      <c r="BX84" s="1699"/>
      <c r="BY84" s="1699"/>
      <c r="BZ84" s="1699"/>
      <c r="CA84" s="1699"/>
      <c r="CB84" s="1699"/>
      <c r="CC84" s="1718"/>
      <c r="CD84" s="130"/>
      <c r="CE84" s="130"/>
      <c r="CF84" s="130"/>
      <c r="CG84" s="130"/>
      <c r="CH84" s="130"/>
      <c r="CI84" s="130"/>
      <c r="CJ84" s="130"/>
      <c r="CK84" s="130"/>
      <c r="CL84" s="130"/>
      <c r="CM84" s="130"/>
      <c r="CN84" s="317"/>
      <c r="CO84" s="472"/>
      <c r="CP84" s="1704"/>
      <c r="CQ84" s="1699"/>
      <c r="CR84" s="1699"/>
      <c r="CS84" s="1699"/>
      <c r="CT84" s="1699"/>
      <c r="CU84" s="1699"/>
      <c r="CV84" s="1699"/>
      <c r="CW84" s="1718"/>
      <c r="CX84" s="318"/>
      <c r="CY84" s="303"/>
      <c r="CZ84" s="303"/>
      <c r="DA84" s="506"/>
      <c r="DB84" s="506"/>
      <c r="DC84" s="506"/>
      <c r="DD84" s="506"/>
      <c r="DE84" s="506"/>
      <c r="DF84" s="506"/>
      <c r="DG84" s="506"/>
      <c r="DH84" s="317"/>
      <c r="DI84" s="472"/>
      <c r="DJ84" s="318"/>
      <c r="DK84" s="130"/>
      <c r="DL84" s="130"/>
      <c r="DM84" s="130"/>
      <c r="DN84" s="130"/>
      <c r="DO84" s="130"/>
      <c r="DP84" s="130"/>
      <c r="DQ84" s="756"/>
      <c r="DR84" s="318"/>
      <c r="DS84" s="303"/>
      <c r="DT84" s="303"/>
      <c r="DU84" s="506"/>
      <c r="DV84" s="506"/>
      <c r="DW84" s="506"/>
      <c r="DX84" s="506"/>
      <c r="DY84" s="506"/>
      <c r="DZ84" s="506"/>
      <c r="EA84" s="506"/>
      <c r="EB84" s="317"/>
      <c r="EC84" s="472"/>
      <c r="ED84" s="303"/>
      <c r="EE84" s="303"/>
      <c r="EF84" s="303"/>
      <c r="EG84" s="506"/>
      <c r="EH84" s="506"/>
      <c r="EI84" s="506"/>
      <c r="EJ84" s="506"/>
      <c r="EK84" s="506"/>
      <c r="EL84" s="506"/>
      <c r="EM84" s="506"/>
    </row>
    <row r="85" spans="1:143" ht="49.5" thickTop="1" thickBot="1">
      <c r="A85" s="130" t="str">
        <f>CONCATENATE('3 pr-2'!A85)</f>
        <v>1.1.2.2.6</v>
      </c>
      <c r="B85" s="130" t="str">
        <f>CONCATENATE('3 pr-2'!B85)</f>
        <v>R01-5514-190000-1226</v>
      </c>
      <c r="C85" s="1730" t="str">
        <f>CONCATENATE('ketv. 2'!B86)</f>
        <v>04.5.1-TID-R-516-11-0004</v>
      </c>
      <c r="D85" s="78" t="str">
        <f>CONCATENATE('3 pr-2'!D85)</f>
        <v>Vandens transporto infrastruktūros įrengimas skatinant kitų rūšių transportą</v>
      </c>
      <c r="E85" s="11" t="str">
        <f>CONCATENATE('3 pr-2'!E85)</f>
        <v>Druskininkų savivaldybės administracija</v>
      </c>
      <c r="F85" s="11" t="str">
        <f>CONCATENATE('3 pr-2'!F85)</f>
        <v>Lietuvos Respublikos susisiekimo ministerija</v>
      </c>
      <c r="G85" s="11" t="str">
        <f>CONCATENATE('3 pr-2'!G85)</f>
        <v>Druskininkų sav.</v>
      </c>
      <c r="H85" s="130" t="str">
        <f>CONCATENATE('3 pr-2'!H85)</f>
        <v>04.5.1.-TID-R-514</v>
      </c>
      <c r="I85" s="130" t="str">
        <f>CONCATENATE('3 pr-2'!I85)</f>
        <v>R</v>
      </c>
      <c r="J85" s="130" t="str">
        <f>CONCATENATE('3 pr-2'!J85)</f>
        <v>-</v>
      </c>
      <c r="K85" s="130" t="str">
        <f>CONCATENATE('3 pr-2'!K85)</f>
        <v>-</v>
      </c>
      <c r="L85" s="130" t="s">
        <v>491</v>
      </c>
      <c r="M85" s="672" t="s">
        <v>492</v>
      </c>
      <c r="N85" s="1699"/>
      <c r="O85" s="1699"/>
      <c r="P85" s="1699"/>
      <c r="Q85" s="1699"/>
      <c r="R85" s="1699"/>
      <c r="S85" s="1699"/>
      <c r="T85" s="1699"/>
      <c r="U85" s="1700">
        <f t="shared" si="365"/>
        <v>0</v>
      </c>
      <c r="V85" s="130">
        <v>1</v>
      </c>
      <c r="W85" s="1757" t="str">
        <f>IF('ketv. 6 '!L84&gt;0,"taip","nėra")</f>
        <v>nėra</v>
      </c>
      <c r="X85" s="1732"/>
      <c r="Y85" s="1732">
        <f>IF(YEAR('3 pr-2'!$AK85)=2017,$V85,0)</f>
        <v>0</v>
      </c>
      <c r="Z85" s="1732">
        <f>IF(YEAR('3 pr-2'!$AK85)=2018,$V85,0)</f>
        <v>0</v>
      </c>
      <c r="AA85" s="1732">
        <f>IF(YEAR('3 pr-2'!$AK85)=2019,$V85,0)</f>
        <v>0</v>
      </c>
      <c r="AB85" s="1732">
        <f>IF(YEAR('3 pr-2'!$AK85)=2020,$V85,0)</f>
        <v>0</v>
      </c>
      <c r="AC85" s="1732">
        <f>IF(YEAR('3 pr-2'!$AK85)=2021,$V85,0)</f>
        <v>1</v>
      </c>
      <c r="AD85" s="1732">
        <f>IF(YEAR('3 pr-2'!$AK85)=2022,$V85,0)</f>
        <v>0</v>
      </c>
      <c r="AE85" s="1732">
        <f>IF(YEAR('3 pr-2'!$AK85)=2023,$V85,0)</f>
        <v>0</v>
      </c>
      <c r="AF85" s="317"/>
      <c r="AG85" s="471"/>
      <c r="AH85" s="1699"/>
      <c r="AI85" s="1699"/>
      <c r="AJ85" s="1699"/>
      <c r="AK85" s="1699"/>
      <c r="AL85" s="1699"/>
      <c r="AM85" s="1699"/>
      <c r="AN85" s="1699"/>
      <c r="AO85" s="1718"/>
      <c r="AP85" s="130"/>
      <c r="AQ85" s="1778"/>
      <c r="AR85" s="1732"/>
      <c r="AS85" s="1732"/>
      <c r="AT85" s="1732"/>
      <c r="AU85" s="1732"/>
      <c r="AV85" s="1732"/>
      <c r="AW85" s="1732"/>
      <c r="AX85" s="1732"/>
      <c r="AY85" s="1732"/>
      <c r="AZ85" s="130"/>
      <c r="BA85" s="470"/>
      <c r="BB85" s="1699"/>
      <c r="BC85" s="1699"/>
      <c r="BD85" s="1699"/>
      <c r="BE85" s="1699"/>
      <c r="BF85" s="1699"/>
      <c r="BG85" s="1699"/>
      <c r="BH85" s="1699"/>
      <c r="BI85" s="1718"/>
      <c r="BJ85" s="130"/>
      <c r="BK85" s="1501"/>
      <c r="BL85" s="130"/>
      <c r="BM85" s="130"/>
      <c r="BN85" s="130"/>
      <c r="BO85" s="130"/>
      <c r="BP85" s="130"/>
      <c r="BQ85" s="130"/>
      <c r="BR85" s="130"/>
      <c r="BS85" s="130"/>
      <c r="BT85" s="317"/>
      <c r="BU85" s="471"/>
      <c r="BV85" s="1699"/>
      <c r="BW85" s="1699"/>
      <c r="BX85" s="1699"/>
      <c r="BY85" s="1699"/>
      <c r="BZ85" s="1699"/>
      <c r="CA85" s="1699"/>
      <c r="CB85" s="1699"/>
      <c r="CC85" s="1718"/>
      <c r="CD85" s="130"/>
      <c r="CE85" s="130"/>
      <c r="CF85" s="130"/>
      <c r="CG85" s="130"/>
      <c r="CH85" s="130"/>
      <c r="CI85" s="130"/>
      <c r="CJ85" s="130"/>
      <c r="CK85" s="130"/>
      <c r="CL85" s="130"/>
      <c r="CM85" s="130"/>
      <c r="CN85" s="317"/>
      <c r="CO85" s="472"/>
      <c r="CP85" s="1704"/>
      <c r="CQ85" s="1699"/>
      <c r="CR85" s="1699"/>
      <c r="CS85" s="1699"/>
      <c r="CT85" s="1699"/>
      <c r="CU85" s="1699"/>
      <c r="CV85" s="1699"/>
      <c r="CW85" s="1718"/>
      <c r="CX85" s="318"/>
      <c r="CY85" s="303"/>
      <c r="CZ85" s="303"/>
      <c r="DA85" s="506"/>
      <c r="DB85" s="506"/>
      <c r="DC85" s="506"/>
      <c r="DD85" s="506"/>
      <c r="DE85" s="506"/>
      <c r="DF85" s="506"/>
      <c r="DG85" s="506"/>
      <c r="DH85" s="317"/>
      <c r="DI85" s="472"/>
      <c r="DJ85" s="318"/>
      <c r="DK85" s="130"/>
      <c r="DL85" s="130"/>
      <c r="DM85" s="130"/>
      <c r="DN85" s="130"/>
      <c r="DO85" s="130"/>
      <c r="DP85" s="130"/>
      <c r="DQ85" s="756"/>
      <c r="DR85" s="318"/>
      <c r="DS85" s="303"/>
      <c r="DT85" s="303"/>
      <c r="DU85" s="506"/>
      <c r="DV85" s="506"/>
      <c r="DW85" s="506"/>
      <c r="DX85" s="506"/>
      <c r="DY85" s="506"/>
      <c r="DZ85" s="506"/>
      <c r="EA85" s="506"/>
      <c r="EB85" s="317"/>
      <c r="EC85" s="472"/>
      <c r="ED85" s="303"/>
      <c r="EE85" s="303"/>
      <c r="EF85" s="303"/>
      <c r="EG85" s="506"/>
      <c r="EH85" s="506"/>
      <c r="EI85" s="506"/>
      <c r="EJ85" s="506"/>
      <c r="EK85" s="506"/>
      <c r="EL85" s="506"/>
      <c r="EM85" s="506"/>
    </row>
    <row r="86" spans="1:143" ht="33" customHeight="1" thickBot="1">
      <c r="A86" s="697" t="str">
        <f>CONCATENATE('3 pr-2'!A86)</f>
        <v>1.1.2.3</v>
      </c>
      <c r="B86" s="1972" t="str">
        <f>CONCATENATE('3 pr-2'!B86)</f>
        <v>Priemonė:
Pėsčiųjų ir dviračių takų rekonstrukcija ir plėtra</v>
      </c>
      <c r="C86" s="1894"/>
      <c r="D86" s="1894"/>
      <c r="E86" s="1894"/>
      <c r="F86" s="1894"/>
      <c r="G86" s="1894"/>
      <c r="H86" s="1894"/>
      <c r="I86" s="1894"/>
      <c r="J86" s="1894"/>
      <c r="K86" s="1895"/>
      <c r="L86" s="1322"/>
      <c r="M86" s="474"/>
      <c r="N86" s="1697">
        <f>SUM(N87:N91)</f>
        <v>0</v>
      </c>
      <c r="O86" s="1697">
        <f t="shared" ref="O86:T86" si="368">SUM(O87:O91)</f>
        <v>0.75</v>
      </c>
      <c r="P86" s="1697">
        <f t="shared" si="368"/>
        <v>0</v>
      </c>
      <c r="Q86" s="1697">
        <f t="shared" si="368"/>
        <v>0</v>
      </c>
      <c r="R86" s="1697">
        <f t="shared" si="368"/>
        <v>0</v>
      </c>
      <c r="S86" s="1697">
        <f t="shared" si="368"/>
        <v>0</v>
      </c>
      <c r="T86" s="1697">
        <f t="shared" si="368"/>
        <v>0</v>
      </c>
      <c r="U86" s="1698">
        <f t="shared" ref="U86:U91" si="369">SUM(N86:T86)</f>
        <v>0.75</v>
      </c>
      <c r="V86" s="736"/>
      <c r="W86" s="1754"/>
      <c r="X86" s="1755"/>
      <c r="Y86" s="1756">
        <f t="shared" ref="Y86:AE86" si="370">SUM(Y87:Y91)</f>
        <v>0</v>
      </c>
      <c r="Z86" s="1756">
        <f t="shared" si="370"/>
        <v>0.75</v>
      </c>
      <c r="AA86" s="1756">
        <f t="shared" si="370"/>
        <v>1.96</v>
      </c>
      <c r="AB86" s="1756">
        <f t="shared" si="370"/>
        <v>1</v>
      </c>
      <c r="AC86" s="1756">
        <f t="shared" si="370"/>
        <v>0</v>
      </c>
      <c r="AD86" s="1756">
        <f t="shared" si="370"/>
        <v>0</v>
      </c>
      <c r="AE86" s="1756">
        <f t="shared" si="370"/>
        <v>0</v>
      </c>
      <c r="AF86" s="746"/>
      <c r="AG86" s="752"/>
      <c r="AH86" s="1697">
        <f>SUM(AH87:AH91)</f>
        <v>0</v>
      </c>
      <c r="AI86" s="1697">
        <f t="shared" ref="AI86" si="371">SUM(AI87:AI91)</f>
        <v>0</v>
      </c>
      <c r="AJ86" s="1697">
        <f t="shared" ref="AJ86" si="372">SUM(AJ87:AJ91)</f>
        <v>0</v>
      </c>
      <c r="AK86" s="1697">
        <f t="shared" ref="AK86" si="373">SUM(AK87:AK91)</f>
        <v>0</v>
      </c>
      <c r="AL86" s="1697">
        <f t="shared" ref="AL86" si="374">SUM(AL87:AL91)</f>
        <v>0</v>
      </c>
      <c r="AM86" s="1697">
        <f t="shared" ref="AM86" si="375">SUM(AM87:AM91)</f>
        <v>0</v>
      </c>
      <c r="AN86" s="1697">
        <f t="shared" ref="AN86" si="376">SUM(AN87:AN91)</f>
        <v>0</v>
      </c>
      <c r="AO86" s="1701">
        <f t="shared" si="335"/>
        <v>0</v>
      </c>
      <c r="AP86" s="736"/>
      <c r="AQ86" s="1756"/>
      <c r="AR86" s="1756"/>
      <c r="AS86" s="1756">
        <f t="shared" ref="AS86" si="377">SUM(AS87:AS91)</f>
        <v>0</v>
      </c>
      <c r="AT86" s="1756">
        <f t="shared" ref="AT86" si="378">SUM(AT87:AT91)</f>
        <v>0</v>
      </c>
      <c r="AU86" s="1756">
        <f t="shared" ref="AU86" si="379">SUM(AU87:AU91)</f>
        <v>0</v>
      </c>
      <c r="AV86" s="1756">
        <f t="shared" ref="AV86" si="380">SUM(AV87:AV91)</f>
        <v>0.69</v>
      </c>
      <c r="AW86" s="1756">
        <f t="shared" ref="AW86" si="381">SUM(AW87:AW91)</f>
        <v>0</v>
      </c>
      <c r="AX86" s="1756">
        <f t="shared" ref="AX86" si="382">SUM(AX87:AX91)</f>
        <v>0</v>
      </c>
      <c r="AY86" s="1756">
        <f t="shared" ref="AY86" si="383">SUM(AY87:AY91)</f>
        <v>0</v>
      </c>
      <c r="AZ86" s="736"/>
      <c r="BA86" s="752"/>
      <c r="BB86" s="1697">
        <f>SUM(BB87:BB91)</f>
        <v>0</v>
      </c>
      <c r="BC86" s="1697">
        <f t="shared" ref="BC86" si="384">SUM(BC87:BC91)</f>
        <v>0</v>
      </c>
      <c r="BD86" s="1697">
        <f t="shared" ref="BD86" si="385">SUM(BD87:BD91)</f>
        <v>0</v>
      </c>
      <c r="BE86" s="1697">
        <f t="shared" ref="BE86" si="386">SUM(BE87:BE91)</f>
        <v>0</v>
      </c>
      <c r="BF86" s="1697">
        <f t="shared" ref="BF86" si="387">SUM(BF87:BF91)</f>
        <v>0</v>
      </c>
      <c r="BG86" s="1697">
        <f t="shared" ref="BG86" si="388">SUM(BG87:BG91)</f>
        <v>0</v>
      </c>
      <c r="BH86" s="1697">
        <f t="shared" ref="BH86" si="389">SUM(BH87:BH91)</f>
        <v>0</v>
      </c>
      <c r="BI86" s="1701">
        <f t="shared" si="337"/>
        <v>0</v>
      </c>
      <c r="BJ86" s="736"/>
      <c r="BK86" s="304"/>
      <c r="BL86" s="304"/>
      <c r="BM86" s="304"/>
      <c r="BN86" s="304"/>
      <c r="BO86" s="304"/>
      <c r="BP86" s="304"/>
      <c r="BQ86" s="304"/>
      <c r="BR86" s="304"/>
      <c r="BS86" s="304"/>
      <c r="BT86" s="304"/>
      <c r="BU86" s="472"/>
      <c r="BV86" s="1697">
        <f>SUM(BV87:BV91)</f>
        <v>0</v>
      </c>
      <c r="BW86" s="1697">
        <f t="shared" ref="BW86" si="390">SUM(BW87:BW91)</f>
        <v>0</v>
      </c>
      <c r="BX86" s="1697">
        <f t="shared" ref="BX86" si="391">SUM(BX87:BX91)</f>
        <v>0</v>
      </c>
      <c r="BY86" s="1697">
        <f t="shared" ref="BY86" si="392">SUM(BY87:BY91)</f>
        <v>0</v>
      </c>
      <c r="BZ86" s="1697">
        <f t="shared" ref="BZ86" si="393">SUM(BZ87:BZ91)</f>
        <v>0</v>
      </c>
      <c r="CA86" s="1697">
        <f t="shared" ref="CA86" si="394">SUM(CA87:CA91)</f>
        <v>0</v>
      </c>
      <c r="CB86" s="1697">
        <f t="shared" ref="CB86" si="395">SUM(CB87:CB91)</f>
        <v>0</v>
      </c>
      <c r="CC86" s="1701">
        <f t="shared" si="339"/>
        <v>0</v>
      </c>
      <c r="CD86" s="304"/>
      <c r="CE86" s="304"/>
      <c r="CF86" s="304"/>
      <c r="CG86" s="304"/>
      <c r="CH86" s="304"/>
      <c r="CI86" s="304"/>
      <c r="CJ86" s="304"/>
      <c r="CK86" s="304"/>
      <c r="CL86" s="304"/>
      <c r="CM86" s="304"/>
      <c r="CN86" s="750"/>
      <c r="CO86" s="472"/>
      <c r="CP86" s="1723">
        <f>SUM(CP87:CP91)</f>
        <v>0</v>
      </c>
      <c r="CQ86" s="1697">
        <f t="shared" ref="CQ86" si="396">SUM(CQ87:CQ91)</f>
        <v>0</v>
      </c>
      <c r="CR86" s="1697">
        <f t="shared" ref="CR86" si="397">SUM(CR87:CR91)</f>
        <v>0</v>
      </c>
      <c r="CS86" s="1697">
        <f t="shared" ref="CS86" si="398">SUM(CS87:CS91)</f>
        <v>0</v>
      </c>
      <c r="CT86" s="1697">
        <f t="shared" ref="CT86" si="399">SUM(CT87:CT91)</f>
        <v>0</v>
      </c>
      <c r="CU86" s="1697">
        <f t="shared" ref="CU86" si="400">SUM(CU87:CU91)</f>
        <v>0</v>
      </c>
      <c r="CV86" s="1697">
        <f t="shared" ref="CV86" si="401">SUM(CV87:CV91)</f>
        <v>0</v>
      </c>
      <c r="CW86" s="1701">
        <f t="shared" si="341"/>
        <v>0</v>
      </c>
      <c r="CX86" s="304"/>
      <c r="CY86" s="506"/>
      <c r="CZ86" s="506"/>
      <c r="DA86" s="506"/>
      <c r="DB86" s="506"/>
      <c r="DC86" s="506"/>
      <c r="DD86" s="506"/>
      <c r="DE86" s="506"/>
      <c r="DF86" s="506"/>
      <c r="DG86" s="506"/>
      <c r="DH86" s="750"/>
      <c r="DI86" s="472"/>
      <c r="DJ86" s="725"/>
      <c r="DK86" s="304"/>
      <c r="DL86" s="304"/>
      <c r="DM86" s="304"/>
      <c r="DN86" s="304"/>
      <c r="DO86" s="304"/>
      <c r="DP86" s="304"/>
      <c r="DQ86" s="736"/>
      <c r="DR86" s="304"/>
      <c r="DS86" s="506"/>
      <c r="DT86" s="506"/>
      <c r="DU86" s="506"/>
      <c r="DV86" s="506"/>
      <c r="DW86" s="506"/>
      <c r="DX86" s="506"/>
      <c r="DY86" s="506"/>
      <c r="DZ86" s="506"/>
      <c r="EA86" s="506"/>
      <c r="EB86" s="750"/>
      <c r="EC86" s="472"/>
      <c r="ED86" s="506"/>
      <c r="EE86" s="506"/>
      <c r="EF86" s="506"/>
      <c r="EG86" s="506"/>
      <c r="EH86" s="506"/>
      <c r="EI86" s="506"/>
      <c r="EJ86" s="506"/>
      <c r="EK86" s="506"/>
      <c r="EL86" s="506"/>
      <c r="EM86" s="506"/>
    </row>
    <row r="87" spans="1:143" ht="49.5" thickTop="1" thickBot="1">
      <c r="A87" s="130" t="str">
        <f>CONCATENATE('3 pr-2'!A87)</f>
        <v>1.1.2.3.1</v>
      </c>
      <c r="B87" s="130" t="str">
        <f>CONCATENATE('3 pr-2'!B87)</f>
        <v>R01-5516-190000-1231</v>
      </c>
      <c r="C87" s="1730" t="str">
        <f>CONCATENATE('ketv. 2'!B86)</f>
        <v>04.5.1-TID-R-516-11-0004</v>
      </c>
      <c r="D87" s="78" t="str">
        <f>CONCATENATE('3 pr-2'!D87)</f>
        <v>Dviračių ir pėsčiųjų takų įrengimas Varėnos miesto J. Basanavičiaus ir Žiedo gatvėse</v>
      </c>
      <c r="E87" s="11" t="str">
        <f>CONCATENATE('3 pr-2'!E87)</f>
        <v>Varėnos rajono savivaldybės administracija</v>
      </c>
      <c r="F87" s="11" t="str">
        <f>CONCATENATE('3 pr-2'!F87)</f>
        <v>Lietuvos Respublikos susisiekimo ministerija</v>
      </c>
      <c r="G87" s="11" t="str">
        <f>CONCATENATE('3 pr-2'!G87)</f>
        <v>Varėnos r. sav.</v>
      </c>
      <c r="H87" s="130" t="str">
        <f>CONCATENATE('3 pr-2'!H87)</f>
        <v>04.5.1-TID-R-516</v>
      </c>
      <c r="I87" s="130" t="str">
        <f>CONCATENATE('3 pr-2'!I87)</f>
        <v>R</v>
      </c>
      <c r="J87" s="130" t="str">
        <f>CONCATENATE('3 pr-2'!J87)</f>
        <v>ITI</v>
      </c>
      <c r="K87" s="130" t="str">
        <f>CONCATENATE('3 pr-2'!K87)</f>
        <v>-</v>
      </c>
      <c r="L87" s="130" t="s">
        <v>493</v>
      </c>
      <c r="M87" s="471" t="s">
        <v>494</v>
      </c>
      <c r="N87" s="1699"/>
      <c r="O87" s="1699"/>
      <c r="P87" s="1699"/>
      <c r="Q87" s="1699"/>
      <c r="R87" s="1699"/>
      <c r="S87" s="1699"/>
      <c r="T87" s="1699"/>
      <c r="U87" s="1700">
        <f t="shared" si="369"/>
        <v>0</v>
      </c>
      <c r="V87" s="1032">
        <v>1</v>
      </c>
      <c r="W87" s="1758">
        <v>1</v>
      </c>
      <c r="X87" s="1759">
        <f>SUM(W87-V87)</f>
        <v>0</v>
      </c>
      <c r="Y87" s="1732">
        <f>IF(YEAR('3 pr-2'!$AK87)=2017,$V87,0)</f>
        <v>0</v>
      </c>
      <c r="Z87" s="1732">
        <f>IF(YEAR('3 pr-2'!$AK87)=2018,$V87,0)</f>
        <v>0</v>
      </c>
      <c r="AA87" s="1732">
        <f>IF(YEAR('3 pr-2'!$AK87)=2019,$V87,0)</f>
        <v>0</v>
      </c>
      <c r="AB87" s="1732">
        <f>IF(YEAR('3 pr-2'!$AK87)=2020,$V87,0)</f>
        <v>1</v>
      </c>
      <c r="AC87" s="1732">
        <f>IF(YEAR('3 pr-2'!$AK87)=2021,$V87,0)</f>
        <v>0</v>
      </c>
      <c r="AD87" s="1732">
        <f>IF(YEAR('3 pr-2'!$AK87)=2022,$V87,0)</f>
        <v>0</v>
      </c>
      <c r="AE87" s="1732">
        <f>IF(YEAR('3 pr-2'!$AK87)=2023,$V87,0)</f>
        <v>0</v>
      </c>
      <c r="AF87" s="317"/>
      <c r="AG87" s="471"/>
      <c r="AH87" s="1699"/>
      <c r="AI87" s="1699"/>
      <c r="AJ87" s="1699"/>
      <c r="AK87" s="1699"/>
      <c r="AL87" s="1699"/>
      <c r="AM87" s="1699"/>
      <c r="AN87" s="1699"/>
      <c r="AO87" s="1718">
        <f t="shared" si="335"/>
        <v>0</v>
      </c>
      <c r="AP87" s="130"/>
      <c r="AQ87" s="1778"/>
      <c r="AR87" s="1732"/>
      <c r="AS87" s="1732">
        <f>IF(YEAR('3 pr-2'!$AK87)=2017,$AP87,0)</f>
        <v>0</v>
      </c>
      <c r="AT87" s="1732">
        <f>IF(YEAR('3 pr-2'!$AK87)=2018,$AP87,0)</f>
        <v>0</v>
      </c>
      <c r="AU87" s="1732">
        <f>IF(YEAR('3 pr-2'!$AK87)=2019,$AP87,0)</f>
        <v>0</v>
      </c>
      <c r="AV87" s="1732">
        <f>IF(YEAR('3 pr-2'!$AK87)=2020,$AP87,0)</f>
        <v>0</v>
      </c>
      <c r="AW87" s="1732">
        <f>IF(YEAR('3 pr-2'!$AK87)=2021,$AP87,0)</f>
        <v>0</v>
      </c>
      <c r="AX87" s="1732">
        <f>IF(YEAR('3 pr-2'!$AK87)=2022,$AP87,0)</f>
        <v>0</v>
      </c>
      <c r="AY87" s="1732">
        <f>IF(YEAR('3 pr-2'!$AK87)=2023,$AP87,0)</f>
        <v>0</v>
      </c>
      <c r="AZ87" s="130"/>
      <c r="BA87" s="470"/>
      <c r="BB87" s="1699"/>
      <c r="BC87" s="1699"/>
      <c r="BD87" s="1699"/>
      <c r="BE87" s="1699"/>
      <c r="BF87" s="1699"/>
      <c r="BG87" s="1699"/>
      <c r="BH87" s="1699"/>
      <c r="BI87" s="1718">
        <f t="shared" si="337"/>
        <v>0</v>
      </c>
      <c r="BJ87" s="130"/>
      <c r="BK87" s="1501"/>
      <c r="BL87" s="130"/>
      <c r="BM87" s="130">
        <f>IF(YEAR('3 pr-2'!AK87)=2017,BJ87,0)</f>
        <v>0</v>
      </c>
      <c r="BN87" s="130">
        <f>IF(YEAR('3 pr-2'!AK87)=2018,BJ87,0)</f>
        <v>0</v>
      </c>
      <c r="BO87" s="130">
        <f>IF(YEAR('3 pr-2'!AK87)=2019,BJ87,0)</f>
        <v>0</v>
      </c>
      <c r="BP87" s="130">
        <f>IF(YEAR('3 pr-2'!AK87)=2020,BJ87,0)</f>
        <v>0</v>
      </c>
      <c r="BQ87" s="130">
        <f>IF(YEAR('3 pr-2'!AK87)=2021,BJ87,0)</f>
        <v>0</v>
      </c>
      <c r="BR87" s="130">
        <f>IF(YEAR('3 pr-2'!AK87)=2022,BJ87,0)</f>
        <v>0</v>
      </c>
      <c r="BS87" s="130">
        <f>IF(YEAR('3 pr-2'!AK87)=2023,BJ87,0)</f>
        <v>0</v>
      </c>
      <c r="BT87" s="317"/>
      <c r="BU87" s="471"/>
      <c r="BV87" s="1699"/>
      <c r="BW87" s="1699"/>
      <c r="BX87" s="1699"/>
      <c r="BY87" s="1699"/>
      <c r="BZ87" s="1699"/>
      <c r="CA87" s="1699"/>
      <c r="CB87" s="1699"/>
      <c r="CC87" s="1718">
        <f t="shared" si="339"/>
        <v>0</v>
      </c>
      <c r="CD87" s="130"/>
      <c r="CE87" s="130"/>
      <c r="CF87" s="130"/>
      <c r="CG87" s="130">
        <f>IF(YEAR('3 pr-2'!$AK87)=2017,$CD87,0)</f>
        <v>0</v>
      </c>
      <c r="CH87" s="130">
        <f>IF(YEAR('3 pr-2'!$AK87)=2018,$CD87,0)</f>
        <v>0</v>
      </c>
      <c r="CI87" s="130">
        <f>IF(YEAR('3 pr-2'!$AK87)=2019,$CD87,0)</f>
        <v>0</v>
      </c>
      <c r="CJ87" s="130">
        <f>IF(YEAR('3 pr-2'!$AK87)=2020,$CD87,0)</f>
        <v>0</v>
      </c>
      <c r="CK87" s="130">
        <f>IF(YEAR('3 pr-2'!$AK87)=2021,$CD87,0)</f>
        <v>0</v>
      </c>
      <c r="CL87" s="130">
        <f>IF(YEAR('3 pr-2'!$AK87)=2022,$CD87,0)</f>
        <v>0</v>
      </c>
      <c r="CM87" s="130">
        <f>IF(YEAR('3 pr-2'!$AK87)=2023,$CD87,0)</f>
        <v>0</v>
      </c>
      <c r="CN87" s="317"/>
      <c r="CO87" s="472"/>
      <c r="CP87" s="1704"/>
      <c r="CQ87" s="1699"/>
      <c r="CR87" s="1699"/>
      <c r="CS87" s="1699"/>
      <c r="CT87" s="1699"/>
      <c r="CU87" s="1699"/>
      <c r="CV87" s="1699"/>
      <c r="CW87" s="1718">
        <f t="shared" si="341"/>
        <v>0</v>
      </c>
      <c r="CX87" s="318"/>
      <c r="CY87" s="303"/>
      <c r="CZ87" s="303"/>
      <c r="DA87" s="506">
        <f>IF(YEAR('3 pr-2'!AK87)=2017,CX87,0)</f>
        <v>0</v>
      </c>
      <c r="DB87" s="506">
        <f>IF(YEAR('3 pr-2'!AK87)=2018,CX87,0)</f>
        <v>0</v>
      </c>
      <c r="DC87" s="506">
        <f>IF(YEAR('3 pr-2'!AK87)=2019,CX87,0)</f>
        <v>0</v>
      </c>
      <c r="DD87" s="506">
        <f>IF(YEAR('3 pr-2'!AK87)=2020,CX87,0)</f>
        <v>0</v>
      </c>
      <c r="DE87" s="506">
        <f>IF(YEAR('3 pr-2'!AK87)=2021,CX87,0)</f>
        <v>0</v>
      </c>
      <c r="DF87" s="506">
        <f>IF(YEAR('3 pr-2'!AK87)=2022,CX87,0)</f>
        <v>0</v>
      </c>
      <c r="DG87" s="506">
        <f>IF(YEAR('3 pr-2'!AK87)=2023,CX87,0)</f>
        <v>0</v>
      </c>
      <c r="DH87" s="317"/>
      <c r="DI87" s="472"/>
      <c r="DJ87" s="318"/>
      <c r="DK87" s="130"/>
      <c r="DL87" s="130"/>
      <c r="DM87" s="130"/>
      <c r="DN87" s="130"/>
      <c r="DO87" s="130"/>
      <c r="DP87" s="130"/>
      <c r="DQ87" s="756"/>
      <c r="DR87" s="318"/>
      <c r="DS87" s="303"/>
      <c r="DT87" s="303"/>
      <c r="DU87" s="506"/>
      <c r="DV87" s="506"/>
      <c r="DW87" s="506"/>
      <c r="DX87" s="506"/>
      <c r="DY87" s="506"/>
      <c r="DZ87" s="506"/>
      <c r="EA87" s="506"/>
      <c r="EB87" s="317"/>
      <c r="EC87" s="472"/>
      <c r="ED87" s="303"/>
      <c r="EE87" s="303"/>
      <c r="EF87" s="303"/>
      <c r="EG87" s="506">
        <f>IF(YEAR('3 pr-2'!BP87)=2017,ED87,0)</f>
        <v>0</v>
      </c>
      <c r="EH87" s="506">
        <f>IF(YEAR('3 pr-2'!BP87)=2018,ED87,0)</f>
        <v>0</v>
      </c>
      <c r="EI87" s="506">
        <f>IF(YEAR('3 pr-2'!BP87)=2019,ED87,0)</f>
        <v>0</v>
      </c>
      <c r="EJ87" s="506">
        <f>IF(YEAR('3 pr-2'!BP87)=2020,ED87,0)</f>
        <v>0</v>
      </c>
      <c r="EK87" s="506">
        <f>IF(YEAR('3 pr-2'!BP87)=2021,ED87,0)</f>
        <v>0</v>
      </c>
      <c r="EL87" s="506">
        <f>IF(YEAR('3 pr-2'!BP87)=2022,ED87,0)</f>
        <v>0</v>
      </c>
      <c r="EM87" s="506">
        <f>IF(YEAR('3 pr-2'!BP87)=2023,ED87,0)</f>
        <v>0</v>
      </c>
    </row>
    <row r="88" spans="1:143" ht="61.5" thickTop="1" thickBot="1">
      <c r="A88" s="130" t="str">
        <f>CONCATENATE('3 pr-2'!A88)</f>
        <v>1.1.2.3.2</v>
      </c>
      <c r="B88" s="130" t="str">
        <f>CONCATENATE('3 pr-2'!B88)</f>
        <v>R01-5516-190000-1232</v>
      </c>
      <c r="C88" s="1730" t="str">
        <f>CONCATENATE('ketv. 2'!B87)</f>
        <v>04.5.1-TID-R-516-11-0001</v>
      </c>
      <c r="D88" s="78" t="str">
        <f>CONCATENATE('3 pr-2'!D88)</f>
        <v>Dviračių trasų infrastruktūros įrengimas nuo Putinų g. žiedo Pramonės gatvėje, Alytaus mieste</v>
      </c>
      <c r="E88" s="11" t="str">
        <f>CONCATENATE('3 pr-2'!E88)</f>
        <v>Alytaus miesto savivaldybės administracija</v>
      </c>
      <c r="F88" s="11" t="str">
        <f>CONCATENATE('3 pr-2'!F88)</f>
        <v>Lietuvos Respublikos susisiekimo ministerija</v>
      </c>
      <c r="G88" s="11" t="str">
        <f>CONCATENATE('3 pr-2'!G88)</f>
        <v>Alytaus m. sav.</v>
      </c>
      <c r="H88" s="130" t="str">
        <f>CONCATENATE('3 pr-2'!H88)</f>
        <v>04.5.1-TID-R-516</v>
      </c>
      <c r="I88" s="130" t="str">
        <f>CONCATENATE('3 pr-2'!I88)</f>
        <v>R</v>
      </c>
      <c r="J88" s="130" t="str">
        <f>CONCATENATE('3 pr-2'!J88)</f>
        <v>ITI</v>
      </c>
      <c r="K88" s="130" t="str">
        <f>CONCATENATE('3 pr-2'!K88)</f>
        <v>-</v>
      </c>
      <c r="L88" s="130" t="s">
        <v>493</v>
      </c>
      <c r="M88" s="471" t="s">
        <v>495</v>
      </c>
      <c r="N88" s="1699"/>
      <c r="O88" s="1699">
        <v>0.75</v>
      </c>
      <c r="P88" s="1699"/>
      <c r="Q88" s="1699"/>
      <c r="R88" s="1699"/>
      <c r="S88" s="1699"/>
      <c r="T88" s="1699"/>
      <c r="U88" s="1700">
        <f t="shared" si="369"/>
        <v>0.75</v>
      </c>
      <c r="V88" s="1032">
        <v>0.75</v>
      </c>
      <c r="W88" s="1758" t="str">
        <f>IF('ketv. 6 '!L87&gt;0,"0,75",0)</f>
        <v>0,75</v>
      </c>
      <c r="X88" s="1759">
        <f>SUM(W88-V88)</f>
        <v>0</v>
      </c>
      <c r="Y88" s="1732">
        <f>IF(YEAR('3 pr-2'!$AK88)=2017,$V88,0)</f>
        <v>0</v>
      </c>
      <c r="Z88" s="1732">
        <f>IF(YEAR('3 pr-2'!$AK88)=2018,$V88,0)</f>
        <v>0.75</v>
      </c>
      <c r="AA88" s="1732">
        <f>IF(YEAR('3 pr-2'!$AK88)=2019,$V88,0)</f>
        <v>0</v>
      </c>
      <c r="AB88" s="1732">
        <f>IF(YEAR('3 pr-2'!$AK88)=2020,$V88,0)</f>
        <v>0</v>
      </c>
      <c r="AC88" s="1732">
        <f>IF(YEAR('3 pr-2'!$AK88)=2021,$V88,0)</f>
        <v>0</v>
      </c>
      <c r="AD88" s="1732">
        <f>IF(YEAR('3 pr-2'!$AK88)=2022,$V88,0)</f>
        <v>0</v>
      </c>
      <c r="AE88" s="1732">
        <f>IF(YEAR('3 pr-2'!$AK88)=2023,$V88,0)</f>
        <v>0</v>
      </c>
      <c r="AF88" s="317"/>
      <c r="AG88" s="471"/>
      <c r="AH88" s="1699"/>
      <c r="AI88" s="1699"/>
      <c r="AJ88" s="1699"/>
      <c r="AK88" s="1699"/>
      <c r="AL88" s="1699"/>
      <c r="AM88" s="1699"/>
      <c r="AN88" s="1699"/>
      <c r="AO88" s="1718">
        <f t="shared" si="335"/>
        <v>0</v>
      </c>
      <c r="AP88" s="130"/>
      <c r="AQ88" s="1778"/>
      <c r="AR88" s="1732"/>
      <c r="AS88" s="1732">
        <f>IF(YEAR('3 pr-2'!$AK88)=2017,$AP88,0)</f>
        <v>0</v>
      </c>
      <c r="AT88" s="1732">
        <f>IF(YEAR('3 pr-2'!$AK88)=2018,$AP88,0)</f>
        <v>0</v>
      </c>
      <c r="AU88" s="1732">
        <f>IF(YEAR('3 pr-2'!$AK88)=2019,$AP88,0)</f>
        <v>0</v>
      </c>
      <c r="AV88" s="1732">
        <f>IF(YEAR('3 pr-2'!$AK88)=2020,$AP88,0)</f>
        <v>0</v>
      </c>
      <c r="AW88" s="1732">
        <f>IF(YEAR('3 pr-2'!$AK88)=2021,$AP88,0)</f>
        <v>0</v>
      </c>
      <c r="AX88" s="1732">
        <f>IF(YEAR('3 pr-2'!$AK88)=2022,$AP88,0)</f>
        <v>0</v>
      </c>
      <c r="AY88" s="1732">
        <f>IF(YEAR('3 pr-2'!$AK88)=2023,$AP88,0)</f>
        <v>0</v>
      </c>
      <c r="AZ88" s="130"/>
      <c r="BA88" s="470"/>
      <c r="BB88" s="1699"/>
      <c r="BC88" s="1699"/>
      <c r="BD88" s="1699"/>
      <c r="BE88" s="1699"/>
      <c r="BF88" s="1699"/>
      <c r="BG88" s="1699"/>
      <c r="BH88" s="1699"/>
      <c r="BI88" s="1718">
        <f t="shared" si="337"/>
        <v>0</v>
      </c>
      <c r="BJ88" s="130"/>
      <c r="BK88" s="1501"/>
      <c r="BL88" s="130"/>
      <c r="BM88" s="130">
        <f>IF(YEAR('3 pr-2'!AK88)=2017,BJ88,0)</f>
        <v>0</v>
      </c>
      <c r="BN88" s="130">
        <f>IF(YEAR('3 pr-2'!AK88)=2018,BJ88,0)</f>
        <v>0</v>
      </c>
      <c r="BO88" s="130">
        <f>IF(YEAR('3 pr-2'!AK88)=2019,BJ88,0)</f>
        <v>0</v>
      </c>
      <c r="BP88" s="130">
        <f>IF(YEAR('3 pr-2'!AK88)=2020,BJ88,0)</f>
        <v>0</v>
      </c>
      <c r="BQ88" s="130">
        <f>IF(YEAR('3 pr-2'!AK88)=2021,BJ88,0)</f>
        <v>0</v>
      </c>
      <c r="BR88" s="130">
        <f>IF(YEAR('3 pr-2'!AK88)=2022,BJ88,0)</f>
        <v>0</v>
      </c>
      <c r="BS88" s="130">
        <f>IF(YEAR('3 pr-2'!AK88)=2023,BJ88,0)</f>
        <v>0</v>
      </c>
      <c r="BT88" s="317"/>
      <c r="BU88" s="471"/>
      <c r="BV88" s="1699"/>
      <c r="BW88" s="1699"/>
      <c r="BX88" s="1699"/>
      <c r="BY88" s="1699"/>
      <c r="BZ88" s="1699"/>
      <c r="CA88" s="1699"/>
      <c r="CB88" s="1699"/>
      <c r="CC88" s="1718">
        <f t="shared" si="339"/>
        <v>0</v>
      </c>
      <c r="CD88" s="130"/>
      <c r="CE88" s="130"/>
      <c r="CF88" s="130"/>
      <c r="CG88" s="130">
        <f>IF(YEAR('3 pr-2'!$AK88)=2017,$CD88,0)</f>
        <v>0</v>
      </c>
      <c r="CH88" s="130">
        <f>IF(YEAR('3 pr-2'!$AK88)=2018,$CD88,0)</f>
        <v>0</v>
      </c>
      <c r="CI88" s="130">
        <f>IF(YEAR('3 pr-2'!$AK88)=2019,$CD88,0)</f>
        <v>0</v>
      </c>
      <c r="CJ88" s="130">
        <f>IF(YEAR('3 pr-2'!$AK88)=2020,$CD88,0)</f>
        <v>0</v>
      </c>
      <c r="CK88" s="130">
        <f>IF(YEAR('3 pr-2'!$AK88)=2021,$CD88,0)</f>
        <v>0</v>
      </c>
      <c r="CL88" s="130">
        <f>IF(YEAR('3 pr-2'!$AK88)=2022,$CD88,0)</f>
        <v>0</v>
      </c>
      <c r="CM88" s="130">
        <f>IF(YEAR('3 pr-2'!$AK88)=2023,$CD88,0)</f>
        <v>0</v>
      </c>
      <c r="CN88" s="317"/>
      <c r="CO88" s="472"/>
      <c r="CP88" s="1704"/>
      <c r="CQ88" s="1699"/>
      <c r="CR88" s="1699"/>
      <c r="CS88" s="1699"/>
      <c r="CT88" s="1699"/>
      <c r="CU88" s="1699"/>
      <c r="CV88" s="1699"/>
      <c r="CW88" s="1718">
        <f t="shared" si="341"/>
        <v>0</v>
      </c>
      <c r="CX88" s="318"/>
      <c r="CY88" s="303"/>
      <c r="CZ88" s="303"/>
      <c r="DA88" s="506">
        <f>IF(YEAR('3 pr-2'!AK88)=2017,CX88,0)</f>
        <v>0</v>
      </c>
      <c r="DB88" s="506">
        <f>IF(YEAR('3 pr-2'!AK88)=2018,CX88,0)</f>
        <v>0</v>
      </c>
      <c r="DC88" s="506">
        <f>IF(YEAR('3 pr-2'!AK88)=2019,CX88,0)</f>
        <v>0</v>
      </c>
      <c r="DD88" s="506">
        <f>IF(YEAR('3 pr-2'!AK88)=2020,CX88,0)</f>
        <v>0</v>
      </c>
      <c r="DE88" s="506">
        <f>IF(YEAR('3 pr-2'!AK88)=2021,CX88,0)</f>
        <v>0</v>
      </c>
      <c r="DF88" s="506">
        <f>IF(YEAR('3 pr-2'!AK88)=2022,CX88,0)</f>
        <v>0</v>
      </c>
      <c r="DG88" s="506">
        <f>IF(YEAR('3 pr-2'!AK88)=2023,CX88,0)</f>
        <v>0</v>
      </c>
      <c r="DH88" s="317"/>
      <c r="DI88" s="472"/>
      <c r="DJ88" s="318"/>
      <c r="DK88" s="130"/>
      <c r="DL88" s="130"/>
      <c r="DM88" s="130"/>
      <c r="DN88" s="130"/>
      <c r="DO88" s="130"/>
      <c r="DP88" s="130"/>
      <c r="DQ88" s="756"/>
      <c r="DR88" s="318"/>
      <c r="DS88" s="303"/>
      <c r="DT88" s="303"/>
      <c r="DU88" s="506"/>
      <c r="DV88" s="506"/>
      <c r="DW88" s="506"/>
      <c r="DX88" s="506"/>
      <c r="DY88" s="506"/>
      <c r="DZ88" s="506"/>
      <c r="EA88" s="506"/>
      <c r="EB88" s="317"/>
      <c r="EC88" s="472"/>
      <c r="ED88" s="303"/>
      <c r="EE88" s="303"/>
      <c r="EF88" s="303"/>
      <c r="EG88" s="506">
        <f>IF(YEAR('3 pr-2'!BP88)=2017,ED88,0)</f>
        <v>0</v>
      </c>
      <c r="EH88" s="506">
        <f>IF(YEAR('3 pr-2'!BP88)=2018,ED88,0)</f>
        <v>0</v>
      </c>
      <c r="EI88" s="506">
        <f>IF(YEAR('3 pr-2'!BP88)=2019,ED88,0)</f>
        <v>0</v>
      </c>
      <c r="EJ88" s="506">
        <f>IF(YEAR('3 pr-2'!BP88)=2020,ED88,0)</f>
        <v>0</v>
      </c>
      <c r="EK88" s="506">
        <f>IF(YEAR('3 pr-2'!BP88)=2021,ED88,0)</f>
        <v>0</v>
      </c>
      <c r="EL88" s="506">
        <f>IF(YEAR('3 pr-2'!BP88)=2022,ED88,0)</f>
        <v>0</v>
      </c>
      <c r="EM88" s="506">
        <f>IF(YEAR('3 pr-2'!BP88)=2023,ED88,0)</f>
        <v>0</v>
      </c>
    </row>
    <row r="89" spans="1:143" ht="61.5" thickTop="1" thickBot="1">
      <c r="A89" s="130" t="str">
        <f>CONCATENATE('3 pr-2'!A89)</f>
        <v>1.1.2.3.3</v>
      </c>
      <c r="B89" s="130" t="str">
        <f>CONCATENATE('3 pr-2'!B89)</f>
        <v>R01-5516-190000-1233</v>
      </c>
      <c r="C89" s="1730" t="str">
        <f>CONCATENATE('ketv. 2'!B88)</f>
        <v>04.5.1-TID-R-516-11-0002</v>
      </c>
      <c r="D89" s="78" t="str">
        <f>CONCATENATE('3 pr-2'!D89)</f>
        <v>Dviračių ir pėsčiųjų takų plėtra Lazdijų miesto Turistų gatvėje iki sodų bendrijos „Baltasis“ Lazdijų seniūnijoje</v>
      </c>
      <c r="E89" s="11" t="str">
        <f>CONCATENATE('3 pr-2'!E89)</f>
        <v>Lazdijų rajono savivaldybės administracija</v>
      </c>
      <c r="F89" s="11" t="str">
        <f>CONCATENATE('3 pr-2'!F89)</f>
        <v>Lietuvos Respublikos susisiekimo ministerija</v>
      </c>
      <c r="G89" s="11" t="str">
        <f>CONCATENATE('3 pr-2'!G89)</f>
        <v>Lazdijų r. sav.</v>
      </c>
      <c r="H89" s="130" t="str">
        <f>CONCATENATE('3 pr-2'!H89)</f>
        <v>04.5.1-TID-R-516</v>
      </c>
      <c r="I89" s="130" t="str">
        <f>CONCATENATE('3 pr-2'!I89)</f>
        <v>R</v>
      </c>
      <c r="J89" s="130" t="str">
        <f>CONCATENATE('3 pr-2'!J89)</f>
        <v>ITI</v>
      </c>
      <c r="K89" s="130" t="str">
        <f>CONCATENATE('3 pr-2'!K89)</f>
        <v>-</v>
      </c>
      <c r="L89" s="130" t="s">
        <v>493</v>
      </c>
      <c r="M89" s="471" t="s">
        <v>494</v>
      </c>
      <c r="N89" s="1699"/>
      <c r="O89" s="1699"/>
      <c r="P89" s="1699"/>
      <c r="Q89" s="1699"/>
      <c r="R89" s="1699"/>
      <c r="S89" s="1699"/>
      <c r="T89" s="1699"/>
      <c r="U89" s="1700">
        <f t="shared" si="369"/>
        <v>0</v>
      </c>
      <c r="V89" s="1032">
        <v>1.1599999999999999</v>
      </c>
      <c r="W89" s="1758">
        <v>1.1599999999999999</v>
      </c>
      <c r="X89" s="1759">
        <v>0</v>
      </c>
      <c r="Y89" s="1732">
        <f>IF(YEAR('3 pr-2'!$AK89)=2017,$V89,0)</f>
        <v>0</v>
      </c>
      <c r="Z89" s="1732">
        <f>IF(YEAR('3 pr-2'!$AK89)=2018,$V89,0)</f>
        <v>0</v>
      </c>
      <c r="AA89" s="1732">
        <f>IF(YEAR('3 pr-2'!$AK89)=2019,$V89,0)</f>
        <v>1.1599999999999999</v>
      </c>
      <c r="AB89" s="1732">
        <f>IF(YEAR('3 pr-2'!$AK89)=2020,$V89,0)</f>
        <v>0</v>
      </c>
      <c r="AC89" s="1732">
        <f>IF(YEAR('3 pr-2'!$AK89)=2021,$V89,0)</f>
        <v>0</v>
      </c>
      <c r="AD89" s="1732">
        <f>IF(YEAR('3 pr-2'!$AK89)=2022,$V89,0)</f>
        <v>0</v>
      </c>
      <c r="AE89" s="1732">
        <f>IF(YEAR('3 pr-2'!$AK89)=2023,$V89,0)</f>
        <v>0</v>
      </c>
      <c r="AF89" s="317"/>
      <c r="AG89" s="471"/>
      <c r="AH89" s="1699"/>
      <c r="AI89" s="1699"/>
      <c r="AJ89" s="1699"/>
      <c r="AK89" s="1699"/>
      <c r="AL89" s="1699"/>
      <c r="AM89" s="1699"/>
      <c r="AN89" s="1699"/>
      <c r="AO89" s="1718">
        <f t="shared" si="335"/>
        <v>0</v>
      </c>
      <c r="AP89" s="130"/>
      <c r="AQ89" s="1778"/>
      <c r="AR89" s="1732"/>
      <c r="AS89" s="1732">
        <f>IF(YEAR('3 pr-2'!$AK89)=2017,$AP89,0)</f>
        <v>0</v>
      </c>
      <c r="AT89" s="1732">
        <f>IF(YEAR('3 pr-2'!$AK89)=2018,$AP89,0)</f>
        <v>0</v>
      </c>
      <c r="AU89" s="1732">
        <f>IF(YEAR('3 pr-2'!$AK89)=2019,$AP89,0)</f>
        <v>0</v>
      </c>
      <c r="AV89" s="1732">
        <f>IF(YEAR('3 pr-2'!$AK89)=2020,$AP89,0)</f>
        <v>0</v>
      </c>
      <c r="AW89" s="1732">
        <f>IF(YEAR('3 pr-2'!$AK89)=2021,$AP89,0)</f>
        <v>0</v>
      </c>
      <c r="AX89" s="1732">
        <f>IF(YEAR('3 pr-2'!$AK89)=2022,$AP89,0)</f>
        <v>0</v>
      </c>
      <c r="AY89" s="1732">
        <f>IF(YEAR('3 pr-2'!$AK89)=2023,$AP89,0)</f>
        <v>0</v>
      </c>
      <c r="AZ89" s="130"/>
      <c r="BA89" s="470"/>
      <c r="BB89" s="1699"/>
      <c r="BC89" s="1699"/>
      <c r="BD89" s="1699"/>
      <c r="BE89" s="1699"/>
      <c r="BF89" s="1699"/>
      <c r="BG89" s="1699"/>
      <c r="BH89" s="1699"/>
      <c r="BI89" s="1718">
        <f t="shared" si="337"/>
        <v>0</v>
      </c>
      <c r="BJ89" s="130"/>
      <c r="BK89" s="1501"/>
      <c r="BL89" s="130"/>
      <c r="BM89" s="130">
        <f>IF(YEAR('3 pr-2'!AK89)=2017,BJ89,0)</f>
        <v>0</v>
      </c>
      <c r="BN89" s="130">
        <f>IF(YEAR('3 pr-2'!AK89)=2018,BJ89,0)</f>
        <v>0</v>
      </c>
      <c r="BO89" s="130">
        <f>IF(YEAR('3 pr-2'!AK89)=2019,BJ89,0)</f>
        <v>0</v>
      </c>
      <c r="BP89" s="130">
        <f>IF(YEAR('3 pr-2'!AK89)=2020,BJ89,0)</f>
        <v>0</v>
      </c>
      <c r="BQ89" s="130">
        <f>IF(YEAR('3 pr-2'!AK89)=2021,BJ89,0)</f>
        <v>0</v>
      </c>
      <c r="BR89" s="130">
        <f>IF(YEAR('3 pr-2'!AK89)=2022,BJ89,0)</f>
        <v>0</v>
      </c>
      <c r="BS89" s="130">
        <f>IF(YEAR('3 pr-2'!AK89)=2023,BJ89,0)</f>
        <v>0</v>
      </c>
      <c r="BT89" s="317"/>
      <c r="BU89" s="471"/>
      <c r="BV89" s="1699"/>
      <c r="BW89" s="1699"/>
      <c r="BX89" s="1699"/>
      <c r="BY89" s="1699"/>
      <c r="BZ89" s="1699"/>
      <c r="CA89" s="1699"/>
      <c r="CB89" s="1699"/>
      <c r="CC89" s="1718">
        <f t="shared" si="339"/>
        <v>0</v>
      </c>
      <c r="CD89" s="130"/>
      <c r="CE89" s="130"/>
      <c r="CF89" s="130"/>
      <c r="CG89" s="130">
        <f>IF(YEAR('3 pr-2'!$AK89)=2017,$CD89,0)</f>
        <v>0</v>
      </c>
      <c r="CH89" s="130">
        <f>IF(YEAR('3 pr-2'!$AK89)=2018,$CD89,0)</f>
        <v>0</v>
      </c>
      <c r="CI89" s="130">
        <f>IF(YEAR('3 pr-2'!$AK89)=2019,$CD89,0)</f>
        <v>0</v>
      </c>
      <c r="CJ89" s="130">
        <f>IF(YEAR('3 pr-2'!$AK89)=2020,$CD89,0)</f>
        <v>0</v>
      </c>
      <c r="CK89" s="130">
        <f>IF(YEAR('3 pr-2'!$AK89)=2021,$CD89,0)</f>
        <v>0</v>
      </c>
      <c r="CL89" s="130">
        <f>IF(YEAR('3 pr-2'!$AK89)=2022,$CD89,0)</f>
        <v>0</v>
      </c>
      <c r="CM89" s="130">
        <f>IF(YEAR('3 pr-2'!$AK89)=2023,$CD89,0)</f>
        <v>0</v>
      </c>
      <c r="CN89" s="317"/>
      <c r="CO89" s="472"/>
      <c r="CP89" s="1704"/>
      <c r="CQ89" s="1699"/>
      <c r="CR89" s="1699"/>
      <c r="CS89" s="1699"/>
      <c r="CT89" s="1699"/>
      <c r="CU89" s="1699"/>
      <c r="CV89" s="1699"/>
      <c r="CW89" s="1718">
        <f t="shared" si="341"/>
        <v>0</v>
      </c>
      <c r="CX89" s="318"/>
      <c r="CY89" s="303"/>
      <c r="CZ89" s="303"/>
      <c r="DA89" s="506">
        <f>IF(YEAR('3 pr-2'!AK89)=2017,CX89,0)</f>
        <v>0</v>
      </c>
      <c r="DB89" s="506">
        <f>IF(YEAR('3 pr-2'!AK89)=2018,CX89,0)</f>
        <v>0</v>
      </c>
      <c r="DC89" s="506">
        <f>IF(YEAR('3 pr-2'!AK89)=2019,CX89,0)</f>
        <v>0</v>
      </c>
      <c r="DD89" s="506">
        <f>IF(YEAR('3 pr-2'!AK89)=2020,CX89,0)</f>
        <v>0</v>
      </c>
      <c r="DE89" s="506">
        <f>IF(YEAR('3 pr-2'!AK89)=2021,CX89,0)</f>
        <v>0</v>
      </c>
      <c r="DF89" s="506">
        <f>IF(YEAR('3 pr-2'!AK89)=2022,CX89,0)</f>
        <v>0</v>
      </c>
      <c r="DG89" s="506">
        <f>IF(YEAR('3 pr-2'!AK89)=2023,CX89,0)</f>
        <v>0</v>
      </c>
      <c r="DH89" s="317"/>
      <c r="DI89" s="472"/>
      <c r="DJ89" s="318"/>
      <c r="DK89" s="130"/>
      <c r="DL89" s="130"/>
      <c r="DM89" s="130"/>
      <c r="DN89" s="130"/>
      <c r="DO89" s="130"/>
      <c r="DP89" s="130"/>
      <c r="DQ89" s="756"/>
      <c r="DR89" s="318"/>
      <c r="DS89" s="303"/>
      <c r="DT89" s="303"/>
      <c r="DU89" s="506"/>
      <c r="DV89" s="506"/>
      <c r="DW89" s="506"/>
      <c r="DX89" s="506"/>
      <c r="DY89" s="506"/>
      <c r="DZ89" s="506"/>
      <c r="EA89" s="506"/>
      <c r="EB89" s="317"/>
      <c r="EC89" s="472"/>
      <c r="ED89" s="303"/>
      <c r="EE89" s="303"/>
      <c r="EF89" s="303"/>
      <c r="EG89" s="506">
        <f>IF(YEAR('3 pr-2'!BP89)=2017,ED89,0)</f>
        <v>0</v>
      </c>
      <c r="EH89" s="506">
        <f>IF(YEAR('3 pr-2'!BP89)=2018,ED89,0)</f>
        <v>0</v>
      </c>
      <c r="EI89" s="506">
        <f>IF(YEAR('3 pr-2'!BP89)=2019,ED89,0)</f>
        <v>0</v>
      </c>
      <c r="EJ89" s="506">
        <f>IF(YEAR('3 pr-2'!BP89)=2020,ED89,0)</f>
        <v>0</v>
      </c>
      <c r="EK89" s="506">
        <f>IF(YEAR('3 pr-2'!BP89)=2021,ED89,0)</f>
        <v>0</v>
      </c>
      <c r="EL89" s="506">
        <f>IF(YEAR('3 pr-2'!BP89)=2022,ED89,0)</f>
        <v>0</v>
      </c>
      <c r="EM89" s="506">
        <f>IF(YEAR('3 pr-2'!BP89)=2023,ED89,0)</f>
        <v>0</v>
      </c>
    </row>
    <row r="90" spans="1:143" ht="49.5" thickTop="1" thickBot="1">
      <c r="A90" s="130" t="str">
        <f>CONCATENATE('3 pr-2'!A90)</f>
        <v>1.1.2.3.4</v>
      </c>
      <c r="B90" s="130" t="str">
        <f>CONCATENATE('3 pr-2'!B90)</f>
        <v>R01-5516-190000-1234</v>
      </c>
      <c r="C90" s="1730" t="str">
        <f>CONCATENATE('ketv. 2'!B89)</f>
        <v>04.5.1-TID-R-516-11-0005</v>
      </c>
      <c r="D90" s="78" t="str">
        <f>CONCATENATE('3 pr-2'!D90)</f>
        <v>Pėsčiųjų ir dviračių takų plėtra Simno seniūnijoje</v>
      </c>
      <c r="E90" s="11" t="str">
        <f>CONCATENATE('3 pr-2'!E90)</f>
        <v>Alytaus rajono savivaldybės administracija</v>
      </c>
      <c r="F90" s="11" t="str">
        <f>CONCATENATE('3 pr-2'!F90)</f>
        <v>Lietuvos Respublikos susisiekimo ministerija</v>
      </c>
      <c r="G90" s="11" t="str">
        <f>CONCATENATE('3 pr-2'!G90)</f>
        <v>Alytaus r. sav.</v>
      </c>
      <c r="H90" s="130" t="str">
        <f>CONCATENATE('3 pr-2'!H90)</f>
        <v>04.5.1-TID-R-516</v>
      </c>
      <c r="I90" s="130" t="str">
        <f>CONCATENATE('3 pr-2'!I90)</f>
        <v>R</v>
      </c>
      <c r="J90" s="130" t="str">
        <f>CONCATENATE('3 pr-2'!J90)</f>
        <v>-</v>
      </c>
      <c r="K90" s="130" t="str">
        <f>CONCATENATE('3 pr-2'!K90)</f>
        <v>-</v>
      </c>
      <c r="L90" s="130" t="s">
        <v>493</v>
      </c>
      <c r="M90" s="471" t="s">
        <v>495</v>
      </c>
      <c r="N90" s="1699"/>
      <c r="O90" s="1699"/>
      <c r="P90" s="1699"/>
      <c r="Q90" s="1699"/>
      <c r="R90" s="1699"/>
      <c r="S90" s="1699"/>
      <c r="T90" s="1699"/>
      <c r="U90" s="1700">
        <f t="shared" si="369"/>
        <v>0</v>
      </c>
      <c r="V90" s="1032">
        <v>0.8</v>
      </c>
      <c r="W90" s="1758">
        <v>0.8</v>
      </c>
      <c r="X90" s="1759">
        <v>0</v>
      </c>
      <c r="Y90" s="1732">
        <f>IF(YEAR('3 pr-2'!$AK90)=2017,$V90,0)</f>
        <v>0</v>
      </c>
      <c r="Z90" s="1732">
        <f>IF(YEAR('3 pr-2'!$AK90)=2018,$V90,0)</f>
        <v>0</v>
      </c>
      <c r="AA90" s="1732">
        <f>IF(YEAR('3 pr-2'!$AK90)=2019,$V90,0)</f>
        <v>0.8</v>
      </c>
      <c r="AB90" s="1732">
        <f>IF(YEAR('3 pr-2'!$AK90)=2020,$V90,0)</f>
        <v>0</v>
      </c>
      <c r="AC90" s="1732">
        <f>IF(YEAR('3 pr-2'!$AK90)=2021,$V90,0)</f>
        <v>0</v>
      </c>
      <c r="AD90" s="1732">
        <f>IF(YEAR('3 pr-2'!$AK90)=2022,$V90,0)</f>
        <v>0</v>
      </c>
      <c r="AE90" s="1732">
        <f>IF(YEAR('3 pr-2'!$AK90)=2023,$V90,0)</f>
        <v>0</v>
      </c>
      <c r="AF90" s="317"/>
      <c r="AG90" s="471"/>
      <c r="AH90" s="1699"/>
      <c r="AI90" s="1699"/>
      <c r="AJ90" s="1699"/>
      <c r="AK90" s="1699"/>
      <c r="AL90" s="1699"/>
      <c r="AM90" s="1699"/>
      <c r="AN90" s="1699"/>
      <c r="AO90" s="1718"/>
      <c r="AP90" s="130"/>
      <c r="AQ90" s="1778"/>
      <c r="AR90" s="1732"/>
      <c r="AS90" s="1732">
        <f>IF(YEAR('3 pr-2'!$AK90)=2017,$AP90,0)</f>
        <v>0</v>
      </c>
      <c r="AT90" s="1732">
        <f>IF(YEAR('3 pr-2'!$AK90)=2018,$AP90,0)</f>
        <v>0</v>
      </c>
      <c r="AU90" s="1732">
        <f>IF(YEAR('3 pr-2'!$AK90)=2019,$AP90,0)</f>
        <v>0</v>
      </c>
      <c r="AV90" s="1732">
        <f>IF(YEAR('3 pr-2'!$AK90)=2020,$AP90,0)</f>
        <v>0</v>
      </c>
      <c r="AW90" s="1732">
        <f>IF(YEAR('3 pr-2'!$AK90)=2021,$AP90,0)</f>
        <v>0</v>
      </c>
      <c r="AX90" s="1732">
        <f>IF(YEAR('3 pr-2'!$AK90)=2022,$AP90,0)</f>
        <v>0</v>
      </c>
      <c r="AY90" s="1732">
        <f>IF(YEAR('3 pr-2'!$AK90)=2023,$AP90,0)</f>
        <v>0</v>
      </c>
      <c r="AZ90" s="130"/>
      <c r="BA90" s="470"/>
      <c r="BB90" s="1699"/>
      <c r="BC90" s="1699"/>
      <c r="BD90" s="1699"/>
      <c r="BE90" s="1699"/>
      <c r="BF90" s="1699"/>
      <c r="BG90" s="1699"/>
      <c r="BH90" s="1699"/>
      <c r="BI90" s="1718">
        <f t="shared" si="337"/>
        <v>0</v>
      </c>
      <c r="BJ90" s="130"/>
      <c r="BK90" s="1501"/>
      <c r="BL90" s="130"/>
      <c r="BM90" s="130">
        <f>IF(YEAR('3 pr-2'!AK90)=2017,BJ90,0)</f>
        <v>0</v>
      </c>
      <c r="BN90" s="130">
        <f>IF(YEAR('3 pr-2'!AK90)=2018,BJ90,0)</f>
        <v>0</v>
      </c>
      <c r="BO90" s="130">
        <f>IF(YEAR('3 pr-2'!AK90)=2019,BJ90,0)</f>
        <v>0</v>
      </c>
      <c r="BP90" s="130">
        <f>IF(YEAR('3 pr-2'!AK90)=2020,BJ90,0)</f>
        <v>0</v>
      </c>
      <c r="BQ90" s="130">
        <f>IF(YEAR('3 pr-2'!AK90)=2021,BJ90,0)</f>
        <v>0</v>
      </c>
      <c r="BR90" s="130">
        <f>IF(YEAR('3 pr-2'!AK90)=2022,BJ90,0)</f>
        <v>0</v>
      </c>
      <c r="BS90" s="130">
        <f>IF(YEAR('3 pr-2'!AK90)=2023,BJ90,0)</f>
        <v>0</v>
      </c>
      <c r="BT90" s="317"/>
      <c r="BU90" s="471"/>
      <c r="BV90" s="1699"/>
      <c r="BW90" s="1699"/>
      <c r="BX90" s="1699"/>
      <c r="BY90" s="1699"/>
      <c r="BZ90" s="1699"/>
      <c r="CA90" s="1699"/>
      <c r="CB90" s="1699"/>
      <c r="CC90" s="1718">
        <f t="shared" si="339"/>
        <v>0</v>
      </c>
      <c r="CD90" s="130"/>
      <c r="CE90" s="130"/>
      <c r="CF90" s="130"/>
      <c r="CG90" s="130">
        <f>IF(YEAR('3 pr-2'!$AK90)=2017,$CD90,0)</f>
        <v>0</v>
      </c>
      <c r="CH90" s="130">
        <f>IF(YEAR('3 pr-2'!$AK90)=2018,$CD90,0)</f>
        <v>0</v>
      </c>
      <c r="CI90" s="130">
        <f>IF(YEAR('3 pr-2'!$AK90)=2019,$CD90,0)</f>
        <v>0</v>
      </c>
      <c r="CJ90" s="130">
        <f>IF(YEAR('3 pr-2'!$AK90)=2020,$CD90,0)</f>
        <v>0</v>
      </c>
      <c r="CK90" s="130">
        <f>IF(YEAR('3 pr-2'!$AK90)=2021,$CD90,0)</f>
        <v>0</v>
      </c>
      <c r="CL90" s="130">
        <f>IF(YEAR('3 pr-2'!$AK90)=2022,$CD90,0)</f>
        <v>0</v>
      </c>
      <c r="CM90" s="130">
        <f>IF(YEAR('3 pr-2'!$AK90)=2023,$CD90,0)</f>
        <v>0</v>
      </c>
      <c r="CN90" s="317"/>
      <c r="CO90" s="472"/>
      <c r="CP90" s="1704"/>
      <c r="CQ90" s="1699"/>
      <c r="CR90" s="1699"/>
      <c r="CS90" s="1699"/>
      <c r="CT90" s="1699"/>
      <c r="CU90" s="1699"/>
      <c r="CV90" s="1699"/>
      <c r="CW90" s="1718">
        <f t="shared" si="341"/>
        <v>0</v>
      </c>
      <c r="CX90" s="318"/>
      <c r="CY90" s="303"/>
      <c r="CZ90" s="303"/>
      <c r="DA90" s="506">
        <f>IF(YEAR('3 pr-2'!AK90)=2017,CX90,0)</f>
        <v>0</v>
      </c>
      <c r="DB90" s="506">
        <f>IF(YEAR('3 pr-2'!AK90)=2018,CX90,0)</f>
        <v>0</v>
      </c>
      <c r="DC90" s="506">
        <f>IF(YEAR('3 pr-2'!AK90)=2019,CX90,0)</f>
        <v>0</v>
      </c>
      <c r="DD90" s="506">
        <f>IF(YEAR('3 pr-2'!AK90)=2020,CX90,0)</f>
        <v>0</v>
      </c>
      <c r="DE90" s="506">
        <f>IF(YEAR('3 pr-2'!AK90)=2021,CX90,0)</f>
        <v>0</v>
      </c>
      <c r="DF90" s="506">
        <f>IF(YEAR('3 pr-2'!AK90)=2022,CX90,0)</f>
        <v>0</v>
      </c>
      <c r="DG90" s="506">
        <f>IF(YEAR('3 pr-2'!AK90)=2023,CX90,0)</f>
        <v>0</v>
      </c>
      <c r="DH90" s="317"/>
      <c r="DI90" s="472"/>
      <c r="DJ90" s="318"/>
      <c r="DK90" s="130"/>
      <c r="DL90" s="130"/>
      <c r="DM90" s="130"/>
      <c r="DN90" s="130"/>
      <c r="DO90" s="130"/>
      <c r="DP90" s="130"/>
      <c r="DQ90" s="756"/>
      <c r="DR90" s="318"/>
      <c r="DS90" s="303"/>
      <c r="DT90" s="303"/>
      <c r="DU90" s="506"/>
      <c r="DV90" s="506"/>
      <c r="DW90" s="506"/>
      <c r="DX90" s="506"/>
      <c r="DY90" s="506"/>
      <c r="DZ90" s="506"/>
      <c r="EA90" s="506"/>
      <c r="EB90" s="317"/>
      <c r="EC90" s="472"/>
      <c r="ED90" s="303"/>
      <c r="EE90" s="303"/>
      <c r="EF90" s="303"/>
      <c r="EG90" s="506">
        <f>IF(YEAR('3 pr-2'!BP90)=2017,ED90,0)</f>
        <v>0</v>
      </c>
      <c r="EH90" s="506">
        <f>IF(YEAR('3 pr-2'!BP90)=2018,ED90,0)</f>
        <v>0</v>
      </c>
      <c r="EI90" s="506">
        <f>IF(YEAR('3 pr-2'!BP90)=2019,ED90,0)</f>
        <v>0</v>
      </c>
      <c r="EJ90" s="506">
        <f>IF(YEAR('3 pr-2'!BP90)=2020,ED90,0)</f>
        <v>0</v>
      </c>
      <c r="EK90" s="506">
        <f>IF(YEAR('3 pr-2'!BP90)=2021,ED90,0)</f>
        <v>0</v>
      </c>
      <c r="EL90" s="506">
        <f>IF(YEAR('3 pr-2'!BP90)=2022,ED90,0)</f>
        <v>0</v>
      </c>
      <c r="EM90" s="506">
        <f>IF(YEAR('3 pr-2'!BP90)=2023,ED90,0)</f>
        <v>0</v>
      </c>
    </row>
    <row r="91" spans="1:143" ht="60.75" thickBot="1">
      <c r="A91" s="130" t="str">
        <f>CONCATENATE('3 pr-2'!A91)</f>
        <v>1.1.2.3.5</v>
      </c>
      <c r="B91" s="1394" t="str">
        <f>CONCATENATE('3 pr-2'!B91)</f>
        <v>R01-5516-190000-1235</v>
      </c>
      <c r="C91" s="1731" t="str">
        <f>CONCATENATE('ketv. 2'!B90)</f>
        <v>04.5.1-TID-R-516-11-0006</v>
      </c>
      <c r="D91" s="78" t="str">
        <f>CONCATENATE('3 pr-2'!D91)</f>
        <v>Dviračių ir pėsčiųjų tako, esančio šalia Ratnyčios upelio Druskininkų mieste, rekonstrukcija</v>
      </c>
      <c r="E91" s="11" t="str">
        <f>CONCATENATE('3 pr-2'!E91)</f>
        <v xml:space="preserve">Druskininkų savivaldybės administracija  </v>
      </c>
      <c r="F91" s="11" t="str">
        <f>CONCATENATE('3 pr-2'!F91)</f>
        <v>Lietuvos Respublikos susisiekimo ministerija</v>
      </c>
      <c r="G91" s="11" t="str">
        <f>CONCATENATE('3 pr-2'!G91)</f>
        <v>Druskininkų sav.</v>
      </c>
      <c r="H91" s="130" t="str">
        <f>CONCATENATE('3 pr-2'!H91)</f>
        <v>04.5.1-TID-R-516</v>
      </c>
      <c r="I91" s="130" t="str">
        <f>CONCATENATE('3 pr-2'!I91)</f>
        <v>R</v>
      </c>
      <c r="J91" s="130" t="str">
        <f>CONCATENATE('3 pr-2'!J91)</f>
        <v>-</v>
      </c>
      <c r="K91" s="130" t="str">
        <f>CONCATENATE('3 pr-2'!K91)</f>
        <v>-</v>
      </c>
      <c r="L91" s="130"/>
      <c r="M91" s="471"/>
      <c r="N91" s="1699"/>
      <c r="O91" s="1699"/>
      <c r="P91" s="1699"/>
      <c r="Q91" s="1699"/>
      <c r="R91" s="1699"/>
      <c r="S91" s="1699"/>
      <c r="T91" s="1699"/>
      <c r="U91" s="1700">
        <f t="shared" si="369"/>
        <v>0</v>
      </c>
      <c r="V91" s="1032">
        <v>0</v>
      </c>
      <c r="W91" s="1758" t="str">
        <f>IF('ketv. 6 '!L90&gt;0,"taip","nėra")</f>
        <v>nėra</v>
      </c>
      <c r="X91" s="1759"/>
      <c r="Y91" s="1732">
        <f>IF(YEAR('3 pr-2'!$AK91)=2017,$V91,0)</f>
        <v>0</v>
      </c>
      <c r="Z91" s="1732">
        <f>IF(YEAR('3 pr-2'!$AK91)=2018,$V91,0)</f>
        <v>0</v>
      </c>
      <c r="AA91" s="1732">
        <f>IF(YEAR('3 pr-2'!$AK91)=2019,$V91,0)</f>
        <v>0</v>
      </c>
      <c r="AB91" s="1732">
        <f>IF(YEAR('3 pr-2'!$AK91)=2020,$V91,0)</f>
        <v>0</v>
      </c>
      <c r="AC91" s="1732">
        <f>IF(YEAR('3 pr-2'!$AK91)=2021,$V91,0)</f>
        <v>0</v>
      </c>
      <c r="AD91" s="1732">
        <f>IF(YEAR('3 pr-2'!$AK91)=2022,$V91,0)</f>
        <v>0</v>
      </c>
      <c r="AE91" s="1732">
        <f>IF(YEAR('3 pr-2'!$AK91)=2023,$V91,0)</f>
        <v>0</v>
      </c>
      <c r="AF91" s="317" t="s">
        <v>496</v>
      </c>
      <c r="AG91" s="471" t="s">
        <v>497</v>
      </c>
      <c r="AH91" s="1699"/>
      <c r="AI91" s="1699"/>
      <c r="AJ91" s="1699"/>
      <c r="AK91" s="1699"/>
      <c r="AL91" s="1699"/>
      <c r="AM91" s="1699"/>
      <c r="AN91" s="1699"/>
      <c r="AO91" s="1718">
        <f t="shared" si="335"/>
        <v>0</v>
      </c>
      <c r="AP91" s="130">
        <v>0.69</v>
      </c>
      <c r="AQ91" s="1778"/>
      <c r="AR91" s="1732"/>
      <c r="AS91" s="1732">
        <f>IF(YEAR('3 pr-2'!$AK91)=2017,$AP91,0)</f>
        <v>0</v>
      </c>
      <c r="AT91" s="1732">
        <f>IF(YEAR('3 pr-2'!$AK91)=2018,$AP91,0)</f>
        <v>0</v>
      </c>
      <c r="AU91" s="1732">
        <f>IF(YEAR('3 pr-2'!$AK91)=2019,$AP91,0)</f>
        <v>0</v>
      </c>
      <c r="AV91" s="1732">
        <f>IF(YEAR('3 pr-2'!$AK91)=2020,$AP91,0)</f>
        <v>0.69</v>
      </c>
      <c r="AW91" s="1732">
        <f>IF(YEAR('3 pr-2'!$AK91)=2021,$AP91,0)</f>
        <v>0</v>
      </c>
      <c r="AX91" s="1732">
        <f>IF(YEAR('3 pr-2'!$AK91)=2022,$AP91,0)</f>
        <v>0</v>
      </c>
      <c r="AY91" s="1732">
        <f>IF(YEAR('3 pr-2'!$AK91)=2023,$AP91,0)</f>
        <v>0</v>
      </c>
      <c r="AZ91" s="130"/>
      <c r="BA91" s="470"/>
      <c r="BB91" s="1699"/>
      <c r="BC91" s="1699"/>
      <c r="BD91" s="1699"/>
      <c r="BE91" s="1699"/>
      <c r="BF91" s="1699"/>
      <c r="BG91" s="1699"/>
      <c r="BH91" s="1699"/>
      <c r="BI91" s="1718">
        <f t="shared" si="337"/>
        <v>0</v>
      </c>
      <c r="BJ91" s="130"/>
      <c r="BK91" s="1501"/>
      <c r="BL91" s="130"/>
      <c r="BM91" s="130">
        <f>IF(YEAR('3 pr-2'!AK91)=2017,BJ91,0)</f>
        <v>0</v>
      </c>
      <c r="BN91" s="130">
        <f>IF(YEAR('3 pr-2'!AK91)=2018,BJ91,0)</f>
        <v>0</v>
      </c>
      <c r="BO91" s="130">
        <f>IF(YEAR('3 pr-2'!AK91)=2019,BJ91,0)</f>
        <v>0</v>
      </c>
      <c r="BP91" s="130">
        <f>IF(YEAR('3 pr-2'!AK91)=2020,BJ91,0)</f>
        <v>0</v>
      </c>
      <c r="BQ91" s="130">
        <f>IF(YEAR('3 pr-2'!AK91)=2021,BJ91,0)</f>
        <v>0</v>
      </c>
      <c r="BR91" s="130">
        <f>IF(YEAR('3 pr-2'!AK91)=2022,BJ91,0)</f>
        <v>0</v>
      </c>
      <c r="BS91" s="130">
        <f>IF(YEAR('3 pr-2'!AK91)=2023,BJ91,0)</f>
        <v>0</v>
      </c>
      <c r="BT91" s="317"/>
      <c r="BU91" s="471"/>
      <c r="BV91" s="1699"/>
      <c r="BW91" s="1699"/>
      <c r="BX91" s="1699"/>
      <c r="BY91" s="1699"/>
      <c r="BZ91" s="1699"/>
      <c r="CA91" s="1699"/>
      <c r="CB91" s="1699"/>
      <c r="CC91" s="1718">
        <f t="shared" si="339"/>
        <v>0</v>
      </c>
      <c r="CD91" s="130"/>
      <c r="CE91" s="130"/>
      <c r="CF91" s="130"/>
      <c r="CG91" s="130">
        <f>IF(YEAR('3 pr-2'!$AK91)=2017,$CD91,0)</f>
        <v>0</v>
      </c>
      <c r="CH91" s="130">
        <f>IF(YEAR('3 pr-2'!$AK91)=2018,$CD91,0)</f>
        <v>0</v>
      </c>
      <c r="CI91" s="130">
        <f>IF(YEAR('3 pr-2'!$AK91)=2019,$CD91,0)</f>
        <v>0</v>
      </c>
      <c r="CJ91" s="130">
        <f>IF(YEAR('3 pr-2'!$AK91)=2020,$CD91,0)</f>
        <v>0</v>
      </c>
      <c r="CK91" s="130">
        <f>IF(YEAR('3 pr-2'!$AK91)=2021,$CD91,0)</f>
        <v>0</v>
      </c>
      <c r="CL91" s="130">
        <f>IF(YEAR('3 pr-2'!$AK91)=2022,$CD91,0)</f>
        <v>0</v>
      </c>
      <c r="CM91" s="130">
        <f>IF(YEAR('3 pr-2'!$AK91)=2023,$CD91,0)</f>
        <v>0</v>
      </c>
      <c r="CN91" s="317"/>
      <c r="CO91" s="472"/>
      <c r="CP91" s="1704"/>
      <c r="CQ91" s="1699"/>
      <c r="CR91" s="1699"/>
      <c r="CS91" s="1699"/>
      <c r="CT91" s="1699"/>
      <c r="CU91" s="1699"/>
      <c r="CV91" s="1699"/>
      <c r="CW91" s="1718">
        <f t="shared" si="341"/>
        <v>0</v>
      </c>
      <c r="CX91" s="318"/>
      <c r="CY91" s="303"/>
      <c r="CZ91" s="303"/>
      <c r="DA91" s="506">
        <f>IF(YEAR('3 pr-2'!AK91)=2017,CX91,0)</f>
        <v>0</v>
      </c>
      <c r="DB91" s="506">
        <f>IF(YEAR('3 pr-2'!AK91)=2018,CX91,0)</f>
        <v>0</v>
      </c>
      <c r="DC91" s="506">
        <f>IF(YEAR('3 pr-2'!AK91)=2019,CX91,0)</f>
        <v>0</v>
      </c>
      <c r="DD91" s="506">
        <f>IF(YEAR('3 pr-2'!AK91)=2020,CX91,0)</f>
        <v>0</v>
      </c>
      <c r="DE91" s="506">
        <f>IF(YEAR('3 pr-2'!AK91)=2021,CX91,0)</f>
        <v>0</v>
      </c>
      <c r="DF91" s="506">
        <f>IF(YEAR('3 pr-2'!AK91)=2022,CX91,0)</f>
        <v>0</v>
      </c>
      <c r="DG91" s="506">
        <f>IF(YEAR('3 pr-2'!AK91)=2023,CX91,0)</f>
        <v>0</v>
      </c>
      <c r="DH91" s="317"/>
      <c r="DI91" s="472"/>
      <c r="DJ91" s="318"/>
      <c r="DK91" s="130"/>
      <c r="DL91" s="130"/>
      <c r="DM91" s="130"/>
      <c r="DN91" s="130"/>
      <c r="DO91" s="130"/>
      <c r="DP91" s="130"/>
      <c r="DQ91" s="756"/>
      <c r="DR91" s="318"/>
      <c r="DS91" s="303"/>
      <c r="DT91" s="303"/>
      <c r="DU91" s="506"/>
      <c r="DV91" s="506"/>
      <c r="DW91" s="506"/>
      <c r="DX91" s="506"/>
      <c r="DY91" s="506"/>
      <c r="DZ91" s="506"/>
      <c r="EA91" s="506"/>
      <c r="EB91" s="317"/>
      <c r="EC91" s="472"/>
      <c r="ED91" s="303"/>
      <c r="EE91" s="303"/>
      <c r="EF91" s="303"/>
      <c r="EG91" s="506">
        <f>IF(YEAR('3 pr-2'!BP91)=2017,ED91,0)</f>
        <v>0</v>
      </c>
      <c r="EH91" s="506">
        <f>IF(YEAR('3 pr-2'!BP91)=2018,ED91,0)</f>
        <v>0</v>
      </c>
      <c r="EI91" s="506">
        <f>IF(YEAR('3 pr-2'!BP91)=2019,ED91,0)</f>
        <v>0</v>
      </c>
      <c r="EJ91" s="506">
        <f>IF(YEAR('3 pr-2'!BP91)=2020,ED91,0)</f>
        <v>0</v>
      </c>
      <c r="EK91" s="506">
        <f>IF(YEAR('3 pr-2'!BP91)=2021,ED91,0)</f>
        <v>0</v>
      </c>
      <c r="EL91" s="506">
        <f>IF(YEAR('3 pr-2'!BP91)=2022,ED91,0)</f>
        <v>0</v>
      </c>
      <c r="EM91" s="506">
        <f>IF(YEAR('3 pr-2'!BP91)=2023,ED91,0)</f>
        <v>0</v>
      </c>
    </row>
    <row r="92" spans="1:143" ht="33" customHeight="1" thickBot="1">
      <c r="A92" s="697" t="str">
        <f>CONCATENATE('3 pr-2'!A92)</f>
        <v>1.1.2.4</v>
      </c>
      <c r="B92" s="1972" t="str">
        <f>CONCATENATE('3 pr-2'!B92)</f>
        <v>Priemonė:
Vietinių kelių techninių parametrų ir eismo saugos gerinimas</v>
      </c>
      <c r="C92" s="1886"/>
      <c r="D92" s="1894"/>
      <c r="E92" s="1894"/>
      <c r="F92" s="1894"/>
      <c r="G92" s="1894"/>
      <c r="H92" s="1894"/>
      <c r="I92" s="1894"/>
      <c r="J92" s="1894"/>
      <c r="K92" s="1895"/>
      <c r="L92" s="1322"/>
      <c r="M92" s="474"/>
      <c r="N92" s="1697">
        <f>SUM(N93:N98)</f>
        <v>0</v>
      </c>
      <c r="O92" s="1697">
        <f t="shared" ref="O92:T92" si="402">SUM(O93:O98)</f>
        <v>0</v>
      </c>
      <c r="P92" s="1697">
        <f t="shared" si="402"/>
        <v>0</v>
      </c>
      <c r="Q92" s="1697">
        <f t="shared" si="402"/>
        <v>0</v>
      </c>
      <c r="R92" s="1697">
        <f t="shared" si="402"/>
        <v>0</v>
      </c>
      <c r="S92" s="1697">
        <f t="shared" si="402"/>
        <v>0</v>
      </c>
      <c r="T92" s="1697">
        <f t="shared" si="402"/>
        <v>0</v>
      </c>
      <c r="U92" s="1698">
        <f t="shared" ref="U92:U98" si="403">SUM(N92:T92)</f>
        <v>0</v>
      </c>
      <c r="V92" s="736"/>
      <c r="W92" s="1754"/>
      <c r="X92" s="1755"/>
      <c r="Y92" s="1756">
        <f t="shared" ref="Y92:AE92" si="404">SUM(Y93:Y99)</f>
        <v>0</v>
      </c>
      <c r="Z92" s="1756">
        <f t="shared" si="404"/>
        <v>0</v>
      </c>
      <c r="AA92" s="1756">
        <f t="shared" si="404"/>
        <v>2.59</v>
      </c>
      <c r="AB92" s="1756">
        <f t="shared" si="404"/>
        <v>0.78</v>
      </c>
      <c r="AC92" s="1756">
        <f t="shared" si="404"/>
        <v>0</v>
      </c>
      <c r="AD92" s="1756">
        <f t="shared" si="404"/>
        <v>0</v>
      </c>
      <c r="AE92" s="1756">
        <f t="shared" si="404"/>
        <v>0</v>
      </c>
      <c r="AF92" s="736"/>
      <c r="AG92" s="763"/>
      <c r="AH92" s="1697">
        <f>SUM(AH93:AH98)</f>
        <v>0</v>
      </c>
      <c r="AI92" s="1697">
        <f t="shared" ref="AI92" si="405">SUM(AI93:AI98)</f>
        <v>0</v>
      </c>
      <c r="AJ92" s="1697">
        <f t="shared" ref="AJ92" si="406">SUM(AJ93:AJ98)</f>
        <v>0</v>
      </c>
      <c r="AK92" s="1697">
        <f t="shared" ref="AK92" si="407">SUM(AK93:AK98)</f>
        <v>0</v>
      </c>
      <c r="AL92" s="1697">
        <f t="shared" ref="AL92" si="408">SUM(AL93:AL98)</f>
        <v>0</v>
      </c>
      <c r="AM92" s="1697">
        <f t="shared" ref="AM92" si="409">SUM(AM93:AM98)</f>
        <v>0</v>
      </c>
      <c r="AN92" s="1697">
        <f t="shared" ref="AN92" si="410">SUM(AN93:AN98)</f>
        <v>0</v>
      </c>
      <c r="AO92" s="1701">
        <f t="shared" si="335"/>
        <v>0</v>
      </c>
      <c r="AP92" s="736"/>
      <c r="AQ92" s="1756"/>
      <c r="AR92" s="1756"/>
      <c r="AS92" s="1756">
        <f t="shared" ref="AS92:AY92" si="411">SUM(AS93:AS99)</f>
        <v>0</v>
      </c>
      <c r="AT92" s="1756">
        <f t="shared" si="411"/>
        <v>0</v>
      </c>
      <c r="AU92" s="1756">
        <f t="shared" si="411"/>
        <v>10</v>
      </c>
      <c r="AV92" s="1756">
        <f t="shared" si="411"/>
        <v>3</v>
      </c>
      <c r="AW92" s="1756">
        <f t="shared" si="411"/>
        <v>0</v>
      </c>
      <c r="AX92" s="1756">
        <f t="shared" si="411"/>
        <v>0</v>
      </c>
      <c r="AY92" s="1756">
        <f t="shared" si="411"/>
        <v>0</v>
      </c>
      <c r="AZ92" s="736"/>
      <c r="BA92" s="752"/>
      <c r="BB92" s="1697">
        <f>SUM(BB93:BB98)</f>
        <v>0</v>
      </c>
      <c r="BC92" s="1697">
        <f t="shared" ref="BC92" si="412">SUM(BC93:BC98)</f>
        <v>0.72</v>
      </c>
      <c r="BD92" s="1697">
        <f t="shared" ref="BD92" si="413">SUM(BD93:BD98)</f>
        <v>0</v>
      </c>
      <c r="BE92" s="1697">
        <f t="shared" ref="BE92" si="414">SUM(BE93:BE98)</f>
        <v>0</v>
      </c>
      <c r="BF92" s="1697">
        <f t="shared" ref="BF92" si="415">SUM(BF93:BF98)</f>
        <v>0</v>
      </c>
      <c r="BG92" s="1697">
        <f t="shared" ref="BG92" si="416">SUM(BG93:BG98)</f>
        <v>0</v>
      </c>
      <c r="BH92" s="1697">
        <f t="shared" ref="BH92" si="417">SUM(BH93:BH98)</f>
        <v>0</v>
      </c>
      <c r="BI92" s="1701">
        <f t="shared" si="337"/>
        <v>0.72</v>
      </c>
      <c r="BJ92" s="736"/>
      <c r="BK92" s="304"/>
      <c r="BL92" s="304"/>
      <c r="BM92" s="304">
        <f t="shared" ref="BM92:BS92" si="418">SUM(BM93:BM99)</f>
        <v>0</v>
      </c>
      <c r="BN92" s="304">
        <f t="shared" si="418"/>
        <v>0.72</v>
      </c>
      <c r="BO92" s="304">
        <f t="shared" si="418"/>
        <v>0</v>
      </c>
      <c r="BP92" s="304">
        <f t="shared" si="418"/>
        <v>0</v>
      </c>
      <c r="BQ92" s="304">
        <f t="shared" si="418"/>
        <v>0</v>
      </c>
      <c r="BR92" s="304">
        <f t="shared" si="418"/>
        <v>0</v>
      </c>
      <c r="BS92" s="304">
        <f t="shared" si="418"/>
        <v>0</v>
      </c>
      <c r="BT92" s="304"/>
      <c r="BU92" s="472"/>
      <c r="BV92" s="1697">
        <f>SUM(BV93:BV98)</f>
        <v>0</v>
      </c>
      <c r="BW92" s="1697">
        <f t="shared" ref="BW92" si="419">SUM(BW93:BW98)</f>
        <v>0</v>
      </c>
      <c r="BX92" s="1697">
        <f t="shared" ref="BX92" si="420">SUM(BX93:BX98)</f>
        <v>0</v>
      </c>
      <c r="BY92" s="1697">
        <f t="shared" ref="BY92" si="421">SUM(BY93:BY98)</f>
        <v>0</v>
      </c>
      <c r="BZ92" s="1697">
        <f t="shared" ref="BZ92" si="422">SUM(BZ93:BZ98)</f>
        <v>0</v>
      </c>
      <c r="CA92" s="1697">
        <f t="shared" ref="CA92" si="423">SUM(CA93:CA98)</f>
        <v>0</v>
      </c>
      <c r="CB92" s="1697">
        <f t="shared" ref="CB92" si="424">SUM(CB93:CB98)</f>
        <v>0</v>
      </c>
      <c r="CC92" s="1701">
        <f t="shared" si="339"/>
        <v>0</v>
      </c>
      <c r="CD92" s="304"/>
      <c r="CE92" s="304"/>
      <c r="CF92" s="304"/>
      <c r="CG92" s="304">
        <f t="shared" ref="CG92:CM92" si="425">SUM(CG93:CG99)</f>
        <v>0</v>
      </c>
      <c r="CH92" s="304">
        <f t="shared" si="425"/>
        <v>0</v>
      </c>
      <c r="CI92" s="304">
        <f t="shared" si="425"/>
        <v>0</v>
      </c>
      <c r="CJ92" s="304">
        <f t="shared" si="425"/>
        <v>0</v>
      </c>
      <c r="CK92" s="304">
        <f t="shared" si="425"/>
        <v>0</v>
      </c>
      <c r="CL92" s="304">
        <f t="shared" si="425"/>
        <v>0</v>
      </c>
      <c r="CM92" s="304">
        <f t="shared" si="425"/>
        <v>0</v>
      </c>
      <c r="CN92" s="750"/>
      <c r="CO92" s="472"/>
      <c r="CP92" s="1723">
        <f>SUM(CP93:CP98)</f>
        <v>0</v>
      </c>
      <c r="CQ92" s="1697">
        <f t="shared" ref="CQ92" si="426">SUM(CQ93:CQ98)</f>
        <v>0</v>
      </c>
      <c r="CR92" s="1697">
        <f t="shared" ref="CR92" si="427">SUM(CR93:CR98)</f>
        <v>0</v>
      </c>
      <c r="CS92" s="1697">
        <f t="shared" ref="CS92" si="428">SUM(CS93:CS98)</f>
        <v>0</v>
      </c>
      <c r="CT92" s="1697">
        <f t="shared" ref="CT92" si="429">SUM(CT93:CT98)</f>
        <v>0</v>
      </c>
      <c r="CU92" s="1697">
        <f t="shared" ref="CU92" si="430">SUM(CU93:CU98)</f>
        <v>0</v>
      </c>
      <c r="CV92" s="1697">
        <f t="shared" ref="CV92" si="431">SUM(CV93:CV98)</f>
        <v>0</v>
      </c>
      <c r="CW92" s="1701">
        <f t="shared" si="341"/>
        <v>0</v>
      </c>
      <c r="CX92" s="304"/>
      <c r="CY92" s="506"/>
      <c r="CZ92" s="506"/>
      <c r="DA92" s="506">
        <f>IF(YEAR('3 pr-2'!AK92)=2017,CX92,0)</f>
        <v>0</v>
      </c>
      <c r="DB92" s="506">
        <f>IF(YEAR('3 pr-2'!AK92)=2018,CX92,0)</f>
        <v>0</v>
      </c>
      <c r="DC92" s="506">
        <f>IF(YEAR('3 pr-2'!AK92)=2019,CX92,0)</f>
        <v>0</v>
      </c>
      <c r="DD92" s="506">
        <f>IF(YEAR('3 pr-2'!AK92)=2020,CX92,0)</f>
        <v>0</v>
      </c>
      <c r="DE92" s="506">
        <f>IF(YEAR('3 pr-2'!AK92)=2021,CX92,0)</f>
        <v>0</v>
      </c>
      <c r="DF92" s="506">
        <f>IF(YEAR('3 pr-2'!AK92)=2022,CX92,0)</f>
        <v>0</v>
      </c>
      <c r="DG92" s="506">
        <f>IF(YEAR('3 pr-2'!AK92)=2023,CX92,0)</f>
        <v>0</v>
      </c>
      <c r="DH92" s="750"/>
      <c r="DI92" s="472"/>
      <c r="DJ92" s="725"/>
      <c r="DK92" s="304"/>
      <c r="DL92" s="304"/>
      <c r="DM92" s="304"/>
      <c r="DN92" s="304"/>
      <c r="DO92" s="304"/>
      <c r="DP92" s="304"/>
      <c r="DQ92" s="736"/>
      <c r="DR92" s="304"/>
      <c r="DS92" s="506"/>
      <c r="DT92" s="506"/>
      <c r="DU92" s="506"/>
      <c r="DV92" s="506"/>
      <c r="DW92" s="506"/>
      <c r="DX92" s="506"/>
      <c r="DY92" s="506"/>
      <c r="DZ92" s="506"/>
      <c r="EA92" s="506"/>
      <c r="EB92" s="750"/>
      <c r="EC92" s="472"/>
      <c r="ED92" s="506"/>
      <c r="EE92" s="506"/>
      <c r="EF92" s="506"/>
      <c r="EG92" s="506">
        <f>IF(YEAR('3 pr-2'!BP92)=2017,ED92,0)</f>
        <v>0</v>
      </c>
      <c r="EH92" s="506">
        <f>IF(YEAR('3 pr-2'!BP92)=2018,ED92,0)</f>
        <v>0</v>
      </c>
      <c r="EI92" s="506">
        <f>IF(YEAR('3 pr-2'!BP92)=2019,ED92,0)</f>
        <v>0</v>
      </c>
      <c r="EJ92" s="506">
        <f>IF(YEAR('3 pr-2'!BP92)=2020,ED92,0)</f>
        <v>0</v>
      </c>
      <c r="EK92" s="506">
        <f>IF(YEAR('3 pr-2'!BP92)=2021,ED92,0)</f>
        <v>0</v>
      </c>
      <c r="EL92" s="506">
        <f>IF(YEAR('3 pr-2'!BP92)=2022,ED92,0)</f>
        <v>0</v>
      </c>
      <c r="EM92" s="506">
        <f>IF(YEAR('3 pr-2'!BP92)=2023,ED92,0)</f>
        <v>0</v>
      </c>
    </row>
    <row r="93" spans="1:143" ht="61.5" thickTop="1" thickBot="1">
      <c r="A93" s="130" t="str">
        <f>CONCATENATE('3 pr-2'!A93)</f>
        <v>1.1.2.4.1</v>
      </c>
      <c r="B93" s="130" t="str">
        <f>CONCATENATE('3 pr-2'!B93)</f>
        <v>R01-5511-120000-1241</v>
      </c>
      <c r="C93" s="1730" t="str">
        <f>CONCATENATE('ketv. 2'!B92)</f>
        <v>06.2.1-TID-R-511-11-0002</v>
      </c>
      <c r="D93" s="11" t="str">
        <f>CONCATENATE('3 pr-2'!D93)</f>
        <v>Varėnos miesto J. Basanavičiaus, Savanorių, M. K. Čiurlionio gatvių rekonstrukcija</v>
      </c>
      <c r="E93" s="11" t="str">
        <f>CONCATENATE('3 pr-2'!E93)</f>
        <v>Varėnos rajono savivaldybės administracija</v>
      </c>
      <c r="F93" s="11" t="str">
        <f>CONCATENATE('3 pr-2'!F93)</f>
        <v>Lietuvos Respublikos susisiekimo ministerija</v>
      </c>
      <c r="G93" s="11" t="str">
        <f>CONCATENATE('3 pr-2'!G93)</f>
        <v>Varėnos r. sav.</v>
      </c>
      <c r="H93" s="130" t="str">
        <f>CONCATENATE('3 pr-2'!H93)</f>
        <v>06.2.1-TID-R-511</v>
      </c>
      <c r="I93" s="130" t="str">
        <f>CONCATENATE('3 pr-2'!I93)</f>
        <v>R</v>
      </c>
      <c r="J93" s="130" t="str">
        <f>CONCATENATE('3 pr-2'!J93)</f>
        <v>ITI</v>
      </c>
      <c r="K93" s="130" t="str">
        <f>CONCATENATE('3 pr-2'!K93)</f>
        <v>-</v>
      </c>
      <c r="L93" s="130" t="s">
        <v>498</v>
      </c>
      <c r="M93" s="471" t="s">
        <v>499</v>
      </c>
      <c r="N93" s="1699"/>
      <c r="O93" s="1699"/>
      <c r="P93" s="1699"/>
      <c r="Q93" s="1699"/>
      <c r="R93" s="1699"/>
      <c r="S93" s="1699"/>
      <c r="T93" s="1699"/>
      <c r="U93" s="1700">
        <f t="shared" si="403"/>
        <v>0</v>
      </c>
      <c r="V93" s="130">
        <v>0.78</v>
      </c>
      <c r="W93" s="1757" t="str">
        <f>IF('ketv. 6 '!L92&gt;0,"0,78",0)</f>
        <v>0,78</v>
      </c>
      <c r="X93" s="1732">
        <f>SUM(W93-V93)</f>
        <v>0</v>
      </c>
      <c r="Y93" s="1732">
        <f>IF(YEAR('3 pr-2'!$AK93)=2017,$V93,0)</f>
        <v>0</v>
      </c>
      <c r="Z93" s="1732">
        <f>IF(YEAR('3 pr-2'!$AK93)=2018,$V93,0)</f>
        <v>0</v>
      </c>
      <c r="AA93" s="1732">
        <f>IF(YEAR('3 pr-2'!$AK93)=2019,$V93,0)</f>
        <v>0</v>
      </c>
      <c r="AB93" s="1732">
        <f>IF(YEAR('3 pr-2'!$AK93)=2020,$V93,0)</f>
        <v>0.78</v>
      </c>
      <c r="AC93" s="1732">
        <f>IF(YEAR('3 pr-2'!$AK93)=2021,$V93,0)</f>
        <v>0</v>
      </c>
      <c r="AD93" s="1732">
        <f>IF(YEAR('3 pr-2'!$AK93)=2022,$V93,0)</f>
        <v>0</v>
      </c>
      <c r="AE93" s="1732">
        <f>IF(YEAR('3 pr-2'!$AK93)=2023,$V93,0)</f>
        <v>0</v>
      </c>
      <c r="AF93" s="317" t="s">
        <v>500</v>
      </c>
      <c r="AG93" s="471" t="s">
        <v>501</v>
      </c>
      <c r="AH93" s="1699"/>
      <c r="AI93" s="1699"/>
      <c r="AJ93" s="1699"/>
      <c r="AK93" s="1699"/>
      <c r="AL93" s="1699"/>
      <c r="AM93" s="1699"/>
      <c r="AN93" s="1699"/>
      <c r="AO93" s="1718">
        <f t="shared" si="335"/>
        <v>0</v>
      </c>
      <c r="AP93" s="130">
        <v>3</v>
      </c>
      <c r="AQ93" s="1778">
        <v>3</v>
      </c>
      <c r="AR93" s="1732">
        <f>SUM(AQ93-AP93)</f>
        <v>0</v>
      </c>
      <c r="AS93" s="1732">
        <f>IF(YEAR('3 pr-2'!$AK93)=2017,$AP93,0)</f>
        <v>0</v>
      </c>
      <c r="AT93" s="1732">
        <f>IF(YEAR('3 pr-2'!$AK93)=2018,$AP93,0)</f>
        <v>0</v>
      </c>
      <c r="AU93" s="1732">
        <f>IF(YEAR('3 pr-2'!$AK93)=2019,$AP93,0)</f>
        <v>0</v>
      </c>
      <c r="AV93" s="1732">
        <f>IF(YEAR('3 pr-2'!$AK93)=2020,$AP93,0)</f>
        <v>3</v>
      </c>
      <c r="AW93" s="1732">
        <f>IF(YEAR('3 pr-2'!$AK93)=2021,$AP93,0)</f>
        <v>0</v>
      </c>
      <c r="AX93" s="1732">
        <f>IF(YEAR('3 pr-2'!$AK93)=2022,$AP93,0)</f>
        <v>0</v>
      </c>
      <c r="AY93" s="1732">
        <f>IF(YEAR('3 pr-2'!$AK93)=2023,$AP93,0)</f>
        <v>0</v>
      </c>
      <c r="AZ93" s="130"/>
      <c r="BA93" s="470"/>
      <c r="BB93" s="1699"/>
      <c r="BC93" s="1699"/>
      <c r="BD93" s="1699"/>
      <c r="BE93" s="1699"/>
      <c r="BF93" s="1699"/>
      <c r="BG93" s="1699"/>
      <c r="BH93" s="1699"/>
      <c r="BI93" s="1718">
        <f t="shared" si="337"/>
        <v>0</v>
      </c>
      <c r="BJ93" s="130"/>
      <c r="BK93" s="1501"/>
      <c r="BL93" s="130"/>
      <c r="BM93" s="130">
        <f>IF(YEAR('3 pr-2'!AK93)=2017,BJ93,0)</f>
        <v>0</v>
      </c>
      <c r="BN93" s="130">
        <f>IF(YEAR('3 pr-2'!AK93)=2018,BJ93,0)</f>
        <v>0</v>
      </c>
      <c r="BO93" s="130">
        <f>IF(YEAR('3 pr-2'!AK93)=2019,BJ93,0)</f>
        <v>0</v>
      </c>
      <c r="BP93" s="130">
        <f>IF(YEAR('3 pr-2'!AK93)=2020,BJ93,0)</f>
        <v>0</v>
      </c>
      <c r="BQ93" s="130">
        <f>IF(YEAR('3 pr-2'!AK93)=2021,BJ93,0)</f>
        <v>0</v>
      </c>
      <c r="BR93" s="130">
        <f>IF(YEAR('3 pr-2'!AK93)=2022,BJ93,0)</f>
        <v>0</v>
      </c>
      <c r="BS93" s="130">
        <f>IF(YEAR('3 pr-2'!AK93)=2023,BJ93,0)</f>
        <v>0</v>
      </c>
      <c r="BT93" s="317"/>
      <c r="BU93" s="471"/>
      <c r="BV93" s="1699"/>
      <c r="BW93" s="1699"/>
      <c r="BX93" s="1699"/>
      <c r="BY93" s="1699"/>
      <c r="BZ93" s="1699"/>
      <c r="CA93" s="1699"/>
      <c r="CB93" s="1699"/>
      <c r="CC93" s="1718">
        <f t="shared" si="339"/>
        <v>0</v>
      </c>
      <c r="CD93" s="130"/>
      <c r="CE93" s="130"/>
      <c r="CF93" s="130"/>
      <c r="CG93" s="130">
        <f>IF(YEAR('3 pr-2'!$AK93)=2017,$CD93,0)</f>
        <v>0</v>
      </c>
      <c r="CH93" s="130">
        <f>IF(YEAR('3 pr-2'!$AK93)=2018,$CD93,0)</f>
        <v>0</v>
      </c>
      <c r="CI93" s="130">
        <f>IF(YEAR('3 pr-2'!$AK93)=2019,$CD93,0)</f>
        <v>0</v>
      </c>
      <c r="CJ93" s="130">
        <f>IF(YEAR('3 pr-2'!$AK93)=2020,$CD93,0)</f>
        <v>0</v>
      </c>
      <c r="CK93" s="130">
        <f>IF(YEAR('3 pr-2'!$AK93)=2021,$CD93,0)</f>
        <v>0</v>
      </c>
      <c r="CL93" s="130">
        <f>IF(YEAR('3 pr-2'!$AK93)=2022,$CD93,0)</f>
        <v>0</v>
      </c>
      <c r="CM93" s="130">
        <f>IF(YEAR('3 pr-2'!$AK93)=2023,$CD93,0)</f>
        <v>0</v>
      </c>
      <c r="CN93" s="317"/>
      <c r="CO93" s="472"/>
      <c r="CP93" s="1704"/>
      <c r="CQ93" s="1699"/>
      <c r="CR93" s="1699"/>
      <c r="CS93" s="1699"/>
      <c r="CT93" s="1699"/>
      <c r="CU93" s="1699"/>
      <c r="CV93" s="1699"/>
      <c r="CW93" s="1718">
        <f t="shared" si="341"/>
        <v>0</v>
      </c>
      <c r="CX93" s="318"/>
      <c r="CY93" s="303"/>
      <c r="CZ93" s="303"/>
      <c r="DA93" s="506">
        <f>IF(YEAR('3 pr-2'!AK93)=2017,CX93,0)</f>
        <v>0</v>
      </c>
      <c r="DB93" s="506">
        <f>IF(YEAR('3 pr-2'!AK93)=2018,CX93,0)</f>
        <v>0</v>
      </c>
      <c r="DC93" s="506">
        <f>IF(YEAR('3 pr-2'!AK93)=2019,CX93,0)</f>
        <v>0</v>
      </c>
      <c r="DD93" s="506">
        <f>IF(YEAR('3 pr-2'!AK93)=2020,CX93,0)</f>
        <v>0</v>
      </c>
      <c r="DE93" s="506">
        <f>IF(YEAR('3 pr-2'!AK93)=2021,CX93,0)</f>
        <v>0</v>
      </c>
      <c r="DF93" s="506">
        <f>IF(YEAR('3 pr-2'!AK93)=2022,CX93,0)</f>
        <v>0</v>
      </c>
      <c r="DG93" s="506">
        <f>IF(YEAR('3 pr-2'!AK93)=2023,CX93,0)</f>
        <v>0</v>
      </c>
      <c r="DH93" s="317"/>
      <c r="DI93" s="472"/>
      <c r="DJ93" s="318"/>
      <c r="DK93" s="130"/>
      <c r="DL93" s="130"/>
      <c r="DM93" s="130"/>
      <c r="DN93" s="130"/>
      <c r="DO93" s="130"/>
      <c r="DP93" s="130"/>
      <c r="DQ93" s="756"/>
      <c r="DR93" s="318"/>
      <c r="DS93" s="303"/>
      <c r="DT93" s="303"/>
      <c r="DU93" s="506"/>
      <c r="DV93" s="506"/>
      <c r="DW93" s="506"/>
      <c r="DX93" s="506"/>
      <c r="DY93" s="506"/>
      <c r="DZ93" s="506"/>
      <c r="EA93" s="506"/>
      <c r="EB93" s="317"/>
      <c r="EC93" s="472"/>
      <c r="ED93" s="303"/>
      <c r="EE93" s="303"/>
      <c r="EF93" s="303"/>
      <c r="EG93" s="506">
        <f>IF(YEAR('3 pr-2'!BP93)=2017,ED93,0)</f>
        <v>0</v>
      </c>
      <c r="EH93" s="506">
        <f>IF(YEAR('3 pr-2'!BP93)=2018,ED93,0)</f>
        <v>0</v>
      </c>
      <c r="EI93" s="506">
        <f>IF(YEAR('3 pr-2'!BP93)=2019,ED93,0)</f>
        <v>0</v>
      </c>
      <c r="EJ93" s="506">
        <f>IF(YEAR('3 pr-2'!BP93)=2020,ED93,0)</f>
        <v>0</v>
      </c>
      <c r="EK93" s="506">
        <f>IF(YEAR('3 pr-2'!BP93)=2021,ED93,0)</f>
        <v>0</v>
      </c>
      <c r="EL93" s="506">
        <f>IF(YEAR('3 pr-2'!BP93)=2022,ED93,0)</f>
        <v>0</v>
      </c>
      <c r="EM93" s="506">
        <f>IF(YEAR('3 pr-2'!BP93)=2023,ED93,0)</f>
        <v>0</v>
      </c>
    </row>
    <row r="94" spans="1:143" ht="49.5" thickTop="1" thickBot="1">
      <c r="A94" s="130" t="str">
        <f>CONCATENATE('3 pr-2'!A94)</f>
        <v>1.1.2.4.2</v>
      </c>
      <c r="B94" s="130" t="str">
        <f>CONCATENATE('3 pr-2'!B94)</f>
        <v>R01-5511-110000-1242</v>
      </c>
      <c r="C94" s="1730" t="str">
        <f>CONCATENATE('ketv. 2'!B93)</f>
        <v>06.2.1-TID-R-511-11-0001</v>
      </c>
      <c r="D94" s="11" t="str">
        <f>CONCATENATE('3 pr-2'!D94)</f>
        <v>Perspektyvinės gatvės nuo Pramonės g. iki Naujosios g. Alytuje įrengimas</v>
      </c>
      <c r="E94" s="11" t="str">
        <f>CONCATENATE('3 pr-2'!E94)</f>
        <v>Alytaus miesto savivaldybės administracija</v>
      </c>
      <c r="F94" s="11" t="str">
        <f>CONCATENATE('3 pr-2'!F94)</f>
        <v>Lietuvos Respublikos susisiekimo ministerija</v>
      </c>
      <c r="G94" s="11" t="str">
        <f>CONCATENATE('3 pr-2'!G94)</f>
        <v>Alytaus m. sav.</v>
      </c>
      <c r="H94" s="130" t="str">
        <f>CONCATENATE('3 pr-2'!H94)</f>
        <v>06.2.1-TID-R-511</v>
      </c>
      <c r="I94" s="130" t="str">
        <f>CONCATENATE('3 pr-2'!I94)</f>
        <v>R</v>
      </c>
      <c r="J94" s="130" t="str">
        <f>CONCATENATE('3 pr-2'!J94)</f>
        <v>ITI</v>
      </c>
      <c r="K94" s="130" t="str">
        <f>CONCATENATE('3 pr-2'!K94)</f>
        <v>-</v>
      </c>
      <c r="L94" s="130"/>
      <c r="M94" s="471"/>
      <c r="N94" s="1699"/>
      <c r="O94" s="1699"/>
      <c r="P94" s="1699"/>
      <c r="Q94" s="1699"/>
      <c r="R94" s="1699"/>
      <c r="S94" s="1699"/>
      <c r="T94" s="1699"/>
      <c r="U94" s="1700">
        <f t="shared" si="403"/>
        <v>0</v>
      </c>
      <c r="V94" s="130"/>
      <c r="W94" s="1757"/>
      <c r="X94" s="1732"/>
      <c r="Y94" s="1732">
        <f>IF(YEAR('3 pr-2'!$AK94)=2017,$V94,0)</f>
        <v>0</v>
      </c>
      <c r="Z94" s="1732">
        <f>IF(YEAR('3 pr-2'!$AK94)=2018,$V94,0)</f>
        <v>0</v>
      </c>
      <c r="AA94" s="1732">
        <f>IF(YEAR('3 pr-2'!$AK94)=2019,$V94,0)</f>
        <v>0</v>
      </c>
      <c r="AB94" s="1732">
        <f>IF(YEAR('3 pr-2'!$AK94)=2020,$V94,0)</f>
        <v>0</v>
      </c>
      <c r="AC94" s="1732">
        <f>IF(YEAR('3 pr-2'!$AK94)=2021,$V94,0)</f>
        <v>0</v>
      </c>
      <c r="AD94" s="1732">
        <f>IF(YEAR('3 pr-2'!$AK94)=2022,$V94,0)</f>
        <v>0</v>
      </c>
      <c r="AE94" s="1732">
        <f>IF(YEAR('3 pr-2'!$AK94)=2023,$V94,0)</f>
        <v>0</v>
      </c>
      <c r="AF94" s="317"/>
      <c r="AG94" s="471"/>
      <c r="AH94" s="1699"/>
      <c r="AI94" s="1699"/>
      <c r="AJ94" s="1699"/>
      <c r="AK94" s="1699"/>
      <c r="AL94" s="1699"/>
      <c r="AM94" s="1699"/>
      <c r="AN94" s="1699"/>
      <c r="AO94" s="1718">
        <f t="shared" si="335"/>
        <v>0</v>
      </c>
      <c r="AP94" s="130"/>
      <c r="AQ94" s="1778"/>
      <c r="AR94" s="1732"/>
      <c r="AS94" s="1732">
        <f>IF(YEAR('3 pr-2'!$AK94)=2017,$AP94,0)</f>
        <v>0</v>
      </c>
      <c r="AT94" s="1732">
        <f>IF(YEAR('3 pr-2'!$AK94)=2018,$AP94,0)</f>
        <v>0</v>
      </c>
      <c r="AU94" s="1732">
        <f>IF(YEAR('3 pr-2'!$AK94)=2019,$AP94,0)</f>
        <v>0</v>
      </c>
      <c r="AV94" s="1732">
        <f>IF(YEAR('3 pr-2'!$AK94)=2020,$AP94,0)</f>
        <v>0</v>
      </c>
      <c r="AW94" s="1732">
        <f>IF(YEAR('3 pr-2'!$AK94)=2021,$AP94,0)</f>
        <v>0</v>
      </c>
      <c r="AX94" s="1732">
        <f>IF(YEAR('3 pr-2'!$AK94)=2022,$AP94,0)</f>
        <v>0</v>
      </c>
      <c r="AY94" s="1732">
        <f>IF(YEAR('3 pr-2'!$AK94)=2023,$AP94,0)</f>
        <v>0</v>
      </c>
      <c r="AZ94" s="130" t="s">
        <v>502</v>
      </c>
      <c r="BA94" s="470" t="s">
        <v>503</v>
      </c>
      <c r="BB94" s="1699"/>
      <c r="BC94" s="1699">
        <v>0.72</v>
      </c>
      <c r="BD94" s="1699"/>
      <c r="BE94" s="1699"/>
      <c r="BF94" s="1699"/>
      <c r="BG94" s="1699"/>
      <c r="BH94" s="1699"/>
      <c r="BI94" s="1718">
        <f t="shared" si="337"/>
        <v>0.72</v>
      </c>
      <c r="BJ94" s="130">
        <v>0.72</v>
      </c>
      <c r="BK94" s="1501">
        <v>0.72</v>
      </c>
      <c r="BL94" s="130">
        <f>SUM(BK94-BJ94)</f>
        <v>0</v>
      </c>
      <c r="BM94" s="130">
        <f>IF(YEAR('3 pr-2'!AK94)=2017,BJ94,0)</f>
        <v>0</v>
      </c>
      <c r="BN94" s="130">
        <f>IF(YEAR('3 pr-2'!AK94)=2018,BJ94,0)</f>
        <v>0.72</v>
      </c>
      <c r="BO94" s="130">
        <f>IF(YEAR('3 pr-2'!AK94)=2019,BJ94,0)</f>
        <v>0</v>
      </c>
      <c r="BP94" s="130">
        <f>IF(YEAR('3 pr-2'!AK94)=2020,BJ94,0)</f>
        <v>0</v>
      </c>
      <c r="BQ94" s="130">
        <f>IF(YEAR('3 pr-2'!AK94)=2021,BJ94,0)</f>
        <v>0</v>
      </c>
      <c r="BR94" s="130">
        <f>IF(YEAR('3 pr-2'!AK94)=2022,BJ94,0)</f>
        <v>0</v>
      </c>
      <c r="BS94" s="130">
        <f>IF(YEAR('3 pr-2'!AK94)=2023,BJ94,0)</f>
        <v>0</v>
      </c>
      <c r="BT94" s="317"/>
      <c r="BU94" s="471"/>
      <c r="BV94" s="1699"/>
      <c r="BW94" s="1699"/>
      <c r="BX94" s="1699"/>
      <c r="BY94" s="1699"/>
      <c r="BZ94" s="1699"/>
      <c r="CA94" s="1699"/>
      <c r="CB94" s="1699"/>
      <c r="CC94" s="1718">
        <f t="shared" si="339"/>
        <v>0</v>
      </c>
      <c r="CD94" s="130"/>
      <c r="CE94" s="130"/>
      <c r="CF94" s="130"/>
      <c r="CG94" s="130">
        <f>IF(YEAR('3 pr-2'!$AK94)=2017,$CD94,0)</f>
        <v>0</v>
      </c>
      <c r="CH94" s="130">
        <f>IF(YEAR('3 pr-2'!$AK94)=2018,$CD94,0)</f>
        <v>0</v>
      </c>
      <c r="CI94" s="130">
        <f>IF(YEAR('3 pr-2'!$AK94)=2019,$CD94,0)</f>
        <v>0</v>
      </c>
      <c r="CJ94" s="130">
        <f>IF(YEAR('3 pr-2'!$AK94)=2020,$CD94,0)</f>
        <v>0</v>
      </c>
      <c r="CK94" s="130">
        <f>IF(YEAR('3 pr-2'!$AK94)=2021,$CD94,0)</f>
        <v>0</v>
      </c>
      <c r="CL94" s="130">
        <f>IF(YEAR('3 pr-2'!$AK94)=2022,$CD94,0)</f>
        <v>0</v>
      </c>
      <c r="CM94" s="130">
        <f>IF(YEAR('3 pr-2'!$AK94)=2023,$CD94,0)</f>
        <v>0</v>
      </c>
      <c r="CN94" s="317"/>
      <c r="CO94" s="472"/>
      <c r="CP94" s="1704"/>
      <c r="CQ94" s="1699"/>
      <c r="CR94" s="1699"/>
      <c r="CS94" s="1699"/>
      <c r="CT94" s="1699"/>
      <c r="CU94" s="1699"/>
      <c r="CV94" s="1699"/>
      <c r="CW94" s="1718">
        <f t="shared" si="341"/>
        <v>0</v>
      </c>
      <c r="CX94" s="318"/>
      <c r="CY94" s="303"/>
      <c r="CZ94" s="303"/>
      <c r="DA94" s="506">
        <f>IF(YEAR('3 pr-2'!AK94)=2017,CX94,0)</f>
        <v>0</v>
      </c>
      <c r="DB94" s="506">
        <f>IF(YEAR('3 pr-2'!AK94)=2018,CX94,0)</f>
        <v>0</v>
      </c>
      <c r="DC94" s="506">
        <f>IF(YEAR('3 pr-2'!AK94)=2019,CX94,0)</f>
        <v>0</v>
      </c>
      <c r="DD94" s="506">
        <f>IF(YEAR('3 pr-2'!AK94)=2020,CX94,0)</f>
        <v>0</v>
      </c>
      <c r="DE94" s="506">
        <f>IF(YEAR('3 pr-2'!AK94)=2021,CX94,0)</f>
        <v>0</v>
      </c>
      <c r="DF94" s="506">
        <f>IF(YEAR('3 pr-2'!AK94)=2022,CX94,0)</f>
        <v>0</v>
      </c>
      <c r="DG94" s="506">
        <f>IF(YEAR('3 pr-2'!AK94)=2023,CX94,0)</f>
        <v>0</v>
      </c>
      <c r="DH94" s="317"/>
      <c r="DI94" s="472"/>
      <c r="DJ94" s="318"/>
      <c r="DK94" s="130"/>
      <c r="DL94" s="130"/>
      <c r="DM94" s="130"/>
      <c r="DN94" s="130"/>
      <c r="DO94" s="130"/>
      <c r="DP94" s="130"/>
      <c r="DQ94" s="756"/>
      <c r="DR94" s="318"/>
      <c r="DS94" s="303"/>
      <c r="DT94" s="303"/>
      <c r="DU94" s="506"/>
      <c r="DV94" s="506"/>
      <c r="DW94" s="506"/>
      <c r="DX94" s="506"/>
      <c r="DY94" s="506"/>
      <c r="DZ94" s="506"/>
      <c r="EA94" s="506"/>
      <c r="EB94" s="317"/>
      <c r="EC94" s="472"/>
      <c r="ED94" s="303"/>
      <c r="EE94" s="303"/>
      <c r="EF94" s="303"/>
      <c r="EG94" s="506">
        <f>IF(YEAR('3 pr-2'!BP94)=2017,ED94,0)</f>
        <v>0</v>
      </c>
      <c r="EH94" s="506">
        <f>IF(YEAR('3 pr-2'!BP94)=2018,ED94,0)</f>
        <v>0</v>
      </c>
      <c r="EI94" s="506">
        <f>IF(YEAR('3 pr-2'!BP94)=2019,ED94,0)</f>
        <v>0</v>
      </c>
      <c r="EJ94" s="506">
        <f>IF(YEAR('3 pr-2'!BP94)=2020,ED94,0)</f>
        <v>0</v>
      </c>
      <c r="EK94" s="506">
        <f>IF(YEAR('3 pr-2'!BP94)=2021,ED94,0)</f>
        <v>0</v>
      </c>
      <c r="EL94" s="506">
        <f>IF(YEAR('3 pr-2'!BP94)=2022,ED94,0)</f>
        <v>0</v>
      </c>
      <c r="EM94" s="506">
        <f>IF(YEAR('3 pr-2'!BP94)=2023,ED94,0)</f>
        <v>0</v>
      </c>
    </row>
    <row r="95" spans="1:143" ht="49.5" thickTop="1" thickBot="1">
      <c r="A95" s="130" t="str">
        <f>CONCATENATE('3 pr-2'!A95)</f>
        <v>1.1.2.4.3.</v>
      </c>
      <c r="B95" s="130" t="str">
        <f>CONCATENATE('3 pr-2'!B95)</f>
        <v>R01-5511-500000-1243</v>
      </c>
      <c r="C95" s="1730" t="str">
        <f>CONCATENATE('ketv. 2'!B94)</f>
        <v>06.2.1-TID-R-511-11-0008</v>
      </c>
      <c r="D95" s="11" t="str">
        <f>CONCATENATE('3 pr-2'!D95)</f>
        <v>Saugaus eismo priemonių diegimas Alytaus mieste</v>
      </c>
      <c r="E95" s="11" t="str">
        <f>CONCATENATE('3 pr-2'!E95)</f>
        <v>Alytaus miesto savivaldybės administracija</v>
      </c>
      <c r="F95" s="11" t="str">
        <f>CONCATENATE('3 pr-2'!F95)</f>
        <v>Lietuvos Respublikos susisiekimo ministerija</v>
      </c>
      <c r="G95" s="11" t="str">
        <f>CONCATENATE('3 pr-2'!G95)</f>
        <v>Alytaus m. sav.</v>
      </c>
      <c r="H95" s="130" t="str">
        <f>CONCATENATE('3 pr-2'!H95)</f>
        <v>06.2.1-TID-R-511</v>
      </c>
      <c r="I95" s="130" t="str">
        <f>CONCATENATE('3 pr-2'!I95)</f>
        <v>R</v>
      </c>
      <c r="J95" s="130" t="str">
        <f>CONCATENATE('3 pr-2'!J95)</f>
        <v>-</v>
      </c>
      <c r="K95" s="130" t="str">
        <f>CONCATENATE('3 pr-2'!K95)</f>
        <v>-</v>
      </c>
      <c r="L95" s="130"/>
      <c r="M95" s="471"/>
      <c r="N95" s="1699"/>
      <c r="O95" s="1699"/>
      <c r="P95" s="1699"/>
      <c r="Q95" s="1699"/>
      <c r="R95" s="1699"/>
      <c r="S95" s="1699"/>
      <c r="T95" s="1699"/>
      <c r="U95" s="1700">
        <f t="shared" si="403"/>
        <v>0</v>
      </c>
      <c r="V95" s="130"/>
      <c r="W95" s="1757">
        <v>0</v>
      </c>
      <c r="X95" s="1732"/>
      <c r="Y95" s="1732">
        <f>IF(YEAR('3 pr-2'!$AK95)=2017,$V95,0)</f>
        <v>0</v>
      </c>
      <c r="Z95" s="1732">
        <f>IF(YEAR('3 pr-2'!$AK95)=2018,$V95,0)</f>
        <v>0</v>
      </c>
      <c r="AA95" s="1732">
        <f>IF(YEAR('3 pr-2'!$AK95)=2019,$V95,0)</f>
        <v>0</v>
      </c>
      <c r="AB95" s="1732">
        <f>IF(YEAR('3 pr-2'!$AK95)=2020,$V95,0)</f>
        <v>0</v>
      </c>
      <c r="AC95" s="1732">
        <f>IF(YEAR('3 pr-2'!$AK95)=2021,$V95,0)</f>
        <v>0</v>
      </c>
      <c r="AD95" s="1732">
        <f>IF(YEAR('3 pr-2'!$AK95)=2022,$V95,0)</f>
        <v>0</v>
      </c>
      <c r="AE95" s="1732">
        <f>IF(YEAR('3 pr-2'!$AK95)=2023,$V95,0)</f>
        <v>0</v>
      </c>
      <c r="AF95" s="317" t="s">
        <v>500</v>
      </c>
      <c r="AG95" s="471" t="s">
        <v>501</v>
      </c>
      <c r="AH95" s="1699"/>
      <c r="AI95" s="1699"/>
      <c r="AJ95" s="1699"/>
      <c r="AK95" s="1699"/>
      <c r="AL95" s="1699"/>
      <c r="AM95" s="1699"/>
      <c r="AN95" s="1699"/>
      <c r="AO95" s="1718">
        <f t="shared" si="335"/>
        <v>0</v>
      </c>
      <c r="AP95" s="130">
        <v>1</v>
      </c>
      <c r="AQ95" s="1778">
        <v>1</v>
      </c>
      <c r="AR95" s="1732">
        <f>SUM(AQ95-AP95)</f>
        <v>0</v>
      </c>
      <c r="AS95" s="1732">
        <f>IF(YEAR('3 pr-2'!$AK95)=2017,$AP95,0)</f>
        <v>0</v>
      </c>
      <c r="AT95" s="1732">
        <f>IF(YEAR('3 pr-2'!$AK95)=2018,$AP95,0)</f>
        <v>0</v>
      </c>
      <c r="AU95" s="1732">
        <f>IF(YEAR('3 pr-2'!$AK95)=2019,$AP95,0)</f>
        <v>1</v>
      </c>
      <c r="AV95" s="1732">
        <f>IF(YEAR('3 pr-2'!$AK95)=2020,$AP95,0)</f>
        <v>0</v>
      </c>
      <c r="AW95" s="1732">
        <f>IF(YEAR('3 pr-2'!$AK95)=2021,$AP95,0)</f>
        <v>0</v>
      </c>
      <c r="AX95" s="1732">
        <f>IF(YEAR('3 pr-2'!$AK95)=2022,$AP95,0)</f>
        <v>0</v>
      </c>
      <c r="AY95" s="1732">
        <f>IF(YEAR('3 pr-2'!$AK95)=2023,$AP95,0)</f>
        <v>0</v>
      </c>
      <c r="AZ95" s="130"/>
      <c r="BA95" s="470"/>
      <c r="BB95" s="1699"/>
      <c r="BC95" s="1699"/>
      <c r="BD95" s="1699"/>
      <c r="BE95" s="1699"/>
      <c r="BF95" s="1699"/>
      <c r="BG95" s="1699"/>
      <c r="BH95" s="1699"/>
      <c r="BI95" s="1718">
        <f t="shared" si="337"/>
        <v>0</v>
      </c>
      <c r="BJ95" s="130"/>
      <c r="BK95" s="1501"/>
      <c r="BL95" s="130"/>
      <c r="BM95" s="130">
        <f>IF(YEAR('3 pr-2'!AK95)=2017,BJ95,0)</f>
        <v>0</v>
      </c>
      <c r="BN95" s="130">
        <f>IF(YEAR('3 pr-2'!AK95)=2018,BJ95,0)</f>
        <v>0</v>
      </c>
      <c r="BO95" s="130">
        <f>IF(YEAR('3 pr-2'!AK95)=2019,BJ95,0)</f>
        <v>0</v>
      </c>
      <c r="BP95" s="130">
        <f>IF(YEAR('3 pr-2'!AK95)=2020,BJ95,0)</f>
        <v>0</v>
      </c>
      <c r="BQ95" s="130">
        <f>IF(YEAR('3 pr-2'!AK95)=2021,BJ95,0)</f>
        <v>0</v>
      </c>
      <c r="BR95" s="130">
        <f>IF(YEAR('3 pr-2'!AK95)=2022,BJ95,0)</f>
        <v>0</v>
      </c>
      <c r="BS95" s="130">
        <f>IF(YEAR('3 pr-2'!AK95)=2023,BJ95,0)</f>
        <v>0</v>
      </c>
      <c r="BT95" s="317"/>
      <c r="BU95" s="471"/>
      <c r="BV95" s="1699"/>
      <c r="BW95" s="1699"/>
      <c r="BX95" s="1699"/>
      <c r="BY95" s="1699"/>
      <c r="BZ95" s="1699"/>
      <c r="CA95" s="1699"/>
      <c r="CB95" s="1699"/>
      <c r="CC95" s="1718">
        <f t="shared" si="339"/>
        <v>0</v>
      </c>
      <c r="CD95" s="130"/>
      <c r="CE95" s="130"/>
      <c r="CF95" s="130"/>
      <c r="CG95" s="130">
        <f>IF(YEAR('3 pr-2'!$AK95)=2017,$CD95,0)</f>
        <v>0</v>
      </c>
      <c r="CH95" s="130">
        <f>IF(YEAR('3 pr-2'!$AK95)=2018,$CD95,0)</f>
        <v>0</v>
      </c>
      <c r="CI95" s="130">
        <f>IF(YEAR('3 pr-2'!$AK95)=2019,$CD95,0)</f>
        <v>0</v>
      </c>
      <c r="CJ95" s="130">
        <f>IF(YEAR('3 pr-2'!$AK95)=2020,$CD95,0)</f>
        <v>0</v>
      </c>
      <c r="CK95" s="130">
        <f>IF(YEAR('3 pr-2'!$AK95)=2021,$CD95,0)</f>
        <v>0</v>
      </c>
      <c r="CL95" s="130">
        <f>IF(YEAR('3 pr-2'!$AK95)=2022,$CD95,0)</f>
        <v>0</v>
      </c>
      <c r="CM95" s="130">
        <f>IF(YEAR('3 pr-2'!$AK95)=2023,$CD95,0)</f>
        <v>0</v>
      </c>
      <c r="CN95" s="317"/>
      <c r="CO95" s="472"/>
      <c r="CP95" s="1704"/>
      <c r="CQ95" s="1699"/>
      <c r="CR95" s="1699"/>
      <c r="CS95" s="1699"/>
      <c r="CT95" s="1699"/>
      <c r="CU95" s="1699"/>
      <c r="CV95" s="1699"/>
      <c r="CW95" s="1718">
        <f t="shared" si="341"/>
        <v>0</v>
      </c>
      <c r="CX95" s="318"/>
      <c r="CY95" s="303"/>
      <c r="CZ95" s="303"/>
      <c r="DA95" s="506">
        <f>IF(YEAR('3 pr-2'!AK95)=2017,CX95,0)</f>
        <v>0</v>
      </c>
      <c r="DB95" s="506">
        <f>IF(YEAR('3 pr-2'!AK95)=2018,CX95,0)</f>
        <v>0</v>
      </c>
      <c r="DC95" s="506">
        <f>IF(YEAR('3 pr-2'!AK95)=2019,CX95,0)</f>
        <v>0</v>
      </c>
      <c r="DD95" s="506">
        <f>IF(YEAR('3 pr-2'!AK95)=2020,CX95,0)</f>
        <v>0</v>
      </c>
      <c r="DE95" s="506">
        <f>IF(YEAR('3 pr-2'!AK95)=2021,CX95,0)</f>
        <v>0</v>
      </c>
      <c r="DF95" s="506">
        <f>IF(YEAR('3 pr-2'!AK95)=2022,CX95,0)</f>
        <v>0</v>
      </c>
      <c r="DG95" s="506">
        <f>IF(YEAR('3 pr-2'!AK95)=2023,CX95,0)</f>
        <v>0</v>
      </c>
      <c r="DH95" s="317"/>
      <c r="DI95" s="472"/>
      <c r="DJ95" s="318"/>
      <c r="DK95" s="130"/>
      <c r="DL95" s="130"/>
      <c r="DM95" s="130"/>
      <c r="DN95" s="130"/>
      <c r="DO95" s="130"/>
      <c r="DP95" s="130"/>
      <c r="DQ95" s="756"/>
      <c r="DR95" s="318"/>
      <c r="DS95" s="303"/>
      <c r="DT95" s="303"/>
      <c r="DU95" s="506"/>
      <c r="DV95" s="506"/>
      <c r="DW95" s="506"/>
      <c r="DX95" s="506"/>
      <c r="DY95" s="506"/>
      <c r="DZ95" s="506"/>
      <c r="EA95" s="506"/>
      <c r="EB95" s="317"/>
      <c r="EC95" s="472"/>
      <c r="ED95" s="303"/>
      <c r="EE95" s="303"/>
      <c r="EF95" s="303"/>
      <c r="EG95" s="506">
        <f>IF(YEAR('3 pr-2'!BP95)=2017,ED95,0)</f>
        <v>0</v>
      </c>
      <c r="EH95" s="506">
        <f>IF(YEAR('3 pr-2'!BP95)=2018,ED95,0)</f>
        <v>0</v>
      </c>
      <c r="EI95" s="506">
        <f>IF(YEAR('3 pr-2'!BP95)=2019,ED95,0)</f>
        <v>0</v>
      </c>
      <c r="EJ95" s="506">
        <f>IF(YEAR('3 pr-2'!BP95)=2020,ED95,0)</f>
        <v>0</v>
      </c>
      <c r="EK95" s="506">
        <f>IF(YEAR('3 pr-2'!BP95)=2021,ED95,0)</f>
        <v>0</v>
      </c>
      <c r="EL95" s="506">
        <f>IF(YEAR('3 pr-2'!BP95)=2022,ED95,0)</f>
        <v>0</v>
      </c>
      <c r="EM95" s="506">
        <f>IF(YEAR('3 pr-2'!BP95)=2023,ED95,0)</f>
        <v>0</v>
      </c>
    </row>
    <row r="96" spans="1:143" ht="49.5" thickTop="1" thickBot="1">
      <c r="A96" s="130" t="str">
        <f>CONCATENATE('3 pr-2'!A96)</f>
        <v>1.1.2.4.4</v>
      </c>
      <c r="B96" s="130" t="str">
        <f>CONCATENATE('3 pr-2'!B96)</f>
        <v>R01-5511-500000-1244</v>
      </c>
      <c r="C96" s="1730" t="str">
        <f>CONCATENATE('ketv. 2'!B95)</f>
        <v>06.2.1-TID-R-511-11-0006</v>
      </c>
      <c r="D96" s="11" t="str">
        <f>CONCATENATE('3 pr-2'!D96)</f>
        <v>Eismo saugos priemonių diegimas Alytaus rajono savivaldybėje</v>
      </c>
      <c r="E96" s="11" t="str">
        <f>CONCATENATE('3 pr-2'!E96)</f>
        <v>Alytaus rajono savivaldybės administracija</v>
      </c>
      <c r="F96" s="11" t="str">
        <f>CONCATENATE('3 pr-2'!F96)</f>
        <v>Lietuvos Respublikos susisiekimo ministerija</v>
      </c>
      <c r="G96" s="11" t="str">
        <f>CONCATENATE('3 pr-2'!G96)</f>
        <v>Alytaus r. sav.</v>
      </c>
      <c r="H96" s="130" t="str">
        <f>CONCATENATE('3 pr-2'!H96)</f>
        <v>06.2.1-TID-R-511</v>
      </c>
      <c r="I96" s="130" t="str">
        <f>CONCATENATE('3 pr-2'!I96)</f>
        <v>R</v>
      </c>
      <c r="J96" s="130" t="str">
        <f>CONCATENATE('3 pr-2'!J96)</f>
        <v>-</v>
      </c>
      <c r="K96" s="130" t="str">
        <f>CONCATENATE('3 pr-2'!K96)</f>
        <v>-</v>
      </c>
      <c r="L96" s="130"/>
      <c r="M96" s="471"/>
      <c r="N96" s="1699"/>
      <c r="O96" s="1699"/>
      <c r="P96" s="1699"/>
      <c r="Q96" s="1699"/>
      <c r="R96" s="1699"/>
      <c r="S96" s="1699"/>
      <c r="T96" s="1699"/>
      <c r="U96" s="1700">
        <f t="shared" si="403"/>
        <v>0</v>
      </c>
      <c r="V96" s="130"/>
      <c r="W96" s="1757"/>
      <c r="X96" s="1732"/>
      <c r="Y96" s="1732">
        <f>IF(YEAR('3 pr-2'!$AK96)=2017,$V96,0)</f>
        <v>0</v>
      </c>
      <c r="Z96" s="1732">
        <f>IF(YEAR('3 pr-2'!$AK96)=2018,$V96,0)</f>
        <v>0</v>
      </c>
      <c r="AA96" s="1732">
        <f>IF(YEAR('3 pr-2'!$AK96)=2019,$V96,0)</f>
        <v>0</v>
      </c>
      <c r="AB96" s="1732">
        <f>IF(YEAR('3 pr-2'!$AK96)=2020,$V96,0)</f>
        <v>0</v>
      </c>
      <c r="AC96" s="1732">
        <f>IF(YEAR('3 pr-2'!$AK96)=2021,$V96,0)</f>
        <v>0</v>
      </c>
      <c r="AD96" s="1732">
        <f>IF(YEAR('3 pr-2'!$AK96)=2022,$V96,0)</f>
        <v>0</v>
      </c>
      <c r="AE96" s="1732">
        <f>IF(YEAR('3 pr-2'!$AK96)=2023,$V96,0)</f>
        <v>0</v>
      </c>
      <c r="AF96" s="317" t="s">
        <v>500</v>
      </c>
      <c r="AG96" s="471" t="s">
        <v>501</v>
      </c>
      <c r="AH96" s="1699"/>
      <c r="AI96" s="1699"/>
      <c r="AJ96" s="1699"/>
      <c r="AK96" s="1699"/>
      <c r="AL96" s="1699"/>
      <c r="AM96" s="1699"/>
      <c r="AN96" s="1699"/>
      <c r="AO96" s="1718">
        <f t="shared" si="335"/>
        <v>0</v>
      </c>
      <c r="AP96" s="130">
        <v>2</v>
      </c>
      <c r="AQ96" s="1778">
        <v>2</v>
      </c>
      <c r="AR96" s="1732">
        <f>SUM(AQ96-AP96)</f>
        <v>0</v>
      </c>
      <c r="AS96" s="1732">
        <f>IF(YEAR('3 pr-2'!$AK96)=2017,$AP96,0)</f>
        <v>0</v>
      </c>
      <c r="AT96" s="1732">
        <f>IF(YEAR('3 pr-2'!$AK96)=2018,$AP96,0)</f>
        <v>0</v>
      </c>
      <c r="AU96" s="1732">
        <f>IF(YEAR('3 pr-2'!$AK96)=2019,$AP96,0)</f>
        <v>2</v>
      </c>
      <c r="AV96" s="1732">
        <f>IF(YEAR('3 pr-2'!$AK96)=2020,$AP96,0)</f>
        <v>0</v>
      </c>
      <c r="AW96" s="1732">
        <f>IF(YEAR('3 pr-2'!$AK96)=2021,$AP96,0)</f>
        <v>0</v>
      </c>
      <c r="AX96" s="1732">
        <f>IF(YEAR('3 pr-2'!$AK96)=2022,$AP96,0)</f>
        <v>0</v>
      </c>
      <c r="AY96" s="1732">
        <f>IF(YEAR('3 pr-2'!$AK96)=2023,$AP96,0)</f>
        <v>0</v>
      </c>
      <c r="AZ96" s="130"/>
      <c r="BA96" s="470"/>
      <c r="BB96" s="1699"/>
      <c r="BC96" s="1699"/>
      <c r="BD96" s="1699"/>
      <c r="BE96" s="1699"/>
      <c r="BF96" s="1699"/>
      <c r="BG96" s="1699"/>
      <c r="BH96" s="1699"/>
      <c r="BI96" s="1718">
        <f t="shared" si="337"/>
        <v>0</v>
      </c>
      <c r="BJ96" s="130"/>
      <c r="BK96" s="1501"/>
      <c r="BL96" s="130"/>
      <c r="BM96" s="130">
        <f>IF(YEAR('3 pr-2'!AK96)=2017,BJ96,0)</f>
        <v>0</v>
      </c>
      <c r="BN96" s="130">
        <f>IF(YEAR('3 pr-2'!AK96)=2018,BJ96,0)</f>
        <v>0</v>
      </c>
      <c r="BO96" s="130">
        <f>IF(YEAR('3 pr-2'!AK96)=2019,BJ96,0)</f>
        <v>0</v>
      </c>
      <c r="BP96" s="130">
        <f>IF(YEAR('3 pr-2'!AK96)=2020,BJ96,0)</f>
        <v>0</v>
      </c>
      <c r="BQ96" s="130">
        <f>IF(YEAR('3 pr-2'!AK96)=2021,BJ96,0)</f>
        <v>0</v>
      </c>
      <c r="BR96" s="130">
        <f>IF(YEAR('3 pr-2'!AK96)=2022,BJ96,0)</f>
        <v>0</v>
      </c>
      <c r="BS96" s="130">
        <f>IF(YEAR('3 pr-2'!AK96)=2023,BJ96,0)</f>
        <v>0</v>
      </c>
      <c r="BT96" s="317"/>
      <c r="BU96" s="471"/>
      <c r="BV96" s="1699"/>
      <c r="BW96" s="1699"/>
      <c r="BX96" s="1699"/>
      <c r="BY96" s="1699"/>
      <c r="BZ96" s="1699"/>
      <c r="CA96" s="1699"/>
      <c r="CB96" s="1699"/>
      <c r="CC96" s="1718">
        <f t="shared" si="339"/>
        <v>0</v>
      </c>
      <c r="CD96" s="130"/>
      <c r="CE96" s="130"/>
      <c r="CF96" s="130"/>
      <c r="CG96" s="130">
        <f>IF(YEAR('3 pr-2'!$AK96)=2017,$CD96,0)</f>
        <v>0</v>
      </c>
      <c r="CH96" s="130">
        <f>IF(YEAR('3 pr-2'!$AK96)=2018,$CD96,0)</f>
        <v>0</v>
      </c>
      <c r="CI96" s="130">
        <f>IF(YEAR('3 pr-2'!$AK96)=2019,$CD96,0)</f>
        <v>0</v>
      </c>
      <c r="CJ96" s="130">
        <f>IF(YEAR('3 pr-2'!$AK96)=2020,$CD96,0)</f>
        <v>0</v>
      </c>
      <c r="CK96" s="130">
        <f>IF(YEAR('3 pr-2'!$AK96)=2021,$CD96,0)</f>
        <v>0</v>
      </c>
      <c r="CL96" s="130">
        <f>IF(YEAR('3 pr-2'!$AK96)=2022,$CD96,0)</f>
        <v>0</v>
      </c>
      <c r="CM96" s="130">
        <f>IF(YEAR('3 pr-2'!$AK96)=2023,$CD96,0)</f>
        <v>0</v>
      </c>
      <c r="CN96" s="317"/>
      <c r="CO96" s="472"/>
      <c r="CP96" s="1704"/>
      <c r="CQ96" s="1699"/>
      <c r="CR96" s="1699"/>
      <c r="CS96" s="1699"/>
      <c r="CT96" s="1699"/>
      <c r="CU96" s="1699"/>
      <c r="CV96" s="1699"/>
      <c r="CW96" s="1718">
        <f t="shared" si="341"/>
        <v>0</v>
      </c>
      <c r="CX96" s="318"/>
      <c r="CY96" s="303"/>
      <c r="CZ96" s="303"/>
      <c r="DA96" s="506">
        <f>IF(YEAR('3 pr-2'!AK96)=2017,CX96,0)</f>
        <v>0</v>
      </c>
      <c r="DB96" s="506">
        <f>IF(YEAR('3 pr-2'!AK96)=2018,CX96,0)</f>
        <v>0</v>
      </c>
      <c r="DC96" s="506">
        <f>IF(YEAR('3 pr-2'!AK96)=2019,CX96,0)</f>
        <v>0</v>
      </c>
      <c r="DD96" s="506">
        <f>IF(YEAR('3 pr-2'!AK96)=2020,CX96,0)</f>
        <v>0</v>
      </c>
      <c r="DE96" s="506">
        <f>IF(YEAR('3 pr-2'!AK96)=2021,CX96,0)</f>
        <v>0</v>
      </c>
      <c r="DF96" s="506">
        <f>IF(YEAR('3 pr-2'!AK96)=2022,CX96,0)</f>
        <v>0</v>
      </c>
      <c r="DG96" s="506">
        <f>IF(YEAR('3 pr-2'!AK96)=2023,CX96,0)</f>
        <v>0</v>
      </c>
      <c r="DH96" s="317"/>
      <c r="DI96" s="472"/>
      <c r="DJ96" s="318"/>
      <c r="DK96" s="130"/>
      <c r="DL96" s="130"/>
      <c r="DM96" s="130"/>
      <c r="DN96" s="130"/>
      <c r="DO96" s="130"/>
      <c r="DP96" s="130"/>
      <c r="DQ96" s="756"/>
      <c r="DR96" s="318"/>
      <c r="DS96" s="303"/>
      <c r="DT96" s="303"/>
      <c r="DU96" s="506"/>
      <c r="DV96" s="506"/>
      <c r="DW96" s="506"/>
      <c r="DX96" s="506"/>
      <c r="DY96" s="506"/>
      <c r="DZ96" s="506"/>
      <c r="EA96" s="506"/>
      <c r="EB96" s="317"/>
      <c r="EC96" s="472"/>
      <c r="ED96" s="303"/>
      <c r="EE96" s="303"/>
      <c r="EF96" s="303"/>
      <c r="EG96" s="506">
        <f>IF(YEAR('3 pr-2'!BP96)=2017,ED96,0)</f>
        <v>0</v>
      </c>
      <c r="EH96" s="506">
        <f>IF(YEAR('3 pr-2'!BP96)=2018,ED96,0)</f>
        <v>0</v>
      </c>
      <c r="EI96" s="506">
        <f>IF(YEAR('3 pr-2'!BP96)=2019,ED96,0)</f>
        <v>0</v>
      </c>
      <c r="EJ96" s="506">
        <f>IF(YEAR('3 pr-2'!BP96)=2020,ED96,0)</f>
        <v>0</v>
      </c>
      <c r="EK96" s="506">
        <f>IF(YEAR('3 pr-2'!BP96)=2021,ED96,0)</f>
        <v>0</v>
      </c>
      <c r="EL96" s="506">
        <f>IF(YEAR('3 pr-2'!BP96)=2022,ED96,0)</f>
        <v>0</v>
      </c>
      <c r="EM96" s="506">
        <f>IF(YEAR('3 pr-2'!BP96)=2023,ED96,0)</f>
        <v>0</v>
      </c>
    </row>
    <row r="97" spans="1:143" ht="49.5" thickTop="1" thickBot="1">
      <c r="A97" s="130" t="str">
        <f>CONCATENATE('3 pr-2'!A97)</f>
        <v>1.1.2.4.5</v>
      </c>
      <c r="B97" s="130" t="str">
        <f>CONCATENATE('3 pr-2'!B97)</f>
        <v>R01-5511-120900-1245</v>
      </c>
      <c r="C97" s="1730" t="str">
        <f>CONCATENATE('ketv. 2'!B96)</f>
        <v>06.2.1-TID-R-511-11-0007</v>
      </c>
      <c r="D97" s="11" t="str">
        <f>CONCATENATE('3 pr-2'!D97)</f>
        <v>M.K. Čiurlionio gatvės atkarpos Druskininkų m. rekonstrukcija</v>
      </c>
      <c r="E97" s="11" t="str">
        <f>CONCATENATE('3 pr-2'!E97)</f>
        <v xml:space="preserve">Druskininkų savivaldybės administracija  </v>
      </c>
      <c r="F97" s="11" t="str">
        <f>CONCATENATE('3 pr-2'!F97)</f>
        <v>Lietuvos Respublikos susisiekimo ministerija</v>
      </c>
      <c r="G97" s="11" t="str">
        <f>CONCATENATE('3 pr-2'!G97)</f>
        <v>Druskininkų sav.</v>
      </c>
      <c r="H97" s="130" t="str">
        <f>CONCATENATE('3 pr-2'!H97)</f>
        <v>06.2.1-TID-R-511</v>
      </c>
      <c r="I97" s="130" t="str">
        <f>CONCATENATE('3 pr-2'!I97)</f>
        <v>R</v>
      </c>
      <c r="J97" s="130" t="str">
        <f>CONCATENATE('3 pr-2'!J97)</f>
        <v>ITI</v>
      </c>
      <c r="K97" s="130" t="str">
        <f>CONCATENATE('3 pr-2'!K97)</f>
        <v>-</v>
      </c>
      <c r="L97" s="130" t="s">
        <v>498</v>
      </c>
      <c r="M97" s="471" t="s">
        <v>499</v>
      </c>
      <c r="N97" s="1699"/>
      <c r="O97" s="1699"/>
      <c r="P97" s="1699"/>
      <c r="Q97" s="1699"/>
      <c r="R97" s="1699"/>
      <c r="S97" s="1699"/>
      <c r="T97" s="1699"/>
      <c r="U97" s="1700">
        <f t="shared" si="403"/>
        <v>0</v>
      </c>
      <c r="V97" s="130">
        <v>0.4</v>
      </c>
      <c r="W97" s="1757" t="str">
        <f>IF('ketv. 6 '!L96&gt;0,"taip","nėra")</f>
        <v>taip</v>
      </c>
      <c r="X97" s="1732"/>
      <c r="Y97" s="1732">
        <f>IF(YEAR('3 pr-2'!$AK97)=2017,$V97,0)</f>
        <v>0</v>
      </c>
      <c r="Z97" s="1732">
        <f>IF(YEAR('3 pr-2'!$AK97)=2018,$V97,0)</f>
        <v>0</v>
      </c>
      <c r="AA97" s="1732">
        <f>IF(YEAR('3 pr-2'!$AK97)=2019,$V97,0)</f>
        <v>0.4</v>
      </c>
      <c r="AB97" s="1732">
        <f>IF(YEAR('3 pr-2'!$AK97)=2020,$V97,0)</f>
        <v>0</v>
      </c>
      <c r="AC97" s="1732">
        <f>IF(YEAR('3 pr-2'!$AK97)=2021,$V97,0)</f>
        <v>0</v>
      </c>
      <c r="AD97" s="1732">
        <f>IF(YEAR('3 pr-2'!$AK97)=2022,$V97,0)</f>
        <v>0</v>
      </c>
      <c r="AE97" s="1732">
        <f>IF(YEAR('3 pr-2'!$AK97)=2023,$V97,0)</f>
        <v>0</v>
      </c>
      <c r="AF97" s="317" t="s">
        <v>500</v>
      </c>
      <c r="AG97" s="471" t="s">
        <v>501</v>
      </c>
      <c r="AH97" s="1699"/>
      <c r="AI97" s="1699"/>
      <c r="AJ97" s="1699"/>
      <c r="AK97" s="1699"/>
      <c r="AL97" s="1699"/>
      <c r="AM97" s="1699"/>
      <c r="AN97" s="1699"/>
      <c r="AO97" s="1718">
        <f t="shared" si="335"/>
        <v>0</v>
      </c>
      <c r="AP97" s="130">
        <v>1</v>
      </c>
      <c r="AQ97" s="1778"/>
      <c r="AR97" s="1732"/>
      <c r="AS97" s="1732">
        <f>IF(YEAR('3 pr-2'!$AK97)=2017,$AP97,0)</f>
        <v>0</v>
      </c>
      <c r="AT97" s="1732">
        <f>IF(YEAR('3 pr-2'!$AK97)=2018,$AP97,0)</f>
        <v>0</v>
      </c>
      <c r="AU97" s="1732">
        <f>IF(YEAR('3 pr-2'!$AK97)=2019,$AP97,0)</f>
        <v>1</v>
      </c>
      <c r="AV97" s="1732">
        <f>IF(YEAR('3 pr-2'!$AK97)=2020,$AP97,0)</f>
        <v>0</v>
      </c>
      <c r="AW97" s="1732">
        <f>IF(YEAR('3 pr-2'!$AK97)=2021,$AP97,0)</f>
        <v>0</v>
      </c>
      <c r="AX97" s="1732">
        <f>IF(YEAR('3 pr-2'!$AK97)=2022,$AP97,0)</f>
        <v>0</v>
      </c>
      <c r="AY97" s="1732">
        <f>IF(YEAR('3 pr-2'!$AK97)=2023,$AP97,0)</f>
        <v>0</v>
      </c>
      <c r="AZ97" s="130"/>
      <c r="BA97" s="470"/>
      <c r="BB97" s="1699"/>
      <c r="BC97" s="1699"/>
      <c r="BD97" s="1699"/>
      <c r="BE97" s="1699"/>
      <c r="BF97" s="1699"/>
      <c r="BG97" s="1699"/>
      <c r="BH97" s="1699"/>
      <c r="BI97" s="1718">
        <f t="shared" si="337"/>
        <v>0</v>
      </c>
      <c r="BJ97" s="130"/>
      <c r="BK97" s="1501"/>
      <c r="BL97" s="130"/>
      <c r="BM97" s="130">
        <f>IF(YEAR('3 pr-2'!AK97)=2017,BJ97,0)</f>
        <v>0</v>
      </c>
      <c r="BN97" s="130">
        <f>IF(YEAR('3 pr-2'!AK97)=2018,BJ97,0)</f>
        <v>0</v>
      </c>
      <c r="BO97" s="130">
        <f>IF(YEAR('3 pr-2'!AK97)=2019,BJ97,0)</f>
        <v>0</v>
      </c>
      <c r="BP97" s="130">
        <f>IF(YEAR('3 pr-2'!AK97)=2020,BJ97,0)</f>
        <v>0</v>
      </c>
      <c r="BQ97" s="130">
        <f>IF(YEAR('3 pr-2'!AK97)=2021,BJ97,0)</f>
        <v>0</v>
      </c>
      <c r="BR97" s="130">
        <f>IF(YEAR('3 pr-2'!AK97)=2022,BJ97,0)</f>
        <v>0</v>
      </c>
      <c r="BS97" s="130">
        <f>IF(YEAR('3 pr-2'!AK97)=2023,BJ97,0)</f>
        <v>0</v>
      </c>
      <c r="BT97" s="317"/>
      <c r="BU97" s="471"/>
      <c r="BV97" s="1699"/>
      <c r="BW97" s="1699"/>
      <c r="BX97" s="1699"/>
      <c r="BY97" s="1699"/>
      <c r="BZ97" s="1699"/>
      <c r="CA97" s="1699"/>
      <c r="CB97" s="1699"/>
      <c r="CC97" s="1718">
        <f t="shared" si="339"/>
        <v>0</v>
      </c>
      <c r="CD97" s="130"/>
      <c r="CE97" s="130"/>
      <c r="CF97" s="130"/>
      <c r="CG97" s="130">
        <f>IF(YEAR('3 pr-2'!$AK97)=2017,$CD97,0)</f>
        <v>0</v>
      </c>
      <c r="CH97" s="130">
        <f>IF(YEAR('3 pr-2'!$AK97)=2018,$CD97,0)</f>
        <v>0</v>
      </c>
      <c r="CI97" s="130">
        <f>IF(YEAR('3 pr-2'!$AK97)=2019,$CD97,0)</f>
        <v>0</v>
      </c>
      <c r="CJ97" s="130">
        <f>IF(YEAR('3 pr-2'!$AK97)=2020,$CD97,0)</f>
        <v>0</v>
      </c>
      <c r="CK97" s="130">
        <f>IF(YEAR('3 pr-2'!$AK97)=2021,$CD97,0)</f>
        <v>0</v>
      </c>
      <c r="CL97" s="130">
        <f>IF(YEAR('3 pr-2'!$AK97)=2022,$CD97,0)</f>
        <v>0</v>
      </c>
      <c r="CM97" s="130">
        <f>IF(YEAR('3 pr-2'!$AK97)=2023,$CD97,0)</f>
        <v>0</v>
      </c>
      <c r="CN97" s="317"/>
      <c r="CO97" s="472"/>
      <c r="CP97" s="1704"/>
      <c r="CQ97" s="1699"/>
      <c r="CR97" s="1699"/>
      <c r="CS97" s="1699"/>
      <c r="CT97" s="1699"/>
      <c r="CU97" s="1699"/>
      <c r="CV97" s="1699"/>
      <c r="CW97" s="1718">
        <f t="shared" si="341"/>
        <v>0</v>
      </c>
      <c r="CX97" s="318"/>
      <c r="CY97" s="303"/>
      <c r="CZ97" s="303"/>
      <c r="DA97" s="506">
        <f>IF(YEAR('3 pr-2'!AK97)=2017,CX97,0)</f>
        <v>0</v>
      </c>
      <c r="DB97" s="506">
        <f>IF(YEAR('3 pr-2'!AK97)=2018,CX97,0)</f>
        <v>0</v>
      </c>
      <c r="DC97" s="506">
        <f>IF(YEAR('3 pr-2'!AK97)=2019,CX97,0)</f>
        <v>0</v>
      </c>
      <c r="DD97" s="506">
        <f>IF(YEAR('3 pr-2'!AK97)=2020,CX97,0)</f>
        <v>0</v>
      </c>
      <c r="DE97" s="506">
        <f>IF(YEAR('3 pr-2'!AK97)=2021,CX97,0)</f>
        <v>0</v>
      </c>
      <c r="DF97" s="506">
        <f>IF(YEAR('3 pr-2'!AK97)=2022,CX97,0)</f>
        <v>0</v>
      </c>
      <c r="DG97" s="506">
        <f>IF(YEAR('3 pr-2'!AK97)=2023,CX97,0)</f>
        <v>0</v>
      </c>
      <c r="DH97" s="317"/>
      <c r="DI97" s="472"/>
      <c r="DJ97" s="318"/>
      <c r="DK97" s="130"/>
      <c r="DL97" s="130"/>
      <c r="DM97" s="130"/>
      <c r="DN97" s="130"/>
      <c r="DO97" s="130"/>
      <c r="DP97" s="130"/>
      <c r="DQ97" s="756"/>
      <c r="DR97" s="318"/>
      <c r="DS97" s="303"/>
      <c r="DT97" s="303"/>
      <c r="DU97" s="506"/>
      <c r="DV97" s="506"/>
      <c r="DW97" s="506"/>
      <c r="DX97" s="506"/>
      <c r="DY97" s="506"/>
      <c r="DZ97" s="506"/>
      <c r="EA97" s="506"/>
      <c r="EB97" s="317"/>
      <c r="EC97" s="472"/>
      <c r="ED97" s="303"/>
      <c r="EE97" s="303"/>
      <c r="EF97" s="303"/>
      <c r="EG97" s="506">
        <f>IF(YEAR('3 pr-2'!BP97)=2017,ED97,0)</f>
        <v>0</v>
      </c>
      <c r="EH97" s="506">
        <f>IF(YEAR('3 pr-2'!BP97)=2018,ED97,0)</f>
        <v>0</v>
      </c>
      <c r="EI97" s="506">
        <f>IF(YEAR('3 pr-2'!BP97)=2019,ED97,0)</f>
        <v>0</v>
      </c>
      <c r="EJ97" s="506">
        <f>IF(YEAR('3 pr-2'!BP97)=2020,ED97,0)</f>
        <v>0</v>
      </c>
      <c r="EK97" s="506">
        <f>IF(YEAR('3 pr-2'!BP97)=2021,ED97,0)</f>
        <v>0</v>
      </c>
      <c r="EL97" s="506">
        <f>IF(YEAR('3 pr-2'!BP97)=2022,ED97,0)</f>
        <v>0</v>
      </c>
      <c r="EM97" s="506">
        <f>IF(YEAR('3 pr-2'!BP97)=2023,ED97,0)</f>
        <v>0</v>
      </c>
    </row>
    <row r="98" spans="1:143" ht="73.5" thickTop="1" thickBot="1">
      <c r="A98" s="130" t="str">
        <f>CONCATENATE('3 pr-2'!A98)</f>
        <v>1.1.2.4.6</v>
      </c>
      <c r="B98" s="130" t="str">
        <f>CONCATENATE('3 pr-2'!B98)</f>
        <v>R01-5511-120000-1246</v>
      </c>
      <c r="C98" s="1730" t="str">
        <f>CONCATENATE('ketv. 2'!B97)</f>
        <v>06.2.1-TID-R-511-11-0004</v>
      </c>
      <c r="D98" s="11" t="str">
        <f>CONCATENATE('3 pr-2'!D98)</f>
        <v>Lazdijų miesto Seinų ir Lazdijos gatvių bei vietinės reikšmės kelio nuo Janonio gatvės iki Lazdijų hipodromo rekonstravimas</v>
      </c>
      <c r="E98" s="11" t="str">
        <f>CONCATENATE('3 pr-2'!E98)</f>
        <v>Lazdijų rajono savivaldybės administracija</v>
      </c>
      <c r="F98" s="11" t="str">
        <f>CONCATENATE('3 pr-2'!F98)</f>
        <v>Lietuvos Respublikos susisiekimo ministerija</v>
      </c>
      <c r="G98" s="11" t="str">
        <f>CONCATENATE('3 pr-2'!G98)</f>
        <v>Lazdijų r. sav.</v>
      </c>
      <c r="H98" s="130" t="str">
        <f>CONCATENATE('3 pr-2'!H98)</f>
        <v>06.2.1-TID-R-511</v>
      </c>
      <c r="I98" s="130" t="str">
        <f>CONCATENATE('3 pr-2'!I98)</f>
        <v>R</v>
      </c>
      <c r="J98" s="130" t="str">
        <f>CONCATENATE('3 pr-2'!J98)</f>
        <v>ITI</v>
      </c>
      <c r="K98" s="130" t="str">
        <f>CONCATENATE('3 pr-2'!K98)</f>
        <v>-</v>
      </c>
      <c r="L98" s="130" t="s">
        <v>498</v>
      </c>
      <c r="M98" s="471" t="s">
        <v>499</v>
      </c>
      <c r="N98" s="1699"/>
      <c r="O98" s="1699"/>
      <c r="P98" s="1699"/>
      <c r="Q98" s="1699"/>
      <c r="R98" s="1699"/>
      <c r="S98" s="1699"/>
      <c r="T98" s="1699"/>
      <c r="U98" s="1700">
        <f t="shared" si="403"/>
        <v>0</v>
      </c>
      <c r="V98" s="130">
        <v>2.19</v>
      </c>
      <c r="W98" s="1757">
        <v>2.19</v>
      </c>
      <c r="X98" s="1732">
        <f>SUM(W98-V98)</f>
        <v>0</v>
      </c>
      <c r="Y98" s="1732">
        <f>IF(YEAR('3 pr-2'!$AK98)=2017,$V98,0)</f>
        <v>0</v>
      </c>
      <c r="Z98" s="1732">
        <f>IF(YEAR('3 pr-2'!$AK98)=2018,$V98,0)</f>
        <v>0</v>
      </c>
      <c r="AA98" s="1732">
        <f>IF(YEAR('3 pr-2'!$AK98)=2019,$V98,0)</f>
        <v>2.19</v>
      </c>
      <c r="AB98" s="1732">
        <f>IF(YEAR('3 pr-2'!$AK98)=2020,$V98,0)</f>
        <v>0</v>
      </c>
      <c r="AC98" s="1732">
        <f>IF(YEAR('3 pr-2'!$AK98)=2021,$V98,0)</f>
        <v>0</v>
      </c>
      <c r="AD98" s="1732">
        <f>IF(YEAR('3 pr-2'!$AK98)=2022,$V98,0)</f>
        <v>0</v>
      </c>
      <c r="AE98" s="1732">
        <f>IF(YEAR('3 pr-2'!$AK98)=2023,$V98,0)</f>
        <v>0</v>
      </c>
      <c r="AF98" s="317" t="s">
        <v>500</v>
      </c>
      <c r="AG98" s="672" t="s">
        <v>501</v>
      </c>
      <c r="AH98" s="1699"/>
      <c r="AI98" s="1699"/>
      <c r="AJ98" s="1699"/>
      <c r="AK98" s="1699"/>
      <c r="AL98" s="1699"/>
      <c r="AM98" s="1699"/>
      <c r="AN98" s="1699"/>
      <c r="AO98" s="1718">
        <f t="shared" si="335"/>
        <v>0</v>
      </c>
      <c r="AP98" s="130">
        <v>5</v>
      </c>
      <c r="AQ98" s="1778">
        <v>5</v>
      </c>
      <c r="AR98" s="1732">
        <f>SUM(AQ98-AP98)</f>
        <v>0</v>
      </c>
      <c r="AS98" s="1732">
        <f>IF(YEAR('3 pr-2'!$AK98)=2017,$AP98,0)</f>
        <v>0</v>
      </c>
      <c r="AT98" s="1732">
        <f>IF(YEAR('3 pr-2'!$AK98)=2018,$AP98,0)</f>
        <v>0</v>
      </c>
      <c r="AU98" s="1732">
        <f>IF(YEAR('3 pr-2'!$AK98)=2019,$AP98,0)</f>
        <v>5</v>
      </c>
      <c r="AV98" s="1732">
        <f>IF(YEAR('3 pr-2'!$AK98)=2020,$AP98,0)</f>
        <v>0</v>
      </c>
      <c r="AW98" s="1732">
        <f>IF(YEAR('3 pr-2'!$AK98)=2021,$AP98,0)</f>
        <v>0</v>
      </c>
      <c r="AX98" s="1732">
        <f>IF(YEAR('3 pr-2'!$AK98)=2022,$AP98,0)</f>
        <v>0</v>
      </c>
      <c r="AY98" s="1732">
        <f>IF(YEAR('3 pr-2'!$AK98)=2023,$AP98,0)</f>
        <v>0</v>
      </c>
      <c r="AZ98" s="130"/>
      <c r="BA98" s="470"/>
      <c r="BB98" s="1699"/>
      <c r="BC98" s="1699"/>
      <c r="BD98" s="1699"/>
      <c r="BE98" s="1699"/>
      <c r="BF98" s="1699"/>
      <c r="BG98" s="1699"/>
      <c r="BH98" s="1699"/>
      <c r="BI98" s="1718">
        <f t="shared" si="337"/>
        <v>0</v>
      </c>
      <c r="BJ98" s="130"/>
      <c r="BK98" s="1501"/>
      <c r="BL98" s="130"/>
      <c r="BM98" s="130">
        <f>IF(YEAR('3 pr-2'!AK98)=2017,BJ98,0)</f>
        <v>0</v>
      </c>
      <c r="BN98" s="130">
        <f>IF(YEAR('3 pr-2'!AK98)=2018,BJ98,0)</f>
        <v>0</v>
      </c>
      <c r="BO98" s="130">
        <f>IF(YEAR('3 pr-2'!AK98)=2019,BJ98,0)</f>
        <v>0</v>
      </c>
      <c r="BP98" s="130">
        <f>IF(YEAR('3 pr-2'!AK98)=2020,BJ98,0)</f>
        <v>0</v>
      </c>
      <c r="BQ98" s="130">
        <f>IF(YEAR('3 pr-2'!AK98)=2021,BJ98,0)</f>
        <v>0</v>
      </c>
      <c r="BR98" s="130">
        <f>IF(YEAR('3 pr-2'!AK98)=2022,BJ98,0)</f>
        <v>0</v>
      </c>
      <c r="BS98" s="130">
        <f>IF(YEAR('3 pr-2'!AK98)=2023,BJ98,0)</f>
        <v>0</v>
      </c>
      <c r="BT98" s="317"/>
      <c r="BU98" s="471"/>
      <c r="BV98" s="1699"/>
      <c r="BW98" s="1699"/>
      <c r="BX98" s="1699"/>
      <c r="BY98" s="1699"/>
      <c r="BZ98" s="1699"/>
      <c r="CA98" s="1699"/>
      <c r="CB98" s="1699"/>
      <c r="CC98" s="1718">
        <f t="shared" si="339"/>
        <v>0</v>
      </c>
      <c r="CD98" s="130"/>
      <c r="CE98" s="130"/>
      <c r="CF98" s="130"/>
      <c r="CG98" s="130">
        <f>IF(YEAR('3 pr-2'!$AK98)=2017,$CD98,0)</f>
        <v>0</v>
      </c>
      <c r="CH98" s="130">
        <f>IF(YEAR('3 pr-2'!$AK98)=2018,$CD98,0)</f>
        <v>0</v>
      </c>
      <c r="CI98" s="130">
        <f>IF(YEAR('3 pr-2'!$AK98)=2019,$CD98,0)</f>
        <v>0</v>
      </c>
      <c r="CJ98" s="130">
        <f>IF(YEAR('3 pr-2'!$AK98)=2020,$CD98,0)</f>
        <v>0</v>
      </c>
      <c r="CK98" s="130">
        <f>IF(YEAR('3 pr-2'!$AK98)=2021,$CD98,0)</f>
        <v>0</v>
      </c>
      <c r="CL98" s="130">
        <f>IF(YEAR('3 pr-2'!$AK98)=2022,$CD98,0)</f>
        <v>0</v>
      </c>
      <c r="CM98" s="130">
        <f>IF(YEAR('3 pr-2'!$AK98)=2023,$CD98,0)</f>
        <v>0</v>
      </c>
      <c r="CN98" s="317"/>
      <c r="CO98" s="472"/>
      <c r="CP98" s="1704"/>
      <c r="CQ98" s="1699"/>
      <c r="CR98" s="1699"/>
      <c r="CS98" s="1699"/>
      <c r="CT98" s="1699"/>
      <c r="CU98" s="1699"/>
      <c r="CV98" s="1699"/>
      <c r="CW98" s="1718">
        <f t="shared" si="341"/>
        <v>0</v>
      </c>
      <c r="CX98" s="318"/>
      <c r="CY98" s="303"/>
      <c r="CZ98" s="303"/>
      <c r="DA98" s="506">
        <f>IF(YEAR('3 pr-2'!AK98)=2017,CX98,0)</f>
        <v>0</v>
      </c>
      <c r="DB98" s="506">
        <f>IF(YEAR('3 pr-2'!AK98)=2018,CX98,0)</f>
        <v>0</v>
      </c>
      <c r="DC98" s="506">
        <f>IF(YEAR('3 pr-2'!AK98)=2019,CX98,0)</f>
        <v>0</v>
      </c>
      <c r="DD98" s="506">
        <f>IF(YEAR('3 pr-2'!AK98)=2020,CX98,0)</f>
        <v>0</v>
      </c>
      <c r="DE98" s="506">
        <f>IF(YEAR('3 pr-2'!AK98)=2021,CX98,0)</f>
        <v>0</v>
      </c>
      <c r="DF98" s="506">
        <f>IF(YEAR('3 pr-2'!AK98)=2022,CX98,0)</f>
        <v>0</v>
      </c>
      <c r="DG98" s="506">
        <f>IF(YEAR('3 pr-2'!AK98)=2023,CX98,0)</f>
        <v>0</v>
      </c>
      <c r="DH98" s="317"/>
      <c r="DI98" s="472"/>
      <c r="DJ98" s="318"/>
      <c r="DK98" s="130"/>
      <c r="DL98" s="130"/>
      <c r="DM98" s="130"/>
      <c r="DN98" s="130"/>
      <c r="DO98" s="130"/>
      <c r="DP98" s="130"/>
      <c r="DQ98" s="756"/>
      <c r="DR98" s="318"/>
      <c r="DS98" s="303"/>
      <c r="DT98" s="303"/>
      <c r="DU98" s="506"/>
      <c r="DV98" s="506"/>
      <c r="DW98" s="506"/>
      <c r="DX98" s="506"/>
      <c r="DY98" s="506"/>
      <c r="DZ98" s="506"/>
      <c r="EA98" s="506"/>
      <c r="EB98" s="317"/>
      <c r="EC98" s="472"/>
      <c r="ED98" s="303"/>
      <c r="EE98" s="303"/>
      <c r="EF98" s="303"/>
      <c r="EG98" s="506">
        <f>IF(YEAR('3 pr-2'!BP98)=2017,ED98,0)</f>
        <v>0</v>
      </c>
      <c r="EH98" s="506">
        <f>IF(YEAR('3 pr-2'!BP98)=2018,ED98,0)</f>
        <v>0</v>
      </c>
      <c r="EI98" s="506">
        <f>IF(YEAR('3 pr-2'!BP98)=2019,ED98,0)</f>
        <v>0</v>
      </c>
      <c r="EJ98" s="506">
        <f>IF(YEAR('3 pr-2'!BP98)=2020,ED98,0)</f>
        <v>0</v>
      </c>
      <c r="EK98" s="506">
        <f>IF(YEAR('3 pr-2'!BP98)=2021,ED98,0)</f>
        <v>0</v>
      </c>
      <c r="EL98" s="506">
        <f>IF(YEAR('3 pr-2'!BP98)=2022,ED98,0)</f>
        <v>0</v>
      </c>
      <c r="EM98" s="506">
        <f>IF(YEAR('3 pr-2'!BP98)=2023,ED98,0)</f>
        <v>0</v>
      </c>
    </row>
    <row r="99" spans="1:143" ht="49.5" thickTop="1" thickBot="1">
      <c r="A99" s="130" t="str">
        <f>CONCATENATE('3 pr-2'!A99)</f>
        <v>1.1.2.4.7</v>
      </c>
      <c r="B99" s="130" t="str">
        <f>CONCATENATE('3 pr-2'!B99)</f>
        <v>R01-5511-120000-1247</v>
      </c>
      <c r="C99" s="1730" t="str">
        <f>CONCATENATE('ketv. 2'!B98)</f>
        <v>06.2.1-TID-R-511-11-0009</v>
      </c>
      <c r="D99" s="11" t="str">
        <f>CONCATENATE('3 pr-2'!D99)</f>
        <v>Eismo saugumo priemonių diegimas Druskininkų savivaldybėje</v>
      </c>
      <c r="E99" s="11" t="str">
        <f>CONCATENATE('3 pr-2'!E99)</f>
        <v xml:space="preserve">Druskininkų savivaldybės administracija  </v>
      </c>
      <c r="F99" s="11" t="str">
        <f>CONCATENATE('3 pr-2'!F99)</f>
        <v>Lietuvos Respublikos susisiekimo ministerija</v>
      </c>
      <c r="G99" s="11" t="str">
        <f>CONCATENATE('3 pr-2'!G99)</f>
        <v>Druskininkų sav.</v>
      </c>
      <c r="H99" s="130" t="str">
        <f>CONCATENATE('3 pr-2'!H99)</f>
        <v>06.2.1-TID-R-511</v>
      </c>
      <c r="I99" s="130" t="str">
        <f>CONCATENATE('3 pr-2'!I99)</f>
        <v>R</v>
      </c>
      <c r="J99" s="130" t="str">
        <f>CONCATENATE('3 pr-2'!J99)</f>
        <v>-</v>
      </c>
      <c r="K99" s="130" t="str">
        <f>CONCATENATE('3 pr-2'!K99)</f>
        <v>-</v>
      </c>
      <c r="L99" s="318"/>
      <c r="M99" s="470"/>
      <c r="N99" s="1704"/>
      <c r="O99" s="1704"/>
      <c r="P99" s="1704"/>
      <c r="Q99" s="1704"/>
      <c r="R99" s="1704"/>
      <c r="S99" s="1704"/>
      <c r="T99" s="1704"/>
      <c r="U99" s="1705"/>
      <c r="V99" s="130"/>
      <c r="W99" s="1757" t="str">
        <f>IF('ketv. 6 '!L98&gt;0,"taip","nėra")</f>
        <v>taip</v>
      </c>
      <c r="X99" s="1732"/>
      <c r="Y99" s="1732">
        <f>IF(YEAR('3 pr-2'!$AK99)=2017,$V99,0)</f>
        <v>0</v>
      </c>
      <c r="Z99" s="1732">
        <f>IF(YEAR('3 pr-2'!$AK99)=2018,$V99,0)</f>
        <v>0</v>
      </c>
      <c r="AA99" s="1732">
        <f>IF(YEAR('3 pr-2'!$AK99)=2019,$V99,0)</f>
        <v>0</v>
      </c>
      <c r="AB99" s="1732">
        <f>IF(YEAR('3 pr-2'!$AK99)=2020,$V99,0)</f>
        <v>0</v>
      </c>
      <c r="AC99" s="1732">
        <f>IF(YEAR('3 pr-2'!$AK99)=2021,$V99,0)</f>
        <v>0</v>
      </c>
      <c r="AD99" s="1732">
        <f>IF(YEAR('3 pr-2'!$AK99)=2022,$V99,0)</f>
        <v>0</v>
      </c>
      <c r="AE99" s="1732">
        <f>IF(YEAR('3 pr-2'!$AK99)=2023,$V99,0)</f>
        <v>0</v>
      </c>
      <c r="AF99" s="317" t="s">
        <v>500</v>
      </c>
      <c r="AG99" s="471" t="s">
        <v>501</v>
      </c>
      <c r="AH99" s="1699"/>
      <c r="AI99" s="1699"/>
      <c r="AJ99" s="1699"/>
      <c r="AK99" s="1699"/>
      <c r="AL99" s="1699"/>
      <c r="AM99" s="1699"/>
      <c r="AN99" s="1699"/>
      <c r="AO99" s="1718"/>
      <c r="AP99" s="130">
        <v>1</v>
      </c>
      <c r="AQ99" s="1732"/>
      <c r="AR99" s="1782"/>
      <c r="AS99" s="1732">
        <f>IF(YEAR('3 pr-2'!$AK99)=2017,$AP99,0)</f>
        <v>0</v>
      </c>
      <c r="AT99" s="1732">
        <f>IF(YEAR('3 pr-2'!$AK99)=2018,$AP99,0)</f>
        <v>0</v>
      </c>
      <c r="AU99" s="1732">
        <f>IF(YEAR('3 pr-2'!$AK99)=2019,$AP99,0)</f>
        <v>1</v>
      </c>
      <c r="AV99" s="1732">
        <f>IF(YEAR('3 pr-2'!$AK99)=2020,$AP99,0)</f>
        <v>0</v>
      </c>
      <c r="AW99" s="1732">
        <f>IF(YEAR('3 pr-2'!$AK99)=2021,$AP99,0)</f>
        <v>0</v>
      </c>
      <c r="AX99" s="1732">
        <f>IF(YEAR('3 pr-2'!$AK99)=2022,$AP99,0)</f>
        <v>0</v>
      </c>
      <c r="AY99" s="1732">
        <f>IF(YEAR('3 pr-2'!$AK99)=2023,$AP99,0)</f>
        <v>0</v>
      </c>
      <c r="AZ99" s="318"/>
      <c r="BA99" s="472"/>
      <c r="BB99" s="1704"/>
      <c r="BC99" s="1704"/>
      <c r="BD99" s="1704"/>
      <c r="BE99" s="1704"/>
      <c r="BF99" s="1704"/>
      <c r="BG99" s="1704"/>
      <c r="BH99" s="1704"/>
      <c r="BI99" s="1720"/>
      <c r="BJ99" s="318"/>
      <c r="BK99" s="130"/>
      <c r="BL99" s="318"/>
      <c r="BM99" s="130">
        <f>IF(YEAR('3 pr-2'!AK99)=2017,BJ99,0)</f>
        <v>0</v>
      </c>
      <c r="BN99" s="130">
        <f>IF(YEAR('3 pr-2'!AK99)=2018,BJ99,0)</f>
        <v>0</v>
      </c>
      <c r="BO99" s="130">
        <f>IF(YEAR('3 pr-2'!AK99)=2019,BJ99,0)</f>
        <v>0</v>
      </c>
      <c r="BP99" s="130">
        <f>IF(YEAR('3 pr-2'!AK99)=2020,BJ99,0)</f>
        <v>0</v>
      </c>
      <c r="BQ99" s="130">
        <f>IF(YEAR('3 pr-2'!AK99)=2021,BJ99,0)</f>
        <v>0</v>
      </c>
      <c r="BR99" s="130">
        <f>IF(YEAR('3 pr-2'!AK99)=2022,BJ99,0)</f>
        <v>0</v>
      </c>
      <c r="BS99" s="130">
        <f>IF(YEAR('3 pr-2'!AK99)=2023,BJ99,0)</f>
        <v>0</v>
      </c>
      <c r="BT99" s="130"/>
      <c r="BU99" s="472"/>
      <c r="BV99" s="1704"/>
      <c r="BW99" s="1704"/>
      <c r="BX99" s="1704"/>
      <c r="BY99" s="1704"/>
      <c r="BZ99" s="1704"/>
      <c r="CA99" s="1704"/>
      <c r="CB99" s="1704"/>
      <c r="CC99" s="1720"/>
      <c r="CD99" s="318"/>
      <c r="CE99" s="318"/>
      <c r="CF99" s="318"/>
      <c r="CG99" s="130">
        <f>IF(YEAR('3 pr-2'!$AK99)=2017,$CD99,0)</f>
        <v>0</v>
      </c>
      <c r="CH99" s="130">
        <f>IF(YEAR('3 pr-2'!$AK99)=2018,$CD99,0)</f>
        <v>0</v>
      </c>
      <c r="CI99" s="130">
        <f>IF(YEAR('3 pr-2'!$AK99)=2019,$CD99,0)</f>
        <v>0</v>
      </c>
      <c r="CJ99" s="130">
        <f>IF(YEAR('3 pr-2'!$AK99)=2020,$CD99,0)</f>
        <v>0</v>
      </c>
      <c r="CK99" s="130">
        <f>IF(YEAR('3 pr-2'!$AK99)=2021,$CD99,0)</f>
        <v>0</v>
      </c>
      <c r="CL99" s="130">
        <f>IF(YEAR('3 pr-2'!$AK99)=2022,$CD99,0)</f>
        <v>0</v>
      </c>
      <c r="CM99" s="130">
        <f>IF(YEAR('3 pr-2'!$AK99)=2023,$CD99,0)</f>
        <v>0</v>
      </c>
      <c r="CN99" s="130"/>
      <c r="CO99" s="656"/>
      <c r="CP99" s="1704"/>
      <c r="CQ99" s="1704"/>
      <c r="CR99" s="1704"/>
      <c r="CS99" s="1704"/>
      <c r="CT99" s="1704"/>
      <c r="CU99" s="1704"/>
      <c r="CV99" s="1704"/>
      <c r="CW99" s="1720"/>
      <c r="CX99" s="318"/>
      <c r="CY99" s="301"/>
      <c r="CZ99" s="1679"/>
      <c r="DA99" s="506">
        <f>IF(YEAR('3 pr-2'!AK99)=2017,CX99,0)</f>
        <v>0</v>
      </c>
      <c r="DB99" s="506">
        <f>IF(YEAR('3 pr-2'!AK99)=2018,CX99,0)</f>
        <v>0</v>
      </c>
      <c r="DC99" s="506">
        <f>IF(YEAR('3 pr-2'!AK99)=2019,CX99,0)</f>
        <v>0</v>
      </c>
      <c r="DD99" s="506">
        <f>IF(YEAR('3 pr-2'!AK99)=2020,CX99,0)</f>
        <v>0</v>
      </c>
      <c r="DE99" s="506">
        <f>IF(YEAR('3 pr-2'!AK99)=2021,CX99,0)</f>
        <v>0</v>
      </c>
      <c r="DF99" s="506">
        <f>IF(YEAR('3 pr-2'!AK99)=2022,CX99,0)</f>
        <v>0</v>
      </c>
      <c r="DG99" s="506">
        <f>IF(YEAR('3 pr-2'!AK99)=2023,CX99,0)</f>
        <v>0</v>
      </c>
      <c r="DH99" s="130"/>
      <c r="DI99" s="656"/>
      <c r="DJ99" s="318"/>
      <c r="DK99" s="318"/>
      <c r="DL99" s="318"/>
      <c r="DM99" s="318"/>
      <c r="DN99" s="318"/>
      <c r="DO99" s="318"/>
      <c r="DP99" s="318"/>
      <c r="DQ99" s="764"/>
      <c r="DR99" s="318"/>
      <c r="DS99" s="301"/>
      <c r="DT99" s="1679"/>
      <c r="DU99" s="506"/>
      <c r="DV99" s="506"/>
      <c r="DW99" s="506"/>
      <c r="DX99" s="506"/>
      <c r="DY99" s="506"/>
      <c r="DZ99" s="506"/>
      <c r="EA99" s="506"/>
      <c r="EB99" s="130"/>
      <c r="EC99" s="656"/>
      <c r="ED99" s="301"/>
      <c r="EE99" s="301"/>
      <c r="EF99" s="1679"/>
      <c r="EG99" s="506">
        <f>IF(YEAR('3 pr-2'!BP99)=2017,ED99,0)</f>
        <v>0</v>
      </c>
      <c r="EH99" s="506">
        <f>IF(YEAR('3 pr-2'!BP99)=2018,ED99,0)</f>
        <v>0</v>
      </c>
      <c r="EI99" s="506">
        <f>IF(YEAR('3 pr-2'!BP99)=2019,ED99,0)</f>
        <v>0</v>
      </c>
      <c r="EJ99" s="506">
        <f>IF(YEAR('3 pr-2'!BP99)=2020,ED99,0)</f>
        <v>0</v>
      </c>
      <c r="EK99" s="506">
        <f>IF(YEAR('3 pr-2'!BP99)=2021,ED99,0)</f>
        <v>0</v>
      </c>
      <c r="EL99" s="506">
        <f>IF(YEAR('3 pr-2'!BP99)=2022,ED99,0)</f>
        <v>0</v>
      </c>
      <c r="EM99" s="506">
        <f>IF(YEAR('3 pr-2'!BP99)=2023,ED99,0)</f>
        <v>0</v>
      </c>
    </row>
    <row r="100" spans="1:143" ht="36.75" customHeight="1" thickBot="1">
      <c r="A100" s="440" t="str">
        <f>CONCATENATE('3 pr-2'!A100)</f>
        <v>2.1.</v>
      </c>
      <c r="B100" s="1972" t="str">
        <f>CONCATENATE('3 pr-2'!B100)</f>
        <v>Tikslas:
GERINTI VIEŠŲJŲ  PASLAUGŲ KOKYBĘ IR PRIEINAMUMĄ</v>
      </c>
      <c r="C100" s="1894"/>
      <c r="D100" s="1894"/>
      <c r="E100" s="1894"/>
      <c r="F100" s="1894"/>
      <c r="G100" s="1894"/>
      <c r="H100" s="1894"/>
      <c r="I100" s="1894"/>
      <c r="J100" s="1894"/>
      <c r="K100" s="1895"/>
      <c r="L100" s="765"/>
      <c r="M100" s="766"/>
      <c r="N100" s="1706"/>
      <c r="O100" s="1706"/>
      <c r="P100" s="1706"/>
      <c r="Q100" s="1706"/>
      <c r="R100" s="1706"/>
      <c r="S100" s="1706"/>
      <c r="T100" s="1706"/>
      <c r="U100" s="1707"/>
      <c r="V100" s="506"/>
      <c r="W100" s="1765"/>
      <c r="X100" s="1765"/>
      <c r="Y100" s="1765"/>
      <c r="Z100" s="1765"/>
      <c r="AA100" s="1765"/>
      <c r="AB100" s="1765"/>
      <c r="AC100" s="1765"/>
      <c r="AD100" s="1766"/>
      <c r="AE100" s="1767"/>
      <c r="AF100" s="757"/>
      <c r="AG100" s="656"/>
      <c r="AH100" s="1706"/>
      <c r="AI100" s="1706"/>
      <c r="AJ100" s="1706"/>
      <c r="AK100" s="1706"/>
      <c r="AL100" s="1706"/>
      <c r="AM100" s="1706"/>
      <c r="AN100" s="1706"/>
      <c r="AO100" s="1706"/>
      <c r="AP100" s="754"/>
      <c r="AQ100" s="1765"/>
      <c r="AR100" s="1765"/>
      <c r="AS100" s="1765"/>
      <c r="AT100" s="1765"/>
      <c r="AU100" s="1765"/>
      <c r="AV100" s="1765"/>
      <c r="AW100" s="1766"/>
      <c r="AX100" s="1767"/>
      <c r="AY100" s="1783"/>
      <c r="AZ100" s="754"/>
      <c r="BA100" s="656"/>
      <c r="BB100" s="1706"/>
      <c r="BC100" s="1706"/>
      <c r="BD100" s="1706"/>
      <c r="BE100" s="1706"/>
      <c r="BF100" s="1706"/>
      <c r="BG100" s="1706"/>
      <c r="BH100" s="1706"/>
      <c r="BI100" s="1706"/>
      <c r="BJ100" s="754"/>
      <c r="BK100" s="754"/>
      <c r="BL100" s="754"/>
      <c r="BM100" s="754"/>
      <c r="BN100" s="754"/>
      <c r="BO100" s="754"/>
      <c r="BP100" s="1680"/>
      <c r="BQ100" s="765"/>
      <c r="BR100" s="757"/>
      <c r="BS100" s="754"/>
      <c r="BT100" s="754"/>
      <c r="BU100" s="656"/>
      <c r="BV100" s="1706"/>
      <c r="BW100" s="1706"/>
      <c r="BX100" s="1706"/>
      <c r="BY100" s="1706"/>
      <c r="BZ100" s="1706"/>
      <c r="CA100" s="1706"/>
      <c r="CB100" s="1706"/>
      <c r="CC100" s="1706"/>
      <c r="CD100" s="754"/>
      <c r="CE100" s="754"/>
      <c r="CF100" s="754"/>
      <c r="CG100" s="754"/>
      <c r="CH100" s="754"/>
      <c r="CI100" s="1680"/>
      <c r="CJ100" s="765"/>
      <c r="CK100" s="757"/>
      <c r="CL100" s="754"/>
      <c r="CM100" s="754"/>
      <c r="CN100" s="754"/>
      <c r="CO100" s="656"/>
      <c r="CP100" s="1706"/>
      <c r="CQ100" s="1706"/>
      <c r="CR100" s="1706"/>
      <c r="CS100" s="1706"/>
      <c r="CT100" s="1706"/>
      <c r="CU100" s="1706"/>
      <c r="CV100" s="1706"/>
      <c r="CW100" s="1706"/>
      <c r="CX100" s="754"/>
      <c r="CY100" s="767"/>
      <c r="CZ100" s="767"/>
      <c r="DA100" s="282"/>
      <c r="DB100" s="699"/>
      <c r="DC100" s="699"/>
      <c r="DD100" s="699"/>
      <c r="DE100" s="699"/>
      <c r="DF100" s="699"/>
      <c r="DG100" s="699"/>
      <c r="DH100" s="754"/>
      <c r="DI100" s="656"/>
      <c r="DJ100" s="757"/>
      <c r="DK100" s="757"/>
      <c r="DL100" s="757"/>
      <c r="DM100" s="757"/>
      <c r="DN100" s="757"/>
      <c r="DO100" s="757"/>
      <c r="DP100" s="757"/>
      <c r="DQ100" s="757"/>
      <c r="DR100" s="754"/>
      <c r="DS100" s="767"/>
      <c r="DT100" s="767"/>
      <c r="DU100" s="282"/>
      <c r="DV100" s="699"/>
      <c r="DW100" s="699"/>
      <c r="DX100" s="699"/>
      <c r="DY100" s="699"/>
      <c r="DZ100" s="699"/>
      <c r="EA100" s="699"/>
      <c r="EB100" s="754"/>
      <c r="EC100" s="656"/>
      <c r="ED100" s="767"/>
      <c r="EE100" s="767"/>
      <c r="EF100" s="767"/>
      <c r="EG100" s="282"/>
      <c r="EH100" s="699"/>
      <c r="EI100" s="699"/>
      <c r="EJ100" s="699"/>
      <c r="EK100" s="699"/>
      <c r="EL100" s="699"/>
      <c r="EM100" s="699"/>
    </row>
    <row r="101" spans="1:143" ht="46.5" customHeight="1" thickBot="1">
      <c r="A101" s="768" t="str">
        <f>CONCATENATE('3 pr-2'!A101)</f>
        <v>2.1.1.</v>
      </c>
      <c r="B101" s="1972" t="str">
        <f>CONCATENATE('3 pr-2'!B101)</f>
        <v xml:space="preserve">Uždavinys:
Bendrojo ugdymo ir neformaliojo švietimo įstaigų (ypač vykdančių ikimokyklinio ir priešmokyklinio ugdymo programas) tinklo veiklos efektyvumo didinimas </v>
      </c>
      <c r="C101" s="1894"/>
      <c r="D101" s="1894"/>
      <c r="E101" s="1894"/>
      <c r="F101" s="1894"/>
      <c r="G101" s="1894"/>
      <c r="H101" s="1894"/>
      <c r="I101" s="1894"/>
      <c r="J101" s="1894"/>
      <c r="K101" s="1895"/>
      <c r="L101" s="769"/>
      <c r="M101" s="770"/>
      <c r="N101" s="1708"/>
      <c r="O101" s="1708"/>
      <c r="P101" s="1708"/>
      <c r="Q101" s="1708"/>
      <c r="R101" s="1708"/>
      <c r="S101" s="1708"/>
      <c r="T101" s="1708"/>
      <c r="U101" s="1709"/>
      <c r="V101" s="771"/>
      <c r="W101" s="1768"/>
      <c r="X101" s="1768"/>
      <c r="Y101" s="1768"/>
      <c r="Z101" s="1768"/>
      <c r="AA101" s="1768"/>
      <c r="AB101" s="1769"/>
      <c r="AC101" s="1768"/>
      <c r="AD101" s="1768"/>
      <c r="AE101" s="1768"/>
      <c r="AF101" s="769"/>
      <c r="AG101" s="770"/>
      <c r="AH101" s="1708"/>
      <c r="AI101" s="1708"/>
      <c r="AJ101" s="1708"/>
      <c r="AK101" s="1708"/>
      <c r="AL101" s="1708"/>
      <c r="AM101" s="1708"/>
      <c r="AN101" s="1708"/>
      <c r="AO101" s="1708"/>
      <c r="AP101" s="769"/>
      <c r="AQ101" s="1769"/>
      <c r="AR101" s="1769"/>
      <c r="AS101" s="1769"/>
      <c r="AT101" s="1768"/>
      <c r="AU101" s="1768"/>
      <c r="AV101" s="1768"/>
      <c r="AW101" s="1768"/>
      <c r="AX101" s="1768"/>
      <c r="AY101" s="1768"/>
      <c r="AZ101" s="767"/>
      <c r="BA101" s="772"/>
      <c r="BB101" s="1708"/>
      <c r="BC101" s="1708"/>
      <c r="BD101" s="1708"/>
      <c r="BE101" s="1708"/>
      <c r="BF101" s="1708"/>
      <c r="BG101" s="1708"/>
      <c r="BH101" s="1708"/>
      <c r="BI101" s="1708"/>
      <c r="BJ101" s="769"/>
      <c r="BK101" s="769"/>
      <c r="BL101" s="769"/>
      <c r="BM101" s="769"/>
      <c r="BN101" s="769"/>
      <c r="BO101" s="769"/>
      <c r="BP101" s="769"/>
      <c r="BQ101" s="767"/>
      <c r="BR101" s="769"/>
      <c r="BS101" s="769"/>
      <c r="BT101" s="769"/>
      <c r="BU101" s="770"/>
      <c r="BV101" s="1708"/>
      <c r="BW101" s="1708"/>
      <c r="BX101" s="1708"/>
      <c r="BY101" s="1708"/>
      <c r="BZ101" s="1708"/>
      <c r="CA101" s="1708"/>
      <c r="CB101" s="1708"/>
      <c r="CC101" s="1708"/>
      <c r="CD101" s="769"/>
      <c r="CE101" s="769"/>
      <c r="CF101" s="769"/>
      <c r="CG101" s="769"/>
      <c r="CH101" s="767"/>
      <c r="CI101" s="769"/>
      <c r="CJ101" s="769"/>
      <c r="CK101" s="769"/>
      <c r="CL101" s="769"/>
      <c r="CM101" s="769"/>
      <c r="CN101" s="769"/>
      <c r="CO101" s="472"/>
      <c r="CP101" s="1708"/>
      <c r="CQ101" s="1708"/>
      <c r="CR101" s="1708"/>
      <c r="CS101" s="1708"/>
      <c r="CT101" s="1708"/>
      <c r="CU101" s="1708"/>
      <c r="CV101" s="1708"/>
      <c r="CW101" s="1708"/>
      <c r="CX101" s="769"/>
      <c r="CY101" s="767"/>
      <c r="CZ101" s="767"/>
      <c r="DA101" s="282"/>
      <c r="DB101" s="699"/>
      <c r="DC101" s="699"/>
      <c r="DD101" s="699"/>
      <c r="DE101" s="699"/>
      <c r="DF101" s="699"/>
      <c r="DG101" s="699"/>
      <c r="DH101" s="769"/>
      <c r="DI101" s="472"/>
      <c r="DJ101" s="769"/>
      <c r="DK101" s="769"/>
      <c r="DL101" s="769"/>
      <c r="DM101" s="769"/>
      <c r="DN101" s="769"/>
      <c r="DO101" s="769"/>
      <c r="DP101" s="769"/>
      <c r="DQ101" s="769"/>
      <c r="DR101" s="769"/>
      <c r="DS101" s="767"/>
      <c r="DT101" s="767"/>
      <c r="DU101" s="282"/>
      <c r="DV101" s="699"/>
      <c r="DW101" s="699"/>
      <c r="DX101" s="699"/>
      <c r="DY101" s="699"/>
      <c r="DZ101" s="699"/>
      <c r="EA101" s="699"/>
      <c r="EB101" s="769"/>
      <c r="EC101" s="472"/>
      <c r="ED101" s="767"/>
      <c r="EE101" s="767"/>
      <c r="EF101" s="767"/>
      <c r="EG101" s="282"/>
      <c r="EH101" s="699"/>
      <c r="EI101" s="699"/>
      <c r="EJ101" s="699"/>
      <c r="EK101" s="699"/>
      <c r="EL101" s="699"/>
      <c r="EM101" s="699"/>
    </row>
    <row r="102" spans="1:143" ht="32.25" customHeight="1" thickBot="1">
      <c r="A102" s="697" t="str">
        <f>CONCATENATE('3 pr-2'!A102)</f>
        <v>2.1.1.1</v>
      </c>
      <c r="B102" s="1972" t="str">
        <f>CONCATENATE('3 pr-2'!B102)</f>
        <v>Priemonė:
Mokyklų tinklo efektyvumo didinimas</v>
      </c>
      <c r="C102" s="1894"/>
      <c r="D102" s="1894"/>
      <c r="E102" s="1894"/>
      <c r="F102" s="1894"/>
      <c r="G102" s="1894"/>
      <c r="H102" s="1894"/>
      <c r="I102" s="1894"/>
      <c r="J102" s="1894"/>
      <c r="K102" s="1895"/>
      <c r="L102" s="1322"/>
      <c r="M102" s="474"/>
      <c r="N102" s="1697">
        <f>SUM(N103:N107)</f>
        <v>0</v>
      </c>
      <c r="O102" s="1697">
        <f t="shared" ref="O102:T102" si="432">SUM(O103:O107)</f>
        <v>0</v>
      </c>
      <c r="P102" s="1697">
        <f t="shared" si="432"/>
        <v>0</v>
      </c>
      <c r="Q102" s="1697">
        <f t="shared" si="432"/>
        <v>0</v>
      </c>
      <c r="R102" s="1697">
        <f t="shared" si="432"/>
        <v>0</v>
      </c>
      <c r="S102" s="1697">
        <f t="shared" si="432"/>
        <v>0</v>
      </c>
      <c r="T102" s="1697">
        <f t="shared" si="432"/>
        <v>0</v>
      </c>
      <c r="U102" s="1698">
        <f t="shared" ref="U102:U107" si="433">SUM(N102:T102)</f>
        <v>0</v>
      </c>
      <c r="V102" s="736"/>
      <c r="W102" s="1754"/>
      <c r="X102" s="1755"/>
      <c r="Y102" s="1756">
        <f t="shared" ref="Y102:AE102" si="434">SUM(Y103:Y107)</f>
        <v>0</v>
      </c>
      <c r="Z102" s="1756">
        <f t="shared" si="434"/>
        <v>0</v>
      </c>
      <c r="AA102" s="1756">
        <f t="shared" si="434"/>
        <v>8</v>
      </c>
      <c r="AB102" s="1756">
        <f t="shared" si="434"/>
        <v>0</v>
      </c>
      <c r="AC102" s="1756">
        <f t="shared" si="434"/>
        <v>0</v>
      </c>
      <c r="AD102" s="1756">
        <f t="shared" si="434"/>
        <v>0</v>
      </c>
      <c r="AE102" s="1756">
        <f t="shared" si="434"/>
        <v>0</v>
      </c>
      <c r="AF102" s="746"/>
      <c r="AG102" s="752"/>
      <c r="AH102" s="1697">
        <f>SUM(AH103:AH107)</f>
        <v>0</v>
      </c>
      <c r="AI102" s="1697">
        <f t="shared" ref="AI102" si="435">SUM(AI103:AI107)</f>
        <v>0</v>
      </c>
      <c r="AJ102" s="1697">
        <f t="shared" ref="AJ102" si="436">SUM(AJ103:AJ107)</f>
        <v>0</v>
      </c>
      <c r="AK102" s="1697">
        <f t="shared" ref="AK102" si="437">SUM(AK103:AK107)</f>
        <v>0</v>
      </c>
      <c r="AL102" s="1697">
        <f t="shared" ref="AL102" si="438">SUM(AL103:AL107)</f>
        <v>0</v>
      </c>
      <c r="AM102" s="1697">
        <f t="shared" ref="AM102" si="439">SUM(AM103:AM107)</f>
        <v>0</v>
      </c>
      <c r="AN102" s="1697">
        <f t="shared" ref="AN102" si="440">SUM(AN103:AN107)</f>
        <v>0</v>
      </c>
      <c r="AO102" s="1701">
        <f t="shared" ref="AO102:AO119" si="441">SUM(AH102:AN102)</f>
        <v>0</v>
      </c>
      <c r="AP102" s="736"/>
      <c r="AQ102" s="1756"/>
      <c r="AR102" s="1756"/>
      <c r="AS102" s="1756">
        <f t="shared" ref="AS102" si="442">SUM(AS103:AS107)</f>
        <v>0</v>
      </c>
      <c r="AT102" s="1756">
        <f t="shared" ref="AT102" si="443">SUM(AT103:AT107)</f>
        <v>0</v>
      </c>
      <c r="AU102" s="1756">
        <f t="shared" ref="AU102" si="444">SUM(AU103:AU107)</f>
        <v>3050</v>
      </c>
      <c r="AV102" s="1756">
        <f t="shared" ref="AV102" si="445">SUM(AV103:AV107)</f>
        <v>0</v>
      </c>
      <c r="AW102" s="1756">
        <f t="shared" ref="AW102" si="446">SUM(AW103:AW107)</f>
        <v>0</v>
      </c>
      <c r="AX102" s="1756">
        <f t="shared" ref="AX102" si="447">SUM(AX103:AX107)</f>
        <v>0</v>
      </c>
      <c r="AY102" s="1756">
        <f t="shared" ref="AY102" si="448">SUM(AY103:AY107)</f>
        <v>0</v>
      </c>
      <c r="AZ102" s="736"/>
      <c r="BA102" s="752"/>
      <c r="BB102" s="1697">
        <f>SUM(BB103:BB107)</f>
        <v>0</v>
      </c>
      <c r="BC102" s="1697">
        <f t="shared" ref="BC102" si="449">SUM(BC103:BC107)</f>
        <v>0</v>
      </c>
      <c r="BD102" s="1697">
        <f t="shared" ref="BD102" si="450">SUM(BD103:BD107)</f>
        <v>0</v>
      </c>
      <c r="BE102" s="1697">
        <f t="shared" ref="BE102" si="451">SUM(BE103:BE107)</f>
        <v>0</v>
      </c>
      <c r="BF102" s="1697">
        <f t="shared" ref="BF102" si="452">SUM(BF103:BF107)</f>
        <v>0</v>
      </c>
      <c r="BG102" s="1697">
        <f t="shared" ref="BG102" si="453">SUM(BG103:BG107)</f>
        <v>0</v>
      </c>
      <c r="BH102" s="1697">
        <f t="shared" ref="BH102" si="454">SUM(BH103:BH107)</f>
        <v>0</v>
      </c>
      <c r="BI102" s="1701">
        <f t="shared" ref="BI102:BI119" si="455">SUM(BB102:BH102)</f>
        <v>0</v>
      </c>
      <c r="BJ102" s="736"/>
      <c r="BK102" s="304"/>
      <c r="BL102" s="304"/>
      <c r="BM102" s="304"/>
      <c r="BN102" s="304"/>
      <c r="BO102" s="304"/>
      <c r="BP102" s="304"/>
      <c r="BQ102" s="304"/>
      <c r="BR102" s="304"/>
      <c r="BS102" s="304"/>
      <c r="BT102" s="304"/>
      <c r="BU102" s="472"/>
      <c r="BV102" s="1697">
        <f>SUM(BV103:BV107)</f>
        <v>0</v>
      </c>
      <c r="BW102" s="1697">
        <f t="shared" ref="BW102" si="456">SUM(BW103:BW107)</f>
        <v>0</v>
      </c>
      <c r="BX102" s="1697">
        <f t="shared" ref="BX102" si="457">SUM(BX103:BX107)</f>
        <v>0</v>
      </c>
      <c r="BY102" s="1697">
        <f t="shared" ref="BY102" si="458">SUM(BY103:BY107)</f>
        <v>0</v>
      </c>
      <c r="BZ102" s="1697">
        <f t="shared" ref="BZ102" si="459">SUM(BZ103:BZ107)</f>
        <v>0</v>
      </c>
      <c r="CA102" s="1697">
        <f t="shared" ref="CA102" si="460">SUM(CA103:CA107)</f>
        <v>0</v>
      </c>
      <c r="CB102" s="1697">
        <f t="shared" ref="CB102" si="461">SUM(CB103:CB107)</f>
        <v>0</v>
      </c>
      <c r="CC102" s="1701">
        <f t="shared" ref="CC102:CC113" si="462">SUM(BV102:CB102)</f>
        <v>0</v>
      </c>
      <c r="CD102" s="304"/>
      <c r="CE102" s="304"/>
      <c r="CF102" s="304"/>
      <c r="CG102" s="304"/>
      <c r="CH102" s="304"/>
      <c r="CI102" s="304"/>
      <c r="CJ102" s="304"/>
      <c r="CK102" s="304"/>
      <c r="CL102" s="304"/>
      <c r="CM102" s="304"/>
      <c r="CN102" s="304"/>
      <c r="CO102" s="472"/>
      <c r="CP102" s="1697">
        <f>SUM(CP103:CP107)</f>
        <v>0</v>
      </c>
      <c r="CQ102" s="1697">
        <f t="shared" ref="CQ102" si="463">SUM(CQ103:CQ107)</f>
        <v>0</v>
      </c>
      <c r="CR102" s="1697">
        <f t="shared" ref="CR102" si="464">SUM(CR103:CR107)</f>
        <v>0</v>
      </c>
      <c r="CS102" s="1697">
        <f t="shared" ref="CS102" si="465">SUM(CS103:CS107)</f>
        <v>0</v>
      </c>
      <c r="CT102" s="1697">
        <f t="shared" ref="CT102" si="466">SUM(CT103:CT107)</f>
        <v>0</v>
      </c>
      <c r="CU102" s="1697">
        <f t="shared" ref="CU102" si="467">SUM(CU103:CU107)</f>
        <v>0</v>
      </c>
      <c r="CV102" s="1697">
        <f t="shared" ref="CV102" si="468">SUM(CV103:CV107)</f>
        <v>0</v>
      </c>
      <c r="CW102" s="1701">
        <f t="shared" ref="CW102:CW119" si="469">SUM(CP102:CV102)</f>
        <v>0</v>
      </c>
      <c r="CX102" s="304"/>
      <c r="CY102" s="506"/>
      <c r="CZ102" s="506"/>
      <c r="DA102" s="506">
        <f>IF(YEAR('3 pr-2'!AK102)=2017,CX102,0)</f>
        <v>0</v>
      </c>
      <c r="DB102" s="506">
        <f>IF(YEAR('3 pr-2'!AK102)=2018,CX102,0)</f>
        <v>0</v>
      </c>
      <c r="DC102" s="506">
        <f>IF(YEAR('3 pr-2'!AK102)=2019,CX102,0)</f>
        <v>0</v>
      </c>
      <c r="DD102" s="506">
        <f>IF(YEAR('3 pr-2'!AK102)=2020,CX102,0)</f>
        <v>0</v>
      </c>
      <c r="DE102" s="506">
        <f>IF(YEAR('3 pr-2'!AK102)=2021,CX102,0)</f>
        <v>0</v>
      </c>
      <c r="DF102" s="506">
        <f>IF(YEAR('3 pr-2'!AK102)=2022,CX102,0)</f>
        <v>0</v>
      </c>
      <c r="DG102" s="506">
        <f>IF(YEAR('3 pr-2'!AK102)=2023,CX102,0)</f>
        <v>0</v>
      </c>
      <c r="DH102" s="304"/>
      <c r="DI102" s="472"/>
      <c r="DJ102" s="304"/>
      <c r="DK102" s="304"/>
      <c r="DL102" s="304"/>
      <c r="DM102" s="304"/>
      <c r="DN102" s="304"/>
      <c r="DO102" s="304"/>
      <c r="DP102" s="304"/>
      <c r="DQ102" s="736"/>
      <c r="DR102" s="304"/>
      <c r="DS102" s="506"/>
      <c r="DT102" s="506"/>
      <c r="DU102" s="506"/>
      <c r="DV102" s="506"/>
      <c r="DW102" s="506"/>
      <c r="DX102" s="506"/>
      <c r="DY102" s="506"/>
      <c r="DZ102" s="506"/>
      <c r="EA102" s="506"/>
      <c r="EB102" s="304"/>
      <c r="EC102" s="472"/>
      <c r="ED102" s="506"/>
      <c r="EE102" s="506"/>
      <c r="EF102" s="506"/>
      <c r="EG102" s="506">
        <f>IF(YEAR('3 pr-2'!BP102)=2017,ED102,0)</f>
        <v>0</v>
      </c>
      <c r="EH102" s="506">
        <f>IF(YEAR('3 pr-2'!BP102)=2018,ED102,0)</f>
        <v>0</v>
      </c>
      <c r="EI102" s="506">
        <f>IF(YEAR('3 pr-2'!BP102)=2019,ED102,0)</f>
        <v>0</v>
      </c>
      <c r="EJ102" s="506">
        <f>IF(YEAR('3 pr-2'!BP102)=2020,ED102,0)</f>
        <v>0</v>
      </c>
      <c r="EK102" s="506">
        <f>IF(YEAR('3 pr-2'!BP102)=2021,ED102,0)</f>
        <v>0</v>
      </c>
      <c r="EL102" s="506">
        <f>IF(YEAR('3 pr-2'!BP102)=2022,ED102,0)</f>
        <v>0</v>
      </c>
      <c r="EM102" s="506">
        <f>IF(YEAR('3 pr-2'!BP102)=2023,ED102,0)</f>
        <v>0</v>
      </c>
    </row>
    <row r="103" spans="1:143" ht="85.5" thickTop="1" thickBot="1">
      <c r="A103" s="130" t="str">
        <f>CONCATENATE('3 pr-2'!A103)</f>
        <v>2.1.1.1.1</v>
      </c>
      <c r="B103" s="130" t="str">
        <f>CONCATENATE('3 pr-2'!B103)</f>
        <v>R01-7724-220000-2111</v>
      </c>
      <c r="C103" s="1730" t="str">
        <f>CONCATENATE('ketv. 2'!B102)</f>
        <v>09.1.3-CPVA-R-724-11-0003</v>
      </c>
      <c r="D103" s="11" t="str">
        <f>CONCATENATE('3 pr-2'!D103)</f>
        <v>Varėnos r. Merkinės Vinco Krėvės gimnazijos laisvų patalpų pritaikymas ikimokyklinio ir priešmokyklinio ugdymo grupėms įrengti</v>
      </c>
      <c r="E103" s="11" t="str">
        <f>CONCATENATE('3 pr-2'!E103)</f>
        <v>Varėnos rajono savivaldybės administracija</v>
      </c>
      <c r="F103" s="11" t="str">
        <f>CONCATENATE('3 pr-2'!F103)</f>
        <v>Lietuvos Respublikos švietimo ir mokslo ministerija</v>
      </c>
      <c r="G103" s="11" t="str">
        <f>CONCATENATE('3 pr-2'!G103)</f>
        <v>Varėnos r. sav.</v>
      </c>
      <c r="H103" s="130" t="str">
        <f>CONCATENATE('3 pr-2'!H103)</f>
        <v>09.1.3-CPVA-R-724</v>
      </c>
      <c r="I103" s="130" t="str">
        <f>CONCATENATE('3 pr-2'!I103)</f>
        <v>R</v>
      </c>
      <c r="J103" s="130" t="str">
        <f>CONCATENATE('3 pr-2'!J103)</f>
        <v>-</v>
      </c>
      <c r="K103" s="130" t="str">
        <f>CONCATENATE('3 pr-2'!K103)</f>
        <v>-</v>
      </c>
      <c r="L103" s="130" t="s">
        <v>504</v>
      </c>
      <c r="M103" s="471" t="s">
        <v>505</v>
      </c>
      <c r="N103" s="1699"/>
      <c r="O103" s="1699"/>
      <c r="P103" s="1699"/>
      <c r="Q103" s="1699"/>
      <c r="R103" s="1699"/>
      <c r="S103" s="1699"/>
      <c r="T103" s="1699"/>
      <c r="U103" s="1700">
        <f t="shared" si="433"/>
        <v>0</v>
      </c>
      <c r="V103" s="130">
        <v>1</v>
      </c>
      <c r="W103" s="1757">
        <v>1</v>
      </c>
      <c r="X103" s="1732">
        <f>SUM(W103-V103)</f>
        <v>0</v>
      </c>
      <c r="Y103" s="1732">
        <f>IF(YEAR('3 pr-2'!$AK103)=2017,$V103,0)</f>
        <v>0</v>
      </c>
      <c r="Z103" s="1732">
        <f>IF(YEAR('3 pr-2'!$AK103)=2018,$V103,0)</f>
        <v>0</v>
      </c>
      <c r="AA103" s="1732">
        <f>IF(YEAR('3 pr-2'!$AK103)=2019,$V103,0)</f>
        <v>1</v>
      </c>
      <c r="AB103" s="1732">
        <f>IF(YEAR('3 pr-2'!$AK103)=2020,$V103,0)</f>
        <v>0</v>
      </c>
      <c r="AC103" s="1732">
        <f>IF(YEAR('3 pr-2'!$AK103)=2021,$V103,0)</f>
        <v>0</v>
      </c>
      <c r="AD103" s="1732">
        <f>IF(YEAR('3 pr-2'!$AK103)=2022,$V103,0)</f>
        <v>0</v>
      </c>
      <c r="AE103" s="1732">
        <f>IF(YEAR('3 pr-2'!$AK103)=2023,$V103,0)</f>
        <v>0</v>
      </c>
      <c r="AF103" s="317" t="s">
        <v>506</v>
      </c>
      <c r="AG103" s="471" t="s">
        <v>507</v>
      </c>
      <c r="AH103" s="1699"/>
      <c r="AI103" s="1699"/>
      <c r="AJ103" s="1699"/>
      <c r="AK103" s="1699"/>
      <c r="AL103" s="1699"/>
      <c r="AM103" s="1699"/>
      <c r="AN103" s="1699"/>
      <c r="AO103" s="1718">
        <f t="shared" si="441"/>
        <v>0</v>
      </c>
      <c r="AP103" s="130">
        <v>180</v>
      </c>
      <c r="AQ103" s="1778">
        <v>180</v>
      </c>
      <c r="AR103" s="1732">
        <f>SUM(AQ103-AP103)</f>
        <v>0</v>
      </c>
      <c r="AS103" s="1732">
        <f>IF(YEAR('3 pr-2'!$AK103)=2017,$AP103,0)</f>
        <v>0</v>
      </c>
      <c r="AT103" s="1732">
        <f>IF(YEAR('3 pr-2'!$AK103)=2018,$AP103,0)</f>
        <v>0</v>
      </c>
      <c r="AU103" s="1732">
        <f>IF(YEAR('3 pr-2'!$AK103)=2019,$AP103,0)</f>
        <v>180</v>
      </c>
      <c r="AV103" s="1732">
        <f>IF(YEAR('3 pr-2'!$AK103)=2020,$AP103,0)</f>
        <v>0</v>
      </c>
      <c r="AW103" s="1732">
        <f>IF(YEAR('3 pr-2'!$AK103)=2021,$AP103,0)</f>
        <v>0</v>
      </c>
      <c r="AX103" s="1732">
        <f>IF(YEAR('3 pr-2'!$AK103)=2022,$AP103,0)</f>
        <v>0</v>
      </c>
      <c r="AY103" s="1732">
        <f>IF(YEAR('3 pr-2'!$AK103)=2023,$AP103,0)</f>
        <v>0</v>
      </c>
      <c r="AZ103" s="130"/>
      <c r="BA103" s="470"/>
      <c r="BB103" s="1699"/>
      <c r="BC103" s="1699"/>
      <c r="BD103" s="1699"/>
      <c r="BE103" s="1699"/>
      <c r="BF103" s="1699"/>
      <c r="BG103" s="1699"/>
      <c r="BH103" s="1699"/>
      <c r="BI103" s="1718">
        <f t="shared" si="455"/>
        <v>0</v>
      </c>
      <c r="BJ103" s="130"/>
      <c r="BK103" s="1501"/>
      <c r="BL103" s="130"/>
      <c r="BM103" s="130">
        <f>IF(YEAR('3 pr-2'!AK103)=2017,BJ103,0)</f>
        <v>0</v>
      </c>
      <c r="BN103" s="130">
        <f>IF(YEAR('3 pr-2'!AK103)=2018,BJ103,0)</f>
        <v>0</v>
      </c>
      <c r="BO103" s="130">
        <f>IF(YEAR('3 pr-2'!AK103)=2019,BJ103,0)</f>
        <v>0</v>
      </c>
      <c r="BP103" s="130">
        <f>IF(YEAR('3 pr-2'!AK103)=2020,BJ103,0)</f>
        <v>0</v>
      </c>
      <c r="BQ103" s="130">
        <f>IF(YEAR('3 pr-2'!AK103)=2021,BJ103,0)</f>
        <v>0</v>
      </c>
      <c r="BR103" s="130">
        <f>IF(YEAR('3 pr-2'!AK103)=2022,BJ103,0)</f>
        <v>0</v>
      </c>
      <c r="BS103" s="130">
        <f>IF(YEAR('3 pr-2'!AK103)=2023,BJ103,0)</f>
        <v>0</v>
      </c>
      <c r="BT103" s="317"/>
      <c r="BU103" s="471"/>
      <c r="BV103" s="1699"/>
      <c r="BW103" s="1699"/>
      <c r="BX103" s="1699"/>
      <c r="BY103" s="1699"/>
      <c r="BZ103" s="1699"/>
      <c r="CA103" s="1699"/>
      <c r="CB103" s="1699"/>
      <c r="CC103" s="1718">
        <f t="shared" si="462"/>
        <v>0</v>
      </c>
      <c r="CD103" s="130"/>
      <c r="CE103" s="130"/>
      <c r="CF103" s="130"/>
      <c r="CG103" s="130">
        <f>IF(YEAR('3 pr-2'!$AK103)=2017,$CD103,0)</f>
        <v>0</v>
      </c>
      <c r="CH103" s="130">
        <f>IF(YEAR('3 pr-2'!$AK103)=2018,$CD103,0)</f>
        <v>0</v>
      </c>
      <c r="CI103" s="130">
        <f>IF(YEAR('3 pr-2'!$AK103)=2019,$CD103,0)</f>
        <v>0</v>
      </c>
      <c r="CJ103" s="130">
        <f>IF(YEAR('3 pr-2'!$AK103)=2020,$CD103,0)</f>
        <v>0</v>
      </c>
      <c r="CK103" s="130">
        <f>IF(YEAR('3 pr-2'!$AK103)=2021,$CD103,0)</f>
        <v>0</v>
      </c>
      <c r="CL103" s="130">
        <f>IF(YEAR('3 pr-2'!$AK103)=2022,$CD103,0)</f>
        <v>0</v>
      </c>
      <c r="CM103" s="130">
        <f>IF(YEAR('3 pr-2'!$AK103)=2023,$CD103,0)</f>
        <v>0</v>
      </c>
      <c r="CN103" s="317"/>
      <c r="CO103" s="472"/>
      <c r="CP103" s="1699"/>
      <c r="CQ103" s="1699"/>
      <c r="CR103" s="1699"/>
      <c r="CS103" s="1699"/>
      <c r="CT103" s="1699"/>
      <c r="CU103" s="1699"/>
      <c r="CV103" s="1699"/>
      <c r="CW103" s="1718">
        <f t="shared" si="469"/>
        <v>0</v>
      </c>
      <c r="CX103" s="318"/>
      <c r="CY103" s="303"/>
      <c r="CZ103" s="303"/>
      <c r="DA103" s="506">
        <f>IF(YEAR('3 pr-2'!AK103)=2017,CX103,0)</f>
        <v>0</v>
      </c>
      <c r="DB103" s="506">
        <f>IF(YEAR('3 pr-2'!AK103)=2018,CX103,0)</f>
        <v>0</v>
      </c>
      <c r="DC103" s="506">
        <f>IF(YEAR('3 pr-2'!AK103)=2019,CX103,0)</f>
        <v>0</v>
      </c>
      <c r="DD103" s="506">
        <f>IF(YEAR('3 pr-2'!AK103)=2020,CX103,0)</f>
        <v>0</v>
      </c>
      <c r="DE103" s="506">
        <f>IF(YEAR('3 pr-2'!AK103)=2021,CX103,0)</f>
        <v>0</v>
      </c>
      <c r="DF103" s="506">
        <f>IF(YEAR('3 pr-2'!AK103)=2022,CX103,0)</f>
        <v>0</v>
      </c>
      <c r="DG103" s="506">
        <f>IF(YEAR('3 pr-2'!AK103)=2023,CX103,0)</f>
        <v>0</v>
      </c>
      <c r="DH103" s="317"/>
      <c r="DI103" s="472"/>
      <c r="DJ103" s="130"/>
      <c r="DK103" s="130"/>
      <c r="DL103" s="130"/>
      <c r="DM103" s="130"/>
      <c r="DN103" s="130"/>
      <c r="DO103" s="130"/>
      <c r="DP103" s="130"/>
      <c r="DQ103" s="756"/>
      <c r="DR103" s="318"/>
      <c r="DS103" s="303"/>
      <c r="DT103" s="303"/>
      <c r="DU103" s="506"/>
      <c r="DV103" s="506"/>
      <c r="DW103" s="506"/>
      <c r="DX103" s="506"/>
      <c r="DY103" s="506"/>
      <c r="DZ103" s="506"/>
      <c r="EA103" s="506"/>
      <c r="EB103" s="317"/>
      <c r="EC103" s="472"/>
      <c r="ED103" s="303"/>
      <c r="EE103" s="303"/>
      <c r="EF103" s="303"/>
      <c r="EG103" s="506">
        <f>IF(YEAR('3 pr-2'!BP103)=2017,ED103,0)</f>
        <v>0</v>
      </c>
      <c r="EH103" s="506">
        <f>IF(YEAR('3 pr-2'!BP103)=2018,ED103,0)</f>
        <v>0</v>
      </c>
      <c r="EI103" s="506">
        <f>IF(YEAR('3 pr-2'!BP103)=2019,ED103,0)</f>
        <v>0</v>
      </c>
      <c r="EJ103" s="506">
        <f>IF(YEAR('3 pr-2'!BP103)=2020,ED103,0)</f>
        <v>0</v>
      </c>
      <c r="EK103" s="506">
        <f>IF(YEAR('3 pr-2'!BP103)=2021,ED103,0)</f>
        <v>0</v>
      </c>
      <c r="EL103" s="506">
        <f>IF(YEAR('3 pr-2'!BP103)=2022,ED103,0)</f>
        <v>0</v>
      </c>
      <c r="EM103" s="506">
        <f>IF(YEAR('3 pr-2'!BP103)=2023,ED103,0)</f>
        <v>0</v>
      </c>
    </row>
    <row r="104" spans="1:143" ht="73.5" thickTop="1" thickBot="1">
      <c r="A104" s="130" t="str">
        <f>CONCATENATE('3 pr-2'!A104)</f>
        <v>2.1.1.1.2</v>
      </c>
      <c r="B104" s="130" t="str">
        <f>CONCATENATE('3 pr-2'!B104)</f>
        <v>R01-7724-220000-2112</v>
      </c>
      <c r="C104" s="1730" t="str">
        <f>CONCATENATE('ketv. 2'!B103)</f>
        <v>09.1.3-CPVA-R-724-11-0005</v>
      </c>
      <c r="D104" s="11" t="str">
        <f>CONCATENATE('3 pr-2'!D104)</f>
        <v>Alytaus rajono bendrojo ugdymo įstaigų aprūpinimas gamtos, technologijų, menų ir kitų mokslų laboratorijų įranga</v>
      </c>
      <c r="E104" s="11" t="str">
        <f>CONCATENATE('3 pr-2'!E104)</f>
        <v>Alytaus rajono savivaldybės administracija</v>
      </c>
      <c r="F104" s="11" t="str">
        <f>CONCATENATE('3 pr-2'!F104)</f>
        <v>Lietuvos Respublikos švietimo ir mokslo ministerija</v>
      </c>
      <c r="G104" s="11" t="str">
        <f>CONCATENATE('3 pr-2'!G104)</f>
        <v>Alytaus r. sav.</v>
      </c>
      <c r="H104" s="130" t="str">
        <f>CONCATENATE('3 pr-2'!H104)</f>
        <v>09.1.3-CPVA-R-724</v>
      </c>
      <c r="I104" s="130" t="str">
        <f>CONCATENATE('3 pr-2'!I104)</f>
        <v>R</v>
      </c>
      <c r="J104" s="130" t="str">
        <f>CONCATENATE('3 pr-2'!J104)</f>
        <v>-</v>
      </c>
      <c r="K104" s="130" t="str">
        <f>CONCATENATE('3 pr-2'!K104)</f>
        <v>-</v>
      </c>
      <c r="L104" s="130" t="s">
        <v>504</v>
      </c>
      <c r="M104" s="471" t="s">
        <v>505</v>
      </c>
      <c r="N104" s="1699"/>
      <c r="O104" s="1699"/>
      <c r="P104" s="1699"/>
      <c r="Q104" s="1699"/>
      <c r="R104" s="1699"/>
      <c r="S104" s="1699"/>
      <c r="T104" s="1699"/>
      <c r="U104" s="1700">
        <f t="shared" si="433"/>
        <v>0</v>
      </c>
      <c r="V104" s="130">
        <v>2</v>
      </c>
      <c r="W104" s="1757">
        <v>2</v>
      </c>
      <c r="X104" s="1732">
        <f>SUM(W104-V104)</f>
        <v>0</v>
      </c>
      <c r="Y104" s="1732">
        <f>IF(YEAR('3 pr-2'!$AK104)=2017,$V104,0)</f>
        <v>0</v>
      </c>
      <c r="Z104" s="1732">
        <f>IF(YEAR('3 pr-2'!$AK104)=2018,$V104,0)</f>
        <v>0</v>
      </c>
      <c r="AA104" s="1732">
        <f>IF(YEAR('3 pr-2'!$AK104)=2019,$V104,0)</f>
        <v>2</v>
      </c>
      <c r="AB104" s="1732">
        <f>IF(YEAR('3 pr-2'!$AK104)=2020,$V104,0)</f>
        <v>0</v>
      </c>
      <c r="AC104" s="1732">
        <f>IF(YEAR('3 pr-2'!$AK104)=2021,$V104,0)</f>
        <v>0</v>
      </c>
      <c r="AD104" s="1732">
        <f>IF(YEAR('3 pr-2'!$AK104)=2022,$V104,0)</f>
        <v>0</v>
      </c>
      <c r="AE104" s="1732">
        <f>IF(YEAR('3 pr-2'!$AK104)=2023,$V104,0)</f>
        <v>0</v>
      </c>
      <c r="AF104" s="317" t="s">
        <v>506</v>
      </c>
      <c r="AG104" s="471" t="s">
        <v>507</v>
      </c>
      <c r="AH104" s="1699"/>
      <c r="AI104" s="1699"/>
      <c r="AJ104" s="1699"/>
      <c r="AK104" s="1699"/>
      <c r="AL104" s="1699"/>
      <c r="AM104" s="1699"/>
      <c r="AN104" s="1699"/>
      <c r="AO104" s="1718">
        <f t="shared" si="441"/>
        <v>0</v>
      </c>
      <c r="AP104" s="130">
        <v>600</v>
      </c>
      <c r="AQ104" s="1778">
        <v>600</v>
      </c>
      <c r="AR104" s="1732">
        <f>SUM(AQ104-AP104)</f>
        <v>0</v>
      </c>
      <c r="AS104" s="1732">
        <f>IF(YEAR('3 pr-2'!$AK104)=2017,$AP104,0)</f>
        <v>0</v>
      </c>
      <c r="AT104" s="1732">
        <f>IF(YEAR('3 pr-2'!$AK104)=2018,$AP104,0)</f>
        <v>0</v>
      </c>
      <c r="AU104" s="1732">
        <f>IF(YEAR('3 pr-2'!$AK104)=2019,$AP104,0)</f>
        <v>600</v>
      </c>
      <c r="AV104" s="1732">
        <f>IF(YEAR('3 pr-2'!$AK104)=2020,$AP104,0)</f>
        <v>0</v>
      </c>
      <c r="AW104" s="1732">
        <f>IF(YEAR('3 pr-2'!$AK104)=2021,$AP104,0)</f>
        <v>0</v>
      </c>
      <c r="AX104" s="1732">
        <f>IF(YEAR('3 pr-2'!$AK104)=2022,$AP104,0)</f>
        <v>0</v>
      </c>
      <c r="AY104" s="1732">
        <f>IF(YEAR('3 pr-2'!$AK104)=2023,$AP104,0)</f>
        <v>0</v>
      </c>
      <c r="AZ104" s="130"/>
      <c r="BA104" s="470"/>
      <c r="BB104" s="1699"/>
      <c r="BC104" s="1699"/>
      <c r="BD104" s="1699"/>
      <c r="BE104" s="1699"/>
      <c r="BF104" s="1699"/>
      <c r="BG104" s="1699"/>
      <c r="BH104" s="1699"/>
      <c r="BI104" s="1718">
        <f t="shared" si="455"/>
        <v>0</v>
      </c>
      <c r="BJ104" s="130"/>
      <c r="BK104" s="1501"/>
      <c r="BL104" s="130"/>
      <c r="BM104" s="130">
        <f>IF(YEAR('3 pr-2'!AK104)=2017,BJ104,0)</f>
        <v>0</v>
      </c>
      <c r="BN104" s="130">
        <f>IF(YEAR('3 pr-2'!AK104)=2018,BJ104,0)</f>
        <v>0</v>
      </c>
      <c r="BO104" s="130">
        <f>IF(YEAR('3 pr-2'!AK104)=2019,BJ104,0)</f>
        <v>0</v>
      </c>
      <c r="BP104" s="130">
        <f>IF(YEAR('3 pr-2'!AK104)=2020,BJ104,0)</f>
        <v>0</v>
      </c>
      <c r="BQ104" s="130">
        <f>IF(YEAR('3 pr-2'!AK104)=2021,BJ104,0)</f>
        <v>0</v>
      </c>
      <c r="BR104" s="130">
        <f>IF(YEAR('3 pr-2'!AK104)=2022,BJ104,0)</f>
        <v>0</v>
      </c>
      <c r="BS104" s="130">
        <f>IF(YEAR('3 pr-2'!AK104)=2023,BJ104,0)</f>
        <v>0</v>
      </c>
      <c r="BT104" s="317"/>
      <c r="BU104" s="471"/>
      <c r="BV104" s="1699"/>
      <c r="BW104" s="1699"/>
      <c r="BX104" s="1699"/>
      <c r="BY104" s="1699"/>
      <c r="BZ104" s="1699"/>
      <c r="CA104" s="1699"/>
      <c r="CB104" s="1699"/>
      <c r="CC104" s="1718">
        <f t="shared" si="462"/>
        <v>0</v>
      </c>
      <c r="CD104" s="130"/>
      <c r="CE104" s="130"/>
      <c r="CF104" s="130"/>
      <c r="CG104" s="130">
        <f>IF(YEAR('3 pr-2'!$AK104)=2017,$CD104,0)</f>
        <v>0</v>
      </c>
      <c r="CH104" s="130">
        <f>IF(YEAR('3 pr-2'!$AK104)=2018,$CD104,0)</f>
        <v>0</v>
      </c>
      <c r="CI104" s="130">
        <f>IF(YEAR('3 pr-2'!$AK104)=2019,$CD104,0)</f>
        <v>0</v>
      </c>
      <c r="CJ104" s="130">
        <f>IF(YEAR('3 pr-2'!$AK104)=2020,$CD104,0)</f>
        <v>0</v>
      </c>
      <c r="CK104" s="130">
        <f>IF(YEAR('3 pr-2'!$AK104)=2021,$CD104,0)</f>
        <v>0</v>
      </c>
      <c r="CL104" s="130">
        <f>IF(YEAR('3 pr-2'!$AK104)=2022,$CD104,0)</f>
        <v>0</v>
      </c>
      <c r="CM104" s="130">
        <f>IF(YEAR('3 pr-2'!$AK104)=2023,$CD104,0)</f>
        <v>0</v>
      </c>
      <c r="CN104" s="317"/>
      <c r="CO104" s="472"/>
      <c r="CP104" s="1699"/>
      <c r="CQ104" s="1699"/>
      <c r="CR104" s="1699"/>
      <c r="CS104" s="1699"/>
      <c r="CT104" s="1699"/>
      <c r="CU104" s="1699"/>
      <c r="CV104" s="1699"/>
      <c r="CW104" s="1718">
        <f t="shared" si="469"/>
        <v>0</v>
      </c>
      <c r="CX104" s="318"/>
      <c r="CY104" s="303"/>
      <c r="CZ104" s="303"/>
      <c r="DA104" s="506">
        <f>IF(YEAR('3 pr-2'!AK104)=2017,CX104,0)</f>
        <v>0</v>
      </c>
      <c r="DB104" s="506">
        <f>IF(YEAR('3 pr-2'!AK104)=2018,CX104,0)</f>
        <v>0</v>
      </c>
      <c r="DC104" s="506">
        <f>IF(YEAR('3 pr-2'!AK104)=2019,CX104,0)</f>
        <v>0</v>
      </c>
      <c r="DD104" s="506">
        <f>IF(YEAR('3 pr-2'!AK104)=2020,CX104,0)</f>
        <v>0</v>
      </c>
      <c r="DE104" s="506">
        <f>IF(YEAR('3 pr-2'!AK104)=2021,CX104,0)</f>
        <v>0</v>
      </c>
      <c r="DF104" s="506">
        <f>IF(YEAR('3 pr-2'!AK104)=2022,CX104,0)</f>
        <v>0</v>
      </c>
      <c r="DG104" s="506">
        <f>IF(YEAR('3 pr-2'!AK104)=2023,CX104,0)</f>
        <v>0</v>
      </c>
      <c r="DH104" s="317"/>
      <c r="DI104" s="472"/>
      <c r="DJ104" s="130"/>
      <c r="DK104" s="130"/>
      <c r="DL104" s="130"/>
      <c r="DM104" s="130"/>
      <c r="DN104" s="130"/>
      <c r="DO104" s="130"/>
      <c r="DP104" s="130"/>
      <c r="DQ104" s="756"/>
      <c r="DR104" s="318"/>
      <c r="DS104" s="303"/>
      <c r="DT104" s="303"/>
      <c r="DU104" s="506"/>
      <c r="DV104" s="506"/>
      <c r="DW104" s="506"/>
      <c r="DX104" s="506"/>
      <c r="DY104" s="506"/>
      <c r="DZ104" s="506"/>
      <c r="EA104" s="506"/>
      <c r="EB104" s="317"/>
      <c r="EC104" s="472"/>
      <c r="ED104" s="303"/>
      <c r="EE104" s="303"/>
      <c r="EF104" s="303"/>
      <c r="EG104" s="506">
        <f>IF(YEAR('3 pr-2'!BP104)=2017,ED104,0)</f>
        <v>0</v>
      </c>
      <c r="EH104" s="506">
        <f>IF(YEAR('3 pr-2'!BP104)=2018,ED104,0)</f>
        <v>0</v>
      </c>
      <c r="EI104" s="506">
        <f>IF(YEAR('3 pr-2'!BP104)=2019,ED104,0)</f>
        <v>0</v>
      </c>
      <c r="EJ104" s="506">
        <f>IF(YEAR('3 pr-2'!BP104)=2020,ED104,0)</f>
        <v>0</v>
      </c>
      <c r="EK104" s="506">
        <f>IF(YEAR('3 pr-2'!BP104)=2021,ED104,0)</f>
        <v>0</v>
      </c>
      <c r="EL104" s="506">
        <f>IF(YEAR('3 pr-2'!BP104)=2022,ED104,0)</f>
        <v>0</v>
      </c>
      <c r="EM104" s="506">
        <f>IF(YEAR('3 pr-2'!BP104)=2023,ED104,0)</f>
        <v>0</v>
      </c>
    </row>
    <row r="105" spans="1:143" ht="61.5" thickTop="1" thickBot="1">
      <c r="A105" s="130" t="str">
        <f>CONCATENATE('3 pr-2'!A105)</f>
        <v>2.1.1.1.3</v>
      </c>
      <c r="B105" s="130" t="str">
        <f>CONCATENATE('3 pr-2'!B105)</f>
        <v>R01-7724-220000-2113</v>
      </c>
      <c r="C105" s="1730" t="str">
        <f>CONCATENATE('ketv. 2'!B104)</f>
        <v>09.1.3-CPVA-R-724-11-0002</v>
      </c>
      <c r="D105" s="11" t="str">
        <f>CONCATENATE('3 pr-2'!D105)</f>
        <v>Modernių ir saugių erdvių kūrimas Dzūkijos pagrindinėje mokykloje, Alytuje</v>
      </c>
      <c r="E105" s="11" t="str">
        <f>CONCATENATE('3 pr-2'!E105)</f>
        <v>Alytaus miesto savivaldybės administracija</v>
      </c>
      <c r="F105" s="11" t="str">
        <f>CONCATENATE('3 pr-2'!F105)</f>
        <v>Lietuvos Respublikos švietimo ir mokslo ministerija</v>
      </c>
      <c r="G105" s="11" t="str">
        <f>CONCATENATE('3 pr-2'!G105)</f>
        <v>Alytaus m. sav.</v>
      </c>
      <c r="H105" s="130" t="str">
        <f>CONCATENATE('3 pr-2'!H105)</f>
        <v>09.1.3-CPVA-R-724</v>
      </c>
      <c r="I105" s="130" t="str">
        <f>CONCATENATE('3 pr-2'!I105)</f>
        <v>R</v>
      </c>
      <c r="J105" s="130" t="str">
        <f>CONCATENATE('3 pr-2'!J105)</f>
        <v>-</v>
      </c>
      <c r="K105" s="130" t="str">
        <f>CONCATENATE('3 pr-2'!K105)</f>
        <v>-</v>
      </c>
      <c r="L105" s="130" t="s">
        <v>504</v>
      </c>
      <c r="M105" s="471" t="s">
        <v>505</v>
      </c>
      <c r="N105" s="1699"/>
      <c r="O105" s="1699"/>
      <c r="P105" s="1699"/>
      <c r="Q105" s="1699"/>
      <c r="R105" s="1699"/>
      <c r="S105" s="1699"/>
      <c r="T105" s="1699"/>
      <c r="U105" s="1700">
        <f t="shared" si="433"/>
        <v>0</v>
      </c>
      <c r="V105" s="130">
        <v>1</v>
      </c>
      <c r="W105" s="1757">
        <v>1</v>
      </c>
      <c r="X105" s="1732">
        <f>SUM(W105-V105)</f>
        <v>0</v>
      </c>
      <c r="Y105" s="1732">
        <f>IF(YEAR('3 pr-2'!$AK105)=2017,$V105,0)</f>
        <v>0</v>
      </c>
      <c r="Z105" s="1732">
        <f>IF(YEAR('3 pr-2'!$AK105)=2018,$V105,0)</f>
        <v>0</v>
      </c>
      <c r="AA105" s="1732">
        <f>IF(YEAR('3 pr-2'!$AK105)=2019,$V105,0)</f>
        <v>1</v>
      </c>
      <c r="AB105" s="1732">
        <f>IF(YEAR('3 pr-2'!$AK105)=2020,$V105,0)</f>
        <v>0</v>
      </c>
      <c r="AC105" s="1732">
        <f>IF(YEAR('3 pr-2'!$AK105)=2021,$V105,0)</f>
        <v>0</v>
      </c>
      <c r="AD105" s="1732">
        <f>IF(YEAR('3 pr-2'!$AK105)=2022,$V105,0)</f>
        <v>0</v>
      </c>
      <c r="AE105" s="1732">
        <f>IF(YEAR('3 pr-2'!$AK105)=2023,$V105,0)</f>
        <v>0</v>
      </c>
      <c r="AF105" s="317" t="s">
        <v>506</v>
      </c>
      <c r="AG105" s="471" t="s">
        <v>507</v>
      </c>
      <c r="AH105" s="1699"/>
      <c r="AI105" s="1699"/>
      <c r="AJ105" s="1699"/>
      <c r="AK105" s="1699"/>
      <c r="AL105" s="1699"/>
      <c r="AM105" s="1699"/>
      <c r="AN105" s="1699"/>
      <c r="AO105" s="1718">
        <f t="shared" si="441"/>
        <v>0</v>
      </c>
      <c r="AP105" s="130">
        <v>600</v>
      </c>
      <c r="AQ105" s="1778">
        <v>600</v>
      </c>
      <c r="AR105" s="1732">
        <f>SUM(AQ105-AP105)</f>
        <v>0</v>
      </c>
      <c r="AS105" s="1732">
        <f>IF(YEAR('3 pr-2'!$AK105)=2017,$AP105,0)</f>
        <v>0</v>
      </c>
      <c r="AT105" s="1732">
        <f>IF(YEAR('3 pr-2'!$AK105)=2018,$AP105,0)</f>
        <v>0</v>
      </c>
      <c r="AU105" s="1732">
        <f>IF(YEAR('3 pr-2'!$AK105)=2019,$AP105,0)</f>
        <v>600</v>
      </c>
      <c r="AV105" s="1732">
        <f>IF(YEAR('3 pr-2'!$AK105)=2020,$AP105,0)</f>
        <v>0</v>
      </c>
      <c r="AW105" s="1732">
        <f>IF(YEAR('3 pr-2'!$AK105)=2021,$AP105,0)</f>
        <v>0</v>
      </c>
      <c r="AX105" s="1732">
        <f>IF(YEAR('3 pr-2'!$AK105)=2022,$AP105,0)</f>
        <v>0</v>
      </c>
      <c r="AY105" s="1732">
        <f>IF(YEAR('3 pr-2'!$AK105)=2023,$AP105,0)</f>
        <v>0</v>
      </c>
      <c r="AZ105" s="130"/>
      <c r="BA105" s="470"/>
      <c r="BB105" s="1699"/>
      <c r="BC105" s="1699"/>
      <c r="BD105" s="1699"/>
      <c r="BE105" s="1699"/>
      <c r="BF105" s="1699"/>
      <c r="BG105" s="1699"/>
      <c r="BH105" s="1699"/>
      <c r="BI105" s="1718">
        <f t="shared" si="455"/>
        <v>0</v>
      </c>
      <c r="BJ105" s="130"/>
      <c r="BK105" s="1501"/>
      <c r="BL105" s="130"/>
      <c r="BM105" s="130">
        <f>IF(YEAR('3 pr-2'!AK105)=2017,BJ105,0)</f>
        <v>0</v>
      </c>
      <c r="BN105" s="130">
        <f>IF(YEAR('3 pr-2'!AK105)=2018,BJ105,0)</f>
        <v>0</v>
      </c>
      <c r="BO105" s="130">
        <f>IF(YEAR('3 pr-2'!AK105)=2019,BJ105,0)</f>
        <v>0</v>
      </c>
      <c r="BP105" s="130">
        <f>IF(YEAR('3 pr-2'!AK105)=2020,BJ105,0)</f>
        <v>0</v>
      </c>
      <c r="BQ105" s="130">
        <f>IF(YEAR('3 pr-2'!AK105)=2021,BJ105,0)</f>
        <v>0</v>
      </c>
      <c r="BR105" s="130">
        <f>IF(YEAR('3 pr-2'!AK105)=2022,BJ105,0)</f>
        <v>0</v>
      </c>
      <c r="BS105" s="130">
        <f>IF(YEAR('3 pr-2'!AK105)=2023,BJ105,0)</f>
        <v>0</v>
      </c>
      <c r="BT105" s="317"/>
      <c r="BU105" s="471"/>
      <c r="BV105" s="1699"/>
      <c r="BW105" s="1699"/>
      <c r="BX105" s="1699"/>
      <c r="BY105" s="1699"/>
      <c r="BZ105" s="1699"/>
      <c r="CA105" s="1699"/>
      <c r="CB105" s="1699"/>
      <c r="CC105" s="1718">
        <f t="shared" si="462"/>
        <v>0</v>
      </c>
      <c r="CD105" s="130"/>
      <c r="CE105" s="130"/>
      <c r="CF105" s="130"/>
      <c r="CG105" s="130">
        <f>IF(YEAR('3 pr-2'!$AK105)=2017,$CD105,0)</f>
        <v>0</v>
      </c>
      <c r="CH105" s="130">
        <f>IF(YEAR('3 pr-2'!$AK105)=2018,$CD105,0)</f>
        <v>0</v>
      </c>
      <c r="CI105" s="130">
        <f>IF(YEAR('3 pr-2'!$AK105)=2019,$CD105,0)</f>
        <v>0</v>
      </c>
      <c r="CJ105" s="130">
        <f>IF(YEAR('3 pr-2'!$AK105)=2020,$CD105,0)</f>
        <v>0</v>
      </c>
      <c r="CK105" s="130">
        <f>IF(YEAR('3 pr-2'!$AK105)=2021,$CD105,0)</f>
        <v>0</v>
      </c>
      <c r="CL105" s="130">
        <f>IF(YEAR('3 pr-2'!$AK105)=2022,$CD105,0)</f>
        <v>0</v>
      </c>
      <c r="CM105" s="130">
        <f>IF(YEAR('3 pr-2'!$AK105)=2023,$CD105,0)</f>
        <v>0</v>
      </c>
      <c r="CN105" s="317"/>
      <c r="CO105" s="472"/>
      <c r="CP105" s="1699"/>
      <c r="CQ105" s="1699"/>
      <c r="CR105" s="1699"/>
      <c r="CS105" s="1699"/>
      <c r="CT105" s="1699"/>
      <c r="CU105" s="1699"/>
      <c r="CV105" s="1699"/>
      <c r="CW105" s="1718">
        <f t="shared" si="469"/>
        <v>0</v>
      </c>
      <c r="CX105" s="318"/>
      <c r="CY105" s="303"/>
      <c r="CZ105" s="303"/>
      <c r="DA105" s="506">
        <f>IF(YEAR('3 pr-2'!AK105)=2017,CX105,0)</f>
        <v>0</v>
      </c>
      <c r="DB105" s="506">
        <f>IF(YEAR('3 pr-2'!AK105)=2018,CX105,0)</f>
        <v>0</v>
      </c>
      <c r="DC105" s="506">
        <f>IF(YEAR('3 pr-2'!AK105)=2019,CX105,0)</f>
        <v>0</v>
      </c>
      <c r="DD105" s="506">
        <f>IF(YEAR('3 pr-2'!AK105)=2020,CX105,0)</f>
        <v>0</v>
      </c>
      <c r="DE105" s="506">
        <f>IF(YEAR('3 pr-2'!AK105)=2021,CX105,0)</f>
        <v>0</v>
      </c>
      <c r="DF105" s="506">
        <f>IF(YEAR('3 pr-2'!AK105)=2022,CX105,0)</f>
        <v>0</v>
      </c>
      <c r="DG105" s="506">
        <f>IF(YEAR('3 pr-2'!AK105)=2023,CX105,0)</f>
        <v>0</v>
      </c>
      <c r="DH105" s="317"/>
      <c r="DI105" s="472"/>
      <c r="DJ105" s="130"/>
      <c r="DK105" s="130"/>
      <c r="DL105" s="130"/>
      <c r="DM105" s="130"/>
      <c r="DN105" s="130"/>
      <c r="DO105" s="130"/>
      <c r="DP105" s="130"/>
      <c r="DQ105" s="756"/>
      <c r="DR105" s="318"/>
      <c r="DS105" s="303"/>
      <c r="DT105" s="303"/>
      <c r="DU105" s="506"/>
      <c r="DV105" s="506"/>
      <c r="DW105" s="506"/>
      <c r="DX105" s="506"/>
      <c r="DY105" s="506"/>
      <c r="DZ105" s="506"/>
      <c r="EA105" s="506"/>
      <c r="EB105" s="317"/>
      <c r="EC105" s="472"/>
      <c r="ED105" s="303"/>
      <c r="EE105" s="303"/>
      <c r="EF105" s="303"/>
      <c r="EG105" s="506">
        <f>IF(YEAR('3 pr-2'!BP105)=2017,ED105,0)</f>
        <v>0</v>
      </c>
      <c r="EH105" s="506">
        <f>IF(YEAR('3 pr-2'!BP105)=2018,ED105,0)</f>
        <v>0</v>
      </c>
      <c r="EI105" s="506">
        <f>IF(YEAR('3 pr-2'!BP105)=2019,ED105,0)</f>
        <v>0</v>
      </c>
      <c r="EJ105" s="506">
        <f>IF(YEAR('3 pr-2'!BP105)=2020,ED105,0)</f>
        <v>0</v>
      </c>
      <c r="EK105" s="506">
        <f>IF(YEAR('3 pr-2'!BP105)=2021,ED105,0)</f>
        <v>0</v>
      </c>
      <c r="EL105" s="506">
        <f>IF(YEAR('3 pr-2'!BP105)=2022,ED105,0)</f>
        <v>0</v>
      </c>
      <c r="EM105" s="506">
        <f>IF(YEAR('3 pr-2'!BP105)=2023,ED105,0)</f>
        <v>0</v>
      </c>
    </row>
    <row r="106" spans="1:143" ht="61.5" thickTop="1" thickBot="1">
      <c r="A106" s="130" t="str">
        <f>CONCATENATE('3 pr-2'!A106)</f>
        <v>2.1.1.1.4</v>
      </c>
      <c r="B106" s="130" t="str">
        <f>CONCATENATE('3 pr-2'!B106)</f>
        <v>R01-7724-220000-2114</v>
      </c>
      <c r="C106" s="1730" t="str">
        <f>CONCATENATE('ketv. 2'!B105)</f>
        <v>09.1.3-CPVA-R-724-11-0004</v>
      </c>
      <c r="D106" s="11" t="str">
        <f>CONCATENATE('3 pr-2'!D106)</f>
        <v>Modernių ir saugių erdvių sukūrimas bendrojo ugdymo mokyklose Druskininkų sav.</v>
      </c>
      <c r="E106" s="11" t="str">
        <f>CONCATENATE('3 pr-2'!E106)</f>
        <v>Druskininkų savivaldybės administracija</v>
      </c>
      <c r="F106" s="11" t="str">
        <f>CONCATENATE('3 pr-2'!F106)</f>
        <v>Lietuvos Respublikos švietimo ir mokslo ministerija</v>
      </c>
      <c r="G106" s="11" t="str">
        <f>CONCATENATE('3 pr-2'!G106)</f>
        <v>Druskininkų sav.</v>
      </c>
      <c r="H106" s="130" t="str">
        <f>CONCATENATE('3 pr-2'!H106)</f>
        <v>09.1.3-CPVA-R-724</v>
      </c>
      <c r="I106" s="130" t="str">
        <f>CONCATENATE('3 pr-2'!I106)</f>
        <v>R</v>
      </c>
      <c r="J106" s="130" t="str">
        <f>CONCATENATE('3 pr-2'!J106)</f>
        <v>-</v>
      </c>
      <c r="K106" s="130" t="str">
        <f>CONCATENATE('3 pr-2'!K106)</f>
        <v>-</v>
      </c>
      <c r="L106" s="130" t="s">
        <v>504</v>
      </c>
      <c r="M106" s="471" t="s">
        <v>505</v>
      </c>
      <c r="N106" s="1699"/>
      <c r="O106" s="1699"/>
      <c r="P106" s="1699"/>
      <c r="Q106" s="1699"/>
      <c r="R106" s="1699"/>
      <c r="S106" s="1699"/>
      <c r="T106" s="1699"/>
      <c r="U106" s="1700">
        <f t="shared" si="433"/>
        <v>0</v>
      </c>
      <c r="V106" s="130">
        <v>1</v>
      </c>
      <c r="W106" s="1757">
        <v>1</v>
      </c>
      <c r="X106" s="1732">
        <f>SUM(W106-V106)</f>
        <v>0</v>
      </c>
      <c r="Y106" s="1732">
        <f>IF(YEAR('3 pr-2'!$AK106)=2017,$V106,0)</f>
        <v>0</v>
      </c>
      <c r="Z106" s="1732">
        <f>IF(YEAR('3 pr-2'!$AK106)=2018,$V106,0)</f>
        <v>0</v>
      </c>
      <c r="AA106" s="1732">
        <f>IF(YEAR('3 pr-2'!$AK106)=2019,$V106,0)</f>
        <v>1</v>
      </c>
      <c r="AB106" s="1732">
        <f>IF(YEAR('3 pr-2'!$AK106)=2020,$V106,0)</f>
        <v>0</v>
      </c>
      <c r="AC106" s="1732">
        <f>IF(YEAR('3 pr-2'!$AK106)=2021,$V106,0)</f>
        <v>0</v>
      </c>
      <c r="AD106" s="1732">
        <f>IF(YEAR('3 pr-2'!$AK106)=2022,$V106,0)</f>
        <v>0</v>
      </c>
      <c r="AE106" s="1732">
        <f>IF(YEAR('3 pr-2'!$AK106)=2023,$V106,0)</f>
        <v>0</v>
      </c>
      <c r="AF106" s="317" t="s">
        <v>506</v>
      </c>
      <c r="AG106" s="471" t="s">
        <v>507</v>
      </c>
      <c r="AH106" s="1699"/>
      <c r="AI106" s="1699"/>
      <c r="AJ106" s="1699"/>
      <c r="AK106" s="1699"/>
      <c r="AL106" s="1699"/>
      <c r="AM106" s="1699"/>
      <c r="AN106" s="1699"/>
      <c r="AO106" s="1718">
        <f t="shared" si="441"/>
        <v>0</v>
      </c>
      <c r="AP106" s="130">
        <v>650</v>
      </c>
      <c r="AQ106" s="1778">
        <v>650</v>
      </c>
      <c r="AR106" s="1732">
        <f>SUM(AQ106-AP106)</f>
        <v>0</v>
      </c>
      <c r="AS106" s="1732">
        <f>IF(YEAR('3 pr-2'!$AK106)=2017,$AP106,0)</f>
        <v>0</v>
      </c>
      <c r="AT106" s="1732">
        <f>IF(YEAR('3 pr-2'!$AK106)=2018,$AP106,0)</f>
        <v>0</v>
      </c>
      <c r="AU106" s="1732">
        <f>IF(YEAR('3 pr-2'!$AK106)=2019,$AP106,0)</f>
        <v>650</v>
      </c>
      <c r="AV106" s="1732">
        <f>IF(YEAR('3 pr-2'!$AK106)=2020,$AP106,0)</f>
        <v>0</v>
      </c>
      <c r="AW106" s="1732">
        <f>IF(YEAR('3 pr-2'!$AK106)=2021,$AP106,0)</f>
        <v>0</v>
      </c>
      <c r="AX106" s="1732">
        <f>IF(YEAR('3 pr-2'!$AK106)=2022,$AP106,0)</f>
        <v>0</v>
      </c>
      <c r="AY106" s="1732">
        <f>IF(YEAR('3 pr-2'!$AK106)=2023,$AP106,0)</f>
        <v>0</v>
      </c>
      <c r="AZ106" s="130"/>
      <c r="BA106" s="470"/>
      <c r="BB106" s="1699"/>
      <c r="BC106" s="1699"/>
      <c r="BD106" s="1699"/>
      <c r="BE106" s="1699"/>
      <c r="BF106" s="1699"/>
      <c r="BG106" s="1699"/>
      <c r="BH106" s="1699"/>
      <c r="BI106" s="1718">
        <f t="shared" si="455"/>
        <v>0</v>
      </c>
      <c r="BJ106" s="130"/>
      <c r="BK106" s="1501"/>
      <c r="BL106" s="130"/>
      <c r="BM106" s="130">
        <f>IF(YEAR('3 pr-2'!AK106)=2017,BJ106,0)</f>
        <v>0</v>
      </c>
      <c r="BN106" s="130">
        <f>IF(YEAR('3 pr-2'!AK106)=2018,BJ106,0)</f>
        <v>0</v>
      </c>
      <c r="BO106" s="130">
        <f>IF(YEAR('3 pr-2'!AK106)=2019,BJ106,0)</f>
        <v>0</v>
      </c>
      <c r="BP106" s="130">
        <f>IF(YEAR('3 pr-2'!AK106)=2020,BJ106,0)</f>
        <v>0</v>
      </c>
      <c r="BQ106" s="130">
        <f>IF(YEAR('3 pr-2'!AK106)=2021,BJ106,0)</f>
        <v>0</v>
      </c>
      <c r="BR106" s="130">
        <f>IF(YEAR('3 pr-2'!AK106)=2022,BJ106,0)</f>
        <v>0</v>
      </c>
      <c r="BS106" s="130">
        <f>IF(YEAR('3 pr-2'!AK106)=2023,BJ106,0)</f>
        <v>0</v>
      </c>
      <c r="BT106" s="317"/>
      <c r="BU106" s="471"/>
      <c r="BV106" s="1699"/>
      <c r="BW106" s="1699"/>
      <c r="BX106" s="1699"/>
      <c r="BY106" s="1699"/>
      <c r="BZ106" s="1699"/>
      <c r="CA106" s="1699"/>
      <c r="CB106" s="1699"/>
      <c r="CC106" s="1718">
        <f t="shared" si="462"/>
        <v>0</v>
      </c>
      <c r="CD106" s="130"/>
      <c r="CE106" s="130"/>
      <c r="CF106" s="130"/>
      <c r="CG106" s="130">
        <f>IF(YEAR('3 pr-2'!$AK106)=2017,$CD106,0)</f>
        <v>0</v>
      </c>
      <c r="CH106" s="130">
        <f>IF(YEAR('3 pr-2'!$AK106)=2018,$CD106,0)</f>
        <v>0</v>
      </c>
      <c r="CI106" s="130">
        <f>IF(YEAR('3 pr-2'!$AK106)=2019,$CD106,0)</f>
        <v>0</v>
      </c>
      <c r="CJ106" s="130">
        <f>IF(YEAR('3 pr-2'!$AK106)=2020,$CD106,0)</f>
        <v>0</v>
      </c>
      <c r="CK106" s="130">
        <f>IF(YEAR('3 pr-2'!$AK106)=2021,$CD106,0)</f>
        <v>0</v>
      </c>
      <c r="CL106" s="130">
        <f>IF(YEAR('3 pr-2'!$AK106)=2022,$CD106,0)</f>
        <v>0</v>
      </c>
      <c r="CM106" s="130">
        <f>IF(YEAR('3 pr-2'!$AK106)=2023,$CD106,0)</f>
        <v>0</v>
      </c>
      <c r="CN106" s="317"/>
      <c r="CO106" s="472"/>
      <c r="CP106" s="1699"/>
      <c r="CQ106" s="1699"/>
      <c r="CR106" s="1699"/>
      <c r="CS106" s="1699"/>
      <c r="CT106" s="1699"/>
      <c r="CU106" s="1699"/>
      <c r="CV106" s="1699"/>
      <c r="CW106" s="1718">
        <f t="shared" si="469"/>
        <v>0</v>
      </c>
      <c r="CX106" s="318"/>
      <c r="CY106" s="303"/>
      <c r="CZ106" s="303"/>
      <c r="DA106" s="506">
        <f>IF(YEAR('3 pr-2'!AK106)=2017,CX106,0)</f>
        <v>0</v>
      </c>
      <c r="DB106" s="506">
        <f>IF(YEAR('3 pr-2'!AK106)=2018,CX106,0)</f>
        <v>0</v>
      </c>
      <c r="DC106" s="506">
        <f>IF(YEAR('3 pr-2'!AK106)=2019,CX106,0)</f>
        <v>0</v>
      </c>
      <c r="DD106" s="506">
        <f>IF(YEAR('3 pr-2'!AK106)=2020,CX106,0)</f>
        <v>0</v>
      </c>
      <c r="DE106" s="506">
        <f>IF(YEAR('3 pr-2'!AK106)=2021,CX106,0)</f>
        <v>0</v>
      </c>
      <c r="DF106" s="506">
        <f>IF(YEAR('3 pr-2'!AK106)=2022,CX106,0)</f>
        <v>0</v>
      </c>
      <c r="DG106" s="506">
        <f>IF(YEAR('3 pr-2'!AK106)=2023,CX106,0)</f>
        <v>0</v>
      </c>
      <c r="DH106" s="317"/>
      <c r="DI106" s="472"/>
      <c r="DJ106" s="130"/>
      <c r="DK106" s="130"/>
      <c r="DL106" s="130"/>
      <c r="DM106" s="130"/>
      <c r="DN106" s="130"/>
      <c r="DO106" s="130"/>
      <c r="DP106" s="130"/>
      <c r="DQ106" s="756"/>
      <c r="DR106" s="318"/>
      <c r="DS106" s="303"/>
      <c r="DT106" s="303"/>
      <c r="DU106" s="506"/>
      <c r="DV106" s="506"/>
      <c r="DW106" s="506"/>
      <c r="DX106" s="506"/>
      <c r="DY106" s="506"/>
      <c r="DZ106" s="506"/>
      <c r="EA106" s="506"/>
      <c r="EB106" s="317"/>
      <c r="EC106" s="472"/>
      <c r="ED106" s="303"/>
      <c r="EE106" s="303"/>
      <c r="EF106" s="303"/>
      <c r="EG106" s="506">
        <f>IF(YEAR('3 pr-2'!BP106)=2017,ED106,0)</f>
        <v>0</v>
      </c>
      <c r="EH106" s="506">
        <f>IF(YEAR('3 pr-2'!BP106)=2018,ED106,0)</f>
        <v>0</v>
      </c>
      <c r="EI106" s="506">
        <f>IF(YEAR('3 pr-2'!BP106)=2019,ED106,0)</f>
        <v>0</v>
      </c>
      <c r="EJ106" s="506">
        <f>IF(YEAR('3 pr-2'!BP106)=2020,ED106,0)</f>
        <v>0</v>
      </c>
      <c r="EK106" s="506">
        <f>IF(YEAR('3 pr-2'!BP106)=2021,ED106,0)</f>
        <v>0</v>
      </c>
      <c r="EL106" s="506">
        <f>IF(YEAR('3 pr-2'!BP106)=2022,ED106,0)</f>
        <v>0</v>
      </c>
      <c r="EM106" s="506">
        <f>IF(YEAR('3 pr-2'!BP106)=2023,ED106,0)</f>
        <v>0</v>
      </c>
    </row>
    <row r="107" spans="1:143" ht="61.5" thickTop="1" thickBot="1">
      <c r="A107" s="130" t="str">
        <f>CONCATENATE('3 pr-2'!A107)</f>
        <v>2.1.1.1.5</v>
      </c>
      <c r="B107" s="130" t="str">
        <f>CONCATENATE('3 pr-2'!B107)</f>
        <v>R01-7724-220000-2115</v>
      </c>
      <c r="C107" s="1730" t="str">
        <f>CONCATENATE('ketv. 2'!B106)</f>
        <v>09.1.3-CPVA-R-724-11-0001</v>
      </c>
      <c r="D107" s="11" t="str">
        <f>CONCATENATE('3 pr-2'!D107)</f>
        <v>Modernių ir saugių erdvių sukūrimas bendrojo ugdymo įstaigose Lazdijų rajono savivaldybėje</v>
      </c>
      <c r="E107" s="11" t="str">
        <f>CONCATENATE('3 pr-2'!E107)</f>
        <v>Lazdijų rajono savivaldybės administracija</v>
      </c>
      <c r="F107" s="11" t="str">
        <f>CONCATENATE('3 pr-2'!F107)</f>
        <v>Lietuvos Respublikos švietimo ir mokslo ministerija</v>
      </c>
      <c r="G107" s="11" t="str">
        <f>CONCATENATE('3 pr-2'!G107)</f>
        <v>Lazdijų r. sav.</v>
      </c>
      <c r="H107" s="130" t="str">
        <f>CONCATENATE('3 pr-2'!H107)</f>
        <v>09.1.3-CPVA-R-724</v>
      </c>
      <c r="I107" s="130" t="str">
        <f>CONCATENATE('3 pr-2'!I107)</f>
        <v>R</v>
      </c>
      <c r="J107" s="130" t="str">
        <f>CONCATENATE('3 pr-2'!J107)</f>
        <v>-</v>
      </c>
      <c r="K107" s="130" t="str">
        <f>CONCATENATE('3 pr-2'!K107)</f>
        <v>-</v>
      </c>
      <c r="L107" s="130" t="s">
        <v>504</v>
      </c>
      <c r="M107" s="471" t="s">
        <v>505</v>
      </c>
      <c r="N107" s="1699"/>
      <c r="O107" s="1699"/>
      <c r="P107" s="1699"/>
      <c r="Q107" s="1699"/>
      <c r="R107" s="1699"/>
      <c r="S107" s="1699"/>
      <c r="T107" s="1699"/>
      <c r="U107" s="1700">
        <f t="shared" si="433"/>
        <v>0</v>
      </c>
      <c r="V107" s="130">
        <v>3</v>
      </c>
      <c r="W107" s="1757">
        <v>3</v>
      </c>
      <c r="X107" s="1732">
        <f>SUM(W107-V107)</f>
        <v>0</v>
      </c>
      <c r="Y107" s="1732">
        <f>IF(YEAR('3 pr-2'!$AK107)=2017,$V107,0)</f>
        <v>0</v>
      </c>
      <c r="Z107" s="1732">
        <f>IF(YEAR('3 pr-2'!$AK107)=2018,$V107,0)</f>
        <v>0</v>
      </c>
      <c r="AA107" s="1732">
        <f>IF(YEAR('3 pr-2'!$AK107)=2019,$V107,0)</f>
        <v>3</v>
      </c>
      <c r="AB107" s="1732">
        <f>IF(YEAR('3 pr-2'!$AK107)=2020,$V107,0)</f>
        <v>0</v>
      </c>
      <c r="AC107" s="1732">
        <f>IF(YEAR('3 pr-2'!$AK107)=2021,$V107,0)</f>
        <v>0</v>
      </c>
      <c r="AD107" s="1732">
        <f>IF(YEAR('3 pr-2'!$AK107)=2022,$V107,0)</f>
        <v>0</v>
      </c>
      <c r="AE107" s="1732">
        <f>IF(YEAR('3 pr-2'!$AK107)=2023,$V107,0)</f>
        <v>0</v>
      </c>
      <c r="AF107" s="317" t="s">
        <v>506</v>
      </c>
      <c r="AG107" s="471" t="s">
        <v>507</v>
      </c>
      <c r="AH107" s="1699"/>
      <c r="AI107" s="1699"/>
      <c r="AJ107" s="1699"/>
      <c r="AK107" s="1699"/>
      <c r="AL107" s="1699"/>
      <c r="AM107" s="1699"/>
      <c r="AN107" s="1699"/>
      <c r="AO107" s="1718">
        <f t="shared" si="441"/>
        <v>0</v>
      </c>
      <c r="AP107" s="130">
        <v>1020</v>
      </c>
      <c r="AQ107" s="1778">
        <v>1020</v>
      </c>
      <c r="AR107" s="1732">
        <f>SUM(AQ107-AP107)</f>
        <v>0</v>
      </c>
      <c r="AS107" s="1732">
        <f>IF(YEAR('3 pr-2'!$AK107)=2017,$AP107,0)</f>
        <v>0</v>
      </c>
      <c r="AT107" s="1732">
        <f>IF(YEAR('3 pr-2'!$AK107)=2018,$AP107,0)</f>
        <v>0</v>
      </c>
      <c r="AU107" s="1732">
        <f>IF(YEAR('3 pr-2'!$AK107)=2019,$AP107,0)</f>
        <v>1020</v>
      </c>
      <c r="AV107" s="1732">
        <f>IF(YEAR('3 pr-2'!$AK107)=2020,$AP107,0)</f>
        <v>0</v>
      </c>
      <c r="AW107" s="1732">
        <f>IF(YEAR('3 pr-2'!$AK107)=2021,$AP107,0)</f>
        <v>0</v>
      </c>
      <c r="AX107" s="1732">
        <f>IF(YEAR('3 pr-2'!$AK107)=2022,$AP107,0)</f>
        <v>0</v>
      </c>
      <c r="AY107" s="1732">
        <f>IF(YEAR('3 pr-2'!$AK107)=2023,$AP107,0)</f>
        <v>0</v>
      </c>
      <c r="AZ107" s="130"/>
      <c r="BA107" s="470"/>
      <c r="BB107" s="1699"/>
      <c r="BC107" s="1699"/>
      <c r="BD107" s="1699"/>
      <c r="BE107" s="1699"/>
      <c r="BF107" s="1699"/>
      <c r="BG107" s="1699"/>
      <c r="BH107" s="1699"/>
      <c r="BI107" s="1718">
        <f t="shared" si="455"/>
        <v>0</v>
      </c>
      <c r="BJ107" s="130"/>
      <c r="BK107" s="1501"/>
      <c r="BL107" s="130"/>
      <c r="BM107" s="130">
        <f>IF(YEAR('3 pr-2'!AK107)=2017,BJ107,0)</f>
        <v>0</v>
      </c>
      <c r="BN107" s="130">
        <f>IF(YEAR('3 pr-2'!AK107)=2018,BJ107,0)</f>
        <v>0</v>
      </c>
      <c r="BO107" s="130">
        <f>IF(YEAR('3 pr-2'!AK107)=2019,BJ107,0)</f>
        <v>0</v>
      </c>
      <c r="BP107" s="130">
        <f>IF(YEAR('3 pr-2'!AK107)=2020,BJ107,0)</f>
        <v>0</v>
      </c>
      <c r="BQ107" s="130">
        <f>IF(YEAR('3 pr-2'!AK107)=2021,BJ107,0)</f>
        <v>0</v>
      </c>
      <c r="BR107" s="130">
        <f>IF(YEAR('3 pr-2'!AK107)=2022,BJ107,0)</f>
        <v>0</v>
      </c>
      <c r="BS107" s="130">
        <f>IF(YEAR('3 pr-2'!AK107)=2023,BJ107,0)</f>
        <v>0</v>
      </c>
      <c r="BT107" s="317"/>
      <c r="BU107" s="471"/>
      <c r="BV107" s="1699"/>
      <c r="BW107" s="1699"/>
      <c r="BX107" s="1699"/>
      <c r="BY107" s="1699"/>
      <c r="BZ107" s="1699"/>
      <c r="CA107" s="1699"/>
      <c r="CB107" s="1699"/>
      <c r="CC107" s="1718">
        <f t="shared" si="462"/>
        <v>0</v>
      </c>
      <c r="CD107" s="130"/>
      <c r="CE107" s="130"/>
      <c r="CF107" s="130"/>
      <c r="CG107" s="130">
        <f>IF(YEAR('3 pr-2'!AK107)=2017,CD107,0)</f>
        <v>0</v>
      </c>
      <c r="CH107" s="130">
        <f>IF(YEAR('3 pr-2'!AK107)=2018,CD107,0)</f>
        <v>0</v>
      </c>
      <c r="CI107" s="130">
        <f>IF(YEAR('3 pr-2'!AK107)=2019,CD107,0)</f>
        <v>0</v>
      </c>
      <c r="CJ107" s="130">
        <f>IF(YEAR('3 pr-2'!AK107)=2020,CD107,0)</f>
        <v>0</v>
      </c>
      <c r="CK107" s="130">
        <f>IF(YEAR('3 pr-2'!AK107)=2021,CD107,0)</f>
        <v>0</v>
      </c>
      <c r="CL107" s="130">
        <f>IF(YEAR('3 pr-2'!AK107)=2022,CD107,0)</f>
        <v>0</v>
      </c>
      <c r="CM107" s="130">
        <f>IF(YEAR('3 pr-2'!AK107)=2023,CD107,0)</f>
        <v>0</v>
      </c>
      <c r="CN107" s="317"/>
      <c r="CO107" s="472"/>
      <c r="CP107" s="1699"/>
      <c r="CQ107" s="1699"/>
      <c r="CR107" s="1699"/>
      <c r="CS107" s="1699"/>
      <c r="CT107" s="1699"/>
      <c r="CU107" s="1699"/>
      <c r="CV107" s="1699"/>
      <c r="CW107" s="1718">
        <f t="shared" si="469"/>
        <v>0</v>
      </c>
      <c r="CX107" s="318"/>
      <c r="CY107" s="303"/>
      <c r="CZ107" s="303"/>
      <c r="DA107" s="506">
        <f>IF(YEAR('3 pr-2'!AK107)=2017,CX107,0)</f>
        <v>0</v>
      </c>
      <c r="DB107" s="506">
        <f>IF(YEAR('3 pr-2'!AK107)=2018,CX107,0)</f>
        <v>0</v>
      </c>
      <c r="DC107" s="506">
        <f>IF(YEAR('3 pr-2'!AK107)=2019,CX107,0)</f>
        <v>0</v>
      </c>
      <c r="DD107" s="506">
        <f>IF(YEAR('3 pr-2'!AK107)=2020,CX107,0)</f>
        <v>0</v>
      </c>
      <c r="DE107" s="506">
        <f>IF(YEAR('3 pr-2'!AK107)=2021,CX107,0)</f>
        <v>0</v>
      </c>
      <c r="DF107" s="506">
        <f>IF(YEAR('3 pr-2'!AK107)=2022,CX107,0)</f>
        <v>0</v>
      </c>
      <c r="DG107" s="506">
        <f>IF(YEAR('3 pr-2'!AK107)=2023,CX107,0)</f>
        <v>0</v>
      </c>
      <c r="DH107" s="317"/>
      <c r="DI107" s="472"/>
      <c r="DJ107" s="130"/>
      <c r="DK107" s="130"/>
      <c r="DL107" s="130"/>
      <c r="DM107" s="130"/>
      <c r="DN107" s="130"/>
      <c r="DO107" s="130"/>
      <c r="DP107" s="130"/>
      <c r="DQ107" s="756"/>
      <c r="DR107" s="318"/>
      <c r="DS107" s="303"/>
      <c r="DT107" s="303"/>
      <c r="DU107" s="506"/>
      <c r="DV107" s="506"/>
      <c r="DW107" s="506"/>
      <c r="DX107" s="506"/>
      <c r="DY107" s="506"/>
      <c r="DZ107" s="506"/>
      <c r="EA107" s="506"/>
      <c r="EB107" s="317"/>
      <c r="EC107" s="472"/>
      <c r="ED107" s="303"/>
      <c r="EE107" s="303"/>
      <c r="EF107" s="303"/>
      <c r="EG107" s="506">
        <f>IF(YEAR('3 pr-2'!BP107)=2017,ED107,0)</f>
        <v>0</v>
      </c>
      <c r="EH107" s="506">
        <f>IF(YEAR('3 pr-2'!BP107)=2018,ED107,0)</f>
        <v>0</v>
      </c>
      <c r="EI107" s="506">
        <f>IF(YEAR('3 pr-2'!BP107)=2019,ED107,0)</f>
        <v>0</v>
      </c>
      <c r="EJ107" s="506">
        <f>IF(YEAR('3 pr-2'!BP107)=2020,ED107,0)</f>
        <v>0</v>
      </c>
      <c r="EK107" s="506">
        <f>IF(YEAR('3 pr-2'!BP107)=2021,ED107,0)</f>
        <v>0</v>
      </c>
      <c r="EL107" s="506">
        <f>IF(YEAR('3 pr-2'!BP107)=2022,ED107,0)</f>
        <v>0</v>
      </c>
      <c r="EM107" s="506">
        <f>IF(YEAR('3 pr-2'!BP107)=2023,ED107,0)</f>
        <v>0</v>
      </c>
    </row>
    <row r="108" spans="1:143" ht="33" customHeight="1" thickBot="1">
      <c r="A108" s="697" t="str">
        <f>CONCATENATE('3 pr-2'!A108)</f>
        <v>2.1.1.2</v>
      </c>
      <c r="B108" s="1972" t="str">
        <f>CONCATENATE('3 pr-2'!B108)</f>
        <v>Priemonė:
Neformaliojo švietimo infrastruktūros tobulinimas</v>
      </c>
      <c r="C108" s="1894"/>
      <c r="D108" s="1894"/>
      <c r="E108" s="1894"/>
      <c r="F108" s="1894"/>
      <c r="G108" s="1894"/>
      <c r="H108" s="1894"/>
      <c r="I108" s="1894"/>
      <c r="J108" s="1894"/>
      <c r="K108" s="1895"/>
      <c r="L108" s="1322"/>
      <c r="M108" s="474"/>
      <c r="N108" s="1697">
        <f>SUM(N109:N113)</f>
        <v>0</v>
      </c>
      <c r="O108" s="1697">
        <f t="shared" ref="O108:T108" si="470">SUM(O109:O113)</f>
        <v>0</v>
      </c>
      <c r="P108" s="1697">
        <f t="shared" si="470"/>
        <v>0</v>
      </c>
      <c r="Q108" s="1697">
        <f t="shared" si="470"/>
        <v>0</v>
      </c>
      <c r="R108" s="1697">
        <f t="shared" si="470"/>
        <v>0</v>
      </c>
      <c r="S108" s="1697">
        <f t="shared" si="470"/>
        <v>0</v>
      </c>
      <c r="T108" s="1697">
        <f t="shared" si="470"/>
        <v>0</v>
      </c>
      <c r="U108" s="1698">
        <f t="shared" ref="U108:U113" si="471">SUM(N108:T108)</f>
        <v>0</v>
      </c>
      <c r="V108" s="736"/>
      <c r="W108" s="1754"/>
      <c r="X108" s="1755"/>
      <c r="Y108" s="1756">
        <f t="shared" ref="Y108:AE108" si="472">SUM(Y109:Y113)</f>
        <v>0</v>
      </c>
      <c r="Z108" s="1756">
        <f t="shared" si="472"/>
        <v>1</v>
      </c>
      <c r="AA108" s="1756">
        <f t="shared" si="472"/>
        <v>3</v>
      </c>
      <c r="AB108" s="1756">
        <f t="shared" si="472"/>
        <v>1</v>
      </c>
      <c r="AC108" s="1756">
        <f t="shared" si="472"/>
        <v>0</v>
      </c>
      <c r="AD108" s="1756">
        <f t="shared" si="472"/>
        <v>0</v>
      </c>
      <c r="AE108" s="1756">
        <f t="shared" si="472"/>
        <v>0</v>
      </c>
      <c r="AF108" s="746"/>
      <c r="AG108" s="752"/>
      <c r="AH108" s="1697">
        <f>SUM(AH109:AH113)</f>
        <v>0</v>
      </c>
      <c r="AI108" s="1697">
        <f t="shared" ref="AI108" si="473">SUM(AI109:AI113)</f>
        <v>0</v>
      </c>
      <c r="AJ108" s="1697">
        <f t="shared" ref="AJ108" si="474">SUM(AJ109:AJ113)</f>
        <v>0</v>
      </c>
      <c r="AK108" s="1697">
        <f t="shared" ref="AK108" si="475">SUM(AK109:AK113)</f>
        <v>0</v>
      </c>
      <c r="AL108" s="1697">
        <f t="shared" ref="AL108" si="476">SUM(AL109:AL113)</f>
        <v>0</v>
      </c>
      <c r="AM108" s="1697">
        <f t="shared" ref="AM108" si="477">SUM(AM109:AM113)</f>
        <v>0</v>
      </c>
      <c r="AN108" s="1697">
        <f t="shared" ref="AN108" si="478">SUM(AN109:AN113)</f>
        <v>0</v>
      </c>
      <c r="AO108" s="1701">
        <f t="shared" si="441"/>
        <v>0</v>
      </c>
      <c r="AP108" s="736"/>
      <c r="AQ108" s="1756"/>
      <c r="AR108" s="1756"/>
      <c r="AS108" s="1756">
        <f t="shared" ref="AS108:AY108" si="479">SUM(AS109:AS113)</f>
        <v>0</v>
      </c>
      <c r="AT108" s="1756">
        <f t="shared" si="479"/>
        <v>380</v>
      </c>
      <c r="AU108" s="1756">
        <f t="shared" si="479"/>
        <v>1280</v>
      </c>
      <c r="AV108" s="1756">
        <f t="shared" si="479"/>
        <v>384</v>
      </c>
      <c r="AW108" s="1756">
        <f t="shared" si="479"/>
        <v>0</v>
      </c>
      <c r="AX108" s="1756">
        <f t="shared" si="479"/>
        <v>0</v>
      </c>
      <c r="AY108" s="1756">
        <f t="shared" si="479"/>
        <v>0</v>
      </c>
      <c r="AZ108" s="736"/>
      <c r="BA108" s="752"/>
      <c r="BB108" s="1697">
        <f>SUM(BB109:BB113)</f>
        <v>0</v>
      </c>
      <c r="BC108" s="1697">
        <f t="shared" ref="BC108" si="480">SUM(BC109:BC113)</f>
        <v>0</v>
      </c>
      <c r="BD108" s="1697">
        <f t="shared" ref="BD108" si="481">SUM(BD109:BD113)</f>
        <v>0</v>
      </c>
      <c r="BE108" s="1697">
        <f t="shared" ref="BE108" si="482">SUM(BE109:BE113)</f>
        <v>0</v>
      </c>
      <c r="BF108" s="1697">
        <f t="shared" ref="BF108" si="483">SUM(BF109:BF113)</f>
        <v>0</v>
      </c>
      <c r="BG108" s="1697">
        <f t="shared" ref="BG108" si="484">SUM(BG109:BG113)</f>
        <v>0</v>
      </c>
      <c r="BH108" s="1697">
        <f t="shared" ref="BH108" si="485">SUM(BH109:BH113)</f>
        <v>0</v>
      </c>
      <c r="BI108" s="1701">
        <f t="shared" si="455"/>
        <v>0</v>
      </c>
      <c r="BJ108" s="736"/>
      <c r="BK108" s="304"/>
      <c r="BL108" s="304"/>
      <c r="BM108" s="304"/>
      <c r="BN108" s="304"/>
      <c r="BO108" s="304"/>
      <c r="BP108" s="304"/>
      <c r="BQ108" s="304"/>
      <c r="BR108" s="304"/>
      <c r="BS108" s="304"/>
      <c r="BT108" s="304"/>
      <c r="BU108" s="472"/>
      <c r="BV108" s="1697">
        <f>SUM(BV109:BV113)</f>
        <v>0</v>
      </c>
      <c r="BW108" s="1697">
        <f t="shared" ref="BW108" si="486">SUM(BW109:BW113)</f>
        <v>0</v>
      </c>
      <c r="BX108" s="1697">
        <f t="shared" ref="BX108" si="487">SUM(BX109:BX113)</f>
        <v>0</v>
      </c>
      <c r="BY108" s="1697">
        <f t="shared" ref="BY108" si="488">SUM(BY109:BY113)</f>
        <v>0</v>
      </c>
      <c r="BZ108" s="1697">
        <f t="shared" ref="BZ108" si="489">SUM(BZ109:BZ113)</f>
        <v>0</v>
      </c>
      <c r="CA108" s="1697">
        <f t="shared" ref="CA108" si="490">SUM(CA109:CA113)</f>
        <v>0</v>
      </c>
      <c r="CB108" s="1697">
        <f t="shared" ref="CB108" si="491">SUM(CB109:CB113)</f>
        <v>0</v>
      </c>
      <c r="CC108" s="1701">
        <f t="shared" si="462"/>
        <v>0</v>
      </c>
      <c r="CD108" s="304"/>
      <c r="CE108" s="304"/>
      <c r="CF108" s="304"/>
      <c r="CG108" s="304"/>
      <c r="CH108" s="304"/>
      <c r="CI108" s="304"/>
      <c r="CJ108" s="304"/>
      <c r="CK108" s="304"/>
      <c r="CL108" s="304"/>
      <c r="CM108" s="304"/>
      <c r="CN108" s="304"/>
      <c r="CO108" s="472"/>
      <c r="CP108" s="1697">
        <f>SUM(CP109:CP113)</f>
        <v>0</v>
      </c>
      <c r="CQ108" s="1697">
        <f t="shared" ref="CQ108" si="492">SUM(CQ109:CQ113)</f>
        <v>0</v>
      </c>
      <c r="CR108" s="1697">
        <f t="shared" ref="CR108" si="493">SUM(CR109:CR113)</f>
        <v>0</v>
      </c>
      <c r="CS108" s="1697">
        <f t="shared" ref="CS108" si="494">SUM(CS109:CS113)</f>
        <v>0</v>
      </c>
      <c r="CT108" s="1697">
        <f t="shared" ref="CT108" si="495">SUM(CT109:CT113)</f>
        <v>0</v>
      </c>
      <c r="CU108" s="1697">
        <f t="shared" ref="CU108" si="496">SUM(CU109:CU113)</f>
        <v>0</v>
      </c>
      <c r="CV108" s="1697">
        <f t="shared" ref="CV108" si="497">SUM(CV109:CV113)</f>
        <v>0</v>
      </c>
      <c r="CW108" s="1701">
        <f t="shared" si="469"/>
        <v>0</v>
      </c>
      <c r="CX108" s="304"/>
      <c r="CY108" s="506"/>
      <c r="CZ108" s="506"/>
      <c r="DA108" s="506"/>
      <c r="DB108" s="506"/>
      <c r="DC108" s="506"/>
      <c r="DD108" s="506"/>
      <c r="DE108" s="506"/>
      <c r="DF108" s="506"/>
      <c r="DG108" s="506"/>
      <c r="DH108" s="304"/>
      <c r="DI108" s="472"/>
      <c r="DJ108" s="304"/>
      <c r="DK108" s="304"/>
      <c r="DL108" s="304"/>
      <c r="DM108" s="304"/>
      <c r="DN108" s="304"/>
      <c r="DO108" s="304"/>
      <c r="DP108" s="304"/>
      <c r="DQ108" s="736"/>
      <c r="DR108" s="304"/>
      <c r="DS108" s="506"/>
      <c r="DT108" s="506"/>
      <c r="DU108" s="506"/>
      <c r="DV108" s="506"/>
      <c r="DW108" s="506"/>
      <c r="DX108" s="506"/>
      <c r="DY108" s="506"/>
      <c r="DZ108" s="506"/>
      <c r="EA108" s="506"/>
      <c r="EB108" s="304"/>
      <c r="EC108" s="472"/>
      <c r="ED108" s="506"/>
      <c r="EE108" s="506"/>
      <c r="EF108" s="506"/>
      <c r="EG108" s="506"/>
      <c r="EH108" s="506"/>
      <c r="EI108" s="506"/>
      <c r="EJ108" s="506"/>
      <c r="EK108" s="506"/>
      <c r="EL108" s="506"/>
      <c r="EM108" s="506"/>
    </row>
    <row r="109" spans="1:143" ht="61.5" thickTop="1" thickBot="1">
      <c r="A109" s="130" t="str">
        <f>CONCATENATE('3 pr-2'!A109)</f>
        <v>2.1.1.2.1</v>
      </c>
      <c r="B109" s="130" t="str">
        <f>CONCATENATE('3 pr-2'!B109)</f>
        <v>R01-7725-240000-2121</v>
      </c>
      <c r="C109" s="1730" t="str">
        <f>CONCATENATE('ketv. 2'!B108)</f>
        <v>09.1.3-CPVA-R-725-11-0003</v>
      </c>
      <c r="D109" s="11" t="str">
        <f>CONCATENATE('3 pr-2'!D109)</f>
        <v>Varėnos moksleivių kūrybos centro pastato J.Basanavičiaus g. 38, Varėnoje, modernizavimas</v>
      </c>
      <c r="E109" s="11" t="str">
        <f>CONCATENATE('3 pr-2'!E109)</f>
        <v>Varėnos rajono savivaldybės administracija</v>
      </c>
      <c r="F109" s="11" t="str">
        <f>CONCATENATE('3 pr-2'!F109)</f>
        <v>Lietuvos Respublikos švietimo ir mokslo ministerija</v>
      </c>
      <c r="G109" s="11" t="str">
        <f>CONCATENATE('3 pr-2'!G109)</f>
        <v>Varėnos r. sav.</v>
      </c>
      <c r="H109" s="130" t="str">
        <f>CONCATENATE('3 pr-2'!H109)</f>
        <v>09.13.CPVA-R-725</v>
      </c>
      <c r="I109" s="130" t="str">
        <f>CONCATENATE('3 pr-2'!I109)</f>
        <v>R</v>
      </c>
      <c r="J109" s="130" t="str">
        <f>CONCATENATE('3 pr-2'!J109)</f>
        <v>-</v>
      </c>
      <c r="K109" s="130" t="str">
        <f>CONCATENATE('3 pr-2'!K109)</f>
        <v>-</v>
      </c>
      <c r="L109" s="130" t="s">
        <v>508</v>
      </c>
      <c r="M109" s="471" t="s">
        <v>509</v>
      </c>
      <c r="N109" s="1699"/>
      <c r="O109" s="1699"/>
      <c r="P109" s="1699"/>
      <c r="Q109" s="1699"/>
      <c r="R109" s="1699"/>
      <c r="S109" s="1699"/>
      <c r="T109" s="1699"/>
      <c r="U109" s="1700">
        <f t="shared" si="471"/>
        <v>0</v>
      </c>
      <c r="V109" s="130">
        <v>1</v>
      </c>
      <c r="W109" s="1757">
        <v>1</v>
      </c>
      <c r="X109" s="1732">
        <f>SUM(W109-V109)</f>
        <v>0</v>
      </c>
      <c r="Y109" s="1732">
        <f>IF(YEAR('3 pr-2'!$AK109)=2017,$V109,0)</f>
        <v>0</v>
      </c>
      <c r="Z109" s="1732">
        <f>IF(YEAR('3 pr-2'!$AK109)=2018,$V109,0)</f>
        <v>0</v>
      </c>
      <c r="AA109" s="1732">
        <f>IF(YEAR('3 pr-2'!$AK109)=2019,$V109,0)</f>
        <v>1</v>
      </c>
      <c r="AB109" s="1732">
        <f>IF(YEAR('3 pr-2'!$AK109)=2020,$V109,0)</f>
        <v>0</v>
      </c>
      <c r="AC109" s="1732">
        <f>IF(YEAR('3 pr-2'!$AK109)=2021,$V109,0)</f>
        <v>0</v>
      </c>
      <c r="AD109" s="1732">
        <f>IF(YEAR('3 pr-2'!$AK109)=2022,$V109,0)</f>
        <v>0</v>
      </c>
      <c r="AE109" s="1732">
        <f>IF(YEAR('3 pr-2'!$AK109)=2023,$V109,0)</f>
        <v>0</v>
      </c>
      <c r="AF109" s="317" t="s">
        <v>506</v>
      </c>
      <c r="AG109" s="471" t="s">
        <v>507</v>
      </c>
      <c r="AH109" s="1699"/>
      <c r="AI109" s="1699"/>
      <c r="AJ109" s="1699"/>
      <c r="AK109" s="1699"/>
      <c r="AL109" s="1699"/>
      <c r="AM109" s="1699"/>
      <c r="AN109" s="1699"/>
      <c r="AO109" s="1718">
        <f t="shared" si="441"/>
        <v>0</v>
      </c>
      <c r="AP109" s="130">
        <v>180</v>
      </c>
      <c r="AQ109" s="1778">
        <v>180</v>
      </c>
      <c r="AR109" s="1732">
        <f>SUM(AQ109-AP109)</f>
        <v>0</v>
      </c>
      <c r="AS109" s="1732">
        <f>IF(YEAR('3 pr-2'!$AK109)=2017,$AP109,0)</f>
        <v>0</v>
      </c>
      <c r="AT109" s="1732">
        <f>IF(YEAR('3 pr-2'!$AK109)=2018,$AP109,0)</f>
        <v>0</v>
      </c>
      <c r="AU109" s="1732">
        <f>IF(YEAR('3 pr-2'!$AK109)=2019,$AP109,0)</f>
        <v>180</v>
      </c>
      <c r="AV109" s="1732">
        <f>IF(YEAR('3 pr-2'!$AK109)=2020,$AP109,0)</f>
        <v>0</v>
      </c>
      <c r="AW109" s="1732">
        <f>IF(YEAR('3 pr-2'!$AK109)=2021,$AP109,0)</f>
        <v>0</v>
      </c>
      <c r="AX109" s="1732">
        <f>IF(YEAR('3 pr-2'!$AK109)=2022,$AP109,0)</f>
        <v>0</v>
      </c>
      <c r="AY109" s="1732">
        <f>IF(YEAR('3 pr-2'!$AK109)=2023,$AP109,0)</f>
        <v>0</v>
      </c>
      <c r="AZ109" s="130"/>
      <c r="BA109" s="470"/>
      <c r="BB109" s="1699"/>
      <c r="BC109" s="1699"/>
      <c r="BD109" s="1699"/>
      <c r="BE109" s="1699"/>
      <c r="BF109" s="1699"/>
      <c r="BG109" s="1699"/>
      <c r="BH109" s="1699"/>
      <c r="BI109" s="1718">
        <f t="shared" si="455"/>
        <v>0</v>
      </c>
      <c r="BJ109" s="130"/>
      <c r="BK109" s="1501"/>
      <c r="BL109" s="130"/>
      <c r="BM109" s="130">
        <f>IF(YEAR('3 pr-2'!$AK109)=2017,$BJ109,0)</f>
        <v>0</v>
      </c>
      <c r="BN109" s="130">
        <f>IF(YEAR('3 pr-2'!$AK109)=2018,$BJ109,0)</f>
        <v>0</v>
      </c>
      <c r="BO109" s="130">
        <f>IF(YEAR('3 pr-2'!$AK109)=2019,$BJ109,0)</f>
        <v>0</v>
      </c>
      <c r="BP109" s="130">
        <f>IF(YEAR('3 pr-2'!$AK109)=2020,$BJ109,0)</f>
        <v>0</v>
      </c>
      <c r="BQ109" s="130">
        <f>IF(YEAR('3 pr-2'!$AK109)=2021,$BJ109,0)</f>
        <v>0</v>
      </c>
      <c r="BR109" s="130">
        <f>IF(YEAR('3 pr-2'!$AK109)=2022,$BJ109,0)</f>
        <v>0</v>
      </c>
      <c r="BS109" s="130">
        <f>IF(YEAR('3 pr-2'!$AK109)=2023,$BJ109,0)</f>
        <v>0</v>
      </c>
      <c r="BT109" s="317"/>
      <c r="BU109" s="471"/>
      <c r="BV109" s="1699"/>
      <c r="BW109" s="1699"/>
      <c r="BX109" s="1699"/>
      <c r="BY109" s="1699"/>
      <c r="BZ109" s="1699"/>
      <c r="CA109" s="1699"/>
      <c r="CB109" s="1699"/>
      <c r="CC109" s="1718">
        <f t="shared" si="462"/>
        <v>0</v>
      </c>
      <c r="CD109" s="130"/>
      <c r="CE109" s="130"/>
      <c r="CF109" s="130"/>
      <c r="CG109" s="130">
        <f>IF(YEAR('3 pr-2'!$AK109)=2017,$CD109,0)</f>
        <v>0</v>
      </c>
      <c r="CH109" s="130">
        <f>IF(YEAR('3 pr-2'!$AK109)=2018,$CD109,0)</f>
        <v>0</v>
      </c>
      <c r="CI109" s="130">
        <f>IF(YEAR('3 pr-2'!$AK109)=2019,$CD109,0)</f>
        <v>0</v>
      </c>
      <c r="CJ109" s="130">
        <f>IF(YEAR('3 pr-2'!$AK109)=2020,$CD109,0)</f>
        <v>0</v>
      </c>
      <c r="CK109" s="130">
        <f>IF(YEAR('3 pr-2'!$AK109)=2021,$CD109,0)</f>
        <v>0</v>
      </c>
      <c r="CL109" s="130">
        <f>IF(YEAR('3 pr-2'!$AK109)=2022,$CD109,0)</f>
        <v>0</v>
      </c>
      <c r="CM109" s="130">
        <f>IF(YEAR('3 pr-2'!$AK109)=2023,$CD109,0)</f>
        <v>0</v>
      </c>
      <c r="CN109" s="317"/>
      <c r="CO109" s="472"/>
      <c r="CP109" s="1699"/>
      <c r="CQ109" s="1699"/>
      <c r="CR109" s="1699"/>
      <c r="CS109" s="1699"/>
      <c r="CT109" s="1699"/>
      <c r="CU109" s="1699"/>
      <c r="CV109" s="1699"/>
      <c r="CW109" s="1718">
        <f t="shared" si="469"/>
        <v>0</v>
      </c>
      <c r="CX109" s="318"/>
      <c r="CY109" s="303"/>
      <c r="CZ109" s="303"/>
      <c r="DA109" s="506">
        <f>IF(YEAR('3 pr-2'!AK109)=2017,CX109,0)</f>
        <v>0</v>
      </c>
      <c r="DB109" s="506">
        <f>IF(YEAR('3 pr-2'!AK109)=2018,CX109,0)</f>
        <v>0</v>
      </c>
      <c r="DC109" s="506">
        <f>IF(YEAR('3 pr-2'!AK109)=2019,CX109,0)</f>
        <v>0</v>
      </c>
      <c r="DD109" s="506">
        <f>IF(YEAR('3 pr-2'!AK109)=2020,CX109,0)</f>
        <v>0</v>
      </c>
      <c r="DE109" s="506">
        <f>IF(YEAR('3 pr-2'!AK109)=2021,CX109,0)</f>
        <v>0</v>
      </c>
      <c r="DF109" s="506">
        <f>IF(YEAR('3 pr-2'!AK109)=2022,CX109,0)</f>
        <v>0</v>
      </c>
      <c r="DG109" s="506">
        <f>IF(YEAR('3 pr-2'!AK109)=2023,CX109,0)</f>
        <v>0</v>
      </c>
      <c r="DH109" s="317"/>
      <c r="DI109" s="472"/>
      <c r="DJ109" s="130"/>
      <c r="DK109" s="130"/>
      <c r="DL109" s="130"/>
      <c r="DM109" s="130"/>
      <c r="DN109" s="130"/>
      <c r="DO109" s="130"/>
      <c r="DP109" s="130"/>
      <c r="DQ109" s="756"/>
      <c r="DR109" s="318"/>
      <c r="DS109" s="303"/>
      <c r="DT109" s="303"/>
      <c r="DU109" s="506"/>
      <c r="DV109" s="506"/>
      <c r="DW109" s="506"/>
      <c r="DX109" s="506"/>
      <c r="DY109" s="506"/>
      <c r="DZ109" s="506"/>
      <c r="EA109" s="506"/>
      <c r="EB109" s="317"/>
      <c r="EC109" s="472"/>
      <c r="ED109" s="303"/>
      <c r="EE109" s="303"/>
      <c r="EF109" s="303"/>
      <c r="EG109" s="506">
        <f>IF(YEAR('3 pr-2'!BP109)=2017,ED109,0)</f>
        <v>0</v>
      </c>
      <c r="EH109" s="506">
        <f>IF(YEAR('3 pr-2'!BP109)=2018,ED109,0)</f>
        <v>0</v>
      </c>
      <c r="EI109" s="506">
        <f>IF(YEAR('3 pr-2'!BP109)=2019,ED109,0)</f>
        <v>0</v>
      </c>
      <c r="EJ109" s="506">
        <f>IF(YEAR('3 pr-2'!BP109)=2020,ED109,0)</f>
        <v>0</v>
      </c>
      <c r="EK109" s="506">
        <f>IF(YEAR('3 pr-2'!BP109)=2021,ED109,0)</f>
        <v>0</v>
      </c>
      <c r="EL109" s="506">
        <f>IF(YEAR('3 pr-2'!BP109)=2022,ED109,0)</f>
        <v>0</v>
      </c>
      <c r="EM109" s="506">
        <f>IF(YEAR('3 pr-2'!BP109)=2023,ED109,0)</f>
        <v>0</v>
      </c>
    </row>
    <row r="110" spans="1:143" ht="61.5" thickTop="1" thickBot="1">
      <c r="A110" s="130" t="str">
        <f>CONCATENATE('3 pr-2'!A110)</f>
        <v>2.1.1.2.2</v>
      </c>
      <c r="B110" s="130" t="str">
        <f>CONCATENATE('3 pr-2'!B110)</f>
        <v>R01-7725-240000-2122</v>
      </c>
      <c r="C110" s="1730" t="str">
        <f>CONCATENATE('ketv. 2'!B109)</f>
        <v>09.1.3-CPVA-R-725-11-0005</v>
      </c>
      <c r="D110" s="11" t="str">
        <f>CONCATENATE('3 pr-2'!D110)</f>
        <v>Alytaus r. meno ir sporto mokyklos edukacinių erdvių įkūrimas ir atnaujinimas</v>
      </c>
      <c r="E110" s="11" t="str">
        <f>CONCATENATE('3 pr-2'!E110)</f>
        <v>Alytaus rajono savivaldybės administracija</v>
      </c>
      <c r="F110" s="11" t="str">
        <f>CONCATENATE('3 pr-2'!F110)</f>
        <v>Lietuvos Respublikos švietimo ir mokslo ministerija</v>
      </c>
      <c r="G110" s="11" t="str">
        <f>CONCATENATE('3 pr-2'!G110)</f>
        <v>Alytaus r. sav.</v>
      </c>
      <c r="H110" s="130" t="str">
        <f>CONCATENATE('3 pr-2'!H110)</f>
        <v>09.13.CPVA-R-725</v>
      </c>
      <c r="I110" s="130" t="str">
        <f>CONCATENATE('3 pr-2'!I110)</f>
        <v>R</v>
      </c>
      <c r="J110" s="130" t="str">
        <f>CONCATENATE('3 pr-2'!J110)</f>
        <v>-</v>
      </c>
      <c r="K110" s="130" t="str">
        <f>CONCATENATE('3 pr-2'!K110)</f>
        <v>-</v>
      </c>
      <c r="L110" s="130" t="s">
        <v>508</v>
      </c>
      <c r="M110" s="471" t="s">
        <v>509</v>
      </c>
      <c r="N110" s="1699"/>
      <c r="O110" s="1699"/>
      <c r="P110" s="1699"/>
      <c r="Q110" s="1699"/>
      <c r="R110" s="1699"/>
      <c r="S110" s="1699"/>
      <c r="T110" s="1699"/>
      <c r="U110" s="1700">
        <f t="shared" si="471"/>
        <v>0</v>
      </c>
      <c r="V110" s="130">
        <v>1</v>
      </c>
      <c r="W110" s="1757">
        <v>1</v>
      </c>
      <c r="X110" s="1732">
        <f>SUM(W110-V110)</f>
        <v>0</v>
      </c>
      <c r="Y110" s="1732">
        <f>IF(YEAR('3 pr-2'!$AK110)=2017,$V110,0)</f>
        <v>0</v>
      </c>
      <c r="Z110" s="1732">
        <f>IF(YEAR('3 pr-2'!$AK110)=2018,$V110,0)</f>
        <v>0</v>
      </c>
      <c r="AA110" s="1732">
        <f>IF(YEAR('3 pr-2'!$AK110)=2019,$V110,0)</f>
        <v>0</v>
      </c>
      <c r="AB110" s="1732">
        <f>IF(YEAR('3 pr-2'!$AK110)=2020,$V110,0)</f>
        <v>1</v>
      </c>
      <c r="AC110" s="1732">
        <f>IF(YEAR('3 pr-2'!$AK110)=2021,$V110,0)</f>
        <v>0</v>
      </c>
      <c r="AD110" s="1732">
        <f>IF(YEAR('3 pr-2'!$AK110)=2022,$V110,0)</f>
        <v>0</v>
      </c>
      <c r="AE110" s="1732">
        <f>IF(YEAR('3 pr-2'!$AK110)=2023,$V110,0)</f>
        <v>0</v>
      </c>
      <c r="AF110" s="317" t="s">
        <v>506</v>
      </c>
      <c r="AG110" s="471" t="s">
        <v>507</v>
      </c>
      <c r="AH110" s="1699"/>
      <c r="AI110" s="1699"/>
      <c r="AJ110" s="1699"/>
      <c r="AK110" s="1699"/>
      <c r="AL110" s="1699"/>
      <c r="AM110" s="1699"/>
      <c r="AN110" s="1699"/>
      <c r="AO110" s="1718">
        <f t="shared" si="441"/>
        <v>0</v>
      </c>
      <c r="AP110" s="130">
        <v>384</v>
      </c>
      <c r="AQ110" s="1778">
        <v>384</v>
      </c>
      <c r="AR110" s="1732">
        <f>SUM(AQ110-AP110)</f>
        <v>0</v>
      </c>
      <c r="AS110" s="1732">
        <f>IF(YEAR('3 pr-2'!$AK110)=2017,$AP110,0)</f>
        <v>0</v>
      </c>
      <c r="AT110" s="1732">
        <f>IF(YEAR('3 pr-2'!$AK110)=2018,$AP110,0)</f>
        <v>0</v>
      </c>
      <c r="AU110" s="1732">
        <f>IF(YEAR('3 pr-2'!$AK110)=2019,$AP110,0)</f>
        <v>0</v>
      </c>
      <c r="AV110" s="1732">
        <f>IF(YEAR('3 pr-2'!$AK110)=2020,$AP110,0)</f>
        <v>384</v>
      </c>
      <c r="AW110" s="1732">
        <f>IF(YEAR('3 pr-2'!$AK110)=2021,$AP110,0)</f>
        <v>0</v>
      </c>
      <c r="AX110" s="1732">
        <f>IF(YEAR('3 pr-2'!$AK110)=2022,$AP110,0)</f>
        <v>0</v>
      </c>
      <c r="AY110" s="1732">
        <f>IF(YEAR('3 pr-2'!$AK110)=2023,$AP110,0)</f>
        <v>0</v>
      </c>
      <c r="AZ110" s="130"/>
      <c r="BA110" s="470"/>
      <c r="BB110" s="1699"/>
      <c r="BC110" s="1699"/>
      <c r="BD110" s="1699"/>
      <c r="BE110" s="1699"/>
      <c r="BF110" s="1699"/>
      <c r="BG110" s="1699"/>
      <c r="BH110" s="1699"/>
      <c r="BI110" s="1718">
        <f t="shared" si="455"/>
        <v>0</v>
      </c>
      <c r="BJ110" s="130"/>
      <c r="BK110" s="1501"/>
      <c r="BL110" s="130"/>
      <c r="BM110" s="130">
        <f>IF(YEAR('3 pr-2'!$AK110)=2017,$BJ110,0)</f>
        <v>0</v>
      </c>
      <c r="BN110" s="130">
        <f>IF(YEAR('3 pr-2'!$AK110)=2018,$BJ110,0)</f>
        <v>0</v>
      </c>
      <c r="BO110" s="130">
        <f>IF(YEAR('3 pr-2'!$AK110)=2019,$BJ110,0)</f>
        <v>0</v>
      </c>
      <c r="BP110" s="130">
        <f>IF(YEAR('3 pr-2'!$AK110)=2020,$BJ110,0)</f>
        <v>0</v>
      </c>
      <c r="BQ110" s="130">
        <f>IF(YEAR('3 pr-2'!$AK110)=2021,$BJ110,0)</f>
        <v>0</v>
      </c>
      <c r="BR110" s="130">
        <f>IF(YEAR('3 pr-2'!$AK110)=2022,$BJ110,0)</f>
        <v>0</v>
      </c>
      <c r="BS110" s="130">
        <f>IF(YEAR('3 pr-2'!$AK110)=2023,$BJ110,0)</f>
        <v>0</v>
      </c>
      <c r="BT110" s="317"/>
      <c r="BU110" s="471"/>
      <c r="BV110" s="1699"/>
      <c r="BW110" s="1699"/>
      <c r="BX110" s="1699"/>
      <c r="BY110" s="1699"/>
      <c r="BZ110" s="1699"/>
      <c r="CA110" s="1699"/>
      <c r="CB110" s="1699"/>
      <c r="CC110" s="1718">
        <f t="shared" si="462"/>
        <v>0</v>
      </c>
      <c r="CD110" s="130"/>
      <c r="CE110" s="130"/>
      <c r="CF110" s="130"/>
      <c r="CG110" s="130">
        <f>IF(YEAR('3 pr-2'!$AK110)=2017,$CD110,0)</f>
        <v>0</v>
      </c>
      <c r="CH110" s="130">
        <f>IF(YEAR('3 pr-2'!$AK110)=2018,$CD110,0)</f>
        <v>0</v>
      </c>
      <c r="CI110" s="130">
        <f>IF(YEAR('3 pr-2'!$AK110)=2019,$CD110,0)</f>
        <v>0</v>
      </c>
      <c r="CJ110" s="130">
        <f>IF(YEAR('3 pr-2'!$AK110)=2020,$CD110,0)</f>
        <v>0</v>
      </c>
      <c r="CK110" s="130">
        <f>IF(YEAR('3 pr-2'!$AK110)=2021,$CD110,0)</f>
        <v>0</v>
      </c>
      <c r="CL110" s="130">
        <f>IF(YEAR('3 pr-2'!$AK110)=2022,$CD110,0)</f>
        <v>0</v>
      </c>
      <c r="CM110" s="130">
        <f>IF(YEAR('3 pr-2'!$AK110)=2023,$CD110,0)</f>
        <v>0</v>
      </c>
      <c r="CN110" s="317"/>
      <c r="CO110" s="472"/>
      <c r="CP110" s="1699"/>
      <c r="CQ110" s="1699"/>
      <c r="CR110" s="1699"/>
      <c r="CS110" s="1699"/>
      <c r="CT110" s="1699"/>
      <c r="CU110" s="1699"/>
      <c r="CV110" s="1699"/>
      <c r="CW110" s="1718">
        <f t="shared" si="469"/>
        <v>0</v>
      </c>
      <c r="CX110" s="318"/>
      <c r="CY110" s="303"/>
      <c r="CZ110" s="303"/>
      <c r="DA110" s="506">
        <f>IF(YEAR('3 pr-2'!AK110)=2017,CX110,0)</f>
        <v>0</v>
      </c>
      <c r="DB110" s="506">
        <f>IF(YEAR('3 pr-2'!AK110)=2018,CX110,0)</f>
        <v>0</v>
      </c>
      <c r="DC110" s="506">
        <f>IF(YEAR('3 pr-2'!AK110)=2019,CX110,0)</f>
        <v>0</v>
      </c>
      <c r="DD110" s="506">
        <f>IF(YEAR('3 pr-2'!AK110)=2020,CX110,0)</f>
        <v>0</v>
      </c>
      <c r="DE110" s="506">
        <f>IF(YEAR('3 pr-2'!AK110)=2021,CX110,0)</f>
        <v>0</v>
      </c>
      <c r="DF110" s="506">
        <f>IF(YEAR('3 pr-2'!AK110)=2022,CX110,0)</f>
        <v>0</v>
      </c>
      <c r="DG110" s="506">
        <f>IF(YEAR('3 pr-2'!AK110)=2023,CX110,0)</f>
        <v>0</v>
      </c>
      <c r="DH110" s="317"/>
      <c r="DI110" s="472"/>
      <c r="DJ110" s="130"/>
      <c r="DK110" s="130"/>
      <c r="DL110" s="130"/>
      <c r="DM110" s="130"/>
      <c r="DN110" s="130"/>
      <c r="DO110" s="130"/>
      <c r="DP110" s="130"/>
      <c r="DQ110" s="756"/>
      <c r="DR110" s="318"/>
      <c r="DS110" s="303"/>
      <c r="DT110" s="303"/>
      <c r="DU110" s="506"/>
      <c r="DV110" s="506"/>
      <c r="DW110" s="506"/>
      <c r="DX110" s="506"/>
      <c r="DY110" s="506"/>
      <c r="DZ110" s="506"/>
      <c r="EA110" s="506"/>
      <c r="EB110" s="317"/>
      <c r="EC110" s="472"/>
      <c r="ED110" s="303"/>
      <c r="EE110" s="303"/>
      <c r="EF110" s="303"/>
      <c r="EG110" s="506">
        <f>IF(YEAR('3 pr-2'!BP110)=2017,ED110,0)</f>
        <v>0</v>
      </c>
      <c r="EH110" s="506">
        <f>IF(YEAR('3 pr-2'!BP110)=2018,ED110,0)</f>
        <v>0</v>
      </c>
      <c r="EI110" s="506">
        <f>IF(YEAR('3 pr-2'!BP110)=2019,ED110,0)</f>
        <v>0</v>
      </c>
      <c r="EJ110" s="506">
        <f>IF(YEAR('3 pr-2'!BP110)=2020,ED110,0)</f>
        <v>0</v>
      </c>
      <c r="EK110" s="506">
        <f>IF(YEAR('3 pr-2'!BP110)=2021,ED110,0)</f>
        <v>0</v>
      </c>
      <c r="EL110" s="506">
        <f>IF(YEAR('3 pr-2'!BP110)=2022,ED110,0)</f>
        <v>0</v>
      </c>
      <c r="EM110" s="506">
        <f>IF(YEAR('3 pr-2'!BP110)=2023,ED110,0)</f>
        <v>0</v>
      </c>
    </row>
    <row r="111" spans="1:143" ht="61.5" thickTop="1" thickBot="1">
      <c r="A111" s="130" t="str">
        <f>CONCATENATE('3 pr-2'!A111)</f>
        <v>2.1.1.2.3</v>
      </c>
      <c r="B111" s="130" t="str">
        <f>CONCATENATE('3 pr-2'!B111)</f>
        <v>R01-7725-240000-2123</v>
      </c>
      <c r="C111" s="1730" t="str">
        <f>CONCATENATE('ketv. 2'!B110)</f>
        <v>09.1.3-CPVA-R-725-11-0004</v>
      </c>
      <c r="D111" s="11" t="str">
        <f>CONCATENATE('3 pr-2'!D111)</f>
        <v>Alytaus muzikos mokyklos pastato modernizavimas ir ugdymo aplinkos gerinimas</v>
      </c>
      <c r="E111" s="11" t="str">
        <f>CONCATENATE('3 pr-2'!E111)</f>
        <v>Alytaus miesto savivaldybės administracija</v>
      </c>
      <c r="F111" s="11" t="str">
        <f>CONCATENATE('3 pr-2'!F111)</f>
        <v>Lietuvos Respublikos švietimo ir mokslo ministerija</v>
      </c>
      <c r="G111" s="11" t="str">
        <f>CONCATENATE('3 pr-2'!G111)</f>
        <v>Alytaus m. sav.</v>
      </c>
      <c r="H111" s="130" t="str">
        <f>CONCATENATE('3 pr-2'!H111)</f>
        <v>09.13.CPVA-R-725</v>
      </c>
      <c r="I111" s="130" t="str">
        <f>CONCATENATE('3 pr-2'!I111)</f>
        <v>R</v>
      </c>
      <c r="J111" s="130" t="str">
        <f>CONCATENATE('3 pr-2'!J111)</f>
        <v>-</v>
      </c>
      <c r="K111" s="130" t="str">
        <f>CONCATENATE('3 pr-2'!K111)</f>
        <v>-</v>
      </c>
      <c r="L111" s="130" t="s">
        <v>508</v>
      </c>
      <c r="M111" s="471" t="s">
        <v>509</v>
      </c>
      <c r="N111" s="1699"/>
      <c r="O111" s="1699"/>
      <c r="P111" s="1699"/>
      <c r="Q111" s="1699"/>
      <c r="R111" s="1699"/>
      <c r="S111" s="1699"/>
      <c r="T111" s="1699"/>
      <c r="U111" s="1700">
        <f t="shared" si="471"/>
        <v>0</v>
      </c>
      <c r="V111" s="130">
        <v>1</v>
      </c>
      <c r="W111" s="1757">
        <v>1</v>
      </c>
      <c r="X111" s="1732">
        <f>SUM(W111-V111)</f>
        <v>0</v>
      </c>
      <c r="Y111" s="1732">
        <f>IF(YEAR('3 pr-2'!$AK111)=2017,$V111,0)</f>
        <v>0</v>
      </c>
      <c r="Z111" s="1732">
        <f>IF(YEAR('3 pr-2'!$AK111)=2018,$V111,0)</f>
        <v>0</v>
      </c>
      <c r="AA111" s="1732">
        <f>IF(YEAR('3 pr-2'!$AK111)=2019,$V111,0)</f>
        <v>1</v>
      </c>
      <c r="AB111" s="1732">
        <f>IF(YEAR('3 pr-2'!$AK111)=2020,$V111,0)</f>
        <v>0</v>
      </c>
      <c r="AC111" s="1732">
        <f>IF(YEAR('3 pr-2'!$AK111)=2021,$V111,0)</f>
        <v>0</v>
      </c>
      <c r="AD111" s="1732">
        <f>IF(YEAR('3 pr-2'!$AK111)=2022,$V111,0)</f>
        <v>0</v>
      </c>
      <c r="AE111" s="1732">
        <f>IF(YEAR('3 pr-2'!$AK111)=2023,$V111,0)</f>
        <v>0</v>
      </c>
      <c r="AF111" s="317" t="s">
        <v>506</v>
      </c>
      <c r="AG111" s="471" t="s">
        <v>507</v>
      </c>
      <c r="AH111" s="1699"/>
      <c r="AI111" s="1699"/>
      <c r="AJ111" s="1699"/>
      <c r="AK111" s="1699"/>
      <c r="AL111" s="1699"/>
      <c r="AM111" s="1699"/>
      <c r="AN111" s="1699"/>
      <c r="AO111" s="1718">
        <f t="shared" si="441"/>
        <v>0</v>
      </c>
      <c r="AP111" s="130">
        <v>600</v>
      </c>
      <c r="AQ111" s="1778">
        <v>600</v>
      </c>
      <c r="AR111" s="1732">
        <f>SUM(AQ111-AP111)</f>
        <v>0</v>
      </c>
      <c r="AS111" s="1732">
        <f>IF(YEAR('3 pr-2'!$AK111)=2017,$AP111,0)</f>
        <v>0</v>
      </c>
      <c r="AT111" s="1732">
        <f>IF(YEAR('3 pr-2'!$AK111)=2018,$AP111,0)</f>
        <v>0</v>
      </c>
      <c r="AU111" s="1732">
        <f>IF(YEAR('3 pr-2'!$AK111)=2019,$AP111,0)</f>
        <v>600</v>
      </c>
      <c r="AV111" s="1732">
        <f>IF(YEAR('3 pr-2'!$AK111)=2020,$AP111,0)</f>
        <v>0</v>
      </c>
      <c r="AW111" s="1732">
        <f>IF(YEAR('3 pr-2'!$AK111)=2021,$AP111,0)</f>
        <v>0</v>
      </c>
      <c r="AX111" s="1732">
        <f>IF(YEAR('3 pr-2'!$AK111)=2022,$AP111,0)</f>
        <v>0</v>
      </c>
      <c r="AY111" s="1732">
        <f>IF(YEAR('3 pr-2'!$AK111)=2023,$AP111,0)</f>
        <v>0</v>
      </c>
      <c r="AZ111" s="130"/>
      <c r="BA111" s="470"/>
      <c r="BB111" s="1699"/>
      <c r="BC111" s="1699"/>
      <c r="BD111" s="1699"/>
      <c r="BE111" s="1699"/>
      <c r="BF111" s="1699"/>
      <c r="BG111" s="1699"/>
      <c r="BH111" s="1699"/>
      <c r="BI111" s="1718">
        <f t="shared" si="455"/>
        <v>0</v>
      </c>
      <c r="BJ111" s="130"/>
      <c r="BK111" s="1501"/>
      <c r="BL111" s="130"/>
      <c r="BM111" s="130">
        <f>IF(YEAR('3 pr-2'!$AK111)=2017,$BJ111,0)</f>
        <v>0</v>
      </c>
      <c r="BN111" s="130">
        <f>IF(YEAR('3 pr-2'!$AK111)=2018,$BJ111,0)</f>
        <v>0</v>
      </c>
      <c r="BO111" s="130">
        <f>IF(YEAR('3 pr-2'!$AK111)=2019,$BJ111,0)</f>
        <v>0</v>
      </c>
      <c r="BP111" s="130">
        <f>IF(YEAR('3 pr-2'!$AK111)=2020,$BJ111,0)</f>
        <v>0</v>
      </c>
      <c r="BQ111" s="130">
        <f>IF(YEAR('3 pr-2'!$AK111)=2021,$BJ111,0)</f>
        <v>0</v>
      </c>
      <c r="BR111" s="130">
        <f>IF(YEAR('3 pr-2'!$AK111)=2022,$BJ111,0)</f>
        <v>0</v>
      </c>
      <c r="BS111" s="130">
        <f>IF(YEAR('3 pr-2'!$AK111)=2023,$BJ111,0)</f>
        <v>0</v>
      </c>
      <c r="BT111" s="317"/>
      <c r="BU111" s="471"/>
      <c r="BV111" s="1699"/>
      <c r="BW111" s="1699"/>
      <c r="BX111" s="1699"/>
      <c r="BY111" s="1699"/>
      <c r="BZ111" s="1699"/>
      <c r="CA111" s="1699"/>
      <c r="CB111" s="1699"/>
      <c r="CC111" s="1718">
        <f t="shared" si="462"/>
        <v>0</v>
      </c>
      <c r="CD111" s="130"/>
      <c r="CE111" s="130"/>
      <c r="CF111" s="130"/>
      <c r="CG111" s="130">
        <f>IF(YEAR('3 pr-2'!$AK111)=2017,$CD111,0)</f>
        <v>0</v>
      </c>
      <c r="CH111" s="130">
        <f>IF(YEAR('3 pr-2'!$AK111)=2018,$CD111,0)</f>
        <v>0</v>
      </c>
      <c r="CI111" s="130">
        <f>IF(YEAR('3 pr-2'!$AK111)=2019,$CD111,0)</f>
        <v>0</v>
      </c>
      <c r="CJ111" s="130">
        <f>IF(YEAR('3 pr-2'!$AK111)=2020,$CD111,0)</f>
        <v>0</v>
      </c>
      <c r="CK111" s="130">
        <f>IF(YEAR('3 pr-2'!$AK111)=2021,$CD111,0)</f>
        <v>0</v>
      </c>
      <c r="CL111" s="130">
        <f>IF(YEAR('3 pr-2'!$AK111)=2022,$CD111,0)</f>
        <v>0</v>
      </c>
      <c r="CM111" s="130">
        <f>IF(YEAR('3 pr-2'!$AK111)=2023,$CD111,0)</f>
        <v>0</v>
      </c>
      <c r="CN111" s="317"/>
      <c r="CO111" s="472"/>
      <c r="CP111" s="1699"/>
      <c r="CQ111" s="1699"/>
      <c r="CR111" s="1699"/>
      <c r="CS111" s="1699"/>
      <c r="CT111" s="1699"/>
      <c r="CU111" s="1699"/>
      <c r="CV111" s="1699"/>
      <c r="CW111" s="1718">
        <f t="shared" si="469"/>
        <v>0</v>
      </c>
      <c r="CX111" s="318"/>
      <c r="CY111" s="303"/>
      <c r="CZ111" s="303"/>
      <c r="DA111" s="506">
        <f>IF(YEAR('3 pr-2'!AK111)=2017,CX111,0)</f>
        <v>0</v>
      </c>
      <c r="DB111" s="506">
        <f>IF(YEAR('3 pr-2'!AK111)=2018,CX111,0)</f>
        <v>0</v>
      </c>
      <c r="DC111" s="506">
        <f>IF(YEAR('3 pr-2'!AK111)=2019,CX111,0)</f>
        <v>0</v>
      </c>
      <c r="DD111" s="506">
        <f>IF(YEAR('3 pr-2'!AK111)=2020,CX111,0)</f>
        <v>0</v>
      </c>
      <c r="DE111" s="506">
        <f>IF(YEAR('3 pr-2'!AK111)=2021,CX111,0)</f>
        <v>0</v>
      </c>
      <c r="DF111" s="506">
        <f>IF(YEAR('3 pr-2'!AK111)=2022,CX111,0)</f>
        <v>0</v>
      </c>
      <c r="DG111" s="506">
        <f>IF(YEAR('3 pr-2'!AK111)=2023,CX111,0)</f>
        <v>0</v>
      </c>
      <c r="DH111" s="317"/>
      <c r="DI111" s="472"/>
      <c r="DJ111" s="130"/>
      <c r="DK111" s="130"/>
      <c r="DL111" s="130"/>
      <c r="DM111" s="130"/>
      <c r="DN111" s="130"/>
      <c r="DO111" s="130"/>
      <c r="DP111" s="130"/>
      <c r="DQ111" s="756"/>
      <c r="DR111" s="318"/>
      <c r="DS111" s="303"/>
      <c r="DT111" s="303"/>
      <c r="DU111" s="506"/>
      <c r="DV111" s="506"/>
      <c r="DW111" s="506"/>
      <c r="DX111" s="506"/>
      <c r="DY111" s="506"/>
      <c r="DZ111" s="506"/>
      <c r="EA111" s="506"/>
      <c r="EB111" s="317"/>
      <c r="EC111" s="472"/>
      <c r="ED111" s="303"/>
      <c r="EE111" s="303"/>
      <c r="EF111" s="303"/>
      <c r="EG111" s="506">
        <f>IF(YEAR('3 pr-2'!BP111)=2017,ED111,0)</f>
        <v>0</v>
      </c>
      <c r="EH111" s="506">
        <f>IF(YEAR('3 pr-2'!BP111)=2018,ED111,0)</f>
        <v>0</v>
      </c>
      <c r="EI111" s="506">
        <f>IF(YEAR('3 pr-2'!BP111)=2019,ED111,0)</f>
        <v>0</v>
      </c>
      <c r="EJ111" s="506">
        <f>IF(YEAR('3 pr-2'!BP111)=2020,ED111,0)</f>
        <v>0</v>
      </c>
      <c r="EK111" s="506">
        <f>IF(YEAR('3 pr-2'!BP111)=2021,ED111,0)</f>
        <v>0</v>
      </c>
      <c r="EL111" s="506">
        <f>IF(YEAR('3 pr-2'!BP111)=2022,ED111,0)</f>
        <v>0</v>
      </c>
      <c r="EM111" s="506">
        <f>IF(YEAR('3 pr-2'!BP111)=2023,ED111,0)</f>
        <v>0</v>
      </c>
    </row>
    <row r="112" spans="1:143" ht="61.5" thickTop="1" thickBot="1">
      <c r="A112" s="130" t="str">
        <f>CONCATENATE('3 pr-2'!A112)</f>
        <v>2.1.1.2.4</v>
      </c>
      <c r="B112" s="130" t="str">
        <f>CONCATENATE('3 pr-2'!B112)</f>
        <v>R01-7725-240000-2124</v>
      </c>
      <c r="C112" s="1730" t="str">
        <f>CONCATENATE('ketv. 2'!B111)</f>
        <v>09.1.3-CPVA-R-725-11-0002</v>
      </c>
      <c r="D112" s="11" t="str">
        <f>CONCATENATE('3 pr-2'!D112)</f>
        <v>Druskininkų M. K. Čiurlionio meno mokyklos infrastruktūros tobulinimas</v>
      </c>
      <c r="E112" s="11" t="str">
        <f>CONCATENATE('3 pr-2'!E112)</f>
        <v xml:space="preserve">Druskininkų savivaldybės administracija  </v>
      </c>
      <c r="F112" s="11" t="str">
        <f>CONCATENATE('3 pr-2'!F112)</f>
        <v>Lietuvos Respublikos švietimo ir mokslo ministerija</v>
      </c>
      <c r="G112" s="11" t="str">
        <f>CONCATENATE('3 pr-2'!G112)</f>
        <v>Druskininkų sav.</v>
      </c>
      <c r="H112" s="130" t="str">
        <f>CONCATENATE('3 pr-2'!H112)</f>
        <v>09.13.CPVA-R-725</v>
      </c>
      <c r="I112" s="130" t="str">
        <f>CONCATENATE('3 pr-2'!I112)</f>
        <v>R</v>
      </c>
      <c r="J112" s="130" t="str">
        <f>CONCATENATE('3 pr-2'!J112)</f>
        <v>-</v>
      </c>
      <c r="K112" s="130" t="str">
        <f>CONCATENATE('3 pr-2'!K112)</f>
        <v>-</v>
      </c>
      <c r="L112" s="130" t="s">
        <v>508</v>
      </c>
      <c r="M112" s="471" t="s">
        <v>509</v>
      </c>
      <c r="N112" s="1699"/>
      <c r="O112" s="1699"/>
      <c r="P112" s="1699"/>
      <c r="Q112" s="1699"/>
      <c r="R112" s="1699"/>
      <c r="S112" s="1699"/>
      <c r="T112" s="1699"/>
      <c r="U112" s="1700">
        <f t="shared" si="471"/>
        <v>0</v>
      </c>
      <c r="V112" s="130">
        <v>1</v>
      </c>
      <c r="W112" s="1757">
        <v>1</v>
      </c>
      <c r="X112" s="1732">
        <f>SUM(W112-V112)</f>
        <v>0</v>
      </c>
      <c r="Y112" s="1732">
        <f>IF(YEAR('3 pr-2'!$AK112)=2017,$V112,0)</f>
        <v>0</v>
      </c>
      <c r="Z112" s="1732">
        <f>IF(YEAR('3 pr-2'!$AK112)=2018,$V112,0)</f>
        <v>1</v>
      </c>
      <c r="AA112" s="1732">
        <f>IF(YEAR('3 pr-2'!$AK112)=2019,$V112,0)</f>
        <v>0</v>
      </c>
      <c r="AB112" s="1732">
        <f>IF(YEAR('3 pr-2'!$AK112)=2020,$V112,0)</f>
        <v>0</v>
      </c>
      <c r="AC112" s="1732">
        <f>IF(YEAR('3 pr-2'!$AK112)=2021,$V112,0)</f>
        <v>0</v>
      </c>
      <c r="AD112" s="1732">
        <f>IF(YEAR('3 pr-2'!$AK112)=2022,$V112,0)</f>
        <v>0</v>
      </c>
      <c r="AE112" s="1732">
        <f>IF(YEAR('3 pr-2'!$AK112)=2023,$V112,0)</f>
        <v>0</v>
      </c>
      <c r="AF112" s="317" t="s">
        <v>506</v>
      </c>
      <c r="AG112" s="471" t="s">
        <v>507</v>
      </c>
      <c r="AH112" s="1699"/>
      <c r="AI112" s="1699"/>
      <c r="AJ112" s="1699"/>
      <c r="AK112" s="1699"/>
      <c r="AL112" s="1699"/>
      <c r="AM112" s="1699"/>
      <c r="AN112" s="1699"/>
      <c r="AO112" s="1718">
        <f t="shared" si="441"/>
        <v>0</v>
      </c>
      <c r="AP112" s="130">
        <v>380</v>
      </c>
      <c r="AQ112" s="1778">
        <v>380</v>
      </c>
      <c r="AR112" s="1732">
        <f>SUM(AQ112-AP112)</f>
        <v>0</v>
      </c>
      <c r="AS112" s="1732">
        <f>IF(YEAR('3 pr-2'!$AK112)=2017,$AP112,0)</f>
        <v>0</v>
      </c>
      <c r="AT112" s="1732">
        <f>IF(YEAR('3 pr-2'!$AK112)=2018,$AP112,0)</f>
        <v>380</v>
      </c>
      <c r="AU112" s="1732">
        <f>IF(YEAR('3 pr-2'!$AK112)=2019,$AP112,0)</f>
        <v>0</v>
      </c>
      <c r="AV112" s="1732">
        <f>IF(YEAR('3 pr-2'!$AK112)=2020,$AP112,0)</f>
        <v>0</v>
      </c>
      <c r="AW112" s="1732">
        <f>IF(YEAR('3 pr-2'!$AK112)=2021,$AP112,0)</f>
        <v>0</v>
      </c>
      <c r="AX112" s="1732">
        <f>IF(YEAR('3 pr-2'!$AK112)=2022,$AP112,0)</f>
        <v>0</v>
      </c>
      <c r="AY112" s="1732">
        <f>IF(YEAR('3 pr-2'!$AK112)=2023,$AP112,0)</f>
        <v>0</v>
      </c>
      <c r="AZ112" s="130"/>
      <c r="BA112" s="470"/>
      <c r="BB112" s="1699"/>
      <c r="BC112" s="1699"/>
      <c r="BD112" s="1699"/>
      <c r="BE112" s="1699"/>
      <c r="BF112" s="1699"/>
      <c r="BG112" s="1699"/>
      <c r="BH112" s="1699"/>
      <c r="BI112" s="1718">
        <f t="shared" si="455"/>
        <v>0</v>
      </c>
      <c r="BJ112" s="130"/>
      <c r="BK112" s="1501"/>
      <c r="BL112" s="130"/>
      <c r="BM112" s="130">
        <f>IF(YEAR('3 pr-2'!$AK112)=2017,$BJ112,0)</f>
        <v>0</v>
      </c>
      <c r="BN112" s="130">
        <f>IF(YEAR('3 pr-2'!$AK112)=2018,$BJ112,0)</f>
        <v>0</v>
      </c>
      <c r="BO112" s="130">
        <f>IF(YEAR('3 pr-2'!$AK112)=2019,$BJ112,0)</f>
        <v>0</v>
      </c>
      <c r="BP112" s="130">
        <f>IF(YEAR('3 pr-2'!$AK112)=2020,$BJ112,0)</f>
        <v>0</v>
      </c>
      <c r="BQ112" s="130">
        <f>IF(YEAR('3 pr-2'!$AK112)=2021,$BJ112,0)</f>
        <v>0</v>
      </c>
      <c r="BR112" s="130">
        <f>IF(YEAR('3 pr-2'!$AK112)=2022,$BJ112,0)</f>
        <v>0</v>
      </c>
      <c r="BS112" s="130">
        <f>IF(YEAR('3 pr-2'!$AK112)=2023,$BJ112,0)</f>
        <v>0</v>
      </c>
      <c r="BT112" s="317"/>
      <c r="BU112" s="471"/>
      <c r="BV112" s="1699"/>
      <c r="BW112" s="1699"/>
      <c r="BX112" s="1699"/>
      <c r="BY112" s="1699"/>
      <c r="BZ112" s="1699"/>
      <c r="CA112" s="1699"/>
      <c r="CB112" s="1699"/>
      <c r="CC112" s="1718">
        <f t="shared" si="462"/>
        <v>0</v>
      </c>
      <c r="CD112" s="130"/>
      <c r="CE112" s="130"/>
      <c r="CF112" s="130"/>
      <c r="CG112" s="130">
        <f>IF(YEAR('3 pr-2'!$AK112)=2017,$CD112,0)</f>
        <v>0</v>
      </c>
      <c r="CH112" s="130">
        <f>IF(YEAR('3 pr-2'!$AK112)=2018,$CD112,0)</f>
        <v>0</v>
      </c>
      <c r="CI112" s="130">
        <f>IF(YEAR('3 pr-2'!$AK112)=2019,$CD112,0)</f>
        <v>0</v>
      </c>
      <c r="CJ112" s="130">
        <f>IF(YEAR('3 pr-2'!$AK112)=2020,$CD112,0)</f>
        <v>0</v>
      </c>
      <c r="CK112" s="130">
        <f>IF(YEAR('3 pr-2'!$AK112)=2021,$CD112,0)</f>
        <v>0</v>
      </c>
      <c r="CL112" s="130">
        <f>IF(YEAR('3 pr-2'!$AK112)=2022,$CD112,0)</f>
        <v>0</v>
      </c>
      <c r="CM112" s="130">
        <f>IF(YEAR('3 pr-2'!$AK112)=2023,$CD112,0)</f>
        <v>0</v>
      </c>
      <c r="CN112" s="317"/>
      <c r="CO112" s="472"/>
      <c r="CP112" s="1699"/>
      <c r="CQ112" s="1699"/>
      <c r="CR112" s="1699"/>
      <c r="CS112" s="1699"/>
      <c r="CT112" s="1699"/>
      <c r="CU112" s="1699"/>
      <c r="CV112" s="1699"/>
      <c r="CW112" s="1718">
        <f t="shared" si="469"/>
        <v>0</v>
      </c>
      <c r="CX112" s="318"/>
      <c r="CY112" s="303"/>
      <c r="CZ112" s="303"/>
      <c r="DA112" s="506">
        <f>IF(YEAR('3 pr-2'!AK112)=2017,CX112,0)</f>
        <v>0</v>
      </c>
      <c r="DB112" s="506">
        <f>IF(YEAR('3 pr-2'!AK112)=2018,CX112,0)</f>
        <v>0</v>
      </c>
      <c r="DC112" s="506">
        <f>IF(YEAR('3 pr-2'!AK112)=2019,CX112,0)</f>
        <v>0</v>
      </c>
      <c r="DD112" s="506">
        <f>IF(YEAR('3 pr-2'!AK112)=2020,CX112,0)</f>
        <v>0</v>
      </c>
      <c r="DE112" s="506">
        <f>IF(YEAR('3 pr-2'!AK112)=2021,CX112,0)</f>
        <v>0</v>
      </c>
      <c r="DF112" s="506">
        <f>IF(YEAR('3 pr-2'!AK112)=2022,CX112,0)</f>
        <v>0</v>
      </c>
      <c r="DG112" s="506">
        <f>IF(YEAR('3 pr-2'!AK112)=2023,CX112,0)</f>
        <v>0</v>
      </c>
      <c r="DH112" s="317"/>
      <c r="DI112" s="472"/>
      <c r="DJ112" s="130"/>
      <c r="DK112" s="130"/>
      <c r="DL112" s="130"/>
      <c r="DM112" s="130"/>
      <c r="DN112" s="130"/>
      <c r="DO112" s="130"/>
      <c r="DP112" s="130"/>
      <c r="DQ112" s="756"/>
      <c r="DR112" s="318"/>
      <c r="DS112" s="303"/>
      <c r="DT112" s="303"/>
      <c r="DU112" s="506"/>
      <c r="DV112" s="506"/>
      <c r="DW112" s="506"/>
      <c r="DX112" s="506"/>
      <c r="DY112" s="506"/>
      <c r="DZ112" s="506"/>
      <c r="EA112" s="506"/>
      <c r="EB112" s="317"/>
      <c r="EC112" s="472"/>
      <c r="ED112" s="303"/>
      <c r="EE112" s="303"/>
      <c r="EF112" s="303"/>
      <c r="EG112" s="506">
        <f>IF(YEAR('3 pr-2'!BP112)=2017,ED112,0)</f>
        <v>0</v>
      </c>
      <c r="EH112" s="506">
        <f>IF(YEAR('3 pr-2'!BP112)=2018,ED112,0)</f>
        <v>0</v>
      </c>
      <c r="EI112" s="506">
        <f>IF(YEAR('3 pr-2'!BP112)=2019,ED112,0)</f>
        <v>0</v>
      </c>
      <c r="EJ112" s="506">
        <f>IF(YEAR('3 pr-2'!BP112)=2020,ED112,0)</f>
        <v>0</v>
      </c>
      <c r="EK112" s="506">
        <f>IF(YEAR('3 pr-2'!BP112)=2021,ED112,0)</f>
        <v>0</v>
      </c>
      <c r="EL112" s="506">
        <f>IF(YEAR('3 pr-2'!BP112)=2022,ED112,0)</f>
        <v>0</v>
      </c>
      <c r="EM112" s="506">
        <f>IF(YEAR('3 pr-2'!BP112)=2023,ED112,0)</f>
        <v>0</v>
      </c>
    </row>
    <row r="113" spans="1:143" ht="61.5" thickTop="1" thickBot="1">
      <c r="A113" s="130" t="str">
        <f>CONCATENATE('3 pr-2'!A113)</f>
        <v>2.1.1.2.5</v>
      </c>
      <c r="B113" s="130" t="str">
        <f>CONCATENATE('3 pr-2'!B113)</f>
        <v>R01-7725-240000-2125</v>
      </c>
      <c r="C113" s="1730" t="str">
        <f>CONCATENATE('ketv. 2'!B112)</f>
        <v>09.1.3-CPVA-R-725-11-0001</v>
      </c>
      <c r="D113" s="11" t="str">
        <f>CONCATENATE('3 pr-2'!D113)</f>
        <v>Neformaliojo švietimo įstaigų Lazdijų rajono savivaldybėje infrastruktūros tobulinimas</v>
      </c>
      <c r="E113" s="11" t="str">
        <f>CONCATENATE('3 pr-2'!E113)</f>
        <v>VšĮ „Lazdijų sporto centras“</v>
      </c>
      <c r="F113" s="11" t="str">
        <f>CONCATENATE('3 pr-2'!F113)</f>
        <v>Lietuvos Respublikos švietimo ir mokslo ministerija</v>
      </c>
      <c r="G113" s="11" t="str">
        <f>CONCATENATE('3 pr-2'!G113)</f>
        <v>Lazdijų r. sav.</v>
      </c>
      <c r="H113" s="130" t="str">
        <f>CONCATENATE('3 pr-2'!H113)</f>
        <v>09.13.CPVA-R-725</v>
      </c>
      <c r="I113" s="130" t="str">
        <f>CONCATENATE('3 pr-2'!I113)</f>
        <v>R</v>
      </c>
      <c r="J113" s="130" t="str">
        <f>CONCATENATE('3 pr-2'!J113)</f>
        <v>-</v>
      </c>
      <c r="K113" s="130" t="str">
        <f>CONCATENATE('3 pr-2'!K113)</f>
        <v>-</v>
      </c>
      <c r="L113" s="130" t="s">
        <v>508</v>
      </c>
      <c r="M113" s="471" t="s">
        <v>509</v>
      </c>
      <c r="N113" s="1699"/>
      <c r="O113" s="1699"/>
      <c r="P113" s="1699"/>
      <c r="Q113" s="1699"/>
      <c r="R113" s="1699"/>
      <c r="S113" s="1699"/>
      <c r="T113" s="1699"/>
      <c r="U113" s="1700">
        <f t="shared" si="471"/>
        <v>0</v>
      </c>
      <c r="V113" s="130">
        <v>1</v>
      </c>
      <c r="W113" s="1757" t="str">
        <f>IF('ketv. 6 '!L112&gt;0,"1",0)</f>
        <v>1</v>
      </c>
      <c r="X113" s="1732">
        <f>SUM(W113-V113)</f>
        <v>0</v>
      </c>
      <c r="Y113" s="1732">
        <f>IF(YEAR('3 pr-2'!$AK113)=2017,$V113,0)</f>
        <v>0</v>
      </c>
      <c r="Z113" s="1732">
        <f>IF(YEAR('3 pr-2'!$AK113)=2018,$V113,0)</f>
        <v>0</v>
      </c>
      <c r="AA113" s="1732">
        <f>IF(YEAR('3 pr-2'!$AK113)=2019,$V113,0)</f>
        <v>1</v>
      </c>
      <c r="AB113" s="1732">
        <f>IF(YEAR('3 pr-2'!$AK113)=2020,$V113,0)</f>
        <v>0</v>
      </c>
      <c r="AC113" s="1732">
        <f>IF(YEAR('3 pr-2'!$AK113)=2021,$V113,0)</f>
        <v>0</v>
      </c>
      <c r="AD113" s="1732">
        <f>IF(YEAR('3 pr-2'!$AK113)=2022,$V113,0)</f>
        <v>0</v>
      </c>
      <c r="AE113" s="1732">
        <f>IF(YEAR('3 pr-2'!$AK113)=2023,$V113,0)</f>
        <v>0</v>
      </c>
      <c r="AF113" s="317" t="s">
        <v>506</v>
      </c>
      <c r="AG113" s="471" t="s">
        <v>507</v>
      </c>
      <c r="AH113" s="1699"/>
      <c r="AI113" s="1699"/>
      <c r="AJ113" s="1699"/>
      <c r="AK113" s="1699"/>
      <c r="AL113" s="1699"/>
      <c r="AM113" s="1699"/>
      <c r="AN113" s="1699"/>
      <c r="AO113" s="1718">
        <f t="shared" si="441"/>
        <v>0</v>
      </c>
      <c r="AP113" s="130">
        <v>500</v>
      </c>
      <c r="AQ113" s="1778">
        <v>500</v>
      </c>
      <c r="AR113" s="1732">
        <f>SUM(AQ113-AP113)</f>
        <v>0</v>
      </c>
      <c r="AS113" s="1732">
        <f>IF(YEAR('3 pr-2'!$AK113)=2017,$AP113,0)</f>
        <v>0</v>
      </c>
      <c r="AT113" s="1732">
        <f>IF(YEAR('3 pr-2'!$AK113)=2018,$AP113,0)</f>
        <v>0</v>
      </c>
      <c r="AU113" s="1732">
        <f>IF(YEAR('3 pr-2'!$AK113)=2019,$AP113,0)</f>
        <v>500</v>
      </c>
      <c r="AV113" s="1732">
        <f>IF(YEAR('3 pr-2'!$AK113)=2020,$AP113,0)</f>
        <v>0</v>
      </c>
      <c r="AW113" s="1732">
        <f>IF(YEAR('3 pr-2'!$AK113)=2021,$AP113,0)</f>
        <v>0</v>
      </c>
      <c r="AX113" s="1732">
        <f>IF(YEAR('3 pr-2'!$AK113)=2022,$AP113,0)</f>
        <v>0</v>
      </c>
      <c r="AY113" s="1732">
        <f>IF(YEAR('3 pr-2'!$AK113)=2023,$AP113,0)</f>
        <v>0</v>
      </c>
      <c r="AZ113" s="130"/>
      <c r="BA113" s="470"/>
      <c r="BB113" s="1699"/>
      <c r="BC113" s="1699"/>
      <c r="BD113" s="1699"/>
      <c r="BE113" s="1699"/>
      <c r="BF113" s="1699"/>
      <c r="BG113" s="1699"/>
      <c r="BH113" s="1699"/>
      <c r="BI113" s="1718">
        <f t="shared" si="455"/>
        <v>0</v>
      </c>
      <c r="BJ113" s="130"/>
      <c r="BK113" s="1501"/>
      <c r="BL113" s="130"/>
      <c r="BM113" s="130">
        <f>IF(YEAR('3 pr-2'!$AK113)=2017,$BJ113,0)</f>
        <v>0</v>
      </c>
      <c r="BN113" s="130">
        <f>IF(YEAR('3 pr-2'!$AK113)=2018,$BJ113,0)</f>
        <v>0</v>
      </c>
      <c r="BO113" s="130">
        <f>IF(YEAR('3 pr-2'!$AK113)=2019,$BJ113,0)</f>
        <v>0</v>
      </c>
      <c r="BP113" s="130">
        <f>IF(YEAR('3 pr-2'!$AK113)=2020,$BJ113,0)</f>
        <v>0</v>
      </c>
      <c r="BQ113" s="130">
        <f>IF(YEAR('3 pr-2'!$AK113)=2021,$BJ113,0)</f>
        <v>0</v>
      </c>
      <c r="BR113" s="130">
        <f>IF(YEAR('3 pr-2'!$AK113)=2022,$BJ113,0)</f>
        <v>0</v>
      </c>
      <c r="BS113" s="130">
        <f>IF(YEAR('3 pr-2'!$AK113)=2023,$BJ113,0)</f>
        <v>0</v>
      </c>
      <c r="BT113" s="317"/>
      <c r="BU113" s="471"/>
      <c r="BV113" s="1699"/>
      <c r="BW113" s="1699"/>
      <c r="BX113" s="1699"/>
      <c r="BY113" s="1699"/>
      <c r="BZ113" s="1699"/>
      <c r="CA113" s="1699"/>
      <c r="CB113" s="1699"/>
      <c r="CC113" s="1718">
        <f t="shared" si="462"/>
        <v>0</v>
      </c>
      <c r="CD113" s="130"/>
      <c r="CE113" s="130"/>
      <c r="CF113" s="130"/>
      <c r="CG113" s="130">
        <f>IF(YEAR('3 pr-2'!$AK113)=2017,$CD113,0)</f>
        <v>0</v>
      </c>
      <c r="CH113" s="130">
        <f>IF(YEAR('3 pr-2'!$AK113)=2018,$CD113,0)</f>
        <v>0</v>
      </c>
      <c r="CI113" s="130">
        <f>IF(YEAR('3 pr-2'!$AK113)=2019,$CD113,0)</f>
        <v>0</v>
      </c>
      <c r="CJ113" s="130">
        <f>IF(YEAR('3 pr-2'!$AK113)=2020,$CD113,0)</f>
        <v>0</v>
      </c>
      <c r="CK113" s="130">
        <f>IF(YEAR('3 pr-2'!$AK113)=2021,$CD113,0)</f>
        <v>0</v>
      </c>
      <c r="CL113" s="130">
        <f>IF(YEAR('3 pr-2'!$AK113)=2022,$CD113,0)</f>
        <v>0</v>
      </c>
      <c r="CM113" s="130">
        <f>IF(YEAR('3 pr-2'!$AK113)=2023,$CD113,0)</f>
        <v>0</v>
      </c>
      <c r="CN113" s="317"/>
      <c r="CO113" s="472"/>
      <c r="CP113" s="1699"/>
      <c r="CQ113" s="1699"/>
      <c r="CR113" s="1699"/>
      <c r="CS113" s="1699"/>
      <c r="CT113" s="1699"/>
      <c r="CU113" s="1699"/>
      <c r="CV113" s="1699"/>
      <c r="CW113" s="1718">
        <f t="shared" si="469"/>
        <v>0</v>
      </c>
      <c r="CX113" s="318"/>
      <c r="CY113" s="303"/>
      <c r="CZ113" s="303"/>
      <c r="DA113" s="506">
        <f>IF(YEAR('3 pr-2'!AK113)=2017,CX113,0)</f>
        <v>0</v>
      </c>
      <c r="DB113" s="506">
        <f>IF(YEAR('3 pr-2'!AK113)=2018,CX113,0)</f>
        <v>0</v>
      </c>
      <c r="DC113" s="506">
        <f>IF(YEAR('3 pr-2'!AK113)=2019,CX113,0)</f>
        <v>0</v>
      </c>
      <c r="DD113" s="506">
        <f>IF(YEAR('3 pr-2'!AK113)=2020,CX113,0)</f>
        <v>0</v>
      </c>
      <c r="DE113" s="506">
        <f>IF(YEAR('3 pr-2'!AK113)=2021,CX113,0)</f>
        <v>0</v>
      </c>
      <c r="DF113" s="506">
        <f>IF(YEAR('3 pr-2'!AK113)=2022,CX113,0)</f>
        <v>0</v>
      </c>
      <c r="DG113" s="506">
        <f>IF(YEAR('3 pr-2'!AK113)=2023,CX113,0)</f>
        <v>0</v>
      </c>
      <c r="DH113" s="317"/>
      <c r="DI113" s="472"/>
      <c r="DJ113" s="130"/>
      <c r="DK113" s="130"/>
      <c r="DL113" s="130"/>
      <c r="DM113" s="130"/>
      <c r="DN113" s="130"/>
      <c r="DO113" s="130"/>
      <c r="DP113" s="130"/>
      <c r="DQ113" s="756"/>
      <c r="DR113" s="318"/>
      <c r="DS113" s="303"/>
      <c r="DT113" s="303"/>
      <c r="DU113" s="506"/>
      <c r="DV113" s="506"/>
      <c r="DW113" s="506"/>
      <c r="DX113" s="506"/>
      <c r="DY113" s="506"/>
      <c r="DZ113" s="506"/>
      <c r="EA113" s="506"/>
      <c r="EB113" s="317"/>
      <c r="EC113" s="472"/>
      <c r="ED113" s="303"/>
      <c r="EE113" s="303"/>
      <c r="EF113" s="303"/>
      <c r="EG113" s="506">
        <f>IF(YEAR('3 pr-2'!BP113)=2017,ED113,0)</f>
        <v>0</v>
      </c>
      <c r="EH113" s="506">
        <f>IF(YEAR('3 pr-2'!BP113)=2018,ED113,0)</f>
        <v>0</v>
      </c>
      <c r="EI113" s="506">
        <f>IF(YEAR('3 pr-2'!BP113)=2019,ED113,0)</f>
        <v>0</v>
      </c>
      <c r="EJ113" s="506">
        <f>IF(YEAR('3 pr-2'!BP113)=2020,ED113,0)</f>
        <v>0</v>
      </c>
      <c r="EK113" s="506">
        <f>IF(YEAR('3 pr-2'!BP113)=2021,ED113,0)</f>
        <v>0</v>
      </c>
      <c r="EL113" s="506">
        <f>IF(YEAR('3 pr-2'!BP113)=2022,ED113,0)</f>
        <v>0</v>
      </c>
      <c r="EM113" s="506">
        <f>IF(YEAR('3 pr-2'!BP113)=2023,ED113,0)</f>
        <v>0</v>
      </c>
    </row>
    <row r="114" spans="1:143" ht="32.25" customHeight="1" thickBot="1">
      <c r="A114" s="697" t="str">
        <f>CONCATENATE('3 pr-2'!A114)</f>
        <v>2.1.1.3</v>
      </c>
      <c r="B114" s="1972" t="str">
        <f>CONCATENATE('3 pr-2'!B114)</f>
        <v>Priemonė:
Ikimokyklinio ir priešmokyklinio ugdymo prieinamumo didinimas</v>
      </c>
      <c r="C114" s="1894"/>
      <c r="D114" s="1894"/>
      <c r="E114" s="1894"/>
      <c r="F114" s="1894"/>
      <c r="G114" s="1894"/>
      <c r="H114" s="1894"/>
      <c r="I114" s="1894"/>
      <c r="J114" s="1894"/>
      <c r="K114" s="1895"/>
      <c r="L114" s="1322"/>
      <c r="M114" s="474"/>
      <c r="N114" s="1701">
        <f>SUM(N115:N119)</f>
        <v>0</v>
      </c>
      <c r="O114" s="1701">
        <f t="shared" ref="O114:T114" si="498">SUM(O115:O119)</f>
        <v>0</v>
      </c>
      <c r="P114" s="1701">
        <f t="shared" si="498"/>
        <v>0</v>
      </c>
      <c r="Q114" s="1701">
        <f t="shared" si="498"/>
        <v>0</v>
      </c>
      <c r="R114" s="1701">
        <f t="shared" si="498"/>
        <v>0</v>
      </c>
      <c r="S114" s="1701">
        <f t="shared" si="498"/>
        <v>0</v>
      </c>
      <c r="T114" s="1701">
        <f t="shared" si="498"/>
        <v>0</v>
      </c>
      <c r="U114" s="1691">
        <f t="shared" ref="U114:U119" si="499">SUM(N114:T114)</f>
        <v>0</v>
      </c>
      <c r="V114" s="736"/>
      <c r="W114" s="1754"/>
      <c r="X114" s="1755"/>
      <c r="Y114" s="1761">
        <f t="shared" ref="Y114:AE114" si="500">SUM(Y115:Y119)</f>
        <v>0</v>
      </c>
      <c r="Z114" s="1761">
        <f t="shared" si="500"/>
        <v>0</v>
      </c>
      <c r="AA114" s="1761">
        <f t="shared" si="500"/>
        <v>4</v>
      </c>
      <c r="AB114" s="1761">
        <f t="shared" si="500"/>
        <v>3</v>
      </c>
      <c r="AC114" s="1761">
        <f t="shared" si="500"/>
        <v>0</v>
      </c>
      <c r="AD114" s="1761">
        <f t="shared" si="500"/>
        <v>0</v>
      </c>
      <c r="AE114" s="1761">
        <f t="shared" si="500"/>
        <v>0</v>
      </c>
      <c r="AF114" s="746"/>
      <c r="AG114" s="752"/>
      <c r="AH114" s="1701">
        <f>SUM(AH115:AH119)</f>
        <v>0</v>
      </c>
      <c r="AI114" s="1701">
        <f t="shared" ref="AI114" si="501">SUM(AI115:AI119)</f>
        <v>0</v>
      </c>
      <c r="AJ114" s="1701">
        <f t="shared" ref="AJ114" si="502">SUM(AJ115:AJ119)</f>
        <v>0</v>
      </c>
      <c r="AK114" s="1701">
        <f t="shared" ref="AK114" si="503">SUM(AK115:AK119)</f>
        <v>0</v>
      </c>
      <c r="AL114" s="1701">
        <f t="shared" ref="AL114" si="504">SUM(AL115:AL119)</f>
        <v>0</v>
      </c>
      <c r="AM114" s="1701">
        <f t="shared" ref="AM114" si="505">SUM(AM115:AM119)</f>
        <v>0</v>
      </c>
      <c r="AN114" s="1701">
        <f t="shared" ref="AN114" si="506">SUM(AN115:AN119)</f>
        <v>0</v>
      </c>
      <c r="AO114" s="1701">
        <f t="shared" si="441"/>
        <v>0</v>
      </c>
      <c r="AP114" s="736"/>
      <c r="AQ114" s="1761"/>
      <c r="AR114" s="1761"/>
      <c r="AS114" s="1761">
        <f t="shared" ref="AS114" si="507">SUM(AS115:AS119)</f>
        <v>0</v>
      </c>
      <c r="AT114" s="1761">
        <f t="shared" ref="AT114" si="508">SUM(AT115:AT119)</f>
        <v>0</v>
      </c>
      <c r="AU114" s="1761">
        <f t="shared" ref="AU114" si="509">SUM(AU115:AU119)</f>
        <v>682</v>
      </c>
      <c r="AV114" s="1761">
        <f t="shared" ref="AV114" si="510">SUM(AV115:AV119)</f>
        <v>220</v>
      </c>
      <c r="AW114" s="1761">
        <f t="shared" ref="AW114" si="511">SUM(AW115:AW119)</f>
        <v>0</v>
      </c>
      <c r="AX114" s="1761">
        <f t="shared" ref="AX114" si="512">SUM(AX115:AX119)</f>
        <v>0</v>
      </c>
      <c r="AY114" s="1761">
        <f t="shared" ref="AY114" si="513">SUM(AY115:AY119)</f>
        <v>0</v>
      </c>
      <c r="AZ114" s="736"/>
      <c r="BA114" s="752"/>
      <c r="BB114" s="1701">
        <f>SUM(BB115:BB119)</f>
        <v>0</v>
      </c>
      <c r="BC114" s="1701">
        <f t="shared" ref="BC114" si="514">SUM(BC115:BC119)</f>
        <v>0</v>
      </c>
      <c r="BD114" s="1701">
        <f t="shared" ref="BD114" si="515">SUM(BD115:BD119)</f>
        <v>0</v>
      </c>
      <c r="BE114" s="1701">
        <f t="shared" ref="BE114" si="516">SUM(BE115:BE119)</f>
        <v>0</v>
      </c>
      <c r="BF114" s="1701">
        <f t="shared" ref="BF114" si="517">SUM(BF115:BF119)</f>
        <v>0</v>
      </c>
      <c r="BG114" s="1701">
        <f t="shared" ref="BG114" si="518">SUM(BG115:BG119)</f>
        <v>0</v>
      </c>
      <c r="BH114" s="1701">
        <f t="shared" ref="BH114" si="519">SUM(BH115:BH119)</f>
        <v>0</v>
      </c>
      <c r="BI114" s="1701">
        <f t="shared" si="455"/>
        <v>0</v>
      </c>
      <c r="BJ114" s="736"/>
      <c r="BK114" s="736"/>
      <c r="BL114" s="736"/>
      <c r="BM114" s="736">
        <f t="shared" ref="BM114" si="520">SUM(BM115:BM119)</f>
        <v>0</v>
      </c>
      <c r="BN114" s="736">
        <f t="shared" ref="BN114" si="521">SUM(BN115:BN119)</f>
        <v>0</v>
      </c>
      <c r="BO114" s="736">
        <f t="shared" ref="BO114" si="522">SUM(BO115:BO119)</f>
        <v>12</v>
      </c>
      <c r="BP114" s="736">
        <f t="shared" ref="BP114" si="523">SUM(BP115:BP119)</f>
        <v>6</v>
      </c>
      <c r="BQ114" s="736">
        <f t="shared" ref="BQ114" si="524">SUM(BQ115:BQ119)</f>
        <v>0</v>
      </c>
      <c r="BR114" s="736">
        <f t="shared" ref="BR114" si="525">SUM(BR115:BR119)</f>
        <v>0</v>
      </c>
      <c r="BS114" s="736">
        <f t="shared" ref="BS114" si="526">SUM(BS115:BS119)</f>
        <v>0</v>
      </c>
      <c r="BT114" s="736"/>
      <c r="BU114" s="474"/>
      <c r="BV114" s="1701">
        <v>0</v>
      </c>
      <c r="BW114" s="1701">
        <v>0</v>
      </c>
      <c r="BX114" s="1701">
        <v>0</v>
      </c>
      <c r="BY114" s="1701">
        <v>0</v>
      </c>
      <c r="BZ114" s="1701">
        <v>0</v>
      </c>
      <c r="CA114" s="1701">
        <v>0</v>
      </c>
      <c r="CB114" s="1701">
        <v>0</v>
      </c>
      <c r="CC114" s="1701">
        <v>0</v>
      </c>
      <c r="CD114" s="736"/>
      <c r="CE114" s="736"/>
      <c r="CF114" s="736"/>
      <c r="CG114" s="736">
        <f t="shared" ref="CG114:CM114" si="527">SUM(CG115:CG119)</f>
        <v>0</v>
      </c>
      <c r="CH114" s="736">
        <f t="shared" si="527"/>
        <v>0</v>
      </c>
      <c r="CI114" s="736">
        <f t="shared" si="527"/>
        <v>81</v>
      </c>
      <c r="CJ114" s="736">
        <f t="shared" si="527"/>
        <v>60</v>
      </c>
      <c r="CK114" s="736">
        <f t="shared" si="527"/>
        <v>0</v>
      </c>
      <c r="CL114" s="736">
        <f t="shared" si="527"/>
        <v>0</v>
      </c>
      <c r="CM114" s="736">
        <f t="shared" si="527"/>
        <v>0</v>
      </c>
      <c r="CN114" s="736"/>
      <c r="CO114" s="474"/>
      <c r="CP114" s="1701">
        <f>SUM(CP115:CP119)</f>
        <v>0</v>
      </c>
      <c r="CQ114" s="1701">
        <f t="shared" ref="CQ114" si="528">SUM(CQ115:CQ119)</f>
        <v>0</v>
      </c>
      <c r="CR114" s="1701">
        <f t="shared" ref="CR114" si="529">SUM(CR115:CR119)</f>
        <v>0</v>
      </c>
      <c r="CS114" s="1701">
        <f t="shared" ref="CS114" si="530">SUM(CS115:CS119)</f>
        <v>0</v>
      </c>
      <c r="CT114" s="1701">
        <f t="shared" ref="CT114" si="531">SUM(CT115:CT119)</f>
        <v>0</v>
      </c>
      <c r="CU114" s="1701">
        <f t="shared" ref="CU114" si="532">SUM(CU115:CU119)</f>
        <v>0</v>
      </c>
      <c r="CV114" s="1701">
        <f t="shared" ref="CV114" si="533">SUM(CV115:CV119)</f>
        <v>0</v>
      </c>
      <c r="CW114" s="1701">
        <f t="shared" si="469"/>
        <v>0</v>
      </c>
      <c r="CX114" s="736"/>
      <c r="CY114" s="506"/>
      <c r="CZ114" s="506"/>
      <c r="DA114" s="506"/>
      <c r="DB114" s="506"/>
      <c r="DC114" s="506"/>
      <c r="DD114" s="506"/>
      <c r="DE114" s="506"/>
      <c r="DF114" s="506"/>
      <c r="DG114" s="506"/>
      <c r="DH114" s="736"/>
      <c r="DI114" s="474"/>
      <c r="DJ114" s="736"/>
      <c r="DK114" s="736"/>
      <c r="DL114" s="736"/>
      <c r="DM114" s="736"/>
      <c r="DN114" s="736"/>
      <c r="DO114" s="736"/>
      <c r="DP114" s="736"/>
      <c r="DQ114" s="736"/>
      <c r="DR114" s="736"/>
      <c r="DS114" s="506"/>
      <c r="DT114" s="506"/>
      <c r="DU114" s="506"/>
      <c r="DV114" s="506"/>
      <c r="DW114" s="506"/>
      <c r="DX114" s="506"/>
      <c r="DY114" s="506"/>
      <c r="DZ114" s="506"/>
      <c r="EA114" s="506"/>
      <c r="EB114" s="736"/>
      <c r="EC114" s="474"/>
      <c r="ED114" s="506"/>
      <c r="EE114" s="506"/>
      <c r="EF114" s="506"/>
      <c r="EG114" s="506"/>
      <c r="EH114" s="506"/>
      <c r="EI114" s="506"/>
      <c r="EJ114" s="506"/>
      <c r="EK114" s="506"/>
      <c r="EL114" s="506"/>
      <c r="EM114" s="506"/>
    </row>
    <row r="115" spans="1:143" ht="64.5" thickTop="1" thickBot="1">
      <c r="A115" s="130" t="str">
        <f>CONCATENATE('3 pr-2'!A115)</f>
        <v>2.1.1.3.1</v>
      </c>
      <c r="B115" s="130" t="str">
        <f>CONCATENATE('3 pr-2'!B115)</f>
        <v>R01-7705-230000-2131</v>
      </c>
      <c r="C115" s="1730" t="str">
        <f>CONCATENATE('ketv. 2'!B114)</f>
        <v>09.1.3-CPVA-R-705-11-0003</v>
      </c>
      <c r="D115" s="11" t="str">
        <f>CONCATENATE('3 pr-2'!D115)</f>
        <v>Varėnos "Pasakos" vaikų lopšelio-darželio pastato modernizavimas</v>
      </c>
      <c r="E115" s="11" t="str">
        <f>CONCATENATE('3 pr-2'!E115)</f>
        <v>Varėnos rajono savivaldybės administracija</v>
      </c>
      <c r="F115" s="11" t="str">
        <f>CONCATENATE('3 pr-2'!F115)</f>
        <v>Lietuvos Respublikos švietimo ir mokslo ministerija</v>
      </c>
      <c r="G115" s="11" t="str">
        <f>CONCATENATE('3 pr-2'!G115)</f>
        <v>Varėnos r. sav.</v>
      </c>
      <c r="H115" s="130" t="str">
        <f>CONCATENATE('3 pr-2'!H115)</f>
        <v>09.1.3-CPVA-R-705</v>
      </c>
      <c r="I115" s="130" t="str">
        <f>CONCATENATE('3 pr-2'!I115)</f>
        <v>R</v>
      </c>
      <c r="J115" s="130" t="str">
        <f>CONCATENATE('3 pr-2'!J115)</f>
        <v>-</v>
      </c>
      <c r="K115" s="130" t="str">
        <f>CONCATENATE('3 pr-2'!K115)</f>
        <v>-</v>
      </c>
      <c r="L115" s="130" t="s">
        <v>510</v>
      </c>
      <c r="M115" s="471" t="s">
        <v>511</v>
      </c>
      <c r="N115" s="1699"/>
      <c r="O115" s="1699"/>
      <c r="P115" s="1699"/>
      <c r="Q115" s="1699"/>
      <c r="R115" s="1699"/>
      <c r="S115" s="1699"/>
      <c r="T115" s="1699"/>
      <c r="U115" s="1700">
        <f t="shared" si="499"/>
        <v>0</v>
      </c>
      <c r="V115" s="130">
        <v>1</v>
      </c>
      <c r="W115" s="1757">
        <v>1</v>
      </c>
      <c r="X115" s="1732">
        <f t="shared" ref="X115:X119" si="534">SUM(W115-V115)</f>
        <v>0</v>
      </c>
      <c r="Y115" s="1732">
        <f>IF(YEAR('3 pr-2'!$AK115)=2017,$V115,0)</f>
        <v>0</v>
      </c>
      <c r="Z115" s="1732">
        <f>IF(YEAR('3 pr-2'!$AK115)=2018,$V115,0)</f>
        <v>0</v>
      </c>
      <c r="AA115" s="1732">
        <f>IF(YEAR('3 pr-2'!$AK115)=2019,$V115,0)</f>
        <v>1</v>
      </c>
      <c r="AB115" s="1732">
        <f>IF(YEAR('3 pr-2'!$AK115)=2020,$V115,0)</f>
        <v>0</v>
      </c>
      <c r="AC115" s="1732">
        <f>IF(YEAR('3 pr-2'!$AK115)=2021,$V115,0)</f>
        <v>0</v>
      </c>
      <c r="AD115" s="1732">
        <f>IF(YEAR('3 pr-2'!$AK115)=2022,$V115,0)</f>
        <v>0</v>
      </c>
      <c r="AE115" s="1732">
        <f>IF(YEAR('3 pr-2'!$AK115)=2023,$V115,0)</f>
        <v>0</v>
      </c>
      <c r="AF115" s="317" t="s">
        <v>506</v>
      </c>
      <c r="AG115" s="471" t="s">
        <v>507</v>
      </c>
      <c r="AH115" s="1699"/>
      <c r="AI115" s="1699"/>
      <c r="AJ115" s="1699"/>
      <c r="AK115" s="1699"/>
      <c r="AL115" s="1699"/>
      <c r="AM115" s="1699"/>
      <c r="AN115" s="1699"/>
      <c r="AO115" s="1718">
        <f t="shared" si="441"/>
        <v>0</v>
      </c>
      <c r="AP115" s="130">
        <v>205</v>
      </c>
      <c r="AQ115" s="1778">
        <v>205</v>
      </c>
      <c r="AR115" s="1732">
        <f t="shared" ref="AR115:AR119" si="535">SUM(AQ115-AP115)</f>
        <v>0</v>
      </c>
      <c r="AS115" s="1732">
        <f>IF(YEAR('3 pr-2'!$AK115)=2017,$AP115,0)</f>
        <v>0</v>
      </c>
      <c r="AT115" s="1732">
        <f>IF(YEAR('3 pr-2'!$AK115)=2018,$AP115,0)</f>
        <v>0</v>
      </c>
      <c r="AU115" s="1732">
        <f>IF(YEAR('3 pr-2'!$AK115)=2019,$AP115,0)</f>
        <v>205</v>
      </c>
      <c r="AV115" s="1732">
        <f>IF(YEAR('3 pr-2'!$AK115)=2020,$AP115,0)</f>
        <v>0</v>
      </c>
      <c r="AW115" s="1732">
        <f>IF(YEAR('3 pr-2'!$AK115)=2021,$AP115,0)</f>
        <v>0</v>
      </c>
      <c r="AX115" s="1732">
        <f>IF(YEAR('3 pr-2'!$AK115)=2022,$AP115,0)</f>
        <v>0</v>
      </c>
      <c r="AY115" s="1732">
        <f>IF(YEAR('3 pr-2'!$AK115)=2023,$AP115,0)</f>
        <v>0</v>
      </c>
      <c r="AZ115" s="130" t="s">
        <v>589</v>
      </c>
      <c r="BA115" s="470" t="s">
        <v>590</v>
      </c>
      <c r="BB115" s="1699"/>
      <c r="BC115" s="1699"/>
      <c r="BD115" s="1699"/>
      <c r="BE115" s="1699"/>
      <c r="BF115" s="1699"/>
      <c r="BG115" s="1699"/>
      <c r="BH115" s="1699"/>
      <c r="BI115" s="1718">
        <f t="shared" si="455"/>
        <v>0</v>
      </c>
      <c r="BJ115" s="130">
        <v>3</v>
      </c>
      <c r="BK115" s="1501">
        <v>3</v>
      </c>
      <c r="BL115" s="130">
        <f t="shared" ref="BL115:BL119" si="536">SUM(BK115-BJ115)</f>
        <v>0</v>
      </c>
      <c r="BM115" s="130">
        <f>IF(YEAR('3 pr-2'!$AK115)=2017,$BJ115,0)</f>
        <v>0</v>
      </c>
      <c r="BN115" s="130">
        <f>IF(YEAR('3 pr-2'!$AK115)=2018,$BJ115,0)</f>
        <v>0</v>
      </c>
      <c r="BO115" s="130">
        <f>IF(YEAR('3 pr-2'!$AK115)=2019,$BJ115,0)</f>
        <v>3</v>
      </c>
      <c r="BP115" s="130">
        <f>IF(YEAR('3 pr-2'!$AK115)=2020,$BJ115,0)</f>
        <v>0</v>
      </c>
      <c r="BQ115" s="130">
        <f>IF(YEAR('3 pr-2'!$AK115)=2021,$BJ115,0)</f>
        <v>0</v>
      </c>
      <c r="BR115" s="130">
        <f>IF(YEAR('3 pr-2'!$AK115)=2022,$BJ115,0)</f>
        <v>0</v>
      </c>
      <c r="BS115" s="130">
        <f>IF(YEAR('3 pr-2'!$AK115)=2023,$BJ115,0)</f>
        <v>0</v>
      </c>
      <c r="BT115" s="317" t="s">
        <v>783</v>
      </c>
      <c r="BU115" s="471" t="s">
        <v>784</v>
      </c>
      <c r="BV115" s="1699"/>
      <c r="BW115" s="1699"/>
      <c r="BX115" s="1699"/>
      <c r="BY115" s="1699"/>
      <c r="BZ115" s="1699"/>
      <c r="CA115" s="1699"/>
      <c r="CB115" s="1699"/>
      <c r="CC115" s="1718">
        <v>0</v>
      </c>
      <c r="CD115" s="130">
        <v>35</v>
      </c>
      <c r="CE115" s="130">
        <v>35</v>
      </c>
      <c r="CF115" s="130">
        <f t="shared" ref="CF115:CF119" si="537">SUM(CE115-CD115)</f>
        <v>0</v>
      </c>
      <c r="CG115" s="130">
        <f>IF(YEAR('3 pr-2'!$AK115)=2017,$CD115,0)</f>
        <v>0</v>
      </c>
      <c r="CH115" s="130">
        <f>IF(YEAR('3 pr-2'!$AK115)=2018,$CD115,0)</f>
        <v>0</v>
      </c>
      <c r="CI115" s="130">
        <f>IF(YEAR('3 pr-2'!$AK115)=2019,$CD115,0)</f>
        <v>35</v>
      </c>
      <c r="CJ115" s="130">
        <f>IF(YEAR('3 pr-2'!$AK115)=2020,$CD115,0)</f>
        <v>0</v>
      </c>
      <c r="CK115" s="130">
        <f>IF(YEAR('3 pr-2'!$AK115)=2021,$CD115,0)</f>
        <v>0</v>
      </c>
      <c r="CL115" s="130">
        <f>IF(YEAR('3 pr-2'!$AK115)=2022,$CD115,0)</f>
        <v>0</v>
      </c>
      <c r="CM115" s="130">
        <f>IF(YEAR('3 pr-2'!$AK115)=2023,$CD115,0)</f>
        <v>0</v>
      </c>
      <c r="CN115" s="317"/>
      <c r="CO115" s="472"/>
      <c r="CP115" s="1699"/>
      <c r="CQ115" s="1699"/>
      <c r="CR115" s="1699"/>
      <c r="CS115" s="1699"/>
      <c r="CT115" s="1699"/>
      <c r="CU115" s="1699"/>
      <c r="CV115" s="1699"/>
      <c r="CW115" s="1718">
        <f t="shared" si="469"/>
        <v>0</v>
      </c>
      <c r="CX115" s="318"/>
      <c r="CY115" s="303"/>
      <c r="CZ115" s="303"/>
      <c r="DA115" s="506">
        <f>IF(YEAR('3 pr-2'!AK115)=2017,CX115,0)</f>
        <v>0</v>
      </c>
      <c r="DB115" s="506">
        <f>IF(YEAR('3 pr-2'!AK115)=2018,CX115,0)</f>
        <v>0</v>
      </c>
      <c r="DC115" s="506">
        <f>IF(YEAR('3 pr-2'!AK115)=2019,CX115,0)</f>
        <v>0</v>
      </c>
      <c r="DD115" s="506">
        <f>IF(YEAR('3 pr-2'!AK115)=2020,CX115,0)</f>
        <v>0</v>
      </c>
      <c r="DE115" s="506">
        <f>IF(YEAR('3 pr-2'!AK115)=2021,CX115,0)</f>
        <v>0</v>
      </c>
      <c r="DF115" s="506">
        <f>IF(YEAR('3 pr-2'!AK115)=2022,CX115,0)</f>
        <v>0</v>
      </c>
      <c r="DG115" s="506">
        <f>IF(YEAR('3 pr-2'!AK115)=2023,CX115,0)</f>
        <v>0</v>
      </c>
      <c r="DH115" s="317"/>
      <c r="DI115" s="472"/>
      <c r="DJ115" s="130"/>
      <c r="DK115" s="130"/>
      <c r="DL115" s="130"/>
      <c r="DM115" s="130"/>
      <c r="DN115" s="130"/>
      <c r="DO115" s="130"/>
      <c r="DP115" s="130"/>
      <c r="DQ115" s="756"/>
      <c r="DR115" s="318"/>
      <c r="DS115" s="303"/>
      <c r="DT115" s="303"/>
      <c r="DU115" s="506"/>
      <c r="DV115" s="506"/>
      <c r="DW115" s="506"/>
      <c r="DX115" s="506"/>
      <c r="DY115" s="506"/>
      <c r="DZ115" s="506"/>
      <c r="EA115" s="506"/>
      <c r="EB115" s="317"/>
      <c r="EC115" s="472"/>
      <c r="ED115" s="303"/>
      <c r="EE115" s="303"/>
      <c r="EF115" s="303"/>
      <c r="EG115" s="506">
        <f>IF(YEAR('3 pr-2'!BP115)=2017,ED115,0)</f>
        <v>0</v>
      </c>
      <c r="EH115" s="506">
        <f>IF(YEAR('3 pr-2'!BP115)=2018,ED115,0)</f>
        <v>0</v>
      </c>
      <c r="EI115" s="506">
        <f>IF(YEAR('3 pr-2'!BP115)=2019,ED115,0)</f>
        <v>0</v>
      </c>
      <c r="EJ115" s="506">
        <f>IF(YEAR('3 pr-2'!BP115)=2020,ED115,0)</f>
        <v>0</v>
      </c>
      <c r="EK115" s="506">
        <f>IF(YEAR('3 pr-2'!BP115)=2021,ED115,0)</f>
        <v>0</v>
      </c>
      <c r="EL115" s="506">
        <f>IF(YEAR('3 pr-2'!BP115)=2022,ED115,0)</f>
        <v>0</v>
      </c>
      <c r="EM115" s="506">
        <f>IF(YEAR('3 pr-2'!BP115)=2023,ED115,0)</f>
        <v>0</v>
      </c>
    </row>
    <row r="116" spans="1:143" ht="85.5" thickTop="1" thickBot="1">
      <c r="A116" s="130" t="str">
        <f>CONCATENATE('3 pr-2'!A116)</f>
        <v>2.1.1.3.2</v>
      </c>
      <c r="B116" s="130" t="str">
        <f>CONCATENATE('3 pr-2'!B116)</f>
        <v>R01-7705-230000-2132</v>
      </c>
      <c r="C116" s="1730" t="str">
        <f>CONCATENATE('ketv. 2'!B115)</f>
        <v>09.1.3-CPVA-R-705-11-0004</v>
      </c>
      <c r="D116" s="11" t="str">
        <f>CONCATENATE('3 pr-2'!D116)</f>
        <v>Alytaus r. ikimokyklinio ir priešmokyklinio ugdymo prieinamumo didinimas įkuriant ir atnaujinant edukacines erdves</v>
      </c>
      <c r="E116" s="11" t="str">
        <f>CONCATENATE('3 pr-2'!E116)</f>
        <v>Alytaus rajono savivaldybės administracija</v>
      </c>
      <c r="F116" s="11" t="str">
        <f>CONCATENATE('3 pr-2'!F116)</f>
        <v>Lietuvos Respublikos švietimo ir mokslo ministerija</v>
      </c>
      <c r="G116" s="11" t="str">
        <f>CONCATENATE('3 pr-2'!G116)</f>
        <v>Alytaus r. sav.</v>
      </c>
      <c r="H116" s="130" t="str">
        <f>CONCATENATE('3 pr-2'!H116)</f>
        <v>09.1.3-CPVA-R-705</v>
      </c>
      <c r="I116" s="130" t="str">
        <f>CONCATENATE('3 pr-2'!I116)</f>
        <v>R</v>
      </c>
      <c r="J116" s="130" t="str">
        <f>CONCATENATE('3 pr-2'!J116)</f>
        <v/>
      </c>
      <c r="K116" s="130" t="str">
        <f>CONCATENATE('3 pr-2'!K116)</f>
        <v/>
      </c>
      <c r="L116" s="130" t="s">
        <v>510</v>
      </c>
      <c r="M116" s="471" t="s">
        <v>511</v>
      </c>
      <c r="N116" s="1699"/>
      <c r="O116" s="1699"/>
      <c r="P116" s="1699"/>
      <c r="Q116" s="1699"/>
      <c r="R116" s="1699"/>
      <c r="S116" s="1699"/>
      <c r="T116" s="1699"/>
      <c r="U116" s="1700">
        <f t="shared" si="499"/>
        <v>0</v>
      </c>
      <c r="V116" s="130">
        <v>3</v>
      </c>
      <c r="W116" s="1757">
        <v>3</v>
      </c>
      <c r="X116" s="1732">
        <f t="shared" si="534"/>
        <v>0</v>
      </c>
      <c r="Y116" s="1732">
        <f>IF(YEAR('3 pr-2'!$AK116)=2017,$V116,0)</f>
        <v>0</v>
      </c>
      <c r="Z116" s="1732">
        <f>IF(YEAR('3 pr-2'!$AK116)=2018,$V116,0)</f>
        <v>0</v>
      </c>
      <c r="AA116" s="1732">
        <f>IF(YEAR('3 pr-2'!$AK116)=2019,$V116,0)</f>
        <v>0</v>
      </c>
      <c r="AB116" s="1732">
        <f>IF(YEAR('3 pr-2'!$AK116)=2020,$V116,0)</f>
        <v>3</v>
      </c>
      <c r="AC116" s="1732">
        <f>IF(YEAR('3 pr-2'!$AK116)=2021,$V116,0)</f>
        <v>0</v>
      </c>
      <c r="AD116" s="1732">
        <f>IF(YEAR('3 pr-2'!$AK116)=2022,$V116,0)</f>
        <v>0</v>
      </c>
      <c r="AE116" s="1732">
        <f>IF(YEAR('3 pr-2'!$AK116)=2023,$V116,0)</f>
        <v>0</v>
      </c>
      <c r="AF116" s="317" t="s">
        <v>506</v>
      </c>
      <c r="AG116" s="471" t="s">
        <v>507</v>
      </c>
      <c r="AH116" s="1699"/>
      <c r="AI116" s="1699"/>
      <c r="AJ116" s="1699"/>
      <c r="AK116" s="1699"/>
      <c r="AL116" s="1699"/>
      <c r="AM116" s="1699"/>
      <c r="AN116" s="1699"/>
      <c r="AO116" s="1718">
        <f t="shared" si="441"/>
        <v>0</v>
      </c>
      <c r="AP116" s="130">
        <v>220</v>
      </c>
      <c r="AQ116" s="1778">
        <v>220</v>
      </c>
      <c r="AR116" s="1732">
        <f t="shared" si="535"/>
        <v>0</v>
      </c>
      <c r="AS116" s="1732">
        <f>IF(YEAR('3 pr-2'!$AK116)=2017,$AP116,0)</f>
        <v>0</v>
      </c>
      <c r="AT116" s="1732">
        <f>IF(YEAR('3 pr-2'!$AK116)=2018,$AP116,0)</f>
        <v>0</v>
      </c>
      <c r="AU116" s="1732">
        <f>IF(YEAR('3 pr-2'!$AK116)=2019,$AP116,0)</f>
        <v>0</v>
      </c>
      <c r="AV116" s="1732">
        <f>IF(YEAR('3 pr-2'!$AK116)=2020,$AP116,0)</f>
        <v>220</v>
      </c>
      <c r="AW116" s="1732">
        <f>IF(YEAR('3 pr-2'!$AK116)=2021,$AP116,0)</f>
        <v>0</v>
      </c>
      <c r="AX116" s="1732">
        <f>IF(YEAR('3 pr-2'!$AK116)=2022,$AP116,0)</f>
        <v>0</v>
      </c>
      <c r="AY116" s="1732">
        <f>IF(YEAR('3 pr-2'!$AK116)=2023,$AP116,0)</f>
        <v>0</v>
      </c>
      <c r="AZ116" s="130" t="s">
        <v>589</v>
      </c>
      <c r="BA116" s="470" t="s">
        <v>590</v>
      </c>
      <c r="BB116" s="1699"/>
      <c r="BC116" s="1699"/>
      <c r="BD116" s="1699"/>
      <c r="BE116" s="1699"/>
      <c r="BF116" s="1699"/>
      <c r="BG116" s="1699"/>
      <c r="BH116" s="1699"/>
      <c r="BI116" s="1718">
        <f t="shared" si="455"/>
        <v>0</v>
      </c>
      <c r="BJ116" s="130">
        <v>6</v>
      </c>
      <c r="BK116" s="1501">
        <v>6</v>
      </c>
      <c r="BL116" s="130">
        <f t="shared" si="536"/>
        <v>0</v>
      </c>
      <c r="BM116" s="130">
        <f>IF(YEAR('3 pr-2'!$AK116)=2017,$BJ116,0)</f>
        <v>0</v>
      </c>
      <c r="BN116" s="130">
        <f>IF(YEAR('3 pr-2'!$AK116)=2018,$BJ116,0)</f>
        <v>0</v>
      </c>
      <c r="BO116" s="130">
        <f>IF(YEAR('3 pr-2'!$AK116)=2019,$BJ116,0)</f>
        <v>0</v>
      </c>
      <c r="BP116" s="130">
        <f>IF(YEAR('3 pr-2'!$AK116)=2020,$BJ116,0)</f>
        <v>6</v>
      </c>
      <c r="BQ116" s="130">
        <f>IF(YEAR('3 pr-2'!$AK116)=2021,$BJ116,0)</f>
        <v>0</v>
      </c>
      <c r="BR116" s="130">
        <f>IF(YEAR('3 pr-2'!$AK116)=2022,$BJ116,0)</f>
        <v>0</v>
      </c>
      <c r="BS116" s="130">
        <f>IF(YEAR('3 pr-2'!$AK116)=2023,$BJ116,0)</f>
        <v>0</v>
      </c>
      <c r="BT116" s="317" t="s">
        <v>783</v>
      </c>
      <c r="BU116" s="471" t="s">
        <v>784</v>
      </c>
      <c r="BV116" s="1699"/>
      <c r="BW116" s="1699"/>
      <c r="BX116" s="1699"/>
      <c r="BY116" s="1699"/>
      <c r="BZ116" s="1699"/>
      <c r="CA116" s="1699"/>
      <c r="CB116" s="1699"/>
      <c r="CC116" s="1718">
        <v>0</v>
      </c>
      <c r="CD116" s="130">
        <v>60</v>
      </c>
      <c r="CE116" s="130">
        <v>60</v>
      </c>
      <c r="CF116" s="130">
        <f t="shared" si="537"/>
        <v>0</v>
      </c>
      <c r="CG116" s="130">
        <f>IF(YEAR('3 pr-2'!$AK116)=2017,$CD116,0)</f>
        <v>0</v>
      </c>
      <c r="CH116" s="130">
        <f>IF(YEAR('3 pr-2'!$AK116)=2018,$CD116,0)</f>
        <v>0</v>
      </c>
      <c r="CI116" s="130">
        <f>IF(YEAR('3 pr-2'!$AK116)=2019,$CD116,0)</f>
        <v>0</v>
      </c>
      <c r="CJ116" s="130">
        <f>IF(YEAR('3 pr-2'!$AK116)=2020,$CD116,0)</f>
        <v>60</v>
      </c>
      <c r="CK116" s="130">
        <f>IF(YEAR('3 pr-2'!$AK116)=2021,$CD116,0)</f>
        <v>0</v>
      </c>
      <c r="CL116" s="130">
        <f>IF(YEAR('3 pr-2'!$AK116)=2022,$CD116,0)</f>
        <v>0</v>
      </c>
      <c r="CM116" s="130">
        <f>IF(YEAR('3 pr-2'!$AK116)=2023,$CD116,0)</f>
        <v>0</v>
      </c>
      <c r="CN116" s="317"/>
      <c r="CO116" s="472"/>
      <c r="CP116" s="1699"/>
      <c r="CQ116" s="1699"/>
      <c r="CR116" s="1699"/>
      <c r="CS116" s="1699"/>
      <c r="CT116" s="1699"/>
      <c r="CU116" s="1699"/>
      <c r="CV116" s="1699"/>
      <c r="CW116" s="1718">
        <f t="shared" si="469"/>
        <v>0</v>
      </c>
      <c r="CX116" s="318"/>
      <c r="CY116" s="303"/>
      <c r="CZ116" s="303"/>
      <c r="DA116" s="506">
        <f>IF(YEAR('3 pr-2'!AK116)=2017,CX116,0)</f>
        <v>0</v>
      </c>
      <c r="DB116" s="506">
        <f>IF(YEAR('3 pr-2'!AK116)=2018,CX116,0)</f>
        <v>0</v>
      </c>
      <c r="DC116" s="506">
        <f>IF(YEAR('3 pr-2'!AK116)=2019,CX116,0)</f>
        <v>0</v>
      </c>
      <c r="DD116" s="506">
        <f>IF(YEAR('3 pr-2'!AK116)=2020,CX116,0)</f>
        <v>0</v>
      </c>
      <c r="DE116" s="506">
        <f>IF(YEAR('3 pr-2'!AK116)=2021,CX116,0)</f>
        <v>0</v>
      </c>
      <c r="DF116" s="506">
        <f>IF(YEAR('3 pr-2'!AK116)=2022,CX116,0)</f>
        <v>0</v>
      </c>
      <c r="DG116" s="506">
        <f>IF(YEAR('3 pr-2'!AK116)=2023,CX116,0)</f>
        <v>0</v>
      </c>
      <c r="DH116" s="317"/>
      <c r="DI116" s="472"/>
      <c r="DJ116" s="130"/>
      <c r="DK116" s="130"/>
      <c r="DL116" s="130"/>
      <c r="DM116" s="130"/>
      <c r="DN116" s="130"/>
      <c r="DO116" s="130"/>
      <c r="DP116" s="130"/>
      <c r="DQ116" s="756"/>
      <c r="DR116" s="318"/>
      <c r="DS116" s="303"/>
      <c r="DT116" s="303"/>
      <c r="DU116" s="506"/>
      <c r="DV116" s="506"/>
      <c r="DW116" s="506"/>
      <c r="DX116" s="506"/>
      <c r="DY116" s="506"/>
      <c r="DZ116" s="506"/>
      <c r="EA116" s="506"/>
      <c r="EB116" s="317"/>
      <c r="EC116" s="472"/>
      <c r="ED116" s="303"/>
      <c r="EE116" s="303"/>
      <c r="EF116" s="303"/>
      <c r="EG116" s="506">
        <f>IF(YEAR('3 pr-2'!BP116)=2017,ED116,0)</f>
        <v>0</v>
      </c>
      <c r="EH116" s="506">
        <f>IF(YEAR('3 pr-2'!BP116)=2018,ED116,0)</f>
        <v>0</v>
      </c>
      <c r="EI116" s="506">
        <f>IF(YEAR('3 pr-2'!BP116)=2019,ED116,0)</f>
        <v>0</v>
      </c>
      <c r="EJ116" s="506">
        <f>IF(YEAR('3 pr-2'!BP116)=2020,ED116,0)</f>
        <v>0</v>
      </c>
      <c r="EK116" s="506">
        <f>IF(YEAR('3 pr-2'!BP116)=2021,ED116,0)</f>
        <v>0</v>
      </c>
      <c r="EL116" s="506">
        <f>IF(YEAR('3 pr-2'!BP116)=2022,ED116,0)</f>
        <v>0</v>
      </c>
      <c r="EM116" s="506">
        <f>IF(YEAR('3 pr-2'!BP116)=2023,ED116,0)</f>
        <v>0</v>
      </c>
    </row>
    <row r="117" spans="1:143" ht="64.5" thickTop="1" thickBot="1">
      <c r="A117" s="130" t="str">
        <f>CONCATENATE('3 pr-2'!A117)</f>
        <v>2.1.1.3.3</v>
      </c>
      <c r="B117" s="130" t="str">
        <f>CONCATENATE('3 pr-2'!B117)</f>
        <v>R01-7705-230000-2133</v>
      </c>
      <c r="C117" s="1730" t="str">
        <f>CONCATENATE('ketv. 2'!B116)</f>
        <v>09.1.3-CPVA-R-705-11-0001</v>
      </c>
      <c r="D117" s="11" t="str">
        <f>CONCATENATE('3 pr-2'!D117)</f>
        <v>Alytaus lopšelio-darželio „Girinukas“ ugdymo aplinkos modernizavimas</v>
      </c>
      <c r="E117" s="11" t="str">
        <f>CONCATENATE('3 pr-2'!E117)</f>
        <v>Alytaus miesto savivaldybės administracija</v>
      </c>
      <c r="F117" s="11" t="str">
        <f>CONCATENATE('3 pr-2'!F117)</f>
        <v>Lietuvos Respublikos švietimo ir mokslo ministerija</v>
      </c>
      <c r="G117" s="11" t="str">
        <f>CONCATENATE('3 pr-2'!G117)</f>
        <v>Alytaus m. sav.</v>
      </c>
      <c r="H117" s="130" t="str">
        <f>CONCATENATE('3 pr-2'!H117)</f>
        <v>09.1.3-CPVA-R-705</v>
      </c>
      <c r="I117" s="130" t="str">
        <f>CONCATENATE('3 pr-2'!I117)</f>
        <v>R</v>
      </c>
      <c r="J117" s="130" t="str">
        <f>CONCATENATE('3 pr-2'!J117)</f>
        <v>-</v>
      </c>
      <c r="K117" s="130" t="str">
        <f>CONCATENATE('3 pr-2'!K117)</f>
        <v>-</v>
      </c>
      <c r="L117" s="130" t="s">
        <v>510</v>
      </c>
      <c r="M117" s="471" t="s">
        <v>511</v>
      </c>
      <c r="N117" s="1699"/>
      <c r="O117" s="1699"/>
      <c r="P117" s="1699"/>
      <c r="Q117" s="1699"/>
      <c r="R117" s="1699"/>
      <c r="S117" s="1699"/>
      <c r="T117" s="1699"/>
      <c r="U117" s="1700">
        <f t="shared" si="499"/>
        <v>0</v>
      </c>
      <c r="V117" s="130">
        <v>1</v>
      </c>
      <c r="W117" s="1757">
        <v>1</v>
      </c>
      <c r="X117" s="1732">
        <f t="shared" si="534"/>
        <v>0</v>
      </c>
      <c r="Y117" s="1732">
        <f>IF(YEAR('3 pr-2'!$AK117)=2017,$V117,0)</f>
        <v>0</v>
      </c>
      <c r="Z117" s="1732">
        <f>IF(YEAR('3 pr-2'!$AK117)=2018,$V117,0)</f>
        <v>0</v>
      </c>
      <c r="AA117" s="1732">
        <f>IF(YEAR('3 pr-2'!$AK117)=2019,$V117,0)</f>
        <v>1</v>
      </c>
      <c r="AB117" s="1732">
        <f>IF(YEAR('3 pr-2'!$AK117)=2020,$V117,0)</f>
        <v>0</v>
      </c>
      <c r="AC117" s="1732">
        <f>IF(YEAR('3 pr-2'!$AK117)=2021,$V117,0)</f>
        <v>0</v>
      </c>
      <c r="AD117" s="1732">
        <f>IF(YEAR('3 pr-2'!$AK117)=2022,$V117,0)</f>
        <v>0</v>
      </c>
      <c r="AE117" s="1732">
        <f>IF(YEAR('3 pr-2'!$AK117)=2023,$V117,0)</f>
        <v>0</v>
      </c>
      <c r="AF117" s="317" t="s">
        <v>506</v>
      </c>
      <c r="AG117" s="471" t="s">
        <v>507</v>
      </c>
      <c r="AH117" s="1699"/>
      <c r="AI117" s="1699"/>
      <c r="AJ117" s="1699"/>
      <c r="AK117" s="1699"/>
      <c r="AL117" s="1699"/>
      <c r="AM117" s="1699"/>
      <c r="AN117" s="1699"/>
      <c r="AO117" s="1718">
        <f t="shared" si="441"/>
        <v>0</v>
      </c>
      <c r="AP117" s="130">
        <v>221</v>
      </c>
      <c r="AQ117" s="1778">
        <v>221</v>
      </c>
      <c r="AR117" s="1732">
        <f t="shared" si="535"/>
        <v>0</v>
      </c>
      <c r="AS117" s="1732">
        <f>IF(YEAR('3 pr-2'!$AK117)=2017,$AP117,0)</f>
        <v>0</v>
      </c>
      <c r="AT117" s="1732">
        <f>IF(YEAR('3 pr-2'!$AK117)=2018,$AP117,0)</f>
        <v>0</v>
      </c>
      <c r="AU117" s="1732">
        <f>IF(YEAR('3 pr-2'!$AK117)=2019,$AP117,0)</f>
        <v>221</v>
      </c>
      <c r="AV117" s="1732">
        <f>IF(YEAR('3 pr-2'!$AK117)=2020,$AP117,0)</f>
        <v>0</v>
      </c>
      <c r="AW117" s="1732">
        <f>IF(YEAR('3 pr-2'!$AK117)=2021,$AP117,0)</f>
        <v>0</v>
      </c>
      <c r="AX117" s="1732">
        <f>IF(YEAR('3 pr-2'!$AK117)=2022,$AP117,0)</f>
        <v>0</v>
      </c>
      <c r="AY117" s="1732">
        <f>IF(YEAR('3 pr-2'!$AK117)=2023,$AP117,0)</f>
        <v>0</v>
      </c>
      <c r="AZ117" s="130" t="s">
        <v>589</v>
      </c>
      <c r="BA117" s="470" t="s">
        <v>590</v>
      </c>
      <c r="BB117" s="1699"/>
      <c r="BC117" s="1699"/>
      <c r="BD117" s="1699"/>
      <c r="BE117" s="1699"/>
      <c r="BF117" s="1699"/>
      <c r="BG117" s="1699"/>
      <c r="BH117" s="1699"/>
      <c r="BI117" s="1718">
        <f t="shared" si="455"/>
        <v>0</v>
      </c>
      <c r="BJ117" s="130">
        <v>3</v>
      </c>
      <c r="BK117" s="1501">
        <v>3</v>
      </c>
      <c r="BL117" s="130">
        <f t="shared" si="536"/>
        <v>0</v>
      </c>
      <c r="BM117" s="130">
        <f>IF(YEAR('3 pr-2'!$AK117)=2017,$BJ117,0)</f>
        <v>0</v>
      </c>
      <c r="BN117" s="130">
        <f>IF(YEAR('3 pr-2'!$AK117)=2018,$BJ117,0)</f>
        <v>0</v>
      </c>
      <c r="BO117" s="130">
        <f>IF(YEAR('3 pr-2'!$AK117)=2019,$BJ117,0)</f>
        <v>3</v>
      </c>
      <c r="BP117" s="130">
        <f>IF(YEAR('3 pr-2'!$AK117)=2020,$BJ117,0)</f>
        <v>0</v>
      </c>
      <c r="BQ117" s="130">
        <f>IF(YEAR('3 pr-2'!$AK117)=2021,$BJ117,0)</f>
        <v>0</v>
      </c>
      <c r="BR117" s="130">
        <f>IF(YEAR('3 pr-2'!$AK117)=2022,$BJ117,0)</f>
        <v>0</v>
      </c>
      <c r="BS117" s="130">
        <f>IF(YEAR('3 pr-2'!$AK117)=2023,$BJ117,0)</f>
        <v>0</v>
      </c>
      <c r="BT117" s="317" t="s">
        <v>783</v>
      </c>
      <c r="BU117" s="471" t="s">
        <v>784</v>
      </c>
      <c r="BV117" s="1699"/>
      <c r="BW117" s="1699"/>
      <c r="BX117" s="1699"/>
      <c r="BY117" s="1699"/>
      <c r="BZ117" s="1699"/>
      <c r="CA117" s="1699"/>
      <c r="CB117" s="1699"/>
      <c r="CC117" s="1718">
        <v>0</v>
      </c>
      <c r="CD117" s="130">
        <v>20</v>
      </c>
      <c r="CE117" s="130">
        <v>20</v>
      </c>
      <c r="CF117" s="130">
        <f t="shared" si="537"/>
        <v>0</v>
      </c>
      <c r="CG117" s="130">
        <f>IF(YEAR('3 pr-2'!$AK117)=2017,$CD117,0)</f>
        <v>0</v>
      </c>
      <c r="CH117" s="130">
        <f>IF(YEAR('3 pr-2'!$AK117)=2018,$CD117,0)</f>
        <v>0</v>
      </c>
      <c r="CI117" s="130">
        <f>IF(YEAR('3 pr-2'!$AK117)=2019,$CD117,0)</f>
        <v>20</v>
      </c>
      <c r="CJ117" s="130">
        <f>IF(YEAR('3 pr-2'!$AK117)=2020,$CD117,0)</f>
        <v>0</v>
      </c>
      <c r="CK117" s="130">
        <f>IF(YEAR('3 pr-2'!$AK117)=2021,$CD117,0)</f>
        <v>0</v>
      </c>
      <c r="CL117" s="130">
        <f>IF(YEAR('3 pr-2'!$AK117)=2022,$CD117,0)</f>
        <v>0</v>
      </c>
      <c r="CM117" s="130">
        <f>IF(YEAR('3 pr-2'!$AK117)=2023,$CD117,0)</f>
        <v>0</v>
      </c>
      <c r="CN117" s="317"/>
      <c r="CO117" s="472"/>
      <c r="CP117" s="1699"/>
      <c r="CQ117" s="1699"/>
      <c r="CR117" s="1699"/>
      <c r="CS117" s="1699"/>
      <c r="CT117" s="1699"/>
      <c r="CU117" s="1699"/>
      <c r="CV117" s="1699"/>
      <c r="CW117" s="1718">
        <f t="shared" si="469"/>
        <v>0</v>
      </c>
      <c r="CX117" s="318"/>
      <c r="CY117" s="303"/>
      <c r="CZ117" s="303"/>
      <c r="DA117" s="506">
        <f>IF(YEAR('3 pr-2'!AK117)=2017,CX117,0)</f>
        <v>0</v>
      </c>
      <c r="DB117" s="506">
        <f>IF(YEAR('3 pr-2'!AK117)=2018,CX117,0)</f>
        <v>0</v>
      </c>
      <c r="DC117" s="506">
        <f>IF(YEAR('3 pr-2'!AK117)=2019,CX117,0)</f>
        <v>0</v>
      </c>
      <c r="DD117" s="506">
        <f>IF(YEAR('3 pr-2'!AK117)=2020,CX117,0)</f>
        <v>0</v>
      </c>
      <c r="DE117" s="506">
        <f>IF(YEAR('3 pr-2'!AK117)=2021,CX117,0)</f>
        <v>0</v>
      </c>
      <c r="DF117" s="506">
        <f>IF(YEAR('3 pr-2'!AK117)=2022,CX117,0)</f>
        <v>0</v>
      </c>
      <c r="DG117" s="506">
        <f>IF(YEAR('3 pr-2'!AK117)=2023,CX117,0)</f>
        <v>0</v>
      </c>
      <c r="DH117" s="317"/>
      <c r="DI117" s="472"/>
      <c r="DJ117" s="130"/>
      <c r="DK117" s="130"/>
      <c r="DL117" s="130"/>
      <c r="DM117" s="130"/>
      <c r="DN117" s="130"/>
      <c r="DO117" s="130"/>
      <c r="DP117" s="130"/>
      <c r="DQ117" s="756"/>
      <c r="DR117" s="318"/>
      <c r="DS117" s="303"/>
      <c r="DT117" s="303"/>
      <c r="DU117" s="506"/>
      <c r="DV117" s="506"/>
      <c r="DW117" s="506"/>
      <c r="DX117" s="506"/>
      <c r="DY117" s="506"/>
      <c r="DZ117" s="506"/>
      <c r="EA117" s="506"/>
      <c r="EB117" s="317"/>
      <c r="EC117" s="472"/>
      <c r="ED117" s="303"/>
      <c r="EE117" s="303"/>
      <c r="EF117" s="303"/>
      <c r="EG117" s="506">
        <f>IF(YEAR('3 pr-2'!BP117)=2017,ED117,0)</f>
        <v>0</v>
      </c>
      <c r="EH117" s="506">
        <f>IF(YEAR('3 pr-2'!BP117)=2018,ED117,0)</f>
        <v>0</v>
      </c>
      <c r="EI117" s="506">
        <f>IF(YEAR('3 pr-2'!BP117)=2019,ED117,0)</f>
        <v>0</v>
      </c>
      <c r="EJ117" s="506">
        <f>IF(YEAR('3 pr-2'!BP117)=2020,ED117,0)</f>
        <v>0</v>
      </c>
      <c r="EK117" s="506">
        <f>IF(YEAR('3 pr-2'!BP117)=2021,ED117,0)</f>
        <v>0</v>
      </c>
      <c r="EL117" s="506">
        <f>IF(YEAR('3 pr-2'!BP117)=2022,ED117,0)</f>
        <v>0</v>
      </c>
      <c r="EM117" s="506">
        <f>IF(YEAR('3 pr-2'!BP117)=2023,ED117,0)</f>
        <v>0</v>
      </c>
    </row>
    <row r="118" spans="1:143" ht="73.5" thickTop="1" thickBot="1">
      <c r="A118" s="130" t="str">
        <f>CONCATENATE('3 pr-2'!A118)</f>
        <v>2.1.1.3.4</v>
      </c>
      <c r="B118" s="130" t="str">
        <f>CONCATENATE('3 pr-2'!B118)</f>
        <v>R01-7705-230000-2134</v>
      </c>
      <c r="C118" s="1730" t="str">
        <f>CONCATENATE('ketv. 2'!B117)</f>
        <v>09.1.3-CPVA-R-705-11-0006</v>
      </c>
      <c r="D118" s="11" t="str">
        <f>CONCATENATE('3 pr-2'!D118)</f>
        <v>Druskininkų sav. Viečiūnų progimnazijos ikimokyklinio ugdymo skyriaus „Linelis“ ugdymo prieinamumo didinimas</v>
      </c>
      <c r="E118" s="11" t="str">
        <f>CONCATENATE('3 pr-2'!E118)</f>
        <v xml:space="preserve">Druskininkų savivaldybės administracija  </v>
      </c>
      <c r="F118" s="11" t="str">
        <f>CONCATENATE('3 pr-2'!F118)</f>
        <v>Lietuvos Respublikos švietimo ir mokslo ministerija</v>
      </c>
      <c r="G118" s="11" t="str">
        <f>CONCATENATE('3 pr-2'!G118)</f>
        <v>Druskininkų sav.</v>
      </c>
      <c r="H118" s="130" t="str">
        <f>CONCATENATE('3 pr-2'!H118)</f>
        <v>09.1.3-CPVA-R-705</v>
      </c>
      <c r="I118" s="130" t="str">
        <f>CONCATENATE('3 pr-2'!I118)</f>
        <v>R</v>
      </c>
      <c r="J118" s="130" t="str">
        <f>CONCATENATE('3 pr-2'!J118)</f>
        <v>-</v>
      </c>
      <c r="K118" s="130" t="str">
        <f>CONCATENATE('3 pr-2'!K118)</f>
        <v>-</v>
      </c>
      <c r="L118" s="130" t="s">
        <v>510</v>
      </c>
      <c r="M118" s="471" t="s">
        <v>511</v>
      </c>
      <c r="N118" s="1699"/>
      <c r="O118" s="1699"/>
      <c r="P118" s="1699"/>
      <c r="Q118" s="1699"/>
      <c r="R118" s="1699"/>
      <c r="S118" s="1699"/>
      <c r="T118" s="1699"/>
      <c r="U118" s="1700">
        <f t="shared" si="499"/>
        <v>0</v>
      </c>
      <c r="V118" s="130">
        <v>1</v>
      </c>
      <c r="W118" s="1757">
        <v>1</v>
      </c>
      <c r="X118" s="1732">
        <f t="shared" si="534"/>
        <v>0</v>
      </c>
      <c r="Y118" s="1732">
        <f>IF(YEAR('3 pr-2'!$AK118)=2017,$V118,0)</f>
        <v>0</v>
      </c>
      <c r="Z118" s="1732">
        <f>IF(YEAR('3 pr-2'!$AK118)=2018,$V118,0)</f>
        <v>0</v>
      </c>
      <c r="AA118" s="1732">
        <f>IF(YEAR('3 pr-2'!$AK118)=2019,$V118,0)</f>
        <v>1</v>
      </c>
      <c r="AB118" s="1732">
        <f>IF(YEAR('3 pr-2'!$AK118)=2020,$V118,0)</f>
        <v>0</v>
      </c>
      <c r="AC118" s="1732">
        <f>IF(YEAR('3 pr-2'!$AK118)=2021,$V118,0)</f>
        <v>0</v>
      </c>
      <c r="AD118" s="1732">
        <f>IF(YEAR('3 pr-2'!$AK118)=2022,$V118,0)</f>
        <v>0</v>
      </c>
      <c r="AE118" s="1732">
        <f>IF(YEAR('3 pr-2'!$AK118)=2023,$V118,0)</f>
        <v>0</v>
      </c>
      <c r="AF118" s="317" t="s">
        <v>506</v>
      </c>
      <c r="AG118" s="471" t="s">
        <v>507</v>
      </c>
      <c r="AH118" s="1699"/>
      <c r="AI118" s="1699"/>
      <c r="AJ118" s="1699"/>
      <c r="AK118" s="1699"/>
      <c r="AL118" s="1699"/>
      <c r="AM118" s="1699"/>
      <c r="AN118" s="1699"/>
      <c r="AO118" s="1718">
        <f t="shared" si="441"/>
        <v>0</v>
      </c>
      <c r="AP118" s="130">
        <v>96</v>
      </c>
      <c r="AQ118" s="1778">
        <v>96</v>
      </c>
      <c r="AR118" s="1732">
        <f t="shared" si="535"/>
        <v>0</v>
      </c>
      <c r="AS118" s="1732">
        <f>IF(YEAR('3 pr-2'!$AK118)=2017,$AP118,0)</f>
        <v>0</v>
      </c>
      <c r="AT118" s="1732">
        <f>IF(YEAR('3 pr-2'!$AK118)=2018,$AP118,0)</f>
        <v>0</v>
      </c>
      <c r="AU118" s="1732">
        <f>IF(YEAR('3 pr-2'!$AK118)=2019,$AP118,0)</f>
        <v>96</v>
      </c>
      <c r="AV118" s="1732">
        <f>IF(YEAR('3 pr-2'!$AK118)=2020,$AP118,0)</f>
        <v>0</v>
      </c>
      <c r="AW118" s="1732">
        <f>IF(YEAR('3 pr-2'!$AK118)=2021,$AP118,0)</f>
        <v>0</v>
      </c>
      <c r="AX118" s="1732">
        <f>IF(YEAR('3 pr-2'!$AK118)=2022,$AP118,0)</f>
        <v>0</v>
      </c>
      <c r="AY118" s="1732">
        <f>IF(YEAR('3 pr-2'!$AK118)=2023,$AP118,0)</f>
        <v>0</v>
      </c>
      <c r="AZ118" s="130" t="s">
        <v>589</v>
      </c>
      <c r="BA118" s="470" t="s">
        <v>590</v>
      </c>
      <c r="BB118" s="1699"/>
      <c r="BC118" s="1699"/>
      <c r="BD118" s="1699"/>
      <c r="BE118" s="1699"/>
      <c r="BF118" s="1699"/>
      <c r="BG118" s="1699"/>
      <c r="BH118" s="1699"/>
      <c r="BI118" s="1718">
        <f t="shared" si="455"/>
        <v>0</v>
      </c>
      <c r="BJ118" s="130">
        <v>3</v>
      </c>
      <c r="BK118" s="1501">
        <v>3</v>
      </c>
      <c r="BL118" s="130">
        <f t="shared" si="536"/>
        <v>0</v>
      </c>
      <c r="BM118" s="130">
        <f>IF(YEAR('3 pr-2'!$AK118)=2017,$BJ118,0)</f>
        <v>0</v>
      </c>
      <c r="BN118" s="130">
        <f>IF(YEAR('3 pr-2'!$AK118)=2018,$BJ118,0)</f>
        <v>0</v>
      </c>
      <c r="BO118" s="130">
        <f>IF(YEAR('3 pr-2'!$AK118)=2019,$BJ118,0)</f>
        <v>3</v>
      </c>
      <c r="BP118" s="130">
        <f>IF(YEAR('3 pr-2'!$AK118)=2020,$BJ118,0)</f>
        <v>0</v>
      </c>
      <c r="BQ118" s="130">
        <f>IF(YEAR('3 pr-2'!$AK118)=2021,$BJ118,0)</f>
        <v>0</v>
      </c>
      <c r="BR118" s="130">
        <f>IF(YEAR('3 pr-2'!$AK118)=2022,$BJ118,0)</f>
        <v>0</v>
      </c>
      <c r="BS118" s="130">
        <f>IF(YEAR('3 pr-2'!$AK118)=2023,$BJ118,0)</f>
        <v>0</v>
      </c>
      <c r="BT118" s="317" t="s">
        <v>783</v>
      </c>
      <c r="BU118" s="471" t="s">
        <v>784</v>
      </c>
      <c r="BV118" s="1699"/>
      <c r="BW118" s="1699"/>
      <c r="BX118" s="1699"/>
      <c r="BY118" s="1699"/>
      <c r="BZ118" s="1699"/>
      <c r="CA118" s="1699"/>
      <c r="CB118" s="1699"/>
      <c r="CC118" s="1718">
        <v>0</v>
      </c>
      <c r="CD118" s="130">
        <v>11</v>
      </c>
      <c r="CE118" s="130">
        <v>11</v>
      </c>
      <c r="CF118" s="130">
        <f t="shared" si="537"/>
        <v>0</v>
      </c>
      <c r="CG118" s="130">
        <f>IF(YEAR('3 pr-2'!$AK118)=2017,$CD118,0)</f>
        <v>0</v>
      </c>
      <c r="CH118" s="130">
        <f>IF(YEAR('3 pr-2'!$AK118)=2018,$CD118,0)</f>
        <v>0</v>
      </c>
      <c r="CI118" s="130">
        <f>IF(YEAR('3 pr-2'!$AK118)=2019,$CD118,0)</f>
        <v>11</v>
      </c>
      <c r="CJ118" s="130">
        <f>IF(YEAR('3 pr-2'!$AK118)=2020,$CD118,0)</f>
        <v>0</v>
      </c>
      <c r="CK118" s="130">
        <f>IF(YEAR('3 pr-2'!$AK118)=2021,$CD118,0)</f>
        <v>0</v>
      </c>
      <c r="CL118" s="130">
        <f>IF(YEAR('3 pr-2'!$AK118)=2022,$CD118,0)</f>
        <v>0</v>
      </c>
      <c r="CM118" s="130">
        <f>IF(YEAR('3 pr-2'!$AK118)=2023,$CD118,0)</f>
        <v>0</v>
      </c>
      <c r="CN118" s="317"/>
      <c r="CO118" s="472"/>
      <c r="CP118" s="1699"/>
      <c r="CQ118" s="1699"/>
      <c r="CR118" s="1699"/>
      <c r="CS118" s="1699"/>
      <c r="CT118" s="1699"/>
      <c r="CU118" s="1699"/>
      <c r="CV118" s="1699"/>
      <c r="CW118" s="1718">
        <f t="shared" si="469"/>
        <v>0</v>
      </c>
      <c r="CX118" s="318"/>
      <c r="CY118" s="303"/>
      <c r="CZ118" s="303"/>
      <c r="DA118" s="506">
        <f>IF(YEAR('3 pr-2'!AK118)=2017,CX118,0)</f>
        <v>0</v>
      </c>
      <c r="DB118" s="506">
        <f>IF(YEAR('3 pr-2'!AK118)=2018,CX118,0)</f>
        <v>0</v>
      </c>
      <c r="DC118" s="506">
        <f>IF(YEAR('3 pr-2'!AK118)=2019,CX118,0)</f>
        <v>0</v>
      </c>
      <c r="DD118" s="506">
        <f>IF(YEAR('3 pr-2'!AK118)=2020,CX118,0)</f>
        <v>0</v>
      </c>
      <c r="DE118" s="506">
        <f>IF(YEAR('3 pr-2'!AK118)=2021,CX118,0)</f>
        <v>0</v>
      </c>
      <c r="DF118" s="506">
        <f>IF(YEAR('3 pr-2'!AK118)=2022,CX118,0)</f>
        <v>0</v>
      </c>
      <c r="DG118" s="506">
        <f>IF(YEAR('3 pr-2'!AK118)=2023,CX118,0)</f>
        <v>0</v>
      </c>
      <c r="DH118" s="317"/>
      <c r="DI118" s="472"/>
      <c r="DJ118" s="130"/>
      <c r="DK118" s="130"/>
      <c r="DL118" s="130"/>
      <c r="DM118" s="130"/>
      <c r="DN118" s="130"/>
      <c r="DO118" s="130"/>
      <c r="DP118" s="130"/>
      <c r="DQ118" s="756"/>
      <c r="DR118" s="318"/>
      <c r="DS118" s="303"/>
      <c r="DT118" s="303"/>
      <c r="DU118" s="506"/>
      <c r="DV118" s="506"/>
      <c r="DW118" s="506"/>
      <c r="DX118" s="506"/>
      <c r="DY118" s="506"/>
      <c r="DZ118" s="506"/>
      <c r="EA118" s="506"/>
      <c r="EB118" s="317"/>
      <c r="EC118" s="472"/>
      <c r="ED118" s="303"/>
      <c r="EE118" s="303"/>
      <c r="EF118" s="303"/>
      <c r="EG118" s="506">
        <f>IF(YEAR('3 pr-2'!BP118)=2017,ED118,0)</f>
        <v>0</v>
      </c>
      <c r="EH118" s="506">
        <f>IF(YEAR('3 pr-2'!BP118)=2018,ED118,0)</f>
        <v>0</v>
      </c>
      <c r="EI118" s="506">
        <f>IF(YEAR('3 pr-2'!BP118)=2019,ED118,0)</f>
        <v>0</v>
      </c>
      <c r="EJ118" s="506">
        <f>IF(YEAR('3 pr-2'!BP118)=2020,ED118,0)</f>
        <v>0</v>
      </c>
      <c r="EK118" s="506">
        <f>IF(YEAR('3 pr-2'!BP118)=2021,ED118,0)</f>
        <v>0</v>
      </c>
      <c r="EL118" s="506">
        <f>IF(YEAR('3 pr-2'!BP118)=2022,ED118,0)</f>
        <v>0</v>
      </c>
      <c r="EM118" s="506">
        <f>IF(YEAR('3 pr-2'!BP118)=2023,ED118,0)</f>
        <v>0</v>
      </c>
    </row>
    <row r="119" spans="1:143" ht="64.5" thickTop="1" thickBot="1">
      <c r="A119" s="130" t="str">
        <f>CONCATENATE('3 pr-2'!A119)</f>
        <v>2.1.1.3.5</v>
      </c>
      <c r="B119" s="130" t="str">
        <f>CONCATENATE('3 pr-2'!B119)</f>
        <v>R01-7705-230000-2135</v>
      </c>
      <c r="C119" s="1730" t="str">
        <f>CONCATENATE('ketv. 2'!B118)</f>
        <v>09.1.3-CPVA-R-705-11-0002</v>
      </c>
      <c r="D119" s="11" t="str">
        <f>CONCATENATE('3 pr-2'!D119)</f>
        <v>Ikimokyklinio ir priešmokyklinio ugdymo įstaigų Lazdijų rajono savivaldybėje modernizavimas</v>
      </c>
      <c r="E119" s="11" t="str">
        <f>CONCATENATE('3 pr-2'!E119)</f>
        <v>Lazdijų rajono savivaldybės administracija</v>
      </c>
      <c r="F119" s="11" t="str">
        <f>CONCATENATE('3 pr-2'!F119)</f>
        <v>Lietuvos Respublikos švietimo ir mokslo ministerija</v>
      </c>
      <c r="G119" s="11" t="str">
        <f>CONCATENATE('3 pr-2'!G119)</f>
        <v>Lazdijų r. sav.</v>
      </c>
      <c r="H119" s="130" t="str">
        <f>CONCATENATE('3 pr-2'!H119)</f>
        <v>09.1.3-CPVA-R-705</v>
      </c>
      <c r="I119" s="130" t="str">
        <f>CONCATENATE('3 pr-2'!I119)</f>
        <v>R</v>
      </c>
      <c r="J119" s="130" t="str">
        <f>CONCATENATE('3 pr-2'!J119)</f>
        <v>-</v>
      </c>
      <c r="K119" s="130" t="str">
        <f>CONCATENATE('3 pr-2'!K119)</f>
        <v>-</v>
      </c>
      <c r="L119" s="130" t="s">
        <v>510</v>
      </c>
      <c r="M119" s="471" t="s">
        <v>511</v>
      </c>
      <c r="N119" s="1699"/>
      <c r="O119" s="1699"/>
      <c r="P119" s="1699"/>
      <c r="Q119" s="1699"/>
      <c r="R119" s="1699"/>
      <c r="S119" s="1699"/>
      <c r="T119" s="1699"/>
      <c r="U119" s="1700">
        <f t="shared" si="499"/>
        <v>0</v>
      </c>
      <c r="V119" s="130">
        <v>1</v>
      </c>
      <c r="W119" s="1757">
        <v>1</v>
      </c>
      <c r="X119" s="1732">
        <f t="shared" si="534"/>
        <v>0</v>
      </c>
      <c r="Y119" s="1732">
        <f>IF(YEAR('3 pr-2'!$AK119)=2017,$V119,0)</f>
        <v>0</v>
      </c>
      <c r="Z119" s="1732">
        <f>IF(YEAR('3 pr-2'!$AK119)=2018,$V119,0)</f>
        <v>0</v>
      </c>
      <c r="AA119" s="1732">
        <f>IF(YEAR('3 pr-2'!$AK119)=2019,$V119,0)</f>
        <v>1</v>
      </c>
      <c r="AB119" s="1732">
        <f>IF(YEAR('3 pr-2'!$AK119)=2020,$V119,0)</f>
        <v>0</v>
      </c>
      <c r="AC119" s="1732">
        <f>IF(YEAR('3 pr-2'!$AK119)=2021,$V119,0)</f>
        <v>0</v>
      </c>
      <c r="AD119" s="1732">
        <f>IF(YEAR('3 pr-2'!$AK119)=2022,$V119,0)</f>
        <v>0</v>
      </c>
      <c r="AE119" s="1732">
        <f>IF(YEAR('3 pr-2'!$AK119)=2023,$V119,0)</f>
        <v>0</v>
      </c>
      <c r="AF119" s="317" t="s">
        <v>506</v>
      </c>
      <c r="AG119" s="471" t="s">
        <v>507</v>
      </c>
      <c r="AH119" s="1699"/>
      <c r="AI119" s="1699"/>
      <c r="AJ119" s="1699"/>
      <c r="AK119" s="1699"/>
      <c r="AL119" s="1699"/>
      <c r="AM119" s="1699"/>
      <c r="AN119" s="1699"/>
      <c r="AO119" s="1718">
        <f t="shared" si="441"/>
        <v>0</v>
      </c>
      <c r="AP119" s="130">
        <v>160</v>
      </c>
      <c r="AQ119" s="1778">
        <v>160</v>
      </c>
      <c r="AR119" s="1732">
        <f t="shared" si="535"/>
        <v>0</v>
      </c>
      <c r="AS119" s="1732">
        <f>IF(YEAR('3 pr-2'!$AK119)=2017,$AP119,0)</f>
        <v>0</v>
      </c>
      <c r="AT119" s="1732">
        <f>IF(YEAR('3 pr-2'!$AK119)=2018,$AP119,0)</f>
        <v>0</v>
      </c>
      <c r="AU119" s="1732">
        <f>IF(YEAR('3 pr-2'!$AK119)=2019,$AP119,0)</f>
        <v>160</v>
      </c>
      <c r="AV119" s="1732">
        <f>IF(YEAR('3 pr-2'!$AK119)=2020,$AP119,0)</f>
        <v>0</v>
      </c>
      <c r="AW119" s="1732">
        <f>IF(YEAR('3 pr-2'!$AK119)=2021,$AP119,0)</f>
        <v>0</v>
      </c>
      <c r="AX119" s="1732">
        <f>IF(YEAR('3 pr-2'!$AK119)=2022,$AP119,0)</f>
        <v>0</v>
      </c>
      <c r="AY119" s="1732">
        <f>IF(YEAR('3 pr-2'!$AK119)=2023,$AP119,0)</f>
        <v>0</v>
      </c>
      <c r="AZ119" s="130" t="s">
        <v>589</v>
      </c>
      <c r="BA119" s="470" t="s">
        <v>590</v>
      </c>
      <c r="BB119" s="1699"/>
      <c r="BC119" s="1699"/>
      <c r="BD119" s="1699"/>
      <c r="BE119" s="1699"/>
      <c r="BF119" s="1699"/>
      <c r="BG119" s="1699"/>
      <c r="BH119" s="1699"/>
      <c r="BI119" s="1718">
        <f t="shared" si="455"/>
        <v>0</v>
      </c>
      <c r="BJ119" s="130">
        <v>3</v>
      </c>
      <c r="BK119" s="1501">
        <v>3</v>
      </c>
      <c r="BL119" s="130">
        <f t="shared" si="536"/>
        <v>0</v>
      </c>
      <c r="BM119" s="130">
        <f>IF(YEAR('3 pr-2'!$AK119)=2017,$BJ119,0)</f>
        <v>0</v>
      </c>
      <c r="BN119" s="130">
        <f>IF(YEAR('3 pr-2'!$AK119)=2018,$BJ119,0)</f>
        <v>0</v>
      </c>
      <c r="BO119" s="130">
        <f>IF(YEAR('3 pr-2'!$AK119)=2019,$BJ119,0)</f>
        <v>3</v>
      </c>
      <c r="BP119" s="130">
        <f>IF(YEAR('3 pr-2'!$AK119)=2020,$BJ119,0)</f>
        <v>0</v>
      </c>
      <c r="BQ119" s="130">
        <f>IF(YEAR('3 pr-2'!$AK119)=2021,$BJ119,0)</f>
        <v>0</v>
      </c>
      <c r="BR119" s="130">
        <f>IF(YEAR('3 pr-2'!$AK119)=2022,$BJ119,0)</f>
        <v>0</v>
      </c>
      <c r="BS119" s="130">
        <f>IF(YEAR('3 pr-2'!$AK119)=2023,$BJ119,0)</f>
        <v>0</v>
      </c>
      <c r="BT119" s="317" t="s">
        <v>783</v>
      </c>
      <c r="BU119" s="471" t="s">
        <v>784</v>
      </c>
      <c r="BV119" s="1699"/>
      <c r="BW119" s="1699"/>
      <c r="BX119" s="1699"/>
      <c r="BY119" s="1699"/>
      <c r="BZ119" s="1699"/>
      <c r="CA119" s="1699"/>
      <c r="CB119" s="1699"/>
      <c r="CC119" s="1718">
        <v>0</v>
      </c>
      <c r="CD119" s="130">
        <v>15</v>
      </c>
      <c r="CE119" s="130">
        <v>15</v>
      </c>
      <c r="CF119" s="130">
        <f t="shared" si="537"/>
        <v>0</v>
      </c>
      <c r="CG119" s="130">
        <f>IF(YEAR('3 pr-2'!$AK119)=2017,$CD119,0)</f>
        <v>0</v>
      </c>
      <c r="CH119" s="130">
        <f>IF(YEAR('3 pr-2'!$AK119)=2018,$CD119,0)</f>
        <v>0</v>
      </c>
      <c r="CI119" s="130">
        <f>IF(YEAR('3 pr-2'!$AK119)=2019,$CD119,0)</f>
        <v>15</v>
      </c>
      <c r="CJ119" s="130">
        <f>IF(YEAR('3 pr-2'!$AK119)=2020,$CD119,0)</f>
        <v>0</v>
      </c>
      <c r="CK119" s="130">
        <f>IF(YEAR('3 pr-2'!$AK119)=2021,$CD119,0)</f>
        <v>0</v>
      </c>
      <c r="CL119" s="130">
        <f>IF(YEAR('3 pr-2'!$AK119)=2022,$CD119,0)</f>
        <v>0</v>
      </c>
      <c r="CM119" s="130">
        <f>IF(YEAR('3 pr-2'!$AK119)=2023,$CD119,0)</f>
        <v>0</v>
      </c>
      <c r="CN119" s="317"/>
      <c r="CO119" s="472"/>
      <c r="CP119" s="1699"/>
      <c r="CQ119" s="1699"/>
      <c r="CR119" s="1699"/>
      <c r="CS119" s="1699"/>
      <c r="CT119" s="1699"/>
      <c r="CU119" s="1699"/>
      <c r="CV119" s="1699"/>
      <c r="CW119" s="1718">
        <f t="shared" si="469"/>
        <v>0</v>
      </c>
      <c r="CX119" s="318"/>
      <c r="CY119" s="303"/>
      <c r="CZ119" s="303"/>
      <c r="DA119" s="506">
        <f>IF(YEAR('3 pr-2'!AK119)=2017,CX119,0)</f>
        <v>0</v>
      </c>
      <c r="DB119" s="506">
        <f>IF(YEAR('3 pr-2'!AK119)=2018,CX119,0)</f>
        <v>0</v>
      </c>
      <c r="DC119" s="506">
        <f>IF(YEAR('3 pr-2'!AK119)=2019,CX119,0)</f>
        <v>0</v>
      </c>
      <c r="DD119" s="506">
        <f>IF(YEAR('3 pr-2'!AK119)=2020,CX119,0)</f>
        <v>0</v>
      </c>
      <c r="DE119" s="506">
        <f>IF(YEAR('3 pr-2'!AK119)=2021,CX119,0)</f>
        <v>0</v>
      </c>
      <c r="DF119" s="506">
        <f>IF(YEAR('3 pr-2'!AK119)=2022,CX119,0)</f>
        <v>0</v>
      </c>
      <c r="DG119" s="506">
        <f>IF(YEAR('3 pr-2'!AK119)=2023,CX119,0)</f>
        <v>0</v>
      </c>
      <c r="DH119" s="317"/>
      <c r="DI119" s="472"/>
      <c r="DJ119" s="130"/>
      <c r="DK119" s="130"/>
      <c r="DL119" s="130"/>
      <c r="DM119" s="130"/>
      <c r="DN119" s="130"/>
      <c r="DO119" s="130"/>
      <c r="DP119" s="130"/>
      <c r="DQ119" s="756"/>
      <c r="DR119" s="318"/>
      <c r="DS119" s="303"/>
      <c r="DT119" s="303"/>
      <c r="DU119" s="506"/>
      <c r="DV119" s="506"/>
      <c r="DW119" s="506"/>
      <c r="DX119" s="506"/>
      <c r="DY119" s="506"/>
      <c r="DZ119" s="506"/>
      <c r="EA119" s="506"/>
      <c r="EB119" s="317"/>
      <c r="EC119" s="472"/>
      <c r="ED119" s="303"/>
      <c r="EE119" s="303"/>
      <c r="EF119" s="303"/>
      <c r="EG119" s="506">
        <f>IF(YEAR('3 pr-2'!BP119)=2017,ED119,0)</f>
        <v>0</v>
      </c>
      <c r="EH119" s="506">
        <f>IF(YEAR('3 pr-2'!BP119)=2018,ED119,0)</f>
        <v>0</v>
      </c>
      <c r="EI119" s="506">
        <f>IF(YEAR('3 pr-2'!BP119)=2019,ED119,0)</f>
        <v>0</v>
      </c>
      <c r="EJ119" s="506">
        <f>IF(YEAR('3 pr-2'!BP119)=2020,ED119,0)</f>
        <v>0</v>
      </c>
      <c r="EK119" s="506">
        <f>IF(YEAR('3 pr-2'!BP119)=2021,ED119,0)</f>
        <v>0</v>
      </c>
      <c r="EL119" s="506">
        <f>IF(YEAR('3 pr-2'!BP119)=2022,ED119,0)</f>
        <v>0</v>
      </c>
      <c r="EM119" s="506">
        <f>IF(YEAR('3 pr-2'!BP119)=2023,ED119,0)</f>
        <v>0</v>
      </c>
    </row>
    <row r="120" spans="1:143" ht="54.75" customHeight="1" thickBot="1">
      <c r="A120" s="614" t="str">
        <f>CONCATENATE('3 pr-2'!A120)</f>
        <v>2.1.2.</v>
      </c>
      <c r="B120" s="1972" t="str">
        <f>CONCATENATE('3 pr-2'!B120)</f>
        <v>Uždavinys:
Sveikatos netolygumų sumažinimas, gerinant sveikatos priežiūros kokybę ir prieinamumą tikslinėms gyventojų grupėms ir sveiko senėjimo skatinimas</v>
      </c>
      <c r="C120" s="1894"/>
      <c r="D120" s="1894"/>
      <c r="E120" s="1894"/>
      <c r="F120" s="1894"/>
      <c r="G120" s="1894"/>
      <c r="H120" s="1894"/>
      <c r="I120" s="1894"/>
      <c r="J120" s="1894"/>
      <c r="K120" s="1895"/>
      <c r="L120" s="769" t="s">
        <v>66</v>
      </c>
      <c r="M120" s="770" t="s">
        <v>66</v>
      </c>
      <c r="N120" s="1708"/>
      <c r="O120" s="1708"/>
      <c r="P120" s="1708"/>
      <c r="Q120" s="1708"/>
      <c r="R120" s="1708"/>
      <c r="S120" s="1708"/>
      <c r="T120" s="1708"/>
      <c r="U120" s="1709"/>
      <c r="V120" s="771" t="s">
        <v>66</v>
      </c>
      <c r="W120" s="1768"/>
      <c r="X120" s="1768"/>
      <c r="Y120" s="1768" t="s">
        <v>66</v>
      </c>
      <c r="Z120" s="1768" t="s">
        <v>66</v>
      </c>
      <c r="AA120" s="1768" t="s">
        <v>66</v>
      </c>
      <c r="AB120" s="1768" t="s">
        <v>66</v>
      </c>
      <c r="AC120" s="1768" t="s">
        <v>66</v>
      </c>
      <c r="AD120" s="1768" t="s">
        <v>66</v>
      </c>
      <c r="AE120" s="1768" t="s">
        <v>66</v>
      </c>
      <c r="AF120" s="769" t="s">
        <v>66</v>
      </c>
      <c r="AG120" s="770" t="s">
        <v>66</v>
      </c>
      <c r="AH120" s="1708"/>
      <c r="AI120" s="1708"/>
      <c r="AJ120" s="1708"/>
      <c r="AK120" s="1708"/>
      <c r="AL120" s="1708"/>
      <c r="AM120" s="1708"/>
      <c r="AN120" s="1708"/>
      <c r="AO120" s="1708"/>
      <c r="AP120" s="769" t="s">
        <v>66</v>
      </c>
      <c r="AQ120" s="1768"/>
      <c r="AR120" s="1768"/>
      <c r="AS120" s="1768" t="s">
        <v>66</v>
      </c>
      <c r="AT120" s="1768" t="s">
        <v>66</v>
      </c>
      <c r="AU120" s="1768" t="s">
        <v>66</v>
      </c>
      <c r="AV120" s="1768" t="s">
        <v>66</v>
      </c>
      <c r="AW120" s="1768" t="s">
        <v>66</v>
      </c>
      <c r="AX120" s="1768" t="s">
        <v>66</v>
      </c>
      <c r="AY120" s="1768" t="s">
        <v>66</v>
      </c>
      <c r="AZ120" s="769" t="s">
        <v>66</v>
      </c>
      <c r="BA120" s="770" t="s">
        <v>66</v>
      </c>
      <c r="BB120" s="1708"/>
      <c r="BC120" s="1708"/>
      <c r="BD120" s="1708"/>
      <c r="BE120" s="1708"/>
      <c r="BF120" s="1708"/>
      <c r="BG120" s="1708"/>
      <c r="BH120" s="1708"/>
      <c r="BI120" s="1708"/>
      <c r="BJ120" s="769" t="s">
        <v>66</v>
      </c>
      <c r="BK120" s="769"/>
      <c r="BL120" s="769"/>
      <c r="BM120" s="769" t="s">
        <v>66</v>
      </c>
      <c r="BN120" s="769" t="s">
        <v>66</v>
      </c>
      <c r="BO120" s="769" t="s">
        <v>66</v>
      </c>
      <c r="BP120" s="769" t="s">
        <v>66</v>
      </c>
      <c r="BQ120" s="769" t="s">
        <v>66</v>
      </c>
      <c r="BR120" s="769" t="s">
        <v>66</v>
      </c>
      <c r="BS120" s="769" t="s">
        <v>66</v>
      </c>
      <c r="BT120" s="769" t="s">
        <v>66</v>
      </c>
      <c r="BU120" s="770" t="s">
        <v>66</v>
      </c>
      <c r="BV120" s="1708"/>
      <c r="BW120" s="1708"/>
      <c r="BX120" s="1708"/>
      <c r="BY120" s="1708"/>
      <c r="BZ120" s="1708"/>
      <c r="CA120" s="1708"/>
      <c r="CB120" s="1708"/>
      <c r="CC120" s="1708"/>
      <c r="CD120" s="769" t="s">
        <v>66</v>
      </c>
      <c r="CE120" s="769"/>
      <c r="CF120" s="769"/>
      <c r="CG120" s="769" t="s">
        <v>66</v>
      </c>
      <c r="CH120" s="769" t="s">
        <v>66</v>
      </c>
      <c r="CI120" s="769" t="s">
        <v>66</v>
      </c>
      <c r="CJ120" s="769" t="s">
        <v>66</v>
      </c>
      <c r="CK120" s="769" t="s">
        <v>66</v>
      </c>
      <c r="CL120" s="769" t="s">
        <v>66</v>
      </c>
      <c r="CM120" s="769" t="s">
        <v>66</v>
      </c>
      <c r="CN120" s="769" t="s">
        <v>66</v>
      </c>
      <c r="CO120" s="770" t="s">
        <v>66</v>
      </c>
      <c r="CP120" s="1708"/>
      <c r="CQ120" s="1708"/>
      <c r="CR120" s="1708"/>
      <c r="CS120" s="1708"/>
      <c r="CT120" s="1708"/>
      <c r="CU120" s="1708"/>
      <c r="CV120" s="1708"/>
      <c r="CW120" s="1708"/>
      <c r="CX120" s="769" t="s">
        <v>66</v>
      </c>
      <c r="CY120" s="767"/>
      <c r="CZ120" s="767"/>
      <c r="DA120" s="282"/>
      <c r="DB120" s="699"/>
      <c r="DC120" s="699"/>
      <c r="DD120" s="699"/>
      <c r="DE120" s="699"/>
      <c r="DF120" s="699"/>
      <c r="DG120" s="699"/>
      <c r="DH120" s="769"/>
      <c r="DI120" s="770"/>
      <c r="DJ120" s="769"/>
      <c r="DK120" s="769"/>
      <c r="DL120" s="769"/>
      <c r="DM120" s="769"/>
      <c r="DN120" s="769"/>
      <c r="DO120" s="769"/>
      <c r="DP120" s="769"/>
      <c r="DQ120" s="769"/>
      <c r="DR120" s="769"/>
      <c r="DS120" s="767"/>
      <c r="DT120" s="767"/>
      <c r="DU120" s="282"/>
      <c r="DV120" s="699"/>
      <c r="DW120" s="699"/>
      <c r="DX120" s="699"/>
      <c r="DY120" s="699"/>
      <c r="DZ120" s="699"/>
      <c r="EA120" s="699"/>
      <c r="EB120" s="769"/>
      <c r="EC120" s="770"/>
      <c r="ED120" s="767"/>
      <c r="EE120" s="767"/>
      <c r="EF120" s="767"/>
      <c r="EG120" s="282"/>
      <c r="EH120" s="699"/>
      <c r="EI120" s="699"/>
      <c r="EJ120" s="699"/>
      <c r="EK120" s="699"/>
      <c r="EL120" s="699"/>
      <c r="EM120" s="699"/>
    </row>
    <row r="121" spans="1:143" ht="44.25" customHeight="1" thickBot="1">
      <c r="A121" s="773" t="str">
        <f>CONCATENATE('3 pr-2'!A121)</f>
        <v>2.1.2.1</v>
      </c>
      <c r="B121" s="1972" t="str">
        <f>CONCATENATE('3 pr-2'!B121)</f>
        <v>Priemonė:
Pirminės asmens ir visuomenės sveikatos priežiūros veiklos efektyvumo didinimas gerinant jų infrastruktūrą</v>
      </c>
      <c r="C121" s="1894"/>
      <c r="D121" s="1894"/>
      <c r="E121" s="1894"/>
      <c r="F121" s="1894"/>
      <c r="G121" s="1894"/>
      <c r="H121" s="1894"/>
      <c r="I121" s="1894"/>
      <c r="J121" s="1894"/>
      <c r="K121" s="1895"/>
      <c r="L121" s="774"/>
      <c r="M121" s="474"/>
      <c r="N121" s="1710">
        <f>SUM(N122:N133)</f>
        <v>0</v>
      </c>
      <c r="O121" s="1710">
        <f t="shared" ref="O121:T121" si="538">SUM(O122:O133)</f>
        <v>0</v>
      </c>
      <c r="P121" s="1710">
        <f t="shared" si="538"/>
        <v>0</v>
      </c>
      <c r="Q121" s="1710">
        <f t="shared" si="538"/>
        <v>0</v>
      </c>
      <c r="R121" s="1710">
        <f t="shared" si="538"/>
        <v>0</v>
      </c>
      <c r="S121" s="1710">
        <f t="shared" si="538"/>
        <v>0</v>
      </c>
      <c r="T121" s="1710">
        <f t="shared" si="538"/>
        <v>0</v>
      </c>
      <c r="U121" s="1711">
        <f t="shared" ref="U121:U133" si="539">SUM(N121:T121)</f>
        <v>0</v>
      </c>
      <c r="V121" s="739"/>
      <c r="W121" s="1770"/>
      <c r="X121" s="1771"/>
      <c r="Y121" s="1772">
        <f t="shared" ref="Y121:AE121" si="540">SUM(Y122:Y134)</f>
        <v>0</v>
      </c>
      <c r="Z121" s="1772">
        <f t="shared" si="540"/>
        <v>0</v>
      </c>
      <c r="AA121" s="1772">
        <f t="shared" si="540"/>
        <v>3</v>
      </c>
      <c r="AB121" s="1772">
        <f t="shared" si="540"/>
        <v>7</v>
      </c>
      <c r="AC121" s="1772">
        <f t="shared" si="540"/>
        <v>7</v>
      </c>
      <c r="AD121" s="1772">
        <f t="shared" si="540"/>
        <v>0</v>
      </c>
      <c r="AE121" s="1772">
        <f t="shared" si="540"/>
        <v>0</v>
      </c>
      <c r="AF121" s="775"/>
      <c r="AG121" s="752"/>
      <c r="AH121" s="1710">
        <f t="shared" ref="AH121:AO121" si="541">SUM(AH122:AH133)</f>
        <v>0</v>
      </c>
      <c r="AI121" s="1710">
        <f t="shared" si="541"/>
        <v>0</v>
      </c>
      <c r="AJ121" s="1710">
        <f t="shared" si="541"/>
        <v>0</v>
      </c>
      <c r="AK121" s="1710">
        <f t="shared" si="541"/>
        <v>0</v>
      </c>
      <c r="AL121" s="1710">
        <f t="shared" si="541"/>
        <v>0</v>
      </c>
      <c r="AM121" s="1710">
        <f t="shared" si="541"/>
        <v>0</v>
      </c>
      <c r="AN121" s="1710">
        <f t="shared" si="541"/>
        <v>0</v>
      </c>
      <c r="AO121" s="1710">
        <f t="shared" si="541"/>
        <v>0</v>
      </c>
      <c r="AP121" s="739"/>
      <c r="AQ121" s="1772"/>
      <c r="AR121" s="1772"/>
      <c r="AS121" s="1772">
        <f t="shared" ref="AS121:AY121" si="542">SUM(AS122:AS134)</f>
        <v>0</v>
      </c>
      <c r="AT121" s="1772">
        <f t="shared" si="542"/>
        <v>0</v>
      </c>
      <c r="AU121" s="1772">
        <f t="shared" si="542"/>
        <v>2463</v>
      </c>
      <c r="AV121" s="1772">
        <f t="shared" si="542"/>
        <v>22143</v>
      </c>
      <c r="AW121" s="1772">
        <f t="shared" si="542"/>
        <v>27297</v>
      </c>
      <c r="AX121" s="1772">
        <f t="shared" si="542"/>
        <v>0</v>
      </c>
      <c r="AY121" s="1772">
        <f t="shared" si="542"/>
        <v>0</v>
      </c>
      <c r="AZ121" s="739"/>
      <c r="BA121" s="752"/>
      <c r="BB121" s="1710">
        <f>SUM(BB122:BB129)</f>
        <v>0</v>
      </c>
      <c r="BC121" s="1710">
        <f t="shared" ref="BC121" si="543">SUM(BC122:BC129)</f>
        <v>0</v>
      </c>
      <c r="BD121" s="1710">
        <f t="shared" ref="BD121" si="544">SUM(BD122:BD129)</f>
        <v>0</v>
      </c>
      <c r="BE121" s="1710">
        <f t="shared" ref="BE121" si="545">SUM(BE122:BE129)</f>
        <v>0</v>
      </c>
      <c r="BF121" s="1710">
        <f t="shared" ref="BF121" si="546">SUM(BF122:BF129)</f>
        <v>0</v>
      </c>
      <c r="BG121" s="1710">
        <f t="shared" ref="BG121" si="547">SUM(BG122:BG129)</f>
        <v>0</v>
      </c>
      <c r="BH121" s="1710">
        <f t="shared" ref="BH121" si="548">SUM(BH122:BH129)</f>
        <v>0</v>
      </c>
      <c r="BI121" s="1719">
        <f t="shared" ref="BI121:BI140" si="549">SUM(BB121:BH121)</f>
        <v>0</v>
      </c>
      <c r="BJ121" s="739"/>
      <c r="BK121" s="506"/>
      <c r="BL121" s="506"/>
      <c r="BM121" s="506">
        <f t="shared" ref="BM121" si="550">SUM(BM122:BM129)</f>
        <v>0</v>
      </c>
      <c r="BN121" s="506">
        <f t="shared" ref="BN121" si="551">SUM(BN122:BN129)</f>
        <v>0</v>
      </c>
      <c r="BO121" s="506">
        <f t="shared" ref="BO121" si="552">SUM(BO122:BO129)</f>
        <v>0</v>
      </c>
      <c r="BP121" s="506">
        <f t="shared" ref="BP121" si="553">SUM(BP122:BP129)</f>
        <v>0</v>
      </c>
      <c r="BQ121" s="506">
        <f t="shared" ref="BQ121" si="554">SUM(BQ122:BQ129)</f>
        <v>0</v>
      </c>
      <c r="BR121" s="506">
        <f t="shared" ref="BR121" si="555">SUM(BR122:BR129)</f>
        <v>0</v>
      </c>
      <c r="BS121" s="506">
        <f t="shared" ref="BS121" si="556">SUM(BS122:BS129)</f>
        <v>0</v>
      </c>
      <c r="BT121" s="506"/>
      <c r="BU121" s="472"/>
      <c r="BV121" s="1710">
        <f>SUM(BV122:BV129)</f>
        <v>0</v>
      </c>
      <c r="BW121" s="1710">
        <f t="shared" ref="BW121" si="557">SUM(BW122:BW129)</f>
        <v>0</v>
      </c>
      <c r="BX121" s="1710">
        <f t="shared" ref="BX121" si="558">SUM(BX122:BX129)</f>
        <v>0</v>
      </c>
      <c r="BY121" s="1710">
        <f t="shared" ref="BY121" si="559">SUM(BY122:BY129)</f>
        <v>0</v>
      </c>
      <c r="BZ121" s="1710">
        <f t="shared" ref="BZ121" si="560">SUM(BZ122:BZ129)</f>
        <v>0</v>
      </c>
      <c r="CA121" s="1710">
        <f t="shared" ref="CA121" si="561">SUM(CA122:CA129)</f>
        <v>0</v>
      </c>
      <c r="CB121" s="1710">
        <f t="shared" ref="CB121" si="562">SUM(CB122:CB129)</f>
        <v>0</v>
      </c>
      <c r="CC121" s="1719">
        <f t="shared" ref="CC121:CC140" si="563">SUM(BV121:CB121)</f>
        <v>0</v>
      </c>
      <c r="CD121" s="506"/>
      <c r="CE121" s="506"/>
      <c r="CF121" s="506"/>
      <c r="CG121" s="506"/>
      <c r="CH121" s="506"/>
      <c r="CI121" s="506"/>
      <c r="CJ121" s="506"/>
      <c r="CK121" s="506"/>
      <c r="CL121" s="506"/>
      <c r="CM121" s="506"/>
      <c r="CN121" s="506"/>
      <c r="CO121" s="472"/>
      <c r="CP121" s="1710">
        <f>SUM(CP122:CP129)</f>
        <v>0</v>
      </c>
      <c r="CQ121" s="1710">
        <f t="shared" ref="CQ121" si="564">SUM(CQ122:CQ129)</f>
        <v>0</v>
      </c>
      <c r="CR121" s="1710">
        <f t="shared" ref="CR121" si="565">SUM(CR122:CR129)</f>
        <v>0</v>
      </c>
      <c r="CS121" s="1710">
        <f t="shared" ref="CS121" si="566">SUM(CS122:CS129)</f>
        <v>0</v>
      </c>
      <c r="CT121" s="1710">
        <f t="shared" ref="CT121" si="567">SUM(CT122:CT129)</f>
        <v>0</v>
      </c>
      <c r="CU121" s="1710">
        <f t="shared" ref="CU121" si="568">SUM(CU122:CU129)</f>
        <v>0</v>
      </c>
      <c r="CV121" s="1710">
        <f t="shared" ref="CV121" si="569">SUM(CV122:CV129)</f>
        <v>0</v>
      </c>
      <c r="CW121" s="1719">
        <f t="shared" ref="CW121:CW140" si="570">SUM(CP121:CV121)</f>
        <v>0</v>
      </c>
      <c r="CX121" s="506"/>
      <c r="CY121" s="506"/>
      <c r="CZ121" s="506"/>
      <c r="DA121" s="506"/>
      <c r="DB121" s="506"/>
      <c r="DC121" s="506"/>
      <c r="DD121" s="506"/>
      <c r="DE121" s="506"/>
      <c r="DF121" s="506"/>
      <c r="DG121" s="506"/>
      <c r="DH121" s="506"/>
      <c r="DI121" s="472"/>
      <c r="DJ121" s="506"/>
      <c r="DK121" s="506"/>
      <c r="DL121" s="506"/>
      <c r="DM121" s="506"/>
      <c r="DN121" s="506"/>
      <c r="DO121" s="506"/>
      <c r="DP121" s="506"/>
      <c r="DQ121" s="739"/>
      <c r="DR121" s="506"/>
      <c r="DS121" s="506"/>
      <c r="DT121" s="506"/>
      <c r="DU121" s="506"/>
      <c r="DV121" s="506"/>
      <c r="DW121" s="506"/>
      <c r="DX121" s="506"/>
      <c r="DY121" s="506"/>
      <c r="DZ121" s="506"/>
      <c r="EA121" s="506"/>
      <c r="EB121" s="506"/>
      <c r="EC121" s="472"/>
      <c r="ED121" s="506"/>
      <c r="EE121" s="506"/>
      <c r="EF121" s="506"/>
      <c r="EG121" s="506"/>
      <c r="EH121" s="506"/>
      <c r="EI121" s="506"/>
      <c r="EJ121" s="506"/>
      <c r="EK121" s="506"/>
      <c r="EL121" s="506"/>
      <c r="EM121" s="506"/>
    </row>
    <row r="122" spans="1:143" ht="75" thickTop="1" thickBot="1">
      <c r="A122" s="130" t="str">
        <f>CONCATENATE('3 pr-2'!A122)</f>
        <v>2.1.2.1.1</v>
      </c>
      <c r="B122" s="130" t="str">
        <f>CONCATENATE('3 pr-2'!B122)</f>
        <v>R01-6609-274710-2211</v>
      </c>
      <c r="C122" s="1730" t="str">
        <f>CONCATENATE('ketv. 2'!B121)</f>
        <v>08.1.3-CPVA-R-609-11-0002</v>
      </c>
      <c r="D122" s="11" t="str">
        <f>CONCATENATE('3 pr-2'!D122)</f>
        <v>Alytaus poliklinikos teikiamų pirminės sveikatos priežiūros paslaugų prieinamumo didinimas ir kokybės gerinimas</v>
      </c>
      <c r="E122" s="11" t="str">
        <f>CONCATENATE('3 pr-2'!E122)</f>
        <v>VšĮ Alytaus poliklinika</v>
      </c>
      <c r="F122" s="11" t="str">
        <f>CONCATENATE('3 pr-2'!F122)</f>
        <v>Lietuvos Respublikos Sveikatos apsaugos ministerija</v>
      </c>
      <c r="G122" s="11" t="str">
        <f>CONCATENATE('3 pr-2'!G122)</f>
        <v>Alytaus m. sav.</v>
      </c>
      <c r="H122" s="130" t="str">
        <f>CONCATENATE('3 pr-2'!H122)</f>
        <v>08.1.3-CPVA-R-609</v>
      </c>
      <c r="I122" s="130" t="str">
        <f>CONCATENATE('3 pr-2'!I122)</f>
        <v>R</v>
      </c>
      <c r="J122" s="130" t="str">
        <f>CONCATENATE('3 pr-2'!J122)</f>
        <v>-</v>
      </c>
      <c r="K122" s="130" t="str">
        <f>CONCATENATE('3 pr-2'!K122)</f>
        <v>-</v>
      </c>
      <c r="L122" s="130" t="s">
        <v>1434</v>
      </c>
      <c r="M122" s="672" t="s">
        <v>1435</v>
      </c>
      <c r="N122" s="1699"/>
      <c r="O122" s="1699"/>
      <c r="P122" s="1699"/>
      <c r="Q122" s="1699"/>
      <c r="R122" s="1699"/>
      <c r="S122" s="1699"/>
      <c r="T122" s="1699"/>
      <c r="U122" s="1700">
        <f t="shared" si="539"/>
        <v>0</v>
      </c>
      <c r="V122" s="130">
        <v>1</v>
      </c>
      <c r="W122" s="1757">
        <v>1</v>
      </c>
      <c r="X122" s="1732">
        <f>V122-W122</f>
        <v>0</v>
      </c>
      <c r="Y122" s="1732">
        <f>IF(YEAR('3 pr-2'!$AK122)=2017,$V122,0)</f>
        <v>0</v>
      </c>
      <c r="Z122" s="1732">
        <f>IF(YEAR('3 pr-2'!$AK122)=2018,$V122,0)</f>
        <v>0</v>
      </c>
      <c r="AA122" s="1732">
        <f>IF(YEAR('3 pr-2'!$AK122)=2019,$V122,0)</f>
        <v>0</v>
      </c>
      <c r="AB122" s="1732">
        <f>IF(YEAR('3 pr-2'!$AK122)=2020,$V122,0)</f>
        <v>0</v>
      </c>
      <c r="AC122" s="1732">
        <f>IF(YEAR('3 pr-2'!$AK122)=2021,$V122,0)</f>
        <v>1</v>
      </c>
      <c r="AD122" s="1732">
        <f>IF(YEAR('3 pr-2'!$AK122)=2022,$V122,0)</f>
        <v>0</v>
      </c>
      <c r="AE122" s="1732">
        <f>IF(YEAR('3 pr-2'!$AK122)=2023,$V122,0)</f>
        <v>0</v>
      </c>
      <c r="AF122" s="317" t="s">
        <v>512</v>
      </c>
      <c r="AG122" s="672" t="s">
        <v>513</v>
      </c>
      <c r="AH122" s="1699"/>
      <c r="AI122" s="1699"/>
      <c r="AJ122" s="1699"/>
      <c r="AK122" s="1699"/>
      <c r="AL122" s="1699"/>
      <c r="AM122" s="1699"/>
      <c r="AN122" s="1699"/>
      <c r="AO122" s="1718">
        <f t="shared" ref="AO122:AO140" si="571">SUM(AH122:AN122)</f>
        <v>0</v>
      </c>
      <c r="AP122" s="1784">
        <v>1742</v>
      </c>
      <c r="AQ122" s="1778">
        <v>18035</v>
      </c>
      <c r="AR122" s="1732">
        <f>AP122-AQ122</f>
        <v>-16293</v>
      </c>
      <c r="AS122" s="1732">
        <f>IF(YEAR('3 pr-2'!$AK122)=2017,$AP122,0)</f>
        <v>0</v>
      </c>
      <c r="AT122" s="1732">
        <f>IF(YEAR('3 pr-2'!$AK122)=2018,$AP122,0)</f>
        <v>0</v>
      </c>
      <c r="AU122" s="1732">
        <f>IF(YEAR('3 pr-2'!$AK122)=2019,$AP122,0)</f>
        <v>0</v>
      </c>
      <c r="AV122" s="1732">
        <f>IF(YEAR('3 pr-2'!$AK122)=2020,$AP122,0)</f>
        <v>0</v>
      </c>
      <c r="AW122" s="1732">
        <f>IF(YEAR('3 pr-2'!$AK122)=2021,$AP122,0)</f>
        <v>1742</v>
      </c>
      <c r="AX122" s="1732">
        <f>IF(YEAR('3 pr-2'!$AK122)=2022,$AP122,0)</f>
        <v>0</v>
      </c>
      <c r="AY122" s="1732">
        <f>IF(YEAR('3 pr-2'!$AK122)=2023,$AP122,0)</f>
        <v>0</v>
      </c>
      <c r="AZ122" s="130"/>
      <c r="BA122" s="470"/>
      <c r="BB122" s="1699"/>
      <c r="BC122" s="1699"/>
      <c r="BD122" s="1699"/>
      <c r="BE122" s="1699"/>
      <c r="BF122" s="1699"/>
      <c r="BG122" s="1699"/>
      <c r="BH122" s="1699"/>
      <c r="BI122" s="1718">
        <f t="shared" si="549"/>
        <v>0</v>
      </c>
      <c r="BJ122" s="130"/>
      <c r="BK122" s="1501"/>
      <c r="BL122" s="130"/>
      <c r="BM122" s="130">
        <f>IF(YEAR('3 pr-2'!AK122)=2017,BJ122,0)</f>
        <v>0</v>
      </c>
      <c r="BN122" s="130">
        <f>IF(YEAR('3 pr-2'!AK122)=2018,BJ122,0)</f>
        <v>0</v>
      </c>
      <c r="BO122" s="130">
        <f>IF(YEAR('3 pr-2'!AK122)=2019,BJ122,0)</f>
        <v>0</v>
      </c>
      <c r="BP122" s="130">
        <f>IF(YEAR('3 pr-2'!AK122)=2020,BJ122,0)</f>
        <v>0</v>
      </c>
      <c r="BQ122" s="130">
        <f>IF(YEAR('3 pr-2'!AK122)=2021,BJ122,0)</f>
        <v>0</v>
      </c>
      <c r="BR122" s="130">
        <f>IF(YEAR('3 pr-2'!AK122)=2022,BJ122,0)</f>
        <v>0</v>
      </c>
      <c r="BS122" s="130">
        <f>IF(YEAR('3 pr-2'!AK122)=2023,BJ122,0)</f>
        <v>0</v>
      </c>
      <c r="BT122" s="317"/>
      <c r="BU122" s="471"/>
      <c r="BV122" s="1699"/>
      <c r="BW122" s="1699"/>
      <c r="BX122" s="1699"/>
      <c r="BY122" s="1699"/>
      <c r="BZ122" s="1699"/>
      <c r="CA122" s="1699"/>
      <c r="CB122" s="1699"/>
      <c r="CC122" s="1718">
        <f t="shared" si="563"/>
        <v>0</v>
      </c>
      <c r="CD122" s="130"/>
      <c r="CE122" s="130"/>
      <c r="CF122" s="130"/>
      <c r="CG122" s="130">
        <f>IF(YEAR('3 pr-2'!$AK122)=2017,$CD122,0)</f>
        <v>0</v>
      </c>
      <c r="CH122" s="130">
        <f>IF(YEAR('3 pr-2'!$AK122)=2018,$CD122,0)</f>
        <v>0</v>
      </c>
      <c r="CI122" s="130">
        <f>IF(YEAR('3 pr-2'!$AK122)=2019,$CD122,0)</f>
        <v>0</v>
      </c>
      <c r="CJ122" s="130">
        <f>IF(YEAR('3 pr-2'!$AK122)=2020,$CD122,0)</f>
        <v>0</v>
      </c>
      <c r="CK122" s="130">
        <f>IF(YEAR('3 pr-2'!$AK122)=2021,$CD122,0)</f>
        <v>0</v>
      </c>
      <c r="CL122" s="130">
        <f>IF(YEAR('3 pr-2'!$AK122)=2022,$CD122,0)</f>
        <v>0</v>
      </c>
      <c r="CM122" s="130">
        <f>IF(YEAR('3 pr-2'!$AK122)=2023,$CD122,0)</f>
        <v>0</v>
      </c>
      <c r="CN122" s="317"/>
      <c r="CO122" s="472"/>
      <c r="CP122" s="1699"/>
      <c r="CQ122" s="1699"/>
      <c r="CR122" s="1699"/>
      <c r="CS122" s="1699"/>
      <c r="CT122" s="1699"/>
      <c r="CU122" s="1699"/>
      <c r="CV122" s="1699"/>
      <c r="CW122" s="1718">
        <f t="shared" si="570"/>
        <v>0</v>
      </c>
      <c r="CX122" s="318"/>
      <c r="CY122" s="303"/>
      <c r="CZ122" s="303"/>
      <c r="DA122" s="506">
        <f>IF('3 pr-2'!AK122=2017,CX122,0)</f>
        <v>0</v>
      </c>
      <c r="DB122" s="506">
        <f>IF('3 pr-2'!AK122=2018,CX122,0)</f>
        <v>0</v>
      </c>
      <c r="DC122" s="506">
        <f>IF('3 pr-2'!AK122=2019,CX122,0)</f>
        <v>0</v>
      </c>
      <c r="DD122" s="506">
        <f>IF('3 pr-2'!AK122=2020,CX122,0)</f>
        <v>0</v>
      </c>
      <c r="DE122" s="506">
        <f>IF('3 pr-2'!AK122=2021,CX122,0)</f>
        <v>0</v>
      </c>
      <c r="DF122" s="506">
        <f>IF('3 pr-2'!AK122=2022,CX122,0)</f>
        <v>0</v>
      </c>
      <c r="DG122" s="506">
        <f>IF(YEAR('3 pr-2'!AK122)=2023,CX122,0)</f>
        <v>0</v>
      </c>
      <c r="DH122" s="317"/>
      <c r="DI122" s="472"/>
      <c r="DJ122" s="130"/>
      <c r="DK122" s="130"/>
      <c r="DL122" s="130"/>
      <c r="DM122" s="130"/>
      <c r="DN122" s="130"/>
      <c r="DO122" s="130"/>
      <c r="DP122" s="130"/>
      <c r="DQ122" s="756"/>
      <c r="DR122" s="318"/>
      <c r="DS122" s="303"/>
      <c r="DT122" s="303"/>
      <c r="DU122" s="506"/>
      <c r="DV122" s="506"/>
      <c r="DW122" s="506"/>
      <c r="DX122" s="506"/>
      <c r="DY122" s="506"/>
      <c r="DZ122" s="506"/>
      <c r="EA122" s="506"/>
      <c r="EB122" s="317"/>
      <c r="EC122" s="472"/>
      <c r="ED122" s="303"/>
      <c r="EE122" s="303"/>
      <c r="EF122" s="303"/>
      <c r="EG122" s="506">
        <f>IF('3 pr-2'!BP122=2017,ED122,0)</f>
        <v>0</v>
      </c>
      <c r="EH122" s="506">
        <f>IF('3 pr-2'!BP122=2018,ED122,0)</f>
        <v>0</v>
      </c>
      <c r="EI122" s="506">
        <f>IF('3 pr-2'!BP122=2019,ED122,0)</f>
        <v>0</v>
      </c>
      <c r="EJ122" s="506">
        <f>IF('3 pr-2'!BP122=2020,ED122,0)</f>
        <v>0</v>
      </c>
      <c r="EK122" s="506">
        <f>IF('3 pr-2'!BP122=2021,ED122,0)</f>
        <v>0</v>
      </c>
      <c r="EL122" s="506">
        <f>IF('3 pr-2'!BP122=2022,ED122,0)</f>
        <v>0</v>
      </c>
      <c r="EM122" s="506">
        <f>IF(YEAR('3 pr-2'!BP122)=2023,ED122,0)</f>
        <v>0</v>
      </c>
    </row>
    <row r="123" spans="1:143" ht="85.5" thickTop="1" thickBot="1">
      <c r="A123" s="130" t="str">
        <f>CONCATENATE('3 pr-2'!A123)</f>
        <v>2.1.2.1.2</v>
      </c>
      <c r="B123" s="130" t="str">
        <f>CONCATENATE('3 pr-2'!B123)</f>
        <v>R01-6609-274710-2212</v>
      </c>
      <c r="C123" s="1730" t="str">
        <f>CONCATENATE('ketv. 2'!B122)</f>
        <v>08.1.3-CPVA-R-609-11-0004</v>
      </c>
      <c r="D123" s="11" t="str">
        <f>CONCATENATE('3 pr-2'!D123)</f>
        <v>Sveikatos priežiūros paslaugų modernizavimas bei optimizavimas pirminės sveikatos priežiūros centre</v>
      </c>
      <c r="E123" s="11" t="str">
        <f>CONCATENATE('3 pr-2'!E123)</f>
        <v xml:space="preserve">VšĮ Alytaus miesto savivaldybės pirminės sveikatos priežiūros centras </v>
      </c>
      <c r="F123" s="11" t="str">
        <f>CONCATENATE('3 pr-2'!F123)</f>
        <v>Lietuvos Respublikos Sveikatos apsaugos ministerija</v>
      </c>
      <c r="G123" s="11" t="str">
        <f>CONCATENATE('3 pr-2'!G123)</f>
        <v>Alytaus m. sav.</v>
      </c>
      <c r="H123" s="130" t="str">
        <f>CONCATENATE('3 pr-2'!H123)</f>
        <v>08.1.3-CPVA-R-609</v>
      </c>
      <c r="I123" s="130" t="str">
        <f>CONCATENATE('3 pr-2'!I123)</f>
        <v>R</v>
      </c>
      <c r="J123" s="130" t="str">
        <f>CONCATENATE('3 pr-2'!J123)</f>
        <v>-</v>
      </c>
      <c r="K123" s="130" t="str">
        <f>CONCATENATE('3 pr-2'!K123)</f>
        <v>-</v>
      </c>
      <c r="L123" s="130" t="s">
        <v>1434</v>
      </c>
      <c r="M123" s="672" t="s">
        <v>1435</v>
      </c>
      <c r="N123" s="1699"/>
      <c r="O123" s="1699"/>
      <c r="P123" s="1699"/>
      <c r="Q123" s="1699"/>
      <c r="R123" s="1699"/>
      <c r="S123" s="1699"/>
      <c r="T123" s="1699"/>
      <c r="U123" s="1700">
        <f t="shared" si="539"/>
        <v>0</v>
      </c>
      <c r="V123" s="130">
        <v>1</v>
      </c>
      <c r="W123" s="1757">
        <v>1</v>
      </c>
      <c r="X123" s="1732">
        <f t="shared" ref="X123:X126" si="572">V123-W123</f>
        <v>0</v>
      </c>
      <c r="Y123" s="1732">
        <f>IF(YEAR('3 pr-2'!$AK123)=2017,$V123,0)</f>
        <v>0</v>
      </c>
      <c r="Z123" s="1732">
        <f>IF(YEAR('3 pr-2'!$AK123)=2018,$V123,0)</f>
        <v>0</v>
      </c>
      <c r="AA123" s="1732">
        <f>IF(YEAR('3 pr-2'!$AK123)=2019,$V123,0)</f>
        <v>0</v>
      </c>
      <c r="AB123" s="1732">
        <f>IF(YEAR('3 pr-2'!$AK123)=2020,$V123,0)</f>
        <v>1</v>
      </c>
      <c r="AC123" s="1732">
        <f>IF(YEAR('3 pr-2'!$AK123)=2021,$V123,0)</f>
        <v>0</v>
      </c>
      <c r="AD123" s="1732">
        <f>IF(YEAR('3 pr-2'!$AK123)=2022,$V123,0)</f>
        <v>0</v>
      </c>
      <c r="AE123" s="1732">
        <f>IF(YEAR('3 pr-2'!$AK123)=2023,$V123,0)</f>
        <v>0</v>
      </c>
      <c r="AF123" s="317" t="s">
        <v>512</v>
      </c>
      <c r="AG123" s="672" t="s">
        <v>513</v>
      </c>
      <c r="AH123" s="1699"/>
      <c r="AI123" s="1699"/>
      <c r="AJ123" s="1699"/>
      <c r="AK123" s="1699"/>
      <c r="AL123" s="1699"/>
      <c r="AM123" s="1699"/>
      <c r="AN123" s="1699"/>
      <c r="AO123" s="1718">
        <f t="shared" si="571"/>
        <v>0</v>
      </c>
      <c r="AP123" s="1784">
        <v>750</v>
      </c>
      <c r="AQ123" s="1778">
        <v>2734</v>
      </c>
      <c r="AR123" s="1732">
        <f>AP123-AQ123</f>
        <v>-1984</v>
      </c>
      <c r="AS123" s="1732">
        <f>IF(YEAR('3 pr-2'!$AK123)=2017,$AP123,0)</f>
        <v>0</v>
      </c>
      <c r="AT123" s="1732">
        <f>IF(YEAR('3 pr-2'!$AK123)=2018,$AP123,0)</f>
        <v>0</v>
      </c>
      <c r="AU123" s="1732">
        <f>IF(YEAR('3 pr-2'!$AK123)=2019,$AP123,0)</f>
        <v>0</v>
      </c>
      <c r="AV123" s="1732">
        <f>IF(YEAR('3 pr-2'!$AK123)=2020,$AP123,0)</f>
        <v>750</v>
      </c>
      <c r="AW123" s="1732">
        <f>IF(YEAR('3 pr-2'!$AK123)=2021,$AP123,0)</f>
        <v>0</v>
      </c>
      <c r="AX123" s="1732">
        <f>IF(YEAR('3 pr-2'!$AK123)=2022,$AP123,0)</f>
        <v>0</v>
      </c>
      <c r="AY123" s="1732">
        <f>IF(YEAR('3 pr-2'!$AK123)=2023,$AP123,0)</f>
        <v>0</v>
      </c>
      <c r="AZ123" s="130"/>
      <c r="BA123" s="470"/>
      <c r="BB123" s="1699"/>
      <c r="BC123" s="1699"/>
      <c r="BD123" s="1699"/>
      <c r="BE123" s="1699"/>
      <c r="BF123" s="1699"/>
      <c r="BG123" s="1699"/>
      <c r="BH123" s="1699"/>
      <c r="BI123" s="1718">
        <f t="shared" si="549"/>
        <v>0</v>
      </c>
      <c r="BJ123" s="130"/>
      <c r="BK123" s="1501"/>
      <c r="BL123" s="130"/>
      <c r="BM123" s="130">
        <f>IF(YEAR('3 pr-2'!AK123)=2017,BJ123,0)</f>
        <v>0</v>
      </c>
      <c r="BN123" s="130">
        <f>IF(YEAR('3 pr-2'!AK123)=2018,BJ123,0)</f>
        <v>0</v>
      </c>
      <c r="BO123" s="130">
        <f>IF(YEAR('3 pr-2'!AK123)=2019,BJ123,0)</f>
        <v>0</v>
      </c>
      <c r="BP123" s="130">
        <f>IF(YEAR('3 pr-2'!AK123)=2020,BJ123,0)</f>
        <v>0</v>
      </c>
      <c r="BQ123" s="130">
        <f>IF(YEAR('3 pr-2'!AK123)=2021,BJ123,0)</f>
        <v>0</v>
      </c>
      <c r="BR123" s="130">
        <f>IF(YEAR('3 pr-2'!AK123)=2022,BJ123,0)</f>
        <v>0</v>
      </c>
      <c r="BS123" s="130">
        <f>IF(YEAR('3 pr-2'!AK123)=2023,BJ123,0)</f>
        <v>0</v>
      </c>
      <c r="BT123" s="317"/>
      <c r="BU123" s="471"/>
      <c r="BV123" s="1699"/>
      <c r="BW123" s="1699"/>
      <c r="BX123" s="1699"/>
      <c r="BY123" s="1699"/>
      <c r="BZ123" s="1699"/>
      <c r="CA123" s="1699"/>
      <c r="CB123" s="1699"/>
      <c r="CC123" s="1718">
        <f t="shared" si="563"/>
        <v>0</v>
      </c>
      <c r="CD123" s="130"/>
      <c r="CE123" s="130"/>
      <c r="CF123" s="130"/>
      <c r="CG123" s="130">
        <f>IF(YEAR('3 pr-2'!$AK123)=2017,$CD123,0)</f>
        <v>0</v>
      </c>
      <c r="CH123" s="130">
        <f>IF(YEAR('3 pr-2'!$AK123)=2018,$CD123,0)</f>
        <v>0</v>
      </c>
      <c r="CI123" s="130">
        <f>IF(YEAR('3 pr-2'!$AK123)=2019,$CD123,0)</f>
        <v>0</v>
      </c>
      <c r="CJ123" s="130">
        <f>IF(YEAR('3 pr-2'!$AK123)=2020,$CD123,0)</f>
        <v>0</v>
      </c>
      <c r="CK123" s="130">
        <f>IF(YEAR('3 pr-2'!$AK123)=2021,$CD123,0)</f>
        <v>0</v>
      </c>
      <c r="CL123" s="130">
        <f>IF(YEAR('3 pr-2'!$AK123)=2022,$CD123,0)</f>
        <v>0</v>
      </c>
      <c r="CM123" s="130">
        <f>IF(YEAR('3 pr-2'!$AK123)=2023,$CD123,0)</f>
        <v>0</v>
      </c>
      <c r="CN123" s="317"/>
      <c r="CO123" s="472"/>
      <c r="CP123" s="1699"/>
      <c r="CQ123" s="1699"/>
      <c r="CR123" s="1699"/>
      <c r="CS123" s="1699"/>
      <c r="CT123" s="1699"/>
      <c r="CU123" s="1699"/>
      <c r="CV123" s="1699"/>
      <c r="CW123" s="1718">
        <f t="shared" si="570"/>
        <v>0</v>
      </c>
      <c r="CX123" s="318"/>
      <c r="CY123" s="303"/>
      <c r="CZ123" s="303"/>
      <c r="DA123" s="506">
        <f>IF(YEAR('3 pr-2'!AK123)=2017,CX123,0)</f>
        <v>0</v>
      </c>
      <c r="DB123" s="506">
        <f>IF(YEAR('3 pr-2'!AK123)=2018,CX123,0)</f>
        <v>0</v>
      </c>
      <c r="DC123" s="506">
        <f>IF(YEAR('3 pr-2'!AK123)=2019,CX123,0)</f>
        <v>0</v>
      </c>
      <c r="DD123" s="506">
        <f>IF(YEAR('3 pr-2'!AK123)=2020,CX123,0)</f>
        <v>0</v>
      </c>
      <c r="DE123" s="506">
        <f>IF(YEAR('3 pr-2'!AK123)=2021,CX123,0)</f>
        <v>0</v>
      </c>
      <c r="DF123" s="506">
        <f>IF(YEAR('3 pr-2'!AK123)=2022,CX123,0)</f>
        <v>0</v>
      </c>
      <c r="DG123" s="506">
        <f>IF(YEAR('3 pr-2'!AK123)=2023,CX123,0)</f>
        <v>0</v>
      </c>
      <c r="DH123" s="317"/>
      <c r="DI123" s="472"/>
      <c r="DJ123" s="130"/>
      <c r="DK123" s="130"/>
      <c r="DL123" s="130"/>
      <c r="DM123" s="130"/>
      <c r="DN123" s="130"/>
      <c r="DO123" s="130"/>
      <c r="DP123" s="130"/>
      <c r="DQ123" s="756"/>
      <c r="DR123" s="318"/>
      <c r="DS123" s="303"/>
      <c r="DT123" s="303"/>
      <c r="DU123" s="506"/>
      <c r="DV123" s="506"/>
      <c r="DW123" s="506"/>
      <c r="DX123" s="506"/>
      <c r="DY123" s="506"/>
      <c r="DZ123" s="506"/>
      <c r="EA123" s="506"/>
      <c r="EB123" s="317"/>
      <c r="EC123" s="472"/>
      <c r="ED123" s="303"/>
      <c r="EE123" s="303"/>
      <c r="EF123" s="303"/>
      <c r="EG123" s="506">
        <f>IF(YEAR('3 pr-2'!BP123)=2017,ED123,0)</f>
        <v>0</v>
      </c>
      <c r="EH123" s="506">
        <f>IF(YEAR('3 pr-2'!BP123)=2018,ED123,0)</f>
        <v>0</v>
      </c>
      <c r="EI123" s="506">
        <f>IF(YEAR('3 pr-2'!BP123)=2019,ED123,0)</f>
        <v>0</v>
      </c>
      <c r="EJ123" s="506">
        <f>IF(YEAR('3 pr-2'!BP123)=2020,ED123,0)</f>
        <v>0</v>
      </c>
      <c r="EK123" s="506">
        <f>IF(YEAR('3 pr-2'!BP123)=2021,ED123,0)</f>
        <v>0</v>
      </c>
      <c r="EL123" s="506">
        <f>IF(YEAR('3 pr-2'!BP123)=2022,ED123,0)</f>
        <v>0</v>
      </c>
      <c r="EM123" s="506">
        <f>IF(YEAR('3 pr-2'!BP123)=2023,ED123,0)</f>
        <v>0</v>
      </c>
    </row>
    <row r="124" spans="1:143" ht="85.5" thickTop="1" thickBot="1">
      <c r="A124" s="130" t="str">
        <f>CONCATENATE('3 pr-2'!A124)</f>
        <v>2.1.2.1.3</v>
      </c>
      <c r="B124" s="130" t="str">
        <f>CONCATENATE('3 pr-2'!B124)</f>
        <v>R01-6609-274700-2213</v>
      </c>
      <c r="C124" s="1730" t="str">
        <f>CONCATENATE('ketv. 2'!B123)</f>
        <v>08.1.3-CPVA-R-609-11-0003</v>
      </c>
      <c r="D124" s="11" t="str">
        <f>CONCATENATE('3 pr-2'!D124)</f>
        <v>UAB "MediCA klinika" teikiamų pirminės asmens sveikatos priežiūros paslaugų efektyvumo didinimas Alytaus miesto savivaldybėje</v>
      </c>
      <c r="E124" s="11" t="str">
        <f>CONCATENATE('3 pr-2'!E124)</f>
        <v>UAB „MediCA klinika“</v>
      </c>
      <c r="F124" s="11" t="str">
        <f>CONCATENATE('3 pr-2'!F124)</f>
        <v>Lietuvos Respublikos Sveikatos apsaugos ministerija</v>
      </c>
      <c r="G124" s="11" t="str">
        <f>CONCATENATE('3 pr-2'!G124)</f>
        <v>Alytaus m. sav.</v>
      </c>
      <c r="H124" s="130" t="str">
        <f>CONCATENATE('3 pr-2'!H124)</f>
        <v>08.1.3-CPVA-R-609</v>
      </c>
      <c r="I124" s="130" t="str">
        <f>CONCATENATE('3 pr-2'!I124)</f>
        <v>R</v>
      </c>
      <c r="J124" s="130" t="str">
        <f>CONCATENATE('3 pr-2'!J124)</f>
        <v>-</v>
      </c>
      <c r="K124" s="130" t="str">
        <f>CONCATENATE('3 pr-2'!K124)</f>
        <v>-</v>
      </c>
      <c r="L124" s="130" t="s">
        <v>1434</v>
      </c>
      <c r="M124" s="672" t="s">
        <v>1435</v>
      </c>
      <c r="N124" s="1699"/>
      <c r="O124" s="1699"/>
      <c r="P124" s="1699"/>
      <c r="Q124" s="1699"/>
      <c r="R124" s="1699"/>
      <c r="S124" s="1699"/>
      <c r="T124" s="1699"/>
      <c r="U124" s="1700">
        <f t="shared" si="539"/>
        <v>0</v>
      </c>
      <c r="V124" s="130">
        <v>1</v>
      </c>
      <c r="W124" s="1757">
        <v>1</v>
      </c>
      <c r="X124" s="1732">
        <f t="shared" si="572"/>
        <v>0</v>
      </c>
      <c r="Y124" s="1732">
        <f>IF(YEAR('3 pr-2'!$AK124)=2017,$V124,0)</f>
        <v>0</v>
      </c>
      <c r="Z124" s="1732">
        <f>IF(YEAR('3 pr-2'!$AK124)=2018,$V124,0)</f>
        <v>0</v>
      </c>
      <c r="AA124" s="1732">
        <f>IF(YEAR('3 pr-2'!$AK124)=2019,$V124,0)</f>
        <v>0</v>
      </c>
      <c r="AB124" s="1732">
        <f>IF(YEAR('3 pr-2'!$AK124)=2020,$V124,0)</f>
        <v>1</v>
      </c>
      <c r="AC124" s="1732">
        <f>IF(YEAR('3 pr-2'!$AK124)=2021,$V124,0)</f>
        <v>0</v>
      </c>
      <c r="AD124" s="1732">
        <f>IF(YEAR('3 pr-2'!$AK124)=2022,$V124,0)</f>
        <v>0</v>
      </c>
      <c r="AE124" s="1732">
        <f>IF(YEAR('3 pr-2'!$AK124)=2023,$V124,0)</f>
        <v>0</v>
      </c>
      <c r="AF124" s="317" t="s">
        <v>512</v>
      </c>
      <c r="AG124" s="672" t="s">
        <v>513</v>
      </c>
      <c r="AH124" s="1699"/>
      <c r="AI124" s="1699"/>
      <c r="AJ124" s="1699"/>
      <c r="AK124" s="1699"/>
      <c r="AL124" s="1699"/>
      <c r="AM124" s="1699"/>
      <c r="AN124" s="1699"/>
      <c r="AO124" s="1718">
        <f t="shared" si="571"/>
        <v>0</v>
      </c>
      <c r="AP124" s="1784">
        <v>850</v>
      </c>
      <c r="AQ124" s="1778">
        <v>3500</v>
      </c>
      <c r="AR124" s="1732">
        <f>AP124-AQ124</f>
        <v>-2650</v>
      </c>
      <c r="AS124" s="1732">
        <f>IF(YEAR('3 pr-2'!$AK124)=2017,$AP124,0)</f>
        <v>0</v>
      </c>
      <c r="AT124" s="1732">
        <f>IF(YEAR('3 pr-2'!$AK124)=2018,$AP124,0)</f>
        <v>0</v>
      </c>
      <c r="AU124" s="1732">
        <f>IF(YEAR('3 pr-2'!$AK124)=2019,$AP124,0)</f>
        <v>0</v>
      </c>
      <c r="AV124" s="1732">
        <f>IF(YEAR('3 pr-2'!$AK124)=2020,$AP124,0)</f>
        <v>850</v>
      </c>
      <c r="AW124" s="1732">
        <f>IF(YEAR('3 pr-2'!$AK124)=2021,$AP124,0)</f>
        <v>0</v>
      </c>
      <c r="AX124" s="1732">
        <f>IF(YEAR('3 pr-2'!$AK124)=2022,$AP124,0)</f>
        <v>0</v>
      </c>
      <c r="AY124" s="1732">
        <f>IF(YEAR('3 pr-2'!$AK124)=2023,$AP124,0)</f>
        <v>0</v>
      </c>
      <c r="AZ124" s="130"/>
      <c r="BA124" s="470"/>
      <c r="BB124" s="1699"/>
      <c r="BC124" s="1699"/>
      <c r="BD124" s="1699"/>
      <c r="BE124" s="1699"/>
      <c r="BF124" s="1699"/>
      <c r="BG124" s="1699"/>
      <c r="BH124" s="1699"/>
      <c r="BI124" s="1718">
        <f t="shared" si="549"/>
        <v>0</v>
      </c>
      <c r="BJ124" s="130"/>
      <c r="BK124" s="1501"/>
      <c r="BL124" s="130"/>
      <c r="BM124" s="130">
        <f>IF(YEAR('3 pr-2'!AK124)=2017,BJ124,0)</f>
        <v>0</v>
      </c>
      <c r="BN124" s="130">
        <f>IF(YEAR('3 pr-2'!AK124)=2018,BJ124,0)</f>
        <v>0</v>
      </c>
      <c r="BO124" s="130">
        <f>IF(YEAR('3 pr-2'!AK124)=2019,BJ124,0)</f>
        <v>0</v>
      </c>
      <c r="BP124" s="130">
        <f>IF(YEAR('3 pr-2'!AK124)=2020,BJ124,0)</f>
        <v>0</v>
      </c>
      <c r="BQ124" s="130">
        <f>IF(YEAR('3 pr-2'!AK124)=2021,BJ124,0)</f>
        <v>0</v>
      </c>
      <c r="BR124" s="130">
        <f>IF(YEAR('3 pr-2'!AK124)=2022,BJ124,0)</f>
        <v>0</v>
      </c>
      <c r="BS124" s="130">
        <f>IF(YEAR('3 pr-2'!AK124)=2023,BJ124,0)</f>
        <v>0</v>
      </c>
      <c r="BT124" s="317"/>
      <c r="BU124" s="471"/>
      <c r="BV124" s="1699"/>
      <c r="BW124" s="1699"/>
      <c r="BX124" s="1699"/>
      <c r="BY124" s="1699"/>
      <c r="BZ124" s="1699"/>
      <c r="CA124" s="1699"/>
      <c r="CB124" s="1699"/>
      <c r="CC124" s="1718">
        <f t="shared" si="563"/>
        <v>0</v>
      </c>
      <c r="CD124" s="130"/>
      <c r="CE124" s="130"/>
      <c r="CF124" s="130"/>
      <c r="CG124" s="130">
        <f>IF(YEAR('3 pr-2'!$AK124)=2017,$CD124,0)</f>
        <v>0</v>
      </c>
      <c r="CH124" s="130">
        <f>IF(YEAR('3 pr-2'!$AK124)=2018,$CD124,0)</f>
        <v>0</v>
      </c>
      <c r="CI124" s="130">
        <f>IF(YEAR('3 pr-2'!$AK124)=2019,$CD124,0)</f>
        <v>0</v>
      </c>
      <c r="CJ124" s="130">
        <f>IF(YEAR('3 pr-2'!$AK124)=2020,$CD124,0)</f>
        <v>0</v>
      </c>
      <c r="CK124" s="130">
        <f>IF(YEAR('3 pr-2'!$AK124)=2021,$CD124,0)</f>
        <v>0</v>
      </c>
      <c r="CL124" s="130">
        <f>IF(YEAR('3 pr-2'!$AK124)=2022,$CD124,0)</f>
        <v>0</v>
      </c>
      <c r="CM124" s="130">
        <f>IF(YEAR('3 pr-2'!$AK124)=2023,$CD124,0)</f>
        <v>0</v>
      </c>
      <c r="CN124" s="317"/>
      <c r="CO124" s="472"/>
      <c r="CP124" s="1699"/>
      <c r="CQ124" s="1699"/>
      <c r="CR124" s="1699"/>
      <c r="CS124" s="1699"/>
      <c r="CT124" s="1699"/>
      <c r="CU124" s="1699"/>
      <c r="CV124" s="1699"/>
      <c r="CW124" s="1718">
        <f t="shared" si="570"/>
        <v>0</v>
      </c>
      <c r="CX124" s="318"/>
      <c r="CY124" s="303"/>
      <c r="CZ124" s="303"/>
      <c r="DA124" s="506">
        <f>IF(YEAR('3 pr-2'!AK124)=2017,CX124,0)</f>
        <v>0</v>
      </c>
      <c r="DB124" s="506">
        <f>IF(YEAR('3 pr-2'!AK124)=2018,CX124,0)</f>
        <v>0</v>
      </c>
      <c r="DC124" s="506">
        <f>IF(YEAR('3 pr-2'!AK124)=2019,CX124,0)</f>
        <v>0</v>
      </c>
      <c r="DD124" s="506">
        <f>IF(YEAR('3 pr-2'!AK124)=2020,CX124,0)</f>
        <v>0</v>
      </c>
      <c r="DE124" s="506">
        <f>IF(YEAR('3 pr-2'!AK124)=2021,CX124,0)</f>
        <v>0</v>
      </c>
      <c r="DF124" s="506">
        <f>IF(YEAR('3 pr-2'!AK124)=2022,CX124,0)</f>
        <v>0</v>
      </c>
      <c r="DG124" s="506">
        <f>IF(YEAR('3 pr-2'!AK124)=2023,CX124,0)</f>
        <v>0</v>
      </c>
      <c r="DH124" s="317"/>
      <c r="DI124" s="472"/>
      <c r="DJ124" s="130"/>
      <c r="DK124" s="130"/>
      <c r="DL124" s="130"/>
      <c r="DM124" s="130"/>
      <c r="DN124" s="130"/>
      <c r="DO124" s="130"/>
      <c r="DP124" s="130"/>
      <c r="DQ124" s="756"/>
      <c r="DR124" s="318"/>
      <c r="DS124" s="303"/>
      <c r="DT124" s="303"/>
      <c r="DU124" s="506"/>
      <c r="DV124" s="506"/>
      <c r="DW124" s="506"/>
      <c r="DX124" s="506"/>
      <c r="DY124" s="506"/>
      <c r="DZ124" s="506"/>
      <c r="EA124" s="506"/>
      <c r="EB124" s="317"/>
      <c r="EC124" s="472"/>
      <c r="ED124" s="303"/>
      <c r="EE124" s="303"/>
      <c r="EF124" s="303"/>
      <c r="EG124" s="506">
        <f>IF(YEAR('3 pr-2'!BP124)=2017,ED124,0)</f>
        <v>0</v>
      </c>
      <c r="EH124" s="506">
        <f>IF(YEAR('3 pr-2'!BP124)=2018,ED124,0)</f>
        <v>0</v>
      </c>
      <c r="EI124" s="506">
        <f>IF(YEAR('3 pr-2'!BP124)=2019,ED124,0)</f>
        <v>0</v>
      </c>
      <c r="EJ124" s="506">
        <f>IF(YEAR('3 pr-2'!BP124)=2020,ED124,0)</f>
        <v>0</v>
      </c>
      <c r="EK124" s="506">
        <f>IF(YEAR('3 pr-2'!BP124)=2021,ED124,0)</f>
        <v>0</v>
      </c>
      <c r="EL124" s="506">
        <f>IF(YEAR('3 pr-2'!BP124)=2022,ED124,0)</f>
        <v>0</v>
      </c>
      <c r="EM124" s="506">
        <f>IF(YEAR('3 pr-2'!BP124)=2023,ED124,0)</f>
        <v>0</v>
      </c>
    </row>
    <row r="125" spans="1:143" ht="75" thickTop="1" thickBot="1">
      <c r="A125" s="130" t="str">
        <f>CONCATENATE('3 pr-2'!A125)</f>
        <v>2.1.2.1.4</v>
      </c>
      <c r="B125" s="130" t="str">
        <f>CONCATENATE('3 pr-2'!B125)</f>
        <v>R01-6609-274710-2214</v>
      </c>
      <c r="C125" s="1730" t="str">
        <f>CONCATENATE('ketv. 2'!B124)</f>
        <v>08.1.3-CPVA-R-609-11-0005</v>
      </c>
      <c r="D125" s="11" t="str">
        <f>CONCATENATE('3 pr-2'!D125)</f>
        <v>UAB "Pagalba ligoniui" teikiamų paslaugų efektyvumo didinimas</v>
      </c>
      <c r="E125" s="11" t="str">
        <f>CONCATENATE('3 pr-2'!E125)</f>
        <v>UAB „Pagalba ligoniui“, Alytaus filialas</v>
      </c>
      <c r="F125" s="11" t="str">
        <f>CONCATENATE('3 pr-2'!F125)</f>
        <v>Lietuvos Respublikos Sveikatos apsaugos ministerija</v>
      </c>
      <c r="G125" s="11" t="str">
        <f>CONCATENATE('3 pr-2'!G125)</f>
        <v>Alytaus m. sav.</v>
      </c>
      <c r="H125" s="130" t="str">
        <f>CONCATENATE('3 pr-2'!H125)</f>
        <v>08.1.3-CPVA-R-609</v>
      </c>
      <c r="I125" s="130" t="str">
        <f>CONCATENATE('3 pr-2'!I125)</f>
        <v>R</v>
      </c>
      <c r="J125" s="130" t="str">
        <f>CONCATENATE('3 pr-2'!J125)</f>
        <v>-</v>
      </c>
      <c r="K125" s="130" t="str">
        <f>CONCATENATE('3 pr-2'!K125)</f>
        <v>-</v>
      </c>
      <c r="L125" s="130" t="s">
        <v>1434</v>
      </c>
      <c r="M125" s="672" t="s">
        <v>1435</v>
      </c>
      <c r="N125" s="1699"/>
      <c r="O125" s="1699"/>
      <c r="P125" s="1699"/>
      <c r="Q125" s="1699"/>
      <c r="R125" s="1699"/>
      <c r="S125" s="1699"/>
      <c r="T125" s="1699"/>
      <c r="U125" s="1700">
        <f t="shared" si="539"/>
        <v>0</v>
      </c>
      <c r="V125" s="130">
        <v>1</v>
      </c>
      <c r="W125" s="1757">
        <v>1</v>
      </c>
      <c r="X125" s="1732">
        <f t="shared" si="572"/>
        <v>0</v>
      </c>
      <c r="Y125" s="1732">
        <f>IF(YEAR('3 pr-2'!$AK125)=2017,$V125,0)</f>
        <v>0</v>
      </c>
      <c r="Z125" s="1732">
        <f>IF(YEAR('3 pr-2'!$AK125)=2018,$V125,0)</f>
        <v>0</v>
      </c>
      <c r="AA125" s="1732">
        <f>IF(YEAR('3 pr-2'!$AK125)=2019,$V125,0)</f>
        <v>0</v>
      </c>
      <c r="AB125" s="1732">
        <f>IF(YEAR('3 pr-2'!$AK125)=2020,$V125,0)</f>
        <v>0</v>
      </c>
      <c r="AC125" s="1732">
        <f>IF(YEAR('3 pr-2'!$AK125)=2021,$V125,0)</f>
        <v>1</v>
      </c>
      <c r="AD125" s="1732">
        <f>IF(YEAR('3 pr-2'!$AK125)=2022,$V125,0)</f>
        <v>0</v>
      </c>
      <c r="AE125" s="1732">
        <f>IF(YEAR('3 pr-2'!$AK125)=2023,$V125,0)</f>
        <v>0</v>
      </c>
      <c r="AF125" s="317" t="s">
        <v>512</v>
      </c>
      <c r="AG125" s="672" t="s">
        <v>513</v>
      </c>
      <c r="AH125" s="1699"/>
      <c r="AI125" s="1699"/>
      <c r="AJ125" s="1699"/>
      <c r="AK125" s="1699"/>
      <c r="AL125" s="1699"/>
      <c r="AM125" s="1699"/>
      <c r="AN125" s="1699"/>
      <c r="AO125" s="1718">
        <f t="shared" si="571"/>
        <v>0</v>
      </c>
      <c r="AP125" s="130">
        <v>1977</v>
      </c>
      <c r="AQ125" s="1778">
        <v>1977</v>
      </c>
      <c r="AR125" s="1732">
        <f t="shared" ref="AR125:AR133" si="573">SUM(AP125-AQ125)</f>
        <v>0</v>
      </c>
      <c r="AS125" s="1732">
        <f>IF(YEAR('3 pr-2'!$AK125)=2017,$AP125,0)</f>
        <v>0</v>
      </c>
      <c r="AT125" s="1732">
        <f>IF(YEAR('3 pr-2'!$AK125)=2018,$AP125,0)</f>
        <v>0</v>
      </c>
      <c r="AU125" s="1732">
        <f>IF(YEAR('3 pr-2'!$AK125)=2019,$AP125,0)</f>
        <v>0</v>
      </c>
      <c r="AV125" s="1732">
        <f>IF(YEAR('3 pr-2'!$AK125)=2020,$AP125,0)</f>
        <v>0</v>
      </c>
      <c r="AW125" s="1732">
        <f>IF(YEAR('3 pr-2'!$AK125)=2021,$AP125,0)</f>
        <v>1977</v>
      </c>
      <c r="AX125" s="1732">
        <f>IF(YEAR('3 pr-2'!$AK125)=2022,$AP125,0)</f>
        <v>0</v>
      </c>
      <c r="AY125" s="1732">
        <f>IF(YEAR('3 pr-2'!$AK125)=2023,$AP125,0)</f>
        <v>0</v>
      </c>
      <c r="AZ125" s="130"/>
      <c r="BA125" s="470"/>
      <c r="BB125" s="1699"/>
      <c r="BC125" s="1699"/>
      <c r="BD125" s="1699"/>
      <c r="BE125" s="1699"/>
      <c r="BF125" s="1699"/>
      <c r="BG125" s="1699"/>
      <c r="BH125" s="1699"/>
      <c r="BI125" s="1718">
        <f t="shared" si="549"/>
        <v>0</v>
      </c>
      <c r="BJ125" s="130"/>
      <c r="BK125" s="1501"/>
      <c r="BL125" s="130"/>
      <c r="BM125" s="130">
        <f>IF(YEAR('3 pr-2'!AK125)=2017,BJ125,0)</f>
        <v>0</v>
      </c>
      <c r="BN125" s="130">
        <f>IF(YEAR('3 pr-2'!AK125)=2018,BJ125,0)</f>
        <v>0</v>
      </c>
      <c r="BO125" s="130">
        <f>IF(YEAR('3 pr-2'!AK125)=2019,BJ125,0)</f>
        <v>0</v>
      </c>
      <c r="BP125" s="130">
        <f>IF(YEAR('3 pr-2'!AK125)=2020,BJ125,0)</f>
        <v>0</v>
      </c>
      <c r="BQ125" s="130">
        <f>IF(YEAR('3 pr-2'!AK125)=2021,BJ125,0)</f>
        <v>0</v>
      </c>
      <c r="BR125" s="130">
        <f>IF(YEAR('3 pr-2'!AK125)=2022,BJ125,0)</f>
        <v>0</v>
      </c>
      <c r="BS125" s="130">
        <f>IF(YEAR('3 pr-2'!AK125)=2023,BJ125,0)</f>
        <v>0</v>
      </c>
      <c r="BT125" s="317"/>
      <c r="BU125" s="471"/>
      <c r="BV125" s="1699"/>
      <c r="BW125" s="1699"/>
      <c r="BX125" s="1699"/>
      <c r="BY125" s="1699"/>
      <c r="BZ125" s="1699"/>
      <c r="CA125" s="1699"/>
      <c r="CB125" s="1699"/>
      <c r="CC125" s="1718">
        <f t="shared" si="563"/>
        <v>0</v>
      </c>
      <c r="CD125" s="130"/>
      <c r="CE125" s="130"/>
      <c r="CF125" s="130"/>
      <c r="CG125" s="130">
        <f>IF(YEAR('3 pr-2'!$AK125)=2017,$CD125,0)</f>
        <v>0</v>
      </c>
      <c r="CH125" s="130">
        <f>IF(YEAR('3 pr-2'!$AK125)=2018,$CD125,0)</f>
        <v>0</v>
      </c>
      <c r="CI125" s="130">
        <f>IF(YEAR('3 pr-2'!$AK125)=2019,$CD125,0)</f>
        <v>0</v>
      </c>
      <c r="CJ125" s="130">
        <f>IF(YEAR('3 pr-2'!$AK125)=2020,$CD125,0)</f>
        <v>0</v>
      </c>
      <c r="CK125" s="130">
        <f>IF(YEAR('3 pr-2'!$AK125)=2021,$CD125,0)</f>
        <v>0</v>
      </c>
      <c r="CL125" s="130">
        <f>IF(YEAR('3 pr-2'!$AK125)=2022,$CD125,0)</f>
        <v>0</v>
      </c>
      <c r="CM125" s="130">
        <f>IF(YEAR('3 pr-2'!$AK125)=2023,$CD125,0)</f>
        <v>0</v>
      </c>
      <c r="CN125" s="317"/>
      <c r="CO125" s="472"/>
      <c r="CP125" s="1699"/>
      <c r="CQ125" s="1699"/>
      <c r="CR125" s="1699"/>
      <c r="CS125" s="1699"/>
      <c r="CT125" s="1699"/>
      <c r="CU125" s="1699"/>
      <c r="CV125" s="1699"/>
      <c r="CW125" s="1718">
        <f t="shared" si="570"/>
        <v>0</v>
      </c>
      <c r="CX125" s="318"/>
      <c r="CY125" s="303"/>
      <c r="CZ125" s="303"/>
      <c r="DA125" s="506">
        <f>IF(YEAR('3 pr-2'!AK125)=2017,CX125,0)</f>
        <v>0</v>
      </c>
      <c r="DB125" s="506">
        <f>IF(YEAR('3 pr-2'!AK125)=2018,CX125,0)</f>
        <v>0</v>
      </c>
      <c r="DC125" s="506">
        <f>IF(YEAR('3 pr-2'!AK125)=2019,CX125,0)</f>
        <v>0</v>
      </c>
      <c r="DD125" s="506">
        <f>IF(YEAR('3 pr-2'!AK125)=2020,CX125,0)</f>
        <v>0</v>
      </c>
      <c r="DE125" s="506">
        <f>IF(YEAR('3 pr-2'!AK125)=2021,CX125,0)</f>
        <v>0</v>
      </c>
      <c r="DF125" s="506">
        <f>IF(YEAR('3 pr-2'!AK125)=2022,CX125,0)</f>
        <v>0</v>
      </c>
      <c r="DG125" s="506">
        <f>IF(YEAR('3 pr-2'!AK125)=2023,CX125,0)</f>
        <v>0</v>
      </c>
      <c r="DH125" s="317"/>
      <c r="DI125" s="472"/>
      <c r="DJ125" s="130"/>
      <c r="DK125" s="130"/>
      <c r="DL125" s="130"/>
      <c r="DM125" s="130"/>
      <c r="DN125" s="130"/>
      <c r="DO125" s="130"/>
      <c r="DP125" s="130"/>
      <c r="DQ125" s="756"/>
      <c r="DR125" s="318"/>
      <c r="DS125" s="303"/>
      <c r="DT125" s="303"/>
      <c r="DU125" s="506"/>
      <c r="DV125" s="506"/>
      <c r="DW125" s="506"/>
      <c r="DX125" s="506"/>
      <c r="DY125" s="506"/>
      <c r="DZ125" s="506"/>
      <c r="EA125" s="506"/>
      <c r="EB125" s="317"/>
      <c r="EC125" s="472"/>
      <c r="ED125" s="303"/>
      <c r="EE125" s="303"/>
      <c r="EF125" s="303"/>
      <c r="EG125" s="506">
        <f>IF(YEAR('3 pr-2'!BP125)=2017,ED125,0)</f>
        <v>0</v>
      </c>
      <c r="EH125" s="506">
        <f>IF(YEAR('3 pr-2'!BP125)=2018,ED125,0)</f>
        <v>0</v>
      </c>
      <c r="EI125" s="506">
        <f>IF(YEAR('3 pr-2'!BP125)=2019,ED125,0)</f>
        <v>0</v>
      </c>
      <c r="EJ125" s="506">
        <f>IF(YEAR('3 pr-2'!BP125)=2020,ED125,0)</f>
        <v>0</v>
      </c>
      <c r="EK125" s="506">
        <f>IF(YEAR('3 pr-2'!BP125)=2021,ED125,0)</f>
        <v>0</v>
      </c>
      <c r="EL125" s="506">
        <f>IF(YEAR('3 pr-2'!BP125)=2022,ED125,0)</f>
        <v>0</v>
      </c>
      <c r="EM125" s="506">
        <f>IF(YEAR('3 pr-2'!BP125)=2023,ED125,0)</f>
        <v>0</v>
      </c>
    </row>
    <row r="126" spans="1:143" ht="85.5" thickTop="1" thickBot="1">
      <c r="A126" s="130" t="str">
        <f>CONCATENATE('3 pr-2'!A126)</f>
        <v>2.1.2.1.5</v>
      </c>
      <c r="B126" s="130" t="str">
        <f>CONCATENATE('3 pr-2'!B126)</f>
        <v>R01-6609-274710-2215</v>
      </c>
      <c r="C126" s="1730" t="str">
        <f>CONCATENATE('ketv. 2'!B125)</f>
        <v>08.1.3-CPVA-R-609-11-0009</v>
      </c>
      <c r="D126" s="11" t="str">
        <f>CONCATENATE('3 pr-2'!D126)</f>
        <v>Pirminės asmens sveikatos priežiūros veiklos efektyvumo didinimas Alytaus rajono savivaldybėje</v>
      </c>
      <c r="E126" s="11" t="str">
        <f>CONCATENATE('3 pr-2'!E126)</f>
        <v>VšĮ Alytaus rajono savivaldybės pirminės sveikatos priežiūros centras</v>
      </c>
      <c r="F126" s="11" t="str">
        <f>CONCATENATE('3 pr-2'!F126)</f>
        <v>Lietuvos Respublikos Sveikatos apsaugos ministerija</v>
      </c>
      <c r="G126" s="11" t="str">
        <f>CONCATENATE('3 pr-2'!G126)</f>
        <v>Alytaus r. sav.</v>
      </c>
      <c r="H126" s="130" t="str">
        <f>CONCATENATE('3 pr-2'!H126)</f>
        <v>08.1.3-CPVA-R-609</v>
      </c>
      <c r="I126" s="130" t="str">
        <f>CONCATENATE('3 pr-2'!I126)</f>
        <v>R</v>
      </c>
      <c r="J126" s="130" t="str">
        <f>CONCATENATE('3 pr-2'!J126)</f>
        <v>-</v>
      </c>
      <c r="K126" s="130" t="str">
        <f>CONCATENATE('3 pr-2'!K126)</f>
        <v>-</v>
      </c>
      <c r="L126" s="130" t="s">
        <v>1434</v>
      </c>
      <c r="M126" s="672" t="s">
        <v>1435</v>
      </c>
      <c r="N126" s="1699"/>
      <c r="O126" s="1699"/>
      <c r="P126" s="1699"/>
      <c r="Q126" s="1699"/>
      <c r="R126" s="1699"/>
      <c r="S126" s="1699"/>
      <c r="T126" s="1699"/>
      <c r="U126" s="1700">
        <f t="shared" si="539"/>
        <v>0</v>
      </c>
      <c r="V126" s="130">
        <v>1</v>
      </c>
      <c r="W126" s="1757">
        <v>1</v>
      </c>
      <c r="X126" s="1732">
        <f t="shared" si="572"/>
        <v>0</v>
      </c>
      <c r="Y126" s="1732">
        <f>IF(YEAR('3 pr-2'!$AK126)=2017,$V126,0)</f>
        <v>0</v>
      </c>
      <c r="Z126" s="1732">
        <f>IF(YEAR('3 pr-2'!$AK126)=2018,$V126,0)</f>
        <v>0</v>
      </c>
      <c r="AA126" s="1732">
        <f>IF(YEAR('3 pr-2'!$AK126)=2019,$V126,0)</f>
        <v>0</v>
      </c>
      <c r="AB126" s="1732">
        <f>IF(YEAR('3 pr-2'!$AK126)=2020,$V126,0)</f>
        <v>1</v>
      </c>
      <c r="AC126" s="1732">
        <f>IF(YEAR('3 pr-2'!$AK126)=2021,$V126,0)</f>
        <v>0</v>
      </c>
      <c r="AD126" s="1732">
        <f>IF(YEAR('3 pr-2'!$AK126)=2022,$V126,0)</f>
        <v>0</v>
      </c>
      <c r="AE126" s="1732">
        <f>IF(YEAR('3 pr-2'!$AK126)=2023,$V126,0)</f>
        <v>0</v>
      </c>
      <c r="AF126" s="317" t="s">
        <v>512</v>
      </c>
      <c r="AG126" s="672" t="s">
        <v>513</v>
      </c>
      <c r="AH126" s="1699"/>
      <c r="AI126" s="1699"/>
      <c r="AJ126" s="1699"/>
      <c r="AK126" s="1699"/>
      <c r="AL126" s="1699"/>
      <c r="AM126" s="1699"/>
      <c r="AN126" s="1699"/>
      <c r="AO126" s="1718">
        <f t="shared" si="571"/>
        <v>0</v>
      </c>
      <c r="AP126" s="1784">
        <v>10000</v>
      </c>
      <c r="AQ126" s="1778">
        <v>17743</v>
      </c>
      <c r="AR126" s="1732">
        <f t="shared" si="573"/>
        <v>-7743</v>
      </c>
      <c r="AS126" s="1732">
        <f>IF(YEAR('3 pr-2'!$AK126)=2017,$AP126,0)</f>
        <v>0</v>
      </c>
      <c r="AT126" s="1732">
        <f>IF(YEAR('3 pr-2'!$AK126)=2018,$AP126,0)</f>
        <v>0</v>
      </c>
      <c r="AU126" s="1732">
        <f>IF(YEAR('3 pr-2'!$AK126)=2019,$AP126,0)</f>
        <v>0</v>
      </c>
      <c r="AV126" s="1732">
        <f>IF(YEAR('3 pr-2'!$AK126)=2020,$AP126,0)</f>
        <v>10000</v>
      </c>
      <c r="AW126" s="1732">
        <f>IF(YEAR('3 pr-2'!$AK126)=2021,$AP126,0)</f>
        <v>0</v>
      </c>
      <c r="AX126" s="1732">
        <f>IF(YEAR('3 pr-2'!$AK126)=2022,$AP126,0)</f>
        <v>0</v>
      </c>
      <c r="AY126" s="1732">
        <f>IF(YEAR('3 pr-2'!$AK126)=2023,$AP126,0)</f>
        <v>0</v>
      </c>
      <c r="AZ126" s="130"/>
      <c r="BA126" s="470"/>
      <c r="BB126" s="1699"/>
      <c r="BC126" s="1699"/>
      <c r="BD126" s="1699"/>
      <c r="BE126" s="1699"/>
      <c r="BF126" s="1699"/>
      <c r="BG126" s="1699"/>
      <c r="BH126" s="1699"/>
      <c r="BI126" s="1718">
        <f t="shared" si="549"/>
        <v>0</v>
      </c>
      <c r="BJ126" s="130"/>
      <c r="BK126" s="1501"/>
      <c r="BL126" s="130"/>
      <c r="BM126" s="130">
        <f>IF(YEAR('3 pr-2'!AK126)=2017,BJ126,0)</f>
        <v>0</v>
      </c>
      <c r="BN126" s="130">
        <f>IF(YEAR('3 pr-2'!AK126)=2018,BJ126,0)</f>
        <v>0</v>
      </c>
      <c r="BO126" s="130">
        <f>IF(YEAR('3 pr-2'!AK126)=2019,BJ126,0)</f>
        <v>0</v>
      </c>
      <c r="BP126" s="130">
        <f>IF(YEAR('3 pr-2'!AK126)=2020,BJ126,0)</f>
        <v>0</v>
      </c>
      <c r="BQ126" s="130">
        <f>IF(YEAR('3 pr-2'!AK126)=2021,BJ126,0)</f>
        <v>0</v>
      </c>
      <c r="BR126" s="130">
        <f>IF(YEAR('3 pr-2'!AK126)=2022,BJ126,0)</f>
        <v>0</v>
      </c>
      <c r="BS126" s="130">
        <f>IF(YEAR('3 pr-2'!AK126)=2023,BJ126,0)</f>
        <v>0</v>
      </c>
      <c r="BT126" s="317"/>
      <c r="BU126" s="471"/>
      <c r="BV126" s="1699"/>
      <c r="BW126" s="1699"/>
      <c r="BX126" s="1699"/>
      <c r="BY126" s="1699"/>
      <c r="BZ126" s="1699"/>
      <c r="CA126" s="1699"/>
      <c r="CB126" s="1699"/>
      <c r="CC126" s="1718">
        <f t="shared" si="563"/>
        <v>0</v>
      </c>
      <c r="CD126" s="130"/>
      <c r="CE126" s="130"/>
      <c r="CF126" s="130"/>
      <c r="CG126" s="130">
        <f>IF(YEAR('3 pr-2'!$AK126)=2017,$CD126,0)</f>
        <v>0</v>
      </c>
      <c r="CH126" s="130">
        <f>IF(YEAR('3 pr-2'!$AK126)=2018,$CD126,0)</f>
        <v>0</v>
      </c>
      <c r="CI126" s="130">
        <f>IF(YEAR('3 pr-2'!$AK126)=2019,$CD126,0)</f>
        <v>0</v>
      </c>
      <c r="CJ126" s="130">
        <f>IF(YEAR('3 pr-2'!$AK126)=2020,$CD126,0)</f>
        <v>0</v>
      </c>
      <c r="CK126" s="130">
        <f>IF(YEAR('3 pr-2'!$AK126)=2021,$CD126,0)</f>
        <v>0</v>
      </c>
      <c r="CL126" s="130">
        <f>IF(YEAR('3 pr-2'!$AK126)=2022,$CD126,0)</f>
        <v>0</v>
      </c>
      <c r="CM126" s="130">
        <f>IF(YEAR('3 pr-2'!$AK126)=2023,$CD126,0)</f>
        <v>0</v>
      </c>
      <c r="CN126" s="317"/>
      <c r="CO126" s="472"/>
      <c r="CP126" s="1699"/>
      <c r="CQ126" s="1699"/>
      <c r="CR126" s="1699"/>
      <c r="CS126" s="1699"/>
      <c r="CT126" s="1699"/>
      <c r="CU126" s="1699"/>
      <c r="CV126" s="1699"/>
      <c r="CW126" s="1718">
        <f t="shared" si="570"/>
        <v>0</v>
      </c>
      <c r="CX126" s="318"/>
      <c r="CY126" s="303"/>
      <c r="CZ126" s="303"/>
      <c r="DA126" s="506">
        <f>IF(YEAR('3 pr-2'!AK126)=2017,CX126,0)</f>
        <v>0</v>
      </c>
      <c r="DB126" s="506">
        <f>IF(YEAR('3 pr-2'!AK126)=2018,CX126,0)</f>
        <v>0</v>
      </c>
      <c r="DC126" s="506">
        <f>IF(YEAR('3 pr-2'!AK126)=2019,CX126,0)</f>
        <v>0</v>
      </c>
      <c r="DD126" s="506">
        <f>IF(YEAR('3 pr-2'!AK126)=2020,CX126,0)</f>
        <v>0</v>
      </c>
      <c r="DE126" s="506">
        <f>IF(YEAR('3 pr-2'!AK126)=2021,CX126,0)</f>
        <v>0</v>
      </c>
      <c r="DF126" s="506">
        <f>IF(YEAR('3 pr-2'!AK126)=2022,CX126,0)</f>
        <v>0</v>
      </c>
      <c r="DG126" s="506">
        <f>IF(YEAR('3 pr-2'!AK126)=2023,CX126,0)</f>
        <v>0</v>
      </c>
      <c r="DH126" s="317"/>
      <c r="DI126" s="472"/>
      <c r="DJ126" s="130"/>
      <c r="DK126" s="130"/>
      <c r="DL126" s="130"/>
      <c r="DM126" s="130"/>
      <c r="DN126" s="130"/>
      <c r="DO126" s="130"/>
      <c r="DP126" s="130"/>
      <c r="DQ126" s="756"/>
      <c r="DR126" s="318"/>
      <c r="DS126" s="303"/>
      <c r="DT126" s="303"/>
      <c r="DU126" s="506"/>
      <c r="DV126" s="506"/>
      <c r="DW126" s="506"/>
      <c r="DX126" s="506"/>
      <c r="DY126" s="506"/>
      <c r="DZ126" s="506"/>
      <c r="EA126" s="506"/>
      <c r="EB126" s="317"/>
      <c r="EC126" s="472"/>
      <c r="ED126" s="303"/>
      <c r="EE126" s="303"/>
      <c r="EF126" s="303"/>
      <c r="EG126" s="506">
        <f>IF(YEAR('3 pr-2'!BP126)=2017,ED126,0)</f>
        <v>0</v>
      </c>
      <c r="EH126" s="506">
        <f>IF(YEAR('3 pr-2'!BP126)=2018,ED126,0)</f>
        <v>0</v>
      </c>
      <c r="EI126" s="506">
        <f>IF(YEAR('3 pr-2'!BP126)=2019,ED126,0)</f>
        <v>0</v>
      </c>
      <c r="EJ126" s="506">
        <f>IF(YEAR('3 pr-2'!BP126)=2020,ED126,0)</f>
        <v>0</v>
      </c>
      <c r="EK126" s="506">
        <f>IF(YEAR('3 pr-2'!BP126)=2021,ED126,0)</f>
        <v>0</v>
      </c>
      <c r="EL126" s="506">
        <f>IF(YEAR('3 pr-2'!BP126)=2022,ED126,0)</f>
        <v>0</v>
      </c>
      <c r="EM126" s="506">
        <f>IF(YEAR('3 pr-2'!BP126)=2023,ED126,0)</f>
        <v>0</v>
      </c>
    </row>
    <row r="127" spans="1:143" ht="75" thickTop="1" thickBot="1">
      <c r="A127" s="130" t="str">
        <f>CONCATENATE('3 pr-2'!A127)</f>
        <v>2.1.2.1.6</v>
      </c>
      <c r="B127" s="130" t="str">
        <f>CONCATENATE('3 pr-2'!B127)</f>
        <v>R01-6609-471000-2216</v>
      </c>
      <c r="C127" s="1730" t="str">
        <f>CONCATENATE('ketv. 2'!B126)</f>
        <v>08.1.3-CPVA-R-609-11-0011</v>
      </c>
      <c r="D127" s="11" t="str">
        <f>CONCATENATE('3 pr-2'!D127)</f>
        <v>Sveikatos priežiūros paslaugų gerinimas UAB „Disolis“</v>
      </c>
      <c r="E127" s="11" t="str">
        <f>CONCATENATE('3 pr-2'!E127)</f>
        <v>UAB „Disolis“</v>
      </c>
      <c r="F127" s="11" t="str">
        <f>CONCATENATE('3 pr-2'!F127)</f>
        <v>Lietuvos Respublikos Sveikatos apsaugos ministerija</v>
      </c>
      <c r="G127" s="11" t="str">
        <f>CONCATENATE('3 pr-2'!G127)</f>
        <v>Alytaus r. sav.</v>
      </c>
      <c r="H127" s="130" t="str">
        <f>CONCATENATE('3 pr-2'!H127)</f>
        <v>08.1.3-CPVA-R-609</v>
      </c>
      <c r="I127" s="130" t="str">
        <f>CONCATENATE('3 pr-2'!I127)</f>
        <v>R</v>
      </c>
      <c r="J127" s="130" t="str">
        <f>CONCATENATE('3 pr-2'!J127)</f>
        <v>-</v>
      </c>
      <c r="K127" s="130" t="str">
        <f>CONCATENATE('3 pr-2'!K127)</f>
        <v>-</v>
      </c>
      <c r="L127" s="130" t="s">
        <v>1434</v>
      </c>
      <c r="M127" s="672" t="s">
        <v>1435</v>
      </c>
      <c r="N127" s="1699"/>
      <c r="O127" s="1699"/>
      <c r="P127" s="1699"/>
      <c r="Q127" s="1699"/>
      <c r="R127" s="1699"/>
      <c r="S127" s="1699"/>
      <c r="T127" s="1699"/>
      <c r="U127" s="1700">
        <f t="shared" si="539"/>
        <v>0</v>
      </c>
      <c r="V127" s="130">
        <v>1</v>
      </c>
      <c r="W127" s="1757">
        <v>1</v>
      </c>
      <c r="X127" s="1732">
        <f t="shared" ref="X127:X133" si="574">V127-W127</f>
        <v>0</v>
      </c>
      <c r="Y127" s="1732">
        <f>IF(YEAR('3 pr-2'!$AK127)=2017,$V127,0)</f>
        <v>0</v>
      </c>
      <c r="Z127" s="1732">
        <f>IF(YEAR('3 pr-2'!$AK127)=2018,$V127,0)</f>
        <v>0</v>
      </c>
      <c r="AA127" s="1732">
        <f>IF(YEAR('3 pr-2'!$AK127)=2019,$V127,0)</f>
        <v>1</v>
      </c>
      <c r="AB127" s="1732">
        <f>IF(YEAR('3 pr-2'!$AK127)=2020,$V127,0)</f>
        <v>0</v>
      </c>
      <c r="AC127" s="1732">
        <f>IF(YEAR('3 pr-2'!$AK127)=2021,$V127,0)</f>
        <v>0</v>
      </c>
      <c r="AD127" s="1732">
        <f>IF(YEAR('3 pr-2'!$AK127)=2022,$V127,0)</f>
        <v>0</v>
      </c>
      <c r="AE127" s="1732">
        <f>IF(YEAR('3 pr-2'!$AK127)=2023,$V127,0)</f>
        <v>0</v>
      </c>
      <c r="AF127" s="317" t="s">
        <v>512</v>
      </c>
      <c r="AG127" s="672" t="s">
        <v>513</v>
      </c>
      <c r="AH127" s="1699"/>
      <c r="AI127" s="1699"/>
      <c r="AJ127" s="1699"/>
      <c r="AK127" s="1699"/>
      <c r="AL127" s="1699"/>
      <c r="AM127" s="1699"/>
      <c r="AN127" s="1699"/>
      <c r="AO127" s="1718">
        <f t="shared" si="571"/>
        <v>0</v>
      </c>
      <c r="AP127" s="130">
        <v>400</v>
      </c>
      <c r="AQ127" s="1778">
        <v>1575</v>
      </c>
      <c r="AR127" s="1732">
        <f t="shared" si="573"/>
        <v>-1175</v>
      </c>
      <c r="AS127" s="1732">
        <f>IF(YEAR('3 pr-2'!$AK127)=2017,$AP127,0)</f>
        <v>0</v>
      </c>
      <c r="AT127" s="1732">
        <f>IF(YEAR('3 pr-2'!$AK127)=2018,$AP127,0)</f>
        <v>0</v>
      </c>
      <c r="AU127" s="1732">
        <f>IF(YEAR('3 pr-2'!$AK127)=2019,$AP127,0)</f>
        <v>400</v>
      </c>
      <c r="AV127" s="1732">
        <f>IF(YEAR('3 pr-2'!$AK127)=2020,$AP127,0)</f>
        <v>0</v>
      </c>
      <c r="AW127" s="1732">
        <f>IF(YEAR('3 pr-2'!$AK127)=2021,$AP127,0)</f>
        <v>0</v>
      </c>
      <c r="AX127" s="1732">
        <f>IF(YEAR('3 pr-2'!$AK127)=2022,$AP127,0)</f>
        <v>0</v>
      </c>
      <c r="AY127" s="1732">
        <f>IF(YEAR('3 pr-2'!$AK127)=2023,$AP127,0)</f>
        <v>0</v>
      </c>
      <c r="AZ127" s="130"/>
      <c r="BA127" s="470"/>
      <c r="BB127" s="1699"/>
      <c r="BC127" s="1699"/>
      <c r="BD127" s="1699"/>
      <c r="BE127" s="1699"/>
      <c r="BF127" s="1699"/>
      <c r="BG127" s="1699"/>
      <c r="BH127" s="1699"/>
      <c r="BI127" s="1718">
        <f t="shared" si="549"/>
        <v>0</v>
      </c>
      <c r="BJ127" s="130"/>
      <c r="BK127" s="1501"/>
      <c r="BL127" s="130"/>
      <c r="BM127" s="130">
        <f>IF(YEAR('3 pr-2'!AK127)=2017,BJ127,0)</f>
        <v>0</v>
      </c>
      <c r="BN127" s="130">
        <f>IF(YEAR('3 pr-2'!AK127)=2018,BJ127,0)</f>
        <v>0</v>
      </c>
      <c r="BO127" s="130">
        <f>IF(YEAR('3 pr-2'!AK127)=2019,BJ127,0)</f>
        <v>0</v>
      </c>
      <c r="BP127" s="130">
        <f>IF(YEAR('3 pr-2'!AK127)=2020,BJ127,0)</f>
        <v>0</v>
      </c>
      <c r="BQ127" s="130">
        <f>IF(YEAR('3 pr-2'!AK127)=2021,BJ127,0)</f>
        <v>0</v>
      </c>
      <c r="BR127" s="130">
        <f>IF(YEAR('3 pr-2'!AK127)=2022,BJ127,0)</f>
        <v>0</v>
      </c>
      <c r="BS127" s="130">
        <f>IF(YEAR('3 pr-2'!AK127)=2023,BJ127,0)</f>
        <v>0</v>
      </c>
      <c r="BT127" s="317"/>
      <c r="BU127" s="471"/>
      <c r="BV127" s="1699"/>
      <c r="BW127" s="1699"/>
      <c r="BX127" s="1699"/>
      <c r="BY127" s="1699"/>
      <c r="BZ127" s="1699"/>
      <c r="CA127" s="1699"/>
      <c r="CB127" s="1699"/>
      <c r="CC127" s="1718">
        <f t="shared" si="563"/>
        <v>0</v>
      </c>
      <c r="CD127" s="130"/>
      <c r="CE127" s="130"/>
      <c r="CF127" s="130"/>
      <c r="CG127" s="130">
        <f>IF(YEAR('3 pr-2'!$AK127)=2017,$CD127,0)</f>
        <v>0</v>
      </c>
      <c r="CH127" s="130">
        <f>IF(YEAR('3 pr-2'!$AK127)=2018,$CD127,0)</f>
        <v>0</v>
      </c>
      <c r="CI127" s="130">
        <f>IF(YEAR('3 pr-2'!$AK127)=2019,$CD127,0)</f>
        <v>0</v>
      </c>
      <c r="CJ127" s="130">
        <f>IF(YEAR('3 pr-2'!$AK127)=2020,$CD127,0)</f>
        <v>0</v>
      </c>
      <c r="CK127" s="130">
        <f>IF(YEAR('3 pr-2'!$AK127)=2021,$CD127,0)</f>
        <v>0</v>
      </c>
      <c r="CL127" s="130">
        <f>IF(YEAR('3 pr-2'!$AK127)=2022,$CD127,0)</f>
        <v>0</v>
      </c>
      <c r="CM127" s="130">
        <f>IF(YEAR('3 pr-2'!$AK127)=2023,$CD127,0)</f>
        <v>0</v>
      </c>
      <c r="CN127" s="317"/>
      <c r="CO127" s="472"/>
      <c r="CP127" s="1699"/>
      <c r="CQ127" s="1699"/>
      <c r="CR127" s="1699"/>
      <c r="CS127" s="1699"/>
      <c r="CT127" s="1699"/>
      <c r="CU127" s="1699"/>
      <c r="CV127" s="1699"/>
      <c r="CW127" s="1718">
        <f t="shared" si="570"/>
        <v>0</v>
      </c>
      <c r="CX127" s="318"/>
      <c r="CY127" s="303"/>
      <c r="CZ127" s="303"/>
      <c r="DA127" s="506">
        <f>IF(YEAR('3 pr-2'!AK127)=2017,CX127,0)</f>
        <v>0</v>
      </c>
      <c r="DB127" s="506">
        <f>IF(YEAR('3 pr-2'!AK127)=2018,CX127,0)</f>
        <v>0</v>
      </c>
      <c r="DC127" s="506">
        <f>IF(YEAR('3 pr-2'!AK127)=2019,CX127,0)</f>
        <v>0</v>
      </c>
      <c r="DD127" s="506">
        <f>IF(YEAR('3 pr-2'!AK127)=2020,CX127,0)</f>
        <v>0</v>
      </c>
      <c r="DE127" s="506">
        <f>IF(YEAR('3 pr-2'!AK127)=2021,CX127,0)</f>
        <v>0</v>
      </c>
      <c r="DF127" s="506">
        <f>IF(YEAR('3 pr-2'!AK127)=2022,CX127,0)</f>
        <v>0</v>
      </c>
      <c r="DG127" s="506">
        <f>IF(YEAR('3 pr-2'!AK127)=2023,CX127,0)</f>
        <v>0</v>
      </c>
      <c r="DH127" s="317"/>
      <c r="DI127" s="472"/>
      <c r="DJ127" s="130"/>
      <c r="DK127" s="130"/>
      <c r="DL127" s="130"/>
      <c r="DM127" s="130"/>
      <c r="DN127" s="130"/>
      <c r="DO127" s="130"/>
      <c r="DP127" s="130"/>
      <c r="DQ127" s="756"/>
      <c r="DR127" s="318"/>
      <c r="DS127" s="303"/>
      <c r="DT127" s="303"/>
      <c r="DU127" s="506"/>
      <c r="DV127" s="506"/>
      <c r="DW127" s="506"/>
      <c r="DX127" s="506"/>
      <c r="DY127" s="506"/>
      <c r="DZ127" s="506"/>
      <c r="EA127" s="506"/>
      <c r="EB127" s="317"/>
      <c r="EC127" s="472"/>
      <c r="ED127" s="303"/>
      <c r="EE127" s="303"/>
      <c r="EF127" s="303"/>
      <c r="EG127" s="506">
        <f>IF(YEAR('3 pr-2'!BP127)=2017,ED127,0)</f>
        <v>0</v>
      </c>
      <c r="EH127" s="506">
        <f>IF(YEAR('3 pr-2'!BP127)=2018,ED127,0)</f>
        <v>0</v>
      </c>
      <c r="EI127" s="506">
        <f>IF(YEAR('3 pr-2'!BP127)=2019,ED127,0)</f>
        <v>0</v>
      </c>
      <c r="EJ127" s="506">
        <f>IF(YEAR('3 pr-2'!BP127)=2020,ED127,0)</f>
        <v>0</v>
      </c>
      <c r="EK127" s="506">
        <f>IF(YEAR('3 pr-2'!BP127)=2021,ED127,0)</f>
        <v>0</v>
      </c>
      <c r="EL127" s="506">
        <f>IF(YEAR('3 pr-2'!BP127)=2022,ED127,0)</f>
        <v>0</v>
      </c>
      <c r="EM127" s="506">
        <f>IF(YEAR('3 pr-2'!BP127)=2023,ED127,0)</f>
        <v>0</v>
      </c>
    </row>
    <row r="128" spans="1:143" ht="75" thickTop="1" thickBot="1">
      <c r="A128" s="130" t="str">
        <f>CONCATENATE('3 pr-2'!A128)</f>
        <v>2.1.2.1.7</v>
      </c>
      <c r="B128" s="130" t="str">
        <f>CONCATENATE('3 pr-2'!B128)</f>
        <v>R01-6609-274710-2217</v>
      </c>
      <c r="C128" s="1730" t="str">
        <f>CONCATENATE('ketv. 2'!B127)</f>
        <v>08.1.3-CPVA-R-609-11-0007</v>
      </c>
      <c r="D128" s="11" t="str">
        <f>CONCATENATE('3 pr-2'!D128)</f>
        <v>Pirminės asmens sveikatos priežiūros kokybės ir prieinamumo gerinimas Druskininkų savivaldybėje</v>
      </c>
      <c r="E128" s="11" t="str">
        <f>CONCATENATE('3 pr-2'!E128)</f>
        <v>VšĮ Druskininkų pirminės sveikatos priežiūros centras</v>
      </c>
      <c r="F128" s="11" t="str">
        <f>CONCATENATE('3 pr-2'!F128)</f>
        <v>Lietuvos Respublikos Sveikatos apsaugos ministerija</v>
      </c>
      <c r="G128" s="11" t="str">
        <f>CONCATENATE('3 pr-2'!G128)</f>
        <v>Druskininkų sav.</v>
      </c>
      <c r="H128" s="130" t="str">
        <f>CONCATENATE('3 pr-2'!H128)</f>
        <v>08.1.3-CPVA-R-609</v>
      </c>
      <c r="I128" s="130" t="str">
        <f>CONCATENATE('3 pr-2'!I128)</f>
        <v>R</v>
      </c>
      <c r="J128" s="130" t="str">
        <f>CONCATENATE('3 pr-2'!J128)</f>
        <v>-</v>
      </c>
      <c r="K128" s="130" t="str">
        <f>CONCATENATE('3 pr-2'!K128)</f>
        <v>-</v>
      </c>
      <c r="L128" s="130" t="s">
        <v>1434</v>
      </c>
      <c r="M128" s="672" t="s">
        <v>1435</v>
      </c>
      <c r="N128" s="1699"/>
      <c r="O128" s="1699"/>
      <c r="P128" s="1699"/>
      <c r="Q128" s="1699"/>
      <c r="R128" s="1699"/>
      <c r="S128" s="1699"/>
      <c r="T128" s="1699"/>
      <c r="U128" s="1700">
        <f t="shared" si="539"/>
        <v>0</v>
      </c>
      <c r="V128" s="130">
        <v>1</v>
      </c>
      <c r="W128" s="1757">
        <v>1</v>
      </c>
      <c r="X128" s="1732">
        <f t="shared" si="574"/>
        <v>0</v>
      </c>
      <c r="Y128" s="1732">
        <f>IF(YEAR('3 pr-2'!$AK128)=2017,$V128,0)</f>
        <v>0</v>
      </c>
      <c r="Z128" s="1732">
        <f>IF(YEAR('3 pr-2'!$AK128)=2018,$V128,0)</f>
        <v>0</v>
      </c>
      <c r="AA128" s="1732">
        <f>IF(YEAR('3 pr-2'!$AK128)=2019,$V128,0)</f>
        <v>0</v>
      </c>
      <c r="AB128" s="1732">
        <f>IF(YEAR('3 pr-2'!$AK128)=2020,$V128,0)</f>
        <v>1</v>
      </c>
      <c r="AC128" s="1732">
        <f>IF(YEAR('3 pr-2'!$AK128)=2021,$V128,0)</f>
        <v>0</v>
      </c>
      <c r="AD128" s="1732">
        <f>IF(YEAR('3 pr-2'!$AK128)=2022,$V128,0)</f>
        <v>0</v>
      </c>
      <c r="AE128" s="1732">
        <f>IF(YEAR('3 pr-2'!$AK128)=2023,$V128,0)</f>
        <v>0</v>
      </c>
      <c r="AF128" s="317" t="s">
        <v>512</v>
      </c>
      <c r="AG128" s="672" t="s">
        <v>513</v>
      </c>
      <c r="AH128" s="1699"/>
      <c r="AI128" s="1699"/>
      <c r="AJ128" s="1699"/>
      <c r="AK128" s="1699"/>
      <c r="AL128" s="1699"/>
      <c r="AM128" s="1699"/>
      <c r="AN128" s="1699"/>
      <c r="AO128" s="1718">
        <f t="shared" si="571"/>
        <v>0</v>
      </c>
      <c r="AP128" s="1784">
        <v>8340</v>
      </c>
      <c r="AQ128" s="1778">
        <v>8340</v>
      </c>
      <c r="AR128" s="1732">
        <f t="shared" si="573"/>
        <v>0</v>
      </c>
      <c r="AS128" s="1732">
        <f>IF(YEAR('3 pr-2'!$AK128)=2017,$AP128,0)</f>
        <v>0</v>
      </c>
      <c r="AT128" s="1732">
        <f>IF(YEAR('3 pr-2'!$AK128)=2018,$AP128,0)</f>
        <v>0</v>
      </c>
      <c r="AU128" s="1732">
        <f>IF(YEAR('3 pr-2'!$AK128)=2019,$AP128,0)</f>
        <v>0</v>
      </c>
      <c r="AV128" s="1732">
        <f>IF(YEAR('3 pr-2'!$AK128)=2020,$AP128,0)</f>
        <v>8340</v>
      </c>
      <c r="AW128" s="1732">
        <f>IF(YEAR('3 pr-2'!$AK128)=2021,$AP128,0)</f>
        <v>0</v>
      </c>
      <c r="AX128" s="1732">
        <f>IF(YEAR('3 pr-2'!$AK128)=2022,$AP128,0)</f>
        <v>0</v>
      </c>
      <c r="AY128" s="1732">
        <f>IF(YEAR('3 pr-2'!$AK128)=2023,$AP128,0)</f>
        <v>0</v>
      </c>
      <c r="AZ128" s="130"/>
      <c r="BA128" s="470"/>
      <c r="BB128" s="1699"/>
      <c r="BC128" s="1699"/>
      <c r="BD128" s="1699"/>
      <c r="BE128" s="1699"/>
      <c r="BF128" s="1699"/>
      <c r="BG128" s="1699"/>
      <c r="BH128" s="1699"/>
      <c r="BI128" s="1718"/>
      <c r="BJ128" s="130"/>
      <c r="BK128" s="1501"/>
      <c r="BL128" s="130"/>
      <c r="BM128" s="130">
        <f>IF(YEAR('3 pr-2'!AK128)=2017,BJ128,0)</f>
        <v>0</v>
      </c>
      <c r="BN128" s="130">
        <f>IF(YEAR('3 pr-2'!AK128)=2018,BJ128,0)</f>
        <v>0</v>
      </c>
      <c r="BO128" s="130">
        <f>IF(YEAR('3 pr-2'!AK128)=2019,BJ128,0)</f>
        <v>0</v>
      </c>
      <c r="BP128" s="130">
        <f>IF(YEAR('3 pr-2'!AK128)=2020,BJ128,0)</f>
        <v>0</v>
      </c>
      <c r="BQ128" s="130">
        <f>IF(YEAR('3 pr-2'!AK128)=2021,BJ128,0)</f>
        <v>0</v>
      </c>
      <c r="BR128" s="130">
        <f>IF(YEAR('3 pr-2'!AK128)=2022,BJ128,0)</f>
        <v>0</v>
      </c>
      <c r="BS128" s="130">
        <f>IF(YEAR('3 pr-2'!AK128)=2023,BJ128,0)</f>
        <v>0</v>
      </c>
      <c r="BT128" s="317"/>
      <c r="BU128" s="471"/>
      <c r="BV128" s="1699"/>
      <c r="BW128" s="1699"/>
      <c r="BX128" s="1699"/>
      <c r="BY128" s="1699"/>
      <c r="BZ128" s="1699"/>
      <c r="CA128" s="1699"/>
      <c r="CB128" s="1699"/>
      <c r="CC128" s="1718">
        <f t="shared" si="563"/>
        <v>0</v>
      </c>
      <c r="CD128" s="130"/>
      <c r="CE128" s="130"/>
      <c r="CF128" s="130"/>
      <c r="CG128" s="130">
        <f>IF(YEAR('3 pr-2'!$AK128)=2017,$CD128,0)</f>
        <v>0</v>
      </c>
      <c r="CH128" s="130">
        <f>IF(YEAR('3 pr-2'!$AK128)=2018,$CD128,0)</f>
        <v>0</v>
      </c>
      <c r="CI128" s="130">
        <f>IF(YEAR('3 pr-2'!$AK128)=2019,$CD128,0)</f>
        <v>0</v>
      </c>
      <c r="CJ128" s="130">
        <f>IF(YEAR('3 pr-2'!$AK128)=2020,$CD128,0)</f>
        <v>0</v>
      </c>
      <c r="CK128" s="130">
        <f>IF(YEAR('3 pr-2'!$AK128)=2021,$CD128,0)</f>
        <v>0</v>
      </c>
      <c r="CL128" s="130">
        <f>IF(YEAR('3 pr-2'!$AK128)=2022,$CD128,0)</f>
        <v>0</v>
      </c>
      <c r="CM128" s="130">
        <f>IF(YEAR('3 pr-2'!$AK128)=2023,$CD128,0)</f>
        <v>0</v>
      </c>
      <c r="CN128" s="317"/>
      <c r="CO128" s="472"/>
      <c r="CP128" s="1699"/>
      <c r="CQ128" s="1699"/>
      <c r="CR128" s="1699"/>
      <c r="CS128" s="1699"/>
      <c r="CT128" s="1699"/>
      <c r="CU128" s="1699"/>
      <c r="CV128" s="1699"/>
      <c r="CW128" s="1718">
        <f t="shared" si="570"/>
        <v>0</v>
      </c>
      <c r="CX128" s="318"/>
      <c r="CY128" s="303"/>
      <c r="CZ128" s="303"/>
      <c r="DA128" s="506">
        <f>IF(YEAR('3 pr-2'!AK128)=2017,CX128,0)</f>
        <v>0</v>
      </c>
      <c r="DB128" s="506">
        <f>IF(YEAR('3 pr-2'!AK128)=2018,CX128,0)</f>
        <v>0</v>
      </c>
      <c r="DC128" s="506">
        <f>IF(YEAR('3 pr-2'!AK128)=2019,CX128,0)</f>
        <v>0</v>
      </c>
      <c r="DD128" s="506">
        <f>IF(YEAR('3 pr-2'!AK128)=2020,CX128,0)</f>
        <v>0</v>
      </c>
      <c r="DE128" s="506">
        <f>IF(YEAR('3 pr-2'!AK128)=2021,CX128,0)</f>
        <v>0</v>
      </c>
      <c r="DF128" s="506">
        <f>IF(YEAR('3 pr-2'!AK128)=2022,CX128,0)</f>
        <v>0</v>
      </c>
      <c r="DG128" s="506">
        <f>IF(YEAR('3 pr-2'!AK128)=2023,CX128,0)</f>
        <v>0</v>
      </c>
      <c r="DH128" s="317"/>
      <c r="DI128" s="472"/>
      <c r="DJ128" s="130"/>
      <c r="DK128" s="130"/>
      <c r="DL128" s="130"/>
      <c r="DM128" s="130"/>
      <c r="DN128" s="130"/>
      <c r="DO128" s="130"/>
      <c r="DP128" s="130"/>
      <c r="DQ128" s="756"/>
      <c r="DR128" s="318"/>
      <c r="DS128" s="303"/>
      <c r="DT128" s="303"/>
      <c r="DU128" s="506"/>
      <c r="DV128" s="506"/>
      <c r="DW128" s="506"/>
      <c r="DX128" s="506"/>
      <c r="DY128" s="506"/>
      <c r="DZ128" s="506"/>
      <c r="EA128" s="506"/>
      <c r="EB128" s="317"/>
      <c r="EC128" s="472"/>
      <c r="ED128" s="303"/>
      <c r="EE128" s="303"/>
      <c r="EF128" s="303"/>
      <c r="EG128" s="506">
        <f>IF(YEAR('3 pr-2'!BP128)=2017,ED128,0)</f>
        <v>0</v>
      </c>
      <c r="EH128" s="506">
        <f>IF(YEAR('3 pr-2'!BP128)=2018,ED128,0)</f>
        <v>0</v>
      </c>
      <c r="EI128" s="506">
        <f>IF(YEAR('3 pr-2'!BP128)=2019,ED128,0)</f>
        <v>0</v>
      </c>
      <c r="EJ128" s="506">
        <f>IF(YEAR('3 pr-2'!BP128)=2020,ED128,0)</f>
        <v>0</v>
      </c>
      <c r="EK128" s="506">
        <f>IF(YEAR('3 pr-2'!BP128)=2021,ED128,0)</f>
        <v>0</v>
      </c>
      <c r="EL128" s="506">
        <f>IF(YEAR('3 pr-2'!BP128)=2022,ED128,0)</f>
        <v>0</v>
      </c>
      <c r="EM128" s="506">
        <f>IF(YEAR('3 pr-2'!BP128)=2023,ED128,0)</f>
        <v>0</v>
      </c>
    </row>
    <row r="129" spans="1:143" ht="75" thickTop="1" thickBot="1">
      <c r="A129" s="130" t="str">
        <f>CONCATENATE('3 pr-2'!A129)</f>
        <v>2.1.2.1.8</v>
      </c>
      <c r="B129" s="130" t="str">
        <f>CONCATENATE('3 pr-2'!B129)</f>
        <v>R01-6609-104700-2218</v>
      </c>
      <c r="C129" s="1730" t="str">
        <f>CONCATENATE('ketv. 2'!B128)</f>
        <v>08.1.3-CPVA-R-609-11-0006</v>
      </c>
      <c r="D129" s="11" t="str">
        <f>CONCATENATE('3 pr-2'!D129)</f>
        <v>UAB "Druskininkų šeimos klinika" asmens sveikatos priežiūros paslaugų prieinamumo ir efektyvumo didinimas</v>
      </c>
      <c r="E129" s="11" t="str">
        <f>CONCATENATE('3 pr-2'!E129)</f>
        <v>UAB „Druskininkų šeimos klinika“</v>
      </c>
      <c r="F129" s="11" t="str">
        <f>CONCATENATE('3 pr-2'!F129)</f>
        <v>Lietuvos Respublikos Sveikatos apsaugos ministerija</v>
      </c>
      <c r="G129" s="11" t="str">
        <f>CONCATENATE('3 pr-2'!G129)</f>
        <v>Druskininkų sav.</v>
      </c>
      <c r="H129" s="130" t="str">
        <f>CONCATENATE('3 pr-2'!H129)</f>
        <v>08.1.3-CPVA-R-609</v>
      </c>
      <c r="I129" s="130" t="str">
        <f>CONCATENATE('3 pr-2'!I129)</f>
        <v>R</v>
      </c>
      <c r="J129" s="130" t="str">
        <f>CONCATENATE('3 pr-2'!J129)</f>
        <v>-</v>
      </c>
      <c r="K129" s="130" t="str">
        <f>CONCATENATE('3 pr-2'!K129)</f>
        <v>-</v>
      </c>
      <c r="L129" s="130" t="s">
        <v>1434</v>
      </c>
      <c r="M129" s="672" t="s">
        <v>1435</v>
      </c>
      <c r="N129" s="1699"/>
      <c r="O129" s="1699"/>
      <c r="P129" s="1699"/>
      <c r="Q129" s="1699"/>
      <c r="R129" s="1699"/>
      <c r="S129" s="1699"/>
      <c r="T129" s="1699"/>
      <c r="U129" s="1700">
        <f t="shared" si="539"/>
        <v>0</v>
      </c>
      <c r="V129" s="130">
        <v>1</v>
      </c>
      <c r="W129" s="1757">
        <v>1</v>
      </c>
      <c r="X129" s="1732">
        <f t="shared" si="574"/>
        <v>0</v>
      </c>
      <c r="Y129" s="1732">
        <f>IF(YEAR('3 pr-2'!$AK129)=2017,$V129,0)</f>
        <v>0</v>
      </c>
      <c r="Z129" s="1732">
        <f>IF(YEAR('3 pr-2'!$AK129)=2018,$V129,0)</f>
        <v>0</v>
      </c>
      <c r="AA129" s="1732">
        <f>IF(YEAR('3 pr-2'!$AK129)=2019,$V129,0)</f>
        <v>0</v>
      </c>
      <c r="AB129" s="1732">
        <f>IF(YEAR('3 pr-2'!$AK129)=2020,$V129,0)</f>
        <v>1</v>
      </c>
      <c r="AC129" s="1732">
        <f>IF(YEAR('3 pr-2'!$AK129)=2021,$V129,0)</f>
        <v>0</v>
      </c>
      <c r="AD129" s="1732">
        <f>IF(YEAR('3 pr-2'!$AK129)=2022,$V129,0)</f>
        <v>0</v>
      </c>
      <c r="AE129" s="1732">
        <f>IF(YEAR('3 pr-2'!$AK129)=2023,$V129,0)</f>
        <v>0</v>
      </c>
      <c r="AF129" s="317" t="s">
        <v>512</v>
      </c>
      <c r="AG129" s="672" t="s">
        <v>513</v>
      </c>
      <c r="AH129" s="1699"/>
      <c r="AI129" s="1699"/>
      <c r="AJ129" s="1699"/>
      <c r="AK129" s="1699"/>
      <c r="AL129" s="1699"/>
      <c r="AM129" s="1699"/>
      <c r="AN129" s="1699"/>
      <c r="AO129" s="1718">
        <f t="shared" si="571"/>
        <v>0</v>
      </c>
      <c r="AP129" s="1784">
        <v>605</v>
      </c>
      <c r="AQ129" s="1778">
        <v>612</v>
      </c>
      <c r="AR129" s="1732">
        <f t="shared" si="573"/>
        <v>-7</v>
      </c>
      <c r="AS129" s="1732">
        <f>IF(YEAR('3 pr-2'!$AK129)=2017,$AP129,0)</f>
        <v>0</v>
      </c>
      <c r="AT129" s="1732">
        <f>IF(YEAR('3 pr-2'!$AK129)=2018,$AP129,0)</f>
        <v>0</v>
      </c>
      <c r="AU129" s="1732">
        <f>IF(YEAR('3 pr-2'!$AK129)=2019,$AP129,0)</f>
        <v>0</v>
      </c>
      <c r="AV129" s="1732">
        <f>IF(YEAR('3 pr-2'!$AK129)=2020,$AP129,0)</f>
        <v>605</v>
      </c>
      <c r="AW129" s="1732">
        <f>IF(YEAR('3 pr-2'!$AK129)=2021,$AP129,0)</f>
        <v>0</v>
      </c>
      <c r="AX129" s="1732">
        <f>IF(YEAR('3 pr-2'!$AK129)=2022,$AP129,0)</f>
        <v>0</v>
      </c>
      <c r="AY129" s="1732">
        <f>IF(YEAR('3 pr-2'!$AK129)=2023,$AP129,0)</f>
        <v>0</v>
      </c>
      <c r="AZ129" s="130"/>
      <c r="BA129" s="470"/>
      <c r="BB129" s="1699"/>
      <c r="BC129" s="1699"/>
      <c r="BD129" s="1699"/>
      <c r="BE129" s="1699"/>
      <c r="BF129" s="1699"/>
      <c r="BG129" s="1699"/>
      <c r="BH129" s="1699"/>
      <c r="BI129" s="1718"/>
      <c r="BJ129" s="130"/>
      <c r="BK129" s="1501"/>
      <c r="BL129" s="130"/>
      <c r="BM129" s="130">
        <f>IF(YEAR('3 pr-2'!AK129)=2017,BJ129,0)</f>
        <v>0</v>
      </c>
      <c r="BN129" s="130">
        <f>IF(YEAR('3 pr-2'!AK129)=2018,BJ129,0)</f>
        <v>0</v>
      </c>
      <c r="BO129" s="130">
        <f>IF(YEAR('3 pr-2'!AK129)=2019,BJ129,0)</f>
        <v>0</v>
      </c>
      <c r="BP129" s="130">
        <f>IF(YEAR('3 pr-2'!AK129)=2020,BJ129,0)</f>
        <v>0</v>
      </c>
      <c r="BQ129" s="130">
        <f>IF(YEAR('3 pr-2'!AK129)=2021,BJ129,0)</f>
        <v>0</v>
      </c>
      <c r="BR129" s="130">
        <f>IF(YEAR('3 pr-2'!AK129)=2022,BJ129,0)</f>
        <v>0</v>
      </c>
      <c r="BS129" s="130">
        <f>IF(YEAR('3 pr-2'!AK129)=2023,BJ129,0)</f>
        <v>0</v>
      </c>
      <c r="BT129" s="317"/>
      <c r="BU129" s="471"/>
      <c r="BV129" s="1699"/>
      <c r="BW129" s="1699"/>
      <c r="BX129" s="1699"/>
      <c r="BY129" s="1699"/>
      <c r="BZ129" s="1699"/>
      <c r="CA129" s="1699"/>
      <c r="CB129" s="1699"/>
      <c r="CC129" s="1718">
        <f t="shared" si="563"/>
        <v>0</v>
      </c>
      <c r="CD129" s="130"/>
      <c r="CE129" s="130"/>
      <c r="CF129" s="130"/>
      <c r="CG129" s="130">
        <f>IF(YEAR('3 pr-2'!$AK129)=2017,$CD129,0)</f>
        <v>0</v>
      </c>
      <c r="CH129" s="130">
        <f>IF(YEAR('3 pr-2'!$AK129)=2018,$CD129,0)</f>
        <v>0</v>
      </c>
      <c r="CI129" s="130">
        <f>IF(YEAR('3 pr-2'!$AK129)=2019,$CD129,0)</f>
        <v>0</v>
      </c>
      <c r="CJ129" s="130">
        <f>IF(YEAR('3 pr-2'!$AK129)=2020,$CD129,0)</f>
        <v>0</v>
      </c>
      <c r="CK129" s="130">
        <f>IF(YEAR('3 pr-2'!$AK129)=2021,$CD129,0)</f>
        <v>0</v>
      </c>
      <c r="CL129" s="130">
        <f>IF(YEAR('3 pr-2'!$AK129)=2022,$CD129,0)</f>
        <v>0</v>
      </c>
      <c r="CM129" s="130">
        <f>IF(YEAR('3 pr-2'!$AK129)=2023,$CD129,0)</f>
        <v>0</v>
      </c>
      <c r="CN129" s="317"/>
      <c r="CO129" s="472"/>
      <c r="CP129" s="1699"/>
      <c r="CQ129" s="1699"/>
      <c r="CR129" s="1699"/>
      <c r="CS129" s="1699"/>
      <c r="CT129" s="1699"/>
      <c r="CU129" s="1699"/>
      <c r="CV129" s="1699"/>
      <c r="CW129" s="1718">
        <f t="shared" si="570"/>
        <v>0</v>
      </c>
      <c r="CX129" s="318"/>
      <c r="CY129" s="303"/>
      <c r="CZ129" s="303"/>
      <c r="DA129" s="506">
        <f>IF(YEAR('3 pr-2'!AK129)=2017,CX129,0)</f>
        <v>0</v>
      </c>
      <c r="DB129" s="506">
        <f>IF(YEAR('3 pr-2'!AK129)=2018,CX129,0)</f>
        <v>0</v>
      </c>
      <c r="DC129" s="506">
        <f>IF(YEAR('3 pr-2'!AK129)=2019,CX129,0)</f>
        <v>0</v>
      </c>
      <c r="DD129" s="506">
        <f>IF(YEAR('3 pr-2'!AK129)=2020,CX129,0)</f>
        <v>0</v>
      </c>
      <c r="DE129" s="506">
        <f>IF(YEAR('3 pr-2'!AK129)=2021,CX129,0)</f>
        <v>0</v>
      </c>
      <c r="DF129" s="506">
        <f>IF(YEAR('3 pr-2'!AK129)=2022,CX129,0)</f>
        <v>0</v>
      </c>
      <c r="DG129" s="506">
        <f>IF(YEAR('3 pr-2'!AK129)=2023,CX129,0)</f>
        <v>0</v>
      </c>
      <c r="DH129" s="317"/>
      <c r="DI129" s="472"/>
      <c r="DJ129" s="130"/>
      <c r="DK129" s="130"/>
      <c r="DL129" s="130"/>
      <c r="DM129" s="130"/>
      <c r="DN129" s="130"/>
      <c r="DO129" s="130"/>
      <c r="DP129" s="130"/>
      <c r="DQ129" s="756"/>
      <c r="DR129" s="318"/>
      <c r="DS129" s="303"/>
      <c r="DT129" s="303"/>
      <c r="DU129" s="506"/>
      <c r="DV129" s="506"/>
      <c r="DW129" s="506"/>
      <c r="DX129" s="506"/>
      <c r="DY129" s="506"/>
      <c r="DZ129" s="506"/>
      <c r="EA129" s="506"/>
      <c r="EB129" s="317"/>
      <c r="EC129" s="472"/>
      <c r="ED129" s="303"/>
      <c r="EE129" s="303"/>
      <c r="EF129" s="303"/>
      <c r="EG129" s="506">
        <f>IF(YEAR('3 pr-2'!BP129)=2017,ED129,0)</f>
        <v>0</v>
      </c>
      <c r="EH129" s="506">
        <f>IF(YEAR('3 pr-2'!BP129)=2018,ED129,0)</f>
        <v>0</v>
      </c>
      <c r="EI129" s="506">
        <f>IF(YEAR('3 pr-2'!BP129)=2019,ED129,0)</f>
        <v>0</v>
      </c>
      <c r="EJ129" s="506">
        <f>IF(YEAR('3 pr-2'!BP129)=2020,ED129,0)</f>
        <v>0</v>
      </c>
      <c r="EK129" s="506">
        <f>IF(YEAR('3 pr-2'!BP129)=2021,ED129,0)</f>
        <v>0</v>
      </c>
      <c r="EL129" s="506">
        <f>IF(YEAR('3 pr-2'!BP129)=2022,ED129,0)</f>
        <v>0</v>
      </c>
      <c r="EM129" s="506">
        <f>IF(YEAR('3 pr-2'!BP129)=2023,ED129,0)</f>
        <v>0</v>
      </c>
    </row>
    <row r="130" spans="1:143" ht="85.5" thickTop="1" thickBot="1">
      <c r="A130" s="130" t="str">
        <f>CONCATENATE('3 pr-2'!A130)</f>
        <v>2.1.2.1.9</v>
      </c>
      <c r="B130" s="130" t="str">
        <f>CONCATENATE('3 pr-2'!B130)</f>
        <v>R01-6609-274710-2219</v>
      </c>
      <c r="C130" s="1730" t="str">
        <f>CONCATENATE('ketv. 2'!B129)</f>
        <v>08.1.3-CPVA-R-609-11-0001</v>
      </c>
      <c r="D130" s="11" t="str">
        <f>CONCATENATE('3 pr-2'!D130)</f>
        <v>I. S. Kavaliauskienės įmonės teikiamų pirminės ambulatorinės asmens sveikatos priežiūros paslaugų kokybės ir prieinamumo gerinimas</v>
      </c>
      <c r="E130" s="11" t="str">
        <f>CONCATENATE('3 pr-2'!E130)</f>
        <v>Irenos Stanislavos Kavaliauskienės įmonė</v>
      </c>
      <c r="F130" s="11" t="str">
        <f>CONCATENATE('3 pr-2'!F130)</f>
        <v>Lietuvos Respublikos Sveikatos apsaugos ministerija</v>
      </c>
      <c r="G130" s="11" t="str">
        <f>CONCATENATE('3 pr-2'!G130)</f>
        <v>Druskininkų sav.</v>
      </c>
      <c r="H130" s="130" t="str">
        <f>CONCATENATE('3 pr-2'!H130)</f>
        <v>08.1.3-CPVA-R-609</v>
      </c>
      <c r="I130" s="130" t="str">
        <f>CONCATENATE('3 pr-2'!I130)</f>
        <v>R</v>
      </c>
      <c r="J130" s="130" t="str">
        <f>CONCATENATE('3 pr-2'!J130)</f>
        <v>-</v>
      </c>
      <c r="K130" s="130" t="str">
        <f>CONCATENATE('3 pr-2'!K130)</f>
        <v>-</v>
      </c>
      <c r="L130" s="130" t="s">
        <v>1434</v>
      </c>
      <c r="M130" s="672" t="s">
        <v>1435</v>
      </c>
      <c r="N130" s="1699"/>
      <c r="O130" s="1699"/>
      <c r="P130" s="1699"/>
      <c r="Q130" s="1699"/>
      <c r="R130" s="1699"/>
      <c r="S130" s="1699"/>
      <c r="T130" s="1699"/>
      <c r="U130" s="1700">
        <f t="shared" si="539"/>
        <v>0</v>
      </c>
      <c r="V130" s="130">
        <v>1</v>
      </c>
      <c r="W130" s="1757">
        <v>1</v>
      </c>
      <c r="X130" s="1732">
        <f t="shared" si="574"/>
        <v>0</v>
      </c>
      <c r="Y130" s="1732">
        <f>IF(YEAR('3 pr-2'!$AK130)=2017,$V130,0)</f>
        <v>0</v>
      </c>
      <c r="Z130" s="1732">
        <f>IF(YEAR('3 pr-2'!$AK130)=2018,$V130,0)</f>
        <v>0</v>
      </c>
      <c r="AA130" s="1732">
        <f>IF(YEAR('3 pr-2'!$AK130)=2019,$V130,0)</f>
        <v>1</v>
      </c>
      <c r="AB130" s="1732">
        <f>IF(YEAR('3 pr-2'!$AK130)=2020,$V130,0)</f>
        <v>0</v>
      </c>
      <c r="AC130" s="1732">
        <f>IF(YEAR('3 pr-2'!$AK130)=2021,$V130,0)</f>
        <v>0</v>
      </c>
      <c r="AD130" s="1732">
        <f>IF(YEAR('3 pr-2'!$AK130)=2022,$V130,0)</f>
        <v>0</v>
      </c>
      <c r="AE130" s="1732">
        <f>IF(YEAR('3 pr-2'!$AK130)=2023,$V130,0)</f>
        <v>0</v>
      </c>
      <c r="AF130" s="317" t="s">
        <v>512</v>
      </c>
      <c r="AG130" s="672" t="s">
        <v>513</v>
      </c>
      <c r="AH130" s="1699"/>
      <c r="AI130" s="1699"/>
      <c r="AJ130" s="1699"/>
      <c r="AK130" s="1699"/>
      <c r="AL130" s="1699"/>
      <c r="AM130" s="1699"/>
      <c r="AN130" s="1699"/>
      <c r="AO130" s="1718">
        <f t="shared" si="571"/>
        <v>0</v>
      </c>
      <c r="AP130" s="130">
        <v>1305</v>
      </c>
      <c r="AQ130" s="1778">
        <v>1305</v>
      </c>
      <c r="AR130" s="1732">
        <f t="shared" si="573"/>
        <v>0</v>
      </c>
      <c r="AS130" s="1732">
        <f>IF(YEAR('3 pr-2'!$AK130)=2017,$AP130,0)</f>
        <v>0</v>
      </c>
      <c r="AT130" s="1732">
        <f>IF(YEAR('3 pr-2'!$AK130)=2018,$AP130,0)</f>
        <v>0</v>
      </c>
      <c r="AU130" s="1732">
        <f>IF(YEAR('3 pr-2'!$AK130)=2019,$AP130,0)</f>
        <v>1305</v>
      </c>
      <c r="AV130" s="1732">
        <f>IF(YEAR('3 pr-2'!$AK130)=2020,$AP130,0)</f>
        <v>0</v>
      </c>
      <c r="AW130" s="1732">
        <f>IF(YEAR('3 pr-2'!$AK130)=2021,$AP130,0)</f>
        <v>0</v>
      </c>
      <c r="AX130" s="1732">
        <f>IF(YEAR('3 pr-2'!$AK130)=2022,$AP130,0)</f>
        <v>0</v>
      </c>
      <c r="AY130" s="1732">
        <f>IF(YEAR('3 pr-2'!$AK130)=2023,$AP130,0)</f>
        <v>0</v>
      </c>
      <c r="AZ130" s="130"/>
      <c r="BA130" s="470"/>
      <c r="BB130" s="1699"/>
      <c r="BC130" s="1699"/>
      <c r="BD130" s="1699"/>
      <c r="BE130" s="1699"/>
      <c r="BF130" s="1699"/>
      <c r="BG130" s="1699"/>
      <c r="BH130" s="1699"/>
      <c r="BI130" s="1718"/>
      <c r="BJ130" s="130"/>
      <c r="BK130" s="1501"/>
      <c r="BL130" s="130"/>
      <c r="BM130" s="130"/>
      <c r="BN130" s="130"/>
      <c r="BO130" s="130"/>
      <c r="BP130" s="130"/>
      <c r="BQ130" s="130"/>
      <c r="BR130" s="130"/>
      <c r="BS130" s="130"/>
      <c r="BT130" s="317"/>
      <c r="BU130" s="471"/>
      <c r="BV130" s="1699"/>
      <c r="BW130" s="1699"/>
      <c r="BX130" s="1699"/>
      <c r="BY130" s="1699"/>
      <c r="BZ130" s="1699"/>
      <c r="CA130" s="1699"/>
      <c r="CB130" s="1699"/>
      <c r="CC130" s="1718"/>
      <c r="CD130" s="130"/>
      <c r="CE130" s="130"/>
      <c r="CF130" s="130"/>
      <c r="CG130" s="130"/>
      <c r="CH130" s="130"/>
      <c r="CI130" s="130"/>
      <c r="CJ130" s="130"/>
      <c r="CK130" s="130"/>
      <c r="CL130" s="130"/>
      <c r="CM130" s="130"/>
      <c r="CN130" s="317"/>
      <c r="CO130" s="472"/>
      <c r="CP130" s="1699"/>
      <c r="CQ130" s="1699"/>
      <c r="CR130" s="1699"/>
      <c r="CS130" s="1699"/>
      <c r="CT130" s="1699"/>
      <c r="CU130" s="1699"/>
      <c r="CV130" s="1699"/>
      <c r="CW130" s="1718"/>
      <c r="CX130" s="318"/>
      <c r="CY130" s="303"/>
      <c r="CZ130" s="303"/>
      <c r="DA130" s="506">
        <f>IF(YEAR('3 pr-2'!AK130)=2017,CX130,0)</f>
        <v>0</v>
      </c>
      <c r="DB130" s="506">
        <f>IF(YEAR('3 pr-2'!AK130)=2018,CX130,0)</f>
        <v>0</v>
      </c>
      <c r="DC130" s="506">
        <f>IF(YEAR('3 pr-2'!AK130)=2019,CX130,0)</f>
        <v>0</v>
      </c>
      <c r="DD130" s="506">
        <f>IF(YEAR('3 pr-2'!AK130)=2020,CX130,0)</f>
        <v>0</v>
      </c>
      <c r="DE130" s="506">
        <f>IF(YEAR('3 pr-2'!AK130)=2021,CX130,0)</f>
        <v>0</v>
      </c>
      <c r="DF130" s="506">
        <f>IF(YEAR('3 pr-2'!AK130)=2022,CX130,0)</f>
        <v>0</v>
      </c>
      <c r="DG130" s="506">
        <f>IF(YEAR('3 pr-2'!AK130)=2023,CX130,0)</f>
        <v>0</v>
      </c>
      <c r="DH130" s="317"/>
      <c r="DI130" s="472"/>
      <c r="DJ130" s="130"/>
      <c r="DK130" s="130"/>
      <c r="DL130" s="130"/>
      <c r="DM130" s="130"/>
      <c r="DN130" s="130"/>
      <c r="DO130" s="130"/>
      <c r="DP130" s="130"/>
      <c r="DQ130" s="756"/>
      <c r="DR130" s="318"/>
      <c r="DS130" s="303"/>
      <c r="DT130" s="303"/>
      <c r="DU130" s="506"/>
      <c r="DV130" s="506"/>
      <c r="DW130" s="506"/>
      <c r="DX130" s="506"/>
      <c r="DY130" s="506"/>
      <c r="DZ130" s="506"/>
      <c r="EA130" s="506"/>
      <c r="EB130" s="317"/>
      <c r="EC130" s="472"/>
      <c r="ED130" s="303"/>
      <c r="EE130" s="303"/>
      <c r="EF130" s="303"/>
      <c r="EG130" s="506">
        <f>IF(YEAR('3 pr-2'!BP130)=2017,ED130,0)</f>
        <v>0</v>
      </c>
      <c r="EH130" s="506">
        <f>IF(YEAR('3 pr-2'!BP130)=2018,ED130,0)</f>
        <v>0</v>
      </c>
      <c r="EI130" s="506">
        <f>IF(YEAR('3 pr-2'!BP130)=2019,ED130,0)</f>
        <v>0</v>
      </c>
      <c r="EJ130" s="506">
        <f>IF(YEAR('3 pr-2'!BP130)=2020,ED130,0)</f>
        <v>0</v>
      </c>
      <c r="EK130" s="506">
        <f>IF(YEAR('3 pr-2'!BP130)=2021,ED130,0)</f>
        <v>0</v>
      </c>
      <c r="EL130" s="506">
        <f>IF(YEAR('3 pr-2'!BP130)=2022,ED130,0)</f>
        <v>0</v>
      </c>
      <c r="EM130" s="506">
        <f>IF(YEAR('3 pr-2'!BP130)=2023,ED130,0)</f>
        <v>0</v>
      </c>
    </row>
    <row r="131" spans="1:143" ht="85.5" thickTop="1" thickBot="1">
      <c r="A131" s="130" t="str">
        <f>CONCATENATE('3 pr-2'!A131)</f>
        <v>2.1.2.1.10</v>
      </c>
      <c r="B131" s="130" t="str">
        <f>CONCATENATE('3 pr-2'!B131)</f>
        <v>R01-6609-274710-2220</v>
      </c>
      <c r="C131" s="1730" t="str">
        <f>CONCATENATE('ketv. 2'!B130)</f>
        <v>08.1.3-CPVA-R-609-11-0008</v>
      </c>
      <c r="D131" s="11" t="str">
        <f>CONCATENATE('3 pr-2'!D131)</f>
        <v>Pirminės ambulatorinės asmens sveikatos priežiūros efektyvumo didinimas R. Ambrazaitienės ir L. Puzinovienės šeimos gydytojų kabinetuose</v>
      </c>
      <c r="E131" s="11" t="str">
        <f>CONCATENATE('3 pr-2'!E131)</f>
        <v>UAB „Rasos Ambrazaitienės šeimos gydytojo kabinetas“</v>
      </c>
      <c r="F131" s="11" t="str">
        <f>CONCATENATE('3 pr-2'!F131)</f>
        <v>Lietuvos Respublikos Sveikatos apsaugos ministerija</v>
      </c>
      <c r="G131" s="11" t="str">
        <f>CONCATENATE('3 pr-2'!G131)</f>
        <v>Druskininkų sav.</v>
      </c>
      <c r="H131" s="130" t="str">
        <f>CONCATENATE('3 pr-2'!H131)</f>
        <v>08.1.3-CPVA-R-609</v>
      </c>
      <c r="I131" s="130" t="str">
        <f>CONCATENATE('3 pr-2'!I131)</f>
        <v>R</v>
      </c>
      <c r="J131" s="130" t="str">
        <f>CONCATENATE('3 pr-2'!J131)</f>
        <v>-</v>
      </c>
      <c r="K131" s="130" t="str">
        <f>CONCATENATE('3 pr-2'!K131)</f>
        <v>-</v>
      </c>
      <c r="L131" s="130" t="s">
        <v>1434</v>
      </c>
      <c r="M131" s="672" t="s">
        <v>1435</v>
      </c>
      <c r="N131" s="1699"/>
      <c r="O131" s="1699"/>
      <c r="P131" s="1699"/>
      <c r="Q131" s="1699"/>
      <c r="R131" s="1699"/>
      <c r="S131" s="1699"/>
      <c r="T131" s="1699"/>
      <c r="U131" s="1700">
        <f t="shared" si="539"/>
        <v>0</v>
      </c>
      <c r="V131" s="130">
        <v>2</v>
      </c>
      <c r="W131" s="1757">
        <v>2</v>
      </c>
      <c r="X131" s="1732">
        <f t="shared" si="574"/>
        <v>0</v>
      </c>
      <c r="Y131" s="1732">
        <f>IF(YEAR('3 pr-2'!$AK131)=2017,$V131,0)</f>
        <v>0</v>
      </c>
      <c r="Z131" s="1732">
        <f>IF(YEAR('3 pr-2'!$AK131)=2018,$V131,0)</f>
        <v>0</v>
      </c>
      <c r="AA131" s="1732">
        <f>IF(YEAR('3 pr-2'!$AK131)=2019,$V131,0)</f>
        <v>0</v>
      </c>
      <c r="AB131" s="1732">
        <f>IF(YEAR('3 pr-2'!$AK131)=2020,$V131,0)</f>
        <v>2</v>
      </c>
      <c r="AC131" s="1732">
        <f>IF(YEAR('3 pr-2'!$AK131)=2021,$V131,0)</f>
        <v>0</v>
      </c>
      <c r="AD131" s="1732">
        <f>IF(YEAR('3 pr-2'!$AK131)=2022,$V131,0)</f>
        <v>0</v>
      </c>
      <c r="AE131" s="1732">
        <f>IF(YEAR('3 pr-2'!$AK131)=2023,$V131,0)</f>
        <v>0</v>
      </c>
      <c r="AF131" s="317" t="s">
        <v>512</v>
      </c>
      <c r="AG131" s="672" t="s">
        <v>514</v>
      </c>
      <c r="AH131" s="1699"/>
      <c r="AI131" s="1699"/>
      <c r="AJ131" s="1699"/>
      <c r="AK131" s="1699"/>
      <c r="AL131" s="1699"/>
      <c r="AM131" s="1699"/>
      <c r="AN131" s="1699"/>
      <c r="AO131" s="1718">
        <f t="shared" si="571"/>
        <v>0</v>
      </c>
      <c r="AP131" s="130">
        <v>1598</v>
      </c>
      <c r="AQ131" s="1778">
        <v>1598</v>
      </c>
      <c r="AR131" s="1732">
        <f t="shared" si="573"/>
        <v>0</v>
      </c>
      <c r="AS131" s="1732">
        <f>IF(YEAR('3 pr-2'!$AK131)=2017,$AP131,0)</f>
        <v>0</v>
      </c>
      <c r="AT131" s="1732">
        <f>IF(YEAR('3 pr-2'!$AK131)=2018,$AP131,0)</f>
        <v>0</v>
      </c>
      <c r="AU131" s="1732">
        <f>IF(YEAR('3 pr-2'!$AK131)=2019,$AP131,0)</f>
        <v>0</v>
      </c>
      <c r="AV131" s="1732">
        <f>IF(YEAR('3 pr-2'!$AK131)=2020,$AP131,0)</f>
        <v>1598</v>
      </c>
      <c r="AW131" s="1732">
        <f>IF(YEAR('3 pr-2'!$AK131)=2021,$AP131,0)</f>
        <v>0</v>
      </c>
      <c r="AX131" s="1732">
        <f>IF(YEAR('3 pr-2'!$AK131)=2022,$AP131,0)</f>
        <v>0</v>
      </c>
      <c r="AY131" s="1732">
        <f>IF(YEAR('3 pr-2'!$AK131)=2023,$AP131,0)</f>
        <v>0</v>
      </c>
      <c r="AZ131" s="130"/>
      <c r="BA131" s="470"/>
      <c r="BB131" s="1699"/>
      <c r="BC131" s="1699"/>
      <c r="BD131" s="1699"/>
      <c r="BE131" s="1699"/>
      <c r="BF131" s="1699"/>
      <c r="BG131" s="1699"/>
      <c r="BH131" s="1699"/>
      <c r="BI131" s="1718"/>
      <c r="BJ131" s="130"/>
      <c r="BK131" s="1501"/>
      <c r="BL131" s="130"/>
      <c r="BM131" s="130"/>
      <c r="BN131" s="130"/>
      <c r="BO131" s="130"/>
      <c r="BP131" s="130"/>
      <c r="BQ131" s="130"/>
      <c r="BR131" s="130"/>
      <c r="BS131" s="130"/>
      <c r="BT131" s="317"/>
      <c r="BU131" s="471"/>
      <c r="BV131" s="1699"/>
      <c r="BW131" s="1699"/>
      <c r="BX131" s="1699"/>
      <c r="BY131" s="1699"/>
      <c r="BZ131" s="1699"/>
      <c r="CA131" s="1699"/>
      <c r="CB131" s="1699"/>
      <c r="CC131" s="1718"/>
      <c r="CD131" s="130"/>
      <c r="CE131" s="130"/>
      <c r="CF131" s="130"/>
      <c r="CG131" s="130"/>
      <c r="CH131" s="130"/>
      <c r="CI131" s="130"/>
      <c r="CJ131" s="130"/>
      <c r="CK131" s="130"/>
      <c r="CL131" s="130"/>
      <c r="CM131" s="130"/>
      <c r="CN131" s="317"/>
      <c r="CO131" s="472"/>
      <c r="CP131" s="1699"/>
      <c r="CQ131" s="1699"/>
      <c r="CR131" s="1699"/>
      <c r="CS131" s="1699"/>
      <c r="CT131" s="1699"/>
      <c r="CU131" s="1699"/>
      <c r="CV131" s="1699"/>
      <c r="CW131" s="1718"/>
      <c r="CX131" s="318"/>
      <c r="CY131" s="303"/>
      <c r="CZ131" s="303"/>
      <c r="DA131" s="506">
        <f>IF(YEAR('3 pr-2'!AK131)=2017,CX131,0)</f>
        <v>0</v>
      </c>
      <c r="DB131" s="506">
        <f>IF(YEAR('3 pr-2'!AK131)=2018,CX131,0)</f>
        <v>0</v>
      </c>
      <c r="DC131" s="506">
        <f>IF(YEAR('3 pr-2'!AK131)=2019,CX131,0)</f>
        <v>0</v>
      </c>
      <c r="DD131" s="506">
        <f>IF(YEAR('3 pr-2'!AK131)=2020,CX131,0)</f>
        <v>0</v>
      </c>
      <c r="DE131" s="506">
        <f>IF(YEAR('3 pr-2'!AK131)=2021,CX131,0)</f>
        <v>0</v>
      </c>
      <c r="DF131" s="506">
        <f>IF(YEAR('3 pr-2'!AK131)=2022,CX131,0)</f>
        <v>0</v>
      </c>
      <c r="DG131" s="506">
        <f>IF(YEAR('3 pr-2'!AK131)=2023,CX131,0)</f>
        <v>0</v>
      </c>
      <c r="DH131" s="317"/>
      <c r="DI131" s="472"/>
      <c r="DJ131" s="130"/>
      <c r="DK131" s="130"/>
      <c r="DL131" s="130"/>
      <c r="DM131" s="130"/>
      <c r="DN131" s="130"/>
      <c r="DO131" s="130"/>
      <c r="DP131" s="130"/>
      <c r="DQ131" s="756"/>
      <c r="DR131" s="318"/>
      <c r="DS131" s="303"/>
      <c r="DT131" s="303"/>
      <c r="DU131" s="506"/>
      <c r="DV131" s="506"/>
      <c r="DW131" s="506"/>
      <c r="DX131" s="506"/>
      <c r="DY131" s="506"/>
      <c r="DZ131" s="506"/>
      <c r="EA131" s="506"/>
      <c r="EB131" s="317"/>
      <c r="EC131" s="472"/>
      <c r="ED131" s="303"/>
      <c r="EE131" s="303"/>
      <c r="EF131" s="303"/>
      <c r="EG131" s="506">
        <f>IF(YEAR('3 pr-2'!BP131)=2017,ED131,0)</f>
        <v>0</v>
      </c>
      <c r="EH131" s="506">
        <f>IF(YEAR('3 pr-2'!BP131)=2018,ED131,0)</f>
        <v>0</v>
      </c>
      <c r="EI131" s="506">
        <f>IF(YEAR('3 pr-2'!BP131)=2019,ED131,0)</f>
        <v>0</v>
      </c>
      <c r="EJ131" s="506">
        <f>IF(YEAR('3 pr-2'!BP131)=2020,ED131,0)</f>
        <v>0</v>
      </c>
      <c r="EK131" s="506">
        <f>IF(YEAR('3 pr-2'!BP131)=2021,ED131,0)</f>
        <v>0</v>
      </c>
      <c r="EL131" s="506">
        <f>IF(YEAR('3 pr-2'!BP131)=2022,ED131,0)</f>
        <v>0</v>
      </c>
      <c r="EM131" s="506">
        <f>IF(YEAR('3 pr-2'!BP131)=2023,ED131,0)</f>
        <v>0</v>
      </c>
    </row>
    <row r="132" spans="1:143" ht="75" thickTop="1" thickBot="1">
      <c r="A132" s="130" t="str">
        <f>CONCATENATE('3 pr-2'!A132)</f>
        <v>2.1.2.1.11</v>
      </c>
      <c r="B132" s="130" t="str">
        <f>CONCATENATE('3 pr-2'!B132)</f>
        <v>R01-6609-274700-2221</v>
      </c>
      <c r="C132" s="1730" t="str">
        <f>CONCATENATE('ketv. 2'!B131)</f>
        <v>08.1.3-CPVA-R-609-11-0010</v>
      </c>
      <c r="D132" s="11" t="str">
        <f>CONCATENATE('3 pr-2'!D132)</f>
        <v>Pirminės asmens sveikatos priežiūros veiklos efektyvumo didinimas Lazdijų rajono savivaldybėje</v>
      </c>
      <c r="E132" s="11" t="str">
        <f>CONCATENATE('3 pr-2'!E132)</f>
        <v>Lazdijų rajono savivaldybės administracija</v>
      </c>
      <c r="F132" s="11" t="str">
        <f>CONCATENATE('3 pr-2'!F132)</f>
        <v>Lietuvos Respublikos Sveikatos apsaugos ministerija</v>
      </c>
      <c r="G132" s="11" t="str">
        <f>CONCATENATE('3 pr-2'!G132)</f>
        <v>Lazdijų r. sav.</v>
      </c>
      <c r="H132" s="130" t="str">
        <f>CONCATENATE('3 pr-2'!H132)</f>
        <v>08.1.3-CPVA-R-609</v>
      </c>
      <c r="I132" s="130" t="str">
        <f>CONCATENATE('3 pr-2'!I132)</f>
        <v>R</v>
      </c>
      <c r="J132" s="130" t="str">
        <f>CONCATENATE('3 pr-2'!J132)</f>
        <v>-</v>
      </c>
      <c r="K132" s="130" t="str">
        <f>CONCATENATE('3 pr-2'!K132)</f>
        <v>-</v>
      </c>
      <c r="L132" s="130" t="s">
        <v>1434</v>
      </c>
      <c r="M132" s="672" t="s">
        <v>1435</v>
      </c>
      <c r="N132" s="1699"/>
      <c r="O132" s="1699"/>
      <c r="P132" s="1699"/>
      <c r="Q132" s="1699"/>
      <c r="R132" s="1699"/>
      <c r="S132" s="1699"/>
      <c r="T132" s="1699"/>
      <c r="U132" s="1700">
        <f t="shared" si="539"/>
        <v>0</v>
      </c>
      <c r="V132" s="130">
        <v>4</v>
      </c>
      <c r="W132" s="1757">
        <v>4</v>
      </c>
      <c r="X132" s="1732">
        <f t="shared" si="574"/>
        <v>0</v>
      </c>
      <c r="Y132" s="1732">
        <f>IF(YEAR('3 pr-2'!$AK132)=2017,$V132,0)</f>
        <v>0</v>
      </c>
      <c r="Z132" s="1732">
        <f>IF(YEAR('3 pr-2'!$AK132)=2018,$V132,0)</f>
        <v>0</v>
      </c>
      <c r="AA132" s="1732">
        <f>IF(YEAR('3 pr-2'!$AK132)=2019,$V132,0)</f>
        <v>0</v>
      </c>
      <c r="AB132" s="1732">
        <f>IF(YEAR('3 pr-2'!$AK132)=2020,$V132,0)</f>
        <v>0</v>
      </c>
      <c r="AC132" s="1732">
        <f>IF(YEAR('3 pr-2'!$AK132)=2021,$V132,0)</f>
        <v>4</v>
      </c>
      <c r="AD132" s="1732">
        <f>IF(YEAR('3 pr-2'!$AK132)=2022,$V132,0)</f>
        <v>0</v>
      </c>
      <c r="AE132" s="1732">
        <f>IF(YEAR('3 pr-2'!$AK132)=2023,$V132,0)</f>
        <v>0</v>
      </c>
      <c r="AF132" s="317" t="s">
        <v>512</v>
      </c>
      <c r="AG132" s="672" t="s">
        <v>514</v>
      </c>
      <c r="AH132" s="1699"/>
      <c r="AI132" s="1699"/>
      <c r="AJ132" s="1699"/>
      <c r="AK132" s="1699"/>
      <c r="AL132" s="1699"/>
      <c r="AM132" s="1699"/>
      <c r="AN132" s="1699"/>
      <c r="AO132" s="1718">
        <f t="shared" si="571"/>
        <v>0</v>
      </c>
      <c r="AP132" s="1784">
        <v>6471</v>
      </c>
      <c r="AQ132" s="1778">
        <v>17757</v>
      </c>
      <c r="AR132" s="1732">
        <f t="shared" si="573"/>
        <v>-11286</v>
      </c>
      <c r="AS132" s="1732">
        <f>IF(YEAR('3 pr-2'!$AK132)=2017,$AP132,0)</f>
        <v>0</v>
      </c>
      <c r="AT132" s="1732">
        <f>IF(YEAR('3 pr-2'!$AK132)=2018,$AP132,0)</f>
        <v>0</v>
      </c>
      <c r="AU132" s="1732">
        <f>IF(YEAR('3 pr-2'!$AK132)=2019,$AP132,0)</f>
        <v>0</v>
      </c>
      <c r="AV132" s="1732">
        <f>IF(YEAR('3 pr-2'!$AK132)=2020,$AP132,0)</f>
        <v>0</v>
      </c>
      <c r="AW132" s="1732">
        <f>IF(YEAR('3 pr-2'!$AK132)=2021,$AP132,0)</f>
        <v>6471</v>
      </c>
      <c r="AX132" s="1732">
        <f>IF(YEAR('3 pr-2'!$AK132)=2022,$AP132,0)</f>
        <v>0</v>
      </c>
      <c r="AY132" s="1732">
        <f>IF(YEAR('3 pr-2'!$AK132)=2023,$AP132,0)</f>
        <v>0</v>
      </c>
      <c r="AZ132" s="130"/>
      <c r="BA132" s="470"/>
      <c r="BB132" s="1699"/>
      <c r="BC132" s="1699"/>
      <c r="BD132" s="1699"/>
      <c r="BE132" s="1699"/>
      <c r="BF132" s="1699"/>
      <c r="BG132" s="1699"/>
      <c r="BH132" s="1699"/>
      <c r="BI132" s="1718"/>
      <c r="BJ132" s="130"/>
      <c r="BK132" s="1501"/>
      <c r="BL132" s="130"/>
      <c r="BM132" s="130"/>
      <c r="BN132" s="130"/>
      <c r="BO132" s="130"/>
      <c r="BP132" s="130"/>
      <c r="BQ132" s="130"/>
      <c r="BR132" s="130"/>
      <c r="BS132" s="130"/>
      <c r="BT132" s="317"/>
      <c r="BU132" s="471"/>
      <c r="BV132" s="1699"/>
      <c r="BW132" s="1699"/>
      <c r="BX132" s="1699"/>
      <c r="BY132" s="1699"/>
      <c r="BZ132" s="1699"/>
      <c r="CA132" s="1699"/>
      <c r="CB132" s="1699"/>
      <c r="CC132" s="1718"/>
      <c r="CD132" s="130"/>
      <c r="CE132" s="130"/>
      <c r="CF132" s="130"/>
      <c r="CG132" s="130"/>
      <c r="CH132" s="130"/>
      <c r="CI132" s="130"/>
      <c r="CJ132" s="130"/>
      <c r="CK132" s="130"/>
      <c r="CL132" s="130"/>
      <c r="CM132" s="130"/>
      <c r="CN132" s="317"/>
      <c r="CO132" s="472"/>
      <c r="CP132" s="1699"/>
      <c r="CQ132" s="1699"/>
      <c r="CR132" s="1699"/>
      <c r="CS132" s="1699"/>
      <c r="CT132" s="1699"/>
      <c r="CU132" s="1699"/>
      <c r="CV132" s="1699"/>
      <c r="CW132" s="1718"/>
      <c r="CX132" s="318"/>
      <c r="CY132" s="303"/>
      <c r="CZ132" s="303"/>
      <c r="DA132" s="506">
        <f>IF(YEAR('3 pr-2'!AK132)=2017,CX132,0)</f>
        <v>0</v>
      </c>
      <c r="DB132" s="506">
        <f>IF(YEAR('3 pr-2'!AK132)=2018,CX132,0)</f>
        <v>0</v>
      </c>
      <c r="DC132" s="506">
        <f>IF(YEAR('3 pr-2'!AK132)=2019,CX132,0)</f>
        <v>0</v>
      </c>
      <c r="DD132" s="506">
        <f>IF(YEAR('3 pr-2'!AK132)=2020,CX132,0)</f>
        <v>0</v>
      </c>
      <c r="DE132" s="506">
        <f>IF(YEAR('3 pr-2'!AK132)=2021,CX132,0)</f>
        <v>0</v>
      </c>
      <c r="DF132" s="506">
        <f>IF(YEAR('3 pr-2'!AK132)=2022,CX132,0)</f>
        <v>0</v>
      </c>
      <c r="DG132" s="506">
        <f>IF(YEAR('3 pr-2'!AK132)=2023,CX132,0)</f>
        <v>0</v>
      </c>
      <c r="DH132" s="317"/>
      <c r="DI132" s="472"/>
      <c r="DJ132" s="130"/>
      <c r="DK132" s="130"/>
      <c r="DL132" s="130"/>
      <c r="DM132" s="130"/>
      <c r="DN132" s="130"/>
      <c r="DO132" s="130"/>
      <c r="DP132" s="130"/>
      <c r="DQ132" s="756"/>
      <c r="DR132" s="318"/>
      <c r="DS132" s="303"/>
      <c r="DT132" s="303"/>
      <c r="DU132" s="506"/>
      <c r="DV132" s="506"/>
      <c r="DW132" s="506"/>
      <c r="DX132" s="506"/>
      <c r="DY132" s="506"/>
      <c r="DZ132" s="506"/>
      <c r="EA132" s="506"/>
      <c r="EB132" s="317"/>
      <c r="EC132" s="472"/>
      <c r="ED132" s="303"/>
      <c r="EE132" s="303"/>
      <c r="EF132" s="303"/>
      <c r="EG132" s="506">
        <f>IF(YEAR('3 pr-2'!BP132)=2017,ED132,0)</f>
        <v>0</v>
      </c>
      <c r="EH132" s="506">
        <f>IF(YEAR('3 pr-2'!BP132)=2018,ED132,0)</f>
        <v>0</v>
      </c>
      <c r="EI132" s="506">
        <f>IF(YEAR('3 pr-2'!BP132)=2019,ED132,0)</f>
        <v>0</v>
      </c>
      <c r="EJ132" s="506">
        <f>IF(YEAR('3 pr-2'!BP132)=2020,ED132,0)</f>
        <v>0</v>
      </c>
      <c r="EK132" s="506">
        <f>IF(YEAR('3 pr-2'!BP132)=2021,ED132,0)</f>
        <v>0</v>
      </c>
      <c r="EL132" s="506">
        <f>IF(YEAR('3 pr-2'!BP132)=2022,ED132,0)</f>
        <v>0</v>
      </c>
      <c r="EM132" s="506">
        <f>IF(YEAR('3 pr-2'!BP132)=2023,ED132,0)</f>
        <v>0</v>
      </c>
    </row>
    <row r="133" spans="1:143" ht="75" thickTop="1" thickBot="1">
      <c r="A133" s="130" t="str">
        <f>CONCATENATE('3 pr-2'!A133)</f>
        <v>2.1.2.1.12</v>
      </c>
      <c r="B133" s="130" t="str">
        <f>CONCATENATE('3 pr-2'!B133)</f>
        <v>R01-6609-274710-2222</v>
      </c>
      <c r="C133" s="1730" t="str">
        <f>CONCATENATE('ketv. 2'!B132)</f>
        <v>08.1.3-CPVA-R-609-11-0012</v>
      </c>
      <c r="D133" s="11" t="str">
        <f>CONCATENATE('3 pr-2'!D133)</f>
        <v>Pirminės asmens sveikatos priežiūros veiklos efektyvumo didinimas Varėnos rajono savivaldybėje</v>
      </c>
      <c r="E133" s="11" t="str">
        <f>CONCATENATE('3 pr-2'!E133)</f>
        <v>VšĮ Varėnos pirminės sveikatos priežiūros centras</v>
      </c>
      <c r="F133" s="11" t="str">
        <f>CONCATENATE('3 pr-2'!F133)</f>
        <v>Lietuvos Respublikos Sveikatos apsaugos ministerija</v>
      </c>
      <c r="G133" s="11" t="str">
        <f>CONCATENATE('3 pr-2'!G133)</f>
        <v>Varėnos r. sav.</v>
      </c>
      <c r="H133" s="130" t="str">
        <f>CONCATENATE('3 pr-2'!H133)</f>
        <v>08.1.3-CPVA-R-609</v>
      </c>
      <c r="I133" s="130" t="str">
        <f>CONCATENATE('3 pr-2'!I133)</f>
        <v>R</v>
      </c>
      <c r="J133" s="130" t="str">
        <f>CONCATENATE('3 pr-2'!J133)</f>
        <v>-</v>
      </c>
      <c r="K133" s="130" t="str">
        <f>CONCATENATE('3 pr-2'!K133)</f>
        <v>-</v>
      </c>
      <c r="L133" s="130" t="s">
        <v>1434</v>
      </c>
      <c r="M133" s="672" t="s">
        <v>1435</v>
      </c>
      <c r="N133" s="1699"/>
      <c r="O133" s="1699"/>
      <c r="P133" s="1699"/>
      <c r="Q133" s="1699"/>
      <c r="R133" s="1699"/>
      <c r="S133" s="1699"/>
      <c r="T133" s="1699"/>
      <c r="U133" s="1700">
        <f t="shared" si="539"/>
        <v>0</v>
      </c>
      <c r="V133" s="130">
        <v>1</v>
      </c>
      <c r="W133" s="1757">
        <v>1</v>
      </c>
      <c r="X133" s="1732">
        <f t="shared" si="574"/>
        <v>0</v>
      </c>
      <c r="Y133" s="1732">
        <f>IF(YEAR('3 pr-2'!$AK133)=2017,$V133,0)</f>
        <v>0</v>
      </c>
      <c r="Z133" s="1732">
        <f>IF(YEAR('3 pr-2'!$AK133)=2018,$V133,0)</f>
        <v>0</v>
      </c>
      <c r="AA133" s="1732">
        <f>IF(YEAR('3 pr-2'!$AK133)=2019,$V133,0)</f>
        <v>0</v>
      </c>
      <c r="AB133" s="1732">
        <f>IF(YEAR('3 pr-2'!$AK133)=2020,$V133,0)</f>
        <v>0</v>
      </c>
      <c r="AC133" s="1732">
        <f>IF(YEAR('3 pr-2'!$AK133)=2021,$V133,0)</f>
        <v>1</v>
      </c>
      <c r="AD133" s="1732">
        <f>IF(YEAR('3 pr-2'!$AK133)=2022,$V133,0)</f>
        <v>0</v>
      </c>
      <c r="AE133" s="1732">
        <f>IF(YEAR('3 pr-2'!$AK133)=2023,$V133,0)</f>
        <v>0</v>
      </c>
      <c r="AF133" s="317" t="s">
        <v>512</v>
      </c>
      <c r="AG133" s="672" t="s">
        <v>514</v>
      </c>
      <c r="AH133" s="1699"/>
      <c r="AI133" s="1699"/>
      <c r="AJ133" s="1699"/>
      <c r="AK133" s="1699"/>
      <c r="AL133" s="1699"/>
      <c r="AM133" s="1699"/>
      <c r="AN133" s="1699"/>
      <c r="AO133" s="1718">
        <f t="shared" si="571"/>
        <v>0</v>
      </c>
      <c r="AP133" s="1784">
        <v>17107</v>
      </c>
      <c r="AQ133" s="1778">
        <v>19004</v>
      </c>
      <c r="AR133" s="1732">
        <f t="shared" si="573"/>
        <v>-1897</v>
      </c>
      <c r="AS133" s="1732">
        <f>IF(YEAR('3 pr-2'!$AK133)=2017,$AP133,0)</f>
        <v>0</v>
      </c>
      <c r="AT133" s="1732">
        <f>IF(YEAR('3 pr-2'!$AK133)=2018,$AP133,0)</f>
        <v>0</v>
      </c>
      <c r="AU133" s="1732">
        <f>IF(YEAR('3 pr-2'!$AK133)=2019,$AP133,0)</f>
        <v>0</v>
      </c>
      <c r="AV133" s="1732">
        <f>IF(YEAR('3 pr-2'!$AK133)=2020,$AP133,0)</f>
        <v>0</v>
      </c>
      <c r="AW133" s="1732">
        <f>IF(YEAR('3 pr-2'!$AK133)=2021,$AP133,0)</f>
        <v>17107</v>
      </c>
      <c r="AX133" s="1732">
        <f>IF(YEAR('3 pr-2'!$AK133)=2022,$AP133,0)</f>
        <v>0</v>
      </c>
      <c r="AY133" s="1732">
        <f>IF(YEAR('3 pr-2'!$AK133)=2023,$AP133,0)</f>
        <v>0</v>
      </c>
      <c r="AZ133" s="130"/>
      <c r="BA133" s="470"/>
      <c r="BB133" s="1699"/>
      <c r="BC133" s="1699"/>
      <c r="BD133" s="1699"/>
      <c r="BE133" s="1699"/>
      <c r="BF133" s="1699"/>
      <c r="BG133" s="1699"/>
      <c r="BH133" s="1699"/>
      <c r="BI133" s="1718"/>
      <c r="BJ133" s="130"/>
      <c r="BK133" s="1501"/>
      <c r="BL133" s="130"/>
      <c r="BM133" s="130"/>
      <c r="BN133" s="130"/>
      <c r="BO133" s="130"/>
      <c r="BP133" s="130"/>
      <c r="BQ133" s="130"/>
      <c r="BR133" s="130"/>
      <c r="BS133" s="130"/>
      <c r="BT133" s="317"/>
      <c r="BU133" s="471"/>
      <c r="BV133" s="1699"/>
      <c r="BW133" s="1699"/>
      <c r="BX133" s="1699"/>
      <c r="BY133" s="1699"/>
      <c r="BZ133" s="1699"/>
      <c r="CA133" s="1699"/>
      <c r="CB133" s="1699"/>
      <c r="CC133" s="1718"/>
      <c r="CD133" s="130"/>
      <c r="CE133" s="130"/>
      <c r="CF133" s="130"/>
      <c r="CG133" s="130"/>
      <c r="CH133" s="130"/>
      <c r="CI133" s="130"/>
      <c r="CJ133" s="130"/>
      <c r="CK133" s="130"/>
      <c r="CL133" s="130"/>
      <c r="CM133" s="130"/>
      <c r="CN133" s="317"/>
      <c r="CO133" s="472"/>
      <c r="CP133" s="1699"/>
      <c r="CQ133" s="1699"/>
      <c r="CR133" s="1699"/>
      <c r="CS133" s="1699"/>
      <c r="CT133" s="1699"/>
      <c r="CU133" s="1699"/>
      <c r="CV133" s="1699"/>
      <c r="CW133" s="1718"/>
      <c r="CX133" s="318"/>
      <c r="CY133" s="303"/>
      <c r="CZ133" s="303"/>
      <c r="DA133" s="506">
        <f>IF(YEAR('3 pr-2'!AK133)=2017,CX133,0)</f>
        <v>0</v>
      </c>
      <c r="DB133" s="506">
        <f>IF(YEAR('3 pr-2'!AK133)=2018,CX133,0)</f>
        <v>0</v>
      </c>
      <c r="DC133" s="506">
        <f>IF(YEAR('3 pr-2'!AK133)=2019,CX133,0)</f>
        <v>0</v>
      </c>
      <c r="DD133" s="506">
        <f>IF(YEAR('3 pr-2'!AK133)=2020,CX133,0)</f>
        <v>0</v>
      </c>
      <c r="DE133" s="506">
        <f>IF(YEAR('3 pr-2'!AK133)=2021,CX133,0)</f>
        <v>0</v>
      </c>
      <c r="DF133" s="506">
        <f>IF(YEAR('3 pr-2'!AK133)=2022,CX133,0)</f>
        <v>0</v>
      </c>
      <c r="DG133" s="506">
        <f>IF(YEAR('3 pr-2'!AK133)=2023,CX133,0)</f>
        <v>0</v>
      </c>
      <c r="DH133" s="317"/>
      <c r="DI133" s="472"/>
      <c r="DJ133" s="130"/>
      <c r="DK133" s="130"/>
      <c r="DL133" s="130"/>
      <c r="DM133" s="130"/>
      <c r="DN133" s="130"/>
      <c r="DO133" s="130"/>
      <c r="DP133" s="130"/>
      <c r="DQ133" s="756"/>
      <c r="DR133" s="318"/>
      <c r="DS133" s="303"/>
      <c r="DT133" s="303"/>
      <c r="DU133" s="506"/>
      <c r="DV133" s="506"/>
      <c r="DW133" s="506"/>
      <c r="DX133" s="506"/>
      <c r="DY133" s="506"/>
      <c r="DZ133" s="506"/>
      <c r="EA133" s="506"/>
      <c r="EB133" s="317"/>
      <c r="EC133" s="472"/>
      <c r="ED133" s="303"/>
      <c r="EE133" s="303"/>
      <c r="EF133" s="303"/>
      <c r="EG133" s="506">
        <f>IF(YEAR('3 pr-2'!BP133)=2017,ED133,0)</f>
        <v>0</v>
      </c>
      <c r="EH133" s="506">
        <f>IF(YEAR('3 pr-2'!BP133)=2018,ED133,0)</f>
        <v>0</v>
      </c>
      <c r="EI133" s="506">
        <f>IF(YEAR('3 pr-2'!BP133)=2019,ED133,0)</f>
        <v>0</v>
      </c>
      <c r="EJ133" s="506">
        <f>IF(YEAR('3 pr-2'!BP133)=2020,ED133,0)</f>
        <v>0</v>
      </c>
      <c r="EK133" s="506">
        <f>IF(YEAR('3 pr-2'!BP133)=2021,ED133,0)</f>
        <v>0</v>
      </c>
      <c r="EL133" s="506">
        <f>IF(YEAR('3 pr-2'!BP133)=2022,ED133,0)</f>
        <v>0</v>
      </c>
      <c r="EM133" s="506">
        <f>IF(YEAR('3 pr-2'!BP133)=2023,ED133,0)</f>
        <v>0</v>
      </c>
    </row>
    <row r="134" spans="1:143" s="678" customFormat="1" ht="75" thickTop="1" thickBot="1">
      <c r="A134" s="130" t="str">
        <f>CONCATENATE('3 pr-2'!A134)</f>
        <v>2.1.2.1.13</v>
      </c>
      <c r="B134" s="130" t="str">
        <f>CONCATENATE('3 pr-2'!B134)</f>
        <v>R01-6609-470000-2223</v>
      </c>
      <c r="C134" s="1730" t="str">
        <f>CONCATENATE('ketv. 2'!B133)</f>
        <v/>
      </c>
      <c r="D134" s="11" t="str">
        <f>CONCATENATE('3 pr-2'!D134)</f>
        <v>Pirminės asmens sveikatos priežiūros veiklos efektyvumo didinimas N. Jarašienės personalinėje įmonėje</v>
      </c>
      <c r="E134" s="11" t="str">
        <f>CONCATENATE('3 pr-2'!E134)</f>
        <v>N. Jarašienės personalinė įmonė</v>
      </c>
      <c r="F134" s="11" t="str">
        <f>CONCATENATE('3 pr-2'!F134)</f>
        <v>Lietuvos Respublikos Sveikatos apsaugos ministerija</v>
      </c>
      <c r="G134" s="11" t="str">
        <f>CONCATENATE('3 pr-2'!G134)</f>
        <v>Varėnos r. sav.</v>
      </c>
      <c r="H134" s="130" t="str">
        <f>CONCATENATE('3 pr-2'!H134)</f>
        <v>08.1.3-CPVA-R-609</v>
      </c>
      <c r="I134" s="130" t="str">
        <f>CONCATENATE('3 pr-2'!I134)</f>
        <v>R</v>
      </c>
      <c r="J134" s="130" t="str">
        <f>CONCATENATE('3 pr-2'!J134)</f>
        <v>-</v>
      </c>
      <c r="K134" s="130" t="str">
        <f>CONCATENATE('3 pr-2'!K134)</f>
        <v>-</v>
      </c>
      <c r="L134" s="130" t="s">
        <v>1434</v>
      </c>
      <c r="M134" s="672" t="s">
        <v>1435</v>
      </c>
      <c r="N134" s="1699"/>
      <c r="O134" s="1699"/>
      <c r="P134" s="1699"/>
      <c r="Q134" s="1699"/>
      <c r="R134" s="1699"/>
      <c r="S134" s="1699"/>
      <c r="T134" s="1699"/>
      <c r="U134" s="1700">
        <f t="shared" ref="U134" si="575">SUM(N134:T134)</f>
        <v>0</v>
      </c>
      <c r="V134" s="130">
        <v>1</v>
      </c>
      <c r="W134" s="1757" t="str">
        <f>IF('ketv. 6 '!L133&gt;0,"taip","nėra")</f>
        <v>nėra</v>
      </c>
      <c r="X134" s="1732"/>
      <c r="Y134" s="1732">
        <f>IF(YEAR('3 pr-2'!$AK134)=2017,$V134,0)</f>
        <v>0</v>
      </c>
      <c r="Z134" s="1732">
        <f>IF(YEAR('3 pr-2'!$AK134)=2018,$V134,0)</f>
        <v>0</v>
      </c>
      <c r="AA134" s="1732">
        <f>IF(YEAR('3 pr-2'!$AK134)=2019,$V134,0)</f>
        <v>1</v>
      </c>
      <c r="AB134" s="1732">
        <f>IF(YEAR('3 pr-2'!$AK134)=2020,$V134,0)</f>
        <v>0</v>
      </c>
      <c r="AC134" s="1732">
        <f>IF(YEAR('3 pr-2'!$AK134)=2021,$V134,0)</f>
        <v>0</v>
      </c>
      <c r="AD134" s="1732">
        <f>IF(YEAR('3 pr-2'!$AK134)=2022,$V134,0)</f>
        <v>0</v>
      </c>
      <c r="AE134" s="1732">
        <f>IF(YEAR('3 pr-2'!$AK134)=2023,$V134,0)</f>
        <v>0</v>
      </c>
      <c r="AF134" s="317" t="s">
        <v>512</v>
      </c>
      <c r="AG134" s="672" t="s">
        <v>514</v>
      </c>
      <c r="AH134" s="1699"/>
      <c r="AI134" s="1699"/>
      <c r="AJ134" s="1699"/>
      <c r="AK134" s="1699"/>
      <c r="AL134" s="1699"/>
      <c r="AM134" s="1699"/>
      <c r="AN134" s="1699"/>
      <c r="AO134" s="1718">
        <f t="shared" ref="AO134" si="576">SUM(AH134:AN134)</f>
        <v>0</v>
      </c>
      <c r="AP134" s="130">
        <v>758</v>
      </c>
      <c r="AQ134" s="1757"/>
      <c r="AR134" s="1732"/>
      <c r="AS134" s="1732">
        <f>IF(YEAR('3 pr-2'!$AK134)=2017,$AP134,0)</f>
        <v>0</v>
      </c>
      <c r="AT134" s="1732">
        <f>IF(YEAR('3 pr-2'!$AK134)=2018,$AP134,0)</f>
        <v>0</v>
      </c>
      <c r="AU134" s="1732">
        <f>IF(YEAR('3 pr-2'!$AK134)=2019,$AP134,0)</f>
        <v>758</v>
      </c>
      <c r="AV134" s="1732">
        <f>IF(YEAR('3 pr-2'!$AK134)=2020,$AP134,0)</f>
        <v>0</v>
      </c>
      <c r="AW134" s="1732">
        <f>IF(YEAR('3 pr-2'!$AK134)=2021,$AP134,0)</f>
        <v>0</v>
      </c>
      <c r="AX134" s="1732">
        <f>IF(YEAR('3 pr-2'!$AK134)=2022,$AP134,0)</f>
        <v>0</v>
      </c>
      <c r="AY134" s="1732">
        <f>IF(YEAR('3 pr-2'!$AK134)=2023,$AP134,0)</f>
        <v>0</v>
      </c>
      <c r="AZ134" s="130"/>
      <c r="BA134" s="480"/>
      <c r="BB134" s="1699"/>
      <c r="BC134" s="1699"/>
      <c r="BD134" s="1699"/>
      <c r="BE134" s="1699"/>
      <c r="BF134" s="1699"/>
      <c r="BG134" s="1699"/>
      <c r="BH134" s="1699"/>
      <c r="BI134" s="1718"/>
      <c r="BJ134" s="130"/>
      <c r="BK134" s="755"/>
      <c r="BL134" s="130"/>
      <c r="BM134" s="130"/>
      <c r="BN134" s="130"/>
      <c r="BO134" s="130"/>
      <c r="BP134" s="130"/>
      <c r="BQ134" s="130"/>
      <c r="BR134" s="130"/>
      <c r="BS134" s="130"/>
      <c r="BT134" s="755"/>
      <c r="BU134" s="672"/>
      <c r="BV134" s="1699"/>
      <c r="BW134" s="1699"/>
      <c r="BX134" s="1699"/>
      <c r="BY134" s="1699"/>
      <c r="BZ134" s="1699"/>
      <c r="CA134" s="1699"/>
      <c r="CB134" s="1699"/>
      <c r="CC134" s="1718"/>
      <c r="CD134" s="130"/>
      <c r="CE134" s="130"/>
      <c r="CF134" s="130"/>
      <c r="CG134" s="130"/>
      <c r="CH134" s="130"/>
      <c r="CI134" s="130"/>
      <c r="CJ134" s="130"/>
      <c r="CK134" s="130"/>
      <c r="CL134" s="130"/>
      <c r="CM134" s="130"/>
      <c r="CN134" s="755"/>
      <c r="CO134" s="831"/>
      <c r="CP134" s="1699"/>
      <c r="CQ134" s="1699"/>
      <c r="CR134" s="1699"/>
      <c r="CS134" s="1699"/>
      <c r="CT134" s="1699"/>
      <c r="CU134" s="1699"/>
      <c r="CV134" s="1699"/>
      <c r="CW134" s="1718"/>
      <c r="CX134" s="318"/>
      <c r="CY134" s="1096"/>
      <c r="CZ134" s="1096"/>
      <c r="DA134" s="11">
        <f>IF(YEAR('3 pr-2'!AK134)=2017,CX134,0)</f>
        <v>0</v>
      </c>
      <c r="DB134" s="11">
        <f>IF(YEAR('3 pr-2'!AK134)=2018,CX134,0)</f>
        <v>0</v>
      </c>
      <c r="DC134" s="11">
        <f>IF(YEAR('3 pr-2'!AK134)=2019,CX134,0)</f>
        <v>0</v>
      </c>
      <c r="DD134" s="11">
        <f>IF(YEAR('3 pr-2'!AK134)=2020,CX134,0)</f>
        <v>0</v>
      </c>
      <c r="DE134" s="11">
        <f>IF(YEAR('3 pr-2'!AK134)=2021,CX134,0)</f>
        <v>0</v>
      </c>
      <c r="DF134" s="11">
        <f>IF(YEAR('3 pr-2'!AK134)=2022,CX134,0)</f>
        <v>0</v>
      </c>
      <c r="DG134" s="11">
        <f>IF(YEAR('3 pr-2'!AK134)=2023,CX134,0)</f>
        <v>0</v>
      </c>
      <c r="DH134" s="755"/>
      <c r="DI134" s="831"/>
      <c r="DJ134" s="130"/>
      <c r="DK134" s="130"/>
      <c r="DL134" s="130"/>
      <c r="DM134" s="130"/>
      <c r="DN134" s="130"/>
      <c r="DO134" s="130"/>
      <c r="DP134" s="130"/>
      <c r="DQ134" s="756"/>
      <c r="DR134" s="318"/>
      <c r="DS134" s="1096"/>
      <c r="DT134" s="1096"/>
      <c r="DU134" s="11"/>
      <c r="DV134" s="11"/>
      <c r="DW134" s="11"/>
      <c r="DX134" s="11"/>
      <c r="DY134" s="11"/>
      <c r="DZ134" s="11"/>
      <c r="EA134" s="11"/>
      <c r="EB134" s="755"/>
      <c r="EC134" s="831"/>
      <c r="ED134" s="1096"/>
      <c r="EE134" s="1096"/>
      <c r="EF134" s="1096"/>
      <c r="EG134" s="11">
        <f>IF(YEAR('3 pr-2'!BP134)=2017,ED134,0)</f>
        <v>0</v>
      </c>
      <c r="EH134" s="11">
        <f>IF(YEAR('3 pr-2'!BP134)=2018,ED134,0)</f>
        <v>0</v>
      </c>
      <c r="EI134" s="11">
        <f>IF(YEAR('3 pr-2'!BP134)=2019,ED134,0)</f>
        <v>0</v>
      </c>
      <c r="EJ134" s="11">
        <f>IF(YEAR('3 pr-2'!BP134)=2020,ED134,0)</f>
        <v>0</v>
      </c>
      <c r="EK134" s="11">
        <f>IF(YEAR('3 pr-2'!BP134)=2021,ED134,0)</f>
        <v>0</v>
      </c>
      <c r="EL134" s="11">
        <f>IF(YEAR('3 pr-2'!BP134)=2022,ED134,0)</f>
        <v>0</v>
      </c>
      <c r="EM134" s="11">
        <f>IF(YEAR('3 pr-2'!BP134)=2023,ED134,0)</f>
        <v>0</v>
      </c>
    </row>
    <row r="135" spans="1:143" ht="30" customHeight="1" thickBot="1">
      <c r="A135" s="773" t="str">
        <f>CONCATENATE('3 pr-2'!A135)</f>
        <v>2.1.2.2</v>
      </c>
      <c r="B135" s="1972" t="str">
        <f>CONCATENATE('3 pr-2'!B135)</f>
        <v>Priemonė:
Sveikos gyvensenos skatinimas regioniniu lygiu</v>
      </c>
      <c r="C135" s="1894"/>
      <c r="D135" s="1894"/>
      <c r="E135" s="1894"/>
      <c r="F135" s="1894"/>
      <c r="G135" s="1894"/>
      <c r="H135" s="1894"/>
      <c r="I135" s="1894"/>
      <c r="J135" s="1894"/>
      <c r="K135" s="1895"/>
      <c r="L135" s="774"/>
      <c r="M135" s="474"/>
      <c r="N135" s="1710">
        <f t="shared" ref="N135:T135" si="577">SUM(N136:N140)</f>
        <v>0</v>
      </c>
      <c r="O135" s="1710">
        <f t="shared" si="577"/>
        <v>0</v>
      </c>
      <c r="P135" s="1710">
        <f t="shared" si="577"/>
        <v>2155</v>
      </c>
      <c r="Q135" s="1710">
        <f t="shared" si="577"/>
        <v>0</v>
      </c>
      <c r="R135" s="1710">
        <f t="shared" si="577"/>
        <v>0</v>
      </c>
      <c r="S135" s="1710">
        <f t="shared" si="577"/>
        <v>0</v>
      </c>
      <c r="T135" s="1710">
        <f t="shared" si="577"/>
        <v>0</v>
      </c>
      <c r="U135" s="1711">
        <f t="shared" ref="U135:U140" si="578">SUM(N135:T135)</f>
        <v>2155</v>
      </c>
      <c r="V135" s="506"/>
      <c r="W135" s="1770"/>
      <c r="X135" s="1771"/>
      <c r="Y135" s="1772">
        <f t="shared" ref="Y135:AE135" si="579">SUM(Y136:Y140)</f>
        <v>0</v>
      </c>
      <c r="Z135" s="1772">
        <f t="shared" si="579"/>
        <v>2271</v>
      </c>
      <c r="AA135" s="1772">
        <f t="shared" si="579"/>
        <v>2827</v>
      </c>
      <c r="AB135" s="1772">
        <f t="shared" si="579"/>
        <v>2829</v>
      </c>
      <c r="AC135" s="1772">
        <f t="shared" si="579"/>
        <v>1014</v>
      </c>
      <c r="AD135" s="1772">
        <f t="shared" si="579"/>
        <v>0</v>
      </c>
      <c r="AE135" s="1772">
        <f t="shared" si="579"/>
        <v>0</v>
      </c>
      <c r="AF135" s="775"/>
      <c r="AG135" s="752"/>
      <c r="AH135" s="1710">
        <f t="shared" ref="AH135:AN135" si="580">SUM(AH136:AH140)</f>
        <v>0</v>
      </c>
      <c r="AI135" s="1710">
        <f t="shared" si="580"/>
        <v>0</v>
      </c>
      <c r="AJ135" s="1710">
        <f t="shared" si="580"/>
        <v>0</v>
      </c>
      <c r="AK135" s="1710">
        <f t="shared" si="580"/>
        <v>0</v>
      </c>
      <c r="AL135" s="1710">
        <f t="shared" si="580"/>
        <v>0</v>
      </c>
      <c r="AM135" s="1710">
        <f t="shared" si="580"/>
        <v>0</v>
      </c>
      <c r="AN135" s="1710">
        <f t="shared" si="580"/>
        <v>0</v>
      </c>
      <c r="AO135" s="1719">
        <f t="shared" si="571"/>
        <v>0</v>
      </c>
      <c r="AP135" s="739"/>
      <c r="AQ135" s="1772"/>
      <c r="AR135" s="1772"/>
      <c r="AS135" s="1772">
        <f t="shared" ref="AS135:AY135" si="581">SUM(AS136:AS140)</f>
        <v>0</v>
      </c>
      <c r="AT135" s="1772">
        <f t="shared" si="581"/>
        <v>1</v>
      </c>
      <c r="AU135" s="1772">
        <f t="shared" si="581"/>
        <v>0</v>
      </c>
      <c r="AV135" s="1772">
        <f t="shared" si="581"/>
        <v>0</v>
      </c>
      <c r="AW135" s="1772">
        <f t="shared" si="581"/>
        <v>1</v>
      </c>
      <c r="AX135" s="1772">
        <f t="shared" si="581"/>
        <v>0</v>
      </c>
      <c r="AY135" s="1772">
        <f t="shared" si="581"/>
        <v>0</v>
      </c>
      <c r="AZ135" s="739"/>
      <c r="BA135" s="752"/>
      <c r="BB135" s="1710"/>
      <c r="BC135" s="1710"/>
      <c r="BD135" s="1710"/>
      <c r="BE135" s="1710"/>
      <c r="BF135" s="1710"/>
      <c r="BG135" s="1710"/>
      <c r="BH135" s="1710"/>
      <c r="BI135" s="1719"/>
      <c r="BJ135" s="739"/>
      <c r="BK135" s="506"/>
      <c r="BL135" s="506"/>
      <c r="BM135" s="506"/>
      <c r="BN135" s="506"/>
      <c r="BO135" s="506"/>
      <c r="BP135" s="506"/>
      <c r="BQ135" s="506"/>
      <c r="BR135" s="506"/>
      <c r="BS135" s="506"/>
      <c r="BT135" s="506"/>
      <c r="BU135" s="472"/>
      <c r="BV135" s="1710"/>
      <c r="BW135" s="1710"/>
      <c r="BX135" s="1710"/>
      <c r="BY135" s="1710"/>
      <c r="BZ135" s="1710"/>
      <c r="CA135" s="1710"/>
      <c r="CB135" s="1710"/>
      <c r="CC135" s="1719"/>
      <c r="CD135" s="506"/>
      <c r="CE135" s="506"/>
      <c r="CF135" s="506"/>
      <c r="CG135" s="506">
        <f t="shared" ref="CG135:CM135" si="582">SUM(CG136:CG140)</f>
        <v>0</v>
      </c>
      <c r="CH135" s="506">
        <f t="shared" si="582"/>
        <v>0</v>
      </c>
      <c r="CI135" s="506">
        <f t="shared" si="582"/>
        <v>0</v>
      </c>
      <c r="CJ135" s="506">
        <f t="shared" si="582"/>
        <v>0</v>
      </c>
      <c r="CK135" s="506">
        <f t="shared" si="582"/>
        <v>0</v>
      </c>
      <c r="CL135" s="506">
        <f t="shared" si="582"/>
        <v>0</v>
      </c>
      <c r="CM135" s="506">
        <f t="shared" si="582"/>
        <v>0</v>
      </c>
      <c r="CN135" s="506"/>
      <c r="CO135" s="472"/>
      <c r="CP135" s="1710">
        <f t="shared" ref="CP135:CV135" si="583">SUM(CP136:CP140)</f>
        <v>0</v>
      </c>
      <c r="CQ135" s="1710">
        <f t="shared" si="583"/>
        <v>0</v>
      </c>
      <c r="CR135" s="1710">
        <f t="shared" si="583"/>
        <v>0</v>
      </c>
      <c r="CS135" s="1710">
        <f t="shared" si="583"/>
        <v>0</v>
      </c>
      <c r="CT135" s="1710">
        <f t="shared" si="583"/>
        <v>0</v>
      </c>
      <c r="CU135" s="1710">
        <f t="shared" si="583"/>
        <v>0</v>
      </c>
      <c r="CV135" s="1710">
        <f t="shared" si="583"/>
        <v>0</v>
      </c>
      <c r="CW135" s="1719">
        <f t="shared" si="570"/>
        <v>0</v>
      </c>
      <c r="CX135" s="506"/>
      <c r="CY135" s="506"/>
      <c r="CZ135" s="506"/>
      <c r="DA135" s="506"/>
      <c r="DB135" s="506"/>
      <c r="DC135" s="506"/>
      <c r="DD135" s="506"/>
      <c r="DE135" s="506"/>
      <c r="DF135" s="506"/>
      <c r="DG135" s="506"/>
      <c r="DH135" s="506"/>
      <c r="DI135" s="472"/>
      <c r="DJ135" s="506"/>
      <c r="DK135" s="506"/>
      <c r="DL135" s="506"/>
      <c r="DM135" s="506"/>
      <c r="DN135" s="506"/>
      <c r="DO135" s="506"/>
      <c r="DP135" s="506"/>
      <c r="DQ135" s="739"/>
      <c r="DR135" s="506"/>
      <c r="DS135" s="506"/>
      <c r="DT135" s="506"/>
      <c r="DU135" s="506"/>
      <c r="DV135" s="506"/>
      <c r="DW135" s="506"/>
      <c r="DX135" s="506"/>
      <c r="DY135" s="506"/>
      <c r="DZ135" s="506"/>
      <c r="EA135" s="506"/>
      <c r="EB135" s="506"/>
      <c r="EC135" s="472"/>
      <c r="ED135" s="506"/>
      <c r="EE135" s="506"/>
      <c r="EF135" s="506"/>
      <c r="EG135" s="506"/>
      <c r="EH135" s="506"/>
      <c r="EI135" s="506"/>
      <c r="EJ135" s="506"/>
      <c r="EK135" s="506"/>
      <c r="EL135" s="506"/>
      <c r="EM135" s="506"/>
    </row>
    <row r="136" spans="1:143" ht="64.5" thickTop="1" thickBot="1">
      <c r="A136" s="130" t="str">
        <f>CONCATENATE('3 pr-2'!A136)</f>
        <v>2.1.2.2.1</v>
      </c>
      <c r="B136" s="130" t="str">
        <f>CONCATENATE('3 pr-2'!B136)</f>
        <v>R01-6630-475000-2221</v>
      </c>
      <c r="C136" s="1730" t="str">
        <f>CONCATENATE('ketv. 2'!B135)</f>
        <v>08.4.2-ESFA-R-630-11-0004</v>
      </c>
      <c r="D136" s="11" t="str">
        <f>CONCATENATE('3 pr-2'!D136)</f>
        <v>Sveikos gyvensenos skatinimas Alytaus rajone</v>
      </c>
      <c r="E136" s="11" t="str">
        <f>CONCATENATE('3 pr-2'!E136)</f>
        <v>Alytaus rajono savivaldybės visuomenės sveikatos biuras</v>
      </c>
      <c r="F136" s="11" t="str">
        <f>CONCATENATE('3 pr-2'!F136)</f>
        <v>Lietuvos Respublikos Sveikatos apsaugos ministerija</v>
      </c>
      <c r="G136" s="11" t="str">
        <f>CONCATENATE('3 pr-2'!G136)</f>
        <v>Alytaus r. sav.</v>
      </c>
      <c r="H136" s="130" t="str">
        <f>CONCATENATE('3 pr-2'!H136)</f>
        <v>08.4.2-ESFA-R-630</v>
      </c>
      <c r="I136" s="130" t="str">
        <f>CONCATENATE('3 pr-2'!I136)</f>
        <v>R</v>
      </c>
      <c r="J136" s="130" t="str">
        <f>CONCATENATE('3 pr-2'!J136)</f>
        <v>-</v>
      </c>
      <c r="K136" s="130" t="str">
        <f>CONCATENATE('3 pr-2'!K136)</f>
        <v>-</v>
      </c>
      <c r="L136" s="130" t="s">
        <v>1180</v>
      </c>
      <c r="M136" s="471" t="s">
        <v>1181</v>
      </c>
      <c r="N136" s="1697"/>
      <c r="O136" s="1697"/>
      <c r="P136" s="1697">
        <v>1033</v>
      </c>
      <c r="Q136" s="1697"/>
      <c r="R136" s="1697"/>
      <c r="S136" s="1697"/>
      <c r="T136" s="1697"/>
      <c r="U136" s="1691">
        <f t="shared" si="578"/>
        <v>1033</v>
      </c>
      <c r="V136" s="506">
        <f>SUM(Y136:AE136)</f>
        <v>1696</v>
      </c>
      <c r="W136" s="1757">
        <v>1696</v>
      </c>
      <c r="X136" s="1732">
        <f t="shared" ref="X136:X146" si="584">SUM(W136-V136)</f>
        <v>0</v>
      </c>
      <c r="Y136" s="1732">
        <v>0</v>
      </c>
      <c r="Z136" s="1732">
        <v>454</v>
      </c>
      <c r="AA136" s="1732">
        <v>621</v>
      </c>
      <c r="AB136" s="1732">
        <v>621</v>
      </c>
      <c r="AC136" s="1732">
        <v>0</v>
      </c>
      <c r="AD136" s="1732">
        <v>0</v>
      </c>
      <c r="AE136" s="1732">
        <v>0</v>
      </c>
      <c r="AF136" s="317" t="s">
        <v>1182</v>
      </c>
      <c r="AG136" s="471" t="s">
        <v>1183</v>
      </c>
      <c r="AH136" s="1699"/>
      <c r="AI136" s="1699"/>
      <c r="AJ136" s="1699"/>
      <c r="AK136" s="1699"/>
      <c r="AL136" s="1699"/>
      <c r="AM136" s="1699"/>
      <c r="AN136" s="1699"/>
      <c r="AO136" s="1718">
        <f t="shared" si="571"/>
        <v>0</v>
      </c>
      <c r="AP136" s="130">
        <v>1</v>
      </c>
      <c r="AQ136" s="1778">
        <v>1</v>
      </c>
      <c r="AR136" s="1732">
        <f t="shared" ref="AR136" si="585">SUM(AQ136-AP136)</f>
        <v>0</v>
      </c>
      <c r="AS136" s="1732"/>
      <c r="AT136" s="1732">
        <v>1</v>
      </c>
      <c r="AU136" s="1732"/>
      <c r="AV136" s="1732"/>
      <c r="AW136" s="1732"/>
      <c r="AX136" s="1732"/>
      <c r="AY136" s="1732"/>
      <c r="AZ136" s="130"/>
      <c r="BA136" s="470"/>
      <c r="BB136" s="1699"/>
      <c r="BC136" s="1699"/>
      <c r="BD136" s="1699"/>
      <c r="BE136" s="1699"/>
      <c r="BF136" s="1699"/>
      <c r="BG136" s="1699"/>
      <c r="BH136" s="1699"/>
      <c r="BI136" s="1718">
        <f t="shared" si="549"/>
        <v>0</v>
      </c>
      <c r="BJ136" s="130"/>
      <c r="BK136" s="1501"/>
      <c r="BL136" s="130"/>
      <c r="BM136" s="130"/>
      <c r="BN136" s="130"/>
      <c r="BO136" s="130"/>
      <c r="BP136" s="130"/>
      <c r="BQ136" s="130"/>
      <c r="BR136" s="130"/>
      <c r="BS136" s="130"/>
      <c r="BT136" s="317"/>
      <c r="BU136" s="471"/>
      <c r="BV136" s="1699"/>
      <c r="BW136" s="1699"/>
      <c r="BX136" s="1699"/>
      <c r="BY136" s="1699"/>
      <c r="BZ136" s="1699"/>
      <c r="CA136" s="1699"/>
      <c r="CB136" s="1699"/>
      <c r="CC136" s="1718">
        <f t="shared" si="563"/>
        <v>0</v>
      </c>
      <c r="CD136" s="130"/>
      <c r="CE136" s="130"/>
      <c r="CF136" s="130"/>
      <c r="CG136" s="130">
        <f>IF(YEAR('3 pr-2'!$AK136)=2017,$CD136,0)</f>
        <v>0</v>
      </c>
      <c r="CH136" s="130">
        <f>IF(YEAR('3 pr-2'!$AK136)=2018,$CD136,0)</f>
        <v>0</v>
      </c>
      <c r="CI136" s="130">
        <f>IF(YEAR('3 pr-2'!$AK136)=2019,$CD136,0)</f>
        <v>0</v>
      </c>
      <c r="CJ136" s="130">
        <f>IF(YEAR('3 pr-2'!$AK136)=2020,$CD136,0)</f>
        <v>0</v>
      </c>
      <c r="CK136" s="130">
        <f>IF(YEAR('3 pr-2'!$AK136)=2021,$CD136,0)</f>
        <v>0</v>
      </c>
      <c r="CL136" s="130">
        <f>IF(YEAR('3 pr-2'!$AK136)=2022,$CD136,0)</f>
        <v>0</v>
      </c>
      <c r="CM136" s="130">
        <f>IF(YEAR('3 pr-2'!$AK136)=2023,$CD136,0)</f>
        <v>0</v>
      </c>
      <c r="CN136" s="317"/>
      <c r="CO136" s="472"/>
      <c r="CP136" s="1699"/>
      <c r="CQ136" s="1699"/>
      <c r="CR136" s="1699"/>
      <c r="CS136" s="1699"/>
      <c r="CT136" s="1699"/>
      <c r="CU136" s="1699"/>
      <c r="CV136" s="1699"/>
      <c r="CW136" s="1718">
        <f t="shared" si="570"/>
        <v>0</v>
      </c>
      <c r="CX136" s="318"/>
      <c r="CY136" s="303"/>
      <c r="CZ136" s="303"/>
      <c r="DA136" s="506">
        <f>IF(YEAR('3 pr-2'!AK136)=2017,CX136,0)</f>
        <v>0</v>
      </c>
      <c r="DB136" s="506">
        <f>IF(YEAR('3 pr-2'!AK136)=2018,CX136,0)</f>
        <v>0</v>
      </c>
      <c r="DC136" s="506">
        <f>IF(YEAR('3 pr-2'!AK136)=2019,CX136,0)</f>
        <v>0</v>
      </c>
      <c r="DD136" s="506">
        <f>IF(YEAR('3 pr-2'!AK136)=2020,CX136,0)</f>
        <v>0</v>
      </c>
      <c r="DE136" s="506">
        <f>IF(YEAR('3 pr-2'!AK136)=2021,CX136,0)</f>
        <v>0</v>
      </c>
      <c r="DF136" s="506">
        <f>IF(YEAR('3 pr-2'!AK136)=2022,CX136,0)</f>
        <v>0</v>
      </c>
      <c r="DG136" s="506">
        <f>IF(YEAR('3 pr-2'!AK136)=2023,CX136,0)</f>
        <v>0</v>
      </c>
      <c r="DH136" s="317"/>
      <c r="DI136" s="472"/>
      <c r="DJ136" s="130"/>
      <c r="DK136" s="130"/>
      <c r="DL136" s="130"/>
      <c r="DM136" s="130"/>
      <c r="DN136" s="130"/>
      <c r="DO136" s="130"/>
      <c r="DP136" s="130"/>
      <c r="DQ136" s="756"/>
      <c r="DR136" s="318"/>
      <c r="DS136" s="303"/>
      <c r="DT136" s="303"/>
      <c r="DU136" s="506"/>
      <c r="DV136" s="506"/>
      <c r="DW136" s="506"/>
      <c r="DX136" s="506"/>
      <c r="DY136" s="506"/>
      <c r="DZ136" s="506"/>
      <c r="EA136" s="506"/>
      <c r="EB136" s="317"/>
      <c r="EC136" s="472"/>
      <c r="ED136" s="303"/>
      <c r="EE136" s="303"/>
      <c r="EF136" s="303"/>
      <c r="EG136" s="506">
        <f>IF(YEAR('3 pr-2'!BP136)=2017,ED136,0)</f>
        <v>0</v>
      </c>
      <c r="EH136" s="506">
        <f>IF(YEAR('3 pr-2'!BP136)=2018,ED136,0)</f>
        <v>0</v>
      </c>
      <c r="EI136" s="506">
        <f>IF(YEAR('3 pr-2'!BP136)=2019,ED136,0)</f>
        <v>0</v>
      </c>
      <c r="EJ136" s="506">
        <f>IF(YEAR('3 pr-2'!BP136)=2020,ED136,0)</f>
        <v>0</v>
      </c>
      <c r="EK136" s="506">
        <f>IF(YEAR('3 pr-2'!BP136)=2021,ED136,0)</f>
        <v>0</v>
      </c>
      <c r="EL136" s="506">
        <f>IF(YEAR('3 pr-2'!BP136)=2022,ED136,0)</f>
        <v>0</v>
      </c>
      <c r="EM136" s="506">
        <f>IF(YEAR('3 pr-2'!BP136)=2023,ED136,0)</f>
        <v>0</v>
      </c>
    </row>
    <row r="137" spans="1:143" ht="64.5" thickTop="1" thickBot="1">
      <c r="A137" s="130" t="str">
        <f>CONCATENATE('3 pr-2'!A137)</f>
        <v>2.1.2.2.2</v>
      </c>
      <c r="B137" s="130" t="str">
        <f>CONCATENATE('3 pr-2'!B137)</f>
        <v>R01-6630-470000-2222</v>
      </c>
      <c r="C137" s="1730" t="str">
        <f>CONCATENATE('ketv. 2'!B136)</f>
        <v>08.4.2-ESFA-R-630-11-0001</v>
      </c>
      <c r="D137" s="11" t="str">
        <f>CONCATENATE('3 pr-2'!D137)</f>
        <v>Mažais žingsneliais – sveikos gyvensenos link</v>
      </c>
      <c r="E137" s="11" t="str">
        <f>CONCATENATE('3 pr-2'!E137)</f>
        <v>Alytaus miesto savivaldybės administracija</v>
      </c>
      <c r="F137" s="11" t="str">
        <f>CONCATENATE('3 pr-2'!F137)</f>
        <v>Lietuvos Respublikos Sveikatos apsaugos ministerija</v>
      </c>
      <c r="G137" s="11" t="str">
        <f>CONCATENATE('3 pr-2'!G137)</f>
        <v>Alytaus m. sav.</v>
      </c>
      <c r="H137" s="130" t="str">
        <f>CONCATENATE('3 pr-2'!H137)</f>
        <v>08.4.2-ESFA-R-630</v>
      </c>
      <c r="I137" s="130" t="str">
        <f>CONCATENATE('3 pr-2'!I137)</f>
        <v>R</v>
      </c>
      <c r="J137" s="130" t="str">
        <f>CONCATENATE('3 pr-2'!J137)</f>
        <v>-</v>
      </c>
      <c r="K137" s="130" t="str">
        <f>CONCATENATE('3 pr-2'!K137)</f>
        <v>-</v>
      </c>
      <c r="L137" s="304" t="s">
        <v>1180</v>
      </c>
      <c r="M137" s="471" t="s">
        <v>1181</v>
      </c>
      <c r="N137" s="1697"/>
      <c r="O137" s="1697"/>
      <c r="P137" s="1697">
        <v>466</v>
      </c>
      <c r="Q137" s="1697"/>
      <c r="R137" s="1697"/>
      <c r="S137" s="1697"/>
      <c r="T137" s="1697"/>
      <c r="U137" s="1691">
        <f t="shared" si="578"/>
        <v>466</v>
      </c>
      <c r="V137" s="506">
        <f>SUM(Y137:AE137)</f>
        <v>2151</v>
      </c>
      <c r="W137" s="1757">
        <v>2151</v>
      </c>
      <c r="X137" s="1732">
        <f t="shared" si="584"/>
        <v>0</v>
      </c>
      <c r="Y137" s="1732">
        <v>0</v>
      </c>
      <c r="Z137" s="1732">
        <v>454</v>
      </c>
      <c r="AA137" s="1732">
        <v>849</v>
      </c>
      <c r="AB137" s="1732">
        <v>848</v>
      </c>
      <c r="AC137" s="1732">
        <v>0</v>
      </c>
      <c r="AD137" s="1732">
        <v>0</v>
      </c>
      <c r="AE137" s="1732">
        <v>0</v>
      </c>
      <c r="AF137" s="317"/>
      <c r="AG137" s="471"/>
      <c r="AH137" s="1699"/>
      <c r="AI137" s="1699"/>
      <c r="AJ137" s="1699"/>
      <c r="AK137" s="1699"/>
      <c r="AL137" s="1699"/>
      <c r="AM137" s="1699"/>
      <c r="AN137" s="1699"/>
      <c r="AO137" s="1718">
        <f t="shared" si="571"/>
        <v>0</v>
      </c>
      <c r="AP137" s="130"/>
      <c r="AQ137" s="1778"/>
      <c r="AR137" s="1732"/>
      <c r="AS137" s="1732">
        <f>IF(YEAR('3 pr-2'!$AK137)=2017,$AP137,0)</f>
        <v>0</v>
      </c>
      <c r="AT137" s="1732">
        <f>IF(YEAR('3 pr-2'!$AK137)=2018,$AP137,0)</f>
        <v>0</v>
      </c>
      <c r="AU137" s="1732">
        <f>IF(YEAR('3 pr-2'!$AK137)=2019,$AP137,0)</f>
        <v>0</v>
      </c>
      <c r="AV137" s="1732">
        <f>IF(YEAR('3 pr-2'!$AK137)=2020,$AP137,0)</f>
        <v>0</v>
      </c>
      <c r="AW137" s="1732">
        <f>IF(YEAR('3 pr-2'!$AK137)=2021,$AP137,0)</f>
        <v>0</v>
      </c>
      <c r="AX137" s="1732">
        <f>IF(YEAR('3 pr-2'!$AK137)=2022,$AP137,0)</f>
        <v>0</v>
      </c>
      <c r="AY137" s="1732">
        <f>IF(YEAR('3 pr-2'!$AK137)=2023,$AP137,0)</f>
        <v>0</v>
      </c>
      <c r="AZ137" s="130"/>
      <c r="BA137" s="470"/>
      <c r="BB137" s="1699"/>
      <c r="BC137" s="1699"/>
      <c r="BD137" s="1699"/>
      <c r="BE137" s="1699"/>
      <c r="BF137" s="1699"/>
      <c r="BG137" s="1699"/>
      <c r="BH137" s="1699"/>
      <c r="BI137" s="1718"/>
      <c r="BJ137" s="130"/>
      <c r="BK137" s="1501"/>
      <c r="BL137" s="130"/>
      <c r="BM137" s="130"/>
      <c r="BN137" s="130">
        <v>0</v>
      </c>
      <c r="BO137" s="130">
        <v>2</v>
      </c>
      <c r="BP137" s="130"/>
      <c r="BQ137" s="130"/>
      <c r="BR137" s="130"/>
      <c r="BS137" s="130"/>
      <c r="BT137" s="317"/>
      <c r="BU137" s="471"/>
      <c r="BV137" s="1699"/>
      <c r="BW137" s="1699"/>
      <c r="BX137" s="1699"/>
      <c r="BY137" s="1699"/>
      <c r="BZ137" s="1699"/>
      <c r="CA137" s="1699"/>
      <c r="CB137" s="1699"/>
      <c r="CC137" s="1718">
        <f t="shared" si="563"/>
        <v>0</v>
      </c>
      <c r="CD137" s="130"/>
      <c r="CE137" s="130"/>
      <c r="CF137" s="130"/>
      <c r="CG137" s="130">
        <f>IF(YEAR('3 pr-2'!$AK137)=2017,$CD137,0)</f>
        <v>0</v>
      </c>
      <c r="CH137" s="130">
        <f>IF(YEAR('3 pr-2'!$AK137)=2018,$CD137,0)</f>
        <v>0</v>
      </c>
      <c r="CI137" s="130">
        <f>IF(YEAR('3 pr-2'!$AK137)=2019,$CD137,0)</f>
        <v>0</v>
      </c>
      <c r="CJ137" s="130">
        <f>IF(YEAR('3 pr-2'!$AK137)=2020,$CD137,0)</f>
        <v>0</v>
      </c>
      <c r="CK137" s="130">
        <f>IF(YEAR('3 pr-2'!$AK137)=2021,$CD137,0)</f>
        <v>0</v>
      </c>
      <c r="CL137" s="130">
        <f>IF(YEAR('3 pr-2'!$AK137)=2022,$CD137,0)</f>
        <v>0</v>
      </c>
      <c r="CM137" s="130">
        <f>IF(YEAR('3 pr-2'!$AK137)=2023,$CD137,0)</f>
        <v>0</v>
      </c>
      <c r="CN137" s="317"/>
      <c r="CO137" s="472"/>
      <c r="CP137" s="1699"/>
      <c r="CQ137" s="1699"/>
      <c r="CR137" s="1699"/>
      <c r="CS137" s="1699"/>
      <c r="CT137" s="1699"/>
      <c r="CU137" s="1699"/>
      <c r="CV137" s="1699"/>
      <c r="CW137" s="1718">
        <f t="shared" si="570"/>
        <v>0</v>
      </c>
      <c r="CX137" s="318"/>
      <c r="CY137" s="303"/>
      <c r="CZ137" s="303"/>
      <c r="DA137" s="506">
        <f>IF(YEAR('3 pr-2'!AK137)=2017,CX137,0)</f>
        <v>0</v>
      </c>
      <c r="DB137" s="506">
        <f>IF(YEAR('3 pr-2'!AK137)=2018,CX137,0)</f>
        <v>0</v>
      </c>
      <c r="DC137" s="506">
        <f>IF(YEAR('3 pr-2'!AK137)=2019,CX137,0)</f>
        <v>0</v>
      </c>
      <c r="DD137" s="506">
        <f>IF(YEAR('3 pr-2'!AK137)=2020,CX137,0)</f>
        <v>0</v>
      </c>
      <c r="DE137" s="506">
        <f>IF(YEAR('3 pr-2'!AK137)=2021,CX137,0)</f>
        <v>0</v>
      </c>
      <c r="DF137" s="506">
        <f>IF(YEAR('3 pr-2'!AK137)=2022,CX137,0)</f>
        <v>0</v>
      </c>
      <c r="DG137" s="506">
        <f>IF(YEAR('3 pr-2'!AK137)=2023,CX137,0)</f>
        <v>0</v>
      </c>
      <c r="DH137" s="317"/>
      <c r="DI137" s="472"/>
      <c r="DJ137" s="130"/>
      <c r="DK137" s="130"/>
      <c r="DL137" s="130"/>
      <c r="DM137" s="130"/>
      <c r="DN137" s="130"/>
      <c r="DO137" s="130"/>
      <c r="DP137" s="130"/>
      <c r="DQ137" s="756"/>
      <c r="DR137" s="318"/>
      <c r="DS137" s="303"/>
      <c r="DT137" s="303"/>
      <c r="DU137" s="506"/>
      <c r="DV137" s="506"/>
      <c r="DW137" s="506"/>
      <c r="DX137" s="506"/>
      <c r="DY137" s="506"/>
      <c r="DZ137" s="506"/>
      <c r="EA137" s="506"/>
      <c r="EB137" s="317"/>
      <c r="EC137" s="472"/>
      <c r="ED137" s="303"/>
      <c r="EE137" s="303"/>
      <c r="EF137" s="303"/>
      <c r="EG137" s="506">
        <f>IF(YEAR('3 pr-2'!BP137)=2017,ED137,0)</f>
        <v>0</v>
      </c>
      <c r="EH137" s="506">
        <f>IF(YEAR('3 pr-2'!BP137)=2018,ED137,0)</f>
        <v>0</v>
      </c>
      <c r="EI137" s="506">
        <f>IF(YEAR('3 pr-2'!BP137)=2019,ED137,0)</f>
        <v>0</v>
      </c>
      <c r="EJ137" s="506">
        <f>IF(YEAR('3 pr-2'!BP137)=2020,ED137,0)</f>
        <v>0</v>
      </c>
      <c r="EK137" s="506">
        <f>IF(YEAR('3 pr-2'!BP137)=2021,ED137,0)</f>
        <v>0</v>
      </c>
      <c r="EL137" s="506">
        <f>IF(YEAR('3 pr-2'!BP137)=2022,ED137,0)</f>
        <v>0</v>
      </c>
      <c r="EM137" s="506">
        <f>IF(YEAR('3 pr-2'!BP137)=2023,ED137,0)</f>
        <v>0</v>
      </c>
    </row>
    <row r="138" spans="1:143" ht="64.5" thickTop="1" thickBot="1">
      <c r="A138" s="130" t="str">
        <f>CONCATENATE('3 pr-2'!A138)</f>
        <v>2.1.2.2.3</v>
      </c>
      <c r="B138" s="130" t="str">
        <f>CONCATENATE('3 pr-2'!B138)</f>
        <v>R01-6630-470000-2223</v>
      </c>
      <c r="C138" s="1730" t="str">
        <f>CONCATENATE('ketv. 2'!B137)</f>
        <v>08.4.2-ESFA-R-630-11-0005</v>
      </c>
      <c r="D138" s="11" t="str">
        <f>CONCATENATE('3 pr-2'!D138)</f>
        <v>Sveikos gyvensenos skatinimas Varėnos rajono savivaldybėje</v>
      </c>
      <c r="E138" s="11" t="str">
        <f>CONCATENATE('3 pr-2'!E138)</f>
        <v>Varėnos rajono savivaldybės visuomenės sveikatos biuras</v>
      </c>
      <c r="F138" s="11" t="str">
        <f>CONCATENATE('3 pr-2'!F138)</f>
        <v>Lietuvos Respublikos Sveikatos apsaugos ministerija</v>
      </c>
      <c r="G138" s="11" t="str">
        <f>CONCATENATE('3 pr-2'!G138)</f>
        <v>Varėnos r. sav.</v>
      </c>
      <c r="H138" s="130" t="str">
        <f>CONCATENATE('3 pr-2'!H138)</f>
        <v>08.4.2-ESFA-R-630</v>
      </c>
      <c r="I138" s="130" t="str">
        <f>CONCATENATE('3 pr-2'!I138)</f>
        <v>R</v>
      </c>
      <c r="J138" s="130" t="str">
        <f>CONCATENATE('3 pr-2'!J138)</f>
        <v>-</v>
      </c>
      <c r="K138" s="130" t="str">
        <f>CONCATENATE('3 pr-2'!K138)</f>
        <v>-</v>
      </c>
      <c r="L138" s="304" t="s">
        <v>1180</v>
      </c>
      <c r="M138" s="471" t="s">
        <v>1181</v>
      </c>
      <c r="N138" s="1697"/>
      <c r="O138" s="1697"/>
      <c r="P138" s="1697">
        <v>220</v>
      </c>
      <c r="Q138" s="1697"/>
      <c r="R138" s="1697"/>
      <c r="S138" s="1697"/>
      <c r="T138" s="1697"/>
      <c r="U138" s="1691">
        <f t="shared" si="578"/>
        <v>220</v>
      </c>
      <c r="V138" s="506">
        <f>SUM(Y138:AE138)</f>
        <v>1697</v>
      </c>
      <c r="W138" s="1757">
        <v>1697</v>
      </c>
      <c r="X138" s="1732">
        <f t="shared" si="584"/>
        <v>0</v>
      </c>
      <c r="Y138" s="1732">
        <v>0</v>
      </c>
      <c r="Z138" s="1732">
        <v>454</v>
      </c>
      <c r="AA138" s="1732">
        <v>522</v>
      </c>
      <c r="AB138" s="1732">
        <v>522</v>
      </c>
      <c r="AC138" s="1732">
        <v>199</v>
      </c>
      <c r="AD138" s="1732">
        <v>0</v>
      </c>
      <c r="AE138" s="1732">
        <v>0</v>
      </c>
      <c r="AF138" s="317" t="s">
        <v>1182</v>
      </c>
      <c r="AG138" s="471" t="s">
        <v>1183</v>
      </c>
      <c r="AH138" s="1699"/>
      <c r="AI138" s="1699"/>
      <c r="AJ138" s="1699"/>
      <c r="AK138" s="1699"/>
      <c r="AL138" s="1699"/>
      <c r="AM138" s="1699"/>
      <c r="AN138" s="1699"/>
      <c r="AO138" s="1718">
        <f t="shared" ref="AO138" si="586">SUM(AH138:AN138)</f>
        <v>0</v>
      </c>
      <c r="AP138" s="130">
        <v>1</v>
      </c>
      <c r="AQ138" s="1778">
        <v>1</v>
      </c>
      <c r="AR138" s="1732">
        <f t="shared" ref="AR138" si="587">SUM(AQ138-AP138)</f>
        <v>0</v>
      </c>
      <c r="AS138" s="1732">
        <f>IF(YEAR('3 pr-2'!$AK138)=2017,$AP138,0)</f>
        <v>0</v>
      </c>
      <c r="AT138" s="1732">
        <f>IF(YEAR('3 pr-2'!$AK138)=2018,$AP138,0)</f>
        <v>0</v>
      </c>
      <c r="AU138" s="1732">
        <f>IF(YEAR('3 pr-2'!$AK138)=2019,$AP138,0)</f>
        <v>0</v>
      </c>
      <c r="AV138" s="1732">
        <f>IF(YEAR('3 pr-2'!$AK138)=2020,$AP138,0)</f>
        <v>0</v>
      </c>
      <c r="AW138" s="1732">
        <f>IF(YEAR('3 pr-2'!$AK138)=2021,$AP138,0)</f>
        <v>1</v>
      </c>
      <c r="AX138" s="1732">
        <f>IF(YEAR('3 pr-2'!$AK138)=2022,$AP138,0)</f>
        <v>0</v>
      </c>
      <c r="AY138" s="1732">
        <f>IF(YEAR('3 pr-2'!$AK138)=2023,$AP138,0)</f>
        <v>0</v>
      </c>
      <c r="AZ138" s="130"/>
      <c r="BA138" s="470"/>
      <c r="BB138" s="1699"/>
      <c r="BC138" s="1699"/>
      <c r="BD138" s="1699"/>
      <c r="BE138" s="1699"/>
      <c r="BF138" s="1699"/>
      <c r="BG138" s="1699"/>
      <c r="BH138" s="1699"/>
      <c r="BI138" s="1718">
        <f t="shared" si="549"/>
        <v>0</v>
      </c>
      <c r="BJ138" s="130"/>
      <c r="BK138" s="1501"/>
      <c r="BL138" s="130"/>
      <c r="BM138" s="130"/>
      <c r="BN138" s="130"/>
      <c r="BO138" s="130"/>
      <c r="BP138" s="130"/>
      <c r="BQ138" s="130"/>
      <c r="BR138" s="130"/>
      <c r="BS138" s="130"/>
      <c r="BT138" s="317"/>
      <c r="BU138" s="471"/>
      <c r="BV138" s="1699"/>
      <c r="BW138" s="1699"/>
      <c r="BX138" s="1699"/>
      <c r="BY138" s="1699"/>
      <c r="BZ138" s="1699"/>
      <c r="CA138" s="1699"/>
      <c r="CB138" s="1699"/>
      <c r="CC138" s="1718">
        <f t="shared" si="563"/>
        <v>0</v>
      </c>
      <c r="CD138" s="130"/>
      <c r="CE138" s="130"/>
      <c r="CF138" s="130"/>
      <c r="CG138" s="130">
        <f>IF(YEAR('3 pr-2'!$AK138)=2017,$CD138,0)</f>
        <v>0</v>
      </c>
      <c r="CH138" s="130">
        <f>IF(YEAR('3 pr-2'!$AK138)=2018,$CD138,0)</f>
        <v>0</v>
      </c>
      <c r="CI138" s="130">
        <f>IF(YEAR('3 pr-2'!$AK138)=2019,$CD138,0)</f>
        <v>0</v>
      </c>
      <c r="CJ138" s="130">
        <f>IF(YEAR('3 pr-2'!$AK138)=2020,$CD138,0)</f>
        <v>0</v>
      </c>
      <c r="CK138" s="130">
        <f>IF(YEAR('3 pr-2'!$AK138)=2021,$CD138,0)</f>
        <v>0</v>
      </c>
      <c r="CL138" s="130">
        <f>IF(YEAR('3 pr-2'!$AK138)=2022,$CD138,0)</f>
        <v>0</v>
      </c>
      <c r="CM138" s="130">
        <f>IF(YEAR('3 pr-2'!$AK138)=2023,$CD138,0)</f>
        <v>0</v>
      </c>
      <c r="CN138" s="317"/>
      <c r="CO138" s="472"/>
      <c r="CP138" s="1699"/>
      <c r="CQ138" s="1699"/>
      <c r="CR138" s="1699"/>
      <c r="CS138" s="1699"/>
      <c r="CT138" s="1699"/>
      <c r="CU138" s="1699"/>
      <c r="CV138" s="1699"/>
      <c r="CW138" s="1718">
        <f t="shared" si="570"/>
        <v>0</v>
      </c>
      <c r="CX138" s="318"/>
      <c r="CY138" s="303"/>
      <c r="CZ138" s="303"/>
      <c r="DA138" s="506">
        <f>IF(YEAR('3 pr-2'!AK138)=2017,CX138,0)</f>
        <v>0</v>
      </c>
      <c r="DB138" s="506">
        <f>IF(YEAR('3 pr-2'!AK138)=2018,CX138,0)</f>
        <v>0</v>
      </c>
      <c r="DC138" s="506">
        <f>IF(YEAR('3 pr-2'!AK138)=2019,CX138,0)</f>
        <v>0</v>
      </c>
      <c r="DD138" s="506">
        <f>IF(YEAR('3 pr-2'!AK138)=2020,CX138,0)</f>
        <v>0</v>
      </c>
      <c r="DE138" s="506">
        <f>IF(YEAR('3 pr-2'!AK138)=2021,CX138,0)</f>
        <v>0</v>
      </c>
      <c r="DF138" s="506">
        <f>IF(YEAR('3 pr-2'!AK138)=2022,CX138,0)</f>
        <v>0</v>
      </c>
      <c r="DG138" s="506">
        <f>IF(YEAR('3 pr-2'!AK138)=2023,CX138,0)</f>
        <v>0</v>
      </c>
      <c r="DH138" s="317"/>
      <c r="DI138" s="472"/>
      <c r="DJ138" s="130"/>
      <c r="DK138" s="130"/>
      <c r="DL138" s="130"/>
      <c r="DM138" s="130"/>
      <c r="DN138" s="130"/>
      <c r="DO138" s="130"/>
      <c r="DP138" s="130"/>
      <c r="DQ138" s="756"/>
      <c r="DR138" s="318"/>
      <c r="DS138" s="303"/>
      <c r="DT138" s="303"/>
      <c r="DU138" s="506"/>
      <c r="DV138" s="506"/>
      <c r="DW138" s="506"/>
      <c r="DX138" s="506"/>
      <c r="DY138" s="506"/>
      <c r="DZ138" s="506"/>
      <c r="EA138" s="506"/>
      <c r="EB138" s="317"/>
      <c r="EC138" s="472"/>
      <c r="ED138" s="303"/>
      <c r="EE138" s="303"/>
      <c r="EF138" s="303"/>
      <c r="EG138" s="506">
        <f>IF(YEAR('3 pr-2'!BP138)=2017,ED138,0)</f>
        <v>0</v>
      </c>
      <c r="EH138" s="506">
        <f>IF(YEAR('3 pr-2'!BP138)=2018,ED138,0)</f>
        <v>0</v>
      </c>
      <c r="EI138" s="506">
        <f>IF(YEAR('3 pr-2'!BP138)=2019,ED138,0)</f>
        <v>0</v>
      </c>
      <c r="EJ138" s="506">
        <f>IF(YEAR('3 pr-2'!BP138)=2020,ED138,0)</f>
        <v>0</v>
      </c>
      <c r="EK138" s="506">
        <f>IF(YEAR('3 pr-2'!BP138)=2021,ED138,0)</f>
        <v>0</v>
      </c>
      <c r="EL138" s="506">
        <f>IF(YEAR('3 pr-2'!BP138)=2022,ED138,0)</f>
        <v>0</v>
      </c>
      <c r="EM138" s="506">
        <f>IF(YEAR('3 pr-2'!BP138)=2023,ED138,0)</f>
        <v>0</v>
      </c>
    </row>
    <row r="139" spans="1:143" ht="64.5" thickTop="1" thickBot="1">
      <c r="A139" s="130" t="str">
        <f>CONCATENATE('3 pr-2'!A139)</f>
        <v>2.1.2.2.4.</v>
      </c>
      <c r="B139" s="130" t="str">
        <f>CONCATENATE('3 pr-2'!B139)</f>
        <v>R01-6630-470000-2224</v>
      </c>
      <c r="C139" s="1730" t="str">
        <f>CONCATENATE('ketv. 2'!B138)</f>
        <v>08.4.2-ESFA-R-630-11-0003</v>
      </c>
      <c r="D139" s="11" t="str">
        <f>CONCATENATE('3 pr-2'!D139)</f>
        <v>Sveika bendruomenė – stipri visuomenė</v>
      </c>
      <c r="E139" s="11" t="str">
        <f>CONCATENATE('3 pr-2'!E139)</f>
        <v>Druskininkų savivaldybės visuomenės sveikatos biuras</v>
      </c>
      <c r="F139" s="11" t="str">
        <f>CONCATENATE('3 pr-2'!F139)</f>
        <v>Lietuvos Respublikos Sveikatos apsaugos ministerija</v>
      </c>
      <c r="G139" s="11" t="str">
        <f>CONCATENATE('3 pr-2'!G139)</f>
        <v>Druskininkų sav.</v>
      </c>
      <c r="H139" s="130" t="str">
        <f>CONCATENATE('3 pr-2'!H139)</f>
        <v>08.4.2-ESFA-R-630</v>
      </c>
      <c r="I139" s="130" t="str">
        <f>CONCATENATE('3 pr-2'!I139)</f>
        <v>R</v>
      </c>
      <c r="J139" s="130" t="str">
        <f>CONCATENATE('3 pr-2'!J139)</f>
        <v>-</v>
      </c>
      <c r="K139" s="130" t="str">
        <f>CONCATENATE('3 pr-2'!K139)</f>
        <v>-</v>
      </c>
      <c r="L139" s="304" t="s">
        <v>1180</v>
      </c>
      <c r="M139" s="471" t="s">
        <v>1181</v>
      </c>
      <c r="N139" s="1697"/>
      <c r="O139" s="1697"/>
      <c r="P139" s="1697">
        <v>313</v>
      </c>
      <c r="Q139" s="1697"/>
      <c r="R139" s="1697"/>
      <c r="S139" s="1697"/>
      <c r="T139" s="1697"/>
      <c r="U139" s="1691">
        <f t="shared" si="578"/>
        <v>313</v>
      </c>
      <c r="V139" s="506">
        <v>1700</v>
      </c>
      <c r="W139" s="1757">
        <v>1700</v>
      </c>
      <c r="X139" s="1732">
        <f t="shared" si="584"/>
        <v>0</v>
      </c>
      <c r="Y139" s="1732">
        <v>0</v>
      </c>
      <c r="Z139" s="1759">
        <v>455</v>
      </c>
      <c r="AA139" s="1759">
        <v>415</v>
      </c>
      <c r="AB139" s="1759">
        <v>415</v>
      </c>
      <c r="AC139" s="1759">
        <v>415</v>
      </c>
      <c r="AD139" s="1732">
        <v>0</v>
      </c>
      <c r="AE139" s="1732">
        <v>0</v>
      </c>
      <c r="AF139" s="317"/>
      <c r="AG139" s="471"/>
      <c r="AH139" s="1699"/>
      <c r="AI139" s="1699"/>
      <c r="AJ139" s="1699"/>
      <c r="AK139" s="1699"/>
      <c r="AL139" s="1699"/>
      <c r="AM139" s="1699"/>
      <c r="AN139" s="1699"/>
      <c r="AO139" s="1718">
        <f t="shared" si="571"/>
        <v>0</v>
      </c>
      <c r="AP139" s="130"/>
      <c r="AQ139" s="1778"/>
      <c r="AR139" s="1732"/>
      <c r="AS139" s="1732">
        <f>IF(YEAR('3 pr-2'!$AK139)=2017,$AP139,0)</f>
        <v>0</v>
      </c>
      <c r="AT139" s="1732">
        <f>IF(YEAR('3 pr-2'!$AK139)=2018,$AP139,0)</f>
        <v>0</v>
      </c>
      <c r="AU139" s="1732">
        <f>IF(YEAR('3 pr-2'!$AK139)=2019,$AP139,0)</f>
        <v>0</v>
      </c>
      <c r="AV139" s="1732">
        <f>IF(YEAR('3 pr-2'!$AK139)=2020,$AP139,0)</f>
        <v>0</v>
      </c>
      <c r="AW139" s="1732">
        <f>IF(YEAR('3 pr-2'!$AK139)=2021,$AP139,0)</f>
        <v>0</v>
      </c>
      <c r="AX139" s="1732">
        <f>IF(YEAR('3 pr-2'!$AK139)=2022,$AP139,0)</f>
        <v>0</v>
      </c>
      <c r="AY139" s="1732">
        <f>IF(YEAR('3 pr-2'!$AK139)=2023,$AP139,0)</f>
        <v>0</v>
      </c>
      <c r="AZ139" s="130"/>
      <c r="BA139" s="470"/>
      <c r="BB139" s="1699"/>
      <c r="BC139" s="1699"/>
      <c r="BD139" s="1699"/>
      <c r="BE139" s="1699"/>
      <c r="BF139" s="1699"/>
      <c r="BG139" s="1699"/>
      <c r="BH139" s="1699"/>
      <c r="BI139" s="1718">
        <f t="shared" si="549"/>
        <v>0</v>
      </c>
      <c r="BJ139" s="130"/>
      <c r="BK139" s="1501"/>
      <c r="BL139" s="130"/>
      <c r="BM139" s="130"/>
      <c r="BN139" s="130"/>
      <c r="BO139" s="130"/>
      <c r="BP139" s="130"/>
      <c r="BQ139" s="130"/>
      <c r="BR139" s="130"/>
      <c r="BS139" s="130"/>
      <c r="BT139" s="317"/>
      <c r="BU139" s="471"/>
      <c r="BV139" s="1699"/>
      <c r="BW139" s="1699"/>
      <c r="BX139" s="1699"/>
      <c r="BY139" s="1699"/>
      <c r="BZ139" s="1699"/>
      <c r="CA139" s="1699"/>
      <c r="CB139" s="1699"/>
      <c r="CC139" s="1718">
        <f t="shared" si="563"/>
        <v>0</v>
      </c>
      <c r="CD139" s="130"/>
      <c r="CE139" s="130"/>
      <c r="CF139" s="130"/>
      <c r="CG139" s="130">
        <f>IF(YEAR('3 pr-2'!$AK139)=2017,$CD139,0)</f>
        <v>0</v>
      </c>
      <c r="CH139" s="130">
        <f>IF(YEAR('3 pr-2'!$AK139)=2018,$CD139,0)</f>
        <v>0</v>
      </c>
      <c r="CI139" s="130">
        <f>IF(YEAR('3 pr-2'!$AK139)=2019,$CD139,0)</f>
        <v>0</v>
      </c>
      <c r="CJ139" s="130">
        <f>IF(YEAR('3 pr-2'!$AK139)=2020,$CD139,0)</f>
        <v>0</v>
      </c>
      <c r="CK139" s="130">
        <f>IF(YEAR('3 pr-2'!$AK139)=2021,$CD139,0)</f>
        <v>0</v>
      </c>
      <c r="CL139" s="130">
        <f>IF(YEAR('3 pr-2'!$AK139)=2022,$CD139,0)</f>
        <v>0</v>
      </c>
      <c r="CM139" s="130">
        <f>IF(YEAR('3 pr-2'!$AK139)=2023,$CD139,0)</f>
        <v>0</v>
      </c>
      <c r="CN139" s="317"/>
      <c r="CO139" s="472"/>
      <c r="CP139" s="1699"/>
      <c r="CQ139" s="1699"/>
      <c r="CR139" s="1699"/>
      <c r="CS139" s="1699"/>
      <c r="CT139" s="1699"/>
      <c r="CU139" s="1699"/>
      <c r="CV139" s="1699"/>
      <c r="CW139" s="1718">
        <f t="shared" si="570"/>
        <v>0</v>
      </c>
      <c r="CX139" s="318"/>
      <c r="CY139" s="303"/>
      <c r="CZ139" s="303"/>
      <c r="DA139" s="506">
        <f>IF(YEAR('3 pr-2'!AK139)=2017,CX139,0)</f>
        <v>0</v>
      </c>
      <c r="DB139" s="506">
        <f>IF(YEAR('3 pr-2'!AK139)=2018,CX139,0)</f>
        <v>0</v>
      </c>
      <c r="DC139" s="506">
        <f>IF(YEAR('3 pr-2'!AK139)=2019,CX139,0)</f>
        <v>0</v>
      </c>
      <c r="DD139" s="506">
        <f>IF(YEAR('3 pr-2'!AK139)=2020,CX139,0)</f>
        <v>0</v>
      </c>
      <c r="DE139" s="506">
        <f>IF(YEAR('3 pr-2'!AK139)=2021,CX139,0)</f>
        <v>0</v>
      </c>
      <c r="DF139" s="506">
        <f>IF(YEAR('3 pr-2'!AK139)=2022,CX139,0)</f>
        <v>0</v>
      </c>
      <c r="DG139" s="506">
        <f>IF(YEAR('3 pr-2'!AK139)=2023,CX139,0)</f>
        <v>0</v>
      </c>
      <c r="DH139" s="317"/>
      <c r="DI139" s="472"/>
      <c r="DJ139" s="130"/>
      <c r="DK139" s="130"/>
      <c r="DL139" s="130"/>
      <c r="DM139" s="130"/>
      <c r="DN139" s="130"/>
      <c r="DO139" s="130"/>
      <c r="DP139" s="130"/>
      <c r="DQ139" s="756"/>
      <c r="DR139" s="318"/>
      <c r="DS139" s="303"/>
      <c r="DT139" s="303"/>
      <c r="DU139" s="506"/>
      <c r="DV139" s="506"/>
      <c r="DW139" s="506"/>
      <c r="DX139" s="506"/>
      <c r="DY139" s="506"/>
      <c r="DZ139" s="506"/>
      <c r="EA139" s="506"/>
      <c r="EB139" s="317"/>
      <c r="EC139" s="472"/>
      <c r="ED139" s="303"/>
      <c r="EE139" s="303"/>
      <c r="EF139" s="303"/>
      <c r="EG139" s="506">
        <f>IF(YEAR('3 pr-2'!BP139)=2017,ED139,0)</f>
        <v>0</v>
      </c>
      <c r="EH139" s="506">
        <f>IF(YEAR('3 pr-2'!BP139)=2018,ED139,0)</f>
        <v>0</v>
      </c>
      <c r="EI139" s="506">
        <f>IF(YEAR('3 pr-2'!BP139)=2019,ED139,0)</f>
        <v>0</v>
      </c>
      <c r="EJ139" s="506">
        <f>IF(YEAR('3 pr-2'!BP139)=2020,ED139,0)</f>
        <v>0</v>
      </c>
      <c r="EK139" s="506">
        <f>IF(YEAR('3 pr-2'!BP139)=2021,ED139,0)</f>
        <v>0</v>
      </c>
      <c r="EL139" s="506">
        <f>IF(YEAR('3 pr-2'!BP139)=2022,ED139,0)</f>
        <v>0</v>
      </c>
      <c r="EM139" s="506">
        <f>IF(YEAR('3 pr-2'!BP139)=2023,ED139,0)</f>
        <v>0</v>
      </c>
    </row>
    <row r="140" spans="1:143" ht="64.5" thickTop="1" thickBot="1">
      <c r="A140" s="130" t="str">
        <f>CONCATENATE('3 pr-2'!A140)</f>
        <v>2.1.2.2.5</v>
      </c>
      <c r="B140" s="130" t="str">
        <f>CONCATENATE('3 pr-2'!B140)</f>
        <v>R01-6630-470000-2225</v>
      </c>
      <c r="C140" s="1730" t="str">
        <f>CONCATENATE('ketv. 2'!B139)</f>
        <v>08.4.2-ESFA-R-630-11-0002</v>
      </c>
      <c r="D140" s="11" t="str">
        <f>CONCATENATE('3 pr-2'!D140)</f>
        <v>Sveikos gyvensenos skatinimas Lazdijų rajono savivaldybėje</v>
      </c>
      <c r="E140" s="11" t="str">
        <f>CONCATENATE('3 pr-2'!E140)</f>
        <v>Lazdijų rajono savivaldybės visuomenės sveikatos biuras</v>
      </c>
      <c r="F140" s="11" t="str">
        <f>CONCATENATE('3 pr-2'!F140)</f>
        <v>Lietuvos Respublikos Sveikatos apsaugos ministerija</v>
      </c>
      <c r="G140" s="11" t="str">
        <f>CONCATENATE('3 pr-2'!G140)</f>
        <v>Lazdijų r. sav.</v>
      </c>
      <c r="H140" s="130" t="str">
        <f>CONCATENATE('3 pr-2'!H140)</f>
        <v>08.4.2-ESFA-R-630</v>
      </c>
      <c r="I140" s="130" t="str">
        <f>CONCATENATE('3 pr-2'!I140)</f>
        <v>R</v>
      </c>
      <c r="J140" s="130" t="str">
        <f>CONCATENATE('3 pr-2'!J140)</f>
        <v>-</v>
      </c>
      <c r="K140" s="130" t="str">
        <f>CONCATENATE('3 pr-2'!K140)</f>
        <v>-</v>
      </c>
      <c r="L140" s="304" t="s">
        <v>1180</v>
      </c>
      <c r="M140" s="471" t="s">
        <v>1181</v>
      </c>
      <c r="N140" s="1697"/>
      <c r="O140" s="1697"/>
      <c r="P140" s="1697">
        <v>123</v>
      </c>
      <c r="Q140" s="1697"/>
      <c r="R140" s="1697"/>
      <c r="S140" s="1697"/>
      <c r="T140" s="1697"/>
      <c r="U140" s="1691">
        <f t="shared" si="578"/>
        <v>123</v>
      </c>
      <c r="V140" s="506">
        <f>SUM(Y140:AE140)</f>
        <v>1697</v>
      </c>
      <c r="W140" s="1757">
        <v>1697</v>
      </c>
      <c r="X140" s="1732">
        <f t="shared" si="584"/>
        <v>0</v>
      </c>
      <c r="Y140" s="1732">
        <v>0</v>
      </c>
      <c r="Z140" s="1732">
        <v>454</v>
      </c>
      <c r="AA140" s="1732">
        <v>420</v>
      </c>
      <c r="AB140" s="1732">
        <v>423</v>
      </c>
      <c r="AC140" s="1732">
        <v>400</v>
      </c>
      <c r="AD140" s="1732">
        <v>0</v>
      </c>
      <c r="AE140" s="1732">
        <v>0</v>
      </c>
      <c r="AF140" s="317"/>
      <c r="AG140" s="471"/>
      <c r="AH140" s="1699"/>
      <c r="AI140" s="1699"/>
      <c r="AJ140" s="1699"/>
      <c r="AK140" s="1699"/>
      <c r="AL140" s="1699"/>
      <c r="AM140" s="1699"/>
      <c r="AN140" s="1699"/>
      <c r="AO140" s="1718">
        <f t="shared" si="571"/>
        <v>0</v>
      </c>
      <c r="AP140" s="130"/>
      <c r="AQ140" s="1778"/>
      <c r="AR140" s="1732"/>
      <c r="AS140" s="1732">
        <f>IF(YEAR('3 pr-2'!$AK140)=2017,$AP140,0)</f>
        <v>0</v>
      </c>
      <c r="AT140" s="1732">
        <f>IF(YEAR('3 pr-2'!$AK140)=2018,$AP140,0)</f>
        <v>0</v>
      </c>
      <c r="AU140" s="1732">
        <f>IF(YEAR('3 pr-2'!$AK140)=2019,$AP140,0)</f>
        <v>0</v>
      </c>
      <c r="AV140" s="1732">
        <f>IF(YEAR('3 pr-2'!$AK140)=2020,$AP140,0)</f>
        <v>0</v>
      </c>
      <c r="AW140" s="1732">
        <f>IF(YEAR('3 pr-2'!$AK140)=2021,$AP140,0)</f>
        <v>0</v>
      </c>
      <c r="AX140" s="1732">
        <f>IF(YEAR('3 pr-2'!$AK140)=2022,$AP140,0)</f>
        <v>0</v>
      </c>
      <c r="AY140" s="1732">
        <f>IF(YEAR('3 pr-2'!$AK140)=2023,$AP140,0)</f>
        <v>0</v>
      </c>
      <c r="AZ140" s="130"/>
      <c r="BA140" s="470"/>
      <c r="BB140" s="1699"/>
      <c r="BC140" s="1699"/>
      <c r="BD140" s="1699"/>
      <c r="BE140" s="1699"/>
      <c r="BF140" s="1699"/>
      <c r="BG140" s="1699"/>
      <c r="BH140" s="1699"/>
      <c r="BI140" s="1718">
        <f t="shared" si="549"/>
        <v>0</v>
      </c>
      <c r="BJ140" s="130"/>
      <c r="BK140" s="1501"/>
      <c r="BL140" s="130"/>
      <c r="BM140" s="130"/>
      <c r="BN140" s="130"/>
      <c r="BO140" s="130"/>
      <c r="BP140" s="130"/>
      <c r="BQ140" s="130"/>
      <c r="BR140" s="130"/>
      <c r="BS140" s="130"/>
      <c r="BT140" s="317"/>
      <c r="BU140" s="471"/>
      <c r="BV140" s="1699"/>
      <c r="BW140" s="1699"/>
      <c r="BX140" s="1699"/>
      <c r="BY140" s="1699"/>
      <c r="BZ140" s="1699"/>
      <c r="CA140" s="1699"/>
      <c r="CB140" s="1699"/>
      <c r="CC140" s="1718">
        <f t="shared" si="563"/>
        <v>0</v>
      </c>
      <c r="CD140" s="130"/>
      <c r="CE140" s="130"/>
      <c r="CF140" s="130"/>
      <c r="CG140" s="130">
        <f>IF(YEAR('3 pr-2'!$AK140)=2017,$CD140,0)</f>
        <v>0</v>
      </c>
      <c r="CH140" s="130">
        <f>IF(YEAR('3 pr-2'!$AK140)=2018,$CD140,0)</f>
        <v>0</v>
      </c>
      <c r="CI140" s="130">
        <f>IF(YEAR('3 pr-2'!$AK140)=2019,$CD140,0)</f>
        <v>0</v>
      </c>
      <c r="CJ140" s="130">
        <f>IF(YEAR('3 pr-2'!$AK140)=2020,$CD140,0)</f>
        <v>0</v>
      </c>
      <c r="CK140" s="130">
        <f>IF(YEAR('3 pr-2'!$AK140)=2021,$CD140,0)</f>
        <v>0</v>
      </c>
      <c r="CL140" s="130">
        <f>IF(YEAR('3 pr-2'!$AK140)=2022,$CD140,0)</f>
        <v>0</v>
      </c>
      <c r="CM140" s="130">
        <f>IF(YEAR('3 pr-2'!$AK140)=2023,$CD140,0)</f>
        <v>0</v>
      </c>
      <c r="CN140" s="317"/>
      <c r="CO140" s="472"/>
      <c r="CP140" s="1699"/>
      <c r="CQ140" s="1699"/>
      <c r="CR140" s="1699"/>
      <c r="CS140" s="1699"/>
      <c r="CT140" s="1699"/>
      <c r="CU140" s="1699"/>
      <c r="CV140" s="1699"/>
      <c r="CW140" s="1718">
        <f t="shared" si="570"/>
        <v>0</v>
      </c>
      <c r="CX140" s="318"/>
      <c r="CY140" s="303"/>
      <c r="CZ140" s="303"/>
      <c r="DA140" s="506">
        <f>IF(YEAR('3 pr-2'!AK140)=2017,CX140,0)</f>
        <v>0</v>
      </c>
      <c r="DB140" s="506">
        <f>IF(YEAR('3 pr-2'!AK140)=2018,CX140,0)</f>
        <v>0</v>
      </c>
      <c r="DC140" s="506">
        <f>IF(YEAR('3 pr-2'!AK140)=2019,CX140,0)</f>
        <v>0</v>
      </c>
      <c r="DD140" s="506">
        <f>IF(YEAR('3 pr-2'!AK140)=2020,CX140,0)</f>
        <v>0</v>
      </c>
      <c r="DE140" s="506">
        <f>IF(YEAR('3 pr-2'!AK140)=2021,CX140,0)</f>
        <v>0</v>
      </c>
      <c r="DF140" s="506">
        <f>IF(YEAR('3 pr-2'!AK140)=2022,CX140,0)</f>
        <v>0</v>
      </c>
      <c r="DG140" s="506">
        <f>IF(YEAR('3 pr-2'!AK140)=2023,CX140,0)</f>
        <v>0</v>
      </c>
      <c r="DH140" s="317"/>
      <c r="DI140" s="472"/>
      <c r="DJ140" s="130"/>
      <c r="DK140" s="130"/>
      <c r="DL140" s="130"/>
      <c r="DM140" s="130"/>
      <c r="DN140" s="130"/>
      <c r="DO140" s="130"/>
      <c r="DP140" s="130"/>
      <c r="DQ140" s="756"/>
      <c r="DR140" s="318"/>
      <c r="DS140" s="303"/>
      <c r="DT140" s="303"/>
      <c r="DU140" s="506"/>
      <c r="DV140" s="506"/>
      <c r="DW140" s="506"/>
      <c r="DX140" s="506"/>
      <c r="DY140" s="506"/>
      <c r="DZ140" s="506"/>
      <c r="EA140" s="506"/>
      <c r="EB140" s="317"/>
      <c r="EC140" s="472"/>
      <c r="ED140" s="303"/>
      <c r="EE140" s="303"/>
      <c r="EF140" s="303"/>
      <c r="EG140" s="506">
        <f>IF(YEAR('3 pr-2'!BP140)=2017,ED140,0)</f>
        <v>0</v>
      </c>
      <c r="EH140" s="506">
        <f>IF(YEAR('3 pr-2'!BP140)=2018,ED140,0)</f>
        <v>0</v>
      </c>
      <c r="EI140" s="506">
        <f>IF(YEAR('3 pr-2'!BP140)=2019,ED140,0)</f>
        <v>0</v>
      </c>
      <c r="EJ140" s="506">
        <f>IF(YEAR('3 pr-2'!BP140)=2020,ED140,0)</f>
        <v>0</v>
      </c>
      <c r="EK140" s="506">
        <f>IF(YEAR('3 pr-2'!BP140)=2021,ED140,0)</f>
        <v>0</v>
      </c>
      <c r="EL140" s="506">
        <f>IF(YEAR('3 pr-2'!BP140)=2022,ED140,0)</f>
        <v>0</v>
      </c>
      <c r="EM140" s="506">
        <f>IF(YEAR('3 pr-2'!BP140)=2023,ED140,0)</f>
        <v>0</v>
      </c>
    </row>
    <row r="141" spans="1:143" ht="46.5" customHeight="1" thickBot="1">
      <c r="A141" s="773" t="str">
        <f>CONCATENATE('3 pr-2'!A141)</f>
        <v>2.1.2.3</v>
      </c>
      <c r="B141" s="1972" t="str">
        <f>CONCATENATE('3 pr-2'!B141)</f>
        <v>Priemonė:
Priemonių, gerinančių ambulatorinių sveikatos priežiūros paslaugų prieinamumą tuberkulioze sergantiems pacientams, įgyvendinimas</v>
      </c>
      <c r="C141" s="1894"/>
      <c r="D141" s="1894"/>
      <c r="E141" s="1894"/>
      <c r="F141" s="1894"/>
      <c r="G141" s="1894"/>
      <c r="H141" s="1894"/>
      <c r="I141" s="1894"/>
      <c r="J141" s="1894"/>
      <c r="K141" s="1895"/>
      <c r="L141" s="774"/>
      <c r="M141" s="474"/>
      <c r="N141" s="1710">
        <f>SUM(N142:N152)</f>
        <v>0</v>
      </c>
      <c r="O141" s="1710">
        <f t="shared" ref="O141:T141" si="588">SUM(O142:O152)</f>
        <v>3</v>
      </c>
      <c r="P141" s="1710">
        <f t="shared" si="588"/>
        <v>1</v>
      </c>
      <c r="Q141" s="1710">
        <f t="shared" si="588"/>
        <v>0</v>
      </c>
      <c r="R141" s="1710">
        <f t="shared" si="588"/>
        <v>0</v>
      </c>
      <c r="S141" s="1710">
        <f t="shared" si="588"/>
        <v>0</v>
      </c>
      <c r="T141" s="1710">
        <f t="shared" si="588"/>
        <v>0</v>
      </c>
      <c r="U141" s="1711">
        <f t="shared" ref="U141:U146" si="589">SUM(N141:T141)</f>
        <v>4</v>
      </c>
      <c r="V141" s="739"/>
      <c r="W141" s="1770"/>
      <c r="X141" s="1771"/>
      <c r="Y141" s="1772">
        <f>SUM(Y142:Y146)</f>
        <v>0</v>
      </c>
      <c r="Z141" s="1772">
        <f t="shared" ref="Z141:AE141" si="590">SUM(Z142:Z146)</f>
        <v>0</v>
      </c>
      <c r="AA141" s="1772">
        <f t="shared" si="590"/>
        <v>0</v>
      </c>
      <c r="AB141" s="1772">
        <f t="shared" si="590"/>
        <v>0</v>
      </c>
      <c r="AC141" s="1772">
        <f t="shared" si="590"/>
        <v>146</v>
      </c>
      <c r="AD141" s="1772">
        <f t="shared" si="590"/>
        <v>34</v>
      </c>
      <c r="AE141" s="1772">
        <f t="shared" si="590"/>
        <v>0</v>
      </c>
      <c r="AF141" s="775"/>
      <c r="AG141" s="752"/>
      <c r="AH141" s="1710"/>
      <c r="AI141" s="1710"/>
      <c r="AJ141" s="1710"/>
      <c r="AK141" s="1710"/>
      <c r="AL141" s="1710"/>
      <c r="AM141" s="1710"/>
      <c r="AN141" s="1710"/>
      <c r="AO141" s="1719"/>
      <c r="AP141" s="739"/>
      <c r="AQ141" s="1772"/>
      <c r="AR141" s="1772"/>
      <c r="AS141" s="1772">
        <f t="shared" ref="AS141:AY141" si="591">SUM(AS142:AS152)</f>
        <v>0</v>
      </c>
      <c r="AT141" s="1772">
        <f t="shared" si="591"/>
        <v>0</v>
      </c>
      <c r="AU141" s="1772">
        <f t="shared" si="591"/>
        <v>0</v>
      </c>
      <c r="AV141" s="1772">
        <f t="shared" si="591"/>
        <v>0</v>
      </c>
      <c r="AW141" s="1772">
        <f t="shared" si="591"/>
        <v>0</v>
      </c>
      <c r="AX141" s="1772">
        <f t="shared" si="591"/>
        <v>0</v>
      </c>
      <c r="AY141" s="1772">
        <f t="shared" si="591"/>
        <v>0</v>
      </c>
      <c r="AZ141" s="739"/>
      <c r="BA141" s="752"/>
      <c r="BB141" s="1710"/>
      <c r="BC141" s="1710"/>
      <c r="BD141" s="1710"/>
      <c r="BE141" s="1710"/>
      <c r="BF141" s="1710"/>
      <c r="BG141" s="1710"/>
      <c r="BH141" s="1710"/>
      <c r="BI141" s="1719"/>
      <c r="BJ141" s="739"/>
      <c r="BK141" s="506"/>
      <c r="BL141" s="506"/>
      <c r="BM141" s="506"/>
      <c r="BN141" s="506"/>
      <c r="BO141" s="506"/>
      <c r="BP141" s="506"/>
      <c r="BQ141" s="506"/>
      <c r="BR141" s="506"/>
      <c r="BS141" s="506"/>
      <c r="BT141" s="506"/>
      <c r="BU141" s="472"/>
      <c r="BV141" s="1710"/>
      <c r="BW141" s="1710"/>
      <c r="BX141" s="1710"/>
      <c r="BY141" s="1710"/>
      <c r="BZ141" s="1710"/>
      <c r="CA141" s="1710"/>
      <c r="CB141" s="1710"/>
      <c r="CC141" s="1719"/>
      <c r="CD141" s="506"/>
      <c r="CE141" s="506"/>
      <c r="CF141" s="506"/>
      <c r="CG141" s="506">
        <f t="shared" ref="CG141:CM141" si="592">SUM(CG142:CG152)</f>
        <v>0</v>
      </c>
      <c r="CH141" s="506">
        <f t="shared" si="592"/>
        <v>0</v>
      </c>
      <c r="CI141" s="506">
        <f t="shared" si="592"/>
        <v>0</v>
      </c>
      <c r="CJ141" s="506">
        <f t="shared" si="592"/>
        <v>0</v>
      </c>
      <c r="CK141" s="506">
        <f t="shared" si="592"/>
        <v>0</v>
      </c>
      <c r="CL141" s="506">
        <f t="shared" si="592"/>
        <v>0</v>
      </c>
      <c r="CM141" s="506">
        <f t="shared" si="592"/>
        <v>0</v>
      </c>
      <c r="CN141" s="506"/>
      <c r="CO141" s="472"/>
      <c r="CP141" s="1710">
        <f>SUM(CP142:CP152)</f>
        <v>0</v>
      </c>
      <c r="CQ141" s="1710">
        <f t="shared" ref="CQ141:CV141" si="593">SUM(CQ142:CQ152)</f>
        <v>0</v>
      </c>
      <c r="CR141" s="1710">
        <f t="shared" si="593"/>
        <v>0</v>
      </c>
      <c r="CS141" s="1710">
        <f t="shared" si="593"/>
        <v>0</v>
      </c>
      <c r="CT141" s="1710">
        <f t="shared" si="593"/>
        <v>0</v>
      </c>
      <c r="CU141" s="1710">
        <f t="shared" si="593"/>
        <v>0</v>
      </c>
      <c r="CV141" s="1710">
        <f t="shared" si="593"/>
        <v>0</v>
      </c>
      <c r="CW141" s="1719">
        <f t="shared" ref="CW141:CW146" si="594">SUM(CP141:CV141)</f>
        <v>0</v>
      </c>
      <c r="CX141" s="506"/>
      <c r="CY141" s="506"/>
      <c r="CZ141" s="506"/>
      <c r="DA141" s="506"/>
      <c r="DB141" s="506"/>
      <c r="DC141" s="506"/>
      <c r="DD141" s="506"/>
      <c r="DE141" s="506"/>
      <c r="DF141" s="506"/>
      <c r="DG141" s="506"/>
      <c r="DH141" s="506"/>
      <c r="DI141" s="472"/>
      <c r="DJ141" s="506"/>
      <c r="DK141" s="506"/>
      <c r="DL141" s="506"/>
      <c r="DM141" s="506"/>
      <c r="DN141" s="506"/>
      <c r="DO141" s="506"/>
      <c r="DP141" s="506"/>
      <c r="DQ141" s="739"/>
      <c r="DR141" s="506"/>
      <c r="DS141" s="506"/>
      <c r="DT141" s="506"/>
      <c r="DU141" s="506"/>
      <c r="DV141" s="506"/>
      <c r="DW141" s="506"/>
      <c r="DX141" s="506"/>
      <c r="DY141" s="506"/>
      <c r="DZ141" s="506"/>
      <c r="EA141" s="506"/>
      <c r="EB141" s="506"/>
      <c r="EC141" s="472"/>
      <c r="ED141" s="506"/>
      <c r="EE141" s="506"/>
      <c r="EF141" s="506"/>
      <c r="EG141" s="506"/>
      <c r="EH141" s="506"/>
      <c r="EI141" s="506"/>
      <c r="EJ141" s="506"/>
      <c r="EK141" s="506"/>
      <c r="EL141" s="506"/>
      <c r="EM141" s="506"/>
    </row>
    <row r="142" spans="1:143" ht="97.5" thickTop="1" thickBot="1">
      <c r="A142" s="130" t="str">
        <f>CONCATENATE('3 pr-2'!A142)</f>
        <v>2.1.2.3.1</v>
      </c>
      <c r="B142" s="130" t="str">
        <f>CONCATENATE('3 pr-2'!B142)</f>
        <v>R01-6615-475000-2231</v>
      </c>
      <c r="C142" s="1730" t="str">
        <f>CONCATENATE('ketv. 2'!B141)</f>
        <v>08.4.2-ESFA-R-615-11-0004</v>
      </c>
      <c r="D142" s="11" t="str">
        <f>CONCATENATE('3 pr-2'!D142)</f>
        <v>Priemonių, gerinančių ambulatorinių sveikatos priežiūros paslaugų prieinamumą tuberkulioze sergantiems asmenims, Alytaus rajone, įgyvendinimas</v>
      </c>
      <c r="E142" s="11" t="str">
        <f>CONCATENATE('3 pr-2'!E142)</f>
        <v>VšĮ Alytaus rajono savivaldybės pirminės sveikatos priežiūros centras</v>
      </c>
      <c r="F142" s="11" t="str">
        <f>CONCATENATE('3 pr-2'!F142)</f>
        <v>Lietuvos Respublikos Sveikatos apsaugos ministerija</v>
      </c>
      <c r="G142" s="11" t="str">
        <f>CONCATENATE('3 pr-2'!G142)</f>
        <v>Alytaus r. sav.</v>
      </c>
      <c r="H142" s="130" t="str">
        <f>CONCATENATE('3 pr-2'!H142)</f>
        <v>08.4.2-ESFA-R-615</v>
      </c>
      <c r="I142" s="130" t="str">
        <f>CONCATENATE('3 pr-2'!I142)</f>
        <v>R</v>
      </c>
      <c r="J142" s="130" t="str">
        <f>CONCATENATE('3 pr-2'!J142)</f>
        <v>-</v>
      </c>
      <c r="K142" s="130" t="str">
        <f>CONCATENATE('3 pr-2'!K142)</f>
        <v>-</v>
      </c>
      <c r="L142" s="130" t="s">
        <v>1193</v>
      </c>
      <c r="M142" s="471" t="s">
        <v>1194</v>
      </c>
      <c r="N142" s="1697"/>
      <c r="O142" s="1697"/>
      <c r="P142" s="1697"/>
      <c r="Q142" s="1697"/>
      <c r="R142" s="1697"/>
      <c r="S142" s="1697"/>
      <c r="T142" s="1697"/>
      <c r="U142" s="1691">
        <f t="shared" si="589"/>
        <v>0</v>
      </c>
      <c r="V142" s="506">
        <v>34</v>
      </c>
      <c r="W142" s="1757">
        <v>34</v>
      </c>
      <c r="X142" s="1732">
        <f t="shared" si="584"/>
        <v>0</v>
      </c>
      <c r="Y142" s="1732">
        <f>IF(YEAR('3 pr-2'!$AK142)=2017,$V142,0)</f>
        <v>0</v>
      </c>
      <c r="Z142" s="1732">
        <f>IF(YEAR('3 pr-2'!$AK142)=2018,$V142,0)</f>
        <v>0</v>
      </c>
      <c r="AA142" s="1732">
        <f>IF(YEAR('3 pr-2'!$AK142)=2019,$V142,0)</f>
        <v>0</v>
      </c>
      <c r="AB142" s="1732">
        <f>IF(YEAR('3 pr-2'!$AK142)=2020,$V142,0)</f>
        <v>0</v>
      </c>
      <c r="AC142" s="1732">
        <f>IF(YEAR('3 pr-2'!$AK142)=2021,$V142,0)</f>
        <v>0</v>
      </c>
      <c r="AD142" s="1732">
        <f>IF(YEAR('3 pr-2'!$AK142)=2022,$V142,0)</f>
        <v>34</v>
      </c>
      <c r="AE142" s="1732">
        <f>IF(YEAR('3 pr-2'!$AK142)=2023,$V142,0)</f>
        <v>0</v>
      </c>
      <c r="AF142" s="317"/>
      <c r="AG142" s="471"/>
      <c r="AH142" s="1699"/>
      <c r="AI142" s="1699"/>
      <c r="AJ142" s="1699"/>
      <c r="AK142" s="1699"/>
      <c r="AL142" s="1699"/>
      <c r="AM142" s="1699"/>
      <c r="AN142" s="1699"/>
      <c r="AO142" s="1718"/>
      <c r="AP142" s="130"/>
      <c r="AQ142" s="1778"/>
      <c r="AR142" s="1732"/>
      <c r="AS142" s="1732"/>
      <c r="AT142" s="1732">
        <f>SUM(AP142/2)</f>
        <v>0</v>
      </c>
      <c r="AU142" s="1732">
        <f>SUM(AP142/2)</f>
        <v>0</v>
      </c>
      <c r="AV142" s="1732"/>
      <c r="AW142" s="1732"/>
      <c r="AX142" s="1732"/>
      <c r="AY142" s="1732"/>
      <c r="AZ142" s="130"/>
      <c r="BA142" s="470"/>
      <c r="BB142" s="1699"/>
      <c r="BC142" s="1699"/>
      <c r="BD142" s="1699"/>
      <c r="BE142" s="1699"/>
      <c r="BF142" s="1699"/>
      <c r="BG142" s="1699"/>
      <c r="BH142" s="1699"/>
      <c r="BI142" s="1718">
        <f t="shared" ref="BI142" si="595">SUM(BB142:BH142)</f>
        <v>0</v>
      </c>
      <c r="BJ142" s="130"/>
      <c r="BK142" s="1501"/>
      <c r="BL142" s="130"/>
      <c r="BM142" s="130"/>
      <c r="BN142" s="130"/>
      <c r="BO142" s="130"/>
      <c r="BP142" s="130"/>
      <c r="BQ142" s="130"/>
      <c r="BR142" s="130"/>
      <c r="BS142" s="130"/>
      <c r="BT142" s="317"/>
      <c r="BU142" s="471"/>
      <c r="BV142" s="1699"/>
      <c r="BW142" s="1699"/>
      <c r="BX142" s="1699"/>
      <c r="BY142" s="1699"/>
      <c r="BZ142" s="1699"/>
      <c r="CA142" s="1699"/>
      <c r="CB142" s="1699"/>
      <c r="CC142" s="1718">
        <f t="shared" ref="CC142:CC146" si="596">SUM(BV142:CB142)</f>
        <v>0</v>
      </c>
      <c r="CD142" s="130"/>
      <c r="CE142" s="130"/>
      <c r="CF142" s="130"/>
      <c r="CG142" s="130">
        <f>IF(YEAR('3 pr-2'!$AK142)=2017,$CD142,0)</f>
        <v>0</v>
      </c>
      <c r="CH142" s="130">
        <f>IF(YEAR('3 pr-2'!$AK142)=2018,$CD142,0)</f>
        <v>0</v>
      </c>
      <c r="CI142" s="130">
        <f>IF(YEAR('3 pr-2'!$AK142)=2019,$CD142,0)</f>
        <v>0</v>
      </c>
      <c r="CJ142" s="130">
        <f>IF(YEAR('3 pr-2'!$AK142)=2020,$CD142,0)</f>
        <v>0</v>
      </c>
      <c r="CK142" s="130">
        <f>IF(YEAR('3 pr-2'!$AK142)=2021,$CD142,0)</f>
        <v>0</v>
      </c>
      <c r="CL142" s="130">
        <f>IF(YEAR('3 pr-2'!$AK142)=2022,$CD142,0)</f>
        <v>0</v>
      </c>
      <c r="CM142" s="130">
        <f>IF(YEAR('3 pr-2'!$AK142)=2023,$CD142,0)</f>
        <v>0</v>
      </c>
      <c r="CN142" s="317"/>
      <c r="CO142" s="472"/>
      <c r="CP142" s="1699"/>
      <c r="CQ142" s="1699"/>
      <c r="CR142" s="1699"/>
      <c r="CS142" s="1699"/>
      <c r="CT142" s="1699"/>
      <c r="CU142" s="1699"/>
      <c r="CV142" s="1699"/>
      <c r="CW142" s="1718">
        <f t="shared" si="594"/>
        <v>0</v>
      </c>
      <c r="CX142" s="318"/>
      <c r="CY142" s="303"/>
      <c r="CZ142" s="303"/>
      <c r="DA142" s="506">
        <f>IF(YEAR('3 pr-2'!AK142)=2017,CX142,0)</f>
        <v>0</v>
      </c>
      <c r="DB142" s="506">
        <f>IF(YEAR('3 pr-2'!AK142)=2018,CX142,0)</f>
        <v>0</v>
      </c>
      <c r="DC142" s="506">
        <f>IF(YEAR('3 pr-2'!AK142)=2019,CX142,0)</f>
        <v>0</v>
      </c>
      <c r="DD142" s="506">
        <f>IF(YEAR('3 pr-2'!AK142)=2020,CX142,0)</f>
        <v>0</v>
      </c>
      <c r="DE142" s="506">
        <f>IF(YEAR('3 pr-2'!AK142)=2021,CX142,0)</f>
        <v>0</v>
      </c>
      <c r="DF142" s="506">
        <f>IF(YEAR('3 pr-2'!AK142)=2022,CX142,0)</f>
        <v>0</v>
      </c>
      <c r="DG142" s="506">
        <f>IF(YEAR('3 pr-2'!AK142)=2023,CX142,0)</f>
        <v>0</v>
      </c>
      <c r="DH142" s="317"/>
      <c r="DI142" s="472"/>
      <c r="DJ142" s="130"/>
      <c r="DK142" s="130"/>
      <c r="DL142" s="130"/>
      <c r="DM142" s="130"/>
      <c r="DN142" s="130"/>
      <c r="DO142" s="130"/>
      <c r="DP142" s="130"/>
      <c r="DQ142" s="756"/>
      <c r="DR142" s="318"/>
      <c r="DS142" s="303"/>
      <c r="DT142" s="303"/>
      <c r="DU142" s="506"/>
      <c r="DV142" s="506"/>
      <c r="DW142" s="506"/>
      <c r="DX142" s="506"/>
      <c r="DY142" s="506"/>
      <c r="DZ142" s="506"/>
      <c r="EA142" s="506"/>
      <c r="EB142" s="317"/>
      <c r="EC142" s="472"/>
      <c r="ED142" s="303"/>
      <c r="EE142" s="303"/>
      <c r="EF142" s="303"/>
      <c r="EG142" s="506">
        <f>IF(YEAR('3 pr-2'!BP142)=2017,ED142,0)</f>
        <v>0</v>
      </c>
      <c r="EH142" s="506">
        <f>IF(YEAR('3 pr-2'!BP142)=2018,ED142,0)</f>
        <v>0</v>
      </c>
      <c r="EI142" s="506">
        <f>IF(YEAR('3 pr-2'!BP142)=2019,ED142,0)</f>
        <v>0</v>
      </c>
      <c r="EJ142" s="506">
        <f>IF(YEAR('3 pr-2'!BP142)=2020,ED142,0)</f>
        <v>0</v>
      </c>
      <c r="EK142" s="506">
        <f>IF(YEAR('3 pr-2'!BP142)=2021,ED142,0)</f>
        <v>0</v>
      </c>
      <c r="EL142" s="506">
        <f>IF(YEAR('3 pr-2'!BP142)=2022,ED142,0)</f>
        <v>0</v>
      </c>
      <c r="EM142" s="506">
        <f>IF(YEAR('3 pr-2'!BP142)=2023,ED142,0)</f>
        <v>0</v>
      </c>
    </row>
    <row r="143" spans="1:143" ht="75" thickTop="1" thickBot="1">
      <c r="A143" s="130" t="str">
        <f>CONCATENATE('3 pr-2'!A143)</f>
        <v>2.1.2.3.2</v>
      </c>
      <c r="B143" s="130" t="str">
        <f>CONCATENATE('3 pr-2'!B143)</f>
        <v>R01-6615-470000-2232</v>
      </c>
      <c r="C143" s="1730" t="str">
        <f>CONCATENATE('ketv. 2'!B142)</f>
        <v>08.4.2-ESFA-R-615-11-0005</v>
      </c>
      <c r="D143" s="11" t="str">
        <f>CONCATENATE('3 pr-2'!D143)</f>
        <v>Ambulatorinių sveikatos priežiūros paslaugų gerinimas tuberkulioze sergantiems asmenims</v>
      </c>
      <c r="E143" s="11" t="str">
        <f>CONCATENATE('3 pr-2'!E143)</f>
        <v>Alytaus miesto savivaldybės administracija</v>
      </c>
      <c r="F143" s="11" t="str">
        <f>CONCATENATE('3 pr-2'!F143)</f>
        <v>Lietuvos Respublikos Sveikatos apsaugos ministerija</v>
      </c>
      <c r="G143" s="11" t="str">
        <f>CONCATENATE('3 pr-2'!G143)</f>
        <v>Alytaus m. sav.</v>
      </c>
      <c r="H143" s="130" t="str">
        <f>CONCATENATE('3 pr-2'!H143)</f>
        <v>08.4.2-ESFA-R-615</v>
      </c>
      <c r="I143" s="130" t="str">
        <f>CONCATENATE('3 pr-2'!I143)</f>
        <v>R</v>
      </c>
      <c r="J143" s="130" t="str">
        <f>CONCATENATE('3 pr-2'!J143)</f>
        <v>-</v>
      </c>
      <c r="K143" s="130" t="str">
        <f>CONCATENATE('3 pr-2'!K143)</f>
        <v>-</v>
      </c>
      <c r="L143" s="304" t="s">
        <v>1193</v>
      </c>
      <c r="M143" s="471" t="s">
        <v>1194</v>
      </c>
      <c r="N143" s="1697"/>
      <c r="O143" s="1697"/>
      <c r="P143" s="1697"/>
      <c r="Q143" s="1697"/>
      <c r="R143" s="1697"/>
      <c r="S143" s="1697"/>
      <c r="T143" s="1697"/>
      <c r="U143" s="1691">
        <f t="shared" si="589"/>
        <v>0</v>
      </c>
      <c r="V143" s="771">
        <v>50</v>
      </c>
      <c r="W143" s="1757">
        <v>50</v>
      </c>
      <c r="X143" s="1732">
        <f t="shared" si="584"/>
        <v>0</v>
      </c>
      <c r="Y143" s="1732">
        <f>IF(YEAR('3 pr-2'!$AK143)=2017,$V143,0)</f>
        <v>0</v>
      </c>
      <c r="Z143" s="1732">
        <f>IF(YEAR('3 pr-2'!$AK143)=2018,$V143,0)</f>
        <v>0</v>
      </c>
      <c r="AA143" s="1732">
        <f>IF(YEAR('3 pr-2'!$AK143)=2019,$V143,0)</f>
        <v>0</v>
      </c>
      <c r="AB143" s="1732">
        <f>IF(YEAR('3 pr-2'!$AK143)=2020,$V143,0)</f>
        <v>0</v>
      </c>
      <c r="AC143" s="1732">
        <f>IF(YEAR('3 pr-2'!$AK143)=2021,$V143,0)</f>
        <v>50</v>
      </c>
      <c r="AD143" s="1732">
        <f>IF(YEAR('3 pr-2'!$AK143)=2022,$V143,0)</f>
        <v>0</v>
      </c>
      <c r="AE143" s="1732">
        <f>IF(YEAR('3 pr-2'!$AK143)=2023,$V143,0)</f>
        <v>0</v>
      </c>
      <c r="AF143" s="317"/>
      <c r="AG143" s="471"/>
      <c r="AH143" s="1699"/>
      <c r="AI143" s="1699"/>
      <c r="AJ143" s="1699"/>
      <c r="AK143" s="1699"/>
      <c r="AL143" s="1699"/>
      <c r="AM143" s="1699"/>
      <c r="AN143" s="1699"/>
      <c r="AO143" s="1718">
        <f t="shared" ref="AO143:AO146" si="597">SUM(AH143:AN143)</f>
        <v>0</v>
      </c>
      <c r="AP143" s="130"/>
      <c r="AQ143" s="1778"/>
      <c r="AR143" s="1732"/>
      <c r="AS143" s="1732"/>
      <c r="AT143" s="1732"/>
      <c r="AU143" s="1732"/>
      <c r="AV143" s="1732"/>
      <c r="AW143" s="1732"/>
      <c r="AX143" s="1732"/>
      <c r="AY143" s="1732"/>
      <c r="AZ143" s="130"/>
      <c r="BA143" s="470"/>
      <c r="BB143" s="1699"/>
      <c r="BC143" s="1699"/>
      <c r="BD143" s="1699"/>
      <c r="BE143" s="1699"/>
      <c r="BF143" s="1699"/>
      <c r="BG143" s="1699"/>
      <c r="BH143" s="1699"/>
      <c r="BI143" s="1718"/>
      <c r="BJ143" s="130"/>
      <c r="BK143" s="1501"/>
      <c r="BL143" s="130"/>
      <c r="BM143" s="130"/>
      <c r="BN143" s="130">
        <v>0</v>
      </c>
      <c r="BO143" s="130">
        <v>2</v>
      </c>
      <c r="BP143" s="130"/>
      <c r="BQ143" s="130"/>
      <c r="BR143" s="130"/>
      <c r="BS143" s="130"/>
      <c r="BT143" s="317"/>
      <c r="BU143" s="471"/>
      <c r="BV143" s="1699"/>
      <c r="BW143" s="1699"/>
      <c r="BX143" s="1699"/>
      <c r="BY143" s="1699"/>
      <c r="BZ143" s="1699"/>
      <c r="CA143" s="1699"/>
      <c r="CB143" s="1699"/>
      <c r="CC143" s="1718">
        <f t="shared" si="596"/>
        <v>0</v>
      </c>
      <c r="CD143" s="130"/>
      <c r="CE143" s="130"/>
      <c r="CF143" s="130"/>
      <c r="CG143" s="130">
        <f>IF(YEAR('3 pr-2'!$AK143)=2017,$CD143,0)</f>
        <v>0</v>
      </c>
      <c r="CH143" s="130">
        <f>IF(YEAR('3 pr-2'!$AK143)=2018,$CD143,0)</f>
        <v>0</v>
      </c>
      <c r="CI143" s="130">
        <f>IF(YEAR('3 pr-2'!$AK143)=2019,$CD143,0)</f>
        <v>0</v>
      </c>
      <c r="CJ143" s="130">
        <f>IF(YEAR('3 pr-2'!$AK143)=2020,$CD143,0)</f>
        <v>0</v>
      </c>
      <c r="CK143" s="130">
        <f>IF(YEAR('3 pr-2'!$AK143)=2021,$CD143,0)</f>
        <v>0</v>
      </c>
      <c r="CL143" s="130">
        <f>IF(YEAR('3 pr-2'!$AK143)=2022,$CD143,0)</f>
        <v>0</v>
      </c>
      <c r="CM143" s="130">
        <f>IF(YEAR('3 pr-2'!$AK143)=2023,$CD143,0)</f>
        <v>0</v>
      </c>
      <c r="CN143" s="317"/>
      <c r="CO143" s="472"/>
      <c r="CP143" s="1699"/>
      <c r="CQ143" s="1699"/>
      <c r="CR143" s="1699"/>
      <c r="CS143" s="1699"/>
      <c r="CT143" s="1699"/>
      <c r="CU143" s="1699"/>
      <c r="CV143" s="1699"/>
      <c r="CW143" s="1718">
        <f t="shared" si="594"/>
        <v>0</v>
      </c>
      <c r="CX143" s="318"/>
      <c r="CY143" s="303"/>
      <c r="CZ143" s="303"/>
      <c r="DA143" s="506">
        <f>IF(YEAR('3 pr-2'!AK143)=2017,CX143,0)</f>
        <v>0</v>
      </c>
      <c r="DB143" s="506">
        <f>IF(YEAR('3 pr-2'!AK143)=2018,CX143,0)</f>
        <v>0</v>
      </c>
      <c r="DC143" s="506">
        <f>IF(YEAR('3 pr-2'!AK143)=2019,CX143,0)</f>
        <v>0</v>
      </c>
      <c r="DD143" s="506">
        <f>IF(YEAR('3 pr-2'!AK143)=2020,CX143,0)</f>
        <v>0</v>
      </c>
      <c r="DE143" s="506">
        <f>IF(YEAR('3 pr-2'!AK143)=2021,CX143,0)</f>
        <v>0</v>
      </c>
      <c r="DF143" s="506">
        <f>IF(YEAR('3 pr-2'!AK143)=2022,CX143,0)</f>
        <v>0</v>
      </c>
      <c r="DG143" s="506">
        <f>IF(YEAR('3 pr-2'!AK143)=2023,CX143,0)</f>
        <v>0</v>
      </c>
      <c r="DH143" s="317"/>
      <c r="DI143" s="472"/>
      <c r="DJ143" s="130"/>
      <c r="DK143" s="130"/>
      <c r="DL143" s="130"/>
      <c r="DM143" s="130"/>
      <c r="DN143" s="130"/>
      <c r="DO143" s="130"/>
      <c r="DP143" s="130"/>
      <c r="DQ143" s="756"/>
      <c r="DR143" s="318"/>
      <c r="DS143" s="303"/>
      <c r="DT143" s="303"/>
      <c r="DU143" s="506"/>
      <c r="DV143" s="506"/>
      <c r="DW143" s="506"/>
      <c r="DX143" s="506"/>
      <c r="DY143" s="506"/>
      <c r="DZ143" s="506"/>
      <c r="EA143" s="506"/>
      <c r="EB143" s="317"/>
      <c r="EC143" s="472"/>
      <c r="ED143" s="303"/>
      <c r="EE143" s="303"/>
      <c r="EF143" s="303"/>
      <c r="EG143" s="506">
        <f>IF(YEAR('3 pr-2'!BP143)=2017,ED143,0)</f>
        <v>0</v>
      </c>
      <c r="EH143" s="506">
        <f>IF(YEAR('3 pr-2'!BP143)=2018,ED143,0)</f>
        <v>0</v>
      </c>
      <c r="EI143" s="506">
        <f>IF(YEAR('3 pr-2'!BP143)=2019,ED143,0)</f>
        <v>0</v>
      </c>
      <c r="EJ143" s="506">
        <f>IF(YEAR('3 pr-2'!BP143)=2020,ED143,0)</f>
        <v>0</v>
      </c>
      <c r="EK143" s="506">
        <f>IF(YEAR('3 pr-2'!BP143)=2021,ED143,0)</f>
        <v>0</v>
      </c>
      <c r="EL143" s="506">
        <f>IF(YEAR('3 pr-2'!BP143)=2022,ED143,0)</f>
        <v>0</v>
      </c>
      <c r="EM143" s="506">
        <f>IF(YEAR('3 pr-2'!BP143)=2023,ED143,0)</f>
        <v>0</v>
      </c>
    </row>
    <row r="144" spans="1:143" ht="75" thickTop="1" thickBot="1">
      <c r="A144" s="130" t="str">
        <f>CONCATENATE('3 pr-2'!A144)</f>
        <v>2.1.2.3.3</v>
      </c>
      <c r="B144" s="130" t="str">
        <f>CONCATENATE('3 pr-2'!B144)</f>
        <v>R01-6615-470000-2233</v>
      </c>
      <c r="C144" s="1730" t="str">
        <f>CONCATENATE('ketv. 2'!B143)</f>
        <v>08.4.2-ESFA-R-615-11-0001</v>
      </c>
      <c r="D144" s="11" t="str">
        <f>CONCATENATE('3 pr-2'!D144)</f>
        <v>Paslaugų tuberkulioze sergantiems asmenims gerinimas Lazdijų rajono savivaldybėje</v>
      </c>
      <c r="E144" s="11" t="str">
        <f>CONCATENATE('3 pr-2'!E144)</f>
        <v>Lazdijų rajono savivaldybės administracija</v>
      </c>
      <c r="F144" s="11" t="str">
        <f>CONCATENATE('3 pr-2'!F144)</f>
        <v>Lietuvos Respublikos Sveikatos apsaugos ministerija</v>
      </c>
      <c r="G144" s="11" t="str">
        <f>CONCATENATE('3 pr-2'!G144)</f>
        <v>Lazdijų r. sav.</v>
      </c>
      <c r="H144" s="130" t="str">
        <f>CONCATENATE('3 pr-2'!H144)</f>
        <v>08.4.2-ESFA-R-615</v>
      </c>
      <c r="I144" s="130" t="str">
        <f>CONCATENATE('3 pr-2'!I144)</f>
        <v>R</v>
      </c>
      <c r="J144" s="130" t="str">
        <f>CONCATENATE('3 pr-2'!J144)</f>
        <v>-</v>
      </c>
      <c r="K144" s="130" t="str">
        <f>CONCATENATE('3 pr-2'!K144)</f>
        <v>-</v>
      </c>
      <c r="L144" s="304" t="s">
        <v>1193</v>
      </c>
      <c r="M144" s="471" t="s">
        <v>1194</v>
      </c>
      <c r="N144" s="1697"/>
      <c r="O144" s="1697"/>
      <c r="P144" s="1697"/>
      <c r="Q144" s="1697"/>
      <c r="R144" s="1697"/>
      <c r="S144" s="1697"/>
      <c r="T144" s="1697"/>
      <c r="U144" s="1691">
        <f t="shared" si="589"/>
        <v>0</v>
      </c>
      <c r="V144" s="771">
        <v>42</v>
      </c>
      <c r="W144" s="1757">
        <v>42</v>
      </c>
      <c r="X144" s="1732">
        <f t="shared" si="584"/>
        <v>0</v>
      </c>
      <c r="Y144" s="1732">
        <f>IF(YEAR('3 pr-2'!$AK144)=2017,$V144,0)</f>
        <v>0</v>
      </c>
      <c r="Z144" s="1732">
        <f>IF(YEAR('3 pr-2'!$AK144)=2018,$V144,0)</f>
        <v>0</v>
      </c>
      <c r="AA144" s="1732">
        <f>IF(YEAR('3 pr-2'!$AK144)=2019,$V144,0)</f>
        <v>0</v>
      </c>
      <c r="AB144" s="1732">
        <f>IF(YEAR('3 pr-2'!$AK144)=2020,$V144,0)</f>
        <v>0</v>
      </c>
      <c r="AC144" s="1732">
        <f>IF(YEAR('3 pr-2'!$AK144)=2021,$V144,0)</f>
        <v>42</v>
      </c>
      <c r="AD144" s="1732">
        <f>IF(YEAR('3 pr-2'!$AK144)=2022,$V144,0)</f>
        <v>0</v>
      </c>
      <c r="AE144" s="1732">
        <f>IF(YEAR('3 pr-2'!$AK144)=2023,$V144,0)</f>
        <v>0</v>
      </c>
      <c r="AF144" s="317"/>
      <c r="AG144" s="471"/>
      <c r="AH144" s="1699"/>
      <c r="AI144" s="1699"/>
      <c r="AJ144" s="1699"/>
      <c r="AK144" s="1699"/>
      <c r="AL144" s="1699"/>
      <c r="AM144" s="1699"/>
      <c r="AN144" s="1699"/>
      <c r="AO144" s="1718"/>
      <c r="AP144" s="130"/>
      <c r="AQ144" s="1778"/>
      <c r="AR144" s="1732"/>
      <c r="AS144" s="1732"/>
      <c r="AT144" s="1732"/>
      <c r="AU144" s="1732"/>
      <c r="AV144" s="1732"/>
      <c r="AW144" s="1732"/>
      <c r="AX144" s="1732"/>
      <c r="AY144" s="1732"/>
      <c r="AZ144" s="130"/>
      <c r="BA144" s="470"/>
      <c r="BB144" s="1699"/>
      <c r="BC144" s="1699"/>
      <c r="BD144" s="1699"/>
      <c r="BE144" s="1699"/>
      <c r="BF144" s="1699"/>
      <c r="BG144" s="1699"/>
      <c r="BH144" s="1699"/>
      <c r="BI144" s="1718">
        <f t="shared" ref="BI144:BI146" si="598">SUM(BB144:BH144)</f>
        <v>0</v>
      </c>
      <c r="BJ144" s="130"/>
      <c r="BK144" s="1501"/>
      <c r="BL144" s="130"/>
      <c r="BM144" s="130"/>
      <c r="BN144" s="130"/>
      <c r="BO144" s="130"/>
      <c r="BP144" s="130"/>
      <c r="BQ144" s="130"/>
      <c r="BR144" s="130"/>
      <c r="BS144" s="130"/>
      <c r="BT144" s="317"/>
      <c r="BU144" s="471"/>
      <c r="BV144" s="1699"/>
      <c r="BW144" s="1699"/>
      <c r="BX144" s="1699"/>
      <c r="BY144" s="1699"/>
      <c r="BZ144" s="1699"/>
      <c r="CA144" s="1699"/>
      <c r="CB144" s="1699"/>
      <c r="CC144" s="1718">
        <f t="shared" si="596"/>
        <v>0</v>
      </c>
      <c r="CD144" s="130"/>
      <c r="CE144" s="130"/>
      <c r="CF144" s="130"/>
      <c r="CG144" s="130">
        <f>IF(YEAR('3 pr-2'!$AK144)=2017,$CD144,0)</f>
        <v>0</v>
      </c>
      <c r="CH144" s="130">
        <f>IF(YEAR('3 pr-2'!$AK144)=2018,$CD144,0)</f>
        <v>0</v>
      </c>
      <c r="CI144" s="130">
        <f>IF(YEAR('3 pr-2'!$AK144)=2019,$CD144,0)</f>
        <v>0</v>
      </c>
      <c r="CJ144" s="130">
        <f>IF(YEAR('3 pr-2'!$AK144)=2020,$CD144,0)</f>
        <v>0</v>
      </c>
      <c r="CK144" s="130">
        <f>IF(YEAR('3 pr-2'!$AK144)=2021,$CD144,0)</f>
        <v>0</v>
      </c>
      <c r="CL144" s="130">
        <f>IF(YEAR('3 pr-2'!$AK144)=2022,$CD144,0)</f>
        <v>0</v>
      </c>
      <c r="CM144" s="130">
        <f>IF(YEAR('3 pr-2'!$AK144)=2023,$CD144,0)</f>
        <v>0</v>
      </c>
      <c r="CN144" s="317"/>
      <c r="CO144" s="472"/>
      <c r="CP144" s="1699"/>
      <c r="CQ144" s="1699"/>
      <c r="CR144" s="1699"/>
      <c r="CS144" s="1699"/>
      <c r="CT144" s="1699"/>
      <c r="CU144" s="1699"/>
      <c r="CV144" s="1699"/>
      <c r="CW144" s="1718">
        <f t="shared" si="594"/>
        <v>0</v>
      </c>
      <c r="CX144" s="318"/>
      <c r="CY144" s="303"/>
      <c r="CZ144" s="303"/>
      <c r="DA144" s="506">
        <f>IF(YEAR('3 pr-2'!AK144)=2017,CX144,0)</f>
        <v>0</v>
      </c>
      <c r="DB144" s="506">
        <f>IF(YEAR('3 pr-2'!AK144)=2018,CX144,0)</f>
        <v>0</v>
      </c>
      <c r="DC144" s="506">
        <f>IF(YEAR('3 pr-2'!AK144)=2019,CX144,0)</f>
        <v>0</v>
      </c>
      <c r="DD144" s="506">
        <f>IF(YEAR('3 pr-2'!AK144)=2020,CX144,0)</f>
        <v>0</v>
      </c>
      <c r="DE144" s="506">
        <f>IF(YEAR('3 pr-2'!AK144)=2021,CX144,0)</f>
        <v>0</v>
      </c>
      <c r="DF144" s="506">
        <f>IF(YEAR('3 pr-2'!AK144)=2022,CX144,0)</f>
        <v>0</v>
      </c>
      <c r="DG144" s="506">
        <f>IF(YEAR('3 pr-2'!AK144)=2023,CX144,0)</f>
        <v>0</v>
      </c>
      <c r="DH144" s="317"/>
      <c r="DI144" s="472"/>
      <c r="DJ144" s="130"/>
      <c r="DK144" s="130"/>
      <c r="DL144" s="130"/>
      <c r="DM144" s="130"/>
      <c r="DN144" s="130"/>
      <c r="DO144" s="130"/>
      <c r="DP144" s="130"/>
      <c r="DQ144" s="756"/>
      <c r="DR144" s="318"/>
      <c r="DS144" s="303"/>
      <c r="DT144" s="303"/>
      <c r="DU144" s="506"/>
      <c r="DV144" s="506"/>
      <c r="DW144" s="506"/>
      <c r="DX144" s="506"/>
      <c r="DY144" s="506"/>
      <c r="DZ144" s="506"/>
      <c r="EA144" s="506"/>
      <c r="EB144" s="317"/>
      <c r="EC144" s="472"/>
      <c r="ED144" s="303"/>
      <c r="EE144" s="303"/>
      <c r="EF144" s="303"/>
      <c r="EG144" s="506">
        <f>IF(YEAR('3 pr-2'!BP144)=2017,ED144,0)</f>
        <v>0</v>
      </c>
      <c r="EH144" s="506">
        <f>IF(YEAR('3 pr-2'!BP144)=2018,ED144,0)</f>
        <v>0</v>
      </c>
      <c r="EI144" s="506">
        <f>IF(YEAR('3 pr-2'!BP144)=2019,ED144,0)</f>
        <v>0</v>
      </c>
      <c r="EJ144" s="506">
        <f>IF(YEAR('3 pr-2'!BP144)=2020,ED144,0)</f>
        <v>0</v>
      </c>
      <c r="EK144" s="506">
        <f>IF(YEAR('3 pr-2'!BP144)=2021,ED144,0)</f>
        <v>0</v>
      </c>
      <c r="EL144" s="506">
        <f>IF(YEAR('3 pr-2'!BP144)=2022,ED144,0)</f>
        <v>0</v>
      </c>
      <c r="EM144" s="506">
        <f>IF(YEAR('3 pr-2'!BP144)=2023,ED144,0)</f>
        <v>0</v>
      </c>
    </row>
    <row r="145" spans="1:143" ht="85.5" thickTop="1" thickBot="1">
      <c r="A145" s="130" t="str">
        <f>CONCATENATE('3 pr-2'!A145)</f>
        <v>2.1.2.3.4</v>
      </c>
      <c r="B145" s="130" t="str">
        <f>CONCATENATE('3 pr-2'!B145)</f>
        <v>R01-6615-470000-2234</v>
      </c>
      <c r="C145" s="1730" t="str">
        <f>CONCATENATE('ketv. 2'!B144)</f>
        <v>08.4.2-ESFA-R-615-11-0002</v>
      </c>
      <c r="D145" s="11" t="str">
        <f>CONCATENATE('3 pr-2'!D145)</f>
        <v>Ambulatorinių sveikatos priežiūros paslaugų tuberkulioze sergantiems asmenims prieinamumo gerinimas Druskininkų savivaldybėje</v>
      </c>
      <c r="E145" s="11" t="str">
        <f>CONCATENATE('3 pr-2'!E145)</f>
        <v>Druskininkų pirminės sveikatos priežiūros centras</v>
      </c>
      <c r="F145" s="11" t="str">
        <f>CONCATENATE('3 pr-2'!F145)</f>
        <v>Lietuvos Respublikos Sveikatos apsaugos ministerija</v>
      </c>
      <c r="G145" s="11" t="str">
        <f>CONCATENATE('3 pr-2'!G145)</f>
        <v>Druskininkų sav.</v>
      </c>
      <c r="H145" s="130" t="str">
        <f>CONCATENATE('3 pr-2'!H145)</f>
        <v>08.4.2-ESFA-R-615</v>
      </c>
      <c r="I145" s="130" t="str">
        <f>CONCATENATE('3 pr-2'!I145)</f>
        <v>R</v>
      </c>
      <c r="J145" s="130" t="str">
        <f>CONCATENATE('3 pr-2'!J145)</f>
        <v>-</v>
      </c>
      <c r="K145" s="130" t="str">
        <f>CONCATENATE('3 pr-2'!K145)</f>
        <v>-</v>
      </c>
      <c r="L145" s="304" t="s">
        <v>1193</v>
      </c>
      <c r="M145" s="471" t="s">
        <v>1194</v>
      </c>
      <c r="N145" s="1697"/>
      <c r="O145" s="1697"/>
      <c r="P145" s="1697"/>
      <c r="Q145" s="1697"/>
      <c r="R145" s="1697"/>
      <c r="S145" s="1697"/>
      <c r="T145" s="1697"/>
      <c r="U145" s="1691">
        <f t="shared" si="589"/>
        <v>0</v>
      </c>
      <c r="V145" s="771">
        <v>11</v>
      </c>
      <c r="W145" s="1757">
        <v>11</v>
      </c>
      <c r="X145" s="1732">
        <f t="shared" si="584"/>
        <v>0</v>
      </c>
      <c r="Y145" s="1732">
        <f>IF(YEAR('3 pr-2'!$AK145)=2017,$V145,0)</f>
        <v>0</v>
      </c>
      <c r="Z145" s="1732">
        <f>IF(YEAR('3 pr-2'!$AK145)=2018,$V145,0)</f>
        <v>0</v>
      </c>
      <c r="AA145" s="1732">
        <f>IF(YEAR('3 pr-2'!$AK145)=2019,$V145,0)</f>
        <v>0</v>
      </c>
      <c r="AB145" s="1732">
        <f>IF(YEAR('3 pr-2'!$AK145)=2020,$V145,0)</f>
        <v>0</v>
      </c>
      <c r="AC145" s="1732">
        <f>IF(YEAR('3 pr-2'!$AK145)=2021,$V145,0)</f>
        <v>11</v>
      </c>
      <c r="AD145" s="1732">
        <f>IF(YEAR('3 pr-2'!$AK145)=2022,$V145,0)</f>
        <v>0</v>
      </c>
      <c r="AE145" s="1732">
        <f>IF(YEAR('3 pr-2'!$AK145)=2023,$V145,0)</f>
        <v>0</v>
      </c>
      <c r="AF145" s="317"/>
      <c r="AG145" s="471"/>
      <c r="AH145" s="1699"/>
      <c r="AI145" s="1699"/>
      <c r="AJ145" s="1699"/>
      <c r="AK145" s="1699"/>
      <c r="AL145" s="1699"/>
      <c r="AM145" s="1699"/>
      <c r="AN145" s="1699"/>
      <c r="AO145" s="1718">
        <f t="shared" si="597"/>
        <v>0</v>
      </c>
      <c r="AP145" s="130"/>
      <c r="AQ145" s="1778"/>
      <c r="AR145" s="1732"/>
      <c r="AS145" s="1732"/>
      <c r="AT145" s="1732"/>
      <c r="AU145" s="1732"/>
      <c r="AV145" s="1732"/>
      <c r="AW145" s="1732"/>
      <c r="AX145" s="1732"/>
      <c r="AY145" s="1732"/>
      <c r="AZ145" s="130"/>
      <c r="BA145" s="470"/>
      <c r="BB145" s="1699"/>
      <c r="BC145" s="1699"/>
      <c r="BD145" s="1699"/>
      <c r="BE145" s="1699"/>
      <c r="BF145" s="1699"/>
      <c r="BG145" s="1699"/>
      <c r="BH145" s="1699"/>
      <c r="BI145" s="1718">
        <f t="shared" si="598"/>
        <v>0</v>
      </c>
      <c r="BJ145" s="130"/>
      <c r="BK145" s="1501"/>
      <c r="BL145" s="130"/>
      <c r="BM145" s="130"/>
      <c r="BN145" s="130"/>
      <c r="BO145" s="130"/>
      <c r="BP145" s="130"/>
      <c r="BQ145" s="130"/>
      <c r="BR145" s="130"/>
      <c r="BS145" s="130"/>
      <c r="BT145" s="317"/>
      <c r="BU145" s="471"/>
      <c r="BV145" s="1699"/>
      <c r="BW145" s="1699"/>
      <c r="BX145" s="1699"/>
      <c r="BY145" s="1699"/>
      <c r="BZ145" s="1699"/>
      <c r="CA145" s="1699"/>
      <c r="CB145" s="1699"/>
      <c r="CC145" s="1718">
        <f t="shared" si="596"/>
        <v>0</v>
      </c>
      <c r="CD145" s="130"/>
      <c r="CE145" s="130"/>
      <c r="CF145" s="130"/>
      <c r="CG145" s="130">
        <f>IF(YEAR('3 pr-2'!$AK145)=2017,$CD145,0)</f>
        <v>0</v>
      </c>
      <c r="CH145" s="130">
        <f>IF(YEAR('3 pr-2'!$AK145)=2018,$CD145,0)</f>
        <v>0</v>
      </c>
      <c r="CI145" s="130">
        <f>IF(YEAR('3 pr-2'!$AK145)=2019,$CD145,0)</f>
        <v>0</v>
      </c>
      <c r="CJ145" s="130">
        <f>IF(YEAR('3 pr-2'!$AK145)=2020,$CD145,0)</f>
        <v>0</v>
      </c>
      <c r="CK145" s="130">
        <f>IF(YEAR('3 pr-2'!$AK145)=2021,$CD145,0)</f>
        <v>0</v>
      </c>
      <c r="CL145" s="130">
        <f>IF(YEAR('3 pr-2'!$AK145)=2022,$CD145,0)</f>
        <v>0</v>
      </c>
      <c r="CM145" s="130">
        <f>IF(YEAR('3 pr-2'!$AK145)=2023,$CD145,0)</f>
        <v>0</v>
      </c>
      <c r="CN145" s="317"/>
      <c r="CO145" s="472"/>
      <c r="CP145" s="1699"/>
      <c r="CQ145" s="1699"/>
      <c r="CR145" s="1699"/>
      <c r="CS145" s="1699"/>
      <c r="CT145" s="1699"/>
      <c r="CU145" s="1699"/>
      <c r="CV145" s="1699"/>
      <c r="CW145" s="1718">
        <f t="shared" si="594"/>
        <v>0</v>
      </c>
      <c r="CX145" s="318"/>
      <c r="CY145" s="303"/>
      <c r="CZ145" s="303"/>
      <c r="DA145" s="506">
        <f>IF(YEAR('3 pr-2'!AK145)=2017,CX145,0)</f>
        <v>0</v>
      </c>
      <c r="DB145" s="506">
        <f>IF(YEAR('3 pr-2'!AK145)=2018,CX145,0)</f>
        <v>0</v>
      </c>
      <c r="DC145" s="506">
        <f>IF(YEAR('3 pr-2'!AK145)=2019,CX145,0)</f>
        <v>0</v>
      </c>
      <c r="DD145" s="506">
        <f>IF(YEAR('3 pr-2'!AK145)=2020,CX145,0)</f>
        <v>0</v>
      </c>
      <c r="DE145" s="506">
        <f>IF(YEAR('3 pr-2'!AK145)=2021,CX145,0)</f>
        <v>0</v>
      </c>
      <c r="DF145" s="506">
        <f>IF(YEAR('3 pr-2'!AK145)=2022,CX145,0)</f>
        <v>0</v>
      </c>
      <c r="DG145" s="506">
        <f>IF(YEAR('3 pr-2'!AK145)=2023,CX145,0)</f>
        <v>0</v>
      </c>
      <c r="DH145" s="317"/>
      <c r="DI145" s="472"/>
      <c r="DJ145" s="130"/>
      <c r="DK145" s="130"/>
      <c r="DL145" s="130"/>
      <c r="DM145" s="130"/>
      <c r="DN145" s="130"/>
      <c r="DO145" s="130"/>
      <c r="DP145" s="130"/>
      <c r="DQ145" s="756"/>
      <c r="DR145" s="318"/>
      <c r="DS145" s="303"/>
      <c r="DT145" s="303"/>
      <c r="DU145" s="506"/>
      <c r="DV145" s="506"/>
      <c r="DW145" s="506"/>
      <c r="DX145" s="506"/>
      <c r="DY145" s="506"/>
      <c r="DZ145" s="506"/>
      <c r="EA145" s="506"/>
      <c r="EB145" s="317"/>
      <c r="EC145" s="472"/>
      <c r="ED145" s="303"/>
      <c r="EE145" s="303"/>
      <c r="EF145" s="303"/>
      <c r="EG145" s="506">
        <f>IF(YEAR('3 pr-2'!BP145)=2017,ED145,0)</f>
        <v>0</v>
      </c>
      <c r="EH145" s="506">
        <f>IF(YEAR('3 pr-2'!BP145)=2018,ED145,0)</f>
        <v>0</v>
      </c>
      <c r="EI145" s="506">
        <f>IF(YEAR('3 pr-2'!BP145)=2019,ED145,0)</f>
        <v>0</v>
      </c>
      <c r="EJ145" s="506">
        <f>IF(YEAR('3 pr-2'!BP145)=2020,ED145,0)</f>
        <v>0</v>
      </c>
      <c r="EK145" s="506">
        <f>IF(YEAR('3 pr-2'!BP145)=2021,ED145,0)</f>
        <v>0</v>
      </c>
      <c r="EL145" s="506">
        <f>IF(YEAR('3 pr-2'!BP145)=2022,ED145,0)</f>
        <v>0</v>
      </c>
      <c r="EM145" s="506">
        <f>IF(YEAR('3 pr-2'!BP145)=2023,ED145,0)</f>
        <v>0</v>
      </c>
    </row>
    <row r="146" spans="1:143" ht="85.5" thickTop="1" thickBot="1">
      <c r="A146" s="130" t="str">
        <f>CONCATENATE('3 pr-2'!A146)</f>
        <v>2.1.2.3.5</v>
      </c>
      <c r="B146" s="130" t="str">
        <f>CONCATENATE('3 pr-2'!B146)</f>
        <v>R01-6615-470000-2235</v>
      </c>
      <c r="C146" s="1730" t="str">
        <f>CONCATENATE('ketv. 2'!B145)</f>
        <v>08.4.2-ESFA-R-615-11-0003</v>
      </c>
      <c r="D146" s="11" t="str">
        <f>CONCATENATE('3 pr-2'!D146)</f>
        <v>Ambulatorinių sveikatos priežiūros paslaugų prieinamumo gerinimas tuberkulioze sergantiems asmenims Varėnos rajono savivaldybėje</v>
      </c>
      <c r="E146" s="11" t="str">
        <f>CONCATENATE('3 pr-2'!E146)</f>
        <v>Varėnos rajono savivaldybės administracija</v>
      </c>
      <c r="F146" s="11" t="str">
        <f>CONCATENATE('3 pr-2'!F146)</f>
        <v>Lietuvos Respublikos Sveikatos apsaugos ministerija</v>
      </c>
      <c r="G146" s="11" t="str">
        <f>CONCATENATE('3 pr-2'!G146)</f>
        <v>Varėnos r. sav.</v>
      </c>
      <c r="H146" s="130" t="str">
        <f>CONCATENATE('3 pr-2'!H146)</f>
        <v>08.4.2-ESFA-R-615</v>
      </c>
      <c r="I146" s="130" t="str">
        <f>CONCATENATE('3 pr-2'!I146)</f>
        <v>R</v>
      </c>
      <c r="J146" s="130" t="str">
        <f>CONCATENATE('3 pr-2'!J146)</f>
        <v>-</v>
      </c>
      <c r="K146" s="130" t="str">
        <f>CONCATENATE('3 pr-2'!K146)</f>
        <v>-</v>
      </c>
      <c r="L146" s="304" t="s">
        <v>1193</v>
      </c>
      <c r="M146" s="471" t="s">
        <v>1194</v>
      </c>
      <c r="N146" s="1697"/>
      <c r="O146" s="1697"/>
      <c r="P146" s="1697">
        <v>1</v>
      </c>
      <c r="Q146" s="1697"/>
      <c r="R146" s="1697"/>
      <c r="S146" s="1697"/>
      <c r="T146" s="1697"/>
      <c r="U146" s="1691">
        <f t="shared" si="589"/>
        <v>1</v>
      </c>
      <c r="V146" s="304">
        <v>43</v>
      </c>
      <c r="W146" s="1757">
        <v>43</v>
      </c>
      <c r="X146" s="1732">
        <f t="shared" si="584"/>
        <v>0</v>
      </c>
      <c r="Y146" s="1732">
        <f>IF(YEAR('3 pr-2'!$AK146)=2017,$V146,0)</f>
        <v>0</v>
      </c>
      <c r="Z146" s="1732">
        <f>IF(YEAR('3 pr-2'!$AK146)=2018,$V146,0)</f>
        <v>0</v>
      </c>
      <c r="AA146" s="1732">
        <f>IF(YEAR('3 pr-2'!$AK146)=2019,$V146,0)</f>
        <v>0</v>
      </c>
      <c r="AB146" s="1732">
        <f>IF(YEAR('3 pr-2'!$AK146)=2020,$V146,0)</f>
        <v>0</v>
      </c>
      <c r="AC146" s="1732">
        <f>IF(YEAR('3 pr-2'!$AK146)=2021,$V146,0)</f>
        <v>43</v>
      </c>
      <c r="AD146" s="1732">
        <f>IF(YEAR('3 pr-2'!$AK146)=2022,$V146,0)</f>
        <v>0</v>
      </c>
      <c r="AE146" s="1732">
        <f>IF(YEAR('3 pr-2'!$AK146)=2023,$V146,0)</f>
        <v>0</v>
      </c>
      <c r="AF146" s="317"/>
      <c r="AG146" s="471"/>
      <c r="AH146" s="1699"/>
      <c r="AI146" s="1699"/>
      <c r="AJ146" s="1699"/>
      <c r="AK146" s="1699"/>
      <c r="AL146" s="1699"/>
      <c r="AM146" s="1699"/>
      <c r="AN146" s="1699"/>
      <c r="AO146" s="1718">
        <f t="shared" si="597"/>
        <v>0</v>
      </c>
      <c r="AP146" s="130"/>
      <c r="AQ146" s="1778"/>
      <c r="AR146" s="1732"/>
      <c r="AS146" s="1732"/>
      <c r="AT146" s="1732"/>
      <c r="AU146" s="1732"/>
      <c r="AV146" s="1732"/>
      <c r="AW146" s="1732"/>
      <c r="AX146" s="1732"/>
      <c r="AY146" s="1732"/>
      <c r="AZ146" s="130"/>
      <c r="BA146" s="470"/>
      <c r="BB146" s="1699"/>
      <c r="BC146" s="1699"/>
      <c r="BD146" s="1699"/>
      <c r="BE146" s="1699"/>
      <c r="BF146" s="1699"/>
      <c r="BG146" s="1699"/>
      <c r="BH146" s="1699"/>
      <c r="BI146" s="1718">
        <f t="shared" si="598"/>
        <v>0</v>
      </c>
      <c r="BJ146" s="130"/>
      <c r="BK146" s="1501"/>
      <c r="BL146" s="130"/>
      <c r="BM146" s="130"/>
      <c r="BN146" s="130"/>
      <c r="BO146" s="130"/>
      <c r="BP146" s="130"/>
      <c r="BQ146" s="130"/>
      <c r="BR146" s="130"/>
      <c r="BS146" s="130"/>
      <c r="BT146" s="317"/>
      <c r="BU146" s="471"/>
      <c r="BV146" s="1699"/>
      <c r="BW146" s="1699"/>
      <c r="BX146" s="1699"/>
      <c r="BY146" s="1699"/>
      <c r="BZ146" s="1699"/>
      <c r="CA146" s="1699"/>
      <c r="CB146" s="1699"/>
      <c r="CC146" s="1718">
        <f t="shared" si="596"/>
        <v>0</v>
      </c>
      <c r="CD146" s="130"/>
      <c r="CE146" s="130"/>
      <c r="CF146" s="130"/>
      <c r="CG146" s="130">
        <f>IF(YEAR('3 pr-2'!$AK146)=2017,$CD146,0)</f>
        <v>0</v>
      </c>
      <c r="CH146" s="130">
        <f>IF(YEAR('3 pr-2'!$AK146)=2018,$CD146,0)</f>
        <v>0</v>
      </c>
      <c r="CI146" s="130">
        <f>IF(YEAR('3 pr-2'!$AK146)=2019,$CD146,0)</f>
        <v>0</v>
      </c>
      <c r="CJ146" s="130">
        <f>IF(YEAR('3 pr-2'!$AK146)=2020,$CD146,0)</f>
        <v>0</v>
      </c>
      <c r="CK146" s="130">
        <f>IF(YEAR('3 pr-2'!$AK146)=2021,$CD146,0)</f>
        <v>0</v>
      </c>
      <c r="CL146" s="130">
        <f>IF(YEAR('3 pr-2'!$AK146)=2022,$CD146,0)</f>
        <v>0</v>
      </c>
      <c r="CM146" s="130">
        <f>IF(YEAR('3 pr-2'!$AK146)=2023,$CD146,0)</f>
        <v>0</v>
      </c>
      <c r="CN146" s="317"/>
      <c r="CO146" s="472"/>
      <c r="CP146" s="1699"/>
      <c r="CQ146" s="1699"/>
      <c r="CR146" s="1699"/>
      <c r="CS146" s="1699"/>
      <c r="CT146" s="1699"/>
      <c r="CU146" s="1699"/>
      <c r="CV146" s="1699"/>
      <c r="CW146" s="1718">
        <f t="shared" si="594"/>
        <v>0</v>
      </c>
      <c r="CX146" s="318"/>
      <c r="CY146" s="303"/>
      <c r="CZ146" s="303"/>
      <c r="DA146" s="506">
        <f>IF(YEAR('3 pr-2'!AK146)=2017,CX146,0)</f>
        <v>0</v>
      </c>
      <c r="DB146" s="506">
        <f>IF(YEAR('3 pr-2'!AK146)=2018,CX146,0)</f>
        <v>0</v>
      </c>
      <c r="DC146" s="506">
        <f>IF(YEAR('3 pr-2'!AK146)=2019,CX146,0)</f>
        <v>0</v>
      </c>
      <c r="DD146" s="506">
        <f>IF(YEAR('3 pr-2'!AK146)=2020,CX146,0)</f>
        <v>0</v>
      </c>
      <c r="DE146" s="506">
        <f>IF(YEAR('3 pr-2'!AK146)=2021,CX146,0)</f>
        <v>0</v>
      </c>
      <c r="DF146" s="506">
        <f>IF(YEAR('3 pr-2'!AK146)=2022,CX146,0)</f>
        <v>0</v>
      </c>
      <c r="DG146" s="506">
        <f>IF(YEAR('3 pr-2'!AK146)=2023,CX146,0)</f>
        <v>0</v>
      </c>
      <c r="DH146" s="317"/>
      <c r="DI146" s="472"/>
      <c r="DJ146" s="130"/>
      <c r="DK146" s="130"/>
      <c r="DL146" s="130"/>
      <c r="DM146" s="130"/>
      <c r="DN146" s="130"/>
      <c r="DO146" s="130"/>
      <c r="DP146" s="130"/>
      <c r="DQ146" s="756"/>
      <c r="DR146" s="318"/>
      <c r="DS146" s="303"/>
      <c r="DT146" s="303"/>
      <c r="DU146" s="506"/>
      <c r="DV146" s="506"/>
      <c r="DW146" s="506"/>
      <c r="DX146" s="506"/>
      <c r="DY146" s="506"/>
      <c r="DZ146" s="506"/>
      <c r="EA146" s="506"/>
      <c r="EB146" s="317"/>
      <c r="EC146" s="472"/>
      <c r="ED146" s="303"/>
      <c r="EE146" s="303"/>
      <c r="EF146" s="303"/>
      <c r="EG146" s="506">
        <f>IF(YEAR('3 pr-2'!BP146)=2017,ED146,0)</f>
        <v>0</v>
      </c>
      <c r="EH146" s="506">
        <f>IF(YEAR('3 pr-2'!BP146)=2018,ED146,0)</f>
        <v>0</v>
      </c>
      <c r="EI146" s="506">
        <f>IF(YEAR('3 pr-2'!BP146)=2019,ED146,0)</f>
        <v>0</v>
      </c>
      <c r="EJ146" s="506">
        <f>IF(YEAR('3 pr-2'!BP146)=2020,ED146,0)</f>
        <v>0</v>
      </c>
      <c r="EK146" s="506">
        <f>IF(YEAR('3 pr-2'!BP146)=2021,ED146,0)</f>
        <v>0</v>
      </c>
      <c r="EL146" s="506">
        <f>IF(YEAR('3 pr-2'!BP146)=2022,ED146,0)</f>
        <v>0</v>
      </c>
      <c r="EM146" s="506">
        <f>IF(YEAR('3 pr-2'!BP146)=2023,ED146,0)</f>
        <v>0</v>
      </c>
    </row>
    <row r="147" spans="1:143" ht="45" customHeight="1" thickBot="1">
      <c r="A147" s="614" t="str">
        <f>CONCATENATE('3 pr-2'!A147)</f>
        <v>2.1.3.</v>
      </c>
      <c r="B147" s="1972" t="str">
        <f>CONCATENATE('3 pr-2'!B147)</f>
        <v>Uždavinys:
Socialinio būsto ir socialinių paslaugų prieinamumo pažeidžiamiausioms gyventojų grupėms padidinimas</v>
      </c>
      <c r="C147" s="1894"/>
      <c r="D147" s="1894"/>
      <c r="E147" s="1894"/>
      <c r="F147" s="1894"/>
      <c r="G147" s="1894"/>
      <c r="H147" s="1894"/>
      <c r="I147" s="1894"/>
      <c r="J147" s="1894"/>
      <c r="K147" s="1895"/>
      <c r="L147" s="506"/>
      <c r="M147" s="656"/>
      <c r="N147" s="1712"/>
      <c r="O147" s="1712"/>
      <c r="P147" s="1712"/>
      <c r="Q147" s="1712"/>
      <c r="R147" s="1712"/>
      <c r="S147" s="1712"/>
      <c r="T147" s="1712"/>
      <c r="U147" s="1713"/>
      <c r="V147" s="506"/>
      <c r="W147" s="1765"/>
      <c r="X147" s="1765"/>
      <c r="Y147" s="1765"/>
      <c r="Z147" s="1765"/>
      <c r="AA147" s="1765"/>
      <c r="AB147" s="1765"/>
      <c r="AC147" s="1765"/>
      <c r="AD147" s="1765"/>
      <c r="AE147" s="1765"/>
      <c r="AF147" s="754"/>
      <c r="AG147" s="656"/>
      <c r="AH147" s="1712"/>
      <c r="AI147" s="1712"/>
      <c r="AJ147" s="1712"/>
      <c r="AK147" s="1712"/>
      <c r="AL147" s="1712"/>
      <c r="AM147" s="1712"/>
      <c r="AN147" s="1712"/>
      <c r="AO147" s="1712"/>
      <c r="AP147" s="754"/>
      <c r="AQ147" s="1765"/>
      <c r="AR147" s="1765"/>
      <c r="AS147" s="1765"/>
      <c r="AT147" s="1765"/>
      <c r="AU147" s="1765"/>
      <c r="AV147" s="1765"/>
      <c r="AW147" s="1765"/>
      <c r="AX147" s="1765"/>
      <c r="AY147" s="1765"/>
      <c r="AZ147" s="754"/>
      <c r="BA147" s="656"/>
      <c r="BB147" s="1712"/>
      <c r="BC147" s="1712"/>
      <c r="BD147" s="1712"/>
      <c r="BE147" s="1712"/>
      <c r="BF147" s="1712"/>
      <c r="BG147" s="1712"/>
      <c r="BH147" s="1712"/>
      <c r="BI147" s="1712"/>
      <c r="BJ147" s="754"/>
      <c r="BK147" s="754"/>
      <c r="BL147" s="754"/>
      <c r="BM147" s="754"/>
      <c r="BN147" s="754"/>
      <c r="BO147" s="754"/>
      <c r="BP147" s="754"/>
      <c r="BQ147" s="754"/>
      <c r="BR147" s="754"/>
      <c r="BS147" s="754"/>
      <c r="BT147" s="754"/>
      <c r="BU147" s="656"/>
      <c r="BV147" s="1712"/>
      <c r="BW147" s="1712"/>
      <c r="BX147" s="1712"/>
      <c r="BY147" s="1712"/>
      <c r="BZ147" s="1712"/>
      <c r="CA147" s="1712"/>
      <c r="CB147" s="1712"/>
      <c r="CC147" s="1712"/>
      <c r="CD147" s="754"/>
      <c r="CE147" s="754"/>
      <c r="CF147" s="754"/>
      <c r="CG147" s="754"/>
      <c r="CH147" s="754"/>
      <c r="CI147" s="754"/>
      <c r="CJ147" s="754"/>
      <c r="CK147" s="754"/>
      <c r="CL147" s="754"/>
      <c r="CM147" s="754"/>
      <c r="CN147" s="754"/>
      <c r="CO147" s="472"/>
      <c r="CP147" s="1712"/>
      <c r="CQ147" s="1712"/>
      <c r="CR147" s="1712"/>
      <c r="CS147" s="1712"/>
      <c r="CT147" s="1712"/>
      <c r="CU147" s="1712"/>
      <c r="CV147" s="1712"/>
      <c r="CW147" s="1712"/>
      <c r="CX147" s="754"/>
      <c r="CY147" s="767"/>
      <c r="CZ147" s="767"/>
      <c r="DA147" s="282"/>
      <c r="DB147" s="699"/>
      <c r="DC147" s="699"/>
      <c r="DD147" s="699"/>
      <c r="DE147" s="699"/>
      <c r="DF147" s="699"/>
      <c r="DG147" s="699"/>
      <c r="DH147" s="754"/>
      <c r="DI147" s="472"/>
      <c r="DJ147" s="754"/>
      <c r="DK147" s="754"/>
      <c r="DL147" s="754"/>
      <c r="DM147" s="754"/>
      <c r="DN147" s="754"/>
      <c r="DO147" s="754"/>
      <c r="DP147" s="754"/>
      <c r="DQ147" s="754"/>
      <c r="DR147" s="754"/>
      <c r="DS147" s="767"/>
      <c r="DT147" s="767"/>
      <c r="DU147" s="282"/>
      <c r="DV147" s="699"/>
      <c r="DW147" s="699"/>
      <c r="DX147" s="699"/>
      <c r="DY147" s="699"/>
      <c r="DZ147" s="699"/>
      <c r="EA147" s="699"/>
      <c r="EB147" s="754"/>
      <c r="EC147" s="472"/>
      <c r="ED147" s="767"/>
      <c r="EE147" s="767"/>
      <c r="EF147" s="767"/>
      <c r="EG147" s="282"/>
      <c r="EH147" s="699"/>
      <c r="EI147" s="699"/>
      <c r="EJ147" s="699"/>
      <c r="EK147" s="699"/>
      <c r="EL147" s="699"/>
      <c r="EM147" s="699"/>
    </row>
    <row r="148" spans="1:143" ht="33" customHeight="1" thickBot="1">
      <c r="A148" s="773" t="str">
        <f>CONCATENATE('3 pr-2'!A148)</f>
        <v>2.1.3.1</v>
      </c>
      <c r="B148" s="1972" t="str">
        <f>CONCATENATE('3 pr-2'!B148)</f>
        <v>Priemonė:
Socialinių paslaugų infrastruktūros plėtra</v>
      </c>
      <c r="C148" s="1894"/>
      <c r="D148" s="1894"/>
      <c r="E148" s="1894"/>
      <c r="F148" s="1894"/>
      <c r="G148" s="1894"/>
      <c r="H148" s="1894"/>
      <c r="I148" s="1894"/>
      <c r="J148" s="1894"/>
      <c r="K148" s="1895"/>
      <c r="L148" s="774"/>
      <c r="M148" s="474"/>
      <c r="N148" s="1710">
        <f>SUM(N149:N153)</f>
        <v>0</v>
      </c>
      <c r="O148" s="1710">
        <f t="shared" ref="O148:T148" si="599">SUM(O149:O153)</f>
        <v>2</v>
      </c>
      <c r="P148" s="1710">
        <f t="shared" si="599"/>
        <v>0</v>
      </c>
      <c r="Q148" s="1710">
        <f t="shared" si="599"/>
        <v>0</v>
      </c>
      <c r="R148" s="1710">
        <f t="shared" si="599"/>
        <v>0</v>
      </c>
      <c r="S148" s="1710">
        <f t="shared" si="599"/>
        <v>0</v>
      </c>
      <c r="T148" s="1710">
        <f t="shared" si="599"/>
        <v>0</v>
      </c>
      <c r="U148" s="1711">
        <f>SUM(N148:T148)</f>
        <v>2</v>
      </c>
      <c r="V148" s="739"/>
      <c r="W148" s="1770"/>
      <c r="X148" s="1771"/>
      <c r="Y148" s="1772">
        <f t="shared" ref="Y148:AE148" si="600">SUM(Y149:Y153)</f>
        <v>0</v>
      </c>
      <c r="Z148" s="1772">
        <f t="shared" si="600"/>
        <v>1</v>
      </c>
      <c r="AA148" s="1772">
        <f t="shared" si="600"/>
        <v>4</v>
      </c>
      <c r="AB148" s="1772">
        <f t="shared" si="600"/>
        <v>0</v>
      </c>
      <c r="AC148" s="1772">
        <f t="shared" si="600"/>
        <v>0</v>
      </c>
      <c r="AD148" s="1772">
        <f t="shared" si="600"/>
        <v>0</v>
      </c>
      <c r="AE148" s="1772">
        <f t="shared" si="600"/>
        <v>0</v>
      </c>
      <c r="AF148" s="775"/>
      <c r="AG148" s="752"/>
      <c r="AH148" s="1710">
        <f>SUM(AH149:AH153)</f>
        <v>0</v>
      </c>
      <c r="AI148" s="1710">
        <f t="shared" ref="AI148" si="601">SUM(AI149:AI153)</f>
        <v>0</v>
      </c>
      <c r="AJ148" s="1710">
        <f t="shared" ref="AJ148" si="602">SUM(AJ149:AJ153)</f>
        <v>0</v>
      </c>
      <c r="AK148" s="1710">
        <f t="shared" ref="AK148" si="603">SUM(AK149:AK153)</f>
        <v>0</v>
      </c>
      <c r="AL148" s="1710">
        <f t="shared" ref="AL148" si="604">SUM(AL149:AL153)</f>
        <v>0</v>
      </c>
      <c r="AM148" s="1710">
        <f t="shared" ref="AM148" si="605">SUM(AM149:AM153)</f>
        <v>0</v>
      </c>
      <c r="AN148" s="1710">
        <f t="shared" ref="AN148" si="606">SUM(AN149:AN153)</f>
        <v>0</v>
      </c>
      <c r="AO148" s="1719">
        <f>SUM(AH148:AN148)</f>
        <v>0</v>
      </c>
      <c r="AP148" s="739"/>
      <c r="AQ148" s="1772"/>
      <c r="AR148" s="1772"/>
      <c r="AS148" s="1772"/>
      <c r="AT148" s="1772"/>
      <c r="AU148" s="1772"/>
      <c r="AV148" s="1772"/>
      <c r="AW148" s="1772"/>
      <c r="AX148" s="1772"/>
      <c r="AY148" s="1772"/>
      <c r="AZ148" s="739"/>
      <c r="BA148" s="752"/>
      <c r="BB148" s="1710">
        <f>SUM(BB149:BB153)</f>
        <v>0</v>
      </c>
      <c r="BC148" s="1710">
        <f t="shared" ref="BC148" si="607">SUM(BC149:BC153)</f>
        <v>0</v>
      </c>
      <c r="BD148" s="1710">
        <f t="shared" ref="BD148" si="608">SUM(BD149:BD153)</f>
        <v>0</v>
      </c>
      <c r="BE148" s="1710">
        <f t="shared" ref="BE148" si="609">SUM(BE149:BE153)</f>
        <v>0</v>
      </c>
      <c r="BF148" s="1710">
        <f t="shared" ref="BF148" si="610">SUM(BF149:BF153)</f>
        <v>0</v>
      </c>
      <c r="BG148" s="1710">
        <f t="shared" ref="BG148" si="611">SUM(BG149:BG153)</f>
        <v>0</v>
      </c>
      <c r="BH148" s="1710">
        <f t="shared" ref="BH148" si="612">SUM(BH149:BH153)</f>
        <v>0</v>
      </c>
      <c r="BI148" s="1719">
        <f>SUM(BB148:BH148)</f>
        <v>0</v>
      </c>
      <c r="BJ148" s="739"/>
      <c r="BK148" s="506"/>
      <c r="BL148" s="506"/>
      <c r="BM148" s="506"/>
      <c r="BN148" s="506"/>
      <c r="BO148" s="506"/>
      <c r="BP148" s="506"/>
      <c r="BQ148" s="506"/>
      <c r="BR148" s="506"/>
      <c r="BS148" s="506"/>
      <c r="BT148" s="506"/>
      <c r="BU148" s="472"/>
      <c r="BV148" s="1710">
        <f>SUM(BV149:BV153)</f>
        <v>0</v>
      </c>
      <c r="BW148" s="1710">
        <f t="shared" ref="BW148" si="613">SUM(BW149:BW153)</f>
        <v>0</v>
      </c>
      <c r="BX148" s="1710">
        <f t="shared" ref="BX148" si="614">SUM(BX149:BX153)</f>
        <v>0</v>
      </c>
      <c r="BY148" s="1710">
        <f t="shared" ref="BY148" si="615">SUM(BY149:BY153)</f>
        <v>0</v>
      </c>
      <c r="BZ148" s="1710">
        <f t="shared" ref="BZ148" si="616">SUM(BZ149:BZ153)</f>
        <v>0</v>
      </c>
      <c r="CA148" s="1710">
        <f t="shared" ref="CA148" si="617">SUM(CA149:CA153)</f>
        <v>0</v>
      </c>
      <c r="CB148" s="1710">
        <f t="shared" ref="CB148" si="618">SUM(CB149:CB153)</f>
        <v>0</v>
      </c>
      <c r="CC148" s="1719">
        <f>SUM(BV148:CB148)</f>
        <v>0</v>
      </c>
      <c r="CD148" s="506"/>
      <c r="CE148" s="506"/>
      <c r="CF148" s="506"/>
      <c r="CG148" s="506"/>
      <c r="CH148" s="506"/>
      <c r="CI148" s="506"/>
      <c r="CJ148" s="506"/>
      <c r="CK148" s="506"/>
      <c r="CL148" s="506"/>
      <c r="CM148" s="506"/>
      <c r="CN148" s="506"/>
      <c r="CO148" s="472"/>
      <c r="CP148" s="1710">
        <f>SUM(CP149:CP153)</f>
        <v>0</v>
      </c>
      <c r="CQ148" s="1710">
        <f t="shared" ref="CQ148" si="619">SUM(CQ149:CQ153)</f>
        <v>0</v>
      </c>
      <c r="CR148" s="1710">
        <f t="shared" ref="CR148" si="620">SUM(CR149:CR153)</f>
        <v>0</v>
      </c>
      <c r="CS148" s="1710">
        <f t="shared" ref="CS148" si="621">SUM(CS149:CS153)</f>
        <v>0</v>
      </c>
      <c r="CT148" s="1710">
        <f t="shared" ref="CT148" si="622">SUM(CT149:CT153)</f>
        <v>0</v>
      </c>
      <c r="CU148" s="1710">
        <f t="shared" ref="CU148" si="623">SUM(CU149:CU153)</f>
        <v>0</v>
      </c>
      <c r="CV148" s="1710">
        <f t="shared" ref="CV148" si="624">SUM(CV149:CV153)</f>
        <v>0</v>
      </c>
      <c r="CW148" s="1719">
        <f>SUM(CP148:CV148)</f>
        <v>0</v>
      </c>
      <c r="CX148" s="506"/>
      <c r="CY148" s="506"/>
      <c r="CZ148" s="506"/>
      <c r="DA148" s="506"/>
      <c r="DB148" s="506"/>
      <c r="DC148" s="506"/>
      <c r="DD148" s="506"/>
      <c r="DE148" s="506"/>
      <c r="DF148" s="506"/>
      <c r="DG148" s="506"/>
      <c r="DH148" s="506"/>
      <c r="DI148" s="472"/>
      <c r="DJ148" s="506"/>
      <c r="DK148" s="506"/>
      <c r="DL148" s="506"/>
      <c r="DM148" s="506"/>
      <c r="DN148" s="506"/>
      <c r="DO148" s="506"/>
      <c r="DP148" s="506"/>
      <c r="DQ148" s="739"/>
      <c r="DR148" s="506"/>
      <c r="DS148" s="506"/>
      <c r="DT148" s="506"/>
      <c r="DU148" s="506"/>
      <c r="DV148" s="506"/>
      <c r="DW148" s="506"/>
      <c r="DX148" s="506"/>
      <c r="DY148" s="506"/>
      <c r="DZ148" s="506"/>
      <c r="EA148" s="506"/>
      <c r="EB148" s="506"/>
      <c r="EC148" s="472"/>
      <c r="ED148" s="506"/>
      <c r="EE148" s="506"/>
      <c r="EF148" s="506"/>
      <c r="EG148" s="506"/>
      <c r="EH148" s="506"/>
      <c r="EI148" s="506"/>
      <c r="EJ148" s="506"/>
      <c r="EK148" s="506"/>
      <c r="EL148" s="506"/>
      <c r="EM148" s="506"/>
    </row>
    <row r="149" spans="1:143" ht="61.5" thickTop="1" thickBot="1">
      <c r="A149" s="130" t="str">
        <f>CONCATENATE('3 pr-2'!A149)</f>
        <v>2.1.3.1.1</v>
      </c>
      <c r="B149" s="130" t="str">
        <f>CONCATENATE('3 pr-2'!B149)</f>
        <v>R01-4407-270000-2311</v>
      </c>
      <c r="C149" s="1730" t="str">
        <f>CONCATENATE('ketv. 2'!B148)</f>
        <v>08.1.1-CPVA-R-407-11-0002</v>
      </c>
      <c r="D149" s="11" t="str">
        <f>CONCATENATE('3 pr-2'!D149)</f>
        <v>Socialinių paslaugų infrastruktūros plėtra Varėnos rajono savivaldybėje</v>
      </c>
      <c r="E149" s="11" t="str">
        <f>CONCATENATE('3 pr-2'!E149)</f>
        <v>Varėnos rajono savivaldybės administracija</v>
      </c>
      <c r="F149" s="11" t="str">
        <f>CONCATENATE('3 pr-2'!F149)</f>
        <v>Lietuvos Respublikos socialinės apsaugos ir darbo ministerija</v>
      </c>
      <c r="G149" s="11" t="str">
        <f>CONCATENATE('3 pr-2'!G149)</f>
        <v>Varėnos r. sav.</v>
      </c>
      <c r="H149" s="130" t="str">
        <f>CONCATENATE('3 pr-2'!H149)</f>
        <v>08.1.1-CPVA-R-407</v>
      </c>
      <c r="I149" s="130" t="str">
        <f>CONCATENATE('3 pr-2'!I149)</f>
        <v>R</v>
      </c>
      <c r="J149" s="130" t="str">
        <f>CONCATENATE('3 pr-2'!J149)</f>
        <v>-</v>
      </c>
      <c r="K149" s="130" t="str">
        <f>CONCATENATE('3 pr-2'!K149)</f>
        <v>-</v>
      </c>
      <c r="L149" s="130" t="s">
        <v>515</v>
      </c>
      <c r="M149" s="471" t="s">
        <v>516</v>
      </c>
      <c r="N149" s="1699"/>
      <c r="O149" s="1699"/>
      <c r="P149" s="1699"/>
      <c r="Q149" s="1699"/>
      <c r="R149" s="1699"/>
      <c r="S149" s="1699"/>
      <c r="T149" s="1699"/>
      <c r="U149" s="1700">
        <f t="shared" ref="U149:U154" si="625">SUM(N149:T149)</f>
        <v>0</v>
      </c>
      <c r="V149" s="130">
        <v>1</v>
      </c>
      <c r="W149" s="1757" t="str">
        <f>IF('ketv. 6 '!L148&gt;0,"1",0)</f>
        <v>1</v>
      </c>
      <c r="X149" s="1732">
        <f t="shared" ref="X149:X153" si="626">SUM(W149-V149)</f>
        <v>0</v>
      </c>
      <c r="Y149" s="1732">
        <f>IF(YEAR('3 pr-2'!$AK149)=2017,$V149,0)</f>
        <v>0</v>
      </c>
      <c r="Z149" s="1732">
        <f>IF(YEAR('3 pr-2'!$AK149)=2018,$V149,0)</f>
        <v>1</v>
      </c>
      <c r="AA149" s="1732">
        <f>IF(YEAR('3 pr-2'!$AK149)=2019,$V149,0)</f>
        <v>0</v>
      </c>
      <c r="AB149" s="1732">
        <f>IF(YEAR('3 pr-2'!$AK149)=2020,$V149,0)</f>
        <v>0</v>
      </c>
      <c r="AC149" s="1732">
        <f>IF(YEAR('3 pr-2'!$AK149)=2021,$V149,0)</f>
        <v>0</v>
      </c>
      <c r="AD149" s="1732">
        <f>IF(YEAR('3 pr-2'!$AK149)=2022,$V149,0)</f>
        <v>0</v>
      </c>
      <c r="AE149" s="1732">
        <f>IF(YEAR('3 pr-2'!$AK149)=2023,$V149,0)</f>
        <v>0</v>
      </c>
      <c r="AF149" s="317"/>
      <c r="AG149" s="471"/>
      <c r="AH149" s="1699"/>
      <c r="AI149" s="1699"/>
      <c r="AJ149" s="1699"/>
      <c r="AK149" s="1699"/>
      <c r="AL149" s="1699"/>
      <c r="AM149" s="1699"/>
      <c r="AN149" s="1699"/>
      <c r="AO149" s="1718">
        <f t="shared" ref="AO149:AO159" si="627">SUM(AH149:AN149)</f>
        <v>0</v>
      </c>
      <c r="AP149" s="130"/>
      <c r="AQ149" s="1778"/>
      <c r="AR149" s="1732"/>
      <c r="AS149" s="1732">
        <f>IF(YEAR('3 pr-2'!$AK149)=2017,$AP149,0)</f>
        <v>0</v>
      </c>
      <c r="AT149" s="1732">
        <f>IF(YEAR('3 pr-2'!$AK149)=2018,$AP149,0)</f>
        <v>0</v>
      </c>
      <c r="AU149" s="1732">
        <f>IF(YEAR('3 pr-2'!$AK149)=2019,$AP149,0)</f>
        <v>0</v>
      </c>
      <c r="AV149" s="1732">
        <f>IF(YEAR('3 pr-2'!$AK149)=2020,$AP149,0)</f>
        <v>0</v>
      </c>
      <c r="AW149" s="1732">
        <f>IF(YEAR('3 pr-2'!$AK149)=2021,$AP149,0)</f>
        <v>0</v>
      </c>
      <c r="AX149" s="1732">
        <f>IF(YEAR('3 pr-2'!$AK149)=2022,$AP149,0)</f>
        <v>0</v>
      </c>
      <c r="AY149" s="1732">
        <f>IF(YEAR('3 pr-2'!$AK149)=2023,$AP149,0)</f>
        <v>0</v>
      </c>
      <c r="AZ149" s="130"/>
      <c r="BA149" s="470"/>
      <c r="BB149" s="1699"/>
      <c r="BC149" s="1699"/>
      <c r="BD149" s="1699"/>
      <c r="BE149" s="1699"/>
      <c r="BF149" s="1699"/>
      <c r="BG149" s="1699"/>
      <c r="BH149" s="1699"/>
      <c r="BI149" s="1718">
        <f t="shared" ref="BI149:BI159" si="628">SUM(BB149:BH149)</f>
        <v>0</v>
      </c>
      <c r="BJ149" s="130"/>
      <c r="BK149" s="1501"/>
      <c r="BL149" s="130"/>
      <c r="BM149" s="130">
        <f>IF('3 pr-2'!AK149=2017,BJ149,0)</f>
        <v>0</v>
      </c>
      <c r="BN149" s="130">
        <f>IF('3 pr-2'!AK149=2018,BJ149,0)</f>
        <v>0</v>
      </c>
      <c r="BO149" s="130">
        <f>IF('3 pr-2'!AK149=2019,BJ149,0)</f>
        <v>0</v>
      </c>
      <c r="BP149" s="130">
        <f>IF('3 pr-2'!AK149=2020,BJ149,0)</f>
        <v>0</v>
      </c>
      <c r="BQ149" s="130">
        <f>IF('3 pr-2'!AK149=2021,BJ149,0)</f>
        <v>0</v>
      </c>
      <c r="BR149" s="130">
        <f>IF('3 pr-2'!AK149=2022,BJ149,0)</f>
        <v>0</v>
      </c>
      <c r="BS149" s="130">
        <f>IF('3 pr-2'!AK149=2023,BJ149,0)</f>
        <v>0</v>
      </c>
      <c r="BT149" s="317"/>
      <c r="BU149" s="471"/>
      <c r="BV149" s="1699"/>
      <c r="BW149" s="1699"/>
      <c r="BX149" s="1699"/>
      <c r="BY149" s="1699"/>
      <c r="BZ149" s="1699"/>
      <c r="CA149" s="1699"/>
      <c r="CB149" s="1699"/>
      <c r="CC149" s="1718">
        <f t="shared" ref="CC149:CC159" si="629">SUM(BV149:CB149)</f>
        <v>0</v>
      </c>
      <c r="CD149" s="130"/>
      <c r="CE149" s="130"/>
      <c r="CF149" s="130"/>
      <c r="CG149" s="130">
        <f>IF(YEAR('3 pr-2'!$AK149)=2017,$CD149,0)</f>
        <v>0</v>
      </c>
      <c r="CH149" s="130">
        <f>IF(YEAR('3 pr-2'!$AK149)=2018,$CD149,0)</f>
        <v>0</v>
      </c>
      <c r="CI149" s="130">
        <f>IF(YEAR('3 pr-2'!$AK149)=2019,$CD149,0)</f>
        <v>0</v>
      </c>
      <c r="CJ149" s="130">
        <f>IF(YEAR('3 pr-2'!$AK149)=2020,$CD149,0)</f>
        <v>0</v>
      </c>
      <c r="CK149" s="130">
        <f>IF(YEAR('3 pr-2'!$AK149)=2021,$CD149,0)</f>
        <v>0</v>
      </c>
      <c r="CL149" s="130">
        <f>IF(YEAR('3 pr-2'!$AK149)=2022,$CD149,0)</f>
        <v>0</v>
      </c>
      <c r="CM149" s="130">
        <f>IF(YEAR('3 pr-2'!$AK149)=2023,$CD149,0)</f>
        <v>0</v>
      </c>
      <c r="CN149" s="317"/>
      <c r="CO149" s="472"/>
      <c r="CP149" s="1699"/>
      <c r="CQ149" s="1699"/>
      <c r="CR149" s="1699"/>
      <c r="CS149" s="1699"/>
      <c r="CT149" s="1699"/>
      <c r="CU149" s="1699"/>
      <c r="CV149" s="1699"/>
      <c r="CW149" s="1718">
        <f t="shared" ref="CW149:CW159" si="630">SUM(CP149:CV149)</f>
        <v>0</v>
      </c>
      <c r="CX149" s="318"/>
      <c r="CY149" s="303"/>
      <c r="CZ149" s="303"/>
      <c r="DA149" s="506">
        <f>IF(YEAR('3 pr-2'!AK149)=2017,CX149,0)</f>
        <v>0</v>
      </c>
      <c r="DB149" s="506">
        <f>IF(YEAR('3 pr-2'!AK149)=2018,CX149,0)</f>
        <v>0</v>
      </c>
      <c r="DC149" s="506">
        <f>IF(YEAR('3 pr-2'!AK149)=2019,CX149,0)</f>
        <v>0</v>
      </c>
      <c r="DD149" s="506">
        <f>IF(YEAR('3 pr-2'!AK149)=2020,CX149,0)</f>
        <v>0</v>
      </c>
      <c r="DE149" s="506">
        <f>IF(YEAR('3 pr-2'!AK149)=2021,CX149,0)</f>
        <v>0</v>
      </c>
      <c r="DF149" s="506">
        <f>IF(YEAR('3 pr-2'!AK149)=2022,CX149,0)</f>
        <v>0</v>
      </c>
      <c r="DG149" s="506">
        <f>IF(YEAR('3 pr-2'!AK149)=2023,CX149,0)</f>
        <v>0</v>
      </c>
      <c r="DH149" s="317"/>
      <c r="DI149" s="472"/>
      <c r="DJ149" s="130"/>
      <c r="DK149" s="130"/>
      <c r="DL149" s="130"/>
      <c r="DM149" s="130"/>
      <c r="DN149" s="130"/>
      <c r="DO149" s="130"/>
      <c r="DP149" s="130"/>
      <c r="DQ149" s="756"/>
      <c r="DR149" s="318"/>
      <c r="DS149" s="303"/>
      <c r="DT149" s="303"/>
      <c r="DU149" s="506"/>
      <c r="DV149" s="506"/>
      <c r="DW149" s="506"/>
      <c r="DX149" s="506"/>
      <c r="DY149" s="506"/>
      <c r="DZ149" s="506"/>
      <c r="EA149" s="506"/>
      <c r="EB149" s="317"/>
      <c r="EC149" s="472"/>
      <c r="ED149" s="303"/>
      <c r="EE149" s="303"/>
      <c r="EF149" s="303"/>
      <c r="EG149" s="506">
        <f>IF(YEAR('3 pr-2'!BP149)=2017,ED149,0)</f>
        <v>0</v>
      </c>
      <c r="EH149" s="506">
        <f>IF(YEAR('3 pr-2'!BP149)=2018,ED149,0)</f>
        <v>0</v>
      </c>
      <c r="EI149" s="506">
        <f>IF(YEAR('3 pr-2'!BP149)=2019,ED149,0)</f>
        <v>0</v>
      </c>
      <c r="EJ149" s="506">
        <f>IF(YEAR('3 pr-2'!BP149)=2020,ED149,0)</f>
        <v>0</v>
      </c>
      <c r="EK149" s="506">
        <f>IF(YEAR('3 pr-2'!BP149)=2021,ED149,0)</f>
        <v>0</v>
      </c>
      <c r="EL149" s="506">
        <f>IF(YEAR('3 pr-2'!BP149)=2022,ED149,0)</f>
        <v>0</v>
      </c>
      <c r="EM149" s="506">
        <f>IF(YEAR('3 pr-2'!BP149)=2023,ED149,0)</f>
        <v>0</v>
      </c>
    </row>
    <row r="150" spans="1:143" ht="61.5" thickTop="1" thickBot="1">
      <c r="A150" s="130" t="str">
        <f>CONCATENATE('3 pr-2'!A150)</f>
        <v>2.1.3.1.2</v>
      </c>
      <c r="B150" s="130" t="str">
        <f>CONCATENATE('3 pr-2'!B150)</f>
        <v>R01-4407-274800-2312</v>
      </c>
      <c r="C150" s="1730" t="str">
        <f>CONCATENATE('ketv. 2'!B149)</f>
        <v>08.1.1-CPVA-R-407-11-0004</v>
      </c>
      <c r="D150" s="11" t="str">
        <f>CONCATENATE('3 pr-2'!D150)</f>
        <v>Psichosocialinės pagalbos centro įkūrimas</v>
      </c>
      <c r="E150" s="11" t="str">
        <f>CONCATENATE('3 pr-2'!E150)</f>
        <v>Alytaus rajono savivaldybės administracija</v>
      </c>
      <c r="F150" s="11" t="str">
        <f>CONCATENATE('3 pr-2'!F150)</f>
        <v>Lietuvos Respublikos socialinės apsaugos ir darbo ministerija</v>
      </c>
      <c r="G150" s="11" t="str">
        <f>CONCATENATE('3 pr-2'!G150)</f>
        <v>Alytaus r. sav.</v>
      </c>
      <c r="H150" s="130" t="str">
        <f>CONCATENATE('3 pr-2'!H150)</f>
        <v>08.1.1-CPVA-R-407</v>
      </c>
      <c r="I150" s="130" t="str">
        <f>CONCATENATE('3 pr-2'!I150)</f>
        <v>R</v>
      </c>
      <c r="J150" s="130" t="str">
        <f>CONCATENATE('3 pr-2'!J150)</f>
        <v/>
      </c>
      <c r="K150" s="130" t="str">
        <f>CONCATENATE('3 pr-2'!K150)</f>
        <v>-</v>
      </c>
      <c r="L150" s="130" t="s">
        <v>515</v>
      </c>
      <c r="M150" s="471" t="s">
        <v>516</v>
      </c>
      <c r="N150" s="1699"/>
      <c r="O150" s="1699"/>
      <c r="P150" s="1699"/>
      <c r="Q150" s="1699"/>
      <c r="R150" s="1699"/>
      <c r="S150" s="1699"/>
      <c r="T150" s="1699"/>
      <c r="U150" s="1700">
        <f t="shared" si="625"/>
        <v>0</v>
      </c>
      <c r="V150" s="130">
        <v>1</v>
      </c>
      <c r="W150" s="1757" t="str">
        <f>IF('ketv. 6 '!L149&gt;0,"1",0)</f>
        <v>1</v>
      </c>
      <c r="X150" s="1732">
        <f t="shared" si="626"/>
        <v>0</v>
      </c>
      <c r="Y150" s="1732">
        <f>IF(YEAR('3 pr-2'!$AK150)=2017,$V150,0)</f>
        <v>0</v>
      </c>
      <c r="Z150" s="1732">
        <f>IF(YEAR('3 pr-2'!$AK150)=2018,$V150,0)</f>
        <v>0</v>
      </c>
      <c r="AA150" s="1732">
        <f>IF(YEAR('3 pr-2'!$AK150)=2019,$V150,0)</f>
        <v>1</v>
      </c>
      <c r="AB150" s="1732">
        <f>IF(YEAR('3 pr-2'!$AK150)=2020,$V150,0)</f>
        <v>0</v>
      </c>
      <c r="AC150" s="1732">
        <f>IF(YEAR('3 pr-2'!$AK150)=2021,$V150,0)</f>
        <v>0</v>
      </c>
      <c r="AD150" s="1732">
        <f>IF(YEAR('3 pr-2'!$AK150)=2022,$V150,0)</f>
        <v>0</v>
      </c>
      <c r="AE150" s="1732">
        <f>IF(YEAR('3 pr-2'!$AK150)=2023,$V150,0)</f>
        <v>0</v>
      </c>
      <c r="AF150" s="317"/>
      <c r="AG150" s="471"/>
      <c r="AH150" s="1699"/>
      <c r="AI150" s="1699"/>
      <c r="AJ150" s="1699"/>
      <c r="AK150" s="1699"/>
      <c r="AL150" s="1699"/>
      <c r="AM150" s="1699"/>
      <c r="AN150" s="1699"/>
      <c r="AO150" s="1718">
        <f t="shared" si="627"/>
        <v>0</v>
      </c>
      <c r="AP150" s="130"/>
      <c r="AQ150" s="1778"/>
      <c r="AR150" s="1732"/>
      <c r="AS150" s="1732">
        <f>IF(YEAR('3 pr-2'!$AK150)=2017,$AP150,0)</f>
        <v>0</v>
      </c>
      <c r="AT150" s="1732">
        <f>IF(YEAR('3 pr-2'!$AK150)=2018,$AP150,0)</f>
        <v>0</v>
      </c>
      <c r="AU150" s="1732">
        <f>IF(YEAR('3 pr-2'!$AK150)=2019,$AP150,0)</f>
        <v>0</v>
      </c>
      <c r="AV150" s="1732">
        <f>IF(YEAR('3 pr-2'!$AK150)=2020,$AP150,0)</f>
        <v>0</v>
      </c>
      <c r="AW150" s="1732">
        <f>IF(YEAR('3 pr-2'!$AK150)=2021,$AP150,0)</f>
        <v>0</v>
      </c>
      <c r="AX150" s="1732">
        <f>IF(YEAR('3 pr-2'!$AK150)=2022,$AP150,0)</f>
        <v>0</v>
      </c>
      <c r="AY150" s="1732">
        <f>IF(YEAR('3 pr-2'!$AK150)=2023,$AP150,0)</f>
        <v>0</v>
      </c>
      <c r="AZ150" s="130"/>
      <c r="BA150" s="470"/>
      <c r="BB150" s="1699"/>
      <c r="BC150" s="1699"/>
      <c r="BD150" s="1699"/>
      <c r="BE150" s="1699"/>
      <c r="BF150" s="1699"/>
      <c r="BG150" s="1699"/>
      <c r="BH150" s="1699"/>
      <c r="BI150" s="1718">
        <f t="shared" si="628"/>
        <v>0</v>
      </c>
      <c r="BJ150" s="130"/>
      <c r="BK150" s="1501"/>
      <c r="BL150" s="130"/>
      <c r="BM150" s="130">
        <f>IF('3 pr-2'!AK150=2017,BJ150,0)</f>
        <v>0</v>
      </c>
      <c r="BN150" s="130">
        <f>IF('3 pr-2'!AK150=2018,BJ150,0)</f>
        <v>0</v>
      </c>
      <c r="BO150" s="130">
        <f>IF('3 pr-2'!AK150=2019,BJ150,0)</f>
        <v>0</v>
      </c>
      <c r="BP150" s="130">
        <f>IF('3 pr-2'!AK150=2020,BJ150,0)</f>
        <v>0</v>
      </c>
      <c r="BQ150" s="130">
        <f>IF('3 pr-2'!AK150=2021,BJ150,0)</f>
        <v>0</v>
      </c>
      <c r="BR150" s="130">
        <f>IF('3 pr-2'!AK150=2022,BJ150,0)</f>
        <v>0</v>
      </c>
      <c r="BS150" s="130">
        <f>IF('3 pr-2'!AK150=2023,BJ150,0)</f>
        <v>0</v>
      </c>
      <c r="BT150" s="317"/>
      <c r="BU150" s="471"/>
      <c r="BV150" s="1699"/>
      <c r="BW150" s="1699"/>
      <c r="BX150" s="1699"/>
      <c r="BY150" s="1699"/>
      <c r="BZ150" s="1699"/>
      <c r="CA150" s="1699"/>
      <c r="CB150" s="1699"/>
      <c r="CC150" s="1718">
        <f t="shared" si="629"/>
        <v>0</v>
      </c>
      <c r="CD150" s="130"/>
      <c r="CE150" s="130"/>
      <c r="CF150" s="130"/>
      <c r="CG150" s="130">
        <f>IF(YEAR('3 pr-2'!$AK150)=2017,$CD150,0)</f>
        <v>0</v>
      </c>
      <c r="CH150" s="130">
        <f>IF(YEAR('3 pr-2'!$AK150)=2018,$CD150,0)</f>
        <v>0</v>
      </c>
      <c r="CI150" s="130">
        <f>IF(YEAR('3 pr-2'!$AK150)=2019,$CD150,0)</f>
        <v>0</v>
      </c>
      <c r="CJ150" s="130">
        <f>IF(YEAR('3 pr-2'!$AK150)=2020,$CD150,0)</f>
        <v>0</v>
      </c>
      <c r="CK150" s="130">
        <f>IF(YEAR('3 pr-2'!$AK150)=2021,$CD150,0)</f>
        <v>0</v>
      </c>
      <c r="CL150" s="130">
        <f>IF(YEAR('3 pr-2'!$AK150)=2022,$CD150,0)</f>
        <v>0</v>
      </c>
      <c r="CM150" s="130">
        <f>IF(YEAR('3 pr-2'!$AK150)=2023,$CD150,0)</f>
        <v>0</v>
      </c>
      <c r="CN150" s="317"/>
      <c r="CO150" s="472"/>
      <c r="CP150" s="1699"/>
      <c r="CQ150" s="1699"/>
      <c r="CR150" s="1699"/>
      <c r="CS150" s="1699"/>
      <c r="CT150" s="1699"/>
      <c r="CU150" s="1699"/>
      <c r="CV150" s="1699"/>
      <c r="CW150" s="1718">
        <f t="shared" si="630"/>
        <v>0</v>
      </c>
      <c r="CX150" s="318"/>
      <c r="CY150" s="303"/>
      <c r="CZ150" s="303"/>
      <c r="DA150" s="506">
        <f>IF(YEAR('3 pr-2'!AK150)=2017,CX150,0)</f>
        <v>0</v>
      </c>
      <c r="DB150" s="506">
        <f>IF(YEAR('3 pr-2'!AK150)=2018,CX150,0)</f>
        <v>0</v>
      </c>
      <c r="DC150" s="506">
        <f>IF(YEAR('3 pr-2'!AK150)=2019,CX150,0)</f>
        <v>0</v>
      </c>
      <c r="DD150" s="506">
        <f>IF(YEAR('3 pr-2'!AK150)=2020,CX150,0)</f>
        <v>0</v>
      </c>
      <c r="DE150" s="506">
        <f>IF(YEAR('3 pr-2'!AK150)=2021,CX150,0)</f>
        <v>0</v>
      </c>
      <c r="DF150" s="506">
        <f>IF(YEAR('3 pr-2'!AK150)=2022,CX150,0)</f>
        <v>0</v>
      </c>
      <c r="DG150" s="506">
        <f>IF(YEAR('3 pr-2'!AK150)=2023,CX150,0)</f>
        <v>0</v>
      </c>
      <c r="DH150" s="317"/>
      <c r="DI150" s="472"/>
      <c r="DJ150" s="130"/>
      <c r="DK150" s="130"/>
      <c r="DL150" s="130"/>
      <c r="DM150" s="130"/>
      <c r="DN150" s="130"/>
      <c r="DO150" s="130"/>
      <c r="DP150" s="130"/>
      <c r="DQ150" s="756"/>
      <c r="DR150" s="318"/>
      <c r="DS150" s="303"/>
      <c r="DT150" s="303"/>
      <c r="DU150" s="506"/>
      <c r="DV150" s="506"/>
      <c r="DW150" s="506"/>
      <c r="DX150" s="506"/>
      <c r="DY150" s="506"/>
      <c r="DZ150" s="506"/>
      <c r="EA150" s="506"/>
      <c r="EB150" s="317"/>
      <c r="EC150" s="472"/>
      <c r="ED150" s="303"/>
      <c r="EE150" s="303"/>
      <c r="EF150" s="303"/>
      <c r="EG150" s="506">
        <f>IF(YEAR('3 pr-2'!BP150)=2017,ED150,0)</f>
        <v>0</v>
      </c>
      <c r="EH150" s="506">
        <f>IF(YEAR('3 pr-2'!BP150)=2018,ED150,0)</f>
        <v>0</v>
      </c>
      <c r="EI150" s="506">
        <f>IF(YEAR('3 pr-2'!BP150)=2019,ED150,0)</f>
        <v>0</v>
      </c>
      <c r="EJ150" s="506">
        <f>IF(YEAR('3 pr-2'!BP150)=2020,ED150,0)</f>
        <v>0</v>
      </c>
      <c r="EK150" s="506">
        <f>IF(YEAR('3 pr-2'!BP150)=2021,ED150,0)</f>
        <v>0</v>
      </c>
      <c r="EL150" s="506">
        <f>IF(YEAR('3 pr-2'!BP150)=2022,ED150,0)</f>
        <v>0</v>
      </c>
      <c r="EM150" s="506">
        <f>IF(YEAR('3 pr-2'!BP150)=2023,ED150,0)</f>
        <v>0</v>
      </c>
    </row>
    <row r="151" spans="1:143" ht="61.5" thickTop="1" thickBot="1">
      <c r="A151" s="130" t="str">
        <f>CONCATENATE('3 pr-2'!A151)</f>
        <v>2.1.3.1.3</v>
      </c>
      <c r="B151" s="130" t="str">
        <f>CONCATENATE('3 pr-2'!B151)</f>
        <v>R01-4407-270000-2313</v>
      </c>
      <c r="C151" s="1730" t="str">
        <f>CONCATENATE('ketv. 2'!B150)</f>
        <v>08.1.1-CPVA-R-407-11-0005</v>
      </c>
      <c r="D151" s="11" t="str">
        <f>CONCATENATE('3 pr-2'!D151)</f>
        <v>Socialinių paslaugų plėtra Alytaus mieste</v>
      </c>
      <c r="E151" s="11" t="str">
        <f>CONCATENATE('3 pr-2'!E151)</f>
        <v>Alytaus miesto savivaldybės administracija</v>
      </c>
      <c r="F151" s="11" t="str">
        <f>CONCATENATE('3 pr-2'!F151)</f>
        <v>Lietuvos Respublikos socialinės apsaugos ir darbo ministerija</v>
      </c>
      <c r="G151" s="11" t="str">
        <f>CONCATENATE('3 pr-2'!G151)</f>
        <v>Alytaus m. sav.</v>
      </c>
      <c r="H151" s="130" t="str">
        <f>CONCATENATE('3 pr-2'!H151)</f>
        <v>08.1.1-CPVA-R-407</v>
      </c>
      <c r="I151" s="130" t="str">
        <f>CONCATENATE('3 pr-2'!I151)</f>
        <v>R</v>
      </c>
      <c r="J151" s="130" t="str">
        <f>CONCATENATE('3 pr-2'!J151)</f>
        <v>-</v>
      </c>
      <c r="K151" s="130" t="str">
        <f>CONCATENATE('3 pr-2'!K151)</f>
        <v>-</v>
      </c>
      <c r="L151" s="130" t="s">
        <v>515</v>
      </c>
      <c r="M151" s="471" t="s">
        <v>517</v>
      </c>
      <c r="N151" s="1699"/>
      <c r="O151" s="1699">
        <v>1</v>
      </c>
      <c r="P151" s="1699"/>
      <c r="Q151" s="1699"/>
      <c r="R151" s="1699"/>
      <c r="S151" s="1699"/>
      <c r="T151" s="1699"/>
      <c r="U151" s="1700">
        <f t="shared" si="625"/>
        <v>1</v>
      </c>
      <c r="V151" s="130">
        <v>1</v>
      </c>
      <c r="W151" s="1757" t="str">
        <f>IF('ketv. 6 '!L150&gt;0,"1",0)</f>
        <v>1</v>
      </c>
      <c r="X151" s="1732">
        <f t="shared" si="626"/>
        <v>0</v>
      </c>
      <c r="Y151" s="1732">
        <f>IF(YEAR('3 pr-2'!$AK151)=2017,$V151,0)</f>
        <v>0</v>
      </c>
      <c r="Z151" s="1732">
        <f>IF(YEAR('3 pr-2'!$AK151)=2018,$V151,0)</f>
        <v>0</v>
      </c>
      <c r="AA151" s="1732">
        <f>IF(YEAR('3 pr-2'!$AK151)=2019,$V151,0)</f>
        <v>1</v>
      </c>
      <c r="AB151" s="1732">
        <f>IF(YEAR('3 pr-2'!$AK151)=2020,$V151,0)</f>
        <v>0</v>
      </c>
      <c r="AC151" s="1732">
        <f>IF(YEAR('3 pr-2'!$AK151)=2021,$V151,0)</f>
        <v>0</v>
      </c>
      <c r="AD151" s="1732">
        <f>IF(YEAR('3 pr-2'!$AK151)=2022,$V151,0)</f>
        <v>0</v>
      </c>
      <c r="AE151" s="1732">
        <f>IF(YEAR('3 pr-2'!$AK151)=2023,$V151,0)</f>
        <v>0</v>
      </c>
      <c r="AF151" s="317"/>
      <c r="AG151" s="471"/>
      <c r="AH151" s="1699"/>
      <c r="AI151" s="1699"/>
      <c r="AJ151" s="1699"/>
      <c r="AK151" s="1699"/>
      <c r="AL151" s="1699"/>
      <c r="AM151" s="1699"/>
      <c r="AN151" s="1699"/>
      <c r="AO151" s="1718">
        <f t="shared" si="627"/>
        <v>0</v>
      </c>
      <c r="AP151" s="130"/>
      <c r="AQ151" s="1778"/>
      <c r="AR151" s="1732"/>
      <c r="AS151" s="1732">
        <f>IF(YEAR('3 pr-2'!$AK151)=2017,$AP151,0)</f>
        <v>0</v>
      </c>
      <c r="AT151" s="1732">
        <f>IF(YEAR('3 pr-2'!$AK151)=2018,$AP151,0)</f>
        <v>0</v>
      </c>
      <c r="AU151" s="1732">
        <f>IF(YEAR('3 pr-2'!$AK151)=2019,$AP151,0)</f>
        <v>0</v>
      </c>
      <c r="AV151" s="1732">
        <f>IF(YEAR('3 pr-2'!$AK151)=2020,$AP151,0)</f>
        <v>0</v>
      </c>
      <c r="AW151" s="1732">
        <f>IF(YEAR('3 pr-2'!$AK151)=2021,$AP151,0)</f>
        <v>0</v>
      </c>
      <c r="AX151" s="1732">
        <f>IF(YEAR('3 pr-2'!$AK151)=2022,$AP151,0)</f>
        <v>0</v>
      </c>
      <c r="AY151" s="1732">
        <f>IF(YEAR('3 pr-2'!$AK151)=2023,$AP151,0)</f>
        <v>0</v>
      </c>
      <c r="AZ151" s="130"/>
      <c r="BA151" s="470"/>
      <c r="BB151" s="1699"/>
      <c r="BC151" s="1699"/>
      <c r="BD151" s="1699"/>
      <c r="BE151" s="1699"/>
      <c r="BF151" s="1699"/>
      <c r="BG151" s="1699"/>
      <c r="BH151" s="1699"/>
      <c r="BI151" s="1718">
        <f t="shared" si="628"/>
        <v>0</v>
      </c>
      <c r="BJ151" s="130"/>
      <c r="BK151" s="1501"/>
      <c r="BL151" s="130"/>
      <c r="BM151" s="130">
        <f>IF('3 pr-2'!AK151=2017,BJ151,0)</f>
        <v>0</v>
      </c>
      <c r="BN151" s="130">
        <f>IF('3 pr-2'!AK151=2018,BJ151,0)</f>
        <v>0</v>
      </c>
      <c r="BO151" s="130">
        <f>IF('3 pr-2'!AK151=2019,BJ151,0)</f>
        <v>0</v>
      </c>
      <c r="BP151" s="130">
        <f>IF('3 pr-2'!AK151=2020,BJ151,0)</f>
        <v>0</v>
      </c>
      <c r="BQ151" s="130">
        <f>IF('3 pr-2'!AK151=2021,BJ151,0)</f>
        <v>0</v>
      </c>
      <c r="BR151" s="130">
        <f>IF('3 pr-2'!AK151=2022,BJ151,0)</f>
        <v>0</v>
      </c>
      <c r="BS151" s="130">
        <f>IF('3 pr-2'!AK151=2023,BJ151,0)</f>
        <v>0</v>
      </c>
      <c r="BT151" s="317"/>
      <c r="BU151" s="471"/>
      <c r="BV151" s="1699"/>
      <c r="BW151" s="1699"/>
      <c r="BX151" s="1699"/>
      <c r="BY151" s="1699"/>
      <c r="BZ151" s="1699"/>
      <c r="CA151" s="1699"/>
      <c r="CB151" s="1699"/>
      <c r="CC151" s="1718">
        <f t="shared" si="629"/>
        <v>0</v>
      </c>
      <c r="CD151" s="130"/>
      <c r="CE151" s="130"/>
      <c r="CF151" s="130"/>
      <c r="CG151" s="130">
        <f>IF(YEAR('3 pr-2'!$AK151)=2017,$CD151,0)</f>
        <v>0</v>
      </c>
      <c r="CH151" s="130">
        <f>IF(YEAR('3 pr-2'!$AK151)=2018,$CD151,0)</f>
        <v>0</v>
      </c>
      <c r="CI151" s="130">
        <f>IF(YEAR('3 pr-2'!$AK151)=2019,$CD151,0)</f>
        <v>0</v>
      </c>
      <c r="CJ151" s="130">
        <f>IF(YEAR('3 pr-2'!$AK151)=2020,$CD151,0)</f>
        <v>0</v>
      </c>
      <c r="CK151" s="130">
        <f>IF(YEAR('3 pr-2'!$AK151)=2021,$CD151,0)</f>
        <v>0</v>
      </c>
      <c r="CL151" s="130">
        <f>IF(YEAR('3 pr-2'!$AK151)=2022,$CD151,0)</f>
        <v>0</v>
      </c>
      <c r="CM151" s="130">
        <f>IF(YEAR('3 pr-2'!$AK151)=2023,$CD151,0)</f>
        <v>0</v>
      </c>
      <c r="CN151" s="317"/>
      <c r="CO151" s="472"/>
      <c r="CP151" s="1699"/>
      <c r="CQ151" s="1699"/>
      <c r="CR151" s="1699"/>
      <c r="CS151" s="1699"/>
      <c r="CT151" s="1699"/>
      <c r="CU151" s="1699"/>
      <c r="CV151" s="1699"/>
      <c r="CW151" s="1718">
        <f t="shared" si="630"/>
        <v>0</v>
      </c>
      <c r="CX151" s="318"/>
      <c r="CY151" s="303"/>
      <c r="CZ151" s="303"/>
      <c r="DA151" s="506">
        <f>IF(YEAR('3 pr-2'!AK151)=2017,CX151,0)</f>
        <v>0</v>
      </c>
      <c r="DB151" s="506">
        <f>IF(YEAR('3 pr-2'!AK151)=2018,CX151,0)</f>
        <v>0</v>
      </c>
      <c r="DC151" s="506">
        <f>IF(YEAR('3 pr-2'!AK151)=2019,CX151,0)</f>
        <v>0</v>
      </c>
      <c r="DD151" s="506">
        <f>IF(YEAR('3 pr-2'!AK151)=2020,CX151,0)</f>
        <v>0</v>
      </c>
      <c r="DE151" s="506">
        <f>IF(YEAR('3 pr-2'!AK151)=2021,CX151,0)</f>
        <v>0</v>
      </c>
      <c r="DF151" s="506">
        <f>IF(YEAR('3 pr-2'!AK151)=2022,CX151,0)</f>
        <v>0</v>
      </c>
      <c r="DG151" s="506">
        <f>IF(YEAR('3 pr-2'!AK151)=2023,CX151,0)</f>
        <v>0</v>
      </c>
      <c r="DH151" s="317"/>
      <c r="DI151" s="472"/>
      <c r="DJ151" s="130"/>
      <c r="DK151" s="130"/>
      <c r="DL151" s="130"/>
      <c r="DM151" s="130"/>
      <c r="DN151" s="130"/>
      <c r="DO151" s="130"/>
      <c r="DP151" s="130"/>
      <c r="DQ151" s="756"/>
      <c r="DR151" s="318"/>
      <c r="DS151" s="303"/>
      <c r="DT151" s="303"/>
      <c r="DU151" s="506"/>
      <c r="DV151" s="506"/>
      <c r="DW151" s="506"/>
      <c r="DX151" s="506"/>
      <c r="DY151" s="506"/>
      <c r="DZ151" s="506"/>
      <c r="EA151" s="506"/>
      <c r="EB151" s="317"/>
      <c r="EC151" s="472"/>
      <c r="ED151" s="303"/>
      <c r="EE151" s="303"/>
      <c r="EF151" s="303"/>
      <c r="EG151" s="506">
        <f>IF(YEAR('3 pr-2'!BP151)=2017,ED151,0)</f>
        <v>0</v>
      </c>
      <c r="EH151" s="506">
        <f>IF(YEAR('3 pr-2'!BP151)=2018,ED151,0)</f>
        <v>0</v>
      </c>
      <c r="EI151" s="506">
        <f>IF(YEAR('3 pr-2'!BP151)=2019,ED151,0)</f>
        <v>0</v>
      </c>
      <c r="EJ151" s="506">
        <f>IF(YEAR('3 pr-2'!BP151)=2020,ED151,0)</f>
        <v>0</v>
      </c>
      <c r="EK151" s="506">
        <f>IF(YEAR('3 pr-2'!BP151)=2021,ED151,0)</f>
        <v>0</v>
      </c>
      <c r="EL151" s="506">
        <f>IF(YEAR('3 pr-2'!BP151)=2022,ED151,0)</f>
        <v>0</v>
      </c>
      <c r="EM151" s="506">
        <f>IF(YEAR('3 pr-2'!BP151)=2023,ED151,0)</f>
        <v>0</v>
      </c>
    </row>
    <row r="152" spans="1:143" ht="61.5" thickTop="1" thickBot="1">
      <c r="A152" s="130" t="str">
        <f>CONCATENATE('3 pr-2'!A152)</f>
        <v>2.1.3.1.4</v>
      </c>
      <c r="B152" s="130" t="str">
        <f>CONCATENATE('3 pr-2'!B152)</f>
        <v>R01-4407-270000-2314</v>
      </c>
      <c r="C152" s="1730" t="str">
        <f>CONCATENATE('ketv. 2'!B151)</f>
        <v>08.1.1-CPVA-R-407-11-0001</v>
      </c>
      <c r="D152" s="11" t="str">
        <f>CONCATENATE('3 pr-2'!D152)</f>
        <v>Socialinių paslaugų infrastruktūros plėtra Druskininkų savivaldybėje</v>
      </c>
      <c r="E152" s="11" t="str">
        <f>CONCATENATE('3 pr-2'!E152)</f>
        <v>Druskininkų savivaldybės administracija</v>
      </c>
      <c r="F152" s="11" t="str">
        <f>CONCATENATE('3 pr-2'!F152)</f>
        <v>Lietuvos Respublikos socialinės apsaugos ir darbo ministerija</v>
      </c>
      <c r="G152" s="11" t="str">
        <f>CONCATENATE('3 pr-2'!G152)</f>
        <v>Druskininkų sav.</v>
      </c>
      <c r="H152" s="130" t="str">
        <f>CONCATENATE('3 pr-2'!H152)</f>
        <v>08.1.1-CPVA-R-407</v>
      </c>
      <c r="I152" s="130" t="str">
        <f>CONCATENATE('3 pr-2'!I152)</f>
        <v>R</v>
      </c>
      <c r="J152" s="130" t="str">
        <f>CONCATENATE('3 pr-2'!J152)</f>
        <v>-</v>
      </c>
      <c r="K152" s="130" t="str">
        <f>CONCATENATE('3 pr-2'!K152)</f>
        <v>-</v>
      </c>
      <c r="L152" s="130" t="s">
        <v>515</v>
      </c>
      <c r="M152" s="471" t="s">
        <v>516</v>
      </c>
      <c r="N152" s="1699"/>
      <c r="O152" s="1699"/>
      <c r="P152" s="1699"/>
      <c r="Q152" s="1699"/>
      <c r="R152" s="1699"/>
      <c r="S152" s="1699"/>
      <c r="T152" s="1699"/>
      <c r="U152" s="1700">
        <f t="shared" si="625"/>
        <v>0</v>
      </c>
      <c r="V152" s="130">
        <v>1</v>
      </c>
      <c r="W152" s="1757" t="str">
        <f>IF('ketv. 6 '!L151&gt;0,"1",0)</f>
        <v>1</v>
      </c>
      <c r="X152" s="1732">
        <f t="shared" si="626"/>
        <v>0</v>
      </c>
      <c r="Y152" s="1732">
        <f>IF(YEAR('3 pr-2'!$AK152)=2017,$V152,0)</f>
        <v>0</v>
      </c>
      <c r="Z152" s="1732">
        <f>IF(YEAR('3 pr-2'!$AK152)=2018,$V152,0)</f>
        <v>0</v>
      </c>
      <c r="AA152" s="1732">
        <f>IF(YEAR('3 pr-2'!$AK152)=2019,$V152,0)</f>
        <v>1</v>
      </c>
      <c r="AB152" s="1732">
        <f>IF(YEAR('3 pr-2'!$AK152)=2020,$V152,0)</f>
        <v>0</v>
      </c>
      <c r="AC152" s="1732">
        <f>IF(YEAR('3 pr-2'!$AK152)=2021,$V152,0)</f>
        <v>0</v>
      </c>
      <c r="AD152" s="1732">
        <f>IF(YEAR('3 pr-2'!$AK152)=2022,$V152,0)</f>
        <v>0</v>
      </c>
      <c r="AE152" s="1732">
        <f>IF(YEAR('3 pr-2'!$AK152)=2023,$V152,0)</f>
        <v>0</v>
      </c>
      <c r="AF152" s="317"/>
      <c r="AG152" s="471"/>
      <c r="AH152" s="1699"/>
      <c r="AI152" s="1699"/>
      <c r="AJ152" s="1699"/>
      <c r="AK152" s="1699"/>
      <c r="AL152" s="1699"/>
      <c r="AM152" s="1699"/>
      <c r="AN152" s="1699"/>
      <c r="AO152" s="1718">
        <f t="shared" si="627"/>
        <v>0</v>
      </c>
      <c r="AP152" s="130"/>
      <c r="AQ152" s="1778"/>
      <c r="AR152" s="1732"/>
      <c r="AS152" s="1732">
        <f>IF(YEAR('3 pr-2'!$AK152)=2017,$AP152,0)</f>
        <v>0</v>
      </c>
      <c r="AT152" s="1732">
        <f>IF(YEAR('3 pr-2'!$AK152)=2018,$AP152,0)</f>
        <v>0</v>
      </c>
      <c r="AU152" s="1732">
        <f>IF(YEAR('3 pr-2'!$AK152)=2019,$AP152,0)</f>
        <v>0</v>
      </c>
      <c r="AV152" s="1732">
        <f>IF(YEAR('3 pr-2'!$AK152)=2020,$AP152,0)</f>
        <v>0</v>
      </c>
      <c r="AW152" s="1732">
        <f>IF(YEAR('3 pr-2'!$AK152)=2021,$AP152,0)</f>
        <v>0</v>
      </c>
      <c r="AX152" s="1732">
        <f>IF(YEAR('3 pr-2'!$AK152)=2022,$AP152,0)</f>
        <v>0</v>
      </c>
      <c r="AY152" s="1732">
        <f>IF(YEAR('3 pr-2'!$AK152)=2023,$AP152,0)</f>
        <v>0</v>
      </c>
      <c r="AZ152" s="130"/>
      <c r="BA152" s="470"/>
      <c r="BB152" s="1699"/>
      <c r="BC152" s="1699"/>
      <c r="BD152" s="1699"/>
      <c r="BE152" s="1699"/>
      <c r="BF152" s="1699"/>
      <c r="BG152" s="1699"/>
      <c r="BH152" s="1699"/>
      <c r="BI152" s="1718">
        <f t="shared" si="628"/>
        <v>0</v>
      </c>
      <c r="BJ152" s="130"/>
      <c r="BK152" s="1501"/>
      <c r="BL152" s="130"/>
      <c r="BM152" s="130">
        <f>IF('3 pr-2'!AK152=2017,BJ152,0)</f>
        <v>0</v>
      </c>
      <c r="BN152" s="130">
        <f>IF('3 pr-2'!AK152=2018,BJ152,0)</f>
        <v>0</v>
      </c>
      <c r="BO152" s="130">
        <f>IF('3 pr-2'!AK152=2019,BJ152,0)</f>
        <v>0</v>
      </c>
      <c r="BP152" s="130">
        <f>IF('3 pr-2'!AK152=2020,BJ152,0)</f>
        <v>0</v>
      </c>
      <c r="BQ152" s="130">
        <f>IF('3 pr-2'!AK152=2021,BJ152,0)</f>
        <v>0</v>
      </c>
      <c r="BR152" s="130">
        <f>IF('3 pr-2'!AK152=2022,BJ152,0)</f>
        <v>0</v>
      </c>
      <c r="BS152" s="130">
        <f>IF('3 pr-2'!AK152=2023,BJ152,0)</f>
        <v>0</v>
      </c>
      <c r="BT152" s="317"/>
      <c r="BU152" s="471"/>
      <c r="BV152" s="1699"/>
      <c r="BW152" s="1699"/>
      <c r="BX152" s="1699"/>
      <c r="BY152" s="1699"/>
      <c r="BZ152" s="1699"/>
      <c r="CA152" s="1699"/>
      <c r="CB152" s="1699"/>
      <c r="CC152" s="1718">
        <f t="shared" si="629"/>
        <v>0</v>
      </c>
      <c r="CD152" s="130"/>
      <c r="CE152" s="130"/>
      <c r="CF152" s="130"/>
      <c r="CG152" s="130">
        <f>IF(YEAR('3 pr-2'!$AK152)=2017,$CD152,0)</f>
        <v>0</v>
      </c>
      <c r="CH152" s="130">
        <f>IF(YEAR('3 pr-2'!$AK152)=2018,$CD152,0)</f>
        <v>0</v>
      </c>
      <c r="CI152" s="130">
        <f>IF(YEAR('3 pr-2'!$AK152)=2019,$CD152,0)</f>
        <v>0</v>
      </c>
      <c r="CJ152" s="130">
        <f>IF(YEAR('3 pr-2'!$AK152)=2020,$CD152,0)</f>
        <v>0</v>
      </c>
      <c r="CK152" s="130">
        <f>IF(YEAR('3 pr-2'!$AK152)=2021,$CD152,0)</f>
        <v>0</v>
      </c>
      <c r="CL152" s="130">
        <f>IF(YEAR('3 pr-2'!$AK152)=2022,$CD152,0)</f>
        <v>0</v>
      </c>
      <c r="CM152" s="130">
        <f>IF(YEAR('3 pr-2'!$AK152)=2023,$CD152,0)</f>
        <v>0</v>
      </c>
      <c r="CN152" s="317"/>
      <c r="CO152" s="472"/>
      <c r="CP152" s="1699"/>
      <c r="CQ152" s="1699"/>
      <c r="CR152" s="1699"/>
      <c r="CS152" s="1699"/>
      <c r="CT152" s="1699"/>
      <c r="CU152" s="1699"/>
      <c r="CV152" s="1699"/>
      <c r="CW152" s="1718">
        <f t="shared" si="630"/>
        <v>0</v>
      </c>
      <c r="CX152" s="318"/>
      <c r="CY152" s="303"/>
      <c r="CZ152" s="303"/>
      <c r="DA152" s="506">
        <f>IF(YEAR('3 pr-2'!AK152)=2017,CX152,0)</f>
        <v>0</v>
      </c>
      <c r="DB152" s="506">
        <f>IF(YEAR('3 pr-2'!AK152)=2018,CX152,0)</f>
        <v>0</v>
      </c>
      <c r="DC152" s="506">
        <f>IF(YEAR('3 pr-2'!AK152)=2019,CX152,0)</f>
        <v>0</v>
      </c>
      <c r="DD152" s="506">
        <f>IF(YEAR('3 pr-2'!AK152)=2020,CX152,0)</f>
        <v>0</v>
      </c>
      <c r="DE152" s="506">
        <f>IF(YEAR('3 pr-2'!AK152)=2021,CX152,0)</f>
        <v>0</v>
      </c>
      <c r="DF152" s="506">
        <f>IF(YEAR('3 pr-2'!AK152)=2022,CX152,0)</f>
        <v>0</v>
      </c>
      <c r="DG152" s="506">
        <f>IF(YEAR('3 pr-2'!AK152)=2023,CX152,0)</f>
        <v>0</v>
      </c>
      <c r="DH152" s="317"/>
      <c r="DI152" s="472"/>
      <c r="DJ152" s="130"/>
      <c r="DK152" s="130"/>
      <c r="DL152" s="130"/>
      <c r="DM152" s="130"/>
      <c r="DN152" s="130"/>
      <c r="DO152" s="130"/>
      <c r="DP152" s="130"/>
      <c r="DQ152" s="756"/>
      <c r="DR152" s="318"/>
      <c r="DS152" s="303"/>
      <c r="DT152" s="303"/>
      <c r="DU152" s="506"/>
      <c r="DV152" s="506"/>
      <c r="DW152" s="506"/>
      <c r="DX152" s="506"/>
      <c r="DY152" s="506"/>
      <c r="DZ152" s="506"/>
      <c r="EA152" s="506"/>
      <c r="EB152" s="317"/>
      <c r="EC152" s="472"/>
      <c r="ED152" s="303"/>
      <c r="EE152" s="303"/>
      <c r="EF152" s="303"/>
      <c r="EG152" s="506">
        <f>IF(YEAR('3 pr-2'!BP152)=2017,ED152,0)</f>
        <v>0</v>
      </c>
      <c r="EH152" s="506">
        <f>IF(YEAR('3 pr-2'!BP152)=2018,ED152,0)</f>
        <v>0</v>
      </c>
      <c r="EI152" s="506">
        <f>IF(YEAR('3 pr-2'!BP152)=2019,ED152,0)</f>
        <v>0</v>
      </c>
      <c r="EJ152" s="506">
        <f>IF(YEAR('3 pr-2'!BP152)=2020,ED152,0)</f>
        <v>0</v>
      </c>
      <c r="EK152" s="506">
        <f>IF(YEAR('3 pr-2'!BP152)=2021,ED152,0)</f>
        <v>0</v>
      </c>
      <c r="EL152" s="506">
        <f>IF(YEAR('3 pr-2'!BP152)=2022,ED152,0)</f>
        <v>0</v>
      </c>
      <c r="EM152" s="506">
        <f>IF(YEAR('3 pr-2'!BP152)=2023,ED152,0)</f>
        <v>0</v>
      </c>
    </row>
    <row r="153" spans="1:143" ht="73.5" thickTop="1" thickBot="1">
      <c r="A153" s="130" t="str">
        <f>CONCATENATE('3 pr-2'!A153)</f>
        <v>2.1.3.1.5</v>
      </c>
      <c r="B153" s="130" t="str">
        <f>CONCATENATE('3 pr-2'!B153)</f>
        <v>R01-4407-270000-2315</v>
      </c>
      <c r="C153" s="1730" t="str">
        <f>CONCATENATE('ketv. 2'!B152)</f>
        <v>08.1.1-CPVA-R-407-11-0003</v>
      </c>
      <c r="D153" s="11" t="str">
        <f>CONCATENATE('3 pr-2'!D153)</f>
        <v>Socialinių paslaugų infrastruktūros modernizavimas ir plėtra VšĮ Kapčiamiesčio globos namuose</v>
      </c>
      <c r="E153" s="11" t="str">
        <f>CONCATENATE('3 pr-2'!E153)</f>
        <v>VšĮ Kapčiamiesčio globos namai</v>
      </c>
      <c r="F153" s="11" t="str">
        <f>CONCATENATE('3 pr-2'!F153)</f>
        <v>Lietuvos Respublikos socialinės apsaugos ir darbo ministerija</v>
      </c>
      <c r="G153" s="11" t="str">
        <f>CONCATENATE('3 pr-2'!G153)</f>
        <v>Lazdijų r. sav.</v>
      </c>
      <c r="H153" s="130" t="str">
        <f>CONCATENATE('3 pr-2'!H153)</f>
        <v>08.1.1-CPVA-R-407</v>
      </c>
      <c r="I153" s="130" t="str">
        <f>CONCATENATE('3 pr-2'!I153)</f>
        <v>R</v>
      </c>
      <c r="J153" s="130" t="str">
        <f>CONCATENATE('3 pr-2'!J153)</f>
        <v>-</v>
      </c>
      <c r="K153" s="130" t="str">
        <f>CONCATENATE('3 pr-2'!K153)</f>
        <v>-</v>
      </c>
      <c r="L153" s="130" t="s">
        <v>515</v>
      </c>
      <c r="M153" s="471" t="s">
        <v>516</v>
      </c>
      <c r="N153" s="1699"/>
      <c r="O153" s="1699">
        <v>1</v>
      </c>
      <c r="P153" s="1699"/>
      <c r="Q153" s="1699"/>
      <c r="R153" s="1699"/>
      <c r="S153" s="1699"/>
      <c r="T153" s="1699"/>
      <c r="U153" s="1700">
        <f t="shared" si="625"/>
        <v>1</v>
      </c>
      <c r="V153" s="130">
        <v>1</v>
      </c>
      <c r="W153" s="1757" t="str">
        <f>IF('ketv. 6 '!L152&gt;0,"1",0)</f>
        <v>1</v>
      </c>
      <c r="X153" s="1732">
        <f t="shared" si="626"/>
        <v>0</v>
      </c>
      <c r="Y153" s="1732">
        <f>IF(YEAR('3 pr-2'!$AK153)=2017,$V153,0)</f>
        <v>0</v>
      </c>
      <c r="Z153" s="1732">
        <f>IF(YEAR('3 pr-2'!$AK153)=2018,$V153,0)</f>
        <v>0</v>
      </c>
      <c r="AA153" s="1732">
        <f>IF(YEAR('3 pr-2'!$AK153)=2019,$V153,0)</f>
        <v>1</v>
      </c>
      <c r="AB153" s="1732">
        <f>IF(YEAR('3 pr-2'!$AK153)=2020,$V153,0)</f>
        <v>0</v>
      </c>
      <c r="AC153" s="1732">
        <f>IF(YEAR('3 pr-2'!$AK153)=2021,$V153,0)</f>
        <v>0</v>
      </c>
      <c r="AD153" s="1732">
        <f>IF(YEAR('3 pr-2'!$AK153)=2022,$V153,0)</f>
        <v>0</v>
      </c>
      <c r="AE153" s="1732">
        <f>IF(YEAR('3 pr-2'!$AK153)=2023,$V153,0)</f>
        <v>0</v>
      </c>
      <c r="AF153" s="317"/>
      <c r="AG153" s="471"/>
      <c r="AH153" s="1699"/>
      <c r="AI153" s="1699"/>
      <c r="AJ153" s="1699"/>
      <c r="AK153" s="1699"/>
      <c r="AL153" s="1699"/>
      <c r="AM153" s="1699"/>
      <c r="AN153" s="1699"/>
      <c r="AO153" s="1718">
        <f t="shared" si="627"/>
        <v>0</v>
      </c>
      <c r="AP153" s="130"/>
      <c r="AQ153" s="1778"/>
      <c r="AR153" s="1732"/>
      <c r="AS153" s="1732">
        <f>IF(YEAR('3 pr-2'!$AK153)=2017,$AP153,0)</f>
        <v>0</v>
      </c>
      <c r="AT153" s="1732">
        <f>IF(YEAR('3 pr-2'!$AK153)=2018,$AP153,0)</f>
        <v>0</v>
      </c>
      <c r="AU153" s="1732">
        <f>IF(YEAR('3 pr-2'!$AK153)=2019,$AP153,0)</f>
        <v>0</v>
      </c>
      <c r="AV153" s="1732">
        <f>IF(YEAR('3 pr-2'!$AK153)=2020,$AP153,0)</f>
        <v>0</v>
      </c>
      <c r="AW153" s="1732">
        <f>IF(YEAR('3 pr-2'!$AK153)=2021,$AP153,0)</f>
        <v>0</v>
      </c>
      <c r="AX153" s="1732">
        <f>IF(YEAR('3 pr-2'!$AK153)=2022,$AP153,0)</f>
        <v>0</v>
      </c>
      <c r="AY153" s="1732">
        <f>IF(YEAR('3 pr-2'!$AK153)=2023,$AP153,0)</f>
        <v>0</v>
      </c>
      <c r="AZ153" s="130"/>
      <c r="BA153" s="470"/>
      <c r="BB153" s="1699"/>
      <c r="BC153" s="1699"/>
      <c r="BD153" s="1699"/>
      <c r="BE153" s="1699"/>
      <c r="BF153" s="1699"/>
      <c r="BG153" s="1699"/>
      <c r="BH153" s="1699"/>
      <c r="BI153" s="1718">
        <f t="shared" si="628"/>
        <v>0</v>
      </c>
      <c r="BJ153" s="130"/>
      <c r="BK153" s="1501"/>
      <c r="BL153" s="130"/>
      <c r="BM153" s="130">
        <f>IF('3 pr-2'!AK153=2017,BJ153,0)</f>
        <v>0</v>
      </c>
      <c r="BN153" s="130">
        <f>IF('3 pr-2'!AK153=2018,BJ153,0)</f>
        <v>0</v>
      </c>
      <c r="BO153" s="130">
        <f>IF('3 pr-2'!AK153=2019,BJ153,0)</f>
        <v>0</v>
      </c>
      <c r="BP153" s="130">
        <f>IF('3 pr-2'!AK153=2020,BJ153,0)</f>
        <v>0</v>
      </c>
      <c r="BQ153" s="130">
        <f>IF('3 pr-2'!AK153=2021,BJ153,0)</f>
        <v>0</v>
      </c>
      <c r="BR153" s="130">
        <f>IF('3 pr-2'!AK153=2022,BJ153,0)</f>
        <v>0</v>
      </c>
      <c r="BS153" s="130">
        <f>IF('3 pr-2'!AK153=2023,BJ153,0)</f>
        <v>0</v>
      </c>
      <c r="BT153" s="317"/>
      <c r="BU153" s="471"/>
      <c r="BV153" s="1699"/>
      <c r="BW153" s="1699"/>
      <c r="BX153" s="1699"/>
      <c r="BY153" s="1699"/>
      <c r="BZ153" s="1699"/>
      <c r="CA153" s="1699"/>
      <c r="CB153" s="1699"/>
      <c r="CC153" s="1718">
        <f t="shared" si="629"/>
        <v>0</v>
      </c>
      <c r="CD153" s="130"/>
      <c r="CE153" s="130"/>
      <c r="CF153" s="130"/>
      <c r="CG153" s="130">
        <f>IF(YEAR('3 pr-2'!$AK153)=2017,$CD153,0)</f>
        <v>0</v>
      </c>
      <c r="CH153" s="130">
        <f>IF(YEAR('3 pr-2'!$AK153)=2018,$CD153,0)</f>
        <v>0</v>
      </c>
      <c r="CI153" s="130">
        <f>IF(YEAR('3 pr-2'!$AK153)=2019,$CD153,0)</f>
        <v>0</v>
      </c>
      <c r="CJ153" s="130">
        <f>IF(YEAR('3 pr-2'!$AK153)=2020,$CD153,0)</f>
        <v>0</v>
      </c>
      <c r="CK153" s="130">
        <f>IF(YEAR('3 pr-2'!$AK153)=2021,$CD153,0)</f>
        <v>0</v>
      </c>
      <c r="CL153" s="130">
        <f>IF(YEAR('3 pr-2'!$AK153)=2022,$CD153,0)</f>
        <v>0</v>
      </c>
      <c r="CM153" s="130">
        <f>IF(YEAR('3 pr-2'!$AK153)=2023,$CD153,0)</f>
        <v>0</v>
      </c>
      <c r="CN153" s="317"/>
      <c r="CO153" s="472"/>
      <c r="CP153" s="1699"/>
      <c r="CQ153" s="1699"/>
      <c r="CR153" s="1699"/>
      <c r="CS153" s="1699"/>
      <c r="CT153" s="1699"/>
      <c r="CU153" s="1699"/>
      <c r="CV153" s="1699"/>
      <c r="CW153" s="1718">
        <f t="shared" si="630"/>
        <v>0</v>
      </c>
      <c r="CX153" s="318"/>
      <c r="CY153" s="303"/>
      <c r="CZ153" s="303"/>
      <c r="DA153" s="506">
        <f>IF(YEAR('3 pr-2'!AK153)=2017,CX153,0)</f>
        <v>0</v>
      </c>
      <c r="DB153" s="506">
        <f>IF(YEAR('3 pr-2'!AK153)=2018,CX153,0)</f>
        <v>0</v>
      </c>
      <c r="DC153" s="506">
        <f>IF(YEAR('3 pr-2'!AK153)=2019,CX153,0)</f>
        <v>0</v>
      </c>
      <c r="DD153" s="506">
        <f>IF(YEAR('3 pr-2'!AK153)=2020,CX153,0)</f>
        <v>0</v>
      </c>
      <c r="DE153" s="506">
        <f>IF(YEAR('3 pr-2'!AK153)=2021,CX153,0)</f>
        <v>0</v>
      </c>
      <c r="DF153" s="506">
        <f>IF(YEAR('3 pr-2'!AK153)=2022,CX153,0)</f>
        <v>0</v>
      </c>
      <c r="DG153" s="506">
        <f>IF(YEAR('3 pr-2'!AK153)=2023,CX153,0)</f>
        <v>0</v>
      </c>
      <c r="DH153" s="317"/>
      <c r="DI153" s="472"/>
      <c r="DJ153" s="130"/>
      <c r="DK153" s="130"/>
      <c r="DL153" s="130"/>
      <c r="DM153" s="130"/>
      <c r="DN153" s="130"/>
      <c r="DO153" s="130"/>
      <c r="DP153" s="130"/>
      <c r="DQ153" s="756"/>
      <c r="DR153" s="318"/>
      <c r="DS153" s="303"/>
      <c r="DT153" s="303"/>
      <c r="DU153" s="506"/>
      <c r="DV153" s="506"/>
      <c r="DW153" s="506"/>
      <c r="DX153" s="506"/>
      <c r="DY153" s="506"/>
      <c r="DZ153" s="506"/>
      <c r="EA153" s="506"/>
      <c r="EB153" s="317"/>
      <c r="EC153" s="472"/>
      <c r="ED153" s="303"/>
      <c r="EE153" s="303"/>
      <c r="EF153" s="303"/>
      <c r="EG153" s="506">
        <f>IF(YEAR('3 pr-2'!BP153)=2017,ED153,0)</f>
        <v>0</v>
      </c>
      <c r="EH153" s="506">
        <f>IF(YEAR('3 pr-2'!BP153)=2018,ED153,0)</f>
        <v>0</v>
      </c>
      <c r="EI153" s="506">
        <f>IF(YEAR('3 pr-2'!BP153)=2019,ED153,0)</f>
        <v>0</v>
      </c>
      <c r="EJ153" s="506">
        <f>IF(YEAR('3 pr-2'!BP153)=2020,ED153,0)</f>
        <v>0</v>
      </c>
      <c r="EK153" s="506">
        <f>IF(YEAR('3 pr-2'!BP153)=2021,ED153,0)</f>
        <v>0</v>
      </c>
      <c r="EL153" s="506">
        <f>IF(YEAR('3 pr-2'!BP153)=2022,ED153,0)</f>
        <v>0</v>
      </c>
      <c r="EM153" s="506">
        <f>IF(YEAR('3 pr-2'!BP153)=2023,ED153,0)</f>
        <v>0</v>
      </c>
    </row>
    <row r="154" spans="1:143" ht="33" customHeight="1" thickBot="1">
      <c r="A154" s="773" t="str">
        <f>CONCATENATE('3 pr-2'!A154)</f>
        <v>2.1.3.2</v>
      </c>
      <c r="B154" s="1972" t="str">
        <f>CONCATENATE('3 pr-2'!B154)</f>
        <v>Priemonė:
Socialinio būsto fondo plėtra</v>
      </c>
      <c r="C154" s="1894"/>
      <c r="D154" s="1894"/>
      <c r="E154" s="1894"/>
      <c r="F154" s="1894"/>
      <c r="G154" s="1894"/>
      <c r="H154" s="1894"/>
      <c r="I154" s="1894"/>
      <c r="J154" s="1894"/>
      <c r="K154" s="1895"/>
      <c r="L154" s="774"/>
      <c r="M154" s="474"/>
      <c r="N154" s="1710">
        <f>SUM(N155:N159)</f>
        <v>31</v>
      </c>
      <c r="O154" s="1710">
        <f t="shared" ref="O154:T154" si="631">SUM(O155:O159)</f>
        <v>40</v>
      </c>
      <c r="P154" s="1710">
        <f t="shared" si="631"/>
        <v>10</v>
      </c>
      <c r="Q154" s="1710">
        <f t="shared" si="631"/>
        <v>0</v>
      </c>
      <c r="R154" s="1710">
        <f t="shared" si="631"/>
        <v>0</v>
      </c>
      <c r="S154" s="1710">
        <f t="shared" si="631"/>
        <v>0</v>
      </c>
      <c r="T154" s="1710">
        <f t="shared" si="631"/>
        <v>0</v>
      </c>
      <c r="U154" s="1711">
        <f t="shared" si="625"/>
        <v>81</v>
      </c>
      <c r="V154" s="739"/>
      <c r="W154" s="1770">
        <f>SUM(W155:W159)</f>
        <v>0</v>
      </c>
      <c r="X154" s="1771"/>
      <c r="Y154" s="1772">
        <f t="shared" ref="Y154:AE154" si="632">SUM(Y155:Y159)</f>
        <v>0</v>
      </c>
      <c r="Z154" s="1772">
        <f t="shared" si="632"/>
        <v>6</v>
      </c>
      <c r="AA154" s="1772">
        <f t="shared" si="632"/>
        <v>100</v>
      </c>
      <c r="AB154" s="1772">
        <f t="shared" si="632"/>
        <v>0</v>
      </c>
      <c r="AC154" s="1772">
        <f t="shared" si="632"/>
        <v>0</v>
      </c>
      <c r="AD154" s="1772">
        <f t="shared" si="632"/>
        <v>0</v>
      </c>
      <c r="AE154" s="1772">
        <f t="shared" si="632"/>
        <v>0</v>
      </c>
      <c r="AF154" s="775"/>
      <c r="AG154" s="752"/>
      <c r="AH154" s="1710">
        <f>SUM(AH155:AH159)</f>
        <v>0</v>
      </c>
      <c r="AI154" s="1710">
        <f t="shared" ref="AI154" si="633">SUM(AI155:AI159)</f>
        <v>0</v>
      </c>
      <c r="AJ154" s="1710">
        <f t="shared" ref="AJ154" si="634">SUM(AJ155:AJ159)</f>
        <v>0</v>
      </c>
      <c r="AK154" s="1710">
        <f t="shared" ref="AK154" si="635">SUM(AK155:AK159)</f>
        <v>0</v>
      </c>
      <c r="AL154" s="1710">
        <f t="shared" ref="AL154" si="636">SUM(AL155:AL159)</f>
        <v>0</v>
      </c>
      <c r="AM154" s="1710">
        <f t="shared" ref="AM154" si="637">SUM(AM155:AM159)</f>
        <v>0</v>
      </c>
      <c r="AN154" s="1710">
        <f t="shared" ref="AN154" si="638">SUM(AN155:AN159)</f>
        <v>0</v>
      </c>
      <c r="AO154" s="1719">
        <f t="shared" si="627"/>
        <v>0</v>
      </c>
      <c r="AP154" s="739"/>
      <c r="AQ154" s="1772"/>
      <c r="AR154" s="1772"/>
      <c r="AS154" s="1772"/>
      <c r="AT154" s="1772"/>
      <c r="AU154" s="1772"/>
      <c r="AV154" s="1772"/>
      <c r="AW154" s="1772"/>
      <c r="AX154" s="1772"/>
      <c r="AY154" s="1772"/>
      <c r="AZ154" s="739"/>
      <c r="BA154" s="752"/>
      <c r="BB154" s="1710">
        <f>SUM(BB155:BB159)</f>
        <v>0</v>
      </c>
      <c r="BC154" s="1710">
        <f t="shared" ref="BC154" si="639">SUM(BC155:BC159)</f>
        <v>0</v>
      </c>
      <c r="BD154" s="1710">
        <f t="shared" ref="BD154" si="640">SUM(BD155:BD159)</f>
        <v>0</v>
      </c>
      <c r="BE154" s="1710">
        <f t="shared" ref="BE154" si="641">SUM(BE155:BE159)</f>
        <v>0</v>
      </c>
      <c r="BF154" s="1710">
        <f t="shared" ref="BF154" si="642">SUM(BF155:BF159)</f>
        <v>0</v>
      </c>
      <c r="BG154" s="1710">
        <f t="shared" ref="BG154" si="643">SUM(BG155:BG159)</f>
        <v>0</v>
      </c>
      <c r="BH154" s="1710">
        <f t="shared" ref="BH154" si="644">SUM(BH155:BH159)</f>
        <v>0</v>
      </c>
      <c r="BI154" s="1719">
        <f t="shared" si="628"/>
        <v>0</v>
      </c>
      <c r="BJ154" s="739"/>
      <c r="BK154" s="506"/>
      <c r="BL154" s="506"/>
      <c r="BM154" s="506"/>
      <c r="BN154" s="506"/>
      <c r="BO154" s="506"/>
      <c r="BP154" s="506"/>
      <c r="BQ154" s="506"/>
      <c r="BR154" s="506"/>
      <c r="BS154" s="506"/>
      <c r="BT154" s="506"/>
      <c r="BU154" s="472"/>
      <c r="BV154" s="1710">
        <f>SUM(BV155:BV159)</f>
        <v>0</v>
      </c>
      <c r="BW154" s="1710">
        <f t="shared" ref="BW154" si="645">SUM(BW155:BW159)</f>
        <v>0</v>
      </c>
      <c r="BX154" s="1710">
        <f t="shared" ref="BX154" si="646">SUM(BX155:BX159)</f>
        <v>0</v>
      </c>
      <c r="BY154" s="1710">
        <f t="shared" ref="BY154" si="647">SUM(BY155:BY159)</f>
        <v>0</v>
      </c>
      <c r="BZ154" s="1710">
        <f t="shared" ref="BZ154" si="648">SUM(BZ155:BZ159)</f>
        <v>0</v>
      </c>
      <c r="CA154" s="1710">
        <f t="shared" ref="CA154" si="649">SUM(CA155:CA159)</f>
        <v>0</v>
      </c>
      <c r="CB154" s="1710">
        <f t="shared" ref="CB154" si="650">SUM(CB155:CB159)</f>
        <v>0</v>
      </c>
      <c r="CC154" s="1719">
        <f t="shared" si="629"/>
        <v>0</v>
      </c>
      <c r="CD154" s="506"/>
      <c r="CE154" s="506"/>
      <c r="CF154" s="506"/>
      <c r="CG154" s="506"/>
      <c r="CH154" s="506"/>
      <c r="CI154" s="506"/>
      <c r="CJ154" s="506"/>
      <c r="CK154" s="506"/>
      <c r="CL154" s="506"/>
      <c r="CM154" s="506"/>
      <c r="CN154" s="506"/>
      <c r="CO154" s="472"/>
      <c r="CP154" s="1710">
        <f>SUM(CP155:CP159)</f>
        <v>0</v>
      </c>
      <c r="CQ154" s="1710">
        <f t="shared" ref="CQ154" si="651">SUM(CQ155:CQ159)</f>
        <v>0</v>
      </c>
      <c r="CR154" s="1710">
        <f t="shared" ref="CR154" si="652">SUM(CR155:CR159)</f>
        <v>0</v>
      </c>
      <c r="CS154" s="1710">
        <f t="shared" ref="CS154" si="653">SUM(CS155:CS159)</f>
        <v>0</v>
      </c>
      <c r="CT154" s="1710">
        <f t="shared" ref="CT154" si="654">SUM(CT155:CT159)</f>
        <v>0</v>
      </c>
      <c r="CU154" s="1710">
        <f t="shared" ref="CU154" si="655">SUM(CU155:CU159)</f>
        <v>0</v>
      </c>
      <c r="CV154" s="1710">
        <f t="shared" ref="CV154" si="656">SUM(CV155:CV159)</f>
        <v>0</v>
      </c>
      <c r="CW154" s="1719">
        <f t="shared" si="630"/>
        <v>0</v>
      </c>
      <c r="CX154" s="506"/>
      <c r="CY154" s="506"/>
      <c r="CZ154" s="506"/>
      <c r="DA154" s="506"/>
      <c r="DB154" s="506"/>
      <c r="DC154" s="506"/>
      <c r="DD154" s="506"/>
      <c r="DE154" s="506"/>
      <c r="DF154" s="506"/>
      <c r="DG154" s="506"/>
      <c r="DH154" s="506"/>
      <c r="DI154" s="472"/>
      <c r="DJ154" s="506"/>
      <c r="DK154" s="506"/>
      <c r="DL154" s="506"/>
      <c r="DM154" s="506"/>
      <c r="DN154" s="506"/>
      <c r="DO154" s="506"/>
      <c r="DP154" s="506"/>
      <c r="DQ154" s="739"/>
      <c r="DR154" s="506"/>
      <c r="DS154" s="506"/>
      <c r="DT154" s="506"/>
      <c r="DU154" s="506"/>
      <c r="DV154" s="506"/>
      <c r="DW154" s="506"/>
      <c r="DX154" s="506"/>
      <c r="DY154" s="506"/>
      <c r="DZ154" s="506"/>
      <c r="EA154" s="506"/>
      <c r="EB154" s="506"/>
      <c r="EC154" s="472"/>
      <c r="ED154" s="506"/>
      <c r="EE154" s="506"/>
      <c r="EF154" s="506"/>
      <c r="EG154" s="506"/>
      <c r="EH154" s="506"/>
      <c r="EI154" s="506"/>
      <c r="EJ154" s="506"/>
      <c r="EK154" s="506"/>
      <c r="EL154" s="506"/>
      <c r="EM154" s="506"/>
    </row>
    <row r="155" spans="1:143" ht="61.5" thickTop="1" thickBot="1">
      <c r="A155" s="130" t="str">
        <f>CONCATENATE('3 pr-2'!A155)</f>
        <v>2.1.3.2.1</v>
      </c>
      <c r="B155" s="130" t="str">
        <f>CONCATENATE('3 pr-2'!B155)</f>
        <v>R01-4408-260000-2321</v>
      </c>
      <c r="C155" s="1730" t="str">
        <f>CONCATENATE('ketv. 2'!B154)</f>
        <v>08.1.2-CPVA-R-408-11-0001</v>
      </c>
      <c r="D155" s="11" t="str">
        <f>CONCATENATE('3 pr-2'!D155)</f>
        <v>Socialinio būsto plėtra Varėnos rajone</v>
      </c>
      <c r="E155" s="11" t="str">
        <f>CONCATENATE('3 pr-2'!E155)</f>
        <v>Varėnos rajono savivaldybės administracija</v>
      </c>
      <c r="F155" s="11" t="str">
        <f>CONCATENATE('3 pr-2'!F155)</f>
        <v>Lietuvos Respublikos socialinės apsaugos ir darbo ministerija</v>
      </c>
      <c r="G155" s="11" t="str">
        <f>CONCATENATE('3 pr-2'!G155)</f>
        <v>Varėnos r. sav.</v>
      </c>
      <c r="H155" s="130" t="str">
        <f>CONCATENATE('3 pr-2'!H155)</f>
        <v>08.1.2-CPVA-R-408</v>
      </c>
      <c r="I155" s="130" t="str">
        <f>CONCATENATE('3 pr-2'!I155)</f>
        <v>R</v>
      </c>
      <c r="J155" s="130" t="str">
        <f>CONCATENATE('3 pr-2'!J155)</f>
        <v>-</v>
      </c>
      <c r="K155" s="130" t="str">
        <f>CONCATENATE('3 pr-2'!K155)</f>
        <v>-</v>
      </c>
      <c r="L155" s="130" t="s">
        <v>518</v>
      </c>
      <c r="M155" s="471" t="s">
        <v>519</v>
      </c>
      <c r="N155" s="1699">
        <v>4</v>
      </c>
      <c r="O155" s="1699">
        <v>16</v>
      </c>
      <c r="P155" s="1699">
        <v>7</v>
      </c>
      <c r="Q155" s="1699"/>
      <c r="R155" s="1699"/>
      <c r="S155" s="1699"/>
      <c r="T155" s="1699"/>
      <c r="U155" s="1700">
        <f t="shared" ref="U155:U159" si="657">SUM(N155:T155)</f>
        <v>27</v>
      </c>
      <c r="V155" s="130">
        <v>28</v>
      </c>
      <c r="W155" s="1757" t="str">
        <f>IF('ketv. 6 '!L154&gt;0,"28",0)</f>
        <v>28</v>
      </c>
      <c r="X155" s="1732">
        <f>SUM(W155-V155)</f>
        <v>0</v>
      </c>
      <c r="Y155" s="1732">
        <f>IF(YEAR('3 pr-2'!$AK155)=2017,$V155,0)</f>
        <v>0</v>
      </c>
      <c r="Z155" s="1732">
        <f>IF(YEAR('3 pr-2'!$AK155)=2018,$V155,0)</f>
        <v>0</v>
      </c>
      <c r="AA155" s="1732">
        <f>IF(YEAR('3 pr-2'!$AK155)=2019,$V155,0)</f>
        <v>28</v>
      </c>
      <c r="AB155" s="1732">
        <f>IF(YEAR('3 pr-2'!$AK155)=2020,$V155,0)</f>
        <v>0</v>
      </c>
      <c r="AC155" s="1732">
        <f>IF(YEAR('3 pr-2'!$AK155)=2021,$V155,0)</f>
        <v>0</v>
      </c>
      <c r="AD155" s="1732">
        <f>IF(YEAR('3 pr-2'!$AK155)=2022,$V155,0)</f>
        <v>0</v>
      </c>
      <c r="AE155" s="1732">
        <f>IF(YEAR('3 pr-2'!$AK155)=2023,$V155,0)</f>
        <v>0</v>
      </c>
      <c r="AF155" s="317"/>
      <c r="AG155" s="471"/>
      <c r="AH155" s="1699">
        <v>0</v>
      </c>
      <c r="AI155" s="1699"/>
      <c r="AJ155" s="1699"/>
      <c r="AK155" s="1699"/>
      <c r="AL155" s="1699"/>
      <c r="AM155" s="1699"/>
      <c r="AN155" s="1699"/>
      <c r="AO155" s="1718">
        <f t="shared" si="627"/>
        <v>0</v>
      </c>
      <c r="AP155" s="130"/>
      <c r="AQ155" s="1778"/>
      <c r="AR155" s="1732"/>
      <c r="AS155" s="1732">
        <f>IF(YEAR('3 pr-2'!$AK155)=2017,$AP155,0)</f>
        <v>0</v>
      </c>
      <c r="AT155" s="1732">
        <f>IF(YEAR('3 pr-2'!$AK155)=2018,$AP155,0)</f>
        <v>0</v>
      </c>
      <c r="AU155" s="1732">
        <f>IF(YEAR('3 pr-2'!$AK155)=2019,$AP155,0)</f>
        <v>0</v>
      </c>
      <c r="AV155" s="1732">
        <f>IF(YEAR('3 pr-2'!$AK155)=2020,$AP155,0)</f>
        <v>0</v>
      </c>
      <c r="AW155" s="1732">
        <f>IF(YEAR('3 pr-2'!$AK155)=2021,$AP155,0)</f>
        <v>0</v>
      </c>
      <c r="AX155" s="1732">
        <f>IF(YEAR('3 pr-2'!$AK155)=2022,$AP155,0)</f>
        <v>0</v>
      </c>
      <c r="AY155" s="1732">
        <f>IF(YEAR('3 pr-2'!$AK155)=2023,$AP155,0)</f>
        <v>0</v>
      </c>
      <c r="AZ155" s="130"/>
      <c r="BA155" s="470"/>
      <c r="BB155" s="1699"/>
      <c r="BC155" s="1699"/>
      <c r="BD155" s="1699"/>
      <c r="BE155" s="1699"/>
      <c r="BF155" s="1699"/>
      <c r="BG155" s="1699"/>
      <c r="BH155" s="1699"/>
      <c r="BI155" s="1718">
        <f t="shared" si="628"/>
        <v>0</v>
      </c>
      <c r="BJ155" s="130"/>
      <c r="BK155" s="1501"/>
      <c r="BL155" s="130"/>
      <c r="BM155" s="130">
        <f>IF(YEAR('3 pr-2'!$AK155)=2017,$BJ155,0)</f>
        <v>0</v>
      </c>
      <c r="BN155" s="130">
        <f>IF(YEAR('3 pr-2'!$AK155)=2018,$BJ155,0)</f>
        <v>0</v>
      </c>
      <c r="BO155" s="130">
        <f>IF(YEAR('3 pr-2'!$AK155)=2019,$BJ155,0)</f>
        <v>0</v>
      </c>
      <c r="BP155" s="130">
        <f>IF(YEAR('3 pr-2'!$AK155)=2020,$BJ155,0)</f>
        <v>0</v>
      </c>
      <c r="BQ155" s="130">
        <f>IF(YEAR('3 pr-2'!$AK155)=2021,$BJ155,0)</f>
        <v>0</v>
      </c>
      <c r="BR155" s="130">
        <f>IF(YEAR('3 pr-2'!$AK155)=2022,$BJ155,0)</f>
        <v>0</v>
      </c>
      <c r="BS155" s="130">
        <f>IF(YEAR('3 pr-2'!$AK155)=2023,$BJ155,0)</f>
        <v>0</v>
      </c>
      <c r="BT155" s="317"/>
      <c r="BU155" s="471"/>
      <c r="BV155" s="1699"/>
      <c r="BW155" s="1699"/>
      <c r="BX155" s="1699"/>
      <c r="BY155" s="1699"/>
      <c r="BZ155" s="1699"/>
      <c r="CA155" s="1699"/>
      <c r="CB155" s="1699"/>
      <c r="CC155" s="1718">
        <f t="shared" si="629"/>
        <v>0</v>
      </c>
      <c r="CD155" s="130"/>
      <c r="CE155" s="130"/>
      <c r="CF155" s="130"/>
      <c r="CG155" s="130">
        <f>IF(YEAR('3 pr-2'!$AK155)=2017,$CD155,0)</f>
        <v>0</v>
      </c>
      <c r="CH155" s="130">
        <f>IF(YEAR('3 pr-2'!$AK155)=2018,$CD155,0)</f>
        <v>0</v>
      </c>
      <c r="CI155" s="130">
        <f>IF(YEAR('3 pr-2'!$AK155)=2019,$CD155,0)</f>
        <v>0</v>
      </c>
      <c r="CJ155" s="130">
        <f>IF(YEAR('3 pr-2'!$AK155)=2020,$CD155,0)</f>
        <v>0</v>
      </c>
      <c r="CK155" s="130">
        <f>IF(YEAR('3 pr-2'!$AK155)=2021,$CD155,0)</f>
        <v>0</v>
      </c>
      <c r="CL155" s="130">
        <f>IF(YEAR('3 pr-2'!$AK155)=2022,$CD155,0)</f>
        <v>0</v>
      </c>
      <c r="CM155" s="130">
        <f>IF(YEAR('3 pr-2'!$AK155)=2023,$CD155,0)</f>
        <v>0</v>
      </c>
      <c r="CN155" s="317"/>
      <c r="CO155" s="472"/>
      <c r="CP155" s="1699"/>
      <c r="CQ155" s="1699"/>
      <c r="CR155" s="1699"/>
      <c r="CS155" s="1699"/>
      <c r="CT155" s="1699"/>
      <c r="CU155" s="1699"/>
      <c r="CV155" s="1699"/>
      <c r="CW155" s="1718">
        <f t="shared" si="630"/>
        <v>0</v>
      </c>
      <c r="CX155" s="318"/>
      <c r="CY155" s="303"/>
      <c r="CZ155" s="303"/>
      <c r="DA155" s="506">
        <f>IF(YEAR('3 pr-2'!AK155)=2017,CX155,0)</f>
        <v>0</v>
      </c>
      <c r="DB155" s="506">
        <f>IF(YEAR('3 pr-2'!AK155)=2018,CX155,0)</f>
        <v>0</v>
      </c>
      <c r="DC155" s="506">
        <f>IF(YEAR('3 pr-2'!AK155)=2019,CX155,0)</f>
        <v>0</v>
      </c>
      <c r="DD155" s="506">
        <f>IF(YEAR('3 pr-2'!AK155)=2020,CX155,0)</f>
        <v>0</v>
      </c>
      <c r="DE155" s="506">
        <f>IF(YEAR('3 pr-2'!AK155)=2021,CX155,0)</f>
        <v>0</v>
      </c>
      <c r="DF155" s="506">
        <f>IF(YEAR('3 pr-2'!AK155)=2022,CX155,0)</f>
        <v>0</v>
      </c>
      <c r="DG155" s="506">
        <f>IF(YEAR('3 pr-2'!AK155)=2023,CX155,0)</f>
        <v>0</v>
      </c>
      <c r="DH155" s="317"/>
      <c r="DI155" s="472"/>
      <c r="DJ155" s="130"/>
      <c r="DK155" s="130"/>
      <c r="DL155" s="130"/>
      <c r="DM155" s="130"/>
      <c r="DN155" s="130"/>
      <c r="DO155" s="130"/>
      <c r="DP155" s="130"/>
      <c r="DQ155" s="756"/>
      <c r="DR155" s="318"/>
      <c r="DS155" s="303"/>
      <c r="DT155" s="303"/>
      <c r="DU155" s="506"/>
      <c r="DV155" s="506"/>
      <c r="DW155" s="506"/>
      <c r="DX155" s="506"/>
      <c r="DY155" s="506"/>
      <c r="DZ155" s="506"/>
      <c r="EA155" s="506"/>
      <c r="EB155" s="317"/>
      <c r="EC155" s="472"/>
      <c r="ED155" s="303"/>
      <c r="EE155" s="303"/>
      <c r="EF155" s="303"/>
      <c r="EG155" s="506">
        <f>IF(YEAR('3 pr-2'!BP155)=2017,ED155,0)</f>
        <v>0</v>
      </c>
      <c r="EH155" s="506">
        <f>IF(YEAR('3 pr-2'!BP155)=2018,ED155,0)</f>
        <v>0</v>
      </c>
      <c r="EI155" s="506">
        <f>IF(YEAR('3 pr-2'!BP155)=2019,ED155,0)</f>
        <v>0</v>
      </c>
      <c r="EJ155" s="506">
        <f>IF(YEAR('3 pr-2'!BP155)=2020,ED155,0)</f>
        <v>0</v>
      </c>
      <c r="EK155" s="506">
        <f>IF(YEAR('3 pr-2'!BP155)=2021,ED155,0)</f>
        <v>0</v>
      </c>
      <c r="EL155" s="506">
        <f>IF(YEAR('3 pr-2'!BP155)=2022,ED155,0)</f>
        <v>0</v>
      </c>
      <c r="EM155" s="506">
        <f>IF(YEAR('3 pr-2'!BP155)=2023,ED155,0)</f>
        <v>0</v>
      </c>
    </row>
    <row r="156" spans="1:143" ht="61.5" thickTop="1" thickBot="1">
      <c r="A156" s="130" t="str">
        <f>CONCATENATE('3 pr-2'!A156)</f>
        <v>2.1.3.2.2</v>
      </c>
      <c r="B156" s="130" t="str">
        <f>CONCATENATE('3 pr-2'!B156)</f>
        <v>R01-4408-250000-2322</v>
      </c>
      <c r="C156" s="1730" t="str">
        <f>CONCATENATE('ketv. 2'!B155)</f>
        <v>08.1.2-CPVA-R-408-11-0005</v>
      </c>
      <c r="D156" s="11" t="str">
        <f>CONCATENATE('3 pr-2'!D156)</f>
        <v>Būsto prieinamumo pažeidžiamoms gyventojų grupėms didinimas Alytaus rajone</v>
      </c>
      <c r="E156" s="11" t="str">
        <f>CONCATENATE('3 pr-2'!E156)</f>
        <v>Alytaus rajono savivaldybės administracija</v>
      </c>
      <c r="F156" s="11" t="str">
        <f>CONCATENATE('3 pr-2'!F156)</f>
        <v>Lietuvos Respublikos socialinės apsaugos ir darbo ministerija</v>
      </c>
      <c r="G156" s="11" t="str">
        <f>CONCATENATE('3 pr-2'!G156)</f>
        <v>Alytaus r. sav.</v>
      </c>
      <c r="H156" s="130" t="str">
        <f>CONCATENATE('3 pr-2'!H156)</f>
        <v>08.1.2-CPVA-R-408</v>
      </c>
      <c r="I156" s="130" t="str">
        <f>CONCATENATE('3 pr-2'!I156)</f>
        <v>R</v>
      </c>
      <c r="J156" s="130" t="str">
        <f>CONCATENATE('3 pr-2'!J156)</f>
        <v>-</v>
      </c>
      <c r="K156" s="130" t="str">
        <f>CONCATENATE('3 pr-2'!K156)</f>
        <v>-</v>
      </c>
      <c r="L156" s="130" t="s">
        <v>518</v>
      </c>
      <c r="M156" s="471" t="s">
        <v>519</v>
      </c>
      <c r="N156" s="1699">
        <v>0</v>
      </c>
      <c r="O156" s="1699">
        <v>6</v>
      </c>
      <c r="P156" s="1699"/>
      <c r="Q156" s="1699"/>
      <c r="R156" s="1699"/>
      <c r="S156" s="1699"/>
      <c r="T156" s="1699"/>
      <c r="U156" s="1700">
        <f t="shared" si="657"/>
        <v>6</v>
      </c>
      <c r="V156" s="130">
        <v>6</v>
      </c>
      <c r="W156" s="1757" t="str">
        <f>IF('ketv. 6 '!L155&gt;0,"6",0)</f>
        <v>6</v>
      </c>
      <c r="X156" s="1732">
        <f>SUM(W156-V156)</f>
        <v>0</v>
      </c>
      <c r="Y156" s="1732">
        <f>IF(YEAR('3 pr-2'!$AK156)=2017,$V156,0)</f>
        <v>0</v>
      </c>
      <c r="Z156" s="1732">
        <f>IF(YEAR('3 pr-2'!$AK156)=2018,$V156,0)</f>
        <v>6</v>
      </c>
      <c r="AA156" s="1732">
        <f>IF(YEAR('3 pr-2'!$AK156)=2019,$V156,0)</f>
        <v>0</v>
      </c>
      <c r="AB156" s="1732">
        <f>IF(YEAR('3 pr-2'!$AK156)=2020,$V156,0)</f>
        <v>0</v>
      </c>
      <c r="AC156" s="1732">
        <f>IF(YEAR('3 pr-2'!$AK156)=2021,$V156,0)</f>
        <v>0</v>
      </c>
      <c r="AD156" s="1732">
        <f>IF(YEAR('3 pr-2'!$AK156)=2022,$V156,0)</f>
        <v>0</v>
      </c>
      <c r="AE156" s="1732">
        <f>IF(YEAR('3 pr-2'!$AK156)=2023,$V156,0)</f>
        <v>0</v>
      </c>
      <c r="AF156" s="317"/>
      <c r="AG156" s="471"/>
      <c r="AH156" s="1699"/>
      <c r="AI156" s="1699"/>
      <c r="AJ156" s="1699"/>
      <c r="AK156" s="1699"/>
      <c r="AL156" s="1699"/>
      <c r="AM156" s="1699"/>
      <c r="AN156" s="1699"/>
      <c r="AO156" s="1718">
        <f t="shared" si="627"/>
        <v>0</v>
      </c>
      <c r="AP156" s="130"/>
      <c r="AQ156" s="1778"/>
      <c r="AR156" s="1732"/>
      <c r="AS156" s="1732">
        <f>IF(YEAR('3 pr-2'!$AK156)=2017,$AP156,0)</f>
        <v>0</v>
      </c>
      <c r="AT156" s="1732">
        <f>IF(YEAR('3 pr-2'!$AK156)=2018,$AP156,0)</f>
        <v>0</v>
      </c>
      <c r="AU156" s="1732">
        <f>IF(YEAR('3 pr-2'!$AK156)=2019,$AP156,0)</f>
        <v>0</v>
      </c>
      <c r="AV156" s="1732">
        <f>IF(YEAR('3 pr-2'!$AK156)=2020,$AP156,0)</f>
        <v>0</v>
      </c>
      <c r="AW156" s="1732">
        <f>IF(YEAR('3 pr-2'!$AK156)=2021,$AP156,0)</f>
        <v>0</v>
      </c>
      <c r="AX156" s="1732">
        <f>IF(YEAR('3 pr-2'!$AK156)=2022,$AP156,0)</f>
        <v>0</v>
      </c>
      <c r="AY156" s="1732">
        <f>IF(YEAR('3 pr-2'!$AK156)=2023,$AP156,0)</f>
        <v>0</v>
      </c>
      <c r="AZ156" s="130"/>
      <c r="BA156" s="470"/>
      <c r="BB156" s="1699"/>
      <c r="BC156" s="1699"/>
      <c r="BD156" s="1699"/>
      <c r="BE156" s="1699"/>
      <c r="BF156" s="1699"/>
      <c r="BG156" s="1699"/>
      <c r="BH156" s="1699"/>
      <c r="BI156" s="1718">
        <f t="shared" si="628"/>
        <v>0</v>
      </c>
      <c r="BJ156" s="130"/>
      <c r="BK156" s="1501"/>
      <c r="BL156" s="130"/>
      <c r="BM156" s="130">
        <f>IF(YEAR('3 pr-2'!$AK156)=2017,$BJ156,0)</f>
        <v>0</v>
      </c>
      <c r="BN156" s="130">
        <f>IF(YEAR('3 pr-2'!$AK156)=2018,$BJ156,0)</f>
        <v>0</v>
      </c>
      <c r="BO156" s="130">
        <f>IF(YEAR('3 pr-2'!$AK156)=2019,$BJ156,0)</f>
        <v>0</v>
      </c>
      <c r="BP156" s="130">
        <f>IF(YEAR('3 pr-2'!$AK156)=2020,$BJ156,0)</f>
        <v>0</v>
      </c>
      <c r="BQ156" s="130">
        <f>IF(YEAR('3 pr-2'!$AK156)=2021,$BJ156,0)</f>
        <v>0</v>
      </c>
      <c r="BR156" s="130">
        <f>IF(YEAR('3 pr-2'!$AK156)=2022,$BJ156,0)</f>
        <v>0</v>
      </c>
      <c r="BS156" s="130">
        <f>IF(YEAR('3 pr-2'!$AK156)=2023,$BJ156,0)</f>
        <v>0</v>
      </c>
      <c r="BT156" s="317"/>
      <c r="BU156" s="471"/>
      <c r="BV156" s="1699"/>
      <c r="BW156" s="1699"/>
      <c r="BX156" s="1699"/>
      <c r="BY156" s="1699"/>
      <c r="BZ156" s="1699"/>
      <c r="CA156" s="1699"/>
      <c r="CB156" s="1699"/>
      <c r="CC156" s="1718">
        <f t="shared" si="629"/>
        <v>0</v>
      </c>
      <c r="CD156" s="130"/>
      <c r="CE156" s="130"/>
      <c r="CF156" s="130"/>
      <c r="CG156" s="130">
        <f>IF(YEAR('3 pr-2'!$AK156)=2017,$CD156,0)</f>
        <v>0</v>
      </c>
      <c r="CH156" s="130">
        <f>IF(YEAR('3 pr-2'!$AK156)=2018,$CD156,0)</f>
        <v>0</v>
      </c>
      <c r="CI156" s="130">
        <f>IF(YEAR('3 pr-2'!$AK156)=2019,$CD156,0)</f>
        <v>0</v>
      </c>
      <c r="CJ156" s="130">
        <f>IF(YEAR('3 pr-2'!$AK156)=2020,$CD156,0)</f>
        <v>0</v>
      </c>
      <c r="CK156" s="130">
        <f>IF(YEAR('3 pr-2'!$AK156)=2021,$CD156,0)</f>
        <v>0</v>
      </c>
      <c r="CL156" s="130">
        <f>IF(YEAR('3 pr-2'!$AK156)=2022,$CD156,0)</f>
        <v>0</v>
      </c>
      <c r="CM156" s="130">
        <f>IF(YEAR('3 pr-2'!$AK156)=2023,$CD156,0)</f>
        <v>0</v>
      </c>
      <c r="CN156" s="317"/>
      <c r="CO156" s="472"/>
      <c r="CP156" s="1699"/>
      <c r="CQ156" s="1699"/>
      <c r="CR156" s="1699"/>
      <c r="CS156" s="1699"/>
      <c r="CT156" s="1699"/>
      <c r="CU156" s="1699"/>
      <c r="CV156" s="1699"/>
      <c r="CW156" s="1718">
        <f t="shared" si="630"/>
        <v>0</v>
      </c>
      <c r="CX156" s="318"/>
      <c r="CY156" s="303"/>
      <c r="CZ156" s="303"/>
      <c r="DA156" s="506">
        <f>IF(YEAR('3 pr-2'!AK156)=2017,CX156,0)</f>
        <v>0</v>
      </c>
      <c r="DB156" s="506">
        <f>IF(YEAR('3 pr-2'!AK156)=2018,CX156,0)</f>
        <v>0</v>
      </c>
      <c r="DC156" s="506">
        <f>IF(YEAR('3 pr-2'!AK156)=2019,CX156,0)</f>
        <v>0</v>
      </c>
      <c r="DD156" s="506">
        <f>IF(YEAR('3 pr-2'!AK156)=2020,CX156,0)</f>
        <v>0</v>
      </c>
      <c r="DE156" s="506">
        <f>IF(YEAR('3 pr-2'!AK156)=2021,CX156,0)</f>
        <v>0</v>
      </c>
      <c r="DF156" s="506">
        <f>IF(YEAR('3 pr-2'!AK156)=2022,CX156,0)</f>
        <v>0</v>
      </c>
      <c r="DG156" s="506">
        <f>IF(YEAR('3 pr-2'!AK156)=2023,CX156,0)</f>
        <v>0</v>
      </c>
      <c r="DH156" s="317"/>
      <c r="DI156" s="472"/>
      <c r="DJ156" s="130"/>
      <c r="DK156" s="130"/>
      <c r="DL156" s="130"/>
      <c r="DM156" s="130"/>
      <c r="DN156" s="130"/>
      <c r="DO156" s="130"/>
      <c r="DP156" s="130"/>
      <c r="DQ156" s="756"/>
      <c r="DR156" s="318"/>
      <c r="DS156" s="303"/>
      <c r="DT156" s="303"/>
      <c r="DU156" s="506"/>
      <c r="DV156" s="506"/>
      <c r="DW156" s="506"/>
      <c r="DX156" s="506"/>
      <c r="DY156" s="506"/>
      <c r="DZ156" s="506"/>
      <c r="EA156" s="506"/>
      <c r="EB156" s="317"/>
      <c r="EC156" s="472"/>
      <c r="ED156" s="303"/>
      <c r="EE156" s="303"/>
      <c r="EF156" s="303"/>
      <c r="EG156" s="506">
        <f>IF(YEAR('3 pr-2'!BP156)=2017,ED156,0)</f>
        <v>0</v>
      </c>
      <c r="EH156" s="506">
        <f>IF(YEAR('3 pr-2'!BP156)=2018,ED156,0)</f>
        <v>0</v>
      </c>
      <c r="EI156" s="506">
        <f>IF(YEAR('3 pr-2'!BP156)=2019,ED156,0)</f>
        <v>0</v>
      </c>
      <c r="EJ156" s="506">
        <f>IF(YEAR('3 pr-2'!BP156)=2020,ED156,0)</f>
        <v>0</v>
      </c>
      <c r="EK156" s="506">
        <f>IF(YEAR('3 pr-2'!BP156)=2021,ED156,0)</f>
        <v>0</v>
      </c>
      <c r="EL156" s="506">
        <f>IF(YEAR('3 pr-2'!BP156)=2022,ED156,0)</f>
        <v>0</v>
      </c>
      <c r="EM156" s="506">
        <f>IF(YEAR('3 pr-2'!BP156)=2023,ED156,0)</f>
        <v>0</v>
      </c>
    </row>
    <row r="157" spans="1:143" ht="61.5" thickTop="1" thickBot="1">
      <c r="A157" s="130" t="str">
        <f>CONCATENATE('3 pr-2'!A157)</f>
        <v>2.1.3.1.3</v>
      </c>
      <c r="B157" s="130" t="str">
        <f>CONCATENATE('3 pr-2'!B157)</f>
        <v>R01-4408-260000-2323</v>
      </c>
      <c r="C157" s="1730" t="str">
        <f>CONCATENATE('ketv. 2'!B156)</f>
        <v>08.1.2-CPVA-R-408-11-0002</v>
      </c>
      <c r="D157" s="11" t="str">
        <f>CONCATENATE('3 pr-2'!D157)</f>
        <v>Socialinio būsto plėtra Alytaus mieste</v>
      </c>
      <c r="E157" s="11" t="str">
        <f>CONCATENATE('3 pr-2'!E157)</f>
        <v>Alytaus miesto savivaldybės administracija</v>
      </c>
      <c r="F157" s="11" t="str">
        <f>CONCATENATE('3 pr-2'!F157)</f>
        <v>Lietuvos Respublikos socialinės apsaugos ir darbo ministerija</v>
      </c>
      <c r="G157" s="11" t="str">
        <f>CONCATENATE('3 pr-2'!G157)</f>
        <v>Alytaus m. sav.</v>
      </c>
      <c r="H157" s="130" t="str">
        <f>CONCATENATE('3 pr-2'!H157)</f>
        <v>08.1.2-CPVA-R-408</v>
      </c>
      <c r="I157" s="130" t="str">
        <f>CONCATENATE('3 pr-2'!I157)</f>
        <v>R</v>
      </c>
      <c r="J157" s="130" t="str">
        <f>CONCATENATE('3 pr-2'!J157)</f>
        <v>-</v>
      </c>
      <c r="K157" s="130" t="str">
        <f>CONCATENATE('3 pr-2'!K157)</f>
        <v>-</v>
      </c>
      <c r="L157" s="130" t="s">
        <v>518</v>
      </c>
      <c r="M157" s="471" t="s">
        <v>519</v>
      </c>
      <c r="N157" s="1699">
        <v>22</v>
      </c>
      <c r="O157" s="1699">
        <v>4</v>
      </c>
      <c r="P157" s="1699"/>
      <c r="Q157" s="1699"/>
      <c r="R157" s="1699"/>
      <c r="S157" s="1699"/>
      <c r="T157" s="1699"/>
      <c r="U157" s="1700">
        <f>SUM(N157:T157)</f>
        <v>26</v>
      </c>
      <c r="V157" s="130">
        <v>35</v>
      </c>
      <c r="W157" s="1757" t="str">
        <f>IF('ketv. 6 '!L156&gt;0,"35",0)</f>
        <v>35</v>
      </c>
      <c r="X157" s="1732">
        <f>SUM(W157-V157)</f>
        <v>0</v>
      </c>
      <c r="Y157" s="1732">
        <f>IF(YEAR('3 pr-2'!$AK157)=2017,$V157,0)</f>
        <v>0</v>
      </c>
      <c r="Z157" s="1732">
        <f>IF(YEAR('3 pr-2'!$AK157)=2018,$V157,0)</f>
        <v>0</v>
      </c>
      <c r="AA157" s="1732">
        <f>IF(YEAR('3 pr-2'!$AK157)=2019,$V157,0)</f>
        <v>35</v>
      </c>
      <c r="AB157" s="1732">
        <f>IF(YEAR('3 pr-2'!$AK157)=2020,$V157,0)</f>
        <v>0</v>
      </c>
      <c r="AC157" s="1732">
        <f>IF(YEAR('3 pr-2'!$AK157)=2021,$V157,0)</f>
        <v>0</v>
      </c>
      <c r="AD157" s="1732">
        <f>IF(YEAR('3 pr-2'!$AK157)=2022,$V157,0)</f>
        <v>0</v>
      </c>
      <c r="AE157" s="1732">
        <f>IF(YEAR('3 pr-2'!$AK157)=2023,$V157,0)</f>
        <v>0</v>
      </c>
      <c r="AF157" s="317"/>
      <c r="AG157" s="471"/>
      <c r="AH157" s="1699"/>
      <c r="AI157" s="1699"/>
      <c r="AJ157" s="1699"/>
      <c r="AK157" s="1699"/>
      <c r="AL157" s="1699"/>
      <c r="AM157" s="1699"/>
      <c r="AN157" s="1699"/>
      <c r="AO157" s="1718">
        <f>SUM(AH157:AN157)</f>
        <v>0</v>
      </c>
      <c r="AP157" s="130"/>
      <c r="AQ157" s="1778"/>
      <c r="AR157" s="1732"/>
      <c r="AS157" s="1732">
        <f>IF(YEAR('3 pr-2'!$AK157)=2017,$AP157,0)</f>
        <v>0</v>
      </c>
      <c r="AT157" s="1732">
        <f>IF(YEAR('3 pr-2'!$AK157)=2018,$AP157,0)</f>
        <v>0</v>
      </c>
      <c r="AU157" s="1732">
        <f>IF(YEAR('3 pr-2'!$AK157)=2019,$AP157,0)</f>
        <v>0</v>
      </c>
      <c r="AV157" s="1732">
        <f>IF(YEAR('3 pr-2'!$AK157)=2020,$AP157,0)</f>
        <v>0</v>
      </c>
      <c r="AW157" s="1732">
        <f>IF(YEAR('3 pr-2'!$AK157)=2021,$AP157,0)</f>
        <v>0</v>
      </c>
      <c r="AX157" s="1732">
        <f>IF(YEAR('3 pr-2'!$AK157)=2022,$AP157,0)</f>
        <v>0</v>
      </c>
      <c r="AY157" s="1732">
        <f>IF(YEAR('3 pr-2'!$AK157)=2023,$AP157,0)</f>
        <v>0</v>
      </c>
      <c r="AZ157" s="130"/>
      <c r="BA157" s="470"/>
      <c r="BB157" s="1699"/>
      <c r="BC157" s="1699"/>
      <c r="BD157" s="1699"/>
      <c r="BE157" s="1699"/>
      <c r="BF157" s="1699"/>
      <c r="BG157" s="1699"/>
      <c r="BH157" s="1699"/>
      <c r="BI157" s="1718">
        <f t="shared" si="628"/>
        <v>0</v>
      </c>
      <c r="BJ157" s="130"/>
      <c r="BK157" s="1501"/>
      <c r="BL157" s="130"/>
      <c r="BM157" s="130">
        <f>IF(YEAR('3 pr-2'!$AK157)=2017,$BJ157,0)</f>
        <v>0</v>
      </c>
      <c r="BN157" s="130">
        <f>IF(YEAR('3 pr-2'!$AK157)=2018,$BJ157,0)</f>
        <v>0</v>
      </c>
      <c r="BO157" s="130">
        <f>IF(YEAR('3 pr-2'!$AK157)=2019,$BJ157,0)</f>
        <v>0</v>
      </c>
      <c r="BP157" s="130">
        <f>IF(YEAR('3 pr-2'!$AK157)=2020,$BJ157,0)</f>
        <v>0</v>
      </c>
      <c r="BQ157" s="130">
        <f>IF(YEAR('3 pr-2'!$AK157)=2021,$BJ157,0)</f>
        <v>0</v>
      </c>
      <c r="BR157" s="130">
        <f>IF(YEAR('3 pr-2'!$AK157)=2022,$BJ157,0)</f>
        <v>0</v>
      </c>
      <c r="BS157" s="130">
        <f>IF(YEAR('3 pr-2'!$AK157)=2023,$BJ157,0)</f>
        <v>0</v>
      </c>
      <c r="BT157" s="317"/>
      <c r="BU157" s="471"/>
      <c r="BV157" s="1699"/>
      <c r="BW157" s="1699"/>
      <c r="BX157" s="1699"/>
      <c r="BY157" s="1699"/>
      <c r="BZ157" s="1699"/>
      <c r="CA157" s="1699"/>
      <c r="CB157" s="1699"/>
      <c r="CC157" s="1718">
        <f t="shared" si="629"/>
        <v>0</v>
      </c>
      <c r="CD157" s="130"/>
      <c r="CE157" s="130"/>
      <c r="CF157" s="130"/>
      <c r="CG157" s="130">
        <f>IF(YEAR('3 pr-2'!$AK157)=2017,$CD157,0)</f>
        <v>0</v>
      </c>
      <c r="CH157" s="130">
        <f>IF(YEAR('3 pr-2'!$AK157)=2018,$CD157,0)</f>
        <v>0</v>
      </c>
      <c r="CI157" s="130">
        <f>IF(YEAR('3 pr-2'!$AK157)=2019,$CD157,0)</f>
        <v>0</v>
      </c>
      <c r="CJ157" s="130">
        <f>IF(YEAR('3 pr-2'!$AK157)=2020,$CD157,0)</f>
        <v>0</v>
      </c>
      <c r="CK157" s="130">
        <f>IF(YEAR('3 pr-2'!$AK157)=2021,$CD157,0)</f>
        <v>0</v>
      </c>
      <c r="CL157" s="130">
        <f>IF(YEAR('3 pr-2'!$AK157)=2022,$CD157,0)</f>
        <v>0</v>
      </c>
      <c r="CM157" s="130">
        <f>IF(YEAR('3 pr-2'!$AK157)=2023,$CD157,0)</f>
        <v>0</v>
      </c>
      <c r="CN157" s="317"/>
      <c r="CO157" s="472"/>
      <c r="CP157" s="1699"/>
      <c r="CQ157" s="1699"/>
      <c r="CR157" s="1699"/>
      <c r="CS157" s="1699"/>
      <c r="CT157" s="1699"/>
      <c r="CU157" s="1699"/>
      <c r="CV157" s="1699"/>
      <c r="CW157" s="1718">
        <f t="shared" si="630"/>
        <v>0</v>
      </c>
      <c r="CX157" s="318"/>
      <c r="CY157" s="303"/>
      <c r="CZ157" s="303"/>
      <c r="DA157" s="506">
        <f>IF(YEAR('3 pr-2'!AK157)=2017,CX157,0)</f>
        <v>0</v>
      </c>
      <c r="DB157" s="506">
        <f>IF(YEAR('3 pr-2'!AK157)=2018,CX157,0)</f>
        <v>0</v>
      </c>
      <c r="DC157" s="506">
        <f>IF(YEAR('3 pr-2'!AK157)=2019,CX157,0)</f>
        <v>0</v>
      </c>
      <c r="DD157" s="506">
        <f>IF(YEAR('3 pr-2'!AK157)=2020,CX157,0)</f>
        <v>0</v>
      </c>
      <c r="DE157" s="506">
        <f>IF(YEAR('3 pr-2'!AK157)=2021,CX157,0)</f>
        <v>0</v>
      </c>
      <c r="DF157" s="506">
        <f>IF(YEAR('3 pr-2'!AK157)=2022,CX157,0)</f>
        <v>0</v>
      </c>
      <c r="DG157" s="506">
        <f>IF(YEAR('3 pr-2'!AK157)=2023,CX157,0)</f>
        <v>0</v>
      </c>
      <c r="DH157" s="317"/>
      <c r="DI157" s="472"/>
      <c r="DJ157" s="130"/>
      <c r="DK157" s="130"/>
      <c r="DL157" s="130"/>
      <c r="DM157" s="130"/>
      <c r="DN157" s="130"/>
      <c r="DO157" s="130"/>
      <c r="DP157" s="130"/>
      <c r="DQ157" s="756"/>
      <c r="DR157" s="318"/>
      <c r="DS157" s="303"/>
      <c r="DT157" s="303"/>
      <c r="DU157" s="506"/>
      <c r="DV157" s="506"/>
      <c r="DW157" s="506"/>
      <c r="DX157" s="506"/>
      <c r="DY157" s="506"/>
      <c r="DZ157" s="506"/>
      <c r="EA157" s="506"/>
      <c r="EB157" s="317"/>
      <c r="EC157" s="472"/>
      <c r="ED157" s="303"/>
      <c r="EE157" s="303"/>
      <c r="EF157" s="303"/>
      <c r="EG157" s="506">
        <f>IF(YEAR('3 pr-2'!BP157)=2017,ED157,0)</f>
        <v>0</v>
      </c>
      <c r="EH157" s="506">
        <f>IF(YEAR('3 pr-2'!BP157)=2018,ED157,0)</f>
        <v>0</v>
      </c>
      <c r="EI157" s="506">
        <f>IF(YEAR('3 pr-2'!BP157)=2019,ED157,0)</f>
        <v>0</v>
      </c>
      <c r="EJ157" s="506">
        <f>IF(YEAR('3 pr-2'!BP157)=2020,ED157,0)</f>
        <v>0</v>
      </c>
      <c r="EK157" s="506">
        <f>IF(YEAR('3 pr-2'!BP157)=2021,ED157,0)</f>
        <v>0</v>
      </c>
      <c r="EL157" s="506">
        <f>IF(YEAR('3 pr-2'!BP157)=2022,ED157,0)</f>
        <v>0</v>
      </c>
      <c r="EM157" s="506">
        <f>IF(YEAR('3 pr-2'!BP157)=2023,ED157,0)</f>
        <v>0</v>
      </c>
    </row>
    <row r="158" spans="1:143" ht="61.5" thickTop="1" thickBot="1">
      <c r="A158" s="130" t="str">
        <f>CONCATENATE('3 pr-2'!A158)</f>
        <v>2.1.3.2.4</v>
      </c>
      <c r="B158" s="130" t="str">
        <f>CONCATENATE('3 pr-2'!B158)</f>
        <v>R01-4408-260000-2324</v>
      </c>
      <c r="C158" s="1730" t="str">
        <f>CONCATENATE('ketv. 2'!B157)</f>
        <v>08.1.2-CPVA-R-408-11-0003</v>
      </c>
      <c r="D158" s="11" t="str">
        <f>CONCATENATE('3 pr-2'!D158)</f>
        <v>Socialinio būsto fondo plėtra Druskininkų savivaldybėje</v>
      </c>
      <c r="E158" s="11" t="str">
        <f>CONCATENATE('3 pr-2'!E158)</f>
        <v>Druskininkų savivaldybės administracija</v>
      </c>
      <c r="F158" s="11" t="str">
        <f>CONCATENATE('3 pr-2'!F158)</f>
        <v>Lietuvos Respublikos socialinės apsaugos ir darbo ministerija</v>
      </c>
      <c r="G158" s="11" t="str">
        <f>CONCATENATE('3 pr-2'!G158)</f>
        <v>Druskininkų sav.</v>
      </c>
      <c r="H158" s="130" t="str">
        <f>CONCATENATE('3 pr-2'!H158)</f>
        <v>08.1.2-CPVA-R-408</v>
      </c>
      <c r="I158" s="130" t="str">
        <f>CONCATENATE('3 pr-2'!I158)</f>
        <v>R</v>
      </c>
      <c r="J158" s="130" t="str">
        <f>CONCATENATE('3 pr-2'!J158)</f>
        <v>-</v>
      </c>
      <c r="K158" s="130" t="str">
        <f>CONCATENATE('3 pr-2'!K158)</f>
        <v>-</v>
      </c>
      <c r="L158" s="130" t="s">
        <v>518</v>
      </c>
      <c r="M158" s="471" t="s">
        <v>519</v>
      </c>
      <c r="N158" s="1699">
        <v>1</v>
      </c>
      <c r="O158" s="1699">
        <v>13</v>
      </c>
      <c r="P158" s="1699">
        <v>3</v>
      </c>
      <c r="Q158" s="1699"/>
      <c r="R158" s="1699"/>
      <c r="S158" s="1699"/>
      <c r="T158" s="1699"/>
      <c r="U158" s="1700">
        <f t="shared" si="657"/>
        <v>17</v>
      </c>
      <c r="V158" s="130">
        <v>25</v>
      </c>
      <c r="W158" s="1757" t="str">
        <f>IF('ketv. 6 '!L157&gt;0,"25",0)</f>
        <v>25</v>
      </c>
      <c r="X158" s="1732">
        <f>SUM(W158-V158)</f>
        <v>0</v>
      </c>
      <c r="Y158" s="1732">
        <f>IF(YEAR('3 pr-2'!$AK158)=2017,$V158,0)</f>
        <v>0</v>
      </c>
      <c r="Z158" s="1732">
        <f>IF(YEAR('3 pr-2'!$AK158)=2018,$V158,0)</f>
        <v>0</v>
      </c>
      <c r="AA158" s="1732">
        <f>IF(YEAR('3 pr-2'!$AK158)=2019,$V158,0)</f>
        <v>25</v>
      </c>
      <c r="AB158" s="1732">
        <f>IF(YEAR('3 pr-2'!$AK158)=2020,$V158,0)</f>
        <v>0</v>
      </c>
      <c r="AC158" s="1732">
        <f>IF(YEAR('3 pr-2'!$AK158)=2021,$V158,0)</f>
        <v>0</v>
      </c>
      <c r="AD158" s="1732">
        <f>IF(YEAR('3 pr-2'!$AK158)=2022,$V158,0)</f>
        <v>0</v>
      </c>
      <c r="AE158" s="1732">
        <f>IF(YEAR('3 pr-2'!$AK158)=2023,$V158,0)</f>
        <v>0</v>
      </c>
      <c r="AF158" s="317"/>
      <c r="AG158" s="471"/>
      <c r="AH158" s="1699"/>
      <c r="AI158" s="1699"/>
      <c r="AJ158" s="1699"/>
      <c r="AK158" s="1699"/>
      <c r="AL158" s="1699"/>
      <c r="AM158" s="1699"/>
      <c r="AN158" s="1699"/>
      <c r="AO158" s="1718">
        <f t="shared" si="627"/>
        <v>0</v>
      </c>
      <c r="AP158" s="130"/>
      <c r="AQ158" s="1778"/>
      <c r="AR158" s="1732"/>
      <c r="AS158" s="1732">
        <f>IF(YEAR('3 pr-2'!$AK158)=2017,$AP158,0)</f>
        <v>0</v>
      </c>
      <c r="AT158" s="1732">
        <f>IF(YEAR('3 pr-2'!$AK158)=2018,$AP158,0)</f>
        <v>0</v>
      </c>
      <c r="AU158" s="1732">
        <f>IF(YEAR('3 pr-2'!$AK158)=2019,$AP158,0)</f>
        <v>0</v>
      </c>
      <c r="AV158" s="1732">
        <f>IF(YEAR('3 pr-2'!$AK158)=2020,$AP158,0)</f>
        <v>0</v>
      </c>
      <c r="AW158" s="1732">
        <f>IF(YEAR('3 pr-2'!$AK158)=2021,$AP158,0)</f>
        <v>0</v>
      </c>
      <c r="AX158" s="1732">
        <f>IF(YEAR('3 pr-2'!$AK158)=2022,$AP158,0)</f>
        <v>0</v>
      </c>
      <c r="AY158" s="1732">
        <f>IF(YEAR('3 pr-2'!$AK158)=2023,$AP158,0)</f>
        <v>0</v>
      </c>
      <c r="AZ158" s="130"/>
      <c r="BA158" s="470"/>
      <c r="BB158" s="1699"/>
      <c r="BC158" s="1699"/>
      <c r="BD158" s="1699"/>
      <c r="BE158" s="1699"/>
      <c r="BF158" s="1699"/>
      <c r="BG158" s="1699"/>
      <c r="BH158" s="1699"/>
      <c r="BI158" s="1718">
        <f t="shared" si="628"/>
        <v>0</v>
      </c>
      <c r="BJ158" s="130"/>
      <c r="BK158" s="1501"/>
      <c r="BL158" s="130"/>
      <c r="BM158" s="130">
        <f>IF(YEAR('3 pr-2'!$AK158)=2017,$BJ158,0)</f>
        <v>0</v>
      </c>
      <c r="BN158" s="130">
        <f>IF(YEAR('3 pr-2'!$AK158)=2018,$BJ158,0)</f>
        <v>0</v>
      </c>
      <c r="BO158" s="130">
        <f>IF(YEAR('3 pr-2'!$AK158)=2019,$BJ158,0)</f>
        <v>0</v>
      </c>
      <c r="BP158" s="130">
        <f>IF(YEAR('3 pr-2'!$AK158)=2020,$BJ158,0)</f>
        <v>0</v>
      </c>
      <c r="BQ158" s="130">
        <f>IF(YEAR('3 pr-2'!$AK158)=2021,$BJ158,0)</f>
        <v>0</v>
      </c>
      <c r="BR158" s="130">
        <f>IF(YEAR('3 pr-2'!$AK158)=2022,$BJ158,0)</f>
        <v>0</v>
      </c>
      <c r="BS158" s="130">
        <f>IF(YEAR('3 pr-2'!$AK158)=2023,$BJ158,0)</f>
        <v>0</v>
      </c>
      <c r="BT158" s="317"/>
      <c r="BU158" s="471"/>
      <c r="BV158" s="1699"/>
      <c r="BW158" s="1699"/>
      <c r="BX158" s="1699"/>
      <c r="BY158" s="1699"/>
      <c r="BZ158" s="1699"/>
      <c r="CA158" s="1699"/>
      <c r="CB158" s="1699"/>
      <c r="CC158" s="1718">
        <f t="shared" si="629"/>
        <v>0</v>
      </c>
      <c r="CD158" s="130"/>
      <c r="CE158" s="130"/>
      <c r="CF158" s="130"/>
      <c r="CG158" s="130">
        <f>IF(YEAR('3 pr-2'!$AK158)=2017,$CD158,0)</f>
        <v>0</v>
      </c>
      <c r="CH158" s="130">
        <f>IF(YEAR('3 pr-2'!$AK158)=2018,$CD158,0)</f>
        <v>0</v>
      </c>
      <c r="CI158" s="130">
        <f>IF(YEAR('3 pr-2'!$AK158)=2019,$CD158,0)</f>
        <v>0</v>
      </c>
      <c r="CJ158" s="130">
        <f>IF(YEAR('3 pr-2'!$AK158)=2020,$CD158,0)</f>
        <v>0</v>
      </c>
      <c r="CK158" s="130">
        <f>IF(YEAR('3 pr-2'!$AK158)=2021,$CD158,0)</f>
        <v>0</v>
      </c>
      <c r="CL158" s="130">
        <f>IF(YEAR('3 pr-2'!$AK158)=2022,$CD158,0)</f>
        <v>0</v>
      </c>
      <c r="CM158" s="130">
        <f>IF(YEAR('3 pr-2'!$AK158)=2023,$CD158,0)</f>
        <v>0</v>
      </c>
      <c r="CN158" s="317"/>
      <c r="CO158" s="472"/>
      <c r="CP158" s="1699"/>
      <c r="CQ158" s="1699"/>
      <c r="CR158" s="1699"/>
      <c r="CS158" s="1699"/>
      <c r="CT158" s="1699"/>
      <c r="CU158" s="1699"/>
      <c r="CV158" s="1699"/>
      <c r="CW158" s="1718">
        <f t="shared" si="630"/>
        <v>0</v>
      </c>
      <c r="CX158" s="318"/>
      <c r="CY158" s="303"/>
      <c r="CZ158" s="303"/>
      <c r="DA158" s="506">
        <f>IF(YEAR('3 pr-2'!AK158)=2017,CX158,0)</f>
        <v>0</v>
      </c>
      <c r="DB158" s="506">
        <f>IF(YEAR('3 pr-2'!AK158)=2018,CX158,0)</f>
        <v>0</v>
      </c>
      <c r="DC158" s="506">
        <f>IF(YEAR('3 pr-2'!AK158)=2019,CX158,0)</f>
        <v>0</v>
      </c>
      <c r="DD158" s="506">
        <f>IF(YEAR('3 pr-2'!AK158)=2020,CX158,0)</f>
        <v>0</v>
      </c>
      <c r="DE158" s="506">
        <f>IF(YEAR('3 pr-2'!AK158)=2021,CX158,0)</f>
        <v>0</v>
      </c>
      <c r="DF158" s="506">
        <f>IF(YEAR('3 pr-2'!AK158)=2022,CX158,0)</f>
        <v>0</v>
      </c>
      <c r="DG158" s="506">
        <f>IF(YEAR('3 pr-2'!AK158)=2023,CX158,0)</f>
        <v>0</v>
      </c>
      <c r="DH158" s="317"/>
      <c r="DI158" s="472"/>
      <c r="DJ158" s="130"/>
      <c r="DK158" s="130"/>
      <c r="DL158" s="130"/>
      <c r="DM158" s="130"/>
      <c r="DN158" s="130"/>
      <c r="DO158" s="130"/>
      <c r="DP158" s="130"/>
      <c r="DQ158" s="756"/>
      <c r="DR158" s="318"/>
      <c r="DS158" s="303"/>
      <c r="DT158" s="303"/>
      <c r="DU158" s="506"/>
      <c r="DV158" s="506"/>
      <c r="DW158" s="506"/>
      <c r="DX158" s="506"/>
      <c r="DY158" s="506"/>
      <c r="DZ158" s="506"/>
      <c r="EA158" s="506"/>
      <c r="EB158" s="317"/>
      <c r="EC158" s="472"/>
      <c r="ED158" s="303"/>
      <c r="EE158" s="303"/>
      <c r="EF158" s="303"/>
      <c r="EG158" s="506">
        <f>IF(YEAR('3 pr-2'!BP158)=2017,ED158,0)</f>
        <v>0</v>
      </c>
      <c r="EH158" s="506">
        <f>IF(YEAR('3 pr-2'!BP158)=2018,ED158,0)</f>
        <v>0</v>
      </c>
      <c r="EI158" s="506">
        <f>IF(YEAR('3 pr-2'!BP158)=2019,ED158,0)</f>
        <v>0</v>
      </c>
      <c r="EJ158" s="506">
        <f>IF(YEAR('3 pr-2'!BP158)=2020,ED158,0)</f>
        <v>0</v>
      </c>
      <c r="EK158" s="506">
        <f>IF(YEAR('3 pr-2'!BP158)=2021,ED158,0)</f>
        <v>0</v>
      </c>
      <c r="EL158" s="506">
        <f>IF(YEAR('3 pr-2'!BP158)=2022,ED158,0)</f>
        <v>0</v>
      </c>
      <c r="EM158" s="506">
        <f>IF(YEAR('3 pr-2'!BP158)=2023,ED158,0)</f>
        <v>0</v>
      </c>
    </row>
    <row r="159" spans="1:143" ht="61.5" thickTop="1" thickBot="1">
      <c r="A159" s="130" t="str">
        <f>CONCATENATE('3 pr-2'!A159)</f>
        <v>2.1.3.2.5</v>
      </c>
      <c r="B159" s="130" t="str">
        <f>CONCATENATE('3 pr-2'!B159)</f>
        <v>R01-4408-252600-2325</v>
      </c>
      <c r="C159" s="1730" t="str">
        <f>CONCATENATE('ketv. 2'!B158)</f>
        <v>08.1.2-CPVA-R-408-11-0004</v>
      </c>
      <c r="D159" s="11" t="str">
        <f>CONCATENATE('3 pr-2'!D159)</f>
        <v>Socialinio būsto fondo plėtra Lazdijų rajono savivaldybėje</v>
      </c>
      <c r="E159" s="11" t="str">
        <f>CONCATENATE('3 pr-2'!E159)</f>
        <v>Lazdijų rajono savivaldybės administracija</v>
      </c>
      <c r="F159" s="11" t="str">
        <f>CONCATENATE('3 pr-2'!F159)</f>
        <v>Lietuvos Respublikos socialinės apsaugos ir darbo ministerija</v>
      </c>
      <c r="G159" s="11" t="str">
        <f>CONCATENATE('3 pr-2'!G159)</f>
        <v>Lazdijų r. sav.</v>
      </c>
      <c r="H159" s="130" t="str">
        <f>CONCATENATE('3 pr-2'!H159)</f>
        <v>08.1.2-CPVA-R-408</v>
      </c>
      <c r="I159" s="130" t="str">
        <f>CONCATENATE('3 pr-2'!I159)</f>
        <v>R</v>
      </c>
      <c r="J159" s="130" t="str">
        <f>CONCATENATE('3 pr-2'!J159)</f>
        <v>-</v>
      </c>
      <c r="K159" s="130" t="str">
        <f>CONCATENATE('3 pr-2'!K159)</f>
        <v>-</v>
      </c>
      <c r="L159" s="130" t="s">
        <v>518</v>
      </c>
      <c r="M159" s="471" t="s">
        <v>519</v>
      </c>
      <c r="N159" s="1699">
        <v>4</v>
      </c>
      <c r="O159" s="1699">
        <v>1</v>
      </c>
      <c r="P159" s="1699"/>
      <c r="Q159" s="1699"/>
      <c r="R159" s="1699"/>
      <c r="S159" s="1699"/>
      <c r="T159" s="1699"/>
      <c r="U159" s="1700">
        <f t="shared" si="657"/>
        <v>5</v>
      </c>
      <c r="V159" s="130">
        <v>12</v>
      </c>
      <c r="W159" s="1757" t="str">
        <f>IF('ketv. 6 '!L158&gt;0,"12",0)</f>
        <v>12</v>
      </c>
      <c r="X159" s="1732">
        <f>SUM(W159-V159)</f>
        <v>0</v>
      </c>
      <c r="Y159" s="1732">
        <f>IF(YEAR('3 pr-2'!$AK159)=2017,$V159,0)</f>
        <v>0</v>
      </c>
      <c r="Z159" s="1732">
        <f>IF(YEAR('3 pr-2'!$AK159)=2018,$V159,0)</f>
        <v>0</v>
      </c>
      <c r="AA159" s="1732">
        <f>IF(YEAR('3 pr-2'!$AK159)=2019,$V159,0)</f>
        <v>12</v>
      </c>
      <c r="AB159" s="1732">
        <f>IF(YEAR('3 pr-2'!$AK159)=2020,$V159,0)</f>
        <v>0</v>
      </c>
      <c r="AC159" s="1732">
        <f>IF(YEAR('3 pr-2'!$AK159)=2021,$V159,0)</f>
        <v>0</v>
      </c>
      <c r="AD159" s="1732">
        <f>IF(YEAR('3 pr-2'!$AK159)=2022,$V159,0)</f>
        <v>0</v>
      </c>
      <c r="AE159" s="1732">
        <f>IF(YEAR('3 pr-2'!$AK159)=2023,$V159,0)</f>
        <v>0</v>
      </c>
      <c r="AF159" s="317"/>
      <c r="AG159" s="471"/>
      <c r="AH159" s="1699"/>
      <c r="AI159" s="1699"/>
      <c r="AJ159" s="1699"/>
      <c r="AK159" s="1699"/>
      <c r="AL159" s="1699"/>
      <c r="AM159" s="1699"/>
      <c r="AN159" s="1699"/>
      <c r="AO159" s="1718">
        <f t="shared" si="627"/>
        <v>0</v>
      </c>
      <c r="AP159" s="130"/>
      <c r="AQ159" s="1778"/>
      <c r="AR159" s="1732"/>
      <c r="AS159" s="1732">
        <f>IF(YEAR('3 pr-2'!$AK159)=2017,$AP159,0)</f>
        <v>0</v>
      </c>
      <c r="AT159" s="1732">
        <f>IF(YEAR('3 pr-2'!$AK159)=2018,$AP159,0)</f>
        <v>0</v>
      </c>
      <c r="AU159" s="1732">
        <f>IF(YEAR('3 pr-2'!$AK159)=2019,$AP159,0)</f>
        <v>0</v>
      </c>
      <c r="AV159" s="1732">
        <f>IF(YEAR('3 pr-2'!$AK159)=2020,$AP159,0)</f>
        <v>0</v>
      </c>
      <c r="AW159" s="1732">
        <f>IF(YEAR('3 pr-2'!$AK159)=2021,$AP159,0)</f>
        <v>0</v>
      </c>
      <c r="AX159" s="1732">
        <f>IF(YEAR('3 pr-2'!$AK159)=2022,$AP159,0)</f>
        <v>0</v>
      </c>
      <c r="AY159" s="1732">
        <f>IF(YEAR('3 pr-2'!$AK159)=2023,$AP159,0)</f>
        <v>0</v>
      </c>
      <c r="AZ159" s="130"/>
      <c r="BA159" s="470"/>
      <c r="BB159" s="1699"/>
      <c r="BC159" s="1699"/>
      <c r="BD159" s="1699"/>
      <c r="BE159" s="1699"/>
      <c r="BF159" s="1699"/>
      <c r="BG159" s="1699"/>
      <c r="BH159" s="1699"/>
      <c r="BI159" s="1718">
        <f t="shared" si="628"/>
        <v>0</v>
      </c>
      <c r="BJ159" s="130"/>
      <c r="BK159" s="1501"/>
      <c r="BL159" s="130"/>
      <c r="BM159" s="130">
        <f>IF(YEAR('3 pr-2'!$AK159)=2017,$BJ159,0)</f>
        <v>0</v>
      </c>
      <c r="BN159" s="130">
        <f>IF(YEAR('3 pr-2'!$AK159)=2018,$BJ159,0)</f>
        <v>0</v>
      </c>
      <c r="BO159" s="130">
        <f>IF(YEAR('3 pr-2'!$AK159)=2019,$BJ159,0)</f>
        <v>0</v>
      </c>
      <c r="BP159" s="130">
        <f>IF(YEAR('3 pr-2'!$AK159)=2020,$BJ159,0)</f>
        <v>0</v>
      </c>
      <c r="BQ159" s="130">
        <f>IF(YEAR('3 pr-2'!$AK159)=2021,$BJ159,0)</f>
        <v>0</v>
      </c>
      <c r="BR159" s="130">
        <f>IF(YEAR('3 pr-2'!$AK159)=2022,$BJ159,0)</f>
        <v>0</v>
      </c>
      <c r="BS159" s="130">
        <f>IF(YEAR('3 pr-2'!$AK159)=2023,$BJ159,0)</f>
        <v>0</v>
      </c>
      <c r="BT159" s="317"/>
      <c r="BU159" s="471"/>
      <c r="BV159" s="1699"/>
      <c r="BW159" s="1699"/>
      <c r="BX159" s="1699"/>
      <c r="BY159" s="1699"/>
      <c r="BZ159" s="1699"/>
      <c r="CA159" s="1699"/>
      <c r="CB159" s="1699"/>
      <c r="CC159" s="1718">
        <f t="shared" si="629"/>
        <v>0</v>
      </c>
      <c r="CD159" s="130"/>
      <c r="CE159" s="130"/>
      <c r="CF159" s="130"/>
      <c r="CG159" s="130">
        <f>IF(YEAR('3 pr-2'!$AK159)=2017,$CD159,0)</f>
        <v>0</v>
      </c>
      <c r="CH159" s="130">
        <f>IF(YEAR('3 pr-2'!$AK159)=2018,$CD159,0)</f>
        <v>0</v>
      </c>
      <c r="CI159" s="130">
        <f>IF(YEAR('3 pr-2'!$AK159)=2019,$CD159,0)</f>
        <v>0</v>
      </c>
      <c r="CJ159" s="130">
        <f>IF(YEAR('3 pr-2'!$AK159)=2020,$CD159,0)</f>
        <v>0</v>
      </c>
      <c r="CK159" s="130">
        <f>IF(YEAR('3 pr-2'!$AK159)=2021,$CD159,0)</f>
        <v>0</v>
      </c>
      <c r="CL159" s="130">
        <f>IF(YEAR('3 pr-2'!$AK159)=2022,$CD159,0)</f>
        <v>0</v>
      </c>
      <c r="CM159" s="130">
        <f>IF(YEAR('3 pr-2'!$AK159)=2023,$CD159,0)</f>
        <v>0</v>
      </c>
      <c r="CN159" s="317"/>
      <c r="CO159" s="472"/>
      <c r="CP159" s="1699"/>
      <c r="CQ159" s="1699"/>
      <c r="CR159" s="1699"/>
      <c r="CS159" s="1699"/>
      <c r="CT159" s="1699"/>
      <c r="CU159" s="1699"/>
      <c r="CV159" s="1699"/>
      <c r="CW159" s="1718">
        <f t="shared" si="630"/>
        <v>0</v>
      </c>
      <c r="CX159" s="318"/>
      <c r="CY159" s="303"/>
      <c r="CZ159" s="303"/>
      <c r="DA159" s="506">
        <f>IF(YEAR('3 pr-2'!AK159)=2017,CX159,0)</f>
        <v>0</v>
      </c>
      <c r="DB159" s="506">
        <f>IF(YEAR('3 pr-2'!AK159)=2018,CX159,0)</f>
        <v>0</v>
      </c>
      <c r="DC159" s="506">
        <f>IF(YEAR('3 pr-2'!AK159)=2019,CX159,0)</f>
        <v>0</v>
      </c>
      <c r="DD159" s="506">
        <f>IF(YEAR('3 pr-2'!AK159)=2020,CX159,0)</f>
        <v>0</v>
      </c>
      <c r="DE159" s="506">
        <f>IF(YEAR('3 pr-2'!AK159)=2021,CX159,0)</f>
        <v>0</v>
      </c>
      <c r="DF159" s="506">
        <f>IF(YEAR('3 pr-2'!AK159)=2022,CX159,0)</f>
        <v>0</v>
      </c>
      <c r="DG159" s="506">
        <f>IF(YEAR('3 pr-2'!AK159)=2023,CX159,0)</f>
        <v>0</v>
      </c>
      <c r="DH159" s="317"/>
      <c r="DI159" s="472"/>
      <c r="DJ159" s="130"/>
      <c r="DK159" s="130"/>
      <c r="DL159" s="130"/>
      <c r="DM159" s="130"/>
      <c r="DN159" s="130"/>
      <c r="DO159" s="130"/>
      <c r="DP159" s="130"/>
      <c r="DQ159" s="756"/>
      <c r="DR159" s="318"/>
      <c r="DS159" s="303"/>
      <c r="DT159" s="303"/>
      <c r="DU159" s="506"/>
      <c r="DV159" s="506"/>
      <c r="DW159" s="506"/>
      <c r="DX159" s="506"/>
      <c r="DY159" s="506"/>
      <c r="DZ159" s="506"/>
      <c r="EA159" s="506"/>
      <c r="EB159" s="317"/>
      <c r="EC159" s="472"/>
      <c r="ED159" s="303"/>
      <c r="EE159" s="303"/>
      <c r="EF159" s="303"/>
      <c r="EG159" s="506">
        <f>IF(YEAR('3 pr-2'!BP159)=2017,ED159,0)</f>
        <v>0</v>
      </c>
      <c r="EH159" s="506">
        <f>IF(YEAR('3 pr-2'!BP159)=2018,ED159,0)</f>
        <v>0</v>
      </c>
      <c r="EI159" s="506">
        <f>IF(YEAR('3 pr-2'!BP159)=2019,ED159,0)</f>
        <v>0</v>
      </c>
      <c r="EJ159" s="506">
        <f>IF(YEAR('3 pr-2'!BP159)=2020,ED159,0)</f>
        <v>0</v>
      </c>
      <c r="EK159" s="506">
        <f>IF(YEAR('3 pr-2'!BP159)=2021,ED159,0)</f>
        <v>0</v>
      </c>
      <c r="EL159" s="506">
        <f>IF(YEAR('3 pr-2'!BP159)=2022,ED159,0)</f>
        <v>0</v>
      </c>
      <c r="EM159" s="506">
        <f>IF(YEAR('3 pr-2'!BP159)=2023,ED159,0)</f>
        <v>0</v>
      </c>
    </row>
    <row r="160" spans="1:143" ht="36.75" customHeight="1" thickBot="1">
      <c r="A160" s="614" t="str">
        <f>CONCATENATE('3 pr-2'!A160)</f>
        <v>2.1.4.</v>
      </c>
      <c r="B160" s="1972" t="str">
        <f>CONCATENATE('3 pr-2'!B160)</f>
        <v>Uždavinys:
Visuomenei teikiamų paslaugų kokybės, didinant jų atitikimo visuomenės poreikiams pagerinimas</v>
      </c>
      <c r="C160" s="1894"/>
      <c r="D160" s="1894"/>
      <c r="E160" s="1894"/>
      <c r="F160" s="1894"/>
      <c r="G160" s="1894"/>
      <c r="H160" s="1894"/>
      <c r="I160" s="1894"/>
      <c r="J160" s="1894"/>
      <c r="K160" s="1895"/>
      <c r="L160" s="506" t="s">
        <v>66</v>
      </c>
      <c r="M160" s="656" t="s">
        <v>66</v>
      </c>
      <c r="N160" s="1712"/>
      <c r="O160" s="1712"/>
      <c r="P160" s="1712"/>
      <c r="Q160" s="1712"/>
      <c r="R160" s="1712"/>
      <c r="S160" s="1712"/>
      <c r="T160" s="1712"/>
      <c r="U160" s="1713"/>
      <c r="V160" s="506" t="s">
        <v>66</v>
      </c>
      <c r="W160" s="1765"/>
      <c r="X160" s="1765"/>
      <c r="Y160" s="1765" t="s">
        <v>66</v>
      </c>
      <c r="Z160" s="1765" t="s">
        <v>66</v>
      </c>
      <c r="AA160" s="1765" t="s">
        <v>66</v>
      </c>
      <c r="AB160" s="1765" t="s">
        <v>66</v>
      </c>
      <c r="AC160" s="1765" t="s">
        <v>66</v>
      </c>
      <c r="AD160" s="1765" t="s">
        <v>66</v>
      </c>
      <c r="AE160" s="1765" t="s">
        <v>66</v>
      </c>
      <c r="AF160" s="754" t="s">
        <v>66</v>
      </c>
      <c r="AG160" s="656" t="s">
        <v>66</v>
      </c>
      <c r="AH160" s="1712"/>
      <c r="AI160" s="1712"/>
      <c r="AJ160" s="1712"/>
      <c r="AK160" s="1712"/>
      <c r="AL160" s="1712"/>
      <c r="AM160" s="1712"/>
      <c r="AN160" s="1712"/>
      <c r="AO160" s="1712"/>
      <c r="AP160" s="754" t="s">
        <v>66</v>
      </c>
      <c r="AQ160" s="1765"/>
      <c r="AR160" s="1765"/>
      <c r="AS160" s="1765" t="s">
        <v>66</v>
      </c>
      <c r="AT160" s="1765" t="s">
        <v>66</v>
      </c>
      <c r="AU160" s="1765" t="s">
        <v>66</v>
      </c>
      <c r="AV160" s="1765" t="s">
        <v>66</v>
      </c>
      <c r="AW160" s="1765" t="s">
        <v>66</v>
      </c>
      <c r="AX160" s="1765" t="s">
        <v>66</v>
      </c>
      <c r="AY160" s="1765" t="s">
        <v>66</v>
      </c>
      <c r="AZ160" s="754" t="s">
        <v>66</v>
      </c>
      <c r="BA160" s="656" t="s">
        <v>66</v>
      </c>
      <c r="BB160" s="1712"/>
      <c r="BC160" s="1712"/>
      <c r="BD160" s="1712"/>
      <c r="BE160" s="1712"/>
      <c r="BF160" s="1712"/>
      <c r="BG160" s="1712"/>
      <c r="BH160" s="1712"/>
      <c r="BI160" s="1712"/>
      <c r="BJ160" s="754" t="s">
        <v>66</v>
      </c>
      <c r="BK160" s="754"/>
      <c r="BL160" s="754"/>
      <c r="BM160" s="754" t="s">
        <v>66</v>
      </c>
      <c r="BN160" s="754" t="s">
        <v>66</v>
      </c>
      <c r="BO160" s="754" t="s">
        <v>66</v>
      </c>
      <c r="BP160" s="754" t="s">
        <v>66</v>
      </c>
      <c r="BQ160" s="754" t="s">
        <v>66</v>
      </c>
      <c r="BR160" s="754" t="s">
        <v>66</v>
      </c>
      <c r="BS160" s="754" t="s">
        <v>66</v>
      </c>
      <c r="BT160" s="754" t="s">
        <v>66</v>
      </c>
      <c r="BU160" s="656" t="s">
        <v>66</v>
      </c>
      <c r="BV160" s="1712"/>
      <c r="BW160" s="1712"/>
      <c r="BX160" s="1712"/>
      <c r="BY160" s="1712"/>
      <c r="BZ160" s="1712"/>
      <c r="CA160" s="1712"/>
      <c r="CB160" s="1712"/>
      <c r="CC160" s="1712"/>
      <c r="CD160" s="754" t="s">
        <v>66</v>
      </c>
      <c r="CE160" s="754"/>
      <c r="CF160" s="754"/>
      <c r="CG160" s="754" t="s">
        <v>66</v>
      </c>
      <c r="CH160" s="754" t="s">
        <v>66</v>
      </c>
      <c r="CI160" s="754" t="s">
        <v>66</v>
      </c>
      <c r="CJ160" s="754" t="s">
        <v>66</v>
      </c>
      <c r="CK160" s="754" t="s">
        <v>66</v>
      </c>
      <c r="CL160" s="754" t="s">
        <v>66</v>
      </c>
      <c r="CM160" s="754" t="s">
        <v>66</v>
      </c>
      <c r="CN160" s="754" t="s">
        <v>66</v>
      </c>
      <c r="CO160" s="472" t="s">
        <v>66</v>
      </c>
      <c r="CP160" s="1712"/>
      <c r="CQ160" s="1712"/>
      <c r="CR160" s="1712"/>
      <c r="CS160" s="1712"/>
      <c r="CT160" s="1712"/>
      <c r="CU160" s="1712"/>
      <c r="CV160" s="1712"/>
      <c r="CW160" s="1712"/>
      <c r="CX160" s="754" t="s">
        <v>66</v>
      </c>
      <c r="CY160" s="767"/>
      <c r="CZ160" s="767"/>
      <c r="DA160" s="282"/>
      <c r="DB160" s="699"/>
      <c r="DC160" s="699"/>
      <c r="DD160" s="699"/>
      <c r="DE160" s="699"/>
      <c r="DF160" s="699"/>
      <c r="DG160" s="699"/>
      <c r="DH160" s="754"/>
      <c r="DI160" s="472"/>
      <c r="DJ160" s="754"/>
      <c r="DK160" s="754"/>
      <c r="DL160" s="754"/>
      <c r="DM160" s="754"/>
      <c r="DN160" s="754"/>
      <c r="DO160" s="754"/>
      <c r="DP160" s="754"/>
      <c r="DQ160" s="754"/>
      <c r="DR160" s="754"/>
      <c r="DS160" s="767"/>
      <c r="DT160" s="767"/>
      <c r="DU160" s="282"/>
      <c r="DV160" s="699"/>
      <c r="DW160" s="699"/>
      <c r="DX160" s="699"/>
      <c r="DY160" s="699"/>
      <c r="DZ160" s="699"/>
      <c r="EA160" s="699"/>
      <c r="EB160" s="754"/>
      <c r="EC160" s="472"/>
      <c r="ED160" s="767"/>
      <c r="EE160" s="767"/>
      <c r="EF160" s="767"/>
      <c r="EG160" s="282"/>
      <c r="EH160" s="699"/>
      <c r="EI160" s="699"/>
      <c r="EJ160" s="699"/>
      <c r="EK160" s="699"/>
      <c r="EL160" s="699"/>
      <c r="EM160" s="699"/>
    </row>
    <row r="161" spans="1:143" ht="38.25" customHeight="1" thickBot="1">
      <c r="A161" s="773" t="str">
        <f>CONCATENATE('3 pr-2'!A161)</f>
        <v>2.1.4.1</v>
      </c>
      <c r="B161" s="1972" t="str">
        <f>CONCATENATE('3 pr-2'!B161)</f>
        <v>Priemonė:
Paslaugų teikimo ir asmenų aptarnavimo kokybės gerinimas savivaldybėse</v>
      </c>
      <c r="C161" s="1894"/>
      <c r="D161" s="1894"/>
      <c r="E161" s="1894"/>
      <c r="F161" s="1894"/>
      <c r="G161" s="1894"/>
      <c r="H161" s="1894"/>
      <c r="I161" s="1894"/>
      <c r="J161" s="1894"/>
      <c r="K161" s="1895"/>
      <c r="L161" s="774"/>
      <c r="M161" s="474"/>
      <c r="N161" s="1710">
        <f>SUM(N162:N166)</f>
        <v>0</v>
      </c>
      <c r="O161" s="1710">
        <f t="shared" ref="O161:T161" si="658">SUM(O162:O166)</f>
        <v>0</v>
      </c>
      <c r="P161" s="1710">
        <f t="shared" si="658"/>
        <v>0</v>
      </c>
      <c r="Q161" s="1710">
        <f t="shared" si="658"/>
        <v>0</v>
      </c>
      <c r="R161" s="1710">
        <f t="shared" si="658"/>
        <v>0</v>
      </c>
      <c r="S161" s="1710">
        <f t="shared" si="658"/>
        <v>0</v>
      </c>
      <c r="T161" s="1710">
        <f t="shared" si="658"/>
        <v>0</v>
      </c>
      <c r="U161" s="1711">
        <f t="shared" ref="U161:U166" si="659">SUM(N161:T161)</f>
        <v>0</v>
      </c>
      <c r="V161" s="739"/>
      <c r="W161" s="1770"/>
      <c r="X161" s="1771"/>
      <c r="Y161" s="1772">
        <f t="shared" ref="Y161:AE161" si="660">SUM(Y162:Y167)</f>
        <v>0</v>
      </c>
      <c r="Z161" s="1772">
        <f t="shared" si="660"/>
        <v>0</v>
      </c>
      <c r="AA161" s="1772">
        <f t="shared" si="660"/>
        <v>1</v>
      </c>
      <c r="AB161" s="1772">
        <f t="shared" si="660"/>
        <v>94</v>
      </c>
      <c r="AC161" s="1772">
        <f t="shared" si="660"/>
        <v>0</v>
      </c>
      <c r="AD161" s="1772">
        <f t="shared" si="660"/>
        <v>0</v>
      </c>
      <c r="AE161" s="1772">
        <f t="shared" si="660"/>
        <v>0</v>
      </c>
      <c r="AF161" s="775"/>
      <c r="AG161" s="752"/>
      <c r="AH161" s="1710">
        <f>SUM(AH162:AH166)</f>
        <v>0</v>
      </c>
      <c r="AI161" s="1710">
        <f t="shared" ref="AI161" si="661">SUM(AI162:AI166)</f>
        <v>0</v>
      </c>
      <c r="AJ161" s="1710">
        <f t="shared" ref="AJ161" si="662">SUM(AJ162:AJ166)</f>
        <v>0</v>
      </c>
      <c r="AK161" s="1710">
        <f t="shared" ref="AK161" si="663">SUM(AK162:AK166)</f>
        <v>0</v>
      </c>
      <c r="AL161" s="1710">
        <f t="shared" ref="AL161" si="664">SUM(AL162:AL166)</f>
        <v>0</v>
      </c>
      <c r="AM161" s="1710">
        <f t="shared" ref="AM161" si="665">SUM(AM162:AM166)</f>
        <v>0</v>
      </c>
      <c r="AN161" s="1710">
        <f t="shared" ref="AN161" si="666">SUM(AN162:AN166)</f>
        <v>0</v>
      </c>
      <c r="AO161" s="1719">
        <f t="shared" ref="AO161:AO166" si="667">SUM(AH161:AN161)</f>
        <v>0</v>
      </c>
      <c r="AP161" s="739"/>
      <c r="AQ161" s="1772"/>
      <c r="AR161" s="1772"/>
      <c r="AS161" s="1772">
        <f t="shared" ref="AS161:AY161" si="668">SUM(AS162:AS167)</f>
        <v>0</v>
      </c>
      <c r="AT161" s="1772">
        <f t="shared" si="668"/>
        <v>0</v>
      </c>
      <c r="AU161" s="1772">
        <f t="shared" si="668"/>
        <v>38</v>
      </c>
      <c r="AV161" s="1772">
        <f t="shared" si="668"/>
        <v>387</v>
      </c>
      <c r="AW161" s="1772">
        <f t="shared" si="668"/>
        <v>0</v>
      </c>
      <c r="AX161" s="1772">
        <f t="shared" si="668"/>
        <v>0</v>
      </c>
      <c r="AY161" s="1772">
        <f t="shared" si="668"/>
        <v>0</v>
      </c>
      <c r="AZ161" s="739"/>
      <c r="BA161" s="752"/>
      <c r="BB161" s="1710">
        <f>SUM(BB162:BB166)</f>
        <v>0</v>
      </c>
      <c r="BC161" s="1710">
        <f t="shared" ref="BC161" si="669">SUM(BC162:BC166)</f>
        <v>0</v>
      </c>
      <c r="BD161" s="1710">
        <f t="shared" ref="BD161" si="670">SUM(BD162:BD166)</f>
        <v>0</v>
      </c>
      <c r="BE161" s="1710">
        <f t="shared" ref="BE161" si="671">SUM(BE162:BE166)</f>
        <v>0</v>
      </c>
      <c r="BF161" s="1710">
        <f t="shared" ref="BF161" si="672">SUM(BF162:BF166)</f>
        <v>0</v>
      </c>
      <c r="BG161" s="1710">
        <f t="shared" ref="BG161" si="673">SUM(BG162:BG166)</f>
        <v>0</v>
      </c>
      <c r="BH161" s="1710">
        <f t="shared" ref="BH161" si="674">SUM(BH162:BH166)</f>
        <v>0</v>
      </c>
      <c r="BI161" s="1719">
        <f t="shared" ref="BI161:BI166" si="675">SUM(BB161:BH161)</f>
        <v>0</v>
      </c>
      <c r="BJ161" s="739"/>
      <c r="BK161" s="506"/>
      <c r="BL161" s="506"/>
      <c r="BM161" s="506">
        <f t="shared" ref="BM161:BS161" si="676">SUM(BM162:BM167)</f>
        <v>0</v>
      </c>
      <c r="BN161" s="506">
        <f t="shared" si="676"/>
        <v>0</v>
      </c>
      <c r="BO161" s="506">
        <f t="shared" si="676"/>
        <v>1</v>
      </c>
      <c r="BP161" s="506">
        <f t="shared" si="676"/>
        <v>2</v>
      </c>
      <c r="BQ161" s="506">
        <f t="shared" si="676"/>
        <v>0</v>
      </c>
      <c r="BR161" s="506">
        <f t="shared" si="676"/>
        <v>0</v>
      </c>
      <c r="BS161" s="506">
        <f t="shared" si="676"/>
        <v>0</v>
      </c>
      <c r="BT161" s="506"/>
      <c r="BU161" s="472"/>
      <c r="BV161" s="1710">
        <f>SUM(BV162:BV166)</f>
        <v>0</v>
      </c>
      <c r="BW161" s="1710">
        <f t="shared" ref="BW161" si="677">SUM(BW162:BW166)</f>
        <v>0</v>
      </c>
      <c r="BX161" s="1710">
        <f t="shared" ref="BX161" si="678">SUM(BX162:BX166)</f>
        <v>0</v>
      </c>
      <c r="BY161" s="1710">
        <f t="shared" ref="BY161" si="679">SUM(BY162:BY166)</f>
        <v>0</v>
      </c>
      <c r="BZ161" s="1710">
        <f t="shared" ref="BZ161" si="680">SUM(BZ162:BZ166)</f>
        <v>0</v>
      </c>
      <c r="CA161" s="1710">
        <f t="shared" ref="CA161" si="681">SUM(CA162:CA166)</f>
        <v>0</v>
      </c>
      <c r="CB161" s="1710">
        <f t="shared" ref="CB161" si="682">SUM(CB162:CB166)</f>
        <v>0</v>
      </c>
      <c r="CC161" s="1719">
        <f t="shared" ref="CC161:CC166" si="683">SUM(BV161:CB161)</f>
        <v>0</v>
      </c>
      <c r="CD161" s="506"/>
      <c r="CE161" s="506"/>
      <c r="CF161" s="506"/>
      <c r="CG161" s="506"/>
      <c r="CH161" s="506"/>
      <c r="CI161" s="506"/>
      <c r="CJ161" s="506"/>
      <c r="CK161" s="506"/>
      <c r="CL161" s="506"/>
      <c r="CM161" s="506"/>
      <c r="CN161" s="506"/>
      <c r="CO161" s="472"/>
      <c r="CP161" s="1710">
        <f>SUM(CP162:CP166)</f>
        <v>0</v>
      </c>
      <c r="CQ161" s="1710">
        <f t="shared" ref="CQ161" si="684">SUM(CQ162:CQ166)</f>
        <v>0</v>
      </c>
      <c r="CR161" s="1710">
        <f t="shared" ref="CR161" si="685">SUM(CR162:CR166)</f>
        <v>0</v>
      </c>
      <c r="CS161" s="1710">
        <f t="shared" ref="CS161" si="686">SUM(CS162:CS166)</f>
        <v>0</v>
      </c>
      <c r="CT161" s="1710">
        <f t="shared" ref="CT161" si="687">SUM(CT162:CT166)</f>
        <v>0</v>
      </c>
      <c r="CU161" s="1710">
        <f t="shared" ref="CU161" si="688">SUM(CU162:CU166)</f>
        <v>0</v>
      </c>
      <c r="CV161" s="1710">
        <f t="shared" ref="CV161" si="689">SUM(CV162:CV166)</f>
        <v>0</v>
      </c>
      <c r="CW161" s="1719">
        <f t="shared" ref="CW161:CW166" si="690">SUM(CP161:CV161)</f>
        <v>0</v>
      </c>
      <c r="CX161" s="506"/>
      <c r="CY161" s="506"/>
      <c r="CZ161" s="506"/>
      <c r="DA161" s="506"/>
      <c r="DB161" s="506"/>
      <c r="DC161" s="506"/>
      <c r="DD161" s="506"/>
      <c r="DE161" s="506"/>
      <c r="DF161" s="506"/>
      <c r="DG161" s="506"/>
      <c r="DH161" s="506"/>
      <c r="DI161" s="472"/>
      <c r="DJ161" s="506"/>
      <c r="DK161" s="506"/>
      <c r="DL161" s="506"/>
      <c r="DM161" s="506"/>
      <c r="DN161" s="506"/>
      <c r="DO161" s="506"/>
      <c r="DP161" s="506"/>
      <c r="DQ161" s="739"/>
      <c r="DR161" s="506"/>
      <c r="DS161" s="506"/>
      <c r="DT161" s="506"/>
      <c r="DU161" s="506"/>
      <c r="DV161" s="506"/>
      <c r="DW161" s="506"/>
      <c r="DX161" s="506"/>
      <c r="DY161" s="506"/>
      <c r="DZ161" s="506"/>
      <c r="EA161" s="506"/>
      <c r="EB161" s="506"/>
      <c r="EC161" s="472"/>
      <c r="ED161" s="506"/>
      <c r="EE161" s="506"/>
      <c r="EF161" s="506"/>
      <c r="EG161" s="506"/>
      <c r="EH161" s="506"/>
      <c r="EI161" s="506"/>
      <c r="EJ161" s="506"/>
      <c r="EK161" s="506"/>
      <c r="EL161" s="506"/>
      <c r="EM161" s="506"/>
    </row>
    <row r="162" spans="1:143" ht="85.5" thickTop="1" thickBot="1">
      <c r="A162" s="130" t="str">
        <f>CONCATENATE('3 pr-2'!A162)</f>
        <v>2.1.4.1.1</v>
      </c>
      <c r="B162" s="130" t="str">
        <f>CONCATENATE('3 pr-2'!B162)</f>
        <v>R01-9920-490000-2411</v>
      </c>
      <c r="C162" s="1730" t="str">
        <f>CONCATENATE('ketv. 2'!B161)</f>
        <v>10.1.3-ESFA-R-920-11-0001</v>
      </c>
      <c r="D162" s="11" t="str">
        <f>CONCATENATE('3 pr-2'!D162)</f>
        <v>Paslaugų teikimo ir asmenų aptarnavimo kokybės gerinimas Varėnos rajono savivaldybėje</v>
      </c>
      <c r="E162" s="11" t="str">
        <f>CONCATENATE('3 pr-2'!E162)</f>
        <v>Varėnos rajono savivaldybės administracija</v>
      </c>
      <c r="F162" s="11" t="str">
        <f>CONCATENATE('3 pr-2'!F162)</f>
        <v>Lietuvos Respublikos vidaus reikalų ministerija</v>
      </c>
      <c r="G162" s="11" t="str">
        <f>CONCATENATE('3 pr-2'!G162)</f>
        <v>Varėnos r. sav.</v>
      </c>
      <c r="H162" s="130" t="str">
        <f>CONCATENATE('3 pr-2'!H162)</f>
        <v>10.1.3-ESFA-R-920</v>
      </c>
      <c r="I162" s="130" t="str">
        <f>CONCATENATE('3 pr-2'!I162)</f>
        <v>R</v>
      </c>
      <c r="J162" s="130" t="str">
        <f>CONCATENATE('3 pr-2'!J162)</f>
        <v>-</v>
      </c>
      <c r="K162" s="130" t="str">
        <f>CONCATENATE('3 pr-2'!K162)</f>
        <v>-</v>
      </c>
      <c r="L162" s="130" t="s">
        <v>520</v>
      </c>
      <c r="M162" s="471" t="s">
        <v>521</v>
      </c>
      <c r="N162" s="1699"/>
      <c r="O162" s="1699"/>
      <c r="P162" s="1699"/>
      <c r="Q162" s="1699"/>
      <c r="R162" s="1699"/>
      <c r="S162" s="1699"/>
      <c r="T162" s="1699"/>
      <c r="U162" s="1700">
        <f t="shared" si="659"/>
        <v>0</v>
      </c>
      <c r="V162" s="130">
        <v>1</v>
      </c>
      <c r="W162" s="1757">
        <v>1</v>
      </c>
      <c r="X162" s="1732">
        <f>SUM(W162-V162)</f>
        <v>0</v>
      </c>
      <c r="Y162" s="1732">
        <f>IF(YEAR('3 pr-2'!$AK162)=2017,$V162,0)</f>
        <v>0</v>
      </c>
      <c r="Z162" s="1732">
        <f>IF(YEAR('3 pr-2'!$AK162)=2018,$V162,0)</f>
        <v>0</v>
      </c>
      <c r="AA162" s="1732">
        <f>IF(YEAR('3 pr-2'!$AK162)=2019,$V162,0)</f>
        <v>1</v>
      </c>
      <c r="AB162" s="1732">
        <f>IF(YEAR('3 pr-2'!$AK162)=2020,$V162,0)</f>
        <v>0</v>
      </c>
      <c r="AC162" s="1732">
        <f>IF(YEAR('3 pr-2'!$AK162)=2021,$V162,0)</f>
        <v>0</v>
      </c>
      <c r="AD162" s="1732">
        <f>IF(YEAR('3 pr-2'!$AK162)=2022,$V162,0)</f>
        <v>0</v>
      </c>
      <c r="AE162" s="1732">
        <f>IF(YEAR('3 pr-2'!$AK162)=2023,$V162,0)</f>
        <v>0</v>
      </c>
      <c r="AF162" s="317" t="s">
        <v>522</v>
      </c>
      <c r="AG162" s="471" t="s">
        <v>523</v>
      </c>
      <c r="AH162" s="1699"/>
      <c r="AI162" s="1699"/>
      <c r="AJ162" s="1699"/>
      <c r="AK162" s="1699"/>
      <c r="AL162" s="1699"/>
      <c r="AM162" s="1699"/>
      <c r="AN162" s="1699"/>
      <c r="AO162" s="1718">
        <f t="shared" si="667"/>
        <v>0</v>
      </c>
      <c r="AP162" s="130">
        <v>38</v>
      </c>
      <c r="AQ162" s="1778">
        <v>38</v>
      </c>
      <c r="AR162" s="1732">
        <f>SUM(AQ162-AP162)</f>
        <v>0</v>
      </c>
      <c r="AS162" s="1732">
        <f>IF(YEAR('3 pr-2'!$AK162)=2017,$AP162,0)</f>
        <v>0</v>
      </c>
      <c r="AT162" s="1732">
        <f>IF(YEAR('3 pr-2'!$AK162)=2018,$AP162,0)</f>
        <v>0</v>
      </c>
      <c r="AU162" s="1732">
        <f>IF(YEAR('3 pr-2'!$AK162)=2019,$AP162,0)</f>
        <v>38</v>
      </c>
      <c r="AV162" s="1732">
        <f>IF(YEAR('3 pr-2'!$AK162)=2020,$AP162,0)</f>
        <v>0</v>
      </c>
      <c r="AW162" s="1732">
        <f>IF(YEAR('3 pr-2'!$AK162)=2021,$AP162,0)</f>
        <v>0</v>
      </c>
      <c r="AX162" s="1732">
        <f>IF(YEAR('3 pr-2'!$AK162)=2022,$AP162,0)</f>
        <v>0</v>
      </c>
      <c r="AY162" s="1732">
        <f>IF(YEAR('3 pr-2'!$AK162)=2023,$AP162,0)</f>
        <v>0</v>
      </c>
      <c r="AZ162" s="130" t="s">
        <v>779</v>
      </c>
      <c r="BA162" s="470" t="s">
        <v>525</v>
      </c>
      <c r="BB162" s="1699"/>
      <c r="BC162" s="1699"/>
      <c r="BD162" s="1699"/>
      <c r="BE162" s="1699"/>
      <c r="BF162" s="1699"/>
      <c r="BG162" s="1699"/>
      <c r="BH162" s="1699"/>
      <c r="BI162" s="1718">
        <f t="shared" si="675"/>
        <v>0</v>
      </c>
      <c r="BJ162" s="130">
        <v>1</v>
      </c>
      <c r="BK162" s="1501">
        <v>1</v>
      </c>
      <c r="BL162" s="130">
        <f>SUM(BK162-BJ162)</f>
        <v>0</v>
      </c>
      <c r="BM162" s="130">
        <f>IF(YEAR('3 pr-2'!$AK162)=2017,$BJ162,0)</f>
        <v>0</v>
      </c>
      <c r="BN162" s="130">
        <f>IF(YEAR('3 pr-2'!$AK162)=2018,$BJ162,0)</f>
        <v>0</v>
      </c>
      <c r="BO162" s="130">
        <f>IF(YEAR('3 pr-2'!$AK162)=2019,$BJ162,0)</f>
        <v>1</v>
      </c>
      <c r="BP162" s="130">
        <f>IF(YEAR('3 pr-2'!$AK162)=2020,$BJ162,0)</f>
        <v>0</v>
      </c>
      <c r="BQ162" s="130">
        <f>IF(YEAR('3 pr-2'!$AK162)=2021,$BJ162,0)</f>
        <v>0</v>
      </c>
      <c r="BR162" s="130">
        <f>IF(YEAR('3 pr-2'!$AK162)=2022,$BJ162,0)</f>
        <v>0</v>
      </c>
      <c r="BS162" s="130">
        <f>IF(YEAR('3 pr-2'!$AK162)=2023,$BJ162,0)</f>
        <v>0</v>
      </c>
      <c r="BT162" s="317"/>
      <c r="BU162" s="471"/>
      <c r="BV162" s="1699"/>
      <c r="BW162" s="1699"/>
      <c r="BX162" s="1699"/>
      <c r="BY162" s="1699"/>
      <c r="BZ162" s="1699"/>
      <c r="CA162" s="1699"/>
      <c r="CB162" s="1699"/>
      <c r="CC162" s="1718">
        <f t="shared" si="683"/>
        <v>0</v>
      </c>
      <c r="CD162" s="130"/>
      <c r="CE162" s="130"/>
      <c r="CF162" s="130"/>
      <c r="CG162" s="130">
        <f>IF(YEAR('3 pr-2'!$AK162)=2017,$CD162,0)</f>
        <v>0</v>
      </c>
      <c r="CH162" s="130">
        <f>IF(YEAR('3 pr-2'!$AK162)=2018,$CD162,0)</f>
        <v>0</v>
      </c>
      <c r="CI162" s="130">
        <f>IF(YEAR('3 pr-2'!$AK162)=2019,$CD162,0)</f>
        <v>0</v>
      </c>
      <c r="CJ162" s="130">
        <f>IF(YEAR('3 pr-2'!$AK162)=2020,$CD162,0)</f>
        <v>0</v>
      </c>
      <c r="CK162" s="130">
        <f>IF(YEAR('3 pr-2'!$AK162)=2021,$CD162,0)</f>
        <v>0</v>
      </c>
      <c r="CL162" s="130">
        <f>IF(YEAR('3 pr-2'!$AK162)=2022,$CD162,0)</f>
        <v>0</v>
      </c>
      <c r="CM162" s="130">
        <f>IF(YEAR('3 pr-2'!$AK162)=2023,$CD162,0)</f>
        <v>0</v>
      </c>
      <c r="CN162" s="317"/>
      <c r="CO162" s="472"/>
      <c r="CP162" s="1699"/>
      <c r="CQ162" s="1699"/>
      <c r="CR162" s="1699"/>
      <c r="CS162" s="1699"/>
      <c r="CT162" s="1699"/>
      <c r="CU162" s="1699"/>
      <c r="CV162" s="1699"/>
      <c r="CW162" s="1718">
        <f t="shared" si="690"/>
        <v>0</v>
      </c>
      <c r="CX162" s="318"/>
      <c r="CY162" s="303"/>
      <c r="CZ162" s="303"/>
      <c r="DA162" s="506">
        <f>IF(YEAR('3 pr-2'!AK162)=2017,CX162,0)</f>
        <v>0</v>
      </c>
      <c r="DB162" s="506">
        <f>IF(YEAR('3 pr-2'!AK162)=2018,CX162,0)</f>
        <v>0</v>
      </c>
      <c r="DC162" s="506">
        <f>IF(YEAR('3 pr-2'!AK162)=2019,CX162,0)</f>
        <v>0</v>
      </c>
      <c r="DD162" s="506">
        <f>IF(YEAR('3 pr-2'!AK162)=2020,CX162,0)</f>
        <v>0</v>
      </c>
      <c r="DE162" s="506">
        <f>IF(YEAR('3 pr-2'!AK162)=2021,CX162,0)</f>
        <v>0</v>
      </c>
      <c r="DF162" s="506">
        <f>IF(YEAR('3 pr-2'!AK162)=2022,CX162,0)</f>
        <v>0</v>
      </c>
      <c r="DG162" s="506">
        <f>IF(YEAR('3 pr-2'!AK162)=2023,CX162,0)</f>
        <v>0</v>
      </c>
      <c r="DH162" s="317"/>
      <c r="DI162" s="472"/>
      <c r="DJ162" s="130"/>
      <c r="DK162" s="130"/>
      <c r="DL162" s="130"/>
      <c r="DM162" s="130"/>
      <c r="DN162" s="130"/>
      <c r="DO162" s="130"/>
      <c r="DP162" s="130"/>
      <c r="DQ162" s="756"/>
      <c r="DR162" s="318"/>
      <c r="DS162" s="303"/>
      <c r="DT162" s="303"/>
      <c r="DU162" s="506"/>
      <c r="DV162" s="506"/>
      <c r="DW162" s="506"/>
      <c r="DX162" s="506"/>
      <c r="DY162" s="506"/>
      <c r="DZ162" s="506"/>
      <c r="EA162" s="506"/>
      <c r="EB162" s="317"/>
      <c r="EC162" s="472"/>
      <c r="ED162" s="303"/>
      <c r="EE162" s="303"/>
      <c r="EF162" s="303"/>
      <c r="EG162" s="506">
        <f>IF(YEAR('3 pr-2'!BP162)=2017,ED162,0)</f>
        <v>0</v>
      </c>
      <c r="EH162" s="506">
        <f>IF(YEAR('3 pr-2'!BP162)=2018,ED162,0)</f>
        <v>0</v>
      </c>
      <c r="EI162" s="506">
        <f>IF(YEAR('3 pr-2'!BP162)=2019,ED162,0)</f>
        <v>0</v>
      </c>
      <c r="EJ162" s="506">
        <f>IF(YEAR('3 pr-2'!BP162)=2020,ED162,0)</f>
        <v>0</v>
      </c>
      <c r="EK162" s="506">
        <f>IF(YEAR('3 pr-2'!BP162)=2021,ED162,0)</f>
        <v>0</v>
      </c>
      <c r="EL162" s="506">
        <f>IF(YEAR('3 pr-2'!BP162)=2022,ED162,0)</f>
        <v>0</v>
      </c>
      <c r="EM162" s="506">
        <f>IF(YEAR('3 pr-2'!BP162)=2023,ED162,0)</f>
        <v>0</v>
      </c>
    </row>
    <row r="163" spans="1:143" ht="85.5" thickTop="1" thickBot="1">
      <c r="A163" s="130" t="str">
        <f>CONCATENATE('3 pr-2'!A163)</f>
        <v>2.1.4.1.2</v>
      </c>
      <c r="B163" s="130" t="str">
        <f>CONCATENATE('3 pr-2'!B163)</f>
        <v>R01-9920-490000-2412</v>
      </c>
      <c r="C163" s="1730" t="str">
        <f>CONCATENATE('ketv. 2'!B162)</f>
        <v>10.1.3-ESFA-R-920-11-0005</v>
      </c>
      <c r="D163" s="11" t="str">
        <f>CONCATENATE('3 pr-2'!D163)</f>
        <v>Paslaugų ir asmenų aptarnavimo kokybės gerinimas Alytaus rajono savivaldybėje</v>
      </c>
      <c r="E163" s="11" t="str">
        <f>CONCATENATE('3 pr-2'!E163)</f>
        <v>Alytaus rajono savivaldybės administracija</v>
      </c>
      <c r="F163" s="11" t="str">
        <f>CONCATENATE('3 pr-2'!F163)</f>
        <v>Lietuvos Respublikos vidaus reikalų ministerija</v>
      </c>
      <c r="G163" s="11" t="str">
        <f>CONCATENATE('3 pr-2'!G163)</f>
        <v>Alytaus r. sav.</v>
      </c>
      <c r="H163" s="130" t="str">
        <f>CONCATENATE('3 pr-2'!H163)</f>
        <v>10.1.3-ESFA-R-920</v>
      </c>
      <c r="I163" s="130" t="str">
        <f>CONCATENATE('3 pr-2'!I163)</f>
        <v>R</v>
      </c>
      <c r="J163" s="130" t="str">
        <f>CONCATENATE('3 pr-2'!J163)</f>
        <v>-</v>
      </c>
      <c r="K163" s="130" t="str">
        <f>CONCATENATE('3 pr-2'!K163)</f>
        <v>-</v>
      </c>
      <c r="L163" s="130" t="s">
        <v>520</v>
      </c>
      <c r="M163" s="471" t="s">
        <v>526</v>
      </c>
      <c r="N163" s="1699"/>
      <c r="O163" s="1699"/>
      <c r="P163" s="1699"/>
      <c r="Q163" s="1699"/>
      <c r="R163" s="1699"/>
      <c r="S163" s="1699"/>
      <c r="T163" s="1699"/>
      <c r="U163" s="1700">
        <f t="shared" si="659"/>
        <v>0</v>
      </c>
      <c r="V163" s="130">
        <v>2</v>
      </c>
      <c r="W163" s="1757">
        <v>2</v>
      </c>
      <c r="X163" s="1732">
        <f>SUM(W163-V163)</f>
        <v>0</v>
      </c>
      <c r="Y163" s="1732">
        <f>IF(YEAR('3 pr-2'!$AK163)=2017,$V163,0)</f>
        <v>0</v>
      </c>
      <c r="Z163" s="1732">
        <f>IF(YEAR('3 pr-2'!$AK163)=2018,$V163,0)</f>
        <v>0</v>
      </c>
      <c r="AA163" s="1732">
        <f>IF(YEAR('3 pr-2'!$AK163)=2019,$V163,0)</f>
        <v>0</v>
      </c>
      <c r="AB163" s="1732">
        <f>IF(YEAR('3 pr-2'!$AK163)=2020,$V163,0)</f>
        <v>2</v>
      </c>
      <c r="AC163" s="1732">
        <f>IF(YEAR('3 pr-2'!$AK163)=2021,$V163,0)</f>
        <v>0</v>
      </c>
      <c r="AD163" s="1732">
        <f>IF(YEAR('3 pr-2'!$AK163)=2022,$V163,0)</f>
        <v>0</v>
      </c>
      <c r="AE163" s="1732">
        <f>IF(YEAR('3 pr-2'!$AK163)=2023,$V163,0)</f>
        <v>0</v>
      </c>
      <c r="AF163" s="317" t="s">
        <v>522</v>
      </c>
      <c r="AG163" s="471" t="s">
        <v>523</v>
      </c>
      <c r="AH163" s="1699"/>
      <c r="AI163" s="1699"/>
      <c r="AJ163" s="1699"/>
      <c r="AK163" s="1699"/>
      <c r="AL163" s="1699"/>
      <c r="AM163" s="1699"/>
      <c r="AN163" s="1699"/>
      <c r="AO163" s="1718">
        <f t="shared" si="667"/>
        <v>0</v>
      </c>
      <c r="AP163" s="130">
        <v>20</v>
      </c>
      <c r="AQ163" s="1778">
        <v>20</v>
      </c>
      <c r="AR163" s="1732">
        <f>SUM(AQ163-AP163)</f>
        <v>0</v>
      </c>
      <c r="AS163" s="1732">
        <f>IF(YEAR('3 pr-2'!$AK163)=2017,$AP163,0)</f>
        <v>0</v>
      </c>
      <c r="AT163" s="1732">
        <f>IF(YEAR('3 pr-2'!$AK163)=2018,$AP163,0)</f>
        <v>0</v>
      </c>
      <c r="AU163" s="1732">
        <f>IF(YEAR('3 pr-2'!$AK163)=2019,$AP163,0)</f>
        <v>0</v>
      </c>
      <c r="AV163" s="1732">
        <f>IF(YEAR('3 pr-2'!$AK163)=2020,$AP163,0)</f>
        <v>20</v>
      </c>
      <c r="AW163" s="1732">
        <f>IF(YEAR('3 pr-2'!$AK163)=2021,$AP163,0)</f>
        <v>0</v>
      </c>
      <c r="AX163" s="1732">
        <f>IF(YEAR('3 pr-2'!$AK163)=2022,$AP163,0)</f>
        <v>0</v>
      </c>
      <c r="AY163" s="1732">
        <f>IF(YEAR('3 pr-2'!$AK163)=2023,$AP163,0)</f>
        <v>0</v>
      </c>
      <c r="AZ163" s="130" t="s">
        <v>779</v>
      </c>
      <c r="BA163" s="480" t="s">
        <v>525</v>
      </c>
      <c r="BB163" s="1699"/>
      <c r="BC163" s="1699"/>
      <c r="BD163" s="1699"/>
      <c r="BE163" s="1699"/>
      <c r="BF163" s="1699"/>
      <c r="BG163" s="1699"/>
      <c r="BH163" s="1699"/>
      <c r="BI163" s="1718">
        <f t="shared" ref="BI163" si="691">SUM(BB163:BH163)</f>
        <v>0</v>
      </c>
      <c r="BJ163" s="130">
        <v>1</v>
      </c>
      <c r="BK163" s="1501">
        <v>1</v>
      </c>
      <c r="BL163" s="130">
        <f>SUM(BK163-BJ163)</f>
        <v>0</v>
      </c>
      <c r="BM163" s="130">
        <f>IF(YEAR('3 pr-2'!$AK163)=2017,$BJ163,0)</f>
        <v>0</v>
      </c>
      <c r="BN163" s="130">
        <f>IF(YEAR('3 pr-2'!$AK163)=2018,$BJ163,0)</f>
        <v>0</v>
      </c>
      <c r="BO163" s="130">
        <f>IF(YEAR('3 pr-2'!$AK163)=2019,$BJ163,0)</f>
        <v>0</v>
      </c>
      <c r="BP163" s="130">
        <f>IF(YEAR('3 pr-2'!$AK163)=2020,$BJ163,0)</f>
        <v>1</v>
      </c>
      <c r="BQ163" s="130">
        <f>IF(YEAR('3 pr-2'!$AK163)=2021,$BJ163,0)</f>
        <v>0</v>
      </c>
      <c r="BR163" s="130">
        <f>IF(YEAR('3 pr-2'!$AK163)=2022,$BJ163,0)</f>
        <v>0</v>
      </c>
      <c r="BS163" s="130">
        <f>IF(YEAR('3 pr-2'!$AK163)=2023,$BJ163,0)</f>
        <v>0</v>
      </c>
      <c r="BT163" s="317"/>
      <c r="BU163" s="471"/>
      <c r="BV163" s="1699"/>
      <c r="BW163" s="1699"/>
      <c r="BX163" s="1699"/>
      <c r="BY163" s="1699"/>
      <c r="BZ163" s="1699"/>
      <c r="CA163" s="1699"/>
      <c r="CB163" s="1699"/>
      <c r="CC163" s="1718">
        <f t="shared" si="683"/>
        <v>0</v>
      </c>
      <c r="CD163" s="130"/>
      <c r="CE163" s="130"/>
      <c r="CF163" s="130"/>
      <c r="CG163" s="130">
        <f>IF(YEAR('3 pr-2'!$AK163)=2017,$CD163,0)</f>
        <v>0</v>
      </c>
      <c r="CH163" s="130">
        <f>IF(YEAR('3 pr-2'!$AK163)=2018,$CD163,0)</f>
        <v>0</v>
      </c>
      <c r="CI163" s="130">
        <f>IF(YEAR('3 pr-2'!$AK163)=2019,$CD163,0)</f>
        <v>0</v>
      </c>
      <c r="CJ163" s="130">
        <f>IF(YEAR('3 pr-2'!$AK163)=2020,$CD163,0)</f>
        <v>0</v>
      </c>
      <c r="CK163" s="130">
        <f>IF(YEAR('3 pr-2'!$AK163)=2021,$CD163,0)</f>
        <v>0</v>
      </c>
      <c r="CL163" s="130">
        <f>IF(YEAR('3 pr-2'!$AK163)=2022,$CD163,0)</f>
        <v>0</v>
      </c>
      <c r="CM163" s="130">
        <f>IF(YEAR('3 pr-2'!$AK163)=2023,$CD163,0)</f>
        <v>0</v>
      </c>
      <c r="CN163" s="317"/>
      <c r="CO163" s="472"/>
      <c r="CP163" s="1699"/>
      <c r="CQ163" s="1699"/>
      <c r="CR163" s="1699"/>
      <c r="CS163" s="1699"/>
      <c r="CT163" s="1699"/>
      <c r="CU163" s="1699"/>
      <c r="CV163" s="1699"/>
      <c r="CW163" s="1718">
        <f t="shared" si="690"/>
        <v>0</v>
      </c>
      <c r="CX163" s="318"/>
      <c r="CY163" s="303"/>
      <c r="CZ163" s="303"/>
      <c r="DA163" s="506">
        <f>IF(YEAR('3 pr-2'!AK163)=2017,CX163,0)</f>
        <v>0</v>
      </c>
      <c r="DB163" s="506">
        <f>IF(YEAR('3 pr-2'!AK163)=2018,CX163,0)</f>
        <v>0</v>
      </c>
      <c r="DC163" s="506">
        <f>IF(YEAR('3 pr-2'!AK163)=2019,CX163,0)</f>
        <v>0</v>
      </c>
      <c r="DD163" s="506">
        <f>IF(YEAR('3 pr-2'!AK163)=2020,CX163,0)</f>
        <v>0</v>
      </c>
      <c r="DE163" s="506">
        <f>IF(YEAR('3 pr-2'!AK163)=2021,CX163,0)</f>
        <v>0</v>
      </c>
      <c r="DF163" s="506">
        <f>IF(YEAR('3 pr-2'!AK163)=2022,CX163,0)</f>
        <v>0</v>
      </c>
      <c r="DG163" s="506">
        <f>IF(YEAR('3 pr-2'!AK163)=2023,CX163,0)</f>
        <v>0</v>
      </c>
      <c r="DH163" s="317"/>
      <c r="DI163" s="472"/>
      <c r="DJ163" s="130"/>
      <c r="DK163" s="130"/>
      <c r="DL163" s="130"/>
      <c r="DM163" s="130"/>
      <c r="DN163" s="130"/>
      <c r="DO163" s="130"/>
      <c r="DP163" s="130"/>
      <c r="DQ163" s="756"/>
      <c r="DR163" s="318"/>
      <c r="DS163" s="303"/>
      <c r="DT163" s="303"/>
      <c r="DU163" s="506"/>
      <c r="DV163" s="506"/>
      <c r="DW163" s="506"/>
      <c r="DX163" s="506"/>
      <c r="DY163" s="506"/>
      <c r="DZ163" s="506"/>
      <c r="EA163" s="506"/>
      <c r="EB163" s="317"/>
      <c r="EC163" s="472"/>
      <c r="ED163" s="303"/>
      <c r="EE163" s="303"/>
      <c r="EF163" s="303"/>
      <c r="EG163" s="506">
        <f>IF(YEAR('3 pr-2'!BP163)=2017,ED163,0)</f>
        <v>0</v>
      </c>
      <c r="EH163" s="506">
        <f>IF(YEAR('3 pr-2'!BP163)=2018,ED163,0)</f>
        <v>0</v>
      </c>
      <c r="EI163" s="506">
        <f>IF(YEAR('3 pr-2'!BP163)=2019,ED163,0)</f>
        <v>0</v>
      </c>
      <c r="EJ163" s="506">
        <f>IF(YEAR('3 pr-2'!BP163)=2020,ED163,0)</f>
        <v>0</v>
      </c>
      <c r="EK163" s="506">
        <f>IF(YEAR('3 pr-2'!BP163)=2021,ED163,0)</f>
        <v>0</v>
      </c>
      <c r="EL163" s="506">
        <f>IF(YEAR('3 pr-2'!BP163)=2022,ED163,0)</f>
        <v>0</v>
      </c>
      <c r="EM163" s="506">
        <f>IF(YEAR('3 pr-2'!BP163)=2023,ED163,0)</f>
        <v>0</v>
      </c>
    </row>
    <row r="164" spans="1:143" ht="85.5" thickTop="1" thickBot="1">
      <c r="A164" s="130" t="str">
        <f>CONCATENATE('3 pr-2'!A164)</f>
        <v>2.1.4.1.3</v>
      </c>
      <c r="B164" s="130" t="str">
        <f>CONCATENATE('3 pr-2'!B164)</f>
        <v>R01-9920-490000-2413</v>
      </c>
      <c r="C164" s="1730" t="str">
        <f>CONCATENATE('ketv. 2'!B163)</f>
        <v>10.1.3-ESFA-R-920-11-0003</v>
      </c>
      <c r="D164" s="11" t="str">
        <f>CONCATENATE('3 pr-2'!D164)</f>
        <v>Lazdijų rajono savivaldybės administracijos ir jos viešojo valdymo institucijų teikiamų paslaugų procesų tobulinimas</v>
      </c>
      <c r="E164" s="11" t="str">
        <f>CONCATENATE('3 pr-2'!E164)</f>
        <v>Lazdijų rajono savivaldybės administracija</v>
      </c>
      <c r="F164" s="11" t="str">
        <f>CONCATENATE('3 pr-2'!F164)</f>
        <v>Lietuvos Respublikos vidaus reikalų ministerija</v>
      </c>
      <c r="G164" s="11" t="str">
        <f>CONCATENATE('3 pr-2'!G164)</f>
        <v>Lazdijų r. sav.</v>
      </c>
      <c r="H164" s="130" t="str">
        <f>CONCATENATE('3 pr-2'!H164)</f>
        <v>10.1.3-ESFA-R-920</v>
      </c>
      <c r="I164" s="130" t="str">
        <f>CONCATENATE('3 pr-2'!I164)</f>
        <v>R</v>
      </c>
      <c r="J164" s="130" t="str">
        <f>CONCATENATE('3 pr-2'!J164)</f>
        <v>-</v>
      </c>
      <c r="K164" s="130" t="str">
        <f>CONCATENATE('3 pr-2'!K164)</f>
        <v>-</v>
      </c>
      <c r="L164" s="130" t="s">
        <v>520</v>
      </c>
      <c r="M164" s="471" t="s">
        <v>521</v>
      </c>
      <c r="N164" s="1699"/>
      <c r="O164" s="1699"/>
      <c r="P164" s="1699"/>
      <c r="Q164" s="1699"/>
      <c r="R164" s="1699"/>
      <c r="S164" s="1699"/>
      <c r="T164" s="1699"/>
      <c r="U164" s="1700">
        <f t="shared" si="659"/>
        <v>0</v>
      </c>
      <c r="V164" s="130">
        <v>14</v>
      </c>
      <c r="W164" s="1757">
        <v>14</v>
      </c>
      <c r="X164" s="1732">
        <f>SUM(W164-V164)</f>
        <v>0</v>
      </c>
      <c r="Y164" s="1732">
        <f>IF(YEAR('3 pr-2'!$AK164)=2017,$V164,0)</f>
        <v>0</v>
      </c>
      <c r="Z164" s="1732">
        <f>IF(YEAR('3 pr-2'!$AK164)=2018,$V164,0)</f>
        <v>0</v>
      </c>
      <c r="AA164" s="1732">
        <f>IF(YEAR('3 pr-2'!$AK164)=2019,$V164,0)</f>
        <v>0</v>
      </c>
      <c r="AB164" s="1732">
        <f>IF(YEAR('3 pr-2'!$AK164)=2020,$V164,0)</f>
        <v>14</v>
      </c>
      <c r="AC164" s="1732">
        <f>IF(YEAR('3 pr-2'!$AK164)=2021,$V164,0)</f>
        <v>0</v>
      </c>
      <c r="AD164" s="1732">
        <f>IF(YEAR('3 pr-2'!$AK164)=2022,$V164,0)</f>
        <v>0</v>
      </c>
      <c r="AE164" s="1732">
        <f>IF(YEAR('3 pr-2'!$AK164)=2023,$V164,0)</f>
        <v>0</v>
      </c>
      <c r="AF164" s="317" t="s">
        <v>522</v>
      </c>
      <c r="AG164" s="471" t="s">
        <v>523</v>
      </c>
      <c r="AH164" s="1699"/>
      <c r="AI164" s="1699"/>
      <c r="AJ164" s="1699"/>
      <c r="AK164" s="1699"/>
      <c r="AL164" s="1699"/>
      <c r="AM164" s="1699"/>
      <c r="AN164" s="1699"/>
      <c r="AO164" s="1718">
        <f t="shared" si="667"/>
        <v>0</v>
      </c>
      <c r="AP164" s="130">
        <v>80</v>
      </c>
      <c r="AQ164" s="1778">
        <v>80</v>
      </c>
      <c r="AR164" s="1732">
        <f>SUM(AQ164-AP164)</f>
        <v>0</v>
      </c>
      <c r="AS164" s="1732">
        <f>IF(YEAR('3 pr-2'!$AK164)=2017,$AP164,0)</f>
        <v>0</v>
      </c>
      <c r="AT164" s="1732">
        <f>IF(YEAR('3 pr-2'!$AK164)=2018,$AP164,0)</f>
        <v>0</v>
      </c>
      <c r="AU164" s="1732">
        <f>IF(YEAR('3 pr-2'!$AK164)=2019,$AP164,0)</f>
        <v>0</v>
      </c>
      <c r="AV164" s="1732">
        <f>IF(YEAR('3 pr-2'!$AK164)=2020,$AP164,0)</f>
        <v>80</v>
      </c>
      <c r="AW164" s="1732">
        <f>IF(YEAR('3 pr-2'!$AK164)=2021,$AP164,0)</f>
        <v>0</v>
      </c>
      <c r="AX164" s="1732">
        <f>IF(YEAR('3 pr-2'!$AK164)=2022,$AP164,0)</f>
        <v>0</v>
      </c>
      <c r="AY164" s="1732">
        <f>IF(YEAR('3 pr-2'!$AK164)=2023,$AP164,0)</f>
        <v>0</v>
      </c>
      <c r="AZ164" s="130"/>
      <c r="BA164" s="470"/>
      <c r="BB164" s="1699"/>
      <c r="BC164" s="1699"/>
      <c r="BD164" s="1699"/>
      <c r="BE164" s="1699"/>
      <c r="BF164" s="1699"/>
      <c r="BG164" s="1699"/>
      <c r="BH164" s="1699"/>
      <c r="BI164" s="1718">
        <f t="shared" si="675"/>
        <v>0</v>
      </c>
      <c r="BJ164" s="130"/>
      <c r="BK164" s="1501"/>
      <c r="BL164" s="130"/>
      <c r="BM164" s="130">
        <f>IF(YEAR('3 pr-2'!$AK164)=2017,$BJ164,0)</f>
        <v>0</v>
      </c>
      <c r="BN164" s="130">
        <f>IF(YEAR('3 pr-2'!$AK164)=2018,$BJ164,0)</f>
        <v>0</v>
      </c>
      <c r="BO164" s="130">
        <f>IF(YEAR('3 pr-2'!$AK164)=2019,$BJ164,0)</f>
        <v>0</v>
      </c>
      <c r="BP164" s="130">
        <f>IF(YEAR('3 pr-2'!$AK164)=2020,$BJ164,0)</f>
        <v>0</v>
      </c>
      <c r="BQ164" s="130">
        <f>IF(YEAR('3 pr-2'!$AK164)=2021,$BJ164,0)</f>
        <v>0</v>
      </c>
      <c r="BR164" s="130">
        <f>IF(YEAR('3 pr-2'!$AK164)=2022,$BJ164,0)</f>
        <v>0</v>
      </c>
      <c r="BS164" s="130">
        <f>IF(YEAR('3 pr-2'!$AK164)=2023,$BJ164,0)</f>
        <v>0</v>
      </c>
      <c r="BT164" s="317"/>
      <c r="BU164" s="471"/>
      <c r="BV164" s="1699"/>
      <c r="BW164" s="1699"/>
      <c r="BX164" s="1699"/>
      <c r="BY164" s="1699"/>
      <c r="BZ164" s="1699"/>
      <c r="CA164" s="1699"/>
      <c r="CB164" s="1699"/>
      <c r="CC164" s="1718">
        <f t="shared" si="683"/>
        <v>0</v>
      </c>
      <c r="CD164" s="130"/>
      <c r="CE164" s="130"/>
      <c r="CF164" s="130"/>
      <c r="CG164" s="130">
        <f>IF(YEAR('3 pr-2'!$AK164)=2017,$CD164,0)</f>
        <v>0</v>
      </c>
      <c r="CH164" s="130">
        <f>IF(YEAR('3 pr-2'!$AK164)=2018,$CD164,0)</f>
        <v>0</v>
      </c>
      <c r="CI164" s="130">
        <f>IF(YEAR('3 pr-2'!$AK164)=2019,$CD164,0)</f>
        <v>0</v>
      </c>
      <c r="CJ164" s="130">
        <f>IF(YEAR('3 pr-2'!$AK164)=2020,$CD164,0)</f>
        <v>0</v>
      </c>
      <c r="CK164" s="130">
        <f>IF(YEAR('3 pr-2'!$AK164)=2021,$CD164,0)</f>
        <v>0</v>
      </c>
      <c r="CL164" s="130">
        <f>IF(YEAR('3 pr-2'!$AK164)=2022,$CD164,0)</f>
        <v>0</v>
      </c>
      <c r="CM164" s="130">
        <f>IF(YEAR('3 pr-2'!$AK164)=2023,$CD164,0)</f>
        <v>0</v>
      </c>
      <c r="CN164" s="317"/>
      <c r="CO164" s="472"/>
      <c r="CP164" s="1699"/>
      <c r="CQ164" s="1699"/>
      <c r="CR164" s="1699"/>
      <c r="CS164" s="1699"/>
      <c r="CT164" s="1699"/>
      <c r="CU164" s="1699"/>
      <c r="CV164" s="1699"/>
      <c r="CW164" s="1718">
        <f t="shared" si="690"/>
        <v>0</v>
      </c>
      <c r="CX164" s="318"/>
      <c r="CY164" s="303"/>
      <c r="CZ164" s="303"/>
      <c r="DA164" s="506">
        <f>IF(YEAR('3 pr-2'!AK164)=2017,CX164,0)</f>
        <v>0</v>
      </c>
      <c r="DB164" s="506">
        <f>IF(YEAR('3 pr-2'!AK164)=2018,CX164,0)</f>
        <v>0</v>
      </c>
      <c r="DC164" s="506">
        <f>IF(YEAR('3 pr-2'!AK164)=2019,CX164,0)</f>
        <v>0</v>
      </c>
      <c r="DD164" s="506">
        <f>IF(YEAR('3 pr-2'!AK164)=2020,CX164,0)</f>
        <v>0</v>
      </c>
      <c r="DE164" s="506">
        <f>IF(YEAR('3 pr-2'!AK164)=2021,CX164,0)</f>
        <v>0</v>
      </c>
      <c r="DF164" s="506">
        <f>IF(YEAR('3 pr-2'!AK164)=2022,CX164,0)</f>
        <v>0</v>
      </c>
      <c r="DG164" s="506">
        <f>IF(YEAR('3 pr-2'!AK164)=2023,CX164,0)</f>
        <v>0</v>
      </c>
      <c r="DH164" s="317"/>
      <c r="DI164" s="472"/>
      <c r="DJ164" s="130"/>
      <c r="DK164" s="130"/>
      <c r="DL164" s="130"/>
      <c r="DM164" s="130"/>
      <c r="DN164" s="130"/>
      <c r="DO164" s="130"/>
      <c r="DP164" s="130"/>
      <c r="DQ164" s="756"/>
      <c r="DR164" s="318"/>
      <c r="DS164" s="303"/>
      <c r="DT164" s="303"/>
      <c r="DU164" s="506"/>
      <c r="DV164" s="506"/>
      <c r="DW164" s="506"/>
      <c r="DX164" s="506"/>
      <c r="DY164" s="506"/>
      <c r="DZ164" s="506"/>
      <c r="EA164" s="506"/>
      <c r="EB164" s="317"/>
      <c r="EC164" s="472"/>
      <c r="ED164" s="303"/>
      <c r="EE164" s="303"/>
      <c r="EF164" s="303"/>
      <c r="EG164" s="506">
        <f>IF(YEAR('3 pr-2'!BP164)=2017,ED164,0)</f>
        <v>0</v>
      </c>
      <c r="EH164" s="506">
        <f>IF(YEAR('3 pr-2'!BP164)=2018,ED164,0)</f>
        <v>0</v>
      </c>
      <c r="EI164" s="506">
        <f>IF(YEAR('3 pr-2'!BP164)=2019,ED164,0)</f>
        <v>0</v>
      </c>
      <c r="EJ164" s="506">
        <f>IF(YEAR('3 pr-2'!BP164)=2020,ED164,0)</f>
        <v>0</v>
      </c>
      <c r="EK164" s="506">
        <f>IF(YEAR('3 pr-2'!BP164)=2021,ED164,0)</f>
        <v>0</v>
      </c>
      <c r="EL164" s="506">
        <f>IF(YEAR('3 pr-2'!BP164)=2022,ED164,0)</f>
        <v>0</v>
      </c>
      <c r="EM164" s="506">
        <f>IF(YEAR('3 pr-2'!BP164)=2023,ED164,0)</f>
        <v>0</v>
      </c>
    </row>
    <row r="165" spans="1:143" ht="97.5" thickTop="1" thickBot="1">
      <c r="A165" s="130" t="str">
        <f>CONCATENATE('3 pr-2'!A165)</f>
        <v>2.1.4.1.4</v>
      </c>
      <c r="B165" s="130" t="str">
        <f>CONCATENATE('3 pr-2'!B165)</f>
        <v>R01-9920-490000-2414</v>
      </c>
      <c r="C165" s="1730" t="str">
        <f>CONCATENATE('ketv. 2'!B164)</f>
        <v>10.1.3-ESFA-R-920-11-0007</v>
      </c>
      <c r="D165" s="11" t="str">
        <f>CONCATENATE('3 pr-2'!D165)</f>
        <v>Teikiamų paslaugų procesų tobulinimas ir asmenų aptarnavimo kokybės gerinimas Alytaus m. sav. administracijoje ir jai pavaldžiose įstaigose. I etapas</v>
      </c>
      <c r="E165" s="11" t="str">
        <f>CONCATENATE('3 pr-2'!E165)</f>
        <v>Alytaus miesto savivaldybės administracija</v>
      </c>
      <c r="F165" s="11" t="str">
        <f>CONCATENATE('3 pr-2'!F165)</f>
        <v>Lietuvos Respublikos vidaus reikalų ministerija</v>
      </c>
      <c r="G165" s="11" t="str">
        <f>CONCATENATE('3 pr-2'!G165)</f>
        <v>Alytaus m. sav.</v>
      </c>
      <c r="H165" s="130" t="str">
        <f>CONCATENATE('3 pr-2'!H165)</f>
        <v>10.1.3-ESFA-R-920</v>
      </c>
      <c r="I165" s="130" t="str">
        <f>CONCATENATE('3 pr-2'!I165)</f>
        <v>R</v>
      </c>
      <c r="J165" s="130" t="str">
        <f>CONCATENATE('3 pr-2'!J165)</f>
        <v>-</v>
      </c>
      <c r="K165" s="130" t="str">
        <f>CONCATENATE('3 pr-2'!K165)</f>
        <v>-</v>
      </c>
      <c r="L165" s="130" t="s">
        <v>520</v>
      </c>
      <c r="M165" s="471" t="s">
        <v>521</v>
      </c>
      <c r="N165" s="1699"/>
      <c r="O165" s="1699"/>
      <c r="P165" s="1699"/>
      <c r="Q165" s="1699"/>
      <c r="R165" s="1699"/>
      <c r="S165" s="1699"/>
      <c r="T165" s="1699"/>
      <c r="U165" s="1700">
        <f t="shared" si="659"/>
        <v>0</v>
      </c>
      <c r="V165" s="130">
        <v>38</v>
      </c>
      <c r="W165" s="1757">
        <v>38</v>
      </c>
      <c r="X165" s="1732">
        <f>SUM(W165-V165)</f>
        <v>0</v>
      </c>
      <c r="Y165" s="1732">
        <f>IF(YEAR('3 pr-2'!$AK165)=2017,$V165,0)</f>
        <v>0</v>
      </c>
      <c r="Z165" s="1732">
        <f>IF(YEAR('3 pr-2'!$AK165)=2018,$V165,0)</f>
        <v>0</v>
      </c>
      <c r="AA165" s="1732">
        <f>IF(YEAR('3 pr-2'!$AK165)=2019,$V165,0)</f>
        <v>0</v>
      </c>
      <c r="AB165" s="1732">
        <f>IF(YEAR('3 pr-2'!$AK165)=2020,$V165,0)</f>
        <v>38</v>
      </c>
      <c r="AC165" s="1732">
        <f>IF(YEAR('3 pr-2'!$AK165)=2021,$V165,0)</f>
        <v>0</v>
      </c>
      <c r="AD165" s="1732">
        <f>IF(YEAR('3 pr-2'!$AK165)=2022,$V165,0)</f>
        <v>0</v>
      </c>
      <c r="AE165" s="1732">
        <f>IF(YEAR('3 pr-2'!$AK165)=2023,$V165,0)</f>
        <v>0</v>
      </c>
      <c r="AF165" s="317" t="s">
        <v>522</v>
      </c>
      <c r="AG165" s="471" t="s">
        <v>523</v>
      </c>
      <c r="AH165" s="1699"/>
      <c r="AI165" s="1699"/>
      <c r="AJ165" s="1699"/>
      <c r="AK165" s="1699"/>
      <c r="AL165" s="1699"/>
      <c r="AM165" s="1699"/>
      <c r="AN165" s="1699"/>
      <c r="AO165" s="1718">
        <f t="shared" si="667"/>
        <v>0</v>
      </c>
      <c r="AP165" s="130">
        <v>140</v>
      </c>
      <c r="AQ165" s="1778">
        <v>140</v>
      </c>
      <c r="AR165" s="1732">
        <f>SUM(AQ165-AP165)</f>
        <v>0</v>
      </c>
      <c r="AS165" s="1732">
        <f>IF(YEAR('3 pr-2'!$AK165)=2017,$AP165,0)</f>
        <v>0</v>
      </c>
      <c r="AT165" s="1732">
        <f>IF(YEAR('3 pr-2'!$AK165)=2018,$AP165,0)</f>
        <v>0</v>
      </c>
      <c r="AU165" s="1732">
        <f>IF(YEAR('3 pr-2'!$AK165)=2019,$AP165,0)</f>
        <v>0</v>
      </c>
      <c r="AV165" s="1732">
        <f>IF(YEAR('3 pr-2'!$AK165)=2020,$AP165,0)</f>
        <v>140</v>
      </c>
      <c r="AW165" s="1732">
        <f>IF(YEAR('3 pr-2'!$AK165)=2021,$AP165,0)</f>
        <v>0</v>
      </c>
      <c r="AX165" s="1732">
        <f>IF(YEAR('3 pr-2'!$AK165)=2022,$AP165,0)</f>
        <v>0</v>
      </c>
      <c r="AY165" s="1732">
        <f>IF(YEAR('3 pr-2'!$AK165)=2023,$AP165,0)</f>
        <v>0</v>
      </c>
      <c r="AZ165" s="130" t="s">
        <v>779</v>
      </c>
      <c r="BA165" s="480" t="s">
        <v>525</v>
      </c>
      <c r="BB165" s="1699"/>
      <c r="BC165" s="1699"/>
      <c r="BD165" s="1699"/>
      <c r="BE165" s="1699"/>
      <c r="BF165" s="1699"/>
      <c r="BG165" s="1699"/>
      <c r="BH165" s="1699"/>
      <c r="BI165" s="1718">
        <f t="shared" si="675"/>
        <v>0</v>
      </c>
      <c r="BJ165" s="130">
        <v>1</v>
      </c>
      <c r="BK165" s="1501">
        <v>1</v>
      </c>
      <c r="BL165" s="130">
        <f>SUM(BK165-BJ165)</f>
        <v>0</v>
      </c>
      <c r="BM165" s="130">
        <f>IF(YEAR('3 pr-2'!$AK165)=2017,$BJ165,0)</f>
        <v>0</v>
      </c>
      <c r="BN165" s="130">
        <f>IF(YEAR('3 pr-2'!$AK165)=2018,$BJ165,0)</f>
        <v>0</v>
      </c>
      <c r="BO165" s="130">
        <f>IF(YEAR('3 pr-2'!$AK165)=2019,$BJ165,0)</f>
        <v>0</v>
      </c>
      <c r="BP165" s="130">
        <f>IF(YEAR('3 pr-2'!$AK165)=2020,$BJ165,0)</f>
        <v>1</v>
      </c>
      <c r="BQ165" s="130">
        <f>IF(YEAR('3 pr-2'!$AK165)=2021,$BJ165,0)</f>
        <v>0</v>
      </c>
      <c r="BR165" s="130">
        <f>IF(YEAR('3 pr-2'!$AK165)=2022,$BJ165,0)</f>
        <v>0</v>
      </c>
      <c r="BS165" s="130">
        <f>IF(YEAR('3 pr-2'!$AK165)=2023,$BJ165,0)</f>
        <v>0</v>
      </c>
      <c r="BT165" s="317"/>
      <c r="BU165" s="471"/>
      <c r="BV165" s="1699"/>
      <c r="BW165" s="1699"/>
      <c r="BX165" s="1699"/>
      <c r="BY165" s="1699"/>
      <c r="BZ165" s="1699"/>
      <c r="CA165" s="1699"/>
      <c r="CB165" s="1699"/>
      <c r="CC165" s="1718">
        <f t="shared" si="683"/>
        <v>0</v>
      </c>
      <c r="CD165" s="130"/>
      <c r="CE165" s="130"/>
      <c r="CF165" s="130"/>
      <c r="CG165" s="130">
        <f>IF(YEAR('3 pr-2'!$AK165)=2017,$CD165,0)</f>
        <v>0</v>
      </c>
      <c r="CH165" s="130">
        <f>IF(YEAR('3 pr-2'!$AK165)=2018,$CD165,0)</f>
        <v>0</v>
      </c>
      <c r="CI165" s="130">
        <f>IF(YEAR('3 pr-2'!$AK165)=2019,$CD165,0)</f>
        <v>0</v>
      </c>
      <c r="CJ165" s="130">
        <f>IF(YEAR('3 pr-2'!$AK165)=2020,$CD165,0)</f>
        <v>0</v>
      </c>
      <c r="CK165" s="130">
        <f>IF(YEAR('3 pr-2'!$AK165)=2021,$CD165,0)</f>
        <v>0</v>
      </c>
      <c r="CL165" s="130">
        <f>IF(YEAR('3 pr-2'!$AK165)=2022,$CD165,0)</f>
        <v>0</v>
      </c>
      <c r="CM165" s="130">
        <f>IF(YEAR('3 pr-2'!$AK165)=2023,$CD165,0)</f>
        <v>0</v>
      </c>
      <c r="CN165" s="317"/>
      <c r="CO165" s="472"/>
      <c r="CP165" s="1699"/>
      <c r="CQ165" s="1699"/>
      <c r="CR165" s="1699"/>
      <c r="CS165" s="1699"/>
      <c r="CT165" s="1699"/>
      <c r="CU165" s="1699"/>
      <c r="CV165" s="1699"/>
      <c r="CW165" s="1718">
        <f t="shared" si="690"/>
        <v>0</v>
      </c>
      <c r="CX165" s="318"/>
      <c r="CY165" s="303"/>
      <c r="CZ165" s="303"/>
      <c r="DA165" s="506">
        <f>IF(YEAR('3 pr-2'!AK165)=2017,CX165,0)</f>
        <v>0</v>
      </c>
      <c r="DB165" s="506">
        <f>IF(YEAR('3 pr-2'!AK165)=2018,CX165,0)</f>
        <v>0</v>
      </c>
      <c r="DC165" s="506">
        <f>IF(YEAR('3 pr-2'!AK165)=2019,CX165,0)</f>
        <v>0</v>
      </c>
      <c r="DD165" s="506">
        <f>IF(YEAR('3 pr-2'!AK165)=2020,CX165,0)</f>
        <v>0</v>
      </c>
      <c r="DE165" s="506">
        <f>IF(YEAR('3 pr-2'!AK165)=2021,CX165,0)</f>
        <v>0</v>
      </c>
      <c r="DF165" s="506">
        <f>IF(YEAR('3 pr-2'!AK165)=2022,CX165,0)</f>
        <v>0</v>
      </c>
      <c r="DG165" s="506">
        <f>IF(YEAR('3 pr-2'!AK165)=2023,CX165,0)</f>
        <v>0</v>
      </c>
      <c r="DH165" s="317"/>
      <c r="DI165" s="472"/>
      <c r="DJ165" s="130"/>
      <c r="DK165" s="130"/>
      <c r="DL165" s="130"/>
      <c r="DM165" s="130"/>
      <c r="DN165" s="130"/>
      <c r="DO165" s="130"/>
      <c r="DP165" s="130"/>
      <c r="DQ165" s="756"/>
      <c r="DR165" s="318"/>
      <c r="DS165" s="303"/>
      <c r="DT165" s="303"/>
      <c r="DU165" s="506"/>
      <c r="DV165" s="506"/>
      <c r="DW165" s="506"/>
      <c r="DX165" s="506"/>
      <c r="DY165" s="506"/>
      <c r="DZ165" s="506"/>
      <c r="EA165" s="506"/>
      <c r="EB165" s="317"/>
      <c r="EC165" s="472"/>
      <c r="ED165" s="303"/>
      <c r="EE165" s="303"/>
      <c r="EF165" s="303"/>
      <c r="EG165" s="506">
        <f>IF(YEAR('3 pr-2'!BP165)=2017,ED165,0)</f>
        <v>0</v>
      </c>
      <c r="EH165" s="506">
        <f>IF(YEAR('3 pr-2'!BP165)=2018,ED165,0)</f>
        <v>0</v>
      </c>
      <c r="EI165" s="506">
        <f>IF(YEAR('3 pr-2'!BP165)=2019,ED165,0)</f>
        <v>0</v>
      </c>
      <c r="EJ165" s="506">
        <f>IF(YEAR('3 pr-2'!BP165)=2020,ED165,0)</f>
        <v>0</v>
      </c>
      <c r="EK165" s="506">
        <f>IF(YEAR('3 pr-2'!BP165)=2021,ED165,0)</f>
        <v>0</v>
      </c>
      <c r="EL165" s="506">
        <f>IF(YEAR('3 pr-2'!BP165)=2022,ED165,0)</f>
        <v>0</v>
      </c>
      <c r="EM165" s="506">
        <f>IF(YEAR('3 pr-2'!BP165)=2023,ED165,0)</f>
        <v>0</v>
      </c>
    </row>
    <row r="166" spans="1:143" ht="85.5" thickTop="1" thickBot="1">
      <c r="A166" s="130" t="str">
        <f>CONCATENATE('3 pr-2'!A166)</f>
        <v>2.1.4.1.5</v>
      </c>
      <c r="B166" s="130" t="str">
        <f>CONCATENATE('3 pr-2'!B166)</f>
        <v>R01-9920-490000-2415</v>
      </c>
      <c r="C166" s="1730" t="str">
        <f>CONCATENATE('ketv. 2'!B165)</f>
        <v>10.1.3-ESFA-R-920-11-0006</v>
      </c>
      <c r="D166" s="11" t="str">
        <f>CONCATENATE('3 pr-2'!D166)</f>
        <v>Paslaugų teikimo ir asmenų aptarnavimo kokybės gerinimas Druskininkų savivaldybėje</v>
      </c>
      <c r="E166" s="11" t="str">
        <f>CONCATENATE('3 pr-2'!E166)</f>
        <v>Druskininkų savivaldybės administracija</v>
      </c>
      <c r="F166" s="11" t="str">
        <f>CONCATENATE('3 pr-2'!F166)</f>
        <v>Lietuvos Respublikos vidaus reikalų ministerija</v>
      </c>
      <c r="G166" s="11" t="str">
        <f>CONCATENATE('3 pr-2'!G166)</f>
        <v>Druskininkų sav.</v>
      </c>
      <c r="H166" s="130" t="str">
        <f>CONCATENATE('3 pr-2'!H166)</f>
        <v>10.1.3-ESFA-R-920</v>
      </c>
      <c r="I166" s="130" t="str">
        <f>CONCATENATE('3 pr-2'!I166)</f>
        <v>R</v>
      </c>
      <c r="J166" s="130" t="str">
        <f>CONCATENATE('3 pr-2'!J166)</f>
        <v>-</v>
      </c>
      <c r="K166" s="130" t="str">
        <f>CONCATENATE('3 pr-2'!K166)</f>
        <v>-</v>
      </c>
      <c r="L166" s="130" t="s">
        <v>520</v>
      </c>
      <c r="M166" s="471" t="s">
        <v>521</v>
      </c>
      <c r="N166" s="1699"/>
      <c r="O166" s="1699"/>
      <c r="P166" s="1699"/>
      <c r="Q166" s="1699"/>
      <c r="R166" s="1699"/>
      <c r="S166" s="1699"/>
      <c r="T166" s="1699"/>
      <c r="U166" s="1700">
        <f t="shared" si="659"/>
        <v>0</v>
      </c>
      <c r="V166" s="130">
        <v>2</v>
      </c>
      <c r="W166" s="1757">
        <v>2</v>
      </c>
      <c r="X166" s="1732">
        <f>SUM(W166-V166)</f>
        <v>0</v>
      </c>
      <c r="Y166" s="1732">
        <f>IF(YEAR('3 pr-2'!$AK166)=2017,$V166,0)</f>
        <v>0</v>
      </c>
      <c r="Z166" s="1732">
        <f>IF(YEAR('3 pr-2'!$AK166)=2018,$V166,0)</f>
        <v>0</v>
      </c>
      <c r="AA166" s="1732">
        <f>IF(YEAR('3 pr-2'!$AK166)=2019,$V166,0)</f>
        <v>0</v>
      </c>
      <c r="AB166" s="1732">
        <f>IF(YEAR('3 pr-2'!$AK166)=2020,$V166,0)</f>
        <v>2</v>
      </c>
      <c r="AC166" s="1732">
        <f>IF(YEAR('3 pr-2'!$AK166)=2021,$V166,0)</f>
        <v>0</v>
      </c>
      <c r="AD166" s="1732">
        <f>IF(YEAR('3 pr-2'!$AK166)=2022,$V166,0)</f>
        <v>0</v>
      </c>
      <c r="AE166" s="1732">
        <f>IF(YEAR('3 pr-2'!$AK166)=2023,$V166,0)</f>
        <v>0</v>
      </c>
      <c r="AF166" s="317" t="s">
        <v>522</v>
      </c>
      <c r="AG166" s="471" t="s">
        <v>523</v>
      </c>
      <c r="AH166" s="1699"/>
      <c r="AI166" s="1699"/>
      <c r="AJ166" s="1699"/>
      <c r="AK166" s="1699"/>
      <c r="AL166" s="1699"/>
      <c r="AM166" s="1699"/>
      <c r="AN166" s="1699"/>
      <c r="AO166" s="1718">
        <f t="shared" si="667"/>
        <v>0</v>
      </c>
      <c r="AP166" s="130">
        <v>15</v>
      </c>
      <c r="AQ166" s="1778">
        <v>15</v>
      </c>
      <c r="AR166" s="1732">
        <f>SUM(AQ166-AP166)</f>
        <v>0</v>
      </c>
      <c r="AS166" s="1732">
        <f>IF(YEAR('3 pr-2'!$AK166)=2017,$AP166,0)</f>
        <v>0</v>
      </c>
      <c r="AT166" s="1732">
        <f>IF(YEAR('3 pr-2'!$AK166)=2018,$AP166,0)</f>
        <v>0</v>
      </c>
      <c r="AU166" s="1732">
        <f>IF(YEAR('3 pr-2'!$AK166)=2019,$AP166,0)</f>
        <v>0</v>
      </c>
      <c r="AV166" s="1732">
        <f>IF(YEAR('3 pr-2'!$AK166)=2020,$AP166,0)</f>
        <v>15</v>
      </c>
      <c r="AW166" s="1732">
        <f>IF(YEAR('3 pr-2'!$AK166)=2021,$AP166,0)</f>
        <v>0</v>
      </c>
      <c r="AX166" s="1732">
        <f>IF(YEAR('3 pr-2'!$AK166)=2022,$AP166,0)</f>
        <v>0</v>
      </c>
      <c r="AY166" s="1732">
        <f>IF(YEAR('3 pr-2'!$AK166)=2023,$AP166,0)</f>
        <v>0</v>
      </c>
      <c r="AZ166" s="130"/>
      <c r="BA166" s="470"/>
      <c r="BB166" s="1699"/>
      <c r="BC166" s="1699"/>
      <c r="BD166" s="1699"/>
      <c r="BE166" s="1699"/>
      <c r="BF166" s="1699"/>
      <c r="BG166" s="1699"/>
      <c r="BH166" s="1699"/>
      <c r="BI166" s="1718">
        <f t="shared" si="675"/>
        <v>0</v>
      </c>
      <c r="BJ166" s="130"/>
      <c r="BK166" s="1501"/>
      <c r="BL166" s="130"/>
      <c r="BM166" s="130">
        <f>IF(YEAR('3 pr-2'!$AK166)=2017,$BJ166,0)</f>
        <v>0</v>
      </c>
      <c r="BN166" s="130">
        <f>IF(YEAR('3 pr-2'!$AK166)=2018,$BJ166,0)</f>
        <v>0</v>
      </c>
      <c r="BO166" s="130">
        <f>IF(YEAR('3 pr-2'!$AK166)=2019,$BJ166,0)</f>
        <v>0</v>
      </c>
      <c r="BP166" s="130">
        <f>IF(YEAR('3 pr-2'!$AK166)=2020,$BJ166,0)</f>
        <v>0</v>
      </c>
      <c r="BQ166" s="130">
        <f>IF(YEAR('3 pr-2'!$AK166)=2021,$BJ166,0)</f>
        <v>0</v>
      </c>
      <c r="BR166" s="130">
        <f>IF(YEAR('3 pr-2'!$AK166)=2022,$BJ166,0)</f>
        <v>0</v>
      </c>
      <c r="BS166" s="130">
        <f>IF(YEAR('3 pr-2'!$AK166)=2023,$BJ166,0)</f>
        <v>0</v>
      </c>
      <c r="BT166" s="317"/>
      <c r="BU166" s="471"/>
      <c r="BV166" s="1699"/>
      <c r="BW166" s="1699"/>
      <c r="BX166" s="1699"/>
      <c r="BY166" s="1699"/>
      <c r="BZ166" s="1699"/>
      <c r="CA166" s="1699"/>
      <c r="CB166" s="1699"/>
      <c r="CC166" s="1718">
        <f t="shared" si="683"/>
        <v>0</v>
      </c>
      <c r="CD166" s="130"/>
      <c r="CE166" s="130"/>
      <c r="CF166" s="130"/>
      <c r="CG166" s="130">
        <f>IF(YEAR('3 pr-2'!$AK166)=2017,$CD166,0)</f>
        <v>0</v>
      </c>
      <c r="CH166" s="130">
        <f>IF(YEAR('3 pr-2'!$AK166)=2018,$CD166,0)</f>
        <v>0</v>
      </c>
      <c r="CI166" s="130">
        <f>IF(YEAR('3 pr-2'!$AK166)=2019,$CD166,0)</f>
        <v>0</v>
      </c>
      <c r="CJ166" s="130">
        <f>IF(YEAR('3 pr-2'!$AK166)=2020,$CD166,0)</f>
        <v>0</v>
      </c>
      <c r="CK166" s="130">
        <f>IF(YEAR('3 pr-2'!$AK166)=2021,$CD166,0)</f>
        <v>0</v>
      </c>
      <c r="CL166" s="130">
        <f>IF(YEAR('3 pr-2'!$AK166)=2022,$CD166,0)</f>
        <v>0</v>
      </c>
      <c r="CM166" s="130">
        <f>IF(YEAR('3 pr-2'!$AK166)=2023,$CD166,0)</f>
        <v>0</v>
      </c>
      <c r="CN166" s="317"/>
      <c r="CO166" s="472"/>
      <c r="CP166" s="1699"/>
      <c r="CQ166" s="1699"/>
      <c r="CR166" s="1699"/>
      <c r="CS166" s="1699"/>
      <c r="CT166" s="1699"/>
      <c r="CU166" s="1699"/>
      <c r="CV166" s="1699"/>
      <c r="CW166" s="1718">
        <f t="shared" si="690"/>
        <v>0</v>
      </c>
      <c r="CX166" s="318"/>
      <c r="CY166" s="303"/>
      <c r="CZ166" s="303"/>
      <c r="DA166" s="506">
        <f>IF(YEAR('3 pr-2'!AK166)=2017,CX166,0)</f>
        <v>0</v>
      </c>
      <c r="DB166" s="506">
        <f>IF(YEAR('3 pr-2'!AK166)=2018,CX166,0)</f>
        <v>0</v>
      </c>
      <c r="DC166" s="506">
        <f>IF(YEAR('3 pr-2'!AK166)=2019,CX166,0)</f>
        <v>0</v>
      </c>
      <c r="DD166" s="506">
        <f>IF(YEAR('3 pr-2'!AK166)=2020,CX166,0)</f>
        <v>0</v>
      </c>
      <c r="DE166" s="506">
        <f>IF(YEAR('3 pr-2'!AK166)=2021,CX166,0)</f>
        <v>0</v>
      </c>
      <c r="DF166" s="506">
        <f>IF(YEAR('3 pr-2'!AK166)=2022,CX166,0)</f>
        <v>0</v>
      </c>
      <c r="DG166" s="506">
        <f>IF(YEAR('3 pr-2'!AK166)=2023,CX166,0)</f>
        <v>0</v>
      </c>
      <c r="DH166" s="317"/>
      <c r="DI166" s="472"/>
      <c r="DJ166" s="130"/>
      <c r="DK166" s="130"/>
      <c r="DL166" s="130"/>
      <c r="DM166" s="130"/>
      <c r="DN166" s="130"/>
      <c r="DO166" s="130"/>
      <c r="DP166" s="130"/>
      <c r="DQ166" s="756"/>
      <c r="DR166" s="318"/>
      <c r="DS166" s="303"/>
      <c r="DT166" s="303"/>
      <c r="DU166" s="506"/>
      <c r="DV166" s="506"/>
      <c r="DW166" s="506"/>
      <c r="DX166" s="506"/>
      <c r="DY166" s="506"/>
      <c r="DZ166" s="506"/>
      <c r="EA166" s="506"/>
      <c r="EB166" s="317"/>
      <c r="EC166" s="472"/>
      <c r="ED166" s="303"/>
      <c r="EE166" s="303"/>
      <c r="EF166" s="303"/>
      <c r="EG166" s="506">
        <f>IF(YEAR('3 pr-2'!BP166)=2017,ED166,0)</f>
        <v>0</v>
      </c>
      <c r="EH166" s="506">
        <f>IF(YEAR('3 pr-2'!BP166)=2018,ED166,0)</f>
        <v>0</v>
      </c>
      <c r="EI166" s="506">
        <f>IF(YEAR('3 pr-2'!BP166)=2019,ED166,0)</f>
        <v>0</v>
      </c>
      <c r="EJ166" s="506">
        <f>IF(YEAR('3 pr-2'!BP166)=2020,ED166,0)</f>
        <v>0</v>
      </c>
      <c r="EK166" s="506">
        <f>IF(YEAR('3 pr-2'!BP166)=2021,ED166,0)</f>
        <v>0</v>
      </c>
      <c r="EL166" s="506">
        <f>IF(YEAR('3 pr-2'!BP166)=2022,ED166,0)</f>
        <v>0</v>
      </c>
      <c r="EM166" s="506">
        <f>IF(YEAR('3 pr-2'!BP166)=2023,ED166,0)</f>
        <v>0</v>
      </c>
    </row>
    <row r="167" spans="1:143" ht="97.5" thickTop="1" thickBot="1">
      <c r="A167" s="130" t="str">
        <f>CONCATENATE('3 pr-2'!A167)</f>
        <v>2.1.4.1.6</v>
      </c>
      <c r="B167" s="130" t="str">
        <f>CONCATENATE('3 pr-2'!B167)</f>
        <v>R01-9920-490000-2416</v>
      </c>
      <c r="C167" s="1730" t="str">
        <f>CONCATENATE('ketv. 2'!B167)</f>
        <v/>
      </c>
      <c r="D167" s="11" t="str">
        <f>CONCATENATE('3 pr-2'!D167)</f>
        <v>Teikiamų paslaugų procesų tobulinimas ir asmenų aptarnavimo kokybės gerinimas Alytaus m. sav. administracijoje ir jai pavaldžiose įstaigose. II etapas</v>
      </c>
      <c r="E167" s="11" t="str">
        <f>CONCATENATE('3 pr-2'!E167)</f>
        <v>Alytaus miesto savivaldybės administracija</v>
      </c>
      <c r="F167" s="11" t="str">
        <f>CONCATENATE('3 pr-2'!F167)</f>
        <v>Lietuvos Respublikos vidaus reikalų ministerija</v>
      </c>
      <c r="G167" s="11" t="str">
        <f>CONCATENATE('3 pr-2'!G167)</f>
        <v>Alytaus m. sav.</v>
      </c>
      <c r="H167" s="130" t="str">
        <f>CONCATENATE('3 pr-2'!H167)</f>
        <v>10.1.3-ESFA-R-920</v>
      </c>
      <c r="I167" s="130" t="str">
        <f>CONCATENATE('3 pr-2'!I167)</f>
        <v>R</v>
      </c>
      <c r="J167" s="130" t="str">
        <f>CONCATENATE('3 pr-2'!J167)</f>
        <v>-</v>
      </c>
      <c r="K167" s="130" t="str">
        <f>CONCATENATE('3 pr-2'!K167)</f>
        <v>-</v>
      </c>
      <c r="L167" s="130" t="s">
        <v>520</v>
      </c>
      <c r="M167" s="471" t="s">
        <v>521</v>
      </c>
      <c r="N167" s="1699"/>
      <c r="O167" s="1699"/>
      <c r="P167" s="1699"/>
      <c r="Q167" s="1699"/>
      <c r="R167" s="1699"/>
      <c r="S167" s="1699"/>
      <c r="T167" s="1699"/>
      <c r="U167" s="1700">
        <f t="shared" ref="U167" si="692">SUM(N167:T167)</f>
        <v>0</v>
      </c>
      <c r="V167" s="130">
        <v>38</v>
      </c>
      <c r="W167" s="1757" t="str">
        <f>IF('ketv. 6 '!L166&gt;0,"taip","nėra")</f>
        <v>nėra</v>
      </c>
      <c r="X167" s="1732"/>
      <c r="Y167" s="1732">
        <f>IF(YEAR('3 pr-2'!$AK167)=2017,$V167,0)</f>
        <v>0</v>
      </c>
      <c r="Z167" s="1732">
        <f>IF(YEAR('3 pr-2'!$AK167)=2018,$V167,0)</f>
        <v>0</v>
      </c>
      <c r="AA167" s="1732">
        <f>IF(YEAR('3 pr-2'!$AK167)=2019,$V167,0)</f>
        <v>0</v>
      </c>
      <c r="AB167" s="1732">
        <f>IF(YEAR('3 pr-2'!$AK167)=2020,$V167,0)</f>
        <v>38</v>
      </c>
      <c r="AC167" s="1732">
        <f>IF(YEAR('3 pr-2'!$AK167)=2021,$V167,0)</f>
        <v>0</v>
      </c>
      <c r="AD167" s="1732">
        <f>IF(YEAR('3 pr-2'!$AK167)=2022,$V167,0)</f>
        <v>0</v>
      </c>
      <c r="AE167" s="1732">
        <f>IF(YEAR('3 pr-2'!$AK167)=2023,$V167,0)</f>
        <v>0</v>
      </c>
      <c r="AF167" s="317" t="s">
        <v>522</v>
      </c>
      <c r="AG167" s="471" t="s">
        <v>523</v>
      </c>
      <c r="AH167" s="1699"/>
      <c r="AI167" s="1699"/>
      <c r="AJ167" s="1699"/>
      <c r="AK167" s="1699"/>
      <c r="AL167" s="1699"/>
      <c r="AM167" s="1699"/>
      <c r="AN167" s="1699"/>
      <c r="AO167" s="1718">
        <f t="shared" ref="AO167" si="693">SUM(AH167:AN167)</f>
        <v>0</v>
      </c>
      <c r="AP167" s="130">
        <v>132</v>
      </c>
      <c r="AQ167" s="1778"/>
      <c r="AR167" s="1732"/>
      <c r="AS167" s="1732">
        <f>IF(YEAR('3 pr-2'!$AK167)=2017,$AP167,0)</f>
        <v>0</v>
      </c>
      <c r="AT167" s="1732">
        <f>IF(YEAR('3 pr-2'!$AK167)=2018,$AP167,0)</f>
        <v>0</v>
      </c>
      <c r="AU167" s="1732">
        <f>IF(YEAR('3 pr-2'!$AK167)=2019,$AP167,0)</f>
        <v>0</v>
      </c>
      <c r="AV167" s="1732">
        <f>IF(YEAR('3 pr-2'!$AK167)=2020,$AP167,0)</f>
        <v>132</v>
      </c>
      <c r="AW167" s="1732">
        <f>IF(YEAR('3 pr-2'!$AK167)=2021,$AP167,0)</f>
        <v>0</v>
      </c>
      <c r="AX167" s="1732">
        <f>IF(YEAR('3 pr-2'!$AK167)=2022,$AP167,0)</f>
        <v>0</v>
      </c>
      <c r="AY167" s="1732">
        <f>IF(YEAR('3 pr-2'!$AK167)=2023,$AP167,0)</f>
        <v>0</v>
      </c>
      <c r="AZ167" s="130"/>
      <c r="BA167" s="470"/>
      <c r="BB167" s="1699"/>
      <c r="BC167" s="1699"/>
      <c r="BD167" s="1699"/>
      <c r="BE167" s="1699"/>
      <c r="BF167" s="1699"/>
      <c r="BG167" s="1699"/>
      <c r="BH167" s="1699"/>
      <c r="BI167" s="1718">
        <f t="shared" ref="BI167" si="694">SUM(BB167:BH167)</f>
        <v>0</v>
      </c>
      <c r="BJ167" s="130"/>
      <c r="BK167" s="1501"/>
      <c r="BL167" s="130"/>
      <c r="BM167" s="130">
        <f>IF(YEAR('3 pr-2'!$AK167)=2017,$BJ167,0)</f>
        <v>0</v>
      </c>
      <c r="BN167" s="130">
        <f>IF(YEAR('3 pr-2'!$AK167)=2018,$BJ167,0)</f>
        <v>0</v>
      </c>
      <c r="BO167" s="130">
        <f>IF(YEAR('3 pr-2'!$AK167)=2019,$BJ167,0)</f>
        <v>0</v>
      </c>
      <c r="BP167" s="130">
        <f>IF(YEAR('3 pr-2'!$AK167)=2020,$BJ167,0)</f>
        <v>0</v>
      </c>
      <c r="BQ167" s="130">
        <f>IF(YEAR('3 pr-2'!$AK167)=2021,$BJ167,0)</f>
        <v>0</v>
      </c>
      <c r="BR167" s="130">
        <f>IF(YEAR('3 pr-2'!$AK167)=2022,$BJ167,0)</f>
        <v>0</v>
      </c>
      <c r="BS167" s="130">
        <f>IF(YEAR('3 pr-2'!$AK167)=2023,$BJ167,0)</f>
        <v>0</v>
      </c>
      <c r="BT167" s="317"/>
      <c r="BU167" s="471"/>
      <c r="BV167" s="1699"/>
      <c r="BW167" s="1699"/>
      <c r="BX167" s="1699"/>
      <c r="BY167" s="1699"/>
      <c r="BZ167" s="1699"/>
      <c r="CA167" s="1699"/>
      <c r="CB167" s="1699"/>
      <c r="CC167" s="1718">
        <f t="shared" ref="CC167" si="695">SUM(BV167:CB167)</f>
        <v>0</v>
      </c>
      <c r="CD167" s="130"/>
      <c r="CE167" s="130"/>
      <c r="CF167" s="130"/>
      <c r="CG167" s="130">
        <f>IF(YEAR('3 pr-2'!$AK167)=2017,$CD167,0)</f>
        <v>0</v>
      </c>
      <c r="CH167" s="130">
        <f>IF(YEAR('3 pr-2'!$AK167)=2018,$CD167,0)</f>
        <v>0</v>
      </c>
      <c r="CI167" s="130">
        <f>IF(YEAR('3 pr-2'!$AK167)=2019,$CD167,0)</f>
        <v>0</v>
      </c>
      <c r="CJ167" s="130">
        <f>IF(YEAR('3 pr-2'!$AK167)=2020,$CD167,0)</f>
        <v>0</v>
      </c>
      <c r="CK167" s="130">
        <f>IF(YEAR('3 pr-2'!$AK167)=2021,$CD167,0)</f>
        <v>0</v>
      </c>
      <c r="CL167" s="130">
        <f>IF(YEAR('3 pr-2'!$AK167)=2022,$CD167,0)</f>
        <v>0</v>
      </c>
      <c r="CM167" s="130">
        <f>IF(YEAR('3 pr-2'!$AK167)=2023,$CD167,0)</f>
        <v>0</v>
      </c>
      <c r="CN167" s="317"/>
      <c r="CO167" s="472"/>
      <c r="CP167" s="1699"/>
      <c r="CQ167" s="1699"/>
      <c r="CR167" s="1699"/>
      <c r="CS167" s="1699"/>
      <c r="CT167" s="1699"/>
      <c r="CU167" s="1699"/>
      <c r="CV167" s="1699"/>
      <c r="CW167" s="1718">
        <f t="shared" ref="CW167" si="696">SUM(CP167:CV167)</f>
        <v>0</v>
      </c>
      <c r="CX167" s="318"/>
      <c r="CY167" s="303"/>
      <c r="CZ167" s="303"/>
      <c r="DA167" s="506">
        <f>IF(YEAR('3 pr-2'!AK167)=2017,CX167,0)</f>
        <v>0</v>
      </c>
      <c r="DB167" s="506">
        <f>IF(YEAR('3 pr-2'!AK167)=2018,CX167,0)</f>
        <v>0</v>
      </c>
      <c r="DC167" s="506">
        <f>IF(YEAR('3 pr-2'!AK167)=2019,CX167,0)</f>
        <v>0</v>
      </c>
      <c r="DD167" s="506">
        <f>IF(YEAR('3 pr-2'!AK167)=2020,CX167,0)</f>
        <v>0</v>
      </c>
      <c r="DE167" s="506">
        <f>IF(YEAR('3 pr-2'!AK167)=2021,CX167,0)</f>
        <v>0</v>
      </c>
      <c r="DF167" s="506">
        <f>IF(YEAR('3 pr-2'!AK167)=2022,CX167,0)</f>
        <v>0</v>
      </c>
      <c r="DG167" s="506">
        <f>IF(YEAR('3 pr-2'!AK167)=2023,CX167,0)</f>
        <v>0</v>
      </c>
      <c r="DH167" s="317"/>
      <c r="DI167" s="472"/>
      <c r="DJ167" s="130"/>
      <c r="DK167" s="130"/>
      <c r="DL167" s="130"/>
      <c r="DM167" s="130"/>
      <c r="DN167" s="130"/>
      <c r="DO167" s="130"/>
      <c r="DP167" s="130"/>
      <c r="DQ167" s="756"/>
      <c r="DR167" s="318"/>
      <c r="DS167" s="303"/>
      <c r="DT167" s="303"/>
      <c r="DU167" s="506"/>
      <c r="DV167" s="506"/>
      <c r="DW167" s="506"/>
      <c r="DX167" s="506"/>
      <c r="DY167" s="506"/>
      <c r="DZ167" s="506"/>
      <c r="EA167" s="506"/>
      <c r="EB167" s="317"/>
      <c r="EC167" s="472"/>
      <c r="ED167" s="303"/>
      <c r="EE167" s="303"/>
      <c r="EF167" s="303"/>
      <c r="EG167" s="506">
        <f>IF(YEAR('3 pr-2'!BP167)=2017,ED167,0)</f>
        <v>0</v>
      </c>
      <c r="EH167" s="506">
        <f>IF(YEAR('3 pr-2'!BP167)=2018,ED167,0)</f>
        <v>0</v>
      </c>
      <c r="EI167" s="506">
        <f>IF(YEAR('3 pr-2'!BP167)=2019,ED167,0)</f>
        <v>0</v>
      </c>
      <c r="EJ167" s="506">
        <f>IF(YEAR('3 pr-2'!BP167)=2020,ED167,0)</f>
        <v>0</v>
      </c>
      <c r="EK167" s="506">
        <f>IF(YEAR('3 pr-2'!BP167)=2021,ED167,0)</f>
        <v>0</v>
      </c>
      <c r="EL167" s="506">
        <f>IF(YEAR('3 pr-2'!BP167)=2022,ED167,0)</f>
        <v>0</v>
      </c>
      <c r="EM167" s="506">
        <f>IF(YEAR('3 pr-2'!BP167)=2023,ED167,0)</f>
        <v>0</v>
      </c>
    </row>
    <row r="168" spans="1:143" ht="45.75" customHeight="1" thickBot="1">
      <c r="A168" s="440" t="str">
        <f>CONCATENATE('3 pr-2'!A168)</f>
        <v>3.1.</v>
      </c>
      <c r="B168" s="1972" t="str">
        <f>CONCATENATE('3 pr-2'!B168)</f>
        <v>Tikslas: 
DARNIAI TVARKYTI IR VYSTYTI REGIONO TERITORIJĄ</v>
      </c>
      <c r="C168" s="1894"/>
      <c r="D168" s="1894"/>
      <c r="E168" s="1894"/>
      <c r="F168" s="1894"/>
      <c r="G168" s="1894"/>
      <c r="H168" s="1894"/>
      <c r="I168" s="1894"/>
      <c r="J168" s="1894"/>
      <c r="K168" s="1895"/>
      <c r="L168" s="506" t="s">
        <v>66</v>
      </c>
      <c r="M168" s="656" t="s">
        <v>66</v>
      </c>
      <c r="N168" s="1712"/>
      <c r="O168" s="1712"/>
      <c r="P168" s="1712"/>
      <c r="Q168" s="1712"/>
      <c r="R168" s="1712"/>
      <c r="S168" s="1712"/>
      <c r="T168" s="1712"/>
      <c r="U168" s="1713"/>
      <c r="V168" s="506" t="s">
        <v>66</v>
      </c>
      <c r="W168" s="1765"/>
      <c r="X168" s="1765"/>
      <c r="Y168" s="1765" t="s">
        <v>66</v>
      </c>
      <c r="Z168" s="1765" t="s">
        <v>66</v>
      </c>
      <c r="AA168" s="1765" t="s">
        <v>66</v>
      </c>
      <c r="AB168" s="1765" t="s">
        <v>66</v>
      </c>
      <c r="AC168" s="1765" t="s">
        <v>66</v>
      </c>
      <c r="AD168" s="1765" t="s">
        <v>66</v>
      </c>
      <c r="AE168" s="1765" t="s">
        <v>66</v>
      </c>
      <c r="AF168" s="754" t="s">
        <v>66</v>
      </c>
      <c r="AG168" s="656" t="s">
        <v>66</v>
      </c>
      <c r="AH168" s="1712"/>
      <c r="AI168" s="1712"/>
      <c r="AJ168" s="1712"/>
      <c r="AK168" s="1712"/>
      <c r="AL168" s="1712"/>
      <c r="AM168" s="1712"/>
      <c r="AN168" s="1712"/>
      <c r="AO168" s="1712"/>
      <c r="AP168" s="754" t="s">
        <v>66</v>
      </c>
      <c r="AQ168" s="1765"/>
      <c r="AR168" s="1765"/>
      <c r="AS168" s="1765" t="s">
        <v>66</v>
      </c>
      <c r="AT168" s="1765" t="s">
        <v>66</v>
      </c>
      <c r="AU168" s="1765" t="s">
        <v>66</v>
      </c>
      <c r="AV168" s="1765" t="s">
        <v>66</v>
      </c>
      <c r="AW168" s="1765" t="s">
        <v>66</v>
      </c>
      <c r="AX168" s="1765" t="s">
        <v>66</v>
      </c>
      <c r="AY168" s="1765" t="s">
        <v>66</v>
      </c>
      <c r="AZ168" s="754" t="s">
        <v>66</v>
      </c>
      <c r="BA168" s="656" t="s">
        <v>66</v>
      </c>
      <c r="BB168" s="1712"/>
      <c r="BC168" s="1712"/>
      <c r="BD168" s="1712"/>
      <c r="BE168" s="1712"/>
      <c r="BF168" s="1712"/>
      <c r="BG168" s="1712"/>
      <c r="BH168" s="1712"/>
      <c r="BI168" s="1712"/>
      <c r="BJ168" s="754" t="s">
        <v>66</v>
      </c>
      <c r="BK168" s="754"/>
      <c r="BL168" s="754"/>
      <c r="BM168" s="754" t="s">
        <v>66</v>
      </c>
      <c r="BN168" s="754" t="s">
        <v>66</v>
      </c>
      <c r="BO168" s="754" t="s">
        <v>66</v>
      </c>
      <c r="BP168" s="754" t="s">
        <v>66</v>
      </c>
      <c r="BQ168" s="754" t="s">
        <v>66</v>
      </c>
      <c r="BR168" s="754" t="s">
        <v>66</v>
      </c>
      <c r="BS168" s="754" t="s">
        <v>66</v>
      </c>
      <c r="BT168" s="754" t="s">
        <v>66</v>
      </c>
      <c r="BU168" s="656" t="s">
        <v>66</v>
      </c>
      <c r="BV168" s="1712"/>
      <c r="BW168" s="1712"/>
      <c r="BX168" s="1712"/>
      <c r="BY168" s="1712"/>
      <c r="BZ168" s="1712"/>
      <c r="CA168" s="1712"/>
      <c r="CB168" s="1712"/>
      <c r="CC168" s="1712"/>
      <c r="CD168" s="754" t="s">
        <v>66</v>
      </c>
      <c r="CE168" s="754"/>
      <c r="CF168" s="754"/>
      <c r="CG168" s="754" t="s">
        <v>66</v>
      </c>
      <c r="CH168" s="754" t="s">
        <v>66</v>
      </c>
      <c r="CI168" s="754" t="s">
        <v>66</v>
      </c>
      <c r="CJ168" s="754" t="s">
        <v>66</v>
      </c>
      <c r="CK168" s="754" t="s">
        <v>66</v>
      </c>
      <c r="CL168" s="754" t="s">
        <v>66</v>
      </c>
      <c r="CM168" s="754" t="s">
        <v>66</v>
      </c>
      <c r="CN168" s="754" t="s">
        <v>66</v>
      </c>
      <c r="CO168" s="472" t="s">
        <v>66</v>
      </c>
      <c r="CP168" s="1712"/>
      <c r="CQ168" s="1712"/>
      <c r="CR168" s="1712"/>
      <c r="CS168" s="1712"/>
      <c r="CT168" s="1712"/>
      <c r="CU168" s="1712"/>
      <c r="CV168" s="1712"/>
      <c r="CW168" s="1712"/>
      <c r="CX168" s="754" t="s">
        <v>66</v>
      </c>
      <c r="CY168" s="754"/>
      <c r="CZ168" s="754"/>
      <c r="DA168" s="725"/>
      <c r="DB168" s="725"/>
      <c r="DC168" s="725"/>
      <c r="DD168" s="725"/>
      <c r="DE168" s="725"/>
      <c r="DF168" s="725"/>
      <c r="DG168" s="725"/>
      <c r="DH168" s="754"/>
      <c r="DI168" s="472"/>
      <c r="DJ168" s="754"/>
      <c r="DK168" s="754"/>
      <c r="DL168" s="754"/>
      <c r="DM168" s="754"/>
      <c r="DN168" s="754"/>
      <c r="DO168" s="754"/>
      <c r="DP168" s="754"/>
      <c r="DQ168" s="754"/>
      <c r="DR168" s="754"/>
      <c r="DS168" s="754"/>
      <c r="DT168" s="754"/>
      <c r="DU168" s="725"/>
      <c r="DV168" s="725"/>
      <c r="DW168" s="725"/>
      <c r="DX168" s="725"/>
      <c r="DY168" s="725"/>
      <c r="DZ168" s="725"/>
      <c r="EA168" s="725"/>
      <c r="EB168" s="754"/>
      <c r="EC168" s="472"/>
      <c r="ED168" s="754"/>
      <c r="EE168" s="754"/>
      <c r="EF168" s="754"/>
      <c r="EG168" s="725"/>
      <c r="EH168" s="725"/>
      <c r="EI168" s="725"/>
      <c r="EJ168" s="725"/>
      <c r="EK168" s="725"/>
      <c r="EL168" s="725"/>
      <c r="EM168" s="725"/>
    </row>
    <row r="169" spans="1:143" ht="39.75" customHeight="1" thickBot="1">
      <c r="A169" s="614" t="str">
        <f>CONCATENATE('3 pr-2'!A169)</f>
        <v>3.1.1.</v>
      </c>
      <c r="B169" s="1972" t="str">
        <f>CONCATENATE('3 pr-2'!B169)</f>
        <v>Uždavinys:
Sumažinti sąvartynuose šalinamų komunalinių atliekų kiekį</v>
      </c>
      <c r="C169" s="1894"/>
      <c r="D169" s="1894"/>
      <c r="E169" s="1894"/>
      <c r="F169" s="1894"/>
      <c r="G169" s="1894"/>
      <c r="H169" s="1894"/>
      <c r="I169" s="1894"/>
      <c r="J169" s="1894"/>
      <c r="K169" s="1895"/>
      <c r="L169" s="506" t="s">
        <v>66</v>
      </c>
      <c r="M169" s="770" t="s">
        <v>66</v>
      </c>
      <c r="N169" s="1708"/>
      <c r="O169" s="1708"/>
      <c r="P169" s="1708"/>
      <c r="Q169" s="1708"/>
      <c r="R169" s="1708"/>
      <c r="S169" s="1708"/>
      <c r="T169" s="1708"/>
      <c r="U169" s="1709"/>
      <c r="V169" s="771" t="s">
        <v>66</v>
      </c>
      <c r="W169" s="1768"/>
      <c r="X169" s="1768"/>
      <c r="Y169" s="1768" t="s">
        <v>66</v>
      </c>
      <c r="Z169" s="1768" t="s">
        <v>66</v>
      </c>
      <c r="AA169" s="1768" t="s">
        <v>66</v>
      </c>
      <c r="AB169" s="1768" t="s">
        <v>66</v>
      </c>
      <c r="AC169" s="1768" t="s">
        <v>66</v>
      </c>
      <c r="AD169" s="1768" t="s">
        <v>66</v>
      </c>
      <c r="AE169" s="1768" t="s">
        <v>66</v>
      </c>
      <c r="AF169" s="769" t="s">
        <v>66</v>
      </c>
      <c r="AG169" s="770" t="s">
        <v>66</v>
      </c>
      <c r="AH169" s="1708"/>
      <c r="AI169" s="1708"/>
      <c r="AJ169" s="1708"/>
      <c r="AK169" s="1708"/>
      <c r="AL169" s="1708"/>
      <c r="AM169" s="1708"/>
      <c r="AN169" s="1708"/>
      <c r="AO169" s="1708"/>
      <c r="AP169" s="769" t="s">
        <v>66</v>
      </c>
      <c r="AQ169" s="1768"/>
      <c r="AR169" s="1768"/>
      <c r="AS169" s="1768" t="s">
        <v>66</v>
      </c>
      <c r="AT169" s="1768" t="s">
        <v>66</v>
      </c>
      <c r="AU169" s="1768" t="s">
        <v>66</v>
      </c>
      <c r="AV169" s="1768" t="s">
        <v>66</v>
      </c>
      <c r="AW169" s="1768" t="s">
        <v>66</v>
      </c>
      <c r="AX169" s="1768" t="s">
        <v>66</v>
      </c>
      <c r="AY169" s="1768" t="s">
        <v>66</v>
      </c>
      <c r="AZ169" s="769" t="s">
        <v>66</v>
      </c>
      <c r="BA169" s="770" t="s">
        <v>66</v>
      </c>
      <c r="BB169" s="1708"/>
      <c r="BC169" s="1708"/>
      <c r="BD169" s="1708"/>
      <c r="BE169" s="1708"/>
      <c r="BF169" s="1708"/>
      <c r="BG169" s="1708"/>
      <c r="BH169" s="1708"/>
      <c r="BI169" s="1708"/>
      <c r="BJ169" s="769" t="s">
        <v>66</v>
      </c>
      <c r="BK169" s="769"/>
      <c r="BL169" s="769"/>
      <c r="BM169" s="769" t="s">
        <v>66</v>
      </c>
      <c r="BN169" s="769" t="s">
        <v>66</v>
      </c>
      <c r="BO169" s="769" t="s">
        <v>66</v>
      </c>
      <c r="BP169" s="769" t="s">
        <v>66</v>
      </c>
      <c r="BQ169" s="769" t="s">
        <v>66</v>
      </c>
      <c r="BR169" s="769" t="s">
        <v>66</v>
      </c>
      <c r="BS169" s="769" t="s">
        <v>66</v>
      </c>
      <c r="BT169" s="769" t="s">
        <v>66</v>
      </c>
      <c r="BU169" s="770" t="s">
        <v>66</v>
      </c>
      <c r="BV169" s="1708"/>
      <c r="BW169" s="1708"/>
      <c r="BX169" s="1708"/>
      <c r="BY169" s="1708"/>
      <c r="BZ169" s="1708"/>
      <c r="CA169" s="1708"/>
      <c r="CB169" s="1708"/>
      <c r="CC169" s="1708"/>
      <c r="CD169" s="769" t="s">
        <v>66</v>
      </c>
      <c r="CE169" s="769"/>
      <c r="CF169" s="769"/>
      <c r="CG169" s="769" t="s">
        <v>66</v>
      </c>
      <c r="CH169" s="769" t="s">
        <v>66</v>
      </c>
      <c r="CI169" s="769" t="s">
        <v>66</v>
      </c>
      <c r="CJ169" s="769" t="s">
        <v>66</v>
      </c>
      <c r="CK169" s="769" t="s">
        <v>66</v>
      </c>
      <c r="CL169" s="769" t="s">
        <v>66</v>
      </c>
      <c r="CM169" s="769" t="s">
        <v>66</v>
      </c>
      <c r="CN169" s="769" t="s">
        <v>66</v>
      </c>
      <c r="CO169" s="772" t="s">
        <v>66</v>
      </c>
      <c r="CP169" s="1708"/>
      <c r="CQ169" s="1708"/>
      <c r="CR169" s="1708"/>
      <c r="CS169" s="1708"/>
      <c r="CT169" s="1708"/>
      <c r="CU169" s="1708"/>
      <c r="CV169" s="1708"/>
      <c r="CW169" s="1708"/>
      <c r="CX169" s="769" t="s">
        <v>66</v>
      </c>
      <c r="CY169" s="767"/>
      <c r="CZ169" s="767"/>
      <c r="DA169" s="282"/>
      <c r="DB169" s="699"/>
      <c r="DC169" s="699"/>
      <c r="DD169" s="699"/>
      <c r="DE169" s="699"/>
      <c r="DF169" s="699"/>
      <c r="DG169" s="699"/>
      <c r="DH169" s="769"/>
      <c r="DI169" s="772"/>
      <c r="DJ169" s="769"/>
      <c r="DK169" s="769"/>
      <c r="DL169" s="769"/>
      <c r="DM169" s="769"/>
      <c r="DN169" s="769"/>
      <c r="DO169" s="769"/>
      <c r="DP169" s="769"/>
      <c r="DQ169" s="769"/>
      <c r="DR169" s="769"/>
      <c r="DS169" s="767"/>
      <c r="DT169" s="767"/>
      <c r="DU169" s="282"/>
      <c r="DV169" s="699"/>
      <c r="DW169" s="699"/>
      <c r="DX169" s="699"/>
      <c r="DY169" s="699"/>
      <c r="DZ169" s="699"/>
      <c r="EA169" s="699"/>
      <c r="EB169" s="769"/>
      <c r="EC169" s="772"/>
      <c r="ED169" s="767"/>
      <c r="EE169" s="767"/>
      <c r="EF169" s="767"/>
      <c r="EG169" s="282"/>
      <c r="EH169" s="699"/>
      <c r="EI169" s="699"/>
      <c r="EJ169" s="699"/>
      <c r="EK169" s="699"/>
      <c r="EL169" s="699"/>
      <c r="EM169" s="699"/>
    </row>
    <row r="170" spans="1:143" ht="41.25" customHeight="1" thickBot="1">
      <c r="A170" s="773" t="str">
        <f>CONCATENATE('3 pr-2'!A170)</f>
        <v>3.1.1.1</v>
      </c>
      <c r="B170" s="1972" t="str">
        <f>CONCATENATE('3 pr-2'!B170)</f>
        <v>Priemonė:
Komunalinių atliekų tvarkymo infrastruktūros plėtra</v>
      </c>
      <c r="C170" s="1894" t="str">
        <f>CONCATENATE('ketv. 2'!B169)</f>
        <v/>
      </c>
      <c r="D170" s="1894" t="s">
        <v>1173</v>
      </c>
      <c r="E170" s="1894"/>
      <c r="F170" s="1894"/>
      <c r="G170" s="1894"/>
      <c r="H170" s="1894"/>
      <c r="I170" s="1894"/>
      <c r="J170" s="1894"/>
      <c r="K170" s="1895"/>
      <c r="L170" s="774"/>
      <c r="M170" s="474"/>
      <c r="N170" s="1710">
        <f>SUM(N171)</f>
        <v>0</v>
      </c>
      <c r="O170" s="1710">
        <f t="shared" ref="O170:T170" si="697">SUM(O171)</f>
        <v>0</v>
      </c>
      <c r="P170" s="1710">
        <f t="shared" si="697"/>
        <v>0</v>
      </c>
      <c r="Q170" s="1710">
        <f t="shared" si="697"/>
        <v>0</v>
      </c>
      <c r="R170" s="1710">
        <f t="shared" si="697"/>
        <v>0</v>
      </c>
      <c r="S170" s="1710">
        <f t="shared" si="697"/>
        <v>0</v>
      </c>
      <c r="T170" s="1710">
        <f t="shared" si="697"/>
        <v>0</v>
      </c>
      <c r="U170" s="1711">
        <f t="shared" ref="U170:U171" si="698">SUM(N170:T170)</f>
        <v>0</v>
      </c>
      <c r="V170" s="739"/>
      <c r="W170" s="1770"/>
      <c r="X170" s="1771"/>
      <c r="Y170" s="1772">
        <f t="shared" ref="Y170:AE170" si="699">SUM(Y171)</f>
        <v>0</v>
      </c>
      <c r="Z170" s="1772">
        <f t="shared" si="699"/>
        <v>0</v>
      </c>
      <c r="AA170" s="1772">
        <f t="shared" si="699"/>
        <v>7187.76</v>
      </c>
      <c r="AB170" s="1772">
        <f t="shared" si="699"/>
        <v>0</v>
      </c>
      <c r="AC170" s="1772">
        <f t="shared" si="699"/>
        <v>0</v>
      </c>
      <c r="AD170" s="1772">
        <f t="shared" si="699"/>
        <v>0</v>
      </c>
      <c r="AE170" s="1772">
        <f t="shared" si="699"/>
        <v>0</v>
      </c>
      <c r="AF170" s="775"/>
      <c r="AG170" s="752"/>
      <c r="AH170" s="1710">
        <f>SUM(AH171)</f>
        <v>0</v>
      </c>
      <c r="AI170" s="1710">
        <f t="shared" ref="AI170" si="700">SUM(AI171)</f>
        <v>0</v>
      </c>
      <c r="AJ170" s="1710">
        <f t="shared" ref="AJ170" si="701">SUM(AJ171)</f>
        <v>0</v>
      </c>
      <c r="AK170" s="1710">
        <f t="shared" ref="AK170" si="702">SUM(AK171)</f>
        <v>0</v>
      </c>
      <c r="AL170" s="1710">
        <f t="shared" ref="AL170" si="703">SUM(AL171)</f>
        <v>0</v>
      </c>
      <c r="AM170" s="1710">
        <f t="shared" ref="AM170" si="704">SUM(AM171)</f>
        <v>0</v>
      </c>
      <c r="AN170" s="1710">
        <f t="shared" ref="AN170" si="705">SUM(AN171)</f>
        <v>0</v>
      </c>
      <c r="AO170" s="1719">
        <f t="shared" ref="AO170:AO171" si="706">SUM(AH170:AN170)</f>
        <v>0</v>
      </c>
      <c r="AP170" s="739"/>
      <c r="AQ170" s="1772"/>
      <c r="AR170" s="1772"/>
      <c r="AS170" s="1772"/>
      <c r="AT170" s="1772"/>
      <c r="AU170" s="1772"/>
      <c r="AV170" s="1772"/>
      <c r="AW170" s="1772"/>
      <c r="AX170" s="1772"/>
      <c r="AY170" s="1772"/>
      <c r="AZ170" s="739"/>
      <c r="BA170" s="752"/>
      <c r="BB170" s="1710">
        <f>SUM(BB171)</f>
        <v>0</v>
      </c>
      <c r="BC170" s="1710">
        <f t="shared" ref="BC170" si="707">SUM(BC171)</f>
        <v>0</v>
      </c>
      <c r="BD170" s="1710">
        <f t="shared" ref="BD170" si="708">SUM(BD171)</f>
        <v>0</v>
      </c>
      <c r="BE170" s="1710">
        <f t="shared" ref="BE170" si="709">SUM(BE171)</f>
        <v>0</v>
      </c>
      <c r="BF170" s="1710">
        <f t="shared" ref="BF170" si="710">SUM(BF171)</f>
        <v>0</v>
      </c>
      <c r="BG170" s="1710">
        <f t="shared" ref="BG170" si="711">SUM(BG171)</f>
        <v>0</v>
      </c>
      <c r="BH170" s="1710">
        <f t="shared" ref="BH170" si="712">SUM(BH171)</f>
        <v>0</v>
      </c>
      <c r="BI170" s="1719">
        <f t="shared" ref="BI170:BI171" si="713">SUM(BB170:BH170)</f>
        <v>0</v>
      </c>
      <c r="BJ170" s="739"/>
      <c r="BK170" s="506"/>
      <c r="BL170" s="506"/>
      <c r="BM170" s="506"/>
      <c r="BN170" s="506"/>
      <c r="BO170" s="506"/>
      <c r="BP170" s="506"/>
      <c r="BQ170" s="506"/>
      <c r="BR170" s="506"/>
      <c r="BS170" s="506"/>
      <c r="BT170" s="506"/>
      <c r="BU170" s="472"/>
      <c r="BV170" s="1710">
        <f>SUM(BV171)</f>
        <v>0</v>
      </c>
      <c r="BW170" s="1710">
        <f t="shared" ref="BW170" si="714">SUM(BW171)</f>
        <v>0</v>
      </c>
      <c r="BX170" s="1710">
        <f t="shared" ref="BX170" si="715">SUM(BX171)</f>
        <v>0</v>
      </c>
      <c r="BY170" s="1710">
        <f t="shared" ref="BY170" si="716">SUM(BY171)</f>
        <v>0</v>
      </c>
      <c r="BZ170" s="1710">
        <f t="shared" ref="BZ170" si="717">SUM(BZ171)</f>
        <v>0</v>
      </c>
      <c r="CA170" s="1710">
        <f t="shared" ref="CA170" si="718">SUM(CA171)</f>
        <v>0</v>
      </c>
      <c r="CB170" s="1710">
        <f t="shared" ref="CB170" si="719">SUM(CB171)</f>
        <v>0</v>
      </c>
      <c r="CC170" s="1719">
        <f t="shared" ref="CC170:CC171" si="720">SUM(BV170:CB170)</f>
        <v>0</v>
      </c>
      <c r="CD170" s="506"/>
      <c r="CE170" s="506"/>
      <c r="CF170" s="506"/>
      <c r="CG170" s="506"/>
      <c r="CH170" s="506"/>
      <c r="CI170" s="506"/>
      <c r="CJ170" s="506"/>
      <c r="CK170" s="506"/>
      <c r="CL170" s="506"/>
      <c r="CM170" s="506"/>
      <c r="CN170" s="506"/>
      <c r="CO170" s="472"/>
      <c r="CP170" s="1710">
        <f>SUM(CP171)</f>
        <v>0</v>
      </c>
      <c r="CQ170" s="1710">
        <f t="shared" ref="CQ170" si="721">SUM(CQ171)</f>
        <v>0</v>
      </c>
      <c r="CR170" s="1710">
        <f t="shared" ref="CR170" si="722">SUM(CR171)</f>
        <v>0</v>
      </c>
      <c r="CS170" s="1710">
        <f t="shared" ref="CS170" si="723">SUM(CS171)</f>
        <v>0</v>
      </c>
      <c r="CT170" s="1710">
        <f t="shared" ref="CT170" si="724">SUM(CT171)</f>
        <v>0</v>
      </c>
      <c r="CU170" s="1710">
        <f t="shared" ref="CU170" si="725">SUM(CU171)</f>
        <v>0</v>
      </c>
      <c r="CV170" s="1710">
        <f t="shared" ref="CV170" si="726">SUM(CV171)</f>
        <v>0</v>
      </c>
      <c r="CW170" s="1719">
        <f t="shared" ref="CW170:CW171" si="727">SUM(CP170:CV170)</f>
        <v>0</v>
      </c>
      <c r="CX170" s="506"/>
      <c r="CY170" s="506"/>
      <c r="CZ170" s="506"/>
      <c r="DA170" s="506"/>
      <c r="DB170" s="506"/>
      <c r="DC170" s="506"/>
      <c r="DD170" s="506"/>
      <c r="DE170" s="506"/>
      <c r="DF170" s="506"/>
      <c r="DG170" s="506"/>
      <c r="DH170" s="506"/>
      <c r="DI170" s="472"/>
      <c r="DJ170" s="506"/>
      <c r="DK170" s="506"/>
      <c r="DL170" s="506"/>
      <c r="DM170" s="506"/>
      <c r="DN170" s="506"/>
      <c r="DO170" s="506"/>
      <c r="DP170" s="506"/>
      <c r="DQ170" s="739"/>
      <c r="DR170" s="506"/>
      <c r="DS170" s="506"/>
      <c r="DT170" s="506"/>
      <c r="DU170" s="506"/>
      <c r="DV170" s="506"/>
      <c r="DW170" s="506"/>
      <c r="DX170" s="506"/>
      <c r="DY170" s="506"/>
      <c r="DZ170" s="506"/>
      <c r="EA170" s="506"/>
      <c r="EB170" s="506"/>
      <c r="EC170" s="472"/>
      <c r="ED170" s="506"/>
      <c r="EE170" s="506"/>
      <c r="EF170" s="506"/>
      <c r="EG170" s="506"/>
      <c r="EH170" s="506"/>
      <c r="EI170" s="506"/>
      <c r="EJ170" s="506"/>
      <c r="EK170" s="506"/>
      <c r="EL170" s="506"/>
      <c r="EM170" s="506"/>
    </row>
    <row r="171" spans="1:143" ht="49.5" thickTop="1" thickBot="1">
      <c r="A171" s="130" t="str">
        <f>CONCATENATE('3 pr-2'!A171)</f>
        <v>3.1.1.1.1</v>
      </c>
      <c r="B171" s="130" t="str">
        <f>CONCATENATE('3 pr-2'!B171)</f>
        <v>R01-0008-050000-3111</v>
      </c>
      <c r="C171" s="1730" t="str">
        <f>CONCATENATE('ketv. 2'!B170)</f>
        <v>05.2.1-APVA-R-008-11-0001</v>
      </c>
      <c r="D171" s="11" t="str">
        <f>CONCATENATE('3 pr-2'!D171)</f>
        <v>Komunalinių atliekų tvarkymo infrastruktūros plėtra Alytaus regione</v>
      </c>
      <c r="E171" s="11" t="str">
        <f>CONCATENATE('3 pr-2'!E171)</f>
        <v>Alytaus regiono atliekų tvarkymo centras</v>
      </c>
      <c r="F171" s="11" t="str">
        <f>CONCATENATE('3 pr-2'!F171)</f>
        <v>Lietuvos Respublikos aplinkos ministerija</v>
      </c>
      <c r="G171" s="11" t="str">
        <f>CONCATENATE('3 pr-2'!G171)</f>
        <v>Alytaus regionas</v>
      </c>
      <c r="H171" s="130" t="str">
        <f>CONCATENATE('3 pr-2'!H171)</f>
        <v>05.2.1-APVA-R-008</v>
      </c>
      <c r="I171" s="130" t="str">
        <f>CONCATENATE('3 pr-2'!I171)</f>
        <v>R</v>
      </c>
      <c r="J171" s="130" t="str">
        <f>CONCATENATE('3 pr-2'!J171)</f>
        <v>-</v>
      </c>
      <c r="K171" s="130" t="str">
        <f>CONCATENATE('3 pr-2'!K171)</f>
        <v>-</v>
      </c>
      <c r="L171" s="130" t="s">
        <v>527</v>
      </c>
      <c r="M171" s="471" t="s">
        <v>528</v>
      </c>
      <c r="N171" s="1699"/>
      <c r="O171" s="1699"/>
      <c r="P171" s="1699"/>
      <c r="Q171" s="1699"/>
      <c r="R171" s="1699"/>
      <c r="S171" s="1699"/>
      <c r="T171" s="1699"/>
      <c r="U171" s="1700">
        <f t="shared" si="698"/>
        <v>0</v>
      </c>
      <c r="V171" s="130">
        <v>7187.76</v>
      </c>
      <c r="W171" s="1757" t="str">
        <f>IF('ketv. 6 '!L170&gt;0,"7187,76",0)</f>
        <v>7187,76</v>
      </c>
      <c r="X171" s="1732">
        <f>SUM(W171-V171)</f>
        <v>0</v>
      </c>
      <c r="Y171" s="1732">
        <f>IF(YEAR('3 pr-2'!$AK171)=2017,$V171,0)</f>
        <v>0</v>
      </c>
      <c r="Z171" s="1732">
        <f>IF(YEAR('3 pr-2'!$AK171)=2018,$V171,0)</f>
        <v>0</v>
      </c>
      <c r="AA171" s="1732">
        <f>IF(YEAR('3 pr-2'!$AK171)=2019,$V171,0)</f>
        <v>7187.76</v>
      </c>
      <c r="AB171" s="1732">
        <f>IF(YEAR('3 pr-2'!$AK171)=2020,$V171,0)</f>
        <v>0</v>
      </c>
      <c r="AC171" s="1732">
        <f>IF(YEAR('3 pr-2'!$AK171)=2021,$V171,0)</f>
        <v>0</v>
      </c>
      <c r="AD171" s="1732">
        <f>IF(YEAR('3 pr-2'!$AK171)=2022,$V171,0)</f>
        <v>0</v>
      </c>
      <c r="AE171" s="1732">
        <f>IF(YEAR('3 pr-2'!$AK171)=2023,$V171,0)</f>
        <v>0</v>
      </c>
      <c r="AF171" s="317"/>
      <c r="AG171" s="471"/>
      <c r="AH171" s="1699"/>
      <c r="AI171" s="1699"/>
      <c r="AJ171" s="1699"/>
      <c r="AK171" s="1699"/>
      <c r="AL171" s="1699"/>
      <c r="AM171" s="1699"/>
      <c r="AN171" s="1699"/>
      <c r="AO171" s="1718">
        <f t="shared" si="706"/>
        <v>0</v>
      </c>
      <c r="AP171" s="130"/>
      <c r="AQ171" s="1778"/>
      <c r="AR171" s="1732"/>
      <c r="AS171" s="1732">
        <f>IF(YEAR('3 pr-2'!$AK171)=2017,$AP171,0)</f>
        <v>0</v>
      </c>
      <c r="AT171" s="1732">
        <f>IF(YEAR('3 pr-2'!$AK171)=2018,$AP171,0)</f>
        <v>0</v>
      </c>
      <c r="AU171" s="1732">
        <f>IF(YEAR('3 pr-2'!$AK171)=2019,$AP171,0)</f>
        <v>0</v>
      </c>
      <c r="AV171" s="1732">
        <f>IF(YEAR('3 pr-2'!$AK171)=2020,$AP171,0)</f>
        <v>0</v>
      </c>
      <c r="AW171" s="1732">
        <f>IF(YEAR('3 pr-2'!$AK171)=2021,$AP171,0)</f>
        <v>0</v>
      </c>
      <c r="AX171" s="1732">
        <f>IF(YEAR('3 pr-2'!$AK171)=2022,$AP171,0)</f>
        <v>0</v>
      </c>
      <c r="AY171" s="1732">
        <f>IF(YEAR('3 pr-2'!$AK171)=2023,$AP171,0)</f>
        <v>0</v>
      </c>
      <c r="AZ171" s="130"/>
      <c r="BA171" s="470"/>
      <c r="BB171" s="1699"/>
      <c r="BC171" s="1699"/>
      <c r="BD171" s="1699"/>
      <c r="BE171" s="1699"/>
      <c r="BF171" s="1699"/>
      <c r="BG171" s="1699"/>
      <c r="BH171" s="1699"/>
      <c r="BI171" s="1718">
        <f t="shared" si="713"/>
        <v>0</v>
      </c>
      <c r="BJ171" s="130"/>
      <c r="BK171" s="1501"/>
      <c r="BL171" s="130"/>
      <c r="BM171" s="130">
        <f>IF(YEAR('3 pr-2'!$AK171)=2017,$BJ171,0)</f>
        <v>0</v>
      </c>
      <c r="BN171" s="130">
        <f>IF(YEAR('3 pr-2'!$AK171)=2018,$BJ171,0)</f>
        <v>0</v>
      </c>
      <c r="BO171" s="130">
        <f>IF(YEAR('3 pr-2'!$AK171)=2019,$BJ171,0)</f>
        <v>0</v>
      </c>
      <c r="BP171" s="130">
        <f>IF(YEAR('3 pr-2'!$AK171)=2020,$BJ171,0)</f>
        <v>0</v>
      </c>
      <c r="BQ171" s="130">
        <f>IF(YEAR('3 pr-2'!$AK171)=2021,$BJ171,0)</f>
        <v>0</v>
      </c>
      <c r="BR171" s="130">
        <f>IF(YEAR('3 pr-2'!$AK171)=2022,$BJ171,0)</f>
        <v>0</v>
      </c>
      <c r="BS171" s="130">
        <f>IF(YEAR('3 pr-2'!$AK171)=2023,$BJ171,0)</f>
        <v>0</v>
      </c>
      <c r="BT171" s="317"/>
      <c r="BU171" s="471"/>
      <c r="BV171" s="1699"/>
      <c r="BW171" s="1699"/>
      <c r="BX171" s="1699"/>
      <c r="BY171" s="1699"/>
      <c r="BZ171" s="1699"/>
      <c r="CA171" s="1699"/>
      <c r="CB171" s="1699"/>
      <c r="CC171" s="1718">
        <f t="shared" si="720"/>
        <v>0</v>
      </c>
      <c r="CD171" s="130"/>
      <c r="CE171" s="130"/>
      <c r="CF171" s="130"/>
      <c r="CG171" s="130">
        <f>IF(YEAR('3 pr-2'!$AK171)=2017,$CD171,0)</f>
        <v>0</v>
      </c>
      <c r="CH171" s="130">
        <f>IF(YEAR('3 pr-2'!$AK171)=2018,$CD171,0)</f>
        <v>0</v>
      </c>
      <c r="CI171" s="130">
        <f>IF(YEAR('3 pr-2'!$AK171)=2019,$CD171,0)</f>
        <v>0</v>
      </c>
      <c r="CJ171" s="130">
        <f>IF(YEAR('3 pr-2'!$AK171)=2020,$CD171,0)</f>
        <v>0</v>
      </c>
      <c r="CK171" s="130">
        <f>IF(YEAR('3 pr-2'!$AK171)=2021,$CD171,0)</f>
        <v>0</v>
      </c>
      <c r="CL171" s="130">
        <f>IF(YEAR('3 pr-2'!$AK171)=2022,$CD171,0)</f>
        <v>0</v>
      </c>
      <c r="CM171" s="130">
        <f>IF(YEAR('3 pr-2'!$AK171)=2023,$CD171,0)</f>
        <v>0</v>
      </c>
      <c r="CN171" s="317"/>
      <c r="CO171" s="472"/>
      <c r="CP171" s="1699"/>
      <c r="CQ171" s="1699"/>
      <c r="CR171" s="1699"/>
      <c r="CS171" s="1699"/>
      <c r="CT171" s="1699"/>
      <c r="CU171" s="1699"/>
      <c r="CV171" s="1699"/>
      <c r="CW171" s="1718">
        <f t="shared" si="727"/>
        <v>0</v>
      </c>
      <c r="CX171" s="318"/>
      <c r="CY171" s="303"/>
      <c r="CZ171" s="303"/>
      <c r="DA171" s="506">
        <f>IF(YEAR('3 pr-2'!AK171)=2017,CX171,0)</f>
        <v>0</v>
      </c>
      <c r="DB171" s="506">
        <f>IF(YEAR('3 pr-2'!AK171)=2018,CX171,0)</f>
        <v>0</v>
      </c>
      <c r="DC171" s="506">
        <f>IF(YEAR('3 pr-2'!AK171)=2019,CX171,0)</f>
        <v>0</v>
      </c>
      <c r="DD171" s="506">
        <f>IF(YEAR('3 pr-2'!AK171)=2020,CX171,0)</f>
        <v>0</v>
      </c>
      <c r="DE171" s="506">
        <f>IF(YEAR('3 pr-2'!AK171)=2021,CX171,0)</f>
        <v>0</v>
      </c>
      <c r="DF171" s="506">
        <f>IF(YEAR('3 pr-2'!AK171)=2022,CX171,0)</f>
        <v>0</v>
      </c>
      <c r="DG171" s="506">
        <f>IF(YEAR('3 pr-2'!AK171)=2023,CX171,0)</f>
        <v>0</v>
      </c>
      <c r="DH171" s="317"/>
      <c r="DI171" s="472"/>
      <c r="DJ171" s="130"/>
      <c r="DK171" s="130"/>
      <c r="DL171" s="130"/>
      <c r="DM171" s="130"/>
      <c r="DN171" s="130"/>
      <c r="DO171" s="130"/>
      <c r="DP171" s="130"/>
      <c r="DQ171" s="756"/>
      <c r="DR171" s="318"/>
      <c r="DS171" s="303"/>
      <c r="DT171" s="303"/>
      <c r="DU171" s="506"/>
      <c r="DV171" s="506"/>
      <c r="DW171" s="506"/>
      <c r="DX171" s="506"/>
      <c r="DY171" s="506"/>
      <c r="DZ171" s="506"/>
      <c r="EA171" s="506"/>
      <c r="EB171" s="317"/>
      <c r="EC171" s="472"/>
      <c r="ED171" s="303"/>
      <c r="EE171" s="303"/>
      <c r="EF171" s="303"/>
      <c r="EG171" s="506">
        <f>IF(YEAR('3 pr-2'!BP171)=2017,ED171,0)</f>
        <v>0</v>
      </c>
      <c r="EH171" s="506">
        <f>IF(YEAR('3 pr-2'!BP171)=2018,ED171,0)</f>
        <v>0</v>
      </c>
      <c r="EI171" s="506">
        <f>IF(YEAR('3 pr-2'!BP171)=2019,ED171,0)</f>
        <v>0</v>
      </c>
      <c r="EJ171" s="506">
        <f>IF(YEAR('3 pr-2'!BP171)=2020,ED171,0)</f>
        <v>0</v>
      </c>
      <c r="EK171" s="506">
        <f>IF(YEAR('3 pr-2'!BP171)=2021,ED171,0)</f>
        <v>0</v>
      </c>
      <c r="EL171" s="506">
        <f>IF(YEAR('3 pr-2'!BP171)=2022,ED171,0)</f>
        <v>0</v>
      </c>
      <c r="EM171" s="506">
        <f>IF(YEAR('3 pr-2'!BP171)=2023,ED171,0)</f>
        <v>0</v>
      </c>
    </row>
    <row r="172" spans="1:143" ht="45.75" customHeight="1" thickBot="1">
      <c r="A172" s="614" t="str">
        <f>CONCATENATE('3 pr-2'!A172)</f>
        <v>3.1.2.</v>
      </c>
      <c r="B172" s="1972" t="str">
        <f>CONCATENATE('3 pr-2'!B172)</f>
        <v>Uždavinys:
Kraštovaizdžio apsauga, planavimas ir tvarkymas</v>
      </c>
      <c r="C172" s="1894"/>
      <c r="D172" s="1894"/>
      <c r="E172" s="1894"/>
      <c r="F172" s="1894"/>
      <c r="G172" s="1894"/>
      <c r="H172" s="1894"/>
      <c r="I172" s="1894"/>
      <c r="J172" s="1894"/>
      <c r="K172" s="1895"/>
      <c r="L172" s="506" t="s">
        <v>66</v>
      </c>
      <c r="M172" s="656" t="s">
        <v>66</v>
      </c>
      <c r="N172" s="1712"/>
      <c r="O172" s="1712"/>
      <c r="P172" s="1712"/>
      <c r="Q172" s="1712"/>
      <c r="R172" s="1712"/>
      <c r="S172" s="1712"/>
      <c r="T172" s="1712"/>
      <c r="U172" s="1713"/>
      <c r="V172" s="506" t="s">
        <v>66</v>
      </c>
      <c r="W172" s="1765"/>
      <c r="X172" s="1765"/>
      <c r="Y172" s="1765" t="s">
        <v>66</v>
      </c>
      <c r="Z172" s="1765" t="s">
        <v>66</v>
      </c>
      <c r="AA172" s="1765" t="s">
        <v>66</v>
      </c>
      <c r="AB172" s="1765" t="s">
        <v>66</v>
      </c>
      <c r="AC172" s="1765" t="s">
        <v>66</v>
      </c>
      <c r="AD172" s="1765" t="s">
        <v>66</v>
      </c>
      <c r="AE172" s="1765" t="s">
        <v>66</v>
      </c>
      <c r="AF172" s="754" t="s">
        <v>66</v>
      </c>
      <c r="AG172" s="656" t="s">
        <v>66</v>
      </c>
      <c r="AH172" s="1712"/>
      <c r="AI172" s="1712"/>
      <c r="AJ172" s="1712"/>
      <c r="AK172" s="1712"/>
      <c r="AL172" s="1712"/>
      <c r="AM172" s="1712"/>
      <c r="AN172" s="1712"/>
      <c r="AO172" s="1712"/>
      <c r="AP172" s="754" t="s">
        <v>66</v>
      </c>
      <c r="AQ172" s="1765"/>
      <c r="AR172" s="1765"/>
      <c r="AS172" s="1765" t="s">
        <v>66</v>
      </c>
      <c r="AT172" s="1765" t="s">
        <v>66</v>
      </c>
      <c r="AU172" s="1765" t="s">
        <v>66</v>
      </c>
      <c r="AV172" s="1765" t="s">
        <v>66</v>
      </c>
      <c r="AW172" s="1765" t="s">
        <v>66</v>
      </c>
      <c r="AX172" s="1765" t="s">
        <v>66</v>
      </c>
      <c r="AY172" s="1765" t="s">
        <v>66</v>
      </c>
      <c r="AZ172" s="754" t="s">
        <v>66</v>
      </c>
      <c r="BA172" s="656" t="s">
        <v>66</v>
      </c>
      <c r="BB172" s="1712"/>
      <c r="BC172" s="1712"/>
      <c r="BD172" s="1712"/>
      <c r="BE172" s="1712"/>
      <c r="BF172" s="1712"/>
      <c r="BG172" s="1712"/>
      <c r="BH172" s="1712"/>
      <c r="BI172" s="1712"/>
      <c r="BJ172" s="754" t="s">
        <v>66</v>
      </c>
      <c r="BK172" s="754"/>
      <c r="BL172" s="754"/>
      <c r="BM172" s="754" t="s">
        <v>66</v>
      </c>
      <c r="BN172" s="754" t="s">
        <v>66</v>
      </c>
      <c r="BO172" s="754" t="s">
        <v>66</v>
      </c>
      <c r="BP172" s="754" t="s">
        <v>66</v>
      </c>
      <c r="BQ172" s="754" t="s">
        <v>66</v>
      </c>
      <c r="BR172" s="754" t="s">
        <v>66</v>
      </c>
      <c r="BS172" s="754" t="s">
        <v>66</v>
      </c>
      <c r="BT172" s="754" t="s">
        <v>66</v>
      </c>
      <c r="BU172" s="656" t="s">
        <v>66</v>
      </c>
      <c r="BV172" s="1712"/>
      <c r="BW172" s="1712"/>
      <c r="BX172" s="1712"/>
      <c r="BY172" s="1712"/>
      <c r="BZ172" s="1712"/>
      <c r="CA172" s="1712"/>
      <c r="CB172" s="1712"/>
      <c r="CC172" s="1712"/>
      <c r="CD172" s="754" t="s">
        <v>66</v>
      </c>
      <c r="CE172" s="754"/>
      <c r="CF172" s="754"/>
      <c r="CG172" s="754" t="s">
        <v>66</v>
      </c>
      <c r="CH172" s="754" t="s">
        <v>66</v>
      </c>
      <c r="CI172" s="754" t="s">
        <v>66</v>
      </c>
      <c r="CJ172" s="754" t="s">
        <v>66</v>
      </c>
      <c r="CK172" s="754" t="s">
        <v>66</v>
      </c>
      <c r="CL172" s="754" t="s">
        <v>66</v>
      </c>
      <c r="CM172" s="754" t="s">
        <v>66</v>
      </c>
      <c r="CN172" s="754" t="s">
        <v>66</v>
      </c>
      <c r="CO172" s="472" t="s">
        <v>66</v>
      </c>
      <c r="CP172" s="1712"/>
      <c r="CQ172" s="1712"/>
      <c r="CR172" s="1712"/>
      <c r="CS172" s="1712"/>
      <c r="CT172" s="1712"/>
      <c r="CU172" s="1712"/>
      <c r="CV172" s="1712"/>
      <c r="CW172" s="1712"/>
      <c r="CX172" s="754" t="s">
        <v>66</v>
      </c>
      <c r="CY172" s="767"/>
      <c r="CZ172" s="767"/>
      <c r="DA172" s="282"/>
      <c r="DB172" s="699"/>
      <c r="DC172" s="699"/>
      <c r="DD172" s="699"/>
      <c r="DE172" s="699"/>
      <c r="DF172" s="699"/>
      <c r="DG172" s="699"/>
      <c r="DH172" s="754"/>
      <c r="DI172" s="472"/>
      <c r="DJ172" s="754"/>
      <c r="DK172" s="754"/>
      <c r="DL172" s="754"/>
      <c r="DM172" s="754"/>
      <c r="DN172" s="754"/>
      <c r="DO172" s="754"/>
      <c r="DP172" s="754"/>
      <c r="DQ172" s="754"/>
      <c r="DR172" s="754"/>
      <c r="DS172" s="767"/>
      <c r="DT172" s="767"/>
      <c r="DU172" s="282"/>
      <c r="DV172" s="699"/>
      <c r="DW172" s="699"/>
      <c r="DX172" s="699"/>
      <c r="DY172" s="699"/>
      <c r="DZ172" s="699"/>
      <c r="EA172" s="699"/>
      <c r="EB172" s="754"/>
      <c r="EC172" s="472"/>
      <c r="ED172" s="767"/>
      <c r="EE172" s="767"/>
      <c r="EF172" s="767"/>
      <c r="EG172" s="282"/>
      <c r="EH172" s="699"/>
      <c r="EI172" s="699"/>
      <c r="EJ172" s="699"/>
      <c r="EK172" s="699"/>
      <c r="EL172" s="699"/>
      <c r="EM172" s="699"/>
    </row>
    <row r="173" spans="1:143" ht="30.75" customHeight="1" thickBot="1">
      <c r="A173" s="773" t="str">
        <f>CONCATENATE('3 pr-2'!A173)</f>
        <v>3.1.2.1</v>
      </c>
      <c r="B173" s="1972" t="str">
        <f>CONCATENATE('3 pr-2'!B173)</f>
        <v>Priemonė:
Kraštovaizdžio apsauga/plėtra</v>
      </c>
      <c r="C173" s="1894"/>
      <c r="D173" s="1894"/>
      <c r="E173" s="1894"/>
      <c r="F173" s="1894"/>
      <c r="G173" s="1894"/>
      <c r="H173" s="1894"/>
      <c r="I173" s="1894"/>
      <c r="J173" s="1894"/>
      <c r="K173" s="1895"/>
      <c r="L173" s="774"/>
      <c r="M173" s="474"/>
      <c r="N173" s="1710">
        <f t="shared" ref="N173:O173" si="728">SUM(N174:N182)</f>
        <v>0</v>
      </c>
      <c r="O173" s="1710">
        <f t="shared" si="728"/>
        <v>10.27</v>
      </c>
      <c r="P173" s="1710">
        <f>SUM(P174:P182)</f>
        <v>0</v>
      </c>
      <c r="Q173" s="1710">
        <f t="shared" ref="Q173:T173" si="729">SUM(Q174:Q182)</f>
        <v>0</v>
      </c>
      <c r="R173" s="1710">
        <f t="shared" si="729"/>
        <v>0</v>
      </c>
      <c r="S173" s="1710">
        <f t="shared" si="729"/>
        <v>0</v>
      </c>
      <c r="T173" s="1710">
        <f t="shared" si="729"/>
        <v>0</v>
      </c>
      <c r="U173" s="1710">
        <f>SUM(U174:U182)</f>
        <v>10.27</v>
      </c>
      <c r="V173" s="506"/>
      <c r="W173" s="1770"/>
      <c r="X173" s="1771"/>
      <c r="Y173" s="1772">
        <f t="shared" ref="Y173:AE173" si="730">SUM(Y174:Y182)</f>
        <v>0</v>
      </c>
      <c r="Z173" s="1772">
        <f t="shared" si="730"/>
        <v>39.1</v>
      </c>
      <c r="AA173" s="1772">
        <f t="shared" si="730"/>
        <v>3.9</v>
      </c>
      <c r="AB173" s="1772">
        <f t="shared" si="730"/>
        <v>0</v>
      </c>
      <c r="AC173" s="1772">
        <f t="shared" si="730"/>
        <v>0</v>
      </c>
      <c r="AD173" s="1772">
        <f t="shared" si="730"/>
        <v>2</v>
      </c>
      <c r="AE173" s="1772">
        <f t="shared" si="730"/>
        <v>0</v>
      </c>
      <c r="AF173" s="775"/>
      <c r="AG173" s="752"/>
      <c r="AH173" s="1710">
        <f>SUM(AH174:AH181)</f>
        <v>0</v>
      </c>
      <c r="AI173" s="1710">
        <f t="shared" ref="AI173" si="731">SUM(AI174:AI181)</f>
        <v>0</v>
      </c>
      <c r="AJ173" s="1710">
        <f t="shared" ref="AJ173" si="732">SUM(AJ174:AJ181)</f>
        <v>0</v>
      </c>
      <c r="AK173" s="1710">
        <f t="shared" ref="AK173" si="733">SUM(AK174:AK181)</f>
        <v>0</v>
      </c>
      <c r="AL173" s="1710">
        <f t="shared" ref="AL173" si="734">SUM(AL174:AL181)</f>
        <v>0</v>
      </c>
      <c r="AM173" s="1710">
        <f t="shared" ref="AM173" si="735">SUM(AM174:AM181)</f>
        <v>0</v>
      </c>
      <c r="AN173" s="1710">
        <f t="shared" ref="AN173" si="736">SUM(AN174:AN181)</f>
        <v>0</v>
      </c>
      <c r="AO173" s="1719">
        <f t="shared" ref="AO173:AO181" si="737">SUM(AH173:AN173)</f>
        <v>0</v>
      </c>
      <c r="AP173" s="506"/>
      <c r="AQ173" s="1772"/>
      <c r="AR173" s="1772"/>
      <c r="AS173" s="1772">
        <f t="shared" ref="AS173:AY173" si="738">SUM(AS174:AS182)</f>
        <v>0</v>
      </c>
      <c r="AT173" s="1772">
        <f t="shared" si="738"/>
        <v>1</v>
      </c>
      <c r="AU173" s="1772">
        <f t="shared" si="738"/>
        <v>0</v>
      </c>
      <c r="AV173" s="1772">
        <f t="shared" si="738"/>
        <v>0</v>
      </c>
      <c r="AW173" s="1772">
        <f t="shared" si="738"/>
        <v>1</v>
      </c>
      <c r="AX173" s="1772">
        <f t="shared" si="738"/>
        <v>0</v>
      </c>
      <c r="AY173" s="1772">
        <f t="shared" si="738"/>
        <v>0</v>
      </c>
      <c r="AZ173" s="739"/>
      <c r="BA173" s="752"/>
      <c r="BB173" s="1710">
        <f t="shared" ref="BB173:BI173" si="739">SUM(BB174:BB182)</f>
        <v>0</v>
      </c>
      <c r="BC173" s="1710">
        <f t="shared" si="739"/>
        <v>48</v>
      </c>
      <c r="BD173" s="1710">
        <f t="shared" si="739"/>
        <v>0</v>
      </c>
      <c r="BE173" s="1710">
        <f t="shared" si="739"/>
        <v>0</v>
      </c>
      <c r="BF173" s="1710">
        <f t="shared" si="739"/>
        <v>0</v>
      </c>
      <c r="BG173" s="1710">
        <f t="shared" si="739"/>
        <v>0</v>
      </c>
      <c r="BH173" s="1710">
        <f t="shared" si="739"/>
        <v>0</v>
      </c>
      <c r="BI173" s="1710">
        <f t="shared" si="739"/>
        <v>48</v>
      </c>
      <c r="BJ173" s="506"/>
      <c r="BK173" s="506"/>
      <c r="BL173" s="506"/>
      <c r="BM173" s="506">
        <f t="shared" ref="BM173:BS173" si="740">SUM(BM174:BM182)</f>
        <v>0</v>
      </c>
      <c r="BN173" s="506">
        <f t="shared" si="740"/>
        <v>49</v>
      </c>
      <c r="BO173" s="506">
        <f t="shared" si="740"/>
        <v>25</v>
      </c>
      <c r="BP173" s="506">
        <f t="shared" si="740"/>
        <v>0</v>
      </c>
      <c r="BQ173" s="506">
        <f t="shared" si="740"/>
        <v>8</v>
      </c>
      <c r="BR173" s="506">
        <f t="shared" si="740"/>
        <v>30</v>
      </c>
      <c r="BS173" s="506">
        <f t="shared" si="740"/>
        <v>0</v>
      </c>
      <c r="BT173" s="506"/>
      <c r="BU173" s="472"/>
      <c r="BV173" s="1710">
        <f>SUM(BV174:BV181)</f>
        <v>0</v>
      </c>
      <c r="BW173" s="1710">
        <f t="shared" ref="BW173" si="741">SUM(BW174:BW181)</f>
        <v>3</v>
      </c>
      <c r="BX173" s="1710">
        <f t="shared" ref="BX173" si="742">SUM(BX174:BX181)</f>
        <v>0</v>
      </c>
      <c r="BY173" s="1710">
        <f t="shared" ref="BY173" si="743">SUM(BY174:BY181)</f>
        <v>0</v>
      </c>
      <c r="BZ173" s="1710">
        <f t="shared" ref="BZ173" si="744">SUM(BZ174:BZ181)</f>
        <v>0</v>
      </c>
      <c r="CA173" s="1710">
        <f t="shared" ref="CA173" si="745">SUM(CA174:CA181)</f>
        <v>0</v>
      </c>
      <c r="CB173" s="1710">
        <f t="shared" ref="CB173" si="746">SUM(CB174:CB181)</f>
        <v>0</v>
      </c>
      <c r="CC173" s="1719">
        <f t="shared" ref="CC173:CC181" si="747">SUM(BV173:CB173)</f>
        <v>3</v>
      </c>
      <c r="CD173" s="506"/>
      <c r="CE173" s="506"/>
      <c r="CF173" s="506"/>
      <c r="CG173" s="506">
        <f t="shared" ref="CG173:CM173" si="748">SUM(CG174:CG182)</f>
        <v>0</v>
      </c>
      <c r="CH173" s="506">
        <f t="shared" si="748"/>
        <v>3</v>
      </c>
      <c r="CI173" s="506">
        <f t="shared" si="748"/>
        <v>0</v>
      </c>
      <c r="CJ173" s="506">
        <f t="shared" si="748"/>
        <v>0</v>
      </c>
      <c r="CK173" s="506">
        <f t="shared" si="748"/>
        <v>0</v>
      </c>
      <c r="CL173" s="506">
        <f t="shared" si="748"/>
        <v>0</v>
      </c>
      <c r="CM173" s="506">
        <f t="shared" si="748"/>
        <v>0</v>
      </c>
      <c r="CN173" s="506"/>
      <c r="CO173" s="472"/>
      <c r="CP173" s="1710">
        <f>SUM(CP174:CP181)</f>
        <v>0</v>
      </c>
      <c r="CQ173" s="1710">
        <f t="shared" ref="CQ173" si="749">SUM(CQ174:CQ181)</f>
        <v>0</v>
      </c>
      <c r="CR173" s="1710">
        <f t="shared" ref="CR173" si="750">SUM(CR174:CR181)</f>
        <v>0</v>
      </c>
      <c r="CS173" s="1710">
        <f t="shared" ref="CS173" si="751">SUM(CS174:CS181)</f>
        <v>0</v>
      </c>
      <c r="CT173" s="1710">
        <f t="shared" ref="CT173" si="752">SUM(CT174:CT181)</f>
        <v>0</v>
      </c>
      <c r="CU173" s="1710">
        <f t="shared" ref="CU173" si="753">SUM(CU174:CU181)</f>
        <v>0</v>
      </c>
      <c r="CV173" s="1710">
        <f t="shared" ref="CV173" si="754">SUM(CV174:CV181)</f>
        <v>0</v>
      </c>
      <c r="CW173" s="1719">
        <f t="shared" ref="CW173:CW181" si="755">SUM(CP173:CV173)</f>
        <v>0</v>
      </c>
      <c r="CX173" s="506"/>
      <c r="CY173" s="506"/>
      <c r="CZ173" s="506"/>
      <c r="DA173" s="506">
        <f t="shared" ref="DA173:DG173" si="756">SUM(DA174:DA182)</f>
        <v>0</v>
      </c>
      <c r="DB173" s="506">
        <f t="shared" si="756"/>
        <v>2</v>
      </c>
      <c r="DC173" s="506">
        <f t="shared" si="756"/>
        <v>0</v>
      </c>
      <c r="DD173" s="506">
        <f t="shared" si="756"/>
        <v>1</v>
      </c>
      <c r="DE173" s="506">
        <f t="shared" si="756"/>
        <v>0</v>
      </c>
      <c r="DF173" s="506">
        <f t="shared" si="756"/>
        <v>1</v>
      </c>
      <c r="DG173" s="506">
        <f t="shared" si="756"/>
        <v>0</v>
      </c>
      <c r="DH173" s="506"/>
      <c r="DI173" s="472"/>
      <c r="DJ173" s="506"/>
      <c r="DK173" s="506"/>
      <c r="DL173" s="506"/>
      <c r="DM173" s="506"/>
      <c r="DN173" s="506"/>
      <c r="DO173" s="506"/>
      <c r="DP173" s="506"/>
      <c r="DQ173" s="739"/>
      <c r="DR173" s="506"/>
      <c r="DS173" s="506"/>
      <c r="DT173" s="506"/>
      <c r="DU173" s="506"/>
      <c r="DV173" s="506"/>
      <c r="DW173" s="506"/>
      <c r="DX173" s="506"/>
      <c r="DY173" s="506"/>
      <c r="DZ173" s="506"/>
      <c r="EA173" s="506"/>
      <c r="EB173" s="506"/>
      <c r="EC173" s="472"/>
      <c r="ED173" s="506"/>
      <c r="EE173" s="506"/>
      <c r="EF173" s="506"/>
      <c r="EG173" s="506">
        <f t="shared" ref="EG173:EM173" si="757">SUM(EG174:EG182)</f>
        <v>0</v>
      </c>
      <c r="EH173" s="506">
        <f t="shared" si="757"/>
        <v>0</v>
      </c>
      <c r="EI173" s="506">
        <f t="shared" si="757"/>
        <v>0</v>
      </c>
      <c r="EJ173" s="506">
        <f t="shared" si="757"/>
        <v>0</v>
      </c>
      <c r="EK173" s="506">
        <f t="shared" si="757"/>
        <v>0</v>
      </c>
      <c r="EL173" s="506">
        <f t="shared" si="757"/>
        <v>0</v>
      </c>
      <c r="EM173" s="506">
        <f t="shared" si="757"/>
        <v>0</v>
      </c>
    </row>
    <row r="174" spans="1:143" ht="49.5" thickTop="1" thickBot="1">
      <c r="A174" s="130" t="str">
        <f>CONCATENATE('3 pr-2'!A174)</f>
        <v>3.1.2.1.1</v>
      </c>
      <c r="B174" s="130" t="str">
        <f>CONCATENATE('3 pr-2'!B174)</f>
        <v>R01-0019-380000-3211</v>
      </c>
      <c r="C174" s="1730" t="str">
        <f>CONCATENATE('ketv. 2'!B173)</f>
        <v>05.5.1-APVA-R-019-11-0002</v>
      </c>
      <c r="D174" s="11" t="str">
        <f>CONCATENATE('3 pr-2'!D174)</f>
        <v>Kraštovaizdžio formavimas ir tvarkymas Varėnos r. savivaldybėje (I etapas)</v>
      </c>
      <c r="E174" s="11" t="str">
        <f>CONCATENATE('3 pr-2'!E174)</f>
        <v>Varėnos rajono savivaldybės administracija</v>
      </c>
      <c r="F174" s="11" t="str">
        <f>CONCATENATE('3 pr-2'!F174)</f>
        <v>Lietuvos Respublikos aplinkos ministerija</v>
      </c>
      <c r="G174" s="11" t="str">
        <f>CONCATENATE('3 pr-2'!G174)</f>
        <v>Varėnos r. sav.</v>
      </c>
      <c r="H174" s="130" t="str">
        <f>CONCATENATE('3 pr-2'!H174)</f>
        <v>05.5.1-APVA-R-019</v>
      </c>
      <c r="I174" s="130" t="str">
        <f>CONCATENATE('3 pr-2'!I174)</f>
        <v>R</v>
      </c>
      <c r="J174" s="130" t="str">
        <f>CONCATENATE('3 pr-2'!J174)</f>
        <v>-</v>
      </c>
      <c r="K174" s="130" t="str">
        <f>CONCATENATE('3 pr-2'!K174)</f>
        <v>-</v>
      </c>
      <c r="L174" s="130" t="s">
        <v>529</v>
      </c>
      <c r="M174" s="471" t="s">
        <v>530</v>
      </c>
      <c r="N174" s="1699"/>
      <c r="O174" s="1699">
        <v>3.43</v>
      </c>
      <c r="P174" s="1699"/>
      <c r="Q174" s="1699"/>
      <c r="R174" s="1699"/>
      <c r="S174" s="1699"/>
      <c r="T174" s="1699"/>
      <c r="U174" s="1700">
        <f t="shared" ref="U174:U181" si="758">SUM(N174:T174)</f>
        <v>3.43</v>
      </c>
      <c r="V174" s="130">
        <v>3.43</v>
      </c>
      <c r="W174" s="1757" t="str">
        <f>IF('ketv. 6 '!L173&gt;0,"3,43",0)</f>
        <v>3,43</v>
      </c>
      <c r="X174" s="1732">
        <f>SUM(W174-V174)</f>
        <v>0</v>
      </c>
      <c r="Y174" s="1732">
        <f>IF(YEAR('3 pr-2'!$AK174)=2017,$V174,0)</f>
        <v>0</v>
      </c>
      <c r="Z174" s="1732">
        <f>IF(YEAR('3 pr-2'!$AK174)=2018,$V174,0)</f>
        <v>3.43</v>
      </c>
      <c r="AA174" s="1732">
        <f>IF(YEAR('3 pr-2'!$AK174)=2019,$V174,0)</f>
        <v>0</v>
      </c>
      <c r="AB174" s="1732">
        <f>IF(YEAR('3 pr-2'!$AK174)=2020,$V174,0)</f>
        <v>0</v>
      </c>
      <c r="AC174" s="1732">
        <f>IF(YEAR('3 pr-2'!$AK174)=2021,$V174,0)</f>
        <v>0</v>
      </c>
      <c r="AD174" s="1732">
        <f>IF(YEAR('3 pr-2'!$AK174)=2022,$V174,0)</f>
        <v>0</v>
      </c>
      <c r="AE174" s="1732">
        <f>IF(YEAR('3 pr-2'!$AK174)=2023,$V174,0)</f>
        <v>0</v>
      </c>
      <c r="AF174" s="317"/>
      <c r="AG174" s="471"/>
      <c r="AH174" s="1699"/>
      <c r="AI174" s="1699"/>
      <c r="AJ174" s="1699"/>
      <c r="AK174" s="1699"/>
      <c r="AL174" s="1699"/>
      <c r="AM174" s="1699"/>
      <c r="AN174" s="1699"/>
      <c r="AO174" s="1718">
        <f t="shared" si="737"/>
        <v>0</v>
      </c>
      <c r="AP174" s="130"/>
      <c r="AQ174" s="1778"/>
      <c r="AR174" s="1732"/>
      <c r="AS174" s="1732">
        <f>IF(YEAR('3 pr-2'!$AK174)=2017,$AP174,0)</f>
        <v>0</v>
      </c>
      <c r="AT174" s="1732">
        <f>IF(YEAR('3 pr-2'!$AK174)=2018,$AP174,0)</f>
        <v>0</v>
      </c>
      <c r="AU174" s="1732">
        <f>IF(YEAR('3 pr-2'!$AK174)=2019,$AP174,0)</f>
        <v>0</v>
      </c>
      <c r="AV174" s="1732">
        <f>IF(YEAR('3 pr-2'!$AK174)=2020,$AP174,0)</f>
        <v>0</v>
      </c>
      <c r="AW174" s="1732">
        <f>IF(YEAR('3 pr-2'!$AK174)=2021,$AP174,0)</f>
        <v>0</v>
      </c>
      <c r="AX174" s="1732">
        <f>IF(YEAR('3 pr-2'!$AK174)=2022,$AP174,0)</f>
        <v>0</v>
      </c>
      <c r="AY174" s="1732">
        <f>IF(YEAR('3 pr-2'!$AK174)=2023,$AP174,0)</f>
        <v>0</v>
      </c>
      <c r="AZ174" s="130" t="s">
        <v>531</v>
      </c>
      <c r="BA174" s="470" t="s">
        <v>549</v>
      </c>
      <c r="BB174" s="1699"/>
      <c r="BC174" s="1699">
        <v>14</v>
      </c>
      <c r="BD174" s="1699"/>
      <c r="BE174" s="1699"/>
      <c r="BF174" s="1699"/>
      <c r="BG174" s="1699"/>
      <c r="BH174" s="1699"/>
      <c r="BI174" s="1718">
        <f t="shared" ref="BI174:BI181" si="759">SUM(BB174:BH174)</f>
        <v>14</v>
      </c>
      <c r="BJ174" s="130">
        <v>14</v>
      </c>
      <c r="BK174" s="1501">
        <v>14</v>
      </c>
      <c r="BL174" s="130">
        <f>SUM(BK174-BJ174)</f>
        <v>0</v>
      </c>
      <c r="BM174" s="130">
        <f>IF(YEAR('3 pr-2'!$AK174)=2017,$BJ174,0)</f>
        <v>0</v>
      </c>
      <c r="BN174" s="130">
        <f>IF(YEAR('3 pr-2'!$AK174)=2018,$BJ174,0)</f>
        <v>14</v>
      </c>
      <c r="BO174" s="130">
        <f>IF(YEAR('3 pr-2'!$AK174)=2019,$BJ174,0)</f>
        <v>0</v>
      </c>
      <c r="BP174" s="130">
        <f>IF(YEAR('3 pr-2'!$AK174)=2020,$BJ174,0)</f>
        <v>0</v>
      </c>
      <c r="BQ174" s="130">
        <f>IF(YEAR('3 pr-2'!$AK174)=2021,$BJ174,0)</f>
        <v>0</v>
      </c>
      <c r="BR174" s="130">
        <f>IF(YEAR('3 pr-2'!$AK174)=2022,$BJ174,0)</f>
        <v>0</v>
      </c>
      <c r="BS174" s="130">
        <f>IF(YEAR('3 pr-2'!$AK174)=2023,$BJ174,0)</f>
        <v>0</v>
      </c>
      <c r="BT174" s="317" t="s">
        <v>532</v>
      </c>
      <c r="BU174" s="471" t="s">
        <v>533</v>
      </c>
      <c r="BV174" s="1699"/>
      <c r="BW174" s="1699">
        <v>3</v>
      </c>
      <c r="BX174" s="1699"/>
      <c r="BY174" s="1699"/>
      <c r="BZ174" s="1699"/>
      <c r="CA174" s="1699"/>
      <c r="CB174" s="1699"/>
      <c r="CC174" s="1718">
        <f t="shared" si="747"/>
        <v>3</v>
      </c>
      <c r="CD174" s="130">
        <v>3</v>
      </c>
      <c r="CE174" s="130">
        <v>3</v>
      </c>
      <c r="CF174" s="130">
        <f>SUM(CE174-CD174)</f>
        <v>0</v>
      </c>
      <c r="CG174" s="130">
        <f>IF(YEAR('3 pr-2'!$AK174)=2017,$CD174,0)</f>
        <v>0</v>
      </c>
      <c r="CH174" s="130">
        <f>IF(YEAR('3 pr-2'!$AK174)=2018,$CD174,0)</f>
        <v>3</v>
      </c>
      <c r="CI174" s="130">
        <f>IF(YEAR('3 pr-2'!$AK174)=2019,$CD174,0)</f>
        <v>0</v>
      </c>
      <c r="CJ174" s="130">
        <f>IF(YEAR('3 pr-2'!$AK174)=2020,$CD174,0)</f>
        <v>0</v>
      </c>
      <c r="CK174" s="130">
        <f>IF(YEAR('3 pr-2'!$AK174)=2021,$CD174,0)</f>
        <v>0</v>
      </c>
      <c r="CL174" s="130">
        <f>IF(YEAR('3 pr-2'!$AK174)=2022,$CD174,0)</f>
        <v>0</v>
      </c>
      <c r="CM174" s="130">
        <f>IF(YEAR('3 pr-2'!$AK174)=2023,$CD174,0)</f>
        <v>0</v>
      </c>
      <c r="CN174" s="317"/>
      <c r="CO174" s="472"/>
      <c r="CP174" s="1699"/>
      <c r="CQ174" s="1699"/>
      <c r="CR174" s="1699"/>
      <c r="CS174" s="1699"/>
      <c r="CT174" s="1699"/>
      <c r="CU174" s="1699"/>
      <c r="CV174" s="1699"/>
      <c r="CW174" s="1718">
        <f t="shared" si="755"/>
        <v>0</v>
      </c>
      <c r="CX174" s="318"/>
      <c r="CY174" s="303"/>
      <c r="CZ174" s="303"/>
      <c r="DA174" s="506">
        <f>IF(YEAR('3 pr-2'!AK174)=2017,CX174,0)</f>
        <v>0</v>
      </c>
      <c r="DB174" s="506">
        <f>IF(YEAR('3 pr-2'!AK174)=2018,CX174,0)</f>
        <v>0</v>
      </c>
      <c r="DC174" s="506">
        <f>IF(YEAR('3 pr-2'!AK174)=2019,CX174,0)</f>
        <v>0</v>
      </c>
      <c r="DD174" s="506">
        <f>IF(YEAR('3 pr-2'!AK174)=2020,CX174,0)</f>
        <v>0</v>
      </c>
      <c r="DE174" s="506">
        <f>IF(YEAR('3 pr-2'!AK174)=2021,CX174,0)</f>
        <v>0</v>
      </c>
      <c r="DF174" s="506">
        <f>IF(YEAR('3 pr-2'!AK174)=2022,CX174,0)</f>
        <v>0</v>
      </c>
      <c r="DG174" s="506">
        <f>IF(YEAR('3 pr-2'!AK174)=2023,CX174,0)</f>
        <v>0</v>
      </c>
      <c r="DH174" s="317"/>
      <c r="DI174" s="472"/>
      <c r="DJ174" s="130"/>
      <c r="DK174" s="130"/>
      <c r="DL174" s="130"/>
      <c r="DM174" s="130"/>
      <c r="DN174" s="130"/>
      <c r="DO174" s="130"/>
      <c r="DP174" s="130"/>
      <c r="DQ174" s="756"/>
      <c r="DR174" s="318"/>
      <c r="DS174" s="303"/>
      <c r="DT174" s="303"/>
      <c r="DU174" s="506"/>
      <c r="DV174" s="506"/>
      <c r="DW174" s="506"/>
      <c r="DX174" s="506"/>
      <c r="DY174" s="506"/>
      <c r="DZ174" s="506"/>
      <c r="EA174" s="506"/>
      <c r="EB174" s="317"/>
      <c r="EC174" s="472"/>
      <c r="ED174" s="303"/>
      <c r="EE174" s="303"/>
      <c r="EF174" s="303"/>
      <c r="EG174" s="506">
        <f>IF(YEAR('3 pr-2'!BP174)=2017,ED174,0)</f>
        <v>0</v>
      </c>
      <c r="EH174" s="506">
        <f>IF(YEAR('3 pr-2'!BP174)=2018,ED174,0)</f>
        <v>0</v>
      </c>
      <c r="EI174" s="506">
        <f>IF(YEAR('3 pr-2'!BP174)=2019,ED174,0)</f>
        <v>0</v>
      </c>
      <c r="EJ174" s="506">
        <f>IF(YEAR('3 pr-2'!BP174)=2020,ED174,0)</f>
        <v>0</v>
      </c>
      <c r="EK174" s="506">
        <f>IF(YEAR('3 pr-2'!BP174)=2021,ED174,0)</f>
        <v>0</v>
      </c>
      <c r="EL174" s="506">
        <f>IF(YEAR('3 pr-2'!BP174)=2022,ED174,0)</f>
        <v>0</v>
      </c>
      <c r="EM174" s="506">
        <f>IF(YEAR('3 pr-2'!BP174)=2023,ED174,0)</f>
        <v>0</v>
      </c>
    </row>
    <row r="175" spans="1:143" ht="49.5" thickTop="1" thickBot="1">
      <c r="A175" s="130" t="str">
        <f>CONCATENATE('3 pr-2'!A175)</f>
        <v>3.1.2.1.2</v>
      </c>
      <c r="B175" s="130" t="str">
        <f>CONCATENATE('3 pr-2'!B175)</f>
        <v>R01-0019-380000-3212</v>
      </c>
      <c r="C175" s="1730" t="str">
        <f>CONCATENATE('ketv. 2'!B174)</f>
        <v>05.5.1-APVA-R-019-11-0007</v>
      </c>
      <c r="D175" s="11" t="str">
        <f>CONCATENATE('3 pr-2'!D175)</f>
        <v>Kraštovaizdžio formavimas ir tvarkymas Varėnos r. savivaldybėje (II etapas)</v>
      </c>
      <c r="E175" s="11" t="str">
        <f>CONCATENATE('3 pr-2'!E175)</f>
        <v>Varėnos rajono savivaldybės administracija</v>
      </c>
      <c r="F175" s="11" t="str">
        <f>CONCATENATE('3 pr-2'!F175)</f>
        <v>Lietuvos Respublikos aplinkos ministerija</v>
      </c>
      <c r="G175" s="11" t="str">
        <f>CONCATENATE('3 pr-2'!G175)</f>
        <v>Varėnos r. sav.</v>
      </c>
      <c r="H175" s="130" t="str">
        <f>CONCATENATE('3 pr-2'!H175)</f>
        <v>05.5.1-APVA-R-019</v>
      </c>
      <c r="I175" s="130" t="str">
        <f>CONCATENATE('3 pr-2'!I175)</f>
        <v>R</v>
      </c>
      <c r="J175" s="130" t="str">
        <f>CONCATENATE('3 pr-2'!J175)</f>
        <v>-</v>
      </c>
      <c r="K175" s="130" t="str">
        <f>CONCATENATE('3 pr-2'!K175)</f>
        <v>-</v>
      </c>
      <c r="L175" s="130" t="s">
        <v>529</v>
      </c>
      <c r="M175" s="471" t="s">
        <v>530</v>
      </c>
      <c r="N175" s="1699"/>
      <c r="O175" s="1699"/>
      <c r="P175" s="1699"/>
      <c r="Q175" s="1699"/>
      <c r="R175" s="1699"/>
      <c r="S175" s="1699"/>
      <c r="T175" s="1699"/>
      <c r="U175" s="1700">
        <f t="shared" si="758"/>
        <v>0</v>
      </c>
      <c r="V175" s="130">
        <v>2</v>
      </c>
      <c r="W175" s="1757">
        <f>IF('ketv. 6 '!L174&gt;0,"taip",0)</f>
        <v>0</v>
      </c>
      <c r="X175" s="1732"/>
      <c r="Y175" s="1732">
        <f>IF(YEAR('3 pr-2'!$AK175)=2017,$V175,0)</f>
        <v>0</v>
      </c>
      <c r="Z175" s="1732">
        <f>IF(YEAR('3 pr-2'!$AK175)=2018,$V175,0)</f>
        <v>0</v>
      </c>
      <c r="AA175" s="1732">
        <f>IF(YEAR('3 pr-2'!$AK175)=2019,$V175,0)</f>
        <v>0</v>
      </c>
      <c r="AB175" s="1732">
        <f>IF(YEAR('3 pr-2'!$AK175)=2020,$V175,0)</f>
        <v>0</v>
      </c>
      <c r="AC175" s="1732">
        <f>IF(YEAR('3 pr-2'!$AK175)=2021,$V175,0)</f>
        <v>0</v>
      </c>
      <c r="AD175" s="1732">
        <f>IF(YEAR('3 pr-2'!$AK175)=2022,$V175,0)</f>
        <v>2</v>
      </c>
      <c r="AE175" s="1732">
        <f>IF(YEAR('3 pr-2'!$AK175)=2023,$V175,0)</f>
        <v>0</v>
      </c>
      <c r="AF175" s="317"/>
      <c r="AG175" s="471"/>
      <c r="AH175" s="1699"/>
      <c r="AI175" s="1699"/>
      <c r="AJ175" s="1699"/>
      <c r="AK175" s="1699"/>
      <c r="AL175" s="1699"/>
      <c r="AM175" s="1699"/>
      <c r="AN175" s="1699"/>
      <c r="AO175" s="1718">
        <f t="shared" si="737"/>
        <v>0</v>
      </c>
      <c r="AP175" s="130"/>
      <c r="AQ175" s="1778"/>
      <c r="AR175" s="1732"/>
      <c r="AS175" s="1732">
        <f>IF(YEAR('3 pr-2'!$AK175)=2017,$AP175,0)</f>
        <v>0</v>
      </c>
      <c r="AT175" s="1732">
        <f>IF(YEAR('3 pr-2'!$AK175)=2018,$AP175,0)</f>
        <v>0</v>
      </c>
      <c r="AU175" s="1732">
        <f>IF(YEAR('3 pr-2'!$AK175)=2019,$AP175,0)</f>
        <v>0</v>
      </c>
      <c r="AV175" s="1732">
        <f>IF(YEAR('3 pr-2'!$AK175)=2020,$AP175,0)</f>
        <v>0</v>
      </c>
      <c r="AW175" s="1732">
        <f>IF(YEAR('3 pr-2'!$AK175)=2021,$AP175,0)</f>
        <v>0</v>
      </c>
      <c r="AX175" s="1732">
        <f>IF(YEAR('3 pr-2'!$AK175)=2022,$AP175,0)</f>
        <v>0</v>
      </c>
      <c r="AY175" s="1732">
        <f>IF(YEAR('3 pr-2'!$AK175)=2023,$AP175,0)</f>
        <v>0</v>
      </c>
      <c r="AZ175" s="130" t="s">
        <v>531</v>
      </c>
      <c r="BA175" s="480" t="s">
        <v>549</v>
      </c>
      <c r="BB175" s="1699"/>
      <c r="BC175" s="1699"/>
      <c r="BD175" s="1699"/>
      <c r="BE175" s="1699"/>
      <c r="BF175" s="1699"/>
      <c r="BG175" s="1699"/>
      <c r="BH175" s="1699"/>
      <c r="BI175" s="1718">
        <f t="shared" ref="BI175" si="760">SUM(BB175:BH175)</f>
        <v>0</v>
      </c>
      <c r="BJ175" s="130">
        <v>30</v>
      </c>
      <c r="BK175" s="1501"/>
      <c r="BL175" s="130"/>
      <c r="BM175" s="130">
        <f>IF(YEAR('3 pr-2'!$AK175)=2017,$BJ175,0)</f>
        <v>0</v>
      </c>
      <c r="BN175" s="130">
        <f>IF(YEAR('3 pr-2'!$AK175)=2018,$BJ175,0)</f>
        <v>0</v>
      </c>
      <c r="BO175" s="130">
        <f>IF(YEAR('3 pr-2'!$AK175)=2019,$BJ175,0)</f>
        <v>0</v>
      </c>
      <c r="BP175" s="130">
        <f>IF(YEAR('3 pr-2'!$AK175)=2020,$BJ175,0)</f>
        <v>0</v>
      </c>
      <c r="BQ175" s="130">
        <f>IF(YEAR('3 pr-2'!$AK175)=2021,$BJ175,0)</f>
        <v>0</v>
      </c>
      <c r="BR175" s="130">
        <f>IF(YEAR('3 pr-2'!$AK175)=2022,$BJ175,0)</f>
        <v>30</v>
      </c>
      <c r="BS175" s="130">
        <f>IF(YEAR('3 pr-2'!$AK175)=2023,$BJ175,0)</f>
        <v>0</v>
      </c>
      <c r="BT175" s="317"/>
      <c r="BU175" s="471"/>
      <c r="BV175" s="1699"/>
      <c r="BW175" s="1699"/>
      <c r="BX175" s="1699"/>
      <c r="BY175" s="1699"/>
      <c r="BZ175" s="1699"/>
      <c r="CA175" s="1699"/>
      <c r="CB175" s="1699"/>
      <c r="CC175" s="1718">
        <f t="shared" si="747"/>
        <v>0</v>
      </c>
      <c r="CD175" s="130"/>
      <c r="CE175" s="130"/>
      <c r="CF175" s="130"/>
      <c r="CG175" s="130">
        <f>IF(YEAR('3 pr-2'!$AK175)=2017,$CD175,0)</f>
        <v>0</v>
      </c>
      <c r="CH175" s="130">
        <f>IF(YEAR('3 pr-2'!$AK175)=2018,$CD175,0)</f>
        <v>0</v>
      </c>
      <c r="CI175" s="130">
        <f>IF(YEAR('3 pr-2'!$AK175)=2019,$CD175,0)</f>
        <v>0</v>
      </c>
      <c r="CJ175" s="130">
        <f>IF(YEAR('3 pr-2'!$AK175)=2020,$CD175,0)</f>
        <v>0</v>
      </c>
      <c r="CK175" s="130">
        <f>IF(YEAR('3 pr-2'!$AK175)=2021,$CD175,0)</f>
        <v>0</v>
      </c>
      <c r="CL175" s="130">
        <f>IF(YEAR('3 pr-2'!$AK175)=2022,$CD175,0)</f>
        <v>0</v>
      </c>
      <c r="CM175" s="130">
        <f>IF(YEAR('3 pr-2'!$AK175)=2023,$CD175,0)</f>
        <v>0</v>
      </c>
      <c r="CN175" s="317" t="s">
        <v>534</v>
      </c>
      <c r="CO175" s="472" t="s">
        <v>535</v>
      </c>
      <c r="CP175" s="1699"/>
      <c r="CQ175" s="1699"/>
      <c r="CR175" s="1699"/>
      <c r="CS175" s="1699"/>
      <c r="CT175" s="1699"/>
      <c r="CU175" s="1699"/>
      <c r="CV175" s="1699"/>
      <c r="CW175" s="1718">
        <f t="shared" si="755"/>
        <v>0</v>
      </c>
      <c r="CX175" s="318">
        <v>1</v>
      </c>
      <c r="CY175" s="303"/>
      <c r="CZ175" s="303"/>
      <c r="DA175" s="506">
        <f>IF(YEAR('3 pr-2'!AK175)=2017,CX175,0)</f>
        <v>0</v>
      </c>
      <c r="DB175" s="506">
        <f>IF(YEAR('3 pr-2'!AK175)=2018,CX175,0)</f>
        <v>0</v>
      </c>
      <c r="DC175" s="506">
        <f>IF(YEAR('3 pr-2'!AK175)=2019,CX175,0)</f>
        <v>0</v>
      </c>
      <c r="DD175" s="506">
        <f>IF(YEAR('3 pr-2'!AK175)=2020,CX175,0)</f>
        <v>0</v>
      </c>
      <c r="DE175" s="506">
        <f>IF(YEAR('3 pr-2'!AK175)=2021,CX175,0)</f>
        <v>0</v>
      </c>
      <c r="DF175" s="506">
        <f>IF(YEAR('3 pr-2'!AK175)=2022,CX175,0)</f>
        <v>1</v>
      </c>
      <c r="DG175" s="506">
        <f>IF(YEAR('3 pr-2'!AK175)=2023,CX175,0)</f>
        <v>0</v>
      </c>
      <c r="DH175" s="317"/>
      <c r="DI175" s="472"/>
      <c r="DJ175" s="130"/>
      <c r="DK175" s="130"/>
      <c r="DL175" s="130"/>
      <c r="DM175" s="130"/>
      <c r="DN175" s="130"/>
      <c r="DO175" s="130"/>
      <c r="DP175" s="130"/>
      <c r="DQ175" s="756"/>
      <c r="DR175" s="318"/>
      <c r="DS175" s="303"/>
      <c r="DT175" s="303"/>
      <c r="DU175" s="506"/>
      <c r="DV175" s="506"/>
      <c r="DW175" s="506"/>
      <c r="DX175" s="506"/>
      <c r="DY175" s="506"/>
      <c r="DZ175" s="506"/>
      <c r="EA175" s="506"/>
      <c r="EB175" s="317"/>
      <c r="EC175" s="472"/>
      <c r="ED175" s="303"/>
      <c r="EE175" s="303"/>
      <c r="EF175" s="303"/>
      <c r="EG175" s="506">
        <f>IF(YEAR('3 pr-2'!BP175)=2017,ED175,0)</f>
        <v>0</v>
      </c>
      <c r="EH175" s="506">
        <f>IF(YEAR('3 pr-2'!BP175)=2018,ED175,0)</f>
        <v>0</v>
      </c>
      <c r="EI175" s="506">
        <f>IF(YEAR('3 pr-2'!BP175)=2019,ED175,0)</f>
        <v>0</v>
      </c>
      <c r="EJ175" s="506">
        <f>IF(YEAR('3 pr-2'!BP175)=2020,ED175,0)</f>
        <v>0</v>
      </c>
      <c r="EK175" s="506">
        <f>IF(YEAR('3 pr-2'!BP175)=2021,ED175,0)</f>
        <v>0</v>
      </c>
      <c r="EL175" s="506">
        <f>IF(YEAR('3 pr-2'!BP175)=2022,ED175,0)</f>
        <v>0</v>
      </c>
      <c r="EM175" s="506">
        <f>IF(YEAR('3 pr-2'!BP175)=2023,ED175,0)</f>
        <v>0</v>
      </c>
    </row>
    <row r="176" spans="1:143" ht="49.5" thickTop="1" thickBot="1">
      <c r="A176" s="130" t="str">
        <f>CONCATENATE('3 pr-2'!A176)</f>
        <v>3.1.2.1.3</v>
      </c>
      <c r="B176" s="130" t="str">
        <f>CONCATENATE('3 pr-2'!B176)</f>
        <v>R01-0019-380000-3213</v>
      </c>
      <c r="C176" s="1730" t="str">
        <f>CONCATENATE('ketv. 2'!B175)</f>
        <v>05.5.1-APVA-R-019-11-0001</v>
      </c>
      <c r="D176" s="11" t="str">
        <f>CONCATENATE('3 pr-2'!D176)</f>
        <v>Bešeimininkių apleistų pastatų ir įrenginių tvarkymas Alytaus rajono savivaldybėje</v>
      </c>
      <c r="E176" s="11" t="str">
        <f>CONCATENATE('3 pr-2'!E176)</f>
        <v>Alytaus rajono savivaldybės administracija</v>
      </c>
      <c r="F176" s="11" t="str">
        <f>CONCATENATE('3 pr-2'!F176)</f>
        <v>Lietuvos Respublikos aplinkos ministerija</v>
      </c>
      <c r="G176" s="11" t="str">
        <f>CONCATENATE('3 pr-2'!G176)</f>
        <v>Alytaus r. sav.</v>
      </c>
      <c r="H176" s="130" t="str">
        <f>CONCATENATE('3 pr-2'!H176)</f>
        <v>05.5.1-APVA-R-019</v>
      </c>
      <c r="I176" s="130" t="str">
        <f>CONCATENATE('3 pr-2'!I176)</f>
        <v>R</v>
      </c>
      <c r="J176" s="130" t="str">
        <f>CONCATENATE('3 pr-2'!J176)</f>
        <v/>
      </c>
      <c r="K176" s="130" t="str">
        <f>CONCATENATE('3 pr-2'!K176)</f>
        <v/>
      </c>
      <c r="L176" s="130" t="s">
        <v>529</v>
      </c>
      <c r="M176" s="471" t="s">
        <v>530</v>
      </c>
      <c r="N176" s="1699"/>
      <c r="O176" s="1699">
        <v>3.6</v>
      </c>
      <c r="P176" s="1699"/>
      <c r="Q176" s="1699"/>
      <c r="R176" s="1699"/>
      <c r="S176" s="1699"/>
      <c r="T176" s="1699"/>
      <c r="U176" s="1700">
        <f t="shared" si="758"/>
        <v>3.6</v>
      </c>
      <c r="V176" s="130">
        <v>3.6</v>
      </c>
      <c r="W176" s="1757" t="str">
        <f>IF('ketv. 6 '!L175&gt;0,"3,6",0)</f>
        <v>3,6</v>
      </c>
      <c r="X176" s="1732">
        <f>SUM(W176-V176)</f>
        <v>0</v>
      </c>
      <c r="Y176" s="1732">
        <f>IF(YEAR('3 pr-2'!$AK176)=2017,$V176,0)</f>
        <v>0</v>
      </c>
      <c r="Z176" s="1732">
        <f>IF(YEAR('3 pr-2'!$AK176)=2018,$V176,0)</f>
        <v>3.6</v>
      </c>
      <c r="AA176" s="1732">
        <f>IF(YEAR('3 pr-2'!$AK176)=2019,$V176,0)</f>
        <v>0</v>
      </c>
      <c r="AB176" s="1732">
        <f>IF(YEAR('3 pr-2'!$AK176)=2020,$V176,0)</f>
        <v>0</v>
      </c>
      <c r="AC176" s="1732">
        <f>IF(YEAR('3 pr-2'!$AK176)=2021,$V176,0)</f>
        <v>0</v>
      </c>
      <c r="AD176" s="1732">
        <f>IF(YEAR('3 pr-2'!$AK176)=2022,$V176,0)</f>
        <v>0</v>
      </c>
      <c r="AE176" s="1732">
        <f>IF(YEAR('3 pr-2'!$AK176)=2023,$V176,0)</f>
        <v>0</v>
      </c>
      <c r="AF176" s="317"/>
      <c r="AG176" s="471"/>
      <c r="AH176" s="1699"/>
      <c r="AI176" s="1699"/>
      <c r="AJ176" s="1699"/>
      <c r="AK176" s="1699"/>
      <c r="AL176" s="1699"/>
      <c r="AM176" s="1699"/>
      <c r="AN176" s="1699"/>
      <c r="AO176" s="1718">
        <f t="shared" si="737"/>
        <v>0</v>
      </c>
      <c r="AP176" s="130"/>
      <c r="AQ176" s="1778"/>
      <c r="AR176" s="1732"/>
      <c r="AS176" s="1732">
        <f>IF(YEAR('3 pr-2'!$AK176)=2017,$AP176,0)</f>
        <v>0</v>
      </c>
      <c r="AT176" s="1732">
        <f>IF(YEAR('3 pr-2'!$AK176)=2018,$AP176,0)</f>
        <v>0</v>
      </c>
      <c r="AU176" s="1732">
        <f>IF(YEAR('3 pr-2'!$AK176)=2019,$AP176,0)</f>
        <v>0</v>
      </c>
      <c r="AV176" s="1732">
        <f>IF(YEAR('3 pr-2'!$AK176)=2020,$AP176,0)</f>
        <v>0</v>
      </c>
      <c r="AW176" s="1732">
        <f>IF(YEAR('3 pr-2'!$AK176)=2021,$AP176,0)</f>
        <v>0</v>
      </c>
      <c r="AX176" s="1732">
        <f>IF(YEAR('3 pr-2'!$AK176)=2022,$AP176,0)</f>
        <v>0</v>
      </c>
      <c r="AY176" s="1732">
        <f>IF(YEAR('3 pr-2'!$AK176)=2023,$AP176,0)</f>
        <v>0</v>
      </c>
      <c r="AZ176" s="130" t="s">
        <v>531</v>
      </c>
      <c r="BA176" s="470" t="s">
        <v>549</v>
      </c>
      <c r="BB176" s="1699"/>
      <c r="BC176" s="1699">
        <v>11</v>
      </c>
      <c r="BD176" s="1699"/>
      <c r="BE176" s="1699"/>
      <c r="BF176" s="1699"/>
      <c r="BG176" s="1699"/>
      <c r="BH176" s="1699"/>
      <c r="BI176" s="1718">
        <f t="shared" si="759"/>
        <v>11</v>
      </c>
      <c r="BJ176" s="130">
        <v>11</v>
      </c>
      <c r="BK176" s="1501">
        <v>11</v>
      </c>
      <c r="BL176" s="130">
        <f>SUM(BK176-BJ176)</f>
        <v>0</v>
      </c>
      <c r="BM176" s="130">
        <f>IF(YEAR('3 pr-2'!$AK176)=2017,$BJ176,0)</f>
        <v>0</v>
      </c>
      <c r="BN176" s="130">
        <f>IF(YEAR('3 pr-2'!$AK176)=2018,$BJ176,0)</f>
        <v>11</v>
      </c>
      <c r="BO176" s="130">
        <f>IF(YEAR('3 pr-2'!$AK176)=2019,$BJ176,0)</f>
        <v>0</v>
      </c>
      <c r="BP176" s="130">
        <f>IF(YEAR('3 pr-2'!$AK176)=2020,$BJ176,0)</f>
        <v>0</v>
      </c>
      <c r="BQ176" s="130">
        <f>IF(YEAR('3 pr-2'!$AK176)=2021,$BJ176,0)</f>
        <v>0</v>
      </c>
      <c r="BR176" s="130">
        <f>IF(YEAR('3 pr-2'!$AK176)=2022,$BJ176,0)</f>
        <v>0</v>
      </c>
      <c r="BS176" s="130">
        <f>IF(YEAR('3 pr-2'!$AK176)=2023,$BJ176,0)</f>
        <v>0</v>
      </c>
      <c r="BT176" s="317"/>
      <c r="BU176" s="471"/>
      <c r="BV176" s="1699"/>
      <c r="BW176" s="1699"/>
      <c r="BX176" s="1699"/>
      <c r="BY176" s="1699"/>
      <c r="BZ176" s="1699"/>
      <c r="CA176" s="1699"/>
      <c r="CB176" s="1699"/>
      <c r="CC176" s="1718">
        <f t="shared" si="747"/>
        <v>0</v>
      </c>
      <c r="CD176" s="130"/>
      <c r="CE176" s="130"/>
      <c r="CF176" s="130"/>
      <c r="CG176" s="130">
        <f>IF(YEAR('3 pr-2'!$AK176)=2017,$CD176,0)</f>
        <v>0</v>
      </c>
      <c r="CH176" s="130">
        <f>IF(YEAR('3 pr-2'!$AK176)=2018,$CD176,0)</f>
        <v>0</v>
      </c>
      <c r="CI176" s="130">
        <f>IF(YEAR('3 pr-2'!$AK176)=2019,$CD176,0)</f>
        <v>0</v>
      </c>
      <c r="CJ176" s="130">
        <f>IF(YEAR('3 pr-2'!$AK176)=2020,$CD176,0)</f>
        <v>0</v>
      </c>
      <c r="CK176" s="130">
        <f>IF(YEAR('3 pr-2'!$AK176)=2021,$CD176,0)</f>
        <v>0</v>
      </c>
      <c r="CL176" s="130">
        <f>IF(YEAR('3 pr-2'!$AK176)=2022,$CD176,0)</f>
        <v>0</v>
      </c>
      <c r="CM176" s="130">
        <f>IF(YEAR('3 pr-2'!$AK176)=2023,$CD176,0)</f>
        <v>0</v>
      </c>
      <c r="CN176" s="317"/>
      <c r="CO176" s="472"/>
      <c r="CP176" s="1699"/>
      <c r="CQ176" s="1699"/>
      <c r="CR176" s="1699"/>
      <c r="CS176" s="1699"/>
      <c r="CT176" s="1699"/>
      <c r="CU176" s="1699"/>
      <c r="CV176" s="1699"/>
      <c r="CW176" s="1718">
        <f t="shared" si="755"/>
        <v>0</v>
      </c>
      <c r="CX176" s="318"/>
      <c r="CY176" s="303"/>
      <c r="CZ176" s="303"/>
      <c r="DA176" s="506">
        <f>IF(YEAR('3 pr-2'!AK176)=2017,CX176,0)</f>
        <v>0</v>
      </c>
      <c r="DB176" s="506">
        <f>IF(YEAR('3 pr-2'!AK176)=2018,CX176,0)</f>
        <v>0</v>
      </c>
      <c r="DC176" s="506">
        <f>IF(YEAR('3 pr-2'!AK176)=2019,CX176,0)</f>
        <v>0</v>
      </c>
      <c r="DD176" s="506">
        <f>IF(YEAR('3 pr-2'!AK176)=2020,CX176,0)</f>
        <v>0</v>
      </c>
      <c r="DE176" s="506">
        <f>IF(YEAR('3 pr-2'!AK176)=2021,CX176,0)</f>
        <v>0</v>
      </c>
      <c r="DF176" s="506">
        <f>IF(YEAR('3 pr-2'!AK176)=2022,CX176,0)</f>
        <v>0</v>
      </c>
      <c r="DG176" s="506">
        <f>IF(YEAR('3 pr-2'!AK176)=2023,CX176,0)</f>
        <v>0</v>
      </c>
      <c r="DH176" s="317"/>
      <c r="DI176" s="472"/>
      <c r="DJ176" s="130"/>
      <c r="DK176" s="130"/>
      <c r="DL176" s="130"/>
      <c r="DM176" s="130"/>
      <c r="DN176" s="130"/>
      <c r="DO176" s="130"/>
      <c r="DP176" s="130"/>
      <c r="DQ176" s="756"/>
      <c r="DR176" s="318"/>
      <c r="DS176" s="303"/>
      <c r="DT176" s="303"/>
      <c r="DU176" s="506"/>
      <c r="DV176" s="506"/>
      <c r="DW176" s="506"/>
      <c r="DX176" s="506"/>
      <c r="DY176" s="506"/>
      <c r="DZ176" s="506"/>
      <c r="EA176" s="506"/>
      <c r="EB176" s="317"/>
      <c r="EC176" s="472"/>
      <c r="ED176" s="303"/>
      <c r="EE176" s="303"/>
      <c r="EF176" s="303"/>
      <c r="EG176" s="506">
        <f>IF(YEAR('3 pr-2'!BP176)=2017,ED176,0)</f>
        <v>0</v>
      </c>
      <c r="EH176" s="506">
        <f>IF(YEAR('3 pr-2'!BP176)=2018,ED176,0)</f>
        <v>0</v>
      </c>
      <c r="EI176" s="506">
        <f>IF(YEAR('3 pr-2'!BP176)=2019,ED176,0)</f>
        <v>0</v>
      </c>
      <c r="EJ176" s="506">
        <f>IF(YEAR('3 pr-2'!BP176)=2020,ED176,0)</f>
        <v>0</v>
      </c>
      <c r="EK176" s="506">
        <f>IF(YEAR('3 pr-2'!BP176)=2021,ED176,0)</f>
        <v>0</v>
      </c>
      <c r="EL176" s="506">
        <f>IF(YEAR('3 pr-2'!BP176)=2022,ED176,0)</f>
        <v>0</v>
      </c>
      <c r="EM176" s="506">
        <f>IF(YEAR('3 pr-2'!BP176)=2023,ED176,0)</f>
        <v>0</v>
      </c>
    </row>
    <row r="177" spans="1:143" ht="73.5" thickTop="1" thickBot="1">
      <c r="A177" s="130" t="str">
        <f>CONCATENATE('3 pr-2'!A177)</f>
        <v>3.1.2.1.4</v>
      </c>
      <c r="B177" s="130" t="str">
        <f>CONCATENATE('3 pr-2'!B177)</f>
        <v>R01-0019-380000-3214</v>
      </c>
      <c r="C177" s="1730" t="str">
        <f>CONCATENATE('ketv. 2'!B176)</f>
        <v>05.5.1-APVA-R-019-11-0004</v>
      </c>
      <c r="D177" s="11" t="str">
        <f>CONCATENATE('3 pr-2'!D177)</f>
        <v>Alytaus miesto bendrojo plano korektūra zonuojant kraštovaizdžio struktūrą, nustatant reglamentus ir principus</v>
      </c>
      <c r="E177" s="11" t="str">
        <f>CONCATENATE('3 pr-2'!E177)</f>
        <v>Alytaus miesto savivaldybės administracija</v>
      </c>
      <c r="F177" s="11" t="str">
        <f>CONCATENATE('3 pr-2'!F177)</f>
        <v>Lietuvos Respublikos aplinkos ministerija</v>
      </c>
      <c r="G177" s="11" t="str">
        <f>CONCATENATE('3 pr-2'!G177)</f>
        <v>Alytaus m. sav.</v>
      </c>
      <c r="H177" s="130" t="str">
        <f>CONCATENATE('3 pr-2'!H177)</f>
        <v>05.5.1-APVA-R-019</v>
      </c>
      <c r="I177" s="130" t="str">
        <f>CONCATENATE('3 pr-2'!I177)</f>
        <v>R</v>
      </c>
      <c r="J177" s="130" t="str">
        <f>CONCATENATE('3 pr-2'!J177)</f>
        <v/>
      </c>
      <c r="K177" s="130" t="str">
        <f>CONCATENATE('3 pr-2'!K177)</f>
        <v>-</v>
      </c>
      <c r="L177" s="130"/>
      <c r="M177" s="471"/>
      <c r="N177" s="1699"/>
      <c r="O177" s="1699"/>
      <c r="P177" s="1699"/>
      <c r="Q177" s="1699"/>
      <c r="R177" s="1699"/>
      <c r="S177" s="1699"/>
      <c r="T177" s="1699"/>
      <c r="U177" s="1700">
        <f t="shared" si="758"/>
        <v>0</v>
      </c>
      <c r="V177" s="130"/>
      <c r="W177" s="1757"/>
      <c r="X177" s="1732"/>
      <c r="Y177" s="1732">
        <f>IF(YEAR('3 pr-2'!$AK177)=2017,$V177,0)</f>
        <v>0</v>
      </c>
      <c r="Z177" s="1732">
        <f>IF(YEAR('3 pr-2'!$AK177)=2018,$V177,0)</f>
        <v>0</v>
      </c>
      <c r="AA177" s="1732">
        <f>IF(YEAR('3 pr-2'!$AK177)=2019,$V177,0)</f>
        <v>0</v>
      </c>
      <c r="AB177" s="1732">
        <f>IF(YEAR('3 pr-2'!$AK177)=2020,$V177,0)</f>
        <v>0</v>
      </c>
      <c r="AC177" s="1732">
        <f>IF(YEAR('3 pr-2'!$AK177)=2021,$V177,0)</f>
        <v>0</v>
      </c>
      <c r="AD177" s="1732">
        <f>IF(YEAR('3 pr-2'!$AK177)=2022,$V177,0)</f>
        <v>0</v>
      </c>
      <c r="AE177" s="1732">
        <f>IF(YEAR('3 pr-2'!$AK177)=2023,$V177,0)</f>
        <v>0</v>
      </c>
      <c r="AF177" s="317" t="s">
        <v>536</v>
      </c>
      <c r="AG177" s="471" t="s">
        <v>537</v>
      </c>
      <c r="AH177" s="1699"/>
      <c r="AI177" s="1699"/>
      <c r="AJ177" s="1699"/>
      <c r="AK177" s="1699"/>
      <c r="AL177" s="1699"/>
      <c r="AM177" s="1699"/>
      <c r="AN177" s="1699"/>
      <c r="AO177" s="1718">
        <f t="shared" si="737"/>
        <v>0</v>
      </c>
      <c r="AP177" s="130">
        <v>1</v>
      </c>
      <c r="AQ177" s="1778">
        <v>1</v>
      </c>
      <c r="AR177" s="1732">
        <f>SUM(AQ177-AP177)</f>
        <v>0</v>
      </c>
      <c r="AS177" s="1732">
        <f>IF(YEAR('3 pr-2'!$AK177)=2017,$AP177,0)</f>
        <v>0</v>
      </c>
      <c r="AT177" s="1732">
        <f>IF(YEAR('3 pr-2'!$AK177)=2018,$AP177,0)</f>
        <v>1</v>
      </c>
      <c r="AU177" s="1732">
        <f>IF(YEAR('3 pr-2'!$AK177)=2019,$AP177,0)</f>
        <v>0</v>
      </c>
      <c r="AV177" s="1732">
        <f>IF(YEAR('3 pr-2'!$AK177)=2020,$AP177,0)</f>
        <v>0</v>
      </c>
      <c r="AW177" s="1732">
        <f>IF(YEAR('3 pr-2'!$AK177)=2021,$AP177,0)</f>
        <v>0</v>
      </c>
      <c r="AX177" s="1732">
        <f>IF(YEAR('3 pr-2'!$AK177)=2022,$AP177,0)</f>
        <v>0</v>
      </c>
      <c r="AY177" s="1732">
        <f>IF(YEAR('3 pr-2'!$AK177)=2023,$AP177,0)</f>
        <v>0</v>
      </c>
      <c r="AZ177" s="130"/>
      <c r="BA177" s="470"/>
      <c r="BB177" s="1699"/>
      <c r="BC177" s="1699"/>
      <c r="BD177" s="1699"/>
      <c r="BE177" s="1699"/>
      <c r="BF177" s="1699"/>
      <c r="BG177" s="1699"/>
      <c r="BH177" s="1699"/>
      <c r="BI177" s="1718">
        <f t="shared" si="759"/>
        <v>0</v>
      </c>
      <c r="BJ177" s="130"/>
      <c r="BK177" s="1501"/>
      <c r="BL177" s="130"/>
      <c r="BM177" s="130">
        <f>IF(YEAR('3 pr-2'!$AK177)=2017,$BJ177,0)</f>
        <v>0</v>
      </c>
      <c r="BN177" s="130">
        <f>IF(YEAR('3 pr-2'!$AK177)=2018,$BJ177,0)</f>
        <v>0</v>
      </c>
      <c r="BO177" s="130">
        <f>IF(YEAR('3 pr-2'!$AK177)=2019,$BJ177,0)</f>
        <v>0</v>
      </c>
      <c r="BP177" s="130">
        <f>IF(YEAR('3 pr-2'!$AK177)=2020,$BJ177,0)</f>
        <v>0</v>
      </c>
      <c r="BQ177" s="130">
        <f>IF(YEAR('3 pr-2'!$AK177)=2021,$BJ177,0)</f>
        <v>0</v>
      </c>
      <c r="BR177" s="130">
        <f>IF(YEAR('3 pr-2'!$AK177)=2022,$BJ177,0)</f>
        <v>0</v>
      </c>
      <c r="BS177" s="130">
        <f>IF(YEAR('3 pr-2'!$AK177)=2023,$BJ177,0)</f>
        <v>0</v>
      </c>
      <c r="BT177" s="317"/>
      <c r="BU177" s="471"/>
      <c r="BV177" s="1699"/>
      <c r="BW177" s="1699"/>
      <c r="BX177" s="1699"/>
      <c r="BY177" s="1699"/>
      <c r="BZ177" s="1699"/>
      <c r="CA177" s="1699"/>
      <c r="CB177" s="1699"/>
      <c r="CC177" s="1718">
        <f t="shared" si="747"/>
        <v>0</v>
      </c>
      <c r="CD177" s="130"/>
      <c r="CE177" s="130"/>
      <c r="CF177" s="130"/>
      <c r="CG177" s="130">
        <f>IF(YEAR('3 pr-2'!$AK177)=2017,$CD177,0)</f>
        <v>0</v>
      </c>
      <c r="CH177" s="130">
        <f>IF(YEAR('3 pr-2'!$AK177)=2018,$CD177,0)</f>
        <v>0</v>
      </c>
      <c r="CI177" s="130">
        <f>IF(YEAR('3 pr-2'!$AK177)=2019,$CD177,0)</f>
        <v>0</v>
      </c>
      <c r="CJ177" s="130">
        <f>IF(YEAR('3 pr-2'!$AK177)=2020,$CD177,0)</f>
        <v>0</v>
      </c>
      <c r="CK177" s="130">
        <f>IF(YEAR('3 pr-2'!$AK177)=2021,$CD177,0)</f>
        <v>0</v>
      </c>
      <c r="CL177" s="130">
        <f>IF(YEAR('3 pr-2'!$AK177)=2022,$CD177,0)</f>
        <v>0</v>
      </c>
      <c r="CM177" s="130">
        <f>IF(YEAR('3 pr-2'!$AK177)=2023,$CD177,0)</f>
        <v>0</v>
      </c>
      <c r="CN177" s="317"/>
      <c r="CO177" s="472"/>
      <c r="CP177" s="1699"/>
      <c r="CQ177" s="1699"/>
      <c r="CR177" s="1699"/>
      <c r="CS177" s="1699"/>
      <c r="CT177" s="1699"/>
      <c r="CU177" s="1699"/>
      <c r="CV177" s="1699"/>
      <c r="CW177" s="1718">
        <f t="shared" si="755"/>
        <v>0</v>
      </c>
      <c r="CX177" s="318"/>
      <c r="CY177" s="303"/>
      <c r="CZ177" s="303"/>
      <c r="DA177" s="506">
        <f>IF(YEAR('3 pr-2'!AK177)=2017,CX177,0)</f>
        <v>0</v>
      </c>
      <c r="DB177" s="506">
        <f>IF(YEAR('3 pr-2'!AK177)=2018,CX177,0)</f>
        <v>0</v>
      </c>
      <c r="DC177" s="506">
        <f>IF(YEAR('3 pr-2'!AK177)=2019,CX177,0)</f>
        <v>0</v>
      </c>
      <c r="DD177" s="506">
        <f>IF(YEAR('3 pr-2'!AK177)=2020,CX177,0)</f>
        <v>0</v>
      </c>
      <c r="DE177" s="506">
        <f>IF(YEAR('3 pr-2'!AK177)=2021,CX177,0)</f>
        <v>0</v>
      </c>
      <c r="DF177" s="506">
        <f>IF(YEAR('3 pr-2'!AK177)=2022,CX177,0)</f>
        <v>0</v>
      </c>
      <c r="DG177" s="506">
        <f>IF(YEAR('3 pr-2'!AK177)=2023,CX177,0)</f>
        <v>0</v>
      </c>
      <c r="DH177" s="317"/>
      <c r="DI177" s="472"/>
      <c r="DJ177" s="130"/>
      <c r="DK177" s="130"/>
      <c r="DL177" s="130"/>
      <c r="DM177" s="130"/>
      <c r="DN177" s="130"/>
      <c r="DO177" s="130"/>
      <c r="DP177" s="130"/>
      <c r="DQ177" s="756"/>
      <c r="DR177" s="318"/>
      <c r="DS177" s="303"/>
      <c r="DT177" s="303"/>
      <c r="DU177" s="506"/>
      <c r="DV177" s="506"/>
      <c r="DW177" s="506"/>
      <c r="DX177" s="506"/>
      <c r="DY177" s="506"/>
      <c r="DZ177" s="506"/>
      <c r="EA177" s="506"/>
      <c r="EB177" s="317"/>
      <c r="EC177" s="472"/>
      <c r="ED177" s="303"/>
      <c r="EE177" s="303"/>
      <c r="EF177" s="303"/>
      <c r="EG177" s="506">
        <f>IF(YEAR('3 pr-2'!BP177)=2017,ED177,0)</f>
        <v>0</v>
      </c>
      <c r="EH177" s="506">
        <f>IF(YEAR('3 pr-2'!BP177)=2018,ED177,0)</f>
        <v>0</v>
      </c>
      <c r="EI177" s="506">
        <f>IF(YEAR('3 pr-2'!BP177)=2019,ED177,0)</f>
        <v>0</v>
      </c>
      <c r="EJ177" s="506">
        <f>IF(YEAR('3 pr-2'!BP177)=2020,ED177,0)</f>
        <v>0</v>
      </c>
      <c r="EK177" s="506">
        <f>IF(YEAR('3 pr-2'!BP177)=2021,ED177,0)</f>
        <v>0</v>
      </c>
      <c r="EL177" s="506">
        <f>IF(YEAR('3 pr-2'!BP177)=2022,ED177,0)</f>
        <v>0</v>
      </c>
      <c r="EM177" s="506">
        <f>IF(YEAR('3 pr-2'!BP177)=2023,ED177,0)</f>
        <v>0</v>
      </c>
    </row>
    <row r="178" spans="1:143" ht="49.5" thickTop="1" thickBot="1">
      <c r="A178" s="130" t="str">
        <f>CONCATENATE('3 pr-2'!A178)</f>
        <v>3.1.2.1.5</v>
      </c>
      <c r="B178" s="130" t="str">
        <f>CONCATENATE('3 pr-2'!B178)</f>
        <v>R01-0019-380000-3215</v>
      </c>
      <c r="C178" s="1730" t="str">
        <f>CONCATENATE('ketv. 2'!B177)</f>
        <v>05.5.1-APVA-R-019-11-0005</v>
      </c>
      <c r="D178" s="11" t="str">
        <f>CONCATENATE('3 pr-2'!D178)</f>
        <v>Bešeimininkių apleistų pastatų Druskininkų savivaldybės teritorijoje likvidavimas</v>
      </c>
      <c r="E178" s="11" t="str">
        <f>CONCATENATE('3 pr-2'!E178)</f>
        <v>Druskininkų savivaldybės administracija</v>
      </c>
      <c r="F178" s="11" t="str">
        <f>CONCATENATE('3 pr-2'!F178)</f>
        <v>Lietuvos Respublikos aplinkos ministerija</v>
      </c>
      <c r="G178" s="11" t="str">
        <f>CONCATENATE('3 pr-2'!G178)</f>
        <v>Druskininkų sav.</v>
      </c>
      <c r="H178" s="130" t="str">
        <f>CONCATENATE('3 pr-2'!H178)</f>
        <v>05.5.1-APVA-R-019</v>
      </c>
      <c r="I178" s="130" t="str">
        <f>CONCATENATE('3 pr-2'!I178)</f>
        <v>R</v>
      </c>
      <c r="J178" s="130" t="str">
        <f>CONCATENATE('3 pr-2'!J178)</f>
        <v>-</v>
      </c>
      <c r="K178" s="130" t="str">
        <f>CONCATENATE('3 pr-2'!K178)</f>
        <v>-</v>
      </c>
      <c r="L178" s="130" t="s">
        <v>529</v>
      </c>
      <c r="M178" s="471" t="s">
        <v>530</v>
      </c>
      <c r="N178" s="1699"/>
      <c r="O178" s="1699">
        <v>1.29</v>
      </c>
      <c r="P178" s="1699"/>
      <c r="Q178" s="1699"/>
      <c r="R178" s="1699"/>
      <c r="S178" s="1699"/>
      <c r="T178" s="1699"/>
      <c r="U178" s="1700">
        <f t="shared" si="758"/>
        <v>1.29</v>
      </c>
      <c r="V178" s="130">
        <v>1.29</v>
      </c>
      <c r="W178" s="1757" t="str">
        <f>IF('ketv. 6 '!L177&gt;0,"1,29",0)</f>
        <v>1,29</v>
      </c>
      <c r="X178" s="1732">
        <f>SUM(W178-V178)</f>
        <v>0</v>
      </c>
      <c r="Y178" s="1732">
        <f>IF(YEAR('3 pr-2'!$AK178)=2017,$V178,0)</f>
        <v>0</v>
      </c>
      <c r="Z178" s="1732">
        <f>IF(YEAR('3 pr-2'!$AK178)=2018,$V178,0)</f>
        <v>1.29</v>
      </c>
      <c r="AA178" s="1732">
        <f>IF(YEAR('3 pr-2'!$AK178)=2019,$V178,0)</f>
        <v>0</v>
      </c>
      <c r="AB178" s="1732">
        <f>IF(YEAR('3 pr-2'!$AK178)=2020,$V178,0)</f>
        <v>0</v>
      </c>
      <c r="AC178" s="1732">
        <f>IF(YEAR('3 pr-2'!$AK178)=2021,$V178,0)</f>
        <v>0</v>
      </c>
      <c r="AD178" s="1732">
        <f>IF(YEAR('3 pr-2'!$AK178)=2022,$V178,0)</f>
        <v>0</v>
      </c>
      <c r="AE178" s="1732">
        <f>IF(YEAR('3 pr-2'!$AK178)=2023,$V178,0)</f>
        <v>0</v>
      </c>
      <c r="AF178" s="317"/>
      <c r="AG178" s="471"/>
      <c r="AH178" s="1699"/>
      <c r="AI178" s="1699"/>
      <c r="AJ178" s="1699"/>
      <c r="AK178" s="1699"/>
      <c r="AL178" s="1699"/>
      <c r="AM178" s="1699"/>
      <c r="AN178" s="1699"/>
      <c r="AO178" s="1718">
        <f t="shared" si="737"/>
        <v>0</v>
      </c>
      <c r="AP178" s="130"/>
      <c r="AQ178" s="1778"/>
      <c r="AR178" s="1732"/>
      <c r="AS178" s="1732">
        <f>IF(YEAR('3 pr-2'!$AK178)=2017,$AP178,0)</f>
        <v>0</v>
      </c>
      <c r="AT178" s="1732">
        <f>IF(YEAR('3 pr-2'!$AK178)=2018,$AP178,0)</f>
        <v>0</v>
      </c>
      <c r="AU178" s="1732">
        <f>IF(YEAR('3 pr-2'!$AK178)=2019,$AP178,0)</f>
        <v>0</v>
      </c>
      <c r="AV178" s="1732">
        <f>IF(YEAR('3 pr-2'!$AK178)=2020,$AP178,0)</f>
        <v>0</v>
      </c>
      <c r="AW178" s="1732">
        <f>IF(YEAR('3 pr-2'!$AK178)=2021,$AP178,0)</f>
        <v>0</v>
      </c>
      <c r="AX178" s="1732">
        <f>IF(YEAR('3 pr-2'!$AK178)=2022,$AP178,0)</f>
        <v>0</v>
      </c>
      <c r="AY178" s="1732">
        <f>IF(YEAR('3 pr-2'!$AK178)=2023,$AP178,0)</f>
        <v>0</v>
      </c>
      <c r="AZ178" s="130" t="s">
        <v>531</v>
      </c>
      <c r="BA178" s="470" t="s">
        <v>549</v>
      </c>
      <c r="BB178" s="1699"/>
      <c r="BC178" s="1699">
        <v>12</v>
      </c>
      <c r="BD178" s="1699"/>
      <c r="BE178" s="1699"/>
      <c r="BF178" s="1699"/>
      <c r="BG178" s="1699"/>
      <c r="BH178" s="1699"/>
      <c r="BI178" s="1718">
        <f t="shared" si="759"/>
        <v>12</v>
      </c>
      <c r="BJ178" s="130">
        <v>12</v>
      </c>
      <c r="BK178" s="1501">
        <v>12</v>
      </c>
      <c r="BL178" s="130">
        <f>SUM(BK178-BJ178)</f>
        <v>0</v>
      </c>
      <c r="BM178" s="130">
        <f>IF(YEAR('3 pr-2'!$AK178)=2017,$BJ178,0)</f>
        <v>0</v>
      </c>
      <c r="BN178" s="130">
        <f>IF(YEAR('3 pr-2'!$AK178)=2018,$BJ178,0)</f>
        <v>12</v>
      </c>
      <c r="BO178" s="130">
        <f>IF(YEAR('3 pr-2'!$AK178)=2019,$BJ178,0)</f>
        <v>0</v>
      </c>
      <c r="BP178" s="130">
        <f>IF(YEAR('3 pr-2'!$AK178)=2020,$BJ178,0)</f>
        <v>0</v>
      </c>
      <c r="BQ178" s="130">
        <f>IF(YEAR('3 pr-2'!$AK178)=2021,$BJ178,0)</f>
        <v>0</v>
      </c>
      <c r="BR178" s="130">
        <f>IF(YEAR('3 pr-2'!$AK178)=2022,$BJ178,0)</f>
        <v>0</v>
      </c>
      <c r="BS178" s="130">
        <f>IF(YEAR('3 pr-2'!$AK178)=2023,$BJ178,0)</f>
        <v>0</v>
      </c>
      <c r="BT178" s="317"/>
      <c r="BU178" s="471"/>
      <c r="BV178" s="1699"/>
      <c r="BW178" s="1699"/>
      <c r="BX178" s="1699"/>
      <c r="BY178" s="1699"/>
      <c r="BZ178" s="1699"/>
      <c r="CA178" s="1699"/>
      <c r="CB178" s="1699"/>
      <c r="CC178" s="1718">
        <f t="shared" si="747"/>
        <v>0</v>
      </c>
      <c r="CD178" s="130"/>
      <c r="CE178" s="130"/>
      <c r="CF178" s="130"/>
      <c r="CG178" s="130">
        <f>IF(YEAR('3 pr-2'!$AK178)=2017,$CD178,0)</f>
        <v>0</v>
      </c>
      <c r="CH178" s="130">
        <f>IF(YEAR('3 pr-2'!$AK178)=2018,$CD178,0)</f>
        <v>0</v>
      </c>
      <c r="CI178" s="130">
        <f>IF(YEAR('3 pr-2'!$AK178)=2019,$CD178,0)</f>
        <v>0</v>
      </c>
      <c r="CJ178" s="130">
        <f>IF(YEAR('3 pr-2'!$AK178)=2020,$CD178,0)</f>
        <v>0</v>
      </c>
      <c r="CK178" s="130">
        <f>IF(YEAR('3 pr-2'!$AK178)=2021,$CD178,0)</f>
        <v>0</v>
      </c>
      <c r="CL178" s="130">
        <f>IF(YEAR('3 pr-2'!$AK178)=2022,$CD178,0)</f>
        <v>0</v>
      </c>
      <c r="CM178" s="130">
        <f>IF(YEAR('3 pr-2'!$AK178)=2023,$CD178,0)</f>
        <v>0</v>
      </c>
      <c r="CN178" s="317"/>
      <c r="CO178" s="472"/>
      <c r="CP178" s="1699"/>
      <c r="CQ178" s="1699"/>
      <c r="CR178" s="1699"/>
      <c r="CS178" s="1699"/>
      <c r="CT178" s="1699"/>
      <c r="CU178" s="1699"/>
      <c r="CV178" s="1699"/>
      <c r="CW178" s="1718">
        <f t="shared" si="755"/>
        <v>0</v>
      </c>
      <c r="CX178" s="318"/>
      <c r="CY178" s="303"/>
      <c r="CZ178" s="303"/>
      <c r="DA178" s="506">
        <f>IF(YEAR('3 pr-2'!AK178)=2017,CX178,0)</f>
        <v>0</v>
      </c>
      <c r="DB178" s="506">
        <f>IF(YEAR('3 pr-2'!AK178)=2018,CX178,0)</f>
        <v>0</v>
      </c>
      <c r="DC178" s="506">
        <f>IF(YEAR('3 pr-2'!AK178)=2019,CX178,0)</f>
        <v>0</v>
      </c>
      <c r="DD178" s="506">
        <f>IF(YEAR('3 pr-2'!AK178)=2020,CX178,0)</f>
        <v>0</v>
      </c>
      <c r="DE178" s="506">
        <f>IF(YEAR('3 pr-2'!AK178)=2021,CX178,0)</f>
        <v>0</v>
      </c>
      <c r="DF178" s="506">
        <f>IF(YEAR('3 pr-2'!AK178)=2022,CX178,0)</f>
        <v>0</v>
      </c>
      <c r="DG178" s="506">
        <f>IF(YEAR('3 pr-2'!AK178)=2023,CX178,0)</f>
        <v>0</v>
      </c>
      <c r="DH178" s="317"/>
      <c r="DI178" s="472"/>
      <c r="DJ178" s="130"/>
      <c r="DK178" s="130"/>
      <c r="DL178" s="130"/>
      <c r="DM178" s="130"/>
      <c r="DN178" s="130"/>
      <c r="DO178" s="130"/>
      <c r="DP178" s="130"/>
      <c r="DQ178" s="756"/>
      <c r="DR178" s="318"/>
      <c r="DS178" s="303"/>
      <c r="DT178" s="303"/>
      <c r="DU178" s="506"/>
      <c r="DV178" s="506"/>
      <c r="DW178" s="506"/>
      <c r="DX178" s="506"/>
      <c r="DY178" s="506"/>
      <c r="DZ178" s="506"/>
      <c r="EA178" s="506"/>
      <c r="EB178" s="317"/>
      <c r="EC178" s="472"/>
      <c r="ED178" s="303"/>
      <c r="EE178" s="303"/>
      <c r="EF178" s="303"/>
      <c r="EG178" s="506">
        <f>IF(YEAR('3 pr-2'!BP178)=2017,ED178,0)</f>
        <v>0</v>
      </c>
      <c r="EH178" s="506">
        <f>IF(YEAR('3 pr-2'!BP178)=2018,ED178,0)</f>
        <v>0</v>
      </c>
      <c r="EI178" s="506">
        <f>IF(YEAR('3 pr-2'!BP178)=2019,ED178,0)</f>
        <v>0</v>
      </c>
      <c r="EJ178" s="506">
        <f>IF(YEAR('3 pr-2'!BP178)=2020,ED178,0)</f>
        <v>0</v>
      </c>
      <c r="EK178" s="506">
        <f>IF(YEAR('3 pr-2'!BP178)=2021,ED178,0)</f>
        <v>0</v>
      </c>
      <c r="EL178" s="506">
        <f>IF(YEAR('3 pr-2'!BP178)=2022,ED178,0)</f>
        <v>0</v>
      </c>
      <c r="EM178" s="506">
        <f>IF(YEAR('3 pr-2'!BP178)=2023,ED178,0)</f>
        <v>0</v>
      </c>
    </row>
    <row r="179" spans="1:143" ht="54" thickTop="1" thickBot="1">
      <c r="A179" s="130" t="str">
        <f>CONCATENATE('3 pr-2'!A179)</f>
        <v>3.1.2.1.6</v>
      </c>
      <c r="B179" s="130" t="str">
        <f>CONCATENATE('3 pr-2'!B179)</f>
        <v>R01-0019-380000-3216</v>
      </c>
      <c r="C179" s="1730" t="str">
        <f>CONCATENATE('ketv. 2'!B178)</f>
        <v>05.5.1-APVA-R-019-11-0003</v>
      </c>
      <c r="D179" s="11" t="str">
        <f>CONCATENATE('3 pr-2'!D179)</f>
        <v>Kraštovaizdžio formavimas Lazdijų rajono savivaldybėje</v>
      </c>
      <c r="E179" s="11" t="str">
        <f>CONCATENATE('3 pr-2'!E179)</f>
        <v>Lazdijų rajono savivaldybės administracija</v>
      </c>
      <c r="F179" s="11" t="str">
        <f>CONCATENATE('3 pr-2'!F179)</f>
        <v>Lietuvos Respublikos aplinkos ministerija</v>
      </c>
      <c r="G179" s="11" t="str">
        <f>CONCATENATE('3 pr-2'!G179)</f>
        <v>Lazdijų r. sav.</v>
      </c>
      <c r="H179" s="130" t="str">
        <f>CONCATENATE('3 pr-2'!H179)</f>
        <v>05.5.1-APVA-R-019</v>
      </c>
      <c r="I179" s="130" t="str">
        <f>CONCATENATE('3 pr-2'!I179)</f>
        <v>R</v>
      </c>
      <c r="J179" s="130" t="str">
        <f>CONCATENATE('3 pr-2'!J179)</f>
        <v>-</v>
      </c>
      <c r="K179" s="130" t="str">
        <f>CONCATENATE('3 pr-2'!K179)</f>
        <v>-</v>
      </c>
      <c r="L179" s="130" t="s">
        <v>529</v>
      </c>
      <c r="M179" s="471" t="s">
        <v>538</v>
      </c>
      <c r="N179" s="1699"/>
      <c r="O179" s="1699">
        <v>1.95</v>
      </c>
      <c r="P179" s="1699"/>
      <c r="Q179" s="1699"/>
      <c r="R179" s="1699"/>
      <c r="S179" s="1699"/>
      <c r="T179" s="1699"/>
      <c r="U179" s="1700">
        <f t="shared" si="758"/>
        <v>1.95</v>
      </c>
      <c r="V179" s="130">
        <v>30.78</v>
      </c>
      <c r="W179" s="1757" t="str">
        <f>IF('ketv. 6 '!L178&gt;0,"30,78",0)</f>
        <v>30,78</v>
      </c>
      <c r="X179" s="1732">
        <f>SUM(W179-V179)</f>
        <v>0</v>
      </c>
      <c r="Y179" s="1732">
        <f>IF(YEAR('3 pr-2'!$AK179)=2017,$V179,0)</f>
        <v>0</v>
      </c>
      <c r="Z179" s="1732">
        <f>IF(YEAR('3 pr-2'!$AK179)=2018,$V179,0)</f>
        <v>30.78</v>
      </c>
      <c r="AA179" s="1732">
        <f>IF(YEAR('3 pr-2'!$AK179)=2019,$V179,0)</f>
        <v>0</v>
      </c>
      <c r="AB179" s="1732">
        <f>IF(YEAR('3 pr-2'!$AK179)=2020,$V179,0)</f>
        <v>0</v>
      </c>
      <c r="AC179" s="1732">
        <f>IF(YEAR('3 pr-2'!$AK179)=2021,$V179,0)</f>
        <v>0</v>
      </c>
      <c r="AD179" s="1732">
        <f>IF(YEAR('3 pr-2'!$AK179)=2022,$V179,0)</f>
        <v>0</v>
      </c>
      <c r="AE179" s="1732">
        <f>IF(YEAR('3 pr-2'!$AK179)=2023,$V179,0)</f>
        <v>0</v>
      </c>
      <c r="AF179" s="317"/>
      <c r="AG179" s="471"/>
      <c r="AH179" s="1699"/>
      <c r="AI179" s="1699"/>
      <c r="AJ179" s="1699"/>
      <c r="AK179" s="1699"/>
      <c r="AL179" s="1699"/>
      <c r="AM179" s="1699"/>
      <c r="AN179" s="1699"/>
      <c r="AO179" s="1718">
        <f t="shared" si="737"/>
        <v>0</v>
      </c>
      <c r="AP179" s="130"/>
      <c r="AQ179" s="1778"/>
      <c r="AR179" s="1732"/>
      <c r="AS179" s="1732">
        <f>IF(YEAR('3 pr-2'!$AK179)=2017,$AP179,0)</f>
        <v>0</v>
      </c>
      <c r="AT179" s="1732">
        <f>IF(YEAR('3 pr-2'!$AK179)=2018,$AP179,0)</f>
        <v>0</v>
      </c>
      <c r="AU179" s="1732">
        <f>IF(YEAR('3 pr-2'!$AK179)=2019,$AP179,0)</f>
        <v>0</v>
      </c>
      <c r="AV179" s="1732">
        <f>IF(YEAR('3 pr-2'!$AK179)=2020,$AP179,0)</f>
        <v>0</v>
      </c>
      <c r="AW179" s="1732">
        <f>IF(YEAR('3 pr-2'!$AK179)=2021,$AP179,0)</f>
        <v>0</v>
      </c>
      <c r="AX179" s="1732">
        <f>IF(YEAR('3 pr-2'!$AK179)=2022,$AP179,0)</f>
        <v>0</v>
      </c>
      <c r="AY179" s="1732">
        <f>IF(YEAR('3 pr-2'!$AK179)=2023,$AP179,0)</f>
        <v>0</v>
      </c>
      <c r="AZ179" s="130" t="s">
        <v>531</v>
      </c>
      <c r="BA179" s="470" t="s">
        <v>549</v>
      </c>
      <c r="BB179" s="1699"/>
      <c r="BC179" s="1699">
        <v>11</v>
      </c>
      <c r="BD179" s="1699"/>
      <c r="BE179" s="1699"/>
      <c r="BF179" s="1699"/>
      <c r="BG179" s="1699"/>
      <c r="BH179" s="1699"/>
      <c r="BI179" s="1718">
        <f t="shared" si="759"/>
        <v>11</v>
      </c>
      <c r="BJ179" s="130">
        <v>12</v>
      </c>
      <c r="BK179" s="1501">
        <v>12</v>
      </c>
      <c r="BL179" s="130">
        <f>SUM(BK179-BJ179)</f>
        <v>0</v>
      </c>
      <c r="BM179" s="130">
        <f>IF(YEAR('3 pr-2'!$AK179)=2017,$BJ179,0)</f>
        <v>0</v>
      </c>
      <c r="BN179" s="130">
        <f>IF(YEAR('3 pr-2'!$AK179)=2018,$BJ179,0)</f>
        <v>12</v>
      </c>
      <c r="BO179" s="130">
        <f>IF(YEAR('3 pr-2'!$AK179)=2019,$BJ179,0)</f>
        <v>0</v>
      </c>
      <c r="BP179" s="130">
        <f>IF(YEAR('3 pr-2'!$AK179)=2020,$BJ179,0)</f>
        <v>0</v>
      </c>
      <c r="BQ179" s="130">
        <f>IF(YEAR('3 pr-2'!$AK179)=2021,$BJ179,0)</f>
        <v>0</v>
      </c>
      <c r="BR179" s="130">
        <f>IF(YEAR('3 pr-2'!$AK179)=2022,$BJ179,0)</f>
        <v>0</v>
      </c>
      <c r="BS179" s="130">
        <f>IF(YEAR('3 pr-2'!$AK179)=2023,$BJ179,0)</f>
        <v>0</v>
      </c>
      <c r="BT179" s="317"/>
      <c r="BU179" s="471"/>
      <c r="BV179" s="1699"/>
      <c r="BW179" s="1699"/>
      <c r="BX179" s="1699"/>
      <c r="BY179" s="1699"/>
      <c r="BZ179" s="1699"/>
      <c r="CA179" s="1699"/>
      <c r="CB179" s="1699"/>
      <c r="CC179" s="1718">
        <f t="shared" si="747"/>
        <v>0</v>
      </c>
      <c r="CD179" s="130"/>
      <c r="CE179" s="130"/>
      <c r="CF179" s="130"/>
      <c r="CG179" s="130">
        <f>IF(YEAR('3 pr-2'!$AK179)=2017,$CD179,0)</f>
        <v>0</v>
      </c>
      <c r="CH179" s="130">
        <f>IF(YEAR('3 pr-2'!$AK179)=2018,$CD179,0)</f>
        <v>0</v>
      </c>
      <c r="CI179" s="130">
        <f>IF(YEAR('3 pr-2'!$AK179)=2019,$CD179,0)</f>
        <v>0</v>
      </c>
      <c r="CJ179" s="130">
        <f>IF(YEAR('3 pr-2'!$AK179)=2020,$CD179,0)</f>
        <v>0</v>
      </c>
      <c r="CK179" s="130">
        <f>IF(YEAR('3 pr-2'!$AK179)=2021,$CD179,0)</f>
        <v>0</v>
      </c>
      <c r="CL179" s="130">
        <f>IF(YEAR('3 pr-2'!$AK179)=2022,$CD179,0)</f>
        <v>0</v>
      </c>
      <c r="CM179" s="130">
        <f>IF(YEAR('3 pr-2'!$AK179)=2023,$CD179,0)</f>
        <v>0</v>
      </c>
      <c r="CN179" s="317" t="s">
        <v>534</v>
      </c>
      <c r="CO179" s="472" t="s">
        <v>535</v>
      </c>
      <c r="CP179" s="1699"/>
      <c r="CQ179" s="1699"/>
      <c r="CR179" s="1699"/>
      <c r="CS179" s="1699"/>
      <c r="CT179" s="1699"/>
      <c r="CU179" s="1699"/>
      <c r="CV179" s="1699"/>
      <c r="CW179" s="1718">
        <f t="shared" si="755"/>
        <v>0</v>
      </c>
      <c r="CX179" s="318">
        <v>2</v>
      </c>
      <c r="CY179" s="303">
        <v>2</v>
      </c>
      <c r="CZ179" s="303">
        <f>SUM(CY179-CX179)</f>
        <v>0</v>
      </c>
      <c r="DA179" s="506">
        <f>IF(YEAR('3 pr-2'!AK179)=2017,CX179,0)</f>
        <v>0</v>
      </c>
      <c r="DB179" s="506">
        <f>IF(YEAR('3 pr-2'!AK179)=2018,CX179,0)</f>
        <v>2</v>
      </c>
      <c r="DC179" s="506">
        <f>IF(YEAR('3 pr-2'!AK179)=2019,CX179,0)</f>
        <v>0</v>
      </c>
      <c r="DD179" s="506">
        <f>IF(YEAR('3 pr-2'!AK179)=2020,CX179,0)</f>
        <v>0</v>
      </c>
      <c r="DE179" s="506">
        <f>IF(YEAR('3 pr-2'!AK179)=2021,CX179,0)</f>
        <v>0</v>
      </c>
      <c r="DF179" s="506">
        <f>IF(YEAR('3 pr-2'!AK179)=2022,CX179,0)</f>
        <v>0</v>
      </c>
      <c r="DG179" s="506">
        <f>IF(YEAR('3 pr-2'!AK179)=2023,CX179,0)</f>
        <v>0</v>
      </c>
      <c r="DH179" s="317"/>
      <c r="DI179" s="472"/>
      <c r="DJ179" s="130"/>
      <c r="DK179" s="130"/>
      <c r="DL179" s="130"/>
      <c r="DM179" s="130"/>
      <c r="DN179" s="130"/>
      <c r="DO179" s="130"/>
      <c r="DP179" s="130"/>
      <c r="DQ179" s="756"/>
      <c r="DR179" s="318"/>
      <c r="DS179" s="303"/>
      <c r="DT179" s="303"/>
      <c r="DU179" s="506"/>
      <c r="DV179" s="506"/>
      <c r="DW179" s="506"/>
      <c r="DX179" s="506"/>
      <c r="DY179" s="506"/>
      <c r="DZ179" s="506"/>
      <c r="EA179" s="506"/>
      <c r="EB179" s="317"/>
      <c r="EC179" s="472"/>
      <c r="ED179" s="303"/>
      <c r="EE179" s="303"/>
      <c r="EF179" s="303"/>
      <c r="EG179" s="506">
        <f>IF(YEAR('3 pr-2'!BP179)=2017,ED179,0)</f>
        <v>0</v>
      </c>
      <c r="EH179" s="506">
        <f>IF(YEAR('3 pr-2'!BP179)=2018,ED179,0)</f>
        <v>0</v>
      </c>
      <c r="EI179" s="506">
        <f>IF(YEAR('3 pr-2'!BP179)=2019,ED179,0)</f>
        <v>0</v>
      </c>
      <c r="EJ179" s="506">
        <f>IF(YEAR('3 pr-2'!BP179)=2020,ED179,0)</f>
        <v>0</v>
      </c>
      <c r="EK179" s="506">
        <f>IF(YEAR('3 pr-2'!BP179)=2021,ED179,0)</f>
        <v>0</v>
      </c>
      <c r="EL179" s="506">
        <f>IF(YEAR('3 pr-2'!BP179)=2022,ED179,0)</f>
        <v>0</v>
      </c>
      <c r="EM179" s="506">
        <f>IF(YEAR('3 pr-2'!BP179)=2023,ED179,0)</f>
        <v>0</v>
      </c>
    </row>
    <row r="180" spans="1:143" ht="54" thickTop="1" thickBot="1">
      <c r="A180" s="130" t="str">
        <f>CONCATENATE('3 pr-2'!A180)</f>
        <v>3.1.2.1.7</v>
      </c>
      <c r="B180" s="130" t="str">
        <f>CONCATENATE('3 pr-2'!B180)</f>
        <v>R01-0019-283800-3217</v>
      </c>
      <c r="C180" s="1730" t="str">
        <f>CONCATENATE('ketv. 2'!B179)</f>
        <v>05.5.1-APVA-R-019-11-0008</v>
      </c>
      <c r="D180" s="11" t="str">
        <f>CONCATENATE('3 pr-2'!D180)</f>
        <v>Kraštovaizdžio formavimas Lazdijų rajono savivaldybėje (II etapas)</v>
      </c>
      <c r="E180" s="11" t="str">
        <f>CONCATENATE('3 pr-2'!E180)</f>
        <v>Lazdijų rajono savivaldybės administracija</v>
      </c>
      <c r="F180" s="11" t="str">
        <f>CONCATENATE('3 pr-2'!F180)</f>
        <v>Lietuvos Respublikos aplinkos ministerija</v>
      </c>
      <c r="G180" s="11" t="str">
        <f>CONCATENATE('3 pr-2'!G180)</f>
        <v>Lazdijų r. sav.</v>
      </c>
      <c r="H180" s="130" t="str">
        <f>CONCATENATE('3 pr-2'!H180)</f>
        <v>05.5.1-APVA-R-019</v>
      </c>
      <c r="I180" s="130" t="str">
        <f>CONCATENATE('3 pr-2'!I180)</f>
        <v>R</v>
      </c>
      <c r="J180" s="130" t="str">
        <f>CONCATENATE('3 pr-2'!J180)</f>
        <v>-</v>
      </c>
      <c r="K180" s="130" t="str">
        <f>CONCATENATE('3 pr-2'!K180)</f>
        <v>-</v>
      </c>
      <c r="L180" s="130"/>
      <c r="M180" s="471"/>
      <c r="N180" s="1699"/>
      <c r="O180" s="1699"/>
      <c r="P180" s="1699"/>
      <c r="Q180" s="1699"/>
      <c r="R180" s="1699"/>
      <c r="S180" s="1699"/>
      <c r="T180" s="1699"/>
      <c r="U180" s="1700">
        <f t="shared" si="758"/>
        <v>0</v>
      </c>
      <c r="V180" s="130"/>
      <c r="W180" s="1757" t="str">
        <f>IF('ketv. 6 '!L179&gt;0,"taip","nėra")</f>
        <v>nėra</v>
      </c>
      <c r="X180" s="1732"/>
      <c r="Y180" s="1732">
        <f>IF(YEAR('3 pr-2'!$AK180)=2017,$V180,0)</f>
        <v>0</v>
      </c>
      <c r="Z180" s="1732">
        <f>IF(YEAR('3 pr-2'!$AK180)=2018,$V180,0)</f>
        <v>0</v>
      </c>
      <c r="AA180" s="1732">
        <f>IF(YEAR('3 pr-2'!$AK180)=2019,$V180,0)</f>
        <v>0</v>
      </c>
      <c r="AB180" s="1732">
        <f>IF(YEAR('3 pr-2'!$AK180)=2020,$V180,0)</f>
        <v>0</v>
      </c>
      <c r="AC180" s="1732">
        <f>IF(YEAR('3 pr-2'!$AK180)=2021,$V180,0)</f>
        <v>0</v>
      </c>
      <c r="AD180" s="1732">
        <f>IF(YEAR('3 pr-2'!$AK180)=2022,$V180,0)</f>
        <v>0</v>
      </c>
      <c r="AE180" s="1732">
        <f>IF(YEAR('3 pr-2'!$AK180)=2023,$V180,0)</f>
        <v>0</v>
      </c>
      <c r="AF180" s="317" t="s">
        <v>536</v>
      </c>
      <c r="AG180" s="672" t="s">
        <v>539</v>
      </c>
      <c r="AH180" s="1699"/>
      <c r="AI180" s="1699"/>
      <c r="AJ180" s="1699"/>
      <c r="AK180" s="1699"/>
      <c r="AL180" s="1699"/>
      <c r="AM180" s="1699"/>
      <c r="AN180" s="1699"/>
      <c r="AO180" s="1718">
        <f t="shared" si="737"/>
        <v>0</v>
      </c>
      <c r="AP180" s="130">
        <v>1</v>
      </c>
      <c r="AQ180" s="1778"/>
      <c r="AR180" s="1732"/>
      <c r="AS180" s="1732">
        <f>IF(YEAR('3 pr-2'!$AK180)=2017,$AP180,0)</f>
        <v>0</v>
      </c>
      <c r="AT180" s="1732">
        <f>IF(YEAR('3 pr-2'!$AK180)=2018,$AP180,0)</f>
        <v>0</v>
      </c>
      <c r="AU180" s="1732">
        <f>IF(YEAR('3 pr-2'!$AK180)=2019,$AP180,0)</f>
        <v>0</v>
      </c>
      <c r="AV180" s="1732">
        <f>IF(YEAR('3 pr-2'!$AK180)=2020,$AP180,0)</f>
        <v>0</v>
      </c>
      <c r="AW180" s="1732">
        <f>IF(YEAR('3 pr-2'!$AK180)=2021,$AP180,0)</f>
        <v>1</v>
      </c>
      <c r="AX180" s="1732">
        <f>IF(YEAR('3 pr-2'!$AK180)=2022,$AP180,0)</f>
        <v>0</v>
      </c>
      <c r="AY180" s="1732">
        <f>IF(YEAR('3 pr-2'!$AK180)=2023,$AP180,0)</f>
        <v>0</v>
      </c>
      <c r="AZ180" s="130" t="s">
        <v>531</v>
      </c>
      <c r="BA180" s="480" t="s">
        <v>549</v>
      </c>
      <c r="BB180" s="1699"/>
      <c r="BC180" s="1699"/>
      <c r="BD180" s="1699"/>
      <c r="BE180" s="1699"/>
      <c r="BF180" s="1699"/>
      <c r="BG180" s="1699"/>
      <c r="BH180" s="1699"/>
      <c r="BI180" s="1718">
        <f t="shared" ref="BI180" si="761">SUM(BB180:BH180)</f>
        <v>0</v>
      </c>
      <c r="BJ180" s="130">
        <v>8</v>
      </c>
      <c r="BK180" s="1501"/>
      <c r="BL180" s="130"/>
      <c r="BM180" s="130">
        <f>IF(YEAR('3 pr-2'!$AK180)=2017,$BJ180,0)</f>
        <v>0</v>
      </c>
      <c r="BN180" s="130">
        <f>IF(YEAR('3 pr-2'!$AK180)=2018,$BJ180,0)</f>
        <v>0</v>
      </c>
      <c r="BO180" s="130">
        <f>IF(YEAR('3 pr-2'!$AK180)=2019,$BJ180,0)</f>
        <v>0</v>
      </c>
      <c r="BP180" s="130">
        <f>IF(YEAR('3 pr-2'!$AK180)=2020,$BJ180,0)</f>
        <v>0</v>
      </c>
      <c r="BQ180" s="130">
        <f>IF(YEAR('3 pr-2'!$AK180)=2021,$BJ180,0)</f>
        <v>8</v>
      </c>
      <c r="BR180" s="130">
        <f>IF(YEAR('3 pr-2'!$AK180)=2022,$BJ180,0)</f>
        <v>0</v>
      </c>
      <c r="BS180" s="130">
        <f>IF(YEAR('3 pr-2'!$AK180)=2023,$BJ180,0)</f>
        <v>0</v>
      </c>
      <c r="BT180" s="317"/>
      <c r="BU180" s="672"/>
      <c r="BV180" s="1699"/>
      <c r="BW180" s="1699"/>
      <c r="BX180" s="1699"/>
      <c r="BY180" s="1699"/>
      <c r="BZ180" s="1699"/>
      <c r="CA180" s="1699"/>
      <c r="CB180" s="1699"/>
      <c r="CC180" s="1718">
        <f t="shared" si="747"/>
        <v>0</v>
      </c>
      <c r="CD180" s="130"/>
      <c r="CE180" s="130"/>
      <c r="CF180" s="130"/>
      <c r="CG180" s="130">
        <f>IF(YEAR('3 pr-2'!$AK180)=2017,$CD180,0)</f>
        <v>0</v>
      </c>
      <c r="CH180" s="130">
        <f>IF(YEAR('3 pr-2'!$AK180)=2018,$CD180,0)</f>
        <v>0</v>
      </c>
      <c r="CI180" s="130">
        <f>IF(YEAR('3 pr-2'!$AK180)=2019,$CD180,0)</f>
        <v>0</v>
      </c>
      <c r="CJ180" s="130">
        <f>IF(YEAR('3 pr-2'!$AK180)=2020,$CD180,0)</f>
        <v>0</v>
      </c>
      <c r="CK180" s="130">
        <f>IF(YEAR('3 pr-2'!$AK180)=2021,$CD180,0)</f>
        <v>0</v>
      </c>
      <c r="CL180" s="130">
        <f>IF(YEAR('3 pr-2'!$AK180)=2022,$CD180,0)</f>
        <v>0</v>
      </c>
      <c r="CM180" s="130">
        <f>IF(YEAR('3 pr-2'!$AK180)=2023,$CD180,0)</f>
        <v>0</v>
      </c>
      <c r="CN180" s="317"/>
      <c r="CO180" s="831"/>
      <c r="CP180" s="1699"/>
      <c r="CQ180" s="1699"/>
      <c r="CR180" s="1699"/>
      <c r="CS180" s="1699"/>
      <c r="CT180" s="1699"/>
      <c r="CU180" s="1699"/>
      <c r="CV180" s="1699"/>
      <c r="CW180" s="1718">
        <f t="shared" si="755"/>
        <v>0</v>
      </c>
      <c r="CX180" s="318"/>
      <c r="CY180" s="303"/>
      <c r="CZ180" s="303"/>
      <c r="DA180" s="506">
        <f>IF(YEAR('3 pr-2'!AK180)=2017,CX180,0)</f>
        <v>0</v>
      </c>
      <c r="DB180" s="506">
        <f>IF(YEAR('3 pr-2'!AK180)=2018,CX180,0)</f>
        <v>0</v>
      </c>
      <c r="DC180" s="506">
        <f>IF(YEAR('3 pr-2'!AK180)=2019,CX180,0)</f>
        <v>0</v>
      </c>
      <c r="DD180" s="506">
        <f>IF(YEAR('3 pr-2'!AK180)=2020,CX180,0)</f>
        <v>0</v>
      </c>
      <c r="DE180" s="506">
        <f>IF(YEAR('3 pr-2'!AK180)=2021,CX180,0)</f>
        <v>0</v>
      </c>
      <c r="DF180" s="506">
        <f>IF(YEAR('3 pr-2'!AK180)=2022,CX180,0)</f>
        <v>0</v>
      </c>
      <c r="DG180" s="506">
        <f>IF(YEAR('3 pr-2'!AK180)=2023,CX180,0)</f>
        <v>0</v>
      </c>
      <c r="DH180" s="317"/>
      <c r="DI180" s="831"/>
      <c r="DJ180" s="130"/>
      <c r="DK180" s="130"/>
      <c r="DL180" s="130"/>
      <c r="DM180" s="130"/>
      <c r="DN180" s="130"/>
      <c r="DO180" s="130"/>
      <c r="DP180" s="130"/>
      <c r="DQ180" s="756"/>
      <c r="DR180" s="318"/>
      <c r="DS180" s="303"/>
      <c r="DT180" s="303"/>
      <c r="DU180" s="506"/>
      <c r="DV180" s="506"/>
      <c r="DW180" s="506"/>
      <c r="DX180" s="506"/>
      <c r="DY180" s="506"/>
      <c r="DZ180" s="506"/>
      <c r="EA180" s="506"/>
      <c r="EB180" s="317"/>
      <c r="EC180" s="831"/>
      <c r="ED180" s="303"/>
      <c r="EE180" s="303"/>
      <c r="EF180" s="303"/>
      <c r="EG180" s="506">
        <f>IF(YEAR('3 pr-2'!BP180)=2017,ED180,0)</f>
        <v>0</v>
      </c>
      <c r="EH180" s="506">
        <f>IF(YEAR('3 pr-2'!BP180)=2018,ED180,0)</f>
        <v>0</v>
      </c>
      <c r="EI180" s="506">
        <f>IF(YEAR('3 pr-2'!BP180)=2019,ED180,0)</f>
        <v>0</v>
      </c>
      <c r="EJ180" s="506">
        <f>IF(YEAR('3 pr-2'!BP180)=2020,ED180,0)</f>
        <v>0</v>
      </c>
      <c r="EK180" s="506">
        <f>IF(YEAR('3 pr-2'!BP180)=2021,ED180,0)</f>
        <v>0</v>
      </c>
      <c r="EL180" s="506">
        <f>IF(YEAR('3 pr-2'!BP180)=2022,ED180,0)</f>
        <v>0</v>
      </c>
      <c r="EM180" s="506">
        <f>IF(YEAR('3 pr-2'!BP180)=2023,ED180,0)</f>
        <v>0</v>
      </c>
    </row>
    <row r="181" spans="1:143" ht="61.5" thickTop="1" thickBot="1">
      <c r="A181" s="130" t="str">
        <f>CONCATENATE('3 pr-2'!A181)</f>
        <v>3.1.2.1.8</v>
      </c>
      <c r="B181" s="130" t="str">
        <f>CONCATENATE('3 pr-2'!B181)</f>
        <v>R01-0019-380000-3218</v>
      </c>
      <c r="C181" s="1730" t="str">
        <f>CONCATENATE('ketv. 2'!B180)</f>
        <v>05.5.1-APVA-R-019-11-0006</v>
      </c>
      <c r="D181" s="11" t="str">
        <f>CONCATENATE('3 pr-2'!D181)</f>
        <v>Bešeimininkių apleistų pastatų ir įrenginių tvarkymas Alytaus rajono savivaldybėje (II etapas)</v>
      </c>
      <c r="E181" s="11" t="str">
        <f>CONCATENATE('3 pr-2'!E181)</f>
        <v>Alytaus rajono savivaldybės administracija</v>
      </c>
      <c r="F181" s="11" t="str">
        <f>CONCATENATE('3 pr-2'!F181)</f>
        <v>Lietuvos Respublikos aplinkos ministerija</v>
      </c>
      <c r="G181" s="11" t="str">
        <f>CONCATENATE('3 pr-2'!G181)</f>
        <v>Alytaus r. sav.</v>
      </c>
      <c r="H181" s="130" t="str">
        <f>CONCATENATE('3 pr-2'!H181)</f>
        <v>05.5.1-APVA-R-019</v>
      </c>
      <c r="I181" s="130" t="str">
        <f>CONCATENATE('3 pr-2'!I181)</f>
        <v>R</v>
      </c>
      <c r="J181" s="130" t="str">
        <f>CONCATENATE('3 pr-2'!J181)</f>
        <v>-</v>
      </c>
      <c r="K181" s="130" t="str">
        <f>CONCATENATE('3 pr-2'!K181)</f>
        <v>-</v>
      </c>
      <c r="L181" s="130" t="s">
        <v>529</v>
      </c>
      <c r="M181" s="471" t="s">
        <v>530</v>
      </c>
      <c r="N181" s="1699"/>
      <c r="O181" s="1699"/>
      <c r="P181" s="1699"/>
      <c r="Q181" s="1699"/>
      <c r="R181" s="1699"/>
      <c r="S181" s="1699"/>
      <c r="T181" s="1699"/>
      <c r="U181" s="1700">
        <f t="shared" si="758"/>
        <v>0</v>
      </c>
      <c r="V181" s="130">
        <v>3.9</v>
      </c>
      <c r="W181" s="1757">
        <v>3.9</v>
      </c>
      <c r="X181" s="1732">
        <f>SUM(W181-V181)</f>
        <v>0</v>
      </c>
      <c r="Y181" s="1732">
        <f>IF(YEAR('3 pr-2'!$AK181)=2017,$V181,0)</f>
        <v>0</v>
      </c>
      <c r="Z181" s="1732">
        <f>IF(YEAR('3 pr-2'!$AK181)=2018,$V181,0)</f>
        <v>0</v>
      </c>
      <c r="AA181" s="1732">
        <f>IF(YEAR('3 pr-2'!$AK181)=2019,$V181,0)</f>
        <v>3.9</v>
      </c>
      <c r="AB181" s="1732">
        <f>IF(YEAR('3 pr-2'!$AK181)=2020,$V181,0)</f>
        <v>0</v>
      </c>
      <c r="AC181" s="1732">
        <f>IF(YEAR('3 pr-2'!$AK181)=2021,$V181,0)</f>
        <v>0</v>
      </c>
      <c r="AD181" s="1732">
        <f>IF(YEAR('3 pr-2'!$AK181)=2022,$V181,0)</f>
        <v>0</v>
      </c>
      <c r="AE181" s="1732">
        <f>IF(YEAR('3 pr-2'!$AK181)=2023,$V181,0)</f>
        <v>0</v>
      </c>
      <c r="AF181" s="317"/>
      <c r="AG181" s="672"/>
      <c r="AH181" s="1699"/>
      <c r="AI181" s="1699"/>
      <c r="AJ181" s="1699"/>
      <c r="AK181" s="1699"/>
      <c r="AL181" s="1699"/>
      <c r="AM181" s="1699"/>
      <c r="AN181" s="1699"/>
      <c r="AO181" s="1718">
        <f t="shared" si="737"/>
        <v>0</v>
      </c>
      <c r="AP181" s="130"/>
      <c r="AQ181" s="1778"/>
      <c r="AR181" s="1732"/>
      <c r="AS181" s="1732">
        <f>IF(YEAR('3 pr-2'!$AK181)=2017,$AP181,0)</f>
        <v>0</v>
      </c>
      <c r="AT181" s="1732">
        <f>IF(YEAR('3 pr-2'!$AK181)=2018,$AP181,0)</f>
        <v>0</v>
      </c>
      <c r="AU181" s="1732">
        <f>IF(YEAR('3 pr-2'!$AK181)=2019,$AP181,0)</f>
        <v>0</v>
      </c>
      <c r="AV181" s="1732">
        <f>IF(YEAR('3 pr-2'!$AK181)=2020,$AP181,0)</f>
        <v>0</v>
      </c>
      <c r="AW181" s="1732">
        <f>IF(YEAR('3 pr-2'!$AK181)=2021,$AP181,0)</f>
        <v>0</v>
      </c>
      <c r="AX181" s="1732">
        <f>IF(YEAR('3 pr-2'!$AK181)=2022,$AP181,0)</f>
        <v>0</v>
      </c>
      <c r="AY181" s="1732">
        <f>IF(YEAR('3 pr-2'!$AK181)=2023,$AP181,0)</f>
        <v>0</v>
      </c>
      <c r="AZ181" s="130" t="s">
        <v>531</v>
      </c>
      <c r="BA181" s="480" t="s">
        <v>549</v>
      </c>
      <c r="BB181" s="1699"/>
      <c r="BC181" s="1699"/>
      <c r="BD181" s="1699"/>
      <c r="BE181" s="1699"/>
      <c r="BF181" s="1699"/>
      <c r="BG181" s="1699"/>
      <c r="BH181" s="1699"/>
      <c r="BI181" s="1718">
        <f t="shared" si="759"/>
        <v>0</v>
      </c>
      <c r="BJ181" s="130">
        <v>25</v>
      </c>
      <c r="BK181" s="1501">
        <v>25</v>
      </c>
      <c r="BL181" s="130">
        <f>SUM(BK181-BJ181)</f>
        <v>0</v>
      </c>
      <c r="BM181" s="130">
        <f>IF(YEAR('3 pr-2'!$AK181)=2017,$BJ181,0)</f>
        <v>0</v>
      </c>
      <c r="BN181" s="130">
        <f>IF(YEAR('3 pr-2'!$AK181)=2018,$BJ181,0)</f>
        <v>0</v>
      </c>
      <c r="BO181" s="130">
        <f>IF(YEAR('3 pr-2'!$AK181)=2019,$BJ181,0)</f>
        <v>25</v>
      </c>
      <c r="BP181" s="130">
        <f>IF(YEAR('3 pr-2'!$AK181)=2020,$BJ181,0)</f>
        <v>0</v>
      </c>
      <c r="BQ181" s="130">
        <f>IF(YEAR('3 pr-2'!$AK181)=2021,$BJ181,0)</f>
        <v>0</v>
      </c>
      <c r="BR181" s="130">
        <f>IF(YEAR('3 pr-2'!$AK181)=2022,$BJ181,0)</f>
        <v>0</v>
      </c>
      <c r="BS181" s="130">
        <f>IF(YEAR('3 pr-2'!$AK181)=2023,$BJ181,0)</f>
        <v>0</v>
      </c>
      <c r="BT181" s="317"/>
      <c r="BU181" s="672"/>
      <c r="BV181" s="1699"/>
      <c r="BW181" s="1699"/>
      <c r="BX181" s="1699"/>
      <c r="BY181" s="1699"/>
      <c r="BZ181" s="1699"/>
      <c r="CA181" s="1699"/>
      <c r="CB181" s="1699"/>
      <c r="CC181" s="1718">
        <f t="shared" si="747"/>
        <v>0</v>
      </c>
      <c r="CD181" s="130"/>
      <c r="CE181" s="130"/>
      <c r="CF181" s="130"/>
      <c r="CG181" s="130">
        <f>IF(YEAR('3 pr-2'!$AK181)=2017,$CD181,0)</f>
        <v>0</v>
      </c>
      <c r="CH181" s="130">
        <f>IF(YEAR('3 pr-2'!$AK181)=2018,$CD181,0)</f>
        <v>0</v>
      </c>
      <c r="CI181" s="130">
        <f>IF(YEAR('3 pr-2'!$AK181)=2019,$CD181,0)</f>
        <v>0</v>
      </c>
      <c r="CJ181" s="130">
        <f>IF(YEAR('3 pr-2'!$AK181)=2020,$CD181,0)</f>
        <v>0</v>
      </c>
      <c r="CK181" s="130">
        <f>IF(YEAR('3 pr-2'!$AK181)=2021,$CD181,0)</f>
        <v>0</v>
      </c>
      <c r="CL181" s="130">
        <f>IF(YEAR('3 pr-2'!$AK181)=2022,$CD181,0)</f>
        <v>0</v>
      </c>
      <c r="CM181" s="130">
        <f>IF(YEAR('3 pr-2'!$AK181)=2023,$CD181,0)</f>
        <v>0</v>
      </c>
      <c r="CN181" s="317"/>
      <c r="CO181" s="831"/>
      <c r="CP181" s="1699"/>
      <c r="CQ181" s="1699"/>
      <c r="CR181" s="1699"/>
      <c r="CS181" s="1699"/>
      <c r="CT181" s="1699"/>
      <c r="CU181" s="1699"/>
      <c r="CV181" s="1699"/>
      <c r="CW181" s="1718">
        <f t="shared" si="755"/>
        <v>0</v>
      </c>
      <c r="CX181" s="318"/>
      <c r="CY181" s="303"/>
      <c r="CZ181" s="303"/>
      <c r="DA181" s="506">
        <f>IF(YEAR('3 pr-2'!AK181)=2017,CX181,0)</f>
        <v>0</v>
      </c>
      <c r="DB181" s="506">
        <f>IF(YEAR('3 pr-2'!AK181)=2018,CX181,0)</f>
        <v>0</v>
      </c>
      <c r="DC181" s="506">
        <f>IF(YEAR('3 pr-2'!AK181)=2019,CX181,0)</f>
        <v>0</v>
      </c>
      <c r="DD181" s="506">
        <f>IF(YEAR('3 pr-2'!AK181)=2020,CX181,0)</f>
        <v>0</v>
      </c>
      <c r="DE181" s="506">
        <f>IF(YEAR('3 pr-2'!AK181)=2021,CX181,0)</f>
        <v>0</v>
      </c>
      <c r="DF181" s="506">
        <f>IF(YEAR('3 pr-2'!AK181)=2022,CX181,0)</f>
        <v>0</v>
      </c>
      <c r="DG181" s="506">
        <f>IF(YEAR('3 pr-2'!AK181)=2023,CX181,0)</f>
        <v>0</v>
      </c>
      <c r="DH181" s="317"/>
      <c r="DI181" s="831"/>
      <c r="DJ181" s="130"/>
      <c r="DK181" s="130"/>
      <c r="DL181" s="130"/>
      <c r="DM181" s="130"/>
      <c r="DN181" s="130"/>
      <c r="DO181" s="130"/>
      <c r="DP181" s="130"/>
      <c r="DQ181" s="756"/>
      <c r="DR181" s="318"/>
      <c r="DS181" s="303"/>
      <c r="DT181" s="303"/>
      <c r="DU181" s="506"/>
      <c r="DV181" s="506"/>
      <c r="DW181" s="506"/>
      <c r="DX181" s="506"/>
      <c r="DY181" s="506"/>
      <c r="DZ181" s="506"/>
      <c r="EA181" s="506"/>
      <c r="EB181" s="317"/>
      <c r="EC181" s="831"/>
      <c r="ED181" s="303"/>
      <c r="EE181" s="303"/>
      <c r="EF181" s="303"/>
      <c r="EG181" s="506">
        <f>IF(YEAR('3 pr-2'!BP181)=2017,ED181,0)</f>
        <v>0</v>
      </c>
      <c r="EH181" s="506">
        <f>IF(YEAR('3 pr-2'!BP181)=2018,ED181,0)</f>
        <v>0</v>
      </c>
      <c r="EI181" s="506">
        <f>IF(YEAR('3 pr-2'!BP181)=2019,ED181,0)</f>
        <v>0</v>
      </c>
      <c r="EJ181" s="506">
        <f>IF(YEAR('3 pr-2'!BP181)=2020,ED181,0)</f>
        <v>0</v>
      </c>
      <c r="EK181" s="506">
        <f>IF(YEAR('3 pr-2'!BP181)=2021,ED181,0)</f>
        <v>0</v>
      </c>
      <c r="EL181" s="506">
        <f>IF(YEAR('3 pr-2'!BP181)=2022,ED181,0)</f>
        <v>0</v>
      </c>
      <c r="EM181" s="506">
        <f>IF(YEAR('3 pr-2'!BP181)=2023,ED181,0)</f>
        <v>0</v>
      </c>
    </row>
    <row r="182" spans="1:143" ht="60.75" thickBot="1">
      <c r="A182" s="130" t="str">
        <f>CONCATENATE('3 pr-2'!A182)</f>
        <v>3.1.2.1.9</v>
      </c>
      <c r="B182" s="130" t="str">
        <f>CONCATENATE('3 pr-2'!B182)</f>
        <v>R01-0019-380000-3219</v>
      </c>
      <c r="C182" s="1732" t="str">
        <f>CONCATENATE('ketv. 2'!B182)</f>
        <v/>
      </c>
      <c r="D182" s="11" t="str">
        <f>CONCATENATE('3 pr-2'!D182)</f>
        <v>Etaloninio kraštovaizdžio formavimas Druskininkų savivaldybės pasienyje</v>
      </c>
      <c r="E182" s="11" t="str">
        <f>CONCATENATE('3 pr-2'!E182)</f>
        <v>Druskininkų savivaldybės administracija</v>
      </c>
      <c r="F182" s="11" t="str">
        <f>CONCATENATE('3 pr-2'!F182)</f>
        <v>Lietuvos Respublikos aplinkos ministerija</v>
      </c>
      <c r="G182" s="11" t="str">
        <f>CONCATENATE('3 pr-2'!G182)</f>
        <v>Druskininkų sav.</v>
      </c>
      <c r="H182" s="130" t="str">
        <f>CONCATENATE('3 pr-2'!H182)</f>
        <v>05.5.1-APVA-R-019</v>
      </c>
      <c r="I182" s="130" t="str">
        <f>CONCATENATE('3 pr-2'!I182)</f>
        <v>R</v>
      </c>
      <c r="J182" s="130" t="str">
        <f>CONCATENATE('3 pr-2'!J182)</f>
        <v>-</v>
      </c>
      <c r="K182" s="130" t="str">
        <f>CONCATENATE('3 pr-2'!K182)</f>
        <v>-</v>
      </c>
      <c r="L182" s="130"/>
      <c r="M182" s="471"/>
      <c r="N182" s="1699"/>
      <c r="O182" s="1699"/>
      <c r="P182" s="1699"/>
      <c r="Q182" s="1699"/>
      <c r="R182" s="1699"/>
      <c r="S182" s="1699"/>
      <c r="T182" s="1699"/>
      <c r="U182" s="1700">
        <f t="shared" ref="U182" si="762">SUM(N182:T182)</f>
        <v>0</v>
      </c>
      <c r="V182" s="130"/>
      <c r="W182" s="1757" t="str">
        <f>IF('ketv. 6 '!L181&gt;0,"taip","nėra")</f>
        <v>nėra</v>
      </c>
      <c r="X182" s="1732"/>
      <c r="Y182" s="1732">
        <f>IF(YEAR('3 pr-2'!$AK182)=2017,$V182,0)</f>
        <v>0</v>
      </c>
      <c r="Z182" s="1732">
        <f>IF(YEAR('3 pr-2'!$AK182)=2018,$V182,0)</f>
        <v>0</v>
      </c>
      <c r="AA182" s="1732">
        <f>IF(YEAR('3 pr-2'!$AK182)=2019,$V182,0)</f>
        <v>0</v>
      </c>
      <c r="AB182" s="1732">
        <f>IF(YEAR('3 pr-2'!$AK182)=2020,$V182,0)</f>
        <v>0</v>
      </c>
      <c r="AC182" s="1732">
        <f>IF(YEAR('3 pr-2'!$AK182)=2021,$V182,0)</f>
        <v>0</v>
      </c>
      <c r="AD182" s="1732">
        <f>IF(YEAR('3 pr-2'!$AK182)=2022,$V182,0)</f>
        <v>0</v>
      </c>
      <c r="AE182" s="1732">
        <f>IF(YEAR('3 pr-2'!$AK182)=2023,$V182,0)</f>
        <v>0</v>
      </c>
      <c r="AF182" s="317"/>
      <c r="AG182" s="672"/>
      <c r="AH182" s="1699"/>
      <c r="AI182" s="1699"/>
      <c r="AJ182" s="1699"/>
      <c r="AK182" s="1699"/>
      <c r="AL182" s="1699"/>
      <c r="AM182" s="1699"/>
      <c r="AN182" s="1699"/>
      <c r="AO182" s="1718">
        <f t="shared" ref="AO182" si="763">SUM(AH182:AN182)</f>
        <v>0</v>
      </c>
      <c r="AP182" s="130"/>
      <c r="AQ182" s="1778"/>
      <c r="AR182" s="1732"/>
      <c r="AS182" s="1732">
        <f>IF(YEAR('3 pr-2'!$AK182)=2017,$AP182,0)</f>
        <v>0</v>
      </c>
      <c r="AT182" s="1732">
        <f>IF(YEAR('3 pr-2'!$AK182)=2018,$AP182,0)</f>
        <v>0</v>
      </c>
      <c r="AU182" s="1732">
        <f>IF(YEAR('3 pr-2'!$AK182)=2019,$AP182,0)</f>
        <v>0</v>
      </c>
      <c r="AV182" s="1732">
        <f>IF(YEAR('3 pr-2'!$AK182)=2020,$AP182,0)</f>
        <v>0</v>
      </c>
      <c r="AW182" s="1732">
        <f>IF(YEAR('3 pr-2'!$AK182)=2021,$AP182,0)</f>
        <v>0</v>
      </c>
      <c r="AX182" s="1732">
        <f>IF(YEAR('3 pr-2'!$AK182)=2022,$AP182,0)</f>
        <v>0</v>
      </c>
      <c r="AY182" s="1732">
        <f>IF(YEAR('3 pr-2'!$AK182)=2023,$AP182,0)</f>
        <v>0</v>
      </c>
      <c r="AZ182" s="130"/>
      <c r="BA182" s="480"/>
      <c r="BB182" s="1699"/>
      <c r="BC182" s="1699"/>
      <c r="BD182" s="1699"/>
      <c r="BE182" s="1699"/>
      <c r="BF182" s="1699"/>
      <c r="BG182" s="1699"/>
      <c r="BH182" s="1699"/>
      <c r="BI182" s="1718">
        <f t="shared" ref="BI182" si="764">SUM(BB182:BH182)</f>
        <v>0</v>
      </c>
      <c r="BJ182" s="130"/>
      <c r="BK182" s="1501"/>
      <c r="BL182" s="130"/>
      <c r="BM182" s="130">
        <f>IF(YEAR('3 pr-2'!$AK182)=2017,$BJ182,0)</f>
        <v>0</v>
      </c>
      <c r="BN182" s="130">
        <f>IF(YEAR('3 pr-2'!$AK182)=2018,$BJ182,0)</f>
        <v>0</v>
      </c>
      <c r="BO182" s="130">
        <f>IF(YEAR('3 pr-2'!$AK182)=2019,$BJ182,0)</f>
        <v>0</v>
      </c>
      <c r="BP182" s="130">
        <f>IF(YEAR('3 pr-2'!$AK182)=2020,$BJ182,0)</f>
        <v>0</v>
      </c>
      <c r="BQ182" s="130">
        <f>IF(YEAR('3 pr-2'!$AK182)=2021,$BJ182,0)</f>
        <v>0</v>
      </c>
      <c r="BR182" s="130">
        <f>IF(YEAR('3 pr-2'!$AK182)=2022,$BJ182,0)</f>
        <v>0</v>
      </c>
      <c r="BS182" s="130">
        <f>IF(YEAR('3 pr-2'!$AK182)=2023,$BJ182,0)</f>
        <v>0</v>
      </c>
      <c r="BT182" s="317"/>
      <c r="BU182" s="672"/>
      <c r="BV182" s="1699"/>
      <c r="BW182" s="1699"/>
      <c r="BX182" s="1699"/>
      <c r="BY182" s="1699"/>
      <c r="BZ182" s="1699"/>
      <c r="CA182" s="1699"/>
      <c r="CB182" s="1699"/>
      <c r="CC182" s="1718">
        <f t="shared" ref="CC182" si="765">SUM(BV182:CB182)</f>
        <v>0</v>
      </c>
      <c r="CD182" s="130"/>
      <c r="CE182" s="130"/>
      <c r="CF182" s="130"/>
      <c r="CG182" s="130">
        <f>IF(YEAR('3 pr-2'!$AK182)=2017,$CD182,0)</f>
        <v>0</v>
      </c>
      <c r="CH182" s="130">
        <f>IF(YEAR('3 pr-2'!$AK182)=2018,$CD182,0)</f>
        <v>0</v>
      </c>
      <c r="CI182" s="130">
        <f>IF(YEAR('3 pr-2'!$AK182)=2019,$CD182,0)</f>
        <v>0</v>
      </c>
      <c r="CJ182" s="130">
        <f>IF(YEAR('3 pr-2'!$AK182)=2020,$CD182,0)</f>
        <v>0</v>
      </c>
      <c r="CK182" s="130">
        <f>IF(YEAR('3 pr-2'!$AK182)=2021,$CD182,0)</f>
        <v>0</v>
      </c>
      <c r="CL182" s="130">
        <f>IF(YEAR('3 pr-2'!$AK182)=2022,$CD182,0)</f>
        <v>0</v>
      </c>
      <c r="CM182" s="130">
        <f>IF(YEAR('3 pr-2'!$AK182)=2023,$CD182,0)</f>
        <v>0</v>
      </c>
      <c r="CN182" s="317" t="s">
        <v>534</v>
      </c>
      <c r="CO182" s="831" t="s">
        <v>535</v>
      </c>
      <c r="CP182" s="1699"/>
      <c r="CQ182" s="1699"/>
      <c r="CR182" s="1699"/>
      <c r="CS182" s="1699"/>
      <c r="CT182" s="1699"/>
      <c r="CU182" s="1699"/>
      <c r="CV182" s="1699"/>
      <c r="CW182" s="1718">
        <f t="shared" ref="CW182" si="766">SUM(CP182:CV182)</f>
        <v>0</v>
      </c>
      <c r="CX182" s="318">
        <v>1</v>
      </c>
      <c r="CY182" s="303"/>
      <c r="CZ182" s="303"/>
      <c r="DA182" s="506">
        <f>IF(YEAR('3 pr-2'!AK182)=2017,CX182,0)</f>
        <v>0</v>
      </c>
      <c r="DB182" s="506">
        <f>IF(YEAR('3 pr-2'!AK182)=2018,CX182,0)</f>
        <v>0</v>
      </c>
      <c r="DC182" s="506">
        <f>IF(YEAR('3 pr-2'!AK182)=2019,CX182,0)</f>
        <v>0</v>
      </c>
      <c r="DD182" s="506">
        <f>IF(YEAR('3 pr-2'!AK182)=2020,CX182,0)</f>
        <v>1</v>
      </c>
      <c r="DE182" s="506">
        <f>IF(YEAR('3 pr-2'!AK182)=2021,CX182,0)</f>
        <v>0</v>
      </c>
      <c r="DF182" s="506">
        <f>IF(YEAR('3 pr-2'!AK182)=2022,CX182,0)</f>
        <v>0</v>
      </c>
      <c r="DG182" s="506">
        <f>IF(YEAR('3 pr-2'!AK182)=2023,CX182,0)</f>
        <v>0</v>
      </c>
      <c r="DH182" s="317"/>
      <c r="DI182" s="831"/>
      <c r="DJ182" s="130"/>
      <c r="DK182" s="130"/>
      <c r="DL182" s="130"/>
      <c r="DM182" s="130"/>
      <c r="DN182" s="130"/>
      <c r="DO182" s="130"/>
      <c r="DP182" s="130"/>
      <c r="DQ182" s="756"/>
      <c r="DR182" s="318"/>
      <c r="DS182" s="303"/>
      <c r="DT182" s="303"/>
      <c r="DU182" s="506"/>
      <c r="DV182" s="506"/>
      <c r="DW182" s="506"/>
      <c r="DX182" s="506"/>
      <c r="DY182" s="506"/>
      <c r="DZ182" s="506"/>
      <c r="EA182" s="506"/>
      <c r="EB182" s="317"/>
      <c r="EC182" s="831"/>
      <c r="ED182" s="303"/>
      <c r="EE182" s="303"/>
      <c r="EF182" s="303"/>
      <c r="EG182" s="506">
        <f>IF(YEAR('3 pr-2'!BP182)=2017,ED182,0)</f>
        <v>0</v>
      </c>
      <c r="EH182" s="506">
        <f>IF(YEAR('3 pr-2'!BP182)=2018,ED182,0)</f>
        <v>0</v>
      </c>
      <c r="EI182" s="506">
        <f>IF(YEAR('3 pr-2'!BP182)=2019,ED182,0)</f>
        <v>0</v>
      </c>
      <c r="EJ182" s="506">
        <f>IF(YEAR('3 pr-2'!BP182)=2020,ED182,0)</f>
        <v>0</v>
      </c>
      <c r="EK182" s="506">
        <f>IF(YEAR('3 pr-2'!BP182)=2021,ED182,0)</f>
        <v>0</v>
      </c>
      <c r="EL182" s="506">
        <f>IF(YEAR('3 pr-2'!BP182)=2022,ED182,0)</f>
        <v>0</v>
      </c>
      <c r="EM182" s="506">
        <f>IF(YEAR('3 pr-2'!BP182)=2023,ED182,0)</f>
        <v>0</v>
      </c>
    </row>
    <row r="183" spans="1:143">
      <c r="V183" s="84"/>
      <c r="W183" s="1773"/>
      <c r="X183" s="1773"/>
      <c r="Y183" s="1773"/>
    </row>
    <row r="184" spans="1:143">
      <c r="L184" s="322"/>
    </row>
    <row r="185" spans="1:143">
      <c r="V185" s="85"/>
      <c r="W185" s="1774"/>
      <c r="X185" s="1774"/>
      <c r="Y185" s="1774"/>
    </row>
  </sheetData>
  <autoFilter ref="A6:EM182" xr:uid="{00000000-0009-0000-0000-000004000000}"/>
  <mergeCells count="86">
    <mergeCell ref="EB4:EB5"/>
    <mergeCell ref="DU5:EA5"/>
    <mergeCell ref="EG5:EM5"/>
    <mergeCell ref="DH4:DH5"/>
    <mergeCell ref="DJ4:DQ4"/>
    <mergeCell ref="DR4:DR5"/>
    <mergeCell ref="ED4:ED5"/>
    <mergeCell ref="EE4:EE5"/>
    <mergeCell ref="EF4:EF5"/>
    <mergeCell ref="B141:K141"/>
    <mergeCell ref="B147:K147"/>
    <mergeCell ref="B148:K148"/>
    <mergeCell ref="B154:K154"/>
    <mergeCell ref="B160:K160"/>
    <mergeCell ref="B161:K161"/>
    <mergeCell ref="B168:K168"/>
    <mergeCell ref="B169:K169"/>
    <mergeCell ref="B172:K172"/>
    <mergeCell ref="B173:K173"/>
    <mergeCell ref="B170:K170"/>
    <mergeCell ref="A4:A5"/>
    <mergeCell ref="AF4:AF5"/>
    <mergeCell ref="B121:K121"/>
    <mergeCell ref="B114:K114"/>
    <mergeCell ref="B102:K102"/>
    <mergeCell ref="B108:K108"/>
    <mergeCell ref="B120:K120"/>
    <mergeCell ref="B56:K56"/>
    <mergeCell ref="B62:K62"/>
    <mergeCell ref="B58:K58"/>
    <mergeCell ref="B67:K67"/>
    <mergeCell ref="B74:K74"/>
    <mergeCell ref="B73:K73"/>
    <mergeCell ref="B79:K79"/>
    <mergeCell ref="B86:K86"/>
    <mergeCell ref="B92:K92"/>
    <mergeCell ref="B135:K135"/>
    <mergeCell ref="BB4:BI4"/>
    <mergeCell ref="BV4:CC4"/>
    <mergeCell ref="B33:K33"/>
    <mergeCell ref="B39:K39"/>
    <mergeCell ref="B46:K46"/>
    <mergeCell ref="B50:K50"/>
    <mergeCell ref="B4:B5"/>
    <mergeCell ref="B7:K7"/>
    <mergeCell ref="B8:K8"/>
    <mergeCell ref="B9:K9"/>
    <mergeCell ref="E4:E5"/>
    <mergeCell ref="D4:D5"/>
    <mergeCell ref="B100:K100"/>
    <mergeCell ref="B101:K101"/>
    <mergeCell ref="AS5:AY5"/>
    <mergeCell ref="AZ4:AZ5"/>
    <mergeCell ref="BJ4:BJ5"/>
    <mergeCell ref="N4:U4"/>
    <mergeCell ref="AH4:AO4"/>
    <mergeCell ref="L4:L5"/>
    <mergeCell ref="W4:W5"/>
    <mergeCell ref="X4:X5"/>
    <mergeCell ref="AQ4:AQ5"/>
    <mergeCell ref="AR4:AR5"/>
    <mergeCell ref="AP4:AP5"/>
    <mergeCell ref="F4:F5"/>
    <mergeCell ref="Y5:AE5"/>
    <mergeCell ref="V4:V5"/>
    <mergeCell ref="J4:J5"/>
    <mergeCell ref="I4:I5"/>
    <mergeCell ref="H4:H5"/>
    <mergeCell ref="G4:G5"/>
    <mergeCell ref="K4:K5"/>
    <mergeCell ref="CY4:CY5"/>
    <mergeCell ref="CZ4:CZ5"/>
    <mergeCell ref="DS4:DS5"/>
    <mergeCell ref="DT4:DT5"/>
    <mergeCell ref="BK4:BK5"/>
    <mergeCell ref="BL4:BL5"/>
    <mergeCell ref="CE4:CE5"/>
    <mergeCell ref="CF4:CF5"/>
    <mergeCell ref="DA5:DG5"/>
    <mergeCell ref="CG5:CM5"/>
    <mergeCell ref="BM5:BS5"/>
    <mergeCell ref="BT4:BT5"/>
    <mergeCell ref="CD4:CD5"/>
    <mergeCell ref="CN4:CN5"/>
    <mergeCell ref="CX4:CX5"/>
    <mergeCell ref="CP4:CW4"/>
  </mergeCells>
  <pageMargins left="0.23622047244094491" right="0.23622047244094491" top="0.74803149606299213" bottom="0.55118110236220474" header="0.31496062992125984" footer="0.31496062992125984"/>
  <pageSetup paperSize="8" scale="76" fitToHeight="0" orientation="landscape" r:id="rId1"/>
  <headerFooter>
    <oddHeader>&amp;C&amp;"Times New Roman,Paprastas"&amp;12Alytaus regiono 2014 – 2020 metų plėtros planas</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51"/>
  <sheetViews>
    <sheetView showGridLines="0" showRuler="0" topLeftCell="A2" zoomScaleNormal="100" workbookViewId="0">
      <pane ySplit="1650" topLeftCell="A7"/>
      <selection activeCell="O20" sqref="O20"/>
      <selection pane="bottomLeft" activeCell="O20" sqref="O20"/>
    </sheetView>
  </sheetViews>
  <sheetFormatPr defaultColWidth="9.140625" defaultRowHeight="15.75"/>
  <cols>
    <col min="1" max="1" width="9.140625" style="117"/>
    <col min="2" max="2" width="116.140625" style="117" customWidth="1"/>
    <col min="3" max="3" width="23.85546875" style="117" customWidth="1"/>
    <col min="4" max="4" width="10.28515625" style="131" bestFit="1" customWidth="1"/>
    <col min="5" max="6" width="9.140625" style="131"/>
    <col min="7" max="7" width="10.140625" style="131" customWidth="1"/>
    <col min="8" max="16384" width="9.140625" style="131"/>
  </cols>
  <sheetData>
    <row r="1" spans="1:3" ht="16.5" thickBot="1">
      <c r="A1" s="437" t="s">
        <v>1370</v>
      </c>
    </row>
    <row r="2" spans="1:3" ht="51" thickBot="1">
      <c r="A2" s="440" t="s">
        <v>366</v>
      </c>
      <c r="B2" s="118" t="s">
        <v>1376</v>
      </c>
      <c r="C2" s="441" t="s">
        <v>1377</v>
      </c>
    </row>
    <row r="3" spans="1:3" ht="16.5" thickBot="1">
      <c r="A3" s="119" t="s">
        <v>448</v>
      </c>
      <c r="B3" s="120" t="s">
        <v>449</v>
      </c>
      <c r="C3" s="121">
        <f>SUMIF('3 pr-3'!$L$10:$L$182,A3,'3 pr-3'!$V$10:$V$182)+SUMIF('3 pr-3'!$AF$10:$AF$182,A3,'3 pr-3'!$AP$10:$AP$182)+SUMIF('3 pr-3'!$AZ$10:$AZ$182,A3,'3 pr-3'!$BJ$10:$BJ$182)+SUMIF('3 pr-3'!$BT$10:$BT$182,A3,'3 pr-3'!$CD$10:$CD$182)+SUMIF('3 pr-3'!$CN$10:$CN$182,A3,'3 pr-3'!$CX$10:$CX$182)</f>
        <v>36</v>
      </c>
    </row>
    <row r="4" spans="1:3" ht="32.25" thickBot="1">
      <c r="A4" s="119" t="s">
        <v>450</v>
      </c>
      <c r="B4" s="120" t="s">
        <v>451</v>
      </c>
      <c r="C4" s="121">
        <f>SUMIF('3 pr-3'!$L$10:$L$182,A4,'3 pr-3'!$V$10:$V$182)+SUMIF('3 pr-3'!$AF$10:$AF$182,A4,'3 pr-3'!$AP$10:$AP$182)+SUMIF('3 pr-3'!$AZ$10:$AZ$182,A4,'3 pr-3'!$BJ$10:$BJ$182)+SUMIF('3 pr-3'!$BT$10:$BT$182,A4,'3 pr-3'!$CD$10:$CD$182)+SUMIF('3 pr-3'!$CN$10:$CN$182,A4,'3 pr-3'!$CX$10:$CX$182)</f>
        <v>7557</v>
      </c>
    </row>
    <row r="5" spans="1:3" ht="16.5" thickBot="1">
      <c r="A5" s="119" t="s">
        <v>452</v>
      </c>
      <c r="B5" s="120" t="s">
        <v>453</v>
      </c>
      <c r="C5" s="121">
        <f>SUMIF('3 pr-3'!$L$10:$L$182,A5,'3 pr-3'!$V$10:$V$182)+SUMIF('3 pr-3'!$AF$10:$AF$182,A5,'3 pr-3'!$AP$10:$AP$182)+SUMIF('3 pr-3'!$AZ$10:$AZ$182,A5,'3 pr-3'!$BJ$10:$BJ$182)+SUMIF('3 pr-3'!$BT$10:$BT$182,A5,'3 pr-3'!$CD$10:$CD$182)+SUMIF('3 pr-3'!$CN$10:$CN$182,A5,'3 pr-3'!$CX$10:$CX$182)</f>
        <v>23</v>
      </c>
    </row>
    <row r="6" spans="1:3" ht="32.25" thickBot="1">
      <c r="A6" s="673" t="s">
        <v>1382</v>
      </c>
      <c r="B6" s="674" t="s">
        <v>1383</v>
      </c>
      <c r="C6" s="121">
        <f>SUMIF('3 pr-3'!$L$10:$L$182,A6,'3 pr-3'!$V$10:$V$182)+SUMIF('3 pr-3'!$AF$10:$AF$182,A6,'3 pr-3'!$AP$10:$AP$182)+SUMIF('3 pr-3'!$AZ$10:$AZ$182,A6,'3 pr-3'!$BJ$10:$BJ$182)+SUMIF('3 pr-3'!$BT$10:$BT$182,A6,'3 pr-3'!$CD$10:$CD$182)+SUMIF('3 pr-3'!$CN$10:$CN$182,A6,'3 pr-3'!$CX$10:$CX$182)</f>
        <v>10401</v>
      </c>
    </row>
    <row r="7" spans="1:3" ht="17.25" customHeight="1" thickBot="1">
      <c r="A7" s="119" t="s">
        <v>498</v>
      </c>
      <c r="B7" s="120" t="s">
        <v>569</v>
      </c>
      <c r="C7" s="1088">
        <f>SUMIF('3 pr-3'!$L$10:$L$182,A7,'3 pr-3'!$V$10:$V$182)+SUMIF('3 pr-3'!$AF$10:$AF$182,A7,'3 pr-3'!$AP$10:$AP$182)+SUMIF('3 pr-3'!$AZ$10:$AZ$182,A7,'3 pr-3'!$BJ$10:$BJ$182)+SUMIF('3 pr-3'!$BT$10:$BT$182,A7,'3 pr-3'!$CD$10:$CD$182)+SUMIF('3 pr-3'!$CN$10:$CN$182,A7,'3 pr-3'!$CX$10:$CX$182)</f>
        <v>3.37</v>
      </c>
    </row>
    <row r="8" spans="1:3" ht="16.5" thickBot="1">
      <c r="A8" s="119" t="s">
        <v>506</v>
      </c>
      <c r="B8" s="120" t="s">
        <v>507</v>
      </c>
      <c r="C8" s="121">
        <f>SUMIF('3 pr-3'!$L$10:$L$182,A8,'3 pr-3'!$V$10:$V$182)+SUMIF('3 pr-3'!$AF$10:$AF$182,A8,'3 pr-3'!$AP$10:$AP$182)+SUMIF('3 pr-3'!$AZ$10:$AZ$182,A8,'3 pr-3'!$BJ$10:$BJ$182)+SUMIF('3 pr-3'!$BT$10:$BT$182,A8,'3 pr-3'!$CD$10:$CD$182)+SUMIF('3 pr-3'!$CN$10:$CN$182,A8,'3 pr-3'!$CX$10:$CX$182)</f>
        <v>5996</v>
      </c>
    </row>
    <row r="9" spans="1:3" ht="16.5" thickBot="1">
      <c r="A9" s="119" t="s">
        <v>512</v>
      </c>
      <c r="B9" s="120" t="s">
        <v>513</v>
      </c>
      <c r="C9" s="121">
        <f>SUMIF('3 pr-3'!$L$10:$L$182,A9,'3 pr-3'!$V$10:$V$182)+SUMIF('3 pr-3'!$AF$10:$AF$182,A9,'3 pr-3'!$AP$10:$AP$182)+SUMIF('3 pr-3'!$AZ$10:$AZ$182,A9,'3 pr-3'!$BJ$10:$BJ$182)+SUMIF('3 pr-3'!$BT$10:$BT$182,A9,'3 pr-3'!$CD$10:$CD$182)+SUMIF('3 pr-3'!$CN$10:$CN$182,A9,'3 pr-3'!$CX$10:$CX$182)</f>
        <v>51903</v>
      </c>
    </row>
    <row r="10" spans="1:3" ht="16.5" thickBot="1">
      <c r="A10" s="119" t="s">
        <v>459</v>
      </c>
      <c r="B10" s="120" t="s">
        <v>570</v>
      </c>
      <c r="C10" s="121">
        <f>SUMIF('3 pr-3'!$L$10:$L$182,A10,'3 pr-3'!$V$10:$V$182)+SUMIF('3 pr-3'!$AF$10:$AF$182,A10,'3 pr-3'!$AP$10:$AP$182)+SUMIF('3 pr-3'!$AZ$10:$AZ$182,A10,'3 pr-3'!$BJ$10:$BJ$182)+SUMIF('3 pr-3'!$BT$10:$BT$182,A10,'3 pr-3'!$CD$10:$CD$182)+SUMIF('3 pr-3'!$CN$10:$CN$182,A10,'3 pr-3'!$CX$10:$CX$182)</f>
        <v>268645.62</v>
      </c>
    </row>
    <row r="11" spans="1:3" ht="16.5" thickBot="1">
      <c r="A11" s="119" t="s">
        <v>461</v>
      </c>
      <c r="B11" s="120" t="s">
        <v>462</v>
      </c>
      <c r="C11" s="121">
        <f>SUMIF('3 pr-3'!$L$10:$L$182,A11,'3 pr-3'!$V$10:$V$182)+SUMIF('3 pr-3'!$AF$10:$AF$182,A11,'3 pr-3'!$AP$10:$AP$182)+SUMIF('3 pr-3'!$AZ$10:$AZ$182,A11,'3 pr-3'!$BJ$10:$BJ$182)+SUMIF('3 pr-3'!$BT$10:$BT$182,A11,'3 pr-3'!$CD$10:$CD$182)+SUMIF('3 pr-3'!$CN$10:$CN$182,A11,'3 pr-3'!$CX$10:$CX$182)</f>
        <v>725.53</v>
      </c>
    </row>
    <row r="12" spans="1:3" ht="16.5" thickBot="1">
      <c r="A12" s="119" t="s">
        <v>479</v>
      </c>
      <c r="B12" s="120" t="s">
        <v>480</v>
      </c>
      <c r="C12" s="121">
        <f>SUMIF('3 pr-3'!$L$10:$L$182,A12,'3 pr-3'!$V$10:$V$182)+SUMIF('3 pr-3'!$AF$10:$AF$182,A12,'3 pr-3'!$AP$10:$AP$182)+SUMIF('3 pr-3'!$AZ$10:$AZ$182,A12,'3 pr-3'!$BJ$10:$BJ$182)+SUMIF('3 pr-3'!$BT$10:$BT$182,A12,'3 pr-3'!$CD$10:$CD$182)+SUMIF('3 pr-3'!$CN$10:$CN$182,A12,'3 pr-3'!$CX$10:$CX$182)</f>
        <v>26</v>
      </c>
    </row>
    <row r="13" spans="1:3" ht="16.5" thickBot="1">
      <c r="A13" s="119" t="s">
        <v>464</v>
      </c>
      <c r="B13" s="120" t="s">
        <v>571</v>
      </c>
      <c r="C13" s="121">
        <f>SUMIF('3 pr-3'!$L$10:$L$182,A13,'3 pr-3'!$V$10:$V$182)+SUMIF('3 pr-3'!$AF$10:$AF$182,A13,'3 pr-3'!$AP$10:$AP$182)+SUMIF('3 pr-3'!$AZ$10:$AZ$182,A13,'3 pr-3'!$BJ$10:$BJ$182)+SUMIF('3 pr-3'!$BT$10:$BT$182,A13,'3 pr-3'!$CD$10:$CD$182)+SUMIF('3 pr-3'!$CN$10:$CN$182,A13,'3 pr-3'!$CX$10:$CX$182)</f>
        <v>946</v>
      </c>
    </row>
    <row r="14" spans="1:3" ht="32.25" thickBot="1">
      <c r="A14" s="119" t="s">
        <v>472</v>
      </c>
      <c r="B14" s="120" t="s">
        <v>473</v>
      </c>
      <c r="C14" s="121">
        <f>SUMIF('3 pr-3'!$L$10:$L$182,A14,'3 pr-3'!$V$10:$V$182)+SUMIF('3 pr-3'!$AF$10:$AF$182,A14,'3 pr-3'!$AP$10:$AP$182)+SUMIF('3 pr-3'!$AZ$10:$AZ$182,A14,'3 pr-3'!$BJ$10:$BJ$182)+SUMIF('3 pr-3'!$BT$10:$BT$182,A14,'3 pr-3'!$CD$10:$CD$182)+SUMIF('3 pr-3'!$CN$10:$CN$182,A14,'3 pr-3'!$CX$10:$CX$182)</f>
        <v>41611</v>
      </c>
    </row>
    <row r="15" spans="1:3" ht="16.5" thickBot="1">
      <c r="A15" s="119" t="s">
        <v>466</v>
      </c>
      <c r="B15" s="120" t="s">
        <v>572</v>
      </c>
      <c r="C15" s="121">
        <f>SUMIF('3 pr-3'!$L$10:$L$182,A15,'3 pr-3'!$V$10:$V$182)+SUMIF('3 pr-3'!$AF$10:$AF$182,A15,'3 pr-3'!$AP$10:$AP$182)+SUMIF('3 pr-3'!$AZ$10:$AZ$182,A15,'3 pr-3'!$BJ$10:$BJ$182)+SUMIF('3 pr-3'!$BT$10:$BT$182,A15,'3 pr-3'!$CD$10:$CD$182)+SUMIF('3 pr-3'!$CN$10:$CN$182,A15,'3 pr-3'!$CX$10:$CX$182)</f>
        <v>1486</v>
      </c>
    </row>
    <row r="16" spans="1:3" ht="16.5" thickBot="1">
      <c r="A16" s="119" t="s">
        <v>468</v>
      </c>
      <c r="B16" s="120" t="s">
        <v>476</v>
      </c>
      <c r="C16" s="121">
        <f>SUMIF('3 pr-3'!$L$10:$L$182,A16,'3 pr-3'!$V$10:$V$182)+SUMIF('3 pr-3'!$AF$10:$AF$182,A16,'3 pr-3'!$AP$10:$AP$182)+SUMIF('3 pr-3'!$AZ$10:$AZ$182,A16,'3 pr-3'!$BJ$10:$BJ$182)+SUMIF('3 pr-3'!$BT$10:$BT$182,A16,'3 pr-3'!$CD$10:$CD$182)+SUMIF('3 pr-3'!$CN$10:$CN$182,A16,'3 pr-3'!$CX$10:$CX$182)</f>
        <v>1449</v>
      </c>
    </row>
    <row r="17" spans="1:3" ht="16.5" thickBot="1">
      <c r="A17" s="119" t="s">
        <v>536</v>
      </c>
      <c r="B17" s="120" t="s">
        <v>539</v>
      </c>
      <c r="C17" s="121">
        <f>SUMIF('3 pr-3'!$L$10:$L$182,A17,'3 pr-3'!$V$10:$V$182)+SUMIF('3 pr-3'!$AF$10:$AF$182,A17,'3 pr-3'!$AP$10:$AP$182)+SUMIF('3 pr-3'!$AZ$10:$AZ$182,A17,'3 pr-3'!$BJ$10:$BJ$182)+SUMIF('3 pr-3'!$BT$10:$BT$182,A17,'3 pr-3'!$CD$10:$CD$182)+SUMIF('3 pr-3'!$CN$10:$CN$182,A17,'3 pr-3'!$CX$10:$CX$182)</f>
        <v>2</v>
      </c>
    </row>
    <row r="18" spans="1:3" ht="16.5" thickBot="1">
      <c r="A18" s="119" t="s">
        <v>531</v>
      </c>
      <c r="B18" s="120" t="s">
        <v>573</v>
      </c>
      <c r="C18" s="121">
        <f>SUMIF('3 pr-3'!$L$10:$L$182,A18,'3 pr-3'!$V$10:$V$182)+SUMIF('3 pr-3'!$AF$10:$AF$182,A18,'3 pr-3'!$AP$10:$AP$182)+SUMIF('3 pr-3'!$AZ$10:$AZ$182,A18,'3 pr-3'!$BJ$10:$BJ$182)+SUMIF('3 pr-3'!$BT$10:$BT$182,A18,'3 pr-3'!$CD$10:$CD$182)+SUMIF('3 pr-3'!$CN$10:$CN$182,A18,'3 pr-3'!$CX$10:$CX$182)</f>
        <v>112</v>
      </c>
    </row>
    <row r="19" spans="1:3" ht="16.5" thickBot="1">
      <c r="A19" s="119" t="s">
        <v>532</v>
      </c>
      <c r="B19" s="120" t="s">
        <v>533</v>
      </c>
      <c r="C19" s="121">
        <f>SUMIF('3 pr-3'!$L$10:$L$182,A19,'3 pr-3'!$V$10:$V$182)+SUMIF('3 pr-3'!$AF$10:$AF$182,A19,'3 pr-3'!$AP$10:$AP$182)+SUMIF('3 pr-3'!$AZ$10:$AZ$182,A19,'3 pr-3'!$BJ$10:$BJ$182)+SUMIF('3 pr-3'!$BT$10:$BT$182,A19,'3 pr-3'!$CD$10:$CD$182)+SUMIF('3 pr-3'!$CN$10:$CN$182,A19,'3 pr-3'!$CX$10:$CX$182)</f>
        <v>3</v>
      </c>
    </row>
    <row r="20" spans="1:3" ht="16.5" thickBot="1">
      <c r="A20" s="119" t="s">
        <v>483</v>
      </c>
      <c r="B20" s="120" t="s">
        <v>574</v>
      </c>
      <c r="C20" s="121">
        <f>SUMIF('3 pr-3'!$L$10:$L$182,A20,'3 pr-3'!$V$10:$V$182)+SUMIF('3 pr-3'!$AF$10:$AF$182,A20,'3 pr-3'!$AP$10:$AP$182)+SUMIF('3 pr-3'!$AZ$10:$AZ$182,A20,'3 pr-3'!$BJ$10:$BJ$182)+SUMIF('3 pr-3'!$BT$10:$BT$182,A20,'3 pr-3'!$CD$10:$CD$182)+SUMIF('3 pr-3'!$CN$10:$CN$182,A20,'3 pr-3'!$CX$10:$CX$182)</f>
        <v>5</v>
      </c>
    </row>
    <row r="21" spans="1:3" ht="16.5" thickBot="1">
      <c r="A21" s="119" t="s">
        <v>792</v>
      </c>
      <c r="B21" s="120" t="s">
        <v>793</v>
      </c>
      <c r="C21" s="121">
        <f>SUMIF('3 pr-3'!$L$10:$L$182,A21,'3 pr-3'!$V$10:$V$182)+SUMIF('3 pr-3'!$AF$10:$AF$182,A21,'3 pr-3'!$AP$10:$AP$182)+SUMIF('3 pr-3'!$AZ$10:$AZ$182,A21,'3 pr-3'!$BJ$10:$BJ$182)+SUMIF('3 pr-3'!$BT$10:$BT$182,A21,'3 pr-3'!$CD$10:$CD$182)+SUMIF('3 pr-3'!$CN$10:$CN$182,A21,'3 pr-3'!$CX$10:$CX$182)</f>
        <v>2</v>
      </c>
    </row>
    <row r="22" spans="1:3" ht="16.5" thickBot="1">
      <c r="A22" s="119" t="s">
        <v>502</v>
      </c>
      <c r="B22" s="120" t="s">
        <v>503</v>
      </c>
      <c r="C22" s="1088">
        <f>SUMIF('3 pr-3'!$L$10:$L$182,A22,'3 pr-3'!$V$10:$V$182)+SUMIF('3 pr-3'!$AF$10:$AF$182,A22,'3 pr-3'!$AP$10:$AP$182)+SUMIF('3 pr-3'!$AZ$10:$AZ$182,A22,'3 pr-3'!$BJ$10:$BJ$182)+SUMIF('3 pr-3'!$BT$10:$BT$182,A22,'3 pr-3'!$CD$10:$CD$182)+SUMIF('3 pr-3'!$CN$10:$CN$182,A22,'3 pr-3'!$CX$10:$CX$182)</f>
        <v>0.72</v>
      </c>
    </row>
    <row r="23" spans="1:3" ht="32.25" thickBot="1">
      <c r="A23" s="120" t="s">
        <v>1193</v>
      </c>
      <c r="B23" s="120" t="s">
        <v>1194</v>
      </c>
      <c r="C23" s="121">
        <f>SUMIF('3 pr-3'!$L$10:$L$182,A23,'3 pr-3'!$V$10:$V$182)+SUMIF('3 pr-3'!$AF$10:$AF$182,A23,'3 pr-3'!$AP$10:$AP$182)+SUMIF('3 pr-3'!$AZ$10:$AZ$182,A23,'3 pr-3'!$BJ$10:$BJ$182)+SUMIF('3 pr-3'!$BT$10:$BT$182,A23,'3 pr-3'!$CD$10:$CD$182)+SUMIF('3 pr-3'!$CN$10:$CN$182,A23,'3 pr-3'!$CX$10:$CX$182)</f>
        <v>180</v>
      </c>
    </row>
    <row r="24" spans="1:3" ht="16.5" thickBot="1">
      <c r="A24" s="558" t="s">
        <v>1182</v>
      </c>
      <c r="B24" s="558" t="s">
        <v>1183</v>
      </c>
      <c r="C24" s="121">
        <f>SUMIF('3 pr-3'!$L$10:$L$182,A24,'3 pr-3'!$V$10:$V$182)+SUMIF('3 pr-3'!$AF$10:$AF$182,A24,'3 pr-3'!$AP$10:$AP$182)+SUMIF('3 pr-3'!$AZ$10:$AZ$182,A24,'3 pr-3'!$BJ$10:$BJ$182)+SUMIF('3 pr-3'!$BT$10:$BT$182,A24,'3 pr-3'!$CD$10:$CD$182)+SUMIF('3 pr-3'!$CN$10:$CN$182,A24,'3 pr-3'!$CX$10:$CX$182)</f>
        <v>2</v>
      </c>
    </row>
    <row r="25" spans="1:3" ht="16.5" thickBot="1">
      <c r="A25" s="119" t="s">
        <v>510</v>
      </c>
      <c r="B25" s="120" t="s">
        <v>575</v>
      </c>
      <c r="C25" s="121">
        <f>SUMIF('3 pr-3'!$L$10:$L$182,A25,'3 pr-3'!$V$10:$V$182)+SUMIF('3 pr-3'!$AF$10:$AF$182,A25,'3 pr-3'!$AP$10:$AP$182)+SUMIF('3 pr-3'!$AZ$10:$AZ$182,A25,'3 pr-3'!$BJ$10:$BJ$182)+SUMIF('3 pr-3'!$BT$10:$BT$182,A25,'3 pr-3'!$CD$10:$CD$182)+SUMIF('3 pr-3'!$CN$10:$CN$182,A25,'3 pr-3'!$CX$10:$CX$182)</f>
        <v>7</v>
      </c>
    </row>
    <row r="26" spans="1:3" ht="16.5" thickBot="1">
      <c r="A26" s="119" t="s">
        <v>504</v>
      </c>
      <c r="B26" s="120" t="s">
        <v>576</v>
      </c>
      <c r="C26" s="121">
        <f>SUMIF('3 pr-3'!$L$10:$L$182,A26,'3 pr-3'!$V$10:$V$182)+SUMIF('3 pr-3'!$AF$10:$AF$182,A26,'3 pr-3'!$AP$10:$AP$182)+SUMIF('3 pr-3'!$AZ$10:$AZ$182,A26,'3 pr-3'!$BJ$10:$BJ$182)+SUMIF('3 pr-3'!$BT$10:$BT$182,A26,'3 pr-3'!$CD$10:$CD$182)+SUMIF('3 pr-3'!$CN$10:$CN$182,A26,'3 pr-3'!$CX$10:$CX$182)</f>
        <v>8</v>
      </c>
    </row>
    <row r="27" spans="1:3" ht="16.5" thickBot="1">
      <c r="A27" s="123" t="s">
        <v>508</v>
      </c>
      <c r="B27" s="124" t="s">
        <v>577</v>
      </c>
      <c r="C27" s="121">
        <f>SUMIF('3 pr-3'!$L$10:$L$182,A27,'3 pr-3'!$V$10:$V$182)+SUMIF('3 pr-3'!$AF$10:$AF$182,A27,'3 pr-3'!$AP$10:$AP$182)+SUMIF('3 pr-3'!$AZ$10:$AZ$182,A27,'3 pr-3'!$BJ$10:$BJ$182)+SUMIF('3 pr-3'!$BT$10:$BT$182,A27,'3 pr-3'!$CD$10:$CD$182)+SUMIF('3 pr-3'!$CN$10:$CN$182,A27,'3 pr-3'!$CX$10:$CX$182)</f>
        <v>5</v>
      </c>
    </row>
    <row r="28" spans="1:3" ht="16.5" thickBot="1">
      <c r="A28" s="126" t="s">
        <v>589</v>
      </c>
      <c r="B28" s="126" t="s">
        <v>590</v>
      </c>
      <c r="C28" s="121">
        <f>SUMIF('3 pr-3'!$L$10:$L$182,A28,'3 pr-3'!$V$10:$V$182)+SUMIF('3 pr-3'!$AF$10:$AF$182,A28,'3 pr-3'!$AP$10:$AP$182)+SUMIF('3 pr-3'!$AZ$10:$AZ$182,A28,'3 pr-3'!$BJ$10:$BJ$182)+SUMIF('3 pr-3'!$BT$10:$BT$182,A28,'3 pr-3'!$CD$10:$CD$182)+SUMIF('3 pr-3'!$CN$10:$CN$182,A28,'3 pr-3'!$CX$10:$CX$182)</f>
        <v>18</v>
      </c>
    </row>
    <row r="29" spans="1:3" ht="16.5" thickBot="1">
      <c r="A29" s="154" t="s">
        <v>481</v>
      </c>
      <c r="B29" s="125" t="s">
        <v>482</v>
      </c>
      <c r="C29" s="121">
        <f>SUMIF('3 pr-3'!$L$10:$L$182,A29,'3 pr-3'!$V$10:$V$182)+SUMIF('3 pr-3'!$AF$10:$AF$182,A29,'3 pr-3'!$AP$10:$AP$182)+SUMIF('3 pr-3'!$AZ$10:$AZ$182,A29,'3 pr-3'!$BJ$10:$BJ$182)+SUMIF('3 pr-3'!$BT$10:$BT$182,A29,'3 pr-3'!$CD$10:$CD$182)+SUMIF('3 pr-3'!$CN$10:$CN$182,A29,'3 pr-3'!$CX$10:$CX$182)</f>
        <v>633</v>
      </c>
    </row>
    <row r="30" spans="1:3" ht="16.5" thickBot="1">
      <c r="A30" s="119" t="s">
        <v>779</v>
      </c>
      <c r="B30" s="119" t="s">
        <v>525</v>
      </c>
      <c r="C30" s="121">
        <f>SUMIF('3 pr-3'!$L$10:$L$182,A30,'3 pr-3'!$V$10:$V$182)+SUMIF('3 pr-3'!$AF$10:$AF$182,A30,'3 pr-3'!$AP$10:$AP$182)+SUMIF('3 pr-3'!$AZ$10:$AZ$182,A30,'3 pr-3'!$BJ$10:$BJ$182)+SUMIF('3 pr-3'!$BT$10:$BT$182,A30,'3 pr-3'!$CD$10:$CD$182)+SUMIF('3 pr-3'!$CN$10:$CN$182,A30,'3 pr-3'!$CX$10:$CX$182)</f>
        <v>3</v>
      </c>
    </row>
    <row r="31" spans="1:3" ht="16.5" thickBot="1">
      <c r="A31" s="126" t="s">
        <v>493</v>
      </c>
      <c r="B31" s="126" t="s">
        <v>578</v>
      </c>
      <c r="C31" s="1088">
        <f>SUMIF('3 pr-3'!$L$10:$L$182,A31,'3 pr-3'!$V$10:$V$182)+SUMIF('3 pr-3'!$AF$10:$AF$182,A31,'3 pr-3'!$AP$10:$AP$182)+SUMIF('3 pr-3'!$AZ$10:$AZ$182,A31,'3 pr-3'!$BJ$10:$BJ$182)+SUMIF('3 pr-3'!$BT$10:$BT$182,A31,'3 pr-3'!$CD$10:$CD$182)+SUMIF('3 pr-3'!$CN$10:$CN$182,A31,'3 pr-3'!$CX$10:$CX$182)</f>
        <v>3.71</v>
      </c>
    </row>
    <row r="32" spans="1:3" ht="16.5" thickBot="1">
      <c r="A32" s="126" t="s">
        <v>496</v>
      </c>
      <c r="B32" s="126" t="s">
        <v>558</v>
      </c>
      <c r="C32" s="1088">
        <f>SUMIF('3 pr-3'!$L$10:$L$182,A32,'3 pr-3'!$V$10:$V$182)+SUMIF('3 pr-3'!$AF$10:$AF$182,A32,'3 pr-3'!$AP$10:$AP$182)+SUMIF('3 pr-3'!$AZ$10:$AZ$182,A32,'3 pr-3'!$BJ$10:$BJ$182)+SUMIF('3 pr-3'!$BT$10:$BT$182,A32,'3 pr-3'!$CD$10:$CD$182)+SUMIF('3 pr-3'!$CN$10:$CN$182,A32,'3 pr-3'!$CX$10:$CX$182)</f>
        <v>0.69</v>
      </c>
    </row>
    <row r="33" spans="1:7" ht="16.5" thickBot="1">
      <c r="A33" s="126" t="s">
        <v>491</v>
      </c>
      <c r="B33" s="126" t="s">
        <v>579</v>
      </c>
      <c r="C33" s="121">
        <f>SUMIF('3 pr-3'!$L$10:$L$182,A33,'3 pr-3'!$V$10:$V$182)+SUMIF('3 pr-3'!$AF$10:$AF$182,A33,'3 pr-3'!$AP$10:$AP$182)+SUMIF('3 pr-3'!$AZ$10:$AZ$182,A33,'3 pr-3'!$BJ$10:$BJ$182)+SUMIF('3 pr-3'!$BT$10:$BT$182,A33,'3 pr-3'!$CD$10:$CD$182)+SUMIF('3 pr-3'!$CN$10:$CN$182,A33,'3 pr-3'!$CX$10:$CX$182)</f>
        <v>5</v>
      </c>
    </row>
    <row r="34" spans="1:7" ht="16.5" thickBot="1">
      <c r="A34" s="126" t="s">
        <v>1411</v>
      </c>
      <c r="B34" s="126" t="s">
        <v>1412</v>
      </c>
      <c r="C34" s="121">
        <f>SUMIF('3 pr-3'!$L$10:$L$182,A34,'3 pr-3'!$V$10:$V$182)+SUMIF('3 pr-3'!$AF$10:$AF$182,A34,'3 pr-3'!$AP$10:$AP$182)+SUMIF('3 pr-3'!$AZ$10:$AZ$182,A34,'3 pr-3'!$BJ$10:$BJ$182)+SUMIF('3 pr-3'!$BT$10:$BT$182,A34,'3 pr-3'!$CD$10:$CD$182)+SUMIF('3 pr-3'!$CN$10:$CN$182,A34,'3 pr-3'!$CX$10:$CX$182)</f>
        <v>1</v>
      </c>
    </row>
    <row r="35" spans="1:7" ht="16.5" thickBot="1">
      <c r="A35" s="126" t="s">
        <v>488</v>
      </c>
      <c r="B35" s="126" t="s">
        <v>580</v>
      </c>
      <c r="C35" s="121">
        <f>SUMIF('3 pr-3'!$L$10:$L$182,A35,'3 pr-3'!$V$10:$V$182)+SUMIF('3 pr-3'!$AF$10:$AF$182,A35,'3 pr-3'!$AP$10:$AP$182)+SUMIF('3 pr-3'!$AZ$10:$AZ$182,A35,'3 pr-3'!$BJ$10:$BJ$182)+SUMIF('3 pr-3'!$BT$10:$BT$182,A35,'3 pr-3'!$CD$10:$CD$182)+SUMIF('3 pr-3'!$CN$10:$CN$182,A35,'3 pr-3'!$CX$10:$CX$182)</f>
        <v>7</v>
      </c>
    </row>
    <row r="36" spans="1:7" ht="16.5" thickBot="1">
      <c r="A36" s="126" t="s">
        <v>477</v>
      </c>
      <c r="B36" s="126" t="s">
        <v>478</v>
      </c>
      <c r="C36" s="1088">
        <f>SUMIF('3 pr-3'!$L$10:$L$182,A36,'3 pr-3'!$V$10:$V$182)+SUMIF('3 pr-3'!$AF$10:$AF$182,A36,'3 pr-3'!$AP$10:$AP$182)+SUMIF('3 pr-3'!$AZ$10:$AZ$182,A36,'3 pr-3'!$BJ$10:$BJ$182)+SUMIF('3 pr-3'!$BT$10:$BT$182,A36,'3 pr-3'!$CD$10:$CD$182)+SUMIF('3 pr-3'!$CN$10:$CN$182,A36,'3 pr-3'!$CX$10:$CX$182)</f>
        <v>262.58999999999997</v>
      </c>
    </row>
    <row r="37" spans="1:7" ht="16.5" thickBot="1">
      <c r="A37" s="119" t="s">
        <v>527</v>
      </c>
      <c r="B37" s="120" t="s">
        <v>581</v>
      </c>
      <c r="C37" s="121">
        <f>SUMIF('3 pr-3'!$L$10:$L$182,A37,'3 pr-3'!$V$10:$V$182)+SUMIF('3 pr-3'!$AF$10:$AF$182,A37,'3 pr-3'!$AP$10:$AP$182)+SUMIF('3 pr-3'!$AZ$10:$AZ$182,A37,'3 pr-3'!$BJ$10:$BJ$182)+SUMIF('3 pr-3'!$BT$10:$BT$182,A37,'3 pr-3'!$CD$10:$CD$182)+SUMIF('3 pr-3'!$CN$10:$CN$182,A37,'3 pr-3'!$CX$10:$CX$182)</f>
        <v>7187.76</v>
      </c>
    </row>
    <row r="38" spans="1:7" ht="16.5" thickBot="1">
      <c r="A38" s="119" t="s">
        <v>470</v>
      </c>
      <c r="B38" s="120" t="s">
        <v>582</v>
      </c>
      <c r="C38" s="1088">
        <f>SUMIF('3 pr-3'!$L$10:$L$182,A38,'3 pr-3'!$V$10:$V$182)+SUMIF('3 pr-3'!$AF$10:$AF$182,A38,'3 pr-3'!$AP$10:$AP$182)+SUMIF('3 pr-3'!$AZ$10:$AZ$182,A38,'3 pr-3'!$BJ$10:$BJ$182)+SUMIF('3 pr-3'!$BT$10:$BT$182,A38,'3 pr-3'!$CD$10:$CD$182)+SUMIF('3 pr-3'!$CN$10:$CN$182,A38,'3 pr-3'!$CX$10:$CX$182)</f>
        <v>22.720000000000002</v>
      </c>
    </row>
    <row r="39" spans="1:7" ht="16.5" thickBot="1">
      <c r="A39" s="119" t="s">
        <v>485</v>
      </c>
      <c r="B39" s="120" t="s">
        <v>486</v>
      </c>
      <c r="C39" s="121">
        <f>SUMIF('3 pr-3'!$L$10:$L$182,A39,'3 pr-3'!$V$10:$V$182)+SUMIF('3 pr-3'!$AF$10:$AF$182,A39,'3 pr-3'!$AP$10:$AP$182)+SUMIF('3 pr-3'!$AZ$10:$AZ$182,A39,'3 pr-3'!$BJ$10:$BJ$182)+SUMIF('3 pr-3'!$BT$10:$BT$182,A39,'3 pr-3'!$CD$10:$CD$182)+SUMIF('3 pr-3'!$CN$10:$CN$182,A39,'3 pr-3'!$CX$10:$CX$182)</f>
        <v>5</v>
      </c>
      <c r="G39" s="776"/>
    </row>
    <row r="40" spans="1:7" ht="16.5" thickBot="1">
      <c r="A40" s="119" t="s">
        <v>534</v>
      </c>
      <c r="B40" s="120" t="s">
        <v>583</v>
      </c>
      <c r="C40" s="121">
        <f>SUMIF('3 pr-3'!$L$10:$L$182,A40,'3 pr-3'!$V$10:$V$182)+SUMIF('3 pr-3'!$AF$10:$AF$182,A40,'3 pr-3'!$AP$10:$AP$182)+SUMIF('3 pr-3'!$AZ$10:$AZ$182,A40,'3 pr-3'!$BJ$10:$BJ$182)+SUMIF('3 pr-3'!$BT$10:$BT$182,A40,'3 pr-3'!$CD$10:$CD$182)+SUMIF('3 pr-3'!$CN$10:$CN$182,A40,'3 pr-3'!$CX$10:$CX$182)</f>
        <v>4</v>
      </c>
    </row>
    <row r="41" spans="1:7" ht="16.5" thickBot="1">
      <c r="A41" s="127" t="s">
        <v>500</v>
      </c>
      <c r="B41" s="128" t="s">
        <v>501</v>
      </c>
      <c r="C41" s="121">
        <f>SUMIF('3 pr-3'!$L$10:$L$182,A41,'3 pr-3'!$V$10:$V$182)+SUMIF('3 pr-3'!$AF$10:$AF$182,A41,'3 pr-3'!$AP$10:$AP$182)+SUMIF('3 pr-3'!$AZ$10:$AZ$182,A41,'3 pr-3'!$BJ$10:$BJ$182)+SUMIF('3 pr-3'!$BT$10:$BT$182,A41,'3 pr-3'!$CD$10:$CD$182)+SUMIF('3 pr-3'!$CN$10:$CN$182,A41,'3 pr-3'!$CX$10:$CX$182)</f>
        <v>13</v>
      </c>
    </row>
    <row r="42" spans="1:7" ht="16.5" thickBot="1">
      <c r="A42" s="119" t="s">
        <v>515</v>
      </c>
      <c r="B42" s="120" t="s">
        <v>584</v>
      </c>
      <c r="C42" s="121">
        <f>SUMIF('3 pr-3'!$L$10:$L$182,A42,'3 pr-3'!$V$10:$V$182)+SUMIF('3 pr-3'!$AF$10:$AF$182,A42,'3 pr-3'!$AP$10:$AP$182)+SUMIF('3 pr-3'!$AZ$10:$AZ$182,A42,'3 pr-3'!$BJ$10:$BJ$182)+SUMIF('3 pr-3'!$BT$10:$BT$182,A42,'3 pr-3'!$CD$10:$CD$182)+SUMIF('3 pr-3'!$CN$10:$CN$182,A42,'3 pr-3'!$CX$10:$CX$182)</f>
        <v>5</v>
      </c>
    </row>
    <row r="43" spans="1:7" ht="16.5" thickBot="1">
      <c r="A43" s="119" t="s">
        <v>518</v>
      </c>
      <c r="B43" s="120" t="s">
        <v>519</v>
      </c>
      <c r="C43" s="121">
        <f>SUMIF('3 pr-3'!$L$10:$L$182,A43,'3 pr-3'!$V$10:$V$182)+SUMIF('3 pr-3'!$AF$10:$AF$182,A43,'3 pr-3'!$AP$10:$AP$182)+SUMIF('3 pr-3'!$AZ$10:$AZ$182,A43,'3 pr-3'!$BJ$10:$BJ$182)+SUMIF('3 pr-3'!$BT$10:$BT$182,A43,'3 pr-3'!$CD$10:$CD$182)+SUMIF('3 pr-3'!$CN$10:$CN$182,A43,'3 pr-3'!$CX$10:$CX$182)</f>
        <v>106</v>
      </c>
    </row>
    <row r="44" spans="1:7" ht="32.25" thickBot="1">
      <c r="A44" s="119" t="s">
        <v>1434</v>
      </c>
      <c r="B44" s="120" t="s">
        <v>1435</v>
      </c>
      <c r="C44" s="121">
        <f>SUMIF('3 pr-3'!$L$10:$L$182,A44,'3 pr-3'!$V$10:$V$182)+SUMIF('3 pr-3'!$AF$10:$AF$182,A44,'3 pr-3'!$AP$10:$AP$182)+SUMIF('3 pr-3'!$AZ$10:$AZ$182,A44,'3 pr-3'!$BJ$10:$BJ$182)+SUMIF('3 pr-3'!$BT$10:$BT$182,A44,'3 pr-3'!$CD$10:$CD$182)+SUMIF('3 pr-3'!$CN$10:$CN$182,A44,'3 pr-3'!$CX$10:$CX$182)</f>
        <v>17</v>
      </c>
    </row>
    <row r="45" spans="1:7" ht="19.5" thickBot="1">
      <c r="A45" s="119" t="s">
        <v>381</v>
      </c>
      <c r="B45" s="120" t="s">
        <v>592</v>
      </c>
      <c r="C45" s="1088">
        <f>SUMIF('3 pr-3'!$L$10:$L$182,A45,'3 pr-3'!$V$10:$V$182)+SUMIF('3 pr-3'!$AF$10:$AF$182,A45,'3 pr-3'!$AP$10:$AP$182)+SUMIF('3 pr-3'!$AZ$10:$AZ$182,A45,'3 pr-3'!$BJ$10:$BJ$182)+SUMIF('3 pr-3'!$BT$10:$BT$182,A45,'3 pr-3'!$CD$10:$CD$182)+SUMIF('3 pr-3'!$CN$10:$CN$182,A45,'3 pr-3'!$CX$10:$CX$182)</f>
        <v>90624.45</v>
      </c>
    </row>
    <row r="46" spans="1:7" ht="32.25" thickBot="1">
      <c r="A46" s="119" t="s">
        <v>382</v>
      </c>
      <c r="B46" s="120" t="s">
        <v>585</v>
      </c>
      <c r="C46" s="1088">
        <f>SUMIF('3 pr-3'!$L$10:$L$182,A46,'3 pr-3'!$V$10:$V$182)+SUMIF('3 pr-3'!$AF$10:$AF$182,A46,'3 pr-3'!$AP$10:$AP$182)+SUMIF('3 pr-3'!$AZ$10:$AZ$182,A46,'3 pr-3'!$BJ$10:$BJ$182)+SUMIF('3 pr-3'!$BT$10:$BT$182,A46,'3 pr-3'!$CD$10:$CD$182)+SUMIF('3 pr-3'!$CN$10:$CN$182,A46,'3 pr-3'!$CX$10:$CX$182)</f>
        <v>539.76</v>
      </c>
    </row>
    <row r="47" spans="1:7" ht="23.25" customHeight="1" thickBot="1">
      <c r="A47" s="119" t="s">
        <v>1180</v>
      </c>
      <c r="B47" s="119" t="s">
        <v>1181</v>
      </c>
      <c r="C47" s="121">
        <f>SUMIF('3 pr-3'!$L$10:$L$182,A47,'3 pr-3'!$V$10:$V$182)+SUMIF('3 pr-3'!$AF$10:$AF$182,A47,'3 pr-3'!$AP$10:$AP$182)+SUMIF('3 pr-3'!$AZ$10:$AZ$182,A47,'3 pr-3'!$BJ$10:$BJ$182)+SUMIF('3 pr-3'!$BT$10:$BT$182,A47,'3 pr-3'!$CD$10:$CD$182)+SUMIF('3 pr-3'!$CN$10:$CN$182,A47,'3 pr-3'!$CX$10:$CX$182)</f>
        <v>8941</v>
      </c>
    </row>
    <row r="48" spans="1:7" ht="16.5" thickBot="1">
      <c r="A48" s="119" t="s">
        <v>783</v>
      </c>
      <c r="B48" s="120" t="s">
        <v>784</v>
      </c>
      <c r="C48" s="121">
        <f>SUMIF('3 pr-3'!$L$10:$L$182,A48,'3 pr-3'!$V$10:$V$182)+SUMIF('3 pr-3'!$AF$10:$AF$182,A48,'3 pr-3'!$AP$10:$AP$182)+SUMIF('3 pr-3'!$AZ$10:$AZ$182,A48,'3 pr-3'!$BJ$10:$BJ$182)+SUMIF('3 pr-3'!$BT$10:$BT$182,A48,'3 pr-3'!$CD$10:$CD$182)+SUMIF('3 pr-3'!$CN$10:$CN$182,A48,'3 pr-3'!$CX$10:$CX$182)</f>
        <v>141</v>
      </c>
    </row>
    <row r="49" spans="1:3" ht="32.25" thickBot="1">
      <c r="A49" s="129" t="s">
        <v>520</v>
      </c>
      <c r="B49" s="128" t="s">
        <v>586</v>
      </c>
      <c r="C49" s="121">
        <f>SUMIF('3 pr-3'!$L$10:$L$182,A49,'3 pr-3'!$V$10:$V$182)+SUMIF('3 pr-3'!$AF$10:$AF$182,A49,'3 pr-3'!$AP$10:$AP$182)+SUMIF('3 pr-3'!$AZ$10:$AZ$182,A49,'3 pr-3'!$BJ$10:$BJ$182)+SUMIF('3 pr-3'!$BT$10:$BT$182,A49,'3 pr-3'!$CD$10:$CD$182)+SUMIF('3 pr-3'!$CN$10:$CN$182,A49,'3 pr-3'!$CX$10:$CX$182)</f>
        <v>95</v>
      </c>
    </row>
    <row r="50" spans="1:3" ht="32.25" thickBot="1">
      <c r="A50" s="119" t="s">
        <v>522</v>
      </c>
      <c r="B50" s="120" t="s">
        <v>587</v>
      </c>
      <c r="C50" s="121">
        <f>SUMIF('3 pr-3'!$L$10:$L$182,A50,'3 pr-3'!$V$10:$V$182)+SUMIF('3 pr-3'!$AF$10:$AF$182,A50,'3 pr-3'!$AP$10:$AP$182)+SUMIF('3 pr-3'!$AZ$10:$AZ$182,A50,'3 pr-3'!$BJ$10:$BJ$182)+SUMIF('3 pr-3'!$BT$10:$BT$182,A50,'3 pr-3'!$CD$10:$CD$182)+SUMIF('3 pr-3'!$CN$10:$CN$182,A50,'3 pr-3'!$CX$10:$CX$182)</f>
        <v>425</v>
      </c>
    </row>
    <row r="51" spans="1:3" ht="16.5" thickBot="1">
      <c r="A51" s="119" t="s">
        <v>529</v>
      </c>
      <c r="B51" s="120" t="s">
        <v>568</v>
      </c>
      <c r="C51" s="1325">
        <f>SUMIF('3 pr-3'!$L$10:$L$182,A51,'3 pr-3'!$V$10:$V$182)+SUMIF('3 pr-3'!$AF$10:$AF$182,A51,'3 pr-3'!$AP$10:$AP$182)+SUMIF('3 pr-3'!$AZ$10:$AZ$182,A51,'3 pr-3'!$BJ$10:$BJ$182)+SUMIF('3 pr-3'!$BT$10:$BT$182,A51,'3 pr-3'!$CD$10:$CD$182)+SUMIF('3 pr-3'!$CN$10:$CN$182,A51,'3 pr-3'!$CX$10:$CX$182)</f>
        <v>45</v>
      </c>
    </row>
  </sheetData>
  <pageMargins left="0.23622047244094491" right="0.23622047244094491" top="0.74803149606299213" bottom="0.74803149606299213" header="0.31496062992125984" footer="0.31496062992125984"/>
  <pageSetup paperSize="9" scale="95" fitToHeight="0" orientation="landscape" r:id="rId1"/>
  <headerFooter>
    <oddHeader>&amp;C&amp;"Times New Roman,Paprastas"&amp;12Alytaus regiono 2014 – 2020 metų plėtros planas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O64"/>
  <sheetViews>
    <sheetView showGridLines="0" showRuler="0" topLeftCell="A50" zoomScaleNormal="100" workbookViewId="0">
      <selection activeCell="O20" sqref="O20"/>
    </sheetView>
  </sheetViews>
  <sheetFormatPr defaultColWidth="9.140625" defaultRowHeight="15"/>
  <cols>
    <col min="1" max="1" width="23.140625" style="131" customWidth="1"/>
    <col min="2" max="2" width="35.5703125" style="793" customWidth="1"/>
    <col min="3" max="3" width="11.42578125" style="131" bestFit="1" customWidth="1"/>
    <col min="4" max="4" width="13.140625" style="131" bestFit="1" customWidth="1"/>
    <col min="5" max="6" width="13.28515625" style="131" bestFit="1" customWidth="1"/>
    <col min="7" max="8" width="13.140625" style="131" bestFit="1" customWidth="1"/>
    <col min="9" max="9" width="14.42578125" style="131" bestFit="1" customWidth="1"/>
    <col min="10" max="10" width="16.85546875" style="131" hidden="1" customWidth="1"/>
    <col min="11" max="11" width="15" style="131" hidden="1" customWidth="1"/>
    <col min="12" max="12" width="17.85546875" style="131" hidden="1" customWidth="1"/>
    <col min="13" max="13" width="10.140625" style="131" bestFit="1" customWidth="1"/>
    <col min="14" max="14" width="9.140625" style="131"/>
    <col min="15" max="15" width="10.140625" style="131" bestFit="1" customWidth="1"/>
    <col min="16" max="16384" width="9.140625" style="131"/>
  </cols>
  <sheetData>
    <row r="1" spans="1:15" ht="35.25" customHeight="1" thickBot="1">
      <c r="A1" s="1984" t="s">
        <v>1371</v>
      </c>
      <c r="B1" s="1985"/>
      <c r="C1" s="1985"/>
      <c r="D1" s="1985"/>
      <c r="E1" s="1985"/>
      <c r="F1" s="1985"/>
      <c r="G1" s="1985"/>
      <c r="H1" s="1985"/>
      <c r="I1" s="1985"/>
    </row>
    <row r="2" spans="1:15" ht="17.25" customHeight="1" thickTop="1" thickBot="1">
      <c r="A2" s="1991" t="s">
        <v>1374</v>
      </c>
      <c r="B2" s="1989" t="s">
        <v>1373</v>
      </c>
      <c r="C2" s="1986" t="s">
        <v>671</v>
      </c>
      <c r="D2" s="1987"/>
      <c r="E2" s="1987"/>
      <c r="F2" s="1987"/>
      <c r="G2" s="1987"/>
      <c r="H2" s="1987"/>
      <c r="I2" s="1988"/>
    </row>
    <row r="3" spans="1:15" ht="108" thickTop="1" thickBot="1">
      <c r="A3" s="1992"/>
      <c r="B3" s="1990"/>
      <c r="C3" s="777">
        <v>2015</v>
      </c>
      <c r="D3" s="777">
        <v>2016</v>
      </c>
      <c r="E3" s="777">
        <v>2017</v>
      </c>
      <c r="F3" s="777">
        <v>2018</v>
      </c>
      <c r="G3" s="777">
        <v>2019</v>
      </c>
      <c r="H3" s="777">
        <v>2020</v>
      </c>
      <c r="I3" s="778" t="s">
        <v>331</v>
      </c>
      <c r="J3" s="778" t="s">
        <v>787</v>
      </c>
      <c r="K3" s="778" t="s">
        <v>791</v>
      </c>
      <c r="L3" s="778" t="s">
        <v>788</v>
      </c>
    </row>
    <row r="4" spans="1:15" ht="48" thickBot="1">
      <c r="A4" s="154" t="s">
        <v>437</v>
      </c>
      <c r="B4" s="154" t="s">
        <v>250</v>
      </c>
      <c r="C4" s="1055">
        <f>SUM('IV-1 su proj'!D31)</f>
        <v>0</v>
      </c>
      <c r="D4" s="1055">
        <f>SUM('3 pr-2'!AL9)</f>
        <v>0</v>
      </c>
      <c r="E4" s="1055">
        <f>SUM('3 pr-2'!AM9)</f>
        <v>0</v>
      </c>
      <c r="F4" s="1055">
        <f>SUM('3 pr-2'!AN9)+'3 pr-2'!AS9</f>
        <v>2773893</v>
      </c>
      <c r="G4" s="1055">
        <f>SUM('3 pr-2'!AO10:AO32)</f>
        <v>0</v>
      </c>
      <c r="H4" s="1055">
        <f>SUM('3 pr-2'!AP10:AP32)</f>
        <v>0</v>
      </c>
      <c r="I4" s="1056">
        <f t="shared" ref="I4" si="0">SUM(C4:H4)</f>
        <v>2773893</v>
      </c>
      <c r="J4" s="1502">
        <v>2773894.25</v>
      </c>
      <c r="K4" s="1056">
        <f t="shared" ref="K4:K9" si="1">SUM(J4-I4)</f>
        <v>1.25</v>
      </c>
      <c r="L4" s="1056">
        <f>SUM(K4+'ketv. 6 '!AH8)</f>
        <v>1.25</v>
      </c>
      <c r="M4" s="779"/>
      <c r="O4" s="780"/>
    </row>
    <row r="5" spans="1:15" ht="32.25" thickBot="1">
      <c r="A5" s="153" t="s">
        <v>146</v>
      </c>
      <c r="B5" s="153" t="s">
        <v>644</v>
      </c>
      <c r="C5" s="1057">
        <f>SUM('IV-1 su proj'!D32)</f>
        <v>0</v>
      </c>
      <c r="D5" s="1057">
        <f>SUM('3 pr-2'!AL33)</f>
        <v>0</v>
      </c>
      <c r="E5" s="1057">
        <f>SUM('3 pr-2'!AM33)</f>
        <v>0</v>
      </c>
      <c r="F5" s="1057">
        <f>SUM('3 pr-2'!AN33)</f>
        <v>1929504.6400000001</v>
      </c>
      <c r="G5" s="1057">
        <f>SUM('3 pr-2'!AO33)</f>
        <v>886946</v>
      </c>
      <c r="H5" s="1057">
        <f>SUM('3 pr-2'!AP33)</f>
        <v>0</v>
      </c>
      <c r="I5" s="1021">
        <f t="shared" ref="I5:I11" si="2">SUM(C5:H5)</f>
        <v>2816450.64</v>
      </c>
      <c r="J5" s="122">
        <v>2816452</v>
      </c>
      <c r="K5" s="1056">
        <f t="shared" si="1"/>
        <v>1.3599999998696148</v>
      </c>
      <c r="L5" s="1056">
        <f>SUM(K5+'ketv. 6 '!AH32)</f>
        <v>1.3599999998696148</v>
      </c>
    </row>
    <row r="6" spans="1:15" ht="30" customHeight="1" thickBot="1">
      <c r="A6" s="153" t="s">
        <v>145</v>
      </c>
      <c r="B6" s="153" t="s">
        <v>645</v>
      </c>
      <c r="C6" s="1057">
        <f>SUM('IV-1 su proj'!D38)</f>
        <v>0</v>
      </c>
      <c r="D6" s="1057">
        <f>SUM('3 pr-2'!AL39)</f>
        <v>1289301.81</v>
      </c>
      <c r="E6" s="1057">
        <f>SUM('3 pr-2'!AM39)</f>
        <v>685370</v>
      </c>
      <c r="F6" s="1057">
        <f>SUM('3 pr-2'!AN39)</f>
        <v>1722627.6500000001</v>
      </c>
      <c r="G6" s="1057">
        <f>SUM('3 pr-2'!AO39)</f>
        <v>0</v>
      </c>
      <c r="H6" s="1057">
        <f>SUM('3 pr-2'!AP39)</f>
        <v>0</v>
      </c>
      <c r="I6" s="1021">
        <f t="shared" si="2"/>
        <v>3697299.46</v>
      </c>
      <c r="J6" s="122">
        <v>3697302</v>
      </c>
      <c r="K6" s="1056">
        <f t="shared" si="1"/>
        <v>2.5400000000372529</v>
      </c>
      <c r="L6" s="1056">
        <f>SUM('3 pr-(5-6)'!K6+'ketv. 6 '!AH38)</f>
        <v>128510.06999999983</v>
      </c>
    </row>
    <row r="7" spans="1:15" ht="32.25" thickBot="1">
      <c r="A7" s="153" t="s">
        <v>267</v>
      </c>
      <c r="B7" s="153" t="s">
        <v>646</v>
      </c>
      <c r="C7" s="1057">
        <f>SUM('IV-1 su proj'!D47+'IV-1 su proj'!D48)</f>
        <v>0</v>
      </c>
      <c r="D7" s="1057">
        <f>SUM('3 pr-2'!AL48:AL49)</f>
        <v>575484.89</v>
      </c>
      <c r="E7" s="1057">
        <f>SUM('3 pr-2'!AM48:AM49)</f>
        <v>0</v>
      </c>
      <c r="F7" s="1057">
        <f>SUM('3 pr-2'!AN48:AN49)</f>
        <v>0</v>
      </c>
      <c r="G7" s="1057">
        <f>SUM('3 pr-2'!AO48:AO49)</f>
        <v>0</v>
      </c>
      <c r="H7" s="1057">
        <f>SUM('3 pr-2'!AP48:AP49)</f>
        <v>0</v>
      </c>
      <c r="I7" s="1021">
        <f t="shared" si="2"/>
        <v>575484.89</v>
      </c>
      <c r="J7" s="122">
        <f>SUM('IV-1 su proj'!AS47+'IV-1 su proj'!AS48)</f>
        <v>575484.89</v>
      </c>
      <c r="K7" s="1056">
        <f t="shared" si="1"/>
        <v>0</v>
      </c>
      <c r="L7" s="1056">
        <f>SUM(K7+'ketv. 6 '!AH47+'ketv. 6 '!AH48)</f>
        <v>0</v>
      </c>
    </row>
    <row r="8" spans="1:15" ht="32.25" thickBot="1">
      <c r="A8" s="153" t="s">
        <v>178</v>
      </c>
      <c r="B8" s="153" t="s">
        <v>648</v>
      </c>
      <c r="C8" s="1057">
        <f>SUM('IV-1 su proj'!D46)</f>
        <v>0</v>
      </c>
      <c r="D8" s="1057">
        <f>SUM('3 pr-2'!AL47)</f>
        <v>1093151.6300000001</v>
      </c>
      <c r="E8" s="1057">
        <f>SUM('3 pr-2'!AM47)</f>
        <v>0</v>
      </c>
      <c r="F8" s="1057">
        <f>SUM('3 pr-2'!AN47)</f>
        <v>0</v>
      </c>
      <c r="G8" s="1057">
        <f>SUM('3 pr-2'!AO47)</f>
        <v>0</v>
      </c>
      <c r="H8" s="1057">
        <f>SUM('3 pr-2'!AP47)</f>
        <v>0</v>
      </c>
      <c r="I8" s="1021">
        <f t="shared" si="2"/>
        <v>1093151.6300000001</v>
      </c>
      <c r="J8" s="122">
        <v>1099672.68</v>
      </c>
      <c r="K8" s="1056">
        <f t="shared" si="1"/>
        <v>6521.0499999998137</v>
      </c>
      <c r="L8" s="1056">
        <f>SUM(K8+'ketv. 6 '!AH46)</f>
        <v>6521.0499999998137</v>
      </c>
    </row>
    <row r="9" spans="1:15" ht="48" thickBot="1">
      <c r="A9" s="153" t="s">
        <v>144</v>
      </c>
      <c r="B9" s="153" t="s">
        <v>649</v>
      </c>
      <c r="C9" s="1057">
        <f>SUM('IV-1 su proj'!D49)</f>
        <v>0</v>
      </c>
      <c r="D9" s="1057">
        <f>SUM('3 pr-2'!AL50)</f>
        <v>0</v>
      </c>
      <c r="E9" s="1057">
        <f>SUM('3 pr-2'!AM50)</f>
        <v>7981489.3000000007</v>
      </c>
      <c r="F9" s="1057">
        <f>SUM('3 pr-2'!AN50)</f>
        <v>920475</v>
      </c>
      <c r="G9" s="1057">
        <f>SUM('3 pr-2'!AO50)</f>
        <v>0</v>
      </c>
      <c r="H9" s="1057">
        <f>SUM('3 pr-2'!AP50)</f>
        <v>0</v>
      </c>
      <c r="I9" s="1021">
        <f t="shared" si="2"/>
        <v>8901964.3000000007</v>
      </c>
      <c r="J9" s="122">
        <v>9294484.6400000006</v>
      </c>
      <c r="K9" s="1056">
        <f t="shared" si="1"/>
        <v>392520.33999999985</v>
      </c>
      <c r="L9" s="1056">
        <f>SUM(K9+'ketv. 6 '!AH49)</f>
        <v>496239.39999999991</v>
      </c>
    </row>
    <row r="10" spans="1:15" ht="32.25" thickBot="1">
      <c r="A10" s="153" t="s">
        <v>179</v>
      </c>
      <c r="B10" s="153" t="s">
        <v>650</v>
      </c>
      <c r="C10" s="1057">
        <f>SUM('IV-1 su proj'!D55)</f>
        <v>0</v>
      </c>
      <c r="D10" s="1057">
        <f>SUM('3 pr-2'!AL56)</f>
        <v>0</v>
      </c>
      <c r="E10" s="1057">
        <f>SUM('3 pr-2'!AM56)-'3 pr-2'!AN57</f>
        <v>2380812.19</v>
      </c>
      <c r="F10" s="1057">
        <f>SUM('3 pr-2'!AN56)</f>
        <v>1011500</v>
      </c>
      <c r="G10" s="1057">
        <f>SUM('3 pr-2'!AO56)</f>
        <v>0</v>
      </c>
      <c r="H10" s="1057">
        <f>SUM('3 pr-2'!AP56)</f>
        <v>0</v>
      </c>
      <c r="I10" s="1021">
        <f t="shared" si="2"/>
        <v>3392312.19</v>
      </c>
      <c r="J10" s="122">
        <v>3399493.48</v>
      </c>
      <c r="K10" s="1056">
        <f t="shared" ref="K10:K29" si="3">SUM(J10-I10)</f>
        <v>7181.2900000000373</v>
      </c>
      <c r="L10" s="1056">
        <f>SUM(K10+'ketv. 6 '!AH56)</f>
        <v>7181.2900000000373</v>
      </c>
    </row>
    <row r="11" spans="1:15" ht="48" thickBot="1">
      <c r="A11" s="153" t="s">
        <v>761</v>
      </c>
      <c r="B11" s="153" t="s">
        <v>651</v>
      </c>
      <c r="C11" s="1057">
        <f>SUM('IV-1 su proj'!D57)</f>
        <v>0</v>
      </c>
      <c r="D11" s="1057">
        <f>SUM('3 pr-2'!AL58)</f>
        <v>0</v>
      </c>
      <c r="E11" s="1057">
        <f>SUM('3 pr-2'!AM58)</f>
        <v>421880.1</v>
      </c>
      <c r="F11" s="1057">
        <f>SUM('3 pr-2'!AN58)</f>
        <v>0</v>
      </c>
      <c r="G11" s="1057">
        <f>SUM('3 pr-2'!AO58)</f>
        <v>189539.9</v>
      </c>
      <c r="H11" s="1057">
        <f>SUM('3 pr-2'!AP58)</f>
        <v>0</v>
      </c>
      <c r="I11" s="1021">
        <f t="shared" si="2"/>
        <v>611420</v>
      </c>
      <c r="J11" s="122">
        <f>SUM('IV-1 su proj'!AS57)</f>
        <v>611420</v>
      </c>
      <c r="K11" s="1056">
        <f t="shared" si="3"/>
        <v>0</v>
      </c>
      <c r="L11" s="1056">
        <f>SUM('ketv. 6 '!AH57)</f>
        <v>0</v>
      </c>
    </row>
    <row r="12" spans="1:15" ht="32.25" thickBot="1">
      <c r="A12" s="153" t="s">
        <v>143</v>
      </c>
      <c r="B12" s="153" t="s">
        <v>652</v>
      </c>
      <c r="C12" s="1057">
        <f>SUM('IV-1 su proj'!D61)</f>
        <v>0</v>
      </c>
      <c r="D12" s="1057">
        <f>SUM('3 pr-2'!AL62)</f>
        <v>0</v>
      </c>
      <c r="E12" s="1057">
        <f>SUM('3 pr-2'!AM62)</f>
        <v>898622.7</v>
      </c>
      <c r="F12" s="1057">
        <f>SUM('3 pr-2'!AN62)</f>
        <v>299541</v>
      </c>
      <c r="G12" s="1057">
        <f>SUM('3 pr-2'!AO62)</f>
        <v>0</v>
      </c>
      <c r="H12" s="1057">
        <f>SUM('3 pr-2'!AP62)</f>
        <v>0</v>
      </c>
      <c r="I12" s="1021">
        <f t="shared" ref="I12:I14" si="4">SUM(C12:H12)</f>
        <v>1198163.7</v>
      </c>
      <c r="J12" s="122">
        <v>1198165.51</v>
      </c>
      <c r="K12" s="1056">
        <f t="shared" si="3"/>
        <v>1.8100000000558794</v>
      </c>
      <c r="L12" s="1056">
        <f>SUM(K12+'ketv. 6 '!AH61)</f>
        <v>1.8100000000558794</v>
      </c>
    </row>
    <row r="13" spans="1:15" ht="32.25" thickBot="1">
      <c r="A13" s="153" t="s">
        <v>182</v>
      </c>
      <c r="B13" s="153" t="s">
        <v>653</v>
      </c>
      <c r="C13" s="1057">
        <f>SUM('IV-1 su proj'!D66)</f>
        <v>0</v>
      </c>
      <c r="D13" s="1057">
        <f>SUM('3 pr-2'!AL67)</f>
        <v>0</v>
      </c>
      <c r="E13" s="1057">
        <f>SUM('3 pr-2'!AM67)</f>
        <v>0</v>
      </c>
      <c r="F13" s="1057">
        <f>SUM('3 pr-2'!AN67)</f>
        <v>1023865.66</v>
      </c>
      <c r="G13" s="1057">
        <f>SUM('3 pr-2'!AO67)</f>
        <v>0</v>
      </c>
      <c r="H13" s="1057">
        <f>SUM('3 pr-2'!AP67)</f>
        <v>0</v>
      </c>
      <c r="I13" s="1021">
        <f t="shared" si="4"/>
        <v>1023865.66</v>
      </c>
      <c r="J13" s="122">
        <v>1030281.61</v>
      </c>
      <c r="K13" s="1056">
        <f t="shared" si="3"/>
        <v>6415.9499999999534</v>
      </c>
      <c r="L13" s="1056">
        <f>SUM(K13+'ketv. 6 '!AH66)</f>
        <v>38557.229999999952</v>
      </c>
    </row>
    <row r="14" spans="1:15" ht="48" thickBot="1">
      <c r="A14" s="153" t="s">
        <v>655</v>
      </c>
      <c r="B14" s="153" t="s">
        <v>654</v>
      </c>
      <c r="C14" s="1057">
        <f>SUM('IV-1 su proj'!D73)</f>
        <v>0</v>
      </c>
      <c r="D14" s="1057">
        <f>SUM('3 pr-2'!AL74)</f>
        <v>0</v>
      </c>
      <c r="E14" s="1057">
        <f>SUM('3 pr-2'!AM74)</f>
        <v>0</v>
      </c>
      <c r="F14" s="1057">
        <f>SUM('3 pr-2'!AN74)</f>
        <v>640846</v>
      </c>
      <c r="G14" s="1057">
        <f>SUM('3 pr-2'!AO74)</f>
        <v>622426</v>
      </c>
      <c r="H14" s="1057">
        <f>SUM('3 pr-2'!AP74)</f>
        <v>0</v>
      </c>
      <c r="I14" s="1021">
        <f t="shared" si="4"/>
        <v>1263272</v>
      </c>
      <c r="J14" s="122">
        <v>1263272</v>
      </c>
      <c r="K14" s="1056">
        <f t="shared" si="3"/>
        <v>0</v>
      </c>
      <c r="L14" s="1056">
        <f>SUM(K14+'ketv. 6 '!AH73)</f>
        <v>37862</v>
      </c>
    </row>
    <row r="15" spans="1:15" ht="33.75" customHeight="1" thickBot="1">
      <c r="A15" s="153" t="s">
        <v>1401</v>
      </c>
      <c r="B15" s="153" t="s">
        <v>656</v>
      </c>
      <c r="C15" s="1057">
        <f>SUM('IV-1 su proj'!D79+'IV-1 su proj'!D81)</f>
        <v>0</v>
      </c>
      <c r="D15" s="1057">
        <f>SUM('3 pr-2'!AL80+'3 pr-2'!AL82)</f>
        <v>0</v>
      </c>
      <c r="E15" s="1057">
        <f>SUM('3 pr-2'!AM80+'3 pr-2'!AM82+'3 pr-2'!AM84+'3 pr-2'!AM85)</f>
        <v>0</v>
      </c>
      <c r="F15" s="1057">
        <f>SUM('3 pr-2'!AN80+'3 pr-2'!AN82+'3 pr-2'!AN84+'3 pr-2'!AN85)</f>
        <v>0</v>
      </c>
      <c r="G15" s="1057">
        <f>SUM('3 pr-2'!AO80+'3 pr-2'!AO82+'3 pr-2'!AO84+'3 pr-2'!AO85)</f>
        <v>1567659.8</v>
      </c>
      <c r="H15" s="1057">
        <f>SUM('3 pr-2'!AP80+'3 pr-2'!AP82+'3 pr-2'!AP84+'3 pr-2'!AP85)</f>
        <v>0</v>
      </c>
      <c r="I15" s="1021">
        <f t="shared" ref="I15:I16" si="5">SUM(C15:H15)</f>
        <v>1567659.8</v>
      </c>
      <c r="J15" s="122">
        <v>1567660</v>
      </c>
      <c r="K15" s="1056">
        <f t="shared" si="3"/>
        <v>0.19999999995343387</v>
      </c>
      <c r="L15" s="1056">
        <f>SUM(K15+'ketv. 6 '!AH79+'ketv. 6 '!AH81)</f>
        <v>0.19999999995343387</v>
      </c>
      <c r="M15" s="779"/>
    </row>
    <row r="16" spans="1:15" ht="27" customHeight="1" thickBot="1">
      <c r="A16" s="153" t="s">
        <v>269</v>
      </c>
      <c r="B16" s="153" t="s">
        <v>657</v>
      </c>
      <c r="C16" s="1057">
        <f>SUM('IV-1 su proj'!D80+'IV-1 su proj'!D82)</f>
        <v>0</v>
      </c>
      <c r="D16" s="1057">
        <f>SUM('3 pr-2'!AL81+'3 pr-2'!AL83)</f>
        <v>0</v>
      </c>
      <c r="E16" s="1057">
        <f>SUM('3 pr-2'!AM81+'3 pr-2'!AM83)</f>
        <v>43042.3</v>
      </c>
      <c r="F16" s="1057">
        <f>SUM('3 pr-2'!AN81+'3 pr-2'!AN83)</f>
        <v>0</v>
      </c>
      <c r="G16" s="1057">
        <f>SUM('3 pr-2'!AO81+'3 pr-2'!AO83)</f>
        <v>0</v>
      </c>
      <c r="H16" s="1057">
        <f>SUM('3 pr-2'!AP81+'3 pr-2'!AP83)</f>
        <v>0</v>
      </c>
      <c r="I16" s="1021">
        <f t="shared" si="5"/>
        <v>43042.3</v>
      </c>
      <c r="J16" s="122">
        <f>SUM('ketv. 6 '!AF80+'ketv. 6 '!AF82)</f>
        <v>43042.3</v>
      </c>
      <c r="K16" s="1056">
        <f t="shared" si="3"/>
        <v>0</v>
      </c>
      <c r="L16" s="1056">
        <f>SUM(K16+'ketv. 6 '!AH80+'ketv. 6 '!AH82)</f>
        <v>0</v>
      </c>
    </row>
    <row r="17" spans="1:12" ht="32.25" thickBot="1">
      <c r="A17" s="153" t="s">
        <v>148</v>
      </c>
      <c r="B17" s="153" t="s">
        <v>658</v>
      </c>
      <c r="C17" s="1057">
        <f>SUM('IV-1 su proj'!D85)</f>
        <v>0</v>
      </c>
      <c r="D17" s="1057">
        <f>SUM('3 pr-2'!AL86)</f>
        <v>0</v>
      </c>
      <c r="E17" s="1057">
        <f>SUM('3 pr-2'!AM86)</f>
        <v>187120.56</v>
      </c>
      <c r="F17" s="1057">
        <f>SUM('3 pr-2'!AN86)</f>
        <v>171917.13</v>
      </c>
      <c r="G17" s="1057">
        <f>SUM('3 pr-2'!AO86)</f>
        <v>56623</v>
      </c>
      <c r="H17" s="1057">
        <f>SUM('3 pr-2'!AP86)</f>
        <v>0</v>
      </c>
      <c r="I17" s="1021">
        <f t="shared" ref="I17" si="6">SUM(C17:H17)</f>
        <v>415660.69</v>
      </c>
      <c r="J17" s="122">
        <v>415732</v>
      </c>
      <c r="K17" s="1056">
        <f t="shared" si="3"/>
        <v>71.309999999997672</v>
      </c>
      <c r="L17" s="1056">
        <f>SUM(K17+'ketv. 6 '!AH85)</f>
        <v>7071.3100000000122</v>
      </c>
    </row>
    <row r="18" spans="1:12" ht="25.5" customHeight="1" thickBot="1">
      <c r="A18" s="153" t="s">
        <v>659</v>
      </c>
      <c r="B18" s="153" t="s">
        <v>789</v>
      </c>
      <c r="C18" s="1057">
        <f>SUM('IV-1 su proj'!D91)</f>
        <v>0</v>
      </c>
      <c r="D18" s="1057">
        <f>SUM('3 pr-2'!AL92)</f>
        <v>0</v>
      </c>
      <c r="E18" s="1057">
        <f>SUM('3 pr-2'!AM92)</f>
        <v>1458082</v>
      </c>
      <c r="F18" s="1057">
        <f>SUM('3 pr-2'!AN92)</f>
        <v>1464461.78</v>
      </c>
      <c r="G18" s="1057">
        <f>SUM('3 pr-2'!AO92)</f>
        <v>112989</v>
      </c>
      <c r="H18" s="1057">
        <f>SUM('3 pr-2'!AP92)</f>
        <v>0</v>
      </c>
      <c r="I18" s="1021">
        <f t="shared" ref="I18" si="7">SUM(C18:H18)</f>
        <v>3035532.7800000003</v>
      </c>
      <c r="J18" s="122">
        <v>3052809</v>
      </c>
      <c r="K18" s="1056">
        <f t="shared" si="3"/>
        <v>17276.219999999739</v>
      </c>
      <c r="L18" s="1056">
        <f>SUM(K18+'ketv. 6 '!AH91)</f>
        <v>55741.119999999763</v>
      </c>
    </row>
    <row r="19" spans="1:12" ht="32.25" thickBot="1">
      <c r="A19" s="153" t="s">
        <v>662</v>
      </c>
      <c r="B19" s="153" t="s">
        <v>661</v>
      </c>
      <c r="C19" s="1057">
        <f>SUM('IV-1 su proj'!D101)</f>
        <v>0</v>
      </c>
      <c r="D19" s="1057">
        <f>SUM('3 pr-2'!AL102)</f>
        <v>0</v>
      </c>
      <c r="E19" s="1057">
        <f>SUM('3 pr-2'!AM102)</f>
        <v>139295</v>
      </c>
      <c r="F19" s="1057">
        <f>SUM('3 pr-2'!AN102)</f>
        <v>1003082</v>
      </c>
      <c r="G19" s="1057">
        <f>SUM('3 pr-2'!AO102)</f>
        <v>0</v>
      </c>
      <c r="H19" s="1057">
        <f>SUM('3 pr-2'!AP102)</f>
        <v>0</v>
      </c>
      <c r="I19" s="1021">
        <f t="shared" ref="I19" si="8">SUM(C19:H19)</f>
        <v>1142377</v>
      </c>
      <c r="J19" s="122">
        <v>1142378</v>
      </c>
      <c r="K19" s="1056">
        <f t="shared" si="3"/>
        <v>1</v>
      </c>
      <c r="L19" s="1056">
        <f>SUM(K19+'ketv. 6 '!AH101)</f>
        <v>1</v>
      </c>
    </row>
    <row r="20" spans="1:12" ht="32.25" thickBot="1">
      <c r="A20" s="153" t="s">
        <v>139</v>
      </c>
      <c r="B20" s="153" t="s">
        <v>663</v>
      </c>
      <c r="C20" s="1057">
        <f>SUM('IV-1 su proj'!D105)</f>
        <v>0</v>
      </c>
      <c r="D20" s="1057">
        <f>SUM('3 pr-2'!AL108)</f>
        <v>0</v>
      </c>
      <c r="E20" s="1057">
        <f>SUM('3 pr-2'!AM108)</f>
        <v>611625</v>
      </c>
      <c r="F20" s="1057">
        <f>SUM('3 pr-2'!AN108)</f>
        <v>874382</v>
      </c>
      <c r="G20" s="1057">
        <f>SUM('3 pr-2'!AO108)</f>
        <v>0</v>
      </c>
      <c r="H20" s="1057">
        <f>SUM('3 pr-2'!AP108)</f>
        <v>0</v>
      </c>
      <c r="I20" s="1021">
        <f t="shared" ref="I20" si="9">SUM(C20:H20)</f>
        <v>1486007</v>
      </c>
      <c r="J20" s="122">
        <v>1486009</v>
      </c>
      <c r="K20" s="1056">
        <f t="shared" si="3"/>
        <v>2</v>
      </c>
      <c r="L20" s="1056">
        <f>SUM(K20+'ketv. 6 '!AH107)</f>
        <v>2</v>
      </c>
    </row>
    <row r="21" spans="1:12" ht="32.25" thickBot="1">
      <c r="A21" s="153" t="s">
        <v>140</v>
      </c>
      <c r="B21" s="153" t="s">
        <v>664</v>
      </c>
      <c r="C21" s="1057">
        <f>SUM('IV-1 su proj'!D111)</f>
        <v>0</v>
      </c>
      <c r="D21" s="1057">
        <f>SUM('3 pr-2'!AL114)</f>
        <v>0</v>
      </c>
      <c r="E21" s="1057">
        <f>SUM('3 pr-2'!AM114)</f>
        <v>0</v>
      </c>
      <c r="F21" s="1057">
        <f>SUM('3 pr-2'!AN114)</f>
        <v>1138588</v>
      </c>
      <c r="G21" s="1057">
        <f>SUM('3 pr-2'!AO114)</f>
        <v>0</v>
      </c>
      <c r="H21" s="1057">
        <f>SUM('3 pr-2'!AP114)</f>
        <v>0</v>
      </c>
      <c r="I21" s="1021">
        <f t="shared" ref="I21" si="10">SUM(C21:H21)</f>
        <v>1138588</v>
      </c>
      <c r="J21" s="122">
        <v>1138588</v>
      </c>
      <c r="K21" s="1056">
        <f t="shared" si="3"/>
        <v>0</v>
      </c>
      <c r="L21" s="1056">
        <f>SUM(K21+'ketv. 6 '!AH113)</f>
        <v>0</v>
      </c>
    </row>
    <row r="22" spans="1:12" ht="48" thickBot="1">
      <c r="A22" s="153" t="s">
        <v>153</v>
      </c>
      <c r="B22" s="153" t="s">
        <v>665</v>
      </c>
      <c r="C22" s="1057">
        <v>0</v>
      </c>
      <c r="D22" s="1057">
        <f>SUM('3 pr-2'!AL121)</f>
        <v>0</v>
      </c>
      <c r="E22" s="1057">
        <f>SUM('3 pr-2'!AM121)</f>
        <v>0</v>
      </c>
      <c r="F22" s="1057">
        <f>SUM('3 pr-2'!AN121)</f>
        <v>700798.52999999991</v>
      </c>
      <c r="G22" s="1057">
        <f>SUM('3 pr-2'!AO121)</f>
        <v>529479</v>
      </c>
      <c r="H22" s="1057">
        <f>SUM('3 pr-2'!AP121)</f>
        <v>0</v>
      </c>
      <c r="I22" s="1021">
        <f t="shared" ref="I22:I23" si="11">SUM(C22:H22)</f>
        <v>1230277.5299999998</v>
      </c>
      <c r="J22" s="122">
        <v>1230854</v>
      </c>
      <c r="K22" s="1056">
        <f t="shared" si="3"/>
        <v>576.47000000020489</v>
      </c>
      <c r="L22" s="1056">
        <f>SUM(K22+'ketv. 6 '!AH120)</f>
        <v>-11.409999999794309</v>
      </c>
    </row>
    <row r="23" spans="1:12" ht="63.75" thickBot="1">
      <c r="A23" s="153" t="str">
        <f>CONCATENATE('3 pr-2'!H144)</f>
        <v>08.4.2-ESFA-R-615</v>
      </c>
      <c r="B23" s="153" t="s">
        <v>1206</v>
      </c>
      <c r="C23" s="1057">
        <v>0</v>
      </c>
      <c r="D23" s="1057">
        <f>SUM('3 pr-2'!AL141)</f>
        <v>0</v>
      </c>
      <c r="E23" s="1057">
        <f>SUM('3 pr-2'!AM141)</f>
        <v>0</v>
      </c>
      <c r="F23" s="1057">
        <f>SUM('3 pr-2'!AN141)</f>
        <v>54760.7</v>
      </c>
      <c r="G23" s="1057">
        <f>SUM('3 pr-2'!AO141)</f>
        <v>0</v>
      </c>
      <c r="H23" s="1057">
        <f>SUM('3 pr-2'!AP141)</f>
        <v>0</v>
      </c>
      <c r="I23" s="1021">
        <f t="shared" si="11"/>
        <v>54760.7</v>
      </c>
      <c r="J23" s="122">
        <v>55431</v>
      </c>
      <c r="K23" s="1056">
        <f t="shared" si="3"/>
        <v>670.30000000000291</v>
      </c>
      <c r="L23" s="1056">
        <f>SUM(K23+'ketv. 6 '!AH140)</f>
        <v>670.30000000017753</v>
      </c>
    </row>
    <row r="24" spans="1:12" ht="32.25" thickBot="1">
      <c r="A24" s="153" t="str">
        <f>CONCATENATE('3 pr-2'!H136)</f>
        <v>08.4.2-ESFA-R-630</v>
      </c>
      <c r="B24" s="153" t="s">
        <v>1184</v>
      </c>
      <c r="C24" s="1057">
        <v>0</v>
      </c>
      <c r="D24" s="1057">
        <f>SUM('3 pr-2'!AL135)</f>
        <v>0</v>
      </c>
      <c r="E24" s="1057">
        <f>SUM('3 pr-2'!AM135)</f>
        <v>0</v>
      </c>
      <c r="F24" s="1057">
        <f>SUM('3 pr-2'!AN135)</f>
        <v>845736.85</v>
      </c>
      <c r="G24" s="1057">
        <f>SUM('3 pr-2'!AO135)</f>
        <v>0</v>
      </c>
      <c r="H24" s="1057">
        <f>SUM('3 pr-2'!AP135)</f>
        <v>0</v>
      </c>
      <c r="I24" s="1021">
        <f t="shared" ref="I24" si="12">SUM(C24:H24)</f>
        <v>845736.85</v>
      </c>
      <c r="J24" s="122">
        <v>845738</v>
      </c>
      <c r="K24" s="1056">
        <f t="shared" si="3"/>
        <v>1.1500000000232831</v>
      </c>
      <c r="L24" s="1056">
        <f>SUM(K24+'ketv. 6 '!AH134)</f>
        <v>1.1500000000232831</v>
      </c>
    </row>
    <row r="25" spans="1:12" ht="32.25" thickBot="1">
      <c r="A25" s="153" t="s">
        <v>666</v>
      </c>
      <c r="B25" s="153" t="s">
        <v>262</v>
      </c>
      <c r="C25" s="1057">
        <f>SUM('IV-1 su proj'!D147)</f>
        <v>0</v>
      </c>
      <c r="D25" s="1057">
        <f>SUM('3 pr-2'!AL148)</f>
        <v>0</v>
      </c>
      <c r="E25" s="1057">
        <f>SUM('3 pr-2'!AM148)</f>
        <v>885761.15</v>
      </c>
      <c r="F25" s="1057">
        <f>SUM('3 pr-2'!AN148)</f>
        <v>0</v>
      </c>
      <c r="G25" s="1057">
        <f>SUM('3 pr-2'!AO148)</f>
        <v>0</v>
      </c>
      <c r="H25" s="1057">
        <f>SUM('3 pr-2'!AP148)</f>
        <v>0</v>
      </c>
      <c r="I25" s="1021">
        <f t="shared" ref="I25" si="13">SUM(C25:H25)</f>
        <v>885761.15</v>
      </c>
      <c r="J25" s="122">
        <v>885762</v>
      </c>
      <c r="K25" s="1056">
        <f t="shared" si="3"/>
        <v>0.84999999997671694</v>
      </c>
      <c r="L25" s="1056">
        <f>SUM(K25+'ketv. 6 '!AH147)</f>
        <v>0.8500000000349246</v>
      </c>
    </row>
    <row r="26" spans="1:12" ht="26.25" customHeight="1" thickBot="1">
      <c r="A26" s="153" t="s">
        <v>155</v>
      </c>
      <c r="B26" s="153" t="s">
        <v>667</v>
      </c>
      <c r="C26" s="1057">
        <f>SUM('IV-1 su proj'!D153)</f>
        <v>0</v>
      </c>
      <c r="D26" s="1057">
        <f>SUM('3 pr-2'!AL154)</f>
        <v>2520973.6399999997</v>
      </c>
      <c r="E26" s="1057">
        <f>SUM('3 pr-2'!AM154)</f>
        <v>0</v>
      </c>
      <c r="F26" s="1057">
        <f>SUM('3 pr-2'!AN154)</f>
        <v>0</v>
      </c>
      <c r="G26" s="1057">
        <f>SUM('3 pr-2'!AO154)</f>
        <v>0</v>
      </c>
      <c r="H26" s="1057">
        <f>SUM('3 pr-2'!AP154)</f>
        <v>0</v>
      </c>
      <c r="I26" s="1021">
        <f t="shared" ref="I26" si="14">SUM(C26:H26)</f>
        <v>2520973.6399999997</v>
      </c>
      <c r="J26" s="122">
        <v>2520974</v>
      </c>
      <c r="K26" s="1056">
        <f t="shared" si="3"/>
        <v>0.36000000033527613</v>
      </c>
      <c r="L26" s="1056">
        <f>SUM(K26+'ketv. 6 '!AH153)</f>
        <v>0.36000000033527613</v>
      </c>
    </row>
    <row r="27" spans="1:12" ht="48" thickBot="1">
      <c r="A27" s="153" t="s">
        <v>1122</v>
      </c>
      <c r="B27" s="153" t="s">
        <v>668</v>
      </c>
      <c r="C27" s="1057">
        <f>SUM('IV-1 su proj'!D160)</f>
        <v>0</v>
      </c>
      <c r="D27" s="1057">
        <f>SUM('3 pr-2'!AL161)</f>
        <v>0</v>
      </c>
      <c r="E27" s="1057">
        <f>SUM('3 pr-2'!AM162:AM167)</f>
        <v>0</v>
      </c>
      <c r="F27" s="1057">
        <f>SUM('3 pr-2'!AN162:AN167)</f>
        <v>770807.84000000008</v>
      </c>
      <c r="G27" s="1057">
        <f>SUM('3 pr-2'!AO162:AO167)</f>
        <v>170000</v>
      </c>
      <c r="H27" s="1057">
        <f>SUM('3 pr-2'!AP162:AP167)</f>
        <v>0</v>
      </c>
      <c r="I27" s="1021">
        <f t="shared" ref="I27" si="15">SUM(C27:H27)</f>
        <v>940807.84000000008</v>
      </c>
      <c r="J27" s="122">
        <v>982761</v>
      </c>
      <c r="K27" s="1056">
        <f t="shared" si="3"/>
        <v>41953.159999999916</v>
      </c>
      <c r="L27" s="1056">
        <f>SUM(K27+'ketv. 6 '!AH160)</f>
        <v>41953.159999999916</v>
      </c>
    </row>
    <row r="28" spans="1:12" ht="32.25" thickBot="1">
      <c r="A28" s="153" t="s">
        <v>190</v>
      </c>
      <c r="B28" s="153" t="s">
        <v>669</v>
      </c>
      <c r="C28" s="1057">
        <f>SUM('IV-1 su proj'!D169)</f>
        <v>0</v>
      </c>
      <c r="D28" s="1057">
        <f>SUM('3 pr-2'!AL170)</f>
        <v>0</v>
      </c>
      <c r="E28" s="1057">
        <f>SUM('3 pr-2'!AM170)</f>
        <v>3352807.77</v>
      </c>
      <c r="F28" s="1057">
        <f>SUM('3 pr-2'!AN170)</f>
        <v>0</v>
      </c>
      <c r="G28" s="1057">
        <f>SUM('3 pr-2'!AO170)</f>
        <v>0</v>
      </c>
      <c r="H28" s="1057">
        <f>SUM('3 pr-2'!AP170)</f>
        <v>0</v>
      </c>
      <c r="I28" s="1021">
        <f t="shared" ref="I28" si="16">SUM(C28:H28)</f>
        <v>3352807.77</v>
      </c>
      <c r="J28" s="122">
        <v>3352807.77</v>
      </c>
      <c r="K28" s="1056">
        <f t="shared" si="3"/>
        <v>0</v>
      </c>
      <c r="L28" s="1056">
        <f>SUM(K28+'ketv. 6 '!AH169)</f>
        <v>0</v>
      </c>
    </row>
    <row r="29" spans="1:12" ht="30.75" customHeight="1" thickBot="1">
      <c r="A29" s="153" t="s">
        <v>192</v>
      </c>
      <c r="B29" s="153" t="s">
        <v>670</v>
      </c>
      <c r="C29" s="1057">
        <f>SUM('IV-1 su proj'!D173)</f>
        <v>0</v>
      </c>
      <c r="D29" s="1057">
        <f>SUM('3 pr-2'!AL173)</f>
        <v>0</v>
      </c>
      <c r="E29" s="1057">
        <f>SUM('3 pr-2'!AM173)</f>
        <v>831922.88</v>
      </c>
      <c r="F29" s="1057">
        <f>SUM('3 pr-2'!AN173)</f>
        <v>626057</v>
      </c>
      <c r="G29" s="1057">
        <f>SUM('3 pr-2'!AO173)</f>
        <v>673647.87</v>
      </c>
      <c r="H29" s="1057">
        <f>SUM('3 pr-2'!AP173)</f>
        <v>0</v>
      </c>
      <c r="I29" s="1021">
        <f t="shared" ref="I29" si="17">SUM(C29:H29)</f>
        <v>2131627.75</v>
      </c>
      <c r="J29" s="122">
        <v>2131629</v>
      </c>
      <c r="K29" s="1056">
        <f t="shared" si="3"/>
        <v>1.25</v>
      </c>
      <c r="L29" s="1056">
        <f>SUM(K29+'ketv. 6 '!AH172)</f>
        <v>400950</v>
      </c>
    </row>
    <row r="30" spans="1:12" ht="20.25" hidden="1" thickTop="1" thickBot="1">
      <c r="A30" s="781"/>
      <c r="B30" s="782"/>
      <c r="C30" s="783" t="s">
        <v>10</v>
      </c>
      <c r="D30" s="783" t="s">
        <v>10</v>
      </c>
      <c r="E30" s="783" t="s">
        <v>10</v>
      </c>
      <c r="F30" s="783" t="s">
        <v>10</v>
      </c>
      <c r="G30" s="783" t="s">
        <v>10</v>
      </c>
      <c r="H30" s="783" t="s">
        <v>10</v>
      </c>
      <c r="I30" s="784" t="s">
        <v>10</v>
      </c>
      <c r="J30" s="784" t="s">
        <v>10</v>
      </c>
      <c r="K30" s="784" t="s">
        <v>10</v>
      </c>
      <c r="L30" s="784" t="s">
        <v>10</v>
      </c>
    </row>
    <row r="31" spans="1:12" ht="19.5" hidden="1" thickBot="1">
      <c r="A31" s="785"/>
      <c r="B31" s="786"/>
      <c r="C31" s="787">
        <f>SUM(C4:C29)</f>
        <v>0</v>
      </c>
      <c r="D31" s="787">
        <f t="shared" ref="D31:H31" si="18">SUM(D4:D29)</f>
        <v>5478911.9699999997</v>
      </c>
      <c r="E31" s="787">
        <f t="shared" si="18"/>
        <v>19877830.949999999</v>
      </c>
      <c r="F31" s="787">
        <f t="shared" si="18"/>
        <v>17972844.780000001</v>
      </c>
      <c r="G31" s="787">
        <f t="shared" si="18"/>
        <v>4809310.57</v>
      </c>
      <c r="H31" s="787">
        <f t="shared" si="18"/>
        <v>0</v>
      </c>
      <c r="I31" s="788">
        <f>SUM(C31:H31)</f>
        <v>48138898.270000003</v>
      </c>
      <c r="J31" s="789">
        <f>SUM(J4:J30)</f>
        <v>48612098.130000003</v>
      </c>
      <c r="K31" s="789">
        <f>SUM(K4:K30)</f>
        <v>473199.85999999975</v>
      </c>
      <c r="L31" s="789">
        <f>SUM(L4:L30)</f>
        <v>1221255.5</v>
      </c>
    </row>
    <row r="32" spans="1:12" ht="18.75">
      <c r="A32" s="790"/>
      <c r="B32" s="791"/>
      <c r="C32" s="792"/>
      <c r="D32" s="792"/>
      <c r="E32" s="792"/>
      <c r="F32" s="792"/>
      <c r="G32" s="792"/>
      <c r="H32" s="792"/>
      <c r="I32" s="670"/>
      <c r="J32" s="670"/>
      <c r="K32" s="670"/>
      <c r="L32" s="670"/>
    </row>
    <row r="34" spans="1:10" ht="33" customHeight="1" thickBot="1">
      <c r="A34" s="1984" t="s">
        <v>1372</v>
      </c>
      <c r="B34" s="1985"/>
      <c r="C34" s="1985"/>
      <c r="D34" s="1985"/>
      <c r="E34" s="1985"/>
      <c r="F34" s="1985"/>
      <c r="G34" s="1985"/>
      <c r="H34" s="1985"/>
      <c r="I34" s="1985"/>
    </row>
    <row r="35" spans="1:10" ht="17.25" thickTop="1" thickBot="1">
      <c r="A35" s="1991" t="s">
        <v>1374</v>
      </c>
      <c r="B35" s="1989" t="s">
        <v>1373</v>
      </c>
      <c r="C35" s="1986" t="s">
        <v>671</v>
      </c>
      <c r="D35" s="1987"/>
      <c r="E35" s="1987"/>
      <c r="F35" s="1987"/>
      <c r="G35" s="1987"/>
      <c r="H35" s="1987"/>
      <c r="I35" s="1988"/>
    </row>
    <row r="36" spans="1:10" ht="62.25" customHeight="1" thickTop="1" thickBot="1">
      <c r="A36" s="1992"/>
      <c r="B36" s="1990"/>
      <c r="C36" s="777">
        <v>2015</v>
      </c>
      <c r="D36" s="777">
        <v>2016</v>
      </c>
      <c r="E36" s="777">
        <v>2017</v>
      </c>
      <c r="F36" s="777">
        <v>2018</v>
      </c>
      <c r="G36" s="777">
        <v>2019</v>
      </c>
      <c r="H36" s="777">
        <v>2020</v>
      </c>
      <c r="I36" s="778" t="s">
        <v>331</v>
      </c>
    </row>
    <row r="37" spans="1:10" ht="48" thickBot="1">
      <c r="A37" s="154" t="s">
        <v>437</v>
      </c>
      <c r="B37" s="154" t="s">
        <v>250</v>
      </c>
      <c r="C37" s="1055">
        <f t="shared" ref="C37:C62" si="19">SUM(C4)</f>
        <v>0</v>
      </c>
      <c r="D37" s="1055">
        <f t="shared" ref="D37:H46" si="20">SUM(C37+D4)</f>
        <v>0</v>
      </c>
      <c r="E37" s="1055">
        <f t="shared" si="20"/>
        <v>0</v>
      </c>
      <c r="F37" s="1055">
        <f t="shared" si="20"/>
        <v>2773893</v>
      </c>
      <c r="G37" s="1055">
        <f t="shared" si="20"/>
        <v>2773893</v>
      </c>
      <c r="H37" s="1055">
        <f t="shared" si="20"/>
        <v>2773893</v>
      </c>
      <c r="I37" s="1056">
        <f t="shared" ref="I37:I62" si="21">SUM(I4)</f>
        <v>2773893</v>
      </c>
    </row>
    <row r="38" spans="1:10" ht="32.25" thickBot="1">
      <c r="A38" s="153" t="s">
        <v>146</v>
      </c>
      <c r="B38" s="153" t="s">
        <v>644</v>
      </c>
      <c r="C38" s="1057">
        <f t="shared" si="19"/>
        <v>0</v>
      </c>
      <c r="D38" s="1057">
        <f t="shared" si="20"/>
        <v>0</v>
      </c>
      <c r="E38" s="1057">
        <f t="shared" si="20"/>
        <v>0</v>
      </c>
      <c r="F38" s="1057">
        <f t="shared" si="20"/>
        <v>1929504.6400000001</v>
      </c>
      <c r="G38" s="1057">
        <f t="shared" si="20"/>
        <v>2816450.64</v>
      </c>
      <c r="H38" s="1057">
        <f t="shared" si="20"/>
        <v>2816450.64</v>
      </c>
      <c r="I38" s="1021">
        <f t="shared" si="21"/>
        <v>2816450.64</v>
      </c>
      <c r="J38" s="779">
        <f>SUM(I38-H38)</f>
        <v>0</v>
      </c>
    </row>
    <row r="39" spans="1:10" ht="26.25" customHeight="1" thickBot="1">
      <c r="A39" s="153" t="s">
        <v>145</v>
      </c>
      <c r="B39" s="153" t="s">
        <v>645</v>
      </c>
      <c r="C39" s="1057">
        <f t="shared" si="19"/>
        <v>0</v>
      </c>
      <c r="D39" s="1057">
        <f t="shared" si="20"/>
        <v>1289301.81</v>
      </c>
      <c r="E39" s="1057">
        <f t="shared" si="20"/>
        <v>1974671.81</v>
      </c>
      <c r="F39" s="1057">
        <f t="shared" si="20"/>
        <v>3697299.46</v>
      </c>
      <c r="G39" s="1057">
        <f t="shared" si="20"/>
        <v>3697299.46</v>
      </c>
      <c r="H39" s="1057">
        <f t="shared" si="20"/>
        <v>3697299.46</v>
      </c>
      <c r="I39" s="1021">
        <f t="shared" si="21"/>
        <v>3697299.46</v>
      </c>
      <c r="J39" s="779">
        <f>SUM(I39-H39)</f>
        <v>0</v>
      </c>
    </row>
    <row r="40" spans="1:10" ht="32.25" thickBot="1">
      <c r="A40" s="153" t="s">
        <v>647</v>
      </c>
      <c r="B40" s="153" t="s">
        <v>646</v>
      </c>
      <c r="C40" s="1057">
        <f t="shared" si="19"/>
        <v>0</v>
      </c>
      <c r="D40" s="1057">
        <f t="shared" si="20"/>
        <v>575484.89</v>
      </c>
      <c r="E40" s="1057">
        <f t="shared" si="20"/>
        <v>575484.89</v>
      </c>
      <c r="F40" s="1057">
        <f t="shared" si="20"/>
        <v>575484.89</v>
      </c>
      <c r="G40" s="1057">
        <f t="shared" si="20"/>
        <v>575484.89</v>
      </c>
      <c r="H40" s="1057">
        <f t="shared" si="20"/>
        <v>575484.89</v>
      </c>
      <c r="I40" s="1021">
        <f t="shared" si="21"/>
        <v>575484.89</v>
      </c>
    </row>
    <row r="41" spans="1:10" ht="32.25" thickBot="1">
      <c r="A41" s="153" t="s">
        <v>178</v>
      </c>
      <c r="B41" s="153" t="s">
        <v>648</v>
      </c>
      <c r="C41" s="1057">
        <f t="shared" si="19"/>
        <v>0</v>
      </c>
      <c r="D41" s="1057">
        <f t="shared" si="20"/>
        <v>1093151.6300000001</v>
      </c>
      <c r="E41" s="1057">
        <f t="shared" si="20"/>
        <v>1093151.6300000001</v>
      </c>
      <c r="F41" s="1057">
        <f t="shared" si="20"/>
        <v>1093151.6300000001</v>
      </c>
      <c r="G41" s="1057">
        <f t="shared" si="20"/>
        <v>1093151.6300000001</v>
      </c>
      <c r="H41" s="1057">
        <f t="shared" si="20"/>
        <v>1093151.6300000001</v>
      </c>
      <c r="I41" s="1021">
        <f t="shared" si="21"/>
        <v>1093151.6300000001</v>
      </c>
    </row>
    <row r="42" spans="1:10" ht="48" thickBot="1">
      <c r="A42" s="153" t="s">
        <v>144</v>
      </c>
      <c r="B42" s="153" t="s">
        <v>649</v>
      </c>
      <c r="C42" s="1057">
        <f t="shared" si="19"/>
        <v>0</v>
      </c>
      <c r="D42" s="1057">
        <f t="shared" si="20"/>
        <v>0</v>
      </c>
      <c r="E42" s="1057">
        <f t="shared" si="20"/>
        <v>7981489.3000000007</v>
      </c>
      <c r="F42" s="1057">
        <f t="shared" si="20"/>
        <v>8901964.3000000007</v>
      </c>
      <c r="G42" s="1057">
        <f t="shared" si="20"/>
        <v>8901964.3000000007</v>
      </c>
      <c r="H42" s="1057">
        <f t="shared" si="20"/>
        <v>8901964.3000000007</v>
      </c>
      <c r="I42" s="1021">
        <f t="shared" si="21"/>
        <v>8901964.3000000007</v>
      </c>
    </row>
    <row r="43" spans="1:10" ht="32.25" thickBot="1">
      <c r="A43" s="153" t="s">
        <v>179</v>
      </c>
      <c r="B43" s="153" t="s">
        <v>650</v>
      </c>
      <c r="C43" s="1057">
        <f t="shared" si="19"/>
        <v>0</v>
      </c>
      <c r="D43" s="1057">
        <f t="shared" si="20"/>
        <v>0</v>
      </c>
      <c r="E43" s="1057">
        <f t="shared" si="20"/>
        <v>2380812.19</v>
      </c>
      <c r="F43" s="1057">
        <f t="shared" si="20"/>
        <v>3392312.19</v>
      </c>
      <c r="G43" s="1057">
        <f t="shared" si="20"/>
        <v>3392312.19</v>
      </c>
      <c r="H43" s="1057">
        <f t="shared" si="20"/>
        <v>3392312.19</v>
      </c>
      <c r="I43" s="1021">
        <f t="shared" si="21"/>
        <v>3392312.19</v>
      </c>
    </row>
    <row r="44" spans="1:10" ht="48" thickBot="1">
      <c r="A44" s="153" t="s">
        <v>761</v>
      </c>
      <c r="B44" s="153" t="s">
        <v>651</v>
      </c>
      <c r="C44" s="1057">
        <f t="shared" si="19"/>
        <v>0</v>
      </c>
      <c r="D44" s="1057">
        <f t="shared" si="20"/>
        <v>0</v>
      </c>
      <c r="E44" s="1057">
        <f t="shared" si="20"/>
        <v>421880.1</v>
      </c>
      <c r="F44" s="1057">
        <f t="shared" si="20"/>
        <v>421880.1</v>
      </c>
      <c r="G44" s="1057">
        <f t="shared" si="20"/>
        <v>611420</v>
      </c>
      <c r="H44" s="1057">
        <f t="shared" si="20"/>
        <v>611420</v>
      </c>
      <c r="I44" s="1021">
        <f t="shared" si="21"/>
        <v>611420</v>
      </c>
    </row>
    <row r="45" spans="1:10" ht="32.25" thickBot="1">
      <c r="A45" s="153" t="s">
        <v>143</v>
      </c>
      <c r="B45" s="153" t="s">
        <v>652</v>
      </c>
      <c r="C45" s="1057">
        <f t="shared" si="19"/>
        <v>0</v>
      </c>
      <c r="D45" s="1057">
        <f t="shared" si="20"/>
        <v>0</v>
      </c>
      <c r="E45" s="1057">
        <f t="shared" si="20"/>
        <v>898622.7</v>
      </c>
      <c r="F45" s="1057">
        <f t="shared" si="20"/>
        <v>1198163.7</v>
      </c>
      <c r="G45" s="1057">
        <f t="shared" si="20"/>
        <v>1198163.7</v>
      </c>
      <c r="H45" s="1057">
        <f t="shared" si="20"/>
        <v>1198163.7</v>
      </c>
      <c r="I45" s="1021">
        <f t="shared" si="21"/>
        <v>1198163.7</v>
      </c>
    </row>
    <row r="46" spans="1:10" ht="32.25" thickBot="1">
      <c r="A46" s="153" t="s">
        <v>182</v>
      </c>
      <c r="B46" s="153" t="s">
        <v>653</v>
      </c>
      <c r="C46" s="1057">
        <f t="shared" si="19"/>
        <v>0</v>
      </c>
      <c r="D46" s="1057">
        <f t="shared" si="20"/>
        <v>0</v>
      </c>
      <c r="E46" s="1057">
        <f t="shared" si="20"/>
        <v>0</v>
      </c>
      <c r="F46" s="1057">
        <f t="shared" si="20"/>
        <v>1023865.66</v>
      </c>
      <c r="G46" s="1057">
        <f t="shared" si="20"/>
        <v>1023865.66</v>
      </c>
      <c r="H46" s="1057">
        <f t="shared" si="20"/>
        <v>1023865.66</v>
      </c>
      <c r="I46" s="1021">
        <f t="shared" si="21"/>
        <v>1023865.66</v>
      </c>
    </row>
    <row r="47" spans="1:10" ht="48" thickBot="1">
      <c r="A47" s="153" t="s">
        <v>655</v>
      </c>
      <c r="B47" s="153" t="s">
        <v>654</v>
      </c>
      <c r="C47" s="1057">
        <f t="shared" si="19"/>
        <v>0</v>
      </c>
      <c r="D47" s="1057">
        <f t="shared" ref="D47:H56" si="22">SUM(C47+D14)</f>
        <v>0</v>
      </c>
      <c r="E47" s="1057">
        <f t="shared" si="22"/>
        <v>0</v>
      </c>
      <c r="F47" s="1057">
        <f t="shared" si="22"/>
        <v>640846</v>
      </c>
      <c r="G47" s="1057">
        <f t="shared" si="22"/>
        <v>1263272</v>
      </c>
      <c r="H47" s="1057">
        <f t="shared" si="22"/>
        <v>1263272</v>
      </c>
      <c r="I47" s="1021">
        <f t="shared" si="21"/>
        <v>1263272</v>
      </c>
    </row>
    <row r="48" spans="1:10" ht="24" customHeight="1" thickBot="1">
      <c r="A48" s="153" t="s">
        <v>147</v>
      </c>
      <c r="B48" s="153" t="s">
        <v>656</v>
      </c>
      <c r="C48" s="1057">
        <f t="shared" si="19"/>
        <v>0</v>
      </c>
      <c r="D48" s="1057">
        <f t="shared" si="22"/>
        <v>0</v>
      </c>
      <c r="E48" s="1057">
        <f t="shared" si="22"/>
        <v>0</v>
      </c>
      <c r="F48" s="1057">
        <f t="shared" si="22"/>
        <v>0</v>
      </c>
      <c r="G48" s="1057">
        <f t="shared" si="22"/>
        <v>1567659.8</v>
      </c>
      <c r="H48" s="1057">
        <f t="shared" si="22"/>
        <v>1567659.8</v>
      </c>
      <c r="I48" s="1021">
        <f t="shared" si="21"/>
        <v>1567659.8</v>
      </c>
    </row>
    <row r="49" spans="1:13" ht="29.25" customHeight="1" thickBot="1">
      <c r="A49" s="153" t="s">
        <v>269</v>
      </c>
      <c r="B49" s="153" t="s">
        <v>657</v>
      </c>
      <c r="C49" s="1057">
        <f t="shared" si="19"/>
        <v>0</v>
      </c>
      <c r="D49" s="1057">
        <f t="shared" si="22"/>
        <v>0</v>
      </c>
      <c r="E49" s="1057">
        <f t="shared" si="22"/>
        <v>43042.3</v>
      </c>
      <c r="F49" s="1057">
        <f t="shared" si="22"/>
        <v>43042.3</v>
      </c>
      <c r="G49" s="1057">
        <f t="shared" si="22"/>
        <v>43042.3</v>
      </c>
      <c r="H49" s="1057">
        <f t="shared" si="22"/>
        <v>43042.3</v>
      </c>
      <c r="I49" s="1021">
        <f t="shared" si="21"/>
        <v>43042.3</v>
      </c>
    </row>
    <row r="50" spans="1:13" ht="32.25" thickBot="1">
      <c r="A50" s="153" t="s">
        <v>148</v>
      </c>
      <c r="B50" s="153" t="s">
        <v>658</v>
      </c>
      <c r="C50" s="1057">
        <f t="shared" si="19"/>
        <v>0</v>
      </c>
      <c r="D50" s="1057">
        <f t="shared" si="22"/>
        <v>0</v>
      </c>
      <c r="E50" s="1057">
        <f t="shared" si="22"/>
        <v>187120.56</v>
      </c>
      <c r="F50" s="1057">
        <f t="shared" si="22"/>
        <v>359037.69</v>
      </c>
      <c r="G50" s="1057">
        <f t="shared" si="22"/>
        <v>415660.69</v>
      </c>
      <c r="H50" s="1057">
        <f t="shared" si="22"/>
        <v>415660.69</v>
      </c>
      <c r="I50" s="1021">
        <f t="shared" si="21"/>
        <v>415660.69</v>
      </c>
    </row>
    <row r="51" spans="1:13" ht="48" thickBot="1">
      <c r="A51" s="153" t="s">
        <v>659</v>
      </c>
      <c r="B51" s="153" t="s">
        <v>660</v>
      </c>
      <c r="C51" s="1057">
        <f t="shared" si="19"/>
        <v>0</v>
      </c>
      <c r="D51" s="1057">
        <f t="shared" si="22"/>
        <v>0</v>
      </c>
      <c r="E51" s="1057">
        <f t="shared" si="22"/>
        <v>1458082</v>
      </c>
      <c r="F51" s="1057">
        <f t="shared" si="22"/>
        <v>2922543.7800000003</v>
      </c>
      <c r="G51" s="1057">
        <f t="shared" si="22"/>
        <v>3035532.7800000003</v>
      </c>
      <c r="H51" s="1057">
        <f t="shared" si="22"/>
        <v>3035532.7800000003</v>
      </c>
      <c r="I51" s="1021">
        <f t="shared" si="21"/>
        <v>3035532.7800000003</v>
      </c>
    </row>
    <row r="52" spans="1:13" ht="32.25" thickBot="1">
      <c r="A52" s="153" t="s">
        <v>662</v>
      </c>
      <c r="B52" s="153" t="s">
        <v>661</v>
      </c>
      <c r="C52" s="1057">
        <f t="shared" si="19"/>
        <v>0</v>
      </c>
      <c r="D52" s="1057">
        <f t="shared" si="22"/>
        <v>0</v>
      </c>
      <c r="E52" s="1057">
        <f t="shared" si="22"/>
        <v>139295</v>
      </c>
      <c r="F52" s="1057">
        <f t="shared" si="22"/>
        <v>1142377</v>
      </c>
      <c r="G52" s="1057">
        <f t="shared" si="22"/>
        <v>1142377</v>
      </c>
      <c r="H52" s="1057">
        <f t="shared" si="22"/>
        <v>1142377</v>
      </c>
      <c r="I52" s="1021">
        <f t="shared" si="21"/>
        <v>1142377</v>
      </c>
    </row>
    <row r="53" spans="1:13" ht="32.25" thickBot="1">
      <c r="A53" s="153" t="s">
        <v>139</v>
      </c>
      <c r="B53" s="153" t="s">
        <v>663</v>
      </c>
      <c r="C53" s="1057">
        <f t="shared" si="19"/>
        <v>0</v>
      </c>
      <c r="D53" s="1057">
        <f t="shared" si="22"/>
        <v>0</v>
      </c>
      <c r="E53" s="1057">
        <f t="shared" si="22"/>
        <v>611625</v>
      </c>
      <c r="F53" s="1057">
        <f t="shared" si="22"/>
        <v>1486007</v>
      </c>
      <c r="G53" s="1057">
        <f t="shared" si="22"/>
        <v>1486007</v>
      </c>
      <c r="H53" s="1057">
        <f t="shared" si="22"/>
        <v>1486007</v>
      </c>
      <c r="I53" s="1021">
        <f t="shared" si="21"/>
        <v>1486007</v>
      </c>
    </row>
    <row r="54" spans="1:13" ht="32.25" thickBot="1">
      <c r="A54" s="153" t="s">
        <v>140</v>
      </c>
      <c r="B54" s="153" t="s">
        <v>664</v>
      </c>
      <c r="C54" s="1057">
        <f t="shared" si="19"/>
        <v>0</v>
      </c>
      <c r="D54" s="1057">
        <f t="shared" si="22"/>
        <v>0</v>
      </c>
      <c r="E54" s="1057">
        <f t="shared" si="22"/>
        <v>0</v>
      </c>
      <c r="F54" s="1057">
        <f t="shared" si="22"/>
        <v>1138588</v>
      </c>
      <c r="G54" s="1057">
        <f t="shared" si="22"/>
        <v>1138588</v>
      </c>
      <c r="H54" s="1057">
        <f t="shared" si="22"/>
        <v>1138588</v>
      </c>
      <c r="I54" s="1021">
        <f t="shared" si="21"/>
        <v>1138588</v>
      </c>
    </row>
    <row r="55" spans="1:13" ht="48" thickBot="1">
      <c r="A55" s="153" t="s">
        <v>153</v>
      </c>
      <c r="B55" s="153" t="s">
        <v>665</v>
      </c>
      <c r="C55" s="1057">
        <f t="shared" si="19"/>
        <v>0</v>
      </c>
      <c r="D55" s="1057">
        <f t="shared" si="22"/>
        <v>0</v>
      </c>
      <c r="E55" s="1057">
        <f t="shared" si="22"/>
        <v>0</v>
      </c>
      <c r="F55" s="1057">
        <f t="shared" si="22"/>
        <v>700798.52999999991</v>
      </c>
      <c r="G55" s="1057">
        <f t="shared" si="22"/>
        <v>1230277.5299999998</v>
      </c>
      <c r="H55" s="1057">
        <f t="shared" si="22"/>
        <v>1230277.5299999998</v>
      </c>
      <c r="I55" s="1021">
        <f t="shared" si="21"/>
        <v>1230277.5299999998</v>
      </c>
    </row>
    <row r="56" spans="1:13" ht="63.75" thickBot="1">
      <c r="A56" s="153" t="s">
        <v>1191</v>
      </c>
      <c r="B56" s="153" t="s">
        <v>1206</v>
      </c>
      <c r="C56" s="1057">
        <f t="shared" si="19"/>
        <v>0</v>
      </c>
      <c r="D56" s="1057">
        <f t="shared" si="22"/>
        <v>0</v>
      </c>
      <c r="E56" s="1057">
        <f t="shared" si="22"/>
        <v>0</v>
      </c>
      <c r="F56" s="1057">
        <f t="shared" si="22"/>
        <v>54760.7</v>
      </c>
      <c r="G56" s="1057">
        <f t="shared" si="22"/>
        <v>54760.7</v>
      </c>
      <c r="H56" s="1057">
        <f t="shared" si="22"/>
        <v>54760.7</v>
      </c>
      <c r="I56" s="1021">
        <f t="shared" si="21"/>
        <v>54760.7</v>
      </c>
      <c r="M56" s="779"/>
    </row>
    <row r="57" spans="1:13" ht="32.25" thickBot="1">
      <c r="A57" s="153" t="str">
        <f>CONCATENATE(A24)</f>
        <v>08.4.2-ESFA-R-630</v>
      </c>
      <c r="B57" s="153" t="str">
        <f>CONCATENATE(B24)</f>
        <v xml:space="preserve"> "Sveikos gyvensenos skatinimas regioniniu lygiu“</v>
      </c>
      <c r="C57" s="1057">
        <f t="shared" si="19"/>
        <v>0</v>
      </c>
      <c r="D57" s="1057">
        <f t="shared" ref="D57:H57" si="23">SUM(C57+D24)</f>
        <v>0</v>
      </c>
      <c r="E57" s="1057">
        <f t="shared" si="23"/>
        <v>0</v>
      </c>
      <c r="F57" s="1057">
        <f t="shared" si="23"/>
        <v>845736.85</v>
      </c>
      <c r="G57" s="1057">
        <f t="shared" si="23"/>
        <v>845736.85</v>
      </c>
      <c r="H57" s="1057">
        <f t="shared" si="23"/>
        <v>845736.85</v>
      </c>
      <c r="I57" s="1021">
        <f t="shared" si="21"/>
        <v>845736.85</v>
      </c>
    </row>
    <row r="58" spans="1:13" ht="32.25" thickBot="1">
      <c r="A58" s="153" t="s">
        <v>666</v>
      </c>
      <c r="B58" s="153" t="s">
        <v>262</v>
      </c>
      <c r="C58" s="1057">
        <f t="shared" si="19"/>
        <v>0</v>
      </c>
      <c r="D58" s="1057">
        <f t="shared" ref="D58:H62" si="24">SUM(C58+D25)</f>
        <v>0</v>
      </c>
      <c r="E58" s="1057">
        <f t="shared" si="24"/>
        <v>885761.15</v>
      </c>
      <c r="F58" s="1057">
        <f t="shared" si="24"/>
        <v>885761.15</v>
      </c>
      <c r="G58" s="1057">
        <f t="shared" si="24"/>
        <v>885761.15</v>
      </c>
      <c r="H58" s="1057">
        <f t="shared" si="24"/>
        <v>885761.15</v>
      </c>
      <c r="I58" s="1021">
        <f t="shared" si="21"/>
        <v>885761.15</v>
      </c>
    </row>
    <row r="59" spans="1:13" ht="28.5" customHeight="1" thickBot="1">
      <c r="A59" s="153" t="s">
        <v>155</v>
      </c>
      <c r="B59" s="153" t="s">
        <v>667</v>
      </c>
      <c r="C59" s="1057">
        <f t="shared" si="19"/>
        <v>0</v>
      </c>
      <c r="D59" s="1057">
        <f t="shared" si="24"/>
        <v>2520973.6399999997</v>
      </c>
      <c r="E59" s="1057">
        <f t="shared" si="24"/>
        <v>2520973.6399999997</v>
      </c>
      <c r="F59" s="1057">
        <f t="shared" si="24"/>
        <v>2520973.6399999997</v>
      </c>
      <c r="G59" s="1057">
        <f t="shared" si="24"/>
        <v>2520973.6399999997</v>
      </c>
      <c r="H59" s="1057">
        <f t="shared" si="24"/>
        <v>2520973.6399999997</v>
      </c>
      <c r="I59" s="1021">
        <f t="shared" si="21"/>
        <v>2520973.6399999997</v>
      </c>
    </row>
    <row r="60" spans="1:13" ht="48" thickBot="1">
      <c r="A60" s="153" t="s">
        <v>1122</v>
      </c>
      <c r="B60" s="153" t="s">
        <v>668</v>
      </c>
      <c r="C60" s="1057">
        <f t="shared" si="19"/>
        <v>0</v>
      </c>
      <c r="D60" s="1057">
        <f t="shared" si="24"/>
        <v>0</v>
      </c>
      <c r="E60" s="1057">
        <f t="shared" si="24"/>
        <v>0</v>
      </c>
      <c r="F60" s="1057">
        <f t="shared" si="24"/>
        <v>770807.84000000008</v>
      </c>
      <c r="G60" s="1057">
        <f t="shared" si="24"/>
        <v>940807.84000000008</v>
      </c>
      <c r="H60" s="1057">
        <f t="shared" si="24"/>
        <v>940807.84000000008</v>
      </c>
      <c r="I60" s="1021">
        <f t="shared" si="21"/>
        <v>940807.84000000008</v>
      </c>
    </row>
    <row r="61" spans="1:13" ht="32.25" thickBot="1">
      <c r="A61" s="153" t="s">
        <v>190</v>
      </c>
      <c r="B61" s="153" t="s">
        <v>669</v>
      </c>
      <c r="C61" s="1057">
        <f t="shared" si="19"/>
        <v>0</v>
      </c>
      <c r="D61" s="1057">
        <f t="shared" si="24"/>
        <v>0</v>
      </c>
      <c r="E61" s="1057">
        <f t="shared" si="24"/>
        <v>3352807.77</v>
      </c>
      <c r="F61" s="1057">
        <f t="shared" si="24"/>
        <v>3352807.77</v>
      </c>
      <c r="G61" s="1057">
        <f t="shared" si="24"/>
        <v>3352807.77</v>
      </c>
      <c r="H61" s="1057">
        <f t="shared" si="24"/>
        <v>3352807.77</v>
      </c>
      <c r="I61" s="1021">
        <f t="shared" si="21"/>
        <v>3352807.77</v>
      </c>
    </row>
    <row r="62" spans="1:13" ht="30.75" customHeight="1" thickBot="1">
      <c r="A62" s="153" t="s">
        <v>192</v>
      </c>
      <c r="B62" s="153" t="s">
        <v>670</v>
      </c>
      <c r="C62" s="1057">
        <f t="shared" si="19"/>
        <v>0</v>
      </c>
      <c r="D62" s="1057">
        <f t="shared" si="24"/>
        <v>0</v>
      </c>
      <c r="E62" s="1057">
        <f t="shared" si="24"/>
        <v>831922.88</v>
      </c>
      <c r="F62" s="1057">
        <f t="shared" si="24"/>
        <v>1457979.88</v>
      </c>
      <c r="G62" s="1057">
        <f t="shared" si="24"/>
        <v>2131627.75</v>
      </c>
      <c r="H62" s="1057">
        <f t="shared" si="24"/>
        <v>2131627.75</v>
      </c>
      <c r="I62" s="1021">
        <f t="shared" si="21"/>
        <v>2131627.75</v>
      </c>
    </row>
    <row r="63" spans="1:13" ht="19.5" hidden="1" thickBot="1">
      <c r="B63" s="782"/>
      <c r="C63" s="783" t="s">
        <v>10</v>
      </c>
      <c r="D63" s="783" t="s">
        <v>10</v>
      </c>
      <c r="E63" s="783" t="s">
        <v>10</v>
      </c>
      <c r="F63" s="783" t="s">
        <v>10</v>
      </c>
      <c r="G63" s="783" t="s">
        <v>10</v>
      </c>
      <c r="H63" s="783" t="s">
        <v>10</v>
      </c>
      <c r="I63" s="784" t="s">
        <v>10</v>
      </c>
    </row>
    <row r="64" spans="1:13" ht="19.5" hidden="1" thickBot="1">
      <c r="B64" s="786"/>
      <c r="C64" s="787">
        <f t="shared" ref="C64:G64" si="25">SUM(C37:C62)</f>
        <v>0</v>
      </c>
      <c r="D64" s="787">
        <f t="shared" si="25"/>
        <v>5478911.9699999997</v>
      </c>
      <c r="E64" s="787">
        <f t="shared" si="25"/>
        <v>25356742.919999998</v>
      </c>
      <c r="F64" s="787">
        <f t="shared" si="25"/>
        <v>43329587.700000018</v>
      </c>
      <c r="G64" s="787">
        <f t="shared" si="25"/>
        <v>48138898.270000018</v>
      </c>
      <c r="H64" s="787">
        <f>SUM(H37:H62)</f>
        <v>48138898.270000018</v>
      </c>
      <c r="I64" s="788">
        <f>SUM(I37:I62)</f>
        <v>48138898.270000018</v>
      </c>
    </row>
  </sheetData>
  <mergeCells count="8">
    <mergeCell ref="A1:I1"/>
    <mergeCell ref="C2:I2"/>
    <mergeCell ref="B2:B3"/>
    <mergeCell ref="A2:A3"/>
    <mergeCell ref="C35:I35"/>
    <mergeCell ref="B35:B36"/>
    <mergeCell ref="A35:A36"/>
    <mergeCell ref="A34:I34"/>
  </mergeCells>
  <pageMargins left="0.23622047244094491" right="0.23622047244094491" top="0.74803149606299213" bottom="0.74803149606299213" header="0.31496062992125984" footer="0.31496062992125984"/>
  <pageSetup paperSize="9" scale="95" fitToHeight="0" orientation="landscape" r:id="rId1"/>
  <headerFooter>
    <oddHeader>&amp;C&amp;"Times New Roman,Paprastas"&amp;12Alytaus regiono 2014 – 2020 metų plėtros planas</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38"/>
  <sheetViews>
    <sheetView showGridLines="0" showRuler="0" zoomScaleNormal="100" workbookViewId="0">
      <pane ySplit="2220" topLeftCell="A4" activePane="bottomLeft"/>
      <selection activeCell="O20" sqref="O20"/>
      <selection pane="bottomLeft" activeCell="O20" sqref="O20"/>
    </sheetView>
  </sheetViews>
  <sheetFormatPr defaultColWidth="9.140625" defaultRowHeight="15"/>
  <cols>
    <col min="1" max="1" width="9.140625" style="21"/>
    <col min="2" max="2" width="82.85546875" style="21" customWidth="1"/>
    <col min="3" max="3" width="20" style="21" customWidth="1"/>
    <col min="4" max="4" width="18.28515625" style="21" customWidth="1"/>
    <col min="5" max="5" width="19.42578125" style="21" customWidth="1"/>
    <col min="6" max="6" width="19.42578125" style="21" hidden="1" customWidth="1"/>
    <col min="7" max="7" width="9.140625" style="21"/>
    <col min="8" max="8" width="18.85546875" style="21" customWidth="1"/>
    <col min="9" max="9" width="12" style="21" bestFit="1" customWidth="1"/>
    <col min="10" max="10" width="10.7109375" style="21" customWidth="1"/>
    <col min="11" max="16384" width="9.140625" style="21"/>
  </cols>
  <sheetData>
    <row r="1" spans="1:6" ht="16.5" thickBot="1">
      <c r="A1" s="677" t="s">
        <v>1375</v>
      </c>
      <c r="B1" s="48"/>
      <c r="C1" s="48"/>
      <c r="D1" s="48"/>
      <c r="E1" s="48"/>
      <c r="F1" s="48"/>
    </row>
    <row r="2" spans="1:6" ht="79.5" thickBot="1">
      <c r="A2" s="794" t="s">
        <v>366</v>
      </c>
      <c r="B2" s="795" t="s">
        <v>367</v>
      </c>
      <c r="C2" s="795" t="s">
        <v>368</v>
      </c>
      <c r="D2" s="795" t="s">
        <v>369</v>
      </c>
      <c r="E2" s="795" t="s">
        <v>672</v>
      </c>
      <c r="F2" s="795" t="s">
        <v>1755</v>
      </c>
    </row>
    <row r="3" spans="1:6" ht="16.5" thickBot="1">
      <c r="A3" s="796">
        <v>2</v>
      </c>
      <c r="B3" s="797" t="s">
        <v>346</v>
      </c>
      <c r="C3" s="284">
        <f>COUNTIF('IV-3'!$K$8:$K$180,A3)+COUNTIF('IV-3'!$M$8:$M$180,A3)+COUNTIF('IV-3'!$O$8:$O$180,A3)</f>
        <v>5</v>
      </c>
      <c r="D3" s="284">
        <f>COUNTIF('IV-3'!$K$8:$K$180,A3)</f>
        <v>0</v>
      </c>
      <c r="E3" s="283">
        <f>SUMIF('IV-3'!$L$8:$L$180,B3,'IV-3'!$V$8:$V$180)</f>
        <v>0</v>
      </c>
      <c r="F3" s="283">
        <f>SUMIF('IV-3'!$L$8:$L$180,B3,'IV-3'!$W$8:$W$180)</f>
        <v>0</v>
      </c>
    </row>
    <row r="4" spans="1:6" ht="16.5" thickBot="1">
      <c r="A4" s="796">
        <v>5</v>
      </c>
      <c r="B4" s="797" t="s">
        <v>364</v>
      </c>
      <c r="C4" s="284">
        <f>COUNTIF('IV-3'!$K$8:$K$180,A4)+COUNTIF('IV-3'!$M$8:$M$180,A4)+COUNTIF('IV-3'!$O$8:$O$180,A4)</f>
        <v>1</v>
      </c>
      <c r="D4" s="284">
        <f>COUNTIF('IV-3'!$K$8:$K$180,A4)</f>
        <v>1</v>
      </c>
      <c r="E4" s="283">
        <f>SUMIF('IV-3'!$L$8:$L$180,B4,'IV-3'!$V$8:$V$180)</f>
        <v>4130687.05</v>
      </c>
      <c r="F4" s="283">
        <f>SUMIF('IV-3'!$L$8:$L$180,B4,'IV-3'!$W$8:$W$180)</f>
        <v>3352807.77</v>
      </c>
    </row>
    <row r="5" spans="1:6" ht="16.5" thickBot="1">
      <c r="A5" s="796">
        <v>6</v>
      </c>
      <c r="B5" s="797" t="s">
        <v>339</v>
      </c>
      <c r="C5" s="284">
        <f>COUNTIF('IV-3'!$K$8:$K$180,A5)+COUNTIF('IV-3'!$M$8:$M$180,A5)+COUNTIF('IV-3'!$O$8:$O$180,A5)</f>
        <v>5</v>
      </c>
      <c r="D5" s="284">
        <f>COUNTIF('IV-3'!$K$8:$K$180,A5)</f>
        <v>4</v>
      </c>
      <c r="E5" s="283">
        <f>SUMIF('IV-3'!$L$8:$L$180,B5,'IV-3'!$V$8:$V$180)</f>
        <v>14912297.390000001</v>
      </c>
      <c r="F5" s="283">
        <f>SUMIF('IV-3'!$L$8:$L$180,B5,'IV-3'!$W$8:$W$180)</f>
        <v>8105862.3000000007</v>
      </c>
    </row>
    <row r="6" spans="1:6" ht="16.5" thickBot="1">
      <c r="A6" s="796">
        <v>7</v>
      </c>
      <c r="B6" s="797" t="s">
        <v>340</v>
      </c>
      <c r="C6" s="284">
        <f>COUNTIF('IV-3'!$K$8:$K$180,A6)+COUNTIF('IV-3'!$M$8:$M$180,A6)+COUNTIF('IV-3'!$O$8:$O$180,A6)</f>
        <v>5</v>
      </c>
      <c r="D6" s="284">
        <f>COUNTIF('IV-3'!$K$8:$K$180,A6)</f>
        <v>1</v>
      </c>
      <c r="E6" s="283">
        <f>SUMIF('IV-3'!$L$8:$L$180,B6,'IV-3'!$V$8:$V$180)</f>
        <v>1437425.74</v>
      </c>
      <c r="F6" s="283">
        <f>SUMIF('IV-3'!$L$8:$L$180,B6,'IV-3'!$W$8:$W$180)</f>
        <v>796102</v>
      </c>
    </row>
    <row r="7" spans="1:6" ht="16.5" thickBot="1">
      <c r="A7" s="796">
        <v>8</v>
      </c>
      <c r="B7" s="797" t="s">
        <v>341</v>
      </c>
      <c r="C7" s="284">
        <f>COUNTIF('IV-3'!$K$8:$K$180,A7)+COUNTIF('IV-3'!$M$8:$M$180,A7)+COUNTIF('IV-3'!$O$8:$O$180,A7)</f>
        <v>1</v>
      </c>
      <c r="D7" s="284">
        <f>COUNTIF('IV-3'!$K$8:$K$180,A7)</f>
        <v>1</v>
      </c>
      <c r="E7" s="283">
        <f>SUMIF('IV-3'!$L$8:$L$180,B7,'IV-3'!$V$8:$V$180)</f>
        <v>3990955.51</v>
      </c>
      <c r="F7" s="283">
        <f>SUMIF('IV-3'!$L$8:$L$180,B7,'IV-3'!$W$8:$W$180)</f>
        <v>3392312.19</v>
      </c>
    </row>
    <row r="8" spans="1:6" ht="16.5" thickBot="1">
      <c r="A8" s="796">
        <v>9</v>
      </c>
      <c r="B8" s="797" t="s">
        <v>350</v>
      </c>
      <c r="C8" s="284">
        <f>COUNTIF('IV-3'!$K$8:$K$180,A8)+COUNTIF('IV-3'!$M$8:$M$180,A8)+COUNTIF('IV-3'!$O$8:$O$180,A8)</f>
        <v>1</v>
      </c>
      <c r="D8" s="284">
        <f>COUNTIF('IV-3'!$K$8:$K$180,A8)</f>
        <v>0</v>
      </c>
      <c r="E8" s="283">
        <f>SUMIF('IV-3'!$L$8:$L$180,B8,'IV-3'!$V$8:$V$180)</f>
        <v>0</v>
      </c>
      <c r="F8" s="283">
        <f>SUMIF('IV-3'!$L$8:$L$180,B8,'IV-3'!$W$8:$W$180)</f>
        <v>0</v>
      </c>
    </row>
    <row r="9" spans="1:6" ht="16.5" thickBot="1">
      <c r="A9" s="796">
        <v>10</v>
      </c>
      <c r="B9" s="797" t="s">
        <v>348</v>
      </c>
      <c r="C9" s="284">
        <f>COUNTIF('IV-3'!$K$8:$K$180,A9)+COUNTIF('IV-3'!$M$8:$M$180,A9)+COUNTIF('IV-3'!$O$8:$O$180,A9)</f>
        <v>14</v>
      </c>
      <c r="D9" s="284">
        <f>COUNTIF('IV-3'!$K$8:$K$180,A9)</f>
        <v>5</v>
      </c>
      <c r="E9" s="283">
        <f>SUMIF('IV-3'!$L$8:$L$180,B9,'IV-3'!$V$8:$V$180)</f>
        <v>2018271</v>
      </c>
      <c r="F9" s="283">
        <f>SUMIF('IV-3'!$L$8:$L$180,B9,'IV-3'!$W$8:$W$180)</f>
        <v>1273717</v>
      </c>
    </row>
    <row r="10" spans="1:6" ht="16.5" thickBot="1">
      <c r="A10" s="796">
        <v>11</v>
      </c>
      <c r="B10" s="797" t="s">
        <v>353</v>
      </c>
      <c r="C10" s="284">
        <f>COUNTIF('IV-3'!$K$8:$K$180,A10)+COUNTIF('IV-3'!$M$8:$M$180,A10)+COUNTIF('IV-3'!$O$8:$O$180,A10)</f>
        <v>1</v>
      </c>
      <c r="D10" s="284">
        <f>COUNTIF('IV-3'!$K$8:$K$180,A10)</f>
        <v>1</v>
      </c>
      <c r="E10" s="283">
        <f>SUMIF('IV-3'!$L$8:$L$180,B10,'IV-3'!$V$8:$V$180)</f>
        <v>879927.06</v>
      </c>
      <c r="F10" s="283">
        <f>SUMIF('IV-3'!$L$8:$L$180,B10,'IV-3'!$W$8:$W$180)</f>
        <v>747938</v>
      </c>
    </row>
    <row r="11" spans="1:6" ht="16.5" thickBot="1">
      <c r="A11" s="796">
        <v>12</v>
      </c>
      <c r="B11" s="797" t="s">
        <v>349</v>
      </c>
      <c r="C11" s="284">
        <f>COUNTIF('IV-3'!$K$8:$K$180,A11)+COUNTIF('IV-3'!$M$8:$M$180,A11)+COUNTIF('IV-3'!$O$8:$O$180,A11)</f>
        <v>20</v>
      </c>
      <c r="D11" s="284">
        <f>COUNTIF('IV-3'!$K$8:$K$180,A11)</f>
        <v>20</v>
      </c>
      <c r="E11" s="283">
        <f>SUMIF('IV-3'!$L$8:$L$180,B11,'IV-3'!$V$8:$V$180)</f>
        <v>5896480.3499999996</v>
      </c>
      <c r="F11" s="283">
        <f>SUMIF('IV-3'!$L$8:$L$180,B11,'IV-3'!$W$8:$W$180)</f>
        <v>3971135</v>
      </c>
    </row>
    <row r="12" spans="1:6" ht="16.5" thickBot="1">
      <c r="A12" s="796">
        <v>18</v>
      </c>
      <c r="B12" s="797" t="s">
        <v>1410</v>
      </c>
      <c r="C12" s="284">
        <f>COUNTIF('IV-3'!$K$8:$K$180,A12)+COUNTIF('IV-3'!$M$8:$M$180,A12)+COUNTIF('IV-3'!$O$8:$O$180,A12)</f>
        <v>1</v>
      </c>
      <c r="D12" s="284">
        <f>COUNTIF('IV-3'!$K$8:$K$180,A12)</f>
        <v>0</v>
      </c>
      <c r="E12" s="283">
        <f>SUMIF('IV-3'!$L$8:$L$180,B12,'IV-3'!$V$8:$V$180)</f>
        <v>0</v>
      </c>
      <c r="F12" s="283">
        <f>SUMIF('IV-3'!$L$8:$L$180,B12,'IV-3'!$W$8:$W$180)</f>
        <v>0</v>
      </c>
    </row>
    <row r="13" spans="1:6" ht="32.25" thickBot="1">
      <c r="A13" s="796">
        <v>19</v>
      </c>
      <c r="B13" s="797" t="str">
        <f>CONCATENATE(Veiklos!C21)</f>
        <v>Darnaus judumo priemonės miestuose (pėsčiųjų ir dviračių takų infrastruktūra, Park and Ride, Bike and Ride aikštelės, elektromobilių įkrovimo stotelių įrengimas ir kita)</v>
      </c>
      <c r="C13" s="284">
        <f>COUNTIF('IV-3'!$K$8:$K$180,A13)+COUNTIF('IV-3'!$M$8:$M$180,A13)+COUNTIF('IV-3'!$O$8:$O$180,A13)</f>
        <v>11</v>
      </c>
      <c r="D13" s="284">
        <f>COUNTIF('IV-3'!$K$8:$K$180,A13)</f>
        <v>11</v>
      </c>
      <c r="E13" s="283">
        <f>SUMIF('IV-3'!$L$8:$L$180,B13,'IV-3'!$V$8:$V$180)</f>
        <v>2395896.29</v>
      </c>
      <c r="F13" s="283">
        <f>SUMIF('IV-3'!$L$8:$L$180,B13,'IV-3'!$W$8:$W$180)</f>
        <v>2026362.79</v>
      </c>
    </row>
    <row r="14" spans="1:6" ht="16.5" thickBot="1">
      <c r="A14" s="796">
        <v>22</v>
      </c>
      <c r="B14" s="797" t="s">
        <v>355</v>
      </c>
      <c r="C14" s="284">
        <f>COUNTIF('IV-3'!$K$8:$K$180,A14)+COUNTIF('IV-3'!$M$8:$M$180,A14)+COUNTIF('IV-3'!$O$8:$O$180,A14)</f>
        <v>5</v>
      </c>
      <c r="D14" s="284">
        <f>COUNTIF('IV-3'!$K$8:$K$180,A14)</f>
        <v>5</v>
      </c>
      <c r="E14" s="283">
        <f>SUMIF('IV-3'!$L$8:$L$180,B14,'IV-3'!$V$8:$V$180)</f>
        <v>1343975.4100000001</v>
      </c>
      <c r="F14" s="283">
        <f>SUMIF('IV-3'!$L$8:$L$180,B14,'IV-3'!$W$8:$W$180)</f>
        <v>1142377</v>
      </c>
    </row>
    <row r="15" spans="1:6" ht="16.5" thickBot="1">
      <c r="A15" s="796">
        <v>23</v>
      </c>
      <c r="B15" s="797" t="s">
        <v>357</v>
      </c>
      <c r="C15" s="284">
        <f>COUNTIF('IV-3'!$K$8:$K$180,A15)+COUNTIF('IV-3'!$M$8:$M$180,A15)+COUNTIF('IV-3'!$O$8:$O$180,A15)</f>
        <v>5</v>
      </c>
      <c r="D15" s="284">
        <f>COUNTIF('IV-3'!$K$8:$K$180,A15)</f>
        <v>5</v>
      </c>
      <c r="E15" s="283">
        <f>SUMIF('IV-3'!$L$8:$L$180,B15,'IV-3'!$V$8:$V$180)</f>
        <v>1459021.7699999998</v>
      </c>
      <c r="F15" s="283">
        <f>SUMIF('IV-3'!$L$8:$L$180,B15,'IV-3'!$W$8:$W$180)</f>
        <v>1138588</v>
      </c>
    </row>
    <row r="16" spans="1:6" ht="16.5" thickBot="1">
      <c r="A16" s="796">
        <v>24</v>
      </c>
      <c r="B16" s="797" t="s">
        <v>356</v>
      </c>
      <c r="C16" s="284">
        <f>COUNTIF('IV-3'!$K$8:$K$180,A16)+COUNTIF('IV-3'!$M$8:$M$180,A16)+COUNTIF('IV-3'!$O$8:$O$180,A16)</f>
        <v>5</v>
      </c>
      <c r="D16" s="284">
        <f>COUNTIF('IV-3'!$K$8:$K$180,A16)</f>
        <v>5</v>
      </c>
      <c r="E16" s="283">
        <f>SUMIF('IV-3'!$L$8:$L$180,B16,'IV-3'!$V$8:$V$180)</f>
        <v>1973870.18</v>
      </c>
      <c r="F16" s="283">
        <f>SUMIF('IV-3'!$L$8:$L$180,B16,'IV-3'!$W$8:$W$180)</f>
        <v>1486007</v>
      </c>
    </row>
    <row r="17" spans="1:10" ht="16.5" thickBot="1">
      <c r="A17" s="796">
        <v>25</v>
      </c>
      <c r="B17" s="797" t="s">
        <v>362</v>
      </c>
      <c r="C17" s="284">
        <f>COUNTIF('IV-3'!$K$8:$K$180,A17)+COUNTIF('IV-3'!$M$8:$M$180,A17)+COUNTIF('IV-3'!$O$8:$O$180,A17)</f>
        <v>2</v>
      </c>
      <c r="D17" s="284">
        <f>COUNTIF('IV-3'!$K$8:$K$180,A17)</f>
        <v>2</v>
      </c>
      <c r="E17" s="283">
        <f>SUMIF('IV-3'!$L$8:$L$180,B17,'IV-3'!$V$8:$V$180)</f>
        <v>610488</v>
      </c>
      <c r="F17" s="283">
        <f>SUMIF('IV-3'!$L$8:$L$180,B17,'IV-3'!$W$8:$W$180)</f>
        <v>518617.65</v>
      </c>
    </row>
    <row r="18" spans="1:10" ht="16.5" thickBot="1">
      <c r="A18" s="796">
        <v>26</v>
      </c>
      <c r="B18" s="797" t="s">
        <v>361</v>
      </c>
      <c r="C18" s="284">
        <f>COUNTIF('IV-3'!$K$8:$K$180,A18)+COUNTIF('IV-3'!$M$8:$M$180,A18)+COUNTIF('IV-3'!$O$8:$O$180,A18)</f>
        <v>4</v>
      </c>
      <c r="D18" s="284">
        <f>COUNTIF('IV-3'!$K$8:$K$180,A18)</f>
        <v>3</v>
      </c>
      <c r="E18" s="283">
        <f>SUMIF('IV-3'!$L$8:$L$180,B18,'IV-3'!$V$8:$V$180)</f>
        <v>2355713.12</v>
      </c>
      <c r="F18" s="283">
        <f>SUMIF('IV-3'!$L$8:$L$180,B18,'IV-3'!$W$8:$W$180)</f>
        <v>2002355.99</v>
      </c>
    </row>
    <row r="19" spans="1:10" ht="16.5" thickBot="1">
      <c r="A19" s="796">
        <v>27</v>
      </c>
      <c r="B19" s="797" t="s">
        <v>1432</v>
      </c>
      <c r="C19" s="284">
        <f>COUNTIF('IV-3'!$K$8:$K$180,A19)+COUNTIF('IV-3'!$M$8:$M$180,A19)+COUNTIF('IV-3'!$O$8:$O$180,A19)</f>
        <v>15</v>
      </c>
      <c r="D19" s="284">
        <f>COUNTIF('IV-3'!$K$8:$K$180,A19)</f>
        <v>15</v>
      </c>
      <c r="E19" s="283">
        <f>SUMIF('IV-3'!$L$8:$L$180,B19,'IV-3'!$V$8:$V$180)</f>
        <v>2644729.83</v>
      </c>
      <c r="F19" s="283">
        <f>SUMIF('IV-3'!$L$8:$L$180,B19,'IV-3'!$W$8:$W$180)</f>
        <v>2083756.6799999997</v>
      </c>
    </row>
    <row r="20" spans="1:10" ht="32.25" thickBot="1">
      <c r="A20" s="796">
        <v>28</v>
      </c>
      <c r="B20" s="797" t="s">
        <v>336</v>
      </c>
      <c r="C20" s="284">
        <f>COUNTIF('IV-3'!$K$8:$K$180,A20)+COUNTIF('IV-3'!$M$8:$M$180,A20)+COUNTIF('IV-3'!$O$8:$O$180,A20)</f>
        <v>4</v>
      </c>
      <c r="D20" s="284">
        <f>COUNTIF('IV-3'!$K$8:$K$180,A20)</f>
        <v>3</v>
      </c>
      <c r="E20" s="283">
        <f>SUMIF('IV-3'!$L$8:$L$180,B20,'IV-3'!$V$8:$V$180)</f>
        <v>1842411.8699999999</v>
      </c>
      <c r="F20" s="283">
        <f>SUMIF('IV-3'!$L$8:$L$180,B20,'IV-3'!$W$8:$W$180)</f>
        <v>1558582.5399999998</v>
      </c>
    </row>
    <row r="21" spans="1:10" ht="32.25" thickBot="1">
      <c r="A21" s="796">
        <v>29</v>
      </c>
      <c r="B21" s="797" t="s">
        <v>334</v>
      </c>
      <c r="C21" s="284">
        <f>COUNTIF('IV-3'!$K$8:$K$180,A21)+COUNTIF('IV-3'!$M$8:$M$180,A21)+COUNTIF('IV-3'!$O$8:$O$180,A21)</f>
        <v>13</v>
      </c>
      <c r="D21" s="284">
        <f>COUNTIF('IV-3'!$K$8:$K$180,A21)</f>
        <v>10</v>
      </c>
      <c r="E21" s="283">
        <f>SUMIF('IV-3'!$L$8:$L$180,B21,'IV-3'!$V$8:$V$180)</f>
        <v>7379895.2800000003</v>
      </c>
      <c r="F21" s="283">
        <f>SUMIF('IV-3'!$L$8:$L$180,B21,'IV-3'!$W$8:$W$180)</f>
        <v>5530475.8400000008</v>
      </c>
    </row>
    <row r="22" spans="1:10" ht="32.25" hidden="1" thickBot="1">
      <c r="A22" s="796">
        <v>30</v>
      </c>
      <c r="B22" s="797" t="s">
        <v>333</v>
      </c>
      <c r="C22" s="284">
        <v>0</v>
      </c>
      <c r="D22" s="284">
        <v>0</v>
      </c>
      <c r="E22" s="283">
        <v>0</v>
      </c>
      <c r="F22" s="283">
        <f>SUMIF('IV-3'!$L$8:$L$180,B22,'IV-3'!$W$8:$W$180)</f>
        <v>0</v>
      </c>
    </row>
    <row r="23" spans="1:10" ht="32.25" thickBot="1">
      <c r="A23" s="796">
        <v>31</v>
      </c>
      <c r="B23" s="797" t="str">
        <f>CONCATENATE(Veiklos!C33)</f>
        <v>Kitos viešosios infrastruktūros modernizavimas (konversija): pramoninių, buvusių karinių, inžinerinių ir pan. objektų ir teritorijų konversija</v>
      </c>
      <c r="C23" s="284">
        <f>COUNTIF('IV-3'!$K$8:$K$180,A23)+COUNTIF('IV-3'!$M$8:$M$180,A23)+COUNTIF('IV-3'!$O$8:$O$180,A23)</f>
        <v>1</v>
      </c>
      <c r="D23" s="284">
        <f>COUNTIF('IV-3'!$K$8:$K$180,A23)</f>
        <v>1</v>
      </c>
      <c r="E23" s="283">
        <f>SUMIF('IV-3'!$L$8:$L$180,B23,'IV-3'!$V$8:$V$180)</f>
        <v>1286060.7500000002</v>
      </c>
      <c r="F23" s="283">
        <f>SUMIF('IV-3'!$L$8:$L$180,B23,'IV-3'!$W$8:$W$180)</f>
        <v>1093151.6300000001</v>
      </c>
    </row>
    <row r="24" spans="1:10" ht="35.25" customHeight="1" thickBot="1">
      <c r="A24" s="796">
        <v>32</v>
      </c>
      <c r="B24" s="797" t="s">
        <v>358</v>
      </c>
      <c r="C24" s="284">
        <f>COUNTIF('IV-3'!$K$8:$K$180,A24)+COUNTIF('IV-3'!$M$8:$M$180,A24)+COUNTIF('IV-3'!$O$8:$O$180,A24)</f>
        <v>6</v>
      </c>
      <c r="D24" s="284">
        <f>COUNTIF('IV-3'!$K$8:$K$180,A24)</f>
        <v>1</v>
      </c>
      <c r="E24" s="283">
        <f>SUMIF('IV-3'!$L$8:$L$180,B24,'IV-3'!$V$8:$V$180)</f>
        <v>125000</v>
      </c>
      <c r="F24" s="283">
        <f>SUMIF('IV-3'!$L$8:$L$180,B24,'IV-3'!$W$8:$W$180)</f>
        <v>100000</v>
      </c>
    </row>
    <row r="25" spans="1:10" ht="16.5" thickBot="1">
      <c r="A25" s="796">
        <v>33</v>
      </c>
      <c r="B25" s="797" t="s">
        <v>344</v>
      </c>
      <c r="C25" s="284">
        <f>COUNTIF('IV-3'!$K$8:$K$180,A25)+COUNTIF('IV-3'!$M$8:$M$180,A25)+COUNTIF('IV-3'!$O$8:$O$180,A25)</f>
        <v>6</v>
      </c>
      <c r="D25" s="284">
        <f>COUNTIF('IV-3'!$K$8:$K$180,A25)</f>
        <v>6</v>
      </c>
      <c r="E25" s="283">
        <f>SUMIF('IV-3'!$L$8:$L$180,B25,'IV-3'!$V$8:$V$180)</f>
        <v>2296994.5100000002</v>
      </c>
      <c r="F25" s="283">
        <f>SUMIF('IV-3'!$L$8:$L$180,B25,'IV-3'!$W$8:$W$180)</f>
        <v>1456619.7</v>
      </c>
    </row>
    <row r="26" spans="1:10" ht="32.25" thickBot="1">
      <c r="A26" s="796">
        <v>34</v>
      </c>
      <c r="B26" s="797" t="s">
        <v>335</v>
      </c>
      <c r="C26" s="284">
        <f>COUNTIF('IV-3'!$K$8:$K$180,A26)+COUNTIF('IV-3'!$M$8:$M$180,A26)+COUNTIF('IV-3'!$O$8:$O$180,A26)</f>
        <v>5</v>
      </c>
      <c r="D26" s="284">
        <f>COUNTIF('IV-3'!$K$8:$K$180,A26)</f>
        <v>4</v>
      </c>
      <c r="E26" s="283">
        <f>SUMIF('IV-3'!$L$8:$L$180,B26,'IV-3'!$V$8:$V$180)</f>
        <v>1000000</v>
      </c>
      <c r="F26" s="283">
        <f>SUMIF('IV-3'!$L$8:$L$180,B26,'IV-3'!$W$8:$W$180)</f>
        <v>787540</v>
      </c>
    </row>
    <row r="27" spans="1:10" ht="16.5" thickBot="1">
      <c r="A27" s="796">
        <v>36</v>
      </c>
      <c r="B27" s="797" t="s">
        <v>337</v>
      </c>
      <c r="C27" s="284">
        <f>COUNTIF('IV-3'!$K$8:$K$180,A27)+COUNTIF('IV-3'!$M$8:$M$180,A27)+COUNTIF('IV-3'!$O$8:$O$180,A27)</f>
        <v>1</v>
      </c>
      <c r="D27" s="284">
        <f>COUNTIF('IV-3'!$K$8:$K$180,A27)</f>
        <v>1</v>
      </c>
      <c r="E27" s="283">
        <f>SUMIF('IV-3'!$L$8:$L$180,B27,'IV-3'!$V$8:$V$180)</f>
        <v>150000</v>
      </c>
      <c r="F27" s="283">
        <f>SUMIF('IV-3'!$L$8:$L$180,B27,'IV-3'!$W$8:$W$180)</f>
        <v>127500</v>
      </c>
    </row>
    <row r="28" spans="1:10" ht="16.5" thickBot="1">
      <c r="A28" s="796">
        <v>38</v>
      </c>
      <c r="B28" s="797" t="s">
        <v>365</v>
      </c>
      <c r="C28" s="284">
        <f>COUNTIF('IV-3'!$K$8:$K$180,A28)+COUNTIF('IV-3'!$M$8:$M$180,A28)+COUNTIF('IV-3'!$O$8:$O$180,A28)</f>
        <v>9</v>
      </c>
      <c r="D28" s="284">
        <f>COUNTIF('IV-3'!$K$8:$K$180,A28)</f>
        <v>8</v>
      </c>
      <c r="E28" s="283">
        <f>SUMIF('IV-3'!$L$8:$L$180,B28,'IV-3'!$V$8:$V$180)</f>
        <v>2358005.5611764705</v>
      </c>
      <c r="F28" s="283">
        <f>SUMIF('IV-3'!$L$8:$L$180,B28,'IV-3'!$W$8:$W$180)</f>
        <v>2004304.36</v>
      </c>
    </row>
    <row r="29" spans="1:10" ht="16.5" thickBot="1">
      <c r="A29" s="796">
        <v>42</v>
      </c>
      <c r="B29" s="797" t="s">
        <v>343</v>
      </c>
      <c r="C29" s="284">
        <f>COUNTIF('IV-3'!$K$8:$K$180,A29)+COUNTIF('IV-3'!$M$8:$M$180,A29)+COUNTIF('IV-3'!$O$8:$O$180,A29)</f>
        <v>3</v>
      </c>
      <c r="D29" s="284">
        <f>COUNTIF('IV-3'!$K$8:$K$180,A29)</f>
        <v>3</v>
      </c>
      <c r="E29" s="283">
        <f>SUMIF('IV-3'!$L$8:$L$180,B29,'IV-3'!$V$8:$V$180)</f>
        <v>719317.64705882361</v>
      </c>
      <c r="F29" s="283">
        <f>SUMIF('IV-3'!$L$8:$L$180,B29,'IV-3'!$W$8:$W$180)</f>
        <v>611420</v>
      </c>
      <c r="J29" s="58"/>
    </row>
    <row r="30" spans="1:10" ht="16.5" thickBot="1">
      <c r="A30" s="796">
        <v>44</v>
      </c>
      <c r="B30" s="797" t="s">
        <v>347</v>
      </c>
      <c r="C30" s="284">
        <f>COUNTIF('IV-3'!$K$8:$K$180,A30)+COUNTIF('IV-3'!$M$8:$M$180,A30)+COUNTIF('IV-3'!$O$8:$O$180,A30)</f>
        <v>5</v>
      </c>
      <c r="D30" s="284">
        <f>COUNTIF('IV-3'!$K$8:$K$180,A30)</f>
        <v>5</v>
      </c>
      <c r="E30" s="283">
        <f>SUMIF('IV-3'!$L$8:$L$180,B30,'IV-3'!$V$8:$V$180)</f>
        <v>1461941.12</v>
      </c>
      <c r="F30" s="283">
        <f>SUMIF('IV-3'!$L$8:$L$180,B30,'IV-3'!$W$8:$W$180)</f>
        <v>1023865.66</v>
      </c>
    </row>
    <row r="31" spans="1:10" ht="16.5" thickBot="1">
      <c r="A31" s="796">
        <v>47</v>
      </c>
      <c r="B31" s="797" t="s">
        <v>359</v>
      </c>
      <c r="C31" s="284">
        <f>COUNTIF('IV-3'!$K$8:$K$180,A31)+COUNTIF('IV-3'!$M$8:$M$180,A31)+COUNTIF('IV-3'!$O$8:$O$180,A31)</f>
        <v>23</v>
      </c>
      <c r="D31" s="284">
        <f>COUNTIF('IV-3'!$K$8:$K$180,A31)</f>
        <v>12</v>
      </c>
      <c r="E31" s="283">
        <f>SUMIF('IV-3'!$L$8:$L$180,B31,'IV-3'!$V$8:$V$180)</f>
        <v>1085888.7199999997</v>
      </c>
      <c r="F31" s="283">
        <f>SUMIF('IV-3'!$L$8:$L$180,B31,'IV-3'!$W$8:$W$180)</f>
        <v>922334.54999999993</v>
      </c>
    </row>
    <row r="32" spans="1:10" ht="16.5" thickBot="1">
      <c r="A32" s="796">
        <v>48</v>
      </c>
      <c r="B32" s="797" t="str">
        <f>CONCATENATE(Veiklos!C50)</f>
        <v>Socialinių paslaugų plėtra (ne infrastruktūra)</v>
      </c>
      <c r="C32" s="284">
        <f>COUNTIF('IV-3'!$K$8:$K$180,A32)+COUNTIF('IV-3'!$M$8:$M$180,A32)+COUNTIF('IV-3'!$O$8:$O$180,A32)</f>
        <v>1</v>
      </c>
      <c r="D32" s="284">
        <f>COUNTIF('IV-3'!$K$8:$K$180,A32)</f>
        <v>0</v>
      </c>
      <c r="E32" s="283">
        <f>SUMIF('IV-3'!$L$8:$L$180,B32,'IV-3'!$V$8:$V$180)</f>
        <v>0</v>
      </c>
      <c r="F32" s="283">
        <f>SUMIF('IV-3'!$L$8:$L$180,B32,'IV-3'!$W$8:$W$180)</f>
        <v>0</v>
      </c>
    </row>
    <row r="33" spans="1:6" ht="16.5" thickBot="1">
      <c r="A33" s="796">
        <v>49</v>
      </c>
      <c r="B33" s="797" t="s">
        <v>363</v>
      </c>
      <c r="C33" s="284">
        <f>COUNTIF('IV-3'!$K$8:$K$180,A33)+COUNTIF('IV-3'!$M$8:$M$180,A33)+COUNTIF('IV-3'!$O$8:$O$180,A33)</f>
        <v>6</v>
      </c>
      <c r="D33" s="284">
        <f>COUNTIF('IV-3'!$K$8:$K$180,A33)</f>
        <v>6</v>
      </c>
      <c r="E33" s="283">
        <f>SUMIF('IV-3'!$L$8:$L$180,B33,'IV-3'!$V$8:$V$180)</f>
        <v>1106987.73</v>
      </c>
      <c r="F33" s="283">
        <f>SUMIF('IV-3'!$L$8:$L$180,B33,'IV-3'!$W$8:$W$180)</f>
        <v>940807.84000000008</v>
      </c>
    </row>
    <row r="34" spans="1:6" ht="16.5" thickBot="1">
      <c r="A34" s="796">
        <v>50</v>
      </c>
      <c r="B34" s="797" t="str">
        <f>CONCATENATE(Veiklos!C52)</f>
        <v>Kita (nepriskirta kitoms grupėms) viešoji infrastruktūra ar paslaugos</v>
      </c>
      <c r="C34" s="284">
        <f>COUNTIF('IV-3'!$K$8:$K$180,A34)+COUNTIF('IV-3'!$M$8:$M$180,A34)+COUNTIF('IV-3'!$O$8:$O$180,A34)</f>
        <v>7</v>
      </c>
      <c r="D34" s="284">
        <f>COUNTIF('IV-3'!$K$8:$K$180,A34)</f>
        <v>2</v>
      </c>
      <c r="E34" s="283">
        <f>SUMIF('IV-3'!$L$8:$L$180,B34,'IV-3'!$V$8:$V$180)</f>
        <v>548964.78</v>
      </c>
      <c r="F34" s="283">
        <f>SUMIF('IV-3'!$L$8:$L$180,B34,'IV-3'!$W$8:$W$180)</f>
        <v>433868.78</v>
      </c>
    </row>
    <row r="36" spans="1:6" ht="16.5" hidden="1" thickBot="1">
      <c r="E36" s="798">
        <f>SUM(E3:E35)</f>
        <v>67411206.668235272</v>
      </c>
      <c r="F36" s="798">
        <f>SUM(F3:F35)</f>
        <v>48628410.270000003</v>
      </c>
    </row>
    <row r="37" spans="1:6">
      <c r="E37" s="799"/>
      <c r="F37" s="799"/>
    </row>
    <row r="38" spans="1:6" ht="75" customHeight="1">
      <c r="A38" s="1993"/>
      <c r="B38" s="1994"/>
    </row>
  </sheetData>
  <mergeCells count="1">
    <mergeCell ref="A38:B38"/>
  </mergeCells>
  <pageMargins left="0.23622047244094491" right="0.23622047244094491" top="0.74803149606299213" bottom="0.74803149606299213" header="0.31496062992125984" footer="0.31496062992125984"/>
  <pageSetup paperSize="9" scale="95" fitToHeight="0" orientation="landscape" r:id="rId1"/>
  <headerFooter>
    <oddHeader>&amp;C&amp;"Times New Roman,Paprastas"&amp;12Alytaus regiono 2014 – 2020 metų plėtros planas</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8BB9A-1ABF-41F9-A8E6-C7E7077429C5}">
  <dimension ref="A1"/>
  <sheetViews>
    <sheetView workbookViewId="0"/>
  </sheetViews>
  <sheetFormatPr defaultRowHeight="15"/>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B82"/>
  <sheetViews>
    <sheetView workbookViewId="0">
      <pane ySplit="2955" topLeftCell="A28" activePane="bottomLeft"/>
      <selection activeCell="L25" sqref="L25"/>
      <selection pane="bottomLeft" activeCell="W32" sqref="W32"/>
    </sheetView>
  </sheetViews>
  <sheetFormatPr defaultColWidth="9.140625" defaultRowHeight="15"/>
  <cols>
    <col min="1" max="1" width="9.140625" style="48"/>
    <col min="2" max="2" width="13.7109375" style="48" customWidth="1"/>
    <col min="3" max="3" width="13.7109375" style="48" hidden="1" customWidth="1"/>
    <col min="4" max="4" width="27.5703125" style="48" customWidth="1"/>
    <col min="5" max="5" width="14.5703125" style="48" customWidth="1"/>
    <col min="6" max="6" width="14.42578125" style="48" bestFit="1" customWidth="1"/>
    <col min="7" max="7" width="13.85546875" style="48" bestFit="1" customWidth="1"/>
    <col min="8" max="8" width="16.28515625" style="48" customWidth="1"/>
    <col min="9" max="9" width="4.5703125" style="48" bestFit="1" customWidth="1"/>
    <col min="10" max="10" width="5" style="48" bestFit="1" customWidth="1"/>
    <col min="11" max="11" width="6.42578125" style="48" bestFit="1" customWidth="1"/>
    <col min="12" max="12" width="16.5703125" style="48" bestFit="1" customWidth="1"/>
    <col min="13" max="14" width="14.42578125" style="48" bestFit="1" customWidth="1"/>
    <col min="15" max="15" width="13" style="48" bestFit="1" customWidth="1"/>
    <col min="16" max="16" width="10.5703125" style="48" bestFit="1" customWidth="1"/>
    <col min="17" max="17" width="16.5703125" style="48" bestFit="1" customWidth="1"/>
    <col min="18" max="18" width="10.5703125" style="48" customWidth="1"/>
    <col min="19" max="19" width="14.28515625" style="48" hidden="1" customWidth="1"/>
    <col min="20" max="20" width="11.85546875" style="48" customWidth="1"/>
    <col min="21" max="21" width="10.28515625" style="48" customWidth="1"/>
    <col min="22" max="22" width="9.28515625" style="48" bestFit="1" customWidth="1"/>
    <col min="23" max="23" width="10.85546875" style="145" customWidth="1"/>
    <col min="24" max="25" width="18" style="48" hidden="1" customWidth="1"/>
    <col min="26" max="26" width="15" style="48" hidden="1" customWidth="1"/>
    <col min="27" max="28" width="9.28515625" style="48" bestFit="1" customWidth="1"/>
    <col min="29" max="16384" width="9.140625" style="48"/>
  </cols>
  <sheetData>
    <row r="1" spans="1:26" ht="15.75" thickBot="1">
      <c r="A1" s="22" t="s">
        <v>73</v>
      </c>
      <c r="B1" s="22"/>
      <c r="C1" s="22"/>
    </row>
    <row r="2" spans="1:26" ht="16.5" thickTop="1" thickBot="1">
      <c r="A2" s="2005" t="s">
        <v>46</v>
      </c>
      <c r="B2" s="2006"/>
      <c r="C2" s="2006"/>
      <c r="D2" s="2006"/>
      <c r="E2" s="2006"/>
      <c r="F2" s="2006"/>
      <c r="G2" s="2006"/>
      <c r="H2" s="2006"/>
      <c r="I2" s="2006"/>
      <c r="J2" s="2006"/>
      <c r="K2" s="2007"/>
      <c r="L2" s="2008" t="s">
        <v>47</v>
      </c>
      <c r="M2" s="2006"/>
      <c r="N2" s="2006"/>
      <c r="O2" s="2006"/>
      <c r="P2" s="2006"/>
      <c r="Q2" s="2007"/>
      <c r="R2" s="1316"/>
      <c r="S2" s="1316"/>
      <c r="T2" s="2008" t="s">
        <v>48</v>
      </c>
      <c r="U2" s="2006"/>
      <c r="V2" s="2006"/>
      <c r="W2" s="2009"/>
      <c r="X2" s="2003" t="s">
        <v>117</v>
      </c>
      <c r="Y2" s="2003" t="s">
        <v>118</v>
      </c>
      <c r="Z2" s="2003" t="s">
        <v>122</v>
      </c>
    </row>
    <row r="3" spans="1:26" ht="84.75" thickBot="1">
      <c r="A3" s="23" t="s">
        <v>7</v>
      </c>
      <c r="B3" s="24"/>
      <c r="C3" s="24"/>
      <c r="D3" s="24" t="s">
        <v>49</v>
      </c>
      <c r="E3" s="24" t="s">
        <v>50</v>
      </c>
      <c r="F3" s="24" t="s">
        <v>51</v>
      </c>
      <c r="G3" s="24" t="s">
        <v>52</v>
      </c>
      <c r="H3" s="25" t="s">
        <v>53</v>
      </c>
      <c r="I3" s="24" t="s">
        <v>54</v>
      </c>
      <c r="J3" s="24" t="s">
        <v>55</v>
      </c>
      <c r="K3" s="24" t="s">
        <v>56</v>
      </c>
      <c r="L3" s="24" t="s">
        <v>57</v>
      </c>
      <c r="M3" s="24" t="s">
        <v>58</v>
      </c>
      <c r="N3" s="24" t="s">
        <v>59</v>
      </c>
      <c r="O3" s="24" t="s">
        <v>60</v>
      </c>
      <c r="P3" s="24" t="s">
        <v>61</v>
      </c>
      <c r="Q3" s="24" t="s">
        <v>10</v>
      </c>
      <c r="R3" s="24" t="s">
        <v>1781</v>
      </c>
      <c r="S3" s="633" t="s">
        <v>1126</v>
      </c>
      <c r="T3" s="24" t="s">
        <v>62</v>
      </c>
      <c r="U3" s="24" t="s">
        <v>63</v>
      </c>
      <c r="V3" s="24" t="s">
        <v>64</v>
      </c>
      <c r="W3" s="146" t="s">
        <v>65</v>
      </c>
      <c r="X3" s="2004"/>
      <c r="Y3" s="2004"/>
      <c r="Z3" s="2004"/>
    </row>
    <row r="4" spans="1:26" ht="15.75" thickBot="1">
      <c r="A4" s="17"/>
      <c r="B4" s="15"/>
      <c r="C4" s="15"/>
      <c r="D4" s="15"/>
      <c r="E4" s="15"/>
      <c r="F4" s="15"/>
      <c r="G4" s="15"/>
      <c r="H4" s="15"/>
      <c r="I4" s="15"/>
      <c r="J4" s="15"/>
      <c r="K4" s="15"/>
      <c r="L4" s="15"/>
      <c r="M4" s="15"/>
      <c r="N4" s="15"/>
      <c r="O4" s="15"/>
      <c r="P4" s="15"/>
      <c r="Q4" s="15"/>
      <c r="R4" s="15"/>
      <c r="S4" s="15"/>
      <c r="T4" s="15"/>
      <c r="U4" s="15"/>
      <c r="V4" s="15"/>
      <c r="W4" s="147"/>
      <c r="X4" s="50"/>
      <c r="Y4" s="50"/>
      <c r="Z4" s="50"/>
    </row>
    <row r="5" spans="1:26" ht="36" customHeight="1" thickBot="1">
      <c r="A5" s="139" t="s">
        <v>11</v>
      </c>
      <c r="B5" s="622"/>
      <c r="C5" s="622"/>
      <c r="D5" s="1951" t="s">
        <v>593</v>
      </c>
      <c r="E5" s="1924"/>
      <c r="F5" s="1924"/>
      <c r="G5" s="1924"/>
      <c r="H5" s="1924"/>
      <c r="I5" s="1924"/>
      <c r="J5" s="1924"/>
      <c r="K5" s="1925"/>
      <c r="L5" s="140">
        <f t="shared" ref="L5:Q5" si="0">SUM(L6+L26)</f>
        <v>15123515.215882353</v>
      </c>
      <c r="M5" s="140">
        <f t="shared" si="0"/>
        <v>903169.065882353</v>
      </c>
      <c r="N5" s="140">
        <f t="shared" si="0"/>
        <v>96454.550000000032</v>
      </c>
      <c r="O5" s="140">
        <f t="shared" si="0"/>
        <v>3607747.01</v>
      </c>
      <c r="P5" s="140">
        <f t="shared" si="0"/>
        <v>352400.82</v>
      </c>
      <c r="Q5" s="140">
        <f t="shared" si="0"/>
        <v>10163743.770000001</v>
      </c>
      <c r="R5" s="140"/>
      <c r="S5" s="140"/>
      <c r="T5" s="140" t="s">
        <v>66</v>
      </c>
      <c r="U5" s="140" t="s">
        <v>66</v>
      </c>
      <c r="V5" s="140" t="s">
        <v>66</v>
      </c>
      <c r="W5" s="140"/>
      <c r="X5" s="31">
        <f>SUM(X6+X26)</f>
        <v>9054930.977500001</v>
      </c>
      <c r="Y5" s="31">
        <f>SUM(Y6+Y26)</f>
        <v>10865917.173</v>
      </c>
      <c r="Z5" s="31">
        <f>SUM(Z6+Z26)</f>
        <v>-1080220.4925000002</v>
      </c>
    </row>
    <row r="6" spans="1:26" ht="43.5" customHeight="1" thickBot="1">
      <c r="A6" s="138" t="s">
        <v>12</v>
      </c>
      <c r="B6" s="623"/>
      <c r="C6" s="623"/>
      <c r="D6" s="1948" t="s">
        <v>594</v>
      </c>
      <c r="E6" s="1878"/>
      <c r="F6" s="1878"/>
      <c r="G6" s="1878"/>
      <c r="H6" s="1878"/>
      <c r="I6" s="1878"/>
      <c r="J6" s="1878"/>
      <c r="K6" s="1879"/>
      <c r="L6" s="137">
        <f t="shared" ref="L6:Q6" si="1">SUM(L7+L9+L11+L13+L15+L17+L19+L22+L24)</f>
        <v>12252573.285882354</v>
      </c>
      <c r="M6" s="137">
        <f t="shared" si="1"/>
        <v>472527.77588235296</v>
      </c>
      <c r="N6" s="137">
        <f t="shared" si="1"/>
        <v>96454.550000000032</v>
      </c>
      <c r="O6" s="137">
        <f t="shared" si="1"/>
        <v>3607747.01</v>
      </c>
      <c r="P6" s="137">
        <f t="shared" si="1"/>
        <v>352400.82</v>
      </c>
      <c r="Q6" s="137">
        <f t="shared" si="1"/>
        <v>7723443.1300000008</v>
      </c>
      <c r="R6" s="137"/>
      <c r="S6" s="137"/>
      <c r="T6" s="137" t="s">
        <v>66</v>
      </c>
      <c r="U6" s="137" t="s">
        <v>66</v>
      </c>
      <c r="V6" s="137" t="s">
        <v>66</v>
      </c>
      <c r="W6" s="137"/>
      <c r="X6" s="32">
        <f>SUM(X7+X9+X11+X13+X15+X17+X19+X22+X24)</f>
        <v>6733465.4175000004</v>
      </c>
      <c r="Y6" s="32">
        <f>SUM(Y7+Y9+Y11+Y13+Y15+Y17+Y19+Y22+Y24)</f>
        <v>8080158.5010000002</v>
      </c>
      <c r="Z6" s="32">
        <f>SUM(Z7+Z9+Z11+Z13+Z15+Z17+Z19+Z22+Z24)</f>
        <v>-989977.71250000014</v>
      </c>
    </row>
    <row r="7" spans="1:26" ht="32.25" customHeight="1" thickBot="1">
      <c r="A7" s="297" t="s">
        <v>67</v>
      </c>
      <c r="B7" s="624"/>
      <c r="C7" s="624"/>
      <c r="D7" s="1931" t="s">
        <v>595</v>
      </c>
      <c r="E7" s="1940"/>
      <c r="F7" s="1940"/>
      <c r="G7" s="1940"/>
      <c r="H7" s="1940"/>
      <c r="I7" s="1940"/>
      <c r="J7" s="1940"/>
      <c r="K7" s="1941"/>
      <c r="L7" s="299">
        <v>0</v>
      </c>
      <c r="M7" s="299">
        <v>0</v>
      </c>
      <c r="N7" s="299">
        <v>0</v>
      </c>
      <c r="O7" s="299">
        <v>0</v>
      </c>
      <c r="P7" s="299">
        <v>0</v>
      </c>
      <c r="Q7" s="299">
        <v>0</v>
      </c>
      <c r="R7" s="299"/>
      <c r="S7" s="79"/>
      <c r="T7" s="299" t="s">
        <v>66</v>
      </c>
      <c r="U7" s="299"/>
      <c r="V7" s="299"/>
      <c r="W7" s="299"/>
      <c r="X7" s="40">
        <v>0</v>
      </c>
      <c r="Y7" s="40">
        <f>SUM(X7*120/100)</f>
        <v>0</v>
      </c>
      <c r="Z7" s="40">
        <f>SUM(X7-Q7)</f>
        <v>0</v>
      </c>
    </row>
    <row r="8" spans="1:26" ht="15.75" thickBot="1">
      <c r="A8" s="6"/>
      <c r="B8" s="13"/>
      <c r="C8" s="13"/>
      <c r="D8" s="15"/>
      <c r="E8" s="15"/>
      <c r="F8" s="15"/>
      <c r="G8" s="15"/>
      <c r="H8" s="15"/>
      <c r="I8" s="10"/>
      <c r="J8" s="10"/>
      <c r="K8" s="10"/>
      <c r="L8" s="10"/>
      <c r="M8" s="10"/>
      <c r="N8" s="10"/>
      <c r="O8" s="10"/>
      <c r="P8" s="10"/>
      <c r="Q8" s="10"/>
      <c r="R8" s="10"/>
      <c r="S8" s="10"/>
      <c r="T8" s="10"/>
      <c r="U8" s="10"/>
      <c r="V8" s="10"/>
      <c r="W8" s="148"/>
      <c r="X8" s="30"/>
      <c r="Y8" s="30"/>
      <c r="Z8" s="50"/>
    </row>
    <row r="9" spans="1:26" ht="38.25" customHeight="1" thickBot="1">
      <c r="A9" s="297" t="s">
        <v>14</v>
      </c>
      <c r="B9" s="624"/>
      <c r="C9" s="624"/>
      <c r="D9" s="1931" t="s">
        <v>596</v>
      </c>
      <c r="E9" s="1940"/>
      <c r="F9" s="1940"/>
      <c r="G9" s="1940"/>
      <c r="H9" s="1940"/>
      <c r="I9" s="1940"/>
      <c r="J9" s="1940"/>
      <c r="K9" s="1941"/>
      <c r="L9" s="299">
        <v>0</v>
      </c>
      <c r="M9" s="299">
        <v>0</v>
      </c>
      <c r="N9" s="299">
        <v>0</v>
      </c>
      <c r="O9" s="299">
        <v>0</v>
      </c>
      <c r="P9" s="299">
        <v>0</v>
      </c>
      <c r="Q9" s="299">
        <v>0</v>
      </c>
      <c r="R9" s="299"/>
      <c r="S9" s="79"/>
      <c r="T9" s="299"/>
      <c r="U9" s="299"/>
      <c r="V9" s="299"/>
      <c r="W9" s="299"/>
      <c r="X9" s="40">
        <v>0</v>
      </c>
      <c r="Y9" s="40">
        <f>SUM(X9*120/100)</f>
        <v>0</v>
      </c>
      <c r="Z9" s="40">
        <f>SUM(X9-Q9)</f>
        <v>0</v>
      </c>
    </row>
    <row r="10" spans="1:26" ht="15.75" thickBot="1">
      <c r="A10" s="6"/>
      <c r="B10" s="13"/>
      <c r="C10" s="13"/>
      <c r="D10" s="15"/>
      <c r="E10" s="15"/>
      <c r="F10" s="15"/>
      <c r="G10" s="15"/>
      <c r="H10" s="15"/>
      <c r="I10" s="10"/>
      <c r="J10" s="10"/>
      <c r="K10" s="10"/>
      <c r="L10" s="10"/>
      <c r="M10" s="10"/>
      <c r="N10" s="10"/>
      <c r="O10" s="10"/>
      <c r="P10" s="10"/>
      <c r="Q10" s="10"/>
      <c r="R10" s="10"/>
      <c r="S10" s="10"/>
      <c r="T10" s="10"/>
      <c r="U10" s="10"/>
      <c r="V10" s="10"/>
      <c r="W10" s="148"/>
      <c r="X10" s="30"/>
      <c r="Y10" s="30"/>
      <c r="Z10" s="50"/>
    </row>
    <row r="11" spans="1:26" ht="30" customHeight="1" thickBot="1">
      <c r="A11" s="297" t="s">
        <v>70</v>
      </c>
      <c r="B11" s="624"/>
      <c r="C11" s="624"/>
      <c r="D11" s="1931" t="s">
        <v>605</v>
      </c>
      <c r="E11" s="1940"/>
      <c r="F11" s="1940"/>
      <c r="G11" s="1940"/>
      <c r="H11" s="1940"/>
      <c r="I11" s="1940"/>
      <c r="J11" s="1940"/>
      <c r="K11" s="1941"/>
      <c r="L11" s="299">
        <v>0</v>
      </c>
      <c r="M11" s="299">
        <v>0</v>
      </c>
      <c r="N11" s="299">
        <v>0</v>
      </c>
      <c r="O11" s="299">
        <f>SUM(O12:O14)</f>
        <v>0</v>
      </c>
      <c r="P11" s="299">
        <f>SUM(P12:P14)</f>
        <v>0</v>
      </c>
      <c r="Q11" s="299">
        <v>0</v>
      </c>
      <c r="R11" s="299"/>
      <c r="S11" s="79"/>
      <c r="T11" s="299"/>
      <c r="U11" s="299"/>
      <c r="V11" s="299"/>
      <c r="W11" s="299"/>
      <c r="X11" s="40">
        <v>0</v>
      </c>
      <c r="Y11" s="40">
        <f>SUM(X11*120/100)</f>
        <v>0</v>
      </c>
      <c r="Z11" s="40">
        <f>SUM(X11-Q11)</f>
        <v>0</v>
      </c>
    </row>
    <row r="12" spans="1:26" ht="15.75" customHeight="1" thickBot="1">
      <c r="A12" s="6"/>
      <c r="B12" s="13"/>
      <c r="C12" s="13"/>
      <c r="D12" s="15"/>
      <c r="E12" s="15"/>
      <c r="F12" s="15"/>
      <c r="G12" s="15"/>
      <c r="H12" s="15"/>
      <c r="I12" s="10"/>
      <c r="J12" s="10"/>
      <c r="K12" s="10"/>
      <c r="L12" s="10"/>
      <c r="M12" s="10"/>
      <c r="N12" s="10"/>
      <c r="O12" s="10"/>
      <c r="P12" s="10"/>
      <c r="Q12" s="10"/>
      <c r="R12" s="10"/>
      <c r="S12" s="10"/>
      <c r="T12" s="10"/>
      <c r="U12" s="10"/>
      <c r="V12" s="10"/>
      <c r="W12" s="148"/>
      <c r="X12" s="30"/>
      <c r="Y12" s="30"/>
      <c r="Z12" s="50"/>
    </row>
    <row r="13" spans="1:26" ht="34.5" customHeight="1" thickBot="1">
      <c r="A13" s="297" t="s">
        <v>16</v>
      </c>
      <c r="B13" s="624"/>
      <c r="C13" s="624"/>
      <c r="D13" s="1931" t="s">
        <v>606</v>
      </c>
      <c r="E13" s="1940"/>
      <c r="F13" s="1940"/>
      <c r="G13" s="1940"/>
      <c r="H13" s="1940"/>
      <c r="I13" s="1940"/>
      <c r="J13" s="1940"/>
      <c r="K13" s="1941"/>
      <c r="L13" s="1016">
        <f t="shared" ref="L13:Q13" si="2">SUM(L14:L14)</f>
        <v>1286060.7500000002</v>
      </c>
      <c r="M13" s="1016">
        <f t="shared" si="2"/>
        <v>96454.570000000022</v>
      </c>
      <c r="N13" s="1016">
        <f t="shared" si="2"/>
        <v>96454.550000000032</v>
      </c>
      <c r="O13" s="1016">
        <f t="shared" si="2"/>
        <v>0</v>
      </c>
      <c r="P13" s="1016">
        <f t="shared" si="2"/>
        <v>0</v>
      </c>
      <c r="Q13" s="1016">
        <f t="shared" si="2"/>
        <v>1093151.6300000001</v>
      </c>
      <c r="R13" s="1016"/>
      <c r="S13" s="79"/>
      <c r="T13" s="299"/>
      <c r="U13" s="299"/>
      <c r="V13" s="299"/>
      <c r="W13" s="299"/>
      <c r="X13" s="33">
        <v>1158480</v>
      </c>
      <c r="Y13" s="33">
        <f>SUM(X13*120/100)</f>
        <v>1390176</v>
      </c>
      <c r="Z13" s="33">
        <f>SUM(X13-Q13)</f>
        <v>65328.369999999879</v>
      </c>
    </row>
    <row r="14" spans="1:26" ht="48.75" thickBot="1">
      <c r="A14" s="78" t="str">
        <f>CONCATENATE('3 pr-2'!A47)</f>
        <v>1.1.1.4.1</v>
      </c>
      <c r="B14" s="78" t="str">
        <f>CONCATENATE('3 pr-2'!B47)</f>
        <v>R01-9902-310000-1141</v>
      </c>
      <c r="C14" s="647" t="str">
        <f>CONCATENATE('3 pr-2'!C47)</f>
        <v>07.1.1-CPVA-V-902-01-0008</v>
      </c>
      <c r="D14" s="78" t="s">
        <v>315</v>
      </c>
      <c r="E14" s="78" t="s">
        <v>345</v>
      </c>
      <c r="F14" s="78" t="s">
        <v>75</v>
      </c>
      <c r="G14" s="78" t="s">
        <v>1800</v>
      </c>
      <c r="H14" s="78" t="s">
        <v>178</v>
      </c>
      <c r="I14" s="14" t="s">
        <v>162</v>
      </c>
      <c r="J14" s="14" t="s">
        <v>167</v>
      </c>
      <c r="K14" s="14" t="s">
        <v>66</v>
      </c>
      <c r="L14" s="1638">
        <f>SUM(M14:Q14)</f>
        <v>1286060.7500000002</v>
      </c>
      <c r="M14" s="1638">
        <f>'ketv. 7 '!R45</f>
        <v>96454.570000000022</v>
      </c>
      <c r="N14" s="1638">
        <f>'ketv. 7 '!W45</f>
        <v>96454.550000000032</v>
      </c>
      <c r="O14" s="632">
        <v>0</v>
      </c>
      <c r="P14" s="632">
        <v>0</v>
      </c>
      <c r="Q14" s="1638">
        <f>'ketv. 7 '!AL45</f>
        <v>1093151.6300000001</v>
      </c>
      <c r="R14" s="632"/>
      <c r="S14" s="323">
        <v>42246</v>
      </c>
      <c r="T14" s="323">
        <v>42338</v>
      </c>
      <c r="U14" s="323">
        <v>42674</v>
      </c>
      <c r="V14" s="323">
        <v>42735</v>
      </c>
      <c r="W14" s="431">
        <v>43281</v>
      </c>
      <c r="X14" s="30"/>
      <c r="Y14" s="30"/>
      <c r="Z14" s="50"/>
    </row>
    <row r="15" spans="1:26" ht="30.75" customHeight="1" thickBot="1">
      <c r="A15" s="297" t="s">
        <v>76</v>
      </c>
      <c r="B15" s="624"/>
      <c r="C15" s="624"/>
      <c r="D15" s="1931" t="s">
        <v>607</v>
      </c>
      <c r="E15" s="1940"/>
      <c r="F15" s="1940"/>
      <c r="G15" s="1940"/>
      <c r="H15" s="1940"/>
      <c r="I15" s="1940"/>
      <c r="J15" s="1940"/>
      <c r="K15" s="1941"/>
      <c r="L15" s="1016">
        <f>SUM(L16)</f>
        <v>5706088</v>
      </c>
      <c r="M15" s="1016">
        <f t="shared" ref="M15:Q15" si="3">SUM(M16)</f>
        <v>0</v>
      </c>
      <c r="N15" s="1016">
        <f t="shared" si="3"/>
        <v>0</v>
      </c>
      <c r="O15" s="1016">
        <f t="shared" si="3"/>
        <v>3009103.69</v>
      </c>
      <c r="P15" s="1016">
        <f t="shared" si="3"/>
        <v>0</v>
      </c>
      <c r="Q15" s="1016">
        <f t="shared" si="3"/>
        <v>2696984.31</v>
      </c>
      <c r="R15" s="1016"/>
      <c r="S15" s="79"/>
      <c r="T15" s="299"/>
      <c r="U15" s="299"/>
      <c r="V15" s="299"/>
      <c r="W15" s="299"/>
      <c r="X15" s="33">
        <v>2645996.25</v>
      </c>
      <c r="Y15" s="33">
        <f>SUM(X15*120/100)</f>
        <v>3175195.5</v>
      </c>
      <c r="Z15" s="34">
        <f>SUM(X15-Q15)</f>
        <v>-50988.060000000056</v>
      </c>
    </row>
    <row r="16" spans="1:26" ht="48.75" thickBot="1">
      <c r="A16" s="78" t="str">
        <f>CONCATENATE('3 pr-2'!A52)</f>
        <v>1.1.1.5.2.</v>
      </c>
      <c r="B16" s="78" t="str">
        <f>CONCATENATE('3 pr-2'!B52)</f>
        <v>R01-0014-060750-1152</v>
      </c>
      <c r="C16" s="647" t="str">
        <f>CONCATENATE('3 pr-2'!C52)</f>
        <v>05.3.2-APVA-R-014-11-0002</v>
      </c>
      <c r="D16" s="78" t="s">
        <v>387</v>
      </c>
      <c r="E16" s="78" t="s">
        <v>295</v>
      </c>
      <c r="F16" s="78" t="s">
        <v>77</v>
      </c>
      <c r="G16" s="78" t="s">
        <v>1800</v>
      </c>
      <c r="H16" s="78" t="s">
        <v>144</v>
      </c>
      <c r="I16" s="14" t="s">
        <v>119</v>
      </c>
      <c r="J16" s="14" t="s">
        <v>167</v>
      </c>
      <c r="K16" s="14" t="s">
        <v>66</v>
      </c>
      <c r="L16" s="1646">
        <f>SUM(M16:Q16)</f>
        <v>5706088</v>
      </c>
      <c r="M16" s="632">
        <v>0</v>
      </c>
      <c r="N16" s="632">
        <v>0</v>
      </c>
      <c r="O16" s="1646">
        <v>3009103.69</v>
      </c>
      <c r="P16" s="632">
        <v>0</v>
      </c>
      <c r="Q16" s="1646">
        <v>2696984.31</v>
      </c>
      <c r="R16" s="1018"/>
      <c r="S16" s="323">
        <v>42451</v>
      </c>
      <c r="T16" s="323">
        <v>42551</v>
      </c>
      <c r="U16" s="323">
        <v>42704</v>
      </c>
      <c r="V16" s="323">
        <v>42736</v>
      </c>
      <c r="W16" s="431">
        <v>44195</v>
      </c>
      <c r="X16" s="30"/>
      <c r="Y16" s="30"/>
      <c r="Z16" s="30"/>
    </row>
    <row r="17" spans="1:28" ht="27" customHeight="1" thickBot="1">
      <c r="A17" s="297" t="s">
        <v>79</v>
      </c>
      <c r="B17" s="624"/>
      <c r="C17" s="624"/>
      <c r="D17" s="1931" t="s">
        <v>608</v>
      </c>
      <c r="E17" s="1940"/>
      <c r="F17" s="1940"/>
      <c r="G17" s="1940"/>
      <c r="H17" s="1940"/>
      <c r="I17" s="1940"/>
      <c r="J17" s="1940"/>
      <c r="K17" s="1941"/>
      <c r="L17" s="1016">
        <f t="shared" ref="L17:Q17" si="4">SUM(L18:L18)</f>
        <v>3990955.51</v>
      </c>
      <c r="M17" s="1016">
        <f t="shared" si="4"/>
        <v>0</v>
      </c>
      <c r="N17" s="1016">
        <f t="shared" si="4"/>
        <v>0</v>
      </c>
      <c r="O17" s="1016">
        <f t="shared" si="4"/>
        <v>598643.31999999995</v>
      </c>
      <c r="P17" s="1016">
        <f t="shared" si="4"/>
        <v>0</v>
      </c>
      <c r="Q17" s="1016">
        <f t="shared" si="4"/>
        <v>3392312.19</v>
      </c>
      <c r="R17" s="1016"/>
      <c r="S17" s="79"/>
      <c r="T17" s="299"/>
      <c r="U17" s="299"/>
      <c r="V17" s="299"/>
      <c r="W17" s="299"/>
      <c r="X17" s="33">
        <v>2387993.48</v>
      </c>
      <c r="Y17" s="33">
        <f>SUM(X17*120/100)</f>
        <v>2865592.1760000004</v>
      </c>
      <c r="Z17" s="34">
        <f>SUM(X17-Q17)</f>
        <v>-1004318.71</v>
      </c>
    </row>
    <row r="18" spans="1:28" ht="48.75" thickBot="1">
      <c r="A18" s="78" t="str">
        <f>CONCATENATE('3 pr-2'!A57)</f>
        <v>1.1.1.6.1</v>
      </c>
      <c r="B18" s="78" t="str">
        <f>CONCATENATE('3 pr-2'!B57)</f>
        <v>R01-0007-080000-1161</v>
      </c>
      <c r="C18" s="647" t="str">
        <f>CONCATENATE('3 pr-2'!C57)</f>
        <v>05.1.1-APVA-R-007-11-0001</v>
      </c>
      <c r="D18" s="78" t="s">
        <v>304</v>
      </c>
      <c r="E18" s="78" t="s">
        <v>295</v>
      </c>
      <c r="F18" s="78" t="s">
        <v>77</v>
      </c>
      <c r="G18" s="78" t="s">
        <v>1800</v>
      </c>
      <c r="H18" s="78" t="s">
        <v>179</v>
      </c>
      <c r="I18" s="14" t="s">
        <v>119</v>
      </c>
      <c r="J18" s="14" t="s">
        <v>66</v>
      </c>
      <c r="K18" s="14" t="s">
        <v>630</v>
      </c>
      <c r="L18" s="1018">
        <f t="shared" ref="L18" si="5">SUM(M18:Q18)</f>
        <v>3990955.51</v>
      </c>
      <c r="M18" s="632">
        <v>0</v>
      </c>
      <c r="N18" s="632">
        <v>0</v>
      </c>
      <c r="O18" s="1018">
        <v>598643.31999999995</v>
      </c>
      <c r="P18" s="632">
        <v>0</v>
      </c>
      <c r="Q18" s="1018">
        <v>3392312.19</v>
      </c>
      <c r="R18" s="1018"/>
      <c r="S18" s="423">
        <v>42475</v>
      </c>
      <c r="T18" s="323">
        <v>42551</v>
      </c>
      <c r="U18" s="323">
        <v>42726</v>
      </c>
      <c r="V18" s="323">
        <v>42825</v>
      </c>
      <c r="W18" s="323">
        <v>44196</v>
      </c>
      <c r="X18" s="30"/>
      <c r="Y18" s="30"/>
      <c r="Z18" s="50"/>
    </row>
    <row r="19" spans="1:28" ht="28.5" customHeight="1" thickBot="1">
      <c r="A19" s="297" t="s">
        <v>81</v>
      </c>
      <c r="B19" s="624"/>
      <c r="C19" s="624"/>
      <c r="D19" s="1931" t="s">
        <v>609</v>
      </c>
      <c r="E19" s="1940"/>
      <c r="F19" s="1940"/>
      <c r="G19" s="1940"/>
      <c r="H19" s="1940"/>
      <c r="I19" s="1940"/>
      <c r="J19" s="1940"/>
      <c r="K19" s="1941"/>
      <c r="L19" s="1016">
        <f>SUM(L20:L21)</f>
        <v>41644.705882352944</v>
      </c>
      <c r="M19" s="1016">
        <f t="shared" ref="M19:Q19" si="6">SUM(M20:M21)</f>
        <v>6246.7058823529414</v>
      </c>
      <c r="N19" s="1016">
        <f t="shared" si="6"/>
        <v>0</v>
      </c>
      <c r="O19" s="1016">
        <f t="shared" si="6"/>
        <v>0</v>
      </c>
      <c r="P19" s="1016">
        <f t="shared" si="6"/>
        <v>0</v>
      </c>
      <c r="Q19" s="1016">
        <f t="shared" si="6"/>
        <v>35398</v>
      </c>
      <c r="R19" s="1016"/>
      <c r="S19" s="79"/>
      <c r="T19" s="299"/>
      <c r="U19" s="299"/>
      <c r="V19" s="299"/>
      <c r="W19" s="299"/>
      <c r="X19" s="33">
        <v>35398</v>
      </c>
      <c r="Y19" s="33">
        <f>SUM(X19*120/100)</f>
        <v>42477.599999999999</v>
      </c>
      <c r="Z19" s="33">
        <f>SUM(X19-Q19)</f>
        <v>0</v>
      </c>
    </row>
    <row r="20" spans="1:28" ht="36.75" thickBot="1">
      <c r="A20" s="78" t="str">
        <f>CONCATENATE('3 pr-2'!A59)</f>
        <v>1.1.1.7.1</v>
      </c>
      <c r="B20" s="78" t="str">
        <f>CONCATENATE('3 pr-2'!B59)</f>
        <v>R01-8821-420000-1171</v>
      </c>
      <c r="C20" s="647" t="str">
        <f>CONCATENATE('3 pr-2'!C59)</f>
        <v>05.4.1-LVPA-R-821-11-0002</v>
      </c>
      <c r="D20" s="78" t="s">
        <v>270</v>
      </c>
      <c r="E20" s="78" t="s">
        <v>345</v>
      </c>
      <c r="F20" s="78" t="s">
        <v>82</v>
      </c>
      <c r="G20" s="78" t="s">
        <v>185</v>
      </c>
      <c r="H20" s="228" t="s">
        <v>761</v>
      </c>
      <c r="I20" s="14" t="s">
        <v>119</v>
      </c>
      <c r="J20" s="14" t="s">
        <v>66</v>
      </c>
      <c r="K20" s="16" t="s">
        <v>66</v>
      </c>
      <c r="L20" s="1018">
        <f>SUM(M20:Q20)</f>
        <v>41644.705882352944</v>
      </c>
      <c r="M20" s="1018">
        <v>6246.7058823529414</v>
      </c>
      <c r="N20" s="632">
        <v>0</v>
      </c>
      <c r="O20" s="632">
        <v>0</v>
      </c>
      <c r="P20" s="632">
        <v>0</v>
      </c>
      <c r="Q20" s="1018">
        <v>35398</v>
      </c>
      <c r="R20" s="1018"/>
      <c r="S20" s="423">
        <v>42604</v>
      </c>
      <c r="T20" s="323">
        <v>42635</v>
      </c>
      <c r="U20" s="323">
        <v>42755</v>
      </c>
      <c r="V20" s="323">
        <v>42840</v>
      </c>
      <c r="W20" s="323">
        <v>43465</v>
      </c>
      <c r="X20" s="30"/>
      <c r="Y20" s="30"/>
      <c r="Z20" s="50"/>
    </row>
    <row r="21" spans="1:28" ht="15.75" thickBot="1">
      <c r="A21" s="17"/>
      <c r="B21" s="15"/>
      <c r="C21" s="15"/>
      <c r="D21" s="15"/>
      <c r="E21" s="15"/>
      <c r="F21" s="15"/>
      <c r="G21" s="15"/>
      <c r="H21" s="15"/>
      <c r="I21" s="10"/>
      <c r="J21" s="10"/>
      <c r="K21" s="10"/>
      <c r="L21" s="10"/>
      <c r="M21" s="10"/>
      <c r="N21" s="10"/>
      <c r="O21" s="10"/>
      <c r="P21" s="10"/>
      <c r="Q21" s="10"/>
      <c r="R21" s="10"/>
      <c r="S21" s="10"/>
      <c r="T21" s="10"/>
      <c r="U21" s="10"/>
      <c r="V21" s="10"/>
      <c r="W21" s="148"/>
      <c r="X21" s="30"/>
      <c r="Y21" s="30"/>
      <c r="Z21" s="50"/>
    </row>
    <row r="22" spans="1:28" ht="30" customHeight="1" thickBot="1">
      <c r="A22" s="297" t="s">
        <v>84</v>
      </c>
      <c r="B22" s="624"/>
      <c r="C22" s="624"/>
      <c r="D22" s="1931" t="s">
        <v>610</v>
      </c>
      <c r="E22" s="1940"/>
      <c r="F22" s="1940"/>
      <c r="G22" s="1940"/>
      <c r="H22" s="1940"/>
      <c r="I22" s="1940"/>
      <c r="J22" s="1940"/>
      <c r="K22" s="1941"/>
      <c r="L22" s="1016">
        <f t="shared" ref="L22:Q22" si="7">SUM(L23:L23)</f>
        <v>783264.16</v>
      </c>
      <c r="M22" s="1016">
        <f t="shared" si="7"/>
        <v>131322.34</v>
      </c>
      <c r="N22" s="1016">
        <f t="shared" si="7"/>
        <v>0</v>
      </c>
      <c r="O22" s="1016">
        <f t="shared" si="7"/>
        <v>0</v>
      </c>
      <c r="P22" s="1016">
        <f t="shared" si="7"/>
        <v>352400.82</v>
      </c>
      <c r="Q22" s="1016">
        <f t="shared" si="7"/>
        <v>299541</v>
      </c>
      <c r="R22" s="1016"/>
      <c r="S22" s="79"/>
      <c r="T22" s="299"/>
      <c r="U22" s="299"/>
      <c r="V22" s="299"/>
      <c r="W22" s="299"/>
      <c r="X22" s="33">
        <v>299541.3775</v>
      </c>
      <c r="Y22" s="33">
        <f>SUM(X22*120/100)</f>
        <v>359449.65299999999</v>
      </c>
      <c r="Z22" s="33">
        <f>SUM(X22-Q22)</f>
        <v>0.37750000000232831</v>
      </c>
    </row>
    <row r="23" spans="1:28" ht="48.75" thickBot="1">
      <c r="A23" s="78" t="str">
        <f>CONCATENATE('3 pr-2'!A64)</f>
        <v>1.1.1.8.2</v>
      </c>
      <c r="B23" s="78" t="str">
        <f>CONCATENATE('3 pr-2'!B64)</f>
        <v>R01-3305-330000-1182</v>
      </c>
      <c r="C23" s="647" t="str">
        <f>CONCATENATE('3 pr-2'!C64)</f>
        <v>07.1.1-CPVA-R-305-11-0002</v>
      </c>
      <c r="D23" s="78" t="s">
        <v>316</v>
      </c>
      <c r="E23" s="78" t="s">
        <v>345</v>
      </c>
      <c r="F23" s="78" t="s">
        <v>116</v>
      </c>
      <c r="G23" s="78" t="s">
        <v>1800</v>
      </c>
      <c r="H23" s="228" t="s">
        <v>143</v>
      </c>
      <c r="I23" s="14" t="s">
        <v>119</v>
      </c>
      <c r="J23" s="14" t="s">
        <v>167</v>
      </c>
      <c r="K23" s="16" t="s">
        <v>66</v>
      </c>
      <c r="L23" s="1018">
        <f>SUM(M23:Q23)</f>
        <v>783264.16</v>
      </c>
      <c r="M23" s="1018">
        <v>131322.34</v>
      </c>
      <c r="N23" s="1018">
        <v>0</v>
      </c>
      <c r="O23" s="632">
        <v>0</v>
      </c>
      <c r="P23" s="1018">
        <v>352400.82</v>
      </c>
      <c r="Q23" s="1018">
        <v>299541</v>
      </c>
      <c r="R23" s="1018"/>
      <c r="S23" s="323">
        <v>42614</v>
      </c>
      <c r="T23" s="323">
        <v>42703</v>
      </c>
      <c r="U23" s="323">
        <v>42762</v>
      </c>
      <c r="V23" s="323">
        <v>42855</v>
      </c>
      <c r="W23" s="323">
        <v>43465</v>
      </c>
      <c r="X23" s="30"/>
      <c r="Y23" s="30"/>
      <c r="Z23" s="50"/>
    </row>
    <row r="24" spans="1:28" ht="33" customHeight="1" thickBot="1">
      <c r="A24" s="297" t="s">
        <v>86</v>
      </c>
      <c r="B24" s="624"/>
      <c r="C24" s="624"/>
      <c r="D24" s="1931" t="s">
        <v>611</v>
      </c>
      <c r="E24" s="1940"/>
      <c r="F24" s="1940"/>
      <c r="G24" s="1940"/>
      <c r="H24" s="1940"/>
      <c r="I24" s="1940"/>
      <c r="J24" s="1940"/>
      <c r="K24" s="1941"/>
      <c r="L24" s="1016">
        <f t="shared" ref="L24:Q24" si="8">SUM(L25:L25)</f>
        <v>444560.16000000003</v>
      </c>
      <c r="M24" s="1016">
        <f t="shared" si="8"/>
        <v>238504.16</v>
      </c>
      <c r="N24" s="1016">
        <f t="shared" si="8"/>
        <v>0</v>
      </c>
      <c r="O24" s="1016">
        <f t="shared" si="8"/>
        <v>0</v>
      </c>
      <c r="P24" s="1016">
        <f t="shared" si="8"/>
        <v>0</v>
      </c>
      <c r="Q24" s="1016">
        <f t="shared" si="8"/>
        <v>206056</v>
      </c>
      <c r="R24" s="1016"/>
      <c r="S24" s="79"/>
      <c r="T24" s="299"/>
      <c r="U24" s="299"/>
      <c r="V24" s="299"/>
      <c r="W24" s="299"/>
      <c r="X24" s="33">
        <v>206056.31</v>
      </c>
      <c r="Y24" s="33">
        <f>SUM(X24*120/100)</f>
        <v>247267.57199999999</v>
      </c>
      <c r="Z24" s="33">
        <f>SUM(X24-Q24)</f>
        <v>0.30999999999767169</v>
      </c>
    </row>
    <row r="25" spans="1:28" ht="36.75" thickBot="1">
      <c r="A25" s="135" t="str">
        <f>CONCATENATE('3 pr-2'!A68)</f>
        <v>1.1.1.9.1</v>
      </c>
      <c r="B25" s="135" t="str">
        <f>CONCATENATE('3 pr-2'!B68)</f>
        <v>R01-3302-440000-1191</v>
      </c>
      <c r="C25" s="648" t="str">
        <f>CONCATENATE('3 pr-2'!C68)</f>
        <v>05.4.1-CPVA-R-302-11-0003</v>
      </c>
      <c r="D25" s="78" t="s">
        <v>631</v>
      </c>
      <c r="E25" s="78" t="s">
        <v>345</v>
      </c>
      <c r="F25" s="78" t="s">
        <v>116</v>
      </c>
      <c r="G25" s="78" t="s">
        <v>1800</v>
      </c>
      <c r="H25" s="228" t="s">
        <v>182</v>
      </c>
      <c r="I25" s="14" t="s">
        <v>119</v>
      </c>
      <c r="J25" s="14" t="s">
        <v>167</v>
      </c>
      <c r="K25" s="16" t="s">
        <v>630</v>
      </c>
      <c r="L25" s="632">
        <f>SUM(M25:Q25)</f>
        <v>444560.16000000003</v>
      </c>
      <c r="M25" s="632">
        <v>238504.16</v>
      </c>
      <c r="N25" s="632">
        <v>0</v>
      </c>
      <c r="O25" s="632">
        <v>0</v>
      </c>
      <c r="P25" s="632">
        <v>0</v>
      </c>
      <c r="Q25" s="632">
        <v>206056</v>
      </c>
      <c r="R25" s="632"/>
      <c r="S25" s="423">
        <v>42667</v>
      </c>
      <c r="T25" s="323">
        <v>42794</v>
      </c>
      <c r="U25" s="323">
        <v>43220</v>
      </c>
      <c r="V25" s="323">
        <v>43281</v>
      </c>
      <c r="W25" s="323">
        <v>44196</v>
      </c>
      <c r="X25" s="30"/>
      <c r="Y25" s="30"/>
      <c r="Z25" s="50"/>
    </row>
    <row r="26" spans="1:28" ht="37.5" customHeight="1" thickBot="1">
      <c r="A26" s="134" t="s">
        <v>22</v>
      </c>
      <c r="B26" s="628"/>
      <c r="C26" s="628"/>
      <c r="D26" s="1923" t="s">
        <v>612</v>
      </c>
      <c r="E26" s="1938"/>
      <c r="F26" s="1938"/>
      <c r="G26" s="1938"/>
      <c r="H26" s="1938"/>
      <c r="I26" s="1938"/>
      <c r="J26" s="1938"/>
      <c r="K26" s="1939"/>
      <c r="L26" s="1022">
        <f t="shared" ref="L26:Q26" si="9">SUM(L27+L29+L32+L34)</f>
        <v>2870941.93</v>
      </c>
      <c r="M26" s="1022">
        <f t="shared" si="9"/>
        <v>430641.29000000004</v>
      </c>
      <c r="N26" s="1022">
        <f t="shared" si="9"/>
        <v>0</v>
      </c>
      <c r="O26" s="1022">
        <f t="shared" si="9"/>
        <v>0</v>
      </c>
      <c r="P26" s="1022">
        <f t="shared" si="9"/>
        <v>0</v>
      </c>
      <c r="Q26" s="1022">
        <f t="shared" si="9"/>
        <v>2440300.64</v>
      </c>
      <c r="R26" s="1022"/>
      <c r="S26" s="115"/>
      <c r="T26" s="334"/>
      <c r="U26" s="334"/>
      <c r="V26" s="334"/>
      <c r="W26" s="336"/>
      <c r="X26" s="32">
        <f>SUM(X27+X29+X32+X34)</f>
        <v>2321465.56</v>
      </c>
      <c r="Y26" s="32">
        <f>SUM(Y27+Y29+Y32+Y34)</f>
        <v>2785758.6720000003</v>
      </c>
      <c r="Z26" s="32">
        <f>SUM(Z27+Z29+Z32+Z34)</f>
        <v>-90242.780000000028</v>
      </c>
    </row>
    <row r="27" spans="1:28" ht="31.5" customHeight="1" thickBot="1">
      <c r="A27" s="297" t="s">
        <v>88</v>
      </c>
      <c r="B27" s="624"/>
      <c r="C27" s="624"/>
      <c r="D27" s="1931" t="s">
        <v>613</v>
      </c>
      <c r="E27" s="1940"/>
      <c r="F27" s="1940"/>
      <c r="G27" s="1940"/>
      <c r="H27" s="1940"/>
      <c r="I27" s="1940"/>
      <c r="J27" s="1940"/>
      <c r="K27" s="1941"/>
      <c r="L27" s="1016">
        <f t="shared" ref="L27:Q27" si="10">SUM(L28:L28)</f>
        <v>406091</v>
      </c>
      <c r="M27" s="1016">
        <f t="shared" si="10"/>
        <v>60914</v>
      </c>
      <c r="N27" s="1016">
        <f t="shared" si="10"/>
        <v>0</v>
      </c>
      <c r="O27" s="1016">
        <f t="shared" si="10"/>
        <v>0</v>
      </c>
      <c r="P27" s="1016">
        <f t="shared" si="10"/>
        <v>0</v>
      </c>
      <c r="Q27" s="1016">
        <f t="shared" si="10"/>
        <v>345177</v>
      </c>
      <c r="R27" s="1016"/>
      <c r="S27" s="79"/>
      <c r="T27" s="299"/>
      <c r="U27" s="299"/>
      <c r="V27" s="299"/>
      <c r="W27" s="299"/>
      <c r="X27" s="33">
        <v>345177</v>
      </c>
      <c r="Y27" s="33">
        <f>SUM(X27*120/100)</f>
        <v>414212.4</v>
      </c>
      <c r="Z27" s="33">
        <f>SUM(X27-Q27)</f>
        <v>0</v>
      </c>
    </row>
    <row r="28" spans="1:28" ht="48.75" thickBot="1">
      <c r="A28" s="78" t="str">
        <f>CONCATENATE('3 pr-2'!A75)</f>
        <v>1.1.2.1.1</v>
      </c>
      <c r="B28" s="78" t="str">
        <f>CONCATENATE('3 pr-2'!B75)</f>
        <v>R01-5518-100000-1211</v>
      </c>
      <c r="C28" s="647" t="str">
        <f>CONCATENATE('3 pr-2'!C75)</f>
        <v/>
      </c>
      <c r="D28" s="78" t="s">
        <v>4199</v>
      </c>
      <c r="E28" s="78" t="s">
        <v>345</v>
      </c>
      <c r="F28" s="78" t="s">
        <v>115</v>
      </c>
      <c r="G28" s="78" t="s">
        <v>1800</v>
      </c>
      <c r="H28" s="228" t="s">
        <v>135</v>
      </c>
      <c r="I28" s="14" t="s">
        <v>119</v>
      </c>
      <c r="J28" s="14" t="s">
        <v>167</v>
      </c>
      <c r="K28" s="16" t="s">
        <v>66</v>
      </c>
      <c r="L28" s="632">
        <f>SUM(M28:Q28)</f>
        <v>406091</v>
      </c>
      <c r="M28" s="632">
        <v>60914</v>
      </c>
      <c r="N28" s="632" t="s">
        <v>66</v>
      </c>
      <c r="O28" s="632">
        <v>0</v>
      </c>
      <c r="P28" s="632">
        <v>0</v>
      </c>
      <c r="Q28" s="632">
        <v>345177</v>
      </c>
      <c r="R28" s="632"/>
      <c r="S28" s="830">
        <v>42877</v>
      </c>
      <c r="T28" s="155">
        <v>43465</v>
      </c>
      <c r="U28" s="155">
        <v>43646</v>
      </c>
      <c r="V28" s="155">
        <v>43738</v>
      </c>
      <c r="W28" s="155">
        <v>44377</v>
      </c>
      <c r="X28" s="30"/>
      <c r="Y28" s="30"/>
      <c r="Z28" s="50"/>
      <c r="AA28" s="48">
        <f>SUM(365/12)</f>
        <v>30.416666666666668</v>
      </c>
      <c r="AB28" s="48">
        <f>SUM(W28-V28)/AA28</f>
        <v>21.008219178082189</v>
      </c>
    </row>
    <row r="29" spans="1:28" ht="30" customHeight="1" thickBot="1">
      <c r="A29" s="297" t="s">
        <v>90</v>
      </c>
      <c r="B29" s="624"/>
      <c r="C29" s="624"/>
      <c r="D29" s="1931" t="s">
        <v>614</v>
      </c>
      <c r="E29" s="1940"/>
      <c r="F29" s="1940"/>
      <c r="G29" s="1940"/>
      <c r="H29" s="1940"/>
      <c r="I29" s="1940"/>
      <c r="J29" s="1940"/>
      <c r="K29" s="1941"/>
      <c r="L29" s="299">
        <f t="shared" ref="L29:Q29" si="11">SUM(L30:L31)</f>
        <v>1177107</v>
      </c>
      <c r="M29" s="299">
        <f t="shared" si="11"/>
        <v>176565.7</v>
      </c>
      <c r="N29" s="299">
        <f t="shared" si="11"/>
        <v>0</v>
      </c>
      <c r="O29" s="299">
        <f t="shared" si="11"/>
        <v>0</v>
      </c>
      <c r="P29" s="299">
        <f t="shared" si="11"/>
        <v>0</v>
      </c>
      <c r="Q29" s="299">
        <f t="shared" si="11"/>
        <v>1000541.3</v>
      </c>
      <c r="R29" s="299"/>
      <c r="S29" s="79"/>
      <c r="T29" s="299"/>
      <c r="U29" s="299"/>
      <c r="V29" s="299"/>
      <c r="W29" s="299"/>
      <c r="X29" s="33">
        <v>864432</v>
      </c>
      <c r="Y29" s="33">
        <f>SUM(X29*120/100)</f>
        <v>1037318.4</v>
      </c>
      <c r="Z29" s="34">
        <f>SUM(X29-(Q29-Q31))</f>
        <v>-107517</v>
      </c>
    </row>
    <row r="30" spans="1:28" ht="48.75" thickBot="1">
      <c r="A30" s="135" t="str">
        <f>CONCATENATE('3 pr-2'!A80)</f>
        <v>1.1.2.2.1</v>
      </c>
      <c r="B30" s="135" t="str">
        <f>CONCATENATE('3 pr-2'!B80)</f>
        <v>R01-5514-190000-1221</v>
      </c>
      <c r="C30" s="648" t="str">
        <f>CONCATENATE('3 pr-2'!C80)</f>
        <v/>
      </c>
      <c r="D30" s="78" t="s">
        <v>386</v>
      </c>
      <c r="E30" s="78" t="s">
        <v>345</v>
      </c>
      <c r="F30" s="78" t="s">
        <v>115</v>
      </c>
      <c r="G30" s="78" t="s">
        <v>1800</v>
      </c>
      <c r="H30" s="228" t="s">
        <v>147</v>
      </c>
      <c r="I30" s="14" t="s">
        <v>119</v>
      </c>
      <c r="J30" s="14" t="s">
        <v>167</v>
      </c>
      <c r="K30" s="14" t="s">
        <v>66</v>
      </c>
      <c r="L30" s="632">
        <f>SUM(M30:Q30)</f>
        <v>1143469</v>
      </c>
      <c r="M30" s="632">
        <v>171520</v>
      </c>
      <c r="N30" s="632">
        <v>0</v>
      </c>
      <c r="O30" s="632">
        <v>0</v>
      </c>
      <c r="P30" s="632">
        <v>0</v>
      </c>
      <c r="Q30" s="632">
        <v>971949</v>
      </c>
      <c r="R30" s="632"/>
      <c r="S30" s="423">
        <v>43130</v>
      </c>
      <c r="T30" s="424">
        <v>43388</v>
      </c>
      <c r="U30" s="424">
        <v>43616</v>
      </c>
      <c r="V30" s="424">
        <v>43738</v>
      </c>
      <c r="W30" s="424">
        <v>44346</v>
      </c>
      <c r="X30" s="30"/>
      <c r="Y30" s="30"/>
      <c r="Z30" s="30"/>
    </row>
    <row r="31" spans="1:28" ht="48.75" thickBot="1">
      <c r="A31" s="135" t="str">
        <f>CONCATENATE('3 pr-2'!A81)</f>
        <v>1.1.2.2.2</v>
      </c>
      <c r="B31" s="135" t="str">
        <f>CONCATENATE('3 pr-2'!B81)</f>
        <v>R01-5514-190000-1222</v>
      </c>
      <c r="C31" s="648" t="str">
        <f>CONCATENATE('3 pr-2'!C81)</f>
        <v>04.5.1-TID-V-513-01-0015</v>
      </c>
      <c r="D31" s="78" t="s">
        <v>632</v>
      </c>
      <c r="E31" s="78" t="s">
        <v>345</v>
      </c>
      <c r="F31" s="78" t="s">
        <v>115</v>
      </c>
      <c r="G31" s="78" t="s">
        <v>1800</v>
      </c>
      <c r="H31" s="228" t="s">
        <v>269</v>
      </c>
      <c r="I31" s="14" t="s">
        <v>162</v>
      </c>
      <c r="J31" s="14" t="s">
        <v>167</v>
      </c>
      <c r="K31" s="14" t="s">
        <v>66</v>
      </c>
      <c r="L31" s="632">
        <f>SUM(M31:Q31)</f>
        <v>33638</v>
      </c>
      <c r="M31" s="632">
        <v>5045.7</v>
      </c>
      <c r="N31" s="632">
        <v>0</v>
      </c>
      <c r="O31" s="632">
        <v>0</v>
      </c>
      <c r="P31" s="632">
        <v>0</v>
      </c>
      <c r="Q31" s="632">
        <v>28592.3</v>
      </c>
      <c r="R31" s="632"/>
      <c r="S31" s="323">
        <v>42643</v>
      </c>
      <c r="T31" s="424">
        <v>42674</v>
      </c>
      <c r="U31" s="424">
        <v>42855</v>
      </c>
      <c r="V31" s="424">
        <v>42947</v>
      </c>
      <c r="W31" s="424">
        <v>43464</v>
      </c>
      <c r="X31" s="39"/>
      <c r="Y31" s="39"/>
      <c r="Z31" s="39"/>
    </row>
    <row r="32" spans="1:28" ht="27.75" customHeight="1" thickBot="1">
      <c r="A32" s="297" t="s">
        <v>92</v>
      </c>
      <c r="B32" s="624"/>
      <c r="C32" s="624"/>
      <c r="D32" s="1931" t="s">
        <v>615</v>
      </c>
      <c r="E32" s="1940"/>
      <c r="F32" s="1940"/>
      <c r="G32" s="1940"/>
      <c r="H32" s="1940"/>
      <c r="I32" s="1940"/>
      <c r="J32" s="1940"/>
      <c r="K32" s="1941"/>
      <c r="L32" s="1016">
        <f>SUM(L33:L33)</f>
        <v>133670.07</v>
      </c>
      <c r="M32" s="1016">
        <f>SUM(M33)</f>
        <v>20050.509999999998</v>
      </c>
      <c r="N32" s="1016">
        <f>SUM(N33:N33)</f>
        <v>0</v>
      </c>
      <c r="O32" s="1016">
        <f>SUM(O33:O33)</f>
        <v>0</v>
      </c>
      <c r="P32" s="1016">
        <f>SUM(P33:P33)</f>
        <v>0</v>
      </c>
      <c r="Q32" s="1016">
        <f>SUM(Q33:Q33)</f>
        <v>113619.56</v>
      </c>
      <c r="R32" s="1016"/>
      <c r="S32" s="79"/>
      <c r="T32" s="299"/>
      <c r="U32" s="299"/>
      <c r="V32" s="299"/>
      <c r="W32" s="299"/>
      <c r="X32" s="33">
        <v>113619.56</v>
      </c>
      <c r="Y32" s="33">
        <f>SUM(X32*120/100)</f>
        <v>136343.47199999998</v>
      </c>
      <c r="Z32" s="33">
        <f>SUM(X32-Q32)</f>
        <v>0</v>
      </c>
    </row>
    <row r="33" spans="1:26" ht="48.75" thickBot="1">
      <c r="A33" s="78" t="str">
        <f>CONCATENATE('3 pr-2'!A88)</f>
        <v>1.1.2.3.2</v>
      </c>
      <c r="B33" s="78" t="str">
        <f>CONCATENATE('3 pr-2'!B88)</f>
        <v>R01-5516-190000-1232</v>
      </c>
      <c r="C33" s="647" t="str">
        <f>CONCATENATE('3 pr-2'!C88)</f>
        <v>04.5.1-TID-R-516-11-0001</v>
      </c>
      <c r="D33" s="78" t="s">
        <v>633</v>
      </c>
      <c r="E33" s="78" t="s">
        <v>345</v>
      </c>
      <c r="F33" s="78" t="s">
        <v>115</v>
      </c>
      <c r="G33" s="78" t="s">
        <v>1800</v>
      </c>
      <c r="H33" s="228" t="s">
        <v>148</v>
      </c>
      <c r="I33" s="14" t="s">
        <v>119</v>
      </c>
      <c r="J33" s="14" t="s">
        <v>167</v>
      </c>
      <c r="K33" s="16" t="s">
        <v>66</v>
      </c>
      <c r="L33" s="1018">
        <f>SUM(M33:Q33)</f>
        <v>133670.07</v>
      </c>
      <c r="M33" s="1018">
        <v>20050.509999999998</v>
      </c>
      <c r="N33" s="1018">
        <v>0</v>
      </c>
      <c r="O33" s="1018">
        <v>0</v>
      </c>
      <c r="P33" s="1018">
        <v>0</v>
      </c>
      <c r="Q33" s="1018">
        <v>113619.56</v>
      </c>
      <c r="R33" s="1018"/>
      <c r="S33" s="323">
        <v>42660</v>
      </c>
      <c r="T33" s="323">
        <v>42643</v>
      </c>
      <c r="U33" s="323">
        <v>42916</v>
      </c>
      <c r="V33" s="323">
        <v>42978</v>
      </c>
      <c r="W33" s="323">
        <v>43465</v>
      </c>
      <c r="X33" s="30"/>
      <c r="Y33" s="30"/>
      <c r="Z33" s="50"/>
    </row>
    <row r="34" spans="1:26" ht="29.25" customHeight="1" thickBot="1">
      <c r="A34" s="297" t="s">
        <v>94</v>
      </c>
      <c r="B34" s="624"/>
      <c r="C34" s="624"/>
      <c r="D34" s="1931" t="s">
        <v>616</v>
      </c>
      <c r="E34" s="1940"/>
      <c r="F34" s="1940"/>
      <c r="G34" s="1940"/>
      <c r="H34" s="1940"/>
      <c r="I34" s="1940"/>
      <c r="J34" s="1940"/>
      <c r="K34" s="1941"/>
      <c r="L34" s="299">
        <f t="shared" ref="L34:Q34" si="12">SUM(L35:L36)</f>
        <v>1154073.8600000001</v>
      </c>
      <c r="M34" s="299">
        <f t="shared" si="12"/>
        <v>173111.08</v>
      </c>
      <c r="N34" s="299">
        <f t="shared" si="12"/>
        <v>0</v>
      </c>
      <c r="O34" s="299">
        <f t="shared" si="12"/>
        <v>0</v>
      </c>
      <c r="P34" s="299">
        <f t="shared" si="12"/>
        <v>0</v>
      </c>
      <c r="Q34" s="299">
        <f t="shared" si="12"/>
        <v>980962.78</v>
      </c>
      <c r="R34" s="299"/>
      <c r="S34" s="79"/>
      <c r="T34" s="299"/>
      <c r="U34" s="299"/>
      <c r="V34" s="299"/>
      <c r="W34" s="299"/>
      <c r="X34" s="33">
        <v>998237</v>
      </c>
      <c r="Y34" s="33">
        <f>SUM(X34*120/100)</f>
        <v>1197884.3999999999</v>
      </c>
      <c r="Z34" s="33">
        <f>SUM(X34-Q34)</f>
        <v>17274.219999999972</v>
      </c>
    </row>
    <row r="35" spans="1:26" ht="48.75" customHeight="1" thickBot="1">
      <c r="A35" s="78" t="str">
        <f>CONCATENATE('3 pr-2'!A94)</f>
        <v>1.1.2.4.2</v>
      </c>
      <c r="B35" s="78" t="str">
        <f>CONCATENATE('3 pr-2'!B94)</f>
        <v>R01-5511-110000-1242</v>
      </c>
      <c r="C35" s="647" t="str">
        <f>CONCATENATE('3 pr-2'!C94)</f>
        <v>06.2.1-TID-R-511-11-0001</v>
      </c>
      <c r="D35" s="78" t="s">
        <v>2152</v>
      </c>
      <c r="E35" s="78" t="s">
        <v>345</v>
      </c>
      <c r="F35" s="78" t="s">
        <v>115</v>
      </c>
      <c r="G35" s="78" t="s">
        <v>1800</v>
      </c>
      <c r="H35" s="228" t="s">
        <v>141</v>
      </c>
      <c r="I35" s="14" t="s">
        <v>119</v>
      </c>
      <c r="J35" s="14" t="s">
        <v>167</v>
      </c>
      <c r="K35" s="16" t="s">
        <v>66</v>
      </c>
      <c r="L35" s="1638">
        <f>SUM(M35:Q35)</f>
        <v>879927.06</v>
      </c>
      <c r="M35" s="1638">
        <f>'ketv. 7 '!R92</f>
        <v>131989.06</v>
      </c>
      <c r="N35" s="632">
        <v>0</v>
      </c>
      <c r="O35" s="632">
        <v>0</v>
      </c>
      <c r="P35" s="632">
        <v>0</v>
      </c>
      <c r="Q35" s="632">
        <v>747938</v>
      </c>
      <c r="R35" s="16"/>
      <c r="S35" s="323">
        <v>42639</v>
      </c>
      <c r="T35" s="323">
        <v>42732</v>
      </c>
      <c r="U35" s="323">
        <v>42855</v>
      </c>
      <c r="V35" s="323">
        <v>42931</v>
      </c>
      <c r="W35" s="323">
        <v>43465</v>
      </c>
      <c r="X35" s="30"/>
      <c r="Y35" s="30"/>
      <c r="Z35" s="50"/>
    </row>
    <row r="36" spans="1:26" ht="48.75" thickBot="1">
      <c r="A36" s="78" t="str">
        <f>CONCATENATE('3 pr-2'!A95)</f>
        <v>1.1.2.4.3.</v>
      </c>
      <c r="B36" s="78" t="str">
        <f>CONCATENATE('3 pr-2'!B95)</f>
        <v>R01-5511-500000-1243</v>
      </c>
      <c r="C36" s="647" t="str">
        <f>CONCATENATE('3 pr-2'!C95)</f>
        <v>06.2.1-TID-R-511-11-0008</v>
      </c>
      <c r="D36" s="78" t="s">
        <v>3421</v>
      </c>
      <c r="E36" s="78" t="s">
        <v>345</v>
      </c>
      <c r="F36" s="78" t="s">
        <v>115</v>
      </c>
      <c r="G36" s="78" t="s">
        <v>1800</v>
      </c>
      <c r="H36" s="228" t="s">
        <v>141</v>
      </c>
      <c r="I36" s="14" t="s">
        <v>119</v>
      </c>
      <c r="J36" s="16" t="s">
        <v>66</v>
      </c>
      <c r="K36" s="16" t="s">
        <v>66</v>
      </c>
      <c r="L36" s="632">
        <f>SUM(M36:Q36)</f>
        <v>274146.8</v>
      </c>
      <c r="M36" s="632">
        <v>41122.019999999997</v>
      </c>
      <c r="N36" s="632">
        <v>0</v>
      </c>
      <c r="O36" s="632">
        <v>0</v>
      </c>
      <c r="P36" s="632">
        <v>0</v>
      </c>
      <c r="Q36" s="632">
        <v>233024.78</v>
      </c>
      <c r="R36" s="16"/>
      <c r="S36" s="423">
        <v>42639</v>
      </c>
      <c r="T36" s="323">
        <v>42732</v>
      </c>
      <c r="U36" s="323">
        <v>43342</v>
      </c>
      <c r="V36" s="323">
        <v>43419</v>
      </c>
      <c r="W36" s="323">
        <v>43829</v>
      </c>
      <c r="X36" s="30"/>
      <c r="Y36" s="30"/>
      <c r="Z36" s="50"/>
    </row>
    <row r="37" spans="1:26" ht="41.25" customHeight="1" thickBot="1">
      <c r="A37" s="141" t="s">
        <v>27</v>
      </c>
      <c r="B37" s="629"/>
      <c r="C37" s="629"/>
      <c r="D37" s="1943" t="s">
        <v>617</v>
      </c>
      <c r="E37" s="1944"/>
      <c r="F37" s="1944"/>
      <c r="G37" s="1944"/>
      <c r="H37" s="1944"/>
      <c r="I37" s="1944"/>
      <c r="J37" s="1944"/>
      <c r="K37" s="1945"/>
      <c r="L37" s="1031">
        <f t="shared" ref="L37:Q37" si="13">SUM(L38+L45+L60+L65)</f>
        <v>3996009.35</v>
      </c>
      <c r="M37" s="1031">
        <f t="shared" si="13"/>
        <v>627363.75</v>
      </c>
      <c r="N37" s="1031">
        <f t="shared" si="13"/>
        <v>126784.67</v>
      </c>
      <c r="O37" s="1031">
        <f t="shared" si="13"/>
        <v>9515.98</v>
      </c>
      <c r="P37" s="1031">
        <f t="shared" si="13"/>
        <v>0</v>
      </c>
      <c r="Q37" s="1031">
        <f t="shared" si="13"/>
        <v>3232344.95</v>
      </c>
      <c r="R37" s="1031"/>
      <c r="S37" s="136"/>
      <c r="T37" s="142"/>
      <c r="U37" s="142"/>
      <c r="V37" s="142"/>
      <c r="W37" s="150"/>
      <c r="X37" s="31">
        <f>SUM(X38+X45+X60+X65)</f>
        <v>3269394.4765073806</v>
      </c>
      <c r="Y37" s="31">
        <f>SUM(Y38+Y45+Y60+Y65)</f>
        <v>3923273.3718088567</v>
      </c>
      <c r="Z37" s="31">
        <f>SUM(Z38+Z45+Z60+Z65)</f>
        <v>51534.616507380328</v>
      </c>
    </row>
    <row r="38" spans="1:26" ht="48.75" customHeight="1" thickBot="1">
      <c r="A38" s="134" t="s">
        <v>28</v>
      </c>
      <c r="B38" s="628"/>
      <c r="C38" s="628"/>
      <c r="D38" s="1933" t="s">
        <v>618</v>
      </c>
      <c r="E38" s="1946"/>
      <c r="F38" s="1946"/>
      <c r="G38" s="1946"/>
      <c r="H38" s="1946"/>
      <c r="I38" s="1946"/>
      <c r="J38" s="1946"/>
      <c r="K38" s="1947"/>
      <c r="L38" s="1022">
        <f t="shared" ref="L38:Q38" si="14">SUM(L39+L41+L43)</f>
        <v>1236385</v>
      </c>
      <c r="M38" s="1022">
        <f t="shared" si="14"/>
        <v>122533</v>
      </c>
      <c r="N38" s="1022">
        <f t="shared" si="14"/>
        <v>62926</v>
      </c>
      <c r="O38" s="1022">
        <f t="shared" si="14"/>
        <v>0</v>
      </c>
      <c r="P38" s="1022">
        <f t="shared" si="14"/>
        <v>0</v>
      </c>
      <c r="Q38" s="1022">
        <f t="shared" si="14"/>
        <v>1050926</v>
      </c>
      <c r="R38" s="1022"/>
      <c r="S38" s="115"/>
      <c r="T38" s="116"/>
      <c r="U38" s="116"/>
      <c r="V38" s="116"/>
      <c r="W38" s="151"/>
      <c r="X38" s="32">
        <f>SUM(X39+X41+X43)</f>
        <v>1076765.1324731898</v>
      </c>
      <c r="Y38" s="32">
        <f>SUM(Y39+Y41+Y43)</f>
        <v>1292118.1589678279</v>
      </c>
      <c r="Z38" s="32">
        <f>SUM(Z39+Z41+Z43)</f>
        <v>25839.132473189879</v>
      </c>
    </row>
    <row r="39" spans="1:26" ht="39.75" customHeight="1" thickBot="1">
      <c r="A39" s="297" t="s">
        <v>96</v>
      </c>
      <c r="B39" s="624"/>
      <c r="C39" s="624"/>
      <c r="D39" s="1931" t="s">
        <v>619</v>
      </c>
      <c r="E39" s="1940"/>
      <c r="F39" s="1940"/>
      <c r="G39" s="1940"/>
      <c r="H39" s="1940"/>
      <c r="I39" s="1940"/>
      <c r="J39" s="1940"/>
      <c r="K39" s="1941"/>
      <c r="L39" s="1016">
        <f t="shared" ref="L39:Q39" si="15">SUM(L40:L40)</f>
        <v>657021</v>
      </c>
      <c r="M39" s="1016">
        <f t="shared" si="15"/>
        <v>49277</v>
      </c>
      <c r="N39" s="1016">
        <f t="shared" si="15"/>
        <v>49277</v>
      </c>
      <c r="O39" s="1016">
        <f t="shared" si="15"/>
        <v>0</v>
      </c>
      <c r="P39" s="1016">
        <f t="shared" si="15"/>
        <v>0</v>
      </c>
      <c r="Q39" s="1016">
        <f t="shared" si="15"/>
        <v>558467</v>
      </c>
      <c r="R39" s="1016"/>
      <c r="S39" s="79"/>
      <c r="T39" s="299"/>
      <c r="U39" s="299"/>
      <c r="V39" s="299"/>
      <c r="W39" s="299"/>
      <c r="X39" s="33">
        <v>558467</v>
      </c>
      <c r="Y39" s="33">
        <f>SUM(X39*120/100)</f>
        <v>670160.4</v>
      </c>
      <c r="Z39" s="33">
        <f>SUM(X39-Q39)</f>
        <v>0</v>
      </c>
    </row>
    <row r="40" spans="1:26" ht="48.75" thickBot="1">
      <c r="A40" s="78" t="str">
        <f>CONCATENATE('3 pr-2'!A105)</f>
        <v>2.1.1.1.3</v>
      </c>
      <c r="B40" s="78" t="str">
        <f>CONCATENATE('3 pr-2'!B105)</f>
        <v>R01-7724-220000-2113</v>
      </c>
      <c r="C40" s="647" t="str">
        <f>CONCATENATE('3 pr-2'!C105)</f>
        <v>09.1.3-CPVA-R-724-11-0002</v>
      </c>
      <c r="D40" s="78" t="s">
        <v>634</v>
      </c>
      <c r="E40" s="78" t="s">
        <v>345</v>
      </c>
      <c r="F40" s="78" t="s">
        <v>97</v>
      </c>
      <c r="G40" s="78" t="s">
        <v>1800</v>
      </c>
      <c r="H40" s="228" t="s">
        <v>136</v>
      </c>
      <c r="I40" s="14" t="s">
        <v>119</v>
      </c>
      <c r="J40" s="14" t="s">
        <v>66</v>
      </c>
      <c r="K40" s="16" t="s">
        <v>66</v>
      </c>
      <c r="L40" s="632">
        <f>SUM(M40:Q40)</f>
        <v>657021</v>
      </c>
      <c r="M40" s="632">
        <v>49277</v>
      </c>
      <c r="N40" s="632">
        <v>49277</v>
      </c>
      <c r="O40" s="632">
        <v>0</v>
      </c>
      <c r="P40" s="632">
        <v>0</v>
      </c>
      <c r="Q40" s="632">
        <v>558467</v>
      </c>
      <c r="R40" s="632"/>
      <c r="S40" s="423">
        <v>42877</v>
      </c>
      <c r="T40" s="323">
        <v>42947</v>
      </c>
      <c r="U40" s="323">
        <v>42992</v>
      </c>
      <c r="V40" s="323">
        <v>43139</v>
      </c>
      <c r="W40" s="655">
        <v>43830</v>
      </c>
      <c r="X40" s="30"/>
      <c r="Y40" s="30"/>
      <c r="Z40" s="30"/>
    </row>
    <row r="41" spans="1:26" ht="29.25" customHeight="1" thickBot="1">
      <c r="A41" s="297" t="s">
        <v>99</v>
      </c>
      <c r="B41" s="624"/>
      <c r="C41" s="624"/>
      <c r="D41" s="1931" t="s">
        <v>620</v>
      </c>
      <c r="E41" s="1940"/>
      <c r="F41" s="1940"/>
      <c r="G41" s="1940"/>
      <c r="H41" s="1940"/>
      <c r="I41" s="1940"/>
      <c r="J41" s="1940"/>
      <c r="K41" s="1941"/>
      <c r="L41" s="1016">
        <f t="shared" ref="L41:Q41" si="16">SUM(L42:L42)</f>
        <v>397378</v>
      </c>
      <c r="M41" s="1016">
        <f t="shared" si="16"/>
        <v>59607</v>
      </c>
      <c r="N41" s="1016">
        <f t="shared" si="16"/>
        <v>0</v>
      </c>
      <c r="O41" s="1016">
        <f t="shared" si="16"/>
        <v>0</v>
      </c>
      <c r="P41" s="1016">
        <f t="shared" si="16"/>
        <v>0</v>
      </c>
      <c r="Q41" s="1016">
        <f t="shared" si="16"/>
        <v>337771</v>
      </c>
      <c r="R41" s="1016"/>
      <c r="S41" s="79"/>
      <c r="T41" s="299"/>
      <c r="U41" s="299"/>
      <c r="V41" s="299"/>
      <c r="W41" s="299"/>
      <c r="X41" s="33">
        <v>337771</v>
      </c>
      <c r="Y41" s="33">
        <f>SUM(X41*120/100)</f>
        <v>405325.2</v>
      </c>
      <c r="Z41" s="33">
        <f>SUM(X41-Q41)</f>
        <v>0</v>
      </c>
    </row>
    <row r="42" spans="1:26" ht="48.75" thickBot="1">
      <c r="A42" s="78" t="str">
        <f>CONCATENATE('3 pr-2'!A111)</f>
        <v>2.1.1.2.3</v>
      </c>
      <c r="B42" s="78" t="str">
        <f>CONCATENATE('3 pr-2'!B111)</f>
        <v>R01-7725-240000-2123</v>
      </c>
      <c r="C42" s="647" t="str">
        <f>CONCATENATE('3 pr-2'!C111)</f>
        <v>09.1.3-CPVA-R-725-11-0004</v>
      </c>
      <c r="D42" s="78" t="s">
        <v>215</v>
      </c>
      <c r="E42" s="78" t="s">
        <v>345</v>
      </c>
      <c r="F42" s="78" t="s">
        <v>97</v>
      </c>
      <c r="G42" s="78" t="s">
        <v>1800</v>
      </c>
      <c r="H42" s="228" t="s">
        <v>139</v>
      </c>
      <c r="I42" s="14" t="s">
        <v>119</v>
      </c>
      <c r="J42" s="14" t="s">
        <v>66</v>
      </c>
      <c r="K42" s="16" t="s">
        <v>66</v>
      </c>
      <c r="L42" s="632">
        <f>SUM(M42:Q42)</f>
        <v>397378</v>
      </c>
      <c r="M42" s="632">
        <v>59607</v>
      </c>
      <c r="N42" s="632">
        <v>0</v>
      </c>
      <c r="O42" s="632">
        <v>0</v>
      </c>
      <c r="P42" s="632">
        <v>0</v>
      </c>
      <c r="Q42" s="632">
        <v>337771</v>
      </c>
      <c r="R42" s="632"/>
      <c r="S42" s="423">
        <v>42870</v>
      </c>
      <c r="T42" s="323">
        <v>42916</v>
      </c>
      <c r="U42" s="323">
        <v>43007</v>
      </c>
      <c r="V42" s="323">
        <v>43119</v>
      </c>
      <c r="W42" s="655">
        <v>43830</v>
      </c>
      <c r="X42" s="30"/>
      <c r="Y42" s="30"/>
      <c r="Z42" s="30"/>
    </row>
    <row r="43" spans="1:26" ht="34.5" customHeight="1" thickBot="1">
      <c r="A43" s="297" t="s">
        <v>101</v>
      </c>
      <c r="B43" s="624"/>
      <c r="C43" s="624"/>
      <c r="D43" s="1931" t="s">
        <v>1384</v>
      </c>
      <c r="E43" s="1940"/>
      <c r="F43" s="1940"/>
      <c r="G43" s="1940"/>
      <c r="H43" s="1940"/>
      <c r="I43" s="1940"/>
      <c r="J43" s="1940"/>
      <c r="K43" s="1941"/>
      <c r="L43" s="1016">
        <f t="shared" ref="L43:Q43" si="17">SUM(L44:L44)</f>
        <v>181986</v>
      </c>
      <c r="M43" s="1016">
        <f t="shared" si="17"/>
        <v>13649</v>
      </c>
      <c r="N43" s="1016">
        <f t="shared" si="17"/>
        <v>13649</v>
      </c>
      <c r="O43" s="1016">
        <f t="shared" si="17"/>
        <v>0</v>
      </c>
      <c r="P43" s="1016">
        <f t="shared" si="17"/>
        <v>0</v>
      </c>
      <c r="Q43" s="1016">
        <f t="shared" si="17"/>
        <v>154688</v>
      </c>
      <c r="R43" s="1016"/>
      <c r="S43" s="79"/>
      <c r="T43" s="299"/>
      <c r="U43" s="299"/>
      <c r="V43" s="299"/>
      <c r="W43" s="299"/>
      <c r="X43" s="33">
        <v>180527.13247318988</v>
      </c>
      <c r="Y43" s="33">
        <f>SUM(X43*120/100)</f>
        <v>216632.55896782785</v>
      </c>
      <c r="Z43" s="33">
        <f>SUM(X43-Q43)</f>
        <v>25839.132473189879</v>
      </c>
    </row>
    <row r="44" spans="1:26" ht="48.75" thickBot="1">
      <c r="A44" s="78" t="str">
        <f>CONCATENATE('3 pr-2'!A117)</f>
        <v>2.1.1.3.3</v>
      </c>
      <c r="B44" s="78" t="str">
        <f>CONCATENATE('3 pr-2'!B117)</f>
        <v>R01-7705-230000-2133</v>
      </c>
      <c r="C44" s="647" t="str">
        <f>CONCATENATE('3 pr-2'!C117)</f>
        <v>09.1.3-CPVA-R-705-11-0001</v>
      </c>
      <c r="D44" s="78" t="s">
        <v>2435</v>
      </c>
      <c r="E44" s="78" t="s">
        <v>345</v>
      </c>
      <c r="F44" s="78" t="s">
        <v>97</v>
      </c>
      <c r="G44" s="78" t="s">
        <v>1800</v>
      </c>
      <c r="H44" s="228" t="s">
        <v>140</v>
      </c>
      <c r="I44" s="14" t="s">
        <v>119</v>
      </c>
      <c r="J44" s="14" t="s">
        <v>66</v>
      </c>
      <c r="K44" s="16" t="s">
        <v>66</v>
      </c>
      <c r="L44" s="632">
        <f>SUM(M44:Q44)</f>
        <v>181986</v>
      </c>
      <c r="M44" s="632">
        <v>13649</v>
      </c>
      <c r="N44" s="632">
        <v>13649</v>
      </c>
      <c r="O44" s="632">
        <v>0</v>
      </c>
      <c r="P44" s="632">
        <v>0</v>
      </c>
      <c r="Q44" s="632">
        <v>154688</v>
      </c>
      <c r="R44" s="632"/>
      <c r="S44" s="423">
        <v>42966</v>
      </c>
      <c r="T44" s="323">
        <v>43039</v>
      </c>
      <c r="U44" s="323">
        <v>43080</v>
      </c>
      <c r="V44" s="323">
        <v>43164</v>
      </c>
      <c r="W44" s="431">
        <v>43739.5</v>
      </c>
      <c r="X44" s="30"/>
      <c r="Y44" s="30"/>
      <c r="Z44" s="30"/>
    </row>
    <row r="45" spans="1:26" ht="60.75" customHeight="1" thickBot="1">
      <c r="A45" s="134" t="s">
        <v>32</v>
      </c>
      <c r="B45" s="628"/>
      <c r="C45" s="628"/>
      <c r="D45" s="1933" t="s">
        <v>621</v>
      </c>
      <c r="E45" s="1934"/>
      <c r="F45" s="1934"/>
      <c r="G45" s="1934"/>
      <c r="H45" s="1934"/>
      <c r="I45" s="1934"/>
      <c r="J45" s="1934"/>
      <c r="K45" s="1935"/>
      <c r="L45" s="1022">
        <f>SUM(L46+L51+L58)</f>
        <v>851457.21000000008</v>
      </c>
      <c r="M45" s="1022">
        <f t="shared" ref="M45:Q45" si="18">SUM(M46+M51+M58)</f>
        <v>54343.789999999994</v>
      </c>
      <c r="N45" s="1022">
        <f t="shared" si="18"/>
        <v>63858.67</v>
      </c>
      <c r="O45" s="1022">
        <f t="shared" si="18"/>
        <v>9515.98</v>
      </c>
      <c r="P45" s="1022">
        <f t="shared" si="18"/>
        <v>0</v>
      </c>
      <c r="Q45" s="1022">
        <f t="shared" si="18"/>
        <v>723738.7699999999</v>
      </c>
      <c r="R45" s="1022"/>
      <c r="S45" s="115"/>
      <c r="T45" s="116"/>
      <c r="U45" s="116"/>
      <c r="V45" s="116"/>
      <c r="W45" s="151"/>
      <c r="X45" s="32">
        <f>SUM(X46+X51)</f>
        <v>718684</v>
      </c>
      <c r="Y45" s="32">
        <f>SUM(Y46+Y51)</f>
        <v>862420.8</v>
      </c>
      <c r="Z45" s="32">
        <f>SUM(Z46+Z51)</f>
        <v>9430.3200000000361</v>
      </c>
    </row>
    <row r="46" spans="1:26" ht="28.5" customHeight="1" thickBot="1">
      <c r="A46" s="297" t="s">
        <v>33</v>
      </c>
      <c r="B46" s="624"/>
      <c r="C46" s="624"/>
      <c r="D46" s="1931" t="s">
        <v>622</v>
      </c>
      <c r="E46" s="1940"/>
      <c r="F46" s="1940"/>
      <c r="G46" s="1940"/>
      <c r="H46" s="1940"/>
      <c r="I46" s="1940"/>
      <c r="J46" s="1940"/>
      <c r="K46" s="1941"/>
      <c r="L46" s="1016">
        <f t="shared" ref="L46:P46" si="19">SUM(L47:L50)</f>
        <v>635420.03</v>
      </c>
      <c r="M46" s="1016">
        <f t="shared" si="19"/>
        <v>38141</v>
      </c>
      <c r="N46" s="1016">
        <f t="shared" si="19"/>
        <v>47655.97</v>
      </c>
      <c r="O46" s="1016">
        <f t="shared" si="19"/>
        <v>9515.98</v>
      </c>
      <c r="P46" s="1016">
        <f t="shared" si="19"/>
        <v>0</v>
      </c>
      <c r="Q46" s="1016">
        <f>SUM(Q47:Q50)</f>
        <v>540107.07999999996</v>
      </c>
      <c r="R46" s="1016"/>
      <c r="S46" s="79"/>
      <c r="T46" s="299"/>
      <c r="U46" s="299"/>
      <c r="V46" s="299"/>
      <c r="W46" s="299"/>
      <c r="X46" s="33">
        <v>540684</v>
      </c>
      <c r="Y46" s="33">
        <f>SUM(X46*120/100)</f>
        <v>648820.80000000005</v>
      </c>
      <c r="Z46" s="33">
        <f>SUM(X46-Q46)</f>
        <v>576.92000000004191</v>
      </c>
    </row>
    <row r="47" spans="1:26" ht="48.75" thickBot="1">
      <c r="A47" s="78" t="str">
        <f>CONCATENATE('3 pr-2'!A122)</f>
        <v>2.1.2.1.1</v>
      </c>
      <c r="B47" s="78" t="str">
        <f>CONCATENATE('3 pr-2'!B122)</f>
        <v>R01-6609-274710-2211</v>
      </c>
      <c r="C47" s="647" t="str">
        <f>CONCATENATE('3 pr-2'!C125)</f>
        <v>08.1.3-CPVA-R-609-11-0005</v>
      </c>
      <c r="D47" s="78" t="s">
        <v>3435</v>
      </c>
      <c r="E47" s="78" t="s">
        <v>1415</v>
      </c>
      <c r="F47" s="78" t="s">
        <v>103</v>
      </c>
      <c r="G47" s="78" t="s">
        <v>1800</v>
      </c>
      <c r="H47" s="228" t="s">
        <v>153</v>
      </c>
      <c r="I47" s="14" t="s">
        <v>119</v>
      </c>
      <c r="J47" s="14" t="s">
        <v>66</v>
      </c>
      <c r="K47" s="16" t="s">
        <v>66</v>
      </c>
      <c r="L47" s="632">
        <f>SUM(M47:Q47)</f>
        <v>458183</v>
      </c>
      <c r="M47" s="632">
        <v>34364</v>
      </c>
      <c r="N47" s="632">
        <v>34363</v>
      </c>
      <c r="O47" s="632">
        <v>0</v>
      </c>
      <c r="P47" s="632">
        <v>0</v>
      </c>
      <c r="Q47" s="632">
        <v>389456</v>
      </c>
      <c r="R47" s="632"/>
      <c r="S47" s="423">
        <v>43250</v>
      </c>
      <c r="T47" s="323">
        <v>43312</v>
      </c>
      <c r="U47" s="323">
        <v>43363</v>
      </c>
      <c r="V47" s="323">
        <v>43464</v>
      </c>
      <c r="W47" s="655">
        <v>44367</v>
      </c>
      <c r="X47" s="30"/>
      <c r="Y47" s="30"/>
      <c r="Z47" s="30"/>
    </row>
    <row r="48" spans="1:26" ht="48.75" thickBot="1">
      <c r="A48" s="78" t="str">
        <f>CONCATENATE('3 pr-2'!A123)</f>
        <v>2.1.2.1.2</v>
      </c>
      <c r="B48" s="78" t="str">
        <f>CONCATENATE('3 pr-2'!B123)</f>
        <v>R01-6609-274710-2212</v>
      </c>
      <c r="C48" s="647" t="str">
        <f>CONCATENATE('3 pr-2'!C126)</f>
        <v>08.1.3-CPVA-R-609-11-0009</v>
      </c>
      <c r="D48" s="78" t="s">
        <v>1416</v>
      </c>
      <c r="E48" s="78" t="s">
        <v>1417</v>
      </c>
      <c r="F48" s="78" t="s">
        <v>103</v>
      </c>
      <c r="G48" s="78" t="s">
        <v>1800</v>
      </c>
      <c r="H48" s="228" t="s">
        <v>153</v>
      </c>
      <c r="I48" s="14" t="s">
        <v>119</v>
      </c>
      <c r="J48" s="14" t="s">
        <v>66</v>
      </c>
      <c r="K48" s="16" t="s">
        <v>66</v>
      </c>
      <c r="L48" s="632">
        <f>SUM(M48:Q48)</f>
        <v>50356</v>
      </c>
      <c r="M48" s="632">
        <v>3777</v>
      </c>
      <c r="N48" s="632">
        <v>3777</v>
      </c>
      <c r="O48" s="632">
        <v>0</v>
      </c>
      <c r="P48" s="632">
        <v>0</v>
      </c>
      <c r="Q48" s="632">
        <v>42802</v>
      </c>
      <c r="R48" s="632"/>
      <c r="S48" s="423">
        <v>43250</v>
      </c>
      <c r="T48" s="323">
        <v>43312</v>
      </c>
      <c r="U48" s="323">
        <v>43373</v>
      </c>
      <c r="V48" s="323">
        <v>43465</v>
      </c>
      <c r="W48" s="655">
        <v>44196</v>
      </c>
      <c r="X48" s="30">
        <f>SUM(Q46+Q51)</f>
        <v>709253.67999999993</v>
      </c>
      <c r="Y48" s="30"/>
      <c r="Z48" s="30"/>
    </row>
    <row r="49" spans="1:26" ht="48.75" thickBot="1">
      <c r="A49" s="78" t="str">
        <f>CONCATENATE('3 pr-2'!A124)</f>
        <v>2.1.2.1.3</v>
      </c>
      <c r="B49" s="78" t="str">
        <f>CONCATENATE('3 pr-2'!B124)</f>
        <v>R01-6609-274700-2213</v>
      </c>
      <c r="C49" s="647" t="str">
        <f>CONCATENATE('3 pr-2'!C127)</f>
        <v>08.1.3-CPVA-R-609-11-0011</v>
      </c>
      <c r="D49" s="78" t="s">
        <v>3747</v>
      </c>
      <c r="E49" s="78" t="s">
        <v>1419</v>
      </c>
      <c r="F49" s="78" t="s">
        <v>103</v>
      </c>
      <c r="G49" s="78" t="s">
        <v>1800</v>
      </c>
      <c r="H49" s="228" t="s">
        <v>153</v>
      </c>
      <c r="I49" s="14" t="s">
        <v>119</v>
      </c>
      <c r="J49" s="14" t="s">
        <v>66</v>
      </c>
      <c r="K49" s="16" t="s">
        <v>66</v>
      </c>
      <c r="L49" s="632">
        <f>SUM(M49:Q49)</f>
        <v>83468</v>
      </c>
      <c r="M49" s="632">
        <v>0</v>
      </c>
      <c r="N49" s="632">
        <v>6260</v>
      </c>
      <c r="O49" s="632">
        <v>6260</v>
      </c>
      <c r="P49" s="632"/>
      <c r="Q49" s="632">
        <v>70948</v>
      </c>
      <c r="R49" s="632"/>
      <c r="S49" s="423">
        <v>43250</v>
      </c>
      <c r="T49" s="323">
        <v>43312</v>
      </c>
      <c r="U49" s="323">
        <v>43373</v>
      </c>
      <c r="V49" s="323">
        <v>43465</v>
      </c>
      <c r="W49" s="655">
        <v>44196</v>
      </c>
      <c r="X49" s="30"/>
      <c r="Y49" s="30"/>
      <c r="Z49" s="30"/>
    </row>
    <row r="50" spans="1:26" ht="48.75" thickBot="1">
      <c r="A50" s="78" t="str">
        <f>CONCATENATE('3 pr-2'!A125)</f>
        <v>2.1.2.1.4</v>
      </c>
      <c r="B50" s="78" t="str">
        <f>CONCATENATE('3 pr-2'!B125)</f>
        <v>R01-6609-274710-2214</v>
      </c>
      <c r="C50" s="647" t="str">
        <f>CONCATENATE('3 pr-2'!C128)</f>
        <v>08.1.3-CPVA-R-609-11-0007</v>
      </c>
      <c r="D50" s="78" t="s">
        <v>1420</v>
      </c>
      <c r="E50" s="78" t="s">
        <v>1421</v>
      </c>
      <c r="F50" s="78" t="s">
        <v>103</v>
      </c>
      <c r="G50" s="78" t="s">
        <v>1800</v>
      </c>
      <c r="H50" s="228" t="s">
        <v>153</v>
      </c>
      <c r="I50" s="14" t="s">
        <v>119</v>
      </c>
      <c r="J50" s="14" t="s">
        <v>66</v>
      </c>
      <c r="K50" s="16" t="s">
        <v>66</v>
      </c>
      <c r="L50" s="1638">
        <f>SUM(M50:Q50)</f>
        <v>43413.03</v>
      </c>
      <c r="M50" s="632">
        <f>'ketv. 6 '!P129</f>
        <v>0</v>
      </c>
      <c r="N50" s="1638">
        <f>'ketv. 6 '!T124</f>
        <v>3255.97</v>
      </c>
      <c r="O50" s="1638">
        <f>'ketv. 6 '!X124</f>
        <v>3255.98</v>
      </c>
      <c r="P50" s="632">
        <v>0</v>
      </c>
      <c r="Q50" s="1638">
        <f>'ketv. 6 '!AF124</f>
        <v>36901.08</v>
      </c>
      <c r="R50" s="632"/>
      <c r="S50" s="423"/>
      <c r="T50" s="323">
        <v>43312</v>
      </c>
      <c r="U50" s="323">
        <v>43373</v>
      </c>
      <c r="V50" s="323">
        <v>43465</v>
      </c>
      <c r="W50" s="655">
        <v>44561</v>
      </c>
      <c r="X50" s="30"/>
      <c r="Y50" s="30"/>
      <c r="Z50" s="30"/>
    </row>
    <row r="51" spans="1:26" ht="32.25" customHeight="1" thickBot="1">
      <c r="A51" s="297" t="s">
        <v>34</v>
      </c>
      <c r="B51" s="624"/>
      <c r="C51" s="624"/>
      <c r="D51" s="1931" t="str">
        <f>CONCATENATE('3 pr-2'!D135)</f>
        <v/>
      </c>
      <c r="E51" s="1995"/>
      <c r="F51" s="1995"/>
      <c r="G51" s="1995"/>
      <c r="H51" s="1995"/>
      <c r="I51" s="1995"/>
      <c r="J51" s="1995"/>
      <c r="K51" s="1996"/>
      <c r="L51" s="1016">
        <f t="shared" ref="L51:Q51" si="20">SUM(L52:L57)</f>
        <v>198996</v>
      </c>
      <c r="M51" s="1016">
        <f t="shared" si="20"/>
        <v>14924.7</v>
      </c>
      <c r="N51" s="1016">
        <f t="shared" si="20"/>
        <v>14924.7</v>
      </c>
      <c r="O51" s="1016">
        <f t="shared" si="20"/>
        <v>0</v>
      </c>
      <c r="P51" s="1016">
        <f t="shared" si="20"/>
        <v>0</v>
      </c>
      <c r="Q51" s="1016">
        <f t="shared" si="20"/>
        <v>169146.6</v>
      </c>
      <c r="R51" s="1016"/>
      <c r="S51" s="79"/>
      <c r="T51" s="299"/>
      <c r="U51" s="299"/>
      <c r="V51" s="299"/>
      <c r="W51" s="299"/>
      <c r="X51" s="33">
        <v>178000</v>
      </c>
      <c r="Y51" s="33">
        <f>SUM(X51*120/100)</f>
        <v>213600</v>
      </c>
      <c r="Z51" s="33">
        <f>SUM(X51-Q51)</f>
        <v>8853.3999999999942</v>
      </c>
    </row>
    <row r="52" spans="1:26" ht="64.5" thickBot="1">
      <c r="A52" s="78" t="str">
        <f>CONCATENATE('3 pr-2'!A137)</f>
        <v>2.1.2.2.2</v>
      </c>
      <c r="B52" s="78" t="str">
        <f>CONCATENATE('3 pr-2'!B137)</f>
        <v>R01-6630-470000-2222</v>
      </c>
      <c r="C52" s="647" t="str">
        <f>CONCATENATE('3 pr-2'!C137)</f>
        <v>08.4.2-ESFA-R-630-11-0001</v>
      </c>
      <c r="D52" s="634" t="s">
        <v>1175</v>
      </c>
      <c r="E52" s="634" t="s">
        <v>345</v>
      </c>
      <c r="F52" s="634" t="s">
        <v>103</v>
      </c>
      <c r="G52" s="634" t="s">
        <v>1800</v>
      </c>
      <c r="H52" s="318" t="s">
        <v>1176</v>
      </c>
      <c r="I52" s="318" t="s">
        <v>119</v>
      </c>
      <c r="J52" s="318" t="s">
        <v>66</v>
      </c>
      <c r="K52" s="318" t="s">
        <v>66</v>
      </c>
      <c r="L52" s="632">
        <f>SUM(M52:Q52)</f>
        <v>198996</v>
      </c>
      <c r="M52" s="632">
        <v>14924.7</v>
      </c>
      <c r="N52" s="632">
        <v>14924.7</v>
      </c>
      <c r="O52" s="632">
        <v>0</v>
      </c>
      <c r="P52" s="632">
        <v>0</v>
      </c>
      <c r="Q52" s="632">
        <v>169146.6</v>
      </c>
      <c r="R52" s="632"/>
      <c r="S52" s="16"/>
      <c r="T52" s="155">
        <v>43189</v>
      </c>
      <c r="U52" s="155">
        <v>43251</v>
      </c>
      <c r="V52" s="155">
        <v>43343</v>
      </c>
      <c r="W52" s="431">
        <v>44380</v>
      </c>
      <c r="X52" s="30"/>
      <c r="Y52" s="30"/>
      <c r="Z52" s="30"/>
    </row>
    <row r="53" spans="1:26" ht="15.75" hidden="1" customHeight="1" thickBot="1">
      <c r="A53" s="78"/>
      <c r="B53" s="78"/>
      <c r="C53" s="78"/>
      <c r="D53" s="78"/>
      <c r="E53" s="78"/>
      <c r="F53" s="78"/>
      <c r="G53" s="78"/>
      <c r="H53" s="228"/>
      <c r="I53" s="14"/>
      <c r="J53" s="14"/>
      <c r="K53" s="16"/>
      <c r="L53" s="16"/>
      <c r="M53" s="16"/>
      <c r="N53" s="16"/>
      <c r="O53" s="16"/>
      <c r="P53" s="16"/>
      <c r="Q53" s="16"/>
      <c r="R53" s="16"/>
      <c r="S53" s="16"/>
      <c r="T53" s="323"/>
      <c r="U53" s="323"/>
      <c r="V53" s="323"/>
      <c r="W53" s="156"/>
      <c r="X53" s="30"/>
      <c r="Y53" s="30"/>
      <c r="Z53" s="30"/>
    </row>
    <row r="54" spans="1:26" ht="15.75" hidden="1" customHeight="1" thickBot="1">
      <c r="A54" s="78"/>
      <c r="B54" s="78"/>
      <c r="C54" s="78"/>
      <c r="D54" s="78"/>
      <c r="E54" s="78"/>
      <c r="F54" s="78"/>
      <c r="G54" s="78"/>
      <c r="H54" s="228"/>
      <c r="I54" s="14"/>
      <c r="J54" s="14"/>
      <c r="K54" s="16"/>
      <c r="L54" s="16"/>
      <c r="M54" s="16"/>
      <c r="N54" s="16"/>
      <c r="O54" s="16"/>
      <c r="P54" s="16"/>
      <c r="Q54" s="16"/>
      <c r="R54" s="16"/>
      <c r="S54" s="16"/>
      <c r="T54" s="323"/>
      <c r="U54" s="323"/>
      <c r="V54" s="323"/>
      <c r="W54" s="156"/>
      <c r="X54" s="30"/>
      <c r="Y54" s="30"/>
      <c r="Z54" s="30"/>
    </row>
    <row r="55" spans="1:26" ht="15.75" hidden="1" customHeight="1" thickBot="1">
      <c r="A55" s="78"/>
      <c r="B55" s="78"/>
      <c r="C55" s="78"/>
      <c r="D55" s="78"/>
      <c r="E55" s="78"/>
      <c r="F55" s="78"/>
      <c r="G55" s="78"/>
      <c r="H55" s="228"/>
      <c r="I55" s="14"/>
      <c r="J55" s="14"/>
      <c r="K55" s="16"/>
      <c r="L55" s="16"/>
      <c r="M55" s="16"/>
      <c r="N55" s="16"/>
      <c r="O55" s="16"/>
      <c r="P55" s="16"/>
      <c r="Q55" s="16"/>
      <c r="R55" s="16"/>
      <c r="S55" s="16"/>
      <c r="T55" s="323"/>
      <c r="U55" s="323"/>
      <c r="V55" s="323"/>
      <c r="W55" s="156"/>
      <c r="X55" s="30"/>
      <c r="Y55" s="30"/>
      <c r="Z55" s="30"/>
    </row>
    <row r="56" spans="1:26" ht="15.75" hidden="1" customHeight="1" thickBot="1">
      <c r="A56" s="78"/>
      <c r="B56" s="78"/>
      <c r="C56" s="78"/>
      <c r="D56" s="78"/>
      <c r="E56" s="78"/>
      <c r="F56" s="78"/>
      <c r="G56" s="78"/>
      <c r="H56" s="228"/>
      <c r="I56" s="14"/>
      <c r="J56" s="14"/>
      <c r="K56" s="16"/>
      <c r="L56" s="16"/>
      <c r="M56" s="16"/>
      <c r="N56" s="16"/>
      <c r="O56" s="16"/>
      <c r="P56" s="16"/>
      <c r="Q56" s="16"/>
      <c r="R56" s="16"/>
      <c r="S56" s="16"/>
      <c r="T56" s="323"/>
      <c r="U56" s="323"/>
      <c r="V56" s="323"/>
      <c r="W56" s="156"/>
      <c r="X56" s="30"/>
      <c r="Y56" s="30"/>
      <c r="Z56" s="30"/>
    </row>
    <row r="57" spans="1:26" ht="15.75" hidden="1" customHeight="1" thickBot="1">
      <c r="A57" s="78"/>
      <c r="B57" s="78"/>
      <c r="C57" s="78"/>
      <c r="D57" s="78"/>
      <c r="E57" s="78"/>
      <c r="F57" s="78"/>
      <c r="G57" s="78"/>
      <c r="H57" s="228"/>
      <c r="I57" s="14"/>
      <c r="J57" s="14"/>
      <c r="K57" s="16"/>
      <c r="L57" s="16"/>
      <c r="M57" s="16"/>
      <c r="N57" s="16"/>
      <c r="O57" s="16"/>
      <c r="P57" s="16"/>
      <c r="Q57" s="16"/>
      <c r="R57" s="16"/>
      <c r="S57" s="16"/>
      <c r="T57" s="323"/>
      <c r="U57" s="323"/>
      <c r="V57" s="323"/>
      <c r="W57" s="156"/>
      <c r="X57" s="30"/>
      <c r="Y57" s="30"/>
      <c r="Z57" s="30"/>
    </row>
    <row r="58" spans="1:26" ht="45" customHeight="1" thickBot="1">
      <c r="A58" s="297" t="s">
        <v>1185</v>
      </c>
      <c r="B58" s="624"/>
      <c r="C58" s="624"/>
      <c r="D58" s="1931" t="str">
        <f>CONCATENATE('3 pr-2'!D141)</f>
        <v/>
      </c>
      <c r="E58" s="1995"/>
      <c r="F58" s="1995"/>
      <c r="G58" s="1995"/>
      <c r="H58" s="1995"/>
      <c r="I58" s="1995"/>
      <c r="J58" s="1995"/>
      <c r="K58" s="1996"/>
      <c r="L58" s="1016">
        <f>SUM(L59)</f>
        <v>17041.18</v>
      </c>
      <c r="M58" s="1016">
        <f t="shared" ref="M58:Q58" si="21">SUM(M59)</f>
        <v>1278.0899999999999</v>
      </c>
      <c r="N58" s="1016">
        <f t="shared" si="21"/>
        <v>1278</v>
      </c>
      <c r="O58" s="1016">
        <f t="shared" si="21"/>
        <v>0</v>
      </c>
      <c r="P58" s="1016">
        <f t="shared" si="21"/>
        <v>0</v>
      </c>
      <c r="Q58" s="1016">
        <f t="shared" si="21"/>
        <v>14485.09</v>
      </c>
      <c r="R58" s="1016"/>
      <c r="S58" s="79"/>
      <c r="T58" s="299"/>
      <c r="U58" s="299"/>
      <c r="V58" s="299"/>
      <c r="W58" s="299"/>
      <c r="X58" s="33">
        <v>178000</v>
      </c>
      <c r="Y58" s="33">
        <f>SUM(X58*120/100)</f>
        <v>213600</v>
      </c>
      <c r="Z58" s="33">
        <f>SUM(X58-Q58)</f>
        <v>163514.91</v>
      </c>
    </row>
    <row r="59" spans="1:26" ht="64.5" thickBot="1">
      <c r="A59" s="78" t="str">
        <f>CONCATENATE('3 pr-2'!A143)</f>
        <v>2.1.2.3.2</v>
      </c>
      <c r="B59" s="78" t="str">
        <f>CONCATENATE('3 pr-2'!B143)</f>
        <v>R01-6615-470000-2232</v>
      </c>
      <c r="C59" s="647" t="str">
        <f>CONCATENATE('3 pr-2'!C143)</f>
        <v>08.4.2-ESFA-R-615-11-0005</v>
      </c>
      <c r="D59" s="634" t="s">
        <v>1190</v>
      </c>
      <c r="E59" s="634" t="s">
        <v>345</v>
      </c>
      <c r="F59" s="634" t="s">
        <v>103</v>
      </c>
      <c r="G59" s="634" t="s">
        <v>1800</v>
      </c>
      <c r="H59" s="318" t="s">
        <v>1191</v>
      </c>
      <c r="I59" s="318" t="s">
        <v>119</v>
      </c>
      <c r="J59" s="318" t="s">
        <v>66</v>
      </c>
      <c r="K59" s="318" t="s">
        <v>66</v>
      </c>
      <c r="L59" s="632">
        <v>17041.18</v>
      </c>
      <c r="M59" s="632">
        <v>1278.0899999999999</v>
      </c>
      <c r="N59" s="632">
        <v>1278</v>
      </c>
      <c r="O59" s="632">
        <v>0</v>
      </c>
      <c r="P59" s="632">
        <v>0</v>
      </c>
      <c r="Q59" s="632">
        <v>14485.09</v>
      </c>
      <c r="R59" s="632"/>
      <c r="S59" s="16"/>
      <c r="T59" s="155">
        <v>43189</v>
      </c>
      <c r="U59" s="155">
        <v>43281</v>
      </c>
      <c r="V59" s="155">
        <v>43358</v>
      </c>
      <c r="W59" s="431">
        <v>44449</v>
      </c>
      <c r="X59" s="30"/>
      <c r="Y59" s="30"/>
      <c r="Z59" s="30"/>
    </row>
    <row r="60" spans="1:26" ht="60.75" customHeight="1" thickBot="1">
      <c r="A60" s="134" t="s">
        <v>35</v>
      </c>
      <c r="B60" s="628"/>
      <c r="C60" s="628"/>
      <c r="D60" s="1933" t="s">
        <v>627</v>
      </c>
      <c r="E60" s="1997"/>
      <c r="F60" s="1997"/>
      <c r="G60" s="1997"/>
      <c r="H60" s="1997"/>
      <c r="I60" s="1997"/>
      <c r="J60" s="1997"/>
      <c r="K60" s="1998"/>
      <c r="L60" s="115">
        <f t="shared" ref="L60:Q60" si="22">SUM(L61+L63)</f>
        <v>1492473.98</v>
      </c>
      <c r="M60" s="115">
        <f t="shared" si="22"/>
        <v>388132.98</v>
      </c>
      <c r="N60" s="115">
        <f t="shared" si="22"/>
        <v>0</v>
      </c>
      <c r="O60" s="115">
        <f t="shared" si="22"/>
        <v>0</v>
      </c>
      <c r="P60" s="115">
        <f t="shared" si="22"/>
        <v>0</v>
      </c>
      <c r="Q60" s="115">
        <f t="shared" si="22"/>
        <v>1104341</v>
      </c>
      <c r="R60" s="115"/>
      <c r="S60" s="115"/>
      <c r="T60" s="116"/>
      <c r="U60" s="116"/>
      <c r="V60" s="116"/>
      <c r="W60" s="151"/>
      <c r="X60" s="32">
        <f>SUM(X61+X63)</f>
        <v>1104341.7933271548</v>
      </c>
      <c r="Y60" s="32">
        <f>SUM(Y61+Y63)</f>
        <v>1325210.1519925857</v>
      </c>
      <c r="Z60" s="32">
        <f>SUM(Z61+Z63)</f>
        <v>0.79332715476630256</v>
      </c>
    </row>
    <row r="61" spans="1:26" ht="36.75" customHeight="1" thickBot="1">
      <c r="A61" s="297" t="s">
        <v>36</v>
      </c>
      <c r="B61" s="624"/>
      <c r="C61" s="624"/>
      <c r="D61" s="1931" t="s">
        <v>623</v>
      </c>
      <c r="E61" s="1995"/>
      <c r="F61" s="1995"/>
      <c r="G61" s="1995"/>
      <c r="H61" s="1995"/>
      <c r="I61" s="1995"/>
      <c r="J61" s="1995"/>
      <c r="K61" s="1996"/>
      <c r="L61" s="1016">
        <f t="shared" ref="L61:Q61" si="23">SUM(L62:L62)</f>
        <v>600732.80000000005</v>
      </c>
      <c r="M61" s="1016">
        <f t="shared" si="23"/>
        <v>254371.8</v>
      </c>
      <c r="N61" s="1016">
        <f t="shared" si="23"/>
        <v>0</v>
      </c>
      <c r="O61" s="1016">
        <f t="shared" si="23"/>
        <v>0</v>
      </c>
      <c r="P61" s="1016">
        <f t="shared" si="23"/>
        <v>0</v>
      </c>
      <c r="Q61" s="1016">
        <f t="shared" si="23"/>
        <v>346361</v>
      </c>
      <c r="R61" s="1016"/>
      <c r="S61" s="79"/>
      <c r="T61" s="299"/>
      <c r="U61" s="299"/>
      <c r="V61" s="299"/>
      <c r="W61" s="299"/>
      <c r="X61" s="33">
        <v>346361.79332715477</v>
      </c>
      <c r="Y61" s="33">
        <f>SUM(X61*120/100)</f>
        <v>415634.15199258574</v>
      </c>
      <c r="Z61" s="33">
        <f>SUM(X61-Q61)</f>
        <v>0.79332715476630256</v>
      </c>
    </row>
    <row r="62" spans="1:26" ht="48.75" thickBot="1">
      <c r="A62" s="78" t="str">
        <f>CONCATENATE('3 pr-2'!A151)</f>
        <v>2.1.3.1.3</v>
      </c>
      <c r="B62" s="78" t="str">
        <f>CONCATENATE('3 pr-2'!B151)</f>
        <v>R01-4407-270000-2313</v>
      </c>
      <c r="C62" s="647" t="str">
        <f>CONCATENATE('3 pr-2'!C151)</f>
        <v>08.1.1-CPVA-R-407-11-0005</v>
      </c>
      <c r="D62" s="78" t="s">
        <v>217</v>
      </c>
      <c r="E62" s="78" t="s">
        <v>345</v>
      </c>
      <c r="F62" s="78" t="s">
        <v>106</v>
      </c>
      <c r="G62" s="78" t="s">
        <v>1800</v>
      </c>
      <c r="H62" s="228" t="s">
        <v>2259</v>
      </c>
      <c r="I62" s="14" t="s">
        <v>119</v>
      </c>
      <c r="J62" s="14" t="s">
        <v>66</v>
      </c>
      <c r="K62" s="16" t="s">
        <v>66</v>
      </c>
      <c r="L62" s="632">
        <f>SUM(M62:Q62)</f>
        <v>600732.80000000005</v>
      </c>
      <c r="M62" s="632">
        <v>254371.8</v>
      </c>
      <c r="N62" s="632">
        <v>0</v>
      </c>
      <c r="O62" s="632">
        <v>0</v>
      </c>
      <c r="P62" s="632">
        <v>0</v>
      </c>
      <c r="Q62" s="632">
        <v>346361</v>
      </c>
      <c r="R62" s="632"/>
      <c r="S62" s="323">
        <v>42653</v>
      </c>
      <c r="T62" s="323">
        <v>42754</v>
      </c>
      <c r="U62" s="323">
        <v>42766</v>
      </c>
      <c r="V62" s="323">
        <v>42936</v>
      </c>
      <c r="W62" s="431">
        <f>SUM('IV-1 su proj'!CH150)</f>
        <v>43646</v>
      </c>
      <c r="X62" s="30"/>
      <c r="Y62" s="30"/>
      <c r="Z62" s="30"/>
    </row>
    <row r="63" spans="1:26" ht="32.25" customHeight="1" thickBot="1">
      <c r="A63" s="297" t="s">
        <v>37</v>
      </c>
      <c r="B63" s="624"/>
      <c r="C63" s="624"/>
      <c r="D63" s="1931" t="s">
        <v>624</v>
      </c>
      <c r="E63" s="1995"/>
      <c r="F63" s="1995"/>
      <c r="G63" s="1995"/>
      <c r="H63" s="1995"/>
      <c r="I63" s="1995"/>
      <c r="J63" s="1995"/>
      <c r="K63" s="1996"/>
      <c r="L63" s="1016">
        <f t="shared" ref="L63:Q63" si="24">SUM(L64:L64)</f>
        <v>891741.17999999993</v>
      </c>
      <c r="M63" s="1016">
        <f t="shared" si="24"/>
        <v>133761.18</v>
      </c>
      <c r="N63" s="1016">
        <f t="shared" si="24"/>
        <v>0</v>
      </c>
      <c r="O63" s="1016">
        <f t="shared" si="24"/>
        <v>0</v>
      </c>
      <c r="P63" s="1016">
        <f t="shared" si="24"/>
        <v>0</v>
      </c>
      <c r="Q63" s="1016">
        <f t="shared" si="24"/>
        <v>757980</v>
      </c>
      <c r="R63" s="1016"/>
      <c r="S63" s="79"/>
      <c r="T63" s="299"/>
      <c r="U63" s="299"/>
      <c r="V63" s="299"/>
      <c r="W63" s="299"/>
      <c r="X63" s="33">
        <v>757980</v>
      </c>
      <c r="Y63" s="33">
        <f>SUM(X63*120/100)</f>
        <v>909576</v>
      </c>
      <c r="Z63" s="33">
        <f>SUM(X63-Q63)</f>
        <v>0</v>
      </c>
    </row>
    <row r="64" spans="1:26" ht="48.75" thickBot="1">
      <c r="A64" s="78" t="str">
        <f>CONCATENATE('3 pr-2'!A157)</f>
        <v>2.1.3.1.3</v>
      </c>
      <c r="B64" s="78" t="str">
        <f>CONCATENATE('3 pr-2'!B157)</f>
        <v>R01-4408-260000-2323</v>
      </c>
      <c r="C64" s="647" t="str">
        <f>CONCATENATE('3 pr-2'!C157)</f>
        <v>08.1.2-CPVA-R-408-11-0002</v>
      </c>
      <c r="D64" s="78" t="s">
        <v>219</v>
      </c>
      <c r="E64" s="78" t="s">
        <v>345</v>
      </c>
      <c r="F64" s="78" t="s">
        <v>106</v>
      </c>
      <c r="G64" s="78" t="s">
        <v>1800</v>
      </c>
      <c r="H64" s="228" t="s">
        <v>2293</v>
      </c>
      <c r="I64" s="14" t="s">
        <v>119</v>
      </c>
      <c r="J64" s="14" t="s">
        <v>66</v>
      </c>
      <c r="K64" s="16" t="s">
        <v>66</v>
      </c>
      <c r="L64" s="632">
        <f>SUM(M64:Q64)</f>
        <v>891741.17999999993</v>
      </c>
      <c r="M64" s="632">
        <v>133761.18</v>
      </c>
      <c r="N64" s="632">
        <v>0</v>
      </c>
      <c r="O64" s="632">
        <v>0</v>
      </c>
      <c r="P64" s="632">
        <v>0</v>
      </c>
      <c r="Q64" s="632">
        <v>757980</v>
      </c>
      <c r="R64" s="632"/>
      <c r="S64" s="423">
        <v>42401</v>
      </c>
      <c r="T64" s="323">
        <v>42464</v>
      </c>
      <c r="U64" s="323">
        <v>42563</v>
      </c>
      <c r="V64" s="323">
        <v>42599</v>
      </c>
      <c r="W64" s="431">
        <v>43707</v>
      </c>
      <c r="X64" s="30"/>
      <c r="Y64" s="30"/>
      <c r="Z64" s="30"/>
    </row>
    <row r="65" spans="1:26" ht="60.75" customHeight="1" thickBot="1">
      <c r="A65" s="134" t="s">
        <v>38</v>
      </c>
      <c r="B65" s="628"/>
      <c r="C65" s="628"/>
      <c r="D65" s="1933" t="s">
        <v>625</v>
      </c>
      <c r="E65" s="1997"/>
      <c r="F65" s="1997"/>
      <c r="G65" s="1997"/>
      <c r="H65" s="1997"/>
      <c r="I65" s="1997"/>
      <c r="J65" s="1997"/>
      <c r="K65" s="1998"/>
      <c r="L65" s="1022">
        <f t="shared" ref="L65:Q65" si="25">SUM(L66)</f>
        <v>415693.16000000003</v>
      </c>
      <c r="M65" s="1022">
        <f t="shared" si="25"/>
        <v>62353.979999999996</v>
      </c>
      <c r="N65" s="1022">
        <f t="shared" si="25"/>
        <v>0</v>
      </c>
      <c r="O65" s="1022">
        <f t="shared" si="25"/>
        <v>0</v>
      </c>
      <c r="P65" s="1022">
        <f t="shared" si="25"/>
        <v>0</v>
      </c>
      <c r="Q65" s="1022">
        <f t="shared" si="25"/>
        <v>353339.18</v>
      </c>
      <c r="R65" s="1022"/>
      <c r="S65" s="115"/>
      <c r="T65" s="116"/>
      <c r="U65" s="116"/>
      <c r="V65" s="116"/>
      <c r="W65" s="151"/>
      <c r="X65" s="32">
        <f>SUM(X66)</f>
        <v>369603.55070703564</v>
      </c>
      <c r="Y65" s="32">
        <f>SUM(Y66)</f>
        <v>443524.26084844279</v>
      </c>
      <c r="Z65" s="32">
        <f>SUM(Z66)</f>
        <v>16264.370707035647</v>
      </c>
    </row>
    <row r="66" spans="1:26" ht="29.25" customHeight="1" thickBot="1">
      <c r="A66" s="297" t="s">
        <v>109</v>
      </c>
      <c r="B66" s="624"/>
      <c r="C66" s="624"/>
      <c r="D66" s="1931" t="s">
        <v>626</v>
      </c>
      <c r="E66" s="1995"/>
      <c r="F66" s="1995"/>
      <c r="G66" s="1995"/>
      <c r="H66" s="1995"/>
      <c r="I66" s="1995"/>
      <c r="J66" s="1995"/>
      <c r="K66" s="1996"/>
      <c r="L66" s="1016">
        <f>SUM(L67:L68)</f>
        <v>415693.16000000003</v>
      </c>
      <c r="M66" s="1016">
        <f t="shared" ref="M66:Q66" si="26">SUM(M67:M68)</f>
        <v>62353.979999999996</v>
      </c>
      <c r="N66" s="1016">
        <f t="shared" si="26"/>
        <v>0</v>
      </c>
      <c r="O66" s="1016">
        <f t="shared" si="26"/>
        <v>0</v>
      </c>
      <c r="P66" s="1016">
        <f t="shared" si="26"/>
        <v>0</v>
      </c>
      <c r="Q66" s="1016">
        <f t="shared" si="26"/>
        <v>353339.18</v>
      </c>
      <c r="R66" s="1016"/>
      <c r="S66" s="79"/>
      <c r="T66" s="299"/>
      <c r="U66" s="299"/>
      <c r="V66" s="299"/>
      <c r="W66" s="299"/>
      <c r="X66" s="33">
        <v>369603.55070703564</v>
      </c>
      <c r="Y66" s="33">
        <f>SUM(X66*120/100)</f>
        <v>443524.26084844279</v>
      </c>
      <c r="Z66" s="33">
        <f>SUM(X66-Q66)</f>
        <v>16264.370707035647</v>
      </c>
    </row>
    <row r="67" spans="1:26" ht="60.75" thickBot="1">
      <c r="A67" s="78" t="str">
        <f>CONCATENATE('3 pr-2'!A165)</f>
        <v>2.1.4.1.4</v>
      </c>
      <c r="B67" s="78" t="str">
        <f>CONCATENATE('3 pr-2'!B165)</f>
        <v>R01-9920-490000-2414</v>
      </c>
      <c r="C67" s="647" t="str">
        <f>CONCATENATE('3 pr-2'!C165)</f>
        <v>10.1.3-ESFA-R-920-11-0007</v>
      </c>
      <c r="D67" s="78" t="s">
        <v>1760</v>
      </c>
      <c r="E67" s="78" t="s">
        <v>345</v>
      </c>
      <c r="F67" s="78" t="s">
        <v>75</v>
      </c>
      <c r="G67" s="78" t="s">
        <v>1800</v>
      </c>
      <c r="H67" s="228" t="s">
        <v>1122</v>
      </c>
      <c r="I67" s="14" t="s">
        <v>119</v>
      </c>
      <c r="J67" s="14" t="s">
        <v>66</v>
      </c>
      <c r="K67" s="16" t="s">
        <v>66</v>
      </c>
      <c r="L67" s="632">
        <f>SUM(M67:Q67)</f>
        <v>215693.16</v>
      </c>
      <c r="M67" s="632">
        <v>32353.98</v>
      </c>
      <c r="N67" s="632">
        <v>0</v>
      </c>
      <c r="O67" s="632">
        <v>0</v>
      </c>
      <c r="P67" s="632">
        <v>0</v>
      </c>
      <c r="Q67" s="632">
        <v>183339.18</v>
      </c>
      <c r="R67" s="632"/>
      <c r="S67" s="323">
        <v>43017</v>
      </c>
      <c r="T67" s="323">
        <v>43100</v>
      </c>
      <c r="U67" s="323">
        <v>43159</v>
      </c>
      <c r="V67" s="323">
        <v>43220</v>
      </c>
      <c r="W67" s="323">
        <v>44152</v>
      </c>
      <c r="X67" s="30"/>
      <c r="Y67" s="30"/>
      <c r="Z67" s="30"/>
    </row>
    <row r="68" spans="1:26" ht="70.5" customHeight="1" thickBot="1">
      <c r="A68" s="78" t="str">
        <f>CONCATENATE('3 pr-2'!A167)</f>
        <v>2.1.4.1.6</v>
      </c>
      <c r="B68" s="78" t="str">
        <f>CONCATENATE('3 pr-2'!B167)</f>
        <v>R01-9920-490000-2416</v>
      </c>
      <c r="C68" s="647" t="str">
        <f>CONCATENATE('3 pr-2'!C167)</f>
        <v/>
      </c>
      <c r="D68" s="78" t="s">
        <v>1759</v>
      </c>
      <c r="E68" s="78" t="s">
        <v>345</v>
      </c>
      <c r="F68" s="78" t="s">
        <v>75</v>
      </c>
      <c r="G68" s="78" t="s">
        <v>1800</v>
      </c>
      <c r="H68" s="228" t="s">
        <v>1122</v>
      </c>
      <c r="I68" s="14" t="s">
        <v>119</v>
      </c>
      <c r="J68" s="14" t="s">
        <v>66</v>
      </c>
      <c r="K68" s="16" t="s">
        <v>66</v>
      </c>
      <c r="L68" s="632">
        <f>SUM(M68:Q68)</f>
        <v>200000</v>
      </c>
      <c r="M68" s="632">
        <v>30000</v>
      </c>
      <c r="N68" s="632">
        <v>0</v>
      </c>
      <c r="O68" s="632">
        <v>0</v>
      </c>
      <c r="P68" s="632">
        <v>0</v>
      </c>
      <c r="Q68" s="632">
        <v>170000</v>
      </c>
      <c r="R68" s="632"/>
      <c r="S68" s="323">
        <v>43434</v>
      </c>
      <c r="T68" s="323">
        <v>43465</v>
      </c>
      <c r="U68" s="323">
        <v>43524</v>
      </c>
      <c r="V68" s="323">
        <v>43616</v>
      </c>
      <c r="W68" s="323">
        <v>44196</v>
      </c>
      <c r="X68" s="30"/>
      <c r="Y68" s="30"/>
      <c r="Z68" s="30"/>
    </row>
    <row r="69" spans="1:26" ht="40.5" customHeight="1" thickBot="1">
      <c r="A69" s="132" t="s">
        <v>40</v>
      </c>
      <c r="B69" s="630"/>
      <c r="C69" s="630"/>
      <c r="D69" s="1932" t="s">
        <v>598</v>
      </c>
      <c r="E69" s="2001"/>
      <c r="F69" s="2001"/>
      <c r="G69" s="2001"/>
      <c r="H69" s="2001"/>
      <c r="I69" s="2001"/>
      <c r="J69" s="2001"/>
      <c r="K69" s="2002"/>
      <c r="L69" s="136">
        <f t="shared" ref="L69:Q69" si="27">SUM(L70+L73)</f>
        <v>1557490.3361502308</v>
      </c>
      <c r="M69" s="136">
        <f t="shared" si="27"/>
        <v>598.95000000000005</v>
      </c>
      <c r="N69" s="136">
        <f t="shared" si="27"/>
        <v>0</v>
      </c>
      <c r="O69" s="136">
        <f t="shared" si="27"/>
        <v>292550.21615023084</v>
      </c>
      <c r="P69" s="136">
        <f t="shared" si="27"/>
        <v>0</v>
      </c>
      <c r="Q69" s="136">
        <f t="shared" si="27"/>
        <v>1264341.1700000002</v>
      </c>
      <c r="R69" s="136"/>
      <c r="S69" s="136"/>
      <c r="T69" s="133"/>
      <c r="U69" s="133"/>
      <c r="V69" s="133"/>
      <c r="W69" s="152"/>
      <c r="X69" s="332">
        <f>SUM(X70+X73)</f>
        <v>1276664.0984113035</v>
      </c>
      <c r="Y69" s="333">
        <f>SUM(Y70+Y73)</f>
        <v>1531996.918093564</v>
      </c>
      <c r="Z69" s="333">
        <f>SUM(Z70+Z73)</f>
        <v>12322.928411303306</v>
      </c>
    </row>
    <row r="70" spans="1:26" ht="60.75" customHeight="1" thickBot="1">
      <c r="A70" s="134" t="s">
        <v>41</v>
      </c>
      <c r="B70" s="628"/>
      <c r="C70" s="628"/>
      <c r="D70" s="1923" t="s">
        <v>599</v>
      </c>
      <c r="E70" s="1999"/>
      <c r="F70" s="1999"/>
      <c r="G70" s="1999"/>
      <c r="H70" s="1999"/>
      <c r="I70" s="1999"/>
      <c r="J70" s="1999"/>
      <c r="K70" s="2000"/>
      <c r="L70" s="115">
        <f>SUM(L71)</f>
        <v>1553497.3361502308</v>
      </c>
      <c r="M70" s="115">
        <f>SUM(M71)</f>
        <v>0</v>
      </c>
      <c r="N70" s="115">
        <f t="shared" ref="N70:Q70" si="28">SUM(N71)</f>
        <v>0</v>
      </c>
      <c r="O70" s="115">
        <f t="shared" si="28"/>
        <v>292550.21615023084</v>
      </c>
      <c r="P70" s="115">
        <f t="shared" si="28"/>
        <v>0</v>
      </c>
      <c r="Q70" s="115">
        <f t="shared" si="28"/>
        <v>1260947.1200000001</v>
      </c>
      <c r="R70" s="115"/>
      <c r="S70" s="115"/>
      <c r="T70" s="116"/>
      <c r="U70" s="116"/>
      <c r="V70" s="116"/>
      <c r="W70" s="151"/>
      <c r="X70" s="32">
        <f>SUM(X71)</f>
        <v>1260947.1200000001</v>
      </c>
      <c r="Y70" s="32">
        <f>SUM(Y71)</f>
        <v>1513136.544</v>
      </c>
      <c r="Z70" s="32">
        <f>SUM(Z71)</f>
        <v>0</v>
      </c>
    </row>
    <row r="71" spans="1:26" ht="33" customHeight="1" thickBot="1">
      <c r="A71" s="297" t="s">
        <v>42</v>
      </c>
      <c r="B71" s="624"/>
      <c r="C71" s="624"/>
      <c r="D71" s="1931" t="s">
        <v>597</v>
      </c>
      <c r="E71" s="1995"/>
      <c r="F71" s="1995"/>
      <c r="G71" s="1995"/>
      <c r="H71" s="1995"/>
      <c r="I71" s="1995"/>
      <c r="J71" s="1995"/>
      <c r="K71" s="1996"/>
      <c r="L71" s="299">
        <f t="shared" ref="L71:Q71" si="29">SUM(L72:L72)</f>
        <v>1553497.3361502308</v>
      </c>
      <c r="M71" s="299">
        <f t="shared" si="29"/>
        <v>0</v>
      </c>
      <c r="N71" s="299">
        <f t="shared" si="29"/>
        <v>0</v>
      </c>
      <c r="O71" s="299">
        <f t="shared" si="29"/>
        <v>292550.21615023084</v>
      </c>
      <c r="P71" s="299">
        <f t="shared" si="29"/>
        <v>0</v>
      </c>
      <c r="Q71" s="299">
        <f t="shared" si="29"/>
        <v>1260947.1200000001</v>
      </c>
      <c r="R71" s="299"/>
      <c r="S71" s="79"/>
      <c r="T71" s="299"/>
      <c r="U71" s="299"/>
      <c r="V71" s="299"/>
      <c r="W71" s="299"/>
      <c r="X71" s="33">
        <v>1260947.1200000001</v>
      </c>
      <c r="Y71" s="33">
        <f>SUM(X71*120/100)</f>
        <v>1513136.544</v>
      </c>
      <c r="Z71" s="33">
        <f>SUM(X71-Q71)</f>
        <v>0</v>
      </c>
    </row>
    <row r="72" spans="1:26" ht="48" customHeight="1" thickBot="1">
      <c r="A72" s="78" t="str">
        <f>CONCATENATE('3 pr-2'!A171)</f>
        <v>3.1.1.1.1</v>
      </c>
      <c r="B72" s="78" t="str">
        <f>CONCATENATE('3 pr-2'!B171)</f>
        <v>R01-0008-050000-3111</v>
      </c>
      <c r="C72" s="647" t="str">
        <f>CONCATENATE('3 pr-2'!C171)</f>
        <v>05.2.1-APVA-R-008-11-0001</v>
      </c>
      <c r="D72" s="78" t="s">
        <v>307</v>
      </c>
      <c r="E72" s="78" t="s">
        <v>189</v>
      </c>
      <c r="F72" s="78" t="s">
        <v>77</v>
      </c>
      <c r="G72" s="78" t="s">
        <v>185</v>
      </c>
      <c r="H72" s="228" t="s">
        <v>190</v>
      </c>
      <c r="I72" s="14" t="s">
        <v>119</v>
      </c>
      <c r="J72" s="14" t="s">
        <v>66</v>
      </c>
      <c r="K72" s="16" t="s">
        <v>66</v>
      </c>
      <c r="L72" s="16">
        <f>SUM(M72:Q72)</f>
        <v>1553497.3361502308</v>
      </c>
      <c r="M72" s="1644">
        <v>0</v>
      </c>
      <c r="N72" s="16">
        <v>0</v>
      </c>
      <c r="O72" s="1644">
        <v>292550.21615023084</v>
      </c>
      <c r="P72" s="16">
        <v>0</v>
      </c>
      <c r="Q72" s="16">
        <v>1260947.1200000001</v>
      </c>
      <c r="R72" s="16"/>
      <c r="S72" s="323">
        <v>42590</v>
      </c>
      <c r="T72" s="323">
        <v>42754</v>
      </c>
      <c r="U72" s="323">
        <v>42916</v>
      </c>
      <c r="V72" s="323">
        <v>42993</v>
      </c>
      <c r="W72" s="323">
        <v>43830</v>
      </c>
      <c r="X72" s="30">
        <v>2019</v>
      </c>
      <c r="Y72" s="30"/>
      <c r="Z72" s="30"/>
    </row>
    <row r="73" spans="1:26" ht="60.75" customHeight="1" thickBot="1">
      <c r="A73" s="134" t="s">
        <v>43</v>
      </c>
      <c r="B73" s="628"/>
      <c r="C73" s="628"/>
      <c r="D73" s="1923" t="s">
        <v>600</v>
      </c>
      <c r="E73" s="1924"/>
      <c r="F73" s="1924"/>
      <c r="G73" s="1924"/>
      <c r="H73" s="1924"/>
      <c r="I73" s="1924"/>
      <c r="J73" s="1924"/>
      <c r="K73" s="1925"/>
      <c r="L73" s="115">
        <f>SUM(L74)</f>
        <v>3993</v>
      </c>
      <c r="M73" s="115">
        <f t="shared" ref="M73:Q73" si="30">SUM(M74)</f>
        <v>598.95000000000005</v>
      </c>
      <c r="N73" s="115">
        <f t="shared" si="30"/>
        <v>0</v>
      </c>
      <c r="O73" s="115">
        <f t="shared" si="30"/>
        <v>0</v>
      </c>
      <c r="P73" s="115">
        <f t="shared" si="30"/>
        <v>0</v>
      </c>
      <c r="Q73" s="115">
        <f t="shared" si="30"/>
        <v>3394.05</v>
      </c>
      <c r="R73" s="115"/>
      <c r="S73" s="115"/>
      <c r="T73" s="116"/>
      <c r="U73" s="116"/>
      <c r="V73" s="116"/>
      <c r="W73" s="151"/>
      <c r="X73" s="32">
        <f>SUM(X74)</f>
        <v>15716.978411303307</v>
      </c>
      <c r="Y73" s="32">
        <f>SUM(Y74)</f>
        <v>18860.374093563969</v>
      </c>
      <c r="Z73" s="32">
        <f>SUM(Z74)</f>
        <v>12322.928411303306</v>
      </c>
    </row>
    <row r="74" spans="1:26" ht="27.75" customHeight="1" thickBot="1">
      <c r="A74" s="297" t="s">
        <v>113</v>
      </c>
      <c r="B74" s="624"/>
      <c r="C74" s="624"/>
      <c r="D74" s="1931" t="s">
        <v>601</v>
      </c>
      <c r="E74" s="1940"/>
      <c r="F74" s="1940"/>
      <c r="G74" s="1940"/>
      <c r="H74" s="1940"/>
      <c r="I74" s="1940"/>
      <c r="J74" s="1940"/>
      <c r="K74" s="1941"/>
      <c r="L74" s="299">
        <f t="shared" ref="L74:Q74" si="31">SUM(L75:L75)</f>
        <v>3993</v>
      </c>
      <c r="M74" s="299">
        <f t="shared" si="31"/>
        <v>598.95000000000005</v>
      </c>
      <c r="N74" s="299">
        <f t="shared" si="31"/>
        <v>0</v>
      </c>
      <c r="O74" s="299">
        <f t="shared" si="31"/>
        <v>0</v>
      </c>
      <c r="P74" s="299">
        <f t="shared" si="31"/>
        <v>0</v>
      </c>
      <c r="Q74" s="299">
        <f t="shared" si="31"/>
        <v>3394.05</v>
      </c>
      <c r="R74" s="299"/>
      <c r="S74" s="79"/>
      <c r="T74" s="299"/>
      <c r="U74" s="299"/>
      <c r="V74" s="299"/>
      <c r="W74" s="299"/>
      <c r="X74" s="33">
        <v>15716.978411303307</v>
      </c>
      <c r="Y74" s="33">
        <f>SUM(X74*120/100)</f>
        <v>18860.374093563969</v>
      </c>
      <c r="Z74" s="33">
        <f>SUM(X74-Q74)</f>
        <v>12322.928411303306</v>
      </c>
    </row>
    <row r="75" spans="1:26" ht="48.75" thickBot="1">
      <c r="A75" s="78" t="str">
        <f>CONCATENATE('3 pr-2'!A177)</f>
        <v>3.1.2.1.4</v>
      </c>
      <c r="B75" s="78" t="str">
        <f>CONCATENATE('3 pr-2'!B177)</f>
        <v>R01-0019-380000-3214</v>
      </c>
      <c r="C75" s="647" t="str">
        <f>CONCATENATE('3 pr-2'!C177)</f>
        <v>05.5.1-APVA-R-019-11-0004</v>
      </c>
      <c r="D75" s="78" t="s">
        <v>388</v>
      </c>
      <c r="E75" s="78" t="s">
        <v>345</v>
      </c>
      <c r="F75" s="78" t="s">
        <v>77</v>
      </c>
      <c r="G75" s="78" t="s">
        <v>1800</v>
      </c>
      <c r="H75" s="228" t="s">
        <v>192</v>
      </c>
      <c r="I75" s="14" t="s">
        <v>119</v>
      </c>
      <c r="J75" s="14"/>
      <c r="K75" s="14" t="s">
        <v>66</v>
      </c>
      <c r="L75" s="632">
        <f>SUM(M75:Q75)</f>
        <v>3993</v>
      </c>
      <c r="M75" s="632">
        <v>598.95000000000005</v>
      </c>
      <c r="N75" s="632">
        <v>0</v>
      </c>
      <c r="O75" s="632">
        <v>0</v>
      </c>
      <c r="P75" s="632">
        <v>0</v>
      </c>
      <c r="Q75" s="632">
        <v>3394.05</v>
      </c>
      <c r="R75" s="632"/>
      <c r="S75" s="423">
        <v>42598</v>
      </c>
      <c r="T75" s="323">
        <v>42632</v>
      </c>
      <c r="U75" s="323">
        <v>42874</v>
      </c>
      <c r="V75" s="323">
        <v>42965</v>
      </c>
      <c r="W75" s="323">
        <v>43465</v>
      </c>
      <c r="X75" s="30"/>
      <c r="Y75" s="30"/>
      <c r="Z75" s="30"/>
    </row>
    <row r="76" spans="1:26" ht="15.75" thickBot="1">
      <c r="A76" s="51"/>
      <c r="B76" s="52"/>
      <c r="C76" s="52"/>
      <c r="D76" s="52"/>
      <c r="E76" s="52"/>
      <c r="F76" s="52"/>
      <c r="G76" s="52"/>
      <c r="H76" s="52"/>
      <c r="I76" s="53"/>
      <c r="J76" s="53"/>
      <c r="K76" s="53"/>
      <c r="L76" s="47">
        <f t="shared" ref="L76:Q76" si="32">SUM(L5+L37+L69)</f>
        <v>20677014.902032584</v>
      </c>
      <c r="M76" s="47">
        <f t="shared" si="32"/>
        <v>1531131.7658823531</v>
      </c>
      <c r="N76" s="47">
        <f t="shared" si="32"/>
        <v>223239.22000000003</v>
      </c>
      <c r="O76" s="47">
        <f t="shared" si="32"/>
        <v>3909813.2061502305</v>
      </c>
      <c r="P76" s="47">
        <f t="shared" si="32"/>
        <v>352400.82</v>
      </c>
      <c r="Q76" s="47">
        <f t="shared" si="32"/>
        <v>14660429.890000002</v>
      </c>
      <c r="R76" s="330"/>
      <c r="S76" s="330"/>
      <c r="T76" s="53"/>
      <c r="U76" s="53"/>
      <c r="V76" s="53"/>
      <c r="W76" s="149"/>
      <c r="X76" s="47">
        <f>SUM(X5+X37+X69)</f>
        <v>13600989.552418685</v>
      </c>
      <c r="Y76" s="55">
        <f>SUM(Y5+Y37+Y69)</f>
        <v>16321187.462902421</v>
      </c>
      <c r="Z76" s="56">
        <f>SUM(Z5+Z37+Z69)</f>
        <v>-1016362.9475813166</v>
      </c>
    </row>
    <row r="77" spans="1:26" ht="15.75" thickTop="1"/>
    <row r="78" spans="1:26">
      <c r="M78" s="54"/>
      <c r="O78" s="54"/>
      <c r="Q78" s="54"/>
      <c r="R78" s="54"/>
      <c r="S78" s="54"/>
    </row>
    <row r="80" spans="1:26">
      <c r="M80" s="59"/>
    </row>
    <row r="82" spans="13:14">
      <c r="M82" s="59"/>
      <c r="N82" s="59"/>
    </row>
  </sheetData>
  <mergeCells count="41">
    <mergeCell ref="Z2:Z3"/>
    <mergeCell ref="A2:K2"/>
    <mergeCell ref="L2:Q2"/>
    <mergeCell ref="T2:W2"/>
    <mergeCell ref="X2:X3"/>
    <mergeCell ref="Y2:Y3"/>
    <mergeCell ref="D5:K5"/>
    <mergeCell ref="D6:K6"/>
    <mergeCell ref="D7:K7"/>
    <mergeCell ref="D9:K9"/>
    <mergeCell ref="D11:K11"/>
    <mergeCell ref="D13:K13"/>
    <mergeCell ref="D15:K15"/>
    <mergeCell ref="D17:K17"/>
    <mergeCell ref="D19:K19"/>
    <mergeCell ref="D22:K22"/>
    <mergeCell ref="D24:K24"/>
    <mergeCell ref="D26:K26"/>
    <mergeCell ref="D27:K27"/>
    <mergeCell ref="D29:K29"/>
    <mergeCell ref="D32:K32"/>
    <mergeCell ref="D34:K34"/>
    <mergeCell ref="D37:K37"/>
    <mergeCell ref="D38:K38"/>
    <mergeCell ref="D39:K39"/>
    <mergeCell ref="D41:K41"/>
    <mergeCell ref="D43:K43"/>
    <mergeCell ref="D46:K46"/>
    <mergeCell ref="D51:K51"/>
    <mergeCell ref="D61:K61"/>
    <mergeCell ref="D63:K63"/>
    <mergeCell ref="D58:K58"/>
    <mergeCell ref="D66:K66"/>
    <mergeCell ref="D71:K71"/>
    <mergeCell ref="D74:K74"/>
    <mergeCell ref="D45:K45"/>
    <mergeCell ref="D60:K60"/>
    <mergeCell ref="D70:K70"/>
    <mergeCell ref="D73:K73"/>
    <mergeCell ref="D65:K65"/>
    <mergeCell ref="D69:K69"/>
  </mergeCells>
  <pageMargins left="0.7" right="0.7" top="0" bottom="0"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B79"/>
  <sheetViews>
    <sheetView workbookViewId="0">
      <pane ySplit="2640" topLeftCell="A59" activePane="bottomLeft"/>
      <selection activeCell="L25" sqref="L25"/>
      <selection pane="bottomLeft" activeCell="V62" sqref="V62"/>
    </sheetView>
  </sheetViews>
  <sheetFormatPr defaultColWidth="9.140625" defaultRowHeight="15"/>
  <cols>
    <col min="1" max="1" width="9.140625" style="48"/>
    <col min="2" max="2" width="13.28515625" style="48" customWidth="1"/>
    <col min="3" max="3" width="27.5703125" style="48" customWidth="1"/>
    <col min="4" max="4" width="12.42578125" style="48" customWidth="1"/>
    <col min="5" max="5" width="14.42578125" style="48" bestFit="1" customWidth="1"/>
    <col min="6" max="6" width="11.42578125" style="48" customWidth="1"/>
    <col min="7" max="7" width="17.28515625" style="48" customWidth="1"/>
    <col min="8" max="8" width="4.5703125" style="48" bestFit="1" customWidth="1"/>
    <col min="9" max="9" width="5" style="48" bestFit="1" customWidth="1"/>
    <col min="10" max="10" width="6.42578125" style="48" bestFit="1" customWidth="1"/>
    <col min="11" max="11" width="16.42578125" style="48" bestFit="1" customWidth="1"/>
    <col min="12" max="14" width="14.28515625" style="48" bestFit="1" customWidth="1"/>
    <col min="15" max="15" width="9.28515625" style="48" bestFit="1" customWidth="1"/>
    <col min="16" max="16" width="16.42578125" style="48" bestFit="1" customWidth="1"/>
    <col min="17" max="17" width="9.85546875" style="48" customWidth="1"/>
    <col min="18" max="18" width="12.7109375" style="48" hidden="1" customWidth="1"/>
    <col min="19" max="19" width="11.85546875" style="48" customWidth="1"/>
    <col min="20" max="20" width="10.28515625" style="48" customWidth="1"/>
    <col min="21" max="21" width="9.140625" style="48"/>
    <col min="22" max="22" width="10.85546875" style="48" customWidth="1"/>
    <col min="23" max="24" width="18" style="48" hidden="1" customWidth="1"/>
    <col min="25" max="25" width="22.42578125" style="48" hidden="1" customWidth="1"/>
    <col min="26" max="16384" width="9.140625" style="48"/>
  </cols>
  <sheetData>
    <row r="1" spans="1:25" ht="15.75" thickBot="1">
      <c r="A1" s="22" t="s">
        <v>73</v>
      </c>
      <c r="B1" s="22"/>
    </row>
    <row r="2" spans="1:25" ht="16.5" customHeight="1" thickTop="1" thickBot="1">
      <c r="A2" s="2005" t="s">
        <v>46</v>
      </c>
      <c r="B2" s="2006"/>
      <c r="C2" s="2006"/>
      <c r="D2" s="2006"/>
      <c r="E2" s="2006"/>
      <c r="F2" s="2006"/>
      <c r="G2" s="2006"/>
      <c r="H2" s="2006"/>
      <c r="I2" s="2006"/>
      <c r="J2" s="2007"/>
      <c r="K2" s="2008" t="s">
        <v>47</v>
      </c>
      <c r="L2" s="2006"/>
      <c r="M2" s="2006"/>
      <c r="N2" s="2006"/>
      <c r="O2" s="2006"/>
      <c r="P2" s="2007"/>
      <c r="Q2" s="1316"/>
      <c r="R2" s="2008" t="s">
        <v>48</v>
      </c>
      <c r="S2" s="2010"/>
      <c r="T2" s="2010"/>
      <c r="U2" s="2010"/>
      <c r="V2" s="2011"/>
      <c r="W2" s="1907" t="s">
        <v>117</v>
      </c>
      <c r="X2" s="1907" t="s">
        <v>118</v>
      </c>
      <c r="Y2" s="1907" t="s">
        <v>122</v>
      </c>
    </row>
    <row r="3" spans="1:25" ht="84.75" thickBot="1">
      <c r="A3" s="23" t="s">
        <v>7</v>
      </c>
      <c r="B3" s="24"/>
      <c r="C3" s="24" t="s">
        <v>49</v>
      </c>
      <c r="D3" s="24" t="s">
        <v>50</v>
      </c>
      <c r="E3" s="24" t="s">
        <v>51</v>
      </c>
      <c r="F3" s="24" t="s">
        <v>52</v>
      </c>
      <c r="G3" s="25" t="s">
        <v>53</v>
      </c>
      <c r="H3" s="24" t="s">
        <v>54</v>
      </c>
      <c r="I3" s="24" t="s">
        <v>55</v>
      </c>
      <c r="J3" s="24" t="s">
        <v>56</v>
      </c>
      <c r="K3" s="24" t="s">
        <v>57</v>
      </c>
      <c r="L3" s="24" t="s">
        <v>58</v>
      </c>
      <c r="M3" s="24" t="s">
        <v>59</v>
      </c>
      <c r="N3" s="24" t="s">
        <v>60</v>
      </c>
      <c r="O3" s="24" t="s">
        <v>61</v>
      </c>
      <c r="P3" s="24" t="s">
        <v>4235</v>
      </c>
      <c r="Q3" s="24" t="s">
        <v>1781</v>
      </c>
      <c r="R3" s="24" t="s">
        <v>1126</v>
      </c>
      <c r="S3" s="24" t="s">
        <v>62</v>
      </c>
      <c r="T3" s="24" t="s">
        <v>63</v>
      </c>
      <c r="U3" s="24" t="s">
        <v>64</v>
      </c>
      <c r="V3" s="26" t="s">
        <v>65</v>
      </c>
      <c r="W3" s="1908"/>
      <c r="X3" s="1908"/>
      <c r="Y3" s="1908"/>
    </row>
    <row r="4" spans="1:25" ht="15.75" thickBot="1">
      <c r="A4" s="17"/>
      <c r="B4" s="15"/>
      <c r="C4" s="15"/>
      <c r="D4" s="15"/>
      <c r="E4" s="15"/>
      <c r="F4" s="15"/>
      <c r="G4" s="10"/>
      <c r="H4" s="15"/>
      <c r="I4" s="15"/>
      <c r="J4" s="15"/>
      <c r="K4" s="15"/>
      <c r="L4" s="15"/>
      <c r="M4" s="15"/>
      <c r="N4" s="15"/>
      <c r="O4" s="15"/>
      <c r="P4" s="15"/>
      <c r="Q4" s="15"/>
      <c r="R4" s="15"/>
      <c r="S4" s="15"/>
      <c r="T4" s="15"/>
      <c r="U4" s="15"/>
      <c r="V4" s="49"/>
      <c r="W4" s="30"/>
      <c r="X4" s="30"/>
      <c r="Y4" s="30"/>
    </row>
    <row r="5" spans="1:25" ht="57" customHeight="1" thickBot="1">
      <c r="A5" s="724" t="s">
        <v>11</v>
      </c>
      <c r="B5" s="1622"/>
      <c r="C5" s="2012" t="s">
        <v>1385</v>
      </c>
      <c r="D5" s="1944"/>
      <c r="E5" s="1944"/>
      <c r="F5" s="1944"/>
      <c r="G5" s="1944"/>
      <c r="H5" s="1944"/>
      <c r="I5" s="1944"/>
      <c r="J5" s="1945"/>
      <c r="K5" s="1030">
        <f t="shared" ref="K5:P5" ca="1" si="0">SUM(K6+K32)</f>
        <v>5183694.1458823532</v>
      </c>
      <c r="L5" s="1030">
        <f t="shared" si="0"/>
        <v>732987.85588235292</v>
      </c>
      <c r="M5" s="1030">
        <f t="shared" ca="1" si="0"/>
        <v>78260</v>
      </c>
      <c r="N5" s="1030">
        <f t="shared" si="0"/>
        <v>736648.5</v>
      </c>
      <c r="O5" s="1030">
        <f t="shared" si="0"/>
        <v>0</v>
      </c>
      <c r="P5" s="1030">
        <f t="shared" si="0"/>
        <v>3635797.79</v>
      </c>
      <c r="Q5" s="1030"/>
      <c r="R5" s="726"/>
      <c r="S5" s="728" t="s">
        <v>66</v>
      </c>
      <c r="T5" s="728" t="s">
        <v>66</v>
      </c>
      <c r="U5" s="728" t="s">
        <v>66</v>
      </c>
      <c r="V5" s="729"/>
      <c r="W5" s="30">
        <f>SUM(W6+W32)</f>
        <v>3455125.3220000002</v>
      </c>
      <c r="X5" s="30">
        <f>SUM(X6+X32)</f>
        <v>4146150.3863999997</v>
      </c>
      <c r="Y5" s="30" t="e">
        <f>SUM(Y6+Y32)</f>
        <v>#REF!</v>
      </c>
    </row>
    <row r="6" spans="1:25" ht="54.75" customHeight="1" thickBot="1">
      <c r="A6" s="1623" t="s">
        <v>12</v>
      </c>
      <c r="B6" s="1624"/>
      <c r="C6" s="2013" t="s">
        <v>1386</v>
      </c>
      <c r="D6" s="1946"/>
      <c r="E6" s="1946"/>
      <c r="F6" s="1946"/>
      <c r="G6" s="1946"/>
      <c r="H6" s="1946"/>
      <c r="I6" s="1946"/>
      <c r="J6" s="1947"/>
      <c r="K6" s="1021">
        <f t="shared" ref="K6:P6" ca="1" si="1">SUM(K7+K16+K18+K20+K22+K24+K26+K28+K30)</f>
        <v>4312979.6058823531</v>
      </c>
      <c r="L6" s="1021">
        <f t="shared" si="1"/>
        <v>510596.94588235294</v>
      </c>
      <c r="M6" s="1021">
        <f t="shared" ca="1" si="1"/>
        <v>78260</v>
      </c>
      <c r="N6" s="1021">
        <f t="shared" si="1"/>
        <v>650525</v>
      </c>
      <c r="O6" s="1021">
        <f t="shared" si="1"/>
        <v>0</v>
      </c>
      <c r="P6" s="1021">
        <f t="shared" si="1"/>
        <v>3073597.66</v>
      </c>
      <c r="Q6" s="1021"/>
      <c r="R6" s="122"/>
      <c r="S6" s="731" t="s">
        <v>66</v>
      </c>
      <c r="T6" s="731" t="s">
        <v>66</v>
      </c>
      <c r="U6" s="731" t="s">
        <v>66</v>
      </c>
      <c r="V6" s="732"/>
      <c r="W6" s="30">
        <f>SUM(W7+W16+W18+W20+W22+W24+W26+W28+W30)</f>
        <v>2885862.3220000002</v>
      </c>
      <c r="X6" s="30">
        <f>SUM(X7+X16+X18+X20+X22+X24+X26+X28+X30)</f>
        <v>3463034.7863999996</v>
      </c>
      <c r="Y6" s="30" t="e">
        <f>SUM(Y7+Y16+Y18+Y20+Y22+Y24+Y26+Y28+Y30)</f>
        <v>#REF!</v>
      </c>
    </row>
    <row r="7" spans="1:25" ht="39" customHeight="1" thickBot="1">
      <c r="A7" s="697" t="s">
        <v>67</v>
      </c>
      <c r="B7" s="1625"/>
      <c r="C7" s="2014" t="s">
        <v>595</v>
      </c>
      <c r="D7" s="2015"/>
      <c r="E7" s="2015"/>
      <c r="F7" s="2015"/>
      <c r="G7" s="2015"/>
      <c r="H7" s="2015"/>
      <c r="I7" s="2015"/>
      <c r="J7" s="2016"/>
      <c r="K7" s="1014">
        <f t="shared" ref="K7:P7" ca="1" si="2">SUM(K8:K15)</f>
        <v>1421995.35</v>
      </c>
      <c r="L7" s="1014">
        <f t="shared" si="2"/>
        <v>390858.35</v>
      </c>
      <c r="M7" s="1639">
        <f t="shared" ca="1" si="2"/>
        <v>0</v>
      </c>
      <c r="N7" s="1014">
        <f t="shared" si="2"/>
        <v>0</v>
      </c>
      <c r="O7" s="1014">
        <f t="shared" si="2"/>
        <v>0</v>
      </c>
      <c r="P7" s="1639">
        <f t="shared" si="2"/>
        <v>1031137</v>
      </c>
      <c r="Q7" s="1014"/>
      <c r="R7" s="708"/>
      <c r="S7" s="698" t="s">
        <v>66</v>
      </c>
      <c r="T7" s="698" t="s">
        <v>66</v>
      </c>
      <c r="U7" s="698" t="s">
        <v>66</v>
      </c>
      <c r="V7" s="698"/>
      <c r="W7" s="30">
        <v>889717</v>
      </c>
      <c r="X7" s="30">
        <f>SUM(W7*120/100)</f>
        <v>1067660.3999999999</v>
      </c>
      <c r="Y7" s="30" t="e">
        <f>SUM(W7-(P7+#REF!))</f>
        <v>#REF!</v>
      </c>
    </row>
    <row r="8" spans="1:25" ht="48.75" thickBot="1">
      <c r="A8" s="78" t="str">
        <f>CONCATENATE('3 pr-2'!A16)</f>
        <v>1.1.1.1.7</v>
      </c>
      <c r="B8" s="78" t="str">
        <f>CONCATENATE('3 pr-2'!B16)</f>
        <v>R01-ZM72-123200-1107</v>
      </c>
      <c r="C8" s="78" t="s">
        <v>417</v>
      </c>
      <c r="D8" s="78" t="s">
        <v>184</v>
      </c>
      <c r="E8" s="78" t="s">
        <v>74</v>
      </c>
      <c r="F8" s="78" t="s">
        <v>1799</v>
      </c>
      <c r="G8" s="78" t="s">
        <v>437</v>
      </c>
      <c r="H8" s="14" t="s">
        <v>119</v>
      </c>
      <c r="I8" s="14" t="s">
        <v>66</v>
      </c>
      <c r="J8" s="14" t="s">
        <v>66</v>
      </c>
      <c r="K8" s="632">
        <f t="shared" ref="K8:K15" ca="1" si="3">SUM(L8:P8)</f>
        <v>252211.6</v>
      </c>
      <c r="L8" s="632">
        <f>SUM('3 pr-2'!O16)</f>
        <v>52211.6</v>
      </c>
      <c r="M8" s="1638">
        <f ca="1">SUM('3 pr-2'!R16)</f>
        <v>0</v>
      </c>
      <c r="N8" s="632">
        <v>0</v>
      </c>
      <c r="O8" s="632">
        <v>0</v>
      </c>
      <c r="P8" s="1638">
        <f>'3 pr-2'!AA16</f>
        <v>200000</v>
      </c>
      <c r="Q8" s="632"/>
      <c r="R8" s="323">
        <v>42643</v>
      </c>
      <c r="S8" s="323">
        <v>42855</v>
      </c>
      <c r="T8" s="323">
        <v>43010</v>
      </c>
      <c r="U8" s="323">
        <v>43102</v>
      </c>
      <c r="V8" s="323">
        <v>43465</v>
      </c>
      <c r="W8" s="30"/>
      <c r="X8" s="30"/>
      <c r="Y8" s="30"/>
    </row>
    <row r="9" spans="1:25" ht="36.75" thickBot="1">
      <c r="A9" s="78" t="str">
        <f>CONCATENATE('3 pr-2'!A17)</f>
        <v>1.1.1.1.8</v>
      </c>
      <c r="B9" s="78" t="str">
        <f>CONCATENATE('3 pr-2'!B17)</f>
        <v>R01-ZM72-123200-1108</v>
      </c>
      <c r="C9" s="78" t="s">
        <v>418</v>
      </c>
      <c r="D9" s="78" t="s">
        <v>184</v>
      </c>
      <c r="E9" s="78" t="s">
        <v>74</v>
      </c>
      <c r="F9" s="78" t="s">
        <v>1799</v>
      </c>
      <c r="G9" s="78" t="s">
        <v>437</v>
      </c>
      <c r="H9" s="14" t="s">
        <v>119</v>
      </c>
      <c r="I9" s="14" t="s">
        <v>66</v>
      </c>
      <c r="J9" s="14" t="s">
        <v>66</v>
      </c>
      <c r="K9" s="632">
        <f t="shared" ca="1" si="3"/>
        <v>250309.29</v>
      </c>
      <c r="L9" s="632">
        <f>SUM('3 pr-2'!O17)</f>
        <v>50309.29</v>
      </c>
      <c r="M9" s="1638">
        <f ca="1">SUM('3 pr-2'!R17)</f>
        <v>0</v>
      </c>
      <c r="N9" s="632">
        <v>0</v>
      </c>
      <c r="O9" s="632">
        <v>0</v>
      </c>
      <c r="P9" s="1638">
        <f>'3 pr-2'!AA17</f>
        <v>200000</v>
      </c>
      <c r="Q9" s="632"/>
      <c r="R9" s="323">
        <v>42643</v>
      </c>
      <c r="S9" s="323">
        <v>42855</v>
      </c>
      <c r="T9" s="323">
        <v>43010</v>
      </c>
      <c r="U9" s="323">
        <v>43102</v>
      </c>
      <c r="V9" s="323">
        <v>43465</v>
      </c>
      <c r="W9" s="35"/>
      <c r="X9" s="35"/>
      <c r="Y9" s="36"/>
    </row>
    <row r="10" spans="1:25" ht="36.75" thickBot="1">
      <c r="A10" s="78" t="str">
        <f>CONCATENATE('3 pr-2'!A21)</f>
        <v>1.1.1.1.12</v>
      </c>
      <c r="B10" s="78" t="str">
        <f>CONCATENATE('3 pr-2'!B21)</f>
        <v>R01-ZM72-120000-1112</v>
      </c>
      <c r="C10" s="78" t="s">
        <v>422</v>
      </c>
      <c r="D10" s="78" t="s">
        <v>184</v>
      </c>
      <c r="E10" s="78" t="s">
        <v>74</v>
      </c>
      <c r="F10" s="78" t="s">
        <v>1799</v>
      </c>
      <c r="G10" s="78" t="s">
        <v>437</v>
      </c>
      <c r="H10" s="14" t="s">
        <v>119</v>
      </c>
      <c r="I10" s="14" t="s">
        <v>66</v>
      </c>
      <c r="J10" s="14" t="s">
        <v>66</v>
      </c>
      <c r="K10" s="632">
        <f t="shared" si="3"/>
        <v>190756</v>
      </c>
      <c r="L10" s="632">
        <f>SUM('3 pr-2'!O21)</f>
        <v>67904</v>
      </c>
      <c r="M10" s="1638">
        <v>0</v>
      </c>
      <c r="N10" s="632">
        <v>0</v>
      </c>
      <c r="O10" s="632">
        <v>0</v>
      </c>
      <c r="P10" s="1638">
        <f>'3 pr-2'!AA21</f>
        <v>122852</v>
      </c>
      <c r="Q10" s="632"/>
      <c r="R10" s="323">
        <v>42643</v>
      </c>
      <c r="S10" s="323">
        <v>42855</v>
      </c>
      <c r="T10" s="323">
        <v>43010</v>
      </c>
      <c r="U10" s="323">
        <v>43102</v>
      </c>
      <c r="V10" s="323">
        <v>43465</v>
      </c>
      <c r="W10" s="30"/>
      <c r="X10" s="30"/>
      <c r="Y10" s="37"/>
    </row>
    <row r="11" spans="1:25" ht="36.75" thickBot="1">
      <c r="A11" s="78" t="str">
        <f>CONCATENATE('3 pr-2'!A22)</f>
        <v>1.1.1.1.13</v>
      </c>
      <c r="B11" s="78" t="str">
        <f>CONCATENATE('3 pr-2'!B22)</f>
        <v>R01-ZM72-123200-1113</v>
      </c>
      <c r="C11" s="78" t="s">
        <v>423</v>
      </c>
      <c r="D11" s="78" t="s">
        <v>184</v>
      </c>
      <c r="E11" s="78" t="s">
        <v>74</v>
      </c>
      <c r="F11" s="78" t="s">
        <v>1799</v>
      </c>
      <c r="G11" s="78" t="s">
        <v>437</v>
      </c>
      <c r="H11" s="14" t="s">
        <v>119</v>
      </c>
      <c r="I11" s="14" t="s">
        <v>66</v>
      </c>
      <c r="J11" s="14" t="s">
        <v>66</v>
      </c>
      <c r="K11" s="1638">
        <f t="shared" si="3"/>
        <v>247392.46</v>
      </c>
      <c r="L11" s="1638">
        <f>SUM('3 pr-2'!O22)</f>
        <v>47392.46</v>
      </c>
      <c r="M11" s="1638">
        <v>0</v>
      </c>
      <c r="N11" s="632">
        <v>0</v>
      </c>
      <c r="O11" s="632">
        <v>0</v>
      </c>
      <c r="P11" s="1638">
        <f>'3 pr-2'!AA22</f>
        <v>200000</v>
      </c>
      <c r="Q11" s="632"/>
      <c r="R11" s="323">
        <v>42643</v>
      </c>
      <c r="S11" s="323">
        <v>42855</v>
      </c>
      <c r="T11" s="323">
        <v>43010</v>
      </c>
      <c r="U11" s="323">
        <v>43102</v>
      </c>
      <c r="V11" s="323">
        <v>43465</v>
      </c>
      <c r="W11" s="30"/>
      <c r="X11" s="30"/>
      <c r="Y11" s="37"/>
    </row>
    <row r="12" spans="1:25" ht="36.75" thickBot="1">
      <c r="A12" s="78" t="str">
        <f>CONCATENATE('3 pr-2'!A24)</f>
        <v>1.1.1.1.15</v>
      </c>
      <c r="B12" s="78" t="str">
        <f>CONCATENATE('3 pr-2'!B24)</f>
        <v>R01-ZM72-123200-1115</v>
      </c>
      <c r="C12" s="78" t="s">
        <v>425</v>
      </c>
      <c r="D12" s="78" t="s">
        <v>184</v>
      </c>
      <c r="E12" s="78" t="s">
        <v>74</v>
      </c>
      <c r="F12" s="78" t="s">
        <v>1799</v>
      </c>
      <c r="G12" s="78" t="s">
        <v>437</v>
      </c>
      <c r="H12" s="14" t="s">
        <v>119</v>
      </c>
      <c r="I12" s="14" t="s">
        <v>66</v>
      </c>
      <c r="J12" s="14" t="s">
        <v>66</v>
      </c>
      <c r="K12" s="632">
        <f t="shared" si="3"/>
        <v>75880</v>
      </c>
      <c r="L12" s="632">
        <f>SUM('3 pr-2'!O24)</f>
        <v>15176</v>
      </c>
      <c r="M12" s="1638">
        <v>0</v>
      </c>
      <c r="N12" s="632">
        <v>0</v>
      </c>
      <c r="O12" s="632">
        <v>0</v>
      </c>
      <c r="P12" s="1638">
        <f>'3 pr-2'!AA24</f>
        <v>60704</v>
      </c>
      <c r="Q12" s="632"/>
      <c r="R12" s="323">
        <v>42643</v>
      </c>
      <c r="S12" s="323">
        <v>42855</v>
      </c>
      <c r="T12" s="323">
        <v>43010</v>
      </c>
      <c r="U12" s="323">
        <v>43102</v>
      </c>
      <c r="V12" s="323">
        <v>43465</v>
      </c>
      <c r="W12" s="30"/>
      <c r="X12" s="30"/>
      <c r="Y12" s="37"/>
    </row>
    <row r="13" spans="1:25" ht="36.75" thickBot="1">
      <c r="A13" s="78" t="str">
        <f>CONCATENATE('3 pr-2'!A25)</f>
        <v>1.1.1.1.16</v>
      </c>
      <c r="B13" s="78" t="str">
        <f>CONCATENATE('3 pr-2'!B25)</f>
        <v>R01-ZM72-123200-1116</v>
      </c>
      <c r="C13" s="78" t="s">
        <v>426</v>
      </c>
      <c r="D13" s="78" t="s">
        <v>184</v>
      </c>
      <c r="E13" s="78" t="s">
        <v>74</v>
      </c>
      <c r="F13" s="78" t="s">
        <v>1799</v>
      </c>
      <c r="G13" s="78" t="s">
        <v>437</v>
      </c>
      <c r="H13" s="14" t="s">
        <v>119</v>
      </c>
      <c r="I13" s="14" t="s">
        <v>66</v>
      </c>
      <c r="J13" s="14" t="s">
        <v>66</v>
      </c>
      <c r="K13" s="1638">
        <f t="shared" si="3"/>
        <v>141312</v>
      </c>
      <c r="L13" s="1638">
        <f>SUM('3 pr-2'!O25)</f>
        <v>44913</v>
      </c>
      <c r="M13" s="1638">
        <v>0</v>
      </c>
      <c r="N13" s="632">
        <v>0</v>
      </c>
      <c r="O13" s="632">
        <v>0</v>
      </c>
      <c r="P13" s="1638">
        <f>'3 pr-2'!AA25</f>
        <v>96399</v>
      </c>
      <c r="Q13" s="632"/>
      <c r="R13" s="323">
        <v>42643</v>
      </c>
      <c r="S13" s="323">
        <v>42855</v>
      </c>
      <c r="T13" s="323">
        <v>43010</v>
      </c>
      <c r="U13" s="323">
        <v>43102</v>
      </c>
      <c r="V13" s="323">
        <v>43465</v>
      </c>
      <c r="W13" s="30"/>
      <c r="X13" s="30"/>
      <c r="Y13" s="37"/>
    </row>
    <row r="14" spans="1:25" ht="36.75" thickBot="1">
      <c r="A14" s="78" t="str">
        <f>CONCATENATE('3 pr-2'!A28)</f>
        <v>1.1.1.1.19</v>
      </c>
      <c r="B14" s="78" t="str">
        <f>CONCATENATE('3 pr-2'!B28)</f>
        <v>R01-ZM72-120000-1119</v>
      </c>
      <c r="C14" s="78" t="s">
        <v>429</v>
      </c>
      <c r="D14" s="78" t="s">
        <v>184</v>
      </c>
      <c r="E14" s="78" t="s">
        <v>74</v>
      </c>
      <c r="F14" s="78" t="s">
        <v>1799</v>
      </c>
      <c r="G14" s="78" t="s">
        <v>437</v>
      </c>
      <c r="H14" s="14" t="s">
        <v>119</v>
      </c>
      <c r="I14" s="14" t="s">
        <v>66</v>
      </c>
      <c r="J14" s="14" t="s">
        <v>66</v>
      </c>
      <c r="K14" s="1638">
        <f t="shared" si="3"/>
        <v>118362</v>
      </c>
      <c r="L14" s="1638">
        <f>SUM('3 pr-2'!O28)</f>
        <v>23973</v>
      </c>
      <c r="M14" s="1638">
        <v>0</v>
      </c>
      <c r="N14" s="632">
        <v>0</v>
      </c>
      <c r="O14" s="632">
        <v>0</v>
      </c>
      <c r="P14" s="1638">
        <f>'3 pr-2'!AA28</f>
        <v>94389</v>
      </c>
      <c r="Q14" s="632"/>
      <c r="R14" s="323">
        <v>42643</v>
      </c>
      <c r="S14" s="323">
        <v>42855</v>
      </c>
      <c r="T14" s="323">
        <v>43010</v>
      </c>
      <c r="U14" s="323">
        <v>43102</v>
      </c>
      <c r="V14" s="323">
        <v>43465</v>
      </c>
      <c r="W14" s="30"/>
      <c r="X14" s="30"/>
      <c r="Y14" s="37"/>
    </row>
    <row r="15" spans="1:25" ht="36.75" thickBot="1">
      <c r="A15" s="78" t="str">
        <f>CONCATENATE('3 pr-2'!A31)</f>
        <v>1.1.1.1.22</v>
      </c>
      <c r="B15" s="78" t="str">
        <f>CONCATENATE('3 pr-2'!B31)</f>
        <v>R01-ZM72-120000-1122</v>
      </c>
      <c r="C15" s="78" t="s">
        <v>432</v>
      </c>
      <c r="D15" s="78" t="s">
        <v>184</v>
      </c>
      <c r="E15" s="78" t="s">
        <v>74</v>
      </c>
      <c r="F15" s="78" t="s">
        <v>1799</v>
      </c>
      <c r="G15" s="78" t="s">
        <v>437</v>
      </c>
      <c r="H15" s="14" t="s">
        <v>119</v>
      </c>
      <c r="I15" s="14" t="s">
        <v>66</v>
      </c>
      <c r="J15" s="14" t="s">
        <v>66</v>
      </c>
      <c r="K15" s="1638">
        <f t="shared" si="3"/>
        <v>145772</v>
      </c>
      <c r="L15" s="1638">
        <f>SUM('3 pr-2'!O31)</f>
        <v>88979</v>
      </c>
      <c r="M15" s="1638">
        <v>0</v>
      </c>
      <c r="N15" s="632">
        <v>0</v>
      </c>
      <c r="O15" s="632">
        <v>0</v>
      </c>
      <c r="P15" s="1638">
        <f>'3 pr-2'!AA31</f>
        <v>56793</v>
      </c>
      <c r="Q15" s="632"/>
      <c r="R15" s="323">
        <v>42643</v>
      </c>
      <c r="S15" s="323">
        <v>42855</v>
      </c>
      <c r="T15" s="323">
        <v>43010</v>
      </c>
      <c r="U15" s="323">
        <v>43102</v>
      </c>
      <c r="V15" s="323">
        <v>43465</v>
      </c>
      <c r="W15" s="30"/>
      <c r="X15" s="30"/>
      <c r="Y15" s="37"/>
    </row>
    <row r="16" spans="1:25" ht="39" customHeight="1" thickBot="1">
      <c r="A16" s="697" t="s">
        <v>14</v>
      </c>
      <c r="B16" s="1625"/>
      <c r="C16" s="2014" t="s">
        <v>596</v>
      </c>
      <c r="D16" s="2015"/>
      <c r="E16" s="2015"/>
      <c r="F16" s="2015"/>
      <c r="G16" s="2015"/>
      <c r="H16" s="2015"/>
      <c r="I16" s="2015"/>
      <c r="J16" s="2016"/>
      <c r="K16" s="1014">
        <f t="shared" ref="K16:O16" si="4">SUM(K17)</f>
        <v>1043467</v>
      </c>
      <c r="L16" s="1014">
        <f t="shared" si="4"/>
        <v>78261</v>
      </c>
      <c r="M16" s="1014">
        <f t="shared" si="4"/>
        <v>78260</v>
      </c>
      <c r="N16" s="1014">
        <f t="shared" si="4"/>
        <v>0</v>
      </c>
      <c r="O16" s="1014">
        <f t="shared" si="4"/>
        <v>0</v>
      </c>
      <c r="P16" s="1014">
        <f>SUM(P17)</f>
        <v>886946</v>
      </c>
      <c r="Q16" s="1014"/>
      <c r="R16" s="708"/>
      <c r="S16" s="698"/>
      <c r="T16" s="698"/>
      <c r="U16" s="698"/>
      <c r="V16" s="698"/>
      <c r="W16" s="30">
        <v>886947</v>
      </c>
      <c r="X16" s="30">
        <f>SUM(W16*120/100)</f>
        <v>1064336.3999999999</v>
      </c>
      <c r="Y16" s="30">
        <f>SUM(W16-P16)</f>
        <v>1</v>
      </c>
    </row>
    <row r="17" spans="1:25" s="653" customFormat="1" ht="48.75" thickBot="1">
      <c r="A17" s="78" t="str">
        <f>CONCATENATE('3 pr-2'!A36)</f>
        <v>1.1.1.2.3</v>
      </c>
      <c r="B17" s="78" t="str">
        <f>CONCATENATE('3 pr-2'!B36)</f>
        <v>R01-9908-290000-1123</v>
      </c>
      <c r="C17" s="78" t="s">
        <v>183</v>
      </c>
      <c r="D17" s="78" t="s">
        <v>184</v>
      </c>
      <c r="E17" s="78" t="s">
        <v>75</v>
      </c>
      <c r="F17" s="78" t="s">
        <v>1799</v>
      </c>
      <c r="G17" s="78" t="s">
        <v>146</v>
      </c>
      <c r="H17" s="14" t="s">
        <v>119</v>
      </c>
      <c r="I17" s="14" t="s">
        <v>66</v>
      </c>
      <c r="J17" s="14" t="s">
        <v>66</v>
      </c>
      <c r="K17" s="632">
        <f>SUM(L17:P17)</f>
        <v>1043467</v>
      </c>
      <c r="L17" s="632">
        <v>78261</v>
      </c>
      <c r="M17" s="632">
        <v>78260</v>
      </c>
      <c r="N17" s="632">
        <v>0</v>
      </c>
      <c r="O17" s="632">
        <v>0</v>
      </c>
      <c r="P17" s="632">
        <v>886946</v>
      </c>
      <c r="Q17" s="632"/>
      <c r="R17" s="323">
        <v>42982</v>
      </c>
      <c r="S17" s="323">
        <v>43465</v>
      </c>
      <c r="T17" s="323">
        <v>43555</v>
      </c>
      <c r="U17" s="323">
        <v>43646</v>
      </c>
      <c r="V17" s="323">
        <v>44377</v>
      </c>
      <c r="W17" s="30"/>
      <c r="X17" s="30"/>
      <c r="Y17" s="30"/>
    </row>
    <row r="18" spans="1:25" ht="39" customHeight="1" thickBot="1">
      <c r="A18" s="697" t="s">
        <v>70</v>
      </c>
      <c r="B18" s="1625"/>
      <c r="C18" s="2014" t="s">
        <v>605</v>
      </c>
      <c r="D18" s="2015"/>
      <c r="E18" s="2015"/>
      <c r="F18" s="2015"/>
      <c r="G18" s="2015"/>
      <c r="H18" s="2015"/>
      <c r="I18" s="2015"/>
      <c r="J18" s="2016"/>
      <c r="K18" s="1014">
        <f t="shared" ref="K18:P20" si="5">SUM(K19:K19)</f>
        <v>0</v>
      </c>
      <c r="L18" s="1014">
        <f t="shared" si="5"/>
        <v>0</v>
      </c>
      <c r="M18" s="1014">
        <f t="shared" si="5"/>
        <v>0</v>
      </c>
      <c r="N18" s="1014">
        <f t="shared" si="5"/>
        <v>0</v>
      </c>
      <c r="O18" s="1014">
        <f t="shared" si="5"/>
        <v>0</v>
      </c>
      <c r="P18" s="1014">
        <f t="shared" si="5"/>
        <v>0</v>
      </c>
      <c r="Q18" s="1014"/>
      <c r="R18" s="708"/>
      <c r="S18" s="698"/>
      <c r="T18" s="698"/>
      <c r="U18" s="698"/>
      <c r="V18" s="698"/>
      <c r="W18" s="30">
        <v>0</v>
      </c>
      <c r="X18" s="30">
        <f>SUM(W18*120/100)</f>
        <v>0</v>
      </c>
      <c r="Y18" s="30">
        <f>SUM(W18-P18)</f>
        <v>0</v>
      </c>
    </row>
    <row r="19" spans="1:25" ht="15.75" thickBot="1">
      <c r="A19" s="8"/>
      <c r="B19" s="8"/>
      <c r="C19" s="8"/>
      <c r="D19" s="7"/>
      <c r="E19" s="7"/>
      <c r="F19" s="7"/>
      <c r="G19" s="1"/>
      <c r="H19" s="7" t="s">
        <v>66</v>
      </c>
      <c r="I19" s="7"/>
      <c r="J19" s="7" t="s">
        <v>66</v>
      </c>
      <c r="K19" s="36"/>
      <c r="L19" s="36"/>
      <c r="M19" s="36"/>
      <c r="N19" s="36"/>
      <c r="O19" s="36"/>
      <c r="P19" s="36"/>
      <c r="Q19" s="36"/>
      <c r="R19" s="12"/>
      <c r="S19" s="1626"/>
      <c r="T19" s="1626"/>
      <c r="U19" s="1626"/>
      <c r="V19" s="7"/>
      <c r="W19" s="30"/>
      <c r="X19" s="30"/>
      <c r="Y19" s="30"/>
    </row>
    <row r="20" spans="1:25" ht="39" customHeight="1" thickBot="1">
      <c r="A20" s="697" t="s">
        <v>16</v>
      </c>
      <c r="B20" s="1625"/>
      <c r="C20" s="2014" t="s">
        <v>606</v>
      </c>
      <c r="D20" s="2015"/>
      <c r="E20" s="2015"/>
      <c r="F20" s="2015"/>
      <c r="G20" s="2015"/>
      <c r="H20" s="2015"/>
      <c r="I20" s="2015"/>
      <c r="J20" s="2016"/>
      <c r="K20" s="1014">
        <f t="shared" si="5"/>
        <v>0</v>
      </c>
      <c r="L20" s="1014">
        <f t="shared" si="5"/>
        <v>0</v>
      </c>
      <c r="M20" s="1014">
        <f t="shared" si="5"/>
        <v>0</v>
      </c>
      <c r="N20" s="1014">
        <f t="shared" si="5"/>
        <v>0</v>
      </c>
      <c r="O20" s="1014">
        <f t="shared" si="5"/>
        <v>0</v>
      </c>
      <c r="P20" s="1014">
        <f t="shared" si="5"/>
        <v>0</v>
      </c>
      <c r="Q20" s="1014"/>
      <c r="R20" s="708"/>
      <c r="S20" s="698"/>
      <c r="T20" s="698"/>
      <c r="U20" s="698"/>
      <c r="V20" s="698"/>
      <c r="W20" s="30">
        <v>0</v>
      </c>
      <c r="X20" s="30">
        <f>SUM(W20*120/100)</f>
        <v>0</v>
      </c>
      <c r="Y20" s="30">
        <v>0</v>
      </c>
    </row>
    <row r="21" spans="1:25" ht="15.75" thickBot="1">
      <c r="A21" s="6"/>
      <c r="B21" s="13"/>
      <c r="C21" s="15"/>
      <c r="D21" s="15"/>
      <c r="E21" s="15"/>
      <c r="F21" s="15"/>
      <c r="G21" s="10"/>
      <c r="H21" s="15"/>
      <c r="I21" s="15"/>
      <c r="J21" s="15"/>
      <c r="K21" s="644"/>
      <c r="L21" s="644"/>
      <c r="M21" s="644"/>
      <c r="N21" s="644"/>
      <c r="O21" s="644"/>
      <c r="P21" s="644"/>
      <c r="Q21" s="644"/>
      <c r="R21" s="2"/>
      <c r="S21" s="15"/>
      <c r="T21" s="15"/>
      <c r="U21" s="15"/>
      <c r="V21" s="1627"/>
      <c r="W21" s="30"/>
      <c r="X21" s="30"/>
      <c r="Y21" s="30"/>
    </row>
    <row r="22" spans="1:25" ht="39" customHeight="1" thickBot="1">
      <c r="A22" s="697" t="s">
        <v>76</v>
      </c>
      <c r="B22" s="1625"/>
      <c r="C22" s="2014" t="s">
        <v>607</v>
      </c>
      <c r="D22" s="2015"/>
      <c r="E22" s="2015"/>
      <c r="F22" s="2015"/>
      <c r="G22" s="2015"/>
      <c r="H22" s="2015"/>
      <c r="I22" s="2015"/>
      <c r="J22" s="2016"/>
      <c r="K22" s="1014">
        <f t="shared" ref="K22:P22" si="6">SUM(K23:K23)</f>
        <v>1571000</v>
      </c>
      <c r="L22" s="1014">
        <f t="shared" si="6"/>
        <v>0</v>
      </c>
      <c r="M22" s="1014">
        <f t="shared" si="6"/>
        <v>0</v>
      </c>
      <c r="N22" s="1014">
        <f t="shared" si="6"/>
        <v>650525</v>
      </c>
      <c r="O22" s="1014">
        <f t="shared" si="6"/>
        <v>0</v>
      </c>
      <c r="P22" s="1014">
        <f t="shared" si="6"/>
        <v>920475</v>
      </c>
      <c r="Q22" s="1014"/>
      <c r="R22" s="708"/>
      <c r="S22" s="698"/>
      <c r="T22" s="698"/>
      <c r="U22" s="698"/>
      <c r="V22" s="698"/>
      <c r="W22" s="30">
        <v>867744</v>
      </c>
      <c r="X22" s="30">
        <f>SUM(W22*120/100)</f>
        <v>1041292.8</v>
      </c>
      <c r="Y22" s="30">
        <f>SUM(W22-P22)</f>
        <v>-52731</v>
      </c>
    </row>
    <row r="23" spans="1:25" ht="48.75" thickBot="1">
      <c r="A23" s="78" t="str">
        <f>CONCATENATE('3 pr-2'!A55)</f>
        <v>1.1.1.5.5.</v>
      </c>
      <c r="B23" s="78"/>
      <c r="C23" s="78" t="s">
        <v>303</v>
      </c>
      <c r="D23" s="78" t="s">
        <v>298</v>
      </c>
      <c r="E23" s="78" t="s">
        <v>77</v>
      </c>
      <c r="F23" s="78" t="s">
        <v>1799</v>
      </c>
      <c r="G23" s="78" t="s">
        <v>144</v>
      </c>
      <c r="H23" s="14" t="s">
        <v>119</v>
      </c>
      <c r="I23" s="14" t="s">
        <v>66</v>
      </c>
      <c r="J23" s="14" t="s">
        <v>66</v>
      </c>
      <c r="K23" s="632">
        <f>SUM(L23:P23)</f>
        <v>1571000</v>
      </c>
      <c r="L23" s="632">
        <v>0</v>
      </c>
      <c r="M23" s="632">
        <v>0</v>
      </c>
      <c r="N23" s="632">
        <v>650525</v>
      </c>
      <c r="O23" s="632">
        <v>0</v>
      </c>
      <c r="P23" s="632">
        <v>920475</v>
      </c>
      <c r="Q23" s="632"/>
      <c r="R23" s="323">
        <v>42451</v>
      </c>
      <c r="S23" s="323">
        <v>42551</v>
      </c>
      <c r="T23" s="323">
        <v>42919</v>
      </c>
      <c r="U23" s="323">
        <v>43146</v>
      </c>
      <c r="V23" s="323">
        <v>44196</v>
      </c>
      <c r="W23" s="30"/>
      <c r="X23" s="30"/>
      <c r="Y23" s="30"/>
    </row>
    <row r="24" spans="1:25" ht="39" customHeight="1" thickBot="1">
      <c r="A24" s="697" t="s">
        <v>79</v>
      </c>
      <c r="B24" s="1625"/>
      <c r="C24" s="2014" t="s">
        <v>608</v>
      </c>
      <c r="D24" s="2015"/>
      <c r="E24" s="2015"/>
      <c r="F24" s="2015"/>
      <c r="G24" s="2015"/>
      <c r="H24" s="2015"/>
      <c r="I24" s="2015"/>
      <c r="J24" s="2016"/>
      <c r="K24" s="1014">
        <f t="shared" ref="K24:P24" si="7">SUM(K25)</f>
        <v>0</v>
      </c>
      <c r="L24" s="1014">
        <f t="shared" si="7"/>
        <v>0</v>
      </c>
      <c r="M24" s="1014">
        <f t="shared" si="7"/>
        <v>0</v>
      </c>
      <c r="N24" s="1014">
        <f t="shared" si="7"/>
        <v>0</v>
      </c>
      <c r="O24" s="1014">
        <f t="shared" si="7"/>
        <v>0</v>
      </c>
      <c r="P24" s="1014">
        <f t="shared" si="7"/>
        <v>0</v>
      </c>
      <c r="Q24" s="1014"/>
      <c r="R24" s="708"/>
      <c r="S24" s="698"/>
      <c r="T24" s="698"/>
      <c r="U24" s="698"/>
      <c r="V24" s="698"/>
      <c r="W24" s="30">
        <v>0</v>
      </c>
      <c r="X24" s="30">
        <f>SUM(W24*120/100)</f>
        <v>0</v>
      </c>
      <c r="Y24" s="30">
        <f>SUM(W24-P24)</f>
        <v>0</v>
      </c>
    </row>
    <row r="25" spans="1:25" ht="15.75" thickBot="1">
      <c r="A25" s="78"/>
      <c r="B25" s="78"/>
      <c r="C25" s="78"/>
      <c r="D25" s="78"/>
      <c r="E25" s="78"/>
      <c r="F25" s="78"/>
      <c r="G25" s="78"/>
      <c r="H25" s="14"/>
      <c r="I25" s="14"/>
      <c r="J25" s="14"/>
      <c r="K25" s="632"/>
      <c r="L25" s="632"/>
      <c r="M25" s="632"/>
      <c r="N25" s="632"/>
      <c r="O25" s="632"/>
      <c r="P25" s="632"/>
      <c r="Q25" s="632"/>
      <c r="R25" s="16"/>
      <c r="S25" s="323"/>
      <c r="T25" s="323"/>
      <c r="U25" s="323"/>
      <c r="V25" s="339"/>
      <c r="W25" s="30"/>
      <c r="X25" s="30"/>
      <c r="Y25" s="30"/>
    </row>
    <row r="26" spans="1:25" ht="39" customHeight="1" thickBot="1">
      <c r="A26" s="697" t="s">
        <v>81</v>
      </c>
      <c r="B26" s="1625"/>
      <c r="C26" s="2014" t="s">
        <v>609</v>
      </c>
      <c r="D26" s="2015"/>
      <c r="E26" s="2015"/>
      <c r="F26" s="2015"/>
      <c r="G26" s="2015"/>
      <c r="H26" s="2015"/>
      <c r="I26" s="2015"/>
      <c r="J26" s="2016"/>
      <c r="K26" s="1014">
        <f>SUM(K27)</f>
        <v>41644.705882352944</v>
      </c>
      <c r="L26" s="1014">
        <f>SUM(L27)</f>
        <v>6246.7058823529414</v>
      </c>
      <c r="M26" s="1014">
        <f t="shared" ref="M26:O28" si="8">SUM(M27)</f>
        <v>0</v>
      </c>
      <c r="N26" s="1014">
        <f t="shared" si="8"/>
        <v>0</v>
      </c>
      <c r="O26" s="1014">
        <f t="shared" si="8"/>
        <v>0</v>
      </c>
      <c r="P26" s="1014">
        <f>SUM(P27)</f>
        <v>35398</v>
      </c>
      <c r="Q26" s="1014"/>
      <c r="R26" s="708"/>
      <c r="S26" s="698"/>
      <c r="T26" s="698"/>
      <c r="U26" s="698"/>
      <c r="V26" s="698"/>
      <c r="W26" s="30">
        <v>35398</v>
      </c>
      <c r="X26" s="30">
        <f>SUM(W26*120/100)</f>
        <v>42477.599999999999</v>
      </c>
      <c r="Y26" s="30">
        <f>SUM(W26-P26)</f>
        <v>0</v>
      </c>
    </row>
    <row r="27" spans="1:25" ht="36.75" thickBot="1">
      <c r="A27" s="78" t="s">
        <v>83</v>
      </c>
      <c r="B27" s="78"/>
      <c r="C27" s="78" t="s">
        <v>270</v>
      </c>
      <c r="D27" s="78" t="s">
        <v>345</v>
      </c>
      <c r="E27" s="78" t="s">
        <v>82</v>
      </c>
      <c r="F27" s="78" t="s">
        <v>185</v>
      </c>
      <c r="G27" s="228" t="s">
        <v>142</v>
      </c>
      <c r="H27" s="14" t="s">
        <v>119</v>
      </c>
      <c r="I27" s="14" t="s">
        <v>66</v>
      </c>
      <c r="J27" s="16" t="s">
        <v>66</v>
      </c>
      <c r="K27" s="632">
        <f>SUM(L27:P27)</f>
        <v>41644.705882352944</v>
      </c>
      <c r="L27" s="632">
        <v>6246.7058823529414</v>
      </c>
      <c r="M27" s="632">
        <v>0</v>
      </c>
      <c r="N27" s="632">
        <v>0</v>
      </c>
      <c r="O27" s="632">
        <v>0</v>
      </c>
      <c r="P27" s="632">
        <v>35398</v>
      </c>
      <c r="Q27" s="632"/>
      <c r="R27" s="16"/>
      <c r="S27" s="323">
        <v>42643</v>
      </c>
      <c r="T27" s="323">
        <v>42766</v>
      </c>
      <c r="U27" s="323">
        <v>42855</v>
      </c>
      <c r="V27" s="323">
        <v>43830</v>
      </c>
      <c r="W27" s="30"/>
      <c r="X27" s="30"/>
      <c r="Y27" s="30"/>
    </row>
    <row r="28" spans="1:25" ht="39" customHeight="1" thickBot="1">
      <c r="A28" s="697" t="s">
        <v>84</v>
      </c>
      <c r="B28" s="1625"/>
      <c r="C28" s="2014" t="s">
        <v>610</v>
      </c>
      <c r="D28" s="2015"/>
      <c r="E28" s="2015"/>
      <c r="F28" s="2015"/>
      <c r="G28" s="2015"/>
      <c r="H28" s="2015"/>
      <c r="I28" s="2015"/>
      <c r="J28" s="2016"/>
      <c r="K28" s="1014">
        <f>SUM(K29)</f>
        <v>0</v>
      </c>
      <c r="L28" s="1014">
        <f>SUM(L29)</f>
        <v>0</v>
      </c>
      <c r="M28" s="1014">
        <f t="shared" si="8"/>
        <v>0</v>
      </c>
      <c r="N28" s="1014">
        <f t="shared" si="8"/>
        <v>0</v>
      </c>
      <c r="O28" s="1014">
        <f t="shared" si="8"/>
        <v>0</v>
      </c>
      <c r="P28" s="1014">
        <f>SUM(P29)</f>
        <v>0</v>
      </c>
      <c r="Q28" s="1014"/>
      <c r="R28" s="708"/>
      <c r="S28" s="698"/>
      <c r="T28" s="698"/>
      <c r="U28" s="698"/>
      <c r="V28" s="698"/>
      <c r="W28" s="30">
        <v>0</v>
      </c>
      <c r="X28" s="30">
        <f>SUM(W28*120/100)</f>
        <v>0</v>
      </c>
      <c r="Y28" s="30">
        <f>SUM(W28-P28)</f>
        <v>0</v>
      </c>
    </row>
    <row r="29" spans="1:25" ht="15.75" thickBot="1">
      <c r="A29" s="8"/>
      <c r="B29" s="8"/>
      <c r="C29" s="8"/>
      <c r="D29" s="7"/>
      <c r="E29" s="7"/>
      <c r="F29" s="7"/>
      <c r="G29" s="11"/>
      <c r="H29" s="8"/>
      <c r="I29" s="8"/>
      <c r="J29" s="8"/>
      <c r="K29" s="1628"/>
      <c r="L29" s="50"/>
      <c r="M29" s="50"/>
      <c r="N29" s="50"/>
      <c r="O29" s="50"/>
      <c r="P29" s="50"/>
      <c r="Q29" s="50"/>
      <c r="R29" s="5"/>
      <c r="S29" s="1629"/>
      <c r="T29" s="1629"/>
      <c r="U29" s="1629"/>
      <c r="V29" s="8"/>
      <c r="W29" s="30"/>
      <c r="X29" s="30"/>
      <c r="Y29" s="30"/>
    </row>
    <row r="30" spans="1:25" ht="39" customHeight="1" thickBot="1">
      <c r="A30" s="697" t="s">
        <v>86</v>
      </c>
      <c r="B30" s="1625"/>
      <c r="C30" s="2014" t="s">
        <v>611</v>
      </c>
      <c r="D30" s="2015"/>
      <c r="E30" s="2015"/>
      <c r="F30" s="2015"/>
      <c r="G30" s="2015"/>
      <c r="H30" s="2015"/>
      <c r="I30" s="2015"/>
      <c r="J30" s="2016"/>
      <c r="K30" s="1014">
        <f>SUM(K31)</f>
        <v>234872.55</v>
      </c>
      <c r="L30" s="1014">
        <f t="shared" ref="L30:O30" si="9">SUM(L31)</f>
        <v>35230.89</v>
      </c>
      <c r="M30" s="1014">
        <f t="shared" si="9"/>
        <v>0</v>
      </c>
      <c r="N30" s="1014">
        <f t="shared" si="9"/>
        <v>0</v>
      </c>
      <c r="O30" s="1014">
        <f t="shared" si="9"/>
        <v>0</v>
      </c>
      <c r="P30" s="1014">
        <f>SUM(P31)</f>
        <v>199641.66</v>
      </c>
      <c r="Q30" s="1014"/>
      <c r="R30" s="708"/>
      <c r="S30" s="698"/>
      <c r="T30" s="698"/>
      <c r="U30" s="698"/>
      <c r="V30" s="698"/>
      <c r="W30" s="30">
        <v>206056.32199999999</v>
      </c>
      <c r="X30" s="30">
        <f>SUM(W30*120/100)</f>
        <v>247267.58639999997</v>
      </c>
      <c r="Y30" s="30">
        <f>SUM(W30-P30)</f>
        <v>6414.6619999999821</v>
      </c>
    </row>
    <row r="31" spans="1:25" ht="36.75" thickBot="1">
      <c r="A31" s="78" t="str">
        <f>CONCATENATE('3 pr-2'!A71)</f>
        <v>1.1.1.9.4</v>
      </c>
      <c r="B31" s="78"/>
      <c r="C31" s="78" t="s">
        <v>377</v>
      </c>
      <c r="D31" s="78" t="s">
        <v>184</v>
      </c>
      <c r="E31" s="78" t="s">
        <v>116</v>
      </c>
      <c r="F31" s="78" t="s">
        <v>1799</v>
      </c>
      <c r="G31" s="228" t="s">
        <v>182</v>
      </c>
      <c r="H31" s="14" t="s">
        <v>119</v>
      </c>
      <c r="I31" s="14" t="s">
        <v>66</v>
      </c>
      <c r="J31" s="16" t="s">
        <v>66</v>
      </c>
      <c r="K31" s="632">
        <f>SUM(L31:P31)</f>
        <v>234872.55</v>
      </c>
      <c r="L31" s="632">
        <v>35230.89</v>
      </c>
      <c r="M31" s="632">
        <v>0</v>
      </c>
      <c r="N31" s="632">
        <v>0</v>
      </c>
      <c r="O31" s="632">
        <v>0</v>
      </c>
      <c r="P31" s="632">
        <v>199641.66</v>
      </c>
      <c r="Q31" s="632"/>
      <c r="R31" s="323">
        <v>42667</v>
      </c>
      <c r="S31" s="323">
        <v>42794</v>
      </c>
      <c r="T31" s="155">
        <v>43190</v>
      </c>
      <c r="U31" s="155">
        <v>43281</v>
      </c>
      <c r="V31" s="323">
        <v>44196</v>
      </c>
      <c r="W31" s="30"/>
      <c r="X31" s="30"/>
      <c r="Y31" s="30"/>
    </row>
    <row r="32" spans="1:25" ht="37.5" customHeight="1" thickBot="1">
      <c r="A32" s="1623" t="s">
        <v>22</v>
      </c>
      <c r="B32" s="1624"/>
      <c r="C32" s="2013" t="s">
        <v>1387</v>
      </c>
      <c r="D32" s="1946"/>
      <c r="E32" s="1946"/>
      <c r="F32" s="1946"/>
      <c r="G32" s="1946"/>
      <c r="H32" s="1946"/>
      <c r="I32" s="1946"/>
      <c r="J32" s="1947"/>
      <c r="K32" s="1021">
        <f t="shared" ref="K32:P32" si="10">SUM(K33+K35+K37+K39)</f>
        <v>870714.54</v>
      </c>
      <c r="L32" s="1021">
        <f t="shared" si="10"/>
        <v>222390.90999999997</v>
      </c>
      <c r="M32" s="1021">
        <f t="shared" si="10"/>
        <v>0</v>
      </c>
      <c r="N32" s="1021">
        <f t="shared" si="10"/>
        <v>86123.5</v>
      </c>
      <c r="O32" s="1021">
        <f t="shared" si="10"/>
        <v>0</v>
      </c>
      <c r="P32" s="1021">
        <f t="shared" si="10"/>
        <v>562200.13</v>
      </c>
      <c r="Q32" s="1021"/>
      <c r="R32" s="122"/>
      <c r="S32" s="731"/>
      <c r="T32" s="731"/>
      <c r="U32" s="731"/>
      <c r="V32" s="732"/>
      <c r="W32" s="30">
        <f>SUM(W33+W35+W37+W39)</f>
        <v>569263</v>
      </c>
      <c r="X32" s="30">
        <f>SUM(X33+X35+X37+X39)</f>
        <v>683115.6</v>
      </c>
      <c r="Y32" s="30">
        <f>SUM(Y33+Y35+Y37+Y39)</f>
        <v>7062.8699999999953</v>
      </c>
    </row>
    <row r="33" spans="1:27" ht="39" customHeight="1" thickBot="1">
      <c r="A33" s="697" t="s">
        <v>88</v>
      </c>
      <c r="B33" s="1625"/>
      <c r="C33" s="2014" t="s">
        <v>613</v>
      </c>
      <c r="D33" s="2015"/>
      <c r="E33" s="2015"/>
      <c r="F33" s="2015"/>
      <c r="G33" s="2015"/>
      <c r="H33" s="2015"/>
      <c r="I33" s="2015"/>
      <c r="J33" s="2016"/>
      <c r="K33" s="1014">
        <f t="shared" ref="K33:O33" si="11">SUM(K34)</f>
        <v>496947</v>
      </c>
      <c r="L33" s="1014">
        <f t="shared" si="11"/>
        <v>133574.5</v>
      </c>
      <c r="M33" s="1014">
        <f t="shared" si="11"/>
        <v>0</v>
      </c>
      <c r="N33" s="1014">
        <f t="shared" si="11"/>
        <v>86123.5</v>
      </c>
      <c r="O33" s="1014">
        <f t="shared" si="11"/>
        <v>0</v>
      </c>
      <c r="P33" s="1014">
        <f>SUM(P34)</f>
        <v>277249</v>
      </c>
      <c r="Q33" s="1014"/>
      <c r="R33" s="708"/>
      <c r="S33" s="698"/>
      <c r="T33" s="698"/>
      <c r="U33" s="698"/>
      <c r="V33" s="698"/>
      <c r="W33" s="30">
        <f>SUM(P34)</f>
        <v>277249</v>
      </c>
      <c r="X33" s="30">
        <f>SUM(W33*120/100)</f>
        <v>332698.8</v>
      </c>
      <c r="Y33" s="30">
        <f>SUM(W33-P33)</f>
        <v>0</v>
      </c>
    </row>
    <row r="34" spans="1:27" ht="48.75" thickBot="1">
      <c r="A34" s="78" t="str">
        <f>CONCATENATE('3 pr-2'!A76)</f>
        <v>1.1.2.1.2</v>
      </c>
      <c r="B34" s="78"/>
      <c r="C34" s="78" t="s">
        <v>1525</v>
      </c>
      <c r="D34" s="78" t="s">
        <v>184</v>
      </c>
      <c r="E34" s="78" t="s">
        <v>115</v>
      </c>
      <c r="F34" s="78" t="s">
        <v>1799</v>
      </c>
      <c r="G34" s="228" t="s">
        <v>135</v>
      </c>
      <c r="H34" s="14" t="s">
        <v>119</v>
      </c>
      <c r="I34" s="14" t="s">
        <v>66</v>
      </c>
      <c r="J34" s="16" t="s">
        <v>66</v>
      </c>
      <c r="K34" s="1638">
        <f>SUM(L34:P34)</f>
        <v>496947</v>
      </c>
      <c r="L34" s="1638">
        <v>133574.5</v>
      </c>
      <c r="M34" s="632">
        <v>0</v>
      </c>
      <c r="N34" s="1638">
        <v>86123.5</v>
      </c>
      <c r="O34" s="632">
        <v>0</v>
      </c>
      <c r="P34" s="632">
        <v>277249</v>
      </c>
      <c r="Q34" s="632"/>
      <c r="R34" s="323">
        <v>42877</v>
      </c>
      <c r="S34" s="1673">
        <v>43292</v>
      </c>
      <c r="T34" s="1673">
        <v>43633</v>
      </c>
      <c r="U34" s="1673">
        <v>43738</v>
      </c>
      <c r="V34" s="1673">
        <v>44285</v>
      </c>
      <c r="W34" s="30"/>
      <c r="X34" s="30"/>
      <c r="Y34" s="30"/>
      <c r="Z34" s="48">
        <f>SUM(365/12)</f>
        <v>30.416666666666668</v>
      </c>
      <c r="AA34" s="48">
        <f>SUM(V34-U34)/Z34</f>
        <v>17.983561643835614</v>
      </c>
    </row>
    <row r="35" spans="1:27" ht="39" customHeight="1" thickBot="1">
      <c r="A35" s="697" t="s">
        <v>90</v>
      </c>
      <c r="B35" s="1625"/>
      <c r="C35" s="2014" t="s">
        <v>614</v>
      </c>
      <c r="D35" s="2015"/>
      <c r="E35" s="2015"/>
      <c r="F35" s="2015"/>
      <c r="G35" s="2015"/>
      <c r="H35" s="2015"/>
      <c r="I35" s="2015"/>
      <c r="J35" s="2016"/>
      <c r="K35" s="1014">
        <f>SUM(K36)</f>
        <v>0</v>
      </c>
      <c r="L35" s="1014">
        <f t="shared" ref="L35:P35" si="12">SUM(L36)</f>
        <v>0</v>
      </c>
      <c r="M35" s="1014">
        <f t="shared" si="12"/>
        <v>0</v>
      </c>
      <c r="N35" s="1014">
        <f t="shared" si="12"/>
        <v>0</v>
      </c>
      <c r="O35" s="1014">
        <f t="shared" si="12"/>
        <v>0</v>
      </c>
      <c r="P35" s="1014">
        <f t="shared" si="12"/>
        <v>0</v>
      </c>
      <c r="Q35" s="1014"/>
      <c r="R35" s="708"/>
      <c r="S35" s="698"/>
      <c r="T35" s="698"/>
      <c r="U35" s="698"/>
      <c r="V35" s="698"/>
      <c r="W35" s="30">
        <v>0</v>
      </c>
      <c r="X35" s="30">
        <f>SUM(W35*120/100)</f>
        <v>0</v>
      </c>
      <c r="Y35" s="30">
        <f>SUM(W35-P35)</f>
        <v>0</v>
      </c>
    </row>
    <row r="36" spans="1:27" ht="15.75" thickBot="1">
      <c r="A36" s="74"/>
      <c r="B36" s="74"/>
      <c r="C36" s="74"/>
      <c r="D36" s="74"/>
      <c r="E36" s="75"/>
      <c r="F36" s="74"/>
      <c r="G36" s="76"/>
      <c r="H36" s="8"/>
      <c r="I36" s="8"/>
      <c r="J36" s="8"/>
      <c r="K36" s="36"/>
      <c r="L36" s="1017"/>
      <c r="M36" s="1017"/>
      <c r="N36" s="1017"/>
      <c r="O36" s="1017"/>
      <c r="P36" s="1017"/>
      <c r="Q36" s="1017"/>
      <c r="R36" s="643"/>
      <c r="S36" s="8"/>
      <c r="T36" s="96"/>
      <c r="U36" s="8"/>
      <c r="V36" s="8"/>
      <c r="W36" s="30"/>
      <c r="X36" s="30"/>
      <c r="Y36" s="30"/>
    </row>
    <row r="37" spans="1:27" ht="39" customHeight="1" thickBot="1">
      <c r="A37" s="697" t="s">
        <v>92</v>
      </c>
      <c r="B37" s="1625"/>
      <c r="C37" s="2014" t="s">
        <v>615</v>
      </c>
      <c r="D37" s="2015"/>
      <c r="E37" s="2015"/>
      <c r="F37" s="2015"/>
      <c r="G37" s="2015"/>
      <c r="H37" s="2015"/>
      <c r="I37" s="2015"/>
      <c r="J37" s="2016"/>
      <c r="K37" s="1014">
        <f t="shared" ref="K37:O37" si="13">SUM(K38)</f>
        <v>98949.56</v>
      </c>
      <c r="L37" s="1014">
        <f t="shared" si="13"/>
        <v>14842.43</v>
      </c>
      <c r="M37" s="1014">
        <f t="shared" si="13"/>
        <v>0</v>
      </c>
      <c r="N37" s="1014">
        <f t="shared" si="13"/>
        <v>0</v>
      </c>
      <c r="O37" s="1014">
        <f t="shared" si="13"/>
        <v>0</v>
      </c>
      <c r="P37" s="1014">
        <f t="shared" ref="P37" si="14">SUM(P38)</f>
        <v>84107.13</v>
      </c>
      <c r="Q37" s="1014"/>
      <c r="R37" s="708"/>
      <c r="S37" s="698"/>
      <c r="T37" s="698"/>
      <c r="U37" s="698"/>
      <c r="V37" s="698"/>
      <c r="W37" s="30">
        <v>91170</v>
      </c>
      <c r="X37" s="30">
        <f>SUM(W37*120/100)</f>
        <v>109404</v>
      </c>
      <c r="Y37" s="30">
        <f>SUM(W37-P37)</f>
        <v>7062.8699999999953</v>
      </c>
    </row>
    <row r="38" spans="1:27" ht="48.75" thickBot="1">
      <c r="A38" s="78" t="str">
        <f>CONCATENATE('3 pr-2'!A90)</f>
        <v>1.1.2.3.4</v>
      </c>
      <c r="B38" s="78"/>
      <c r="C38" s="78" t="s">
        <v>380</v>
      </c>
      <c r="D38" s="78" t="s">
        <v>184</v>
      </c>
      <c r="E38" s="78" t="s">
        <v>115</v>
      </c>
      <c r="F38" s="78" t="s">
        <v>1799</v>
      </c>
      <c r="G38" s="228" t="s">
        <v>148</v>
      </c>
      <c r="H38" s="14" t="s">
        <v>119</v>
      </c>
      <c r="I38" s="14" t="s">
        <v>66</v>
      </c>
      <c r="J38" s="16" t="s">
        <v>66</v>
      </c>
      <c r="K38" s="632">
        <f>SUM(L38:P38)</f>
        <v>98949.56</v>
      </c>
      <c r="L38" s="632">
        <v>14842.43</v>
      </c>
      <c r="M38" s="632">
        <v>0</v>
      </c>
      <c r="N38" s="632">
        <v>0</v>
      </c>
      <c r="O38" s="632">
        <v>0</v>
      </c>
      <c r="P38" s="632">
        <v>84107.13</v>
      </c>
      <c r="Q38" s="632"/>
      <c r="R38" s="323">
        <v>42660</v>
      </c>
      <c r="S38" s="323">
        <v>42754</v>
      </c>
      <c r="T38" s="323">
        <v>43131</v>
      </c>
      <c r="U38" s="323">
        <v>43220</v>
      </c>
      <c r="V38" s="323">
        <v>43830</v>
      </c>
      <c r="W38" s="30"/>
      <c r="X38" s="30"/>
      <c r="Y38" s="30"/>
    </row>
    <row r="39" spans="1:27" ht="39" customHeight="1" thickBot="1">
      <c r="A39" s="697" t="s">
        <v>94</v>
      </c>
      <c r="B39" s="1625"/>
      <c r="C39" s="2014" t="s">
        <v>616</v>
      </c>
      <c r="D39" s="2015"/>
      <c r="E39" s="2015"/>
      <c r="F39" s="2015"/>
      <c r="G39" s="2015"/>
      <c r="H39" s="2015"/>
      <c r="I39" s="2015"/>
      <c r="J39" s="2016"/>
      <c r="K39" s="1014">
        <f t="shared" ref="K39:O39" si="15">SUM(K40)</f>
        <v>274817.98</v>
      </c>
      <c r="L39" s="1014">
        <f t="shared" si="15"/>
        <v>73973.98</v>
      </c>
      <c r="M39" s="1014">
        <f t="shared" si="15"/>
        <v>0</v>
      </c>
      <c r="N39" s="1014">
        <f t="shared" si="15"/>
        <v>0</v>
      </c>
      <c r="O39" s="1014">
        <f t="shared" si="15"/>
        <v>0</v>
      </c>
      <c r="P39" s="1014">
        <f t="shared" ref="P39" si="16">SUM(P40)</f>
        <v>200844</v>
      </c>
      <c r="Q39" s="1014"/>
      <c r="R39" s="708"/>
      <c r="S39" s="698"/>
      <c r="T39" s="698"/>
      <c r="U39" s="698"/>
      <c r="V39" s="698"/>
      <c r="W39" s="30">
        <v>200844</v>
      </c>
      <c r="X39" s="30">
        <f>SUM(W39*120/100)</f>
        <v>241012.8</v>
      </c>
      <c r="Y39" s="30">
        <f>SUM(W39-P39)</f>
        <v>0</v>
      </c>
    </row>
    <row r="40" spans="1:27" ht="48.75" thickBot="1">
      <c r="A40" s="78" t="str">
        <f>CONCATENATE('3 pr-2'!A96)</f>
        <v>1.1.2.4.4</v>
      </c>
      <c r="B40" s="78"/>
      <c r="C40" s="78" t="s">
        <v>2981</v>
      </c>
      <c r="D40" s="78" t="s">
        <v>184</v>
      </c>
      <c r="E40" s="78" t="s">
        <v>115</v>
      </c>
      <c r="F40" s="78" t="s">
        <v>1799</v>
      </c>
      <c r="G40" s="228" t="s">
        <v>141</v>
      </c>
      <c r="H40" s="14" t="s">
        <v>119</v>
      </c>
      <c r="I40" s="14" t="s">
        <v>66</v>
      </c>
      <c r="J40" s="16" t="s">
        <v>66</v>
      </c>
      <c r="K40" s="632">
        <f>SUM(L40:P40)</f>
        <v>274817.98</v>
      </c>
      <c r="L40" s="632">
        <v>73973.98</v>
      </c>
      <c r="M40" s="632">
        <v>0</v>
      </c>
      <c r="N40" s="632">
        <v>0</v>
      </c>
      <c r="O40" s="632">
        <v>0</v>
      </c>
      <c r="P40" s="632">
        <v>200844</v>
      </c>
      <c r="Q40" s="632"/>
      <c r="R40" s="323">
        <v>42639</v>
      </c>
      <c r="S40" s="323">
        <v>42735</v>
      </c>
      <c r="T40" s="323">
        <v>43281</v>
      </c>
      <c r="U40" s="323">
        <v>43373</v>
      </c>
      <c r="V40" s="323">
        <v>43738</v>
      </c>
      <c r="W40" s="30"/>
      <c r="X40" s="30"/>
      <c r="Y40" s="30"/>
    </row>
    <row r="41" spans="1:27" ht="49.5" customHeight="1" thickBot="1">
      <c r="A41" s="724" t="s">
        <v>27</v>
      </c>
      <c r="B41" s="1622"/>
      <c r="C41" s="2012" t="s">
        <v>617</v>
      </c>
      <c r="D41" s="1944"/>
      <c r="E41" s="1944"/>
      <c r="F41" s="1944"/>
      <c r="G41" s="1944"/>
      <c r="H41" s="1944"/>
      <c r="I41" s="1944"/>
      <c r="J41" s="1945"/>
      <c r="K41" s="1030">
        <f t="shared" ref="K41:P41" si="17">SUM(K42+K49+K57+K62)</f>
        <v>2582273.5599999996</v>
      </c>
      <c r="L41" s="1030">
        <f t="shared" si="17"/>
        <v>508948.14999999997</v>
      </c>
      <c r="M41" s="1030">
        <f t="shared" si="17"/>
        <v>82153.429999999993</v>
      </c>
      <c r="N41" s="1030">
        <f t="shared" si="17"/>
        <v>1304</v>
      </c>
      <c r="O41" s="1030">
        <f t="shared" si="17"/>
        <v>788.75</v>
      </c>
      <c r="P41" s="1030">
        <f t="shared" si="17"/>
        <v>1989079.23</v>
      </c>
      <c r="Q41" s="1030"/>
      <c r="R41" s="726"/>
      <c r="S41" s="728"/>
      <c r="T41" s="728"/>
      <c r="U41" s="728"/>
      <c r="V41" s="729"/>
      <c r="W41" s="30">
        <f>SUM(W42+W49+W57+W62)</f>
        <v>2738068.7952358783</v>
      </c>
      <c r="X41" s="30">
        <f>SUM(X42+X49+X57+X62)</f>
        <v>3285682.5542830536</v>
      </c>
      <c r="Y41" s="30">
        <f>SUM(Y42+Y49+Y57+Y62)</f>
        <v>757204.17523587821</v>
      </c>
    </row>
    <row r="42" spans="1:27" ht="48.75" customHeight="1" thickBot="1">
      <c r="A42" s="1623" t="s">
        <v>28</v>
      </c>
      <c r="B42" s="1624"/>
      <c r="C42" s="2013" t="s">
        <v>618</v>
      </c>
      <c r="D42" s="1946"/>
      <c r="E42" s="1946"/>
      <c r="F42" s="1946"/>
      <c r="G42" s="1946"/>
      <c r="H42" s="1946"/>
      <c r="I42" s="1946"/>
      <c r="J42" s="1947"/>
      <c r="K42" s="1021">
        <f t="shared" ref="K42:P42" si="18">SUM(K43+K45+K47)</f>
        <v>1560727.17</v>
      </c>
      <c r="L42" s="1021">
        <f t="shared" si="18"/>
        <v>387689.17</v>
      </c>
      <c r="M42" s="1021">
        <f t="shared" si="18"/>
        <v>51602</v>
      </c>
      <c r="N42" s="1021">
        <f t="shared" si="18"/>
        <v>0</v>
      </c>
      <c r="O42" s="1021">
        <f t="shared" si="18"/>
        <v>0</v>
      </c>
      <c r="P42" s="1021">
        <f t="shared" si="18"/>
        <v>1121436</v>
      </c>
      <c r="Q42" s="1021"/>
      <c r="R42" s="122"/>
      <c r="S42" s="731"/>
      <c r="T42" s="731"/>
      <c r="U42" s="731"/>
      <c r="V42" s="732"/>
      <c r="W42" s="30">
        <f>SUM(W43+W45+W47)</f>
        <v>1231014</v>
      </c>
      <c r="X42" s="30">
        <f>SUM(X43+X45+X47)</f>
        <v>1477216.7999999998</v>
      </c>
      <c r="Y42" s="30">
        <f>SUM(Y43+Y45+Y47)</f>
        <v>109578</v>
      </c>
    </row>
    <row r="43" spans="1:27" ht="45" customHeight="1" thickBot="1">
      <c r="A43" s="697" t="s">
        <v>96</v>
      </c>
      <c r="B43" s="1625"/>
      <c r="C43" s="2014" t="s">
        <v>619</v>
      </c>
      <c r="D43" s="2015"/>
      <c r="E43" s="2015"/>
      <c r="F43" s="2015"/>
      <c r="G43" s="2015"/>
      <c r="H43" s="2015"/>
      <c r="I43" s="2015"/>
      <c r="J43" s="2016"/>
      <c r="K43" s="1014">
        <f t="shared" ref="K43:O43" si="19">SUM(K44)</f>
        <v>106845.41</v>
      </c>
      <c r="L43" s="1014">
        <f t="shared" si="19"/>
        <v>8013.41</v>
      </c>
      <c r="M43" s="1014">
        <f t="shared" si="19"/>
        <v>8014</v>
      </c>
      <c r="N43" s="1014">
        <f t="shared" si="19"/>
        <v>0</v>
      </c>
      <c r="O43" s="1014">
        <f t="shared" si="19"/>
        <v>0</v>
      </c>
      <c r="P43" s="1014">
        <f t="shared" ref="P43" si="20">SUM(P44)</f>
        <v>90818</v>
      </c>
      <c r="Q43" s="1014"/>
      <c r="R43" s="708"/>
      <c r="S43" s="698"/>
      <c r="T43" s="698"/>
      <c r="U43" s="698"/>
      <c r="V43" s="698"/>
      <c r="W43" s="30">
        <v>90818</v>
      </c>
      <c r="X43" s="30">
        <f>SUM(W43*120/100)</f>
        <v>108981.6</v>
      </c>
      <c r="Y43" s="30">
        <f>SUM(W43-P43)</f>
        <v>0</v>
      </c>
    </row>
    <row r="44" spans="1:27" ht="48.75" thickBot="1">
      <c r="A44" s="78" t="str">
        <f>CONCATENATE('3 pr-2'!A104)</f>
        <v>2.1.1.1.2</v>
      </c>
      <c r="B44" s="78"/>
      <c r="C44" s="78" t="s">
        <v>186</v>
      </c>
      <c r="D44" s="78" t="s">
        <v>184</v>
      </c>
      <c r="E44" s="78" t="s">
        <v>97</v>
      </c>
      <c r="F44" s="78" t="s">
        <v>1799</v>
      </c>
      <c r="G44" s="228" t="s">
        <v>136</v>
      </c>
      <c r="H44" s="14" t="s">
        <v>119</v>
      </c>
      <c r="I44" s="14" t="s">
        <v>66</v>
      </c>
      <c r="J44" s="16" t="s">
        <v>66</v>
      </c>
      <c r="K44" s="1018">
        <f>SUM(L44:P44)</f>
        <v>106845.41</v>
      </c>
      <c r="L44" s="1018">
        <v>8013.41</v>
      </c>
      <c r="M44" s="1018">
        <v>8014</v>
      </c>
      <c r="N44" s="1018">
        <v>0</v>
      </c>
      <c r="O44" s="1018">
        <v>0</v>
      </c>
      <c r="P44" s="1018">
        <v>90818</v>
      </c>
      <c r="Q44" s="632"/>
      <c r="R44" s="323">
        <v>42863</v>
      </c>
      <c r="S44" s="323">
        <v>42916</v>
      </c>
      <c r="T44" s="323">
        <v>42993</v>
      </c>
      <c r="U44" s="323">
        <v>43112</v>
      </c>
      <c r="V44" s="431">
        <v>43526</v>
      </c>
      <c r="W44" s="30"/>
      <c r="X44" s="30"/>
      <c r="Y44" s="30"/>
    </row>
    <row r="45" spans="1:27" ht="39" customHeight="1" thickBot="1">
      <c r="A45" s="697" t="s">
        <v>99</v>
      </c>
      <c r="B45" s="1625"/>
      <c r="C45" s="2014" t="s">
        <v>620</v>
      </c>
      <c r="D45" s="2015"/>
      <c r="E45" s="2015"/>
      <c r="F45" s="2015"/>
      <c r="G45" s="2015"/>
      <c r="H45" s="2015"/>
      <c r="I45" s="2015"/>
      <c r="J45" s="2016"/>
      <c r="K45" s="1014">
        <f t="shared" ref="K45:P45" si="21">SUM(K46:K46)</f>
        <v>856424.88</v>
      </c>
      <c r="L45" s="1014">
        <f t="shared" si="21"/>
        <v>319813.88</v>
      </c>
      <c r="M45" s="1014">
        <f t="shared" si="21"/>
        <v>0</v>
      </c>
      <c r="N45" s="1014">
        <f t="shared" si="21"/>
        <v>0</v>
      </c>
      <c r="O45" s="1014">
        <f t="shared" si="21"/>
        <v>0</v>
      </c>
      <c r="P45" s="1014">
        <f t="shared" si="21"/>
        <v>536611</v>
      </c>
      <c r="Q45" s="1014"/>
      <c r="R45" s="708"/>
      <c r="S45" s="698"/>
      <c r="T45" s="698"/>
      <c r="U45" s="698"/>
      <c r="V45" s="698"/>
      <c r="W45" s="30">
        <v>536611</v>
      </c>
      <c r="X45" s="30">
        <f>SUM(W45*120/100)</f>
        <v>643933.19999999995</v>
      </c>
      <c r="Y45" s="30">
        <f>SUM(W45-P45)</f>
        <v>0</v>
      </c>
    </row>
    <row r="46" spans="1:27" ht="48.75" thickBot="1">
      <c r="A46" s="78" t="str">
        <f>CONCATENATE('3 pr-2'!A110)</f>
        <v>2.1.1.2.2</v>
      </c>
      <c r="B46" s="78"/>
      <c r="C46" s="78" t="s">
        <v>635</v>
      </c>
      <c r="D46" s="78" t="s">
        <v>184</v>
      </c>
      <c r="E46" s="78" t="s">
        <v>97</v>
      </c>
      <c r="F46" s="78" t="s">
        <v>1799</v>
      </c>
      <c r="G46" s="228" t="s">
        <v>139</v>
      </c>
      <c r="H46" s="14" t="s">
        <v>119</v>
      </c>
      <c r="I46" s="14" t="s">
        <v>66</v>
      </c>
      <c r="J46" s="16" t="s">
        <v>66</v>
      </c>
      <c r="K46" s="1018">
        <f>SUM(L46:P46)</f>
        <v>856424.88</v>
      </c>
      <c r="L46" s="1018">
        <v>319813.88</v>
      </c>
      <c r="M46" s="1018">
        <v>0</v>
      </c>
      <c r="N46" s="1018">
        <v>0</v>
      </c>
      <c r="O46" s="1018">
        <v>0</v>
      </c>
      <c r="P46" s="1018">
        <v>536611</v>
      </c>
      <c r="Q46" s="632"/>
      <c r="R46" s="323">
        <v>42870</v>
      </c>
      <c r="S46" s="323">
        <v>42916</v>
      </c>
      <c r="T46" s="323">
        <v>43008</v>
      </c>
      <c r="U46" s="323">
        <v>43115</v>
      </c>
      <c r="V46" s="431">
        <v>43832</v>
      </c>
      <c r="W46" s="30"/>
      <c r="X46" s="30"/>
      <c r="Y46" s="30"/>
    </row>
    <row r="47" spans="1:27" ht="39" customHeight="1" thickBot="1">
      <c r="A47" s="697" t="s">
        <v>101</v>
      </c>
      <c r="B47" s="1625"/>
      <c r="C47" s="2014" t="s">
        <v>1384</v>
      </c>
      <c r="D47" s="2015"/>
      <c r="E47" s="2015"/>
      <c r="F47" s="2015"/>
      <c r="G47" s="2015"/>
      <c r="H47" s="2015"/>
      <c r="I47" s="2015"/>
      <c r="J47" s="2016"/>
      <c r="K47" s="1014">
        <f t="shared" ref="K47:O47" si="22">SUM(K48)</f>
        <v>597456.88</v>
      </c>
      <c r="L47" s="1014">
        <f t="shared" si="22"/>
        <v>59861.88</v>
      </c>
      <c r="M47" s="1014">
        <f t="shared" si="22"/>
        <v>43588</v>
      </c>
      <c r="N47" s="1014">
        <f t="shared" si="22"/>
        <v>0</v>
      </c>
      <c r="O47" s="1014">
        <f t="shared" si="22"/>
        <v>0</v>
      </c>
      <c r="P47" s="1014">
        <f t="shared" ref="P47" si="23">SUM(P48)</f>
        <v>494007</v>
      </c>
      <c r="Q47" s="1014"/>
      <c r="R47" s="708"/>
      <c r="S47" s="698"/>
      <c r="T47" s="698"/>
      <c r="U47" s="698"/>
      <c r="V47" s="698"/>
      <c r="W47" s="30">
        <v>603585</v>
      </c>
      <c r="X47" s="30">
        <f>SUM(W47*120/100)</f>
        <v>724302</v>
      </c>
      <c r="Y47" s="30">
        <f>SUM(W47-P47)</f>
        <v>109578</v>
      </c>
    </row>
    <row r="48" spans="1:27" ht="48.75" thickBot="1">
      <c r="A48" s="78" t="str">
        <f>CONCATENATE('3 pr-2'!A116)</f>
        <v>2.1.1.3.2</v>
      </c>
      <c r="B48" s="78"/>
      <c r="C48" s="78" t="s">
        <v>187</v>
      </c>
      <c r="D48" s="78" t="s">
        <v>184</v>
      </c>
      <c r="E48" s="78" t="s">
        <v>97</v>
      </c>
      <c r="F48" s="78" t="s">
        <v>1799</v>
      </c>
      <c r="G48" s="228" t="s">
        <v>140</v>
      </c>
      <c r="H48" s="14" t="s">
        <v>119</v>
      </c>
      <c r="I48" s="14"/>
      <c r="J48" s="16"/>
      <c r="K48" s="1018">
        <f>SUM(L48:P48)</f>
        <v>597456.88</v>
      </c>
      <c r="L48" s="1018">
        <v>59861.88</v>
      </c>
      <c r="M48" s="632">
        <v>43588</v>
      </c>
      <c r="N48" s="632">
        <v>0</v>
      </c>
      <c r="O48" s="632">
        <v>0</v>
      </c>
      <c r="P48" s="632">
        <v>494007</v>
      </c>
      <c r="Q48" s="632"/>
      <c r="R48" s="323">
        <v>42968</v>
      </c>
      <c r="S48" s="323">
        <v>43039</v>
      </c>
      <c r="T48" s="323">
        <v>43080</v>
      </c>
      <c r="U48" s="323">
        <v>43186</v>
      </c>
      <c r="V48" s="431">
        <v>43845</v>
      </c>
      <c r="W48" s="30"/>
      <c r="X48" s="30"/>
      <c r="Y48" s="30"/>
    </row>
    <row r="49" spans="1:28" ht="57.75" customHeight="1" thickBot="1">
      <c r="A49" s="1623" t="s">
        <v>32</v>
      </c>
      <c r="B49" s="1624"/>
      <c r="C49" s="2013" t="s">
        <v>621</v>
      </c>
      <c r="D49" s="1946"/>
      <c r="E49" s="1946"/>
      <c r="F49" s="1946"/>
      <c r="G49" s="1946"/>
      <c r="H49" s="1946"/>
      <c r="I49" s="1946"/>
      <c r="J49" s="1947"/>
      <c r="K49" s="1630">
        <f>SUM(K50+K53+K55)</f>
        <v>398472.18</v>
      </c>
      <c r="L49" s="1630">
        <f t="shared" ref="L49:P49" si="24">SUM(L50+L53+L55)</f>
        <v>27797.79</v>
      </c>
      <c r="M49" s="1630">
        <f t="shared" si="24"/>
        <v>30551.43</v>
      </c>
      <c r="N49" s="1630">
        <f t="shared" si="24"/>
        <v>1304</v>
      </c>
      <c r="O49" s="1630">
        <f t="shared" si="24"/>
        <v>788.75</v>
      </c>
      <c r="P49" s="1630">
        <f t="shared" si="24"/>
        <v>338030.20999999996</v>
      </c>
      <c r="Q49" s="1630"/>
      <c r="R49" s="122"/>
      <c r="S49" s="731"/>
      <c r="T49" s="731"/>
      <c r="U49" s="731"/>
      <c r="V49" s="732"/>
      <c r="W49" s="30">
        <f>SUM(W50+W53)</f>
        <v>962000</v>
      </c>
      <c r="X49" s="30">
        <f>SUM(X50+X53)</f>
        <v>1154400</v>
      </c>
      <c r="Y49" s="30">
        <f>SUM(Y50+Y53)</f>
        <v>632184.4</v>
      </c>
    </row>
    <row r="50" spans="1:28" ht="39" customHeight="1" thickBot="1">
      <c r="A50" s="697" t="s">
        <v>33</v>
      </c>
      <c r="B50" s="1625"/>
      <c r="C50" s="2014" t="s">
        <v>622</v>
      </c>
      <c r="D50" s="2015"/>
      <c r="E50" s="2015"/>
      <c r="F50" s="2015"/>
      <c r="G50" s="2015"/>
      <c r="H50" s="2015"/>
      <c r="I50" s="2015"/>
      <c r="J50" s="2016"/>
      <c r="K50" s="1631">
        <f t="shared" ref="K50:O50" si="25">SUM(K51:K52)</f>
        <v>189022</v>
      </c>
      <c r="L50" s="1631">
        <f t="shared" si="25"/>
        <v>12873</v>
      </c>
      <c r="M50" s="1631">
        <f t="shared" si="25"/>
        <v>14177</v>
      </c>
      <c r="N50" s="1631">
        <f t="shared" si="25"/>
        <v>1304</v>
      </c>
      <c r="O50" s="1631">
        <f t="shared" si="25"/>
        <v>0</v>
      </c>
      <c r="P50" s="1631">
        <f>SUM(P51:P52)</f>
        <v>160668</v>
      </c>
      <c r="Q50" s="1631"/>
      <c r="R50" s="708"/>
      <c r="S50" s="698"/>
      <c r="T50" s="698"/>
      <c r="U50" s="698"/>
      <c r="V50" s="698"/>
      <c r="W50" s="30">
        <v>733000</v>
      </c>
      <c r="X50" s="30">
        <f>SUM(W50*120/100)</f>
        <v>879600</v>
      </c>
      <c r="Y50" s="30">
        <f>SUM(W50-P50)</f>
        <v>572332</v>
      </c>
    </row>
    <row r="51" spans="1:28" ht="84.75" thickBot="1">
      <c r="A51" s="78" t="str">
        <f>CONCATENATE('3 pr-2'!A126)</f>
        <v>2.1.2.1.5</v>
      </c>
      <c r="B51" s="78" t="str">
        <f>CONCATENATE('3 pr-2'!B126)</f>
        <v>R01-6609-274710-2215</v>
      </c>
      <c r="C51" s="78" t="s">
        <v>1426</v>
      </c>
      <c r="D51" s="78" t="s">
        <v>1192</v>
      </c>
      <c r="E51" s="78" t="s">
        <v>103</v>
      </c>
      <c r="F51" s="78" t="s">
        <v>1799</v>
      </c>
      <c r="G51" s="228" t="s">
        <v>153</v>
      </c>
      <c r="H51" s="14" t="s">
        <v>119</v>
      </c>
      <c r="I51" s="14" t="s">
        <v>66</v>
      </c>
      <c r="J51" s="16" t="s">
        <v>66</v>
      </c>
      <c r="K51" s="1020">
        <f>SUM(L51:P51)</f>
        <v>171636</v>
      </c>
      <c r="L51" s="1020">
        <v>12873</v>
      </c>
      <c r="M51" s="1020">
        <v>12873</v>
      </c>
      <c r="N51" s="1020">
        <v>0</v>
      </c>
      <c r="O51" s="1020">
        <v>0</v>
      </c>
      <c r="P51" s="1020">
        <v>145890</v>
      </c>
      <c r="Q51" s="1020"/>
      <c r="R51" s="323">
        <v>43189</v>
      </c>
      <c r="S51" s="323">
        <v>43312</v>
      </c>
      <c r="T51" s="323">
        <v>43403</v>
      </c>
      <c r="U51" s="323">
        <v>43496</v>
      </c>
      <c r="V51" s="1632">
        <v>44134</v>
      </c>
      <c r="W51" s="50"/>
      <c r="X51" s="30"/>
      <c r="Y51" s="30"/>
      <c r="AA51" s="48">
        <v>904059.15999999992</v>
      </c>
      <c r="AB51" s="48">
        <v>698591.2</v>
      </c>
    </row>
    <row r="52" spans="1:28" ht="26.25" customHeight="1" thickBot="1">
      <c r="A52" s="78" t="str">
        <f>CONCATENATE('3 pr-2'!A127)</f>
        <v>2.1.2.1.6</v>
      </c>
      <c r="B52" s="78" t="str">
        <f>CONCATENATE('3 pr-2'!B127)</f>
        <v>R01-6609-471000-2216</v>
      </c>
      <c r="C52" s="78" t="s">
        <v>3744</v>
      </c>
      <c r="D52" s="78" t="s">
        <v>1427</v>
      </c>
      <c r="E52" s="78" t="s">
        <v>103</v>
      </c>
      <c r="F52" s="78" t="s">
        <v>1799</v>
      </c>
      <c r="G52" s="228" t="s">
        <v>153</v>
      </c>
      <c r="H52" s="14" t="s">
        <v>119</v>
      </c>
      <c r="I52" s="14" t="s">
        <v>66</v>
      </c>
      <c r="J52" s="16" t="s">
        <v>66</v>
      </c>
      <c r="K52" s="1020">
        <f>SUM(L52:P52)</f>
        <v>17386</v>
      </c>
      <c r="L52" s="1020">
        <v>0</v>
      </c>
      <c r="M52" s="1020">
        <v>1304</v>
      </c>
      <c r="N52" s="1020">
        <v>1304</v>
      </c>
      <c r="O52" s="1020">
        <v>0</v>
      </c>
      <c r="P52" s="1020">
        <v>14778</v>
      </c>
      <c r="Q52" s="1020"/>
      <c r="R52" s="323"/>
      <c r="S52" s="323">
        <v>43312</v>
      </c>
      <c r="T52" s="323">
        <v>43403</v>
      </c>
      <c r="U52" s="323">
        <v>43495</v>
      </c>
      <c r="V52" s="1632">
        <v>43830</v>
      </c>
      <c r="W52" s="37"/>
      <c r="X52" s="30"/>
      <c r="Y52" s="30"/>
    </row>
    <row r="53" spans="1:28" ht="39" customHeight="1" thickBot="1">
      <c r="A53" s="697" t="s">
        <v>34</v>
      </c>
      <c r="B53" s="1625"/>
      <c r="C53" s="2014" t="str">
        <f>CONCATENATE('3 pr-2'!D135)</f>
        <v/>
      </c>
      <c r="D53" s="2015"/>
      <c r="E53" s="2015"/>
      <c r="F53" s="2015"/>
      <c r="G53" s="2015"/>
      <c r="H53" s="2015"/>
      <c r="I53" s="2015"/>
      <c r="J53" s="2016"/>
      <c r="K53" s="1631">
        <f t="shared" ref="K53:P55" si="26">SUM(K54:K54)</f>
        <v>198997.18</v>
      </c>
      <c r="L53" s="1631">
        <f t="shared" si="26"/>
        <v>14924.79</v>
      </c>
      <c r="M53" s="1631">
        <f t="shared" si="26"/>
        <v>14924.79</v>
      </c>
      <c r="N53" s="1631">
        <f t="shared" si="26"/>
        <v>0</v>
      </c>
      <c r="O53" s="1631">
        <f t="shared" si="26"/>
        <v>0</v>
      </c>
      <c r="P53" s="1631">
        <f t="shared" si="26"/>
        <v>169147.6</v>
      </c>
      <c r="Q53" s="1631"/>
      <c r="R53" s="708"/>
      <c r="S53" s="698"/>
      <c r="T53" s="698"/>
      <c r="U53" s="698"/>
      <c r="V53" s="698"/>
      <c r="W53" s="30">
        <v>229000</v>
      </c>
      <c r="X53" s="30">
        <f>SUM(W53*120/100)</f>
        <v>274800</v>
      </c>
      <c r="Y53" s="30">
        <f>SUM(W53-P53)</f>
        <v>59852.399999999994</v>
      </c>
    </row>
    <row r="54" spans="1:28" ht="64.5" thickBot="1">
      <c r="A54" s="78" t="str">
        <f>CONCATENATE('3 pr-2'!A136)</f>
        <v>2.1.2.2.1</v>
      </c>
      <c r="B54" s="228"/>
      <c r="C54" s="1633" t="s">
        <v>1177</v>
      </c>
      <c r="D54" s="1633" t="s">
        <v>1178</v>
      </c>
      <c r="E54" s="1633" t="s">
        <v>103</v>
      </c>
      <c r="F54" s="1633" t="s">
        <v>1799</v>
      </c>
      <c r="G54" s="699" t="s">
        <v>1176</v>
      </c>
      <c r="H54" s="699" t="s">
        <v>119</v>
      </c>
      <c r="I54" s="699" t="s">
        <v>66</v>
      </c>
      <c r="J54" s="699" t="s">
        <v>66</v>
      </c>
      <c r="K54" s="1026">
        <f>SUM(L54:P54)</f>
        <v>198997.18</v>
      </c>
      <c r="L54" s="1026">
        <v>14924.79</v>
      </c>
      <c r="M54" s="1026">
        <v>14924.79</v>
      </c>
      <c r="N54" s="1026">
        <v>0</v>
      </c>
      <c r="O54" s="1026">
        <v>0</v>
      </c>
      <c r="P54" s="1026">
        <v>169147.6</v>
      </c>
      <c r="Q54" s="1026"/>
      <c r="R54" s="16"/>
      <c r="S54" s="1634">
        <v>43159</v>
      </c>
      <c r="T54" s="1634">
        <v>43220</v>
      </c>
      <c r="U54" s="1634">
        <v>43296</v>
      </c>
      <c r="V54" s="655">
        <v>44380</v>
      </c>
      <c r="W54" s="30"/>
      <c r="X54" s="30"/>
      <c r="Y54" s="30"/>
    </row>
    <row r="55" spans="1:28" ht="39" customHeight="1" thickBot="1">
      <c r="A55" s="697" t="str">
        <f>CONCATENATE('3 pr-2'!A141)</f>
        <v>2.1.2.3</v>
      </c>
      <c r="B55" s="1625"/>
      <c r="C55" s="2014" t="str">
        <f>CONCATENATE('3 pr-2'!D141)</f>
        <v/>
      </c>
      <c r="D55" s="2015"/>
      <c r="E55" s="2015"/>
      <c r="F55" s="2015"/>
      <c r="G55" s="2015"/>
      <c r="H55" s="2015"/>
      <c r="I55" s="2015"/>
      <c r="J55" s="2016"/>
      <c r="K55" s="1631">
        <f t="shared" si="26"/>
        <v>10453</v>
      </c>
      <c r="L55" s="1631">
        <f t="shared" si="26"/>
        <v>0</v>
      </c>
      <c r="M55" s="1631">
        <f t="shared" si="26"/>
        <v>1449.64</v>
      </c>
      <c r="N55" s="1631">
        <f t="shared" si="26"/>
        <v>0</v>
      </c>
      <c r="O55" s="1631">
        <f t="shared" si="26"/>
        <v>788.75</v>
      </c>
      <c r="P55" s="1631">
        <f t="shared" si="26"/>
        <v>8214.61</v>
      </c>
      <c r="Q55" s="1631"/>
      <c r="R55" s="708"/>
      <c r="S55" s="698"/>
      <c r="T55" s="698"/>
      <c r="U55" s="698"/>
      <c r="V55" s="698"/>
      <c r="W55" s="30">
        <v>229000</v>
      </c>
      <c r="X55" s="30">
        <f>SUM(W55*120/100)</f>
        <v>274800</v>
      </c>
      <c r="Y55" s="30">
        <f>SUM(W55-P55)</f>
        <v>220785.39</v>
      </c>
    </row>
    <row r="56" spans="1:28" ht="90" thickBot="1">
      <c r="A56" s="78" t="str">
        <f>CONCATENATE('3 pr-2'!A142)</f>
        <v>2.1.2.3.1</v>
      </c>
      <c r="B56" s="78"/>
      <c r="C56" s="1635" t="s">
        <v>3141</v>
      </c>
      <c r="D56" s="1636" t="s">
        <v>1192</v>
      </c>
      <c r="E56" s="1636" t="s">
        <v>103</v>
      </c>
      <c r="F56" s="1636" t="s">
        <v>1799</v>
      </c>
      <c r="G56" s="725" t="s">
        <v>1191</v>
      </c>
      <c r="H56" s="725" t="s">
        <v>119</v>
      </c>
      <c r="I56" s="725" t="s">
        <v>66</v>
      </c>
      <c r="J56" s="725" t="s">
        <v>66</v>
      </c>
      <c r="K56" s="1026">
        <f>SUM(L56:P56)</f>
        <v>10453</v>
      </c>
      <c r="L56" s="1026">
        <v>0</v>
      </c>
      <c r="M56" s="1026">
        <v>1449.64</v>
      </c>
      <c r="N56" s="1026">
        <v>0</v>
      </c>
      <c r="O56" s="1026">
        <v>788.75</v>
      </c>
      <c r="P56" s="1026">
        <v>8214.61</v>
      </c>
      <c r="Q56" s="1026"/>
      <c r="R56" s="712"/>
      <c r="S56" s="1634">
        <v>43189</v>
      </c>
      <c r="T56" s="1634">
        <v>43281</v>
      </c>
      <c r="U56" s="1634">
        <v>43373</v>
      </c>
      <c r="V56" s="655">
        <v>44686</v>
      </c>
      <c r="W56" s="30"/>
      <c r="X56" s="30"/>
      <c r="Y56" s="30"/>
    </row>
    <row r="57" spans="1:28" ht="42.75" customHeight="1" thickBot="1">
      <c r="A57" s="1623" t="s">
        <v>35</v>
      </c>
      <c r="B57" s="1624"/>
      <c r="C57" s="2013" t="s">
        <v>627</v>
      </c>
      <c r="D57" s="1946"/>
      <c r="E57" s="1946"/>
      <c r="F57" s="1946"/>
      <c r="G57" s="1946"/>
      <c r="H57" s="1946"/>
      <c r="I57" s="1946"/>
      <c r="J57" s="1947"/>
      <c r="K57" s="1021">
        <f t="shared" ref="K57:P57" si="27">SUM(K58+K60)</f>
        <v>430242</v>
      </c>
      <c r="L57" s="1021">
        <f t="shared" si="27"/>
        <v>64536.35</v>
      </c>
      <c r="M57" s="1021">
        <f t="shared" si="27"/>
        <v>0</v>
      </c>
      <c r="N57" s="1021">
        <f t="shared" si="27"/>
        <v>0</v>
      </c>
      <c r="O57" s="1021">
        <f t="shared" si="27"/>
        <v>0</v>
      </c>
      <c r="P57" s="1021">
        <f t="shared" si="27"/>
        <v>365705.65</v>
      </c>
      <c r="Q57" s="1021"/>
      <c r="R57" s="122"/>
      <c r="S57" s="731"/>
      <c r="T57" s="731"/>
      <c r="U57" s="731"/>
      <c r="V57" s="732"/>
      <c r="W57" s="30">
        <f>SUM(W58+W60)</f>
        <v>365706.20852641336</v>
      </c>
      <c r="X57" s="30">
        <f>SUM(X58+X60)</f>
        <v>438847.45023169601</v>
      </c>
      <c r="Y57" s="30">
        <f>SUM(Y58+Y60)</f>
        <v>0.558526413369691</v>
      </c>
    </row>
    <row r="58" spans="1:28" ht="39" customHeight="1" thickBot="1">
      <c r="A58" s="697" t="s">
        <v>36</v>
      </c>
      <c r="B58" s="1625"/>
      <c r="C58" s="2014" t="s">
        <v>623</v>
      </c>
      <c r="D58" s="2015"/>
      <c r="E58" s="2015"/>
      <c r="F58" s="2015"/>
      <c r="G58" s="2015"/>
      <c r="H58" s="2015"/>
      <c r="I58" s="2015"/>
      <c r="J58" s="2016"/>
      <c r="K58" s="1014">
        <f>SUM(K59)</f>
        <v>188353</v>
      </c>
      <c r="L58" s="1014">
        <f>SUM(L59)</f>
        <v>28253</v>
      </c>
      <c r="M58" s="1014">
        <f t="shared" ref="M58:O58" si="28">SUM(M59)</f>
        <v>0</v>
      </c>
      <c r="N58" s="1014">
        <f t="shared" si="28"/>
        <v>0</v>
      </c>
      <c r="O58" s="1014">
        <f t="shared" si="28"/>
        <v>0</v>
      </c>
      <c r="P58" s="1014">
        <f>SUM(P59)</f>
        <v>160100</v>
      </c>
      <c r="Q58" s="1014"/>
      <c r="R58" s="708"/>
      <c r="S58" s="698"/>
      <c r="T58" s="698"/>
      <c r="U58" s="698"/>
      <c r="V58" s="698"/>
      <c r="W58" s="30">
        <v>160100.20852641336</v>
      </c>
      <c r="X58" s="30">
        <f>SUM(W58*120/100)</f>
        <v>192120.25023169603</v>
      </c>
      <c r="Y58" s="30">
        <f>SUM(W58-P58)</f>
        <v>0.20852641336387023</v>
      </c>
    </row>
    <row r="59" spans="1:28" ht="48.75" thickBot="1">
      <c r="A59" s="78" t="str">
        <f>CONCATENATE('3 pr-2'!A150)</f>
        <v>2.1.3.1.2</v>
      </c>
      <c r="B59" s="78"/>
      <c r="C59" s="78" t="s">
        <v>311</v>
      </c>
      <c r="D59" s="78" t="s">
        <v>184</v>
      </c>
      <c r="E59" s="78" t="s">
        <v>106</v>
      </c>
      <c r="F59" s="78" t="s">
        <v>1799</v>
      </c>
      <c r="G59" s="228" t="s">
        <v>2259</v>
      </c>
      <c r="H59" s="14" t="s">
        <v>119</v>
      </c>
      <c r="I59" s="14"/>
      <c r="J59" s="16" t="s">
        <v>66</v>
      </c>
      <c r="K59" s="632">
        <f>SUM(L59:P59)</f>
        <v>188353</v>
      </c>
      <c r="L59" s="632">
        <v>28253</v>
      </c>
      <c r="M59" s="632">
        <v>0</v>
      </c>
      <c r="N59" s="632">
        <v>0</v>
      </c>
      <c r="O59" s="632">
        <v>0</v>
      </c>
      <c r="P59" s="632">
        <v>160100</v>
      </c>
      <c r="Q59" s="632"/>
      <c r="R59" s="323">
        <v>42618</v>
      </c>
      <c r="S59" s="323">
        <v>42669</v>
      </c>
      <c r="T59" s="323">
        <v>42738</v>
      </c>
      <c r="U59" s="323">
        <v>42888</v>
      </c>
      <c r="V59" s="431">
        <f>SUM('IV-1 su proj'!CH149)</f>
        <v>43646</v>
      </c>
      <c r="W59" s="30"/>
      <c r="X59" s="30"/>
      <c r="Y59" s="30"/>
    </row>
    <row r="60" spans="1:28" ht="39" customHeight="1" thickBot="1">
      <c r="A60" s="697" t="s">
        <v>37</v>
      </c>
      <c r="B60" s="1625"/>
      <c r="C60" s="2014" t="s">
        <v>624</v>
      </c>
      <c r="D60" s="2015"/>
      <c r="E60" s="2015"/>
      <c r="F60" s="2015"/>
      <c r="G60" s="2015"/>
      <c r="H60" s="2015"/>
      <c r="I60" s="2015"/>
      <c r="J60" s="2016"/>
      <c r="K60" s="1014">
        <f>SUM(K61)</f>
        <v>241889</v>
      </c>
      <c r="L60" s="1014">
        <f>SUM(L61)</f>
        <v>36283.35</v>
      </c>
      <c r="M60" s="1014">
        <f t="shared" ref="M60:O60" si="29">SUM(M61)</f>
        <v>0</v>
      </c>
      <c r="N60" s="1014">
        <f t="shared" si="29"/>
        <v>0</v>
      </c>
      <c r="O60" s="1014">
        <f t="shared" si="29"/>
        <v>0</v>
      </c>
      <c r="P60" s="1014">
        <f>SUM(P61)</f>
        <v>205605.65</v>
      </c>
      <c r="Q60" s="1014"/>
      <c r="R60" s="708"/>
      <c r="S60" s="698"/>
      <c r="T60" s="698"/>
      <c r="U60" s="698"/>
      <c r="V60" s="698"/>
      <c r="W60" s="30">
        <v>205606</v>
      </c>
      <c r="X60" s="30">
        <f>SUM(W60*120/100)</f>
        <v>246727.2</v>
      </c>
      <c r="Y60" s="30">
        <f>SUM(W60-P60)</f>
        <v>0.35000000000582077</v>
      </c>
    </row>
    <row r="61" spans="1:28" ht="48.75" thickBot="1">
      <c r="A61" s="78" t="str">
        <f>CONCATENATE('3 pr-2'!A156)</f>
        <v>2.1.3.2.2</v>
      </c>
      <c r="B61" s="78"/>
      <c r="C61" s="78" t="s">
        <v>188</v>
      </c>
      <c r="D61" s="78" t="s">
        <v>184</v>
      </c>
      <c r="E61" s="78" t="s">
        <v>106</v>
      </c>
      <c r="F61" s="78" t="s">
        <v>1799</v>
      </c>
      <c r="G61" s="228" t="s">
        <v>2293</v>
      </c>
      <c r="H61" s="14" t="s">
        <v>119</v>
      </c>
      <c r="I61" s="14" t="s">
        <v>66</v>
      </c>
      <c r="J61" s="16" t="s">
        <v>66</v>
      </c>
      <c r="K61" s="632">
        <f>SUM(L61:P61)</f>
        <v>241889</v>
      </c>
      <c r="L61" s="632">
        <v>36283.35</v>
      </c>
      <c r="M61" s="632">
        <v>0</v>
      </c>
      <c r="N61" s="632">
        <v>0</v>
      </c>
      <c r="O61" s="632">
        <v>0</v>
      </c>
      <c r="P61" s="632">
        <v>205605.65</v>
      </c>
      <c r="Q61" s="632"/>
      <c r="R61" s="323">
        <v>42401</v>
      </c>
      <c r="S61" s="323">
        <v>42490</v>
      </c>
      <c r="T61" s="323">
        <v>42674</v>
      </c>
      <c r="U61" s="323">
        <v>42735</v>
      </c>
      <c r="V61" s="431">
        <v>43464</v>
      </c>
      <c r="W61" s="30"/>
      <c r="X61" s="30"/>
      <c r="Y61" s="30"/>
    </row>
    <row r="62" spans="1:28" ht="36" customHeight="1" thickBot="1">
      <c r="A62" s="1623" t="s">
        <v>38</v>
      </c>
      <c r="B62" s="1624"/>
      <c r="C62" s="2013" t="s">
        <v>625</v>
      </c>
      <c r="D62" s="1946"/>
      <c r="E62" s="1946"/>
      <c r="F62" s="1946"/>
      <c r="G62" s="1946"/>
      <c r="H62" s="1946"/>
      <c r="I62" s="1946"/>
      <c r="J62" s="1947"/>
      <c r="K62" s="1021">
        <f>SUM(K63)</f>
        <v>192832.21</v>
      </c>
      <c r="L62" s="1021">
        <f>SUM(L63)</f>
        <v>28924.84</v>
      </c>
      <c r="M62" s="1021">
        <f t="shared" ref="M62:P63" si="30">SUM(M63)</f>
        <v>0</v>
      </c>
      <c r="N62" s="1021">
        <f t="shared" si="30"/>
        <v>0</v>
      </c>
      <c r="O62" s="1021">
        <f t="shared" si="30"/>
        <v>0</v>
      </c>
      <c r="P62" s="1021">
        <f t="shared" si="30"/>
        <v>163907.37</v>
      </c>
      <c r="Q62" s="1021"/>
      <c r="R62" s="122"/>
      <c r="S62" s="731"/>
      <c r="T62" s="731"/>
      <c r="U62" s="731"/>
      <c r="V62" s="732"/>
      <c r="W62" s="30">
        <f>SUM(W63)</f>
        <v>179348.58670946473</v>
      </c>
      <c r="X62" s="30">
        <f>SUM(X63)</f>
        <v>215218.30405135767</v>
      </c>
      <c r="Y62" s="30">
        <f>SUM(Y63)</f>
        <v>15441.21670946473</v>
      </c>
    </row>
    <row r="63" spans="1:28" ht="39" customHeight="1" thickBot="1">
      <c r="A63" s="697" t="s">
        <v>109</v>
      </c>
      <c r="B63" s="1625"/>
      <c r="C63" s="2014" t="s">
        <v>626</v>
      </c>
      <c r="D63" s="2015"/>
      <c r="E63" s="2015"/>
      <c r="F63" s="2015"/>
      <c r="G63" s="2015"/>
      <c r="H63" s="2015"/>
      <c r="I63" s="2015"/>
      <c r="J63" s="2016"/>
      <c r="K63" s="1014">
        <f>SUM(K64)</f>
        <v>192832.21</v>
      </c>
      <c r="L63" s="1014">
        <f>SUM(L64)</f>
        <v>28924.84</v>
      </c>
      <c r="M63" s="1014">
        <f t="shared" si="30"/>
        <v>0</v>
      </c>
      <c r="N63" s="1014">
        <f t="shared" si="30"/>
        <v>0</v>
      </c>
      <c r="O63" s="1014">
        <f t="shared" si="30"/>
        <v>0</v>
      </c>
      <c r="P63" s="1014">
        <f>SUM(P64)</f>
        <v>163907.37</v>
      </c>
      <c r="Q63" s="1014"/>
      <c r="R63" s="708"/>
      <c r="S63" s="698"/>
      <c r="T63" s="698"/>
      <c r="U63" s="698"/>
      <c r="V63" s="698"/>
      <c r="W63" s="30">
        <v>179348.58670946473</v>
      </c>
      <c r="X63" s="30">
        <f>SUM(W63*120/100)</f>
        <v>215218.30405135767</v>
      </c>
      <c r="Y63" s="30">
        <f>SUM(W63-P63)</f>
        <v>15441.21670946473</v>
      </c>
    </row>
    <row r="64" spans="1:28" ht="48.75" thickBot="1">
      <c r="A64" s="78" t="str">
        <f>CONCATENATE('3 pr-2'!A163)</f>
        <v>2.1.4.1.2</v>
      </c>
      <c r="B64" s="78"/>
      <c r="C64" s="78" t="s">
        <v>391</v>
      </c>
      <c r="D64" s="78" t="s">
        <v>184</v>
      </c>
      <c r="E64" s="78" t="s">
        <v>75</v>
      </c>
      <c r="F64" s="78" t="s">
        <v>1799</v>
      </c>
      <c r="G64" s="228" t="s">
        <v>1122</v>
      </c>
      <c r="H64" s="14" t="s">
        <v>119</v>
      </c>
      <c r="I64" s="14" t="s">
        <v>66</v>
      </c>
      <c r="J64" s="16" t="s">
        <v>66</v>
      </c>
      <c r="K64" s="1018">
        <f>SUM(L64:P64)</f>
        <v>192832.21</v>
      </c>
      <c r="L64" s="1018">
        <v>28924.84</v>
      </c>
      <c r="M64" s="1018">
        <v>0</v>
      </c>
      <c r="N64" s="1018">
        <v>0</v>
      </c>
      <c r="O64" s="1018">
        <v>0</v>
      </c>
      <c r="P64" s="1018">
        <v>163907.37</v>
      </c>
      <c r="Q64" s="1018"/>
      <c r="R64" s="323">
        <v>43017</v>
      </c>
      <c r="S64" s="323">
        <v>43100</v>
      </c>
      <c r="T64" s="323">
        <v>43131</v>
      </c>
      <c r="U64" s="323">
        <v>43190</v>
      </c>
      <c r="V64" s="323">
        <v>44196</v>
      </c>
      <c r="W64" s="30"/>
      <c r="X64" s="30"/>
      <c r="Y64" s="30"/>
    </row>
    <row r="65" spans="1:25" ht="41.25" customHeight="1" thickBot="1">
      <c r="A65" s="724" t="s">
        <v>40</v>
      </c>
      <c r="B65" s="1622"/>
      <c r="C65" s="2012" t="s">
        <v>1388</v>
      </c>
      <c r="D65" s="1944"/>
      <c r="E65" s="1944"/>
      <c r="F65" s="1944"/>
      <c r="G65" s="1944"/>
      <c r="H65" s="1944"/>
      <c r="I65" s="1944"/>
      <c r="J65" s="1945"/>
      <c r="K65" s="726">
        <f t="shared" ref="K65:P65" si="31">SUM(K66+K69)</f>
        <v>1558149.6411764706</v>
      </c>
      <c r="L65" s="726">
        <f t="shared" si="31"/>
        <v>125745.54705882352</v>
      </c>
      <c r="M65" s="726">
        <f t="shared" si="31"/>
        <v>0</v>
      </c>
      <c r="N65" s="726">
        <f t="shared" si="31"/>
        <v>141958.77666797099</v>
      </c>
      <c r="O65" s="726">
        <f t="shared" si="31"/>
        <v>0</v>
      </c>
      <c r="P65" s="726">
        <f t="shared" si="31"/>
        <v>1324427.1499999999</v>
      </c>
      <c r="Q65" s="726"/>
      <c r="R65" s="726"/>
      <c r="S65" s="728"/>
      <c r="T65" s="728"/>
      <c r="U65" s="728"/>
      <c r="V65" s="729"/>
      <c r="W65" s="30">
        <f>SUM(W66+W69)</f>
        <v>1313858.3500000001</v>
      </c>
      <c r="X65" s="30">
        <f>SUM(X66+X69)</f>
        <v>1576630.02</v>
      </c>
      <c r="Y65" s="30">
        <f>SUM(Y66+Y69)</f>
        <v>-10568.800000000047</v>
      </c>
    </row>
    <row r="66" spans="1:25" ht="47.25" customHeight="1" thickBot="1">
      <c r="A66" s="1623" t="s">
        <v>41</v>
      </c>
      <c r="B66" s="1624"/>
      <c r="C66" s="2013" t="s">
        <v>1389</v>
      </c>
      <c r="D66" s="1946"/>
      <c r="E66" s="1946"/>
      <c r="F66" s="1946"/>
      <c r="G66" s="1946"/>
      <c r="H66" s="1946"/>
      <c r="I66" s="1946"/>
      <c r="J66" s="1947"/>
      <c r="K66" s="122">
        <f>SUM(K67)</f>
        <v>719846.29411764699</v>
      </c>
      <c r="L66" s="122">
        <f>SUM(L67)</f>
        <v>0</v>
      </c>
      <c r="M66" s="122">
        <f t="shared" ref="M66:P66" si="32">SUM(M67)</f>
        <v>0</v>
      </c>
      <c r="N66" s="122">
        <f t="shared" si="32"/>
        <v>141958.77666797099</v>
      </c>
      <c r="O66" s="122">
        <f t="shared" si="32"/>
        <v>0</v>
      </c>
      <c r="P66" s="122">
        <f t="shared" si="32"/>
        <v>611869.35</v>
      </c>
      <c r="Q66" s="122"/>
      <c r="R66" s="122"/>
      <c r="S66" s="731"/>
      <c r="T66" s="731"/>
      <c r="U66" s="731"/>
      <c r="V66" s="732"/>
      <c r="W66" s="30">
        <f>SUM(W67)</f>
        <v>611869.35</v>
      </c>
      <c r="X66" s="30">
        <f>SUM(X67)</f>
        <v>734243.22</v>
      </c>
      <c r="Y66" s="30">
        <f>SUM(Y67)</f>
        <v>0</v>
      </c>
    </row>
    <row r="67" spans="1:25" ht="39" customHeight="1" thickBot="1">
      <c r="A67" s="697" t="s">
        <v>42</v>
      </c>
      <c r="B67" s="1625"/>
      <c r="C67" s="2014" t="s">
        <v>597</v>
      </c>
      <c r="D67" s="2015"/>
      <c r="E67" s="2015"/>
      <c r="F67" s="2015"/>
      <c r="G67" s="2015"/>
      <c r="H67" s="2015"/>
      <c r="I67" s="2015"/>
      <c r="J67" s="2016"/>
      <c r="K67" s="698">
        <f t="shared" ref="K67:P67" si="33">SUM(K68:K68)</f>
        <v>719846.29411764699</v>
      </c>
      <c r="L67" s="698">
        <f>SUM(L68:L68)</f>
        <v>0</v>
      </c>
      <c r="M67" s="698">
        <f t="shared" si="33"/>
        <v>0</v>
      </c>
      <c r="N67" s="698">
        <f t="shared" si="33"/>
        <v>141958.77666797099</v>
      </c>
      <c r="O67" s="698">
        <f t="shared" si="33"/>
        <v>0</v>
      </c>
      <c r="P67" s="698">
        <f t="shared" si="33"/>
        <v>611869.35</v>
      </c>
      <c r="Q67" s="698"/>
      <c r="R67" s="708"/>
      <c r="S67" s="698"/>
      <c r="T67" s="698"/>
      <c r="U67" s="698"/>
      <c r="V67" s="698"/>
      <c r="W67" s="30">
        <v>611869.35</v>
      </c>
      <c r="X67" s="30">
        <f>SUM(W67*120/100)</f>
        <v>734243.22</v>
      </c>
      <c r="Y67" s="30">
        <f>SUM(W67-P67)</f>
        <v>0</v>
      </c>
    </row>
    <row r="68" spans="1:25" ht="48.75" thickBot="1">
      <c r="A68" s="78" t="str">
        <f>CONCATENATE('3 pr-2'!A166)</f>
        <v>2.1.4.1.5</v>
      </c>
      <c r="B68" s="78"/>
      <c r="C68" s="78" t="s">
        <v>307</v>
      </c>
      <c r="D68" s="78" t="s">
        <v>189</v>
      </c>
      <c r="E68" s="78" t="s">
        <v>77</v>
      </c>
      <c r="F68" s="78" t="s">
        <v>185</v>
      </c>
      <c r="G68" s="228" t="s">
        <v>190</v>
      </c>
      <c r="H68" s="14" t="s">
        <v>119</v>
      </c>
      <c r="I68" s="14" t="s">
        <v>66</v>
      </c>
      <c r="J68" s="16" t="s">
        <v>66</v>
      </c>
      <c r="K68" s="16">
        <v>719846.29411764699</v>
      </c>
      <c r="L68" s="1644">
        <v>0</v>
      </c>
      <c r="M68" s="16">
        <v>0</v>
      </c>
      <c r="N68" s="1644">
        <v>141958.77666797099</v>
      </c>
      <c r="O68" s="16">
        <v>0</v>
      </c>
      <c r="P68" s="16">
        <v>611869.35</v>
      </c>
      <c r="Q68" s="16"/>
      <c r="R68" s="16"/>
      <c r="S68" s="323">
        <v>42766</v>
      </c>
      <c r="T68" s="323">
        <v>42916</v>
      </c>
      <c r="U68" s="323">
        <v>43008</v>
      </c>
      <c r="V68" s="323">
        <v>43830</v>
      </c>
      <c r="W68" s="30"/>
      <c r="X68" s="30"/>
      <c r="Y68" s="30"/>
    </row>
    <row r="69" spans="1:25" ht="36" customHeight="1" thickBot="1">
      <c r="A69" s="1623" t="s">
        <v>43</v>
      </c>
      <c r="B69" s="1624"/>
      <c r="C69" s="2013" t="s">
        <v>1390</v>
      </c>
      <c r="D69" s="1946"/>
      <c r="E69" s="1946"/>
      <c r="F69" s="1946"/>
      <c r="G69" s="1946"/>
      <c r="H69" s="1946"/>
      <c r="I69" s="1946"/>
      <c r="J69" s="1947"/>
      <c r="K69" s="122">
        <f>SUM(K70)</f>
        <v>838303.34705882345</v>
      </c>
      <c r="L69" s="122">
        <f>SUM(L70)</f>
        <v>125745.54705882352</v>
      </c>
      <c r="M69" s="122">
        <f t="shared" ref="M69:P69" si="34">SUM(M70)</f>
        <v>0</v>
      </c>
      <c r="N69" s="122">
        <f t="shared" si="34"/>
        <v>0</v>
      </c>
      <c r="O69" s="122">
        <f t="shared" si="34"/>
        <v>0</v>
      </c>
      <c r="P69" s="122">
        <f t="shared" si="34"/>
        <v>712557.8</v>
      </c>
      <c r="Q69" s="122"/>
      <c r="R69" s="122"/>
      <c r="S69" s="731"/>
      <c r="T69" s="731"/>
      <c r="U69" s="731"/>
      <c r="V69" s="732"/>
      <c r="W69" s="30">
        <f>SUM(W70)</f>
        <v>701989</v>
      </c>
      <c r="X69" s="30">
        <f>SUM(X70)</f>
        <v>842386.8</v>
      </c>
      <c r="Y69" s="30">
        <f>SUM(Y70)</f>
        <v>-10568.800000000047</v>
      </c>
    </row>
    <row r="70" spans="1:25" ht="39" customHeight="1" thickBot="1">
      <c r="A70" s="697" t="s">
        <v>113</v>
      </c>
      <c r="B70" s="1625"/>
      <c r="C70" s="2014" t="s">
        <v>601</v>
      </c>
      <c r="D70" s="2015"/>
      <c r="E70" s="2015"/>
      <c r="F70" s="2015"/>
      <c r="G70" s="2015"/>
      <c r="H70" s="2015"/>
      <c r="I70" s="2015"/>
      <c r="J70" s="2016"/>
      <c r="K70" s="698">
        <f>SUM(K71:K72)</f>
        <v>838303.34705882345</v>
      </c>
      <c r="L70" s="698">
        <f t="shared" ref="L70:P70" si="35">SUM(L71:L72)</f>
        <v>125745.54705882352</v>
      </c>
      <c r="M70" s="698">
        <f t="shared" si="35"/>
        <v>0</v>
      </c>
      <c r="N70" s="698">
        <f t="shared" si="35"/>
        <v>0</v>
      </c>
      <c r="O70" s="698">
        <f t="shared" si="35"/>
        <v>0</v>
      </c>
      <c r="P70" s="698">
        <f t="shared" si="35"/>
        <v>712557.8</v>
      </c>
      <c r="Q70" s="698"/>
      <c r="R70" s="708"/>
      <c r="S70" s="698"/>
      <c r="T70" s="698"/>
      <c r="U70" s="698"/>
      <c r="V70" s="698"/>
      <c r="W70" s="30">
        <v>701989</v>
      </c>
      <c r="X70" s="30">
        <f>SUM(W70*120/100)</f>
        <v>842386.8</v>
      </c>
      <c r="Y70" s="30">
        <f>SUM(W70-P70)</f>
        <v>-10568.800000000047</v>
      </c>
    </row>
    <row r="71" spans="1:25" ht="48.75" thickBot="1">
      <c r="A71" s="78" t="str">
        <f>CONCATENATE('3 pr-2'!A176)</f>
        <v>3.1.2.1.3</v>
      </c>
      <c r="B71" s="78"/>
      <c r="C71" s="78" t="s">
        <v>191</v>
      </c>
      <c r="D71" s="78" t="s">
        <v>184</v>
      </c>
      <c r="E71" s="78" t="s">
        <v>77</v>
      </c>
      <c r="F71" s="78" t="s">
        <v>1799</v>
      </c>
      <c r="G71" s="228" t="s">
        <v>192</v>
      </c>
      <c r="H71" s="14" t="s">
        <v>119</v>
      </c>
      <c r="I71" s="14"/>
      <c r="J71" s="16"/>
      <c r="K71" s="632">
        <f>SUM(L71:P71)</f>
        <v>101765.7</v>
      </c>
      <c r="L71" s="632">
        <v>15264.9</v>
      </c>
      <c r="M71" s="632">
        <v>0</v>
      </c>
      <c r="N71" s="632">
        <v>0</v>
      </c>
      <c r="O71" s="632">
        <v>0</v>
      </c>
      <c r="P71" s="632">
        <v>86500.800000000003</v>
      </c>
      <c r="Q71" s="632"/>
      <c r="R71" s="323">
        <v>42598</v>
      </c>
      <c r="S71" s="323">
        <v>42632</v>
      </c>
      <c r="T71" s="323">
        <v>42767</v>
      </c>
      <c r="U71" s="323">
        <v>42998</v>
      </c>
      <c r="V71" s="323">
        <v>43465</v>
      </c>
      <c r="W71" s="30"/>
      <c r="X71" s="30"/>
      <c r="Y71" s="30"/>
    </row>
    <row r="72" spans="1:25" ht="48.75" thickBot="1">
      <c r="A72" s="78" t="str">
        <f>CONCATENATE('3 pr-2'!A181)</f>
        <v>3.1.2.1.8</v>
      </c>
      <c r="B72" s="78"/>
      <c r="C72" s="78" t="s">
        <v>603</v>
      </c>
      <c r="D72" s="78" t="s">
        <v>184</v>
      </c>
      <c r="E72" s="78" t="s">
        <v>77</v>
      </c>
      <c r="F72" s="78" t="s">
        <v>1799</v>
      </c>
      <c r="G72" s="228" t="s">
        <v>192</v>
      </c>
      <c r="H72" s="14" t="s">
        <v>119</v>
      </c>
      <c r="I72" s="14" t="s">
        <v>66</v>
      </c>
      <c r="J72" s="16" t="s">
        <v>66</v>
      </c>
      <c r="K72" s="632">
        <v>736537.6470588235</v>
      </c>
      <c r="L72" s="632">
        <v>110480.64705882352</v>
      </c>
      <c r="M72" s="632">
        <v>0</v>
      </c>
      <c r="N72" s="632">
        <v>0</v>
      </c>
      <c r="O72" s="632">
        <v>0</v>
      </c>
      <c r="P72" s="632">
        <v>626057</v>
      </c>
      <c r="Q72" s="632"/>
      <c r="R72" s="323">
        <v>43128</v>
      </c>
      <c r="S72" s="323">
        <v>43159</v>
      </c>
      <c r="T72" s="323">
        <v>43222</v>
      </c>
      <c r="U72" s="323">
        <v>43342</v>
      </c>
      <c r="V72" s="323">
        <v>43830</v>
      </c>
      <c r="W72" s="30"/>
      <c r="X72" s="30"/>
      <c r="Y72" s="30"/>
    </row>
    <row r="73" spans="1:25" ht="15.75" thickBot="1">
      <c r="A73" s="51"/>
      <c r="B73" s="52"/>
      <c r="C73" s="52"/>
      <c r="D73" s="52"/>
      <c r="E73" s="52"/>
      <c r="F73" s="52"/>
      <c r="G73" s="53"/>
      <c r="H73" s="52"/>
      <c r="I73" s="52"/>
      <c r="J73" s="52"/>
      <c r="K73" s="47">
        <f t="shared" ref="K73:P73" ca="1" si="36">SUM(K5+K41+K65)</f>
        <v>9324117.3470588233</v>
      </c>
      <c r="L73" s="47">
        <f t="shared" si="36"/>
        <v>1367681.5529411763</v>
      </c>
      <c r="M73" s="47">
        <f t="shared" ca="1" si="36"/>
        <v>160413.43</v>
      </c>
      <c r="N73" s="47">
        <f t="shared" si="36"/>
        <v>879911.27666797093</v>
      </c>
      <c r="O73" s="47">
        <f t="shared" si="36"/>
        <v>788.75</v>
      </c>
      <c r="P73" s="47">
        <f t="shared" si="36"/>
        <v>6949304.1699999999</v>
      </c>
      <c r="Q73" s="330"/>
      <c r="R73" s="330"/>
      <c r="S73" s="52"/>
      <c r="T73" s="52"/>
      <c r="U73" s="52"/>
      <c r="V73" s="1637"/>
      <c r="W73" s="47">
        <f>SUM(W5+W41+W65)</f>
        <v>7507052.4672358781</v>
      </c>
      <c r="X73" s="47">
        <f>SUM(X5+X41+X65)</f>
        <v>9008462.9606830534</v>
      </c>
      <c r="Y73" s="47" t="e">
        <f>SUM(Y5+Y41+Y65)</f>
        <v>#REF!</v>
      </c>
    </row>
    <row r="74" spans="1:25" ht="15.75" thickTop="1"/>
    <row r="75" spans="1:25">
      <c r="M75" s="54">
        <f ca="1">SUM(M73:O73)</f>
        <v>1041113.4566679709</v>
      </c>
    </row>
    <row r="77" spans="1:25">
      <c r="M77" s="48">
        <v>777879.2799999998</v>
      </c>
      <c r="N77" s="48">
        <v>3352807.77</v>
      </c>
    </row>
    <row r="79" spans="1:25">
      <c r="M79" s="59">
        <f>SUM(M77*N79/N77)</f>
        <v>141958.77666797099</v>
      </c>
      <c r="N79" s="48">
        <v>611869.35</v>
      </c>
    </row>
  </sheetData>
  <mergeCells count="41">
    <mergeCell ref="C41:J41"/>
    <mergeCell ref="C65:J65"/>
    <mergeCell ref="C32:J32"/>
    <mergeCell ref="C42:J42"/>
    <mergeCell ref="C49:J49"/>
    <mergeCell ref="C57:J57"/>
    <mergeCell ref="C62:J62"/>
    <mergeCell ref="C63:J63"/>
    <mergeCell ref="C55:J55"/>
    <mergeCell ref="C67:J67"/>
    <mergeCell ref="C70:J70"/>
    <mergeCell ref="C66:J66"/>
    <mergeCell ref="C69:J69"/>
    <mergeCell ref="C43:J43"/>
    <mergeCell ref="C45:J45"/>
    <mergeCell ref="C47:J47"/>
    <mergeCell ref="C50:J50"/>
    <mergeCell ref="C53:J53"/>
    <mergeCell ref="C58:J58"/>
    <mergeCell ref="C60:J60"/>
    <mergeCell ref="C30:J30"/>
    <mergeCell ref="C33:J33"/>
    <mergeCell ref="C35:J35"/>
    <mergeCell ref="C37:J37"/>
    <mergeCell ref="C39:J39"/>
    <mergeCell ref="C20:J20"/>
    <mergeCell ref="C22:J22"/>
    <mergeCell ref="C24:J24"/>
    <mergeCell ref="C26:J26"/>
    <mergeCell ref="C28:J28"/>
    <mergeCell ref="C5:J5"/>
    <mergeCell ref="C6:J6"/>
    <mergeCell ref="C7:J7"/>
    <mergeCell ref="C16:J16"/>
    <mergeCell ref="C18:J18"/>
    <mergeCell ref="Y2:Y3"/>
    <mergeCell ref="A2:J2"/>
    <mergeCell ref="K2:P2"/>
    <mergeCell ref="W2:W3"/>
    <mergeCell ref="X2:X3"/>
    <mergeCell ref="R2:V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A82"/>
  <sheetViews>
    <sheetView topLeftCell="C1" workbookViewId="0">
      <pane ySplit="2955" topLeftCell="A34" activePane="bottomLeft"/>
      <selection activeCell="A4" sqref="A4:V4"/>
      <selection pane="bottomLeft" activeCell="V36" sqref="V36"/>
    </sheetView>
  </sheetViews>
  <sheetFormatPr defaultColWidth="9.140625" defaultRowHeight="15"/>
  <cols>
    <col min="1" max="1" width="9.140625" style="48"/>
    <col min="2" max="2" width="13.28515625" style="48" customWidth="1"/>
    <col min="3" max="3" width="37.140625" style="48" customWidth="1"/>
    <col min="4" max="4" width="11.7109375" style="48" customWidth="1"/>
    <col min="5" max="5" width="14.42578125" style="48" bestFit="1" customWidth="1"/>
    <col min="6" max="6" width="11.42578125" style="48" customWidth="1"/>
    <col min="7" max="7" width="18.28515625" style="48" customWidth="1"/>
    <col min="8" max="10" width="9.140625" style="48"/>
    <col min="11" max="11" width="16.42578125" style="48" bestFit="1" customWidth="1"/>
    <col min="12" max="12" width="14.28515625" style="48" bestFit="1" customWidth="1"/>
    <col min="13" max="13" width="12.7109375" style="48" bestFit="1" customWidth="1"/>
    <col min="14" max="14" width="13.140625" style="48" customWidth="1"/>
    <col min="15" max="15" width="10.85546875" style="48" bestFit="1" customWidth="1"/>
    <col min="16" max="16" width="16.42578125" style="48" bestFit="1" customWidth="1"/>
    <col min="17" max="17" width="10.7109375" style="48" customWidth="1"/>
    <col min="18" max="18" width="12.28515625" style="48" hidden="1" customWidth="1"/>
    <col min="19" max="19" width="11.85546875" style="48" customWidth="1"/>
    <col min="20" max="20" width="10.28515625" style="48" customWidth="1"/>
    <col min="21" max="21" width="11.5703125" style="48" bestFit="1" customWidth="1"/>
    <col min="22" max="22" width="10.85546875" style="48" customWidth="1"/>
    <col min="23" max="24" width="18" style="48" hidden="1" customWidth="1"/>
    <col min="25" max="25" width="22.42578125" style="48" hidden="1" customWidth="1"/>
    <col min="26" max="26" width="9.140625" style="48" customWidth="1"/>
    <col min="27" max="16384" width="9.140625" style="48"/>
  </cols>
  <sheetData>
    <row r="1" spans="1:25" ht="15.75" thickBot="1">
      <c r="A1" s="22" t="s">
        <v>73</v>
      </c>
      <c r="B1" s="22"/>
    </row>
    <row r="2" spans="1:25" ht="16.5" customHeight="1" thickTop="1" thickBot="1">
      <c r="A2" s="2005" t="s">
        <v>46</v>
      </c>
      <c r="B2" s="2006"/>
      <c r="C2" s="2006"/>
      <c r="D2" s="2006"/>
      <c r="E2" s="2006"/>
      <c r="F2" s="2006"/>
      <c r="G2" s="2006"/>
      <c r="H2" s="2006"/>
      <c r="I2" s="2006"/>
      <c r="J2" s="2007"/>
      <c r="K2" s="2008" t="s">
        <v>47</v>
      </c>
      <c r="L2" s="2006"/>
      <c r="M2" s="2006"/>
      <c r="N2" s="2006"/>
      <c r="O2" s="2006"/>
      <c r="P2" s="2007"/>
      <c r="Q2" s="1316"/>
      <c r="R2" s="2008" t="s">
        <v>48</v>
      </c>
      <c r="S2" s="2010"/>
      <c r="T2" s="2010"/>
      <c r="U2" s="2010"/>
      <c r="V2" s="2011"/>
      <c r="W2" s="1907" t="s">
        <v>117</v>
      </c>
      <c r="X2" s="1907" t="s">
        <v>118</v>
      </c>
      <c r="Y2" s="1907" t="s">
        <v>122</v>
      </c>
    </row>
    <row r="3" spans="1:25" ht="84.75" thickBot="1">
      <c r="A3" s="23" t="s">
        <v>7</v>
      </c>
      <c r="B3" s="24" t="str">
        <f>CONCATENATE('3 pr-2'!B4)</f>
        <v xml:space="preserve">Unikalus numeris**** </v>
      </c>
      <c r="C3" s="24" t="s">
        <v>49</v>
      </c>
      <c r="D3" s="24" t="s">
        <v>50</v>
      </c>
      <c r="E3" s="24" t="s">
        <v>51</v>
      </c>
      <c r="F3" s="24" t="s">
        <v>52</v>
      </c>
      <c r="G3" s="25" t="s">
        <v>53</v>
      </c>
      <c r="H3" s="24" t="s">
        <v>54</v>
      </c>
      <c r="I3" s="24" t="s">
        <v>55</v>
      </c>
      <c r="J3" s="24" t="s">
        <v>56</v>
      </c>
      <c r="K3" s="24" t="s">
        <v>57</v>
      </c>
      <c r="L3" s="24" t="s">
        <v>58</v>
      </c>
      <c r="M3" s="24" t="s">
        <v>59</v>
      </c>
      <c r="N3" s="24" t="s">
        <v>60</v>
      </c>
      <c r="O3" s="24" t="s">
        <v>61</v>
      </c>
      <c r="P3" s="24" t="s">
        <v>4235</v>
      </c>
      <c r="Q3" s="24" t="s">
        <v>1781</v>
      </c>
      <c r="R3" s="24" t="s">
        <v>1126</v>
      </c>
      <c r="S3" s="24" t="s">
        <v>62</v>
      </c>
      <c r="T3" s="24" t="s">
        <v>63</v>
      </c>
      <c r="U3" s="24" t="s">
        <v>64</v>
      </c>
      <c r="V3" s="26" t="s">
        <v>65</v>
      </c>
      <c r="W3" s="1908"/>
      <c r="X3" s="1908"/>
      <c r="Y3" s="1908"/>
    </row>
    <row r="4" spans="1:25" ht="15.75" thickBot="1">
      <c r="A4" s="17"/>
      <c r="B4" s="15"/>
      <c r="C4" s="15"/>
      <c r="D4" s="15"/>
      <c r="E4" s="15"/>
      <c r="F4" s="15"/>
      <c r="G4" s="10"/>
      <c r="H4" s="15"/>
      <c r="I4" s="15"/>
      <c r="J4" s="15"/>
      <c r="K4" s="15"/>
      <c r="L4" s="15"/>
      <c r="M4" s="15"/>
      <c r="N4" s="15"/>
      <c r="O4" s="15"/>
      <c r="P4" s="15"/>
      <c r="Q4" s="15"/>
      <c r="R4" s="15"/>
      <c r="S4" s="15"/>
      <c r="T4" s="15"/>
      <c r="U4" s="15"/>
      <c r="V4" s="49"/>
      <c r="W4" s="30"/>
      <c r="X4" s="30"/>
      <c r="Y4" s="30"/>
    </row>
    <row r="5" spans="1:25" ht="60.75" customHeight="1" thickBot="1">
      <c r="A5" s="724" t="s">
        <v>11</v>
      </c>
      <c r="B5" s="1622"/>
      <c r="C5" s="2012" t="s">
        <v>1385</v>
      </c>
      <c r="D5" s="1944"/>
      <c r="E5" s="1944"/>
      <c r="F5" s="1944"/>
      <c r="G5" s="1944"/>
      <c r="H5" s="1944"/>
      <c r="I5" s="1944"/>
      <c r="J5" s="1945"/>
      <c r="K5" s="726">
        <f t="shared" ref="K5:P5" si="0">SUM(K6+K31)</f>
        <v>11925018.651764706</v>
      </c>
      <c r="L5" s="726">
        <f t="shared" si="0"/>
        <v>2192854.4017647058</v>
      </c>
      <c r="M5" s="726">
        <f t="shared" si="0"/>
        <v>106887.98999999999</v>
      </c>
      <c r="N5" s="726">
        <f t="shared" si="0"/>
        <v>2709253.87</v>
      </c>
      <c r="O5" s="726">
        <f t="shared" si="0"/>
        <v>0</v>
      </c>
      <c r="P5" s="726">
        <f t="shared" si="0"/>
        <v>6916022.3899999997</v>
      </c>
      <c r="Q5" s="726">
        <f t="shared" ref="Q5" si="1">SUM(Q6+Q31)</f>
        <v>0</v>
      </c>
      <c r="R5" s="726"/>
      <c r="S5" s="728" t="s">
        <v>66</v>
      </c>
      <c r="T5" s="728" t="s">
        <v>66</v>
      </c>
      <c r="U5" s="728" t="s">
        <v>66</v>
      </c>
      <c r="V5" s="729"/>
      <c r="W5" s="30">
        <f>SUM(W6+W31)</f>
        <v>6509159.2167248093</v>
      </c>
      <c r="X5" s="30">
        <f>SUM(X6+X31)</f>
        <v>7810991.0600697715</v>
      </c>
      <c r="Y5" s="30">
        <f>SUM(Y6+Y31)</f>
        <v>-392413.17327519023</v>
      </c>
    </row>
    <row r="6" spans="1:25" ht="51" customHeight="1" thickBot="1">
      <c r="A6" s="1623" t="s">
        <v>12</v>
      </c>
      <c r="B6" s="1624"/>
      <c r="C6" s="2013" t="s">
        <v>1386</v>
      </c>
      <c r="D6" s="1946"/>
      <c r="E6" s="1946"/>
      <c r="F6" s="1946"/>
      <c r="G6" s="1946"/>
      <c r="H6" s="1946"/>
      <c r="I6" s="1946"/>
      <c r="J6" s="1947"/>
      <c r="K6" s="122">
        <f t="shared" ref="K6:P6" si="2">SUM(K7+K12+K15+K17+K19+K21+K23+K27+K29)</f>
        <v>9004264.4117647056</v>
      </c>
      <c r="L6" s="122">
        <f t="shared" si="2"/>
        <v>1276761.9617647056</v>
      </c>
      <c r="M6" s="122">
        <f t="shared" si="2"/>
        <v>106887.98999999999</v>
      </c>
      <c r="N6" s="122">
        <f t="shared" si="2"/>
        <v>2286561.87</v>
      </c>
      <c r="O6" s="122">
        <f t="shared" si="2"/>
        <v>0</v>
      </c>
      <c r="P6" s="122">
        <f t="shared" si="2"/>
        <v>5334052.59</v>
      </c>
      <c r="Q6" s="122">
        <f t="shared" ref="Q6" si="3">SUM(Q7+Q12+Q15+Q17+Q19+Q21+Q23+Q27+Q29)</f>
        <v>0</v>
      </c>
      <c r="R6" s="122"/>
      <c r="S6" s="731" t="s">
        <v>66</v>
      </c>
      <c r="T6" s="731" t="s">
        <v>66</v>
      </c>
      <c r="U6" s="731" t="s">
        <v>66</v>
      </c>
      <c r="V6" s="732"/>
      <c r="W6" s="30">
        <f>SUM(W7+W12+W15+W17+W19+W21+W23+W27+W29)</f>
        <v>5268080.8167248098</v>
      </c>
      <c r="X6" s="30">
        <f>SUM(X7+X12+X15+X17+X19+X21+X23+X27+X29)</f>
        <v>6321696.9800697714</v>
      </c>
      <c r="Y6" s="30">
        <f>SUM(Y7+Y12+Y15+Y17+Y19+Y21+Y23+Y27+Y29)</f>
        <v>-65971.773275190208</v>
      </c>
    </row>
    <row r="7" spans="1:25" ht="37.5" customHeight="1" thickBot="1">
      <c r="A7" s="697" t="s">
        <v>67</v>
      </c>
      <c r="B7" s="1625"/>
      <c r="C7" s="2014" t="s">
        <v>595</v>
      </c>
      <c r="D7" s="2015"/>
      <c r="E7" s="2015"/>
      <c r="F7" s="2015"/>
      <c r="G7" s="2015"/>
      <c r="H7" s="2015"/>
      <c r="I7" s="2015"/>
      <c r="J7" s="2016"/>
      <c r="K7" s="698">
        <f t="shared" ref="K7:Q7" si="4">SUM(K8:K11)</f>
        <v>926200</v>
      </c>
      <c r="L7" s="698">
        <f t="shared" si="4"/>
        <v>363524</v>
      </c>
      <c r="M7" s="698">
        <f t="shared" si="4"/>
        <v>0</v>
      </c>
      <c r="N7" s="698">
        <f t="shared" si="4"/>
        <v>0</v>
      </c>
      <c r="O7" s="698">
        <f t="shared" si="4"/>
        <v>0</v>
      </c>
      <c r="P7" s="698">
        <f t="shared" si="4"/>
        <v>562676</v>
      </c>
      <c r="Q7" s="698">
        <f t="shared" si="4"/>
        <v>0</v>
      </c>
      <c r="R7" s="708"/>
      <c r="S7" s="698" t="s">
        <v>66</v>
      </c>
      <c r="T7" s="698" t="s">
        <v>66</v>
      </c>
      <c r="U7" s="698" t="s">
        <v>66</v>
      </c>
      <c r="V7" s="698"/>
      <c r="W7" s="30">
        <v>478275</v>
      </c>
      <c r="X7" s="30">
        <f>SUM(W7*120/100)</f>
        <v>573930</v>
      </c>
      <c r="Y7" s="30">
        <f>SUM(W7-P7)</f>
        <v>-84401</v>
      </c>
    </row>
    <row r="8" spans="1:25" ht="36.75" thickBot="1">
      <c r="A8" s="78" t="str">
        <f>CONCATENATE('3 pr-2'!A10)</f>
        <v>1.1.1.1.1</v>
      </c>
      <c r="B8" s="78" t="str">
        <f>CONCATENATE('3 pr-2'!B10)</f>
        <v>R01-ZM72-120000-1101</v>
      </c>
      <c r="C8" s="78" t="s">
        <v>411</v>
      </c>
      <c r="D8" s="78" t="s">
        <v>181</v>
      </c>
      <c r="E8" s="78" t="s">
        <v>74</v>
      </c>
      <c r="F8" s="78" t="s">
        <v>1444</v>
      </c>
      <c r="G8" s="78" t="s">
        <v>437</v>
      </c>
      <c r="H8" s="14" t="s">
        <v>119</v>
      </c>
      <c r="I8" s="14" t="s">
        <v>66</v>
      </c>
      <c r="J8" s="14" t="s">
        <v>66</v>
      </c>
      <c r="K8" s="1644">
        <f>SUM(L8:P8)</f>
        <v>250766</v>
      </c>
      <c r="L8" s="1644">
        <f>'3 pr-2'!O10</f>
        <v>91651</v>
      </c>
      <c r="M8" s="1644">
        <v>0</v>
      </c>
      <c r="N8" s="16">
        <v>0</v>
      </c>
      <c r="O8" s="16">
        <v>0</v>
      </c>
      <c r="P8" s="1644">
        <f>'3 pr-2'!AA10</f>
        <v>159115</v>
      </c>
      <c r="Q8" s="16">
        <v>0</v>
      </c>
      <c r="R8" s="323">
        <v>42643</v>
      </c>
      <c r="S8" s="323">
        <v>42855</v>
      </c>
      <c r="T8" s="323">
        <v>43010</v>
      </c>
      <c r="U8" s="636">
        <v>43102</v>
      </c>
      <c r="V8" s="323">
        <v>43465</v>
      </c>
      <c r="W8" s="30"/>
      <c r="X8" s="30"/>
      <c r="Y8" s="30"/>
    </row>
    <row r="9" spans="1:25" ht="36.75" thickBot="1">
      <c r="A9" s="78" t="str">
        <f>CONCATENATE('3 pr-2'!A11)</f>
        <v>1.1.1.1.2</v>
      </c>
      <c r="B9" s="78" t="str">
        <f>CONCATENATE('3 pr-2'!B11)</f>
        <v>R01-ZM72-120000-1102</v>
      </c>
      <c r="C9" s="78" t="s">
        <v>412</v>
      </c>
      <c r="D9" s="78" t="s">
        <v>181</v>
      </c>
      <c r="E9" s="78" t="s">
        <v>74</v>
      </c>
      <c r="F9" s="78" t="s">
        <v>1444</v>
      </c>
      <c r="G9" s="78" t="s">
        <v>437</v>
      </c>
      <c r="H9" s="14" t="s">
        <v>119</v>
      </c>
      <c r="I9" s="14" t="s">
        <v>66</v>
      </c>
      <c r="J9" s="14" t="s">
        <v>66</v>
      </c>
      <c r="K9" s="1644">
        <f>SUM(L9:P9)</f>
        <v>188039</v>
      </c>
      <c r="L9" s="1644">
        <f>'3 pr-2'!O11</f>
        <v>66968</v>
      </c>
      <c r="M9" s="1644">
        <v>0</v>
      </c>
      <c r="N9" s="16">
        <v>0</v>
      </c>
      <c r="O9" s="16">
        <v>0</v>
      </c>
      <c r="P9" s="1644">
        <f>'3 pr-2'!AA11</f>
        <v>121071</v>
      </c>
      <c r="Q9" s="16">
        <v>0</v>
      </c>
      <c r="R9" s="323">
        <v>42643</v>
      </c>
      <c r="S9" s="323">
        <v>42855</v>
      </c>
      <c r="T9" s="323">
        <v>43010</v>
      </c>
      <c r="U9" s="636">
        <v>43102</v>
      </c>
      <c r="V9" s="323">
        <v>43465</v>
      </c>
      <c r="W9" s="30"/>
      <c r="X9" s="30"/>
      <c r="Y9" s="30"/>
    </row>
    <row r="10" spans="1:25" ht="36.75" thickBot="1">
      <c r="A10" s="78" t="str">
        <f>CONCATENATE('3 pr-2'!A12)</f>
        <v>1.1.1.1.3</v>
      </c>
      <c r="B10" s="78" t="str">
        <f>CONCATENATE('3 pr-2'!B12)</f>
        <v>R01-ZM72-120000-1103</v>
      </c>
      <c r="C10" s="78" t="s">
        <v>413</v>
      </c>
      <c r="D10" s="78" t="s">
        <v>181</v>
      </c>
      <c r="E10" s="78" t="s">
        <v>74</v>
      </c>
      <c r="F10" s="78" t="s">
        <v>1444</v>
      </c>
      <c r="G10" s="78" t="s">
        <v>437</v>
      </c>
      <c r="H10" s="14" t="s">
        <v>119</v>
      </c>
      <c r="I10" s="14" t="s">
        <v>66</v>
      </c>
      <c r="J10" s="14" t="s">
        <v>66</v>
      </c>
      <c r="K10" s="1644">
        <f>SUM(L10:P10)</f>
        <v>222319</v>
      </c>
      <c r="L10" s="1644">
        <f>'3 pr-2'!O12</f>
        <v>67873</v>
      </c>
      <c r="M10" s="1644">
        <v>0</v>
      </c>
      <c r="N10" s="16">
        <v>0</v>
      </c>
      <c r="O10" s="16">
        <v>0</v>
      </c>
      <c r="P10" s="1644">
        <f>'3 pr-2'!AA12</f>
        <v>154446</v>
      </c>
      <c r="Q10" s="16">
        <v>0</v>
      </c>
      <c r="R10" s="323">
        <v>42643</v>
      </c>
      <c r="S10" s="323">
        <v>42855</v>
      </c>
      <c r="T10" s="323">
        <v>43010</v>
      </c>
      <c r="U10" s="636">
        <v>43102</v>
      </c>
      <c r="V10" s="323">
        <v>43465</v>
      </c>
      <c r="W10" s="30"/>
      <c r="X10" s="30"/>
      <c r="Y10" s="30"/>
    </row>
    <row r="11" spans="1:25" ht="36.75" thickBot="1">
      <c r="A11" s="78" t="str">
        <f>CONCATENATE('3 pr-2'!A14)</f>
        <v>1.1.1.1.5</v>
      </c>
      <c r="B11" s="78" t="str">
        <f>CONCATENATE('3 pr-2'!B14)</f>
        <v>R01-ZM72-120000-1105</v>
      </c>
      <c r="C11" s="78" t="s">
        <v>415</v>
      </c>
      <c r="D11" s="78" t="s">
        <v>181</v>
      </c>
      <c r="E11" s="78" t="s">
        <v>74</v>
      </c>
      <c r="F11" s="78" t="s">
        <v>1444</v>
      </c>
      <c r="G11" s="78" t="s">
        <v>437</v>
      </c>
      <c r="H11" s="14" t="s">
        <v>119</v>
      </c>
      <c r="I11" s="14" t="s">
        <v>66</v>
      </c>
      <c r="J11" s="14" t="s">
        <v>66</v>
      </c>
      <c r="K11" s="1644">
        <f>SUM(L11:P11)</f>
        <v>265076</v>
      </c>
      <c r="L11" s="1644">
        <f>'3 pr-2'!O14</f>
        <v>137032</v>
      </c>
      <c r="M11" s="1644">
        <v>0</v>
      </c>
      <c r="N11" s="16">
        <v>0</v>
      </c>
      <c r="O11" s="16">
        <v>0</v>
      </c>
      <c r="P11" s="1644">
        <f>'3 pr-2'!AA14</f>
        <v>128044</v>
      </c>
      <c r="Q11" s="16">
        <v>0</v>
      </c>
      <c r="R11" s="323">
        <v>42643</v>
      </c>
      <c r="S11" s="323">
        <v>42855</v>
      </c>
      <c r="T11" s="323">
        <v>43010</v>
      </c>
      <c r="U11" s="636">
        <v>43102</v>
      </c>
      <c r="V11" s="323">
        <v>43465</v>
      </c>
      <c r="W11" s="35"/>
      <c r="X11" s="35"/>
      <c r="Y11" s="36"/>
    </row>
    <row r="12" spans="1:25" ht="39.75" customHeight="1" thickBot="1">
      <c r="A12" s="697" t="s">
        <v>14</v>
      </c>
      <c r="B12" s="1625"/>
      <c r="C12" s="2014" t="s">
        <v>596</v>
      </c>
      <c r="D12" s="2015"/>
      <c r="E12" s="2015"/>
      <c r="F12" s="2015"/>
      <c r="G12" s="2015"/>
      <c r="H12" s="2015"/>
      <c r="I12" s="2015"/>
      <c r="J12" s="2016"/>
      <c r="K12" s="698">
        <f>SUM(K13:K14)</f>
        <v>1253296.99</v>
      </c>
      <c r="L12" s="698">
        <f t="shared" ref="L12:P12" si="5">SUM(L13:L14)</f>
        <v>243530.99</v>
      </c>
      <c r="M12" s="698">
        <f t="shared" si="5"/>
        <v>81872.929999999993</v>
      </c>
      <c r="N12" s="698">
        <f t="shared" si="5"/>
        <v>0</v>
      </c>
      <c r="O12" s="698">
        <f t="shared" si="5"/>
        <v>0</v>
      </c>
      <c r="P12" s="698">
        <f t="shared" si="5"/>
        <v>927893.07000000007</v>
      </c>
      <c r="Q12" s="698"/>
      <c r="R12" s="708"/>
      <c r="S12" s="698"/>
      <c r="T12" s="698"/>
      <c r="U12" s="698"/>
      <c r="V12" s="698"/>
      <c r="W12" s="30">
        <v>927893.52922480984</v>
      </c>
      <c r="X12" s="30">
        <f>SUM(W12*120/100)</f>
        <v>1113472.2350697718</v>
      </c>
      <c r="Y12" s="30">
        <f>SUM(W12-P12)</f>
        <v>0.45922480977606028</v>
      </c>
    </row>
    <row r="13" spans="1:25" ht="48.75" customHeight="1" thickBot="1">
      <c r="A13" s="78" t="str">
        <f>CONCATENATE('3 pr-2'!A37)</f>
        <v>1.1.1.2.4</v>
      </c>
      <c r="B13" s="78" t="str">
        <f>CONCATENATE('3 pr-2'!B37)</f>
        <v>R01-9908-290000-1124</v>
      </c>
      <c r="C13" s="78" t="s">
        <v>384</v>
      </c>
      <c r="D13" s="78" t="s">
        <v>181</v>
      </c>
      <c r="E13" s="78" t="s">
        <v>75</v>
      </c>
      <c r="F13" s="78" t="s">
        <v>1444</v>
      </c>
      <c r="G13" s="78" t="s">
        <v>146</v>
      </c>
      <c r="H13" s="14" t="s">
        <v>119</v>
      </c>
      <c r="I13" s="14" t="s">
        <v>66</v>
      </c>
      <c r="J13" s="14" t="s">
        <v>66</v>
      </c>
      <c r="K13" s="632">
        <f>SUM(L13:P13)</f>
        <v>579418.99</v>
      </c>
      <c r="L13" s="632">
        <v>192989.99</v>
      </c>
      <c r="M13" s="632">
        <v>31332.09</v>
      </c>
      <c r="N13" s="632">
        <v>0</v>
      </c>
      <c r="O13" s="632">
        <v>0</v>
      </c>
      <c r="P13" s="632">
        <v>355096.91</v>
      </c>
      <c r="Q13" s="632"/>
      <c r="R13" s="155">
        <v>43038</v>
      </c>
      <c r="S13" s="155">
        <v>43124</v>
      </c>
      <c r="T13" s="155">
        <v>43251</v>
      </c>
      <c r="U13" s="155">
        <v>43327</v>
      </c>
      <c r="V13" s="431">
        <v>43830</v>
      </c>
      <c r="W13" s="30"/>
      <c r="X13" s="30"/>
      <c r="Y13" s="30"/>
    </row>
    <row r="14" spans="1:25" ht="48.75" thickBot="1">
      <c r="A14" s="78" t="str">
        <f>CONCATENATE('3 pr-2'!A38)</f>
        <v>1.1.1.2.5</v>
      </c>
      <c r="B14" s="78" t="str">
        <f>CONCATENATE('3 pr-2'!B38)</f>
        <v>R01-9908-290000-1125</v>
      </c>
      <c r="C14" s="78" t="s">
        <v>385</v>
      </c>
      <c r="D14" s="78" t="s">
        <v>181</v>
      </c>
      <c r="E14" s="78" t="s">
        <v>75</v>
      </c>
      <c r="F14" s="78" t="s">
        <v>1444</v>
      </c>
      <c r="G14" s="78" t="s">
        <v>146</v>
      </c>
      <c r="H14" s="14" t="s">
        <v>119</v>
      </c>
      <c r="I14" s="14" t="s">
        <v>66</v>
      </c>
      <c r="J14" s="14" t="s">
        <v>66</v>
      </c>
      <c r="K14" s="632">
        <f>SUM(L14:P14)</f>
        <v>673878</v>
      </c>
      <c r="L14" s="632">
        <v>50541</v>
      </c>
      <c r="M14" s="632">
        <v>50540.84</v>
      </c>
      <c r="N14" s="632">
        <v>0</v>
      </c>
      <c r="O14" s="632">
        <v>0</v>
      </c>
      <c r="P14" s="632">
        <v>572796.16000000003</v>
      </c>
      <c r="Q14" s="632"/>
      <c r="R14" s="155">
        <v>43038</v>
      </c>
      <c r="S14" s="155">
        <v>43124</v>
      </c>
      <c r="T14" s="155">
        <v>43251</v>
      </c>
      <c r="U14" s="155">
        <v>43312</v>
      </c>
      <c r="V14" s="431">
        <v>43830</v>
      </c>
      <c r="W14" s="30"/>
      <c r="X14" s="30"/>
      <c r="Y14" s="30"/>
    </row>
    <row r="15" spans="1:25" ht="30.75" customHeight="1" thickBot="1">
      <c r="A15" s="697" t="s">
        <v>70</v>
      </c>
      <c r="B15" s="1625"/>
      <c r="C15" s="2014" t="s">
        <v>605</v>
      </c>
      <c r="D15" s="2015"/>
      <c r="E15" s="2015"/>
      <c r="F15" s="2015"/>
      <c r="G15" s="2015"/>
      <c r="H15" s="2015"/>
      <c r="I15" s="2015"/>
      <c r="J15" s="2016"/>
      <c r="K15" s="1640">
        <f>SUM(K16:K16)</f>
        <v>0</v>
      </c>
      <c r="L15" s="1640">
        <f>SUM(L16:L16)</f>
        <v>0</v>
      </c>
      <c r="M15" s="1640">
        <f>SUM(M16:M16)</f>
        <v>0</v>
      </c>
      <c r="N15" s="1640"/>
      <c r="O15" s="1640"/>
      <c r="P15" s="1640">
        <f>SUM(P16:P16)</f>
        <v>0</v>
      </c>
      <c r="Q15" s="698"/>
      <c r="R15" s="708"/>
      <c r="S15" s="698"/>
      <c r="T15" s="698"/>
      <c r="U15" s="698"/>
      <c r="V15" s="698"/>
      <c r="W15" s="30">
        <v>0</v>
      </c>
      <c r="X15" s="30">
        <f>SUM(W15*120/100)</f>
        <v>0</v>
      </c>
      <c r="Y15" s="30">
        <f>SUM(W15-P15)</f>
        <v>0</v>
      </c>
    </row>
    <row r="16" spans="1:25" ht="15.75" thickBot="1">
      <c r="A16" s="8"/>
      <c r="B16" s="8"/>
      <c r="C16" s="8"/>
      <c r="D16" s="7"/>
      <c r="E16" s="7"/>
      <c r="F16" s="7"/>
      <c r="G16" s="1"/>
      <c r="H16" s="12" t="s">
        <v>66</v>
      </c>
      <c r="I16" s="12"/>
      <c r="J16" s="12" t="s">
        <v>66</v>
      </c>
      <c r="K16" s="12"/>
      <c r="L16" s="12"/>
      <c r="M16" s="12"/>
      <c r="N16" s="12"/>
      <c r="O16" s="12"/>
      <c r="P16" s="12"/>
      <c r="Q16" s="12"/>
      <c r="R16" s="12"/>
      <c r="S16" s="1626"/>
      <c r="T16" s="1626"/>
      <c r="U16" s="1626"/>
      <c r="V16" s="7"/>
      <c r="W16" s="30"/>
      <c r="X16" s="30"/>
      <c r="Y16" s="30"/>
    </row>
    <row r="17" spans="1:25" ht="33" customHeight="1" thickBot="1">
      <c r="A17" s="697" t="s">
        <v>16</v>
      </c>
      <c r="B17" s="1625"/>
      <c r="C17" s="2014" t="s">
        <v>606</v>
      </c>
      <c r="D17" s="2015"/>
      <c r="E17" s="2015"/>
      <c r="F17" s="2015"/>
      <c r="G17" s="2015"/>
      <c r="H17" s="2015"/>
      <c r="I17" s="2015"/>
      <c r="J17" s="2016"/>
      <c r="K17" s="1641">
        <f t="shared" ref="K17:P17" si="6">SUM(K18:K18)</f>
        <v>801950</v>
      </c>
      <c r="L17" s="1641">
        <f t="shared" si="6"/>
        <v>493431</v>
      </c>
      <c r="M17" s="1641">
        <f t="shared" si="6"/>
        <v>25015.06</v>
      </c>
      <c r="N17" s="1641">
        <f t="shared" si="6"/>
        <v>0</v>
      </c>
      <c r="O17" s="1641">
        <f t="shared" si="6"/>
        <v>0</v>
      </c>
      <c r="P17" s="1641">
        <f t="shared" si="6"/>
        <v>283503.94</v>
      </c>
      <c r="Q17" s="1631"/>
      <c r="R17" s="708"/>
      <c r="S17" s="698"/>
      <c r="T17" s="698"/>
      <c r="U17" s="698"/>
      <c r="V17" s="698"/>
      <c r="W17" s="30">
        <v>283503.59999999998</v>
      </c>
      <c r="X17" s="30">
        <f>SUM(W17*120/100)</f>
        <v>340204.32</v>
      </c>
      <c r="Y17" s="30">
        <f>SUM(W17-P17)</f>
        <v>-0.34000000002561137</v>
      </c>
    </row>
    <row r="18" spans="1:25" ht="48.75" thickBot="1">
      <c r="A18" s="78" t="str">
        <f>CONCATENATE('3 pr-2'!A48)</f>
        <v>1.1.1.4.2</v>
      </c>
      <c r="B18" s="78" t="str">
        <f>CONCATENATE('3 pr-2'!B48)</f>
        <v>R01-9903-290000-1142</v>
      </c>
      <c r="C18" s="78" t="s">
        <v>160</v>
      </c>
      <c r="D18" s="78" t="s">
        <v>181</v>
      </c>
      <c r="E18" s="78" t="s">
        <v>75</v>
      </c>
      <c r="F18" s="78" t="s">
        <v>1444</v>
      </c>
      <c r="G18" s="78" t="s">
        <v>267</v>
      </c>
      <c r="H18" s="14" t="s">
        <v>119</v>
      </c>
      <c r="I18" s="14" t="s">
        <v>167</v>
      </c>
      <c r="J18" s="14" t="s">
        <v>66</v>
      </c>
      <c r="K18" s="1638">
        <f>SUM(L18:P18)</f>
        <v>801950</v>
      </c>
      <c r="L18" s="1638">
        <v>493431</v>
      </c>
      <c r="M18" s="632">
        <v>25015.06</v>
      </c>
      <c r="N18" s="632">
        <v>0</v>
      </c>
      <c r="O18" s="632">
        <v>0</v>
      </c>
      <c r="P18" s="632">
        <v>283503.94</v>
      </c>
      <c r="Q18" s="1020"/>
      <c r="R18" s="323">
        <v>42419</v>
      </c>
      <c r="S18" s="323">
        <v>42494</v>
      </c>
      <c r="T18" s="323">
        <v>42583</v>
      </c>
      <c r="U18" s="323">
        <v>42689</v>
      </c>
      <c r="V18" s="431">
        <v>43465</v>
      </c>
      <c r="W18" s="30"/>
      <c r="X18" s="30"/>
      <c r="Y18" s="30"/>
    </row>
    <row r="19" spans="1:25" ht="32.25" customHeight="1" thickBot="1">
      <c r="A19" s="697" t="s">
        <v>76</v>
      </c>
      <c r="B19" s="1625"/>
      <c r="C19" s="2014" t="s">
        <v>607</v>
      </c>
      <c r="D19" s="2015"/>
      <c r="E19" s="2015"/>
      <c r="F19" s="2015"/>
      <c r="G19" s="2015"/>
      <c r="H19" s="2015"/>
      <c r="I19" s="2015"/>
      <c r="J19" s="2016"/>
      <c r="K19" s="1631">
        <f>SUM(K20:K20)</f>
        <v>5160736.5999999996</v>
      </c>
      <c r="L19" s="1631">
        <f>SUM(L20:L20)</f>
        <v>0</v>
      </c>
      <c r="M19" s="1631"/>
      <c r="N19" s="1631">
        <f>SUM(N20:N20)</f>
        <v>2286561.87</v>
      </c>
      <c r="O19" s="1631">
        <f>SUM(O20:O20)</f>
        <v>0</v>
      </c>
      <c r="P19" s="1631">
        <f>SUM(P20:P20)</f>
        <v>2874174.73</v>
      </c>
      <c r="Q19" s="1631"/>
      <c r="R19" s="708"/>
      <c r="S19" s="698"/>
      <c r="T19" s="698"/>
      <c r="U19" s="698"/>
      <c r="V19" s="698"/>
      <c r="W19" s="30">
        <v>2892603</v>
      </c>
      <c r="X19" s="30">
        <f>SUM(W19*120/100)</f>
        <v>3471123.6</v>
      </c>
      <c r="Y19" s="30">
        <f>SUM(W19-P19)</f>
        <v>18428.270000000019</v>
      </c>
    </row>
    <row r="20" spans="1:25" ht="48.75" thickBot="1">
      <c r="A20" s="78" t="str">
        <f>CONCATENATE('3 pr-2'!A54)</f>
        <v>1.1.1.5.4.</v>
      </c>
      <c r="B20" s="78" t="str">
        <f>CONCATENATE('3 pr-2'!B54)</f>
        <v>R01-0014-060700-1154</v>
      </c>
      <c r="C20" s="78" t="s">
        <v>297</v>
      </c>
      <c r="D20" s="78" t="s">
        <v>227</v>
      </c>
      <c r="E20" s="78" t="s">
        <v>77</v>
      </c>
      <c r="F20" s="78" t="s">
        <v>1444</v>
      </c>
      <c r="G20" s="78" t="s">
        <v>144</v>
      </c>
      <c r="H20" s="14" t="s">
        <v>119</v>
      </c>
      <c r="I20" s="14" t="s">
        <v>66</v>
      </c>
      <c r="J20" s="14" t="s">
        <v>66</v>
      </c>
      <c r="K20" s="632">
        <f>SUM(L20:P20)</f>
        <v>5160736.5999999996</v>
      </c>
      <c r="L20" s="632">
        <v>0</v>
      </c>
      <c r="M20" s="632">
        <v>0</v>
      </c>
      <c r="N20" s="632">
        <v>2286561.87</v>
      </c>
      <c r="O20" s="632">
        <v>0</v>
      </c>
      <c r="P20" s="632">
        <v>2874174.73</v>
      </c>
      <c r="Q20" s="1020"/>
      <c r="R20" s="323">
        <v>42451</v>
      </c>
      <c r="S20" s="323">
        <v>42551</v>
      </c>
      <c r="T20" s="323">
        <v>42705</v>
      </c>
      <c r="U20" s="323">
        <v>42824</v>
      </c>
      <c r="V20" s="323">
        <v>44440</v>
      </c>
      <c r="W20" s="30"/>
      <c r="X20" s="30"/>
      <c r="Y20" s="30"/>
    </row>
    <row r="21" spans="1:25" ht="30" customHeight="1" thickBot="1">
      <c r="A21" s="697" t="s">
        <v>79</v>
      </c>
      <c r="B21" s="1625"/>
      <c r="C21" s="2014" t="s">
        <v>608</v>
      </c>
      <c r="D21" s="2015"/>
      <c r="E21" s="2015"/>
      <c r="F21" s="2015"/>
      <c r="G21" s="2015"/>
      <c r="H21" s="2015"/>
      <c r="I21" s="2015"/>
      <c r="J21" s="2016"/>
      <c r="K21" s="1631">
        <f t="shared" ref="K21:P21" si="7">SUM(K22)</f>
        <v>0</v>
      </c>
      <c r="L21" s="1631">
        <f t="shared" si="7"/>
        <v>0</v>
      </c>
      <c r="M21" s="1631">
        <f t="shared" si="7"/>
        <v>0</v>
      </c>
      <c r="N21" s="1631">
        <f t="shared" si="7"/>
        <v>0</v>
      </c>
      <c r="O21" s="1631">
        <f t="shared" si="7"/>
        <v>0</v>
      </c>
      <c r="P21" s="1631">
        <f t="shared" si="7"/>
        <v>0</v>
      </c>
      <c r="Q21" s="1631"/>
      <c r="R21" s="708"/>
      <c r="S21" s="698"/>
      <c r="T21" s="698"/>
      <c r="U21" s="698"/>
      <c r="V21" s="698"/>
      <c r="W21" s="30">
        <v>0</v>
      </c>
      <c r="X21" s="30">
        <f>SUM(W21*120/100)</f>
        <v>0</v>
      </c>
      <c r="Y21" s="30">
        <f>SUM(W21-P21)</f>
        <v>0</v>
      </c>
    </row>
    <row r="22" spans="1:25" ht="15.75" thickBot="1">
      <c r="A22" s="6"/>
      <c r="B22" s="13"/>
      <c r="C22" s="7"/>
      <c r="D22" s="8"/>
      <c r="E22" s="9"/>
      <c r="F22" s="7"/>
      <c r="G22" s="1"/>
      <c r="H22" s="2"/>
      <c r="I22" s="2"/>
      <c r="J22" s="2"/>
      <c r="K22" s="1028">
        <v>0</v>
      </c>
      <c r="L22" s="1028">
        <v>0</v>
      </c>
      <c r="M22" s="1028">
        <v>0</v>
      </c>
      <c r="N22" s="1028">
        <v>0</v>
      </c>
      <c r="O22" s="1028">
        <v>0</v>
      </c>
      <c r="P22" s="1028">
        <v>0</v>
      </c>
      <c r="Q22" s="1020"/>
      <c r="R22" s="16"/>
      <c r="S22" s="15"/>
      <c r="T22" s="15"/>
      <c r="U22" s="15"/>
      <c r="V22" s="1627"/>
      <c r="W22" s="30"/>
      <c r="X22" s="30"/>
      <c r="Y22" s="30"/>
    </row>
    <row r="23" spans="1:25" ht="30" customHeight="1" thickBot="1">
      <c r="A23" s="697" t="s">
        <v>81</v>
      </c>
      <c r="B23" s="1625"/>
      <c r="C23" s="2014" t="s">
        <v>609</v>
      </c>
      <c r="D23" s="2015"/>
      <c r="E23" s="2015"/>
      <c r="F23" s="2015"/>
      <c r="G23" s="2015"/>
      <c r="H23" s="2015"/>
      <c r="I23" s="2015"/>
      <c r="J23" s="2016"/>
      <c r="K23" s="1631">
        <f t="shared" ref="K23:O23" si="8">SUM(K24:K26)</f>
        <v>212009.4117647059</v>
      </c>
      <c r="L23" s="1631">
        <f t="shared" si="8"/>
        <v>31801.411764705881</v>
      </c>
      <c r="M23" s="1631">
        <f t="shared" si="8"/>
        <v>0</v>
      </c>
      <c r="N23" s="1631">
        <f t="shared" si="8"/>
        <v>0</v>
      </c>
      <c r="O23" s="1631">
        <f t="shared" si="8"/>
        <v>0</v>
      </c>
      <c r="P23" s="1631">
        <f>SUM(P24:P26)</f>
        <v>180208</v>
      </c>
      <c r="Q23" s="1631"/>
      <c r="R23" s="708"/>
      <c r="S23" s="698"/>
      <c r="T23" s="698"/>
      <c r="U23" s="698"/>
      <c r="V23" s="698"/>
      <c r="W23" s="30">
        <v>180208</v>
      </c>
      <c r="X23" s="30">
        <f>SUM(W23*120/100)</f>
        <v>216249.60000000001</v>
      </c>
      <c r="Y23" s="30">
        <f>SUM(W23-P23)</f>
        <v>0</v>
      </c>
    </row>
    <row r="24" spans="1:25" ht="36.75" thickBot="1">
      <c r="A24" s="78" t="str">
        <f>CONCATENATE('3 pr-2'!A59)</f>
        <v>1.1.1.7.1</v>
      </c>
      <c r="B24" s="78" t="str">
        <f>CONCATENATE('3 pr-2'!B59)</f>
        <v>R01-8821-420000-1171</v>
      </c>
      <c r="C24" s="78" t="s">
        <v>270</v>
      </c>
      <c r="D24" s="78" t="s">
        <v>345</v>
      </c>
      <c r="E24" s="78" t="s">
        <v>82</v>
      </c>
      <c r="F24" s="78" t="s">
        <v>185</v>
      </c>
      <c r="G24" s="228" t="s">
        <v>142</v>
      </c>
      <c r="H24" s="14" t="s">
        <v>119</v>
      </c>
      <c r="I24" s="14" t="s">
        <v>66</v>
      </c>
      <c r="J24" s="16" t="s">
        <v>66</v>
      </c>
      <c r="K24" s="1020">
        <f>SUM(L24:P24)</f>
        <v>41644.705882352944</v>
      </c>
      <c r="L24" s="1020">
        <v>6246.7058823529414</v>
      </c>
      <c r="M24" s="1020">
        <v>0</v>
      </c>
      <c r="N24" s="1020">
        <v>0</v>
      </c>
      <c r="O24" s="1020">
        <v>0</v>
      </c>
      <c r="P24" s="1020">
        <v>35398</v>
      </c>
      <c r="Q24" s="1020"/>
      <c r="R24" s="16"/>
      <c r="S24" s="323">
        <v>42643</v>
      </c>
      <c r="T24" s="323">
        <v>42766</v>
      </c>
      <c r="U24" s="323">
        <v>42855</v>
      </c>
      <c r="V24" s="323">
        <v>43830</v>
      </c>
      <c r="W24" s="30"/>
      <c r="X24" s="30"/>
      <c r="Y24" s="30"/>
    </row>
    <row r="25" spans="1:25" ht="48.75" thickBot="1">
      <c r="A25" s="78" t="str">
        <f>CONCATENATE('3 pr-2'!A60)</f>
        <v>1.1.1.7.2</v>
      </c>
      <c r="B25" s="78" t="str">
        <f>CONCATENATE('3 pr-2'!B60)</f>
        <v>R01-8821-420000-1172</v>
      </c>
      <c r="C25" s="78" t="s">
        <v>636</v>
      </c>
      <c r="D25" s="78" t="s">
        <v>161</v>
      </c>
      <c r="E25" s="78" t="s">
        <v>82</v>
      </c>
      <c r="F25" s="78" t="s">
        <v>309</v>
      </c>
      <c r="G25" s="228" t="s">
        <v>142</v>
      </c>
      <c r="H25" s="14" t="s">
        <v>119</v>
      </c>
      <c r="I25" s="14" t="s">
        <v>66</v>
      </c>
      <c r="J25" s="16" t="s">
        <v>66</v>
      </c>
      <c r="K25" s="1020">
        <f>SUM(L25:P25)</f>
        <v>96035.294117647063</v>
      </c>
      <c r="L25" s="1020">
        <f>SUM(P25*15/85)</f>
        <v>14405.294117647059</v>
      </c>
      <c r="M25" s="1020">
        <v>0</v>
      </c>
      <c r="N25" s="1020">
        <v>0</v>
      </c>
      <c r="O25" s="1020">
        <v>0</v>
      </c>
      <c r="P25" s="1020">
        <v>81630</v>
      </c>
      <c r="Q25" s="1020"/>
      <c r="R25" s="16"/>
      <c r="S25" s="323">
        <v>42643</v>
      </c>
      <c r="T25" s="323">
        <v>42735</v>
      </c>
      <c r="U25" s="323">
        <v>42825</v>
      </c>
      <c r="V25" s="323">
        <v>43465</v>
      </c>
      <c r="W25" s="30"/>
      <c r="X25" s="30"/>
      <c r="Y25" s="30"/>
    </row>
    <row r="26" spans="1:25" ht="48.75" thickBot="1">
      <c r="A26" s="78" t="str">
        <f>CONCATENATE('3 pr-2'!A61)</f>
        <v>1.1.1.7.3</v>
      </c>
      <c r="B26" s="78" t="str">
        <f>CONCATENATE('3 pr-2'!B61)</f>
        <v>R01-8821-420000-1173</v>
      </c>
      <c r="C26" s="78" t="s">
        <v>637</v>
      </c>
      <c r="D26" s="78" t="s">
        <v>161</v>
      </c>
      <c r="E26" s="78" t="s">
        <v>82</v>
      </c>
      <c r="F26" s="78" t="s">
        <v>309</v>
      </c>
      <c r="G26" s="228" t="s">
        <v>142</v>
      </c>
      <c r="H26" s="14" t="s">
        <v>119</v>
      </c>
      <c r="I26" s="14" t="s">
        <v>66</v>
      </c>
      <c r="J26" s="16" t="s">
        <v>66</v>
      </c>
      <c r="K26" s="632">
        <f>SUM(L26:P26)</f>
        <v>74329.411764705888</v>
      </c>
      <c r="L26" s="632">
        <f>SUM(P26*15/85)</f>
        <v>11149.411764705883</v>
      </c>
      <c r="M26" s="632">
        <v>0</v>
      </c>
      <c r="N26" s="632">
        <v>0</v>
      </c>
      <c r="O26" s="632">
        <v>0</v>
      </c>
      <c r="P26" s="632">
        <v>63180</v>
      </c>
      <c r="Q26" s="632"/>
      <c r="R26" s="16"/>
      <c r="S26" s="323">
        <v>43008</v>
      </c>
      <c r="T26" s="323"/>
      <c r="U26" s="323"/>
      <c r="V26" s="339"/>
      <c r="W26" s="30"/>
      <c r="X26" s="30"/>
      <c r="Y26" s="30"/>
    </row>
    <row r="27" spans="1:25" ht="30" customHeight="1" thickBot="1">
      <c r="A27" s="697" t="s">
        <v>84</v>
      </c>
      <c r="B27" s="1625"/>
      <c r="C27" s="2014" t="s">
        <v>610</v>
      </c>
      <c r="D27" s="2015"/>
      <c r="E27" s="2015"/>
      <c r="F27" s="2015"/>
      <c r="G27" s="2015"/>
      <c r="H27" s="2015"/>
      <c r="I27" s="2015"/>
      <c r="J27" s="2016"/>
      <c r="K27" s="1014">
        <f>SUM(K28)</f>
        <v>352401</v>
      </c>
      <c r="L27" s="1014">
        <f>SUM(L28)</f>
        <v>52860.15</v>
      </c>
      <c r="M27" s="1014">
        <f t="shared" ref="M27:O27" si="9">SUM(M28)</f>
        <v>0</v>
      </c>
      <c r="N27" s="1014">
        <f t="shared" si="9"/>
        <v>0</v>
      </c>
      <c r="O27" s="1014">
        <f t="shared" si="9"/>
        <v>0</v>
      </c>
      <c r="P27" s="1014">
        <f>SUM(P28)</f>
        <v>299540.84999999998</v>
      </c>
      <c r="Q27" s="1014"/>
      <c r="R27" s="708"/>
      <c r="S27" s="698"/>
      <c r="T27" s="698"/>
      <c r="U27" s="698"/>
      <c r="V27" s="698"/>
      <c r="W27" s="30">
        <v>299541.3775</v>
      </c>
      <c r="X27" s="30">
        <f>SUM(W27*120/100)</f>
        <v>359449.65299999999</v>
      </c>
      <c r="Y27" s="30">
        <f>SUM(W27-P27)</f>
        <v>0.52750000002561137</v>
      </c>
    </row>
    <row r="28" spans="1:25" ht="36.75" thickBot="1">
      <c r="A28" s="78" t="str">
        <f>CONCATENATE('3 pr-2'!A65)</f>
        <v>1.1.1.8.3</v>
      </c>
      <c r="B28" s="78" t="str">
        <f>CONCATENATE('3 pr-2'!B65)</f>
        <v>R01-3305-330000-1183</v>
      </c>
      <c r="C28" s="78" t="s">
        <v>2243</v>
      </c>
      <c r="D28" s="78" t="s">
        <v>181</v>
      </c>
      <c r="E28" s="78" t="s">
        <v>116</v>
      </c>
      <c r="F28" s="78" t="s">
        <v>1444</v>
      </c>
      <c r="G28" s="228" t="s">
        <v>143</v>
      </c>
      <c r="H28" s="14" t="s">
        <v>119</v>
      </c>
      <c r="I28" s="14" t="s">
        <v>167</v>
      </c>
      <c r="J28" s="16" t="s">
        <v>66</v>
      </c>
      <c r="K28" s="1018">
        <f>SUM(L28:P28)</f>
        <v>352401</v>
      </c>
      <c r="L28" s="1018">
        <v>52860.15</v>
      </c>
      <c r="M28" s="1018">
        <v>0</v>
      </c>
      <c r="N28" s="1018">
        <v>0</v>
      </c>
      <c r="O28" s="1018">
        <v>0</v>
      </c>
      <c r="P28" s="1018">
        <v>299540.84999999998</v>
      </c>
      <c r="Q28" s="1018"/>
      <c r="R28" s="323">
        <v>42614</v>
      </c>
      <c r="S28" s="323">
        <v>42703</v>
      </c>
      <c r="T28" s="323">
        <v>42767</v>
      </c>
      <c r="U28" s="323">
        <v>42870</v>
      </c>
      <c r="V28" s="323">
        <v>43830</v>
      </c>
      <c r="W28" s="30"/>
      <c r="X28" s="30"/>
      <c r="Y28" s="30"/>
    </row>
    <row r="29" spans="1:25" ht="31.5" customHeight="1" thickBot="1">
      <c r="A29" s="697" t="s">
        <v>86</v>
      </c>
      <c r="B29" s="1625"/>
      <c r="C29" s="2014" t="s">
        <v>611</v>
      </c>
      <c r="D29" s="2015"/>
      <c r="E29" s="2015"/>
      <c r="F29" s="2015"/>
      <c r="G29" s="2015"/>
      <c r="H29" s="2015"/>
      <c r="I29" s="2015"/>
      <c r="J29" s="2016"/>
      <c r="K29" s="1014">
        <f>SUM(K30)</f>
        <v>297670.41000000003</v>
      </c>
      <c r="L29" s="1014">
        <f>SUM(L30)</f>
        <v>91614.41</v>
      </c>
      <c r="M29" s="1014">
        <f t="shared" ref="M29:O29" si="10">SUM(M30)</f>
        <v>0</v>
      </c>
      <c r="N29" s="1014">
        <f t="shared" si="10"/>
        <v>0</v>
      </c>
      <c r="O29" s="1014">
        <f t="shared" si="10"/>
        <v>0</v>
      </c>
      <c r="P29" s="1014">
        <f>SUM(P30)</f>
        <v>206056</v>
      </c>
      <c r="Q29" s="1014"/>
      <c r="R29" s="708"/>
      <c r="S29" s="698"/>
      <c r="T29" s="698"/>
      <c r="U29" s="698"/>
      <c r="V29" s="698"/>
      <c r="W29" s="30">
        <v>206056.31</v>
      </c>
      <c r="X29" s="30">
        <f>SUM(W29*120/100)</f>
        <v>247267.57199999999</v>
      </c>
      <c r="Y29" s="30">
        <f>SUM(W29-P29)</f>
        <v>0.30999999999767169</v>
      </c>
    </row>
    <row r="30" spans="1:25" ht="36.75" thickBot="1">
      <c r="A30" s="78" t="str">
        <f>CONCATENATE('3 pr-2'!A69)</f>
        <v>1.1.1.9.2</v>
      </c>
      <c r="B30" s="78" t="str">
        <f>CONCATENATE('3 pr-2'!B69)</f>
        <v>R01-3302-440000-1192</v>
      </c>
      <c r="C30" s="78" t="s">
        <v>389</v>
      </c>
      <c r="D30" s="78" t="s">
        <v>181</v>
      </c>
      <c r="E30" s="78" t="s">
        <v>116</v>
      </c>
      <c r="F30" s="78" t="s">
        <v>1444</v>
      </c>
      <c r="G30" s="228" t="s">
        <v>182</v>
      </c>
      <c r="H30" s="14" t="s">
        <v>119</v>
      </c>
      <c r="I30" s="14" t="s">
        <v>66</v>
      </c>
      <c r="J30" s="16"/>
      <c r="K30" s="1018">
        <f>SUM(L30:P30)</f>
        <v>297670.41000000003</v>
      </c>
      <c r="L30" s="1018">
        <v>91614.41</v>
      </c>
      <c r="M30" s="1018">
        <v>0</v>
      </c>
      <c r="N30" s="1018">
        <v>0</v>
      </c>
      <c r="O30" s="1018">
        <v>0</v>
      </c>
      <c r="P30" s="1018">
        <v>206056</v>
      </c>
      <c r="Q30" s="632"/>
      <c r="R30" s="323">
        <v>42667</v>
      </c>
      <c r="S30" s="323">
        <v>42779</v>
      </c>
      <c r="T30" s="323">
        <v>43190</v>
      </c>
      <c r="U30" s="323">
        <v>43281</v>
      </c>
      <c r="V30" s="323">
        <v>43739</v>
      </c>
      <c r="W30" s="30"/>
      <c r="X30" s="30"/>
      <c r="Y30" s="30"/>
    </row>
    <row r="31" spans="1:25" ht="33.75" customHeight="1" thickBot="1">
      <c r="A31" s="1623" t="s">
        <v>22</v>
      </c>
      <c r="B31" s="1624"/>
      <c r="C31" s="2017" t="s">
        <v>612</v>
      </c>
      <c r="D31" s="2018"/>
      <c r="E31" s="2018"/>
      <c r="F31" s="2018"/>
      <c r="G31" s="2018"/>
      <c r="H31" s="2018"/>
      <c r="I31" s="2018"/>
      <c r="J31" s="2019"/>
      <c r="K31" s="1053">
        <f t="shared" ref="K31:P31" si="11">SUM(K32+K34+K39+K41)</f>
        <v>2920754.24</v>
      </c>
      <c r="L31" s="1053">
        <f t="shared" si="11"/>
        <v>916092.44</v>
      </c>
      <c r="M31" s="1053">
        <f t="shared" si="11"/>
        <v>0</v>
      </c>
      <c r="N31" s="1053">
        <f t="shared" si="11"/>
        <v>422692</v>
      </c>
      <c r="O31" s="1053">
        <f t="shared" si="11"/>
        <v>0</v>
      </c>
      <c r="P31" s="1053">
        <f t="shared" si="11"/>
        <v>1581969.8</v>
      </c>
      <c r="Q31" s="1053"/>
      <c r="R31" s="696"/>
      <c r="S31" s="14"/>
      <c r="T31" s="16"/>
      <c r="U31" s="16"/>
      <c r="V31" s="156"/>
      <c r="W31" s="30">
        <f>SUM(W32+W34+W39+W41)</f>
        <v>1241078.3999999999</v>
      </c>
      <c r="X31" s="30">
        <f>SUM(X32+X34+X39+X41)</f>
        <v>1489294.08</v>
      </c>
      <c r="Y31" s="30">
        <f>SUM(Y32+Y34+Y39+Y41)</f>
        <v>-326441.40000000002</v>
      </c>
    </row>
    <row r="32" spans="1:25" ht="30.75" customHeight="1" thickBot="1">
      <c r="A32" s="697" t="s">
        <v>88</v>
      </c>
      <c r="B32" s="1625"/>
      <c r="C32" s="2014" t="s">
        <v>613</v>
      </c>
      <c r="D32" s="2015"/>
      <c r="E32" s="2015"/>
      <c r="F32" s="2015"/>
      <c r="G32" s="2015"/>
      <c r="H32" s="2015"/>
      <c r="I32" s="2015"/>
      <c r="J32" s="2016"/>
      <c r="K32" s="1014">
        <f t="shared" ref="K32:O32" si="12">SUM(K33)</f>
        <v>840240</v>
      </c>
      <c r="L32" s="1014">
        <f t="shared" si="12"/>
        <v>0</v>
      </c>
      <c r="M32" s="1014">
        <f t="shared" si="12"/>
        <v>0</v>
      </c>
      <c r="N32" s="1014">
        <f t="shared" si="12"/>
        <v>422692</v>
      </c>
      <c r="O32" s="1014">
        <f t="shared" si="12"/>
        <v>0</v>
      </c>
      <c r="P32" s="1014">
        <f>SUM(P33)</f>
        <v>417548</v>
      </c>
      <c r="Q32" s="1014"/>
      <c r="R32" s="708"/>
      <c r="S32" s="698"/>
      <c r="T32" s="698"/>
      <c r="U32" s="698"/>
      <c r="V32" s="698"/>
      <c r="W32" s="30">
        <v>172021</v>
      </c>
      <c r="X32" s="30">
        <f>SUM(W32*120/100)</f>
        <v>206425.2</v>
      </c>
      <c r="Y32" s="30">
        <f>SUM(W32-P32)</f>
        <v>-245527</v>
      </c>
    </row>
    <row r="33" spans="1:27" ht="48.75" thickBot="1">
      <c r="A33" s="78" t="str">
        <f>CONCATENATE('3 pr-2'!A77)</f>
        <v>1.1.2.1.3</v>
      </c>
      <c r="B33" s="78" t="str">
        <f>CONCATENATE('3 pr-2'!B77)</f>
        <v>R01-5518-100000-1213</v>
      </c>
      <c r="C33" s="78" t="s">
        <v>629</v>
      </c>
      <c r="D33" s="78" t="s">
        <v>181</v>
      </c>
      <c r="E33" s="78" t="s">
        <v>115</v>
      </c>
      <c r="F33" s="78" t="s">
        <v>1444</v>
      </c>
      <c r="G33" s="228" t="s">
        <v>135</v>
      </c>
      <c r="H33" s="14" t="s">
        <v>119</v>
      </c>
      <c r="I33" s="14" t="s">
        <v>66</v>
      </c>
      <c r="J33" s="16" t="s">
        <v>66</v>
      </c>
      <c r="K33" s="632">
        <f>SUM(L33:P33)</f>
        <v>840240</v>
      </c>
      <c r="L33" s="632">
        <v>0</v>
      </c>
      <c r="M33" s="632">
        <v>0</v>
      </c>
      <c r="N33" s="632">
        <v>422692</v>
      </c>
      <c r="O33" s="632">
        <v>0</v>
      </c>
      <c r="P33" s="632">
        <v>417548</v>
      </c>
      <c r="Q33" s="632"/>
      <c r="R33" s="323">
        <v>42877</v>
      </c>
      <c r="S33" s="323">
        <v>42978</v>
      </c>
      <c r="T33" s="323">
        <v>43343</v>
      </c>
      <c r="U33" s="323">
        <v>43434</v>
      </c>
      <c r="V33" s="323">
        <v>43830</v>
      </c>
      <c r="W33" s="30"/>
      <c r="X33" s="30"/>
      <c r="Y33" s="30"/>
      <c r="Z33" s="48">
        <f>SUM(365/12)</f>
        <v>30.416666666666668</v>
      </c>
      <c r="AA33" s="48">
        <f>SUM(V33-U33)/Z33</f>
        <v>13.019178082191781</v>
      </c>
    </row>
    <row r="34" spans="1:27" ht="34.5" customHeight="1" thickBot="1">
      <c r="A34" s="697" t="s">
        <v>90</v>
      </c>
      <c r="B34" s="1625"/>
      <c r="C34" s="2014" t="s">
        <v>614</v>
      </c>
      <c r="D34" s="2015"/>
      <c r="E34" s="2015"/>
      <c r="F34" s="2015"/>
      <c r="G34" s="2015"/>
      <c r="H34" s="2015"/>
      <c r="I34" s="2015"/>
      <c r="J34" s="2016"/>
      <c r="K34" s="1014">
        <f t="shared" ref="K34:O34" si="13">SUM(K35:K38)</f>
        <v>717836.24</v>
      </c>
      <c r="L34" s="1014">
        <f t="shared" si="13"/>
        <v>107675.44</v>
      </c>
      <c r="M34" s="1014">
        <f t="shared" si="13"/>
        <v>0</v>
      </c>
      <c r="N34" s="1014">
        <f t="shared" si="13"/>
        <v>0</v>
      </c>
      <c r="O34" s="1014">
        <f t="shared" si="13"/>
        <v>0</v>
      </c>
      <c r="P34" s="1014">
        <f>SUM(P35:P38)</f>
        <v>610160.80000000005</v>
      </c>
      <c r="Q34" s="1014"/>
      <c r="R34" s="708"/>
      <c r="S34" s="698"/>
      <c r="T34" s="698"/>
      <c r="U34" s="698"/>
      <c r="V34" s="698"/>
      <c r="W34" s="30">
        <v>513943</v>
      </c>
      <c r="X34" s="30">
        <f>SUM(W34*120/100)</f>
        <v>616731.6</v>
      </c>
      <c r="Y34" s="30">
        <f>SUM(W34-(P34-P36))</f>
        <v>-81767.800000000047</v>
      </c>
    </row>
    <row r="35" spans="1:27" ht="48.75" thickBot="1">
      <c r="A35" s="78" t="str">
        <f>CONCATENATE('3 pr-2'!A82)</f>
        <v>1.1.2.2.3</v>
      </c>
      <c r="B35" s="78" t="str">
        <f>CONCATENATE('3 pr-2'!B82)</f>
        <v>R01-5514-191800-1223</v>
      </c>
      <c r="C35" s="78" t="s">
        <v>1404</v>
      </c>
      <c r="D35" s="78" t="s">
        <v>235</v>
      </c>
      <c r="E35" s="78" t="s">
        <v>115</v>
      </c>
      <c r="F35" s="78" t="s">
        <v>1444</v>
      </c>
      <c r="G35" s="228" t="s">
        <v>147</v>
      </c>
      <c r="H35" s="14" t="s">
        <v>119</v>
      </c>
      <c r="I35" s="16" t="s">
        <v>66</v>
      </c>
      <c r="J35" s="16" t="s">
        <v>66</v>
      </c>
      <c r="K35" s="632">
        <f>SUM(L35:P35)</f>
        <v>160836.24</v>
      </c>
      <c r="L35" s="632">
        <v>24125.439999999999</v>
      </c>
      <c r="M35" s="632">
        <v>0</v>
      </c>
      <c r="N35" s="632">
        <v>0</v>
      </c>
      <c r="O35" s="632">
        <v>0</v>
      </c>
      <c r="P35" s="632">
        <v>136710.79999999999</v>
      </c>
      <c r="Q35" s="632"/>
      <c r="R35" s="323">
        <v>43130</v>
      </c>
      <c r="S35" s="323">
        <v>43343</v>
      </c>
      <c r="T35" s="323">
        <v>43630</v>
      </c>
      <c r="U35" s="323">
        <v>43691</v>
      </c>
      <c r="V35" s="323">
        <v>44003</v>
      </c>
      <c r="W35" s="30"/>
      <c r="X35" s="30"/>
      <c r="Y35" s="30"/>
    </row>
    <row r="36" spans="1:27" ht="48.75" thickBot="1">
      <c r="A36" s="78" t="str">
        <f>CONCATENATE('3 pr-2'!A83)</f>
        <v>1.1.2.2.4</v>
      </c>
      <c r="B36" s="78" t="str">
        <f>CONCATENATE('3 pr-2'!B83)</f>
        <v>R01-5514-190000-1224</v>
      </c>
      <c r="C36" s="78" t="s">
        <v>268</v>
      </c>
      <c r="D36" s="78" t="s">
        <v>235</v>
      </c>
      <c r="E36" s="78" t="s">
        <v>115</v>
      </c>
      <c r="F36" s="78" t="s">
        <v>1444</v>
      </c>
      <c r="G36" s="228" t="s">
        <v>269</v>
      </c>
      <c r="H36" s="14" t="s">
        <v>162</v>
      </c>
      <c r="I36" s="14" t="s">
        <v>167</v>
      </c>
      <c r="J36" s="16" t="s">
        <v>66</v>
      </c>
      <c r="K36" s="632">
        <f>SUM(L36:P36)</f>
        <v>17000</v>
      </c>
      <c r="L36" s="632">
        <v>2550</v>
      </c>
      <c r="M36" s="632">
        <v>0</v>
      </c>
      <c r="N36" s="632">
        <v>0</v>
      </c>
      <c r="O36" s="632">
        <v>0</v>
      </c>
      <c r="P36" s="632">
        <v>14450</v>
      </c>
      <c r="Q36" s="632"/>
      <c r="R36" s="323">
        <v>42643</v>
      </c>
      <c r="S36" s="323">
        <v>42674</v>
      </c>
      <c r="T36" s="323">
        <v>42735</v>
      </c>
      <c r="U36" s="323">
        <v>42825</v>
      </c>
      <c r="V36" s="431">
        <v>43100</v>
      </c>
      <c r="W36" s="30"/>
      <c r="X36" s="30"/>
      <c r="Y36" s="30"/>
    </row>
    <row r="37" spans="1:27" ht="48.75" thickBot="1">
      <c r="A37" s="78" t="str">
        <f>CONCATENATE('3 pr-2'!A84)</f>
        <v>1.1.2.2.5</v>
      </c>
      <c r="B37" s="78" t="str">
        <f>CONCATENATE('3 pr-2'!B84)</f>
        <v>R01-5514-190000-1225</v>
      </c>
      <c r="C37" s="78" t="s">
        <v>1413</v>
      </c>
      <c r="D37" s="78" t="s">
        <v>235</v>
      </c>
      <c r="E37" s="78" t="s">
        <v>115</v>
      </c>
      <c r="F37" s="78" t="s">
        <v>1444</v>
      </c>
      <c r="G37" s="228" t="s">
        <v>147</v>
      </c>
      <c r="H37" s="14" t="s">
        <v>119</v>
      </c>
      <c r="I37" s="16" t="s">
        <v>66</v>
      </c>
      <c r="J37" s="16" t="s">
        <v>66</v>
      </c>
      <c r="K37" s="632">
        <f>SUM(L37:P37)</f>
        <v>290000</v>
      </c>
      <c r="L37" s="632">
        <v>43500</v>
      </c>
      <c r="M37" s="632">
        <v>0</v>
      </c>
      <c r="N37" s="632">
        <v>0</v>
      </c>
      <c r="O37" s="632">
        <v>0</v>
      </c>
      <c r="P37" s="632">
        <v>246500</v>
      </c>
      <c r="Q37" s="632"/>
      <c r="R37" s="323"/>
      <c r="S37" s="323">
        <v>43343</v>
      </c>
      <c r="T37" s="323">
        <v>43630</v>
      </c>
      <c r="U37" s="323">
        <v>43706</v>
      </c>
      <c r="V37" s="655">
        <v>44003</v>
      </c>
      <c r="W37" s="30"/>
      <c r="X37" s="30"/>
      <c r="Y37" s="30"/>
    </row>
    <row r="38" spans="1:27" ht="48.75" thickBot="1">
      <c r="A38" s="78" t="str">
        <f>CONCATENATE('3 pr-2'!A85)</f>
        <v>1.1.2.2.6</v>
      </c>
      <c r="B38" s="78" t="str">
        <f>CONCATENATE('3 pr-2'!B85)</f>
        <v>R01-5514-190000-1226</v>
      </c>
      <c r="C38" s="78" t="s">
        <v>1414</v>
      </c>
      <c r="D38" s="78" t="s">
        <v>235</v>
      </c>
      <c r="E38" s="78" t="s">
        <v>115</v>
      </c>
      <c r="F38" s="78" t="s">
        <v>1444</v>
      </c>
      <c r="G38" s="228" t="s">
        <v>147</v>
      </c>
      <c r="H38" s="14" t="s">
        <v>119</v>
      </c>
      <c r="I38" s="16" t="s">
        <v>66</v>
      </c>
      <c r="J38" s="16" t="s">
        <v>66</v>
      </c>
      <c r="K38" s="632">
        <f>SUM(L38:P38)</f>
        <v>250000</v>
      </c>
      <c r="L38" s="632">
        <v>37500</v>
      </c>
      <c r="M38" s="632">
        <v>0</v>
      </c>
      <c r="N38" s="632">
        <v>0</v>
      </c>
      <c r="O38" s="632">
        <v>0</v>
      </c>
      <c r="P38" s="632">
        <v>212500</v>
      </c>
      <c r="Q38" s="632"/>
      <c r="R38" s="323"/>
      <c r="S38" s="323">
        <v>43343</v>
      </c>
      <c r="T38" s="323">
        <v>43736</v>
      </c>
      <c r="U38" s="323">
        <v>43797</v>
      </c>
      <c r="V38" s="431">
        <v>44501</v>
      </c>
      <c r="W38" s="30"/>
      <c r="X38" s="30"/>
      <c r="Y38" s="30"/>
    </row>
    <row r="39" spans="1:27" ht="31.5" customHeight="1" thickBot="1">
      <c r="A39" s="697" t="s">
        <v>92</v>
      </c>
      <c r="B39" s="1625"/>
      <c r="C39" s="2014" t="s">
        <v>615</v>
      </c>
      <c r="D39" s="2015"/>
      <c r="E39" s="2015"/>
      <c r="F39" s="2015"/>
      <c r="G39" s="2015"/>
      <c r="H39" s="2015"/>
      <c r="I39" s="2015"/>
      <c r="J39" s="2016"/>
      <c r="K39" s="1014">
        <f t="shared" ref="K39:O39" si="14">SUM(K40)</f>
        <v>71089</v>
      </c>
      <c r="L39" s="1014">
        <f t="shared" si="14"/>
        <v>14466</v>
      </c>
      <c r="M39" s="1014">
        <f t="shared" si="14"/>
        <v>0</v>
      </c>
      <c r="N39" s="1014">
        <f t="shared" si="14"/>
        <v>0</v>
      </c>
      <c r="O39" s="1014">
        <f t="shared" si="14"/>
        <v>0</v>
      </c>
      <c r="P39" s="1014">
        <f t="shared" ref="P39" si="15">SUM(P40)</f>
        <v>56623</v>
      </c>
      <c r="Q39" s="1014"/>
      <c r="R39" s="708"/>
      <c r="S39" s="698"/>
      <c r="T39" s="698"/>
      <c r="U39" s="698"/>
      <c r="V39" s="698"/>
      <c r="W39" s="30">
        <v>57476.4</v>
      </c>
      <c r="X39" s="30">
        <f>SUM(W39*120/100)</f>
        <v>68971.679999999993</v>
      </c>
      <c r="Y39" s="30">
        <f>SUM(W39-P39)</f>
        <v>853.40000000000146</v>
      </c>
    </row>
    <row r="40" spans="1:27" ht="48.75" thickBot="1">
      <c r="A40" s="78" t="str">
        <f>CONCATENATE('3 pr-2'!A91)</f>
        <v>1.1.2.3.5</v>
      </c>
      <c r="B40" s="78" t="str">
        <f>CONCATENATE('3 pr-2'!B91)</f>
        <v>R01-5516-190000-1235</v>
      </c>
      <c r="C40" s="78" t="s">
        <v>3656</v>
      </c>
      <c r="D40" s="78" t="s">
        <v>181</v>
      </c>
      <c r="E40" s="78" t="s">
        <v>115</v>
      </c>
      <c r="F40" s="78" t="s">
        <v>1444</v>
      </c>
      <c r="G40" s="228" t="s">
        <v>148</v>
      </c>
      <c r="H40" s="14" t="s">
        <v>119</v>
      </c>
      <c r="I40" s="16" t="s">
        <v>66</v>
      </c>
      <c r="J40" s="16" t="s">
        <v>66</v>
      </c>
      <c r="K40" s="632">
        <f>SUM(L40:P40)</f>
        <v>71089</v>
      </c>
      <c r="L40" s="632">
        <v>14466</v>
      </c>
      <c r="M40" s="632">
        <v>0</v>
      </c>
      <c r="N40" s="632">
        <v>0</v>
      </c>
      <c r="O40" s="632">
        <v>0</v>
      </c>
      <c r="P40" s="632">
        <v>56623</v>
      </c>
      <c r="Q40" s="632"/>
      <c r="R40" s="323">
        <v>42660</v>
      </c>
      <c r="S40" s="323">
        <v>42754</v>
      </c>
      <c r="T40" s="323">
        <v>43510</v>
      </c>
      <c r="U40" s="323">
        <v>43599</v>
      </c>
      <c r="V40" s="323">
        <v>43997</v>
      </c>
      <c r="W40" s="30"/>
      <c r="X40" s="30"/>
      <c r="Y40" s="30"/>
      <c r="AA40" s="48" t="s">
        <v>4191</v>
      </c>
    </row>
    <row r="41" spans="1:27" ht="27.75" customHeight="1" thickBot="1">
      <c r="A41" s="697" t="s">
        <v>94</v>
      </c>
      <c r="B41" s="1625"/>
      <c r="C41" s="2014" t="s">
        <v>616</v>
      </c>
      <c r="D41" s="2015"/>
      <c r="E41" s="2015"/>
      <c r="F41" s="2015"/>
      <c r="G41" s="2015"/>
      <c r="H41" s="2015"/>
      <c r="I41" s="2015"/>
      <c r="J41" s="2016"/>
      <c r="K41" s="1014">
        <f t="shared" ref="K41:O41" si="16">SUM(K42:K43)</f>
        <v>1291589</v>
      </c>
      <c r="L41" s="1014">
        <f t="shared" si="16"/>
        <v>793951</v>
      </c>
      <c r="M41" s="1014">
        <f t="shared" si="16"/>
        <v>0</v>
      </c>
      <c r="N41" s="1014">
        <f t="shared" si="16"/>
        <v>0</v>
      </c>
      <c r="O41" s="1014">
        <f t="shared" si="16"/>
        <v>0</v>
      </c>
      <c r="P41" s="1014">
        <f>SUM(P42:P43)</f>
        <v>497638</v>
      </c>
      <c r="Q41" s="1014"/>
      <c r="R41" s="708"/>
      <c r="S41" s="698"/>
      <c r="T41" s="698"/>
      <c r="U41" s="698"/>
      <c r="V41" s="698"/>
      <c r="W41" s="30">
        <v>497638</v>
      </c>
      <c r="X41" s="30">
        <f>SUM(W41*120/100)</f>
        <v>597165.6</v>
      </c>
      <c r="Y41" s="30">
        <f>SUM(W41-P41)</f>
        <v>0</v>
      </c>
    </row>
    <row r="42" spans="1:27" ht="48.75" thickBot="1">
      <c r="A42" s="78" t="str">
        <f>CONCATENATE('3 pr-2'!A97)</f>
        <v>1.1.2.4.5</v>
      </c>
      <c r="B42" s="78" t="str">
        <f>CONCATENATE('3 pr-2'!B97)</f>
        <v>R01-5511-120900-1245</v>
      </c>
      <c r="C42" s="78" t="s">
        <v>3710</v>
      </c>
      <c r="D42" s="78" t="s">
        <v>181</v>
      </c>
      <c r="E42" s="78" t="s">
        <v>115</v>
      </c>
      <c r="F42" s="78" t="s">
        <v>1444</v>
      </c>
      <c r="G42" s="228" t="s">
        <v>141</v>
      </c>
      <c r="H42" s="14" t="s">
        <v>119</v>
      </c>
      <c r="I42" s="16" t="s">
        <v>167</v>
      </c>
      <c r="J42" s="16" t="s">
        <v>66</v>
      </c>
      <c r="K42" s="1638">
        <f>SUM(L42:P42)</f>
        <v>1156237</v>
      </c>
      <c r="L42" s="1638">
        <v>771588</v>
      </c>
      <c r="M42" s="632">
        <v>0</v>
      </c>
      <c r="N42" s="632">
        <v>0</v>
      </c>
      <c r="O42" s="632">
        <v>0</v>
      </c>
      <c r="P42" s="632">
        <v>384649</v>
      </c>
      <c r="Q42" s="632"/>
      <c r="R42" s="155">
        <v>42639</v>
      </c>
      <c r="S42" s="155">
        <v>42732</v>
      </c>
      <c r="T42" s="155">
        <v>43326</v>
      </c>
      <c r="U42" s="155">
        <v>43419</v>
      </c>
      <c r="V42" s="155">
        <v>43830</v>
      </c>
      <c r="W42" s="30"/>
      <c r="X42" s="30"/>
      <c r="Y42" s="30"/>
    </row>
    <row r="43" spans="1:27" ht="51.75" thickBot="1">
      <c r="A43" s="78" t="str">
        <f>CONCATENATE('3 pr-2'!A99)</f>
        <v>1.1.2.4.7</v>
      </c>
      <c r="B43" s="78" t="str">
        <f>CONCATENATE('3 pr-2'!B99)</f>
        <v>R01-5511-120000-1247</v>
      </c>
      <c r="C43" s="1642" t="s">
        <v>1391</v>
      </c>
      <c r="D43" s="634" t="s">
        <v>181</v>
      </c>
      <c r="E43" s="634" t="s">
        <v>115</v>
      </c>
      <c r="F43" s="634" t="s">
        <v>1444</v>
      </c>
      <c r="G43" s="318" t="s">
        <v>141</v>
      </c>
      <c r="H43" s="318" t="s">
        <v>119</v>
      </c>
      <c r="I43" s="318" t="s">
        <v>66</v>
      </c>
      <c r="J43" s="318" t="s">
        <v>66</v>
      </c>
      <c r="K43" s="632">
        <f>SUM(L43:P43)</f>
        <v>135352</v>
      </c>
      <c r="L43" s="632">
        <v>22363</v>
      </c>
      <c r="M43" s="632">
        <v>0</v>
      </c>
      <c r="N43" s="632">
        <v>0</v>
      </c>
      <c r="O43" s="632">
        <v>0</v>
      </c>
      <c r="P43" s="632">
        <v>112989</v>
      </c>
      <c r="Q43" s="632"/>
      <c r="R43" s="1643">
        <v>43404</v>
      </c>
      <c r="S43" s="1643">
        <v>43404</v>
      </c>
      <c r="T43" s="1643">
        <v>43496</v>
      </c>
      <c r="U43" s="1643">
        <v>43585</v>
      </c>
      <c r="V43" s="1643">
        <v>43830</v>
      </c>
      <c r="W43" s="30"/>
      <c r="X43" s="30"/>
      <c r="Y43" s="30"/>
    </row>
    <row r="44" spans="1:27" ht="47.25" customHeight="1" thickBot="1">
      <c r="A44" s="724" t="s">
        <v>27</v>
      </c>
      <c r="B44" s="1622"/>
      <c r="C44" s="2012" t="s">
        <v>617</v>
      </c>
      <c r="D44" s="1944"/>
      <c r="E44" s="1944"/>
      <c r="F44" s="1944"/>
      <c r="G44" s="1944"/>
      <c r="H44" s="1944"/>
      <c r="I44" s="1944"/>
      <c r="J44" s="1945"/>
      <c r="K44" s="1030">
        <f t="shared" ref="K44:P44" si="17">SUM(K45+K52+K62+K67)</f>
        <v>1962313.0599999998</v>
      </c>
      <c r="L44" s="1030">
        <f t="shared" si="17"/>
        <v>284972.88</v>
      </c>
      <c r="M44" s="1030">
        <f t="shared" si="17"/>
        <v>52779.54</v>
      </c>
      <c r="N44" s="1030">
        <f t="shared" si="17"/>
        <v>17194</v>
      </c>
      <c r="O44" s="1030">
        <f t="shared" si="17"/>
        <v>511.2</v>
      </c>
      <c r="P44" s="1030">
        <f t="shared" si="17"/>
        <v>1606855.4400000002</v>
      </c>
      <c r="Q44" s="1030"/>
      <c r="R44" s="726"/>
      <c r="S44" s="728"/>
      <c r="T44" s="728"/>
      <c r="U44" s="728"/>
      <c r="V44" s="729"/>
      <c r="W44" s="30">
        <f>SUM(W45+W52+W62+W67)</f>
        <v>1575937.0531617508</v>
      </c>
      <c r="X44" s="30">
        <f>SUM(X45+X52+X62+X67)</f>
        <v>1891124.463794101</v>
      </c>
      <c r="Y44" s="30">
        <f>SUM(Y45+Y52+Y62+Y67)</f>
        <v>-25124.786838249158</v>
      </c>
    </row>
    <row r="45" spans="1:27" ht="57" customHeight="1" thickBot="1">
      <c r="A45" s="1623" t="s">
        <v>28</v>
      </c>
      <c r="B45" s="1624"/>
      <c r="C45" s="2013" t="s">
        <v>618</v>
      </c>
      <c r="D45" s="1946"/>
      <c r="E45" s="1946"/>
      <c r="F45" s="1946"/>
      <c r="G45" s="1946"/>
      <c r="H45" s="1946"/>
      <c r="I45" s="1946"/>
      <c r="J45" s="1947"/>
      <c r="K45" s="1021">
        <f t="shared" ref="K45:P45" si="18">SUM(K46+K48+K50)</f>
        <v>486603.98</v>
      </c>
      <c r="L45" s="1021">
        <f t="shared" si="18"/>
        <v>113818.98</v>
      </c>
      <c r="M45" s="1021">
        <f t="shared" si="18"/>
        <v>20150</v>
      </c>
      <c r="N45" s="1021">
        <f t="shared" si="18"/>
        <v>0</v>
      </c>
      <c r="O45" s="1021">
        <f t="shared" si="18"/>
        <v>0</v>
      </c>
      <c r="P45" s="1021">
        <f t="shared" si="18"/>
        <v>352635</v>
      </c>
      <c r="Q45" s="1021"/>
      <c r="R45" s="122"/>
      <c r="S45" s="731"/>
      <c r="T45" s="731"/>
      <c r="U45" s="731"/>
      <c r="V45" s="732"/>
      <c r="W45" s="30">
        <f>SUM(W46+W48+W50)</f>
        <v>367514.20086240256</v>
      </c>
      <c r="X45" s="30">
        <f>SUM(X46+X48+X50)</f>
        <v>441017.04103488312</v>
      </c>
      <c r="Y45" s="30">
        <f>SUM(Y46+Y48+Y50)</f>
        <v>14879.200862402562</v>
      </c>
    </row>
    <row r="46" spans="1:27" ht="39" customHeight="1" thickBot="1">
      <c r="A46" s="697" t="s">
        <v>96</v>
      </c>
      <c r="B46" s="1625"/>
      <c r="C46" s="2014" t="s">
        <v>619</v>
      </c>
      <c r="D46" s="2015"/>
      <c r="E46" s="2015"/>
      <c r="F46" s="2015"/>
      <c r="G46" s="2015"/>
      <c r="H46" s="2015"/>
      <c r="I46" s="2015"/>
      <c r="J46" s="2016"/>
      <c r="K46" s="1014">
        <f>SUM(K47)</f>
        <v>163877</v>
      </c>
      <c r="L46" s="1014">
        <f>SUM(L47)</f>
        <v>12291</v>
      </c>
      <c r="M46" s="1014">
        <f t="shared" ref="M46:O46" si="19">SUM(M47)</f>
        <v>12291</v>
      </c>
      <c r="N46" s="1014">
        <f t="shared" si="19"/>
        <v>0</v>
      </c>
      <c r="O46" s="1014">
        <f t="shared" si="19"/>
        <v>0</v>
      </c>
      <c r="P46" s="1014">
        <f>SUM(P47)</f>
        <v>139295</v>
      </c>
      <c r="Q46" s="1014"/>
      <c r="R46" s="708"/>
      <c r="S46" s="698"/>
      <c r="T46" s="698"/>
      <c r="U46" s="698"/>
      <c r="V46" s="698"/>
      <c r="W46" s="30">
        <v>139295</v>
      </c>
      <c r="X46" s="30">
        <f>SUM(W46*120/100)</f>
        <v>167154</v>
      </c>
      <c r="Y46" s="30">
        <f>SUM(W46-P46)</f>
        <v>0</v>
      </c>
    </row>
    <row r="47" spans="1:27" ht="48.75" thickBot="1">
      <c r="A47" s="78" t="str">
        <f>CONCATENATE('3 pr-2'!A106)</f>
        <v>2.1.1.1.4</v>
      </c>
      <c r="B47" s="78" t="str">
        <f>CONCATENATE('3 pr-2'!B106)</f>
        <v>R01-7724-220000-2114</v>
      </c>
      <c r="C47" s="78" t="s">
        <v>231</v>
      </c>
      <c r="D47" s="78" t="s">
        <v>235</v>
      </c>
      <c r="E47" s="78" t="s">
        <v>97</v>
      </c>
      <c r="F47" s="78" t="s">
        <v>1444</v>
      </c>
      <c r="G47" s="228" t="s">
        <v>136</v>
      </c>
      <c r="H47" s="14" t="s">
        <v>119</v>
      </c>
      <c r="I47" s="14" t="s">
        <v>66</v>
      </c>
      <c r="J47" s="16" t="s">
        <v>66</v>
      </c>
      <c r="K47" s="632">
        <f>SUM(L47:P47)</f>
        <v>163877</v>
      </c>
      <c r="L47" s="632">
        <v>12291</v>
      </c>
      <c r="M47" s="632">
        <v>12291</v>
      </c>
      <c r="N47" s="632">
        <v>0</v>
      </c>
      <c r="O47" s="632">
        <v>0</v>
      </c>
      <c r="P47" s="632">
        <v>139295</v>
      </c>
      <c r="Q47" s="632"/>
      <c r="R47" s="323">
        <v>42863</v>
      </c>
      <c r="S47" s="323">
        <v>42916</v>
      </c>
      <c r="T47" s="323">
        <v>42993</v>
      </c>
      <c r="U47" s="323">
        <v>43100</v>
      </c>
      <c r="V47" s="431">
        <v>43830</v>
      </c>
      <c r="W47" s="30"/>
      <c r="X47" s="30"/>
      <c r="Y47" s="30"/>
    </row>
    <row r="48" spans="1:27" ht="27.75" customHeight="1" thickBot="1">
      <c r="A48" s="697" t="s">
        <v>99</v>
      </c>
      <c r="B48" s="1625"/>
      <c r="C48" s="2014" t="s">
        <v>620</v>
      </c>
      <c r="D48" s="2015"/>
      <c r="E48" s="2015"/>
      <c r="F48" s="2015"/>
      <c r="G48" s="2015"/>
      <c r="H48" s="2015"/>
      <c r="I48" s="2015"/>
      <c r="J48" s="2016"/>
      <c r="K48" s="1014">
        <f t="shared" ref="K48:P48" si="20">SUM(K49:K49)</f>
        <v>146702.29999999999</v>
      </c>
      <c r="L48" s="1014">
        <f t="shared" si="20"/>
        <v>22436.3</v>
      </c>
      <c r="M48" s="1014">
        <f t="shared" si="20"/>
        <v>0</v>
      </c>
      <c r="N48" s="1014">
        <f t="shared" si="20"/>
        <v>0</v>
      </c>
      <c r="O48" s="1014">
        <f t="shared" si="20"/>
        <v>0</v>
      </c>
      <c r="P48" s="1014">
        <f t="shared" si="20"/>
        <v>124266</v>
      </c>
      <c r="Q48" s="1014"/>
      <c r="R48" s="708"/>
      <c r="S48" s="698"/>
      <c r="T48" s="698"/>
      <c r="U48" s="698"/>
      <c r="V48" s="698"/>
      <c r="W48" s="30">
        <v>124266</v>
      </c>
      <c r="X48" s="30">
        <f>SUM(W48*120/100)</f>
        <v>149119.20000000001</v>
      </c>
      <c r="Y48" s="30">
        <f>SUM(W48-P48)</f>
        <v>0</v>
      </c>
    </row>
    <row r="49" spans="1:25" ht="48.75" customHeight="1" thickBot="1">
      <c r="A49" s="78" t="str">
        <f>CONCATENATE('3 pr-2'!A112)</f>
        <v>2.1.1.2.4</v>
      </c>
      <c r="B49" s="78" t="str">
        <f>CONCATENATE('3 pr-2'!B112)</f>
        <v>R01-7725-240000-2124</v>
      </c>
      <c r="C49" s="78" t="s">
        <v>233</v>
      </c>
      <c r="D49" s="78" t="s">
        <v>181</v>
      </c>
      <c r="E49" s="78" t="s">
        <v>97</v>
      </c>
      <c r="F49" s="78" t="s">
        <v>1444</v>
      </c>
      <c r="G49" s="228" t="s">
        <v>139</v>
      </c>
      <c r="H49" s="14" t="s">
        <v>119</v>
      </c>
      <c r="I49" s="14" t="s">
        <v>66</v>
      </c>
      <c r="J49" s="16" t="s">
        <v>66</v>
      </c>
      <c r="K49" s="632">
        <f>SUM(L49:P49)</f>
        <v>146702.29999999999</v>
      </c>
      <c r="L49" s="632">
        <v>22436.3</v>
      </c>
      <c r="M49" s="632">
        <v>0</v>
      </c>
      <c r="N49" s="632">
        <v>0</v>
      </c>
      <c r="O49" s="632">
        <v>0</v>
      </c>
      <c r="P49" s="632">
        <v>124266</v>
      </c>
      <c r="Q49" s="632"/>
      <c r="R49" s="323">
        <v>42828</v>
      </c>
      <c r="S49" s="323">
        <v>42916</v>
      </c>
      <c r="T49" s="323">
        <v>42993</v>
      </c>
      <c r="U49" s="323">
        <v>43100</v>
      </c>
      <c r="V49" s="431">
        <v>43449</v>
      </c>
      <c r="W49" s="30"/>
      <c r="X49" s="30"/>
      <c r="Y49" s="30"/>
    </row>
    <row r="50" spans="1:25" ht="35.25" customHeight="1" thickBot="1">
      <c r="A50" s="697" t="s">
        <v>101</v>
      </c>
      <c r="B50" s="1625"/>
      <c r="C50" s="2014" t="s">
        <v>1384</v>
      </c>
      <c r="D50" s="2015"/>
      <c r="E50" s="2015"/>
      <c r="F50" s="2015"/>
      <c r="G50" s="2015"/>
      <c r="H50" s="2015"/>
      <c r="I50" s="2015"/>
      <c r="J50" s="2016"/>
      <c r="K50" s="1014">
        <f t="shared" ref="K50:O50" si="21">SUM(K51)</f>
        <v>176024.68</v>
      </c>
      <c r="L50" s="1014">
        <f t="shared" si="21"/>
        <v>79091.679999999993</v>
      </c>
      <c r="M50" s="1014">
        <f t="shared" si="21"/>
        <v>7859</v>
      </c>
      <c r="N50" s="1014">
        <f t="shared" si="21"/>
        <v>0</v>
      </c>
      <c r="O50" s="1014">
        <f t="shared" si="21"/>
        <v>0</v>
      </c>
      <c r="P50" s="1014">
        <f t="shared" ref="P50" si="22">SUM(P51)</f>
        <v>89074</v>
      </c>
      <c r="Q50" s="1014"/>
      <c r="R50" s="708"/>
      <c r="S50" s="698"/>
      <c r="T50" s="698"/>
      <c r="U50" s="698"/>
      <c r="V50" s="698"/>
      <c r="W50" s="30">
        <v>103953.20086240256</v>
      </c>
      <c r="X50" s="30">
        <f>SUM(W50*120/100)</f>
        <v>124743.84103488308</v>
      </c>
      <c r="Y50" s="30">
        <f>SUM(W50-P50)</f>
        <v>14879.200862402562</v>
      </c>
    </row>
    <row r="51" spans="1:25" ht="48.75" thickBot="1">
      <c r="A51" s="78" t="str">
        <f>CONCATENATE('3 pr-2'!A118)</f>
        <v>2.1.1.3.4</v>
      </c>
      <c r="B51" s="78" t="str">
        <f>CONCATENATE('3 pr-2'!B118)</f>
        <v>R01-7705-230000-2134</v>
      </c>
      <c r="C51" s="78" t="s">
        <v>796</v>
      </c>
      <c r="D51" s="78" t="s">
        <v>181</v>
      </c>
      <c r="E51" s="78" t="s">
        <v>97</v>
      </c>
      <c r="F51" s="78" t="s">
        <v>1444</v>
      </c>
      <c r="G51" s="228" t="s">
        <v>140</v>
      </c>
      <c r="H51" s="14" t="s">
        <v>119</v>
      </c>
      <c r="I51" s="14" t="s">
        <v>66</v>
      </c>
      <c r="J51" s="16" t="s">
        <v>66</v>
      </c>
      <c r="K51" s="632">
        <f>SUM(L51:P51)</f>
        <v>176024.68</v>
      </c>
      <c r="L51" s="632">
        <v>79091.679999999993</v>
      </c>
      <c r="M51" s="632">
        <v>7859</v>
      </c>
      <c r="N51" s="632">
        <v>0</v>
      </c>
      <c r="O51" s="632">
        <v>0</v>
      </c>
      <c r="P51" s="632">
        <v>89074</v>
      </c>
      <c r="Q51" s="632"/>
      <c r="R51" s="323">
        <v>42966</v>
      </c>
      <c r="S51" s="323">
        <v>43008</v>
      </c>
      <c r="T51" s="323">
        <v>43160</v>
      </c>
      <c r="U51" s="323">
        <v>43252</v>
      </c>
      <c r="V51" s="431">
        <v>43707</v>
      </c>
      <c r="W51" s="30"/>
      <c r="X51" s="30"/>
      <c r="Y51" s="30"/>
    </row>
    <row r="52" spans="1:25" ht="60" customHeight="1" thickBot="1">
      <c r="A52" s="1623" t="s">
        <v>32</v>
      </c>
      <c r="B52" s="1624"/>
      <c r="C52" s="2013" t="s">
        <v>621</v>
      </c>
      <c r="D52" s="1946"/>
      <c r="E52" s="1946"/>
      <c r="F52" s="1946"/>
      <c r="G52" s="1946"/>
      <c r="H52" s="1946"/>
      <c r="I52" s="1946"/>
      <c r="J52" s="1947"/>
      <c r="K52" s="1630">
        <f>SUM(K53+K58+K60)</f>
        <v>435057.18</v>
      </c>
      <c r="L52" s="1630">
        <f t="shared" ref="L52:P52" si="23">SUM(L53+L58+L60)</f>
        <v>14924.79</v>
      </c>
      <c r="M52" s="1630">
        <f t="shared" si="23"/>
        <v>32629.54</v>
      </c>
      <c r="N52" s="1630">
        <f t="shared" si="23"/>
        <v>17194</v>
      </c>
      <c r="O52" s="1630">
        <f t="shared" si="23"/>
        <v>511.2</v>
      </c>
      <c r="P52" s="1630">
        <f t="shared" si="23"/>
        <v>369797.65</v>
      </c>
      <c r="Q52" s="1630"/>
      <c r="R52" s="122"/>
      <c r="S52" s="731"/>
      <c r="T52" s="731"/>
      <c r="U52" s="731"/>
      <c r="V52" s="732"/>
      <c r="W52" s="30">
        <f>SUM(W53+W58)</f>
        <v>324000</v>
      </c>
      <c r="X52" s="30">
        <f>SUM(X53+X58)</f>
        <v>388800</v>
      </c>
      <c r="Y52" s="30">
        <f>SUM(Y53+Y58)</f>
        <v>-40004.050000000017</v>
      </c>
    </row>
    <row r="53" spans="1:25" ht="34.5" customHeight="1" thickBot="1">
      <c r="A53" s="697" t="s">
        <v>33</v>
      </c>
      <c r="B53" s="1625"/>
      <c r="C53" s="2014" t="s">
        <v>622</v>
      </c>
      <c r="D53" s="2015"/>
      <c r="E53" s="2015"/>
      <c r="F53" s="2015"/>
      <c r="G53" s="2015"/>
      <c r="H53" s="2015"/>
      <c r="I53" s="2015"/>
      <c r="J53" s="2016"/>
      <c r="K53" s="1631">
        <f t="shared" ref="K53:O53" si="24">SUM(K54:K57)</f>
        <v>229244</v>
      </c>
      <c r="L53" s="1631">
        <f t="shared" si="24"/>
        <v>0</v>
      </c>
      <c r="M53" s="1631">
        <f t="shared" si="24"/>
        <v>17193.55</v>
      </c>
      <c r="N53" s="1631">
        <f t="shared" si="24"/>
        <v>17194</v>
      </c>
      <c r="O53" s="1631">
        <f t="shared" si="24"/>
        <v>0</v>
      </c>
      <c r="P53" s="1631">
        <f>SUM(P54:P57)</f>
        <v>194856.45</v>
      </c>
      <c r="Q53" s="1631"/>
      <c r="R53" s="708"/>
      <c r="S53" s="698"/>
      <c r="T53" s="698"/>
      <c r="U53" s="698"/>
      <c r="V53" s="698"/>
      <c r="W53" s="30">
        <v>247000</v>
      </c>
      <c r="X53" s="30">
        <f>SUM(W53*120/100)</f>
        <v>296400</v>
      </c>
      <c r="Y53" s="30">
        <f>SUM(W53-P53)</f>
        <v>52143.549999999988</v>
      </c>
    </row>
    <row r="54" spans="1:25" ht="60.75" thickBot="1">
      <c r="A54" s="78" t="str">
        <f>CONCATENATE('3 pr-2'!A128)</f>
        <v>2.1.2.1.7</v>
      </c>
      <c r="B54" s="78" t="str">
        <f>CONCATENATE('3 pr-2'!B128)</f>
        <v>R01-6609-274710-2217</v>
      </c>
      <c r="C54" s="78" t="s">
        <v>234</v>
      </c>
      <c r="D54" s="78" t="s">
        <v>1428</v>
      </c>
      <c r="E54" s="78" t="s">
        <v>103</v>
      </c>
      <c r="F54" s="78" t="s">
        <v>1444</v>
      </c>
      <c r="G54" s="228" t="s">
        <v>153</v>
      </c>
      <c r="H54" s="14" t="s">
        <v>119</v>
      </c>
      <c r="I54" s="14" t="s">
        <v>66</v>
      </c>
      <c r="J54" s="16" t="s">
        <v>66</v>
      </c>
      <c r="K54" s="1020">
        <f>SUM(L54:P54)</f>
        <v>163532</v>
      </c>
      <c r="L54" s="1020">
        <v>0</v>
      </c>
      <c r="M54" s="1020">
        <v>12265</v>
      </c>
      <c r="N54" s="1020">
        <v>12265</v>
      </c>
      <c r="O54" s="1020">
        <v>0</v>
      </c>
      <c r="P54" s="1020">
        <v>139002</v>
      </c>
      <c r="Q54" s="1020"/>
      <c r="R54" s="323">
        <v>43250</v>
      </c>
      <c r="S54" s="323">
        <v>43312</v>
      </c>
      <c r="T54" s="323">
        <v>43403</v>
      </c>
      <c r="U54" s="323">
        <v>43465</v>
      </c>
      <c r="V54" s="323">
        <v>44196</v>
      </c>
      <c r="W54" s="30"/>
      <c r="X54" s="30"/>
      <c r="Y54" s="30"/>
    </row>
    <row r="55" spans="1:25" ht="48.75" thickBot="1">
      <c r="A55" s="78" t="str">
        <f>CONCATENATE('3 pr-2'!A129)</f>
        <v>2.1.2.1.8</v>
      </c>
      <c r="B55" s="78" t="str">
        <f>CONCATENATE('3 pr-2'!B129)</f>
        <v>R01-6609-104700-2218</v>
      </c>
      <c r="C55" s="78" t="s">
        <v>1447</v>
      </c>
      <c r="D55" s="78" t="s">
        <v>1429</v>
      </c>
      <c r="E55" s="78" t="s">
        <v>103</v>
      </c>
      <c r="F55" s="78" t="s">
        <v>1444</v>
      </c>
      <c r="G55" s="228" t="s">
        <v>153</v>
      </c>
      <c r="H55" s="14" t="s">
        <v>119</v>
      </c>
      <c r="I55" s="14" t="s">
        <v>66</v>
      </c>
      <c r="J55" s="16" t="s">
        <v>66</v>
      </c>
      <c r="K55" s="1020">
        <f>SUM(L55:P55)</f>
        <v>12289</v>
      </c>
      <c r="L55" s="1020">
        <v>0</v>
      </c>
      <c r="M55" s="1020">
        <v>922</v>
      </c>
      <c r="N55" s="1020">
        <v>922</v>
      </c>
      <c r="O55" s="1020">
        <v>0</v>
      </c>
      <c r="P55" s="1020">
        <v>10445</v>
      </c>
      <c r="Q55" s="1020"/>
      <c r="R55" s="323"/>
      <c r="S55" s="323">
        <v>43312</v>
      </c>
      <c r="T55" s="323">
        <v>43403</v>
      </c>
      <c r="U55" s="323">
        <v>43495</v>
      </c>
      <c r="V55" s="323">
        <v>43922</v>
      </c>
      <c r="W55" s="30"/>
      <c r="X55" s="30"/>
      <c r="Y55" s="30"/>
    </row>
    <row r="56" spans="1:25" ht="48.75" thickBot="1">
      <c r="A56" s="78" t="str">
        <f>CONCATENATE('3 pr-2'!A130)</f>
        <v>2.1.2.1.9</v>
      </c>
      <c r="B56" s="78" t="str">
        <f>CONCATENATE('3 pr-2'!B130)</f>
        <v>R01-6609-274710-2219</v>
      </c>
      <c r="C56" s="78" t="s">
        <v>3427</v>
      </c>
      <c r="D56" s="78" t="s">
        <v>1430</v>
      </c>
      <c r="E56" s="78" t="s">
        <v>103</v>
      </c>
      <c r="F56" s="78" t="s">
        <v>1444</v>
      </c>
      <c r="G56" s="228" t="s">
        <v>153</v>
      </c>
      <c r="H56" s="14" t="s">
        <v>119</v>
      </c>
      <c r="I56" s="14" t="s">
        <v>66</v>
      </c>
      <c r="J56" s="16" t="s">
        <v>66</v>
      </c>
      <c r="K56" s="1645">
        <f>SUM(L56:P56)</f>
        <v>25517</v>
      </c>
      <c r="L56" s="1020">
        <f>'ketv. 6 '!P129</f>
        <v>0</v>
      </c>
      <c r="M56" s="1645">
        <f>'ketv. 6 '!T129</f>
        <v>1913.55</v>
      </c>
      <c r="N56" s="1020">
        <f>'ketv. 6 '!X129</f>
        <v>1914</v>
      </c>
      <c r="O56" s="1020">
        <v>0</v>
      </c>
      <c r="P56" s="1645">
        <f>'ketv. 6 '!AF129</f>
        <v>21689.45</v>
      </c>
      <c r="Q56" s="1020"/>
      <c r="R56" s="323"/>
      <c r="S56" s="323">
        <v>43312</v>
      </c>
      <c r="T56" s="323">
        <v>43373</v>
      </c>
      <c r="U56" s="323">
        <v>43464</v>
      </c>
      <c r="V56" s="323">
        <v>43830</v>
      </c>
      <c r="W56" s="30"/>
      <c r="X56" s="30"/>
      <c r="Y56" s="30"/>
    </row>
    <row r="57" spans="1:25" ht="48.75" thickBot="1">
      <c r="A57" s="78" t="str">
        <f>CONCATENATE('3 pr-2'!A131)</f>
        <v>2.1.2.1.10</v>
      </c>
      <c r="B57" s="78" t="str">
        <f>CONCATENATE('3 pr-2'!B131)</f>
        <v>R01-6609-274710-2220</v>
      </c>
      <c r="C57" s="78" t="s">
        <v>3750</v>
      </c>
      <c r="D57" s="78" t="s">
        <v>1431</v>
      </c>
      <c r="E57" s="78" t="s">
        <v>103</v>
      </c>
      <c r="F57" s="78" t="s">
        <v>1444</v>
      </c>
      <c r="G57" s="228" t="s">
        <v>153</v>
      </c>
      <c r="H57" s="14" t="s">
        <v>119</v>
      </c>
      <c r="I57" s="14" t="s">
        <v>66</v>
      </c>
      <c r="J57" s="16" t="s">
        <v>66</v>
      </c>
      <c r="K57" s="1020">
        <f>SUM(L57:P57)</f>
        <v>27906</v>
      </c>
      <c r="L57" s="1020">
        <v>0</v>
      </c>
      <c r="M57" s="1020">
        <v>2093</v>
      </c>
      <c r="N57" s="1020">
        <v>2093</v>
      </c>
      <c r="O57" s="1020">
        <v>0</v>
      </c>
      <c r="P57" s="1020">
        <v>23720</v>
      </c>
      <c r="Q57" s="1020"/>
      <c r="R57" s="323"/>
      <c r="S57" s="323">
        <v>43312</v>
      </c>
      <c r="T57" s="323">
        <v>43403</v>
      </c>
      <c r="U57" s="323">
        <v>43495</v>
      </c>
      <c r="V57" s="323">
        <v>44196</v>
      </c>
      <c r="W57" s="30"/>
      <c r="X57" s="30"/>
      <c r="Y57" s="30"/>
    </row>
    <row r="58" spans="1:25" ht="29.25" customHeight="1" thickBot="1">
      <c r="A58" s="697" t="s">
        <v>34</v>
      </c>
      <c r="B58" s="1625"/>
      <c r="C58" s="2014" t="s">
        <v>1381</v>
      </c>
      <c r="D58" s="2015"/>
      <c r="E58" s="2015"/>
      <c r="F58" s="2015"/>
      <c r="G58" s="2015"/>
      <c r="H58" s="2015"/>
      <c r="I58" s="2015"/>
      <c r="J58" s="2016"/>
      <c r="K58" s="1631">
        <f t="shared" ref="K58:P60" si="25">SUM(K59:K59)</f>
        <v>198997.18</v>
      </c>
      <c r="L58" s="1631">
        <f t="shared" si="25"/>
        <v>14924.79</v>
      </c>
      <c r="M58" s="1631">
        <f t="shared" si="25"/>
        <v>14924.79</v>
      </c>
      <c r="N58" s="1631">
        <f t="shared" si="25"/>
        <v>0</v>
      </c>
      <c r="O58" s="1631">
        <f t="shared" si="25"/>
        <v>0</v>
      </c>
      <c r="P58" s="1631">
        <f t="shared" si="25"/>
        <v>169147.6</v>
      </c>
      <c r="Q58" s="1631"/>
      <c r="R58" s="708"/>
      <c r="S58" s="698"/>
      <c r="T58" s="698"/>
      <c r="U58" s="698"/>
      <c r="V58" s="698"/>
      <c r="W58" s="30">
        <v>77000</v>
      </c>
      <c r="X58" s="30">
        <f>SUM(W58*120/100)</f>
        <v>92400</v>
      </c>
      <c r="Y58" s="30">
        <f>SUM(W58-P58)</f>
        <v>-92147.6</v>
      </c>
    </row>
    <row r="59" spans="1:25" ht="48.75" customHeight="1" thickBot="1">
      <c r="A59" s="78" t="str">
        <f>CONCATENATE('3 pr-2'!A139)</f>
        <v>2.1.2.2.4.</v>
      </c>
      <c r="B59" s="78" t="str">
        <f>CONCATENATE('3 pr-2'!B139)</f>
        <v>R01-6630-470000-2224</v>
      </c>
      <c r="C59" s="78" t="s">
        <v>1197</v>
      </c>
      <c r="D59" s="78" t="s">
        <v>1198</v>
      </c>
      <c r="E59" s="78" t="s">
        <v>103</v>
      </c>
      <c r="F59" s="78" t="s">
        <v>1444</v>
      </c>
      <c r="G59" s="228" t="s">
        <v>1176</v>
      </c>
      <c r="H59" s="14" t="s">
        <v>119</v>
      </c>
      <c r="I59" s="14" t="s">
        <v>66</v>
      </c>
      <c r="J59" s="16" t="s">
        <v>66</v>
      </c>
      <c r="K59" s="1020">
        <v>198997.18</v>
      </c>
      <c r="L59" s="1020">
        <v>14924.79</v>
      </c>
      <c r="M59" s="1020">
        <v>14924.79</v>
      </c>
      <c r="N59" s="1020">
        <v>0</v>
      </c>
      <c r="O59" s="1020">
        <v>0</v>
      </c>
      <c r="P59" s="1020">
        <v>169147.6</v>
      </c>
      <c r="Q59" s="1020"/>
      <c r="R59" s="16"/>
      <c r="S59" s="155">
        <v>43189</v>
      </c>
      <c r="T59" s="155">
        <v>43220</v>
      </c>
      <c r="U59" s="155">
        <v>43296</v>
      </c>
      <c r="V59" s="155">
        <v>44561</v>
      </c>
      <c r="W59" s="30"/>
      <c r="X59" s="30"/>
      <c r="Y59" s="30"/>
    </row>
    <row r="60" spans="1:25" ht="29.25" customHeight="1" thickBot="1">
      <c r="A60" s="697" t="str">
        <f>CONCATENATE('3 pr-2'!A141)</f>
        <v>2.1.2.3</v>
      </c>
      <c r="B60" s="1625"/>
      <c r="C60" s="2014" t="str">
        <f>CONCATENATE('3 pr-2'!D141)</f>
        <v/>
      </c>
      <c r="D60" s="2015"/>
      <c r="E60" s="2015"/>
      <c r="F60" s="2015"/>
      <c r="G60" s="2015"/>
      <c r="H60" s="2015"/>
      <c r="I60" s="2015"/>
      <c r="J60" s="2016"/>
      <c r="K60" s="1631">
        <f t="shared" si="25"/>
        <v>6816</v>
      </c>
      <c r="L60" s="1631">
        <f t="shared" si="25"/>
        <v>0</v>
      </c>
      <c r="M60" s="1631">
        <f t="shared" si="25"/>
        <v>511.2</v>
      </c>
      <c r="N60" s="1631">
        <f t="shared" si="25"/>
        <v>0</v>
      </c>
      <c r="O60" s="1631">
        <f t="shared" si="25"/>
        <v>511.2</v>
      </c>
      <c r="P60" s="1631">
        <f t="shared" si="25"/>
        <v>5793.6</v>
      </c>
      <c r="Q60" s="1631"/>
      <c r="R60" s="708"/>
      <c r="S60" s="698"/>
      <c r="T60" s="698"/>
      <c r="U60" s="698"/>
      <c r="V60" s="698"/>
      <c r="W60" s="30">
        <v>77000</v>
      </c>
      <c r="X60" s="30">
        <f>SUM(W60*120/100)</f>
        <v>92400</v>
      </c>
      <c r="Y60" s="30">
        <f>SUM(W60-P60)</f>
        <v>71206.399999999994</v>
      </c>
    </row>
    <row r="61" spans="1:25" ht="69.75" customHeight="1" thickBot="1">
      <c r="A61" s="78" t="str">
        <f>CONCATENATE('3 pr-2'!A145)</f>
        <v>2.1.2.3.4</v>
      </c>
      <c r="B61" s="78" t="str">
        <f>CONCATENATE('3 pr-2'!B145)</f>
        <v>R01-6615-470000-2234</v>
      </c>
      <c r="C61" s="78" t="s">
        <v>1199</v>
      </c>
      <c r="D61" s="78" t="s">
        <v>1200</v>
      </c>
      <c r="E61" s="78" t="s">
        <v>103</v>
      </c>
      <c r="F61" s="78" t="s">
        <v>1444</v>
      </c>
      <c r="G61" s="228" t="s">
        <v>1191</v>
      </c>
      <c r="H61" s="14" t="s">
        <v>119</v>
      </c>
      <c r="I61" s="14" t="s">
        <v>66</v>
      </c>
      <c r="J61" s="16" t="s">
        <v>66</v>
      </c>
      <c r="K61" s="1020">
        <f>SUM(L61:P61)</f>
        <v>6816</v>
      </c>
      <c r="L61" s="1020">
        <v>0</v>
      </c>
      <c r="M61" s="1020">
        <v>511.2</v>
      </c>
      <c r="N61" s="1020">
        <v>0</v>
      </c>
      <c r="O61" s="1020">
        <v>511.2</v>
      </c>
      <c r="P61" s="1020">
        <v>5793.6</v>
      </c>
      <c r="Q61" s="1020"/>
      <c r="R61" s="16"/>
      <c r="S61" s="155">
        <v>43159</v>
      </c>
      <c r="T61" s="155">
        <v>43255</v>
      </c>
      <c r="U61" s="155">
        <v>43344</v>
      </c>
      <c r="V61" s="155">
        <v>44440</v>
      </c>
      <c r="W61" s="30"/>
      <c r="X61" s="30"/>
      <c r="Y61" s="30"/>
    </row>
    <row r="62" spans="1:25" ht="41.25" customHeight="1" thickBot="1">
      <c r="A62" s="1623" t="s">
        <v>35</v>
      </c>
      <c r="B62" s="1624"/>
      <c r="C62" s="2013" t="s">
        <v>627</v>
      </c>
      <c r="D62" s="1946"/>
      <c r="E62" s="1946"/>
      <c r="F62" s="1946"/>
      <c r="G62" s="1946"/>
      <c r="H62" s="1946"/>
      <c r="I62" s="1946"/>
      <c r="J62" s="1947"/>
      <c r="K62" s="1630">
        <f t="shared" ref="K62:P62" si="26">SUM(K63+K65)</f>
        <v>878909.94</v>
      </c>
      <c r="L62" s="1630">
        <f t="shared" si="26"/>
        <v>131836.95000000001</v>
      </c>
      <c r="M62" s="1630">
        <f t="shared" si="26"/>
        <v>0</v>
      </c>
      <c r="N62" s="1630">
        <f t="shared" si="26"/>
        <v>0</v>
      </c>
      <c r="O62" s="1630">
        <f t="shared" si="26"/>
        <v>0</v>
      </c>
      <c r="P62" s="1630">
        <f t="shared" si="26"/>
        <v>747072.99</v>
      </c>
      <c r="Q62" s="1630"/>
      <c r="R62" s="122"/>
      <c r="S62" s="731"/>
      <c r="T62" s="731"/>
      <c r="U62" s="731"/>
      <c r="V62" s="732"/>
      <c r="W62" s="30">
        <f>SUM(W63+W65)</f>
        <v>747073.32761816494</v>
      </c>
      <c r="X62" s="30">
        <f>SUM(X63+X65)</f>
        <v>896487.99314179795</v>
      </c>
      <c r="Y62" s="30">
        <f>SUM(Y63+Y65)</f>
        <v>0.33761816498008557</v>
      </c>
    </row>
    <row r="63" spans="1:25" ht="38.25" customHeight="1" thickBot="1">
      <c r="A63" s="697" t="s">
        <v>36</v>
      </c>
      <c r="B63" s="1625"/>
      <c r="C63" s="2014" t="s">
        <v>623</v>
      </c>
      <c r="D63" s="2015"/>
      <c r="E63" s="2015"/>
      <c r="F63" s="2015"/>
      <c r="G63" s="2015"/>
      <c r="H63" s="2015"/>
      <c r="I63" s="2015"/>
      <c r="J63" s="2016"/>
      <c r="K63" s="1631">
        <f>SUM(K64)</f>
        <v>151437</v>
      </c>
      <c r="L63" s="1631">
        <f>SUM(L64)</f>
        <v>22716</v>
      </c>
      <c r="M63" s="1631">
        <f t="shared" ref="M63:O63" si="27">SUM(M64)</f>
        <v>0</v>
      </c>
      <c r="N63" s="1631">
        <f t="shared" si="27"/>
        <v>0</v>
      </c>
      <c r="O63" s="1631">
        <f t="shared" si="27"/>
        <v>0</v>
      </c>
      <c r="P63" s="1631">
        <f>SUM(P64)</f>
        <v>128721</v>
      </c>
      <c r="Q63" s="1631"/>
      <c r="R63" s="708"/>
      <c r="S63" s="698"/>
      <c r="T63" s="698"/>
      <c r="U63" s="698"/>
      <c r="V63" s="698"/>
      <c r="W63" s="30">
        <v>128721.32761816497</v>
      </c>
      <c r="X63" s="30">
        <f>SUM(W63*120/100)</f>
        <v>154465.59314179796</v>
      </c>
      <c r="Y63" s="30">
        <f>SUM(W63-P63)</f>
        <v>0.32761816497077234</v>
      </c>
    </row>
    <row r="64" spans="1:25" ht="48.75" thickBot="1">
      <c r="A64" s="78" t="str">
        <f>CONCATENATE('3 pr-2'!A152)</f>
        <v>2.1.3.1.4</v>
      </c>
      <c r="B64" s="78" t="str">
        <f>CONCATENATE('3 pr-2'!B152)</f>
        <v>R01-4407-270000-2314</v>
      </c>
      <c r="C64" s="78" t="s">
        <v>312</v>
      </c>
      <c r="D64" s="78" t="s">
        <v>235</v>
      </c>
      <c r="E64" s="78" t="s">
        <v>106</v>
      </c>
      <c r="F64" s="78" t="s">
        <v>1444</v>
      </c>
      <c r="G64" s="228" t="s">
        <v>2259</v>
      </c>
      <c r="H64" s="14" t="s">
        <v>119</v>
      </c>
      <c r="I64" s="14" t="s">
        <v>66</v>
      </c>
      <c r="J64" s="16" t="s">
        <v>66</v>
      </c>
      <c r="K64" s="1020">
        <f t="shared" ref="K64" si="28">SUM(L64:P64)</f>
        <v>151437</v>
      </c>
      <c r="L64" s="1020">
        <v>22716</v>
      </c>
      <c r="M64" s="1020">
        <v>0</v>
      </c>
      <c r="N64" s="1020">
        <v>0</v>
      </c>
      <c r="O64" s="1020">
        <v>0</v>
      </c>
      <c r="P64" s="1020">
        <v>128721</v>
      </c>
      <c r="Q64" s="1020"/>
      <c r="R64" s="323">
        <v>42618</v>
      </c>
      <c r="S64" s="323">
        <v>42669</v>
      </c>
      <c r="T64" s="323">
        <v>42735</v>
      </c>
      <c r="U64" s="323">
        <v>42855</v>
      </c>
      <c r="V64" s="431">
        <f>SUM('IV-1 su proj'!CH151)</f>
        <v>43738</v>
      </c>
      <c r="W64" s="30"/>
      <c r="X64" s="30"/>
      <c r="Y64" s="30"/>
    </row>
    <row r="65" spans="1:25" ht="32.25" customHeight="1" thickBot="1">
      <c r="A65" s="697" t="s">
        <v>37</v>
      </c>
      <c r="B65" s="1625"/>
      <c r="C65" s="2014" t="s">
        <v>624</v>
      </c>
      <c r="D65" s="2015"/>
      <c r="E65" s="2015"/>
      <c r="F65" s="2015"/>
      <c r="G65" s="2015"/>
      <c r="H65" s="2015"/>
      <c r="I65" s="2015"/>
      <c r="J65" s="2016"/>
      <c r="K65" s="1631">
        <f>SUM(K66)</f>
        <v>727472.94</v>
      </c>
      <c r="L65" s="1631">
        <f>SUM(L66)</f>
        <v>109120.95</v>
      </c>
      <c r="M65" s="1631">
        <f t="shared" ref="M65:O65" si="29">SUM(M66)</f>
        <v>0</v>
      </c>
      <c r="N65" s="1631">
        <f t="shared" si="29"/>
        <v>0</v>
      </c>
      <c r="O65" s="1631">
        <f t="shared" si="29"/>
        <v>0</v>
      </c>
      <c r="P65" s="1631">
        <f>SUM(P66)</f>
        <v>618351.99</v>
      </c>
      <c r="Q65" s="1631"/>
      <c r="R65" s="708"/>
      <c r="S65" s="698"/>
      <c r="T65" s="698"/>
      <c r="U65" s="698"/>
      <c r="V65" s="698"/>
      <c r="W65" s="30">
        <v>618352</v>
      </c>
      <c r="X65" s="30">
        <f>SUM(W65*120/100)</f>
        <v>742022.4</v>
      </c>
      <c r="Y65" s="30">
        <f>SUM(W65-P65)</f>
        <v>1.0000000009313226E-2</v>
      </c>
    </row>
    <row r="66" spans="1:25" ht="48.75" customHeight="1" thickBot="1">
      <c r="A66" s="78" t="str">
        <f>CONCATENATE('3 pr-2'!A158)</f>
        <v>2.1.3.2.4</v>
      </c>
      <c r="B66" s="78" t="str">
        <f>CONCATENATE('3 pr-2'!B158)</f>
        <v>R01-4408-260000-2324</v>
      </c>
      <c r="C66" s="78" t="s">
        <v>237</v>
      </c>
      <c r="D66" s="78" t="s">
        <v>235</v>
      </c>
      <c r="E66" s="78" t="s">
        <v>106</v>
      </c>
      <c r="F66" s="78" t="s">
        <v>1444</v>
      </c>
      <c r="G66" s="228" t="s">
        <v>2293</v>
      </c>
      <c r="H66" s="14" t="s">
        <v>119</v>
      </c>
      <c r="I66" s="14" t="s">
        <v>66</v>
      </c>
      <c r="J66" s="16" t="s">
        <v>66</v>
      </c>
      <c r="K66" s="1020">
        <f t="shared" ref="K66" si="30">SUM(L66:P66)</f>
        <v>727472.94</v>
      </c>
      <c r="L66" s="1020">
        <v>109120.95</v>
      </c>
      <c r="M66" s="1020">
        <v>0</v>
      </c>
      <c r="N66" s="1020">
        <v>0</v>
      </c>
      <c r="O66" s="1020">
        <v>0</v>
      </c>
      <c r="P66" s="1020">
        <v>618351.99</v>
      </c>
      <c r="Q66" s="1020"/>
      <c r="R66" s="323">
        <v>42401</v>
      </c>
      <c r="S66" s="323">
        <v>42490</v>
      </c>
      <c r="T66" s="323">
        <v>42674</v>
      </c>
      <c r="U66" s="323">
        <v>42735</v>
      </c>
      <c r="V66" s="431">
        <v>43585</v>
      </c>
      <c r="W66" s="30"/>
      <c r="X66" s="30"/>
      <c r="Y66" s="30"/>
    </row>
    <row r="67" spans="1:25" ht="53.25" customHeight="1" thickBot="1">
      <c r="A67" s="1623" t="s">
        <v>38</v>
      </c>
      <c r="B67" s="1624"/>
      <c r="C67" s="2013" t="s">
        <v>625</v>
      </c>
      <c r="D67" s="1946"/>
      <c r="E67" s="1946"/>
      <c r="F67" s="1946"/>
      <c r="G67" s="1946"/>
      <c r="H67" s="1946"/>
      <c r="I67" s="1946"/>
      <c r="J67" s="1947"/>
      <c r="K67" s="1021">
        <f t="shared" ref="K67:P68" si="31">SUM(K68)</f>
        <v>161741.96</v>
      </c>
      <c r="L67" s="1021">
        <f t="shared" si="31"/>
        <v>24392.16</v>
      </c>
      <c r="M67" s="1021">
        <f t="shared" si="31"/>
        <v>0</v>
      </c>
      <c r="N67" s="1021">
        <f t="shared" si="31"/>
        <v>0</v>
      </c>
      <c r="O67" s="1021">
        <f t="shared" si="31"/>
        <v>0</v>
      </c>
      <c r="P67" s="1021">
        <f t="shared" si="31"/>
        <v>137349.79999999999</v>
      </c>
      <c r="Q67" s="1021"/>
      <c r="R67" s="122"/>
      <c r="S67" s="731"/>
      <c r="T67" s="731"/>
      <c r="U67" s="731"/>
      <c r="V67" s="732"/>
      <c r="W67" s="30">
        <f>SUM(W68)</f>
        <v>137349.52468118331</v>
      </c>
      <c r="X67" s="30">
        <f>SUM(X68)</f>
        <v>164819.42961741996</v>
      </c>
      <c r="Y67" s="30">
        <f>SUM(Y68)</f>
        <v>-0.27531881668255664</v>
      </c>
    </row>
    <row r="68" spans="1:25" ht="39" customHeight="1" thickBot="1">
      <c r="A68" s="697" t="s">
        <v>109</v>
      </c>
      <c r="B68" s="1625"/>
      <c r="C68" s="2014" t="s">
        <v>626</v>
      </c>
      <c r="D68" s="2015"/>
      <c r="E68" s="2015"/>
      <c r="F68" s="2015"/>
      <c r="G68" s="2015"/>
      <c r="H68" s="2015"/>
      <c r="I68" s="2015"/>
      <c r="J68" s="2016"/>
      <c r="K68" s="1014">
        <f>SUM(K69)</f>
        <v>161741.96</v>
      </c>
      <c r="L68" s="1014">
        <f>SUM(L69)</f>
        <v>24392.16</v>
      </c>
      <c r="M68" s="1014">
        <f t="shared" si="31"/>
        <v>0</v>
      </c>
      <c r="N68" s="1014">
        <f t="shared" si="31"/>
        <v>0</v>
      </c>
      <c r="O68" s="1014">
        <f t="shared" si="31"/>
        <v>0</v>
      </c>
      <c r="P68" s="1014">
        <f>SUM(P69)</f>
        <v>137349.79999999999</v>
      </c>
      <c r="Q68" s="1014"/>
      <c r="R68" s="708"/>
      <c r="S68" s="698"/>
      <c r="T68" s="698"/>
      <c r="U68" s="698"/>
      <c r="V68" s="698"/>
      <c r="W68" s="30">
        <v>137349.52468118331</v>
      </c>
      <c r="X68" s="30">
        <f>SUM(W68*120/100)</f>
        <v>164819.42961741996</v>
      </c>
      <c r="Y68" s="30">
        <f>SUM(W68-P68)</f>
        <v>-0.27531881668255664</v>
      </c>
    </row>
    <row r="69" spans="1:25" ht="48.75" thickBot="1">
      <c r="A69" s="78" t="str">
        <f>CONCATENATE('3 pr-2'!A166)</f>
        <v>2.1.4.1.5</v>
      </c>
      <c r="B69" s="78" t="str">
        <f>CONCATENATE('3 pr-2'!B166)</f>
        <v>R01-9920-490000-2415</v>
      </c>
      <c r="C69" s="78" t="s">
        <v>239</v>
      </c>
      <c r="D69" s="78" t="s">
        <v>235</v>
      </c>
      <c r="E69" s="78" t="s">
        <v>75</v>
      </c>
      <c r="F69" s="78" t="s">
        <v>1444</v>
      </c>
      <c r="G69" s="228" t="s">
        <v>1122</v>
      </c>
      <c r="H69" s="14" t="s">
        <v>119</v>
      </c>
      <c r="I69" s="14" t="s">
        <v>66</v>
      </c>
      <c r="J69" s="16" t="s">
        <v>66</v>
      </c>
      <c r="K69" s="632">
        <f t="shared" ref="K69" si="32">SUM(L69:P69)</f>
        <v>161741.96</v>
      </c>
      <c r="L69" s="632">
        <v>24392.16</v>
      </c>
      <c r="M69" s="632">
        <v>0</v>
      </c>
      <c r="N69" s="632">
        <v>0</v>
      </c>
      <c r="O69" s="632">
        <v>0</v>
      </c>
      <c r="P69" s="632">
        <v>137349.79999999999</v>
      </c>
      <c r="Q69" s="632"/>
      <c r="R69" s="323">
        <v>43017</v>
      </c>
      <c r="S69" s="323">
        <v>42992</v>
      </c>
      <c r="T69" s="323">
        <v>43146</v>
      </c>
      <c r="U69" s="323">
        <v>43235</v>
      </c>
      <c r="V69" s="323">
        <v>44103.5</v>
      </c>
      <c r="W69" s="30"/>
      <c r="X69" s="30"/>
      <c r="Y69" s="30"/>
    </row>
    <row r="70" spans="1:25" ht="43.5" customHeight="1" thickBot="1">
      <c r="A70" s="724" t="s">
        <v>40</v>
      </c>
      <c r="B70" s="1622"/>
      <c r="C70" s="2012" t="s">
        <v>1388</v>
      </c>
      <c r="D70" s="1944"/>
      <c r="E70" s="1944"/>
      <c r="F70" s="1944"/>
      <c r="G70" s="1944"/>
      <c r="H70" s="1944"/>
      <c r="I70" s="1944"/>
      <c r="J70" s="1945"/>
      <c r="K70" s="726">
        <f t="shared" ref="K70:P70" si="33">SUM(K71+K74)</f>
        <v>760953.48294117651</v>
      </c>
      <c r="L70" s="726">
        <f t="shared" si="33"/>
        <v>31451.624117647058</v>
      </c>
      <c r="M70" s="726">
        <f t="shared" si="33"/>
        <v>0</v>
      </c>
      <c r="N70" s="726">
        <f t="shared" si="33"/>
        <v>108715.49546712435</v>
      </c>
      <c r="O70" s="726">
        <f t="shared" si="33"/>
        <v>0</v>
      </c>
      <c r="P70" s="726">
        <f t="shared" si="33"/>
        <v>646810.48</v>
      </c>
      <c r="Q70" s="726"/>
      <c r="R70" s="726"/>
      <c r="S70" s="728"/>
      <c r="T70" s="728"/>
      <c r="U70" s="728"/>
      <c r="V70" s="729"/>
      <c r="W70" s="30">
        <f>SUM(W71+W74)</f>
        <v>646810.48</v>
      </c>
      <c r="X70" s="30">
        <f>SUM(X71+X74)</f>
        <v>776172.57599999988</v>
      </c>
      <c r="Y70" s="30">
        <f>SUM(Y71+Y74)</f>
        <v>0</v>
      </c>
    </row>
    <row r="71" spans="1:25" ht="35.25" customHeight="1" thickBot="1">
      <c r="A71" s="1623" t="s">
        <v>41</v>
      </c>
      <c r="B71" s="1624"/>
      <c r="C71" s="2013" t="s">
        <v>1389</v>
      </c>
      <c r="D71" s="1946"/>
      <c r="E71" s="1946"/>
      <c r="F71" s="1946"/>
      <c r="G71" s="1946"/>
      <c r="H71" s="1946"/>
      <c r="I71" s="1946"/>
      <c r="J71" s="1947"/>
      <c r="K71" s="122">
        <f t="shared" ref="K71:P71" si="34">SUM(K72)</f>
        <v>551275.85882352944</v>
      </c>
      <c r="L71" s="122">
        <f t="shared" si="34"/>
        <v>0</v>
      </c>
      <c r="M71" s="122">
        <f t="shared" si="34"/>
        <v>0</v>
      </c>
      <c r="N71" s="122">
        <f t="shared" si="34"/>
        <v>108715.49546712435</v>
      </c>
      <c r="O71" s="122">
        <f t="shared" si="34"/>
        <v>0</v>
      </c>
      <c r="P71" s="122">
        <f t="shared" si="34"/>
        <v>468584.48</v>
      </c>
      <c r="Q71" s="122"/>
      <c r="R71" s="122"/>
      <c r="S71" s="731"/>
      <c r="T71" s="731"/>
      <c r="U71" s="731"/>
      <c r="V71" s="732"/>
      <c r="W71" s="30">
        <f>SUM(W72)</f>
        <v>468584.48</v>
      </c>
      <c r="X71" s="30">
        <f>SUM(X72)</f>
        <v>562301.37599999993</v>
      </c>
      <c r="Y71" s="30">
        <f>SUM(Y72)</f>
        <v>0</v>
      </c>
    </row>
    <row r="72" spans="1:25" ht="34.5" customHeight="1" thickBot="1">
      <c r="A72" s="697" t="s">
        <v>42</v>
      </c>
      <c r="B72" s="1625"/>
      <c r="C72" s="2014" t="s">
        <v>597</v>
      </c>
      <c r="D72" s="2015"/>
      <c r="E72" s="2015"/>
      <c r="F72" s="2015"/>
      <c r="G72" s="2015"/>
      <c r="H72" s="2015"/>
      <c r="I72" s="2015"/>
      <c r="J72" s="2016"/>
      <c r="K72" s="698">
        <f t="shared" ref="K72:P72" si="35">SUM(K73:K73)</f>
        <v>551275.85882352944</v>
      </c>
      <c r="L72" s="698">
        <f t="shared" si="35"/>
        <v>0</v>
      </c>
      <c r="M72" s="698">
        <f t="shared" si="35"/>
        <v>0</v>
      </c>
      <c r="N72" s="698">
        <f t="shared" si="35"/>
        <v>108715.49546712435</v>
      </c>
      <c r="O72" s="698">
        <f t="shared" si="35"/>
        <v>0</v>
      </c>
      <c r="P72" s="698">
        <f t="shared" si="35"/>
        <v>468584.48</v>
      </c>
      <c r="Q72" s="698"/>
      <c r="R72" s="708"/>
      <c r="S72" s="698"/>
      <c r="T72" s="698"/>
      <c r="U72" s="698"/>
      <c r="V72" s="698"/>
      <c r="W72" s="30">
        <v>468584.48</v>
      </c>
      <c r="X72" s="30">
        <f>SUM(W72*120/100)</f>
        <v>562301.37599999993</v>
      </c>
      <c r="Y72" s="30">
        <f>SUM(W72-P72)</f>
        <v>0</v>
      </c>
    </row>
    <row r="73" spans="1:25" ht="48.75" thickBot="1">
      <c r="A73" s="78" t="s">
        <v>112</v>
      </c>
      <c r="B73" s="78" t="str">
        <f>CONCATENATE('3 pr-2'!B171)</f>
        <v>R01-0008-050000-3111</v>
      </c>
      <c r="C73" s="78" t="s">
        <v>307</v>
      </c>
      <c r="D73" s="78" t="s">
        <v>189</v>
      </c>
      <c r="E73" s="78" t="s">
        <v>77</v>
      </c>
      <c r="F73" s="78" t="s">
        <v>185</v>
      </c>
      <c r="G73" s="228" t="s">
        <v>190</v>
      </c>
      <c r="H73" s="14" t="s">
        <v>119</v>
      </c>
      <c r="I73" s="14" t="s">
        <v>66</v>
      </c>
      <c r="J73" s="16" t="s">
        <v>66</v>
      </c>
      <c r="K73" s="16">
        <v>551275.85882352944</v>
      </c>
      <c r="L73" s="1644">
        <v>0</v>
      </c>
      <c r="M73" s="16">
        <v>0</v>
      </c>
      <c r="N73" s="1644">
        <v>108715.49546712435</v>
      </c>
      <c r="O73" s="16">
        <v>0</v>
      </c>
      <c r="P73" s="16">
        <v>468584.48</v>
      </c>
      <c r="Q73" s="16"/>
      <c r="R73" s="16"/>
      <c r="S73" s="323">
        <v>42766</v>
      </c>
      <c r="T73" s="323">
        <v>42916</v>
      </c>
      <c r="U73" s="323">
        <v>43008</v>
      </c>
      <c r="V73" s="323">
        <v>43830</v>
      </c>
      <c r="W73" s="30"/>
      <c r="X73" s="30"/>
      <c r="Y73" s="30"/>
    </row>
    <row r="74" spans="1:25" ht="37.5" customHeight="1" thickBot="1">
      <c r="A74" s="1623" t="s">
        <v>43</v>
      </c>
      <c r="B74" s="1624"/>
      <c r="C74" s="2017" t="s">
        <v>600</v>
      </c>
      <c r="D74" s="1924"/>
      <c r="E74" s="1924"/>
      <c r="F74" s="1924"/>
      <c r="G74" s="1924"/>
      <c r="H74" s="1924"/>
      <c r="I74" s="1924"/>
      <c r="J74" s="1925"/>
      <c r="K74" s="696">
        <f>SUM(K75)</f>
        <v>209677.62411764706</v>
      </c>
      <c r="L74" s="696">
        <f t="shared" ref="L74:P74" si="36">SUM(L75)</f>
        <v>31451.624117647058</v>
      </c>
      <c r="M74" s="696">
        <f t="shared" si="36"/>
        <v>0</v>
      </c>
      <c r="N74" s="696">
        <f t="shared" si="36"/>
        <v>0</v>
      </c>
      <c r="O74" s="696">
        <f t="shared" si="36"/>
        <v>0</v>
      </c>
      <c r="P74" s="696">
        <f t="shared" si="36"/>
        <v>178226</v>
      </c>
      <c r="Q74" s="696"/>
      <c r="R74" s="696"/>
      <c r="S74" s="14"/>
      <c r="T74" s="16"/>
      <c r="U74" s="16"/>
      <c r="V74" s="156"/>
      <c r="W74" s="30">
        <f>SUM(W75)</f>
        <v>178226</v>
      </c>
      <c r="X74" s="30">
        <f>SUM(X75)</f>
        <v>213871.2</v>
      </c>
      <c r="Y74" s="30">
        <f>SUM(Y75)</f>
        <v>0</v>
      </c>
    </row>
    <row r="75" spans="1:25" ht="32.25" customHeight="1" thickBot="1">
      <c r="A75" s="697" t="s">
        <v>113</v>
      </c>
      <c r="B75" s="1625"/>
      <c r="C75" s="2020" t="s">
        <v>1174</v>
      </c>
      <c r="D75" s="2015"/>
      <c r="E75" s="2015"/>
      <c r="F75" s="2015"/>
      <c r="G75" s="2015"/>
      <c r="H75" s="2015"/>
      <c r="I75" s="2015"/>
      <c r="J75" s="2016"/>
      <c r="K75" s="698">
        <f t="shared" ref="K75:O75" si="37">SUM(K76:K77)</f>
        <v>209677.62411764706</v>
      </c>
      <c r="L75" s="698">
        <f t="shared" si="37"/>
        <v>31451.624117647058</v>
      </c>
      <c r="M75" s="698">
        <f t="shared" si="37"/>
        <v>0</v>
      </c>
      <c r="N75" s="698">
        <f t="shared" si="37"/>
        <v>0</v>
      </c>
      <c r="O75" s="698">
        <f t="shared" si="37"/>
        <v>0</v>
      </c>
      <c r="P75" s="698">
        <f>SUM(P76:P77)</f>
        <v>178226</v>
      </c>
      <c r="Q75" s="698"/>
      <c r="R75" s="708"/>
      <c r="S75" s="698"/>
      <c r="T75" s="698"/>
      <c r="U75" s="698"/>
      <c r="V75" s="698"/>
      <c r="W75" s="30">
        <v>178226</v>
      </c>
      <c r="X75" s="30">
        <f>SUM(W75*120/100)</f>
        <v>213871.2</v>
      </c>
      <c r="Y75" s="30">
        <f>SUM(W75-P75)</f>
        <v>0</v>
      </c>
    </row>
    <row r="76" spans="1:25" ht="48.75" thickBot="1">
      <c r="A76" s="78" t="str">
        <f>CONCATENATE('3 pr-2'!A178)</f>
        <v>3.1.2.1.5</v>
      </c>
      <c r="B76" s="78" t="str">
        <f>CONCATENATE('3 pr-2'!B178)</f>
        <v>R01-0019-380000-3215</v>
      </c>
      <c r="C76" s="78" t="s">
        <v>378</v>
      </c>
      <c r="D76" s="78" t="s">
        <v>235</v>
      </c>
      <c r="E76" s="78" t="s">
        <v>77</v>
      </c>
      <c r="F76" s="78" t="s">
        <v>1444</v>
      </c>
      <c r="G76" s="228" t="s">
        <v>192</v>
      </c>
      <c r="H76" s="14" t="s">
        <v>119</v>
      </c>
      <c r="I76" s="14" t="s">
        <v>66</v>
      </c>
      <c r="J76" s="16" t="s">
        <v>66</v>
      </c>
      <c r="K76" s="1638">
        <f t="shared" ref="K76" si="38">SUM(L76:P76)</f>
        <v>121153.53</v>
      </c>
      <c r="L76" s="1638">
        <v>18173.009999999998</v>
      </c>
      <c r="M76" s="632">
        <v>0</v>
      </c>
      <c r="N76" s="632">
        <v>0</v>
      </c>
      <c r="O76" s="632">
        <v>0</v>
      </c>
      <c r="P76" s="632">
        <v>102980.52</v>
      </c>
      <c r="Q76" s="632"/>
      <c r="R76" s="323">
        <v>42598</v>
      </c>
      <c r="S76" s="323">
        <v>42704</v>
      </c>
      <c r="T76" s="323">
        <v>42887</v>
      </c>
      <c r="U76" s="323">
        <v>42978</v>
      </c>
      <c r="V76" s="323">
        <v>43465</v>
      </c>
      <c r="W76" s="30"/>
      <c r="X76" s="30"/>
      <c r="Y76" s="30"/>
    </row>
    <row r="77" spans="1:25" ht="48.75" thickBot="1">
      <c r="A77" s="78" t="str">
        <f>CONCATENATE('3 pr-2'!A182)</f>
        <v>3.1.2.1.9</v>
      </c>
      <c r="B77" s="78" t="str">
        <f>CONCATENATE('3 pr-2'!B182)</f>
        <v>R01-0019-380000-3219</v>
      </c>
      <c r="C77" s="78" t="s">
        <v>1442</v>
      </c>
      <c r="D77" s="78" t="s">
        <v>235</v>
      </c>
      <c r="E77" s="78" t="s">
        <v>77</v>
      </c>
      <c r="F77" s="78" t="s">
        <v>1444</v>
      </c>
      <c r="G77" s="228" t="s">
        <v>192</v>
      </c>
      <c r="H77" s="14" t="s">
        <v>119</v>
      </c>
      <c r="I77" s="14" t="s">
        <v>66</v>
      </c>
      <c r="J77" s="16" t="s">
        <v>66</v>
      </c>
      <c r="K77" s="632">
        <f t="shared" ref="K77" si="39">SUM(L77:P77)</f>
        <v>88524.094117647051</v>
      </c>
      <c r="L77" s="632">
        <v>13278.614117647059</v>
      </c>
      <c r="M77" s="632">
        <v>0</v>
      </c>
      <c r="N77" s="632">
        <v>0</v>
      </c>
      <c r="O77" s="632">
        <v>0</v>
      </c>
      <c r="P77" s="632">
        <v>75245.48</v>
      </c>
      <c r="Q77" s="632"/>
      <c r="R77" s="323">
        <v>42598</v>
      </c>
      <c r="S77" s="323">
        <v>43373</v>
      </c>
      <c r="T77" s="323">
        <v>43554</v>
      </c>
      <c r="U77" s="323">
        <v>43647</v>
      </c>
      <c r="V77" s="323">
        <v>44196</v>
      </c>
      <c r="W77" s="30"/>
      <c r="X77" s="30"/>
      <c r="Y77" s="30"/>
    </row>
    <row r="78" spans="1:25" ht="15.75" thickBot="1">
      <c r="A78" s="51"/>
      <c r="B78" s="52"/>
      <c r="C78" s="52"/>
      <c r="D78" s="52"/>
      <c r="E78" s="52"/>
      <c r="F78" s="52"/>
      <c r="G78" s="53"/>
      <c r="H78" s="57"/>
      <c r="I78" s="57"/>
      <c r="J78" s="57"/>
      <c r="K78" s="46">
        <f t="shared" ref="K78:P78" si="40">SUM(K5+K44+K70)</f>
        <v>14648285.194705883</v>
      </c>
      <c r="L78" s="46">
        <f t="shared" si="40"/>
        <v>2509278.9058823525</v>
      </c>
      <c r="M78" s="46">
        <f t="shared" si="40"/>
        <v>159667.53</v>
      </c>
      <c r="N78" s="46">
        <f t="shared" si="40"/>
        <v>2835163.3654671246</v>
      </c>
      <c r="O78" s="46">
        <f t="shared" si="40"/>
        <v>511.2</v>
      </c>
      <c r="P78" s="46">
        <f t="shared" si="40"/>
        <v>9169688.3100000005</v>
      </c>
      <c r="Q78" s="329"/>
      <c r="R78" s="329"/>
      <c r="S78" s="52"/>
      <c r="T78" s="52"/>
      <c r="U78" s="52"/>
      <c r="V78" s="1637"/>
      <c r="W78" s="47">
        <f>SUM(W5+W44+W70)</f>
        <v>8731906.7498865593</v>
      </c>
      <c r="X78" s="47">
        <f>SUM(X5+X44+X70)</f>
        <v>10478288.099863872</v>
      </c>
      <c r="Y78" s="47">
        <f>SUM(Y5+Y44+Y70)</f>
        <v>-417537.96011343936</v>
      </c>
    </row>
    <row r="79" spans="1:25" ht="15.75" thickTop="1"/>
    <row r="82" spans="13:23">
      <c r="M82" s="59"/>
      <c r="V82" s="54"/>
      <c r="W82" s="54">
        <f>SUM(W75-P75)</f>
        <v>0</v>
      </c>
    </row>
  </sheetData>
  <autoFilter ref="A4:V78" xr:uid="{00000000-0009-0000-0000-00000A000000}"/>
  <mergeCells count="41">
    <mergeCell ref="Y2:Y3"/>
    <mergeCell ref="A2:J2"/>
    <mergeCell ref="K2:P2"/>
    <mergeCell ref="W2:W3"/>
    <mergeCell ref="X2:X3"/>
    <mergeCell ref="R2:V2"/>
    <mergeCell ref="C5:J5"/>
    <mergeCell ref="C6:J6"/>
    <mergeCell ref="C7:J7"/>
    <mergeCell ref="C12:J12"/>
    <mergeCell ref="C15:J15"/>
    <mergeCell ref="C17:J17"/>
    <mergeCell ref="C19:J19"/>
    <mergeCell ref="C21:J21"/>
    <mergeCell ref="C23:J23"/>
    <mergeCell ref="C27:J27"/>
    <mergeCell ref="C29:J29"/>
    <mergeCell ref="C32:J32"/>
    <mergeCell ref="C34:J34"/>
    <mergeCell ref="C39:J39"/>
    <mergeCell ref="C41:J41"/>
    <mergeCell ref="C72:J72"/>
    <mergeCell ref="C75:J75"/>
    <mergeCell ref="C71:J71"/>
    <mergeCell ref="C74:J74"/>
    <mergeCell ref="C46:J46"/>
    <mergeCell ref="C48:J48"/>
    <mergeCell ref="C50:J50"/>
    <mergeCell ref="C53:J53"/>
    <mergeCell ref="C58:J58"/>
    <mergeCell ref="C44:J44"/>
    <mergeCell ref="C70:J70"/>
    <mergeCell ref="C31:J31"/>
    <mergeCell ref="C45:J45"/>
    <mergeCell ref="C52:J52"/>
    <mergeCell ref="C62:J62"/>
    <mergeCell ref="C67:J67"/>
    <mergeCell ref="C63:J63"/>
    <mergeCell ref="C65:J65"/>
    <mergeCell ref="C68:J68"/>
    <mergeCell ref="C60:J60"/>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C77"/>
  <sheetViews>
    <sheetView topLeftCell="E1" workbookViewId="0">
      <pane ySplit="2955" topLeftCell="A50" activePane="bottomLeft"/>
      <selection activeCell="A4" sqref="A4:W4"/>
      <selection pane="bottomLeft" activeCell="V56" sqref="V56"/>
    </sheetView>
  </sheetViews>
  <sheetFormatPr defaultColWidth="9.140625" defaultRowHeight="15"/>
  <cols>
    <col min="1" max="1" width="9.140625" style="48"/>
    <col min="2" max="2" width="11.5703125" style="48" customWidth="1"/>
    <col min="3" max="3" width="14.5703125" style="48" hidden="1" customWidth="1"/>
    <col min="4" max="4" width="27.5703125" style="48" customWidth="1"/>
    <col min="5" max="5" width="13.28515625" style="48" customWidth="1"/>
    <col min="6" max="6" width="14.42578125" style="48" bestFit="1" customWidth="1"/>
    <col min="7" max="7" width="11.42578125" style="48" customWidth="1"/>
    <col min="8" max="8" width="18" style="48" customWidth="1"/>
    <col min="9" max="11" width="9.140625" style="48"/>
    <col min="12" max="12" width="16.42578125" style="48" bestFit="1" customWidth="1"/>
    <col min="13" max="13" width="14.28515625" style="48" bestFit="1" customWidth="1"/>
    <col min="14" max="15" width="12.7109375" style="48" bestFit="1" customWidth="1"/>
    <col min="16" max="16" width="9.28515625" style="48" bestFit="1" customWidth="1"/>
    <col min="17" max="17" width="16.42578125" style="48" bestFit="1" customWidth="1"/>
    <col min="18" max="18" width="11" style="48" customWidth="1"/>
    <col min="19" max="19" width="12.7109375" style="48" hidden="1" customWidth="1"/>
    <col min="20" max="21" width="11.85546875" style="48" customWidth="1"/>
    <col min="22" max="22" width="10.42578125" style="48" customWidth="1"/>
    <col min="23" max="23" width="10.85546875" style="48" customWidth="1"/>
    <col min="24" max="24" width="18" style="48" hidden="1" customWidth="1"/>
    <col min="25" max="25" width="30.28515625" style="48" hidden="1" customWidth="1"/>
    <col min="26" max="26" width="16.7109375" style="48" hidden="1" customWidth="1"/>
    <col min="27" max="27" width="10" style="48" bestFit="1" customWidth="1"/>
    <col min="28" max="16384" width="9.140625" style="48"/>
  </cols>
  <sheetData>
    <row r="1" spans="1:26" ht="15.75" thickBot="1">
      <c r="A1" s="22" t="s">
        <v>73</v>
      </c>
      <c r="B1" s="22"/>
      <c r="C1" s="22"/>
    </row>
    <row r="2" spans="1:26" ht="16.5" customHeight="1" thickTop="1" thickBot="1">
      <c r="A2" s="2005" t="s">
        <v>46</v>
      </c>
      <c r="B2" s="2006"/>
      <c r="C2" s="2006"/>
      <c r="D2" s="2006"/>
      <c r="E2" s="2006"/>
      <c r="F2" s="2006"/>
      <c r="G2" s="2006"/>
      <c r="H2" s="2006"/>
      <c r="I2" s="2006"/>
      <c r="J2" s="2006"/>
      <c r="K2" s="2007"/>
      <c r="L2" s="2008" t="s">
        <v>274</v>
      </c>
      <c r="M2" s="2006"/>
      <c r="N2" s="2006"/>
      <c r="O2" s="2006"/>
      <c r="P2" s="2006"/>
      <c r="Q2" s="2007"/>
      <c r="R2" s="1316"/>
      <c r="S2" s="2008" t="s">
        <v>48</v>
      </c>
      <c r="T2" s="2010"/>
      <c r="U2" s="2010"/>
      <c r="V2" s="2010"/>
      <c r="W2" s="2011"/>
      <c r="X2" s="2003" t="s">
        <v>117</v>
      </c>
      <c r="Y2" s="2003" t="s">
        <v>118</v>
      </c>
      <c r="Z2" s="2003" t="s">
        <v>122</v>
      </c>
    </row>
    <row r="3" spans="1:26" ht="84.75" thickBot="1">
      <c r="A3" s="23" t="s">
        <v>7</v>
      </c>
      <c r="B3" s="78" t="str">
        <f>CONCATENATE('3 pr-2'!B4)</f>
        <v xml:space="preserve">Unikalus numeris**** </v>
      </c>
      <c r="C3" s="78" t="str">
        <f>CONCATENATE('3 pr-2'!C4)</f>
        <v>Projekto kodas</v>
      </c>
      <c r="D3" s="24" t="s">
        <v>49</v>
      </c>
      <c r="E3" s="24" t="s">
        <v>50</v>
      </c>
      <c r="F3" s="24" t="s">
        <v>51</v>
      </c>
      <c r="G3" s="24" t="s">
        <v>52</v>
      </c>
      <c r="H3" s="25" t="s">
        <v>53</v>
      </c>
      <c r="I3" s="24" t="s">
        <v>54</v>
      </c>
      <c r="J3" s="24" t="s">
        <v>55</v>
      </c>
      <c r="K3" s="24" t="s">
        <v>56</v>
      </c>
      <c r="L3" s="24" t="s">
        <v>57</v>
      </c>
      <c r="M3" s="24" t="s">
        <v>58</v>
      </c>
      <c r="N3" s="24" t="s">
        <v>59</v>
      </c>
      <c r="O3" s="24" t="s">
        <v>60</v>
      </c>
      <c r="P3" s="24" t="s">
        <v>61</v>
      </c>
      <c r="Q3" s="24" t="s">
        <v>10</v>
      </c>
      <c r="R3" s="24" t="s">
        <v>1781</v>
      </c>
      <c r="S3" s="633" t="s">
        <v>1126</v>
      </c>
      <c r="T3" s="24" t="s">
        <v>62</v>
      </c>
      <c r="U3" s="24" t="s">
        <v>63</v>
      </c>
      <c r="V3" s="24" t="s">
        <v>64</v>
      </c>
      <c r="W3" s="26" t="s">
        <v>65</v>
      </c>
      <c r="X3" s="2004"/>
      <c r="Y3" s="2004"/>
      <c r="Z3" s="2004"/>
    </row>
    <row r="4" spans="1:26" ht="15.75" thickBot="1">
      <c r="A4" s="17"/>
      <c r="B4" s="15"/>
      <c r="C4" s="15"/>
      <c r="D4" s="15"/>
      <c r="E4" s="15"/>
      <c r="F4" s="15"/>
      <c r="G4" s="15"/>
      <c r="H4" s="10"/>
      <c r="I4" s="2"/>
      <c r="J4" s="2"/>
      <c r="K4" s="2"/>
      <c r="L4" s="2"/>
      <c r="M4" s="2"/>
      <c r="N4" s="2"/>
      <c r="O4" s="2"/>
      <c r="P4" s="2"/>
      <c r="Q4" s="2"/>
      <c r="R4" s="2"/>
      <c r="S4" s="2"/>
      <c r="T4" s="2"/>
      <c r="U4" s="2"/>
      <c r="V4" s="2"/>
      <c r="W4" s="635"/>
      <c r="X4" s="30"/>
      <c r="Y4" s="30"/>
      <c r="Z4" s="30"/>
    </row>
    <row r="5" spans="1:26" ht="59.25" customHeight="1" thickBot="1">
      <c r="A5" s="141" t="s">
        <v>11</v>
      </c>
      <c r="B5" s="629"/>
      <c r="C5" s="629"/>
      <c r="D5" s="1943" t="s">
        <v>1385</v>
      </c>
      <c r="E5" s="1944"/>
      <c r="F5" s="1944"/>
      <c r="G5" s="1944"/>
      <c r="H5" s="1944"/>
      <c r="I5" s="1944"/>
      <c r="J5" s="1944"/>
      <c r="K5" s="1945"/>
      <c r="L5" s="136">
        <f t="shared" ref="L5:Q5" si="0">SUM(L6+L32)</f>
        <v>5075385.9217647063</v>
      </c>
      <c r="M5" s="136">
        <f t="shared" si="0"/>
        <v>690152.21176470583</v>
      </c>
      <c r="N5" s="136">
        <f t="shared" si="0"/>
        <v>145283.01999999999</v>
      </c>
      <c r="O5" s="136">
        <f t="shared" si="0"/>
        <v>641323.74</v>
      </c>
      <c r="P5" s="136">
        <f t="shared" si="0"/>
        <v>0</v>
      </c>
      <c r="Q5" s="136">
        <f t="shared" si="0"/>
        <v>3598626.95</v>
      </c>
      <c r="R5" s="136"/>
      <c r="S5" s="136"/>
      <c r="T5" s="142" t="s">
        <v>66</v>
      </c>
      <c r="U5" s="142" t="s">
        <v>66</v>
      </c>
      <c r="V5" s="142" t="s">
        <v>66</v>
      </c>
      <c r="W5" s="150"/>
      <c r="X5" s="31">
        <f>SUM(X6+X32)</f>
        <v>3442315.0874999999</v>
      </c>
      <c r="Y5" s="31">
        <f>SUM(Y6+Y32)</f>
        <v>4130778.1050000004</v>
      </c>
      <c r="Z5" s="31">
        <f>SUM(Z6+Z32)</f>
        <v>-156311.86249999999</v>
      </c>
    </row>
    <row r="6" spans="1:26" ht="55.5" customHeight="1" thickBot="1">
      <c r="A6" s="134" t="s">
        <v>12</v>
      </c>
      <c r="B6" s="628"/>
      <c r="C6" s="628"/>
      <c r="D6" s="1933" t="s">
        <v>1386</v>
      </c>
      <c r="E6" s="1946"/>
      <c r="F6" s="1946"/>
      <c r="G6" s="1946"/>
      <c r="H6" s="1946"/>
      <c r="I6" s="1946"/>
      <c r="J6" s="1946"/>
      <c r="K6" s="1947"/>
      <c r="L6" s="115">
        <f t="shared" ref="L6:Q6" si="1">SUM(L7+L14+L16+L18+L20+L22+L24+L28+L30)</f>
        <v>3958809.5017647063</v>
      </c>
      <c r="M6" s="115">
        <f t="shared" si="1"/>
        <v>516318.79176470591</v>
      </c>
      <c r="N6" s="115">
        <f t="shared" si="1"/>
        <v>145283.01999999999</v>
      </c>
      <c r="O6" s="115">
        <f t="shared" si="1"/>
        <v>641323.74</v>
      </c>
      <c r="P6" s="115">
        <f t="shared" si="1"/>
        <v>0</v>
      </c>
      <c r="Q6" s="115">
        <f t="shared" si="1"/>
        <v>2655883.9500000002</v>
      </c>
      <c r="R6" s="115"/>
      <c r="S6" s="115"/>
      <c r="T6" s="116" t="s">
        <v>66</v>
      </c>
      <c r="U6" s="116" t="s">
        <v>66</v>
      </c>
      <c r="V6" s="116" t="s">
        <v>66</v>
      </c>
      <c r="W6" s="151"/>
      <c r="X6" s="32">
        <f>SUM(X7+X14+X16+X18+X20+X22+X24+X28+X30)</f>
        <v>2499572.0874999999</v>
      </c>
      <c r="Y6" s="32">
        <f>SUM(Y7+Y14+Y16+Y18+Y20+Y22+Y24+Y28+Y30)</f>
        <v>2999486.5050000004</v>
      </c>
      <c r="Z6" s="32">
        <f>SUM(Z7+Z14+Z16+Z18+Z20+Z22+Z24+Z28+Z30)</f>
        <v>-156311.86249999999</v>
      </c>
    </row>
    <row r="7" spans="1:26" ht="35.25" customHeight="1" thickBot="1">
      <c r="A7" s="297" t="s">
        <v>67</v>
      </c>
      <c r="B7" s="624"/>
      <c r="C7" s="624"/>
      <c r="D7" s="1931" t="s">
        <v>595</v>
      </c>
      <c r="E7" s="1940"/>
      <c r="F7" s="1940"/>
      <c r="G7" s="1940"/>
      <c r="H7" s="1940"/>
      <c r="I7" s="1940"/>
      <c r="J7" s="1940"/>
      <c r="K7" s="1941"/>
      <c r="L7" s="299">
        <f t="shared" ref="L7:Q7" si="2">SUM(L8:L13)</f>
        <v>1238679</v>
      </c>
      <c r="M7" s="299">
        <f t="shared" si="2"/>
        <v>237163</v>
      </c>
      <c r="N7" s="299">
        <f t="shared" si="2"/>
        <v>119520</v>
      </c>
      <c r="O7" s="299">
        <f t="shared" si="2"/>
        <v>0</v>
      </c>
      <c r="P7" s="299">
        <f t="shared" si="2"/>
        <v>0</v>
      </c>
      <c r="Q7" s="299">
        <f t="shared" si="2"/>
        <v>881996</v>
      </c>
      <c r="R7" s="299"/>
      <c r="S7" s="79"/>
      <c r="T7" s="299" t="s">
        <v>66</v>
      </c>
      <c r="U7" s="299" t="s">
        <v>66</v>
      </c>
      <c r="V7" s="299" t="s">
        <v>66</v>
      </c>
      <c r="W7" s="299"/>
      <c r="X7" s="33">
        <v>731683</v>
      </c>
      <c r="Y7" s="33">
        <f>SUM(X7*120/100)</f>
        <v>878019.6</v>
      </c>
      <c r="Z7" s="33">
        <f>SUM(X7-Q7)</f>
        <v>-150313</v>
      </c>
    </row>
    <row r="8" spans="1:26" ht="36.75" thickBot="1">
      <c r="A8" s="78" t="str">
        <f>CONCATENATE('3 pr-2'!A13)</f>
        <v>1.1.1.1.4</v>
      </c>
      <c r="B8" s="78" t="str">
        <f>CONCATENATE('3 pr-2'!B13)</f>
        <v>R01-ZM72-330200-1104</v>
      </c>
      <c r="C8" s="647" t="str">
        <f>CONCATENATE('3 pr-2'!C13)</f>
        <v>20KI-KA-17-1-02368-PR001</v>
      </c>
      <c r="D8" s="78" t="s">
        <v>414</v>
      </c>
      <c r="E8" s="78" t="s">
        <v>434</v>
      </c>
      <c r="F8" s="78" t="s">
        <v>74</v>
      </c>
      <c r="G8" s="78" t="s">
        <v>1801</v>
      </c>
      <c r="H8" s="78" t="s">
        <v>437</v>
      </c>
      <c r="I8" s="14" t="s">
        <v>119</v>
      </c>
      <c r="J8" s="14" t="s">
        <v>66</v>
      </c>
      <c r="K8" s="14" t="s">
        <v>66</v>
      </c>
      <c r="L8" s="16">
        <f t="shared" ref="L8:L13" si="3">SUM(M8:Q8)</f>
        <v>123160</v>
      </c>
      <c r="M8" s="16">
        <f>'3 pr-2'!O13</f>
        <v>24632</v>
      </c>
      <c r="N8" s="16">
        <v>0</v>
      </c>
      <c r="O8" s="16">
        <v>0</v>
      </c>
      <c r="P8" s="16">
        <v>0</v>
      </c>
      <c r="Q8" s="16">
        <f>'3 pr-2'!AA13</f>
        <v>98528</v>
      </c>
      <c r="R8" s="16"/>
      <c r="S8" s="423">
        <v>42643</v>
      </c>
      <c r="T8" s="323">
        <v>42855</v>
      </c>
      <c r="U8" s="323">
        <v>43010</v>
      </c>
      <c r="V8" s="636">
        <v>43102</v>
      </c>
      <c r="W8" s="323">
        <v>43373</v>
      </c>
      <c r="X8" s="30"/>
      <c r="Y8" s="30"/>
      <c r="Z8" s="30"/>
    </row>
    <row r="9" spans="1:26" ht="48.75" thickBot="1">
      <c r="A9" s="78" t="str">
        <f>CONCATENATE('3 pr-2'!A15)</f>
        <v>1.1.1.1.6</v>
      </c>
      <c r="B9" s="78" t="str">
        <f>CONCATENATE('3 pr-2'!B15)</f>
        <v>R01-ZM72-330200-1106</v>
      </c>
      <c r="C9" s="647" t="str">
        <f>CONCATENATE('3 pr-2'!C15)</f>
        <v>20KI-KA-17-1-02374-PR001</v>
      </c>
      <c r="D9" s="78" t="s">
        <v>416</v>
      </c>
      <c r="E9" s="78" t="s">
        <v>435</v>
      </c>
      <c r="F9" s="78" t="s">
        <v>74</v>
      </c>
      <c r="G9" s="78" t="s">
        <v>1801</v>
      </c>
      <c r="H9" s="78" t="s">
        <v>437</v>
      </c>
      <c r="I9" s="14" t="s">
        <v>119</v>
      </c>
      <c r="J9" s="14" t="s">
        <v>66</v>
      </c>
      <c r="K9" s="14" t="s">
        <v>66</v>
      </c>
      <c r="L9" s="16">
        <f t="shared" si="3"/>
        <v>225119</v>
      </c>
      <c r="M9" s="16">
        <f>'3 pr-2'!O15</f>
        <v>41071</v>
      </c>
      <c r="N9" s="16">
        <v>24120</v>
      </c>
      <c r="O9" s="16">
        <v>0</v>
      </c>
      <c r="P9" s="16">
        <v>0</v>
      </c>
      <c r="Q9" s="16">
        <f>'3 pr-2'!AA15</f>
        <v>159928</v>
      </c>
      <c r="R9" s="16"/>
      <c r="S9" s="423">
        <v>42643</v>
      </c>
      <c r="T9" s="323">
        <v>42855</v>
      </c>
      <c r="U9" s="323">
        <v>43010</v>
      </c>
      <c r="V9" s="636">
        <v>43102</v>
      </c>
      <c r="W9" s="323">
        <v>43373</v>
      </c>
      <c r="X9" s="30"/>
      <c r="Y9" s="30"/>
      <c r="Z9" s="30"/>
    </row>
    <row r="10" spans="1:26" ht="36.75" thickBot="1">
      <c r="A10" s="78" t="str">
        <f>CONCATENATE('3 pr-2'!A18)</f>
        <v>1.1.1.1.9</v>
      </c>
      <c r="B10" s="78" t="str">
        <f>CONCATENATE('3 pr-2'!B18)</f>
        <v>R01-ZM72-340000-1109</v>
      </c>
      <c r="C10" s="647" t="str">
        <f>CONCATENATE('3 pr-2'!C18)</f>
        <v>20KI-KA-17-1-02372-PR001</v>
      </c>
      <c r="D10" s="78" t="s">
        <v>419</v>
      </c>
      <c r="E10" s="78" t="s">
        <v>436</v>
      </c>
      <c r="F10" s="78" t="s">
        <v>74</v>
      </c>
      <c r="G10" s="78" t="s">
        <v>1801</v>
      </c>
      <c r="H10" s="78" t="s">
        <v>437</v>
      </c>
      <c r="I10" s="14" t="s">
        <v>119</v>
      </c>
      <c r="J10" s="14" t="s">
        <v>66</v>
      </c>
      <c r="K10" s="14" t="s">
        <v>66</v>
      </c>
      <c r="L10" s="16">
        <f t="shared" si="3"/>
        <v>280000</v>
      </c>
      <c r="M10" s="16">
        <f>'3 pr-2'!O18</f>
        <v>50000</v>
      </c>
      <c r="N10" s="16">
        <v>30000</v>
      </c>
      <c r="O10" s="16">
        <v>0</v>
      </c>
      <c r="P10" s="16">
        <v>0</v>
      </c>
      <c r="Q10" s="16">
        <f>'3 pr-2'!AA18</f>
        <v>200000</v>
      </c>
      <c r="R10" s="16"/>
      <c r="S10" s="423">
        <v>42643</v>
      </c>
      <c r="T10" s="323">
        <v>42855</v>
      </c>
      <c r="U10" s="323">
        <v>43010</v>
      </c>
      <c r="V10" s="636">
        <v>43102</v>
      </c>
      <c r="W10" s="323">
        <v>43373</v>
      </c>
      <c r="X10" s="30"/>
      <c r="Y10" s="30"/>
      <c r="Z10" s="37"/>
    </row>
    <row r="11" spans="1:26" ht="36.75" thickBot="1">
      <c r="A11" s="78" t="str">
        <f>CONCATENATE('3 pr-2'!A19)</f>
        <v>1.1.1.1.10</v>
      </c>
      <c r="B11" s="78" t="str">
        <f>CONCATENATE('3 pr-2'!B19)</f>
        <v>R01-ZM72-340200-1110</v>
      </c>
      <c r="C11" s="647" t="str">
        <f>CONCATENATE('3 pr-2'!C19)</f>
        <v>20KI-KA-17-1-02370-PR001</v>
      </c>
      <c r="D11" s="78" t="s">
        <v>420</v>
      </c>
      <c r="E11" s="78" t="s">
        <v>436</v>
      </c>
      <c r="F11" s="78" t="s">
        <v>74</v>
      </c>
      <c r="G11" s="78" t="s">
        <v>1801</v>
      </c>
      <c r="H11" s="78" t="s">
        <v>437</v>
      </c>
      <c r="I11" s="14" t="s">
        <v>119</v>
      </c>
      <c r="J11" s="14" t="s">
        <v>66</v>
      </c>
      <c r="K11" s="14" t="s">
        <v>66</v>
      </c>
      <c r="L11" s="16">
        <f t="shared" si="3"/>
        <v>280000</v>
      </c>
      <c r="M11" s="16">
        <f>'3 pr-2'!O19</f>
        <v>62460</v>
      </c>
      <c r="N11" s="16">
        <v>30000</v>
      </c>
      <c r="O11" s="16">
        <v>0</v>
      </c>
      <c r="P11" s="16">
        <v>0</v>
      </c>
      <c r="Q11" s="16">
        <f>'3 pr-2'!AA19</f>
        <v>187540</v>
      </c>
      <c r="R11" s="16"/>
      <c r="S11" s="423">
        <v>42643</v>
      </c>
      <c r="T11" s="323">
        <v>42855</v>
      </c>
      <c r="U11" s="323">
        <v>43010</v>
      </c>
      <c r="V11" s="636">
        <v>43102</v>
      </c>
      <c r="W11" s="323">
        <v>43291</v>
      </c>
      <c r="X11" s="30"/>
      <c r="Y11" s="30"/>
      <c r="Z11" s="37"/>
    </row>
    <row r="12" spans="1:26" ht="36.75" thickBot="1">
      <c r="A12" s="78" t="str">
        <f>CONCATENATE('3 pr-2'!A20)</f>
        <v>1.1.1.1.11</v>
      </c>
      <c r="B12" s="78" t="str">
        <f>CONCATENATE('3 pr-2'!B20)</f>
        <v>R01-ZM72-320000-1111</v>
      </c>
      <c r="C12" s="647" t="str">
        <f>CONCATENATE('3 pr-2'!C20)</f>
        <v>20KI-KA-17-1-02354-PR001</v>
      </c>
      <c r="D12" s="78" t="s">
        <v>421</v>
      </c>
      <c r="E12" s="78" t="s">
        <v>161</v>
      </c>
      <c r="F12" s="78" t="s">
        <v>74</v>
      </c>
      <c r="G12" s="78" t="s">
        <v>1801</v>
      </c>
      <c r="H12" s="78" t="s">
        <v>437</v>
      </c>
      <c r="I12" s="14" t="s">
        <v>119</v>
      </c>
      <c r="J12" s="14" t="s">
        <v>66</v>
      </c>
      <c r="K12" s="14" t="s">
        <v>66</v>
      </c>
      <c r="L12" s="16">
        <f t="shared" si="3"/>
        <v>140000</v>
      </c>
      <c r="M12" s="16">
        <f>'3 pr-2'!O20</f>
        <v>25000</v>
      </c>
      <c r="N12" s="16">
        <v>15000</v>
      </c>
      <c r="O12" s="16">
        <v>0</v>
      </c>
      <c r="P12" s="16">
        <v>0</v>
      </c>
      <c r="Q12" s="16">
        <f>'3 pr-2'!AA20</f>
        <v>100000</v>
      </c>
      <c r="R12" s="16"/>
      <c r="S12" s="423">
        <v>42643</v>
      </c>
      <c r="T12" s="323">
        <v>42855</v>
      </c>
      <c r="U12" s="323">
        <v>43010</v>
      </c>
      <c r="V12" s="636">
        <v>43102</v>
      </c>
      <c r="W12" s="323">
        <v>43292</v>
      </c>
      <c r="X12" s="30"/>
      <c r="Y12" s="30"/>
      <c r="Z12" s="37"/>
    </row>
    <row r="13" spans="1:26" ht="36.75" thickBot="1">
      <c r="A13" s="78" t="str">
        <f>CONCATENATE('3 pr-2'!A30)</f>
        <v>1.1.1.1.21</v>
      </c>
      <c r="B13" s="78" t="str">
        <f>CONCATENATE('3 pr-2'!B30)</f>
        <v>R01-ZM72-120000-1121</v>
      </c>
      <c r="C13" s="647" t="str">
        <f>CONCATENATE('3 pr-2'!C30)</f>
        <v>20KI-KA-17-1-02364-PR001</v>
      </c>
      <c r="D13" s="78" t="s">
        <v>431</v>
      </c>
      <c r="E13" s="78" t="s">
        <v>161</v>
      </c>
      <c r="F13" s="78" t="s">
        <v>74</v>
      </c>
      <c r="G13" s="78" t="s">
        <v>1801</v>
      </c>
      <c r="H13" s="78" t="s">
        <v>437</v>
      </c>
      <c r="I13" s="14" t="s">
        <v>119</v>
      </c>
      <c r="J13" s="14" t="s">
        <v>66</v>
      </c>
      <c r="K13" s="14" t="s">
        <v>66</v>
      </c>
      <c r="L13" s="16">
        <f t="shared" si="3"/>
        <v>190400</v>
      </c>
      <c r="M13" s="16">
        <f>'3 pr-2'!O30</f>
        <v>34000</v>
      </c>
      <c r="N13" s="16">
        <v>20400</v>
      </c>
      <c r="O13" s="16">
        <v>0</v>
      </c>
      <c r="P13" s="16">
        <v>0</v>
      </c>
      <c r="Q13" s="16">
        <f>'3 pr-2'!AA30</f>
        <v>136000</v>
      </c>
      <c r="R13" s="16"/>
      <c r="S13" s="423">
        <v>42643</v>
      </c>
      <c r="T13" s="323">
        <v>42855</v>
      </c>
      <c r="U13" s="323">
        <v>43010</v>
      </c>
      <c r="V13" s="636">
        <v>43102</v>
      </c>
      <c r="W13" s="323">
        <v>43291</v>
      </c>
      <c r="X13" s="30"/>
      <c r="Y13" s="30"/>
      <c r="Z13" s="37"/>
    </row>
    <row r="14" spans="1:26" ht="33.75" customHeight="1" thickBot="1">
      <c r="A14" s="297" t="s">
        <v>14</v>
      </c>
      <c r="B14" s="624"/>
      <c r="C14" s="624"/>
      <c r="D14" s="1931" t="s">
        <v>596</v>
      </c>
      <c r="E14" s="1940"/>
      <c r="F14" s="1940"/>
      <c r="G14" s="1940"/>
      <c r="H14" s="1940"/>
      <c r="I14" s="1940"/>
      <c r="J14" s="1940"/>
      <c r="K14" s="1941"/>
      <c r="L14" s="299">
        <v>0</v>
      </c>
      <c r="M14" s="299">
        <v>0</v>
      </c>
      <c r="N14" s="299">
        <v>0</v>
      </c>
      <c r="O14" s="299"/>
      <c r="P14" s="299"/>
      <c r="Q14" s="299">
        <f>SUM(Q15:Q15)</f>
        <v>0</v>
      </c>
      <c r="R14" s="299"/>
      <c r="S14" s="79"/>
      <c r="T14" s="299"/>
      <c r="U14" s="299"/>
      <c r="V14" s="299"/>
      <c r="W14" s="299"/>
      <c r="X14" s="342">
        <v>0</v>
      </c>
      <c r="Y14" s="342">
        <f>SUM(X14*120/100)</f>
        <v>0</v>
      </c>
      <c r="Z14" s="342">
        <f>SUM(X14-Q14)</f>
        <v>0</v>
      </c>
    </row>
    <row r="15" spans="1:26" ht="15.75" thickBot="1">
      <c r="A15" s="6"/>
      <c r="B15" s="13"/>
      <c r="C15" s="13"/>
      <c r="D15" s="8"/>
      <c r="E15" s="8"/>
      <c r="F15" s="7"/>
      <c r="G15" s="8"/>
      <c r="H15" s="1"/>
      <c r="I15" s="12"/>
      <c r="J15" s="12" t="s">
        <v>66</v>
      </c>
      <c r="K15" s="12" t="s">
        <v>66</v>
      </c>
      <c r="L15" s="5"/>
      <c r="M15" s="12"/>
      <c r="N15" s="12"/>
      <c r="O15" s="12"/>
      <c r="P15" s="12"/>
      <c r="Q15" s="12"/>
      <c r="R15" s="16"/>
      <c r="S15" s="16"/>
      <c r="T15" s="2"/>
      <c r="U15" s="2"/>
      <c r="V15" s="2"/>
      <c r="W15" s="637"/>
      <c r="X15" s="30"/>
      <c r="Y15" s="30"/>
      <c r="Z15" s="30"/>
    </row>
    <row r="16" spans="1:26" ht="33" customHeight="1" thickBot="1">
      <c r="A16" s="297" t="s">
        <v>70</v>
      </c>
      <c r="B16" s="624"/>
      <c r="C16" s="624"/>
      <c r="D16" s="1931" t="s">
        <v>605</v>
      </c>
      <c r="E16" s="1940"/>
      <c r="F16" s="1940"/>
      <c r="G16" s="1940"/>
      <c r="H16" s="1940"/>
      <c r="I16" s="1940"/>
      <c r="J16" s="1940"/>
      <c r="K16" s="1941"/>
      <c r="L16" s="299">
        <f>SUM(L17:L17)</f>
        <v>0</v>
      </c>
      <c r="M16" s="299">
        <f>SUM(M17:M17)</f>
        <v>0</v>
      </c>
      <c r="N16" s="299">
        <f>SUM(N17:N17)</f>
        <v>0</v>
      </c>
      <c r="O16" s="299"/>
      <c r="P16" s="299"/>
      <c r="Q16" s="299">
        <f>SUM(Q17:Q17)</f>
        <v>0</v>
      </c>
      <c r="R16" s="299"/>
      <c r="S16" s="79"/>
      <c r="T16" s="299"/>
      <c r="U16" s="299"/>
      <c r="V16" s="299"/>
      <c r="W16" s="299"/>
      <c r="X16" s="342">
        <v>0</v>
      </c>
      <c r="Y16" s="342">
        <f>SUM(X16*120/100)</f>
        <v>0</v>
      </c>
      <c r="Z16" s="342">
        <f>SUM(X16-Q16)</f>
        <v>0</v>
      </c>
    </row>
    <row r="17" spans="1:26" ht="15.75" thickBot="1">
      <c r="A17" s="8"/>
      <c r="B17" s="8"/>
      <c r="C17" s="8"/>
      <c r="D17" s="8"/>
      <c r="E17" s="7"/>
      <c r="F17" s="7"/>
      <c r="G17" s="7"/>
      <c r="H17" s="1"/>
      <c r="I17" s="12" t="s">
        <v>66</v>
      </c>
      <c r="J17" s="12"/>
      <c r="K17" s="12" t="s">
        <v>66</v>
      </c>
      <c r="L17" s="12"/>
      <c r="M17" s="12"/>
      <c r="N17" s="12"/>
      <c r="O17" s="12"/>
      <c r="P17" s="12"/>
      <c r="Q17" s="12"/>
      <c r="R17" s="12"/>
      <c r="S17" s="12"/>
      <c r="T17" s="638"/>
      <c r="U17" s="638"/>
      <c r="V17" s="638"/>
      <c r="W17" s="12"/>
      <c r="X17" s="30"/>
      <c r="Y17" s="30"/>
      <c r="Z17" s="30"/>
    </row>
    <row r="18" spans="1:26" ht="33.75" customHeight="1" thickBot="1">
      <c r="A18" s="297" t="s">
        <v>16</v>
      </c>
      <c r="B18" s="624"/>
      <c r="C18" s="624"/>
      <c r="D18" s="1931" t="s">
        <v>606</v>
      </c>
      <c r="E18" s="1940"/>
      <c r="F18" s="1940"/>
      <c r="G18" s="1940"/>
      <c r="H18" s="1940"/>
      <c r="I18" s="1940"/>
      <c r="J18" s="1940"/>
      <c r="K18" s="1941"/>
      <c r="L18" s="1016">
        <f t="shared" ref="L18:Q18" si="4">SUM(L19:L19)</f>
        <v>343507</v>
      </c>
      <c r="M18" s="1016">
        <f t="shared" si="4"/>
        <v>25763.03</v>
      </c>
      <c r="N18" s="1016">
        <f t="shared" si="4"/>
        <v>25763.02</v>
      </c>
      <c r="O18" s="1016">
        <f t="shared" si="4"/>
        <v>0</v>
      </c>
      <c r="P18" s="1016">
        <f t="shared" si="4"/>
        <v>0</v>
      </c>
      <c r="Q18" s="1016">
        <f t="shared" si="4"/>
        <v>291980.95</v>
      </c>
      <c r="R18" s="1016"/>
      <c r="S18" s="79"/>
      <c r="T18" s="299"/>
      <c r="U18" s="299"/>
      <c r="V18" s="299"/>
      <c r="W18" s="299"/>
      <c r="X18" s="33">
        <v>291981.40000000002</v>
      </c>
      <c r="Y18" s="33">
        <f>SUM(X18*120/100)</f>
        <v>350377.68</v>
      </c>
      <c r="Z18" s="33">
        <f>SUM(X18-Q18)</f>
        <v>0.45000000001164153</v>
      </c>
    </row>
    <row r="19" spans="1:26" ht="48.75" thickBot="1">
      <c r="A19" s="78" t="str">
        <f>CONCATENATE('3 pr-2'!A49)</f>
        <v>1.1.1.4.3</v>
      </c>
      <c r="B19" s="78" t="str">
        <f>CONCATENATE('3 pr-2'!B49)</f>
        <v>R01-9903-290000-1143</v>
      </c>
      <c r="C19" s="647" t="str">
        <f>CONCATENATE('3 pr-2'!C49)</f>
        <v>07.1.1-CPVA-R-903-11-0002</v>
      </c>
      <c r="D19" s="78" t="s">
        <v>299</v>
      </c>
      <c r="E19" s="78" t="s">
        <v>161</v>
      </c>
      <c r="F19" s="78" t="s">
        <v>75</v>
      </c>
      <c r="G19" s="78" t="s">
        <v>1801</v>
      </c>
      <c r="H19" s="78" t="s">
        <v>267</v>
      </c>
      <c r="I19" s="14" t="s">
        <v>119</v>
      </c>
      <c r="J19" s="14" t="s">
        <v>167</v>
      </c>
      <c r="K19" s="14" t="s">
        <v>66</v>
      </c>
      <c r="L19" s="632">
        <f>SUM(M19:Q19)</f>
        <v>343507</v>
      </c>
      <c r="M19" s="1318">
        <v>25763.03</v>
      </c>
      <c r="N19" s="632">
        <v>25763.02</v>
      </c>
      <c r="O19" s="632">
        <v>0</v>
      </c>
      <c r="P19" s="632">
        <v>0</v>
      </c>
      <c r="Q19" s="632">
        <v>291980.95</v>
      </c>
      <c r="R19" s="632"/>
      <c r="S19" s="423">
        <v>42419</v>
      </c>
      <c r="T19" s="323">
        <v>42494</v>
      </c>
      <c r="U19" s="323">
        <v>42581</v>
      </c>
      <c r="V19" s="323">
        <v>42674</v>
      </c>
      <c r="W19" s="431">
        <v>43465</v>
      </c>
      <c r="X19" s="30"/>
      <c r="Y19" s="30"/>
      <c r="Z19" s="30"/>
    </row>
    <row r="20" spans="1:26" ht="37.5" customHeight="1" thickBot="1">
      <c r="A20" s="297" t="s">
        <v>76</v>
      </c>
      <c r="B20" s="624"/>
      <c r="C20" s="624"/>
      <c r="D20" s="1931" t="s">
        <v>607</v>
      </c>
      <c r="E20" s="1940"/>
      <c r="F20" s="1940"/>
      <c r="G20" s="1940"/>
      <c r="H20" s="1940"/>
      <c r="I20" s="1940"/>
      <c r="J20" s="1940"/>
      <c r="K20" s="1941"/>
      <c r="L20" s="1016">
        <f>SUM(L21:L21)</f>
        <v>1437425.74</v>
      </c>
      <c r="M20" s="1016">
        <f>SUM(M21:M21)</f>
        <v>0</v>
      </c>
      <c r="N20" s="1016"/>
      <c r="O20" s="1016">
        <f>SUM(O21:O21)</f>
        <v>641323.74</v>
      </c>
      <c r="P20" s="1016">
        <f>SUM(P21:P21)</f>
        <v>0</v>
      </c>
      <c r="Q20" s="1016">
        <f>SUM(Q21:Q21)</f>
        <v>796102</v>
      </c>
      <c r="R20" s="1016"/>
      <c r="S20" s="79"/>
      <c r="T20" s="299"/>
      <c r="U20" s="299"/>
      <c r="V20" s="299"/>
      <c r="W20" s="299"/>
      <c r="X20" s="33">
        <v>790102</v>
      </c>
      <c r="Y20" s="33">
        <f>SUM(X20*120/100)</f>
        <v>948122.4</v>
      </c>
      <c r="Z20" s="33">
        <f>SUM(X20-Q20)</f>
        <v>-6000</v>
      </c>
    </row>
    <row r="21" spans="1:26" ht="60.75" customHeight="1" thickBot="1">
      <c r="A21" s="78" t="str">
        <f>CONCATENATE('3 pr-2'!A53)</f>
        <v>1.1.1.5.3</v>
      </c>
      <c r="B21" s="78" t="str">
        <f>CONCATENATE('3 pr-2'!B53)</f>
        <v>R01-0014-070650-1153</v>
      </c>
      <c r="C21" s="647" t="str">
        <f>CONCATENATE('3 pr-2'!C53)</f>
        <v>05.3.2-APVA-R-014-11-0004</v>
      </c>
      <c r="D21" s="78" t="s">
        <v>278</v>
      </c>
      <c r="E21" s="78" t="s">
        <v>296</v>
      </c>
      <c r="F21" s="78" t="s">
        <v>77</v>
      </c>
      <c r="G21" s="78" t="s">
        <v>1801</v>
      </c>
      <c r="H21" s="78" t="s">
        <v>144</v>
      </c>
      <c r="I21" s="14" t="s">
        <v>119</v>
      </c>
      <c r="J21" s="14" t="s">
        <v>66</v>
      </c>
      <c r="K21" s="14" t="s">
        <v>66</v>
      </c>
      <c r="L21" s="632">
        <f>SUM(M21:Q21)</f>
        <v>1437425.74</v>
      </c>
      <c r="M21" s="632">
        <v>0</v>
      </c>
      <c r="N21" s="632">
        <v>0</v>
      </c>
      <c r="O21" s="632">
        <v>641323.74</v>
      </c>
      <c r="P21" s="632">
        <v>0</v>
      </c>
      <c r="Q21" s="632">
        <v>796102</v>
      </c>
      <c r="R21" s="632"/>
      <c r="S21" s="323">
        <v>42451</v>
      </c>
      <c r="T21" s="323">
        <v>42551</v>
      </c>
      <c r="U21" s="323">
        <v>42734</v>
      </c>
      <c r="V21" s="323">
        <v>42825</v>
      </c>
      <c r="W21" s="323">
        <v>43646</v>
      </c>
      <c r="X21" s="30"/>
      <c r="Y21" s="30"/>
      <c r="Z21" s="30"/>
    </row>
    <row r="22" spans="1:26" ht="24.75" customHeight="1" thickBot="1">
      <c r="A22" s="297" t="s">
        <v>79</v>
      </c>
      <c r="B22" s="624"/>
      <c r="C22" s="624"/>
      <c r="D22" s="1931" t="s">
        <v>608</v>
      </c>
      <c r="E22" s="1940"/>
      <c r="F22" s="1940"/>
      <c r="G22" s="1940"/>
      <c r="H22" s="1940"/>
      <c r="I22" s="1940"/>
      <c r="J22" s="1940"/>
      <c r="K22" s="1941"/>
      <c r="L22" s="299">
        <f t="shared" ref="L22:Q22" si="5">SUM(L23)</f>
        <v>0</v>
      </c>
      <c r="M22" s="299">
        <f t="shared" si="5"/>
        <v>0</v>
      </c>
      <c r="N22" s="299">
        <f t="shared" si="5"/>
        <v>0</v>
      </c>
      <c r="O22" s="299">
        <f t="shared" si="5"/>
        <v>0</v>
      </c>
      <c r="P22" s="299">
        <f t="shared" si="5"/>
        <v>0</v>
      </c>
      <c r="Q22" s="299">
        <f t="shared" si="5"/>
        <v>0</v>
      </c>
      <c r="R22" s="299"/>
      <c r="S22" s="79"/>
      <c r="T22" s="299"/>
      <c r="U22" s="299"/>
      <c r="V22" s="299"/>
      <c r="W22" s="299"/>
      <c r="X22" s="342">
        <v>0</v>
      </c>
      <c r="Y22" s="342">
        <f>SUM(X22*120/100)</f>
        <v>0</v>
      </c>
      <c r="Z22" s="342">
        <f>SUM(X22-Q22)</f>
        <v>0</v>
      </c>
    </row>
    <row r="23" spans="1:26" ht="15.75" thickBot="1">
      <c r="A23" s="6"/>
      <c r="B23" s="13"/>
      <c r="C23" s="13"/>
      <c r="D23" s="7"/>
      <c r="E23" s="8"/>
      <c r="F23" s="9"/>
      <c r="G23" s="7"/>
      <c r="H23" s="1"/>
      <c r="I23" s="2"/>
      <c r="J23" s="2"/>
      <c r="K23" s="2"/>
      <c r="L23" s="12"/>
      <c r="M23" s="12"/>
      <c r="N23" s="12"/>
      <c r="O23" s="12"/>
      <c r="P23" s="12"/>
      <c r="Q23" s="12"/>
      <c r="R23" s="16"/>
      <c r="S23" s="16"/>
      <c r="T23" s="2"/>
      <c r="U23" s="2"/>
      <c r="V23" s="2"/>
      <c r="W23" s="637"/>
      <c r="X23" s="30"/>
      <c r="Y23" s="30"/>
      <c r="Z23" s="30"/>
    </row>
    <row r="24" spans="1:26" ht="39.75" customHeight="1" thickBot="1">
      <c r="A24" s="297" t="s">
        <v>81</v>
      </c>
      <c r="B24" s="624"/>
      <c r="C24" s="624"/>
      <c r="D24" s="1931" t="s">
        <v>609</v>
      </c>
      <c r="E24" s="1940"/>
      <c r="F24" s="1940"/>
      <c r="G24" s="1940"/>
      <c r="H24" s="1940"/>
      <c r="I24" s="1940"/>
      <c r="J24" s="1940"/>
      <c r="K24" s="1941"/>
      <c r="L24" s="299">
        <f t="shared" ref="L24:P24" si="6">SUM(L25:L27)</f>
        <v>212009.4117647059</v>
      </c>
      <c r="M24" s="299">
        <f t="shared" si="6"/>
        <v>31801.411764705881</v>
      </c>
      <c r="N24" s="299">
        <f t="shared" si="6"/>
        <v>0</v>
      </c>
      <c r="O24" s="299">
        <f t="shared" si="6"/>
        <v>0</v>
      </c>
      <c r="P24" s="299">
        <f t="shared" si="6"/>
        <v>0</v>
      </c>
      <c r="Q24" s="299">
        <f>SUM(Q25:Q27)</f>
        <v>180208</v>
      </c>
      <c r="R24" s="299"/>
      <c r="S24" s="79"/>
      <c r="T24" s="299"/>
      <c r="U24" s="299"/>
      <c r="V24" s="299"/>
      <c r="W24" s="299"/>
      <c r="X24" s="33">
        <v>180208</v>
      </c>
      <c r="Y24" s="33">
        <f>SUM(X24*120/100)</f>
        <v>216249.60000000001</v>
      </c>
      <c r="Z24" s="33">
        <f>SUM(X24-Q24)</f>
        <v>0</v>
      </c>
    </row>
    <row r="25" spans="1:26" ht="36.75" thickBot="1">
      <c r="A25" s="78" t="str">
        <f>CONCATENATE('3 pr-2'!A59)</f>
        <v>1.1.1.7.1</v>
      </c>
      <c r="B25" s="78" t="str">
        <f>CONCATENATE('3 pr-2'!B59)</f>
        <v>R01-8821-420000-1171</v>
      </c>
      <c r="C25" s="647" t="str">
        <f>CONCATENATE('3 pr-2'!C59)</f>
        <v>05.4.1-LVPA-R-821-11-0002</v>
      </c>
      <c r="D25" s="78" t="s">
        <v>270</v>
      </c>
      <c r="E25" s="78" t="s">
        <v>345</v>
      </c>
      <c r="F25" s="78" t="s">
        <v>82</v>
      </c>
      <c r="G25" s="78" t="s">
        <v>185</v>
      </c>
      <c r="H25" s="228" t="s">
        <v>761</v>
      </c>
      <c r="I25" s="14" t="s">
        <v>119</v>
      </c>
      <c r="J25" s="14" t="s">
        <v>66</v>
      </c>
      <c r="K25" s="16" t="s">
        <v>66</v>
      </c>
      <c r="L25" s="16">
        <f>SUM(M25:Q25)</f>
        <v>41644.705882352944</v>
      </c>
      <c r="M25" s="16">
        <v>6246.7058823529414</v>
      </c>
      <c r="N25" s="16">
        <v>0</v>
      </c>
      <c r="O25" s="16">
        <v>0</v>
      </c>
      <c r="P25" s="16">
        <v>0</v>
      </c>
      <c r="Q25" s="16">
        <v>35398</v>
      </c>
      <c r="R25" s="16"/>
      <c r="S25" s="16"/>
      <c r="T25" s="323">
        <f>SUM('IV-2 amsa'!T20)</f>
        <v>42635</v>
      </c>
      <c r="U25" s="323">
        <f>SUM('IV-2 amsa'!U20)</f>
        <v>42755</v>
      </c>
      <c r="V25" s="323">
        <f>SUM('IV-2 amsa'!V20)</f>
        <v>42840</v>
      </c>
      <c r="W25" s="323">
        <f>SUM('IV-2 amsa'!W20)</f>
        <v>43465</v>
      </c>
      <c r="X25" s="30"/>
      <c r="Y25" s="30"/>
      <c r="Z25" s="30"/>
    </row>
    <row r="26" spans="1:26" ht="48.75" thickBot="1">
      <c r="A26" s="78" t="str">
        <f>CONCATENATE('3 pr-2'!A60)</f>
        <v>1.1.1.7.2</v>
      </c>
      <c r="B26" s="78" t="str">
        <f>CONCATENATE('3 pr-2'!B60)</f>
        <v>R01-8821-420000-1172</v>
      </c>
      <c r="C26" s="647" t="str">
        <f>CONCATENATE('3 pr-2'!C60)</f>
        <v>05.4.1-LVPA-R-821-11-0001</v>
      </c>
      <c r="D26" s="78" t="s">
        <v>2108</v>
      </c>
      <c r="E26" s="78" t="s">
        <v>161</v>
      </c>
      <c r="F26" s="78" t="s">
        <v>82</v>
      </c>
      <c r="G26" s="78" t="s">
        <v>309</v>
      </c>
      <c r="H26" s="228" t="s">
        <v>761</v>
      </c>
      <c r="I26" s="14" t="s">
        <v>119</v>
      </c>
      <c r="J26" s="14" t="s">
        <v>66</v>
      </c>
      <c r="K26" s="16" t="s">
        <v>66</v>
      </c>
      <c r="L26" s="632">
        <f>SUM(M26:Q26)</f>
        <v>96035.411764705888</v>
      </c>
      <c r="M26" s="632">
        <f>SUM(Q26*15/85)</f>
        <v>14405.311764705883</v>
      </c>
      <c r="N26" s="632">
        <v>0</v>
      </c>
      <c r="O26" s="632">
        <v>0</v>
      </c>
      <c r="P26" s="632">
        <v>0</v>
      </c>
      <c r="Q26" s="632">
        <v>81630.100000000006</v>
      </c>
      <c r="R26" s="632"/>
      <c r="S26" s="423">
        <v>42604</v>
      </c>
      <c r="T26" s="323">
        <v>42635</v>
      </c>
      <c r="U26" s="323">
        <v>42706</v>
      </c>
      <c r="V26" s="323">
        <v>42825</v>
      </c>
      <c r="W26" s="323">
        <v>43585</v>
      </c>
      <c r="X26" s="30"/>
      <c r="Y26" s="30"/>
      <c r="Z26" s="30"/>
    </row>
    <row r="27" spans="1:26" ht="48.75" thickBot="1">
      <c r="A27" s="78" t="str">
        <f>CONCATENATE('3 pr-2'!A61)</f>
        <v>1.1.1.7.3</v>
      </c>
      <c r="B27" s="78" t="str">
        <f>CONCATENATE('3 pr-2'!B61)</f>
        <v>R01-8821-420000-1173</v>
      </c>
      <c r="C27" s="647" t="str">
        <f>CONCATENATE('3 pr-2'!C61)</f>
        <v>05.4.1-LVPA-R-821-11-0003</v>
      </c>
      <c r="D27" s="78" t="s">
        <v>3699</v>
      </c>
      <c r="E27" s="78" t="s">
        <v>161</v>
      </c>
      <c r="F27" s="78" t="s">
        <v>82</v>
      </c>
      <c r="G27" s="78" t="s">
        <v>309</v>
      </c>
      <c r="H27" s="228" t="s">
        <v>761</v>
      </c>
      <c r="I27" s="14" t="s">
        <v>119</v>
      </c>
      <c r="J27" s="14" t="s">
        <v>66</v>
      </c>
      <c r="K27" s="16" t="s">
        <v>66</v>
      </c>
      <c r="L27" s="632">
        <f>SUM(M27:Q27)</f>
        <v>74329.294117647063</v>
      </c>
      <c r="M27" s="632">
        <f>SUM(Q27*15/85)</f>
        <v>11149.394117647058</v>
      </c>
      <c r="N27" s="632">
        <v>0</v>
      </c>
      <c r="O27" s="632">
        <v>0</v>
      </c>
      <c r="P27" s="632">
        <v>0</v>
      </c>
      <c r="Q27" s="632">
        <v>63179.9</v>
      </c>
      <c r="R27" s="632"/>
      <c r="S27" s="423">
        <v>43100</v>
      </c>
      <c r="T27" s="323">
        <v>43465</v>
      </c>
      <c r="U27" s="323">
        <v>43553</v>
      </c>
      <c r="V27" s="323">
        <v>43645</v>
      </c>
      <c r="W27" s="323">
        <v>44376</v>
      </c>
      <c r="X27" s="30"/>
      <c r="Y27" s="30"/>
      <c r="Z27" s="30"/>
    </row>
    <row r="28" spans="1:26" ht="27" customHeight="1" thickBot="1">
      <c r="A28" s="297" t="s">
        <v>84</v>
      </c>
      <c r="B28" s="624"/>
      <c r="C28" s="624"/>
      <c r="D28" s="1931" t="s">
        <v>610</v>
      </c>
      <c r="E28" s="1940"/>
      <c r="F28" s="1940"/>
      <c r="G28" s="1940"/>
      <c r="H28" s="1940"/>
      <c r="I28" s="1940"/>
      <c r="J28" s="1940"/>
      <c r="K28" s="1941"/>
      <c r="L28" s="1016">
        <f>SUM(L29)</f>
        <v>484769.35</v>
      </c>
      <c r="M28" s="1016">
        <f>SUM(M29)</f>
        <v>185228.35</v>
      </c>
      <c r="N28" s="1016">
        <f t="shared" ref="N28:P28" si="7">SUM(N29)</f>
        <v>0</v>
      </c>
      <c r="O28" s="1016">
        <f t="shared" si="7"/>
        <v>0</v>
      </c>
      <c r="P28" s="1016">
        <f t="shared" si="7"/>
        <v>0</v>
      </c>
      <c r="Q28" s="1016">
        <f>SUM(Q29)</f>
        <v>299541</v>
      </c>
      <c r="R28" s="1016"/>
      <c r="S28" s="79"/>
      <c r="T28" s="299"/>
      <c r="U28" s="299"/>
      <c r="V28" s="299"/>
      <c r="W28" s="299"/>
      <c r="X28" s="33">
        <v>299541.3775</v>
      </c>
      <c r="Y28" s="33">
        <f>SUM(X28*120/100)</f>
        <v>359449.65299999999</v>
      </c>
      <c r="Z28" s="33">
        <f>SUM(X28-Q28)</f>
        <v>0.37750000000232831</v>
      </c>
    </row>
    <row r="29" spans="1:26" ht="36.75" thickBot="1">
      <c r="A29" s="78" t="str">
        <f>CONCATENATE('3 pr-2'!A66)</f>
        <v>1.1.1.8.4</v>
      </c>
      <c r="B29" s="78" t="str">
        <f>CONCATENATE('3 pr-2'!B66)</f>
        <v>R01-3305-330200-1184</v>
      </c>
      <c r="C29" s="647" t="str">
        <f>CONCATENATE('3 pr-2'!C66)</f>
        <v>07.1.1-CPVA-R-305-11-0004</v>
      </c>
      <c r="D29" s="78" t="s">
        <v>317</v>
      </c>
      <c r="E29" s="78" t="s">
        <v>161</v>
      </c>
      <c r="F29" s="78" t="s">
        <v>116</v>
      </c>
      <c r="G29" s="78" t="s">
        <v>1801</v>
      </c>
      <c r="H29" s="228" t="s">
        <v>143</v>
      </c>
      <c r="I29" s="14" t="s">
        <v>119</v>
      </c>
      <c r="J29" s="14" t="s">
        <v>167</v>
      </c>
      <c r="K29" s="16" t="s">
        <v>66</v>
      </c>
      <c r="L29" s="632">
        <f>SUM(M29:Q29)</f>
        <v>484769.35</v>
      </c>
      <c r="M29" s="632">
        <v>185228.35</v>
      </c>
      <c r="N29" s="632">
        <v>0</v>
      </c>
      <c r="O29" s="632">
        <v>0</v>
      </c>
      <c r="P29" s="632">
        <v>0</v>
      </c>
      <c r="Q29" s="632">
        <v>299541</v>
      </c>
      <c r="R29" s="632"/>
      <c r="S29" s="423">
        <v>42614</v>
      </c>
      <c r="T29" s="323">
        <v>42703</v>
      </c>
      <c r="U29" s="323">
        <v>43097</v>
      </c>
      <c r="V29" s="323">
        <v>43190</v>
      </c>
      <c r="W29" s="323">
        <v>43830</v>
      </c>
      <c r="X29" s="30"/>
      <c r="Y29" s="30"/>
      <c r="Z29" s="30"/>
    </row>
    <row r="30" spans="1:26" ht="31.5" customHeight="1" thickBot="1">
      <c r="A30" s="297" t="s">
        <v>86</v>
      </c>
      <c r="B30" s="624"/>
      <c r="C30" s="624"/>
      <c r="D30" s="1931" t="s">
        <v>611</v>
      </c>
      <c r="E30" s="1940"/>
      <c r="F30" s="1940"/>
      <c r="G30" s="1940"/>
      <c r="H30" s="1940"/>
      <c r="I30" s="1940"/>
      <c r="J30" s="1940"/>
      <c r="K30" s="1941"/>
      <c r="L30" s="1016">
        <f>SUM(L31)</f>
        <v>242419</v>
      </c>
      <c r="M30" s="1016">
        <f>SUM(M31)</f>
        <v>36363</v>
      </c>
      <c r="N30" s="1016">
        <f t="shared" ref="N30:P30" si="8">SUM(N31)</f>
        <v>0</v>
      </c>
      <c r="O30" s="1016">
        <f t="shared" si="8"/>
        <v>0</v>
      </c>
      <c r="P30" s="1016">
        <f t="shared" si="8"/>
        <v>0</v>
      </c>
      <c r="Q30" s="1016">
        <f>SUM(Q31)</f>
        <v>206056</v>
      </c>
      <c r="R30" s="1016"/>
      <c r="S30" s="79"/>
      <c r="T30" s="299"/>
      <c r="U30" s="299"/>
      <c r="V30" s="299"/>
      <c r="W30" s="299"/>
      <c r="X30" s="33">
        <v>206056.31</v>
      </c>
      <c r="Y30" s="33">
        <f>SUM(X30*120/100)</f>
        <v>247267.57199999999</v>
      </c>
      <c r="Z30" s="33">
        <f>SUM(X30-Q30)</f>
        <v>0.30999999999767169</v>
      </c>
    </row>
    <row r="31" spans="1:26" ht="36.75" thickBot="1">
      <c r="A31" s="78" t="str">
        <f>CONCATENATE('3 pr-2'!A70)</f>
        <v>1.1.1.9.3</v>
      </c>
      <c r="B31" s="78" t="str">
        <f>CONCATENATE('3 pr-2'!B70)</f>
        <v>R01-3302-440200-1193</v>
      </c>
      <c r="C31" s="647" t="str">
        <f>CONCATENATE('3 pr-2'!C70)</f>
        <v>05.4.1-CPVA-R-302-11-0001</v>
      </c>
      <c r="D31" s="78" t="s">
        <v>2918</v>
      </c>
      <c r="E31" s="78" t="s">
        <v>161</v>
      </c>
      <c r="F31" s="78" t="s">
        <v>116</v>
      </c>
      <c r="G31" s="78" t="s">
        <v>1801</v>
      </c>
      <c r="H31" s="228" t="s">
        <v>182</v>
      </c>
      <c r="I31" s="14" t="s">
        <v>119</v>
      </c>
      <c r="J31" s="14" t="s">
        <v>167</v>
      </c>
      <c r="K31" s="16" t="s">
        <v>66</v>
      </c>
      <c r="L31" s="632">
        <f>SUM(M31:Q31)</f>
        <v>242419</v>
      </c>
      <c r="M31" s="632">
        <v>36363</v>
      </c>
      <c r="N31" s="632">
        <v>0</v>
      </c>
      <c r="O31" s="632">
        <v>0</v>
      </c>
      <c r="P31" s="632">
        <v>0</v>
      </c>
      <c r="Q31" s="632">
        <v>206056</v>
      </c>
      <c r="R31" s="632"/>
      <c r="S31" s="423">
        <v>42667</v>
      </c>
      <c r="T31" s="323">
        <v>42794</v>
      </c>
      <c r="U31" s="323">
        <v>43179</v>
      </c>
      <c r="V31" s="323">
        <v>43249</v>
      </c>
      <c r="W31" s="323">
        <v>43830</v>
      </c>
      <c r="X31" s="30"/>
      <c r="Y31" s="30"/>
      <c r="Z31" s="30"/>
    </row>
    <row r="32" spans="1:26" ht="34.5" customHeight="1" thickBot="1">
      <c r="A32" s="134" t="s">
        <v>22</v>
      </c>
      <c r="B32" s="628"/>
      <c r="C32" s="628"/>
      <c r="D32" s="1933" t="s">
        <v>1387</v>
      </c>
      <c r="E32" s="1946"/>
      <c r="F32" s="1946"/>
      <c r="G32" s="1946"/>
      <c r="H32" s="1946"/>
      <c r="I32" s="1946"/>
      <c r="J32" s="1946"/>
      <c r="K32" s="1947"/>
      <c r="L32" s="115">
        <f t="shared" ref="L32:Q32" si="9">SUM(L33+L35+L37+L39)</f>
        <v>1116576.42</v>
      </c>
      <c r="M32" s="115">
        <f t="shared" si="9"/>
        <v>173833.41999999998</v>
      </c>
      <c r="N32" s="115">
        <f t="shared" si="9"/>
        <v>0</v>
      </c>
      <c r="O32" s="115">
        <f t="shared" si="9"/>
        <v>0</v>
      </c>
      <c r="P32" s="115">
        <f t="shared" si="9"/>
        <v>0</v>
      </c>
      <c r="Q32" s="115">
        <f t="shared" si="9"/>
        <v>942743</v>
      </c>
      <c r="R32" s="115"/>
      <c r="S32" s="115"/>
      <c r="T32" s="116"/>
      <c r="U32" s="116"/>
      <c r="V32" s="116"/>
      <c r="W32" s="151"/>
      <c r="X32" s="32">
        <f>SUM(X33+X35+X37+X39)</f>
        <v>942743</v>
      </c>
      <c r="Y32" s="32">
        <f>SUM(Y33+Y35+Y37+Y39)</f>
        <v>1131291.6000000001</v>
      </c>
      <c r="Z32" s="32">
        <f>SUM(Z33+Z35+Z37+Z39)</f>
        <v>0</v>
      </c>
    </row>
    <row r="33" spans="1:29" ht="33" customHeight="1" thickBot="1">
      <c r="A33" s="297" t="s">
        <v>88</v>
      </c>
      <c r="B33" s="624"/>
      <c r="C33" s="624"/>
      <c r="D33" s="1931" t="s">
        <v>613</v>
      </c>
      <c r="E33" s="1940"/>
      <c r="F33" s="1940"/>
      <c r="G33" s="1940"/>
      <c r="H33" s="1940"/>
      <c r="I33" s="1940"/>
      <c r="J33" s="1940"/>
      <c r="K33" s="1941"/>
      <c r="L33" s="1019">
        <f t="shared" ref="L33:P33" si="10">SUM(L34)</f>
        <v>262704</v>
      </c>
      <c r="M33" s="1019">
        <f t="shared" si="10"/>
        <v>39406</v>
      </c>
      <c r="N33" s="1019">
        <f t="shared" si="10"/>
        <v>0</v>
      </c>
      <c r="O33" s="1019">
        <f t="shared" si="10"/>
        <v>0</v>
      </c>
      <c r="P33" s="1019">
        <f t="shared" si="10"/>
        <v>0</v>
      </c>
      <c r="Q33" s="1019">
        <f>SUM(Q34)</f>
        <v>223298</v>
      </c>
      <c r="R33" s="1019"/>
      <c r="S33" s="79"/>
      <c r="T33" s="299"/>
      <c r="U33" s="299"/>
      <c r="V33" s="299"/>
      <c r="W33" s="299"/>
      <c r="X33" s="33">
        <v>223298</v>
      </c>
      <c r="Y33" s="33">
        <f>SUM(X33*120/100)</f>
        <v>267957.59999999998</v>
      </c>
      <c r="Z33" s="33">
        <f>SUM(X33-Q33)</f>
        <v>0</v>
      </c>
    </row>
    <row r="34" spans="1:29" ht="48.75" thickBot="1">
      <c r="A34" s="78" t="str">
        <f>CONCATENATE('3 pr-2'!A78)</f>
        <v>1.1.2.1.4</v>
      </c>
      <c r="B34" s="78" t="str">
        <f>CONCATENATE('3 pr-2'!B78)</f>
        <v>R01-5518-100000-1214</v>
      </c>
      <c r="C34" s="647" t="str">
        <f>CONCATENATE('3 pr-2'!C78)</f>
        <v>04.5.1-TID-R-518-11-0001</v>
      </c>
      <c r="D34" s="78" t="s">
        <v>3423</v>
      </c>
      <c r="E34" s="78" t="s">
        <v>161</v>
      </c>
      <c r="F34" s="78" t="s">
        <v>115</v>
      </c>
      <c r="G34" s="78" t="s">
        <v>1801</v>
      </c>
      <c r="H34" s="228" t="s">
        <v>135</v>
      </c>
      <c r="I34" s="14" t="s">
        <v>119</v>
      </c>
      <c r="J34" s="14" t="s">
        <v>66</v>
      </c>
      <c r="K34" s="16" t="s">
        <v>66</v>
      </c>
      <c r="L34" s="1020">
        <f>SUM(M34:Q34)</f>
        <v>262704</v>
      </c>
      <c r="M34" s="1020">
        <v>39406</v>
      </c>
      <c r="N34" s="1020">
        <v>0</v>
      </c>
      <c r="O34" s="1020">
        <v>0</v>
      </c>
      <c r="P34" s="1020">
        <v>0</v>
      </c>
      <c r="Q34" s="1020">
        <v>223298</v>
      </c>
      <c r="R34" s="1020"/>
      <c r="S34" s="423">
        <v>42877</v>
      </c>
      <c r="T34" s="323">
        <v>42978</v>
      </c>
      <c r="U34" s="323">
        <v>43343</v>
      </c>
      <c r="V34" s="323">
        <v>43434</v>
      </c>
      <c r="W34" s="323">
        <v>44165</v>
      </c>
      <c r="X34" s="30"/>
      <c r="Y34" s="30"/>
      <c r="Z34" s="30"/>
      <c r="AA34" s="48">
        <f>SUM(365/12)</f>
        <v>30.416666666666668</v>
      </c>
      <c r="AB34" s="48">
        <f>SUM(W34-V34)/AA34</f>
        <v>24.032876712328765</v>
      </c>
    </row>
    <row r="35" spans="1:29" ht="29.25" customHeight="1" thickBot="1">
      <c r="A35" s="297" t="s">
        <v>90</v>
      </c>
      <c r="B35" s="624"/>
      <c r="C35" s="624"/>
      <c r="D35" s="1931" t="s">
        <v>614</v>
      </c>
      <c r="E35" s="1940"/>
      <c r="F35" s="1940"/>
      <c r="G35" s="1940"/>
      <c r="H35" s="1940"/>
      <c r="I35" s="1940"/>
      <c r="J35" s="1940"/>
      <c r="K35" s="1941"/>
      <c r="L35" s="1019">
        <f t="shared" ref="L35:Q35" si="11">SUM(L36:L36)</f>
        <v>0</v>
      </c>
      <c r="M35" s="1019">
        <f t="shared" si="11"/>
        <v>0</v>
      </c>
      <c r="N35" s="1019">
        <f t="shared" si="11"/>
        <v>0</v>
      </c>
      <c r="O35" s="1019">
        <f t="shared" si="11"/>
        <v>0</v>
      </c>
      <c r="P35" s="1019">
        <f t="shared" si="11"/>
        <v>0</v>
      </c>
      <c r="Q35" s="1019">
        <f t="shared" si="11"/>
        <v>0</v>
      </c>
      <c r="R35" s="1019"/>
      <c r="S35" s="79"/>
      <c r="T35" s="299"/>
      <c r="U35" s="299"/>
      <c r="V35" s="299"/>
      <c r="W35" s="299"/>
      <c r="X35" s="33">
        <v>0</v>
      </c>
      <c r="Y35" s="33">
        <f>SUM(X35*120/100)</f>
        <v>0</v>
      </c>
      <c r="Z35" s="33">
        <f>SUM(X35-Q35)</f>
        <v>0</v>
      </c>
    </row>
    <row r="36" spans="1:29" ht="15.75" thickBot="1">
      <c r="A36" s="639"/>
      <c r="B36" s="639"/>
      <c r="C36" s="639"/>
      <c r="D36" s="639"/>
      <c r="E36" s="639"/>
      <c r="F36" s="640"/>
      <c r="G36" s="639"/>
      <c r="H36" s="641"/>
      <c r="I36" s="642"/>
      <c r="J36" s="479"/>
      <c r="K36" s="479"/>
      <c r="L36" s="1025">
        <f>SUM(M36:Q36)</f>
        <v>0</v>
      </c>
      <c r="M36" s="1026">
        <v>0</v>
      </c>
      <c r="N36" s="1026">
        <v>0</v>
      </c>
      <c r="O36" s="1026">
        <v>0</v>
      </c>
      <c r="P36" s="1026">
        <v>0</v>
      </c>
      <c r="Q36" s="1026">
        <v>0</v>
      </c>
      <c r="R36" s="1026"/>
      <c r="S36" s="643"/>
      <c r="T36" s="5"/>
      <c r="U36" s="5"/>
      <c r="V36" s="5"/>
      <c r="W36" s="5"/>
      <c r="X36" s="30"/>
      <c r="Y36" s="30"/>
      <c r="Z36" s="30"/>
    </row>
    <row r="37" spans="1:29" ht="35.25" customHeight="1" thickBot="1">
      <c r="A37" s="297" t="s">
        <v>92</v>
      </c>
      <c r="B37" s="624"/>
      <c r="C37" s="624"/>
      <c r="D37" s="1931" t="s">
        <v>615</v>
      </c>
      <c r="E37" s="1940"/>
      <c r="F37" s="1940"/>
      <c r="G37" s="1940"/>
      <c r="H37" s="1940"/>
      <c r="I37" s="1940"/>
      <c r="J37" s="1940"/>
      <c r="K37" s="1941"/>
      <c r="L37" s="1016">
        <f t="shared" ref="L37:P37" si="12">SUM(L38)</f>
        <v>93938.42</v>
      </c>
      <c r="M37" s="1016">
        <f t="shared" si="12"/>
        <v>20437.419999999998</v>
      </c>
      <c r="N37" s="1016">
        <f t="shared" si="12"/>
        <v>0</v>
      </c>
      <c r="O37" s="1016">
        <f t="shared" si="12"/>
        <v>0</v>
      </c>
      <c r="P37" s="1016">
        <f t="shared" si="12"/>
        <v>0</v>
      </c>
      <c r="Q37" s="1016">
        <f t="shared" ref="Q37" si="13">SUM(Q38)</f>
        <v>73501</v>
      </c>
      <c r="R37" s="1019"/>
      <c r="S37" s="79"/>
      <c r="T37" s="299"/>
      <c r="U37" s="299"/>
      <c r="V37" s="299"/>
      <c r="W37" s="299"/>
      <c r="X37" s="33">
        <v>73501</v>
      </c>
      <c r="Y37" s="33">
        <f>SUM(X37*120/100)</f>
        <v>88201.2</v>
      </c>
      <c r="Z37" s="33">
        <f>SUM(X37-Q37)</f>
        <v>0</v>
      </c>
    </row>
    <row r="38" spans="1:29" ht="48.75" thickBot="1">
      <c r="A38" s="78" t="str">
        <f>CONCATENATE('3 pr-2'!A89)</f>
        <v>1.1.2.3.3</v>
      </c>
      <c r="B38" s="78" t="str">
        <f>CONCATENATE('3 pr-2'!B89)</f>
        <v>R01-5516-190000-1233</v>
      </c>
      <c r="C38" s="647" t="str">
        <f>CONCATENATE('3 pr-2'!C89)</f>
        <v>04.5.1-TID-R-516-11-0002</v>
      </c>
      <c r="D38" s="78" t="s">
        <v>319</v>
      </c>
      <c r="E38" s="78" t="s">
        <v>161</v>
      </c>
      <c r="F38" s="78" t="s">
        <v>115</v>
      </c>
      <c r="G38" s="78" t="s">
        <v>1801</v>
      </c>
      <c r="H38" s="228" t="s">
        <v>148</v>
      </c>
      <c r="I38" s="14" t="s">
        <v>119</v>
      </c>
      <c r="J38" s="14" t="s">
        <v>167</v>
      </c>
      <c r="K38" s="16" t="s">
        <v>66</v>
      </c>
      <c r="L38" s="1638">
        <f>SUM(M38:Q38)</f>
        <v>93938.42</v>
      </c>
      <c r="M38" s="1638">
        <v>20437.419999999998</v>
      </c>
      <c r="N38" s="632">
        <v>0</v>
      </c>
      <c r="O38" s="632">
        <v>0</v>
      </c>
      <c r="P38" s="632">
        <v>0</v>
      </c>
      <c r="Q38" s="1638">
        <v>73501</v>
      </c>
      <c r="R38" s="1020"/>
      <c r="S38" s="423">
        <v>42660</v>
      </c>
      <c r="T38" s="323">
        <v>42735</v>
      </c>
      <c r="U38" s="323">
        <v>43010</v>
      </c>
      <c r="V38" s="323">
        <v>43100</v>
      </c>
      <c r="W38" s="323">
        <v>43830</v>
      </c>
      <c r="X38" s="30"/>
      <c r="Y38" s="30"/>
      <c r="Z38" s="30"/>
    </row>
    <row r="39" spans="1:29" ht="35.25" customHeight="1" thickBot="1">
      <c r="A39" s="297" t="s">
        <v>94</v>
      </c>
      <c r="B39" s="624"/>
      <c r="C39" s="624"/>
      <c r="D39" s="1931" t="s">
        <v>616</v>
      </c>
      <c r="E39" s="1940"/>
      <c r="F39" s="1940"/>
      <c r="G39" s="1940"/>
      <c r="H39" s="1940"/>
      <c r="I39" s="1940"/>
      <c r="J39" s="1940"/>
      <c r="K39" s="1941"/>
      <c r="L39" s="1016">
        <f t="shared" ref="L39:P39" si="14">SUM(L40)</f>
        <v>759934</v>
      </c>
      <c r="M39" s="1016">
        <f t="shared" si="14"/>
        <v>113990</v>
      </c>
      <c r="N39" s="1016">
        <f t="shared" si="14"/>
        <v>0</v>
      </c>
      <c r="O39" s="1016">
        <f t="shared" si="14"/>
        <v>0</v>
      </c>
      <c r="P39" s="1016">
        <f t="shared" si="14"/>
        <v>0</v>
      </c>
      <c r="Q39" s="1016">
        <f t="shared" ref="Q39" si="15">SUM(Q40)</f>
        <v>645944</v>
      </c>
      <c r="R39" s="1016"/>
      <c r="S39" s="79"/>
      <c r="T39" s="299"/>
      <c r="U39" s="299"/>
      <c r="V39" s="299"/>
      <c r="W39" s="299"/>
      <c r="X39" s="33">
        <v>645944</v>
      </c>
      <c r="Y39" s="33">
        <f>SUM(X39*120/100)</f>
        <v>775132.8</v>
      </c>
      <c r="Z39" s="33">
        <f>SUM(X39-Q39)</f>
        <v>0</v>
      </c>
      <c r="AA39" s="54"/>
    </row>
    <row r="40" spans="1:29" ht="48.75" customHeight="1" thickBot="1">
      <c r="A40" s="78" t="str">
        <f>CONCATENATE('3 pr-2'!A98)</f>
        <v>1.1.2.4.6</v>
      </c>
      <c r="B40" s="78" t="str">
        <f>CONCATENATE('3 pr-2'!B98)</f>
        <v>R01-5511-120000-1246</v>
      </c>
      <c r="C40" s="647" t="str">
        <f>CONCATENATE('3 pr-2'!C98)</f>
        <v>06.2.1-TID-R-511-11-0004</v>
      </c>
      <c r="D40" s="78" t="s">
        <v>318</v>
      </c>
      <c r="E40" s="78" t="s">
        <v>161</v>
      </c>
      <c r="F40" s="78" t="s">
        <v>115</v>
      </c>
      <c r="G40" s="78" t="s">
        <v>1801</v>
      </c>
      <c r="H40" s="228" t="s">
        <v>141</v>
      </c>
      <c r="I40" s="14" t="s">
        <v>119</v>
      </c>
      <c r="J40" s="14" t="s">
        <v>167</v>
      </c>
      <c r="K40" s="16" t="s">
        <v>66</v>
      </c>
      <c r="L40" s="632">
        <f>SUM(M40:Q40)</f>
        <v>759934</v>
      </c>
      <c r="M40" s="632">
        <v>113990</v>
      </c>
      <c r="N40" s="632">
        <v>0</v>
      </c>
      <c r="O40" s="632">
        <v>0</v>
      </c>
      <c r="P40" s="632">
        <v>0</v>
      </c>
      <c r="Q40" s="632">
        <v>645944</v>
      </c>
      <c r="R40" s="632"/>
      <c r="S40" s="323">
        <v>42639</v>
      </c>
      <c r="T40" s="323">
        <v>42732</v>
      </c>
      <c r="U40" s="323">
        <v>43130</v>
      </c>
      <c r="V40" s="323">
        <v>43217</v>
      </c>
      <c r="W40" s="323">
        <v>43830</v>
      </c>
      <c r="X40" s="30"/>
      <c r="Y40" s="30"/>
      <c r="Z40" s="30"/>
    </row>
    <row r="41" spans="1:29" ht="44.25" customHeight="1" thickBot="1">
      <c r="A41" s="141" t="s">
        <v>27</v>
      </c>
      <c r="B41" s="629"/>
      <c r="C41" s="629"/>
      <c r="D41" s="1943" t="s">
        <v>617</v>
      </c>
      <c r="E41" s="1944"/>
      <c r="F41" s="1944"/>
      <c r="G41" s="1944"/>
      <c r="H41" s="1944"/>
      <c r="I41" s="1944"/>
      <c r="J41" s="1944"/>
      <c r="K41" s="1945"/>
      <c r="L41" s="1031">
        <f t="shared" ref="L41:Q41" si="16">SUM(L42+L49+L56+L61)</f>
        <v>1535768.27</v>
      </c>
      <c r="M41" s="1031">
        <f t="shared" si="16"/>
        <v>143176.88</v>
      </c>
      <c r="N41" s="1031">
        <f t="shared" si="16"/>
        <v>76025.64</v>
      </c>
      <c r="O41" s="1031">
        <f t="shared" si="16"/>
        <v>11471</v>
      </c>
      <c r="P41" s="1031">
        <f t="shared" si="16"/>
        <v>0</v>
      </c>
      <c r="Q41" s="1031">
        <f t="shared" si="16"/>
        <v>1305094.75</v>
      </c>
      <c r="R41" s="1031"/>
      <c r="S41" s="136"/>
      <c r="T41" s="142"/>
      <c r="U41" s="142"/>
      <c r="V41" s="142"/>
      <c r="W41" s="150"/>
      <c r="X41" s="41">
        <f>SUM(X42+X49+X56+X61)</f>
        <v>1324057.3557784213</v>
      </c>
      <c r="Y41" s="41">
        <f>SUM(Y42+Y49+Y56+Y61)</f>
        <v>1588868.8269341055</v>
      </c>
      <c r="Z41" s="41">
        <f>SUM(Z42+Z49+Z56+Z61)</f>
        <v>18962.60577842113</v>
      </c>
    </row>
    <row r="42" spans="1:29" ht="57.75" customHeight="1" thickBot="1">
      <c r="A42" s="134" t="s">
        <v>28</v>
      </c>
      <c r="B42" s="628"/>
      <c r="C42" s="628"/>
      <c r="D42" s="1933" t="s">
        <v>618</v>
      </c>
      <c r="E42" s="1946"/>
      <c r="F42" s="1946"/>
      <c r="G42" s="1946"/>
      <c r="H42" s="1946"/>
      <c r="I42" s="1946"/>
      <c r="J42" s="1946"/>
      <c r="K42" s="1947"/>
      <c r="L42" s="1022">
        <f t="shared" ref="L42:Q42" si="17">SUM(L43+L45+L47)</f>
        <v>465147.20999999996</v>
      </c>
      <c r="M42" s="1022">
        <f t="shared" si="17"/>
        <v>45083.21</v>
      </c>
      <c r="N42" s="1022">
        <f t="shared" si="17"/>
        <v>24699</v>
      </c>
      <c r="O42" s="1022">
        <f t="shared" si="17"/>
        <v>0</v>
      </c>
      <c r="P42" s="1022">
        <f t="shared" si="17"/>
        <v>0</v>
      </c>
      <c r="Q42" s="1022">
        <f t="shared" si="17"/>
        <v>395365</v>
      </c>
      <c r="R42" s="1022"/>
      <c r="S42" s="115"/>
      <c r="T42" s="116"/>
      <c r="U42" s="116"/>
      <c r="V42" s="116"/>
      <c r="W42" s="151"/>
      <c r="X42" s="32">
        <f>SUM(X43+X45+X47)</f>
        <v>414326.95823780389</v>
      </c>
      <c r="Y42" s="32">
        <f>SUM(Y43+Y45+Y47)</f>
        <v>497192.34988536465</v>
      </c>
      <c r="Z42" s="32">
        <f>SUM(Z43+Z45+Z47)</f>
        <v>18961.958237803861</v>
      </c>
    </row>
    <row r="43" spans="1:29" ht="36.75" customHeight="1" thickBot="1">
      <c r="A43" s="297" t="s">
        <v>96</v>
      </c>
      <c r="B43" s="624"/>
      <c r="C43" s="624"/>
      <c r="D43" s="1931" t="s">
        <v>619</v>
      </c>
      <c r="E43" s="1940"/>
      <c r="F43" s="1940"/>
      <c r="G43" s="1940"/>
      <c r="H43" s="1940"/>
      <c r="I43" s="1940"/>
      <c r="J43" s="1940"/>
      <c r="K43" s="1941"/>
      <c r="L43" s="1016">
        <f t="shared" ref="L43:P43" si="18">SUM(L44)</f>
        <v>195779</v>
      </c>
      <c r="M43" s="1016">
        <f t="shared" si="18"/>
        <v>14684</v>
      </c>
      <c r="N43" s="1016">
        <f t="shared" si="18"/>
        <v>14683</v>
      </c>
      <c r="O43" s="1016">
        <f t="shared" si="18"/>
        <v>0</v>
      </c>
      <c r="P43" s="1016">
        <f t="shared" si="18"/>
        <v>0</v>
      </c>
      <c r="Q43" s="1016">
        <f t="shared" ref="Q43" si="19">SUM(Q44)</f>
        <v>166412</v>
      </c>
      <c r="R43" s="1016"/>
      <c r="S43" s="79"/>
      <c r="T43" s="299"/>
      <c r="U43" s="299"/>
      <c r="V43" s="299"/>
      <c r="W43" s="299"/>
      <c r="X43" s="33">
        <v>166412</v>
      </c>
      <c r="Y43" s="33">
        <f>SUM(X43*120/100)</f>
        <v>199694.4</v>
      </c>
      <c r="Z43" s="33">
        <f>SUM(X43-Q43)</f>
        <v>0</v>
      </c>
    </row>
    <row r="44" spans="1:29" ht="48.75" thickBot="1">
      <c r="A44" s="78" t="str">
        <f>CONCATENATE('3 pr-2'!A107)</f>
        <v>2.1.1.1.5</v>
      </c>
      <c r="B44" s="78" t="str">
        <f>CONCATENATE('3 pr-2'!B107)</f>
        <v>R01-7724-220000-2115</v>
      </c>
      <c r="C44" s="647" t="str">
        <f>CONCATENATE('3 pr-2'!C107)</f>
        <v>09.1.3-CPVA-R-724-11-0001</v>
      </c>
      <c r="D44" s="78" t="s">
        <v>279</v>
      </c>
      <c r="E44" s="78" t="s">
        <v>161</v>
      </c>
      <c r="F44" s="78" t="s">
        <v>97</v>
      </c>
      <c r="G44" s="78" t="s">
        <v>1801</v>
      </c>
      <c r="H44" s="228" t="s">
        <v>136</v>
      </c>
      <c r="I44" s="14" t="s">
        <v>119</v>
      </c>
      <c r="J44" s="14" t="s">
        <v>66</v>
      </c>
      <c r="K44" s="16" t="s">
        <v>66</v>
      </c>
      <c r="L44" s="632">
        <f>SUM(M44:Q44)</f>
        <v>195779</v>
      </c>
      <c r="M44" s="632">
        <v>14684</v>
      </c>
      <c r="N44" s="632">
        <v>14683</v>
      </c>
      <c r="O44" s="632">
        <v>0</v>
      </c>
      <c r="P44" s="632">
        <v>0</v>
      </c>
      <c r="Q44" s="632">
        <v>166412</v>
      </c>
      <c r="R44" s="632"/>
      <c r="S44" s="423">
        <v>42863</v>
      </c>
      <c r="T44" s="323">
        <v>42916</v>
      </c>
      <c r="U44" s="323">
        <v>42993</v>
      </c>
      <c r="V44" s="323">
        <v>43150</v>
      </c>
      <c r="W44" s="431">
        <v>43709</v>
      </c>
      <c r="X44" s="30"/>
      <c r="Y44" s="30"/>
      <c r="Z44" s="30"/>
    </row>
    <row r="45" spans="1:29" ht="39" customHeight="1" thickBot="1">
      <c r="A45" s="297" t="s">
        <v>99</v>
      </c>
      <c r="B45" s="624"/>
      <c r="C45" s="624"/>
      <c r="D45" s="1931" t="s">
        <v>620</v>
      </c>
      <c r="E45" s="1940"/>
      <c r="F45" s="1940"/>
      <c r="G45" s="1940"/>
      <c r="H45" s="1940"/>
      <c r="I45" s="1940"/>
      <c r="J45" s="1940"/>
      <c r="K45" s="1941"/>
      <c r="L45" s="1016">
        <f t="shared" ref="L45:Q45" si="20">SUM(L46:L46)</f>
        <v>135814</v>
      </c>
      <c r="M45" s="1016">
        <f t="shared" si="20"/>
        <v>20373</v>
      </c>
      <c r="N45" s="1016">
        <f t="shared" si="20"/>
        <v>0</v>
      </c>
      <c r="O45" s="1016">
        <f t="shared" si="20"/>
        <v>0</v>
      </c>
      <c r="P45" s="1016">
        <f t="shared" si="20"/>
        <v>0</v>
      </c>
      <c r="Q45" s="1016">
        <f t="shared" si="20"/>
        <v>115441</v>
      </c>
      <c r="R45" s="1016"/>
      <c r="S45" s="79"/>
      <c r="T45" s="299"/>
      <c r="U45" s="299"/>
      <c r="V45" s="299"/>
      <c r="W45" s="299"/>
      <c r="X45" s="33">
        <v>115442.4570765518</v>
      </c>
      <c r="Y45" s="33">
        <f>SUM(X45*120/100)</f>
        <v>138530.94849186216</v>
      </c>
      <c r="Z45" s="33">
        <f>SUM(X45-Q45)</f>
        <v>1.4570765518001281</v>
      </c>
    </row>
    <row r="46" spans="1:29" ht="48.75" thickBot="1">
      <c r="A46" s="78" t="str">
        <f>CONCATENATE('3 pr-2'!A113)</f>
        <v>2.1.1.2.5</v>
      </c>
      <c r="B46" s="78" t="str">
        <f>CONCATENATE('3 pr-2'!B113)</f>
        <v>R01-7725-240000-2125</v>
      </c>
      <c r="C46" s="647" t="str">
        <f>CONCATENATE('3 pr-2'!C113)</f>
        <v>09.1.3-CPVA-R-725-11-0001</v>
      </c>
      <c r="D46" s="78" t="s">
        <v>280</v>
      </c>
      <c r="E46" s="78" t="s">
        <v>638</v>
      </c>
      <c r="F46" s="78" t="s">
        <v>97</v>
      </c>
      <c r="G46" s="78" t="s">
        <v>1801</v>
      </c>
      <c r="H46" s="228" t="s">
        <v>139</v>
      </c>
      <c r="I46" s="14" t="s">
        <v>119</v>
      </c>
      <c r="J46" s="14" t="s">
        <v>66</v>
      </c>
      <c r="K46" s="16" t="s">
        <v>66</v>
      </c>
      <c r="L46" s="632">
        <f>SUM(M46:Q46)</f>
        <v>135814</v>
      </c>
      <c r="M46" s="1013">
        <v>20373</v>
      </c>
      <c r="N46" s="632">
        <v>0</v>
      </c>
      <c r="O46" s="632">
        <v>0</v>
      </c>
      <c r="P46" s="632">
        <v>0</v>
      </c>
      <c r="Q46" s="1013">
        <v>115441</v>
      </c>
      <c r="R46" s="632"/>
      <c r="S46" s="423">
        <v>42828</v>
      </c>
      <c r="T46" s="323">
        <v>42866</v>
      </c>
      <c r="U46" s="323">
        <v>42916</v>
      </c>
      <c r="V46" s="323">
        <v>43100</v>
      </c>
      <c r="W46" s="431">
        <v>43465</v>
      </c>
      <c r="X46" s="30"/>
      <c r="Y46" s="30"/>
      <c r="Z46" s="30"/>
    </row>
    <row r="47" spans="1:29" ht="40.5" customHeight="1" thickBot="1">
      <c r="A47" s="297" t="s">
        <v>101</v>
      </c>
      <c r="B47" s="624"/>
      <c r="C47" s="624"/>
      <c r="D47" s="1931" t="s">
        <v>1384</v>
      </c>
      <c r="E47" s="1940"/>
      <c r="F47" s="1940"/>
      <c r="G47" s="1940"/>
      <c r="H47" s="1940"/>
      <c r="I47" s="1940"/>
      <c r="J47" s="1940"/>
      <c r="K47" s="1941"/>
      <c r="L47" s="1016">
        <f t="shared" ref="L47:P47" si="21">SUM(L48)</f>
        <v>133554.21</v>
      </c>
      <c r="M47" s="1016">
        <f t="shared" si="21"/>
        <v>10026.209999999999</v>
      </c>
      <c r="N47" s="1016">
        <f t="shared" si="21"/>
        <v>10016</v>
      </c>
      <c r="O47" s="1016">
        <f t="shared" si="21"/>
        <v>0</v>
      </c>
      <c r="P47" s="1016">
        <f t="shared" si="21"/>
        <v>0</v>
      </c>
      <c r="Q47" s="1016">
        <f t="shared" ref="Q47" si="22">SUM(Q48)</f>
        <v>113512</v>
      </c>
      <c r="R47" s="1016"/>
      <c r="S47" s="79"/>
      <c r="T47" s="299"/>
      <c r="U47" s="299"/>
      <c r="V47" s="299"/>
      <c r="W47" s="299"/>
      <c r="X47" s="33">
        <v>132472.50116125206</v>
      </c>
      <c r="Y47" s="33">
        <f>SUM(X47*120/100)</f>
        <v>158967.00139350246</v>
      </c>
      <c r="Z47" s="33">
        <f>SUM(X47-Q47)</f>
        <v>18960.501161252061</v>
      </c>
    </row>
    <row r="48" spans="1:29" ht="48.75" thickBot="1">
      <c r="A48" s="78" t="str">
        <f>CONCATENATE('3 pr-2'!A119)</f>
        <v>2.1.1.3.5</v>
      </c>
      <c r="B48" s="78" t="str">
        <f>CONCATENATE('3 pr-2'!B119)</f>
        <v>R01-7705-230000-2135</v>
      </c>
      <c r="C48" s="647" t="str">
        <f>CONCATENATE('3 pr-2'!C119)</f>
        <v>09.1.3-CPVA-R-705-11-0002</v>
      </c>
      <c r="D48" s="78" t="s">
        <v>639</v>
      </c>
      <c r="E48" s="78" t="s">
        <v>161</v>
      </c>
      <c r="F48" s="78" t="s">
        <v>97</v>
      </c>
      <c r="G48" s="78" t="s">
        <v>1801</v>
      </c>
      <c r="H48" s="228" t="s">
        <v>140</v>
      </c>
      <c r="I48" s="14" t="s">
        <v>119</v>
      </c>
      <c r="J48" s="14" t="s">
        <v>66</v>
      </c>
      <c r="K48" s="16" t="s">
        <v>66</v>
      </c>
      <c r="L48" s="632">
        <f>SUM(M48:Q48)</f>
        <v>133554.21</v>
      </c>
      <c r="M48" s="632">
        <v>10026.209999999999</v>
      </c>
      <c r="N48" s="632">
        <v>10016</v>
      </c>
      <c r="O48" s="632">
        <v>0</v>
      </c>
      <c r="P48" s="632">
        <v>0</v>
      </c>
      <c r="Q48" s="632">
        <v>113512</v>
      </c>
      <c r="R48" s="632"/>
      <c r="S48" s="423">
        <v>42966</v>
      </c>
      <c r="T48" s="323">
        <v>43039</v>
      </c>
      <c r="U48" s="323">
        <v>43080</v>
      </c>
      <c r="V48" s="323">
        <v>43159</v>
      </c>
      <c r="W48" s="431">
        <v>43739</v>
      </c>
      <c r="X48" s="30"/>
      <c r="Y48" s="30"/>
      <c r="Z48" s="30"/>
      <c r="AB48" s="48">
        <v>123528</v>
      </c>
      <c r="AC48" s="48">
        <v>92.5</v>
      </c>
    </row>
    <row r="49" spans="1:29" ht="51.75" customHeight="1" thickBot="1">
      <c r="A49" s="134" t="s">
        <v>32</v>
      </c>
      <c r="B49" s="628"/>
      <c r="C49" s="628"/>
      <c r="D49" s="1933" t="s">
        <v>621</v>
      </c>
      <c r="E49" s="1946"/>
      <c r="F49" s="1946"/>
      <c r="G49" s="1946"/>
      <c r="H49" s="1946"/>
      <c r="I49" s="1946"/>
      <c r="J49" s="1946"/>
      <c r="K49" s="1947"/>
      <c r="L49" s="1022">
        <f t="shared" ref="L49:Q49" si="23">SUM(L50+L52)</f>
        <v>391716.18</v>
      </c>
      <c r="M49" s="1022">
        <f t="shared" si="23"/>
        <v>17907.79</v>
      </c>
      <c r="N49" s="1022">
        <f t="shared" si="23"/>
        <v>29378.79</v>
      </c>
      <c r="O49" s="1022">
        <f t="shared" si="23"/>
        <v>11471</v>
      </c>
      <c r="P49" s="1022">
        <f t="shared" si="23"/>
        <v>0</v>
      </c>
      <c r="Q49" s="1022">
        <f t="shared" si="23"/>
        <v>332958.59999999998</v>
      </c>
      <c r="R49" s="1022"/>
      <c r="S49" s="115"/>
      <c r="T49" s="116"/>
      <c r="U49" s="116"/>
      <c r="V49" s="116"/>
      <c r="W49" s="151"/>
      <c r="X49" s="32">
        <f>SUM(X50+X52)</f>
        <v>332958.59999999998</v>
      </c>
      <c r="Y49" s="32">
        <f>SUM(Y50+Y52)</f>
        <v>399550.32</v>
      </c>
      <c r="Z49" s="32">
        <f>SUM(Z50+Z52)</f>
        <v>0</v>
      </c>
      <c r="AB49" s="48" t="str">
        <f>CONCATENATE(AB48*AC49/AC48)</f>
        <v>113512,216216216</v>
      </c>
      <c r="AC49" s="48">
        <v>85</v>
      </c>
    </row>
    <row r="50" spans="1:29" ht="36.75" customHeight="1" thickBot="1">
      <c r="A50" s="297" t="s">
        <v>33</v>
      </c>
      <c r="B50" s="624"/>
      <c r="C50" s="624"/>
      <c r="D50" s="1931" t="s">
        <v>622</v>
      </c>
      <c r="E50" s="1940"/>
      <c r="F50" s="1940"/>
      <c r="G50" s="1940"/>
      <c r="H50" s="1940"/>
      <c r="I50" s="1940"/>
      <c r="J50" s="1940"/>
      <c r="K50" s="1941"/>
      <c r="L50" s="1016">
        <f t="shared" ref="L50:Q50" si="24">SUM(L51:L51)</f>
        <v>192719</v>
      </c>
      <c r="M50" s="1016">
        <f t="shared" si="24"/>
        <v>2983</v>
      </c>
      <c r="N50" s="1016">
        <f t="shared" si="24"/>
        <v>14454</v>
      </c>
      <c r="O50" s="1016">
        <f t="shared" si="24"/>
        <v>11471</v>
      </c>
      <c r="P50" s="1016">
        <f t="shared" si="24"/>
        <v>0</v>
      </c>
      <c r="Q50" s="1016">
        <f t="shared" si="24"/>
        <v>163811</v>
      </c>
      <c r="R50" s="1016"/>
      <c r="S50" s="79"/>
      <c r="T50" s="299"/>
      <c r="U50" s="299"/>
      <c r="V50" s="299"/>
      <c r="W50" s="299"/>
      <c r="X50" s="33">
        <v>163811</v>
      </c>
      <c r="Y50" s="33">
        <f>SUM(X50*120/100)</f>
        <v>196573.2</v>
      </c>
      <c r="Z50" s="33">
        <f>SUM(X50-Q50)</f>
        <v>0</v>
      </c>
      <c r="AB50" s="48" t="str">
        <f>CONCATENATE(AB48*AC50/AC48)</f>
        <v>10015,7837837838</v>
      </c>
      <c r="AC50" s="48">
        <v>7.5</v>
      </c>
    </row>
    <row r="51" spans="1:29" ht="48.75" thickBot="1">
      <c r="A51" s="78" t="str">
        <f>CONCATENATE('3 pr-2'!A132)</f>
        <v>2.1.2.1.11</v>
      </c>
      <c r="B51" s="78" t="str">
        <f>CONCATENATE('3 pr-2'!B132)</f>
        <v>R01-6609-274700-2221</v>
      </c>
      <c r="C51" s="647" t="str">
        <f>CONCATENATE('3 pr-2'!C129)</f>
        <v>08.1.3-CPVA-R-609-11-0006</v>
      </c>
      <c r="D51" s="78" t="s">
        <v>3742</v>
      </c>
      <c r="E51" s="78" t="s">
        <v>161</v>
      </c>
      <c r="F51" s="78" t="s">
        <v>103</v>
      </c>
      <c r="G51" s="78" t="s">
        <v>1801</v>
      </c>
      <c r="H51" s="228" t="s">
        <v>153</v>
      </c>
      <c r="I51" s="14" t="s">
        <v>119</v>
      </c>
      <c r="J51" s="14" t="s">
        <v>66</v>
      </c>
      <c r="K51" s="16" t="s">
        <v>66</v>
      </c>
      <c r="L51" s="632">
        <f>SUM(M51:Q51)</f>
        <v>192719</v>
      </c>
      <c r="M51" s="632">
        <v>2983</v>
      </c>
      <c r="N51" s="632">
        <v>14454</v>
      </c>
      <c r="O51" s="632">
        <v>11471</v>
      </c>
      <c r="P51" s="632">
        <v>0</v>
      </c>
      <c r="Q51" s="632">
        <v>163811</v>
      </c>
      <c r="R51" s="632"/>
      <c r="S51" s="423">
        <v>43189</v>
      </c>
      <c r="T51" s="323">
        <v>43312</v>
      </c>
      <c r="U51" s="323">
        <v>43404</v>
      </c>
      <c r="V51" s="636">
        <v>43496</v>
      </c>
      <c r="W51" s="636">
        <v>44531</v>
      </c>
      <c r="X51" s="30"/>
      <c r="Y51" s="30"/>
      <c r="Z51" s="30"/>
    </row>
    <row r="52" spans="1:29" ht="30.75" customHeight="1" thickBot="1">
      <c r="A52" s="297" t="s">
        <v>34</v>
      </c>
      <c r="B52" s="624"/>
      <c r="C52" s="624"/>
      <c r="D52" s="1931" t="str">
        <f>CONCATENATE('3 pr-2'!D135)</f>
        <v/>
      </c>
      <c r="E52" s="1995"/>
      <c r="F52" s="1995"/>
      <c r="G52" s="1995"/>
      <c r="H52" s="1995"/>
      <c r="I52" s="1995"/>
      <c r="J52" s="1995"/>
      <c r="K52" s="1996"/>
      <c r="L52" s="1016">
        <f t="shared" ref="L52:Q54" si="25">SUM(L53:L53)</f>
        <v>198997.18</v>
      </c>
      <c r="M52" s="1016">
        <f t="shared" si="25"/>
        <v>14924.79</v>
      </c>
      <c r="N52" s="1016">
        <f t="shared" si="25"/>
        <v>14924.79</v>
      </c>
      <c r="O52" s="1016">
        <f t="shared" si="25"/>
        <v>0</v>
      </c>
      <c r="P52" s="1016">
        <f t="shared" si="25"/>
        <v>0</v>
      </c>
      <c r="Q52" s="1016">
        <f t="shared" si="25"/>
        <v>169147.6</v>
      </c>
      <c r="R52" s="1016"/>
      <c r="S52" s="79"/>
      <c r="T52" s="299"/>
      <c r="U52" s="299"/>
      <c r="V52" s="299"/>
      <c r="W52" s="299"/>
      <c r="X52" s="33">
        <v>169147.6</v>
      </c>
      <c r="Y52" s="33">
        <f>SUM(X52*120/100)</f>
        <v>202977.12</v>
      </c>
      <c r="Z52" s="33">
        <f>SUM(X52-Q52)</f>
        <v>0</v>
      </c>
    </row>
    <row r="53" spans="1:29" ht="48.75" thickBot="1">
      <c r="A53" s="78" t="str">
        <f>CONCATENATE('3 pr-2'!A140)</f>
        <v>2.1.2.2.5</v>
      </c>
      <c r="B53" s="78" t="str">
        <f>CONCATENATE('3 pr-2'!B140)</f>
        <v>R01-6630-470000-2225</v>
      </c>
      <c r="C53" s="647" t="str">
        <f>CONCATENATE('3 pr-2'!C140)</f>
        <v>08.4.2-ESFA-R-630-11-0002</v>
      </c>
      <c r="D53" s="78" t="s">
        <v>1195</v>
      </c>
      <c r="E53" s="78" t="s">
        <v>1196</v>
      </c>
      <c r="F53" s="78" t="s">
        <v>103</v>
      </c>
      <c r="G53" s="78" t="s">
        <v>1801</v>
      </c>
      <c r="H53" s="228" t="s">
        <v>1176</v>
      </c>
      <c r="I53" s="14" t="s">
        <v>119</v>
      </c>
      <c r="J53" s="14" t="s">
        <v>66</v>
      </c>
      <c r="K53" s="16" t="s">
        <v>66</v>
      </c>
      <c r="L53" s="632">
        <v>198997.18</v>
      </c>
      <c r="M53" s="632">
        <v>14924.79</v>
      </c>
      <c r="N53" s="632">
        <v>14924.79</v>
      </c>
      <c r="O53" s="632">
        <v>0</v>
      </c>
      <c r="P53" s="632">
        <v>0</v>
      </c>
      <c r="Q53" s="644">
        <v>169147.6</v>
      </c>
      <c r="R53" s="644"/>
      <c r="S53" s="16"/>
      <c r="T53" s="155">
        <v>43189</v>
      </c>
      <c r="U53" s="155">
        <v>43217</v>
      </c>
      <c r="V53" s="645">
        <v>43278</v>
      </c>
      <c r="W53" s="155">
        <v>44561</v>
      </c>
      <c r="X53" s="30"/>
      <c r="Y53" s="30">
        <f>SUM(Q51+Q53)</f>
        <v>332958.59999999998</v>
      </c>
      <c r="Z53" s="30"/>
    </row>
    <row r="54" spans="1:29" ht="30.75" customHeight="1" thickBot="1">
      <c r="A54" s="297" t="s">
        <v>1185</v>
      </c>
      <c r="B54" s="624"/>
      <c r="C54" s="624"/>
      <c r="D54" s="1931" t="str">
        <f>CONCATENATE('3 pr-2'!D141)</f>
        <v/>
      </c>
      <c r="E54" s="1995"/>
      <c r="F54" s="1995"/>
      <c r="G54" s="1995"/>
      <c r="H54" s="1995"/>
      <c r="I54" s="1995"/>
      <c r="J54" s="1995"/>
      <c r="K54" s="1996"/>
      <c r="L54" s="1019">
        <f t="shared" si="25"/>
        <v>15224</v>
      </c>
      <c r="M54" s="1019">
        <f t="shared" si="25"/>
        <v>1142</v>
      </c>
      <c r="N54" s="1019">
        <f t="shared" si="25"/>
        <v>1141.5999999999999</v>
      </c>
      <c r="O54" s="1019">
        <f t="shared" si="25"/>
        <v>0</v>
      </c>
      <c r="P54" s="1019">
        <f t="shared" si="25"/>
        <v>0</v>
      </c>
      <c r="Q54" s="1019">
        <f t="shared" si="25"/>
        <v>12940.4</v>
      </c>
      <c r="R54" s="1019"/>
      <c r="S54" s="79"/>
      <c r="T54" s="299"/>
      <c r="U54" s="299"/>
      <c r="V54" s="299"/>
      <c r="W54" s="299"/>
      <c r="X54" s="33">
        <v>12940</v>
      </c>
      <c r="Y54" s="33">
        <f>SUM(X54*120/100)</f>
        <v>15528</v>
      </c>
      <c r="Z54" s="33">
        <f>SUM(X54-Q54)</f>
        <v>-0.3999999999996362</v>
      </c>
    </row>
    <row r="55" spans="1:29" ht="48.75" thickBot="1">
      <c r="A55" s="78" t="str">
        <f>CONCATENATE('3 pr-2'!A144)</f>
        <v>2.1.2.3.3</v>
      </c>
      <c r="B55" s="78" t="str">
        <f>CONCATENATE('3 pr-2'!B144)</f>
        <v>R01-6615-470000-2233</v>
      </c>
      <c r="C55" s="647" t="str">
        <f>CONCATENATE('3 pr-2'!C144)</f>
        <v>08.4.2-ESFA-R-615-11-0001</v>
      </c>
      <c r="D55" s="78" t="s">
        <v>3762</v>
      </c>
      <c r="E55" s="78" t="s">
        <v>161</v>
      </c>
      <c r="F55" s="78" t="s">
        <v>103</v>
      </c>
      <c r="G55" s="78" t="s">
        <v>1801</v>
      </c>
      <c r="H55" s="228" t="s">
        <v>1191</v>
      </c>
      <c r="I55" s="14" t="s">
        <v>119</v>
      </c>
      <c r="J55" s="14" t="s">
        <v>66</v>
      </c>
      <c r="K55" s="16" t="s">
        <v>66</v>
      </c>
      <c r="L55" s="1020">
        <f>SUM(M55:Q55)</f>
        <v>15224</v>
      </c>
      <c r="M55" s="1020">
        <v>1142</v>
      </c>
      <c r="N55" s="1020">
        <v>1141.5999999999999</v>
      </c>
      <c r="O55" s="1020">
        <v>0</v>
      </c>
      <c r="P55" s="1020">
        <v>0</v>
      </c>
      <c r="Q55" s="1033">
        <v>12940.4</v>
      </c>
      <c r="R55" s="1033"/>
      <c r="S55" s="16"/>
      <c r="T55" s="155">
        <v>43189</v>
      </c>
      <c r="U55" s="155">
        <v>43189</v>
      </c>
      <c r="V55" s="645">
        <v>43235</v>
      </c>
      <c r="W55" s="155">
        <v>44561</v>
      </c>
      <c r="X55" s="30"/>
      <c r="Y55" s="30">
        <f>SUM(Q53+Q55)</f>
        <v>182088</v>
      </c>
      <c r="Z55" s="30"/>
      <c r="AB55" s="59"/>
    </row>
    <row r="56" spans="1:29" ht="42.75" customHeight="1" thickBot="1">
      <c r="A56" s="134" t="s">
        <v>35</v>
      </c>
      <c r="B56" s="628"/>
      <c r="C56" s="628"/>
      <c r="D56" s="1933" t="s">
        <v>627</v>
      </c>
      <c r="E56" s="1946"/>
      <c r="F56" s="1946"/>
      <c r="G56" s="1946"/>
      <c r="H56" s="1946"/>
      <c r="I56" s="1946"/>
      <c r="J56" s="1946"/>
      <c r="K56" s="1947"/>
      <c r="L56" s="1022">
        <f t="shared" ref="L56:Q56" si="26">SUM(L57+L59)</f>
        <v>514918</v>
      </c>
      <c r="M56" s="1022">
        <f t="shared" si="26"/>
        <v>55587</v>
      </c>
      <c r="N56" s="1022">
        <f t="shared" si="26"/>
        <v>21947.85</v>
      </c>
      <c r="O56" s="1022">
        <f t="shared" si="26"/>
        <v>0</v>
      </c>
      <c r="P56" s="1022">
        <f t="shared" si="26"/>
        <v>0</v>
      </c>
      <c r="Q56" s="1022">
        <f t="shared" si="26"/>
        <v>437383.15</v>
      </c>
      <c r="R56" s="1022"/>
      <c r="S56" s="115"/>
      <c r="T56" s="116"/>
      <c r="U56" s="116"/>
      <c r="V56" s="116"/>
      <c r="W56" s="151"/>
      <c r="X56" s="32">
        <f>SUM(X57+X59)</f>
        <v>437382.655699722</v>
      </c>
      <c r="Y56" s="32">
        <f>SUM(Y57+Y59)</f>
        <v>524859.18683966645</v>
      </c>
      <c r="Z56" s="32">
        <f>SUM(Z57+Z59)</f>
        <v>-0.49430027802009135</v>
      </c>
    </row>
    <row r="57" spans="1:29" ht="34.5" customHeight="1" thickBot="1">
      <c r="A57" s="297" t="s">
        <v>36</v>
      </c>
      <c r="B57" s="624"/>
      <c r="C57" s="624"/>
      <c r="D57" s="1931" t="s">
        <v>623</v>
      </c>
      <c r="E57" s="1940"/>
      <c r="F57" s="1940"/>
      <c r="G57" s="1940"/>
      <c r="H57" s="1940"/>
      <c r="I57" s="1940"/>
      <c r="J57" s="1940"/>
      <c r="K57" s="1941"/>
      <c r="L57" s="1016">
        <f>SUM(L58)</f>
        <v>146319</v>
      </c>
      <c r="M57" s="1016">
        <f>SUM(M58)</f>
        <v>0</v>
      </c>
      <c r="N57" s="1016">
        <f t="shared" ref="N57:P57" si="27">SUM(N58)</f>
        <v>21947.85</v>
      </c>
      <c r="O57" s="1016">
        <f t="shared" si="27"/>
        <v>0</v>
      </c>
      <c r="P57" s="1016">
        <f t="shared" si="27"/>
        <v>0</v>
      </c>
      <c r="Q57" s="1016">
        <f>SUM(Q58)</f>
        <v>124371.15</v>
      </c>
      <c r="R57" s="1016"/>
      <c r="S57" s="79"/>
      <c r="T57" s="299"/>
      <c r="U57" s="299"/>
      <c r="V57" s="299"/>
      <c r="W57" s="299"/>
      <c r="X57" s="33">
        <v>124370.65569972197</v>
      </c>
      <c r="Y57" s="33">
        <f>SUM(X57*120/100)</f>
        <v>149244.78683966637</v>
      </c>
      <c r="Z57" s="33">
        <f>SUM(X57-Q57)</f>
        <v>-0.49430027802009135</v>
      </c>
    </row>
    <row r="58" spans="1:29" ht="48.75" customHeight="1" thickBot="1">
      <c r="A58" s="78" t="str">
        <f>CONCATENATE('3 pr-2'!A153)</f>
        <v>2.1.3.1.5</v>
      </c>
      <c r="B58" s="78" t="str">
        <f>CONCATENATE('3 pr-2'!B153)</f>
        <v>R01-4407-270000-2315</v>
      </c>
      <c r="C58" s="647" t="str">
        <f>CONCATENATE('3 pr-2'!C153)</f>
        <v>08.1.1-CPVA-R-407-11-0003</v>
      </c>
      <c r="D58" s="78" t="s">
        <v>313</v>
      </c>
      <c r="E58" s="78" t="s">
        <v>314</v>
      </c>
      <c r="F58" s="78" t="s">
        <v>106</v>
      </c>
      <c r="G58" s="78" t="s">
        <v>1801</v>
      </c>
      <c r="H58" s="228" t="s">
        <v>2259</v>
      </c>
      <c r="I58" s="14" t="s">
        <v>119</v>
      </c>
      <c r="J58" s="14" t="s">
        <v>66</v>
      </c>
      <c r="K58" s="16" t="s">
        <v>66</v>
      </c>
      <c r="L58" s="632">
        <f>SUM(M58:Q58)</f>
        <v>146319</v>
      </c>
      <c r="M58" s="632">
        <v>0</v>
      </c>
      <c r="N58" s="1013">
        <v>21947.85</v>
      </c>
      <c r="O58" s="632">
        <v>0</v>
      </c>
      <c r="P58" s="632">
        <v>0</v>
      </c>
      <c r="Q58" s="1013">
        <v>124371.15</v>
      </c>
      <c r="R58" s="632"/>
      <c r="S58" s="423">
        <v>42618</v>
      </c>
      <c r="T58" s="323">
        <v>42669</v>
      </c>
      <c r="U58" s="323">
        <v>42737</v>
      </c>
      <c r="V58" s="323">
        <v>42855</v>
      </c>
      <c r="W58" s="431">
        <f>SUM('IV-1 su proj'!CH152)</f>
        <v>43615</v>
      </c>
      <c r="X58" s="30"/>
      <c r="Y58" s="30"/>
      <c r="Z58" s="30"/>
    </row>
    <row r="59" spans="1:29" ht="30" customHeight="1" thickBot="1">
      <c r="A59" s="297" t="s">
        <v>37</v>
      </c>
      <c r="B59" s="624"/>
      <c r="C59" s="624"/>
      <c r="D59" s="1931" t="s">
        <v>624</v>
      </c>
      <c r="E59" s="1940"/>
      <c r="F59" s="1940"/>
      <c r="G59" s="1940"/>
      <c r="H59" s="1940"/>
      <c r="I59" s="1940"/>
      <c r="J59" s="1940"/>
      <c r="K59" s="1941"/>
      <c r="L59" s="1016">
        <f>SUM(L60)</f>
        <v>368599</v>
      </c>
      <c r="M59" s="1016">
        <f>SUM(M60)</f>
        <v>55587</v>
      </c>
      <c r="N59" s="1016"/>
      <c r="O59" s="1016"/>
      <c r="P59" s="1016"/>
      <c r="Q59" s="1016">
        <f>SUM(Q60)</f>
        <v>313012</v>
      </c>
      <c r="R59" s="1016"/>
      <c r="S59" s="79"/>
      <c r="T59" s="299"/>
      <c r="U59" s="299"/>
      <c r="V59" s="299"/>
      <c r="W59" s="299"/>
      <c r="X59" s="33">
        <v>313012</v>
      </c>
      <c r="Y59" s="33">
        <f>SUM(X59*120/100)</f>
        <v>375614.4</v>
      </c>
      <c r="Z59" s="33">
        <f>SUM(X59-Q59)</f>
        <v>0</v>
      </c>
    </row>
    <row r="60" spans="1:29" ht="48.75" thickBot="1">
      <c r="A60" s="78" t="str">
        <f>CONCATENATE('3 pr-2'!A159)</f>
        <v>2.1.3.2.5</v>
      </c>
      <c r="B60" s="78" t="str">
        <f>CONCATENATE('3 pr-2'!B159)</f>
        <v>R01-4408-252600-2325</v>
      </c>
      <c r="C60" s="647" t="str">
        <f>CONCATENATE('3 pr-2'!C159)</f>
        <v>08.1.2-CPVA-R-408-11-0004</v>
      </c>
      <c r="D60" s="78" t="s">
        <v>281</v>
      </c>
      <c r="E60" s="78" t="s">
        <v>161</v>
      </c>
      <c r="F60" s="78" t="s">
        <v>106</v>
      </c>
      <c r="G60" s="78" t="s">
        <v>1801</v>
      </c>
      <c r="H60" s="228" t="s">
        <v>2293</v>
      </c>
      <c r="I60" s="14" t="s">
        <v>119</v>
      </c>
      <c r="J60" s="14" t="s">
        <v>66</v>
      </c>
      <c r="K60" s="16" t="s">
        <v>66</v>
      </c>
      <c r="L60" s="632">
        <f>SUM(M60:Q60)</f>
        <v>368599</v>
      </c>
      <c r="M60" s="632">
        <v>55587</v>
      </c>
      <c r="N60" s="632">
        <v>0</v>
      </c>
      <c r="O60" s="632">
        <v>0</v>
      </c>
      <c r="P60" s="632">
        <v>0</v>
      </c>
      <c r="Q60" s="632">
        <v>313012</v>
      </c>
      <c r="R60" s="632"/>
      <c r="S60" s="423">
        <v>42401</v>
      </c>
      <c r="T60" s="323">
        <v>42490</v>
      </c>
      <c r="U60" s="323">
        <v>42674</v>
      </c>
      <c r="V60" s="323">
        <v>42735</v>
      </c>
      <c r="W60" s="431">
        <v>43554</v>
      </c>
      <c r="X60" s="30"/>
      <c r="Y60" s="30"/>
      <c r="Z60" s="30"/>
    </row>
    <row r="61" spans="1:29" ht="38.25" customHeight="1" thickBot="1">
      <c r="A61" s="134" t="s">
        <v>38</v>
      </c>
      <c r="B61" s="628"/>
      <c r="C61" s="628"/>
      <c r="D61" s="1933" t="s">
        <v>625</v>
      </c>
      <c r="E61" s="1934"/>
      <c r="F61" s="1934"/>
      <c r="G61" s="1934"/>
      <c r="H61" s="1934"/>
      <c r="I61" s="1934"/>
      <c r="J61" s="1934"/>
      <c r="K61" s="1935"/>
      <c r="L61" s="1029">
        <f t="shared" ref="L61:Q62" si="28">SUM(L62)</f>
        <v>163986.88</v>
      </c>
      <c r="M61" s="1029">
        <f t="shared" si="28"/>
        <v>24598.880000000001</v>
      </c>
      <c r="N61" s="1029">
        <f t="shared" si="28"/>
        <v>0</v>
      </c>
      <c r="O61" s="1029">
        <f t="shared" si="28"/>
        <v>0</v>
      </c>
      <c r="P61" s="1029">
        <f t="shared" si="28"/>
        <v>0</v>
      </c>
      <c r="Q61" s="1029">
        <f t="shared" si="28"/>
        <v>139388</v>
      </c>
      <c r="R61" s="1029"/>
      <c r="S61" s="137"/>
      <c r="T61" s="334"/>
      <c r="U61" s="335"/>
      <c r="V61" s="335"/>
      <c r="W61" s="336"/>
      <c r="X61" s="32">
        <f>SUM(X62)</f>
        <v>139389.14184089529</v>
      </c>
      <c r="Y61" s="32">
        <f>SUM(Y62)</f>
        <v>167266.97020907435</v>
      </c>
      <c r="Z61" s="32">
        <f>SUM(Z62)</f>
        <v>1.1418408952886239</v>
      </c>
    </row>
    <row r="62" spans="1:29" ht="30" customHeight="1" thickBot="1">
      <c r="A62" s="297" t="s">
        <v>109</v>
      </c>
      <c r="B62" s="624"/>
      <c r="C62" s="624"/>
      <c r="D62" s="1931" t="s">
        <v>626</v>
      </c>
      <c r="E62" s="1940"/>
      <c r="F62" s="1940"/>
      <c r="G62" s="1940"/>
      <c r="H62" s="1940"/>
      <c r="I62" s="1940"/>
      <c r="J62" s="1940"/>
      <c r="K62" s="1941"/>
      <c r="L62" s="1016">
        <f>SUM(L63)</f>
        <v>163986.88</v>
      </c>
      <c r="M62" s="1016">
        <f>SUM(M63)</f>
        <v>24598.880000000001</v>
      </c>
      <c r="N62" s="1016">
        <f t="shared" si="28"/>
        <v>0</v>
      </c>
      <c r="O62" s="1016">
        <f t="shared" si="28"/>
        <v>0</v>
      </c>
      <c r="P62" s="1016">
        <f t="shared" si="28"/>
        <v>0</v>
      </c>
      <c r="Q62" s="1016">
        <f>SUM(Q63)</f>
        <v>139388</v>
      </c>
      <c r="R62" s="1016"/>
      <c r="S62" s="79"/>
      <c r="T62" s="299"/>
      <c r="U62" s="299"/>
      <c r="V62" s="299"/>
      <c r="W62" s="299"/>
      <c r="X62" s="33">
        <v>139389.14184089529</v>
      </c>
      <c r="Y62" s="33">
        <f>SUM(X62*120/100)</f>
        <v>167266.97020907435</v>
      </c>
      <c r="Z62" s="33">
        <f>SUM(X62-Q62)</f>
        <v>1.1418408952886239</v>
      </c>
    </row>
    <row r="63" spans="1:29" ht="48.75" thickBot="1">
      <c r="A63" s="78" t="str">
        <f>CONCATENATE('3 pr-2'!A164)</f>
        <v>2.1.4.1.3</v>
      </c>
      <c r="B63" s="78" t="str">
        <f>CONCATENATE('3 pr-2'!B164)</f>
        <v>R01-9920-490000-2413</v>
      </c>
      <c r="C63" s="647" t="str">
        <f>CONCATENATE('3 pr-2'!C164)</f>
        <v>10.1.3-ESFA-R-920-11-0003</v>
      </c>
      <c r="D63" s="78" t="s">
        <v>392</v>
      </c>
      <c r="E63" s="78" t="s">
        <v>161</v>
      </c>
      <c r="F63" s="78" t="s">
        <v>75</v>
      </c>
      <c r="G63" s="78" t="s">
        <v>1801</v>
      </c>
      <c r="H63" s="228" t="s">
        <v>1122</v>
      </c>
      <c r="I63" s="14" t="s">
        <v>119</v>
      </c>
      <c r="J63" s="14" t="s">
        <v>66</v>
      </c>
      <c r="K63" s="16" t="s">
        <v>66</v>
      </c>
      <c r="L63" s="632">
        <f>SUM(M63:Q63)</f>
        <v>163986.88</v>
      </c>
      <c r="M63" s="632">
        <v>24598.880000000001</v>
      </c>
      <c r="N63" s="632">
        <v>0</v>
      </c>
      <c r="O63" s="632">
        <v>0</v>
      </c>
      <c r="P63" s="632">
        <v>0</v>
      </c>
      <c r="Q63" s="1318">
        <v>139388</v>
      </c>
      <c r="R63" s="632"/>
      <c r="S63" s="423">
        <v>43017</v>
      </c>
      <c r="T63" s="323">
        <v>43039</v>
      </c>
      <c r="U63" s="323">
        <v>43063</v>
      </c>
      <c r="V63" s="323">
        <v>43144</v>
      </c>
      <c r="W63" s="323">
        <v>44196</v>
      </c>
      <c r="X63" s="30"/>
      <c r="Y63" s="30"/>
      <c r="Z63" s="30"/>
    </row>
    <row r="64" spans="1:29" ht="39.75" customHeight="1" thickBot="1">
      <c r="A64" s="141" t="s">
        <v>40</v>
      </c>
      <c r="B64" s="629"/>
      <c r="C64" s="629"/>
      <c r="D64" s="1943" t="s">
        <v>1388</v>
      </c>
      <c r="E64" s="1944"/>
      <c r="F64" s="1944"/>
      <c r="G64" s="1944"/>
      <c r="H64" s="1944"/>
      <c r="I64" s="1944"/>
      <c r="J64" s="1944"/>
      <c r="K64" s="1945"/>
      <c r="L64" s="136">
        <f t="shared" ref="L64:Q64" si="29">SUM(L65+L68)</f>
        <v>1151553.0217647059</v>
      </c>
      <c r="M64" s="136">
        <f t="shared" si="29"/>
        <v>88813.61</v>
      </c>
      <c r="N64" s="136">
        <f t="shared" si="29"/>
        <v>0</v>
      </c>
      <c r="O64" s="136">
        <f t="shared" si="29"/>
        <v>110329.9021236539</v>
      </c>
      <c r="P64" s="136">
        <f t="shared" si="29"/>
        <v>0</v>
      </c>
      <c r="Q64" s="136">
        <f t="shared" si="29"/>
        <v>978820.08000000007</v>
      </c>
      <c r="R64" s="136"/>
      <c r="S64" s="136"/>
      <c r="T64" s="142"/>
      <c r="U64" s="142"/>
      <c r="V64" s="142"/>
      <c r="W64" s="150"/>
      <c r="X64" s="31">
        <f>SUM(X65+X68)</f>
        <v>989368.88</v>
      </c>
      <c r="Y64" s="31">
        <f>SUM(Y65+Y68)</f>
        <v>1187242.656</v>
      </c>
      <c r="Z64" s="31">
        <f>SUM(Z65+Z68)</f>
        <v>10548.799999999988</v>
      </c>
    </row>
    <row r="65" spans="1:26" ht="41.25" customHeight="1" thickBot="1">
      <c r="A65" s="134" t="s">
        <v>41</v>
      </c>
      <c r="B65" s="628"/>
      <c r="C65" s="628"/>
      <c r="D65" s="1933" t="s">
        <v>1389</v>
      </c>
      <c r="E65" s="1946"/>
      <c r="F65" s="1946"/>
      <c r="G65" s="1946"/>
      <c r="H65" s="1946"/>
      <c r="I65" s="1946"/>
      <c r="J65" s="1946"/>
      <c r="K65" s="1947"/>
      <c r="L65" s="115">
        <f t="shared" ref="L65:Q65" si="30">SUM(L66)</f>
        <v>559462.21176470583</v>
      </c>
      <c r="M65" s="115">
        <f t="shared" si="30"/>
        <v>0</v>
      </c>
      <c r="N65" s="115">
        <f t="shared" si="30"/>
        <v>0</v>
      </c>
      <c r="O65" s="115">
        <f t="shared" si="30"/>
        <v>110329.9021236539</v>
      </c>
      <c r="P65" s="115">
        <f t="shared" si="30"/>
        <v>0</v>
      </c>
      <c r="Q65" s="115">
        <f t="shared" si="30"/>
        <v>475542.88</v>
      </c>
      <c r="R65" s="115"/>
      <c r="S65" s="115"/>
      <c r="T65" s="116"/>
      <c r="U65" s="116"/>
      <c r="V65" s="116"/>
      <c r="W65" s="151"/>
      <c r="X65" s="32">
        <f>SUM(X66)</f>
        <v>475542.88</v>
      </c>
      <c r="Y65" s="32">
        <f>SUM(Y66)</f>
        <v>570651.45600000001</v>
      </c>
      <c r="Z65" s="32">
        <f>SUM(Z66)</f>
        <v>0</v>
      </c>
    </row>
    <row r="66" spans="1:26" ht="36" customHeight="1" thickBot="1">
      <c r="A66" s="297" t="s">
        <v>42</v>
      </c>
      <c r="B66" s="624"/>
      <c r="C66" s="624"/>
      <c r="D66" s="1931" t="s">
        <v>597</v>
      </c>
      <c r="E66" s="1940"/>
      <c r="F66" s="1940"/>
      <c r="G66" s="1940"/>
      <c r="H66" s="1940"/>
      <c r="I66" s="1940"/>
      <c r="J66" s="1940"/>
      <c r="K66" s="1941"/>
      <c r="L66" s="299">
        <f t="shared" ref="L66:Q66" si="31">SUM(L67:L67)</f>
        <v>559462.21176470583</v>
      </c>
      <c r="M66" s="299">
        <f t="shared" si="31"/>
        <v>0</v>
      </c>
      <c r="N66" s="299">
        <f t="shared" si="31"/>
        <v>0</v>
      </c>
      <c r="O66" s="299">
        <f t="shared" si="31"/>
        <v>110329.9021236539</v>
      </c>
      <c r="P66" s="299">
        <f t="shared" si="31"/>
        <v>0</v>
      </c>
      <c r="Q66" s="299">
        <f t="shared" si="31"/>
        <v>475542.88</v>
      </c>
      <c r="R66" s="299"/>
      <c r="S66" s="79"/>
      <c r="T66" s="299"/>
      <c r="U66" s="299"/>
      <c r="V66" s="299"/>
      <c r="W66" s="299"/>
      <c r="X66" s="33">
        <v>475542.88</v>
      </c>
      <c r="Y66" s="33">
        <f>SUM(X66*120/100)</f>
        <v>570651.45600000001</v>
      </c>
      <c r="Z66" s="33">
        <f>SUM(X66-Q66)</f>
        <v>0</v>
      </c>
    </row>
    <row r="67" spans="1:26" ht="48.75" thickBot="1">
      <c r="A67" s="78" t="str">
        <f>CONCATENATE('3 pr-2'!A171)</f>
        <v>3.1.1.1.1</v>
      </c>
      <c r="B67" s="78" t="str">
        <f>CONCATENATE('3 pr-2'!B171)</f>
        <v>R01-0008-050000-3111</v>
      </c>
      <c r="C67" s="647" t="str">
        <f>CONCATENATE('3 pr-2'!C171)</f>
        <v>05.2.1-APVA-R-008-11-0001</v>
      </c>
      <c r="D67" s="78" t="s">
        <v>307</v>
      </c>
      <c r="E67" s="78" t="s">
        <v>189</v>
      </c>
      <c r="F67" s="78" t="s">
        <v>77</v>
      </c>
      <c r="G67" s="78" t="s">
        <v>185</v>
      </c>
      <c r="H67" s="228" t="s">
        <v>190</v>
      </c>
      <c r="I67" s="14" t="s">
        <v>119</v>
      </c>
      <c r="J67" s="14" t="s">
        <v>66</v>
      </c>
      <c r="K67" s="16" t="s">
        <v>66</v>
      </c>
      <c r="L67" s="16">
        <v>559462.21176470583</v>
      </c>
      <c r="M67" s="1644">
        <v>0</v>
      </c>
      <c r="N67" s="16">
        <v>0</v>
      </c>
      <c r="O67" s="1644">
        <v>110329.9021236539</v>
      </c>
      <c r="P67" s="16">
        <v>0</v>
      </c>
      <c r="Q67" s="16">
        <v>475542.88</v>
      </c>
      <c r="R67" s="16"/>
      <c r="S67" s="16"/>
      <c r="T67" s="323">
        <v>42766</v>
      </c>
      <c r="U67" s="323">
        <v>42916</v>
      </c>
      <c r="V67" s="323">
        <v>43008</v>
      </c>
      <c r="W67" s="323">
        <v>43830</v>
      </c>
      <c r="X67" s="30"/>
      <c r="Y67" s="30"/>
      <c r="Z67" s="30"/>
    </row>
    <row r="68" spans="1:26" ht="34.5" customHeight="1" thickBot="1">
      <c r="A68" s="134" t="s">
        <v>43</v>
      </c>
      <c r="B68" s="628"/>
      <c r="C68" s="628"/>
      <c r="D68" s="1933" t="s">
        <v>1390</v>
      </c>
      <c r="E68" s="1946"/>
      <c r="F68" s="1946"/>
      <c r="G68" s="1946"/>
      <c r="H68" s="1946"/>
      <c r="I68" s="1946"/>
      <c r="J68" s="1946"/>
      <c r="K68" s="1947"/>
      <c r="L68" s="115">
        <f t="shared" ref="L68:Q68" si="32">SUM(L69)</f>
        <v>592090.80999999994</v>
      </c>
      <c r="M68" s="115">
        <f t="shared" si="32"/>
        <v>88813.61</v>
      </c>
      <c r="N68" s="115">
        <f t="shared" si="32"/>
        <v>0</v>
      </c>
      <c r="O68" s="115">
        <f t="shared" si="32"/>
        <v>0</v>
      </c>
      <c r="P68" s="115">
        <f t="shared" si="32"/>
        <v>0</v>
      </c>
      <c r="Q68" s="115">
        <f t="shared" si="32"/>
        <v>503277.2</v>
      </c>
      <c r="R68" s="115"/>
      <c r="S68" s="115"/>
      <c r="T68" s="116"/>
      <c r="U68" s="116"/>
      <c r="V68" s="116"/>
      <c r="W68" s="151"/>
      <c r="X68" s="32">
        <f>SUM(X69)</f>
        <v>513826</v>
      </c>
      <c r="Y68" s="32">
        <f>SUM(Y69)</f>
        <v>616591.19999999995</v>
      </c>
      <c r="Z68" s="32">
        <f>SUM(Z69)</f>
        <v>10548.799999999988</v>
      </c>
    </row>
    <row r="69" spans="1:26" ht="43.5" customHeight="1" thickBot="1">
      <c r="A69" s="297" t="s">
        <v>113</v>
      </c>
      <c r="B69" s="624"/>
      <c r="C69" s="624"/>
      <c r="D69" s="1931" t="s">
        <v>601</v>
      </c>
      <c r="E69" s="1940"/>
      <c r="F69" s="1940"/>
      <c r="G69" s="1940"/>
      <c r="H69" s="1940"/>
      <c r="I69" s="1940"/>
      <c r="J69" s="1940"/>
      <c r="K69" s="1941"/>
      <c r="L69" s="299">
        <f t="shared" ref="L69:Q69" si="33">SUM(L70:L71)</f>
        <v>592090.80999999994</v>
      </c>
      <c r="M69" s="299">
        <f t="shared" si="33"/>
        <v>88813.61</v>
      </c>
      <c r="N69" s="299">
        <f t="shared" si="33"/>
        <v>0</v>
      </c>
      <c r="O69" s="299">
        <f t="shared" si="33"/>
        <v>0</v>
      </c>
      <c r="P69" s="299">
        <f t="shared" si="33"/>
        <v>0</v>
      </c>
      <c r="Q69" s="299">
        <f t="shared" si="33"/>
        <v>503277.2</v>
      </c>
      <c r="R69" s="299"/>
      <c r="S69" s="79"/>
      <c r="T69" s="299"/>
      <c r="U69" s="299"/>
      <c r="V69" s="299"/>
      <c r="W69" s="299"/>
      <c r="X69" s="33">
        <v>513826</v>
      </c>
      <c r="Y69" s="33">
        <f>SUM(X69*120/100)</f>
        <v>616591.19999999995</v>
      </c>
      <c r="Z69" s="33">
        <f>SUM(X69-Q69)</f>
        <v>10548.799999999988</v>
      </c>
    </row>
    <row r="70" spans="1:26" ht="48.75" thickBot="1">
      <c r="A70" s="78" t="str">
        <f>CONCATENATE('3 pr-2'!A179)</f>
        <v>3.1.2.1.6</v>
      </c>
      <c r="B70" s="78" t="str">
        <f>CONCATENATE('3 pr-2'!B179)</f>
        <v>R01-0019-380000-3216</v>
      </c>
      <c r="C70" s="647" t="str">
        <f>CONCATENATE('3 pr-2'!C179)</f>
        <v>05.5.1-APVA-R-019-11-0003</v>
      </c>
      <c r="D70" s="78" t="s">
        <v>290</v>
      </c>
      <c r="E70" s="78" t="s">
        <v>161</v>
      </c>
      <c r="F70" s="78" t="s">
        <v>77</v>
      </c>
      <c r="G70" s="78" t="s">
        <v>1801</v>
      </c>
      <c r="H70" s="228" t="s">
        <v>192</v>
      </c>
      <c r="I70" s="14" t="s">
        <v>119</v>
      </c>
      <c r="J70" s="14" t="s">
        <v>66</v>
      </c>
      <c r="K70" s="16" t="s">
        <v>66</v>
      </c>
      <c r="L70" s="632">
        <f t="shared" ref="L70" si="34">SUM(M70:Q70)</f>
        <v>442298.58999999997</v>
      </c>
      <c r="M70" s="632">
        <v>66344.78</v>
      </c>
      <c r="N70" s="632">
        <v>0</v>
      </c>
      <c r="O70" s="632">
        <v>0</v>
      </c>
      <c r="P70" s="632">
        <v>0</v>
      </c>
      <c r="Q70" s="632">
        <v>375953.81</v>
      </c>
      <c r="R70" s="632"/>
      <c r="S70" s="830">
        <v>42598</v>
      </c>
      <c r="T70" s="155">
        <v>42704</v>
      </c>
      <c r="U70" s="155">
        <v>42825</v>
      </c>
      <c r="V70" s="155">
        <v>42935</v>
      </c>
      <c r="W70" s="1317">
        <v>43465</v>
      </c>
      <c r="X70" s="30"/>
      <c r="Y70" s="30"/>
      <c r="Z70" s="30"/>
    </row>
    <row r="71" spans="1:26" ht="48.75" thickBot="1">
      <c r="A71" s="78" t="str">
        <f>CONCATENATE('3 pr-2'!A180)</f>
        <v>3.1.2.1.7</v>
      </c>
      <c r="B71" s="78" t="str">
        <f>CONCATENATE('3 pr-2'!B180)</f>
        <v>R01-0019-283800-3217</v>
      </c>
      <c r="C71" s="647" t="str">
        <f>CONCATENATE('3 pr-2'!C180)</f>
        <v>05.5.1-APVA-R-019-11-0008</v>
      </c>
      <c r="D71" s="78" t="s">
        <v>1443</v>
      </c>
      <c r="E71" s="78" t="s">
        <v>161</v>
      </c>
      <c r="F71" s="78" t="s">
        <v>77</v>
      </c>
      <c r="G71" s="78" t="s">
        <v>1801</v>
      </c>
      <c r="H71" s="228" t="s">
        <v>192</v>
      </c>
      <c r="I71" s="14" t="s">
        <v>119</v>
      </c>
      <c r="J71" s="14" t="s">
        <v>66</v>
      </c>
      <c r="K71" s="16" t="s">
        <v>66</v>
      </c>
      <c r="L71" s="632">
        <f t="shared" ref="L71" si="35">SUM(M71:Q71)</f>
        <v>149792.22</v>
      </c>
      <c r="M71" s="632">
        <v>22468.83</v>
      </c>
      <c r="N71" s="632">
        <v>0</v>
      </c>
      <c r="O71" s="632">
        <v>0</v>
      </c>
      <c r="P71" s="632">
        <v>0</v>
      </c>
      <c r="Q71" s="632">
        <v>127323.39</v>
      </c>
      <c r="R71" s="632"/>
      <c r="S71" s="830">
        <v>43277</v>
      </c>
      <c r="T71" s="1317">
        <v>43343</v>
      </c>
      <c r="U71" s="1317">
        <v>43495</v>
      </c>
      <c r="V71" s="1317">
        <v>43554</v>
      </c>
      <c r="W71" s="155">
        <v>44469</v>
      </c>
      <c r="X71" s="30"/>
      <c r="Y71" s="30"/>
      <c r="Z71" s="30"/>
    </row>
    <row r="72" spans="1:26" ht="15.75" thickBot="1">
      <c r="A72" s="51"/>
      <c r="B72" s="52"/>
      <c r="C72" s="52"/>
      <c r="D72" s="52"/>
      <c r="E72" s="52"/>
      <c r="F72" s="52"/>
      <c r="G72" s="52"/>
      <c r="H72" s="53"/>
      <c r="I72" s="57"/>
      <c r="J72" s="57"/>
      <c r="K72" s="57"/>
      <c r="L72" s="46">
        <f t="shared" ref="L72:Q72" si="36">SUM(L5+L41+L64)</f>
        <v>7762707.2135294126</v>
      </c>
      <c r="M72" s="46">
        <f t="shared" si="36"/>
        <v>922142.70176470582</v>
      </c>
      <c r="N72" s="46">
        <f t="shared" si="36"/>
        <v>221308.65999999997</v>
      </c>
      <c r="O72" s="46">
        <f t="shared" si="36"/>
        <v>763124.6421236539</v>
      </c>
      <c r="P72" s="46">
        <f t="shared" si="36"/>
        <v>0</v>
      </c>
      <c r="Q72" s="46">
        <f t="shared" si="36"/>
        <v>5882541.7800000003</v>
      </c>
      <c r="R72" s="329"/>
      <c r="S72" s="329"/>
      <c r="T72" s="57"/>
      <c r="U72" s="57"/>
      <c r="V72" s="57"/>
      <c r="W72" s="646"/>
      <c r="X72" s="47">
        <f>SUM(X5+X41+X64)</f>
        <v>5755741.3232784206</v>
      </c>
      <c r="Y72" s="47">
        <f>SUM(Y5+Y41+Y64)</f>
        <v>6906889.5879341066</v>
      </c>
      <c r="Z72" s="47">
        <f>SUM(Z5+Z41+Z64)</f>
        <v>-126800.45672157887</v>
      </c>
    </row>
    <row r="73" spans="1:26" ht="15.75" thickTop="1"/>
    <row r="74" spans="1:26">
      <c r="P74" s="59"/>
    </row>
    <row r="75" spans="1:26">
      <c r="N75" s="48">
        <v>777879.2799999998</v>
      </c>
      <c r="O75" s="48">
        <v>3352807.77</v>
      </c>
    </row>
    <row r="77" spans="1:26">
      <c r="N77" s="59">
        <f>SUM(N75*O77/O75)</f>
        <v>110329.9021236539</v>
      </c>
      <c r="O77" s="48">
        <v>475542.88</v>
      </c>
    </row>
  </sheetData>
  <autoFilter ref="A4:W22" xr:uid="{00000000-0009-0000-0000-00000B000000}"/>
  <mergeCells count="41">
    <mergeCell ref="D5:K5"/>
    <mergeCell ref="D41:K41"/>
    <mergeCell ref="Z2:Z3"/>
    <mergeCell ref="A2:K2"/>
    <mergeCell ref="L2:Q2"/>
    <mergeCell ref="X2:X3"/>
    <mergeCell ref="Y2:Y3"/>
    <mergeCell ref="S2:W2"/>
    <mergeCell ref="D35:K35"/>
    <mergeCell ref="D37:K37"/>
    <mergeCell ref="D28:K28"/>
    <mergeCell ref="D30:K30"/>
    <mergeCell ref="D33:K33"/>
    <mergeCell ref="D7:K7"/>
    <mergeCell ref="D6:K6"/>
    <mergeCell ref="D32:K32"/>
    <mergeCell ref="D43:K43"/>
    <mergeCell ref="D66:K66"/>
    <mergeCell ref="D42:K42"/>
    <mergeCell ref="D49:K49"/>
    <mergeCell ref="D56:K56"/>
    <mergeCell ref="D45:K45"/>
    <mergeCell ref="D47:K47"/>
    <mergeCell ref="D50:K50"/>
    <mergeCell ref="D52:K52"/>
    <mergeCell ref="D69:K69"/>
    <mergeCell ref="D65:K65"/>
    <mergeCell ref="D68:K68"/>
    <mergeCell ref="D14:K14"/>
    <mergeCell ref="D16:K16"/>
    <mergeCell ref="D18:K18"/>
    <mergeCell ref="D20:K20"/>
    <mergeCell ref="D54:K54"/>
    <mergeCell ref="D64:K64"/>
    <mergeCell ref="D61:K61"/>
    <mergeCell ref="D57:K57"/>
    <mergeCell ref="D59:K59"/>
    <mergeCell ref="D62:K62"/>
    <mergeCell ref="D22:K22"/>
    <mergeCell ref="D24:K24"/>
    <mergeCell ref="D39:K39"/>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B83"/>
  <sheetViews>
    <sheetView workbookViewId="0">
      <pane ySplit="2640" topLeftCell="A56" activePane="bottomLeft"/>
      <selection activeCell="B1" sqref="A1:XFD1048576"/>
      <selection pane="bottomLeft" activeCell="V63" sqref="V63"/>
    </sheetView>
  </sheetViews>
  <sheetFormatPr defaultColWidth="9.140625" defaultRowHeight="15"/>
  <cols>
    <col min="1" max="1" width="9.140625" style="21"/>
    <col min="2" max="2" width="11.28515625" style="21" customWidth="1"/>
    <col min="3" max="3" width="12.5703125" style="21" hidden="1" customWidth="1"/>
    <col min="4" max="4" width="27.5703125" style="21" customWidth="1"/>
    <col min="5" max="5" width="10.28515625" style="21" customWidth="1"/>
    <col min="6" max="6" width="14.42578125" style="21" bestFit="1" customWidth="1"/>
    <col min="7" max="7" width="11.42578125" style="21" customWidth="1"/>
    <col min="8" max="8" width="17.42578125" style="21" customWidth="1"/>
    <col min="9" max="11" width="9.140625" style="21"/>
    <col min="12" max="12" width="16.42578125" style="21" bestFit="1" customWidth="1"/>
    <col min="13" max="13" width="14.28515625" style="21" bestFit="1" customWidth="1"/>
    <col min="14" max="14" width="12.7109375" style="21" bestFit="1" customWidth="1"/>
    <col min="15" max="15" width="10.85546875" style="21" bestFit="1" customWidth="1"/>
    <col min="16" max="16" width="9.7109375" style="21" bestFit="1" customWidth="1"/>
    <col min="17" max="17" width="16.42578125" style="21" bestFit="1" customWidth="1"/>
    <col min="18" max="18" width="11.42578125" style="21" customWidth="1"/>
    <col min="19" max="19" width="12.7109375" style="21" hidden="1" customWidth="1"/>
    <col min="20" max="20" width="11.85546875" style="21" customWidth="1"/>
    <col min="21" max="21" width="10.28515625" style="21" customWidth="1"/>
    <col min="22" max="22" width="9.140625" style="21"/>
    <col min="23" max="23" width="10.85546875" style="158" customWidth="1"/>
    <col min="24" max="25" width="18" style="21" hidden="1" customWidth="1"/>
    <col min="26" max="26" width="22.42578125" style="21" hidden="1" customWidth="1"/>
    <col min="27" max="27" width="9.140625" style="21" customWidth="1"/>
    <col min="28" max="16384" width="9.140625" style="21"/>
  </cols>
  <sheetData>
    <row r="1" spans="1:26" ht="15.75" thickBot="1">
      <c r="A1" s="22" t="s">
        <v>73</v>
      </c>
      <c r="B1" s="22"/>
      <c r="C1" s="22"/>
    </row>
    <row r="2" spans="1:26" ht="16.5" customHeight="1" thickTop="1" thickBot="1">
      <c r="A2" s="2005" t="s">
        <v>46</v>
      </c>
      <c r="B2" s="2006"/>
      <c r="C2" s="2006"/>
      <c r="D2" s="2006"/>
      <c r="E2" s="2006"/>
      <c r="F2" s="2006"/>
      <c r="G2" s="2006"/>
      <c r="H2" s="2006"/>
      <c r="I2" s="2006"/>
      <c r="J2" s="2006"/>
      <c r="K2" s="2007"/>
      <c r="L2" s="2008" t="s">
        <v>47</v>
      </c>
      <c r="M2" s="2006"/>
      <c r="N2" s="2006"/>
      <c r="O2" s="2006"/>
      <c r="P2" s="2006"/>
      <c r="Q2" s="2007"/>
      <c r="R2" s="1316"/>
      <c r="S2" s="2008" t="s">
        <v>48</v>
      </c>
      <c r="T2" s="2010"/>
      <c r="U2" s="2010"/>
      <c r="V2" s="2010"/>
      <c r="W2" s="2011"/>
      <c r="X2" s="2003" t="s">
        <v>117</v>
      </c>
      <c r="Y2" s="2003" t="s">
        <v>118</v>
      </c>
      <c r="Z2" s="2003" t="s">
        <v>122</v>
      </c>
    </row>
    <row r="3" spans="1:26" ht="84.75" thickBot="1">
      <c r="A3" s="23" t="s">
        <v>7</v>
      </c>
      <c r="B3" s="24" t="str">
        <f>CONCATENATE('3 pr-2'!B4)</f>
        <v xml:space="preserve">Unikalus numeris**** </v>
      </c>
      <c r="C3" s="24" t="str">
        <f>CONCATENATE('3 pr-2'!C4)</f>
        <v>Projekto kodas</v>
      </c>
      <c r="D3" s="24" t="s">
        <v>49</v>
      </c>
      <c r="E3" s="24" t="s">
        <v>50</v>
      </c>
      <c r="F3" s="24" t="s">
        <v>51</v>
      </c>
      <c r="G3" s="24" t="s">
        <v>52</v>
      </c>
      <c r="H3" s="25" t="s">
        <v>53</v>
      </c>
      <c r="I3" s="24" t="s">
        <v>54</v>
      </c>
      <c r="J3" s="24" t="s">
        <v>55</v>
      </c>
      <c r="K3" s="24" t="s">
        <v>56</v>
      </c>
      <c r="L3" s="24" t="s">
        <v>57</v>
      </c>
      <c r="M3" s="24" t="s">
        <v>58</v>
      </c>
      <c r="N3" s="24" t="s">
        <v>59</v>
      </c>
      <c r="O3" s="24" t="s">
        <v>60</v>
      </c>
      <c r="P3" s="24" t="s">
        <v>61</v>
      </c>
      <c r="Q3" s="24" t="s">
        <v>10</v>
      </c>
      <c r="R3" s="24" t="s">
        <v>1781</v>
      </c>
      <c r="S3" s="633" t="s">
        <v>1128</v>
      </c>
      <c r="T3" s="24" t="s">
        <v>62</v>
      </c>
      <c r="U3" s="24" t="s">
        <v>63</v>
      </c>
      <c r="V3" s="24" t="s">
        <v>64</v>
      </c>
      <c r="W3" s="146" t="s">
        <v>65</v>
      </c>
      <c r="X3" s="2004"/>
      <c r="Y3" s="2004"/>
      <c r="Z3" s="2004"/>
    </row>
    <row r="4" spans="1:26" ht="15.75" thickBot="1">
      <c r="A4" s="27"/>
      <c r="B4" s="28"/>
      <c r="C4" s="28"/>
      <c r="D4" s="28"/>
      <c r="E4" s="28"/>
      <c r="F4" s="28"/>
      <c r="G4" s="28"/>
      <c r="H4" s="29"/>
      <c r="I4" s="28"/>
      <c r="J4" s="28"/>
      <c r="K4" s="28"/>
      <c r="L4" s="28"/>
      <c r="M4" s="28"/>
      <c r="N4" s="28"/>
      <c r="O4" s="28"/>
      <c r="P4" s="28"/>
      <c r="Q4" s="28"/>
      <c r="R4" s="28"/>
      <c r="S4" s="28"/>
      <c r="T4" s="28"/>
      <c r="U4" s="28"/>
      <c r="V4" s="28"/>
      <c r="W4" s="159"/>
      <c r="X4" s="30"/>
      <c r="Y4" s="30"/>
      <c r="Z4" s="30"/>
    </row>
    <row r="5" spans="1:26" ht="59.25" customHeight="1" thickBot="1">
      <c r="A5" s="141" t="s">
        <v>11</v>
      </c>
      <c r="B5" s="629"/>
      <c r="C5" s="629"/>
      <c r="D5" s="1943" t="s">
        <v>1385</v>
      </c>
      <c r="E5" s="1944"/>
      <c r="F5" s="1944"/>
      <c r="G5" s="1944"/>
      <c r="H5" s="1944"/>
      <c r="I5" s="1944"/>
      <c r="J5" s="1944"/>
      <c r="K5" s="1945"/>
      <c r="L5" s="136">
        <f t="shared" ref="L5:Q5" si="0">SUM(L6+L37)</f>
        <v>11110644.141764706</v>
      </c>
      <c r="M5" s="136">
        <f t="shared" si="0"/>
        <v>1069655.351764706</v>
      </c>
      <c r="N5" s="136">
        <f t="shared" si="0"/>
        <v>533590.12000000011</v>
      </c>
      <c r="O5" s="136">
        <f t="shared" si="0"/>
        <v>860244.53</v>
      </c>
      <c r="P5" s="136">
        <f t="shared" si="0"/>
        <v>62660</v>
      </c>
      <c r="Q5" s="136">
        <f t="shared" si="0"/>
        <v>8584494.1400000006</v>
      </c>
      <c r="R5" s="136"/>
      <c r="S5" s="136"/>
      <c r="T5" s="142" t="s">
        <v>66</v>
      </c>
      <c r="U5" s="142" t="s">
        <v>66</v>
      </c>
      <c r="V5" s="142" t="s">
        <v>66</v>
      </c>
      <c r="W5" s="150"/>
      <c r="X5" s="31">
        <f>SUM(X6+X37)</f>
        <v>8709654.9474999998</v>
      </c>
      <c r="Y5" s="31">
        <f>SUM(Y6+Y37)</f>
        <v>10451585.937000003</v>
      </c>
      <c r="Z5" s="31">
        <f>SUM(Q6+Q37)</f>
        <v>8584494.1400000006</v>
      </c>
    </row>
    <row r="6" spans="1:26" ht="49.5" customHeight="1" thickBot="1">
      <c r="A6" s="134" t="s">
        <v>12</v>
      </c>
      <c r="B6" s="628"/>
      <c r="C6" s="628"/>
      <c r="D6" s="1933" t="s">
        <v>1386</v>
      </c>
      <c r="E6" s="1946"/>
      <c r="F6" s="1946"/>
      <c r="G6" s="1946"/>
      <c r="H6" s="1946"/>
      <c r="I6" s="1946"/>
      <c r="J6" s="1946"/>
      <c r="K6" s="1947"/>
      <c r="L6" s="115">
        <f t="shared" ref="L6:Q6" si="1">SUM(L7+L13+L16+L23+L25+L27+L29+L33+L35)</f>
        <v>10171874.141764706</v>
      </c>
      <c r="M6" s="115">
        <f t="shared" si="1"/>
        <v>991499.35176470585</v>
      </c>
      <c r="N6" s="115">
        <f t="shared" si="1"/>
        <v>533590.12000000011</v>
      </c>
      <c r="O6" s="115">
        <f t="shared" si="1"/>
        <v>860244.53</v>
      </c>
      <c r="P6" s="115">
        <f t="shared" si="1"/>
        <v>0</v>
      </c>
      <c r="Q6" s="115">
        <f t="shared" si="1"/>
        <v>7786540.1399999997</v>
      </c>
      <c r="R6" s="115"/>
      <c r="S6" s="115"/>
      <c r="T6" s="116" t="s">
        <v>66</v>
      </c>
      <c r="U6" s="116" t="s">
        <v>66</v>
      </c>
      <c r="V6" s="116" t="s">
        <v>66</v>
      </c>
      <c r="W6" s="151"/>
      <c r="X6" s="32">
        <f>SUM(X7+X13+X16+X23+X25+X27+X29+X33+X35)</f>
        <v>7673165.9474999998</v>
      </c>
      <c r="Y6" s="32">
        <f>SUM(Y7+Y13+Y16+Y23+Y25+Y27+Y29+Y33+Y35)</f>
        <v>9207799.137000002</v>
      </c>
      <c r="Z6" s="32">
        <f>SUM(Q7+Q13+Q16+Q25+Q29+Q33+Q35)</f>
        <v>7786540.1399999997</v>
      </c>
    </row>
    <row r="7" spans="1:26" ht="33" customHeight="1" thickBot="1">
      <c r="A7" s="297" t="s">
        <v>67</v>
      </c>
      <c r="B7" s="624"/>
      <c r="C7" s="624"/>
      <c r="D7" s="1931" t="s">
        <v>595</v>
      </c>
      <c r="E7" s="1940"/>
      <c r="F7" s="1940"/>
      <c r="G7" s="1940"/>
      <c r="H7" s="1940"/>
      <c r="I7" s="1940"/>
      <c r="J7" s="1940"/>
      <c r="K7" s="1941"/>
      <c r="L7" s="299">
        <f t="shared" ref="L7:Q7" si="2">SUM(L8:L12)</f>
        <v>1110278</v>
      </c>
      <c r="M7" s="299">
        <f t="shared" si="2"/>
        <v>203702</v>
      </c>
      <c r="N7" s="299">
        <f t="shared" si="2"/>
        <v>118980</v>
      </c>
      <c r="O7" s="299">
        <f t="shared" si="2"/>
        <v>0</v>
      </c>
      <c r="P7" s="299">
        <f t="shared" si="2"/>
        <v>0</v>
      </c>
      <c r="Q7" s="299">
        <f t="shared" si="2"/>
        <v>787596</v>
      </c>
      <c r="R7" s="299"/>
      <c r="S7" s="79"/>
      <c r="T7" s="299" t="s">
        <v>66</v>
      </c>
      <c r="U7" s="299" t="s">
        <v>66</v>
      </c>
      <c r="V7" s="299" t="s">
        <v>66</v>
      </c>
      <c r="W7" s="299"/>
      <c r="X7" s="33">
        <v>674218</v>
      </c>
      <c r="Y7" s="33">
        <f>SUM(X7*120/100)</f>
        <v>809061.6</v>
      </c>
      <c r="Z7" s="34">
        <f>SUM(X7-Q7)</f>
        <v>-113378</v>
      </c>
    </row>
    <row r="8" spans="1:26" ht="60.75" thickBot="1">
      <c r="A8" s="78" t="str">
        <f>CONCATENATE('3 pr-2'!A23)</f>
        <v>1.1.1.1.14</v>
      </c>
      <c r="B8" s="78" t="str">
        <f>CONCATENATE('3 pr-2'!B23)</f>
        <v>R01-ZM72-122900-1114</v>
      </c>
      <c r="C8" s="647" t="str">
        <f>CONCATENATE('3 pr-2'!C23)</f>
        <v>20KI-KA-17-1-01647-PR001</v>
      </c>
      <c r="D8" s="78" t="s">
        <v>424</v>
      </c>
      <c r="E8" s="78" t="s">
        <v>342</v>
      </c>
      <c r="F8" s="78" t="s">
        <v>74</v>
      </c>
      <c r="G8" s="78" t="s">
        <v>1459</v>
      </c>
      <c r="H8" s="78" t="s">
        <v>437</v>
      </c>
      <c r="I8" s="14" t="s">
        <v>119</v>
      </c>
      <c r="J8" s="14" t="s">
        <v>66</v>
      </c>
      <c r="K8" s="14" t="s">
        <v>66</v>
      </c>
      <c r="L8" s="632">
        <f>SUM(M8:Q8)</f>
        <v>241501</v>
      </c>
      <c r="M8" s="632">
        <f>'3 pr-2'!O23</f>
        <v>43125.2</v>
      </c>
      <c r="N8" s="632">
        <v>25875</v>
      </c>
      <c r="O8" s="632">
        <v>0</v>
      </c>
      <c r="P8" s="632">
        <v>0</v>
      </c>
      <c r="Q8" s="632">
        <f>'3 pr-2'!AA23</f>
        <v>172500.8</v>
      </c>
      <c r="R8" s="16"/>
      <c r="S8" s="423">
        <v>42643</v>
      </c>
      <c r="T8" s="323">
        <v>42855</v>
      </c>
      <c r="U8" s="323">
        <v>43010</v>
      </c>
      <c r="V8" s="636">
        <v>43102</v>
      </c>
      <c r="W8" s="323">
        <v>43830</v>
      </c>
      <c r="X8" s="30"/>
      <c r="Y8" s="30"/>
      <c r="Z8" s="30"/>
    </row>
    <row r="9" spans="1:26" ht="60.75" thickBot="1">
      <c r="A9" s="78" t="str">
        <f>CONCATENATE('3 pr-2'!A26)</f>
        <v>1.1.1.1.17</v>
      </c>
      <c r="B9" s="78" t="str">
        <f>CONCATENATE('3 pr-2'!B26)</f>
        <v>R01-ZM72-120000-1117</v>
      </c>
      <c r="C9" s="647" t="str">
        <f>CONCATENATE('3 pr-2'!C26)</f>
        <v>20KI-KA-17-1-01639-PR001</v>
      </c>
      <c r="D9" s="78" t="s">
        <v>427</v>
      </c>
      <c r="E9" s="78" t="s">
        <v>342</v>
      </c>
      <c r="F9" s="78" t="s">
        <v>74</v>
      </c>
      <c r="G9" s="78" t="s">
        <v>1459</v>
      </c>
      <c r="H9" s="78" t="s">
        <v>437</v>
      </c>
      <c r="I9" s="14" t="s">
        <v>119</v>
      </c>
      <c r="J9" s="14" t="s">
        <v>66</v>
      </c>
      <c r="K9" s="14" t="s">
        <v>66</v>
      </c>
      <c r="L9" s="632">
        <f>SUM(M9:Q9)</f>
        <v>129523</v>
      </c>
      <c r="M9" s="632">
        <f>'3 pr-2'!O26</f>
        <v>23125</v>
      </c>
      <c r="N9" s="632">
        <v>13899</v>
      </c>
      <c r="O9" s="632">
        <v>0</v>
      </c>
      <c r="P9" s="632">
        <v>0</v>
      </c>
      <c r="Q9" s="632">
        <f>'3 pr-2'!AA26</f>
        <v>92499</v>
      </c>
      <c r="R9" s="16"/>
      <c r="S9" s="423">
        <v>42643</v>
      </c>
      <c r="T9" s="323">
        <v>42855</v>
      </c>
      <c r="U9" s="323">
        <v>43010</v>
      </c>
      <c r="V9" s="636">
        <v>43102</v>
      </c>
      <c r="W9" s="323">
        <v>43830</v>
      </c>
      <c r="X9" s="30">
        <v>100</v>
      </c>
      <c r="Y9" s="30"/>
      <c r="Z9" s="37"/>
    </row>
    <row r="10" spans="1:26" ht="60.75" thickBot="1">
      <c r="A10" s="78" t="str">
        <f>CONCATENATE('3 pr-2'!A27)</f>
        <v>1.1.1.1.18</v>
      </c>
      <c r="B10" s="78" t="str">
        <f>CONCATENATE('3 pr-2'!B27)</f>
        <v>R01-ZM72-340000-1118</v>
      </c>
      <c r="C10" s="647" t="str">
        <f>CONCATENATE('3 pr-2'!C27)</f>
        <v>20KI-KA-17-1-01666-PR001</v>
      </c>
      <c r="D10" s="78" t="s">
        <v>428</v>
      </c>
      <c r="E10" s="78" t="s">
        <v>342</v>
      </c>
      <c r="F10" s="78" t="s">
        <v>74</v>
      </c>
      <c r="G10" s="78" t="s">
        <v>1459</v>
      </c>
      <c r="H10" s="78" t="s">
        <v>437</v>
      </c>
      <c r="I10" s="14" t="s">
        <v>119</v>
      </c>
      <c r="J10" s="14" t="s">
        <v>66</v>
      </c>
      <c r="K10" s="14" t="s">
        <v>66</v>
      </c>
      <c r="L10" s="632">
        <f>SUM(M10:Q10)</f>
        <v>280000</v>
      </c>
      <c r="M10" s="632">
        <f>'3 pr-2'!O27</f>
        <v>50000</v>
      </c>
      <c r="N10" s="632">
        <v>30000</v>
      </c>
      <c r="O10" s="632">
        <v>0</v>
      </c>
      <c r="P10" s="632">
        <v>0</v>
      </c>
      <c r="Q10" s="632">
        <f>'3 pr-2'!AA27</f>
        <v>200000</v>
      </c>
      <c r="R10" s="16"/>
      <c r="S10" s="423">
        <v>42643</v>
      </c>
      <c r="T10" s="323">
        <v>42855</v>
      </c>
      <c r="U10" s="323">
        <v>43010</v>
      </c>
      <c r="V10" s="636">
        <v>43102</v>
      </c>
      <c r="W10" s="323">
        <v>43830</v>
      </c>
      <c r="X10" s="30">
        <v>85</v>
      </c>
      <c r="Y10" s="30"/>
      <c r="Z10" s="37"/>
    </row>
    <row r="11" spans="1:26" ht="60.75" thickBot="1">
      <c r="A11" s="78" t="str">
        <f>CONCATENATE('3 pr-2'!A29)</f>
        <v>1.1.1.1.20</v>
      </c>
      <c r="B11" s="78" t="str">
        <f>CONCATENATE('3 pr-2'!B29)</f>
        <v>R01-ZM72-340000-1120</v>
      </c>
      <c r="C11" s="647" t="str">
        <f>CONCATENATE('3 pr-2'!C29)</f>
        <v>20KI-KA-17-1-01736-PR001</v>
      </c>
      <c r="D11" s="78" t="s">
        <v>430</v>
      </c>
      <c r="E11" s="78" t="s">
        <v>342</v>
      </c>
      <c r="F11" s="78" t="s">
        <v>74</v>
      </c>
      <c r="G11" s="78" t="s">
        <v>1459</v>
      </c>
      <c r="H11" s="78" t="s">
        <v>437</v>
      </c>
      <c r="I11" s="14" t="s">
        <v>119</v>
      </c>
      <c r="J11" s="14" t="s">
        <v>66</v>
      </c>
      <c r="K11" s="14" t="s">
        <v>66</v>
      </c>
      <c r="L11" s="632">
        <f>SUM(M11:Q11)</f>
        <v>280000</v>
      </c>
      <c r="M11" s="632">
        <f>'3 pr-2'!O29</f>
        <v>50000</v>
      </c>
      <c r="N11" s="632">
        <v>30000</v>
      </c>
      <c r="O11" s="632">
        <v>0</v>
      </c>
      <c r="P11" s="632">
        <v>0</v>
      </c>
      <c r="Q11" s="632">
        <f>'3 pr-2'!AA29</f>
        <v>200000</v>
      </c>
      <c r="R11" s="16"/>
      <c r="S11" s="423">
        <v>42643</v>
      </c>
      <c r="T11" s="323">
        <v>42855</v>
      </c>
      <c r="U11" s="323">
        <v>43010</v>
      </c>
      <c r="V11" s="636">
        <v>43102</v>
      </c>
      <c r="W11" s="323">
        <v>43830</v>
      </c>
      <c r="X11" s="35">
        <v>15</v>
      </c>
      <c r="Y11" s="35"/>
      <c r="Z11" s="36"/>
    </row>
    <row r="12" spans="1:26" ht="60.75" thickBot="1">
      <c r="A12" s="78" t="str">
        <f>CONCATENATE('3 pr-2'!A32)</f>
        <v>1.1.1.1.23</v>
      </c>
      <c r="B12" s="78" t="str">
        <f>CONCATENATE('3 pr-2'!B32)</f>
        <v>R01-ZM72-120000-1123</v>
      </c>
      <c r="C12" s="647" t="str">
        <f>CONCATENATE('3 pr-2'!C32)</f>
        <v>20KI-KA-17-1-</v>
      </c>
      <c r="D12" s="78" t="s">
        <v>433</v>
      </c>
      <c r="E12" s="78" t="s">
        <v>342</v>
      </c>
      <c r="F12" s="78" t="s">
        <v>74</v>
      </c>
      <c r="G12" s="78" t="s">
        <v>1459</v>
      </c>
      <c r="H12" s="78" t="s">
        <v>437</v>
      </c>
      <c r="I12" s="14" t="s">
        <v>119</v>
      </c>
      <c r="J12" s="14" t="s">
        <v>66</v>
      </c>
      <c r="K12" s="14" t="s">
        <v>66</v>
      </c>
      <c r="L12" s="632">
        <f>SUM(M12:Q12)</f>
        <v>179254</v>
      </c>
      <c r="M12" s="632">
        <f>'3 pr-2'!O32</f>
        <v>37451.800000000003</v>
      </c>
      <c r="N12" s="632">
        <v>19206</v>
      </c>
      <c r="O12" s="632">
        <v>0</v>
      </c>
      <c r="P12" s="632">
        <v>0</v>
      </c>
      <c r="Q12" s="632">
        <f>'3 pr-2'!AA32</f>
        <v>122596.20000000001</v>
      </c>
      <c r="R12" s="16"/>
      <c r="S12" s="423">
        <v>42643</v>
      </c>
      <c r="T12" s="323">
        <v>42855</v>
      </c>
      <c r="U12" s="323">
        <v>43010</v>
      </c>
      <c r="V12" s="636">
        <v>43102</v>
      </c>
      <c r="W12" s="323">
        <v>43830</v>
      </c>
      <c r="X12" s="30"/>
      <c r="Y12" s="30"/>
      <c r="Z12" s="37"/>
    </row>
    <row r="13" spans="1:26" ht="27" customHeight="1" thickBot="1">
      <c r="A13" s="297" t="s">
        <v>14</v>
      </c>
      <c r="B13" s="624"/>
      <c r="C13" s="624"/>
      <c r="D13" s="1931" t="s">
        <v>596</v>
      </c>
      <c r="E13" s="1940"/>
      <c r="F13" s="1940"/>
      <c r="G13" s="1940"/>
      <c r="H13" s="1940"/>
      <c r="I13" s="1940"/>
      <c r="J13" s="1940"/>
      <c r="K13" s="1941"/>
      <c r="L13" s="299">
        <f>SUM(L14:L15)</f>
        <v>1420561.81</v>
      </c>
      <c r="M13" s="299">
        <f t="shared" ref="M13:Q13" si="3">SUM(M14:M15)</f>
        <v>330572.43</v>
      </c>
      <c r="N13" s="299">
        <f t="shared" si="3"/>
        <v>88377.81</v>
      </c>
      <c r="O13" s="299">
        <f t="shared" si="3"/>
        <v>0</v>
      </c>
      <c r="P13" s="299">
        <f t="shared" si="3"/>
        <v>0</v>
      </c>
      <c r="Q13" s="299">
        <f t="shared" si="3"/>
        <v>1001611.5700000001</v>
      </c>
      <c r="R13" s="299"/>
      <c r="S13" s="79"/>
      <c r="T13" s="299"/>
      <c r="U13" s="299"/>
      <c r="V13" s="299"/>
      <c r="W13" s="299"/>
      <c r="X13" s="33">
        <v>1001612</v>
      </c>
      <c r="Y13" s="33">
        <f>SUM(X13*120/100)</f>
        <v>1201934.3999999999</v>
      </c>
      <c r="Z13" s="34">
        <f>SUM(X13-Q13)</f>
        <v>0.42999999993480742</v>
      </c>
    </row>
    <row r="14" spans="1:26" ht="60.75" thickBot="1">
      <c r="A14" s="78" t="str">
        <f>CONCATENATE('3 pr-2'!A34)</f>
        <v>1.1.1.2.1</v>
      </c>
      <c r="B14" s="78" t="str">
        <f>CONCATENATE('3 pr-2'!B34)</f>
        <v>R01-9908-293400-1121</v>
      </c>
      <c r="C14" s="647" t="str">
        <f>CONCATENATE('3 pr-2'!C34)</f>
        <v>08.2.1-CPVA-R-908-11-0002</v>
      </c>
      <c r="D14" s="78" t="s">
        <v>124</v>
      </c>
      <c r="E14" s="78" t="s">
        <v>282</v>
      </c>
      <c r="F14" s="78" t="s">
        <v>75</v>
      </c>
      <c r="G14" s="78" t="s">
        <v>1459</v>
      </c>
      <c r="H14" s="78" t="s">
        <v>146</v>
      </c>
      <c r="I14" s="1" t="s">
        <v>119</v>
      </c>
      <c r="J14" s="1" t="s">
        <v>66</v>
      </c>
      <c r="K14" s="1" t="s">
        <v>66</v>
      </c>
      <c r="L14" s="632">
        <f t="shared" ref="L14:L15" si="4">SUM(M14:Q14)</f>
        <v>815537.61</v>
      </c>
      <c r="M14" s="632">
        <v>285195.61</v>
      </c>
      <c r="N14" s="632">
        <v>43001</v>
      </c>
      <c r="O14" s="632">
        <v>0</v>
      </c>
      <c r="P14" s="632">
        <v>0</v>
      </c>
      <c r="Q14" s="632">
        <v>487341</v>
      </c>
      <c r="R14" s="632"/>
      <c r="S14" s="423">
        <v>43006</v>
      </c>
      <c r="T14" s="424">
        <v>43124</v>
      </c>
      <c r="U14" s="424">
        <v>43189</v>
      </c>
      <c r="V14" s="424">
        <v>43281</v>
      </c>
      <c r="W14" s="431">
        <v>44196</v>
      </c>
      <c r="X14" s="30"/>
      <c r="Y14" s="30"/>
      <c r="Z14" s="30"/>
    </row>
    <row r="15" spans="1:26" ht="60.75" thickBot="1">
      <c r="A15" s="78" t="str">
        <f>CONCATENATE('3 pr-2'!A35)</f>
        <v>1.1.1.2.2</v>
      </c>
      <c r="B15" s="78" t="str">
        <f>CONCATENATE('3 pr-2'!B35)</f>
        <v>R01-9908-290000-1122</v>
      </c>
      <c r="C15" s="647" t="str">
        <f>CONCATENATE('3 pr-2'!C35)</f>
        <v>08.2.1-CPVA-R-908-11-0001</v>
      </c>
      <c r="D15" s="78" t="s">
        <v>125</v>
      </c>
      <c r="E15" s="78" t="s">
        <v>282</v>
      </c>
      <c r="F15" s="78" t="s">
        <v>75</v>
      </c>
      <c r="G15" s="78" t="s">
        <v>1459</v>
      </c>
      <c r="H15" s="78" t="s">
        <v>146</v>
      </c>
      <c r="I15" s="14" t="s">
        <v>119</v>
      </c>
      <c r="J15" s="14" t="s">
        <v>66</v>
      </c>
      <c r="K15" s="14" t="s">
        <v>66</v>
      </c>
      <c r="L15" s="632">
        <f t="shared" si="4"/>
        <v>605024.19999999995</v>
      </c>
      <c r="M15" s="632">
        <v>45376.82</v>
      </c>
      <c r="N15" s="632">
        <v>45376.81</v>
      </c>
      <c r="O15" s="632">
        <v>0</v>
      </c>
      <c r="P15" s="632">
        <v>0</v>
      </c>
      <c r="Q15" s="632">
        <v>514270.57</v>
      </c>
      <c r="R15" s="632"/>
      <c r="S15" s="423">
        <v>42982</v>
      </c>
      <c r="T15" s="313">
        <v>42978</v>
      </c>
      <c r="U15" s="313">
        <v>43039</v>
      </c>
      <c r="V15" s="313">
        <v>43131</v>
      </c>
      <c r="W15" s="431">
        <v>44196</v>
      </c>
      <c r="X15" s="30"/>
      <c r="Y15" s="30"/>
      <c r="Z15" s="30"/>
    </row>
    <row r="16" spans="1:26" ht="36" customHeight="1" thickBot="1">
      <c r="A16" s="297" t="s">
        <v>70</v>
      </c>
      <c r="B16" s="624"/>
      <c r="C16" s="624"/>
      <c r="D16" s="1931" t="s">
        <v>605</v>
      </c>
      <c r="E16" s="1940"/>
      <c r="F16" s="1940"/>
      <c r="G16" s="1940"/>
      <c r="H16" s="1940"/>
      <c r="I16" s="1940"/>
      <c r="J16" s="1940"/>
      <c r="K16" s="1941"/>
      <c r="L16" s="1016">
        <f t="shared" ref="L16:P16" si="5">SUM(L17:L22)</f>
        <v>4359732.13</v>
      </c>
      <c r="M16" s="1016">
        <f t="shared" si="5"/>
        <v>336200.36</v>
      </c>
      <c r="N16" s="1016">
        <f t="shared" si="5"/>
        <v>326232.31000000006</v>
      </c>
      <c r="O16" s="1016">
        <f t="shared" si="5"/>
        <v>0</v>
      </c>
      <c r="P16" s="1016">
        <f t="shared" si="5"/>
        <v>0</v>
      </c>
      <c r="Q16" s="1016">
        <f>SUM(Q17:Q22)</f>
        <v>3697299.46</v>
      </c>
      <c r="R16" s="299"/>
      <c r="S16" s="79"/>
      <c r="T16" s="299"/>
      <c r="U16" s="299"/>
      <c r="V16" s="299"/>
      <c r="W16" s="299"/>
      <c r="X16" s="33">
        <v>3697302</v>
      </c>
      <c r="Y16" s="33">
        <f>SUM(X16*120/100)</f>
        <v>4436762.4000000004</v>
      </c>
      <c r="Z16" s="33">
        <f>SUM(X16-Q16)</f>
        <v>2.5400000000372529</v>
      </c>
    </row>
    <row r="17" spans="1:26" ht="60.75" thickBot="1">
      <c r="A17" s="78" t="str">
        <f>CONCATENATE('3 pr-2'!A40)</f>
        <v>1.1.1.3.1</v>
      </c>
      <c r="B17" s="78" t="str">
        <f>CONCATENATE('3 pr-2'!B40)</f>
        <v>R01-9905-290000-1131</v>
      </c>
      <c r="C17" s="647" t="str">
        <f>CONCATENATE('3 pr-2'!C40)</f>
        <v>07.1.1-CPVA-R-905-11-0001</v>
      </c>
      <c r="D17" s="78" t="s">
        <v>300</v>
      </c>
      <c r="E17" s="78" t="s">
        <v>282</v>
      </c>
      <c r="F17" s="78" t="s">
        <v>75</v>
      </c>
      <c r="G17" s="78" t="s">
        <v>1459</v>
      </c>
      <c r="H17" s="78" t="s">
        <v>834</v>
      </c>
      <c r="I17" s="14" t="s">
        <v>119</v>
      </c>
      <c r="J17" s="14" t="s">
        <v>167</v>
      </c>
      <c r="K17" s="14" t="s">
        <v>66</v>
      </c>
      <c r="L17" s="632">
        <f t="shared" ref="L17:L22" si="6">SUM(M17:Q17)</f>
        <v>1516825.67</v>
      </c>
      <c r="M17" s="632">
        <v>113761.94</v>
      </c>
      <c r="N17" s="632">
        <v>113761.92</v>
      </c>
      <c r="O17" s="632">
        <v>0</v>
      </c>
      <c r="P17" s="632">
        <v>0</v>
      </c>
      <c r="Q17" s="632">
        <v>1289301.81</v>
      </c>
      <c r="R17" s="632"/>
      <c r="S17" s="423">
        <v>43108</v>
      </c>
      <c r="T17" s="323">
        <v>42528</v>
      </c>
      <c r="U17" s="323">
        <v>42566</v>
      </c>
      <c r="V17" s="323">
        <v>42735</v>
      </c>
      <c r="W17" s="323">
        <v>43465</v>
      </c>
      <c r="X17" s="30"/>
      <c r="Y17" s="30"/>
      <c r="Z17" s="30"/>
    </row>
    <row r="18" spans="1:26" ht="60.75" thickBot="1">
      <c r="A18" s="78" t="str">
        <f>CONCATENATE('3 pr-2'!A41)</f>
        <v>1.1.1.3.2</v>
      </c>
      <c r="B18" s="78" t="str">
        <f>CONCATENATE('3 pr-2'!B41)</f>
        <v>R01-9905-282900-1132</v>
      </c>
      <c r="C18" s="647" t="str">
        <f>CONCATENATE('3 pr-2'!C41)</f>
        <v>07.1.1-CPVA-R-905-11-0002</v>
      </c>
      <c r="D18" s="78" t="s">
        <v>302</v>
      </c>
      <c r="E18" s="78" t="s">
        <v>282</v>
      </c>
      <c r="F18" s="78" t="s">
        <v>75</v>
      </c>
      <c r="G18" s="78" t="s">
        <v>1459</v>
      </c>
      <c r="H18" s="78" t="s">
        <v>834</v>
      </c>
      <c r="I18" s="14" t="s">
        <v>119</v>
      </c>
      <c r="J18" s="14" t="s">
        <v>167</v>
      </c>
      <c r="K18" s="14" t="s">
        <v>66</v>
      </c>
      <c r="L18" s="632">
        <f t="shared" si="6"/>
        <v>815103</v>
      </c>
      <c r="M18" s="632">
        <v>69259</v>
      </c>
      <c r="N18" s="632">
        <v>60474</v>
      </c>
      <c r="O18" s="632">
        <v>0</v>
      </c>
      <c r="P18" s="632">
        <v>0</v>
      </c>
      <c r="Q18" s="632">
        <v>685370</v>
      </c>
      <c r="R18" s="632"/>
      <c r="S18" s="423">
        <v>43108</v>
      </c>
      <c r="T18" s="323">
        <v>42830</v>
      </c>
      <c r="U18" s="323">
        <v>42885</v>
      </c>
      <c r="V18" s="323">
        <v>42978</v>
      </c>
      <c r="W18" s="323">
        <v>43830</v>
      </c>
      <c r="X18" s="30"/>
      <c r="Y18" s="30"/>
      <c r="Z18" s="30"/>
    </row>
    <row r="19" spans="1:26" ht="60.75" thickBot="1">
      <c r="A19" s="78" t="str">
        <f>CONCATENATE('3 pr-2'!A42)</f>
        <v>1.1.1.3.3</v>
      </c>
      <c r="B19" s="78" t="str">
        <f>CONCATENATE('3 pr-2'!B42)</f>
        <v>R01-9905-292800-1133</v>
      </c>
      <c r="C19" s="647" t="str">
        <f>CONCATENATE('3 pr-2'!C42)</f>
        <v>07.1.1-CPVA-R-905-11-0004</v>
      </c>
      <c r="D19" s="78" t="s">
        <v>2996</v>
      </c>
      <c r="E19" s="78" t="s">
        <v>282</v>
      </c>
      <c r="F19" s="78" t="s">
        <v>75</v>
      </c>
      <c r="G19" s="78" t="s">
        <v>1459</v>
      </c>
      <c r="H19" s="78" t="s">
        <v>834</v>
      </c>
      <c r="I19" s="14" t="s">
        <v>119</v>
      </c>
      <c r="J19" s="14" t="s">
        <v>167</v>
      </c>
      <c r="K19" s="14" t="s">
        <v>66</v>
      </c>
      <c r="L19" s="1638">
        <f t="shared" si="6"/>
        <v>514646.41000000003</v>
      </c>
      <c r="M19" s="1638">
        <v>38598.49</v>
      </c>
      <c r="N19" s="1638">
        <v>38598.480000000003</v>
      </c>
      <c r="O19" s="632">
        <v>0</v>
      </c>
      <c r="P19" s="632">
        <v>0</v>
      </c>
      <c r="Q19" s="1638">
        <v>437449.44</v>
      </c>
      <c r="R19" s="632"/>
      <c r="S19" s="423">
        <v>43108</v>
      </c>
      <c r="T19" s="323">
        <v>43190</v>
      </c>
      <c r="U19" s="1675">
        <v>43238</v>
      </c>
      <c r="V19" s="1675">
        <v>43321</v>
      </c>
      <c r="W19" s="323">
        <v>44196</v>
      </c>
      <c r="X19" s="30"/>
      <c r="Y19" s="30"/>
      <c r="Z19" s="30"/>
    </row>
    <row r="20" spans="1:26" ht="60.75" thickBot="1">
      <c r="A20" s="78" t="str">
        <f>CONCATENATE('3 pr-2'!A43)</f>
        <v>1.1.1.3.4</v>
      </c>
      <c r="B20" s="78" t="str">
        <f>CONCATENATE('3 pr-2'!B43)</f>
        <v>R01-9905-280000-1134</v>
      </c>
      <c r="C20" s="647" t="str">
        <f>CONCATENATE('3 pr-2'!C43)</f>
        <v>07.1.1-CPVA-R-905-11-0003</v>
      </c>
      <c r="D20" s="78" t="s">
        <v>640</v>
      </c>
      <c r="E20" s="78" t="s">
        <v>282</v>
      </c>
      <c r="F20" s="78" t="s">
        <v>75</v>
      </c>
      <c r="G20" s="78" t="s">
        <v>1459</v>
      </c>
      <c r="H20" s="78" t="s">
        <v>834</v>
      </c>
      <c r="I20" s="14" t="s">
        <v>119</v>
      </c>
      <c r="J20" s="14" t="s">
        <v>167</v>
      </c>
      <c r="K20" s="14" t="s">
        <v>66</v>
      </c>
      <c r="L20" s="1638">
        <f t="shared" si="6"/>
        <v>877516.65</v>
      </c>
      <c r="M20" s="1638">
        <v>65813.75</v>
      </c>
      <c r="N20" s="1638">
        <v>65813.75</v>
      </c>
      <c r="O20" s="632">
        <v>0</v>
      </c>
      <c r="P20" s="632">
        <v>0</v>
      </c>
      <c r="Q20" s="1638">
        <v>745889.15</v>
      </c>
      <c r="R20" s="632"/>
      <c r="S20" s="423">
        <v>43108</v>
      </c>
      <c r="T20" s="323">
        <v>42915</v>
      </c>
      <c r="U20" s="323">
        <v>43008</v>
      </c>
      <c r="V20" s="1675">
        <v>43105</v>
      </c>
      <c r="W20" s="323">
        <v>43861</v>
      </c>
      <c r="X20" s="39"/>
      <c r="Y20" s="39"/>
      <c r="Z20" s="30"/>
    </row>
    <row r="21" spans="1:26" ht="60.75" thickBot="1">
      <c r="A21" s="78" t="str">
        <f>CONCATENATE('3 pr-2'!A44)</f>
        <v>1.1.1.3.5</v>
      </c>
      <c r="B21" s="78" t="str">
        <f>CONCATENATE('3 pr-2'!B44)</f>
        <v>R01-9905-362900-1135</v>
      </c>
      <c r="C21" s="647" t="str">
        <f>CONCATENATE('3 pr-2'!C44)</f>
        <v>07.1.1-CPVA-R-905-11-0005</v>
      </c>
      <c r="D21" s="78" t="s">
        <v>3432</v>
      </c>
      <c r="E21" s="78" t="s">
        <v>282</v>
      </c>
      <c r="F21" s="78" t="s">
        <v>75</v>
      </c>
      <c r="G21" s="78" t="s">
        <v>1459</v>
      </c>
      <c r="H21" s="78" t="s">
        <v>834</v>
      </c>
      <c r="I21" s="14" t="s">
        <v>119</v>
      </c>
      <c r="J21" s="14" t="s">
        <v>167</v>
      </c>
      <c r="K21" s="14" t="s">
        <v>66</v>
      </c>
      <c r="L21" s="632">
        <f t="shared" si="6"/>
        <v>150000</v>
      </c>
      <c r="M21" s="632">
        <v>11250</v>
      </c>
      <c r="N21" s="632">
        <v>11250</v>
      </c>
      <c r="O21" s="632">
        <v>0</v>
      </c>
      <c r="P21" s="632">
        <v>0</v>
      </c>
      <c r="Q21" s="632">
        <v>127500</v>
      </c>
      <c r="R21" s="16"/>
      <c r="S21" s="423">
        <v>43108</v>
      </c>
      <c r="T21" s="843">
        <v>43342</v>
      </c>
      <c r="U21" s="323">
        <v>43373</v>
      </c>
      <c r="V21" s="323">
        <v>43464</v>
      </c>
      <c r="W21" s="323">
        <v>44165</v>
      </c>
      <c r="X21" s="35"/>
      <c r="Y21" s="36"/>
      <c r="Z21" s="30"/>
    </row>
    <row r="22" spans="1:26" ht="60.75" thickBot="1">
      <c r="A22" s="78" t="str">
        <f>CONCATENATE('3 pr-2'!A45)</f>
        <v>1.1.1.3.6</v>
      </c>
      <c r="B22" s="78" t="str">
        <f>CONCATENATE('3 pr-2'!B45)</f>
        <v>R01-9905-290000-1136</v>
      </c>
      <c r="C22" s="647" t="str">
        <f>CONCATENATE('3 pr-2'!C45)</f>
        <v/>
      </c>
      <c r="D22" s="78" t="s">
        <v>3444</v>
      </c>
      <c r="E22" s="78" t="s">
        <v>282</v>
      </c>
      <c r="F22" s="78" t="s">
        <v>75</v>
      </c>
      <c r="G22" s="78" t="s">
        <v>1459</v>
      </c>
      <c r="H22" s="78" t="s">
        <v>834</v>
      </c>
      <c r="I22" s="14" t="s">
        <v>119</v>
      </c>
      <c r="J22" s="14" t="s">
        <v>167</v>
      </c>
      <c r="K22" s="14" t="s">
        <v>66</v>
      </c>
      <c r="L22" s="1638">
        <f t="shared" si="6"/>
        <v>485640.4</v>
      </c>
      <c r="M22" s="1638">
        <v>37517.18</v>
      </c>
      <c r="N22" s="1638">
        <v>36334.160000000003</v>
      </c>
      <c r="O22" s="632">
        <v>0</v>
      </c>
      <c r="P22" s="632">
        <v>0</v>
      </c>
      <c r="Q22" s="1638">
        <v>411789.06</v>
      </c>
      <c r="R22" s="16"/>
      <c r="S22" s="423">
        <v>43038</v>
      </c>
      <c r="T22" s="843">
        <v>43342</v>
      </c>
      <c r="U22" s="843">
        <v>43373</v>
      </c>
      <c r="V22" s="843">
        <v>43464</v>
      </c>
      <c r="W22" s="323">
        <v>44165</v>
      </c>
      <c r="X22" s="30"/>
      <c r="Y22" s="37"/>
      <c r="Z22" s="30"/>
    </row>
    <row r="23" spans="1:26" ht="39.75" customHeight="1" thickBot="1">
      <c r="A23" s="297" t="s">
        <v>16</v>
      </c>
      <c r="B23" s="624"/>
      <c r="C23" s="624"/>
      <c r="D23" s="1931" t="s">
        <v>606</v>
      </c>
      <c r="E23" s="1940"/>
      <c r="F23" s="1940"/>
      <c r="G23" s="1940"/>
      <c r="H23" s="1940"/>
      <c r="I23" s="1940"/>
      <c r="J23" s="1940"/>
      <c r="K23" s="1941"/>
      <c r="L23" s="299"/>
      <c r="M23" s="299"/>
      <c r="N23" s="299"/>
      <c r="O23" s="299"/>
      <c r="P23" s="299"/>
      <c r="Q23" s="299"/>
      <c r="R23" s="299"/>
      <c r="S23" s="79"/>
      <c r="T23" s="299"/>
      <c r="U23" s="299"/>
      <c r="V23" s="299"/>
      <c r="W23" s="299"/>
      <c r="X23" s="40">
        <v>0</v>
      </c>
      <c r="Y23" s="40">
        <f>SUM(X23*120/100)</f>
        <v>0</v>
      </c>
      <c r="Z23" s="40">
        <v>0</v>
      </c>
    </row>
    <row r="24" spans="1:26" ht="15.75" thickBot="1">
      <c r="A24" s="6"/>
      <c r="B24" s="13"/>
      <c r="C24" s="13"/>
      <c r="D24" s="28"/>
      <c r="E24" s="28"/>
      <c r="F24" s="28"/>
      <c r="G24" s="28"/>
      <c r="H24" s="29"/>
      <c r="I24" s="38"/>
      <c r="J24" s="38"/>
      <c r="K24" s="38"/>
      <c r="L24" s="38"/>
      <c r="M24" s="38"/>
      <c r="N24" s="38"/>
      <c r="O24" s="38"/>
      <c r="P24" s="38"/>
      <c r="Q24" s="38"/>
      <c r="R24" s="38"/>
      <c r="S24" s="38"/>
      <c r="T24" s="38"/>
      <c r="U24" s="38"/>
      <c r="V24" s="38"/>
      <c r="W24" s="148"/>
      <c r="X24" s="30"/>
      <c r="Y24" s="30"/>
      <c r="Z24" s="30"/>
    </row>
    <row r="25" spans="1:26" ht="37.5" customHeight="1" thickBot="1">
      <c r="A25" s="297" t="s">
        <v>76</v>
      </c>
      <c r="B25" s="624"/>
      <c r="C25" s="624"/>
      <c r="D25" s="1931" t="s">
        <v>607</v>
      </c>
      <c r="E25" s="1940"/>
      <c r="F25" s="1940"/>
      <c r="G25" s="1940"/>
      <c r="H25" s="1940"/>
      <c r="I25" s="1940"/>
      <c r="J25" s="1940"/>
      <c r="K25" s="1941"/>
      <c r="L25" s="1016">
        <f>SUM(L26)</f>
        <v>2474472.79</v>
      </c>
      <c r="M25" s="1016">
        <f t="shared" ref="M25:Q25" si="7">SUM(M26)</f>
        <v>0</v>
      </c>
      <c r="N25" s="1016">
        <f t="shared" si="7"/>
        <v>0</v>
      </c>
      <c r="O25" s="1016">
        <f t="shared" si="7"/>
        <v>860244.53</v>
      </c>
      <c r="P25" s="1016">
        <f t="shared" si="7"/>
        <v>0</v>
      </c>
      <c r="Q25" s="1016">
        <f t="shared" si="7"/>
        <v>1614228.26</v>
      </c>
      <c r="R25" s="1016"/>
      <c r="S25" s="79"/>
      <c r="T25" s="299"/>
      <c r="U25" s="299"/>
      <c r="V25" s="299"/>
      <c r="W25" s="299"/>
      <c r="X25" s="33">
        <v>1614228.26</v>
      </c>
      <c r="Y25" s="33">
        <f>SUM(X25*120/100)</f>
        <v>1937073.9119999998</v>
      </c>
      <c r="Z25" s="33">
        <f>SUM(X25-Q25)</f>
        <v>0</v>
      </c>
    </row>
    <row r="26" spans="1:26" ht="48.75" thickBot="1">
      <c r="A26" s="78" t="str">
        <f>CONCATENATE('3 pr-2'!A51)</f>
        <v>1.1.1.5.1</v>
      </c>
      <c r="B26" s="78" t="str">
        <f>CONCATENATE('3 pr-2'!B51)</f>
        <v>R01-0014-060700-1151</v>
      </c>
      <c r="C26" s="647" t="str">
        <f>CONCATENATE('3 pr-2'!C51)</f>
        <v>05.3.2-APVA-R-014-11-0001</v>
      </c>
      <c r="D26" s="78" t="s">
        <v>293</v>
      </c>
      <c r="E26" s="78" t="s">
        <v>294</v>
      </c>
      <c r="F26" s="78" t="s">
        <v>77</v>
      </c>
      <c r="G26" s="78" t="s">
        <v>1459</v>
      </c>
      <c r="H26" s="78" t="s">
        <v>144</v>
      </c>
      <c r="I26" s="14" t="s">
        <v>119</v>
      </c>
      <c r="J26" s="14" t="s">
        <v>167</v>
      </c>
      <c r="K26" s="14" t="s">
        <v>66</v>
      </c>
      <c r="L26" s="1018">
        <f>SUM(M26:Q26)</f>
        <v>2474472.79</v>
      </c>
      <c r="M26" s="632">
        <v>0</v>
      </c>
      <c r="N26" s="632">
        <v>0</v>
      </c>
      <c r="O26" s="1018">
        <v>860244.53</v>
      </c>
      <c r="P26" s="632">
        <v>0</v>
      </c>
      <c r="Q26" s="1018">
        <v>1614228.26</v>
      </c>
      <c r="R26" s="1018"/>
      <c r="S26" s="323">
        <v>42451</v>
      </c>
      <c r="T26" s="323">
        <v>42551</v>
      </c>
      <c r="U26" s="323">
        <v>42674</v>
      </c>
      <c r="V26" s="323">
        <v>42766</v>
      </c>
      <c r="W26" s="323">
        <v>44012</v>
      </c>
      <c r="X26" s="30"/>
      <c r="Y26" s="30"/>
      <c r="Z26" s="30"/>
    </row>
    <row r="27" spans="1:26" ht="30.75" customHeight="1" thickBot="1">
      <c r="A27" s="297" t="s">
        <v>79</v>
      </c>
      <c r="B27" s="624"/>
      <c r="C27" s="624"/>
      <c r="D27" s="1931" t="s">
        <v>608</v>
      </c>
      <c r="E27" s="1940"/>
      <c r="F27" s="1940"/>
      <c r="G27" s="1940"/>
      <c r="H27" s="1940"/>
      <c r="I27" s="1940"/>
      <c r="J27" s="1940"/>
      <c r="K27" s="1941"/>
      <c r="L27" s="299"/>
      <c r="M27" s="299"/>
      <c r="N27" s="299"/>
      <c r="O27" s="299"/>
      <c r="P27" s="299"/>
      <c r="Q27" s="299"/>
      <c r="R27" s="299"/>
      <c r="S27" s="79"/>
      <c r="T27" s="299"/>
      <c r="U27" s="299"/>
      <c r="V27" s="299"/>
      <c r="W27" s="299"/>
      <c r="X27" s="40">
        <v>0</v>
      </c>
      <c r="Y27" s="40">
        <f>SUM(X27*120/100)</f>
        <v>0</v>
      </c>
      <c r="Z27" s="40">
        <v>0</v>
      </c>
    </row>
    <row r="28" spans="1:26" ht="15.75" thickBot="1">
      <c r="A28" s="27"/>
      <c r="B28" s="28"/>
      <c r="C28" s="28"/>
      <c r="D28" s="28"/>
      <c r="E28" s="28"/>
      <c r="F28" s="28"/>
      <c r="G28" s="28"/>
      <c r="H28" s="29"/>
      <c r="I28" s="38"/>
      <c r="J28" s="38"/>
      <c r="K28" s="38"/>
      <c r="L28" s="38"/>
      <c r="M28" s="38"/>
      <c r="N28" s="38"/>
      <c r="O28" s="38"/>
      <c r="P28" s="38"/>
      <c r="Q28" s="38"/>
      <c r="R28" s="38"/>
      <c r="S28" s="38"/>
      <c r="T28" s="38"/>
      <c r="U28" s="38"/>
      <c r="V28" s="38"/>
      <c r="W28" s="148"/>
      <c r="X28" s="30"/>
      <c r="Y28" s="30"/>
      <c r="Z28" s="30"/>
    </row>
    <row r="29" spans="1:26" ht="29.25" customHeight="1" thickBot="1">
      <c r="A29" s="297" t="s">
        <v>81</v>
      </c>
      <c r="B29" s="624"/>
      <c r="C29" s="624"/>
      <c r="D29" s="1931" t="s">
        <v>609</v>
      </c>
      <c r="E29" s="1940"/>
      <c r="F29" s="1940"/>
      <c r="G29" s="1940"/>
      <c r="H29" s="1940"/>
      <c r="I29" s="1940"/>
      <c r="J29" s="1940"/>
      <c r="K29" s="1941"/>
      <c r="L29" s="1016">
        <f t="shared" ref="L29:P29" si="8">SUM(L30:L32)</f>
        <v>212009.4117647059</v>
      </c>
      <c r="M29" s="1016">
        <f t="shared" si="8"/>
        <v>31801.411764705881</v>
      </c>
      <c r="N29" s="1016">
        <f t="shared" si="8"/>
        <v>0</v>
      </c>
      <c r="O29" s="1016">
        <f t="shared" si="8"/>
        <v>0</v>
      </c>
      <c r="P29" s="1016">
        <f t="shared" si="8"/>
        <v>0</v>
      </c>
      <c r="Q29" s="1016">
        <f>SUM(Q30:Q32)</f>
        <v>180208</v>
      </c>
      <c r="R29" s="1016"/>
      <c r="S29" s="79"/>
      <c r="T29" s="299"/>
      <c r="U29" s="299"/>
      <c r="V29" s="299"/>
      <c r="W29" s="299"/>
      <c r="X29" s="33">
        <v>180208</v>
      </c>
      <c r="Y29" s="33">
        <f>SUM(X29*120/100)</f>
        <v>216249.60000000001</v>
      </c>
      <c r="Z29" s="33">
        <f>SUM(X29-Q29)</f>
        <v>0</v>
      </c>
    </row>
    <row r="30" spans="1:26" ht="60.75" thickBot="1">
      <c r="A30" s="78" t="str">
        <f>CONCATENATE('3 pr-2'!A59)</f>
        <v>1.1.1.7.1</v>
      </c>
      <c r="B30" s="78" t="str">
        <f>CONCATENATE('3 pr-2'!B59)</f>
        <v>R01-8821-420000-1171</v>
      </c>
      <c r="C30" s="647" t="str">
        <f>CONCATENATE('3 pr-2'!C59)</f>
        <v>05.4.1-LVPA-R-821-11-0002</v>
      </c>
      <c r="D30" s="78" t="str">
        <f>CONCATENATE('3 pr-2'!D59)</f>
        <v>Alytaus regiono turizmo informacinės infrastruktūros plėtra</v>
      </c>
      <c r="E30" s="78" t="s">
        <v>308</v>
      </c>
      <c r="F30" s="78" t="s">
        <v>82</v>
      </c>
      <c r="G30" s="78" t="s">
        <v>185</v>
      </c>
      <c r="H30" s="228" t="s">
        <v>142</v>
      </c>
      <c r="I30" s="14" t="s">
        <v>119</v>
      </c>
      <c r="J30" s="14" t="s">
        <v>66</v>
      </c>
      <c r="K30" s="16" t="s">
        <v>66</v>
      </c>
      <c r="L30" s="632">
        <f>SUM(M30:Q30)</f>
        <v>41644.705882352944</v>
      </c>
      <c r="M30" s="632">
        <v>6246.7058823529414</v>
      </c>
      <c r="N30" s="632">
        <v>0</v>
      </c>
      <c r="O30" s="632">
        <v>0</v>
      </c>
      <c r="P30" s="632">
        <v>0</v>
      </c>
      <c r="Q30" s="632">
        <v>35398</v>
      </c>
      <c r="R30" s="632"/>
      <c r="S30" s="16"/>
      <c r="T30" s="323">
        <v>42643</v>
      </c>
      <c r="U30" s="323">
        <v>42766</v>
      </c>
      <c r="V30" s="323">
        <v>42855</v>
      </c>
      <c r="W30" s="339">
        <v>2019</v>
      </c>
      <c r="X30" s="30"/>
      <c r="Y30" s="30"/>
      <c r="Z30" s="30"/>
    </row>
    <row r="31" spans="1:26" ht="48.75" thickBot="1">
      <c r="A31" s="78" t="str">
        <f>CONCATENATE('3 pr-2'!A60)</f>
        <v>1.1.1.7.2</v>
      </c>
      <c r="B31" s="78" t="str">
        <f>CONCATENATE('3 pr-2'!B60)</f>
        <v>R01-8821-420000-1172</v>
      </c>
      <c r="C31" s="647" t="str">
        <f>CONCATENATE('3 pr-2'!C60)</f>
        <v>05.4.1-LVPA-R-821-11-0001</v>
      </c>
      <c r="D31" s="78" t="str">
        <f>CONCATENATE('3 pr-2'!D60)</f>
        <v>Turizmo trasų ir maršrutų informacinės infrastruktūros plėtra Lazdijų, Varėnos rajonų ir Druskininkų savivaldybėse</v>
      </c>
      <c r="E31" s="78" t="s">
        <v>241</v>
      </c>
      <c r="F31" s="78" t="s">
        <v>82</v>
      </c>
      <c r="G31" s="78" t="s">
        <v>309</v>
      </c>
      <c r="H31" s="228" t="s">
        <v>142</v>
      </c>
      <c r="I31" s="14" t="s">
        <v>119</v>
      </c>
      <c r="J31" s="14" t="s">
        <v>66</v>
      </c>
      <c r="K31" s="16" t="s">
        <v>66</v>
      </c>
      <c r="L31" s="632">
        <f>SUM(M31:Q31)</f>
        <v>96035.294117647063</v>
      </c>
      <c r="M31" s="632">
        <f>SUM(Q31*15/85)</f>
        <v>14405.294117647059</v>
      </c>
      <c r="N31" s="632">
        <v>0</v>
      </c>
      <c r="O31" s="632">
        <v>0</v>
      </c>
      <c r="P31" s="632">
        <v>0</v>
      </c>
      <c r="Q31" s="632">
        <v>81630</v>
      </c>
      <c r="R31" s="632"/>
      <c r="S31" s="16"/>
      <c r="T31" s="323">
        <v>42643</v>
      </c>
      <c r="U31" s="323">
        <v>42735</v>
      </c>
      <c r="V31" s="323">
        <v>42825</v>
      </c>
      <c r="W31" s="339">
        <v>2018</v>
      </c>
      <c r="X31" s="30"/>
      <c r="Y31" s="30"/>
      <c r="Z31" s="30"/>
    </row>
    <row r="32" spans="1:26" ht="48.75" thickBot="1">
      <c r="A32" s="78" t="str">
        <f>CONCATENATE('3 pr-2'!A61)</f>
        <v>1.1.1.7.3</v>
      </c>
      <c r="B32" s="78" t="str">
        <f>CONCATENATE('3 pr-2'!B61)</f>
        <v>R01-8821-420000-1173</v>
      </c>
      <c r="C32" s="647" t="str">
        <f>CONCATENATE('3 pr-2'!C61)</f>
        <v>05.4.1-LVPA-R-821-11-0003</v>
      </c>
      <c r="D32" s="78" t="str">
        <f>CONCATENATE('3 pr-2'!D61)</f>
        <v>Turizmo trasų ir maršrutų informacinės infrastruktūros plėtra Lazdijų, Varėnos rajonų ir Druskininkų savivaldybėse, II etapas</v>
      </c>
      <c r="E32" s="78" t="s">
        <v>241</v>
      </c>
      <c r="F32" s="78" t="s">
        <v>82</v>
      </c>
      <c r="G32" s="78" t="s">
        <v>309</v>
      </c>
      <c r="H32" s="228" t="s">
        <v>142</v>
      </c>
      <c r="I32" s="14" t="s">
        <v>119</v>
      </c>
      <c r="J32" s="14" t="s">
        <v>66</v>
      </c>
      <c r="K32" s="16" t="s">
        <v>66</v>
      </c>
      <c r="L32" s="632">
        <f>SUM(M32:Q32)</f>
        <v>74329.411764705888</v>
      </c>
      <c r="M32" s="632">
        <f>SUM(Q32*15/85)</f>
        <v>11149.411764705883</v>
      </c>
      <c r="N32" s="632">
        <v>0</v>
      </c>
      <c r="O32" s="632">
        <v>0</v>
      </c>
      <c r="P32" s="632">
        <v>0</v>
      </c>
      <c r="Q32" s="632">
        <v>63180</v>
      </c>
      <c r="R32" s="632"/>
      <c r="S32" s="16"/>
      <c r="T32" s="323">
        <v>43008</v>
      </c>
      <c r="U32" s="323"/>
      <c r="V32" s="323"/>
      <c r="W32" s="339"/>
      <c r="X32" s="30"/>
      <c r="Y32" s="30"/>
      <c r="Z32" s="30"/>
    </row>
    <row r="33" spans="1:26" ht="30" customHeight="1" thickBot="1">
      <c r="A33" s="297" t="s">
        <v>84</v>
      </c>
      <c r="B33" s="624"/>
      <c r="C33" s="624"/>
      <c r="D33" s="1931" t="s">
        <v>610</v>
      </c>
      <c r="E33" s="1940"/>
      <c r="F33" s="1940"/>
      <c r="G33" s="1940"/>
      <c r="H33" s="1940"/>
      <c r="I33" s="1940"/>
      <c r="J33" s="1940"/>
      <c r="K33" s="1941"/>
      <c r="L33" s="1016">
        <f>SUM(L34)</f>
        <v>352401</v>
      </c>
      <c r="M33" s="1016">
        <f>SUM(M34)</f>
        <v>52860.15</v>
      </c>
      <c r="N33" s="1016">
        <f t="shared" ref="N33:P33" si="9">SUM(N34)</f>
        <v>0</v>
      </c>
      <c r="O33" s="1016">
        <f t="shared" si="9"/>
        <v>0</v>
      </c>
      <c r="P33" s="1016">
        <f t="shared" si="9"/>
        <v>0</v>
      </c>
      <c r="Q33" s="1016">
        <f>SUM(Q34)</f>
        <v>299540.84999999998</v>
      </c>
      <c r="R33" s="1016"/>
      <c r="S33" s="79"/>
      <c r="T33" s="299"/>
      <c r="U33" s="299"/>
      <c r="V33" s="299"/>
      <c r="W33" s="299"/>
      <c r="X33" s="33">
        <v>299541.3775</v>
      </c>
      <c r="Y33" s="33">
        <f>SUM(X33*120/100)</f>
        <v>359449.65299999999</v>
      </c>
      <c r="Z33" s="33">
        <f>SUM(X33-Q33)</f>
        <v>0.52750000002561137</v>
      </c>
    </row>
    <row r="34" spans="1:26" ht="60.75" thickBot="1">
      <c r="A34" s="78" t="str">
        <f>CONCATENATE('3 pr-2'!A63)</f>
        <v>1.1.1.8.1</v>
      </c>
      <c r="B34" s="78" t="str">
        <f>CONCATENATE('3 pr-2'!B63)</f>
        <v>R01-3305-330000-1181</v>
      </c>
      <c r="C34" s="647" t="str">
        <f>CONCATENATE('3 pr-2'!C63)</f>
        <v>07.1.1-CPVA-R-305-11-0001</v>
      </c>
      <c r="D34" s="78" t="s">
        <v>134</v>
      </c>
      <c r="E34" s="78" t="s">
        <v>282</v>
      </c>
      <c r="F34" s="78" t="s">
        <v>116</v>
      </c>
      <c r="G34" s="78" t="s">
        <v>1459</v>
      </c>
      <c r="H34" s="228" t="s">
        <v>143</v>
      </c>
      <c r="I34" s="14" t="s">
        <v>119</v>
      </c>
      <c r="J34" s="14" t="s">
        <v>167</v>
      </c>
      <c r="K34" s="16" t="s">
        <v>66</v>
      </c>
      <c r="L34" s="632">
        <f>SUM(M34:Q34)</f>
        <v>352401</v>
      </c>
      <c r="M34" s="632">
        <v>52860.15</v>
      </c>
      <c r="N34" s="632">
        <v>0</v>
      </c>
      <c r="O34" s="632">
        <v>0</v>
      </c>
      <c r="P34" s="632">
        <v>0</v>
      </c>
      <c r="Q34" s="632">
        <v>299540.84999999998</v>
      </c>
      <c r="R34" s="632"/>
      <c r="S34" s="423">
        <v>42614</v>
      </c>
      <c r="T34" s="323">
        <v>42632</v>
      </c>
      <c r="U34" s="323">
        <v>42767</v>
      </c>
      <c r="V34" s="323">
        <v>42855</v>
      </c>
      <c r="W34" s="323">
        <v>43585</v>
      </c>
      <c r="X34" s="30"/>
      <c r="Y34" s="30"/>
      <c r="Z34" s="30"/>
    </row>
    <row r="35" spans="1:26" ht="30" customHeight="1" thickBot="1">
      <c r="A35" s="297" t="s">
        <v>86</v>
      </c>
      <c r="B35" s="624"/>
      <c r="C35" s="624"/>
      <c r="D35" s="1931" t="s">
        <v>611</v>
      </c>
      <c r="E35" s="1940"/>
      <c r="F35" s="1940"/>
      <c r="G35" s="1940"/>
      <c r="H35" s="1940"/>
      <c r="I35" s="1940"/>
      <c r="J35" s="1940"/>
      <c r="K35" s="1941"/>
      <c r="L35" s="1016">
        <f>SUM(L36)</f>
        <v>242419</v>
      </c>
      <c r="M35" s="1016">
        <f>SUM(M36)</f>
        <v>36363</v>
      </c>
      <c r="N35" s="1016">
        <f t="shared" ref="N35:P35" si="10">SUM(N36)</f>
        <v>0</v>
      </c>
      <c r="O35" s="1016">
        <f t="shared" si="10"/>
        <v>0</v>
      </c>
      <c r="P35" s="1016">
        <f t="shared" si="10"/>
        <v>0</v>
      </c>
      <c r="Q35" s="1016">
        <f>SUM(Q36)</f>
        <v>206056</v>
      </c>
      <c r="R35" s="1016"/>
      <c r="S35" s="79"/>
      <c r="T35" s="299"/>
      <c r="U35" s="299"/>
      <c r="V35" s="299"/>
      <c r="W35" s="299"/>
      <c r="X35" s="33">
        <v>206056.31</v>
      </c>
      <c r="Y35" s="33">
        <f>SUM(X35*120/100)</f>
        <v>247267.57199999999</v>
      </c>
      <c r="Z35" s="33">
        <f>SUM(X35-Q35)</f>
        <v>0.30999999999767169</v>
      </c>
    </row>
    <row r="36" spans="1:26" ht="60.75" thickBot="1">
      <c r="A36" s="78" t="str">
        <f>CONCATENATE('3 pr-2'!A72)</f>
        <v>1.1.1.9.5</v>
      </c>
      <c r="B36" s="78" t="str">
        <f>CONCATENATE('3 pr-2'!B72)</f>
        <v>R01-3302-440000-1195</v>
      </c>
      <c r="C36" s="647" t="str">
        <f>CONCATENATE('3 pr-2'!C72)</f>
        <v>05.4.1-CPVA-R-302-11-0005</v>
      </c>
      <c r="D36" s="78" t="s">
        <v>641</v>
      </c>
      <c r="E36" s="78" t="s">
        <v>282</v>
      </c>
      <c r="F36" s="78" t="s">
        <v>116</v>
      </c>
      <c r="G36" s="78" t="s">
        <v>1459</v>
      </c>
      <c r="H36" s="228" t="s">
        <v>182</v>
      </c>
      <c r="I36" s="14" t="s">
        <v>119</v>
      </c>
      <c r="J36" s="16" t="s">
        <v>66</v>
      </c>
      <c r="K36" s="16" t="s">
        <v>66</v>
      </c>
      <c r="L36" s="632">
        <f>SUM(M36:Q36)</f>
        <v>242419</v>
      </c>
      <c r="M36" s="632">
        <v>36363</v>
      </c>
      <c r="N36" s="632">
        <v>0</v>
      </c>
      <c r="O36" s="632">
        <v>0</v>
      </c>
      <c r="P36" s="632">
        <v>0</v>
      </c>
      <c r="Q36" s="632">
        <v>206056</v>
      </c>
      <c r="R36" s="632"/>
      <c r="S36" s="423">
        <v>42667</v>
      </c>
      <c r="T36" s="323">
        <v>42794</v>
      </c>
      <c r="U36" s="323">
        <v>43241</v>
      </c>
      <c r="V36" s="323">
        <v>43342</v>
      </c>
      <c r="W36" s="323">
        <v>44196</v>
      </c>
      <c r="X36" s="30"/>
      <c r="Y36" s="30"/>
      <c r="Z36" s="30"/>
    </row>
    <row r="37" spans="1:26" ht="50.25" customHeight="1" thickBot="1">
      <c r="A37" s="134" t="s">
        <v>22</v>
      </c>
      <c r="B37" s="628"/>
      <c r="C37" s="628"/>
      <c r="D37" s="1933" t="s">
        <v>1387</v>
      </c>
      <c r="E37" s="1946"/>
      <c r="F37" s="1946"/>
      <c r="G37" s="1946"/>
      <c r="H37" s="1946"/>
      <c r="I37" s="1946"/>
      <c r="J37" s="1946"/>
      <c r="K37" s="1947"/>
      <c r="L37" s="1027">
        <f t="shared" ref="L37:Q37" si="11">SUM(L38+L40+L42+L44)</f>
        <v>938770</v>
      </c>
      <c r="M37" s="1027">
        <f t="shared" si="11"/>
        <v>78156</v>
      </c>
      <c r="N37" s="1027">
        <f t="shared" si="11"/>
        <v>0</v>
      </c>
      <c r="O37" s="1027">
        <f t="shared" si="11"/>
        <v>0</v>
      </c>
      <c r="P37" s="1027">
        <f t="shared" si="11"/>
        <v>62660</v>
      </c>
      <c r="Q37" s="1027">
        <f t="shared" si="11"/>
        <v>797954</v>
      </c>
      <c r="R37" s="1027"/>
      <c r="S37" s="115"/>
      <c r="T37" s="116"/>
      <c r="U37" s="116"/>
      <c r="V37" s="116"/>
      <c r="W37" s="151"/>
      <c r="X37" s="32">
        <f>SUM(X38+X40+X42+X44)</f>
        <v>1036489</v>
      </c>
      <c r="Y37" s="32">
        <f>SUM(Y38+Y40+Y42+Y44)</f>
        <v>1243786.8</v>
      </c>
      <c r="Z37" s="32">
        <f>SUM(Z38+Z40+Z42+Z44)</f>
        <v>238535</v>
      </c>
    </row>
    <row r="38" spans="1:26" ht="33" customHeight="1" thickBot="1">
      <c r="A38" s="297" t="s">
        <v>88</v>
      </c>
      <c r="B38" s="624"/>
      <c r="C38" s="624"/>
      <c r="D38" s="1931" t="s">
        <v>613</v>
      </c>
      <c r="E38" s="1940"/>
      <c r="F38" s="1940"/>
      <c r="G38" s="1940"/>
      <c r="H38" s="1940"/>
      <c r="I38" s="1940"/>
      <c r="J38" s="1940"/>
      <c r="K38" s="1941"/>
      <c r="L38" s="1019">
        <f t="shared" ref="L38:M38" si="12">SUM(L39)</f>
        <v>0</v>
      </c>
      <c r="M38" s="1019">
        <f t="shared" si="12"/>
        <v>0</v>
      </c>
      <c r="N38" s="1019"/>
      <c r="O38" s="1019"/>
      <c r="P38" s="1019"/>
      <c r="Q38" s="1019">
        <f>SUM(Q39)</f>
        <v>0</v>
      </c>
      <c r="R38" s="1019"/>
      <c r="S38" s="79"/>
      <c r="T38" s="299"/>
      <c r="U38" s="299"/>
      <c r="V38" s="299"/>
      <c r="W38" s="299"/>
      <c r="X38" s="33">
        <v>245527</v>
      </c>
      <c r="Y38" s="33">
        <f>SUM(X38*120/100)</f>
        <v>294632.40000000002</v>
      </c>
      <c r="Z38" s="33">
        <f>SUM(X38-Q38)</f>
        <v>245527</v>
      </c>
    </row>
    <row r="39" spans="1:26" ht="15.75" thickBot="1">
      <c r="A39" s="78"/>
      <c r="B39" s="78"/>
      <c r="C39" s="78"/>
      <c r="D39" s="78"/>
      <c r="E39" s="78"/>
      <c r="F39" s="78"/>
      <c r="G39" s="78"/>
      <c r="H39" s="228"/>
      <c r="I39" s="14"/>
      <c r="J39" s="14"/>
      <c r="K39" s="16"/>
      <c r="L39" s="1020"/>
      <c r="M39" s="1020"/>
      <c r="N39" s="1020"/>
      <c r="O39" s="1020"/>
      <c r="P39" s="1020"/>
      <c r="Q39" s="1020"/>
      <c r="R39" s="1020"/>
      <c r="S39" s="16"/>
      <c r="T39" s="323"/>
      <c r="U39" s="323"/>
      <c r="V39" s="323"/>
      <c r="W39" s="156"/>
      <c r="X39" s="30"/>
      <c r="Y39" s="30"/>
      <c r="Z39" s="30"/>
    </row>
    <row r="40" spans="1:26" ht="26.25" customHeight="1" thickBot="1">
      <c r="A40" s="297" t="s">
        <v>90</v>
      </c>
      <c r="B40" s="624"/>
      <c r="C40" s="624"/>
      <c r="D40" s="1931" t="s">
        <v>614</v>
      </c>
      <c r="E40" s="1940"/>
      <c r="F40" s="1940"/>
      <c r="G40" s="1940"/>
      <c r="H40" s="1940"/>
      <c r="I40" s="1940"/>
      <c r="J40" s="1940"/>
      <c r="K40" s="1941"/>
      <c r="L40" s="1019">
        <f t="shared" ref="L40:P40" si="13">SUM(L41)</f>
        <v>0</v>
      </c>
      <c r="M40" s="1019">
        <f t="shared" si="13"/>
        <v>0</v>
      </c>
      <c r="N40" s="1019">
        <f t="shared" si="13"/>
        <v>0</v>
      </c>
      <c r="O40" s="1019">
        <f t="shared" si="13"/>
        <v>0</v>
      </c>
      <c r="P40" s="1019">
        <f t="shared" si="13"/>
        <v>0</v>
      </c>
      <c r="Q40" s="1019">
        <f t="shared" ref="Q40" si="14">SUM(Q41)</f>
        <v>0</v>
      </c>
      <c r="R40" s="1019"/>
      <c r="S40" s="79"/>
      <c r="T40" s="299"/>
      <c r="U40" s="299"/>
      <c r="V40" s="299"/>
      <c r="W40" s="299"/>
      <c r="X40" s="33">
        <v>0</v>
      </c>
      <c r="Y40" s="33">
        <f>SUM(X40*120/100)</f>
        <v>0</v>
      </c>
      <c r="Z40" s="33">
        <f>SUM(X40-Q40)</f>
        <v>0</v>
      </c>
    </row>
    <row r="41" spans="1:26" ht="15.75" thickBot="1">
      <c r="A41" s="74"/>
      <c r="B41" s="74"/>
      <c r="C41" s="74"/>
      <c r="D41" s="74"/>
      <c r="E41" s="74"/>
      <c r="F41" s="75"/>
      <c r="G41" s="74"/>
      <c r="H41" s="76"/>
      <c r="I41" s="77"/>
      <c r="J41" s="5"/>
      <c r="K41" s="5"/>
      <c r="L41" s="1028">
        <v>0</v>
      </c>
      <c r="M41" s="1026">
        <v>0</v>
      </c>
      <c r="N41" s="1026">
        <v>0</v>
      </c>
      <c r="O41" s="1026">
        <v>0</v>
      </c>
      <c r="P41" s="1026">
        <v>0</v>
      </c>
      <c r="Q41" s="1026">
        <v>0</v>
      </c>
      <c r="R41" s="1026"/>
      <c r="S41" s="643"/>
      <c r="T41" s="2">
        <f>SUM(M41:N41)</f>
        <v>0</v>
      </c>
      <c r="U41" s="2">
        <f>SUM(Q41*15/85)</f>
        <v>0</v>
      </c>
      <c r="V41" s="5"/>
      <c r="W41" s="160"/>
      <c r="X41" s="30"/>
      <c r="Y41" s="30"/>
      <c r="Z41" s="30"/>
    </row>
    <row r="42" spans="1:26" ht="26.25" customHeight="1" thickBot="1">
      <c r="A42" s="297" t="s">
        <v>92</v>
      </c>
      <c r="B42" s="624"/>
      <c r="C42" s="624"/>
      <c r="D42" s="1931" t="s">
        <v>615</v>
      </c>
      <c r="E42" s="1940"/>
      <c r="F42" s="1940"/>
      <c r="G42" s="1940"/>
      <c r="H42" s="1940"/>
      <c r="I42" s="1940"/>
      <c r="J42" s="1940"/>
      <c r="K42" s="1941"/>
      <c r="L42" s="1019">
        <f t="shared" ref="L42:P42" si="15">SUM(L43)</f>
        <v>103306</v>
      </c>
      <c r="M42" s="1019">
        <f t="shared" si="15"/>
        <v>15496</v>
      </c>
      <c r="N42" s="1019">
        <f t="shared" si="15"/>
        <v>0</v>
      </c>
      <c r="O42" s="1019">
        <f t="shared" si="15"/>
        <v>0</v>
      </c>
      <c r="P42" s="1019">
        <f t="shared" si="15"/>
        <v>0</v>
      </c>
      <c r="Q42" s="1019">
        <f t="shared" ref="Q42" si="16">SUM(Q43)</f>
        <v>87810</v>
      </c>
      <c r="R42" s="1019"/>
      <c r="S42" s="79"/>
      <c r="T42" s="299"/>
      <c r="U42" s="299"/>
      <c r="V42" s="299"/>
      <c r="W42" s="299"/>
      <c r="X42" s="33">
        <v>80818</v>
      </c>
      <c r="Y42" s="33">
        <f>SUM(X42*120/100)</f>
        <v>96981.6</v>
      </c>
      <c r="Z42" s="33">
        <f>SUM(X42-Q42)</f>
        <v>-6992</v>
      </c>
    </row>
    <row r="43" spans="1:26" ht="60.75" thickBot="1">
      <c r="A43" s="78" t="str">
        <f>CONCATENATE('3 pr-2'!A87)</f>
        <v>1.1.2.3.1</v>
      </c>
      <c r="B43" s="78" t="str">
        <f>CONCATENATE('3 pr-2'!B87)</f>
        <v>R01-5516-190000-1231</v>
      </c>
      <c r="C43" s="647" t="str">
        <f>CONCATENATE('3 pr-2'!C87)</f>
        <v>04.5.1-TID-R-516-11-0004</v>
      </c>
      <c r="D43" s="78" t="s">
        <v>642</v>
      </c>
      <c r="E43" s="78" t="s">
        <v>282</v>
      </c>
      <c r="F43" s="78" t="s">
        <v>115</v>
      </c>
      <c r="G43" s="78" t="s">
        <v>1459</v>
      </c>
      <c r="H43" s="228" t="s">
        <v>148</v>
      </c>
      <c r="I43" s="14" t="s">
        <v>119</v>
      </c>
      <c r="J43" s="14" t="s">
        <v>167</v>
      </c>
      <c r="K43" s="16" t="s">
        <v>66</v>
      </c>
      <c r="L43" s="1638">
        <f>SUM(M43:Q43)</f>
        <v>103306</v>
      </c>
      <c r="M43" s="1638">
        <v>15496</v>
      </c>
      <c r="N43" s="632">
        <v>0</v>
      </c>
      <c r="O43" s="632">
        <v>0</v>
      </c>
      <c r="P43" s="632">
        <v>0</v>
      </c>
      <c r="Q43" s="1638">
        <v>87810</v>
      </c>
      <c r="R43" s="1020"/>
      <c r="S43" s="423">
        <v>42660</v>
      </c>
      <c r="T43" s="323">
        <v>42735</v>
      </c>
      <c r="U43" s="323">
        <v>43100</v>
      </c>
      <c r="V43" s="323">
        <v>43193</v>
      </c>
      <c r="W43" s="1675">
        <v>44104</v>
      </c>
      <c r="X43" s="30"/>
      <c r="Y43" s="30"/>
      <c r="Z43" s="30"/>
    </row>
    <row r="44" spans="1:26" ht="29.25" customHeight="1" thickBot="1">
      <c r="A44" s="297" t="s">
        <v>94</v>
      </c>
      <c r="B44" s="624"/>
      <c r="C44" s="624"/>
      <c r="D44" s="1931" t="s">
        <v>616</v>
      </c>
      <c r="E44" s="1940"/>
      <c r="F44" s="1940"/>
      <c r="G44" s="1940"/>
      <c r="H44" s="1940"/>
      <c r="I44" s="1940"/>
      <c r="J44" s="1940"/>
      <c r="K44" s="1941"/>
      <c r="L44" s="1016">
        <f t="shared" ref="L44:P44" si="17">SUM(L45)</f>
        <v>835464</v>
      </c>
      <c r="M44" s="1016">
        <f t="shared" si="17"/>
        <v>62660</v>
      </c>
      <c r="N44" s="1016">
        <f t="shared" si="17"/>
        <v>0</v>
      </c>
      <c r="O44" s="1016">
        <f t="shared" si="17"/>
        <v>0</v>
      </c>
      <c r="P44" s="1016">
        <f t="shared" si="17"/>
        <v>62660</v>
      </c>
      <c r="Q44" s="1016">
        <f t="shared" ref="Q44" si="18">SUM(Q45)</f>
        <v>710144</v>
      </c>
      <c r="R44" s="1016"/>
      <c r="S44" s="79"/>
      <c r="T44" s="299"/>
      <c r="U44" s="299"/>
      <c r="V44" s="299"/>
      <c r="W44" s="299"/>
      <c r="X44" s="33">
        <v>710144</v>
      </c>
      <c r="Y44" s="33">
        <f>SUM(X44*120/100)</f>
        <v>852172.80000000005</v>
      </c>
      <c r="Z44" s="33">
        <f>SUM(X44-Q44)</f>
        <v>0</v>
      </c>
    </row>
    <row r="45" spans="1:26" ht="60.75" thickBot="1">
      <c r="A45" s="78" t="str">
        <f>CONCATENATE('3 pr-2'!A93)</f>
        <v>1.1.2.4.1</v>
      </c>
      <c r="B45" s="78" t="str">
        <f>CONCATENATE('3 pr-2'!B93)</f>
        <v>R01-5511-120000-1241</v>
      </c>
      <c r="C45" s="647" t="str">
        <f>CONCATENATE('3 pr-2'!C93)</f>
        <v>06.2.1-TID-R-511-11-0002</v>
      </c>
      <c r="D45" s="78" t="s">
        <v>2160</v>
      </c>
      <c r="E45" s="78" t="s">
        <v>282</v>
      </c>
      <c r="F45" s="78" t="s">
        <v>115</v>
      </c>
      <c r="G45" s="78" t="s">
        <v>1459</v>
      </c>
      <c r="H45" s="228" t="s">
        <v>141</v>
      </c>
      <c r="I45" s="14" t="s">
        <v>119</v>
      </c>
      <c r="J45" s="14" t="s">
        <v>167</v>
      </c>
      <c r="K45" s="16" t="s">
        <v>66</v>
      </c>
      <c r="L45" s="632">
        <f>SUM(M45:Q45)</f>
        <v>835464</v>
      </c>
      <c r="M45" s="632">
        <v>62660</v>
      </c>
      <c r="N45" s="632">
        <v>0</v>
      </c>
      <c r="O45" s="632">
        <v>0</v>
      </c>
      <c r="P45" s="632">
        <v>62660</v>
      </c>
      <c r="Q45" s="632">
        <v>710144</v>
      </c>
      <c r="R45" s="632"/>
      <c r="S45" s="423">
        <v>42639</v>
      </c>
      <c r="T45" s="323">
        <v>42732</v>
      </c>
      <c r="U45" s="323">
        <v>42887</v>
      </c>
      <c r="V45" s="323">
        <v>42993</v>
      </c>
      <c r="W45" s="323">
        <v>44196</v>
      </c>
      <c r="X45" s="30"/>
      <c r="Y45" s="30"/>
      <c r="Z45" s="30"/>
    </row>
    <row r="46" spans="1:26" ht="39.75" customHeight="1" thickBot="1">
      <c r="A46" s="141" t="s">
        <v>27</v>
      </c>
      <c r="B46" s="629"/>
      <c r="C46" s="629"/>
      <c r="D46" s="1943" t="s">
        <v>617</v>
      </c>
      <c r="E46" s="1944"/>
      <c r="F46" s="1944"/>
      <c r="G46" s="1944"/>
      <c r="H46" s="1944"/>
      <c r="I46" s="1944"/>
      <c r="J46" s="1944"/>
      <c r="K46" s="1945"/>
      <c r="L46" s="1031">
        <f t="shared" ref="L46:Q46" si="19">SUM(L47+L54+L63+L68)</f>
        <v>2501375.52</v>
      </c>
      <c r="M46" s="1031">
        <f t="shared" si="19"/>
        <v>328718.03000000003</v>
      </c>
      <c r="N46" s="1031">
        <f t="shared" si="19"/>
        <v>73059.55</v>
      </c>
      <c r="O46" s="1031">
        <f t="shared" si="19"/>
        <v>623</v>
      </c>
      <c r="P46" s="1031">
        <f t="shared" si="19"/>
        <v>0</v>
      </c>
      <c r="Q46" s="1031">
        <f t="shared" si="19"/>
        <v>2098974.94</v>
      </c>
      <c r="R46" s="1031"/>
      <c r="S46" s="136"/>
      <c r="T46" s="142"/>
      <c r="U46" s="142"/>
      <c r="V46" s="142"/>
      <c r="W46" s="150"/>
      <c r="X46" s="41">
        <f>SUM(X47+X54+X63+X68)</f>
        <v>2623843.2011587336</v>
      </c>
      <c r="Y46" s="41">
        <f>SUM(Y47+Y54+Y63+Y68)</f>
        <v>3148611.8413904798</v>
      </c>
      <c r="Z46" s="41">
        <f>SUM(Z47+Z54+Z63+Z68)</f>
        <v>538195.2611587334</v>
      </c>
    </row>
    <row r="47" spans="1:26" ht="51" customHeight="1" thickBot="1">
      <c r="A47" s="134" t="s">
        <v>28</v>
      </c>
      <c r="B47" s="628"/>
      <c r="C47" s="628"/>
      <c r="D47" s="1933" t="s">
        <v>618</v>
      </c>
      <c r="E47" s="1946"/>
      <c r="F47" s="1946"/>
      <c r="G47" s="1946"/>
      <c r="H47" s="1946"/>
      <c r="I47" s="1946"/>
      <c r="J47" s="1946"/>
      <c r="K47" s="1947"/>
      <c r="L47" s="1022">
        <f t="shared" ref="L47:Q47" si="20">SUM(L48+L50+L52)</f>
        <v>1028004</v>
      </c>
      <c r="M47" s="1022">
        <f t="shared" si="20"/>
        <v>139509</v>
      </c>
      <c r="N47" s="1022">
        <f t="shared" si="20"/>
        <v>41885</v>
      </c>
      <c r="O47" s="1022">
        <f t="shared" si="20"/>
        <v>0</v>
      </c>
      <c r="P47" s="1022">
        <f t="shared" si="20"/>
        <v>0</v>
      </c>
      <c r="Q47" s="1022">
        <f t="shared" si="20"/>
        <v>846610</v>
      </c>
      <c r="R47" s="1022"/>
      <c r="S47" s="115"/>
      <c r="T47" s="116"/>
      <c r="U47" s="116"/>
      <c r="V47" s="116"/>
      <c r="W47" s="151"/>
      <c r="X47" s="32">
        <f>SUM(X48+X50+X52)</f>
        <v>867541</v>
      </c>
      <c r="Y47" s="32">
        <f>SUM(Y48+Y50+Y52)</f>
        <v>1041049.2</v>
      </c>
      <c r="Z47" s="32">
        <f>SUM(Z48+Z50+Z52)</f>
        <v>20931</v>
      </c>
    </row>
    <row r="48" spans="1:26" ht="35.25" customHeight="1" thickBot="1">
      <c r="A48" s="297" t="s">
        <v>96</v>
      </c>
      <c r="B48" s="624"/>
      <c r="C48" s="624"/>
      <c r="D48" s="1931" t="s">
        <v>619</v>
      </c>
      <c r="E48" s="1940"/>
      <c r="F48" s="1940"/>
      <c r="G48" s="1940"/>
      <c r="H48" s="1940"/>
      <c r="I48" s="1940"/>
      <c r="J48" s="1940"/>
      <c r="K48" s="1941"/>
      <c r="L48" s="1016">
        <f t="shared" ref="L48:P48" si="21">SUM(L49)</f>
        <v>220453</v>
      </c>
      <c r="M48" s="1016">
        <f t="shared" si="21"/>
        <v>16534</v>
      </c>
      <c r="N48" s="1016">
        <f t="shared" si="21"/>
        <v>16534</v>
      </c>
      <c r="O48" s="1016">
        <f t="shared" si="21"/>
        <v>0</v>
      </c>
      <c r="P48" s="1016">
        <f t="shared" si="21"/>
        <v>0</v>
      </c>
      <c r="Q48" s="1016">
        <f t="shared" ref="Q48" si="22">SUM(Q49)</f>
        <v>187385</v>
      </c>
      <c r="R48" s="1016"/>
      <c r="S48" s="79"/>
      <c r="T48" s="299"/>
      <c r="U48" s="299"/>
      <c r="V48" s="299"/>
      <c r="W48" s="299"/>
      <c r="X48" s="33">
        <v>187385</v>
      </c>
      <c r="Y48" s="33">
        <f>SUM(X48*120/100)</f>
        <v>224862</v>
      </c>
      <c r="Z48" s="33">
        <f>SUM(X48-Q48)</f>
        <v>0</v>
      </c>
    </row>
    <row r="49" spans="1:28" ht="60.75" thickBot="1">
      <c r="A49" s="78" t="str">
        <f>CONCATENATE('3 pr-2'!A103)</f>
        <v>2.1.1.1.1</v>
      </c>
      <c r="B49" s="78" t="str">
        <f>CONCATENATE('3 pr-2'!B103)</f>
        <v>R01-7724-220000-2111</v>
      </c>
      <c r="C49" s="647" t="str">
        <f>CONCATENATE('3 pr-2'!C103)</f>
        <v>09.1.3-CPVA-R-724-11-0003</v>
      </c>
      <c r="D49" s="78" t="s">
        <v>643</v>
      </c>
      <c r="E49" s="78" t="s">
        <v>282</v>
      </c>
      <c r="F49" s="78" t="s">
        <v>97</v>
      </c>
      <c r="G49" s="78" t="s">
        <v>1459</v>
      </c>
      <c r="H49" s="228" t="s">
        <v>136</v>
      </c>
      <c r="I49" s="14" t="s">
        <v>119</v>
      </c>
      <c r="J49" s="14" t="s">
        <v>66</v>
      </c>
      <c r="K49" s="16" t="s">
        <v>66</v>
      </c>
      <c r="L49" s="632">
        <f>SUM(M49:Q49)</f>
        <v>220453</v>
      </c>
      <c r="M49" s="632">
        <v>16534</v>
      </c>
      <c r="N49" s="632">
        <v>16534</v>
      </c>
      <c r="O49" s="632">
        <v>0</v>
      </c>
      <c r="P49" s="632">
        <v>0</v>
      </c>
      <c r="Q49" s="632">
        <v>187385</v>
      </c>
      <c r="R49" s="632"/>
      <c r="S49" s="423">
        <v>42863</v>
      </c>
      <c r="T49" s="323">
        <v>42916</v>
      </c>
      <c r="U49" s="323">
        <v>42993</v>
      </c>
      <c r="V49" s="323">
        <v>43117</v>
      </c>
      <c r="W49" s="655">
        <v>43830</v>
      </c>
      <c r="X49" s="30"/>
      <c r="Y49" s="30"/>
      <c r="Z49" s="30"/>
    </row>
    <row r="50" spans="1:28" ht="31.5" customHeight="1" thickBot="1">
      <c r="A50" s="297" t="s">
        <v>99</v>
      </c>
      <c r="B50" s="624"/>
      <c r="C50" s="624"/>
      <c r="D50" s="1931" t="s">
        <v>620</v>
      </c>
      <c r="E50" s="1940"/>
      <c r="F50" s="1940"/>
      <c r="G50" s="1940"/>
      <c r="H50" s="1940"/>
      <c r="I50" s="1940"/>
      <c r="J50" s="1940"/>
      <c r="K50" s="1941"/>
      <c r="L50" s="1016">
        <f t="shared" ref="L50:Q50" si="23">SUM(L51:L51)</f>
        <v>437551</v>
      </c>
      <c r="M50" s="1016">
        <f t="shared" si="23"/>
        <v>65633</v>
      </c>
      <c r="N50" s="1016">
        <f t="shared" si="23"/>
        <v>0</v>
      </c>
      <c r="O50" s="1016">
        <f t="shared" si="23"/>
        <v>0</v>
      </c>
      <c r="P50" s="1016">
        <f t="shared" si="23"/>
        <v>0</v>
      </c>
      <c r="Q50" s="1016">
        <f t="shared" si="23"/>
        <v>371918</v>
      </c>
      <c r="R50" s="1016"/>
      <c r="S50" s="79"/>
      <c r="T50" s="299"/>
      <c r="U50" s="299"/>
      <c r="V50" s="299"/>
      <c r="W50" s="299"/>
      <c r="X50" s="33">
        <v>371918</v>
      </c>
      <c r="Y50" s="33">
        <f>SUM(X50*120/100)</f>
        <v>446301.6</v>
      </c>
      <c r="Z50" s="3">
        <f>SUM(X50-Q50)</f>
        <v>0</v>
      </c>
    </row>
    <row r="51" spans="1:28" ht="60.75" thickBot="1">
      <c r="A51" s="78" t="str">
        <f>CONCATENATE('3 pr-2'!A109)</f>
        <v>2.1.1.2.1</v>
      </c>
      <c r="B51" s="78" t="str">
        <f>CONCATENATE('3 pr-2'!B109)</f>
        <v>R01-7725-240000-2121</v>
      </c>
      <c r="C51" s="647" t="str">
        <f>CONCATENATE('3 pr-2'!C109)</f>
        <v>09.1.3-CPVA-R-725-11-0003</v>
      </c>
      <c r="D51" s="78" t="s">
        <v>2484</v>
      </c>
      <c r="E51" s="78" t="s">
        <v>282</v>
      </c>
      <c r="F51" s="78" t="s">
        <v>97</v>
      </c>
      <c r="G51" s="78" t="s">
        <v>1459</v>
      </c>
      <c r="H51" s="228" t="s">
        <v>139</v>
      </c>
      <c r="I51" s="14" t="s">
        <v>119</v>
      </c>
      <c r="J51" s="14" t="s">
        <v>66</v>
      </c>
      <c r="K51" s="16" t="s">
        <v>66</v>
      </c>
      <c r="L51" s="632">
        <f t="shared" ref="L51" si="24">SUM(M51:Q51)</f>
        <v>437551</v>
      </c>
      <c r="M51" s="632">
        <v>65633</v>
      </c>
      <c r="N51" s="632">
        <v>0</v>
      </c>
      <c r="O51" s="632">
        <v>0</v>
      </c>
      <c r="P51" s="632">
        <v>0</v>
      </c>
      <c r="Q51" s="632">
        <v>371918</v>
      </c>
      <c r="R51" s="632"/>
      <c r="S51" s="423">
        <v>42870</v>
      </c>
      <c r="T51" s="323">
        <v>42916</v>
      </c>
      <c r="U51" s="323">
        <v>43007</v>
      </c>
      <c r="V51" s="323">
        <v>43100</v>
      </c>
      <c r="W51" s="431">
        <v>43830</v>
      </c>
      <c r="X51" s="30"/>
      <c r="Y51" s="30"/>
      <c r="Z51" s="30"/>
    </row>
    <row r="52" spans="1:28" ht="30.75" customHeight="1" thickBot="1">
      <c r="A52" s="297" t="s">
        <v>101</v>
      </c>
      <c r="B52" s="624"/>
      <c r="C52" s="624"/>
      <c r="D52" s="1931" t="s">
        <v>1384</v>
      </c>
      <c r="E52" s="1940"/>
      <c r="F52" s="1940"/>
      <c r="G52" s="1940"/>
      <c r="H52" s="1940"/>
      <c r="I52" s="1940"/>
      <c r="J52" s="1940"/>
      <c r="K52" s="1941"/>
      <c r="L52" s="1016">
        <f t="shared" ref="L52:P52" si="25">SUM(L53)</f>
        <v>370000</v>
      </c>
      <c r="M52" s="1016">
        <f t="shared" si="25"/>
        <v>57342</v>
      </c>
      <c r="N52" s="1016">
        <f t="shared" si="25"/>
        <v>25351</v>
      </c>
      <c r="O52" s="1016">
        <f t="shared" si="25"/>
        <v>0</v>
      </c>
      <c r="P52" s="1016">
        <f t="shared" si="25"/>
        <v>0</v>
      </c>
      <c r="Q52" s="1016">
        <f t="shared" ref="Q52" si="26">SUM(Q53)</f>
        <v>287307</v>
      </c>
      <c r="R52" s="1016"/>
      <c r="S52" s="79"/>
      <c r="T52" s="299"/>
      <c r="U52" s="299"/>
      <c r="V52" s="299"/>
      <c r="W52" s="299"/>
      <c r="X52" s="33">
        <v>308238</v>
      </c>
      <c r="Y52" s="33">
        <f>SUM(X52*120/100)</f>
        <v>369885.6</v>
      </c>
      <c r="Z52" s="3">
        <f>SUM(X52-Q52)</f>
        <v>20931</v>
      </c>
    </row>
    <row r="53" spans="1:28" ht="60.75" customHeight="1" thickBot="1">
      <c r="A53" s="78" t="str">
        <f>CONCATENATE('3 pr-2'!A115)</f>
        <v>2.1.1.3.1</v>
      </c>
      <c r="B53" s="78" t="str">
        <f>CONCATENATE('3 pr-2'!B115)</f>
        <v>R01-7705-230000-2131</v>
      </c>
      <c r="C53" s="647" t="str">
        <f>CONCATENATE('3 pr-2'!C115)</f>
        <v>09.1.3-CPVA-R-705-11-0003</v>
      </c>
      <c r="D53" s="78" t="s">
        <v>138</v>
      </c>
      <c r="E53" s="78" t="s">
        <v>282</v>
      </c>
      <c r="F53" s="78" t="s">
        <v>97</v>
      </c>
      <c r="G53" s="78" t="s">
        <v>1459</v>
      </c>
      <c r="H53" s="228" t="s">
        <v>140</v>
      </c>
      <c r="I53" s="14" t="s">
        <v>119</v>
      </c>
      <c r="J53" s="14" t="s">
        <v>66</v>
      </c>
      <c r="K53" s="16" t="s">
        <v>66</v>
      </c>
      <c r="L53" s="632">
        <f>SUM(M53:Q53)</f>
        <v>370000</v>
      </c>
      <c r="M53" s="632">
        <v>57342</v>
      </c>
      <c r="N53" s="632">
        <v>25351</v>
      </c>
      <c r="O53" s="632">
        <v>0</v>
      </c>
      <c r="P53" s="632">
        <v>0</v>
      </c>
      <c r="Q53" s="632">
        <v>287307</v>
      </c>
      <c r="R53" s="632"/>
      <c r="S53" s="423">
        <v>42968</v>
      </c>
      <c r="T53" s="323">
        <v>43039</v>
      </c>
      <c r="U53" s="323">
        <v>43080</v>
      </c>
      <c r="V53" s="323">
        <v>43159</v>
      </c>
      <c r="W53" s="431">
        <v>43679</v>
      </c>
      <c r="X53" s="30"/>
      <c r="Y53" s="30"/>
      <c r="Z53" s="30"/>
    </row>
    <row r="54" spans="1:28" ht="52.5" customHeight="1" thickBot="1">
      <c r="A54" s="134" t="s">
        <v>32</v>
      </c>
      <c r="B54" s="628"/>
      <c r="C54" s="628"/>
      <c r="D54" s="1933" t="s">
        <v>621</v>
      </c>
      <c r="E54" s="1946"/>
      <c r="F54" s="1946"/>
      <c r="G54" s="1946"/>
      <c r="H54" s="1946"/>
      <c r="I54" s="1946"/>
      <c r="J54" s="1946"/>
      <c r="K54" s="1947"/>
      <c r="L54" s="1022">
        <f t="shared" ref="L54:Q54" si="27">SUM(L55+L58+L61)</f>
        <v>415659</v>
      </c>
      <c r="M54" s="1022">
        <f t="shared" si="27"/>
        <v>30552</v>
      </c>
      <c r="N54" s="1022">
        <f t="shared" si="27"/>
        <v>31174.55</v>
      </c>
      <c r="O54" s="1022">
        <f t="shared" si="27"/>
        <v>623</v>
      </c>
      <c r="P54" s="1022">
        <f t="shared" si="27"/>
        <v>0</v>
      </c>
      <c r="Q54" s="1022">
        <f t="shared" si="27"/>
        <v>353309.45</v>
      </c>
      <c r="R54" s="1022"/>
      <c r="S54" s="115"/>
      <c r="T54" s="116"/>
      <c r="U54" s="116"/>
      <c r="V54" s="116"/>
      <c r="W54" s="151"/>
      <c r="X54" s="32">
        <f>SUM(X55+X58)</f>
        <v>847000</v>
      </c>
      <c r="Y54" s="32">
        <f>SUM(Y55+Y58)</f>
        <v>1016400</v>
      </c>
      <c r="Z54" s="32">
        <f>SUM(Z55+Z58)</f>
        <v>507017.55</v>
      </c>
    </row>
    <row r="55" spans="1:28" ht="35.25" customHeight="1" thickBot="1">
      <c r="A55" s="297" t="s">
        <v>33</v>
      </c>
      <c r="B55" s="624"/>
      <c r="C55" s="624"/>
      <c r="D55" s="1931" t="s">
        <v>622</v>
      </c>
      <c r="E55" s="1940"/>
      <c r="F55" s="1940"/>
      <c r="G55" s="1940"/>
      <c r="H55" s="1940"/>
      <c r="I55" s="1940"/>
      <c r="J55" s="1940"/>
      <c r="K55" s="1941"/>
      <c r="L55" s="1016">
        <f t="shared" ref="L55:P55" si="28">SUM(L56:L57)</f>
        <v>200983</v>
      </c>
      <c r="M55" s="1016">
        <f t="shared" si="28"/>
        <v>14451</v>
      </c>
      <c r="N55" s="1016">
        <f t="shared" si="28"/>
        <v>15074</v>
      </c>
      <c r="O55" s="1016">
        <f t="shared" si="28"/>
        <v>623</v>
      </c>
      <c r="P55" s="1016">
        <f t="shared" si="28"/>
        <v>0</v>
      </c>
      <c r="Q55" s="1016">
        <f>SUM(Q56:Q57)</f>
        <v>170835</v>
      </c>
      <c r="R55" s="1016"/>
      <c r="S55" s="79"/>
      <c r="T55" s="299"/>
      <c r="U55" s="299"/>
      <c r="V55" s="299"/>
      <c r="W55" s="299"/>
      <c r="X55" s="33">
        <v>645000</v>
      </c>
      <c r="Y55" s="33">
        <f>SUM(X55*120/100)</f>
        <v>774000</v>
      </c>
      <c r="Z55" s="33">
        <f>SUM(X55-Q55)</f>
        <v>474165</v>
      </c>
    </row>
    <row r="56" spans="1:28" ht="60.75" thickBot="1">
      <c r="A56" s="78" t="str">
        <f>CONCATENATE('3 pr-2'!A133)</f>
        <v>2.1.2.1.12</v>
      </c>
      <c r="B56" s="78" t="str">
        <f>CONCATENATE('3 pr-2'!B133)</f>
        <v>R01-6609-274710-2222</v>
      </c>
      <c r="C56" s="647" t="str">
        <f>CONCATENATE('3 pr-2'!C133)</f>
        <v>08.1.3-CPVA-R-609-11-0012</v>
      </c>
      <c r="D56" s="78" t="s">
        <v>150</v>
      </c>
      <c r="E56" s="78" t="s">
        <v>151</v>
      </c>
      <c r="F56" s="78" t="s">
        <v>103</v>
      </c>
      <c r="G56" s="78" t="s">
        <v>1459</v>
      </c>
      <c r="H56" s="228" t="s">
        <v>153</v>
      </c>
      <c r="I56" s="14" t="s">
        <v>119</v>
      </c>
      <c r="J56" s="14" t="s">
        <v>66</v>
      </c>
      <c r="K56" s="16" t="s">
        <v>66</v>
      </c>
      <c r="L56" s="632">
        <f>SUM(M56:Q56)</f>
        <v>192678</v>
      </c>
      <c r="M56" s="632">
        <v>14451</v>
      </c>
      <c r="N56" s="632">
        <v>14451</v>
      </c>
      <c r="O56" s="632">
        <v>0</v>
      </c>
      <c r="P56" s="632">
        <v>0</v>
      </c>
      <c r="Q56" s="632">
        <v>163776</v>
      </c>
      <c r="R56" s="632"/>
      <c r="S56" s="830">
        <v>43189</v>
      </c>
      <c r="T56" s="155">
        <v>43312</v>
      </c>
      <c r="U56" s="155">
        <v>43434</v>
      </c>
      <c r="V56" s="155">
        <v>43496</v>
      </c>
      <c r="W56" s="155">
        <v>44227</v>
      </c>
      <c r="X56" s="30"/>
      <c r="Y56" s="30"/>
      <c r="Z56" s="30"/>
    </row>
    <row r="57" spans="1:28" ht="48.75" thickBot="1">
      <c r="A57" s="78" t="str">
        <f>CONCATENATE('3 pr-2'!A134)</f>
        <v>2.1.2.1.13</v>
      </c>
      <c r="B57" s="78" t="str">
        <f>CONCATENATE('3 pr-2'!B134)</f>
        <v>R01-6609-470000-2223</v>
      </c>
      <c r="C57" s="647" t="str">
        <f>CONCATENATE('3 pr-2'!C135)</f>
        <v/>
      </c>
      <c r="D57" s="842" t="s">
        <v>1458</v>
      </c>
      <c r="E57" s="78" t="s">
        <v>1460</v>
      </c>
      <c r="F57" s="78" t="s">
        <v>103</v>
      </c>
      <c r="G57" s="78" t="s">
        <v>1459</v>
      </c>
      <c r="H57" s="228" t="s">
        <v>153</v>
      </c>
      <c r="I57" s="14" t="s">
        <v>119</v>
      </c>
      <c r="J57" s="14" t="s">
        <v>66</v>
      </c>
      <c r="K57" s="16" t="s">
        <v>66</v>
      </c>
      <c r="L57" s="632">
        <f>SUM(M57:Q57)</f>
        <v>8305</v>
      </c>
      <c r="M57" s="632">
        <v>0</v>
      </c>
      <c r="N57" s="632">
        <v>623</v>
      </c>
      <c r="O57" s="632">
        <v>623</v>
      </c>
      <c r="P57" s="632">
        <v>0</v>
      </c>
      <c r="Q57" s="632">
        <v>7059</v>
      </c>
      <c r="R57" s="632"/>
      <c r="S57" s="829"/>
      <c r="T57" s="843">
        <v>43311</v>
      </c>
      <c r="U57" s="843">
        <v>43404</v>
      </c>
      <c r="V57" s="843">
        <v>43496</v>
      </c>
      <c r="W57" s="843">
        <v>43830</v>
      </c>
      <c r="X57" s="30"/>
      <c r="Y57" s="30"/>
      <c r="Z57" s="30"/>
    </row>
    <row r="58" spans="1:28" ht="36.75" customHeight="1" thickBot="1">
      <c r="A58" s="297" t="s">
        <v>34</v>
      </c>
      <c r="B58" s="624"/>
      <c r="C58" s="624"/>
      <c r="D58" s="1931" t="str">
        <f>CONCATENATE('3 pr-2'!D135)</f>
        <v/>
      </c>
      <c r="E58" s="1940"/>
      <c r="F58" s="1940"/>
      <c r="G58" s="1940"/>
      <c r="H58" s="1940"/>
      <c r="I58" s="1940"/>
      <c r="J58" s="1940"/>
      <c r="K58" s="1941"/>
      <c r="L58" s="299">
        <f>SUM(L59:L60)</f>
        <v>198997</v>
      </c>
      <c r="M58" s="299">
        <f>SUM(M59:M60)</f>
        <v>14925</v>
      </c>
      <c r="N58" s="299">
        <f t="shared" ref="N58:P58" si="29">SUM(N59:N60)</f>
        <v>14924.55</v>
      </c>
      <c r="O58" s="299">
        <f t="shared" si="29"/>
        <v>0</v>
      </c>
      <c r="P58" s="299">
        <f t="shared" si="29"/>
        <v>0</v>
      </c>
      <c r="Q58" s="299">
        <f>SUM(Q59:Q60)</f>
        <v>169147.45</v>
      </c>
      <c r="R58" s="299"/>
      <c r="S58" s="79"/>
      <c r="T58" s="299"/>
      <c r="U58" s="299"/>
      <c r="V58" s="299"/>
      <c r="W58" s="299"/>
      <c r="X58" s="33">
        <v>202000</v>
      </c>
      <c r="Y58" s="33">
        <f>SUM(X58*120/100)</f>
        <v>242400</v>
      </c>
      <c r="Z58" s="33">
        <f>SUM(X58-Q58)</f>
        <v>32852.549999999988</v>
      </c>
      <c r="AB58" s="58"/>
    </row>
    <row r="59" spans="1:28" ht="90" thickBot="1">
      <c r="A59" s="78" t="str">
        <f>CONCATENATE('3 pr-2'!A138)</f>
        <v>2.1.2.2.3</v>
      </c>
      <c r="B59" s="78" t="str">
        <f>CONCATENATE('3 pr-2'!B138)</f>
        <v>R01-6630-470000-2223</v>
      </c>
      <c r="C59" s="647" t="str">
        <f>CONCATENATE('3 pr-2'!C138)</f>
        <v>08.4.2-ESFA-R-630-11-0005</v>
      </c>
      <c r="D59" s="649" t="s">
        <v>1179</v>
      </c>
      <c r="E59" s="649" t="s">
        <v>276</v>
      </c>
      <c r="F59" s="649" t="s">
        <v>103</v>
      </c>
      <c r="G59" s="649" t="s">
        <v>1459</v>
      </c>
      <c r="H59" s="10" t="s">
        <v>1176</v>
      </c>
      <c r="I59" s="10" t="s">
        <v>119</v>
      </c>
      <c r="J59" s="10" t="s">
        <v>66</v>
      </c>
      <c r="K59" s="10" t="s">
        <v>66</v>
      </c>
      <c r="L59" s="644">
        <f>SUM(M59:Q59)</f>
        <v>198997</v>
      </c>
      <c r="M59" s="644">
        <v>14925</v>
      </c>
      <c r="N59" s="644">
        <v>14924.55</v>
      </c>
      <c r="O59" s="10">
        <v>0</v>
      </c>
      <c r="P59" s="10">
        <v>0</v>
      </c>
      <c r="Q59" s="644">
        <v>169147.45</v>
      </c>
      <c r="R59" s="644"/>
      <c r="S59" s="16"/>
      <c r="T59" s="650">
        <v>43160</v>
      </c>
      <c r="U59" s="651">
        <v>43250</v>
      </c>
      <c r="V59" s="651">
        <v>43342</v>
      </c>
      <c r="W59" s="431">
        <v>44561</v>
      </c>
      <c r="X59" s="30"/>
      <c r="Y59" s="30"/>
      <c r="Z59" s="30"/>
    </row>
    <row r="60" spans="1:28" ht="15.75" hidden="1" thickBot="1">
      <c r="A60" s="78"/>
      <c r="B60" s="78"/>
      <c r="C60" s="78"/>
      <c r="D60" s="78"/>
      <c r="E60" s="78"/>
      <c r="F60" s="78"/>
      <c r="G60" s="78"/>
      <c r="H60" s="228"/>
      <c r="I60" s="14"/>
      <c r="J60" s="14"/>
      <c r="K60" s="16"/>
      <c r="L60" s="16"/>
      <c r="M60" s="16"/>
      <c r="N60" s="16"/>
      <c r="O60" s="16"/>
      <c r="P60" s="16"/>
      <c r="Q60" s="16"/>
      <c r="R60" s="16"/>
      <c r="S60" s="16"/>
      <c r="T60" s="323"/>
      <c r="U60" s="323"/>
      <c r="V60" s="323"/>
      <c r="W60" s="339"/>
      <c r="X60" s="30"/>
      <c r="Y60" s="30"/>
      <c r="Z60" s="30"/>
    </row>
    <row r="61" spans="1:28" ht="36.75" customHeight="1" thickBot="1">
      <c r="A61" s="297" t="s">
        <v>34</v>
      </c>
      <c r="B61" s="624"/>
      <c r="C61" s="624"/>
      <c r="D61" s="1931" t="str">
        <f>CONCATENATE('3 pr-2'!D138)</f>
        <v>Sveikos gyvensenos skatinimas Varėnos rajono savivaldybėje</v>
      </c>
      <c r="E61" s="1940"/>
      <c r="F61" s="1940"/>
      <c r="G61" s="1940"/>
      <c r="H61" s="1940"/>
      <c r="I61" s="1940"/>
      <c r="J61" s="1940"/>
      <c r="K61" s="1941"/>
      <c r="L61" s="299">
        <f t="shared" ref="L61:P61" si="30">SUM(L62)</f>
        <v>15679</v>
      </c>
      <c r="M61" s="299">
        <f t="shared" si="30"/>
        <v>1176</v>
      </c>
      <c r="N61" s="299">
        <f t="shared" si="30"/>
        <v>1176</v>
      </c>
      <c r="O61" s="299">
        <f t="shared" si="30"/>
        <v>0</v>
      </c>
      <c r="P61" s="299">
        <f t="shared" si="30"/>
        <v>0</v>
      </c>
      <c r="Q61" s="299">
        <f>SUM(Q62)</f>
        <v>13327</v>
      </c>
      <c r="R61" s="299"/>
      <c r="S61" s="79"/>
      <c r="T61" s="299"/>
      <c r="U61" s="299"/>
      <c r="V61" s="299"/>
      <c r="W61" s="299"/>
      <c r="X61" s="33">
        <v>202000</v>
      </c>
      <c r="Y61" s="33">
        <f>SUM(X61*120/100)</f>
        <v>242400</v>
      </c>
      <c r="Z61" s="33">
        <f>SUM(X61-Q61)</f>
        <v>188673</v>
      </c>
      <c r="AB61" s="58"/>
    </row>
    <row r="62" spans="1:28" ht="77.25" thickBot="1">
      <c r="A62" s="78" t="str">
        <f>CONCATENATE('3 pr-2'!A146)</f>
        <v>2.1.2.3.5</v>
      </c>
      <c r="B62" s="78" t="str">
        <f>CONCATENATE('3 pr-2'!B146)</f>
        <v>R01-6615-470000-2235</v>
      </c>
      <c r="C62" s="647" t="str">
        <f>CONCATENATE('3 pr-2'!C146)</f>
        <v>08.4.2-ESFA-R-615-11-0003</v>
      </c>
      <c r="D62" s="649" t="s">
        <v>1205</v>
      </c>
      <c r="E62" s="649" t="s">
        <v>282</v>
      </c>
      <c r="F62" s="649" t="s">
        <v>103</v>
      </c>
      <c r="G62" s="649" t="s">
        <v>1459</v>
      </c>
      <c r="H62" s="10" t="s">
        <v>1191</v>
      </c>
      <c r="I62" s="10" t="s">
        <v>119</v>
      </c>
      <c r="J62" s="10" t="s">
        <v>66</v>
      </c>
      <c r="K62" s="10" t="s">
        <v>66</v>
      </c>
      <c r="L62" s="644">
        <v>15679</v>
      </c>
      <c r="M62" s="644">
        <v>1176</v>
      </c>
      <c r="N62" s="644">
        <v>1176</v>
      </c>
      <c r="O62" s="10">
        <v>0</v>
      </c>
      <c r="P62" s="10">
        <v>0</v>
      </c>
      <c r="Q62" s="644">
        <v>13327</v>
      </c>
      <c r="R62" s="644"/>
      <c r="S62" s="16"/>
      <c r="T62" s="650">
        <v>43160</v>
      </c>
      <c r="U62" s="650">
        <v>43281</v>
      </c>
      <c r="V62" s="650">
        <v>43358</v>
      </c>
      <c r="W62" s="431">
        <v>44561</v>
      </c>
      <c r="X62" s="30"/>
      <c r="Y62" s="30"/>
      <c r="Z62" s="30"/>
    </row>
    <row r="63" spans="1:28" ht="49.5" customHeight="1" thickBot="1">
      <c r="A63" s="134" t="s">
        <v>35</v>
      </c>
      <c r="B63" s="628"/>
      <c r="C63" s="628"/>
      <c r="D63" s="1933" t="s">
        <v>627</v>
      </c>
      <c r="E63" s="1946"/>
      <c r="F63" s="1946"/>
      <c r="G63" s="1946"/>
      <c r="H63" s="1946"/>
      <c r="I63" s="1946"/>
      <c r="J63" s="1946"/>
      <c r="K63" s="1947"/>
      <c r="L63" s="115">
        <f t="shared" ref="L63:Q63" si="31">SUM(L64+L66)</f>
        <v>884979</v>
      </c>
      <c r="M63" s="115">
        <f t="shared" si="31"/>
        <v>132747</v>
      </c>
      <c r="N63" s="115">
        <f t="shared" si="31"/>
        <v>0</v>
      </c>
      <c r="O63" s="115">
        <f t="shared" si="31"/>
        <v>0</v>
      </c>
      <c r="P63" s="115">
        <f t="shared" si="31"/>
        <v>0</v>
      </c>
      <c r="Q63" s="115">
        <f t="shared" si="31"/>
        <v>752232</v>
      </c>
      <c r="R63" s="115"/>
      <c r="S63" s="115"/>
      <c r="T63" s="116"/>
      <c r="U63" s="116"/>
      <c r="V63" s="116"/>
      <c r="W63" s="151"/>
      <c r="X63" s="32">
        <f>SUM(X64+X66)</f>
        <v>752232.00509731239</v>
      </c>
      <c r="Y63" s="32">
        <f>SUM(Y64+Y66)</f>
        <v>902678.40611677477</v>
      </c>
      <c r="Z63" s="32">
        <f>SUM(Z64+Z66)</f>
        <v>5.0973123288713396E-3</v>
      </c>
    </row>
    <row r="64" spans="1:28" ht="29.25" customHeight="1" thickBot="1">
      <c r="A64" s="297" t="s">
        <v>36</v>
      </c>
      <c r="B64" s="624"/>
      <c r="C64" s="624"/>
      <c r="D64" s="1931" t="s">
        <v>623</v>
      </c>
      <c r="E64" s="1940"/>
      <c r="F64" s="1940"/>
      <c r="G64" s="1940"/>
      <c r="H64" s="1940"/>
      <c r="I64" s="1940"/>
      <c r="J64" s="1940"/>
      <c r="K64" s="1941"/>
      <c r="L64" s="299">
        <f>SUM(L65)</f>
        <v>148480</v>
      </c>
      <c r="M64" s="299">
        <f>SUM(M65)</f>
        <v>22272</v>
      </c>
      <c r="N64" s="299">
        <f t="shared" ref="N64:P64" si="32">SUM(N65)</f>
        <v>0</v>
      </c>
      <c r="O64" s="299">
        <f t="shared" si="32"/>
        <v>0</v>
      </c>
      <c r="P64" s="299">
        <f t="shared" si="32"/>
        <v>0</v>
      </c>
      <c r="Q64" s="299">
        <f>SUM(Q65)</f>
        <v>126208</v>
      </c>
      <c r="R64" s="299"/>
      <c r="S64" s="79"/>
      <c r="T64" s="299"/>
      <c r="U64" s="299"/>
      <c r="V64" s="299"/>
      <c r="W64" s="299"/>
      <c r="X64" s="33">
        <v>126208.00509731233</v>
      </c>
      <c r="Y64" s="33">
        <f>SUM(X64*120/100)</f>
        <v>151449.60611677478</v>
      </c>
      <c r="Z64" s="33">
        <f>SUM(X64-Q64)</f>
        <v>5.0973123288713396E-3</v>
      </c>
    </row>
    <row r="65" spans="1:26" ht="60.75" thickBot="1">
      <c r="A65" s="78" t="str">
        <f>CONCATENATE('3 pr-2'!A149)</f>
        <v>2.1.3.1.1</v>
      </c>
      <c r="B65" s="78" t="str">
        <f>CONCATENATE('3 pr-2'!B149)</f>
        <v>R01-4407-270000-2311</v>
      </c>
      <c r="C65" s="647" t="str">
        <f>CONCATENATE('3 pr-2'!C149)</f>
        <v>08.1.1-CPVA-R-407-11-0002</v>
      </c>
      <c r="D65" s="135" t="s">
        <v>310</v>
      </c>
      <c r="E65" s="78" t="s">
        <v>282</v>
      </c>
      <c r="F65" s="135" t="s">
        <v>106</v>
      </c>
      <c r="G65" s="78" t="s">
        <v>1459</v>
      </c>
      <c r="H65" s="228" t="s">
        <v>2259</v>
      </c>
      <c r="I65" s="14" t="s">
        <v>119</v>
      </c>
      <c r="J65" s="14" t="s">
        <v>66</v>
      </c>
      <c r="K65" s="16" t="s">
        <v>66</v>
      </c>
      <c r="L65" s="16">
        <f>SUM(M65:Q65)</f>
        <v>148480</v>
      </c>
      <c r="M65" s="16">
        <v>22272</v>
      </c>
      <c r="N65" s="16">
        <v>0</v>
      </c>
      <c r="O65" s="16">
        <v>0</v>
      </c>
      <c r="P65" s="16">
        <v>0</v>
      </c>
      <c r="Q65" s="16">
        <v>126208</v>
      </c>
      <c r="R65" s="16"/>
      <c r="S65" s="423">
        <v>42618</v>
      </c>
      <c r="T65" s="652">
        <v>42669</v>
      </c>
      <c r="U65" s="652">
        <v>42719</v>
      </c>
      <c r="V65" s="652">
        <v>42855</v>
      </c>
      <c r="W65" s="431">
        <v>43465</v>
      </c>
      <c r="X65" s="30"/>
      <c r="Y65" s="30"/>
      <c r="Z65" s="30"/>
    </row>
    <row r="66" spans="1:26" ht="34.5" customHeight="1" thickBot="1">
      <c r="A66" s="297" t="s">
        <v>37</v>
      </c>
      <c r="B66" s="624"/>
      <c r="C66" s="624"/>
      <c r="D66" s="1931" t="s">
        <v>624</v>
      </c>
      <c r="E66" s="1940"/>
      <c r="F66" s="1940"/>
      <c r="G66" s="1940"/>
      <c r="H66" s="1940"/>
      <c r="I66" s="1940"/>
      <c r="J66" s="1940"/>
      <c r="K66" s="1941"/>
      <c r="L66" s="299">
        <f>SUM(L67)</f>
        <v>736499</v>
      </c>
      <c r="M66" s="299">
        <f>SUM(M67)</f>
        <v>110475</v>
      </c>
      <c r="N66" s="299">
        <f t="shared" ref="N66:P66" si="33">SUM(N67)</f>
        <v>0</v>
      </c>
      <c r="O66" s="299">
        <f t="shared" si="33"/>
        <v>0</v>
      </c>
      <c r="P66" s="299">
        <f t="shared" si="33"/>
        <v>0</v>
      </c>
      <c r="Q66" s="299">
        <f>SUM(Q67)</f>
        <v>626024</v>
      </c>
      <c r="R66" s="299"/>
      <c r="S66" s="79"/>
      <c r="T66" s="299"/>
      <c r="U66" s="299"/>
      <c r="V66" s="299"/>
      <c r="W66" s="299"/>
      <c r="X66" s="33">
        <v>626024</v>
      </c>
      <c r="Y66" s="33">
        <f>SUM(X66*120/100)</f>
        <v>751228.8</v>
      </c>
      <c r="Z66" s="33">
        <f>SUM(X66-Q66)</f>
        <v>0</v>
      </c>
    </row>
    <row r="67" spans="1:26" ht="60.75" thickBot="1">
      <c r="A67" s="78" t="str">
        <f>CONCATENATE('3 pr-2'!A155)</f>
        <v>2.1.3.2.1</v>
      </c>
      <c r="B67" s="78" t="str">
        <f>CONCATENATE('3 pr-2'!B155)</f>
        <v>R01-4408-260000-2321</v>
      </c>
      <c r="C67" s="647" t="str">
        <f>CONCATENATE('3 pr-2'!C155)</f>
        <v>08.1.2-CPVA-R-408-11-0001</v>
      </c>
      <c r="D67" s="78" t="s">
        <v>277</v>
      </c>
      <c r="E67" s="78" t="s">
        <v>282</v>
      </c>
      <c r="F67" s="78" t="s">
        <v>106</v>
      </c>
      <c r="G67" s="78" t="s">
        <v>1459</v>
      </c>
      <c r="H67" s="228" t="s">
        <v>2293</v>
      </c>
      <c r="I67" s="14" t="s">
        <v>119</v>
      </c>
      <c r="J67" s="14" t="s">
        <v>66</v>
      </c>
      <c r="K67" s="16" t="s">
        <v>66</v>
      </c>
      <c r="L67" s="16">
        <f>SUM(M67:Q67)</f>
        <v>736499</v>
      </c>
      <c r="M67" s="16">
        <v>110475</v>
      </c>
      <c r="N67" s="16">
        <v>0</v>
      </c>
      <c r="O67" s="16">
        <v>0</v>
      </c>
      <c r="P67" s="16">
        <v>0</v>
      </c>
      <c r="Q67" s="16">
        <v>626024</v>
      </c>
      <c r="R67" s="16"/>
      <c r="S67" s="423">
        <v>42401</v>
      </c>
      <c r="T67" s="323">
        <v>42490</v>
      </c>
      <c r="U67" s="323">
        <v>42674</v>
      </c>
      <c r="V67" s="323">
        <v>42735</v>
      </c>
      <c r="W67" s="431">
        <v>43738</v>
      </c>
      <c r="X67" s="30"/>
      <c r="Y67" s="30"/>
      <c r="Z67" s="30"/>
    </row>
    <row r="68" spans="1:26" ht="36.75" customHeight="1" thickBot="1">
      <c r="A68" s="134" t="s">
        <v>38</v>
      </c>
      <c r="B68" s="628"/>
      <c r="C68" s="628"/>
      <c r="D68" s="1933" t="s">
        <v>625</v>
      </c>
      <c r="E68" s="1946"/>
      <c r="F68" s="1946"/>
      <c r="G68" s="1946"/>
      <c r="H68" s="1946"/>
      <c r="I68" s="1946"/>
      <c r="J68" s="1946"/>
      <c r="K68" s="1947"/>
      <c r="L68" s="115">
        <f t="shared" ref="L68:Q69" si="34">SUM(L69)</f>
        <v>172733.52</v>
      </c>
      <c r="M68" s="115">
        <f t="shared" si="34"/>
        <v>25910.03</v>
      </c>
      <c r="N68" s="115">
        <f t="shared" si="34"/>
        <v>0</v>
      </c>
      <c r="O68" s="115">
        <f t="shared" si="34"/>
        <v>0</v>
      </c>
      <c r="P68" s="115">
        <f t="shared" si="34"/>
        <v>0</v>
      </c>
      <c r="Q68" s="115">
        <f t="shared" si="34"/>
        <v>146823.49</v>
      </c>
      <c r="R68" s="115"/>
      <c r="S68" s="115"/>
      <c r="T68" s="116"/>
      <c r="U68" s="116"/>
      <c r="V68" s="116"/>
      <c r="W68" s="151"/>
      <c r="X68" s="32">
        <f>SUM(X69)</f>
        <v>157070.19606142101</v>
      </c>
      <c r="Y68" s="32">
        <f>SUM(Y69)</f>
        <v>188484.23527370521</v>
      </c>
      <c r="Z68" s="32">
        <f>SUM(Z69)</f>
        <v>10246.70606142102</v>
      </c>
    </row>
    <row r="69" spans="1:26" ht="34.5" customHeight="1" thickBot="1">
      <c r="A69" s="297" t="s">
        <v>109</v>
      </c>
      <c r="B69" s="624"/>
      <c r="C69" s="624"/>
      <c r="D69" s="1931" t="s">
        <v>626</v>
      </c>
      <c r="E69" s="1940"/>
      <c r="F69" s="1940"/>
      <c r="G69" s="1940"/>
      <c r="H69" s="1940"/>
      <c r="I69" s="1940"/>
      <c r="J69" s="1940"/>
      <c r="K69" s="1941"/>
      <c r="L69" s="299">
        <f>SUM(L70)</f>
        <v>172733.52</v>
      </c>
      <c r="M69" s="299">
        <f>SUM(M70)</f>
        <v>25910.03</v>
      </c>
      <c r="N69" s="299">
        <f t="shared" si="34"/>
        <v>0</v>
      </c>
      <c r="O69" s="299">
        <f t="shared" si="34"/>
        <v>0</v>
      </c>
      <c r="P69" s="299">
        <f t="shared" si="34"/>
        <v>0</v>
      </c>
      <c r="Q69" s="299">
        <f>SUM(Q70)</f>
        <v>146823.49</v>
      </c>
      <c r="R69" s="299"/>
      <c r="S69" s="79"/>
      <c r="T69" s="299"/>
      <c r="U69" s="299"/>
      <c r="V69" s="299"/>
      <c r="W69" s="299"/>
      <c r="X69" s="33">
        <v>157070.19606142101</v>
      </c>
      <c r="Y69" s="33">
        <f>SUM(X69*120/100)</f>
        <v>188484.23527370521</v>
      </c>
      <c r="Z69" s="33">
        <f>SUM(X69-Q69)</f>
        <v>10246.70606142102</v>
      </c>
    </row>
    <row r="70" spans="1:26" ht="60.75" thickBot="1">
      <c r="A70" s="78" t="str">
        <f>CONCATENATE('3 pr-2'!A162)</f>
        <v>2.1.4.1.1</v>
      </c>
      <c r="B70" s="78" t="str">
        <f>CONCATENATE('3 pr-2'!B162)</f>
        <v>R01-9920-490000-2411</v>
      </c>
      <c r="C70" s="647" t="str">
        <f>CONCATENATE('3 pr-2'!C162)</f>
        <v>10.1.3-ESFA-R-920-11-0001</v>
      </c>
      <c r="D70" s="78" t="s">
        <v>272</v>
      </c>
      <c r="E70" s="78" t="s">
        <v>282</v>
      </c>
      <c r="F70" s="78" t="s">
        <v>75</v>
      </c>
      <c r="G70" s="78" t="s">
        <v>1459</v>
      </c>
      <c r="H70" s="228" t="s">
        <v>1122</v>
      </c>
      <c r="I70" s="14" t="s">
        <v>119</v>
      </c>
      <c r="J70" s="14" t="s">
        <v>66</v>
      </c>
      <c r="K70" s="16" t="s">
        <v>66</v>
      </c>
      <c r="L70" s="16">
        <f>SUM(M70:Q70)</f>
        <v>172733.52</v>
      </c>
      <c r="M70" s="16">
        <v>25910.03</v>
      </c>
      <c r="N70" s="16">
        <v>0</v>
      </c>
      <c r="O70" s="16">
        <v>0</v>
      </c>
      <c r="P70" s="16">
        <v>0</v>
      </c>
      <c r="Q70" s="16">
        <v>146823.49</v>
      </c>
      <c r="R70" s="16"/>
      <c r="S70" s="423">
        <v>43017</v>
      </c>
      <c r="T70" s="323">
        <v>42992</v>
      </c>
      <c r="U70" s="323">
        <v>43039</v>
      </c>
      <c r="V70" s="323">
        <v>43137</v>
      </c>
      <c r="W70" s="323">
        <v>43830</v>
      </c>
      <c r="X70" s="30"/>
      <c r="Y70" s="30"/>
      <c r="Z70" s="30"/>
    </row>
    <row r="71" spans="1:26" ht="38.25" customHeight="1" thickBot="1">
      <c r="A71" s="141" t="s">
        <v>40</v>
      </c>
      <c r="B71" s="629"/>
      <c r="C71" s="629"/>
      <c r="D71" s="1943" t="s">
        <v>1388</v>
      </c>
      <c r="E71" s="1944"/>
      <c r="F71" s="1944"/>
      <c r="G71" s="1944"/>
      <c r="H71" s="1944"/>
      <c r="I71" s="1944"/>
      <c r="J71" s="1944"/>
      <c r="K71" s="1945"/>
      <c r="L71" s="136">
        <f t="shared" ref="L71:Q71" si="35">SUM(L72+L75)</f>
        <v>1494161.1647058823</v>
      </c>
      <c r="M71" s="136">
        <f t="shared" si="35"/>
        <v>129560.3</v>
      </c>
      <c r="N71" s="136">
        <f t="shared" si="35"/>
        <v>0</v>
      </c>
      <c r="O71" s="136">
        <f t="shared" si="35"/>
        <v>124324.88959101972</v>
      </c>
      <c r="P71" s="136">
        <f t="shared" si="35"/>
        <v>0</v>
      </c>
      <c r="Q71" s="136">
        <f t="shared" si="35"/>
        <v>1270036.6399999999</v>
      </c>
      <c r="R71" s="136"/>
      <c r="S71" s="136"/>
      <c r="T71" s="142"/>
      <c r="U71" s="142"/>
      <c r="V71" s="142"/>
      <c r="W71" s="150"/>
      <c r="X71" s="31">
        <f>SUM(X72+X75)</f>
        <v>1005066.94</v>
      </c>
      <c r="Y71" s="31">
        <f>SUM(Y72+Y75)</f>
        <v>1206080.328</v>
      </c>
      <c r="Z71" s="31">
        <f>SUM(Z72+Z75)</f>
        <v>-264969.69999999995</v>
      </c>
    </row>
    <row r="72" spans="1:26" ht="41.25" customHeight="1" thickBot="1">
      <c r="A72" s="134" t="s">
        <v>41</v>
      </c>
      <c r="B72" s="628"/>
      <c r="C72" s="628"/>
      <c r="D72" s="1933" t="s">
        <v>1389</v>
      </c>
      <c r="E72" s="1946"/>
      <c r="F72" s="1946"/>
      <c r="G72" s="1946"/>
      <c r="H72" s="1946"/>
      <c r="I72" s="1946"/>
      <c r="J72" s="1946"/>
      <c r="K72" s="1947"/>
      <c r="L72" s="115">
        <f t="shared" ref="L72:Q72" si="36">SUM(L73)</f>
        <v>630428.16470588231</v>
      </c>
      <c r="M72" s="115">
        <f t="shared" si="36"/>
        <v>0</v>
      </c>
      <c r="N72" s="115">
        <f t="shared" si="36"/>
        <v>0</v>
      </c>
      <c r="O72" s="115">
        <f t="shared" si="36"/>
        <v>124324.88959101972</v>
      </c>
      <c r="P72" s="115">
        <f t="shared" si="36"/>
        <v>0</v>
      </c>
      <c r="Q72" s="115">
        <f t="shared" si="36"/>
        <v>535863.93999999994</v>
      </c>
      <c r="R72" s="115"/>
      <c r="S72" s="115"/>
      <c r="T72" s="116"/>
      <c r="U72" s="116"/>
      <c r="V72" s="116"/>
      <c r="W72" s="151"/>
      <c r="X72" s="32">
        <f>SUM(X73)</f>
        <v>535863.93999999994</v>
      </c>
      <c r="Y72" s="32">
        <f>SUM(Y73)</f>
        <v>643036.728</v>
      </c>
      <c r="Z72" s="32">
        <f>SUM(Z73)</f>
        <v>0</v>
      </c>
    </row>
    <row r="73" spans="1:26" ht="33" customHeight="1" thickBot="1">
      <c r="A73" s="297" t="s">
        <v>42</v>
      </c>
      <c r="B73" s="624"/>
      <c r="C73" s="624"/>
      <c r="D73" s="1931" t="s">
        <v>275</v>
      </c>
      <c r="E73" s="1940"/>
      <c r="F73" s="1940" t="s">
        <v>77</v>
      </c>
      <c r="G73" s="1940"/>
      <c r="H73" s="1940" t="s">
        <v>111</v>
      </c>
      <c r="I73" s="1940"/>
      <c r="J73" s="1940"/>
      <c r="K73" s="1941"/>
      <c r="L73" s="299">
        <f t="shared" ref="L73:Q73" si="37">SUM(L74:L74)</f>
        <v>630428.16470588231</v>
      </c>
      <c r="M73" s="299">
        <f t="shared" si="37"/>
        <v>0</v>
      </c>
      <c r="N73" s="299">
        <f t="shared" si="37"/>
        <v>0</v>
      </c>
      <c r="O73" s="299">
        <f t="shared" si="37"/>
        <v>124324.88959101972</v>
      </c>
      <c r="P73" s="299">
        <f t="shared" si="37"/>
        <v>0</v>
      </c>
      <c r="Q73" s="299">
        <f t="shared" si="37"/>
        <v>535863.93999999994</v>
      </c>
      <c r="R73" s="299"/>
      <c r="S73" s="79"/>
      <c r="T73" s="299"/>
      <c r="U73" s="299"/>
      <c r="V73" s="299"/>
      <c r="W73" s="299"/>
      <c r="X73" s="33">
        <v>535863.93999999994</v>
      </c>
      <c r="Y73" s="33">
        <f>SUM(X73*120/100)</f>
        <v>643036.728</v>
      </c>
      <c r="Z73" s="33">
        <f>SUM(X73-Q73)</f>
        <v>0</v>
      </c>
    </row>
    <row r="74" spans="1:26" ht="60.75" thickBot="1">
      <c r="A74" s="78" t="str">
        <f>CONCATENATE('3 pr-2'!A171)</f>
        <v>3.1.1.1.1</v>
      </c>
      <c r="B74" s="78" t="str">
        <f>CONCATENATE('3 pr-2'!B171)</f>
        <v>R01-0008-050000-3111</v>
      </c>
      <c r="C74" s="647" t="str">
        <f>CONCATENATE('3 pr-2'!C171)</f>
        <v>05.2.1-APVA-R-008-11-0001</v>
      </c>
      <c r="D74" s="78" t="s">
        <v>307</v>
      </c>
      <c r="E74" s="78" t="s">
        <v>189</v>
      </c>
      <c r="F74" s="78" t="s">
        <v>77</v>
      </c>
      <c r="G74" s="78" t="s">
        <v>185</v>
      </c>
      <c r="H74" s="228" t="s">
        <v>190</v>
      </c>
      <c r="I74" s="14" t="s">
        <v>119</v>
      </c>
      <c r="J74" s="14" t="s">
        <v>66</v>
      </c>
      <c r="K74" s="16" t="s">
        <v>66</v>
      </c>
      <c r="L74" s="16">
        <v>630428.16470588231</v>
      </c>
      <c r="M74" s="1644">
        <v>0</v>
      </c>
      <c r="N74" s="16">
        <v>0</v>
      </c>
      <c r="O74" s="1644">
        <v>124324.88959101972</v>
      </c>
      <c r="P74" s="16">
        <v>0</v>
      </c>
      <c r="Q74" s="16">
        <v>535863.93999999994</v>
      </c>
      <c r="R74" s="16"/>
      <c r="S74" s="16"/>
      <c r="T74" s="323">
        <v>42766</v>
      </c>
      <c r="U74" s="323">
        <v>42916</v>
      </c>
      <c r="V74" s="323">
        <v>43008</v>
      </c>
      <c r="W74" s="323">
        <v>43830</v>
      </c>
      <c r="X74" s="30"/>
      <c r="Y74" s="30"/>
      <c r="Z74" s="30"/>
    </row>
    <row r="75" spans="1:26" ht="39.75" customHeight="1" thickBot="1">
      <c r="A75" s="134" t="s">
        <v>43</v>
      </c>
      <c r="B75" s="628"/>
      <c r="C75" s="628"/>
      <c r="D75" s="1933" t="s">
        <v>1390</v>
      </c>
      <c r="E75" s="1946"/>
      <c r="F75" s="1946"/>
      <c r="G75" s="1946"/>
      <c r="H75" s="1946"/>
      <c r="I75" s="1946"/>
      <c r="J75" s="1946"/>
      <c r="K75" s="1947"/>
      <c r="L75" s="115">
        <f t="shared" ref="L75:Q75" si="38">SUM(L76)</f>
        <v>863733</v>
      </c>
      <c r="M75" s="115">
        <f t="shared" si="38"/>
        <v>129560.3</v>
      </c>
      <c r="N75" s="115">
        <f t="shared" si="38"/>
        <v>0</v>
      </c>
      <c r="O75" s="115">
        <f t="shared" si="38"/>
        <v>0</v>
      </c>
      <c r="P75" s="115">
        <f t="shared" si="38"/>
        <v>0</v>
      </c>
      <c r="Q75" s="115">
        <f t="shared" si="38"/>
        <v>734172.7</v>
      </c>
      <c r="R75" s="115"/>
      <c r="S75" s="115"/>
      <c r="T75" s="116"/>
      <c r="U75" s="116"/>
      <c r="V75" s="116"/>
      <c r="W75" s="151"/>
      <c r="X75" s="32">
        <f>SUM(X76)</f>
        <v>469203</v>
      </c>
      <c r="Y75" s="32">
        <f>SUM(Y76)</f>
        <v>563043.6</v>
      </c>
      <c r="Z75" s="32">
        <f>SUM(Z76)</f>
        <v>-264969.69999999995</v>
      </c>
    </row>
    <row r="76" spans="1:26" ht="27.75" customHeight="1" thickBot="1">
      <c r="A76" s="297" t="s">
        <v>113</v>
      </c>
      <c r="B76" s="624"/>
      <c r="C76" s="624"/>
      <c r="D76" s="1936" t="s">
        <v>601</v>
      </c>
      <c r="E76" s="1940"/>
      <c r="F76" s="1940"/>
      <c r="G76" s="1940"/>
      <c r="H76" s="1940"/>
      <c r="I76" s="1940"/>
      <c r="J76" s="1940"/>
      <c r="K76" s="1941"/>
      <c r="L76" s="299">
        <f t="shared" ref="L76:P76" si="39">SUM(L77:L78)</f>
        <v>863733</v>
      </c>
      <c r="M76" s="299">
        <f t="shared" si="39"/>
        <v>129560.3</v>
      </c>
      <c r="N76" s="299">
        <f t="shared" si="39"/>
        <v>0</v>
      </c>
      <c r="O76" s="299">
        <f t="shared" si="39"/>
        <v>0</v>
      </c>
      <c r="P76" s="299">
        <f t="shared" si="39"/>
        <v>0</v>
      </c>
      <c r="Q76" s="299">
        <f>SUM(Q77:Q78)</f>
        <v>734172.7</v>
      </c>
      <c r="R76" s="299"/>
      <c r="S76" s="79"/>
      <c r="T76" s="299"/>
      <c r="U76" s="299"/>
      <c r="V76" s="299"/>
      <c r="W76" s="299"/>
      <c r="X76" s="33">
        <v>469203</v>
      </c>
      <c r="Y76" s="33">
        <f>SUM(X76*120/100)</f>
        <v>563043.6</v>
      </c>
      <c r="Z76" s="34">
        <f>SUM(X76-Q76)</f>
        <v>-264969.69999999995</v>
      </c>
    </row>
    <row r="77" spans="1:26" ht="60.75" thickBot="1">
      <c r="A77" s="78" t="str">
        <f>CONCATENATE('3 pr-2'!A174)</f>
        <v>3.1.2.1.1</v>
      </c>
      <c r="B77" s="78" t="str">
        <f>CONCATENATE('3 pr-2'!B174)</f>
        <v>R01-0019-380000-3211</v>
      </c>
      <c r="C77" s="647" t="str">
        <f>CONCATENATE('3 pr-2'!C174)</f>
        <v>05.5.1-APVA-R-019-11-0002</v>
      </c>
      <c r="D77" s="78" t="s">
        <v>305</v>
      </c>
      <c r="E77" s="78" t="s">
        <v>282</v>
      </c>
      <c r="F77" s="78" t="s">
        <v>77</v>
      </c>
      <c r="G77" s="78" t="s">
        <v>1459</v>
      </c>
      <c r="H77" s="228" t="s">
        <v>192</v>
      </c>
      <c r="I77" s="14" t="s">
        <v>119</v>
      </c>
      <c r="J77" s="14" t="s">
        <v>66</v>
      </c>
      <c r="K77" s="16" t="s">
        <v>66</v>
      </c>
      <c r="L77" s="632">
        <f>SUM(M77:Q77)</f>
        <v>309522</v>
      </c>
      <c r="M77" s="632">
        <v>46428.3</v>
      </c>
      <c r="N77" s="632">
        <v>0</v>
      </c>
      <c r="O77" s="632">
        <v>0</v>
      </c>
      <c r="P77" s="632">
        <v>0</v>
      </c>
      <c r="Q77" s="632">
        <v>263093.7</v>
      </c>
      <c r="R77" s="632"/>
      <c r="S77" s="423">
        <v>42598</v>
      </c>
      <c r="T77" s="323">
        <v>42632</v>
      </c>
      <c r="U77" s="323">
        <v>42795</v>
      </c>
      <c r="V77" s="323">
        <v>42901</v>
      </c>
      <c r="W77" s="323">
        <v>43465</v>
      </c>
      <c r="X77" s="30"/>
      <c r="Y77" s="30"/>
      <c r="Z77" s="30"/>
    </row>
    <row r="78" spans="1:26" ht="60.75" thickBot="1">
      <c r="A78" s="78" t="str">
        <f>CONCATENATE('3 pr-2'!A175)</f>
        <v>3.1.2.1.2</v>
      </c>
      <c r="B78" s="78" t="str">
        <f>CONCATENATE('3 pr-2'!B175)</f>
        <v>R01-0019-380000-3212</v>
      </c>
      <c r="C78" s="647" t="str">
        <f>CONCATENATE('3 pr-2'!C175)</f>
        <v>05.5.1-APVA-R-019-11-0007</v>
      </c>
      <c r="D78" s="78" t="s">
        <v>306</v>
      </c>
      <c r="E78" s="78" t="s">
        <v>282</v>
      </c>
      <c r="F78" s="78" t="s">
        <v>77</v>
      </c>
      <c r="G78" s="78" t="s">
        <v>1459</v>
      </c>
      <c r="H78" s="228" t="s">
        <v>192</v>
      </c>
      <c r="I78" s="14" t="s">
        <v>119</v>
      </c>
      <c r="J78" s="14" t="s">
        <v>66</v>
      </c>
      <c r="K78" s="16" t="s">
        <v>66</v>
      </c>
      <c r="L78" s="632">
        <f>SUM(M78:Q78)</f>
        <v>554211</v>
      </c>
      <c r="M78" s="632">
        <v>83132</v>
      </c>
      <c r="N78" s="632">
        <v>0</v>
      </c>
      <c r="O78" s="632">
        <v>0</v>
      </c>
      <c r="P78" s="632">
        <v>0</v>
      </c>
      <c r="Q78" s="632">
        <v>471079</v>
      </c>
      <c r="R78" s="632"/>
      <c r="S78" s="423">
        <v>43277</v>
      </c>
      <c r="T78" s="323">
        <v>43373</v>
      </c>
      <c r="U78" s="323">
        <v>43465</v>
      </c>
      <c r="V78" s="323">
        <v>43555</v>
      </c>
      <c r="W78" s="323">
        <v>44651</v>
      </c>
      <c r="X78" s="30"/>
      <c r="Y78" s="30"/>
      <c r="Z78" s="30"/>
    </row>
    <row r="79" spans="1:26" ht="15.75" thickBot="1">
      <c r="A79" s="42"/>
      <c r="B79" s="43"/>
      <c r="C79" s="43"/>
      <c r="D79" s="43"/>
      <c r="E79" s="43"/>
      <c r="F79" s="43"/>
      <c r="G79" s="43"/>
      <c r="H79" s="44"/>
      <c r="I79" s="45"/>
      <c r="J79" s="45"/>
      <c r="K79" s="45"/>
      <c r="L79" s="46">
        <f t="shared" ref="L79:Q79" si="40">SUM(L5+L46+L71)</f>
        <v>15106180.826470587</v>
      </c>
      <c r="M79" s="46">
        <f t="shared" si="40"/>
        <v>1527933.681764706</v>
      </c>
      <c r="N79" s="46">
        <f t="shared" si="40"/>
        <v>606649.67000000016</v>
      </c>
      <c r="O79" s="46">
        <f t="shared" si="40"/>
        <v>985192.41959101974</v>
      </c>
      <c r="P79" s="46">
        <f t="shared" si="40"/>
        <v>62660</v>
      </c>
      <c r="Q79" s="46">
        <f t="shared" si="40"/>
        <v>11953505.720000001</v>
      </c>
      <c r="R79" s="329"/>
      <c r="S79" s="329"/>
      <c r="T79" s="45"/>
      <c r="U79" s="45"/>
      <c r="V79" s="45"/>
      <c r="W79" s="149"/>
      <c r="X79" s="47">
        <f>SUM(X5+X46+X71)</f>
        <v>12338565.088658733</v>
      </c>
      <c r="Y79" s="47">
        <f>SUM(Y5+Y46+Y71)</f>
        <v>14806278.106390482</v>
      </c>
      <c r="Z79" s="47">
        <f>SUM(Z5+Z46+Z71)</f>
        <v>8857719.701158734</v>
      </c>
    </row>
    <row r="80" spans="1:26" ht="15.75" thickTop="1"/>
    <row r="81" spans="14:15">
      <c r="N81" s="48"/>
      <c r="O81" s="48"/>
    </row>
    <row r="82" spans="14:15">
      <c r="N82" s="48"/>
      <c r="O82" s="48"/>
    </row>
    <row r="83" spans="14:15">
      <c r="N83" s="59"/>
      <c r="O83" s="48"/>
    </row>
  </sheetData>
  <mergeCells count="41">
    <mergeCell ref="D5:K5"/>
    <mergeCell ref="D46:K46"/>
    <mergeCell ref="Z2:Z3"/>
    <mergeCell ref="A2:K2"/>
    <mergeCell ref="L2:Q2"/>
    <mergeCell ref="X2:X3"/>
    <mergeCell ref="Y2:Y3"/>
    <mergeCell ref="S2:W2"/>
    <mergeCell ref="D40:K40"/>
    <mergeCell ref="D42:K42"/>
    <mergeCell ref="D33:K33"/>
    <mergeCell ref="D35:K35"/>
    <mergeCell ref="D38:K38"/>
    <mergeCell ref="D7:K7"/>
    <mergeCell ref="D6:K6"/>
    <mergeCell ref="D37:K37"/>
    <mergeCell ref="D48:K48"/>
    <mergeCell ref="D73:K73"/>
    <mergeCell ref="D47:K47"/>
    <mergeCell ref="D54:K54"/>
    <mergeCell ref="D63:K63"/>
    <mergeCell ref="D50:K50"/>
    <mergeCell ref="D52:K52"/>
    <mergeCell ref="D55:K55"/>
    <mergeCell ref="D58:K58"/>
    <mergeCell ref="D76:K76"/>
    <mergeCell ref="D72:K72"/>
    <mergeCell ref="D75:K75"/>
    <mergeCell ref="D13:K13"/>
    <mergeCell ref="D16:K16"/>
    <mergeCell ref="D23:K23"/>
    <mergeCell ref="D25:K25"/>
    <mergeCell ref="D61:K61"/>
    <mergeCell ref="D71:K71"/>
    <mergeCell ref="D68:K68"/>
    <mergeCell ref="D64:K64"/>
    <mergeCell ref="D66:K66"/>
    <mergeCell ref="D69:K69"/>
    <mergeCell ref="D27:K27"/>
    <mergeCell ref="D29:K29"/>
    <mergeCell ref="D44:K44"/>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27"/>
  <sheetViews>
    <sheetView workbookViewId="0">
      <selection activeCell="C7" sqref="C7"/>
    </sheetView>
  </sheetViews>
  <sheetFormatPr defaultRowHeight="15"/>
  <cols>
    <col min="1" max="1" width="27.5703125" customWidth="1"/>
    <col min="2" max="2" width="41.28515625" customWidth="1"/>
    <col min="3" max="3" width="17.7109375" customWidth="1"/>
    <col min="4" max="4" width="19.85546875" customWidth="1"/>
    <col min="5" max="5" width="13.7109375" customWidth="1"/>
    <col min="7" max="7" width="10.42578125" bestFit="1" customWidth="1"/>
  </cols>
  <sheetData>
    <row r="1" spans="1:15" ht="48" thickBot="1">
      <c r="A1" s="66" t="s">
        <v>248</v>
      </c>
      <c r="B1" s="66" t="s">
        <v>249</v>
      </c>
      <c r="C1" s="66" t="s">
        <v>371</v>
      </c>
      <c r="D1" s="66" t="s">
        <v>674</v>
      </c>
      <c r="E1" s="66" t="s">
        <v>372</v>
      </c>
    </row>
    <row r="2" spans="1:15" ht="32.25" thickBot="1">
      <c r="A2" s="67"/>
      <c r="B2" s="63" t="s">
        <v>250</v>
      </c>
      <c r="C2" s="72">
        <v>2773894.25</v>
      </c>
      <c r="D2" s="62">
        <f>SUM('3 pr-2'!AA9-'3 pr-2'!AA32)</f>
        <v>3140808.8</v>
      </c>
      <c r="E2" s="62">
        <f>SUM(C2-D2)</f>
        <v>-366914.54999999981</v>
      </c>
      <c r="G2" s="71">
        <v>3263405</v>
      </c>
      <c r="H2" s="71">
        <v>100</v>
      </c>
    </row>
    <row r="3" spans="1:15" ht="16.5" thickBot="1">
      <c r="A3" s="64" t="s">
        <v>146</v>
      </c>
      <c r="B3" s="63" t="s">
        <v>373</v>
      </c>
      <c r="C3" s="68">
        <v>2816452</v>
      </c>
      <c r="D3" s="62">
        <f>SUM('3 pr-2'!AA33)</f>
        <v>2816450.64</v>
      </c>
      <c r="E3" s="62">
        <f t="shared" ref="E3:E26" si="0">SUM(C3-D3)</f>
        <v>1.3599999998696148</v>
      </c>
      <c r="G3" s="71">
        <f>SUM(G2*H3/H2)</f>
        <v>2773894.25</v>
      </c>
      <c r="H3" s="71">
        <v>85</v>
      </c>
      <c r="N3" s="4">
        <v>3263405</v>
      </c>
      <c r="O3">
        <v>100</v>
      </c>
    </row>
    <row r="4" spans="1:15" ht="16.5" thickBot="1">
      <c r="A4" s="64" t="s">
        <v>145</v>
      </c>
      <c r="B4" s="63" t="s">
        <v>374</v>
      </c>
      <c r="C4" s="68">
        <v>3697302</v>
      </c>
      <c r="D4" s="62">
        <f>SUM('3 pr-2'!AA39)</f>
        <v>3697299.46</v>
      </c>
      <c r="E4" s="62">
        <f t="shared" si="0"/>
        <v>2.5400000000372529</v>
      </c>
      <c r="N4">
        <f>SUM(N3*O4/O3)</f>
        <v>2773894.25</v>
      </c>
      <c r="O4">
        <v>85</v>
      </c>
    </row>
    <row r="5" spans="1:15" ht="16.5" thickBot="1">
      <c r="A5" s="64" t="s">
        <v>178</v>
      </c>
      <c r="B5" s="63" t="s">
        <v>251</v>
      </c>
      <c r="C5" s="68">
        <v>1099672.68</v>
      </c>
      <c r="D5" s="62">
        <f>SUM('IV-3'!W45)</f>
        <v>1093151.6300000001</v>
      </c>
      <c r="E5" s="62">
        <f t="shared" si="0"/>
        <v>6521.0499999998137</v>
      </c>
    </row>
    <row r="6" spans="1:15" ht="16.5" thickBot="1">
      <c r="A6" s="64" t="s">
        <v>267</v>
      </c>
      <c r="B6" s="63" t="s">
        <v>252</v>
      </c>
      <c r="C6" s="68">
        <v>575485</v>
      </c>
      <c r="D6" s="62">
        <f>SUM('IV-3'!W46+'IV-3'!W47)</f>
        <v>575484.89</v>
      </c>
      <c r="E6" s="62">
        <f t="shared" si="0"/>
        <v>0.10999999998603016</v>
      </c>
    </row>
    <row r="7" spans="1:15" ht="48" thickBot="1">
      <c r="A7" s="64" t="s">
        <v>144</v>
      </c>
      <c r="B7" s="63" t="s">
        <v>375</v>
      </c>
      <c r="C7" s="68">
        <v>9294484.6400000006</v>
      </c>
      <c r="D7" s="69">
        <f>SUM('3 pr-2'!AA50)</f>
        <v>8901964.3000000007</v>
      </c>
      <c r="E7" s="62">
        <f t="shared" si="0"/>
        <v>392520.33999999985</v>
      </c>
    </row>
    <row r="8" spans="1:15" ht="16.5" thickBot="1">
      <c r="A8" s="64" t="s">
        <v>179</v>
      </c>
      <c r="B8" s="63" t="s">
        <v>253</v>
      </c>
      <c r="C8" s="68">
        <v>3399493.48</v>
      </c>
      <c r="D8" s="62">
        <f>SUM('3 pr-2'!AA56)</f>
        <v>3392312.19</v>
      </c>
      <c r="E8" s="62">
        <f t="shared" si="0"/>
        <v>7181.2900000000373</v>
      </c>
    </row>
    <row r="9" spans="1:15" ht="48" thickBot="1">
      <c r="A9" s="64" t="s">
        <v>142</v>
      </c>
      <c r="B9" s="63" t="s">
        <v>133</v>
      </c>
      <c r="C9" s="68">
        <v>611420</v>
      </c>
      <c r="D9" s="62">
        <f>SUM('3 pr-2'!AA58)</f>
        <v>611420</v>
      </c>
      <c r="E9" s="62">
        <f t="shared" si="0"/>
        <v>0</v>
      </c>
    </row>
    <row r="10" spans="1:15" ht="32.25" thickBot="1">
      <c r="A10" s="64" t="s">
        <v>143</v>
      </c>
      <c r="B10" s="63" t="s">
        <v>254</v>
      </c>
      <c r="C10" s="68">
        <v>1198165.51</v>
      </c>
      <c r="D10" s="62">
        <f>SUM('3 pr-2'!AA62)</f>
        <v>1198163.7</v>
      </c>
      <c r="E10" s="62">
        <f t="shared" si="0"/>
        <v>1.8100000000558794</v>
      </c>
    </row>
    <row r="11" spans="1:15" ht="32.25" thickBot="1">
      <c r="A11" s="64" t="s">
        <v>182</v>
      </c>
      <c r="B11" s="63" t="s">
        <v>255</v>
      </c>
      <c r="C11" s="68">
        <v>1030281.61</v>
      </c>
      <c r="D11" s="62">
        <f>SUM('3 pr-2'!AA67)</f>
        <v>1023865.66</v>
      </c>
      <c r="E11" s="62">
        <f t="shared" si="0"/>
        <v>6415.9499999999534</v>
      </c>
    </row>
    <row r="12" spans="1:15" ht="32.25" thickBot="1">
      <c r="A12" s="64" t="s">
        <v>135</v>
      </c>
      <c r="B12" s="63" t="s">
        <v>256</v>
      </c>
      <c r="C12" s="157">
        <v>1263272</v>
      </c>
      <c r="D12" s="62">
        <f>SUM('3 pr-2'!AA74)</f>
        <v>1263272</v>
      </c>
      <c r="E12" s="62">
        <f t="shared" si="0"/>
        <v>0</v>
      </c>
    </row>
    <row r="13" spans="1:15" ht="16.5" thickBot="1">
      <c r="A13" s="64" t="s">
        <v>147</v>
      </c>
      <c r="B13" s="63" t="s">
        <v>257</v>
      </c>
      <c r="C13" s="68">
        <v>1567660</v>
      </c>
      <c r="D13" s="62">
        <f>SUM('3 pr-2'!AA80+'3 pr-2'!AA82+'3 pr-2'!AA84+'3 pr-2'!AA85)</f>
        <v>1567659.8</v>
      </c>
      <c r="E13" s="62">
        <f t="shared" si="0"/>
        <v>0.19999999995343387</v>
      </c>
    </row>
    <row r="14" spans="1:15" ht="16.5" thickBot="1">
      <c r="A14" s="64" t="s">
        <v>269</v>
      </c>
      <c r="B14" s="63" t="s">
        <v>273</v>
      </c>
      <c r="C14" s="68">
        <v>43042.3</v>
      </c>
      <c r="D14" s="62">
        <f>SUM('3 pr-2'!AA81+'3 pr-2'!AA83)</f>
        <v>43042.3</v>
      </c>
      <c r="E14" s="62">
        <f t="shared" si="0"/>
        <v>0</v>
      </c>
    </row>
    <row r="15" spans="1:15" ht="32.25" thickBot="1">
      <c r="A15" s="64" t="s">
        <v>148</v>
      </c>
      <c r="B15" s="63" t="s">
        <v>258</v>
      </c>
      <c r="C15" s="68">
        <v>415732</v>
      </c>
      <c r="D15" s="62">
        <f>SUM('3 pr-2'!AA86)</f>
        <v>415660.69</v>
      </c>
      <c r="E15" s="70">
        <f t="shared" si="0"/>
        <v>71.309999999997672</v>
      </c>
    </row>
    <row r="16" spans="1:15" ht="16.5" thickBot="1">
      <c r="A16" s="64" t="s">
        <v>141</v>
      </c>
      <c r="B16" s="63" t="s">
        <v>292</v>
      </c>
      <c r="C16" s="68">
        <v>3052809</v>
      </c>
      <c r="D16" s="62">
        <f>SUM('3 pr-2'!AA92)</f>
        <v>3035532.7800000003</v>
      </c>
      <c r="E16" s="62">
        <f t="shared" si="0"/>
        <v>17276.219999999739</v>
      </c>
    </row>
    <row r="17" spans="1:5" ht="16.5" thickBot="1">
      <c r="A17" s="64" t="s">
        <v>136</v>
      </c>
      <c r="B17" s="63" t="s">
        <v>376</v>
      </c>
      <c r="C17" s="68">
        <v>1142378</v>
      </c>
      <c r="D17" s="62">
        <f>SUM('3 pr-2'!AA102)</f>
        <v>1142377</v>
      </c>
      <c r="E17" s="62">
        <f t="shared" si="0"/>
        <v>1</v>
      </c>
    </row>
    <row r="18" spans="1:5" ht="32.25" thickBot="1">
      <c r="A18" s="64" t="s">
        <v>139</v>
      </c>
      <c r="B18" s="63" t="s">
        <v>259</v>
      </c>
      <c r="C18" s="68">
        <v>1486009</v>
      </c>
      <c r="D18" s="62">
        <f>SUM('3 pr-2'!AA108)</f>
        <v>1486007</v>
      </c>
      <c r="E18" s="62">
        <f t="shared" si="0"/>
        <v>2</v>
      </c>
    </row>
    <row r="19" spans="1:5" ht="32.25" thickBot="1">
      <c r="A19" s="64" t="s">
        <v>140</v>
      </c>
      <c r="B19" s="63" t="s">
        <v>260</v>
      </c>
      <c r="C19" s="68">
        <v>1138588</v>
      </c>
      <c r="D19" s="62">
        <f>SUM('3 pr-2'!AA114)</f>
        <v>1138588</v>
      </c>
      <c r="E19" s="62">
        <f t="shared" si="0"/>
        <v>0</v>
      </c>
    </row>
    <row r="20" spans="1:5" ht="32.25" thickBot="1">
      <c r="A20" s="64" t="s">
        <v>153</v>
      </c>
      <c r="B20" s="63" t="s">
        <v>261</v>
      </c>
      <c r="C20" s="68">
        <v>1230854</v>
      </c>
      <c r="D20" s="62">
        <f>SUM('3 pr-2'!AA121)</f>
        <v>1230277.5299999998</v>
      </c>
      <c r="E20" s="62">
        <f t="shared" si="0"/>
        <v>576.47000000020489</v>
      </c>
    </row>
    <row r="21" spans="1:5" ht="32.25" thickBot="1">
      <c r="A21" s="64" t="s">
        <v>1176</v>
      </c>
      <c r="B21" s="63" t="s">
        <v>261</v>
      </c>
      <c r="C21" s="68">
        <v>845738</v>
      </c>
      <c r="D21" s="62">
        <f>SUM('3 pr-2'!AA135)</f>
        <v>845736.85</v>
      </c>
      <c r="E21" s="62">
        <f t="shared" si="0"/>
        <v>1.1500000000232831</v>
      </c>
    </row>
    <row r="22" spans="1:5" ht="16.5" thickBot="1">
      <c r="A22" s="64" t="s">
        <v>154</v>
      </c>
      <c r="B22" s="63" t="s">
        <v>262</v>
      </c>
      <c r="C22" s="68">
        <v>885762</v>
      </c>
      <c r="D22" s="62">
        <f>SUM('3 pr-2'!AA148)</f>
        <v>885761.15</v>
      </c>
      <c r="E22" s="62">
        <f t="shared" si="0"/>
        <v>0.84999999997671694</v>
      </c>
    </row>
    <row r="23" spans="1:5" ht="16.5" thickBot="1">
      <c r="A23" s="64" t="s">
        <v>155</v>
      </c>
      <c r="B23" s="63" t="s">
        <v>263</v>
      </c>
      <c r="C23" s="68">
        <v>2520974</v>
      </c>
      <c r="D23" s="62">
        <f>SUM('3 pr-2'!AA154)</f>
        <v>2520973.6399999997</v>
      </c>
      <c r="E23" s="62">
        <f t="shared" si="0"/>
        <v>0.36000000033527613</v>
      </c>
    </row>
    <row r="24" spans="1:5" ht="32.25" thickBot="1">
      <c r="A24" s="64" t="s">
        <v>156</v>
      </c>
      <c r="B24" s="63" t="s">
        <v>264</v>
      </c>
      <c r="C24" s="68">
        <v>982761</v>
      </c>
      <c r="D24" s="62">
        <f>SUM('3 pr-2'!AA161)</f>
        <v>940807.84000000008</v>
      </c>
      <c r="E24" s="62">
        <f t="shared" si="0"/>
        <v>41953.159999999916</v>
      </c>
    </row>
    <row r="25" spans="1:5" ht="32.25" thickBot="1">
      <c r="A25" s="64" t="s">
        <v>190</v>
      </c>
      <c r="B25" s="63" t="s">
        <v>265</v>
      </c>
      <c r="C25" s="68">
        <v>3352807.77</v>
      </c>
      <c r="D25" s="62">
        <f>SUM('3 pr-2'!AA170)</f>
        <v>3352807.77</v>
      </c>
      <c r="E25" s="62">
        <f t="shared" si="0"/>
        <v>0</v>
      </c>
    </row>
    <row r="26" spans="1:5" ht="16.5" thickBot="1">
      <c r="A26" s="64" t="s">
        <v>192</v>
      </c>
      <c r="B26" s="63" t="s">
        <v>266</v>
      </c>
      <c r="C26" s="68">
        <v>2131629</v>
      </c>
      <c r="D26" s="62">
        <f>SUM('3 pr-2'!AA173)</f>
        <v>2131627.75</v>
      </c>
      <c r="E26" s="62">
        <f t="shared" si="0"/>
        <v>1.25</v>
      </c>
    </row>
    <row r="27" spans="1:5" ht="16.5" thickBot="1">
      <c r="C27" s="62"/>
      <c r="D27" s="62">
        <f>SUM(D2:D26)</f>
        <v>48451053.370000012</v>
      </c>
    </row>
  </sheetData>
  <pageMargins left="0.7" right="0.7" top="0.75" bottom="0.75" header="0.3" footer="0.3"/>
  <pageSetup scale="57"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46"/>
  <sheetViews>
    <sheetView showGridLines="0" showRuler="0" zoomScaleNormal="100" workbookViewId="0">
      <selection activeCell="A38" sqref="A38:B38"/>
    </sheetView>
  </sheetViews>
  <sheetFormatPr defaultColWidth="9.140625" defaultRowHeight="15"/>
  <cols>
    <col min="1" max="1" width="9.140625" style="131"/>
    <col min="2" max="2" width="40.85546875" style="131" customWidth="1"/>
    <col min="3" max="3" width="39.5703125" style="131" customWidth="1"/>
    <col min="4" max="4" width="14.42578125" style="131" customWidth="1"/>
    <col min="5" max="5" width="15.5703125" style="131" customWidth="1"/>
    <col min="6" max="6" width="23.42578125" style="131" customWidth="1"/>
    <col min="7" max="16384" width="9.140625" style="131"/>
  </cols>
  <sheetData>
    <row r="1" spans="1:6" ht="380.25" customHeight="1">
      <c r="A1" s="2021" t="s">
        <v>1212</v>
      </c>
      <c r="B1" s="2022"/>
      <c r="C1" s="2022"/>
      <c r="D1" s="2022"/>
      <c r="E1" s="2022"/>
      <c r="F1" s="2022"/>
    </row>
    <row r="2" spans="1:6" ht="147" customHeight="1">
      <c r="A2" s="2023" t="s">
        <v>1403</v>
      </c>
      <c r="B2" s="2024"/>
      <c r="C2" s="2024"/>
      <c r="D2" s="2024"/>
      <c r="E2" s="2024"/>
      <c r="F2" s="2024"/>
    </row>
    <row r="3" spans="1:6">
      <c r="C3" s="559" t="s">
        <v>844</v>
      </c>
    </row>
    <row r="5" spans="1:6" ht="15.75" thickBot="1">
      <c r="A5" s="559" t="s">
        <v>845</v>
      </c>
    </row>
    <row r="6" spans="1:6" ht="32.25" thickTop="1">
      <c r="A6" s="1991" t="s">
        <v>366</v>
      </c>
      <c r="B6" s="1991" t="s">
        <v>846</v>
      </c>
      <c r="C6" s="1991" t="s">
        <v>737</v>
      </c>
      <c r="D6" s="1991" t="s">
        <v>847</v>
      </c>
      <c r="E6" s="1503" t="s">
        <v>848</v>
      </c>
      <c r="F6" s="1991" t="s">
        <v>850</v>
      </c>
    </row>
    <row r="7" spans="1:6" ht="16.5" thickBot="1">
      <c r="A7" s="2031"/>
      <c r="B7" s="2031"/>
      <c r="C7" s="2031"/>
      <c r="D7" s="2031"/>
      <c r="E7" s="561" t="s">
        <v>849</v>
      </c>
      <c r="F7" s="2031"/>
    </row>
    <row r="8" spans="1:6" ht="32.25" thickBot="1">
      <c r="A8" s="1504"/>
      <c r="B8" s="1505" t="s">
        <v>851</v>
      </c>
      <c r="C8" s="1506"/>
      <c r="D8" s="1506"/>
      <c r="E8" s="1506"/>
      <c r="F8" s="1507"/>
    </row>
    <row r="9" spans="1:6" ht="79.5" thickBot="1">
      <c r="A9" s="562" t="s">
        <v>852</v>
      </c>
      <c r="B9" s="563" t="s">
        <v>853</v>
      </c>
      <c r="C9" s="564" t="s">
        <v>1544</v>
      </c>
      <c r="D9" s="563" t="s">
        <v>1565</v>
      </c>
      <c r="E9" s="564" t="s">
        <v>1566</v>
      </c>
      <c r="F9" s="565" t="s">
        <v>1567</v>
      </c>
    </row>
    <row r="10" spans="1:6" ht="16.5" thickBot="1">
      <c r="A10" s="999"/>
      <c r="B10" s="561" t="s">
        <v>854</v>
      </c>
      <c r="C10" s="320"/>
      <c r="D10" s="320"/>
      <c r="E10" s="320"/>
      <c r="F10" s="675"/>
    </row>
    <row r="11" spans="1:6" ht="63" customHeight="1" thickBot="1">
      <c r="A11" s="562" t="s">
        <v>855</v>
      </c>
      <c r="B11" s="563" t="s">
        <v>856</v>
      </c>
      <c r="C11" s="564" t="s">
        <v>857</v>
      </c>
      <c r="D11" s="563" t="s">
        <v>863</v>
      </c>
      <c r="E11" s="564" t="s">
        <v>859</v>
      </c>
      <c r="F11" s="565" t="s">
        <v>864</v>
      </c>
    </row>
    <row r="12" spans="1:6" ht="32.25" thickBot="1">
      <c r="A12" s="999"/>
      <c r="B12" s="561" t="s">
        <v>860</v>
      </c>
      <c r="C12" s="320"/>
      <c r="D12" s="320"/>
      <c r="E12" s="320"/>
      <c r="F12" s="675"/>
    </row>
    <row r="13" spans="1:6" ht="63.75" thickBot="1">
      <c r="A13" s="562" t="s">
        <v>861</v>
      </c>
      <c r="B13" s="564" t="s">
        <v>862</v>
      </c>
      <c r="C13" s="564" t="s">
        <v>1568</v>
      </c>
      <c r="D13" s="564" t="s">
        <v>1569</v>
      </c>
      <c r="E13" s="564" t="s">
        <v>1570</v>
      </c>
      <c r="F13" s="565" t="s">
        <v>1571</v>
      </c>
    </row>
    <row r="15" spans="1:6" ht="15.75" thickBot="1">
      <c r="A15" s="559" t="s">
        <v>865</v>
      </c>
    </row>
    <row r="16" spans="1:6" ht="31.5">
      <c r="A16" s="2025" t="s">
        <v>366</v>
      </c>
      <c r="B16" s="2027" t="s">
        <v>846</v>
      </c>
      <c r="C16" s="2027" t="s">
        <v>737</v>
      </c>
      <c r="D16" s="2027" t="s">
        <v>847</v>
      </c>
      <c r="E16" s="1505" t="s">
        <v>848</v>
      </c>
      <c r="F16" s="2029" t="s">
        <v>850</v>
      </c>
    </row>
    <row r="17" spans="1:6" ht="16.5" thickBot="1">
      <c r="A17" s="2026"/>
      <c r="B17" s="2028"/>
      <c r="C17" s="2028"/>
      <c r="D17" s="2028"/>
      <c r="E17" s="560" t="s">
        <v>849</v>
      </c>
      <c r="F17" s="2030"/>
    </row>
    <row r="18" spans="1:6" ht="96" thickTop="1" thickBot="1">
      <c r="A18" s="999"/>
      <c r="B18" s="561" t="s">
        <v>853</v>
      </c>
      <c r="C18" s="320"/>
      <c r="D18" s="320"/>
      <c r="E18" s="320"/>
      <c r="F18" s="675"/>
    </row>
    <row r="19" spans="1:6" ht="63.75" thickBot="1">
      <c r="A19" s="562" t="s">
        <v>866</v>
      </c>
      <c r="B19" s="564" t="s">
        <v>867</v>
      </c>
      <c r="C19" s="564" t="s">
        <v>868</v>
      </c>
      <c r="D19" s="563" t="s">
        <v>1121</v>
      </c>
      <c r="E19" s="564">
        <v>9394</v>
      </c>
      <c r="F19" s="565" t="s">
        <v>1572</v>
      </c>
    </row>
    <row r="20" spans="1:6" ht="63.75" thickBot="1">
      <c r="A20" s="999" t="s">
        <v>869</v>
      </c>
      <c r="B20" s="1000" t="s">
        <v>867</v>
      </c>
      <c r="C20" s="1000" t="s">
        <v>870</v>
      </c>
      <c r="D20" s="1508" t="s">
        <v>1522</v>
      </c>
      <c r="E20" s="1000" t="s">
        <v>871</v>
      </c>
      <c r="F20" s="1509" t="s">
        <v>1573</v>
      </c>
    </row>
    <row r="21" spans="1:6" ht="64.5" thickTop="1" thickBot="1">
      <c r="A21" s="1001" t="s">
        <v>872</v>
      </c>
      <c r="B21" s="1035" t="s">
        <v>873</v>
      </c>
      <c r="C21" s="1035" t="s">
        <v>874</v>
      </c>
      <c r="D21" s="1035" t="s">
        <v>1121</v>
      </c>
      <c r="E21" s="1035">
        <v>10</v>
      </c>
      <c r="F21" s="1510" t="s">
        <v>1574</v>
      </c>
    </row>
    <row r="22" spans="1:6" ht="64.5" thickTop="1" thickBot="1">
      <c r="A22" s="1001" t="s">
        <v>875</v>
      </c>
      <c r="B22" s="1035" t="s">
        <v>873</v>
      </c>
      <c r="C22" s="1035" t="s">
        <v>876</v>
      </c>
      <c r="D22" s="1035" t="s">
        <v>1523</v>
      </c>
      <c r="E22" s="1035">
        <v>3</v>
      </c>
      <c r="F22" s="1510" t="s">
        <v>1575</v>
      </c>
    </row>
    <row r="23" spans="1:6" ht="32.25" thickBot="1">
      <c r="A23" s="562"/>
      <c r="B23" s="861" t="s">
        <v>856</v>
      </c>
      <c r="C23" s="563"/>
      <c r="D23" s="563"/>
      <c r="E23" s="563"/>
      <c r="F23" s="565"/>
    </row>
    <row r="24" spans="1:6" ht="79.5" thickBot="1">
      <c r="A24" s="999" t="s">
        <v>877</v>
      </c>
      <c r="B24" s="1000" t="s">
        <v>878</v>
      </c>
      <c r="C24" s="1000" t="s">
        <v>879</v>
      </c>
      <c r="D24" s="1000" t="s">
        <v>1524</v>
      </c>
      <c r="E24" s="1000">
        <v>48</v>
      </c>
      <c r="F24" s="1511" t="s">
        <v>1576</v>
      </c>
    </row>
    <row r="25" spans="1:6" ht="80.25" thickTop="1" thickBot="1">
      <c r="A25" s="1001" t="s">
        <v>877</v>
      </c>
      <c r="B25" s="1035" t="s">
        <v>878</v>
      </c>
      <c r="C25" s="1035" t="s">
        <v>881</v>
      </c>
      <c r="D25" s="1035" t="s">
        <v>1121</v>
      </c>
      <c r="E25" s="1035">
        <v>38.4</v>
      </c>
      <c r="F25" s="1510" t="s">
        <v>1577</v>
      </c>
    </row>
    <row r="26" spans="1:6" ht="80.25" thickTop="1" thickBot="1">
      <c r="A26" s="1001" t="s">
        <v>882</v>
      </c>
      <c r="B26" s="1035" t="s">
        <v>878</v>
      </c>
      <c r="C26" s="1035" t="s">
        <v>883</v>
      </c>
      <c r="D26" s="1035" t="s">
        <v>1121</v>
      </c>
      <c r="E26" s="1035">
        <v>46</v>
      </c>
      <c r="F26" s="1510" t="s">
        <v>1578</v>
      </c>
    </row>
    <row r="27" spans="1:6" ht="80.25" thickTop="1" thickBot="1">
      <c r="A27" s="1001" t="s">
        <v>884</v>
      </c>
      <c r="B27" s="1035" t="s">
        <v>885</v>
      </c>
      <c r="C27" s="1035" t="s">
        <v>886</v>
      </c>
      <c r="D27" s="1035" t="s">
        <v>1582</v>
      </c>
      <c r="E27" s="1035">
        <v>3</v>
      </c>
      <c r="F27" s="1510" t="s">
        <v>1579</v>
      </c>
    </row>
    <row r="28" spans="1:6" ht="63.75" thickBot="1">
      <c r="A28" s="562" t="s">
        <v>887</v>
      </c>
      <c r="B28" s="564" t="s">
        <v>885</v>
      </c>
      <c r="C28" s="564" t="s">
        <v>888</v>
      </c>
      <c r="D28" s="564" t="s">
        <v>1587</v>
      </c>
      <c r="E28" s="564">
        <v>82</v>
      </c>
      <c r="F28" s="849" t="s">
        <v>1580</v>
      </c>
    </row>
    <row r="29" spans="1:6" ht="30.75" customHeight="1">
      <c r="A29" s="2035" t="s">
        <v>889</v>
      </c>
      <c r="B29" s="2037" t="s">
        <v>890</v>
      </c>
      <c r="C29" s="2037" t="s">
        <v>891</v>
      </c>
      <c r="D29" s="320">
        <v>0</v>
      </c>
      <c r="E29" s="2037">
        <v>62</v>
      </c>
      <c r="F29" s="675" t="s">
        <v>1583</v>
      </c>
    </row>
    <row r="30" spans="1:6" ht="15.75">
      <c r="A30" s="2035"/>
      <c r="B30" s="2037"/>
      <c r="C30" s="2037"/>
      <c r="D30" s="320" t="s">
        <v>858</v>
      </c>
      <c r="E30" s="2037"/>
      <c r="F30" s="675" t="s">
        <v>892</v>
      </c>
    </row>
    <row r="31" spans="1:6" ht="15.75">
      <c r="A31" s="2035"/>
      <c r="B31" s="2037"/>
      <c r="C31" s="2037"/>
      <c r="D31" s="1512"/>
      <c r="E31" s="2037"/>
      <c r="F31" s="675" t="s">
        <v>893</v>
      </c>
    </row>
    <row r="32" spans="1:6" ht="16.5" thickBot="1">
      <c r="A32" s="2036"/>
      <c r="B32" s="2038"/>
      <c r="C32" s="2038"/>
      <c r="D32" s="1513"/>
      <c r="E32" s="2038"/>
      <c r="F32" s="676" t="s">
        <v>880</v>
      </c>
    </row>
    <row r="33" spans="1:6" ht="16.5" thickTop="1">
      <c r="A33" s="2039" t="s">
        <v>894</v>
      </c>
      <c r="B33" s="2032" t="s">
        <v>867</v>
      </c>
      <c r="C33" s="2032" t="s">
        <v>1120</v>
      </c>
      <c r="D33" s="320">
        <v>0</v>
      </c>
      <c r="E33" s="2032">
        <v>47</v>
      </c>
      <c r="F33" s="675" t="s">
        <v>1584</v>
      </c>
    </row>
    <row r="34" spans="1:6" ht="15.75">
      <c r="A34" s="2035"/>
      <c r="B34" s="2037"/>
      <c r="C34" s="2033"/>
      <c r="D34" s="320" t="s">
        <v>858</v>
      </c>
      <c r="E34" s="2037"/>
      <c r="F34" s="675" t="s">
        <v>895</v>
      </c>
    </row>
    <row r="35" spans="1:6" ht="15.75">
      <c r="A35" s="2035"/>
      <c r="B35" s="2037"/>
      <c r="C35" s="2033"/>
      <c r="D35" s="1512"/>
      <c r="E35" s="2037"/>
      <c r="F35" s="675" t="s">
        <v>896</v>
      </c>
    </row>
    <row r="36" spans="1:6" ht="16.5" thickBot="1">
      <c r="A36" s="2036"/>
      <c r="B36" s="2038"/>
      <c r="C36" s="2034"/>
      <c r="D36" s="1513"/>
      <c r="E36" s="2038"/>
      <c r="F36" s="676" t="s">
        <v>880</v>
      </c>
    </row>
    <row r="37" spans="1:6" ht="33" customHeight="1" thickTop="1">
      <c r="A37" s="2039" t="s">
        <v>897</v>
      </c>
      <c r="B37" s="2032" t="s">
        <v>890</v>
      </c>
      <c r="C37" s="2032" t="s">
        <v>898</v>
      </c>
      <c r="D37" s="320">
        <v>0</v>
      </c>
      <c r="E37" s="2032">
        <v>14</v>
      </c>
      <c r="F37" s="675" t="s">
        <v>1585</v>
      </c>
    </row>
    <row r="38" spans="1:6" ht="15.75">
      <c r="A38" s="2035"/>
      <c r="B38" s="2037"/>
      <c r="C38" s="2037"/>
      <c r="D38" s="320" t="s">
        <v>858</v>
      </c>
      <c r="E38" s="2037"/>
      <c r="F38" s="675" t="s">
        <v>899</v>
      </c>
    </row>
    <row r="39" spans="1:6" ht="15.75">
      <c r="A39" s="2035"/>
      <c r="B39" s="2037"/>
      <c r="C39" s="2037"/>
      <c r="D39" s="1512"/>
      <c r="E39" s="2037"/>
      <c r="F39" s="675" t="s">
        <v>900</v>
      </c>
    </row>
    <row r="40" spans="1:6" ht="16.5" thickBot="1">
      <c r="A40" s="2036"/>
      <c r="B40" s="2038"/>
      <c r="C40" s="2038"/>
      <c r="D40" s="1513"/>
      <c r="E40" s="2038"/>
      <c r="F40" s="676" t="s">
        <v>880</v>
      </c>
    </row>
    <row r="41" spans="1:6" ht="33" thickTop="1" thickBot="1">
      <c r="A41" s="999"/>
      <c r="B41" s="561" t="s">
        <v>1213</v>
      </c>
      <c r="C41" s="320"/>
      <c r="D41" s="320"/>
      <c r="E41" s="320"/>
      <c r="F41" s="675"/>
    </row>
    <row r="42" spans="1:6" ht="63.75" thickBot="1">
      <c r="A42" s="562" t="s">
        <v>901</v>
      </c>
      <c r="B42" s="564" t="s">
        <v>902</v>
      </c>
      <c r="C42" s="564" t="s">
        <v>903</v>
      </c>
      <c r="D42" s="564" t="s">
        <v>1121</v>
      </c>
      <c r="E42" s="564">
        <v>44</v>
      </c>
      <c r="F42" s="849" t="s">
        <v>1581</v>
      </c>
    </row>
    <row r="43" spans="1:6" ht="15.75">
      <c r="A43" s="2035" t="s">
        <v>904</v>
      </c>
      <c r="B43" s="2037" t="s">
        <v>905</v>
      </c>
      <c r="C43" s="2037" t="s">
        <v>906</v>
      </c>
      <c r="D43" s="320">
        <v>55</v>
      </c>
      <c r="E43" s="2037">
        <v>35</v>
      </c>
      <c r="F43" s="675" t="s">
        <v>1586</v>
      </c>
    </row>
    <row r="44" spans="1:6" ht="15.75">
      <c r="A44" s="2035"/>
      <c r="B44" s="2037"/>
      <c r="C44" s="2037"/>
      <c r="D44" s="320" t="s">
        <v>858</v>
      </c>
      <c r="E44" s="2037"/>
      <c r="F44" s="675" t="s">
        <v>907</v>
      </c>
    </row>
    <row r="45" spans="1:6" ht="15.75">
      <c r="A45" s="2035"/>
      <c r="B45" s="2037"/>
      <c r="C45" s="2037"/>
      <c r="D45" s="1512"/>
      <c r="E45" s="2037"/>
      <c r="F45" s="675" t="s">
        <v>908</v>
      </c>
    </row>
    <row r="46" spans="1:6" ht="16.5" thickBot="1">
      <c r="A46" s="2040"/>
      <c r="B46" s="2041"/>
      <c r="C46" s="2041"/>
      <c r="D46" s="1514"/>
      <c r="E46" s="2041"/>
      <c r="F46" s="731" t="s">
        <v>909</v>
      </c>
    </row>
  </sheetData>
  <mergeCells count="28">
    <mergeCell ref="A43:A46"/>
    <mergeCell ref="B43:B46"/>
    <mergeCell ref="C43:C46"/>
    <mergeCell ref="E43:E46"/>
    <mergeCell ref="A37:A40"/>
    <mergeCell ref="B37:B40"/>
    <mergeCell ref="C37:C40"/>
    <mergeCell ref="E37:E40"/>
    <mergeCell ref="C33:C36"/>
    <mergeCell ref="A29:A32"/>
    <mergeCell ref="B29:B32"/>
    <mergeCell ref="C29:C32"/>
    <mergeCell ref="E29:E32"/>
    <mergeCell ref="A33:A36"/>
    <mergeCell ref="B33:B36"/>
    <mergeCell ref="E33:E36"/>
    <mergeCell ref="A1:F1"/>
    <mergeCell ref="A2:F2"/>
    <mergeCell ref="A16:A17"/>
    <mergeCell ref="B16:B17"/>
    <mergeCell ref="C16:C17"/>
    <mergeCell ref="D16:D17"/>
    <mergeCell ref="F16:F17"/>
    <mergeCell ref="A6:A7"/>
    <mergeCell ref="B6:B7"/>
    <mergeCell ref="C6:C7"/>
    <mergeCell ref="D6:D7"/>
    <mergeCell ref="F6:F7"/>
  </mergeCells>
  <pageMargins left="0.23622047244094491" right="0.23622047244094491" top="0.74803149606299213" bottom="0.59055118110236227" header="0.31496062992125984" footer="0.31496062992125984"/>
  <pageSetup paperSize="9" orientation="landscape" r:id="rId1"/>
  <headerFooter>
    <oddHeader>&amp;C&amp;"Times New Roman,Paprastas"&amp;12Alytaus regiono 2014 – 2020 metų plėtros planas</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K37"/>
  <sheetViews>
    <sheetView showGridLines="0" showRuler="0" zoomScaleNormal="100" workbookViewId="0">
      <selection activeCell="A38" sqref="A38:B38"/>
    </sheetView>
  </sheetViews>
  <sheetFormatPr defaultColWidth="9.140625" defaultRowHeight="15"/>
  <cols>
    <col min="1" max="1" width="9.140625" style="131"/>
    <col min="2" max="2" width="58.140625" style="131" customWidth="1"/>
    <col min="3" max="16384" width="9.140625" style="131"/>
  </cols>
  <sheetData>
    <row r="2" spans="1:11" ht="15.75">
      <c r="A2" s="437" t="s">
        <v>910</v>
      </c>
    </row>
    <row r="3" spans="1:11" ht="15.75" thickBot="1"/>
    <row r="4" spans="1:11" ht="16.5" thickBot="1">
      <c r="A4" s="853" t="s">
        <v>366</v>
      </c>
      <c r="B4" s="861" t="s">
        <v>737</v>
      </c>
      <c r="C4" s="2042" t="s">
        <v>671</v>
      </c>
      <c r="D4" s="2043"/>
      <c r="E4" s="2043"/>
      <c r="F4" s="2043"/>
      <c r="G4" s="2043"/>
      <c r="H4" s="2043"/>
      <c r="I4" s="2043"/>
      <c r="J4" s="2043"/>
      <c r="K4" s="2044"/>
    </row>
    <row r="5" spans="1:11" ht="16.5" thickBot="1">
      <c r="A5" s="1004"/>
      <c r="B5" s="561"/>
      <c r="C5" s="561">
        <v>2015</v>
      </c>
      <c r="D5" s="561">
        <v>2016</v>
      </c>
      <c r="E5" s="561">
        <v>2017</v>
      </c>
      <c r="F5" s="561">
        <v>2018</v>
      </c>
      <c r="G5" s="561">
        <v>2019</v>
      </c>
      <c r="H5" s="561">
        <v>2020</v>
      </c>
      <c r="I5" s="561">
        <v>2021</v>
      </c>
      <c r="J5" s="561">
        <v>2022</v>
      </c>
      <c r="K5" s="858">
        <v>2023</v>
      </c>
    </row>
    <row r="6" spans="1:11" ht="48" thickBot="1">
      <c r="A6" s="853" t="s">
        <v>852</v>
      </c>
      <c r="B6" s="854" t="s">
        <v>1544</v>
      </c>
      <c r="C6" s="564" t="s">
        <v>911</v>
      </c>
      <c r="D6" s="564" t="s">
        <v>911</v>
      </c>
      <c r="E6" s="564" t="s">
        <v>911</v>
      </c>
      <c r="F6" s="564" t="s">
        <v>1545</v>
      </c>
      <c r="G6" s="564" t="s">
        <v>1546</v>
      </c>
      <c r="H6" s="564" t="s">
        <v>1547</v>
      </c>
      <c r="I6" s="564" t="s">
        <v>1548</v>
      </c>
      <c r="J6" s="564" t="s">
        <v>1549</v>
      </c>
      <c r="K6" s="849" t="s">
        <v>1550</v>
      </c>
    </row>
    <row r="7" spans="1:11" ht="15.75">
      <c r="A7" s="2035" t="s">
        <v>866</v>
      </c>
      <c r="B7" s="2037" t="s">
        <v>868</v>
      </c>
      <c r="C7" s="2037" t="s">
        <v>911</v>
      </c>
      <c r="D7" s="2037" t="s">
        <v>911</v>
      </c>
      <c r="E7" s="2037" t="s">
        <v>911</v>
      </c>
      <c r="F7" s="320" t="s">
        <v>912</v>
      </c>
      <c r="G7" s="320" t="s">
        <v>915</v>
      </c>
      <c r="H7" s="320" t="s">
        <v>918</v>
      </c>
      <c r="I7" s="320" t="s">
        <v>921</v>
      </c>
      <c r="J7" s="320" t="s">
        <v>924</v>
      </c>
      <c r="K7" s="675" t="s">
        <v>927</v>
      </c>
    </row>
    <row r="8" spans="1:11" ht="15.75">
      <c r="A8" s="2035"/>
      <c r="B8" s="2037"/>
      <c r="C8" s="2037"/>
      <c r="D8" s="2037"/>
      <c r="E8" s="2037"/>
      <c r="F8" s="320" t="s">
        <v>913</v>
      </c>
      <c r="G8" s="320" t="s">
        <v>916</v>
      </c>
      <c r="H8" s="320" t="s">
        <v>919</v>
      </c>
      <c r="I8" s="320" t="s">
        <v>922</v>
      </c>
      <c r="J8" s="320" t="s">
        <v>925</v>
      </c>
      <c r="K8" s="675" t="s">
        <v>928</v>
      </c>
    </row>
    <row r="9" spans="1:11" ht="16.5" thickBot="1">
      <c r="A9" s="2036"/>
      <c r="B9" s="2038"/>
      <c r="C9" s="2038"/>
      <c r="D9" s="2038"/>
      <c r="E9" s="2038"/>
      <c r="F9" s="86" t="s">
        <v>914</v>
      </c>
      <c r="G9" s="86" t="s">
        <v>917</v>
      </c>
      <c r="H9" s="86" t="s">
        <v>920</v>
      </c>
      <c r="I9" s="86" t="s">
        <v>923</v>
      </c>
      <c r="J9" s="86" t="s">
        <v>926</v>
      </c>
      <c r="K9" s="676" t="s">
        <v>929</v>
      </c>
    </row>
    <row r="10" spans="1:11" ht="16.5" thickTop="1">
      <c r="A10" s="2039" t="s">
        <v>869</v>
      </c>
      <c r="B10" s="2032" t="s">
        <v>870</v>
      </c>
      <c r="C10" s="320" t="s">
        <v>930</v>
      </c>
      <c r="D10" s="320" t="s">
        <v>933</v>
      </c>
      <c r="E10" s="320" t="s">
        <v>936</v>
      </c>
      <c r="F10" s="320" t="s">
        <v>939</v>
      </c>
      <c r="G10" s="320" t="s">
        <v>942</v>
      </c>
      <c r="H10" s="320" t="s">
        <v>945</v>
      </c>
      <c r="I10" s="320" t="s">
        <v>948</v>
      </c>
      <c r="J10" s="320" t="s">
        <v>951</v>
      </c>
      <c r="K10" s="675" t="s">
        <v>954</v>
      </c>
    </row>
    <row r="11" spans="1:11" ht="15.75">
      <c r="A11" s="2035"/>
      <c r="B11" s="2037"/>
      <c r="C11" s="320" t="s">
        <v>931</v>
      </c>
      <c r="D11" s="320" t="s">
        <v>934</v>
      </c>
      <c r="E11" s="320" t="s">
        <v>937</v>
      </c>
      <c r="F11" s="320" t="s">
        <v>940</v>
      </c>
      <c r="G11" s="320" t="s">
        <v>943</v>
      </c>
      <c r="H11" s="320" t="s">
        <v>946</v>
      </c>
      <c r="I11" s="320" t="s">
        <v>949</v>
      </c>
      <c r="J11" s="320" t="s">
        <v>952</v>
      </c>
      <c r="K11" s="675" t="s">
        <v>955</v>
      </c>
    </row>
    <row r="12" spans="1:11" ht="16.5" thickBot="1">
      <c r="A12" s="2036"/>
      <c r="B12" s="2038"/>
      <c r="C12" s="86" t="s">
        <v>932</v>
      </c>
      <c r="D12" s="86" t="s">
        <v>935</v>
      </c>
      <c r="E12" s="86" t="s">
        <v>938</v>
      </c>
      <c r="F12" s="86" t="s">
        <v>941</v>
      </c>
      <c r="G12" s="86" t="s">
        <v>944</v>
      </c>
      <c r="H12" s="86" t="s">
        <v>947</v>
      </c>
      <c r="I12" s="86" t="s">
        <v>950</v>
      </c>
      <c r="J12" s="86" t="s">
        <v>953</v>
      </c>
      <c r="K12" s="676" t="s">
        <v>956</v>
      </c>
    </row>
    <row r="13" spans="1:11" ht="16.5" thickTop="1">
      <c r="A13" s="2039" t="s">
        <v>872</v>
      </c>
      <c r="B13" s="2045" t="s">
        <v>874</v>
      </c>
      <c r="C13" s="2032" t="s">
        <v>911</v>
      </c>
      <c r="D13" s="2032" t="s">
        <v>911</v>
      </c>
      <c r="E13" s="320" t="s">
        <v>957</v>
      </c>
      <c r="F13" s="320" t="s">
        <v>959</v>
      </c>
      <c r="G13" s="320" t="s">
        <v>962</v>
      </c>
      <c r="H13" s="320" t="s">
        <v>965</v>
      </c>
      <c r="I13" s="320" t="s">
        <v>968</v>
      </c>
      <c r="J13" s="320" t="s">
        <v>971</v>
      </c>
      <c r="K13" s="675" t="s">
        <v>974</v>
      </c>
    </row>
    <row r="14" spans="1:11" ht="15.75">
      <c r="A14" s="2035"/>
      <c r="B14" s="2046"/>
      <c r="C14" s="2037"/>
      <c r="D14" s="2037"/>
      <c r="E14" s="320" t="s">
        <v>958</v>
      </c>
      <c r="F14" s="320" t="s">
        <v>960</v>
      </c>
      <c r="G14" s="320" t="s">
        <v>963</v>
      </c>
      <c r="H14" s="320" t="s">
        <v>966</v>
      </c>
      <c r="I14" s="320" t="s">
        <v>969</v>
      </c>
      <c r="J14" s="320" t="s">
        <v>972</v>
      </c>
      <c r="K14" s="675" t="s">
        <v>975</v>
      </c>
    </row>
    <row r="15" spans="1:11" ht="16.5" thickBot="1">
      <c r="A15" s="2035"/>
      <c r="B15" s="2046"/>
      <c r="C15" s="2037"/>
      <c r="D15" s="2037"/>
      <c r="E15" s="320"/>
      <c r="F15" s="320" t="s">
        <v>961</v>
      </c>
      <c r="G15" s="320" t="s">
        <v>964</v>
      </c>
      <c r="H15" s="320" t="s">
        <v>967</v>
      </c>
      <c r="I15" s="320" t="s">
        <v>970</v>
      </c>
      <c r="J15" s="320" t="s">
        <v>973</v>
      </c>
      <c r="K15" s="675" t="s">
        <v>976</v>
      </c>
    </row>
    <row r="16" spans="1:11" ht="48" thickBot="1">
      <c r="A16" s="562" t="s">
        <v>875</v>
      </c>
      <c r="B16" s="847" t="s">
        <v>1551</v>
      </c>
      <c r="C16" s="564" t="s">
        <v>911</v>
      </c>
      <c r="D16" s="564" t="s">
        <v>911</v>
      </c>
      <c r="E16" s="564" t="s">
        <v>911</v>
      </c>
      <c r="F16" s="564" t="s">
        <v>911</v>
      </c>
      <c r="G16" s="564" t="s">
        <v>1552</v>
      </c>
      <c r="H16" s="564" t="s">
        <v>1553</v>
      </c>
      <c r="I16" s="564" t="s">
        <v>1554</v>
      </c>
      <c r="J16" s="564" t="s">
        <v>1555</v>
      </c>
      <c r="K16" s="849" t="s">
        <v>1555</v>
      </c>
    </row>
    <row r="17" spans="1:11" ht="15.75">
      <c r="A17" s="2048" t="s">
        <v>855</v>
      </c>
      <c r="B17" s="2049" t="s">
        <v>857</v>
      </c>
      <c r="C17" s="320" t="s">
        <v>989</v>
      </c>
      <c r="D17" s="320" t="s">
        <v>992</v>
      </c>
      <c r="E17" s="320" t="s">
        <v>995</v>
      </c>
      <c r="F17" s="320" t="s">
        <v>998</v>
      </c>
      <c r="G17" s="320" t="s">
        <v>1001</v>
      </c>
      <c r="H17" s="320" t="s">
        <v>1004</v>
      </c>
      <c r="I17" s="320" t="s">
        <v>1007</v>
      </c>
      <c r="J17" s="320" t="s">
        <v>1010</v>
      </c>
      <c r="K17" s="675" t="s">
        <v>1013</v>
      </c>
    </row>
    <row r="18" spans="1:11" ht="15.75">
      <c r="A18" s="2048"/>
      <c r="B18" s="2049"/>
      <c r="C18" s="320" t="s">
        <v>990</v>
      </c>
      <c r="D18" s="320" t="s">
        <v>993</v>
      </c>
      <c r="E18" s="320" t="s">
        <v>996</v>
      </c>
      <c r="F18" s="320" t="s">
        <v>999</v>
      </c>
      <c r="G18" s="320" t="s">
        <v>1002</v>
      </c>
      <c r="H18" s="320" t="s">
        <v>1005</v>
      </c>
      <c r="I18" s="320" t="s">
        <v>1008</v>
      </c>
      <c r="J18" s="320" t="s">
        <v>1011</v>
      </c>
      <c r="K18" s="675" t="s">
        <v>1014</v>
      </c>
    </row>
    <row r="19" spans="1:11" ht="16.5" thickBot="1">
      <c r="A19" s="2048"/>
      <c r="B19" s="2049"/>
      <c r="C19" s="320" t="s">
        <v>991</v>
      </c>
      <c r="D19" s="320" t="s">
        <v>994</v>
      </c>
      <c r="E19" s="320" t="s">
        <v>997</v>
      </c>
      <c r="F19" s="320" t="s">
        <v>1000</v>
      </c>
      <c r="G19" s="320" t="s">
        <v>1003</v>
      </c>
      <c r="H19" s="320" t="s">
        <v>1006</v>
      </c>
      <c r="I19" s="320" t="s">
        <v>1009</v>
      </c>
      <c r="J19" s="320" t="s">
        <v>1012</v>
      </c>
      <c r="K19" s="675" t="s">
        <v>1015</v>
      </c>
    </row>
    <row r="20" spans="1:11" ht="48" thickBot="1">
      <c r="A20" s="562" t="s">
        <v>877</v>
      </c>
      <c r="B20" s="564" t="s">
        <v>879</v>
      </c>
      <c r="C20" s="564" t="s">
        <v>911</v>
      </c>
      <c r="D20" s="563" t="s">
        <v>911</v>
      </c>
      <c r="E20" s="563" t="s">
        <v>911</v>
      </c>
      <c r="F20" s="563" t="s">
        <v>911</v>
      </c>
      <c r="G20" s="563" t="s">
        <v>1556</v>
      </c>
      <c r="H20" s="563" t="s">
        <v>1511</v>
      </c>
      <c r="I20" s="563" t="s">
        <v>1557</v>
      </c>
      <c r="J20" s="563" t="s">
        <v>1557</v>
      </c>
      <c r="K20" s="565" t="s">
        <v>1557</v>
      </c>
    </row>
    <row r="21" spans="1:11" ht="48" thickBot="1">
      <c r="A21" s="562" t="s">
        <v>1017</v>
      </c>
      <c r="B21" s="564" t="s">
        <v>881</v>
      </c>
      <c r="C21" s="563" t="s">
        <v>911</v>
      </c>
      <c r="D21" s="563" t="s">
        <v>911</v>
      </c>
      <c r="E21" s="563" t="s">
        <v>911</v>
      </c>
      <c r="F21" s="563" t="s">
        <v>911</v>
      </c>
      <c r="G21" s="563" t="s">
        <v>1558</v>
      </c>
      <c r="H21" s="563" t="s">
        <v>1559</v>
      </c>
      <c r="I21" s="563" t="s">
        <v>1560</v>
      </c>
      <c r="J21" s="563" t="s">
        <v>1560</v>
      </c>
      <c r="K21" s="565" t="s">
        <v>1560</v>
      </c>
    </row>
    <row r="22" spans="1:11" ht="48" thickBot="1">
      <c r="A22" s="562" t="s">
        <v>882</v>
      </c>
      <c r="B22" s="564" t="s">
        <v>883</v>
      </c>
      <c r="C22" s="564" t="s">
        <v>911</v>
      </c>
      <c r="D22" s="563" t="s">
        <v>911</v>
      </c>
      <c r="E22" s="563" t="s">
        <v>911</v>
      </c>
      <c r="F22" s="563" t="s">
        <v>911</v>
      </c>
      <c r="G22" s="563" t="s">
        <v>1561</v>
      </c>
      <c r="H22" s="563" t="s">
        <v>1562</v>
      </c>
      <c r="I22" s="563" t="s">
        <v>1563</v>
      </c>
      <c r="J22" s="563" t="s">
        <v>1563</v>
      </c>
      <c r="K22" s="565" t="s">
        <v>1563</v>
      </c>
    </row>
    <row r="23" spans="1:11" ht="55.5" customHeight="1" thickBot="1">
      <c r="A23" s="999" t="s">
        <v>884</v>
      </c>
      <c r="B23" s="1003" t="s">
        <v>886</v>
      </c>
      <c r="C23" s="88" t="s">
        <v>911</v>
      </c>
      <c r="D23" s="88" t="s">
        <v>911</v>
      </c>
      <c r="E23" s="88" t="s">
        <v>911</v>
      </c>
      <c r="F23" s="88" t="s">
        <v>911</v>
      </c>
      <c r="G23" s="86" t="s">
        <v>1493</v>
      </c>
      <c r="H23" s="855" t="s">
        <v>1494</v>
      </c>
      <c r="I23" s="855" t="s">
        <v>1495</v>
      </c>
      <c r="J23" s="855" t="s">
        <v>1496</v>
      </c>
      <c r="K23" s="859" t="s">
        <v>1496</v>
      </c>
    </row>
    <row r="24" spans="1:11" ht="48.75" customHeight="1" thickTop="1" thickBot="1">
      <c r="A24" s="1001" t="s">
        <v>887</v>
      </c>
      <c r="B24" s="1002" t="s">
        <v>888</v>
      </c>
      <c r="C24" s="88" t="s">
        <v>911</v>
      </c>
      <c r="D24" s="88" t="s">
        <v>911</v>
      </c>
      <c r="E24" s="88" t="s">
        <v>911</v>
      </c>
      <c r="F24" s="88" t="s">
        <v>911</v>
      </c>
      <c r="G24" s="86" t="s">
        <v>1497</v>
      </c>
      <c r="H24" s="86" t="s">
        <v>1498</v>
      </c>
      <c r="I24" s="86" t="s">
        <v>1499</v>
      </c>
      <c r="J24" s="86" t="s">
        <v>1500</v>
      </c>
      <c r="K24" s="676" t="s">
        <v>1501</v>
      </c>
    </row>
    <row r="25" spans="1:11" ht="16.5" thickTop="1">
      <c r="A25" s="2039" t="s">
        <v>889</v>
      </c>
      <c r="B25" s="2045" t="s">
        <v>891</v>
      </c>
      <c r="C25" s="2032" t="s">
        <v>911</v>
      </c>
      <c r="D25" s="2032" t="s">
        <v>911</v>
      </c>
      <c r="E25" s="2032" t="s">
        <v>911</v>
      </c>
      <c r="F25" s="2032" t="s">
        <v>911</v>
      </c>
      <c r="G25" s="320" t="s">
        <v>1024</v>
      </c>
      <c r="H25" s="320" t="s">
        <v>1022</v>
      </c>
      <c r="I25" s="320" t="s">
        <v>1026</v>
      </c>
      <c r="J25" s="320" t="s">
        <v>1027</v>
      </c>
      <c r="K25" s="675" t="s">
        <v>1028</v>
      </c>
    </row>
    <row r="26" spans="1:11" ht="15.75">
      <c r="A26" s="2035"/>
      <c r="B26" s="2046"/>
      <c r="C26" s="2037"/>
      <c r="D26" s="2037"/>
      <c r="E26" s="2037"/>
      <c r="F26" s="2037"/>
      <c r="G26" s="320" t="s">
        <v>975</v>
      </c>
      <c r="H26" s="320" t="s">
        <v>979</v>
      </c>
      <c r="I26" s="320" t="s">
        <v>1019</v>
      </c>
      <c r="J26" s="320" t="s">
        <v>1021</v>
      </c>
      <c r="K26" s="675" t="s">
        <v>1029</v>
      </c>
    </row>
    <row r="27" spans="1:11" ht="16.5" thickBot="1">
      <c r="A27" s="2036"/>
      <c r="B27" s="2050"/>
      <c r="C27" s="2038"/>
      <c r="D27" s="2038"/>
      <c r="E27" s="2038"/>
      <c r="F27" s="2038"/>
      <c r="G27" s="86" t="s">
        <v>1016</v>
      </c>
      <c r="H27" s="86" t="s">
        <v>1025</v>
      </c>
      <c r="I27" s="86" t="s">
        <v>978</v>
      </c>
      <c r="J27" s="86" t="s">
        <v>1018</v>
      </c>
      <c r="K27" s="676" t="s">
        <v>1020</v>
      </c>
    </row>
    <row r="28" spans="1:11" ht="32.25" thickTop="1">
      <c r="A28" s="2039" t="s">
        <v>894</v>
      </c>
      <c r="B28" s="320" t="s">
        <v>1120</v>
      </c>
      <c r="C28" s="2032" t="s">
        <v>911</v>
      </c>
      <c r="D28" s="2032" t="s">
        <v>911</v>
      </c>
      <c r="E28" s="2032" t="s">
        <v>911</v>
      </c>
      <c r="F28" s="2032" t="s">
        <v>911</v>
      </c>
      <c r="G28" s="320" t="s">
        <v>974</v>
      </c>
      <c r="H28" s="320" t="s">
        <v>1023</v>
      </c>
      <c r="I28" s="320" t="s">
        <v>1030</v>
      </c>
      <c r="J28" s="320" t="s">
        <v>1032</v>
      </c>
      <c r="K28" s="675" t="s">
        <v>936</v>
      </c>
    </row>
    <row r="29" spans="1:11" ht="15.75">
      <c r="A29" s="2035"/>
      <c r="B29" s="321"/>
      <c r="C29" s="2037"/>
      <c r="D29" s="2037"/>
      <c r="E29" s="2037"/>
      <c r="F29" s="2037"/>
      <c r="G29" s="320" t="s">
        <v>986</v>
      </c>
      <c r="H29" s="320" t="s">
        <v>982</v>
      </c>
      <c r="I29" s="320" t="s">
        <v>1031</v>
      </c>
      <c r="J29" s="320" t="s">
        <v>1033</v>
      </c>
      <c r="K29" s="675" t="s">
        <v>1035</v>
      </c>
    </row>
    <row r="30" spans="1:11" ht="16.5" thickBot="1">
      <c r="A30" s="2036"/>
      <c r="B30" s="856"/>
      <c r="C30" s="2038"/>
      <c r="D30" s="2038"/>
      <c r="E30" s="2038"/>
      <c r="F30" s="2038"/>
      <c r="G30" s="86" t="s">
        <v>1016</v>
      </c>
      <c r="H30" s="86" t="s">
        <v>988</v>
      </c>
      <c r="I30" s="86" t="s">
        <v>983</v>
      </c>
      <c r="J30" s="86" t="s">
        <v>1034</v>
      </c>
      <c r="K30" s="676" t="s">
        <v>1036</v>
      </c>
    </row>
    <row r="31" spans="1:11" ht="16.5" thickTop="1">
      <c r="A31" s="2039" t="s">
        <v>897</v>
      </c>
      <c r="B31" s="2045" t="s">
        <v>1037</v>
      </c>
      <c r="C31" s="320" t="s">
        <v>1038</v>
      </c>
      <c r="D31" s="320" t="s">
        <v>1038</v>
      </c>
      <c r="E31" s="320" t="s">
        <v>1038</v>
      </c>
      <c r="F31" s="320" t="s">
        <v>1038</v>
      </c>
      <c r="G31" s="320" t="s">
        <v>984</v>
      </c>
      <c r="H31" s="320" t="s">
        <v>981</v>
      </c>
      <c r="I31" s="320" t="s">
        <v>974</v>
      </c>
      <c r="J31" s="320" t="s">
        <v>1024</v>
      </c>
      <c r="K31" s="675" t="s">
        <v>1043</v>
      </c>
    </row>
    <row r="32" spans="1:11" ht="15.75">
      <c r="A32" s="2035"/>
      <c r="B32" s="2046"/>
      <c r="C32" s="320" t="s">
        <v>963</v>
      </c>
      <c r="D32" s="320" t="s">
        <v>963</v>
      </c>
      <c r="E32" s="320" t="s">
        <v>963</v>
      </c>
      <c r="F32" s="320" t="s">
        <v>963</v>
      </c>
      <c r="G32" s="320" t="s">
        <v>969</v>
      </c>
      <c r="H32" s="320" t="s">
        <v>972</v>
      </c>
      <c r="I32" s="320" t="s">
        <v>1042</v>
      </c>
      <c r="J32" s="320" t="s">
        <v>980</v>
      </c>
      <c r="K32" s="675" t="s">
        <v>977</v>
      </c>
    </row>
    <row r="33" spans="1:11" ht="15.75">
      <c r="A33" s="2035"/>
      <c r="B33" s="2046"/>
      <c r="C33" s="320" t="s">
        <v>1039</v>
      </c>
      <c r="D33" s="320" t="s">
        <v>1039</v>
      </c>
      <c r="E33" s="320" t="s">
        <v>1039</v>
      </c>
      <c r="F33" s="320" t="s">
        <v>1039</v>
      </c>
      <c r="G33" s="320" t="s">
        <v>1040</v>
      </c>
      <c r="H33" s="320" t="s">
        <v>1041</v>
      </c>
      <c r="I33" s="320" t="s">
        <v>987</v>
      </c>
      <c r="J33" s="320" t="s">
        <v>985</v>
      </c>
      <c r="K33" s="675" t="s">
        <v>985</v>
      </c>
    </row>
    <row r="34" spans="1:11" ht="16.5" thickBot="1">
      <c r="A34" s="2040"/>
      <c r="B34" s="2047"/>
      <c r="C34" s="320"/>
      <c r="D34" s="857"/>
      <c r="E34" s="857"/>
      <c r="F34" s="857"/>
      <c r="G34" s="857"/>
      <c r="H34" s="857"/>
      <c r="I34" s="857"/>
      <c r="J34" s="857"/>
      <c r="K34" s="860"/>
    </row>
    <row r="35" spans="1:11" ht="48" customHeight="1" thickBot="1">
      <c r="A35" s="562" t="s">
        <v>861</v>
      </c>
      <c r="B35" s="854" t="s">
        <v>1564</v>
      </c>
      <c r="C35" s="851" t="s">
        <v>911</v>
      </c>
      <c r="D35" s="852" t="s">
        <v>911</v>
      </c>
      <c r="E35" s="154" t="s">
        <v>911</v>
      </c>
      <c r="F35" s="154" t="s">
        <v>1502</v>
      </c>
      <c r="G35" s="154" t="s">
        <v>1503</v>
      </c>
      <c r="H35" s="154" t="s">
        <v>1504</v>
      </c>
      <c r="I35" s="154" t="s">
        <v>1505</v>
      </c>
      <c r="J35" s="154" t="s">
        <v>1506</v>
      </c>
      <c r="K35" s="154" t="s">
        <v>1507</v>
      </c>
    </row>
    <row r="36" spans="1:11" ht="48" thickBot="1">
      <c r="A36" s="562" t="s">
        <v>901</v>
      </c>
      <c r="B36" s="564" t="s">
        <v>903</v>
      </c>
      <c r="C36" s="564" t="s">
        <v>911</v>
      </c>
      <c r="D36" s="564" t="s">
        <v>911</v>
      </c>
      <c r="E36" s="563" t="s">
        <v>911</v>
      </c>
      <c r="F36" s="563" t="s">
        <v>1508</v>
      </c>
      <c r="G36" s="563" t="s">
        <v>1509</v>
      </c>
      <c r="H36" s="563" t="s">
        <v>1510</v>
      </c>
      <c r="I36" s="563" t="s">
        <v>1511</v>
      </c>
      <c r="J36" s="563" t="s">
        <v>1512</v>
      </c>
      <c r="K36" s="565" t="s">
        <v>1513</v>
      </c>
    </row>
    <row r="37" spans="1:11" ht="48" thickBot="1">
      <c r="A37" s="562" t="s">
        <v>904</v>
      </c>
      <c r="B37" s="564" t="s">
        <v>906</v>
      </c>
      <c r="C37" s="563" t="s">
        <v>911</v>
      </c>
      <c r="D37" s="563" t="s">
        <v>911</v>
      </c>
      <c r="E37" s="563" t="s">
        <v>1514</v>
      </c>
      <c r="F37" s="563" t="s">
        <v>1515</v>
      </c>
      <c r="G37" s="563" t="s">
        <v>1516</v>
      </c>
      <c r="H37" s="563" t="s">
        <v>1517</v>
      </c>
      <c r="I37" s="563" t="s">
        <v>1518</v>
      </c>
      <c r="J37" s="563" t="s">
        <v>1519</v>
      </c>
      <c r="K37" s="565" t="s">
        <v>1520</v>
      </c>
    </row>
  </sheetData>
  <mergeCells count="27">
    <mergeCell ref="A31:A34"/>
    <mergeCell ref="B31:B34"/>
    <mergeCell ref="A17:A19"/>
    <mergeCell ref="B17:B19"/>
    <mergeCell ref="A25:A27"/>
    <mergeCell ref="B25:B27"/>
    <mergeCell ref="A28:A30"/>
    <mergeCell ref="D13:D15"/>
    <mergeCell ref="C4:K4"/>
    <mergeCell ref="A7:A9"/>
    <mergeCell ref="B7:B9"/>
    <mergeCell ref="C7:C9"/>
    <mergeCell ref="D7:D9"/>
    <mergeCell ref="E7:E9"/>
    <mergeCell ref="A10:A12"/>
    <mergeCell ref="B10:B12"/>
    <mergeCell ref="A13:A15"/>
    <mergeCell ref="B13:B15"/>
    <mergeCell ref="C13:C15"/>
    <mergeCell ref="C28:C30"/>
    <mergeCell ref="D28:D30"/>
    <mergeCell ref="E28:E30"/>
    <mergeCell ref="F28:F30"/>
    <mergeCell ref="C25:C27"/>
    <mergeCell ref="D25:D27"/>
    <mergeCell ref="E25:E27"/>
    <mergeCell ref="F25:F27"/>
  </mergeCells>
  <pageMargins left="0.23622047244094491" right="0.23622047244094491" top="0.74803149606299213" bottom="0.55118110236220474" header="0.31496062992125984" footer="0.31496062992125984"/>
  <pageSetup paperSize="9" scale="95" fitToHeight="0" orientation="landscape" r:id="rId1"/>
  <headerFooter>
    <oddHeader>&amp;C&amp;"Times New Roman,Paprastas"&amp;12Alytaus regiono 2014 – 2020 metų plėtros planas</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L106"/>
  <sheetViews>
    <sheetView showGridLines="0" showRuler="0" topLeftCell="A54" zoomScaleNormal="100" workbookViewId="0">
      <pane ySplit="2535"/>
      <selection activeCell="A38" sqref="A38:B38"/>
      <selection pane="bottomLeft" activeCell="A38" sqref="A38:B38"/>
    </sheetView>
  </sheetViews>
  <sheetFormatPr defaultColWidth="9.140625" defaultRowHeight="15"/>
  <cols>
    <col min="1" max="1" width="9.140625" style="21"/>
    <col min="2" max="2" width="53.42578125" style="21" customWidth="1"/>
    <col min="3" max="4" width="5.5703125" style="21" bestFit="1" customWidth="1"/>
    <col min="5" max="5" width="7.28515625" style="21" bestFit="1" customWidth="1"/>
    <col min="6" max="6" width="10.140625" style="21" bestFit="1" customWidth="1"/>
    <col min="7" max="7" width="10.140625" style="21" customWidth="1"/>
    <col min="8" max="11" width="10.140625" style="21" bestFit="1" customWidth="1"/>
    <col min="12" max="12" width="19.28515625" style="21" customWidth="1"/>
    <col min="13" max="13" width="10.28515625" style="21" bestFit="1" customWidth="1"/>
    <col min="14" max="16384" width="9.140625" style="21"/>
  </cols>
  <sheetData>
    <row r="1" spans="1:12" ht="31.5" customHeight="1">
      <c r="A1" s="437" t="s">
        <v>1378</v>
      </c>
    </row>
    <row r="2" spans="1:12" ht="15.75" thickBot="1"/>
    <row r="3" spans="1:12" ht="64.5" thickTop="1" thickBot="1">
      <c r="A3" s="800" t="s">
        <v>366</v>
      </c>
      <c r="B3" s="801" t="s">
        <v>540</v>
      </c>
      <c r="C3" s="802">
        <v>2015</v>
      </c>
      <c r="D3" s="802">
        <v>2016</v>
      </c>
      <c r="E3" s="802">
        <v>2017</v>
      </c>
      <c r="F3" s="802">
        <v>2018</v>
      </c>
      <c r="G3" s="802">
        <v>2019</v>
      </c>
      <c r="H3" s="802">
        <v>2020</v>
      </c>
      <c r="I3" s="802">
        <v>2021</v>
      </c>
      <c r="J3" s="802">
        <v>2022</v>
      </c>
      <c r="K3" s="802">
        <v>2023</v>
      </c>
      <c r="L3" s="801" t="s">
        <v>541</v>
      </c>
    </row>
    <row r="4" spans="1:12" ht="48.75" thickTop="1" thickBot="1">
      <c r="A4" s="88" t="s">
        <v>448</v>
      </c>
      <c r="B4" s="86" t="s">
        <v>449</v>
      </c>
      <c r="C4" s="86">
        <v>0</v>
      </c>
      <c r="D4" s="86">
        <v>0</v>
      </c>
      <c r="E4" s="86">
        <f>SUM('3 pr-3'!Y9)</f>
        <v>0</v>
      </c>
      <c r="F4" s="86">
        <f>SUM('3 pr-3'!Z9)</f>
        <v>31</v>
      </c>
      <c r="G4" s="86">
        <f>SUM('3 pr-3'!AA9)</f>
        <v>5</v>
      </c>
      <c r="H4" s="86">
        <f>SUM('3 pr-3'!AB9)</f>
        <v>0</v>
      </c>
      <c r="I4" s="86">
        <f>SUM('3 pr-3'!AC9)</f>
        <v>0</v>
      </c>
      <c r="J4" s="86">
        <f>SUM('3 pr-3'!AD9)</f>
        <v>0</v>
      </c>
      <c r="K4" s="86">
        <f>SUM('3 pr-3'!AE9)</f>
        <v>0</v>
      </c>
      <c r="L4" s="803">
        <f>IF(C4+D4+E4+F4+G4+H4+I4+J4+K4='3 pr-4'!C3,'3 pr-4'!C3,FALSE)</f>
        <v>36</v>
      </c>
    </row>
    <row r="5" spans="1:12" ht="64.5" thickTop="1" thickBot="1">
      <c r="A5" s="88" t="s">
        <v>450</v>
      </c>
      <c r="B5" s="86" t="s">
        <v>451</v>
      </c>
      <c r="C5" s="86">
        <v>0</v>
      </c>
      <c r="D5" s="86">
        <v>0</v>
      </c>
      <c r="E5" s="86">
        <f>SUM('3 pr-3'!AS9)</f>
        <v>0</v>
      </c>
      <c r="F5" s="86">
        <f>SUM('3 pr-3'!AT9)</f>
        <v>6394</v>
      </c>
      <c r="G5" s="86">
        <f>SUM('3 pr-3'!AU9)</f>
        <v>1163</v>
      </c>
      <c r="H5" s="86">
        <f>SUM('3 pr-3'!AV9)</f>
        <v>0</v>
      </c>
      <c r="I5" s="86">
        <f>SUM('3 pr-3'!AW9)</f>
        <v>0</v>
      </c>
      <c r="J5" s="86">
        <f>SUM('3 pr-3'!AX9)</f>
        <v>0</v>
      </c>
      <c r="K5" s="86">
        <f>SUM('3 pr-3'!AY9)</f>
        <v>0</v>
      </c>
      <c r="L5" s="803">
        <f>IF(C5+D5+E5+F5+G5+H5+I5+J5+K5='3 pr-4'!C4,'3 pr-4'!C4,FALSE)</f>
        <v>7557</v>
      </c>
    </row>
    <row r="6" spans="1:12" ht="48.75" thickTop="1" thickBot="1">
      <c r="A6" s="88" t="s">
        <v>452</v>
      </c>
      <c r="B6" s="86" t="s">
        <v>453</v>
      </c>
      <c r="C6" s="86">
        <v>0</v>
      </c>
      <c r="D6" s="86">
        <v>0</v>
      </c>
      <c r="E6" s="86">
        <f>SUM('3 pr-3'!BM9)</f>
        <v>0</v>
      </c>
      <c r="F6" s="86">
        <f>SUM('3 pr-3'!BN9)</f>
        <v>18</v>
      </c>
      <c r="G6" s="86">
        <f>SUM('3 pr-3'!BO9)</f>
        <v>5</v>
      </c>
      <c r="H6" s="86">
        <f>SUM('3 pr-3'!BP9)</f>
        <v>0</v>
      </c>
      <c r="I6" s="86">
        <f>SUM('3 pr-3'!BQ9)</f>
        <v>0</v>
      </c>
      <c r="J6" s="86">
        <f>SUM('3 pr-3'!BR9)</f>
        <v>0</v>
      </c>
      <c r="K6" s="86">
        <f>SUM('3 pr-3'!BS9)</f>
        <v>0</v>
      </c>
      <c r="L6" s="803">
        <f>IF(C6+D6+E6+F6+G6+H6+I6+J6+K6='3 pr-4'!C5,'3 pr-4'!C5,FALSE)</f>
        <v>23</v>
      </c>
    </row>
    <row r="7" spans="1:12" ht="48.75" thickTop="1" thickBot="1">
      <c r="A7" s="88" t="s">
        <v>1382</v>
      </c>
      <c r="B7" s="86" t="s">
        <v>1383</v>
      </c>
      <c r="C7" s="86">
        <v>0</v>
      </c>
      <c r="D7" s="86">
        <v>0</v>
      </c>
      <c r="E7" s="86">
        <f>SUM('3 pr-3'!AS68)</f>
        <v>0</v>
      </c>
      <c r="F7" s="86">
        <f>SUM('3 pr-3'!AT68)</f>
        <v>0</v>
      </c>
      <c r="G7" s="86">
        <f>SUM('3 pr-3'!AU67)</f>
        <v>6000</v>
      </c>
      <c r="H7" s="86">
        <f>SUM('3 pr-3'!AV67)</f>
        <v>4401</v>
      </c>
      <c r="I7" s="86">
        <f>SUM('3 pr-3'!AW67)</f>
        <v>0</v>
      </c>
      <c r="J7" s="86">
        <f>SUM('3 pr-3'!AX67)</f>
        <v>0</v>
      </c>
      <c r="K7" s="86">
        <f>SUM('3 pr-3'!AY67)</f>
        <v>0</v>
      </c>
      <c r="L7" s="803">
        <f>IF(C7+D7+E7+F7+G7+H7+I7+J7+K7='3 pr-4'!C6,'3 pr-4'!C6,FALSE)</f>
        <v>10401</v>
      </c>
    </row>
    <row r="8" spans="1:12" ht="17.25" thickTop="1" thickBot="1">
      <c r="A8" s="88" t="s">
        <v>498</v>
      </c>
      <c r="B8" s="86" t="s">
        <v>499</v>
      </c>
      <c r="C8" s="86">
        <v>0</v>
      </c>
      <c r="D8" s="86">
        <v>0</v>
      </c>
      <c r="E8" s="86">
        <f>SUM('3 pr-3'!Y92)</f>
        <v>0</v>
      </c>
      <c r="F8" s="86">
        <f>SUM('3 pr-3'!Z92)</f>
        <v>0</v>
      </c>
      <c r="G8" s="86">
        <f>SUM('3 pr-3'!AA92)</f>
        <v>2.59</v>
      </c>
      <c r="H8" s="86">
        <f>SUM('3 pr-3'!AB92)</f>
        <v>0.78</v>
      </c>
      <c r="I8" s="86">
        <f>SUM('3 pr-3'!AC92)</f>
        <v>0</v>
      </c>
      <c r="J8" s="86">
        <f>SUM('3 pr-3'!AD92)</f>
        <v>0</v>
      </c>
      <c r="K8" s="86">
        <f>SUM('3 pr-3'!AE92)</f>
        <v>0</v>
      </c>
      <c r="L8" s="804">
        <f>IF(C8+D8+E8+F8+G8+H8+I8+J8+K8='3 pr-4'!C7,'3 pr-4'!C7,FALSE)</f>
        <v>3.37</v>
      </c>
    </row>
    <row r="9" spans="1:12" ht="33" thickTop="1" thickBot="1">
      <c r="A9" s="88" t="s">
        <v>506</v>
      </c>
      <c r="B9" s="86" t="s">
        <v>507</v>
      </c>
      <c r="C9" s="86">
        <v>0</v>
      </c>
      <c r="D9" s="86">
        <v>0</v>
      </c>
      <c r="E9" s="86">
        <f>SUM('3 pr-3'!AS102+'3 pr-3'!AS108+'3 pr-3'!AS114)</f>
        <v>0</v>
      </c>
      <c r="F9" s="86">
        <f>SUM('3 pr-3'!AT102+'3 pr-3'!AT108+'3 pr-3'!AT114)</f>
        <v>380</v>
      </c>
      <c r="G9" s="86">
        <f>SUM('3 pr-3'!AU102+'3 pr-3'!AU108+'3 pr-3'!AU114)</f>
        <v>5012</v>
      </c>
      <c r="H9" s="86">
        <f>SUM('3 pr-3'!AV102+'3 pr-3'!AV108+'3 pr-3'!AV114)</f>
        <v>604</v>
      </c>
      <c r="I9" s="86">
        <f>SUM('3 pr-3'!AW102+'3 pr-3'!AW108+'3 pr-3'!AW114)</f>
        <v>0</v>
      </c>
      <c r="J9" s="86">
        <f>SUM('3 pr-3'!AX102+'3 pr-3'!AX108+'3 pr-3'!AX114)</f>
        <v>0</v>
      </c>
      <c r="K9" s="86">
        <f>SUM('3 pr-3'!AY102+'3 pr-3'!AY108+'3 pr-3'!AY114)</f>
        <v>0</v>
      </c>
      <c r="L9" s="803">
        <f>IF(C9+D9+E9+F9+G9+H9+I9+J9+K9='3 pr-4'!C8,'3 pr-4'!C8,FALSE)</f>
        <v>5996</v>
      </c>
    </row>
    <row r="10" spans="1:12" ht="33" thickTop="1" thickBot="1">
      <c r="A10" s="88" t="s">
        <v>512</v>
      </c>
      <c r="B10" s="86" t="s">
        <v>542</v>
      </c>
      <c r="C10" s="86">
        <v>0</v>
      </c>
      <c r="D10" s="86">
        <v>0</v>
      </c>
      <c r="E10" s="86">
        <f>SUM('3 pr-3'!AS121)</f>
        <v>0</v>
      </c>
      <c r="F10" s="86">
        <f>SUM('3 pr-3'!AT121)</f>
        <v>0</v>
      </c>
      <c r="G10" s="86">
        <f>SUM('3 pr-3'!AU121)</f>
        <v>2463</v>
      </c>
      <c r="H10" s="86">
        <f>SUM('3 pr-3'!AV121)</f>
        <v>22143</v>
      </c>
      <c r="I10" s="86">
        <f>SUM('3 pr-3'!AW121)</f>
        <v>27297</v>
      </c>
      <c r="J10" s="86">
        <f>SUM('3 pr-3'!AX121)</f>
        <v>0</v>
      </c>
      <c r="K10" s="86">
        <f>SUM('3 pr-3'!AY121)</f>
        <v>0</v>
      </c>
      <c r="L10" s="803">
        <f>IF(C10+D10+E10+F10+G10+H10+I10+J10+K10='3 pr-4'!C9,'3 pr-4'!C9,FALSE)</f>
        <v>51903</v>
      </c>
    </row>
    <row r="11" spans="1:12" ht="33" thickTop="1" thickBot="1">
      <c r="A11" s="88" t="s">
        <v>459</v>
      </c>
      <c r="B11" s="86" t="s">
        <v>543</v>
      </c>
      <c r="C11" s="87">
        <v>0</v>
      </c>
      <c r="D11" s="87">
        <v>0</v>
      </c>
      <c r="E11" s="285">
        <f>SUM('3 pr-3'!Y39+'3 pr-3'!Y46)</f>
        <v>0</v>
      </c>
      <c r="F11" s="285">
        <f>SUM('3 pr-3'!Z39+'3 pr-3'!Z46)</f>
        <v>50706.21</v>
      </c>
      <c r="G11" s="285">
        <f>SUM('3 pr-3'!AA39+'3 pr-3'!AA46)</f>
        <v>62250</v>
      </c>
      <c r="H11" s="285">
        <f>SUM('3 pr-3'!AB39+'3 pr-3'!AB46)</f>
        <v>155689.41</v>
      </c>
      <c r="I11" s="285">
        <f>SUM('3 pr-3'!AC39+'3 pr-3'!AC46)</f>
        <v>0</v>
      </c>
      <c r="J11" s="285">
        <f>SUM('3 pr-3'!AD39+'3 pr-3'!AD46)</f>
        <v>0</v>
      </c>
      <c r="K11" s="285">
        <f>SUM('3 pr-3'!AE39+'3 pr-3'!AE46)</f>
        <v>0</v>
      </c>
      <c r="L11" s="803">
        <f>IF(C11+D11+E11+F11+G11+H11+I11+J11+K11='3 pr-4'!C10,'3 pr-4'!C10,FALSE)</f>
        <v>268645.62</v>
      </c>
    </row>
    <row r="12" spans="1:12" ht="33" thickTop="1" thickBot="1">
      <c r="A12" s="88" t="s">
        <v>461</v>
      </c>
      <c r="B12" s="86" t="s">
        <v>462</v>
      </c>
      <c r="C12" s="87">
        <v>0</v>
      </c>
      <c r="D12" s="87">
        <v>0</v>
      </c>
      <c r="E12" s="87">
        <f>SUM('3 pr-3'!AS39+'3 pr-3'!AS46)</f>
        <v>0</v>
      </c>
      <c r="F12" s="87">
        <f>SUM('3 pr-3'!AT39+'3 pr-3'!AT46)</f>
        <v>690.97</v>
      </c>
      <c r="G12" s="87">
        <f>SUM('3 pr-3'!AU39+'3 pr-3'!AU46)</f>
        <v>34.56</v>
      </c>
      <c r="H12" s="87">
        <f>SUM('3 pr-3'!AV39+'3 pr-3'!AV46)</f>
        <v>0</v>
      </c>
      <c r="I12" s="87">
        <f>SUM('3 pr-3'!AW39+'3 pr-3'!AW46)</f>
        <v>0</v>
      </c>
      <c r="J12" s="87">
        <f>SUM('3 pr-3'!AX39+'3 pr-3'!AX46)</f>
        <v>0</v>
      </c>
      <c r="K12" s="87">
        <f>SUM('3 pr-3'!AY39+'3 pr-3'!AY46)</f>
        <v>0</v>
      </c>
      <c r="L12" s="804">
        <f>IF(C12+D12+E12+F12+G12+H12+I12+J12+K12='3 pr-4'!C11,'3 pr-4'!C11,FALSE)</f>
        <v>725.53</v>
      </c>
    </row>
    <row r="13" spans="1:12" ht="33" thickTop="1" thickBot="1">
      <c r="A13" s="88" t="s">
        <v>479</v>
      </c>
      <c r="B13" s="86" t="s">
        <v>544</v>
      </c>
      <c r="C13" s="86">
        <v>0</v>
      </c>
      <c r="D13" s="86">
        <v>0</v>
      </c>
      <c r="E13" s="86">
        <f>SUM('3 pr-3'!AS56)</f>
        <v>0</v>
      </c>
      <c r="F13" s="86">
        <f>SUM('3 pr-3'!AT56)</f>
        <v>0</v>
      </c>
      <c r="G13" s="86">
        <f>SUM('3 pr-3'!AU56)</f>
        <v>0</v>
      </c>
      <c r="H13" s="86">
        <f>SUM('3 pr-3'!AV56)</f>
        <v>26</v>
      </c>
      <c r="I13" s="86">
        <f>SUM('3 pr-3'!AW56)</f>
        <v>0</v>
      </c>
      <c r="J13" s="86">
        <f>SUM('3 pr-3'!AX56)</f>
        <v>0</v>
      </c>
      <c r="K13" s="86">
        <f>SUM('3 pr-3'!AY56)</f>
        <v>0</v>
      </c>
      <c r="L13" s="803">
        <f>IF(C13+D13+E13+F13+G13+H13+I13+J13+K13='3 pr-4'!C12,'3 pr-4'!C12,FALSE)</f>
        <v>26</v>
      </c>
    </row>
    <row r="14" spans="1:12" ht="48.75" thickTop="1" thickBot="1">
      <c r="A14" s="88" t="s">
        <v>464</v>
      </c>
      <c r="B14" s="86" t="s">
        <v>545</v>
      </c>
      <c r="C14" s="86">
        <v>0</v>
      </c>
      <c r="D14" s="86">
        <v>0</v>
      </c>
      <c r="E14" s="86">
        <f>SUM('3 pr-3'!Y50)</f>
        <v>0</v>
      </c>
      <c r="F14" s="86">
        <f>SUM('3 pr-3'!Z50)</f>
        <v>0</v>
      </c>
      <c r="G14" s="86">
        <f>SUM('3 pr-3'!AA50)</f>
        <v>240</v>
      </c>
      <c r="H14" s="86">
        <f>SUM('3 pr-3'!AB50)</f>
        <v>284</v>
      </c>
      <c r="I14" s="86">
        <f>SUM('3 pr-3'!AC50)</f>
        <v>422</v>
      </c>
      <c r="J14" s="86">
        <f>SUM('3 pr-3'!AD50)</f>
        <v>0</v>
      </c>
      <c r="K14" s="86">
        <f>SUM('3 pr-3'!AE50)</f>
        <v>0</v>
      </c>
      <c r="L14" s="803">
        <f>IF(C14+D14+E14+F14+G14+H14+I14+J14+K14='3 pr-4'!C13,'3 pr-4'!C13,FALSE)</f>
        <v>946</v>
      </c>
    </row>
    <row r="15" spans="1:12" ht="48.75" thickTop="1" thickBot="1">
      <c r="A15" s="88" t="s">
        <v>472</v>
      </c>
      <c r="B15" s="86" t="s">
        <v>546</v>
      </c>
      <c r="C15" s="86">
        <v>0</v>
      </c>
      <c r="D15" s="86">
        <v>0</v>
      </c>
      <c r="E15" s="89">
        <f>SUM('3 pr-3'!AS50)</f>
        <v>0</v>
      </c>
      <c r="F15" s="89">
        <f>SUM('3 pr-3'!AT50)</f>
        <v>0</v>
      </c>
      <c r="G15" s="89">
        <f>SUM('3 pr-3'!AU50)</f>
        <v>0</v>
      </c>
      <c r="H15" s="89">
        <f>SUM('3 pr-3'!AV50)</f>
        <v>25724</v>
      </c>
      <c r="I15" s="89">
        <f>SUM('3 pr-3'!AW50)</f>
        <v>15887</v>
      </c>
      <c r="J15" s="89">
        <f>SUM('3 pr-3'!AX50)</f>
        <v>0</v>
      </c>
      <c r="K15" s="89">
        <f>SUM('3 pr-3'!AY50)</f>
        <v>0</v>
      </c>
      <c r="L15" s="803">
        <f>IF(C15+D15+E15+F15+G15+H15+I15+J15+K15='3 pr-4'!C14,'3 pr-4'!C14,FALSE)</f>
        <v>41611</v>
      </c>
    </row>
    <row r="16" spans="1:12" ht="33" thickTop="1" thickBot="1">
      <c r="A16" s="88" t="s">
        <v>466</v>
      </c>
      <c r="B16" s="86" t="s">
        <v>547</v>
      </c>
      <c r="C16" s="86">
        <v>0</v>
      </c>
      <c r="D16" s="86">
        <v>0</v>
      </c>
      <c r="E16" s="86">
        <f>SUM('3 pr-3'!BM50)</f>
        <v>0</v>
      </c>
      <c r="F16" s="86">
        <f>SUM('3 pr-3'!BN50)</f>
        <v>0</v>
      </c>
      <c r="G16" s="86">
        <f>SUM('3 pr-3'!BO50)</f>
        <v>210</v>
      </c>
      <c r="H16" s="86">
        <f>SUM('3 pr-3'!BP50)</f>
        <v>844</v>
      </c>
      <c r="I16" s="86">
        <f>SUM('3 pr-3'!BQ50)</f>
        <v>432</v>
      </c>
      <c r="J16" s="86">
        <f>SUM('3 pr-3'!BR50)</f>
        <v>0</v>
      </c>
      <c r="K16" s="86">
        <f>SUM('3 pr-3'!BS50)</f>
        <v>0</v>
      </c>
      <c r="L16" s="803">
        <f>IF(C16+D16+E16+F16+G16+H16+I16+J16+K16='3 pr-4'!C15,'3 pr-4'!C15,FALSE)</f>
        <v>1486</v>
      </c>
    </row>
    <row r="17" spans="1:12" ht="48.75" thickTop="1" thickBot="1">
      <c r="A17" s="88" t="s">
        <v>468</v>
      </c>
      <c r="B17" s="86" t="s">
        <v>548</v>
      </c>
      <c r="C17" s="86">
        <v>0</v>
      </c>
      <c r="D17" s="86">
        <v>0</v>
      </c>
      <c r="E17" s="86">
        <f>SUM('3 pr-3'!CG50)</f>
        <v>0</v>
      </c>
      <c r="F17" s="86">
        <f>SUM('3 pr-3'!CH50)</f>
        <v>0</v>
      </c>
      <c r="G17" s="86">
        <f>SUM('3 pr-3'!CI50)</f>
        <v>210</v>
      </c>
      <c r="H17" s="86">
        <f>SUM('3 pr-3'!CJ50)</f>
        <v>1239</v>
      </c>
      <c r="I17" s="86">
        <f>SUM('3 pr-3'!CK50)</f>
        <v>0</v>
      </c>
      <c r="J17" s="86">
        <f>SUM('3 pr-3'!CL50)</f>
        <v>0</v>
      </c>
      <c r="K17" s="86">
        <f>SUM('3 pr-3'!CM50)</f>
        <v>0</v>
      </c>
      <c r="L17" s="803">
        <f>IF(C17+D17+E17+F17+G17+H17+I17+J17+K17='3 pr-4'!C16,'3 pr-4'!C16,FALSE)</f>
        <v>1449</v>
      </c>
    </row>
    <row r="18" spans="1:12" ht="48.75" thickTop="1" thickBot="1">
      <c r="A18" s="88" t="s">
        <v>536</v>
      </c>
      <c r="B18" s="86" t="s">
        <v>539</v>
      </c>
      <c r="C18" s="86">
        <v>0</v>
      </c>
      <c r="D18" s="86">
        <v>0</v>
      </c>
      <c r="E18" s="86">
        <f>SUM('3 pr-3'!AS173)</f>
        <v>0</v>
      </c>
      <c r="F18" s="86">
        <f>SUM('3 pr-3'!AT173)</f>
        <v>1</v>
      </c>
      <c r="G18" s="86">
        <f>SUM('3 pr-3'!AU173)</f>
        <v>0</v>
      </c>
      <c r="H18" s="86">
        <f>SUM('3 pr-3'!AV173)</f>
        <v>0</v>
      </c>
      <c r="I18" s="86">
        <f>SUM('3 pr-3'!AW173)</f>
        <v>1</v>
      </c>
      <c r="J18" s="86">
        <f>SUM('3 pr-3'!AX173)</f>
        <v>0</v>
      </c>
      <c r="K18" s="86">
        <f>SUM('3 pr-3'!AY173)</f>
        <v>0</v>
      </c>
      <c r="L18" s="803">
        <f>IF(C18+D18+E18+F18+G18+H18+I18+J18+K18='3 pr-4'!C17,'3 pr-4'!C17,FALSE)</f>
        <v>2</v>
      </c>
    </row>
    <row r="19" spans="1:12" ht="33" thickTop="1" thickBot="1">
      <c r="A19" s="88" t="s">
        <v>531</v>
      </c>
      <c r="B19" s="90" t="s">
        <v>549</v>
      </c>
      <c r="C19" s="86">
        <v>0</v>
      </c>
      <c r="D19" s="86">
        <v>0</v>
      </c>
      <c r="E19" s="86">
        <f>SUM('3 pr-3'!BM173)</f>
        <v>0</v>
      </c>
      <c r="F19" s="86">
        <f>SUM('3 pr-3'!BN173)</f>
        <v>49</v>
      </c>
      <c r="G19" s="86">
        <f>SUM('3 pr-3'!BO173)</f>
        <v>25</v>
      </c>
      <c r="H19" s="86">
        <f>SUM('3 pr-3'!BP173)</f>
        <v>0</v>
      </c>
      <c r="I19" s="86">
        <f>SUM('3 pr-3'!BQ173)</f>
        <v>8</v>
      </c>
      <c r="J19" s="86">
        <f>SUM('3 pr-3'!BR173)</f>
        <v>30</v>
      </c>
      <c r="K19" s="86">
        <f>SUM('3 pr-3'!BS173)</f>
        <v>0</v>
      </c>
      <c r="L19" s="803">
        <f>IF(C19+D19+E19+F19+G19+H19+I19+J19+K19='3 pr-4'!C18,'3 pr-4'!C18,FALSE)</f>
        <v>112</v>
      </c>
    </row>
    <row r="20" spans="1:12" ht="17.25" thickTop="1" thickBot="1">
      <c r="A20" s="88" t="s">
        <v>532</v>
      </c>
      <c r="B20" s="90" t="s">
        <v>533</v>
      </c>
      <c r="C20" s="86">
        <v>0</v>
      </c>
      <c r="D20" s="86">
        <v>0</v>
      </c>
      <c r="E20" s="86">
        <f>SUM('3 pr-3'!CG173)</f>
        <v>0</v>
      </c>
      <c r="F20" s="86">
        <f>SUM('3 pr-3'!CH173)</f>
        <v>3</v>
      </c>
      <c r="G20" s="86">
        <f>SUM('3 pr-3'!CI173)</f>
        <v>0</v>
      </c>
      <c r="H20" s="86">
        <f>SUM('3 pr-3'!CJ173)</f>
        <v>0</v>
      </c>
      <c r="I20" s="86">
        <f>SUM('3 pr-3'!CK173)</f>
        <v>0</v>
      </c>
      <c r="J20" s="86">
        <f>SUM('3 pr-3'!CL173)</f>
        <v>0</v>
      </c>
      <c r="K20" s="86">
        <f>SUM('3 pr-3'!CM173)</f>
        <v>0</v>
      </c>
      <c r="L20" s="803">
        <f>IF(C20+D20+E20+F20+G20+H20+I20+J20+K20='3 pr-4'!C19,'3 pr-4'!C19,FALSE)</f>
        <v>3</v>
      </c>
    </row>
    <row r="21" spans="1:12" ht="17.25" thickTop="1" thickBot="1">
      <c r="A21" s="88" t="s">
        <v>483</v>
      </c>
      <c r="B21" s="90" t="s">
        <v>550</v>
      </c>
      <c r="C21" s="86">
        <v>0</v>
      </c>
      <c r="D21" s="86">
        <v>0</v>
      </c>
      <c r="E21" s="86">
        <f>SUM('3 pr-3'!Y62)</f>
        <v>0</v>
      </c>
      <c r="F21" s="86">
        <f>SUM('3 pr-3'!Z62)</f>
        <v>1</v>
      </c>
      <c r="G21" s="86">
        <f>SUM('3 pr-3'!AA62)</f>
        <v>4</v>
      </c>
      <c r="H21" s="86">
        <f>SUM('3 pr-3'!AB62)</f>
        <v>0</v>
      </c>
      <c r="I21" s="86">
        <f>SUM('3 pr-3'!AC62)</f>
        <v>0</v>
      </c>
      <c r="J21" s="86">
        <f>SUM('3 pr-3'!AD62)</f>
        <v>0</v>
      </c>
      <c r="K21" s="86">
        <f>SUM('3 pr-3'!AE62)</f>
        <v>0</v>
      </c>
      <c r="L21" s="803">
        <f>IF(C21+D21+E21+F21+G21+H21+I21+J21+K21='3 pr-4'!C20,'3 pr-4'!C20,FALSE)</f>
        <v>5</v>
      </c>
    </row>
    <row r="22" spans="1:12" ht="17.25" thickTop="1" thickBot="1">
      <c r="A22" s="88" t="s">
        <v>792</v>
      </c>
      <c r="B22" s="90" t="s">
        <v>793</v>
      </c>
      <c r="C22" s="86">
        <v>0</v>
      </c>
      <c r="D22" s="86">
        <v>0</v>
      </c>
      <c r="E22" s="86">
        <f>SUM('3 pr-3'!AS79)</f>
        <v>1</v>
      </c>
      <c r="F22" s="86">
        <f>SUM('3 pr-3'!AT79)</f>
        <v>1</v>
      </c>
      <c r="G22" s="86">
        <f>SUM('3 pr-3'!AU79)</f>
        <v>0</v>
      </c>
      <c r="H22" s="86">
        <f>SUM('3 pr-3'!AV79)</f>
        <v>0</v>
      </c>
      <c r="I22" s="86">
        <f>SUM('3 pr-3'!AW79)</f>
        <v>0</v>
      </c>
      <c r="J22" s="86">
        <f>SUM('3 pr-3'!AX79)</f>
        <v>0</v>
      </c>
      <c r="K22" s="86">
        <f>SUM('3 pr-3'!AY79)</f>
        <v>0</v>
      </c>
      <c r="L22" s="803">
        <f>IF(C22+D22+E22+F22+G22+H22+I22+J22+K22='3 pr-4'!C21,'3 pr-4'!C21,FALSE)</f>
        <v>2</v>
      </c>
    </row>
    <row r="23" spans="1:12" ht="17.25" thickTop="1" thickBot="1">
      <c r="A23" s="88" t="s">
        <v>502</v>
      </c>
      <c r="B23" s="90" t="s">
        <v>503</v>
      </c>
      <c r="C23" s="86">
        <v>0</v>
      </c>
      <c r="D23" s="86">
        <v>0</v>
      </c>
      <c r="E23" s="86">
        <f>SUM('3 pr-3'!BM92)</f>
        <v>0</v>
      </c>
      <c r="F23" s="86">
        <f>SUM('3 pr-3'!BN92)</f>
        <v>0.72</v>
      </c>
      <c r="G23" s="86">
        <f>SUM('3 pr-3'!BO92)</f>
        <v>0</v>
      </c>
      <c r="H23" s="86">
        <f>SUM('3 pr-3'!BP92)</f>
        <v>0</v>
      </c>
      <c r="I23" s="86">
        <f>SUM('3 pr-3'!BQ92)</f>
        <v>0</v>
      </c>
      <c r="J23" s="86">
        <f>SUM('3 pr-3'!BR92)</f>
        <v>0</v>
      </c>
      <c r="K23" s="86">
        <f>SUM('3 pr-3'!BS92)</f>
        <v>0</v>
      </c>
      <c r="L23" s="804">
        <f>IF(C23+D23+E23+F23+G23+H23+I23+J23+K23='3 pr-4'!C22,'3 pr-4'!C22,FALSE)</f>
        <v>0.72</v>
      </c>
    </row>
    <row r="24" spans="1:12" ht="48.75" thickTop="1" thickBot="1">
      <c r="A24" s="88" t="s">
        <v>1193</v>
      </c>
      <c r="B24" s="90" t="s">
        <v>1194</v>
      </c>
      <c r="C24" s="86">
        <v>0</v>
      </c>
      <c r="D24" s="86">
        <v>0</v>
      </c>
      <c r="E24" s="86">
        <f>SUM('3 pr-3'!Y141)</f>
        <v>0</v>
      </c>
      <c r="F24" s="86">
        <f>SUM('3 pr-3'!Z141)</f>
        <v>0</v>
      </c>
      <c r="G24" s="86">
        <f>SUM('3 pr-3'!AA141)</f>
        <v>0</v>
      </c>
      <c r="H24" s="86">
        <f>SUM('3 pr-3'!AB141)</f>
        <v>0</v>
      </c>
      <c r="I24" s="86">
        <f>SUM('3 pr-3'!AC141)</f>
        <v>146</v>
      </c>
      <c r="J24" s="86">
        <f>SUM('3 pr-3'!AD141)</f>
        <v>34</v>
      </c>
      <c r="K24" s="86">
        <f>SUM('3 pr-3'!AE141)</f>
        <v>0</v>
      </c>
      <c r="L24" s="803">
        <f>IF(C24+D24+E24+F24+G24+H24+I24+J24+K24='3 pr-4'!C23,'3 pr-4'!C23,FALSE)</f>
        <v>180</v>
      </c>
    </row>
    <row r="25" spans="1:12" ht="26.25" customHeight="1" thickTop="1" thickBot="1">
      <c r="A25" s="88" t="s">
        <v>1182</v>
      </c>
      <c r="B25" s="88" t="s">
        <v>1183</v>
      </c>
      <c r="C25" s="86">
        <v>0</v>
      </c>
      <c r="D25" s="86">
        <v>0</v>
      </c>
      <c r="E25" s="86">
        <f>SUM('3 pr-3'!AS135)</f>
        <v>0</v>
      </c>
      <c r="F25" s="86">
        <f>SUM('3 pr-3'!AT135)</f>
        <v>1</v>
      </c>
      <c r="G25" s="86">
        <f>SUM('3 pr-3'!AU135)</f>
        <v>0</v>
      </c>
      <c r="H25" s="86">
        <f>SUM('3 pr-3'!AV135)</f>
        <v>0</v>
      </c>
      <c r="I25" s="86">
        <f>SUM('3 pr-3'!AW135)</f>
        <v>1</v>
      </c>
      <c r="J25" s="86">
        <f>SUM('3 pr-3'!AX135)</f>
        <v>0</v>
      </c>
      <c r="K25" s="86">
        <f>SUM('3 pr-3'!AY135)</f>
        <v>0</v>
      </c>
      <c r="L25" s="803">
        <f>IF(C25+D25+E25+F25+G25+H25+I25+J25+K25='3 pr-4'!C24,'3 pr-4'!C24,FALSE)</f>
        <v>2</v>
      </c>
    </row>
    <row r="26" spans="1:12" ht="45.75" customHeight="1" thickTop="1" thickBot="1">
      <c r="A26" s="88" t="s">
        <v>510</v>
      </c>
      <c r="B26" s="90" t="s">
        <v>551</v>
      </c>
      <c r="C26" s="86">
        <v>0</v>
      </c>
      <c r="D26" s="86">
        <v>0</v>
      </c>
      <c r="E26" s="86">
        <f>SUM('3 pr-3'!Y114)</f>
        <v>0</v>
      </c>
      <c r="F26" s="86">
        <f>SUM('3 pr-3'!Z114)</f>
        <v>0</v>
      </c>
      <c r="G26" s="86">
        <f>SUM('3 pr-3'!AA114)</f>
        <v>4</v>
      </c>
      <c r="H26" s="86">
        <f>SUM('3 pr-3'!AB114)</f>
        <v>3</v>
      </c>
      <c r="I26" s="86">
        <f>SUM('3 pr-3'!AC114)</f>
        <v>0</v>
      </c>
      <c r="J26" s="86">
        <f>SUM('3 pr-3'!AD114)</f>
        <v>0</v>
      </c>
      <c r="K26" s="86">
        <f>SUM('3 pr-3'!AE114)</f>
        <v>0</v>
      </c>
      <c r="L26" s="803">
        <f>IF(C26+D26+E26+F26+G26+H26+I26+J26+K26='3 pr-4'!C25,'3 pr-4'!C25,FALSE)</f>
        <v>7</v>
      </c>
    </row>
    <row r="27" spans="1:12" ht="33" thickTop="1" thickBot="1">
      <c r="A27" s="88" t="s">
        <v>552</v>
      </c>
      <c r="B27" s="90" t="s">
        <v>553</v>
      </c>
      <c r="C27" s="86">
        <v>0</v>
      </c>
      <c r="D27" s="86">
        <v>0</v>
      </c>
      <c r="E27" s="86">
        <f>SUM('3 pr-3'!Y102)</f>
        <v>0</v>
      </c>
      <c r="F27" s="86">
        <f>SUM('3 pr-3'!Z102)</f>
        <v>0</v>
      </c>
      <c r="G27" s="86">
        <f>SUM('3 pr-3'!AA102)</f>
        <v>8</v>
      </c>
      <c r="H27" s="86">
        <f>SUM('3 pr-3'!AB102)</f>
        <v>0</v>
      </c>
      <c r="I27" s="86">
        <f>SUM('3 pr-3'!AC102)</f>
        <v>0</v>
      </c>
      <c r="J27" s="86">
        <f>SUM('3 pr-3'!AD102)</f>
        <v>0</v>
      </c>
      <c r="K27" s="86">
        <f>SUM('3 pr-3'!AE102)</f>
        <v>0</v>
      </c>
      <c r="L27" s="803">
        <f>IF(C27+D27+E27+F27+G27+H27+I27+J27+K27='3 pr-4'!C26,'3 pr-4'!C26,FALSE)</f>
        <v>8</v>
      </c>
    </row>
    <row r="28" spans="1:12" ht="33" thickTop="1" thickBot="1">
      <c r="A28" s="88" t="s">
        <v>554</v>
      </c>
      <c r="B28" s="90" t="s">
        <v>555</v>
      </c>
      <c r="C28" s="86">
        <v>0</v>
      </c>
      <c r="D28" s="86">
        <v>0</v>
      </c>
      <c r="E28" s="86">
        <f>SUM('3 pr-3'!Y108)</f>
        <v>0</v>
      </c>
      <c r="F28" s="86">
        <f>SUM('3 pr-3'!Z108)</f>
        <v>1</v>
      </c>
      <c r="G28" s="86">
        <f>SUM('3 pr-3'!AA108)</f>
        <v>3</v>
      </c>
      <c r="H28" s="86">
        <f>SUM('3 pr-3'!AB108)</f>
        <v>1</v>
      </c>
      <c r="I28" s="86">
        <f>SUM('3 pr-3'!AC108)</f>
        <v>0</v>
      </c>
      <c r="J28" s="86">
        <f>SUM('3 pr-3'!AD108)</f>
        <v>0</v>
      </c>
      <c r="K28" s="86">
        <f>SUM('3 pr-3'!AE108)</f>
        <v>0</v>
      </c>
      <c r="L28" s="803">
        <f>IF(C28+D28+E28+F28+G28+H28+I28+J28+K28='3 pr-4'!C27,'3 pr-4'!C27,FALSE)</f>
        <v>5</v>
      </c>
    </row>
    <row r="29" spans="1:12" ht="33" thickTop="1" thickBot="1">
      <c r="A29" s="88" t="s">
        <v>589</v>
      </c>
      <c r="B29" s="90" t="s">
        <v>590</v>
      </c>
      <c r="C29" s="86">
        <v>0</v>
      </c>
      <c r="D29" s="86">
        <v>0</v>
      </c>
      <c r="E29" s="86">
        <f>SUM('3 pr-3'!BM114)</f>
        <v>0</v>
      </c>
      <c r="F29" s="86">
        <f>SUM('3 pr-3'!BN114)</f>
        <v>0</v>
      </c>
      <c r="G29" s="86">
        <f>SUM('3 pr-3'!BO114)</f>
        <v>12</v>
      </c>
      <c r="H29" s="86">
        <f>SUM('3 pr-3'!BP114)</f>
        <v>6</v>
      </c>
      <c r="I29" s="86">
        <f>SUM('3 pr-3'!BQ114)</f>
        <v>0</v>
      </c>
      <c r="J29" s="86">
        <f>SUM('3 pr-3'!BR114)</f>
        <v>0</v>
      </c>
      <c r="K29" s="86">
        <f>SUM('3 pr-3'!BS114)</f>
        <v>0</v>
      </c>
      <c r="L29" s="803">
        <f>IF(C29+D29+E29+F29+G29+H29+I29+J29+K29='3 pr-4'!C28,'3 pr-4'!C28,FALSE)</f>
        <v>18</v>
      </c>
    </row>
    <row r="30" spans="1:12" ht="17.25" thickTop="1" thickBot="1">
      <c r="A30" s="88" t="s">
        <v>588</v>
      </c>
      <c r="B30" s="90" t="s">
        <v>482</v>
      </c>
      <c r="C30" s="86">
        <v>0</v>
      </c>
      <c r="D30" s="86">
        <v>0</v>
      </c>
      <c r="E30" s="86">
        <f>SUM('3 pr-3'!Y58)</f>
        <v>0</v>
      </c>
      <c r="F30" s="86">
        <f>SUM('3 pr-3'!Z58)</f>
        <v>294</v>
      </c>
      <c r="G30" s="86">
        <f>SUM('3 pr-3'!AA58)</f>
        <v>301</v>
      </c>
      <c r="H30" s="86">
        <f>SUM('3 pr-3'!AB58)</f>
        <v>0</v>
      </c>
      <c r="I30" s="86">
        <f>SUM('3 pr-3'!AC58)</f>
        <v>38</v>
      </c>
      <c r="J30" s="86">
        <f>SUM('3 pr-3'!AD58)</f>
        <v>0</v>
      </c>
      <c r="K30" s="86">
        <f>SUM('3 pr-3'!AE58)</f>
        <v>0</v>
      </c>
      <c r="L30" s="803">
        <f>IF(C30+D30+E30+F30+G30+H30+I30+J30+K30='3 pr-4'!C29,'3 pr-4'!C29,FALSE)</f>
        <v>633</v>
      </c>
    </row>
    <row r="31" spans="1:12" ht="17.25" thickTop="1" thickBot="1">
      <c r="A31" s="88" t="s">
        <v>524</v>
      </c>
      <c r="B31" s="90" t="s">
        <v>525</v>
      </c>
      <c r="C31" s="86">
        <v>0</v>
      </c>
      <c r="D31" s="86">
        <v>0</v>
      </c>
      <c r="E31" s="86">
        <f>SUM('3 pr-3'!BM161)</f>
        <v>0</v>
      </c>
      <c r="F31" s="86">
        <f>SUM('3 pr-3'!BN161)</f>
        <v>0</v>
      </c>
      <c r="G31" s="86">
        <f>SUM('3 pr-3'!BO161)</f>
        <v>1</v>
      </c>
      <c r="H31" s="86">
        <f>SUM('3 pr-3'!BP161)</f>
        <v>2</v>
      </c>
      <c r="I31" s="86">
        <f>SUM('3 pr-3'!BQ161)</f>
        <v>0</v>
      </c>
      <c r="J31" s="86">
        <f>SUM('3 pr-3'!BR161)</f>
        <v>0</v>
      </c>
      <c r="K31" s="86">
        <f>SUM('3 pr-3'!BS161)</f>
        <v>0</v>
      </c>
      <c r="L31" s="803">
        <f>IF(C31+D31+E31+F31+G31+H31+I31+J31+K31='3 pr-4'!C30,'3 pr-4'!C30,FALSE)</f>
        <v>3</v>
      </c>
    </row>
    <row r="32" spans="1:12" ht="33" thickTop="1" thickBot="1">
      <c r="A32" s="88" t="s">
        <v>493</v>
      </c>
      <c r="B32" s="90" t="s">
        <v>557</v>
      </c>
      <c r="C32" s="86">
        <v>0</v>
      </c>
      <c r="D32" s="86">
        <v>0</v>
      </c>
      <c r="E32" s="86">
        <f>SUM('3 pr-3'!Y86)</f>
        <v>0</v>
      </c>
      <c r="F32" s="86">
        <f>SUM('3 pr-3'!Z86)</f>
        <v>0.75</v>
      </c>
      <c r="G32" s="86">
        <f>SUM('3 pr-3'!AA86)</f>
        <v>1.96</v>
      </c>
      <c r="H32" s="86">
        <f>SUM('3 pr-3'!AB86)</f>
        <v>1</v>
      </c>
      <c r="I32" s="86">
        <f>SUM('3 pr-3'!AC86)</f>
        <v>0</v>
      </c>
      <c r="J32" s="86">
        <f>SUM('3 pr-3'!AD86)</f>
        <v>0</v>
      </c>
      <c r="K32" s="86">
        <f>SUM('3 pr-3'!AE86)</f>
        <v>0</v>
      </c>
      <c r="L32" s="804">
        <f>IF(C32+D32+E32+F32+G32+H32+I32+J32+K32='3 pr-4'!C31,'3 pr-4'!C31,FALSE)</f>
        <v>3.71</v>
      </c>
    </row>
    <row r="33" spans="1:12" ht="33" thickTop="1" thickBot="1">
      <c r="A33" s="88" t="s">
        <v>496</v>
      </c>
      <c r="B33" s="86" t="s">
        <v>558</v>
      </c>
      <c r="C33" s="86">
        <v>0</v>
      </c>
      <c r="D33" s="86">
        <v>0</v>
      </c>
      <c r="E33" s="86">
        <f>SUM('3 pr-3'!AS86)</f>
        <v>0</v>
      </c>
      <c r="F33" s="86">
        <f>SUM('3 pr-3'!AT86)</f>
        <v>0</v>
      </c>
      <c r="G33" s="86">
        <f>SUM('3 pr-3'!AU86)</f>
        <v>0</v>
      </c>
      <c r="H33" s="86">
        <f>SUM('3 pr-3'!AV86)</f>
        <v>0.69</v>
      </c>
      <c r="I33" s="86">
        <f>SUM('3 pr-3'!AW86)</f>
        <v>0</v>
      </c>
      <c r="J33" s="86">
        <f>SUM('3 pr-3'!AX86)</f>
        <v>0</v>
      </c>
      <c r="K33" s="86">
        <f>SUM('3 pr-3'!AY86)</f>
        <v>0</v>
      </c>
      <c r="L33" s="804">
        <f>IF(C33+D33+E33+F33+G33+H33+I33+J33+K33='3 pr-4'!C32,'3 pr-4'!C32,FALSE)</f>
        <v>0.69</v>
      </c>
    </row>
    <row r="34" spans="1:12" ht="21.75" customHeight="1" thickTop="1" thickBot="1">
      <c r="A34" s="88" t="s">
        <v>491</v>
      </c>
      <c r="B34" s="86" t="s">
        <v>559</v>
      </c>
      <c r="C34" s="86">
        <v>0</v>
      </c>
      <c r="D34" s="86">
        <v>0</v>
      </c>
      <c r="E34" s="86">
        <f>SUM('3 pr-3'!Y79)</f>
        <v>0</v>
      </c>
      <c r="F34" s="86">
        <f>SUM('3 pr-3'!Z79)</f>
        <v>0</v>
      </c>
      <c r="G34" s="86">
        <f>SUM('3 pr-3'!AA79)</f>
        <v>0</v>
      </c>
      <c r="H34" s="86">
        <f>SUM('3 pr-3'!AB79)</f>
        <v>2</v>
      </c>
      <c r="I34" s="86">
        <f>SUM('3 pr-3'!AC79)</f>
        <v>3</v>
      </c>
      <c r="J34" s="86">
        <f>SUM('3 pr-3'!AD79)</f>
        <v>0</v>
      </c>
      <c r="K34" s="86">
        <f>SUM('3 pr-3'!AE79)</f>
        <v>0</v>
      </c>
      <c r="L34" s="803">
        <f>IF(C34+D34+E34+F34+G34+H34+I34+J34+K34='3 pr-4'!C33,'3 pr-4'!C33,FALSE)</f>
        <v>5</v>
      </c>
    </row>
    <row r="35" spans="1:12" ht="22.5" customHeight="1" thickTop="1" thickBot="1">
      <c r="A35" s="88" t="s">
        <v>1411</v>
      </c>
      <c r="B35" s="86" t="s">
        <v>1412</v>
      </c>
      <c r="C35" s="86">
        <v>0</v>
      </c>
      <c r="D35" s="86">
        <v>0</v>
      </c>
      <c r="E35" s="86">
        <f>SUM('3 pr-3'!BM79)</f>
        <v>0</v>
      </c>
      <c r="F35" s="86">
        <f>SUM('3 pr-3'!BN79)</f>
        <v>0</v>
      </c>
      <c r="G35" s="86">
        <f>SUM('3 pr-3'!BO79)</f>
        <v>0</v>
      </c>
      <c r="H35" s="86">
        <f>SUM('3 pr-3'!BP79)</f>
        <v>1</v>
      </c>
      <c r="I35" s="86">
        <f>SUM('3 pr-3'!BQ79)</f>
        <v>0</v>
      </c>
      <c r="J35" s="86">
        <f>SUM('3 pr-3'!BR79)</f>
        <v>0</v>
      </c>
      <c r="K35" s="86">
        <f>SUM('3 pr-3'!BS79)</f>
        <v>0</v>
      </c>
      <c r="L35" s="803">
        <f>IF(C35+D35+E35+F35+G35+H35+I35+J35+K35='3 pr-4'!C34,'3 pr-4'!C34,FALSE)</f>
        <v>1</v>
      </c>
    </row>
    <row r="36" spans="1:12" ht="33" thickTop="1" thickBot="1">
      <c r="A36" s="88" t="s">
        <v>488</v>
      </c>
      <c r="B36" s="86" t="s">
        <v>560</v>
      </c>
      <c r="C36" s="86">
        <v>0</v>
      </c>
      <c r="D36" s="86">
        <v>0</v>
      </c>
      <c r="E36" s="86">
        <f>SUM('3 pr-3'!Y74)</f>
        <v>0</v>
      </c>
      <c r="F36" s="86">
        <f>SUM('3 pr-3'!Z74)</f>
        <v>0</v>
      </c>
      <c r="G36" s="86">
        <f>SUM('3 pr-3'!AA74)</f>
        <v>2</v>
      </c>
      <c r="H36" s="86">
        <f>SUM('3 pr-3'!AB74)</f>
        <v>1</v>
      </c>
      <c r="I36" s="86">
        <f>SUM('3 pr-3'!AC74)</f>
        <v>4</v>
      </c>
      <c r="J36" s="86">
        <f>SUM('3 pr-3'!AD74)</f>
        <v>0</v>
      </c>
      <c r="K36" s="86">
        <f>SUM('3 pr-3'!AE74)</f>
        <v>0</v>
      </c>
      <c r="L36" s="803">
        <f>IF(C36+D36+E36+F36+G36+H36+I36+J36+K36='3 pr-4'!C35,'3 pr-4'!C35,FALSE)</f>
        <v>7</v>
      </c>
    </row>
    <row r="37" spans="1:12" ht="48.75" thickTop="1" thickBot="1">
      <c r="A37" s="88" t="s">
        <v>477</v>
      </c>
      <c r="B37" s="86" t="s">
        <v>478</v>
      </c>
      <c r="C37" s="86">
        <v>0</v>
      </c>
      <c r="D37" s="86">
        <v>0</v>
      </c>
      <c r="E37" s="86">
        <f>SUM('3 pr-3'!Y56)</f>
        <v>0</v>
      </c>
      <c r="F37" s="86">
        <f>SUM('3 pr-3'!Z56)</f>
        <v>0</v>
      </c>
      <c r="G37" s="86">
        <f>SUM('3 pr-3'!AA56)</f>
        <v>0</v>
      </c>
      <c r="H37" s="86">
        <f>SUM('3 pr-3'!AB56)</f>
        <v>262.58999999999997</v>
      </c>
      <c r="I37" s="86">
        <f>SUM('3 pr-3'!AC56)</f>
        <v>0</v>
      </c>
      <c r="J37" s="86">
        <f>SUM('3 pr-3'!AD56)</f>
        <v>0</v>
      </c>
      <c r="K37" s="86">
        <f>SUM('3 pr-3'!AE56)</f>
        <v>0</v>
      </c>
      <c r="L37" s="804">
        <f>IF(C37+D37+E37+F37+G37+H37+I37+J37+K37='3 pr-4'!C36,'3 pr-4'!C36,FALSE)</f>
        <v>262.58999999999997</v>
      </c>
    </row>
    <row r="38" spans="1:12" ht="33" thickTop="1" thickBot="1">
      <c r="A38" s="88" t="s">
        <v>527</v>
      </c>
      <c r="B38" s="86" t="s">
        <v>561</v>
      </c>
      <c r="C38" s="86">
        <v>0</v>
      </c>
      <c r="D38" s="89">
        <v>0</v>
      </c>
      <c r="E38" s="89">
        <f>SUM('3 pr-3'!Y170)</f>
        <v>0</v>
      </c>
      <c r="F38" s="89">
        <f>SUM('3 pr-3'!Z170)</f>
        <v>0</v>
      </c>
      <c r="G38" s="286">
        <f>SUM('3 pr-3'!AA170)</f>
        <v>7187.76</v>
      </c>
      <c r="H38" s="89">
        <f>SUM('3 pr-3'!AB170)</f>
        <v>0</v>
      </c>
      <c r="I38" s="89">
        <f>SUM('3 pr-3'!AC170)</f>
        <v>0</v>
      </c>
      <c r="J38" s="89">
        <f>SUM('3 pr-3'!AD170)</f>
        <v>0</v>
      </c>
      <c r="K38" s="89">
        <f>SUM('3 pr-3'!AE170)</f>
        <v>0</v>
      </c>
      <c r="L38" s="804">
        <f>IF(C38+D38+E38+F38+G38+H38+I38+J38+K38='3 pr-4'!C37,'3 pr-4'!C37,FALSE)</f>
        <v>7187.76</v>
      </c>
    </row>
    <row r="39" spans="1:12" ht="33" thickTop="1" thickBot="1">
      <c r="A39" s="88" t="s">
        <v>470</v>
      </c>
      <c r="B39" s="86" t="s">
        <v>562</v>
      </c>
      <c r="C39" s="86">
        <v>0</v>
      </c>
      <c r="D39" s="86">
        <v>0</v>
      </c>
      <c r="E39" s="86">
        <f>SUM('3 pr-3'!DA50)</f>
        <v>0</v>
      </c>
      <c r="F39" s="86">
        <f>SUM('3 pr-3'!DB50)</f>
        <v>0</v>
      </c>
      <c r="G39" s="86">
        <f>SUM('3 pr-3'!DC50)</f>
        <v>0</v>
      </c>
      <c r="H39" s="86">
        <f>SUM('3 pr-3'!DD50)</f>
        <v>19.520000000000003</v>
      </c>
      <c r="I39" s="86">
        <f>SUM('3 pr-3'!DE50)</f>
        <v>3.2</v>
      </c>
      <c r="J39" s="86">
        <f>SUM('3 pr-3'!DF50)</f>
        <v>0</v>
      </c>
      <c r="K39" s="86">
        <f>SUM('3 pr-3'!DG50)</f>
        <v>0</v>
      </c>
      <c r="L39" s="804">
        <f>IF(C39+D39+E39+F39+G39+H39+I39+J39+K39='3 pr-4'!C38,'3 pr-4'!C38,FALSE)</f>
        <v>22.720000000000002</v>
      </c>
    </row>
    <row r="40" spans="1:12" ht="33" thickTop="1" thickBot="1">
      <c r="A40" s="88" t="s">
        <v>485</v>
      </c>
      <c r="B40" s="86" t="s">
        <v>486</v>
      </c>
      <c r="C40" s="86">
        <v>0</v>
      </c>
      <c r="D40" s="86">
        <v>0</v>
      </c>
      <c r="E40" s="86">
        <f>SUM('3 pr-3'!Y67)</f>
        <v>0</v>
      </c>
      <c r="F40" s="86">
        <f>SUM('3 pr-3'!Z67)</f>
        <v>0</v>
      </c>
      <c r="G40" s="86">
        <f>SUM('3 pr-3'!AA67)</f>
        <v>2</v>
      </c>
      <c r="H40" s="86">
        <f>SUM('3 pr-3'!AB67)</f>
        <v>3</v>
      </c>
      <c r="I40" s="86">
        <f>SUM('3 pr-3'!AC67)</f>
        <v>0</v>
      </c>
      <c r="J40" s="86">
        <f>SUM('3 pr-3'!AD67)</f>
        <v>0</v>
      </c>
      <c r="K40" s="86">
        <f>SUM('3 pr-3'!AE67)</f>
        <v>0</v>
      </c>
      <c r="L40" s="803">
        <f>IF(C40+D40+E40+F40+G40+H40+I40+J40+K40='3 pr-4'!C39,'3 pr-4'!C39,FALSE)</f>
        <v>5</v>
      </c>
    </row>
    <row r="41" spans="1:12" ht="33" thickTop="1" thickBot="1">
      <c r="A41" s="88" t="s">
        <v>534</v>
      </c>
      <c r="B41" s="86" t="s">
        <v>563</v>
      </c>
      <c r="C41" s="86">
        <v>0</v>
      </c>
      <c r="D41" s="86">
        <v>0</v>
      </c>
      <c r="E41" s="86">
        <f>SUM('3 pr-3'!DA173)</f>
        <v>0</v>
      </c>
      <c r="F41" s="86">
        <f>SUM('3 pr-3'!DB173)</f>
        <v>2</v>
      </c>
      <c r="G41" s="86">
        <f>SUM('3 pr-3'!DC173)</f>
        <v>0</v>
      </c>
      <c r="H41" s="86">
        <f>SUM('3 pr-3'!DD173)</f>
        <v>1</v>
      </c>
      <c r="I41" s="86">
        <f>SUM('3 pr-3'!DE173)</f>
        <v>0</v>
      </c>
      <c r="J41" s="86">
        <f>SUM('3 pr-3'!DF173)</f>
        <v>1</v>
      </c>
      <c r="K41" s="86">
        <f>SUM('3 pr-3'!DG173)</f>
        <v>0</v>
      </c>
      <c r="L41" s="803">
        <f>IF(C41+D41+E41+F41+G41+H41+I41+J41+K41='3 pr-4'!C40,'3 pr-4'!C40,FALSE)</f>
        <v>4</v>
      </c>
    </row>
    <row r="42" spans="1:12" ht="33" thickTop="1" thickBot="1">
      <c r="A42" s="439" t="s">
        <v>500</v>
      </c>
      <c r="B42" s="86" t="s">
        <v>501</v>
      </c>
      <c r="C42" s="86">
        <v>0</v>
      </c>
      <c r="D42" s="86">
        <v>0</v>
      </c>
      <c r="E42" s="86">
        <f>SUM('3 pr-3'!AS92)</f>
        <v>0</v>
      </c>
      <c r="F42" s="86">
        <f>SUM('3 pr-3'!AT92)</f>
        <v>0</v>
      </c>
      <c r="G42" s="86">
        <f>SUM('3 pr-3'!AU92)</f>
        <v>10</v>
      </c>
      <c r="H42" s="86">
        <f>SUM('3 pr-3'!AV92)</f>
        <v>3</v>
      </c>
      <c r="I42" s="86">
        <f>SUM('3 pr-3'!AW92)</f>
        <v>0</v>
      </c>
      <c r="J42" s="86">
        <f>SUM('3 pr-3'!AX92)</f>
        <v>0</v>
      </c>
      <c r="K42" s="86">
        <f>SUM('3 pr-3'!AY92)</f>
        <v>0</v>
      </c>
      <c r="L42" s="803">
        <f>IF(C42+D42+E42+F42+G42+H42+I42+J42+K42='3 pr-4'!C41,'3 pr-4'!C41,FALSE)</f>
        <v>13</v>
      </c>
    </row>
    <row r="43" spans="1:12" ht="33" thickTop="1" thickBot="1">
      <c r="A43" s="88" t="s">
        <v>515</v>
      </c>
      <c r="B43" s="86" t="s">
        <v>564</v>
      </c>
      <c r="C43" s="86">
        <v>0</v>
      </c>
      <c r="D43" s="86">
        <v>0</v>
      </c>
      <c r="E43" s="86">
        <f>SUM('3 pr-3'!Y148)</f>
        <v>0</v>
      </c>
      <c r="F43" s="86">
        <f>SUM('3 pr-3'!Z148)</f>
        <v>1</v>
      </c>
      <c r="G43" s="86">
        <f>SUM('3 pr-3'!AA148)</f>
        <v>4</v>
      </c>
      <c r="H43" s="86">
        <f>SUM('3 pr-3'!AB148)</f>
        <v>0</v>
      </c>
      <c r="I43" s="86">
        <f>SUM('3 pr-3'!AC148)</f>
        <v>0</v>
      </c>
      <c r="J43" s="86">
        <f>SUM('3 pr-3'!AD148)</f>
        <v>0</v>
      </c>
      <c r="K43" s="86">
        <f>SUM('3 pr-3'!AE148)</f>
        <v>0</v>
      </c>
      <c r="L43" s="803">
        <f>IF(C43+D43+E43+F43+G43+H43+I43+J43+K43='3 pr-4'!C42,'3 pr-4'!C42,FALSE)</f>
        <v>5</v>
      </c>
    </row>
    <row r="44" spans="1:12" ht="17.25" thickTop="1" thickBot="1">
      <c r="A44" s="88" t="s">
        <v>518</v>
      </c>
      <c r="B44" s="86" t="s">
        <v>565</v>
      </c>
      <c r="C44" s="86">
        <v>0</v>
      </c>
      <c r="D44" s="86">
        <v>0</v>
      </c>
      <c r="E44" s="86">
        <f>SUM('3 pr-3'!Y154)</f>
        <v>0</v>
      </c>
      <c r="F44" s="86">
        <f>SUM('3 pr-3'!Z154)</f>
        <v>6</v>
      </c>
      <c r="G44" s="86">
        <f>SUM('3 pr-3'!AA154)</f>
        <v>100</v>
      </c>
      <c r="H44" s="86">
        <f>SUM('3 pr-3'!AB154)</f>
        <v>0</v>
      </c>
      <c r="I44" s="86">
        <f>SUM('3 pr-3'!AC154)</f>
        <v>0</v>
      </c>
      <c r="J44" s="86">
        <f>SUM('3 pr-3'!AD154)</f>
        <v>0</v>
      </c>
      <c r="K44" s="86">
        <f>SUM('3 pr-3'!AE154)</f>
        <v>0</v>
      </c>
      <c r="L44" s="803">
        <f>IF(C44+D44+E44+F44+G44+H44+I44+J44+K44='3 pr-4'!C43,'3 pr-4'!C43,FALSE)</f>
        <v>106</v>
      </c>
    </row>
    <row r="45" spans="1:12" ht="48.75" thickTop="1" thickBot="1">
      <c r="A45" s="88" t="s">
        <v>1434</v>
      </c>
      <c r="B45" s="86" t="s">
        <v>1435</v>
      </c>
      <c r="C45" s="86">
        <v>0</v>
      </c>
      <c r="D45" s="86">
        <v>0</v>
      </c>
      <c r="E45" s="86">
        <f>SUM('3 pr-3'!Y121)</f>
        <v>0</v>
      </c>
      <c r="F45" s="86">
        <f>SUM('3 pr-3'!Z121)</f>
        <v>0</v>
      </c>
      <c r="G45" s="86">
        <f>SUM('3 pr-3'!AA121)</f>
        <v>3</v>
      </c>
      <c r="H45" s="86">
        <f>SUM('3 pr-3'!AB121)</f>
        <v>7</v>
      </c>
      <c r="I45" s="86">
        <f>SUM('3 pr-3'!AC121)</f>
        <v>7</v>
      </c>
      <c r="J45" s="86">
        <f>SUM('3 pr-3'!AD121)</f>
        <v>0</v>
      </c>
      <c r="K45" s="86">
        <f>SUM('3 pr-3'!AE121)</f>
        <v>0</v>
      </c>
      <c r="L45" s="803">
        <f>IF(C45+D45+E45+F45+G45+H45+I45+J45+K45='3 pr-4'!C44,'3 pr-4'!C44,FALSE)</f>
        <v>17</v>
      </c>
    </row>
    <row r="46" spans="1:12" ht="34.5" thickTop="1" thickBot="1">
      <c r="A46" s="88" t="s">
        <v>381</v>
      </c>
      <c r="B46" s="86" t="s">
        <v>591</v>
      </c>
      <c r="C46" s="86">
        <v>0</v>
      </c>
      <c r="D46" s="89">
        <v>0</v>
      </c>
      <c r="E46" s="89">
        <f>SUM('3 pr-3'!Y33)</f>
        <v>0</v>
      </c>
      <c r="F46" s="89">
        <f>SUM('3 pr-3'!Z33)</f>
        <v>0</v>
      </c>
      <c r="G46" s="286">
        <f>SUM('3 pr-3'!AA33)</f>
        <v>47400</v>
      </c>
      <c r="H46" s="286">
        <f>SUM('3 pr-3'!AB33)</f>
        <v>35784.449999999997</v>
      </c>
      <c r="I46" s="286">
        <f>SUM('3 pr-3'!AC33)</f>
        <v>7440</v>
      </c>
      <c r="J46" s="286">
        <f>SUM('3 pr-3'!AD33)</f>
        <v>0</v>
      </c>
      <c r="K46" s="286">
        <f>SUM('3 pr-3'!AE33)</f>
        <v>0</v>
      </c>
      <c r="L46" s="804">
        <f>IF(C46+D46+E46+F46+G46+H46+I46+J46+K46='3 pr-4'!C45,'3 pr-4'!C45,FALSE)</f>
        <v>90624.45</v>
      </c>
    </row>
    <row r="47" spans="1:12" ht="48.75" thickTop="1" thickBot="1">
      <c r="A47" s="88" t="s">
        <v>382</v>
      </c>
      <c r="B47" s="86" t="s">
        <v>383</v>
      </c>
      <c r="C47" s="86">
        <v>0</v>
      </c>
      <c r="D47" s="86">
        <v>0</v>
      </c>
      <c r="E47" s="86">
        <f>SUM('3 pr-3'!AS33)</f>
        <v>0</v>
      </c>
      <c r="F47" s="86">
        <f>SUM('3 pr-3'!AT33)</f>
        <v>0</v>
      </c>
      <c r="G47" s="86">
        <f>SUM('3 pr-3'!AU33)</f>
        <v>0</v>
      </c>
      <c r="H47" s="86">
        <f>SUM('3 pr-3'!AV33)</f>
        <v>539.76</v>
      </c>
      <c r="I47" s="86">
        <f>SUM('3 pr-3'!AW33)</f>
        <v>0</v>
      </c>
      <c r="J47" s="86">
        <f>SUM('3 pr-3'!AX33)</f>
        <v>0</v>
      </c>
      <c r="K47" s="86">
        <f>SUM('3 pr-3'!AY33)</f>
        <v>0</v>
      </c>
      <c r="L47" s="803">
        <f>IF(C47+D47+E47+F47+G47+H47+I47+J47+K47='3 pr-4'!C46,'3 pr-4'!C46,FALSE)</f>
        <v>539.76</v>
      </c>
    </row>
    <row r="48" spans="1:12" ht="48.75" thickTop="1" thickBot="1">
      <c r="A48" s="88" t="s">
        <v>1180</v>
      </c>
      <c r="B48" s="86" t="s">
        <v>1181</v>
      </c>
      <c r="C48" s="86">
        <v>0</v>
      </c>
      <c r="D48" s="86">
        <v>0</v>
      </c>
      <c r="E48" s="86">
        <f>SUM('3 pr-3'!Y135)</f>
        <v>0</v>
      </c>
      <c r="F48" s="86">
        <f>SUM('3 pr-3'!Z135)</f>
        <v>2271</v>
      </c>
      <c r="G48" s="86">
        <f>SUM('3 pr-3'!AA135)</f>
        <v>2827</v>
      </c>
      <c r="H48" s="86">
        <f>SUM('3 pr-3'!AB135)</f>
        <v>2829</v>
      </c>
      <c r="I48" s="86">
        <f>SUM('3 pr-3'!AC135)</f>
        <v>1014</v>
      </c>
      <c r="J48" s="86">
        <f>SUM('3 pr-3'!AD135)</f>
        <v>0</v>
      </c>
      <c r="K48" s="86">
        <f>SUM('3 pr-3'!AE135)</f>
        <v>0</v>
      </c>
      <c r="L48" s="803">
        <f>IF(C48+D48+E48+F48+G48+H48+I48+J48+K48='3 pr-4'!C47,'3 pr-4'!C47,FALSE)</f>
        <v>8941</v>
      </c>
    </row>
    <row r="49" spans="1:12" ht="33" thickTop="1" thickBot="1">
      <c r="A49" s="88" t="s">
        <v>783</v>
      </c>
      <c r="B49" s="86" t="s">
        <v>784</v>
      </c>
      <c r="C49" s="86">
        <v>0</v>
      </c>
      <c r="D49" s="86">
        <v>0</v>
      </c>
      <c r="E49" s="89">
        <f>SUM('3 pr-3'!CG114)</f>
        <v>0</v>
      </c>
      <c r="F49" s="89">
        <f>SUM('3 pr-3'!CH114)</f>
        <v>0</v>
      </c>
      <c r="G49" s="89">
        <f>SUM('3 pr-3'!CI114)</f>
        <v>81</v>
      </c>
      <c r="H49" s="89">
        <f>SUM('3 pr-3'!CJ114)</f>
        <v>60</v>
      </c>
      <c r="I49" s="89">
        <f>SUM('3 pr-3'!CK114)</f>
        <v>0</v>
      </c>
      <c r="J49" s="89">
        <f>SUM('3 pr-3'!CL114)</f>
        <v>0</v>
      </c>
      <c r="K49" s="89">
        <f>SUM('3 pr-3'!CM114)</f>
        <v>0</v>
      </c>
      <c r="L49" s="803">
        <f>IF(C49+D49+E49+F49+G49+H49+I49+J49+K49='3 pr-4'!C48,'3 pr-4'!C48,FALSE)</f>
        <v>141</v>
      </c>
    </row>
    <row r="50" spans="1:12" ht="48.75" thickTop="1" thickBot="1">
      <c r="A50" s="88" t="s">
        <v>520</v>
      </c>
      <c r="B50" s="86" t="s">
        <v>566</v>
      </c>
      <c r="C50" s="86">
        <v>0</v>
      </c>
      <c r="D50" s="86">
        <v>0</v>
      </c>
      <c r="E50" s="86">
        <f>SUM('3 pr-3'!Y161)</f>
        <v>0</v>
      </c>
      <c r="F50" s="86">
        <f>SUM('3 pr-3'!Z161)</f>
        <v>0</v>
      </c>
      <c r="G50" s="86">
        <f>SUM('3 pr-3'!AA161)</f>
        <v>1</v>
      </c>
      <c r="H50" s="86">
        <f>SUM('3 pr-3'!AB161)</f>
        <v>94</v>
      </c>
      <c r="I50" s="86">
        <f>SUM('3 pr-3'!AC161)</f>
        <v>0</v>
      </c>
      <c r="J50" s="86">
        <f>SUM('3 pr-3'!AD161)</f>
        <v>0</v>
      </c>
      <c r="K50" s="86">
        <f>SUM('3 pr-3'!AE161)</f>
        <v>0</v>
      </c>
      <c r="L50" s="803">
        <f>IF(C50+D50+E50+F50+G50+H50+I50+J50+K50='3 pr-4'!C49,'3 pr-4'!C49,FALSE)</f>
        <v>95</v>
      </c>
    </row>
    <row r="51" spans="1:12" ht="64.5" thickTop="1" thickBot="1">
      <c r="A51" s="88" t="s">
        <v>522</v>
      </c>
      <c r="B51" s="86" t="s">
        <v>567</v>
      </c>
      <c r="C51" s="86">
        <v>0</v>
      </c>
      <c r="D51" s="86">
        <v>0</v>
      </c>
      <c r="E51" s="86">
        <f>SUM('3 pr-3'!AS161)</f>
        <v>0</v>
      </c>
      <c r="F51" s="86">
        <f>SUM('3 pr-3'!AT161)</f>
        <v>0</v>
      </c>
      <c r="G51" s="86">
        <f>SUM('3 pr-3'!AU161)</f>
        <v>38</v>
      </c>
      <c r="H51" s="86">
        <f>SUM('3 pr-3'!AV161)</f>
        <v>387</v>
      </c>
      <c r="I51" s="86">
        <f>SUM('3 pr-3'!AW161)</f>
        <v>0</v>
      </c>
      <c r="J51" s="86">
        <f>SUM('3 pr-3'!AX161)</f>
        <v>0</v>
      </c>
      <c r="K51" s="86">
        <f>SUM('3 pr-3'!AY161)</f>
        <v>0</v>
      </c>
      <c r="L51" s="803">
        <f>IF(C51+D51+E51+F51+G51+H51+I51+J51+K51='3 pr-4'!C50,'3 pr-4'!C50,FALSE)</f>
        <v>425</v>
      </c>
    </row>
    <row r="52" spans="1:12" ht="33" thickTop="1" thickBot="1">
      <c r="A52" s="88" t="s">
        <v>529</v>
      </c>
      <c r="B52" s="91" t="s">
        <v>568</v>
      </c>
      <c r="C52" s="86">
        <v>0</v>
      </c>
      <c r="D52" s="86">
        <v>0</v>
      </c>
      <c r="E52" s="86">
        <f>SUM('3 pr-3'!AS162)</f>
        <v>0</v>
      </c>
      <c r="F52" s="827">
        <f>SUM('3 pr-3'!Z173)</f>
        <v>39.1</v>
      </c>
      <c r="G52" s="827">
        <f>SUM('3 pr-3'!AA173)</f>
        <v>3.9</v>
      </c>
      <c r="H52" s="827">
        <f>SUM('3 pr-3'!AB173)</f>
        <v>0</v>
      </c>
      <c r="I52" s="827">
        <f>SUM('3 pr-3'!AC173)</f>
        <v>0</v>
      </c>
      <c r="J52" s="827">
        <f>SUM('3 pr-3'!AD173)</f>
        <v>2</v>
      </c>
      <c r="K52" s="827">
        <f>SUM('3 pr-3'!AE173)</f>
        <v>0</v>
      </c>
      <c r="L52" s="804">
        <f>IF(C52+D52+E52+F52+G52+H52+I52+J52+K52='3 pr-4'!C51,'3 pr-4'!C51,FALSE)</f>
        <v>45</v>
      </c>
    </row>
    <row r="53" spans="1:12" ht="15.75" thickTop="1"/>
    <row r="55" spans="1:12" ht="15.75" thickBot="1">
      <c r="A55" s="2051" t="s">
        <v>1379</v>
      </c>
      <c r="B55" s="1846"/>
      <c r="C55" s="1846"/>
      <c r="D55" s="1846"/>
      <c r="E55" s="1846"/>
      <c r="F55" s="1846"/>
      <c r="G55" s="1846"/>
      <c r="H55" s="1846"/>
      <c r="I55" s="1846"/>
      <c r="J55" s="1846"/>
      <c r="K55" s="1846"/>
      <c r="L55" s="1846"/>
    </row>
    <row r="56" spans="1:12" ht="64.5" thickTop="1" thickBot="1">
      <c r="A56" s="800" t="s">
        <v>366</v>
      </c>
      <c r="B56" s="801" t="s">
        <v>540</v>
      </c>
      <c r="C56" s="801">
        <v>2015</v>
      </c>
      <c r="D56" s="801">
        <v>2016</v>
      </c>
      <c r="E56" s="801">
        <v>2017</v>
      </c>
      <c r="F56" s="801">
        <v>2018</v>
      </c>
      <c r="G56" s="801">
        <v>2019</v>
      </c>
      <c r="H56" s="801">
        <v>2020</v>
      </c>
      <c r="I56" s="801">
        <v>2021</v>
      </c>
      <c r="J56" s="801">
        <v>2022</v>
      </c>
      <c r="K56" s="801">
        <v>2023</v>
      </c>
      <c r="L56" s="801" t="s">
        <v>541</v>
      </c>
    </row>
    <row r="57" spans="1:12" ht="48.75" thickTop="1" thickBot="1">
      <c r="A57" s="88" t="s">
        <v>448</v>
      </c>
      <c r="B57" s="86" t="s">
        <v>449</v>
      </c>
      <c r="C57" s="89">
        <f t="shared" ref="C57:C73" si="0">SUM(C4)</f>
        <v>0</v>
      </c>
      <c r="D57" s="89">
        <f t="shared" ref="D57:K66" si="1">SUM(C57+D4)</f>
        <v>0</v>
      </c>
      <c r="E57" s="89">
        <f t="shared" si="1"/>
        <v>0</v>
      </c>
      <c r="F57" s="89">
        <f t="shared" si="1"/>
        <v>31</v>
      </c>
      <c r="G57" s="89">
        <f t="shared" si="1"/>
        <v>36</v>
      </c>
      <c r="H57" s="89">
        <f t="shared" si="1"/>
        <v>36</v>
      </c>
      <c r="I57" s="89">
        <f t="shared" si="1"/>
        <v>36</v>
      </c>
      <c r="J57" s="89">
        <f t="shared" si="1"/>
        <v>36</v>
      </c>
      <c r="K57" s="89">
        <f t="shared" si="1"/>
        <v>36</v>
      </c>
      <c r="L57" s="803">
        <f t="shared" ref="L57:L104" si="2">SUM(L4)</f>
        <v>36</v>
      </c>
    </row>
    <row r="58" spans="1:12" ht="64.5" thickTop="1" thickBot="1">
      <c r="A58" s="88" t="s">
        <v>450</v>
      </c>
      <c r="B58" s="86" t="s">
        <v>451</v>
      </c>
      <c r="C58" s="89">
        <f t="shared" si="0"/>
        <v>0</v>
      </c>
      <c r="D58" s="89">
        <f t="shared" si="1"/>
        <v>0</v>
      </c>
      <c r="E58" s="89">
        <f t="shared" si="1"/>
        <v>0</v>
      </c>
      <c r="F58" s="89">
        <f t="shared" si="1"/>
        <v>6394</v>
      </c>
      <c r="G58" s="89">
        <f t="shared" si="1"/>
        <v>7557</v>
      </c>
      <c r="H58" s="89">
        <f t="shared" si="1"/>
        <v>7557</v>
      </c>
      <c r="I58" s="89">
        <f t="shared" si="1"/>
        <v>7557</v>
      </c>
      <c r="J58" s="89">
        <f t="shared" si="1"/>
        <v>7557</v>
      </c>
      <c r="K58" s="89">
        <f t="shared" si="1"/>
        <v>7557</v>
      </c>
      <c r="L58" s="803">
        <f t="shared" si="2"/>
        <v>7557</v>
      </c>
    </row>
    <row r="59" spans="1:12" ht="48.75" thickTop="1" thickBot="1">
      <c r="A59" s="88" t="s">
        <v>452</v>
      </c>
      <c r="B59" s="86" t="s">
        <v>453</v>
      </c>
      <c r="C59" s="89">
        <f t="shared" si="0"/>
        <v>0</v>
      </c>
      <c r="D59" s="89">
        <f t="shared" si="1"/>
        <v>0</v>
      </c>
      <c r="E59" s="89">
        <f t="shared" si="1"/>
        <v>0</v>
      </c>
      <c r="F59" s="89">
        <f t="shared" si="1"/>
        <v>18</v>
      </c>
      <c r="G59" s="89">
        <f t="shared" si="1"/>
        <v>23</v>
      </c>
      <c r="H59" s="89">
        <f t="shared" si="1"/>
        <v>23</v>
      </c>
      <c r="I59" s="89">
        <f t="shared" si="1"/>
        <v>23</v>
      </c>
      <c r="J59" s="89">
        <f t="shared" si="1"/>
        <v>23</v>
      </c>
      <c r="K59" s="89">
        <f t="shared" si="1"/>
        <v>23</v>
      </c>
      <c r="L59" s="803">
        <f t="shared" si="2"/>
        <v>23</v>
      </c>
    </row>
    <row r="60" spans="1:12" ht="48.75" thickTop="1" thickBot="1">
      <c r="A60" s="88" t="s">
        <v>1382</v>
      </c>
      <c r="B60" s="86" t="s">
        <v>1383</v>
      </c>
      <c r="C60" s="89">
        <f t="shared" si="0"/>
        <v>0</v>
      </c>
      <c r="D60" s="89">
        <f t="shared" si="1"/>
        <v>0</v>
      </c>
      <c r="E60" s="89">
        <f t="shared" si="1"/>
        <v>0</v>
      </c>
      <c r="F60" s="89">
        <f t="shared" si="1"/>
        <v>0</v>
      </c>
      <c r="G60" s="89">
        <f t="shared" si="1"/>
        <v>6000</v>
      </c>
      <c r="H60" s="89">
        <f t="shared" si="1"/>
        <v>10401</v>
      </c>
      <c r="I60" s="89">
        <f t="shared" si="1"/>
        <v>10401</v>
      </c>
      <c r="J60" s="89">
        <f t="shared" si="1"/>
        <v>10401</v>
      </c>
      <c r="K60" s="89">
        <f t="shared" si="1"/>
        <v>10401</v>
      </c>
      <c r="L60" s="803">
        <f t="shared" si="2"/>
        <v>10401</v>
      </c>
    </row>
    <row r="61" spans="1:12" ht="32.25" customHeight="1" thickTop="1" thickBot="1">
      <c r="A61" s="88" t="s">
        <v>498</v>
      </c>
      <c r="B61" s="86" t="s">
        <v>499</v>
      </c>
      <c r="C61" s="286">
        <f t="shared" si="0"/>
        <v>0</v>
      </c>
      <c r="D61" s="286">
        <f t="shared" si="1"/>
        <v>0</v>
      </c>
      <c r="E61" s="286">
        <f t="shared" si="1"/>
        <v>0</v>
      </c>
      <c r="F61" s="286">
        <f t="shared" si="1"/>
        <v>0</v>
      </c>
      <c r="G61" s="286">
        <f t="shared" si="1"/>
        <v>2.59</v>
      </c>
      <c r="H61" s="286">
        <f t="shared" si="1"/>
        <v>3.37</v>
      </c>
      <c r="I61" s="286">
        <f t="shared" si="1"/>
        <v>3.37</v>
      </c>
      <c r="J61" s="286">
        <f t="shared" si="1"/>
        <v>3.37</v>
      </c>
      <c r="K61" s="286">
        <f t="shared" si="1"/>
        <v>3.37</v>
      </c>
      <c r="L61" s="804">
        <f t="shared" si="2"/>
        <v>3.37</v>
      </c>
    </row>
    <row r="62" spans="1:12" ht="33" thickTop="1" thickBot="1">
      <c r="A62" s="88" t="s">
        <v>506</v>
      </c>
      <c r="B62" s="86" t="s">
        <v>507</v>
      </c>
      <c r="C62" s="89">
        <f t="shared" si="0"/>
        <v>0</v>
      </c>
      <c r="D62" s="89">
        <f t="shared" si="1"/>
        <v>0</v>
      </c>
      <c r="E62" s="89">
        <f t="shared" si="1"/>
        <v>0</v>
      </c>
      <c r="F62" s="89">
        <f t="shared" si="1"/>
        <v>380</v>
      </c>
      <c r="G62" s="89">
        <f t="shared" si="1"/>
        <v>5392</v>
      </c>
      <c r="H62" s="89">
        <f t="shared" si="1"/>
        <v>5996</v>
      </c>
      <c r="I62" s="89">
        <f t="shared" si="1"/>
        <v>5996</v>
      </c>
      <c r="J62" s="89">
        <f t="shared" si="1"/>
        <v>5996</v>
      </c>
      <c r="K62" s="89">
        <f t="shared" si="1"/>
        <v>5996</v>
      </c>
      <c r="L62" s="803">
        <f t="shared" si="2"/>
        <v>5996</v>
      </c>
    </row>
    <row r="63" spans="1:12" ht="33" thickTop="1" thickBot="1">
      <c r="A63" s="88" t="s">
        <v>512</v>
      </c>
      <c r="B63" s="86" t="s">
        <v>542</v>
      </c>
      <c r="C63" s="89">
        <f t="shared" si="0"/>
        <v>0</v>
      </c>
      <c r="D63" s="89">
        <f t="shared" si="1"/>
        <v>0</v>
      </c>
      <c r="E63" s="89">
        <f t="shared" si="1"/>
        <v>0</v>
      </c>
      <c r="F63" s="89">
        <f t="shared" si="1"/>
        <v>0</v>
      </c>
      <c r="G63" s="89">
        <f t="shared" si="1"/>
        <v>2463</v>
      </c>
      <c r="H63" s="89">
        <f t="shared" si="1"/>
        <v>24606</v>
      </c>
      <c r="I63" s="89">
        <f t="shared" si="1"/>
        <v>51903</v>
      </c>
      <c r="J63" s="89">
        <f t="shared" si="1"/>
        <v>51903</v>
      </c>
      <c r="K63" s="89">
        <f t="shared" si="1"/>
        <v>51903</v>
      </c>
      <c r="L63" s="803">
        <f t="shared" si="2"/>
        <v>51903</v>
      </c>
    </row>
    <row r="64" spans="1:12" ht="33" thickTop="1" thickBot="1">
      <c r="A64" s="88" t="s">
        <v>459</v>
      </c>
      <c r="B64" s="86" t="s">
        <v>543</v>
      </c>
      <c r="C64" s="89">
        <f t="shared" si="0"/>
        <v>0</v>
      </c>
      <c r="D64" s="89">
        <f t="shared" si="1"/>
        <v>0</v>
      </c>
      <c r="E64" s="89">
        <f t="shared" si="1"/>
        <v>0</v>
      </c>
      <c r="F64" s="89">
        <f t="shared" si="1"/>
        <v>50706.21</v>
      </c>
      <c r="G64" s="89">
        <f t="shared" si="1"/>
        <v>112956.20999999999</v>
      </c>
      <c r="H64" s="89">
        <f t="shared" si="1"/>
        <v>268645.62</v>
      </c>
      <c r="I64" s="89">
        <f t="shared" si="1"/>
        <v>268645.62</v>
      </c>
      <c r="J64" s="89">
        <f t="shared" si="1"/>
        <v>268645.62</v>
      </c>
      <c r="K64" s="89">
        <f t="shared" si="1"/>
        <v>268645.62</v>
      </c>
      <c r="L64" s="803">
        <f t="shared" si="2"/>
        <v>268645.62</v>
      </c>
    </row>
    <row r="65" spans="1:12" ht="33" thickTop="1" thickBot="1">
      <c r="A65" s="88" t="s">
        <v>461</v>
      </c>
      <c r="B65" s="86" t="s">
        <v>462</v>
      </c>
      <c r="C65" s="89">
        <f t="shared" si="0"/>
        <v>0</v>
      </c>
      <c r="D65" s="89">
        <f t="shared" si="1"/>
        <v>0</v>
      </c>
      <c r="E65" s="89">
        <f t="shared" si="1"/>
        <v>0</v>
      </c>
      <c r="F65" s="89">
        <f t="shared" si="1"/>
        <v>690.97</v>
      </c>
      <c r="G65" s="89">
        <f t="shared" si="1"/>
        <v>725.53</v>
      </c>
      <c r="H65" s="89">
        <f t="shared" si="1"/>
        <v>725.53</v>
      </c>
      <c r="I65" s="89">
        <f t="shared" si="1"/>
        <v>725.53</v>
      </c>
      <c r="J65" s="89">
        <f t="shared" si="1"/>
        <v>725.53</v>
      </c>
      <c r="K65" s="89">
        <f t="shared" si="1"/>
        <v>725.53</v>
      </c>
      <c r="L65" s="804">
        <f t="shared" si="2"/>
        <v>725.53</v>
      </c>
    </row>
    <row r="66" spans="1:12" ht="33" thickTop="1" thickBot="1">
      <c r="A66" s="88" t="s">
        <v>479</v>
      </c>
      <c r="B66" s="86" t="s">
        <v>544</v>
      </c>
      <c r="C66" s="89">
        <f t="shared" si="0"/>
        <v>0</v>
      </c>
      <c r="D66" s="89">
        <f t="shared" si="1"/>
        <v>0</v>
      </c>
      <c r="E66" s="89">
        <f t="shared" si="1"/>
        <v>0</v>
      </c>
      <c r="F66" s="89">
        <f t="shared" si="1"/>
        <v>0</v>
      </c>
      <c r="G66" s="89">
        <f t="shared" si="1"/>
        <v>0</v>
      </c>
      <c r="H66" s="89">
        <f t="shared" si="1"/>
        <v>26</v>
      </c>
      <c r="I66" s="89">
        <f t="shared" si="1"/>
        <v>26</v>
      </c>
      <c r="J66" s="89">
        <f t="shared" si="1"/>
        <v>26</v>
      </c>
      <c r="K66" s="89">
        <f t="shared" si="1"/>
        <v>26</v>
      </c>
      <c r="L66" s="803">
        <f t="shared" si="2"/>
        <v>26</v>
      </c>
    </row>
    <row r="67" spans="1:12" ht="48.75" thickTop="1" thickBot="1">
      <c r="A67" s="88" t="s">
        <v>464</v>
      </c>
      <c r="B67" s="86" t="s">
        <v>545</v>
      </c>
      <c r="C67" s="89">
        <f t="shared" si="0"/>
        <v>0</v>
      </c>
      <c r="D67" s="89">
        <f t="shared" ref="D67:K76" si="3">SUM(C67+D14)</f>
        <v>0</v>
      </c>
      <c r="E67" s="89">
        <f t="shared" si="3"/>
        <v>0</v>
      </c>
      <c r="F67" s="89">
        <f t="shared" si="3"/>
        <v>0</v>
      </c>
      <c r="G67" s="89">
        <f t="shared" si="3"/>
        <v>240</v>
      </c>
      <c r="H67" s="89">
        <f t="shared" si="3"/>
        <v>524</v>
      </c>
      <c r="I67" s="89">
        <f t="shared" si="3"/>
        <v>946</v>
      </c>
      <c r="J67" s="89">
        <f t="shared" si="3"/>
        <v>946</v>
      </c>
      <c r="K67" s="89">
        <f t="shared" si="3"/>
        <v>946</v>
      </c>
      <c r="L67" s="803">
        <f t="shared" si="2"/>
        <v>946</v>
      </c>
    </row>
    <row r="68" spans="1:12" ht="48.75" thickTop="1" thickBot="1">
      <c r="A68" s="88" t="s">
        <v>472</v>
      </c>
      <c r="B68" s="86" t="s">
        <v>546</v>
      </c>
      <c r="C68" s="89">
        <f t="shared" si="0"/>
        <v>0</v>
      </c>
      <c r="D68" s="89">
        <f t="shared" si="3"/>
        <v>0</v>
      </c>
      <c r="E68" s="89">
        <f t="shared" si="3"/>
        <v>0</v>
      </c>
      <c r="F68" s="286">
        <f t="shared" si="3"/>
        <v>0</v>
      </c>
      <c r="G68" s="89">
        <f t="shared" si="3"/>
        <v>0</v>
      </c>
      <c r="H68" s="89">
        <f t="shared" si="3"/>
        <v>25724</v>
      </c>
      <c r="I68" s="89">
        <f t="shared" si="3"/>
        <v>41611</v>
      </c>
      <c r="J68" s="89">
        <f t="shared" si="3"/>
        <v>41611</v>
      </c>
      <c r="K68" s="89">
        <f t="shared" si="3"/>
        <v>41611</v>
      </c>
      <c r="L68" s="803">
        <f t="shared" si="2"/>
        <v>41611</v>
      </c>
    </row>
    <row r="69" spans="1:12" ht="33" thickTop="1" thickBot="1">
      <c r="A69" s="88" t="s">
        <v>466</v>
      </c>
      <c r="B69" s="86" t="s">
        <v>547</v>
      </c>
      <c r="C69" s="89">
        <f t="shared" si="0"/>
        <v>0</v>
      </c>
      <c r="D69" s="89">
        <f t="shared" si="3"/>
        <v>0</v>
      </c>
      <c r="E69" s="89">
        <f t="shared" si="3"/>
        <v>0</v>
      </c>
      <c r="F69" s="89">
        <f t="shared" si="3"/>
        <v>0</v>
      </c>
      <c r="G69" s="89">
        <f t="shared" si="3"/>
        <v>210</v>
      </c>
      <c r="H69" s="89">
        <f t="shared" si="3"/>
        <v>1054</v>
      </c>
      <c r="I69" s="89">
        <f t="shared" si="3"/>
        <v>1486</v>
      </c>
      <c r="J69" s="89">
        <f t="shared" si="3"/>
        <v>1486</v>
      </c>
      <c r="K69" s="89">
        <f t="shared" si="3"/>
        <v>1486</v>
      </c>
      <c r="L69" s="803">
        <f t="shared" si="2"/>
        <v>1486</v>
      </c>
    </row>
    <row r="70" spans="1:12" ht="48.75" thickTop="1" thickBot="1">
      <c r="A70" s="88" t="s">
        <v>468</v>
      </c>
      <c r="B70" s="86" t="s">
        <v>548</v>
      </c>
      <c r="C70" s="89">
        <f t="shared" si="0"/>
        <v>0</v>
      </c>
      <c r="D70" s="89">
        <f t="shared" si="3"/>
        <v>0</v>
      </c>
      <c r="E70" s="89">
        <f t="shared" si="3"/>
        <v>0</v>
      </c>
      <c r="F70" s="89">
        <f t="shared" si="3"/>
        <v>0</v>
      </c>
      <c r="G70" s="89">
        <f t="shared" si="3"/>
        <v>210</v>
      </c>
      <c r="H70" s="89">
        <f t="shared" si="3"/>
        <v>1449</v>
      </c>
      <c r="I70" s="89">
        <f t="shared" si="3"/>
        <v>1449</v>
      </c>
      <c r="J70" s="89">
        <f t="shared" si="3"/>
        <v>1449</v>
      </c>
      <c r="K70" s="89">
        <f t="shared" si="3"/>
        <v>1449</v>
      </c>
      <c r="L70" s="803">
        <f t="shared" si="2"/>
        <v>1449</v>
      </c>
    </row>
    <row r="71" spans="1:12" ht="48.75" thickTop="1" thickBot="1">
      <c r="A71" s="88" t="s">
        <v>536</v>
      </c>
      <c r="B71" s="86" t="s">
        <v>539</v>
      </c>
      <c r="C71" s="89">
        <f t="shared" si="0"/>
        <v>0</v>
      </c>
      <c r="D71" s="89">
        <f t="shared" si="3"/>
        <v>0</v>
      </c>
      <c r="E71" s="89">
        <f t="shared" si="3"/>
        <v>0</v>
      </c>
      <c r="F71" s="89">
        <f t="shared" si="3"/>
        <v>1</v>
      </c>
      <c r="G71" s="89">
        <f t="shared" si="3"/>
        <v>1</v>
      </c>
      <c r="H71" s="89">
        <f t="shared" si="3"/>
        <v>1</v>
      </c>
      <c r="I71" s="89">
        <f t="shared" si="3"/>
        <v>2</v>
      </c>
      <c r="J71" s="89">
        <f t="shared" si="3"/>
        <v>2</v>
      </c>
      <c r="K71" s="89">
        <f t="shared" si="3"/>
        <v>2</v>
      </c>
      <c r="L71" s="803">
        <f t="shared" si="2"/>
        <v>2</v>
      </c>
    </row>
    <row r="72" spans="1:12" ht="33" thickTop="1" thickBot="1">
      <c r="A72" s="88" t="s">
        <v>531</v>
      </c>
      <c r="B72" s="90" t="s">
        <v>549</v>
      </c>
      <c r="C72" s="89">
        <f t="shared" si="0"/>
        <v>0</v>
      </c>
      <c r="D72" s="89">
        <f t="shared" si="3"/>
        <v>0</v>
      </c>
      <c r="E72" s="89">
        <f t="shared" si="3"/>
        <v>0</v>
      </c>
      <c r="F72" s="89">
        <f t="shared" si="3"/>
        <v>49</v>
      </c>
      <c r="G72" s="89">
        <f t="shared" si="3"/>
        <v>74</v>
      </c>
      <c r="H72" s="89">
        <f t="shared" si="3"/>
        <v>74</v>
      </c>
      <c r="I72" s="89">
        <f t="shared" si="3"/>
        <v>82</v>
      </c>
      <c r="J72" s="89">
        <f t="shared" si="3"/>
        <v>112</v>
      </c>
      <c r="K72" s="89">
        <f t="shared" si="3"/>
        <v>112</v>
      </c>
      <c r="L72" s="803">
        <f t="shared" si="2"/>
        <v>112</v>
      </c>
    </row>
    <row r="73" spans="1:12" ht="17.25" thickTop="1" thickBot="1">
      <c r="A73" s="88" t="s">
        <v>532</v>
      </c>
      <c r="B73" s="90" t="s">
        <v>533</v>
      </c>
      <c r="C73" s="89">
        <f t="shared" si="0"/>
        <v>0</v>
      </c>
      <c r="D73" s="89">
        <f t="shared" si="3"/>
        <v>0</v>
      </c>
      <c r="E73" s="89">
        <f t="shared" si="3"/>
        <v>0</v>
      </c>
      <c r="F73" s="89">
        <f t="shared" si="3"/>
        <v>3</v>
      </c>
      <c r="G73" s="89">
        <f t="shared" si="3"/>
        <v>3</v>
      </c>
      <c r="H73" s="89">
        <f t="shared" si="3"/>
        <v>3</v>
      </c>
      <c r="I73" s="89">
        <f t="shared" si="3"/>
        <v>3</v>
      </c>
      <c r="J73" s="89">
        <f t="shared" si="3"/>
        <v>3</v>
      </c>
      <c r="K73" s="89">
        <f t="shared" si="3"/>
        <v>3</v>
      </c>
      <c r="L73" s="803">
        <f t="shared" si="2"/>
        <v>3</v>
      </c>
    </row>
    <row r="74" spans="1:12" ht="17.25" thickTop="1" thickBot="1">
      <c r="A74" s="88" t="s">
        <v>483</v>
      </c>
      <c r="B74" s="90" t="s">
        <v>550</v>
      </c>
      <c r="C74" s="89">
        <f>SUM(C20)</f>
        <v>0</v>
      </c>
      <c r="D74" s="89">
        <f t="shared" si="3"/>
        <v>0</v>
      </c>
      <c r="E74" s="89">
        <f t="shared" si="3"/>
        <v>0</v>
      </c>
      <c r="F74" s="89">
        <f t="shared" si="3"/>
        <v>1</v>
      </c>
      <c r="G74" s="89">
        <f t="shared" si="3"/>
        <v>5</v>
      </c>
      <c r="H74" s="89">
        <f t="shared" si="3"/>
        <v>5</v>
      </c>
      <c r="I74" s="89">
        <f t="shared" si="3"/>
        <v>5</v>
      </c>
      <c r="J74" s="89">
        <f t="shared" si="3"/>
        <v>5</v>
      </c>
      <c r="K74" s="89">
        <f t="shared" si="3"/>
        <v>5</v>
      </c>
      <c r="L74" s="803">
        <f t="shared" si="2"/>
        <v>5</v>
      </c>
    </row>
    <row r="75" spans="1:12" ht="17.25" thickTop="1" thickBot="1">
      <c r="A75" s="88" t="s">
        <v>792</v>
      </c>
      <c r="B75" s="90" t="s">
        <v>793</v>
      </c>
      <c r="C75" s="89">
        <f>SUM(C21)</f>
        <v>0</v>
      </c>
      <c r="D75" s="89">
        <f t="shared" si="3"/>
        <v>0</v>
      </c>
      <c r="E75" s="89">
        <f t="shared" si="3"/>
        <v>1</v>
      </c>
      <c r="F75" s="89">
        <f t="shared" si="3"/>
        <v>2</v>
      </c>
      <c r="G75" s="89">
        <f t="shared" si="3"/>
        <v>2</v>
      </c>
      <c r="H75" s="89">
        <f t="shared" si="3"/>
        <v>2</v>
      </c>
      <c r="I75" s="89">
        <f t="shared" si="3"/>
        <v>2</v>
      </c>
      <c r="J75" s="89">
        <f t="shared" si="3"/>
        <v>2</v>
      </c>
      <c r="K75" s="89">
        <f t="shared" si="3"/>
        <v>2</v>
      </c>
      <c r="L75" s="803">
        <f t="shared" si="2"/>
        <v>2</v>
      </c>
    </row>
    <row r="76" spans="1:12" ht="17.25" thickTop="1" thickBot="1">
      <c r="A76" s="88" t="s">
        <v>502</v>
      </c>
      <c r="B76" s="90" t="s">
        <v>503</v>
      </c>
      <c r="C76" s="89">
        <f t="shared" ref="C76:C105" si="4">SUM(C23)</f>
        <v>0</v>
      </c>
      <c r="D76" s="89">
        <f t="shared" si="3"/>
        <v>0</v>
      </c>
      <c r="E76" s="89">
        <f t="shared" si="3"/>
        <v>0</v>
      </c>
      <c r="F76" s="89">
        <f t="shared" si="3"/>
        <v>0.72</v>
      </c>
      <c r="G76" s="89">
        <f t="shared" si="3"/>
        <v>0.72</v>
      </c>
      <c r="H76" s="89">
        <f t="shared" si="3"/>
        <v>0.72</v>
      </c>
      <c r="I76" s="89">
        <f t="shared" si="3"/>
        <v>0.72</v>
      </c>
      <c r="J76" s="89">
        <f t="shared" si="3"/>
        <v>0.72</v>
      </c>
      <c r="K76" s="89">
        <f t="shared" si="3"/>
        <v>0.72</v>
      </c>
      <c r="L76" s="803">
        <f t="shared" si="2"/>
        <v>0.72</v>
      </c>
    </row>
    <row r="77" spans="1:12" ht="48.75" thickTop="1" thickBot="1">
      <c r="A77" s="88" t="s">
        <v>1193</v>
      </c>
      <c r="B77" s="90" t="s">
        <v>1194</v>
      </c>
      <c r="C77" s="89">
        <f t="shared" si="4"/>
        <v>0</v>
      </c>
      <c r="D77" s="89">
        <f t="shared" ref="D77:K86" si="5">SUM(C77+D24)</f>
        <v>0</v>
      </c>
      <c r="E77" s="89">
        <f t="shared" si="5"/>
        <v>0</v>
      </c>
      <c r="F77" s="89">
        <f t="shared" si="5"/>
        <v>0</v>
      </c>
      <c r="G77" s="89">
        <f t="shared" si="5"/>
        <v>0</v>
      </c>
      <c r="H77" s="89">
        <f t="shared" si="5"/>
        <v>0</v>
      </c>
      <c r="I77" s="89">
        <f t="shared" si="5"/>
        <v>146</v>
      </c>
      <c r="J77" s="89">
        <f t="shared" si="5"/>
        <v>180</v>
      </c>
      <c r="K77" s="89">
        <f t="shared" si="5"/>
        <v>180</v>
      </c>
      <c r="L77" s="803">
        <f t="shared" si="2"/>
        <v>180</v>
      </c>
    </row>
    <row r="78" spans="1:12" ht="28.5" customHeight="1" thickTop="1" thickBot="1">
      <c r="A78" s="88" t="str">
        <f>CONCATENATE(A25)</f>
        <v>P.N.671</v>
      </c>
      <c r="B78" s="88" t="str">
        <f>CONCATENATE(B25)</f>
        <v>Modernizuoti savivaldybių visuomenės sveikatos biurai</v>
      </c>
      <c r="C78" s="89">
        <f t="shared" si="4"/>
        <v>0</v>
      </c>
      <c r="D78" s="89">
        <f t="shared" si="5"/>
        <v>0</v>
      </c>
      <c r="E78" s="89">
        <f t="shared" si="5"/>
        <v>0</v>
      </c>
      <c r="F78" s="89">
        <f t="shared" si="5"/>
        <v>1</v>
      </c>
      <c r="G78" s="89">
        <f t="shared" si="5"/>
        <v>1</v>
      </c>
      <c r="H78" s="89">
        <f t="shared" si="5"/>
        <v>1</v>
      </c>
      <c r="I78" s="89">
        <f t="shared" si="5"/>
        <v>2</v>
      </c>
      <c r="J78" s="89">
        <f t="shared" si="5"/>
        <v>2</v>
      </c>
      <c r="K78" s="89">
        <f t="shared" si="5"/>
        <v>2</v>
      </c>
      <c r="L78" s="803">
        <f t="shared" si="2"/>
        <v>2</v>
      </c>
    </row>
    <row r="79" spans="1:12" ht="33" thickTop="1" thickBot="1">
      <c r="A79" s="88" t="s">
        <v>510</v>
      </c>
      <c r="B79" s="90" t="s">
        <v>551</v>
      </c>
      <c r="C79" s="89">
        <f t="shared" si="4"/>
        <v>0</v>
      </c>
      <c r="D79" s="89">
        <f t="shared" si="5"/>
        <v>0</v>
      </c>
      <c r="E79" s="89">
        <f t="shared" si="5"/>
        <v>0</v>
      </c>
      <c r="F79" s="89">
        <f t="shared" si="5"/>
        <v>0</v>
      </c>
      <c r="G79" s="89">
        <f t="shared" si="5"/>
        <v>4</v>
      </c>
      <c r="H79" s="89">
        <f t="shared" si="5"/>
        <v>7</v>
      </c>
      <c r="I79" s="89">
        <f t="shared" si="5"/>
        <v>7</v>
      </c>
      <c r="J79" s="89">
        <f t="shared" si="5"/>
        <v>7</v>
      </c>
      <c r="K79" s="89">
        <f t="shared" si="5"/>
        <v>7</v>
      </c>
      <c r="L79" s="803">
        <f t="shared" si="2"/>
        <v>7</v>
      </c>
    </row>
    <row r="80" spans="1:12" ht="33" thickTop="1" thickBot="1">
      <c r="A80" s="88" t="s">
        <v>552</v>
      </c>
      <c r="B80" s="90" t="s">
        <v>553</v>
      </c>
      <c r="C80" s="89">
        <f t="shared" si="4"/>
        <v>0</v>
      </c>
      <c r="D80" s="89">
        <f t="shared" si="5"/>
        <v>0</v>
      </c>
      <c r="E80" s="89">
        <f t="shared" si="5"/>
        <v>0</v>
      </c>
      <c r="F80" s="89">
        <f t="shared" si="5"/>
        <v>0</v>
      </c>
      <c r="G80" s="89">
        <f t="shared" si="5"/>
        <v>8</v>
      </c>
      <c r="H80" s="89">
        <f t="shared" si="5"/>
        <v>8</v>
      </c>
      <c r="I80" s="89">
        <f t="shared" si="5"/>
        <v>8</v>
      </c>
      <c r="J80" s="89">
        <f t="shared" si="5"/>
        <v>8</v>
      </c>
      <c r="K80" s="89">
        <f t="shared" si="5"/>
        <v>8</v>
      </c>
      <c r="L80" s="803">
        <f t="shared" si="2"/>
        <v>8</v>
      </c>
    </row>
    <row r="81" spans="1:12" ht="33" thickTop="1" thickBot="1">
      <c r="A81" s="88" t="s">
        <v>554</v>
      </c>
      <c r="B81" s="90" t="s">
        <v>555</v>
      </c>
      <c r="C81" s="89">
        <f t="shared" si="4"/>
        <v>0</v>
      </c>
      <c r="D81" s="89">
        <f t="shared" si="5"/>
        <v>0</v>
      </c>
      <c r="E81" s="89">
        <f t="shared" si="5"/>
        <v>0</v>
      </c>
      <c r="F81" s="89">
        <f t="shared" si="5"/>
        <v>1</v>
      </c>
      <c r="G81" s="89">
        <f t="shared" si="5"/>
        <v>4</v>
      </c>
      <c r="H81" s="89">
        <f t="shared" si="5"/>
        <v>5</v>
      </c>
      <c r="I81" s="89">
        <f t="shared" si="5"/>
        <v>5</v>
      </c>
      <c r="J81" s="89">
        <f t="shared" si="5"/>
        <v>5</v>
      </c>
      <c r="K81" s="89">
        <f t="shared" si="5"/>
        <v>5</v>
      </c>
      <c r="L81" s="803">
        <f t="shared" si="2"/>
        <v>5</v>
      </c>
    </row>
    <row r="82" spans="1:12" ht="33" thickTop="1" thickBot="1">
      <c r="A82" s="88" t="s">
        <v>589</v>
      </c>
      <c r="B82" s="90" t="s">
        <v>590</v>
      </c>
      <c r="C82" s="89">
        <f t="shared" si="4"/>
        <v>0</v>
      </c>
      <c r="D82" s="89">
        <f t="shared" si="5"/>
        <v>0</v>
      </c>
      <c r="E82" s="89">
        <f t="shared" si="5"/>
        <v>0</v>
      </c>
      <c r="F82" s="89">
        <f t="shared" si="5"/>
        <v>0</v>
      </c>
      <c r="G82" s="89">
        <f t="shared" si="5"/>
        <v>12</v>
      </c>
      <c r="H82" s="89">
        <f t="shared" si="5"/>
        <v>18</v>
      </c>
      <c r="I82" s="89">
        <f t="shared" si="5"/>
        <v>18</v>
      </c>
      <c r="J82" s="89">
        <f t="shared" si="5"/>
        <v>18</v>
      </c>
      <c r="K82" s="89">
        <f t="shared" si="5"/>
        <v>18</v>
      </c>
      <c r="L82" s="803">
        <f t="shared" si="2"/>
        <v>18</v>
      </c>
    </row>
    <row r="83" spans="1:12" ht="17.25" thickTop="1" thickBot="1">
      <c r="A83" s="88" t="s">
        <v>556</v>
      </c>
      <c r="B83" s="90" t="s">
        <v>482</v>
      </c>
      <c r="C83" s="89">
        <f t="shared" si="4"/>
        <v>0</v>
      </c>
      <c r="D83" s="89">
        <f t="shared" si="5"/>
        <v>0</v>
      </c>
      <c r="E83" s="89">
        <f t="shared" si="5"/>
        <v>0</v>
      </c>
      <c r="F83" s="89">
        <f t="shared" si="5"/>
        <v>294</v>
      </c>
      <c r="G83" s="89">
        <f t="shared" si="5"/>
        <v>595</v>
      </c>
      <c r="H83" s="89">
        <f t="shared" si="5"/>
        <v>595</v>
      </c>
      <c r="I83" s="89">
        <f t="shared" si="5"/>
        <v>633</v>
      </c>
      <c r="J83" s="89">
        <f t="shared" si="5"/>
        <v>633</v>
      </c>
      <c r="K83" s="89">
        <f t="shared" si="5"/>
        <v>633</v>
      </c>
      <c r="L83" s="803">
        <f t="shared" si="2"/>
        <v>633</v>
      </c>
    </row>
    <row r="84" spans="1:12" ht="17.25" thickTop="1" thickBot="1">
      <c r="A84" s="88" t="s">
        <v>524</v>
      </c>
      <c r="B84" s="90" t="s">
        <v>525</v>
      </c>
      <c r="C84" s="89">
        <f t="shared" si="4"/>
        <v>0</v>
      </c>
      <c r="D84" s="89">
        <f t="shared" si="5"/>
        <v>0</v>
      </c>
      <c r="E84" s="89">
        <f t="shared" si="5"/>
        <v>0</v>
      </c>
      <c r="F84" s="89">
        <f t="shared" si="5"/>
        <v>0</v>
      </c>
      <c r="G84" s="89">
        <f t="shared" si="5"/>
        <v>1</v>
      </c>
      <c r="H84" s="89">
        <f t="shared" si="5"/>
        <v>3</v>
      </c>
      <c r="I84" s="89">
        <f t="shared" si="5"/>
        <v>3</v>
      </c>
      <c r="J84" s="89">
        <f t="shared" si="5"/>
        <v>3</v>
      </c>
      <c r="K84" s="89">
        <f t="shared" si="5"/>
        <v>3</v>
      </c>
      <c r="L84" s="803">
        <f t="shared" si="2"/>
        <v>3</v>
      </c>
    </row>
    <row r="85" spans="1:12" ht="33" thickTop="1" thickBot="1">
      <c r="A85" s="88" t="s">
        <v>493</v>
      </c>
      <c r="B85" s="90" t="s">
        <v>557</v>
      </c>
      <c r="C85" s="89">
        <f t="shared" si="4"/>
        <v>0</v>
      </c>
      <c r="D85" s="89">
        <f t="shared" si="5"/>
        <v>0</v>
      </c>
      <c r="E85" s="89">
        <f t="shared" si="5"/>
        <v>0</v>
      </c>
      <c r="F85" s="286">
        <f t="shared" si="5"/>
        <v>0.75</v>
      </c>
      <c r="G85" s="286">
        <f t="shared" si="5"/>
        <v>2.71</v>
      </c>
      <c r="H85" s="286">
        <f t="shared" si="5"/>
        <v>3.71</v>
      </c>
      <c r="I85" s="286">
        <f t="shared" si="5"/>
        <v>3.71</v>
      </c>
      <c r="J85" s="286">
        <f t="shared" si="5"/>
        <v>3.71</v>
      </c>
      <c r="K85" s="286">
        <f t="shared" si="5"/>
        <v>3.71</v>
      </c>
      <c r="L85" s="804">
        <f t="shared" si="2"/>
        <v>3.71</v>
      </c>
    </row>
    <row r="86" spans="1:12" ht="33" thickTop="1" thickBot="1">
      <c r="A86" s="88" t="s">
        <v>496</v>
      </c>
      <c r="B86" s="86" t="s">
        <v>558</v>
      </c>
      <c r="C86" s="89">
        <f t="shared" si="4"/>
        <v>0</v>
      </c>
      <c r="D86" s="89">
        <f t="shared" si="5"/>
        <v>0</v>
      </c>
      <c r="E86" s="89">
        <f t="shared" si="5"/>
        <v>0</v>
      </c>
      <c r="F86" s="286">
        <f t="shared" si="5"/>
        <v>0</v>
      </c>
      <c r="G86" s="286">
        <f t="shared" si="5"/>
        <v>0</v>
      </c>
      <c r="H86" s="286">
        <f t="shared" si="5"/>
        <v>0.69</v>
      </c>
      <c r="I86" s="286">
        <f t="shared" si="5"/>
        <v>0.69</v>
      </c>
      <c r="J86" s="286">
        <f t="shared" si="5"/>
        <v>0.69</v>
      </c>
      <c r="K86" s="286">
        <f t="shared" si="5"/>
        <v>0.69</v>
      </c>
      <c r="L86" s="804">
        <f t="shared" si="2"/>
        <v>0.69</v>
      </c>
    </row>
    <row r="87" spans="1:12" ht="22.5" customHeight="1" thickTop="1" thickBot="1">
      <c r="A87" s="88" t="s">
        <v>491</v>
      </c>
      <c r="B87" s="86" t="s">
        <v>559</v>
      </c>
      <c r="C87" s="89">
        <f t="shared" si="4"/>
        <v>0</v>
      </c>
      <c r="D87" s="89">
        <f t="shared" ref="D87:K96" si="6">SUM(C87+D34)</f>
        <v>0</v>
      </c>
      <c r="E87" s="89">
        <f t="shared" si="6"/>
        <v>0</v>
      </c>
      <c r="F87" s="89">
        <f t="shared" si="6"/>
        <v>0</v>
      </c>
      <c r="G87" s="89">
        <f t="shared" si="6"/>
        <v>0</v>
      </c>
      <c r="H87" s="89">
        <f t="shared" si="6"/>
        <v>2</v>
      </c>
      <c r="I87" s="89">
        <f t="shared" si="6"/>
        <v>5</v>
      </c>
      <c r="J87" s="89">
        <f t="shared" si="6"/>
        <v>5</v>
      </c>
      <c r="K87" s="89">
        <f t="shared" si="6"/>
        <v>5</v>
      </c>
      <c r="L87" s="803">
        <f t="shared" si="2"/>
        <v>5</v>
      </c>
    </row>
    <row r="88" spans="1:12" ht="22.5" customHeight="1" thickTop="1" thickBot="1">
      <c r="A88" s="88" t="s">
        <v>1411</v>
      </c>
      <c r="B88" s="86" t="s">
        <v>1412</v>
      </c>
      <c r="C88" s="89">
        <f t="shared" si="4"/>
        <v>0</v>
      </c>
      <c r="D88" s="89">
        <f t="shared" si="6"/>
        <v>0</v>
      </c>
      <c r="E88" s="89">
        <f t="shared" si="6"/>
        <v>0</v>
      </c>
      <c r="F88" s="89">
        <f t="shared" si="6"/>
        <v>0</v>
      </c>
      <c r="G88" s="89">
        <f t="shared" si="6"/>
        <v>0</v>
      </c>
      <c r="H88" s="89">
        <f t="shared" si="6"/>
        <v>1</v>
      </c>
      <c r="I88" s="89">
        <f t="shared" si="6"/>
        <v>1</v>
      </c>
      <c r="J88" s="89">
        <f t="shared" si="6"/>
        <v>1</v>
      </c>
      <c r="K88" s="89">
        <f t="shared" si="6"/>
        <v>1</v>
      </c>
      <c r="L88" s="803">
        <f t="shared" si="2"/>
        <v>1</v>
      </c>
    </row>
    <row r="89" spans="1:12" ht="33" thickTop="1" thickBot="1">
      <c r="A89" s="88" t="s">
        <v>488</v>
      </c>
      <c r="B89" s="86" t="s">
        <v>560</v>
      </c>
      <c r="C89" s="89">
        <f t="shared" si="4"/>
        <v>0</v>
      </c>
      <c r="D89" s="89">
        <f t="shared" si="6"/>
        <v>0</v>
      </c>
      <c r="E89" s="89">
        <f t="shared" si="6"/>
        <v>0</v>
      </c>
      <c r="F89" s="89">
        <f t="shared" si="6"/>
        <v>0</v>
      </c>
      <c r="G89" s="89">
        <f t="shared" si="6"/>
        <v>2</v>
      </c>
      <c r="H89" s="89">
        <f t="shared" si="6"/>
        <v>3</v>
      </c>
      <c r="I89" s="89">
        <f t="shared" si="6"/>
        <v>7</v>
      </c>
      <c r="J89" s="89">
        <f t="shared" si="6"/>
        <v>7</v>
      </c>
      <c r="K89" s="89">
        <f t="shared" si="6"/>
        <v>7</v>
      </c>
      <c r="L89" s="803">
        <f t="shared" si="2"/>
        <v>7</v>
      </c>
    </row>
    <row r="90" spans="1:12" ht="48.75" thickTop="1" thickBot="1">
      <c r="A90" s="88" t="s">
        <v>477</v>
      </c>
      <c r="B90" s="86" t="s">
        <v>478</v>
      </c>
      <c r="C90" s="89">
        <f t="shared" si="4"/>
        <v>0</v>
      </c>
      <c r="D90" s="89">
        <f t="shared" si="6"/>
        <v>0</v>
      </c>
      <c r="E90" s="89">
        <f t="shared" si="6"/>
        <v>0</v>
      </c>
      <c r="F90" s="89">
        <f t="shared" si="6"/>
        <v>0</v>
      </c>
      <c r="G90" s="89">
        <f t="shared" si="6"/>
        <v>0</v>
      </c>
      <c r="H90" s="286">
        <f t="shared" si="6"/>
        <v>262.58999999999997</v>
      </c>
      <c r="I90" s="286">
        <f t="shared" si="6"/>
        <v>262.58999999999997</v>
      </c>
      <c r="J90" s="286">
        <f t="shared" si="6"/>
        <v>262.58999999999997</v>
      </c>
      <c r="K90" s="286">
        <f t="shared" si="6"/>
        <v>262.58999999999997</v>
      </c>
      <c r="L90" s="804">
        <f t="shared" si="2"/>
        <v>262.58999999999997</v>
      </c>
    </row>
    <row r="91" spans="1:12" ht="33" thickTop="1" thickBot="1">
      <c r="A91" s="88" t="s">
        <v>527</v>
      </c>
      <c r="B91" s="86" t="s">
        <v>561</v>
      </c>
      <c r="C91" s="89">
        <f t="shared" si="4"/>
        <v>0</v>
      </c>
      <c r="D91" s="89">
        <f t="shared" si="6"/>
        <v>0</v>
      </c>
      <c r="E91" s="89">
        <f t="shared" si="6"/>
        <v>0</v>
      </c>
      <c r="F91" s="286">
        <f t="shared" si="6"/>
        <v>0</v>
      </c>
      <c r="G91" s="286">
        <f t="shared" si="6"/>
        <v>7187.76</v>
      </c>
      <c r="H91" s="286">
        <f t="shared" si="6"/>
        <v>7187.76</v>
      </c>
      <c r="I91" s="286">
        <f t="shared" si="6"/>
        <v>7187.76</v>
      </c>
      <c r="J91" s="286">
        <f t="shared" si="6"/>
        <v>7187.76</v>
      </c>
      <c r="K91" s="286">
        <f t="shared" si="6"/>
        <v>7187.76</v>
      </c>
      <c r="L91" s="804">
        <f t="shared" si="2"/>
        <v>7187.76</v>
      </c>
    </row>
    <row r="92" spans="1:12" ht="33" thickTop="1" thickBot="1">
      <c r="A92" s="88" t="s">
        <v>470</v>
      </c>
      <c r="B92" s="86" t="s">
        <v>562</v>
      </c>
      <c r="C92" s="89">
        <f t="shared" si="4"/>
        <v>0</v>
      </c>
      <c r="D92" s="89">
        <f t="shared" si="6"/>
        <v>0</v>
      </c>
      <c r="E92" s="89">
        <f t="shared" si="6"/>
        <v>0</v>
      </c>
      <c r="F92" s="286">
        <f t="shared" si="6"/>
        <v>0</v>
      </c>
      <c r="G92" s="286">
        <f t="shared" si="6"/>
        <v>0</v>
      </c>
      <c r="H92" s="286">
        <f t="shared" si="6"/>
        <v>19.520000000000003</v>
      </c>
      <c r="I92" s="286">
        <f t="shared" si="6"/>
        <v>22.720000000000002</v>
      </c>
      <c r="J92" s="286">
        <f t="shared" si="6"/>
        <v>22.720000000000002</v>
      </c>
      <c r="K92" s="286">
        <f t="shared" si="6"/>
        <v>22.720000000000002</v>
      </c>
      <c r="L92" s="804">
        <f t="shared" si="2"/>
        <v>22.720000000000002</v>
      </c>
    </row>
    <row r="93" spans="1:12" ht="33" thickTop="1" thickBot="1">
      <c r="A93" s="88" t="s">
        <v>485</v>
      </c>
      <c r="B93" s="86" t="s">
        <v>486</v>
      </c>
      <c r="C93" s="89">
        <f t="shared" si="4"/>
        <v>0</v>
      </c>
      <c r="D93" s="89">
        <f t="shared" si="6"/>
        <v>0</v>
      </c>
      <c r="E93" s="89">
        <f t="shared" si="6"/>
        <v>0</v>
      </c>
      <c r="F93" s="89">
        <f t="shared" si="6"/>
        <v>0</v>
      </c>
      <c r="G93" s="89">
        <f t="shared" si="6"/>
        <v>2</v>
      </c>
      <c r="H93" s="89">
        <f t="shared" si="6"/>
        <v>5</v>
      </c>
      <c r="I93" s="89">
        <f t="shared" si="6"/>
        <v>5</v>
      </c>
      <c r="J93" s="89">
        <f t="shared" si="6"/>
        <v>5</v>
      </c>
      <c r="K93" s="89">
        <f t="shared" si="6"/>
        <v>5</v>
      </c>
      <c r="L93" s="803">
        <f t="shared" si="2"/>
        <v>5</v>
      </c>
    </row>
    <row r="94" spans="1:12" ht="33" thickTop="1" thickBot="1">
      <c r="A94" s="88" t="s">
        <v>534</v>
      </c>
      <c r="B94" s="86" t="s">
        <v>563</v>
      </c>
      <c r="C94" s="89">
        <f t="shared" si="4"/>
        <v>0</v>
      </c>
      <c r="D94" s="89">
        <f t="shared" si="6"/>
        <v>0</v>
      </c>
      <c r="E94" s="89">
        <f t="shared" si="6"/>
        <v>0</v>
      </c>
      <c r="F94" s="89">
        <f t="shared" si="6"/>
        <v>2</v>
      </c>
      <c r="G94" s="89">
        <f t="shared" si="6"/>
        <v>2</v>
      </c>
      <c r="H94" s="89">
        <f t="shared" si="6"/>
        <v>3</v>
      </c>
      <c r="I94" s="89">
        <f t="shared" si="6"/>
        <v>3</v>
      </c>
      <c r="J94" s="89">
        <f t="shared" si="6"/>
        <v>4</v>
      </c>
      <c r="K94" s="89">
        <f t="shared" si="6"/>
        <v>4</v>
      </c>
      <c r="L94" s="803">
        <f t="shared" si="2"/>
        <v>4</v>
      </c>
    </row>
    <row r="95" spans="1:12" ht="33" thickTop="1" thickBot="1">
      <c r="A95" s="439" t="s">
        <v>500</v>
      </c>
      <c r="B95" s="86" t="s">
        <v>501</v>
      </c>
      <c r="C95" s="89">
        <f t="shared" si="4"/>
        <v>0</v>
      </c>
      <c r="D95" s="89">
        <f t="shared" si="6"/>
        <v>0</v>
      </c>
      <c r="E95" s="89">
        <f t="shared" si="6"/>
        <v>0</v>
      </c>
      <c r="F95" s="89">
        <f t="shared" si="6"/>
        <v>0</v>
      </c>
      <c r="G95" s="89">
        <f t="shared" si="6"/>
        <v>10</v>
      </c>
      <c r="H95" s="89">
        <f t="shared" si="6"/>
        <v>13</v>
      </c>
      <c r="I95" s="89">
        <f t="shared" si="6"/>
        <v>13</v>
      </c>
      <c r="J95" s="89">
        <f t="shared" si="6"/>
        <v>13</v>
      </c>
      <c r="K95" s="89">
        <f t="shared" si="6"/>
        <v>13</v>
      </c>
      <c r="L95" s="803">
        <f t="shared" si="2"/>
        <v>13</v>
      </c>
    </row>
    <row r="96" spans="1:12" ht="33" thickTop="1" thickBot="1">
      <c r="A96" s="88" t="s">
        <v>515</v>
      </c>
      <c r="B96" s="86" t="s">
        <v>564</v>
      </c>
      <c r="C96" s="89">
        <f t="shared" si="4"/>
        <v>0</v>
      </c>
      <c r="D96" s="89">
        <f t="shared" si="6"/>
        <v>0</v>
      </c>
      <c r="E96" s="89">
        <f t="shared" si="6"/>
        <v>0</v>
      </c>
      <c r="F96" s="89">
        <f t="shared" si="6"/>
        <v>1</v>
      </c>
      <c r="G96" s="89">
        <f t="shared" si="6"/>
        <v>5</v>
      </c>
      <c r="H96" s="89">
        <f t="shared" si="6"/>
        <v>5</v>
      </c>
      <c r="I96" s="89">
        <f t="shared" si="6"/>
        <v>5</v>
      </c>
      <c r="J96" s="89">
        <f t="shared" si="6"/>
        <v>5</v>
      </c>
      <c r="K96" s="89">
        <f t="shared" si="6"/>
        <v>5</v>
      </c>
      <c r="L96" s="803">
        <f t="shared" si="2"/>
        <v>5</v>
      </c>
    </row>
    <row r="97" spans="1:12" ht="17.25" thickTop="1" thickBot="1">
      <c r="A97" s="88" t="s">
        <v>518</v>
      </c>
      <c r="B97" s="86" t="s">
        <v>565</v>
      </c>
      <c r="C97" s="89">
        <f t="shared" si="4"/>
        <v>0</v>
      </c>
      <c r="D97" s="89">
        <f t="shared" ref="D97:K105" si="7">SUM(C97+D44)</f>
        <v>0</v>
      </c>
      <c r="E97" s="89">
        <f t="shared" si="7"/>
        <v>0</v>
      </c>
      <c r="F97" s="89">
        <f t="shared" si="7"/>
        <v>6</v>
      </c>
      <c r="G97" s="89">
        <f t="shared" si="7"/>
        <v>106</v>
      </c>
      <c r="H97" s="89">
        <f t="shared" si="7"/>
        <v>106</v>
      </c>
      <c r="I97" s="89">
        <f t="shared" si="7"/>
        <v>106</v>
      </c>
      <c r="J97" s="89">
        <f t="shared" si="7"/>
        <v>106</v>
      </c>
      <c r="K97" s="89">
        <f t="shared" si="7"/>
        <v>106</v>
      </c>
      <c r="L97" s="803">
        <f t="shared" si="2"/>
        <v>106</v>
      </c>
    </row>
    <row r="98" spans="1:12" ht="48.75" thickTop="1" thickBot="1">
      <c r="A98" s="88" t="s">
        <v>1434</v>
      </c>
      <c r="B98" s="86" t="s">
        <v>1435</v>
      </c>
      <c r="C98" s="89">
        <f t="shared" si="4"/>
        <v>0</v>
      </c>
      <c r="D98" s="89">
        <f t="shared" si="7"/>
        <v>0</v>
      </c>
      <c r="E98" s="89">
        <f t="shared" si="7"/>
        <v>0</v>
      </c>
      <c r="F98" s="89">
        <f t="shared" si="7"/>
        <v>0</v>
      </c>
      <c r="G98" s="89">
        <f t="shared" si="7"/>
        <v>3</v>
      </c>
      <c r="H98" s="89">
        <f t="shared" si="7"/>
        <v>10</v>
      </c>
      <c r="I98" s="89">
        <f t="shared" si="7"/>
        <v>17</v>
      </c>
      <c r="J98" s="89">
        <f t="shared" si="7"/>
        <v>17</v>
      </c>
      <c r="K98" s="89">
        <f t="shared" si="7"/>
        <v>17</v>
      </c>
      <c r="L98" s="803">
        <f t="shared" si="2"/>
        <v>17</v>
      </c>
    </row>
    <row r="99" spans="1:12" ht="34.5" thickTop="1" thickBot="1">
      <c r="A99" s="88" t="s">
        <v>381</v>
      </c>
      <c r="B99" s="86" t="s">
        <v>591</v>
      </c>
      <c r="C99" s="89">
        <f t="shared" si="4"/>
        <v>0</v>
      </c>
      <c r="D99" s="89">
        <f t="shared" si="7"/>
        <v>0</v>
      </c>
      <c r="E99" s="89">
        <f t="shared" si="7"/>
        <v>0</v>
      </c>
      <c r="F99" s="89">
        <f t="shared" si="7"/>
        <v>0</v>
      </c>
      <c r="G99" s="286">
        <f t="shared" si="7"/>
        <v>47400</v>
      </c>
      <c r="H99" s="286">
        <f t="shared" si="7"/>
        <v>83184.45</v>
      </c>
      <c r="I99" s="286">
        <f t="shared" si="7"/>
        <v>90624.45</v>
      </c>
      <c r="J99" s="286">
        <f t="shared" si="7"/>
        <v>90624.45</v>
      </c>
      <c r="K99" s="286">
        <f t="shared" si="7"/>
        <v>90624.45</v>
      </c>
      <c r="L99" s="804">
        <f t="shared" si="2"/>
        <v>90624.45</v>
      </c>
    </row>
    <row r="100" spans="1:12" ht="48.75" thickTop="1" thickBot="1">
      <c r="A100" s="88" t="s">
        <v>382</v>
      </c>
      <c r="B100" s="86" t="s">
        <v>383</v>
      </c>
      <c r="C100" s="89">
        <f t="shared" si="4"/>
        <v>0</v>
      </c>
      <c r="D100" s="89">
        <f t="shared" si="7"/>
        <v>0</v>
      </c>
      <c r="E100" s="89">
        <f t="shared" si="7"/>
        <v>0</v>
      </c>
      <c r="F100" s="89">
        <f t="shared" si="7"/>
        <v>0</v>
      </c>
      <c r="G100" s="286">
        <f t="shared" si="7"/>
        <v>0</v>
      </c>
      <c r="H100" s="286">
        <f t="shared" si="7"/>
        <v>539.76</v>
      </c>
      <c r="I100" s="286">
        <f t="shared" si="7"/>
        <v>539.76</v>
      </c>
      <c r="J100" s="286">
        <f t="shared" si="7"/>
        <v>539.76</v>
      </c>
      <c r="K100" s="286">
        <f t="shared" si="7"/>
        <v>539.76</v>
      </c>
      <c r="L100" s="804">
        <f t="shared" si="2"/>
        <v>539.76</v>
      </c>
    </row>
    <row r="101" spans="1:12" ht="48.75" thickTop="1" thickBot="1">
      <c r="A101" s="88" t="str">
        <f>CONCATENATE(A48)</f>
        <v>P.S.372</v>
      </c>
      <c r="B101" s="88" t="str">
        <f>CONCATENATE(B48)</f>
        <v>Tikslinių grupių asmenys, kurie dalyvavo informavimo, švietimo ir mokymo renginiuose bei sveikatos raštingumą didinančiose veiklose</v>
      </c>
      <c r="C101" s="89">
        <f t="shared" si="4"/>
        <v>0</v>
      </c>
      <c r="D101" s="89">
        <f t="shared" si="7"/>
        <v>0</v>
      </c>
      <c r="E101" s="89">
        <f t="shared" si="7"/>
        <v>0</v>
      </c>
      <c r="F101" s="89">
        <f t="shared" si="7"/>
        <v>2271</v>
      </c>
      <c r="G101" s="89">
        <f t="shared" si="7"/>
        <v>5098</v>
      </c>
      <c r="H101" s="89">
        <f>SUM(G101+H48)</f>
        <v>7927</v>
      </c>
      <c r="I101" s="89">
        <f t="shared" si="7"/>
        <v>8941</v>
      </c>
      <c r="J101" s="89">
        <f t="shared" si="7"/>
        <v>8941</v>
      </c>
      <c r="K101" s="89">
        <f t="shared" si="7"/>
        <v>8941</v>
      </c>
      <c r="L101" s="803">
        <f t="shared" si="2"/>
        <v>8941</v>
      </c>
    </row>
    <row r="102" spans="1:12" ht="33" thickTop="1" thickBot="1">
      <c r="A102" s="88" t="s">
        <v>783</v>
      </c>
      <c r="B102" s="86" t="s">
        <v>784</v>
      </c>
      <c r="C102" s="89">
        <f t="shared" si="4"/>
        <v>0</v>
      </c>
      <c r="D102" s="89">
        <f t="shared" si="7"/>
        <v>0</v>
      </c>
      <c r="E102" s="89">
        <f t="shared" si="7"/>
        <v>0</v>
      </c>
      <c r="F102" s="89">
        <f t="shared" si="7"/>
        <v>0</v>
      </c>
      <c r="G102" s="89">
        <f t="shared" si="7"/>
        <v>81</v>
      </c>
      <c r="H102" s="89">
        <f t="shared" si="7"/>
        <v>141</v>
      </c>
      <c r="I102" s="89">
        <f t="shared" si="7"/>
        <v>141</v>
      </c>
      <c r="J102" s="89">
        <f t="shared" si="7"/>
        <v>141</v>
      </c>
      <c r="K102" s="89">
        <f t="shared" si="7"/>
        <v>141</v>
      </c>
      <c r="L102" s="803">
        <f t="shared" si="2"/>
        <v>141</v>
      </c>
    </row>
    <row r="103" spans="1:12" ht="48.75" thickTop="1" thickBot="1">
      <c r="A103" s="88" t="s">
        <v>520</v>
      </c>
      <c r="B103" s="86" t="s">
        <v>566</v>
      </c>
      <c r="C103" s="89">
        <f t="shared" si="4"/>
        <v>0</v>
      </c>
      <c r="D103" s="89">
        <f t="shared" si="7"/>
        <v>0</v>
      </c>
      <c r="E103" s="89">
        <f t="shared" si="7"/>
        <v>0</v>
      </c>
      <c r="F103" s="89">
        <f t="shared" si="7"/>
        <v>0</v>
      </c>
      <c r="G103" s="89">
        <f t="shared" si="7"/>
        <v>1</v>
      </c>
      <c r="H103" s="89">
        <f t="shared" si="7"/>
        <v>95</v>
      </c>
      <c r="I103" s="89">
        <f t="shared" si="7"/>
        <v>95</v>
      </c>
      <c r="J103" s="89">
        <f t="shared" si="7"/>
        <v>95</v>
      </c>
      <c r="K103" s="89">
        <f t="shared" si="7"/>
        <v>95</v>
      </c>
      <c r="L103" s="803">
        <f t="shared" si="2"/>
        <v>95</v>
      </c>
    </row>
    <row r="104" spans="1:12" ht="64.5" thickTop="1" thickBot="1">
      <c r="A104" s="88" t="s">
        <v>522</v>
      </c>
      <c r="B104" s="86" t="s">
        <v>567</v>
      </c>
      <c r="C104" s="89">
        <f t="shared" si="4"/>
        <v>0</v>
      </c>
      <c r="D104" s="89">
        <f t="shared" si="7"/>
        <v>0</v>
      </c>
      <c r="E104" s="89">
        <f t="shared" si="7"/>
        <v>0</v>
      </c>
      <c r="F104" s="89">
        <f t="shared" si="7"/>
        <v>0</v>
      </c>
      <c r="G104" s="89">
        <f t="shared" si="7"/>
        <v>38</v>
      </c>
      <c r="H104" s="89">
        <f t="shared" si="7"/>
        <v>425</v>
      </c>
      <c r="I104" s="89">
        <f t="shared" si="7"/>
        <v>425</v>
      </c>
      <c r="J104" s="89">
        <f t="shared" si="7"/>
        <v>425</v>
      </c>
      <c r="K104" s="89">
        <f t="shared" si="7"/>
        <v>425</v>
      </c>
      <c r="L104" s="803">
        <f t="shared" si="2"/>
        <v>425</v>
      </c>
    </row>
    <row r="105" spans="1:12" ht="33" thickTop="1" thickBot="1">
      <c r="A105" s="88" t="s">
        <v>529</v>
      </c>
      <c r="B105" s="91" t="s">
        <v>568</v>
      </c>
      <c r="C105" s="89">
        <f t="shared" si="4"/>
        <v>0</v>
      </c>
      <c r="D105" s="89">
        <f t="shared" si="7"/>
        <v>0</v>
      </c>
      <c r="E105" s="89">
        <f t="shared" si="7"/>
        <v>0</v>
      </c>
      <c r="F105" s="286">
        <f t="shared" si="7"/>
        <v>39.1</v>
      </c>
      <c r="G105" s="286">
        <f t="shared" si="7"/>
        <v>43</v>
      </c>
      <c r="H105" s="286">
        <f t="shared" si="7"/>
        <v>43</v>
      </c>
      <c r="I105" s="286">
        <f t="shared" si="7"/>
        <v>43</v>
      </c>
      <c r="J105" s="286">
        <f t="shared" si="7"/>
        <v>45</v>
      </c>
      <c r="K105" s="286">
        <f t="shared" si="7"/>
        <v>45</v>
      </c>
      <c r="L105" s="804">
        <f t="shared" ref="L105" si="8">SUM(L52)</f>
        <v>45</v>
      </c>
    </row>
    <row r="106" spans="1:12" ht="15.75" thickTop="1"/>
  </sheetData>
  <mergeCells count="1">
    <mergeCell ref="A55:L55"/>
  </mergeCells>
  <pageMargins left="0.23622047244094491" right="0.23622047244094491" top="0.74803149606299213" bottom="0.74803149606299213" header="0.31496062992125984" footer="0.31496062992125984"/>
  <pageSetup paperSize="9" scale="88" fitToHeight="0" orientation="landscape" r:id="rId1"/>
  <headerFooter>
    <oddHeader>&amp;C&amp;"Times New Roman,Paprastas"&amp;12Alytaus regiono 2014 – 2020 metų plėtros planas</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2:L73"/>
  <sheetViews>
    <sheetView showGridLines="0" showRuler="0" topLeftCell="A52" zoomScaleNormal="100" workbookViewId="0">
      <selection activeCell="F55" sqref="F55"/>
    </sheetView>
  </sheetViews>
  <sheetFormatPr defaultColWidth="9.140625" defaultRowHeight="15"/>
  <cols>
    <col min="1" max="1" width="8.28515625" style="131" customWidth="1"/>
    <col min="2" max="2" width="15.85546875" style="131" customWidth="1"/>
    <col min="3" max="3" width="39" style="131" customWidth="1"/>
    <col min="4" max="4" width="16.28515625" style="131" customWidth="1"/>
    <col min="5" max="5" width="16.42578125" style="131" customWidth="1"/>
    <col min="6" max="6" width="22.5703125" style="131" customWidth="1"/>
    <col min="7" max="7" width="20.28515625" style="131" customWidth="1"/>
    <col min="8" max="8" width="17" style="131" customWidth="1"/>
    <col min="9" max="11" width="9.140625" style="131"/>
    <col min="12" max="12" width="28.5703125" style="131" hidden="1" customWidth="1"/>
    <col min="13" max="16384" width="9.140625" style="131"/>
  </cols>
  <sheetData>
    <row r="2" spans="1:12">
      <c r="A2" s="559" t="s">
        <v>1380</v>
      </c>
    </row>
    <row r="3" spans="1:12">
      <c r="A3" s="559"/>
    </row>
    <row r="4" spans="1:12" ht="15.75">
      <c r="A4" s="745" t="s">
        <v>1614</v>
      </c>
    </row>
    <row r="6" spans="1:12">
      <c r="A6" s="559" t="s">
        <v>1044</v>
      </c>
    </row>
    <row r="7" spans="1:12" ht="15.75" thickBot="1"/>
    <row r="8" spans="1:12" ht="143.25" thickTop="1" thickBot="1">
      <c r="A8" s="800" t="s">
        <v>1045</v>
      </c>
      <c r="B8" s="801" t="s">
        <v>737</v>
      </c>
      <c r="C8" s="801" t="s">
        <v>1046</v>
      </c>
      <c r="D8" s="801" t="s">
        <v>1047</v>
      </c>
      <c r="E8" s="801" t="s">
        <v>1048</v>
      </c>
      <c r="F8" s="801" t="s">
        <v>1049</v>
      </c>
      <c r="G8" s="801" t="s">
        <v>1050</v>
      </c>
      <c r="H8" s="801" t="s">
        <v>1051</v>
      </c>
    </row>
    <row r="9" spans="1:12" ht="127.5" thickTop="1" thickBot="1">
      <c r="A9" s="88" t="s">
        <v>1052</v>
      </c>
      <c r="B9" s="90" t="s">
        <v>1527</v>
      </c>
      <c r="C9" s="90" t="s">
        <v>1528</v>
      </c>
      <c r="D9" s="86" t="s">
        <v>1538</v>
      </c>
      <c r="E9" s="86" t="s">
        <v>1053</v>
      </c>
      <c r="F9" s="86" t="s">
        <v>1054</v>
      </c>
      <c r="G9" s="86" t="s">
        <v>1055</v>
      </c>
      <c r="H9" s="86" t="s">
        <v>671</v>
      </c>
      <c r="L9" s="1672" t="s">
        <v>4355</v>
      </c>
    </row>
    <row r="10" spans="1:12" ht="16.5" thickTop="1">
      <c r="A10" s="2032" t="s">
        <v>1056</v>
      </c>
      <c r="B10" s="2052" t="s">
        <v>868</v>
      </c>
      <c r="C10" s="2052" t="s">
        <v>1057</v>
      </c>
      <c r="D10" s="2032" t="s">
        <v>1543</v>
      </c>
      <c r="E10" s="2032" t="s">
        <v>1058</v>
      </c>
      <c r="F10" s="1005" t="s">
        <v>1059</v>
      </c>
      <c r="G10" s="2032" t="s">
        <v>75</v>
      </c>
      <c r="H10" s="2032" t="s">
        <v>1062</v>
      </c>
    </row>
    <row r="11" spans="1:12" ht="78.75">
      <c r="A11" s="2037"/>
      <c r="B11" s="2053"/>
      <c r="C11" s="2053"/>
      <c r="D11" s="2037"/>
      <c r="E11" s="2037"/>
      <c r="F11" s="320" t="s">
        <v>1060</v>
      </c>
      <c r="G11" s="2037"/>
      <c r="H11" s="2037"/>
    </row>
    <row r="12" spans="1:12" ht="15.75">
      <c r="A12" s="2037"/>
      <c r="B12" s="2053"/>
      <c r="C12" s="2053"/>
      <c r="D12" s="2037"/>
      <c r="E12" s="2037"/>
      <c r="F12" s="320"/>
      <c r="G12" s="2037"/>
      <c r="H12" s="2037"/>
    </row>
    <row r="13" spans="1:12" ht="63">
      <c r="A13" s="2037"/>
      <c r="B13" s="2053"/>
      <c r="C13" s="2053"/>
      <c r="D13" s="2037"/>
      <c r="E13" s="2037"/>
      <c r="F13" s="1005" t="s">
        <v>1615</v>
      </c>
      <c r="G13" s="2037"/>
      <c r="H13" s="2037"/>
    </row>
    <row r="14" spans="1:12" ht="79.5" thickBot="1">
      <c r="A14" s="2038"/>
      <c r="B14" s="2054"/>
      <c r="C14" s="2054"/>
      <c r="D14" s="2038"/>
      <c r="E14" s="2038"/>
      <c r="F14" s="86" t="s">
        <v>1061</v>
      </c>
      <c r="G14" s="2038"/>
      <c r="H14" s="2038"/>
    </row>
    <row r="15" spans="1:12" ht="72.75" customHeight="1" thickTop="1">
      <c r="A15" s="2032">
        <v>3</v>
      </c>
      <c r="B15" s="2052" t="s">
        <v>870</v>
      </c>
      <c r="C15" s="2052" t="s">
        <v>1063</v>
      </c>
      <c r="D15" s="2032" t="s">
        <v>1538</v>
      </c>
      <c r="E15" s="2032" t="s">
        <v>1064</v>
      </c>
      <c r="F15" s="1005" t="s">
        <v>1059</v>
      </c>
      <c r="G15" s="2032" t="s">
        <v>75</v>
      </c>
      <c r="H15" s="2032" t="s">
        <v>1067</v>
      </c>
    </row>
    <row r="16" spans="1:12" ht="63">
      <c r="A16" s="2037"/>
      <c r="B16" s="2053"/>
      <c r="C16" s="2053"/>
      <c r="D16" s="2037"/>
      <c r="E16" s="2037"/>
      <c r="F16" s="320" t="s">
        <v>1065</v>
      </c>
      <c r="G16" s="2037"/>
      <c r="H16" s="2037"/>
    </row>
    <row r="17" spans="1:8" ht="31.5">
      <c r="A17" s="2037"/>
      <c r="B17" s="2053"/>
      <c r="C17" s="2053"/>
      <c r="D17" s="2037"/>
      <c r="E17" s="2037"/>
      <c r="F17" s="320" t="s">
        <v>1066</v>
      </c>
      <c r="G17" s="2037"/>
      <c r="H17" s="2037"/>
    </row>
    <row r="18" spans="1:8" ht="15.75">
      <c r="A18" s="2037"/>
      <c r="B18" s="2053"/>
      <c r="C18" s="2053"/>
      <c r="D18" s="2037"/>
      <c r="E18" s="2037"/>
      <c r="F18" s="320"/>
      <c r="G18" s="2037"/>
      <c r="H18" s="2037"/>
    </row>
    <row r="19" spans="1:8" ht="63">
      <c r="A19" s="2037"/>
      <c r="B19" s="2053"/>
      <c r="C19" s="2053"/>
      <c r="D19" s="2037"/>
      <c r="E19" s="2037"/>
      <c r="F19" s="1005" t="s">
        <v>1615</v>
      </c>
      <c r="G19" s="2037"/>
      <c r="H19" s="2037"/>
    </row>
    <row r="20" spans="1:8" ht="79.5" thickBot="1">
      <c r="A20" s="2038"/>
      <c r="B20" s="2054"/>
      <c r="C20" s="2054"/>
      <c r="D20" s="2038"/>
      <c r="E20" s="2038"/>
      <c r="F20" s="86" t="s">
        <v>1061</v>
      </c>
      <c r="G20" s="2038"/>
      <c r="H20" s="2038"/>
    </row>
    <row r="21" spans="1:8" ht="127.5" thickTop="1" thickBot="1">
      <c r="A21" s="88" t="s">
        <v>843</v>
      </c>
      <c r="B21" s="90" t="s">
        <v>874</v>
      </c>
      <c r="C21" s="90" t="s">
        <v>1068</v>
      </c>
      <c r="D21" s="86" t="s">
        <v>1542</v>
      </c>
      <c r="E21" s="86" t="s">
        <v>1069</v>
      </c>
      <c r="F21" s="86" t="s">
        <v>1054</v>
      </c>
      <c r="G21" s="86" t="s">
        <v>1055</v>
      </c>
      <c r="H21" s="86" t="s">
        <v>671</v>
      </c>
    </row>
    <row r="22" spans="1:8" ht="64.5" thickTop="1" thickBot="1">
      <c r="A22" s="88" t="s">
        <v>1070</v>
      </c>
      <c r="B22" s="90" t="s">
        <v>1071</v>
      </c>
      <c r="C22" s="90" t="s">
        <v>1072</v>
      </c>
      <c r="D22" s="86"/>
      <c r="E22" s="86" t="s">
        <v>1073</v>
      </c>
      <c r="F22" s="86" t="s">
        <v>1074</v>
      </c>
      <c r="G22" s="86" t="s">
        <v>1055</v>
      </c>
      <c r="H22" s="86" t="s">
        <v>671</v>
      </c>
    </row>
    <row r="23" spans="1:8" ht="15.75" thickTop="1"/>
    <row r="25" spans="1:8">
      <c r="A25" s="559" t="s">
        <v>1075</v>
      </c>
    </row>
    <row r="26" spans="1:8" ht="16.5" thickBot="1">
      <c r="A26" s="1006"/>
    </row>
    <row r="27" spans="1:8" ht="143.25" thickTop="1" thickBot="1">
      <c r="A27" s="800" t="s">
        <v>1045</v>
      </c>
      <c r="B27" s="801" t="s">
        <v>737</v>
      </c>
      <c r="C27" s="801" t="s">
        <v>1046</v>
      </c>
      <c r="D27" s="801" t="s">
        <v>1047</v>
      </c>
      <c r="E27" s="801" t="s">
        <v>1048</v>
      </c>
      <c r="F27" s="801" t="s">
        <v>1049</v>
      </c>
      <c r="G27" s="801" t="s">
        <v>1050</v>
      </c>
      <c r="H27" s="801" t="s">
        <v>1051</v>
      </c>
    </row>
    <row r="28" spans="1:8" ht="111.75" thickTop="1" thickBot="1">
      <c r="A28" s="88" t="s">
        <v>1052</v>
      </c>
      <c r="B28" s="90" t="s">
        <v>857</v>
      </c>
      <c r="C28" s="90" t="s">
        <v>1076</v>
      </c>
      <c r="D28" s="86" t="s">
        <v>1077</v>
      </c>
      <c r="E28" s="86" t="s">
        <v>1078</v>
      </c>
      <c r="F28" s="86" t="s">
        <v>1079</v>
      </c>
      <c r="G28" s="86" t="s">
        <v>1055</v>
      </c>
      <c r="H28" s="86" t="s">
        <v>671</v>
      </c>
    </row>
    <row r="29" spans="1:8" ht="16.5" thickTop="1">
      <c r="A29" s="2032" t="s">
        <v>1056</v>
      </c>
      <c r="B29" s="2052" t="s">
        <v>879</v>
      </c>
      <c r="C29" s="2052" t="s">
        <v>1080</v>
      </c>
      <c r="D29" s="2032" t="s">
        <v>1538</v>
      </c>
      <c r="E29" s="2032" t="s">
        <v>1081</v>
      </c>
      <c r="F29" s="1005" t="s">
        <v>1082</v>
      </c>
      <c r="G29" s="2032" t="s">
        <v>97</v>
      </c>
      <c r="H29" s="2032" t="s">
        <v>671</v>
      </c>
    </row>
    <row r="30" spans="1:8" ht="189">
      <c r="A30" s="2037"/>
      <c r="B30" s="2053"/>
      <c r="C30" s="2053"/>
      <c r="D30" s="2037"/>
      <c r="E30" s="2037"/>
      <c r="F30" s="320" t="s">
        <v>1083</v>
      </c>
      <c r="G30" s="2037"/>
      <c r="H30" s="2037"/>
    </row>
    <row r="31" spans="1:8" ht="94.5">
      <c r="A31" s="2037"/>
      <c r="B31" s="2053"/>
      <c r="C31" s="2053"/>
      <c r="D31" s="2037"/>
      <c r="E31" s="2037"/>
      <c r="F31" s="320" t="s">
        <v>1084</v>
      </c>
      <c r="G31" s="2037"/>
      <c r="H31" s="2037"/>
    </row>
    <row r="32" spans="1:8" ht="15.75">
      <c r="A32" s="2037"/>
      <c r="B32" s="2053"/>
      <c r="C32" s="2053"/>
      <c r="D32" s="2037"/>
      <c r="E32" s="2037"/>
      <c r="F32" s="320"/>
      <c r="G32" s="2037"/>
      <c r="H32" s="2037"/>
    </row>
    <row r="33" spans="1:8" ht="15.75">
      <c r="A33" s="2037"/>
      <c r="B33" s="2053"/>
      <c r="C33" s="2053"/>
      <c r="D33" s="2037"/>
      <c r="E33" s="2037"/>
      <c r="F33" s="1005" t="s">
        <v>1085</v>
      </c>
      <c r="G33" s="2037"/>
      <c r="H33" s="2037"/>
    </row>
    <row r="34" spans="1:8" ht="47.25">
      <c r="A34" s="2037"/>
      <c r="B34" s="2053"/>
      <c r="C34" s="2053"/>
      <c r="D34" s="2037"/>
      <c r="E34" s="2037"/>
      <c r="F34" s="320" t="s">
        <v>1086</v>
      </c>
      <c r="G34" s="2037"/>
      <c r="H34" s="2037"/>
    </row>
    <row r="35" spans="1:8" ht="79.5" thickBot="1">
      <c r="A35" s="2038"/>
      <c r="B35" s="2054"/>
      <c r="C35" s="2054"/>
      <c r="D35" s="2038"/>
      <c r="E35" s="2038"/>
      <c r="F35" s="86" t="s">
        <v>1061</v>
      </c>
      <c r="G35" s="2038"/>
      <c r="H35" s="2038"/>
    </row>
    <row r="36" spans="1:8" ht="16.5" thickTop="1">
      <c r="A36" s="2032" t="s">
        <v>1087</v>
      </c>
      <c r="B36" s="2052" t="s">
        <v>881</v>
      </c>
      <c r="C36" s="2052" t="s">
        <v>1088</v>
      </c>
      <c r="D36" s="2032" t="s">
        <v>1538</v>
      </c>
      <c r="E36" s="2032" t="s">
        <v>1081</v>
      </c>
      <c r="F36" s="1005" t="s">
        <v>1082</v>
      </c>
      <c r="G36" s="2032" t="s">
        <v>97</v>
      </c>
      <c r="H36" s="2032" t="s">
        <v>671</v>
      </c>
    </row>
    <row r="37" spans="1:8" ht="126">
      <c r="A37" s="2037"/>
      <c r="B37" s="2053"/>
      <c r="C37" s="2053"/>
      <c r="D37" s="2037"/>
      <c r="E37" s="2037"/>
      <c r="F37" s="320" t="s">
        <v>1089</v>
      </c>
      <c r="G37" s="2037"/>
      <c r="H37" s="2037"/>
    </row>
    <row r="38" spans="1:8" ht="94.5">
      <c r="A38" s="2037"/>
      <c r="B38" s="2053"/>
      <c r="C38" s="2053"/>
      <c r="D38" s="2037"/>
      <c r="E38" s="2037"/>
      <c r="F38" s="320" t="s">
        <v>1084</v>
      </c>
      <c r="G38" s="2037"/>
      <c r="H38" s="2037"/>
    </row>
    <row r="39" spans="1:8" ht="15.75">
      <c r="A39" s="2037"/>
      <c r="B39" s="2053"/>
      <c r="C39" s="2053"/>
      <c r="D39" s="2037"/>
      <c r="E39" s="2037"/>
      <c r="F39" s="320"/>
      <c r="G39" s="2037"/>
      <c r="H39" s="2037"/>
    </row>
    <row r="40" spans="1:8" ht="15.75">
      <c r="A40" s="2037"/>
      <c r="B40" s="2053"/>
      <c r="C40" s="2053"/>
      <c r="D40" s="2037"/>
      <c r="E40" s="2037"/>
      <c r="F40" s="1005" t="s">
        <v>1085</v>
      </c>
      <c r="G40" s="2037"/>
      <c r="H40" s="2037"/>
    </row>
    <row r="41" spans="1:8" ht="47.25">
      <c r="A41" s="2037"/>
      <c r="B41" s="2053"/>
      <c r="C41" s="2053"/>
      <c r="D41" s="2037"/>
      <c r="E41" s="2037"/>
      <c r="F41" s="320" t="s">
        <v>1086</v>
      </c>
      <c r="G41" s="2037"/>
      <c r="H41" s="2037"/>
    </row>
    <row r="42" spans="1:8" ht="79.5" thickBot="1">
      <c r="A42" s="2038"/>
      <c r="B42" s="2054"/>
      <c r="C42" s="2054"/>
      <c r="D42" s="2038"/>
      <c r="E42" s="2038"/>
      <c r="F42" s="86" t="s">
        <v>1061</v>
      </c>
      <c r="G42" s="2038"/>
      <c r="H42" s="2038"/>
    </row>
    <row r="43" spans="1:8" ht="16.5" thickTop="1">
      <c r="A43" s="2032" t="s">
        <v>843</v>
      </c>
      <c r="B43" s="2052" t="s">
        <v>883</v>
      </c>
      <c r="C43" s="2052" t="s">
        <v>1090</v>
      </c>
      <c r="D43" s="2032" t="s">
        <v>1538</v>
      </c>
      <c r="E43" s="2032" t="s">
        <v>1081</v>
      </c>
      <c r="F43" s="1005" t="s">
        <v>1082</v>
      </c>
      <c r="G43" s="2032" t="s">
        <v>97</v>
      </c>
      <c r="H43" s="2032" t="s">
        <v>671</v>
      </c>
    </row>
    <row r="44" spans="1:8" ht="126">
      <c r="A44" s="2037"/>
      <c r="B44" s="2053"/>
      <c r="C44" s="2053"/>
      <c r="D44" s="2037"/>
      <c r="E44" s="2037"/>
      <c r="F44" s="320" t="s">
        <v>1089</v>
      </c>
      <c r="G44" s="2037"/>
      <c r="H44" s="2037"/>
    </row>
    <row r="45" spans="1:8" ht="94.5">
      <c r="A45" s="2037"/>
      <c r="B45" s="2053"/>
      <c r="C45" s="2053"/>
      <c r="D45" s="2037"/>
      <c r="E45" s="2037"/>
      <c r="F45" s="320" t="s">
        <v>1084</v>
      </c>
      <c r="G45" s="2037"/>
      <c r="H45" s="2037"/>
    </row>
    <row r="46" spans="1:8" ht="15.75">
      <c r="A46" s="2037"/>
      <c r="B46" s="2053"/>
      <c r="C46" s="2053"/>
      <c r="D46" s="2037"/>
      <c r="E46" s="2037"/>
      <c r="F46" s="320"/>
      <c r="G46" s="2037"/>
      <c r="H46" s="2037"/>
    </row>
    <row r="47" spans="1:8" ht="15.75">
      <c r="A47" s="2037"/>
      <c r="B47" s="2053"/>
      <c r="C47" s="2053"/>
      <c r="D47" s="2037"/>
      <c r="E47" s="2037"/>
      <c r="F47" s="1005" t="s">
        <v>1085</v>
      </c>
      <c r="G47" s="2037"/>
      <c r="H47" s="2037"/>
    </row>
    <row r="48" spans="1:8" ht="47.25">
      <c r="A48" s="2037"/>
      <c r="B48" s="2053"/>
      <c r="C48" s="2053"/>
      <c r="D48" s="2037"/>
      <c r="E48" s="2037"/>
      <c r="F48" s="320" t="s">
        <v>1086</v>
      </c>
      <c r="G48" s="2037"/>
      <c r="H48" s="2037"/>
    </row>
    <row r="49" spans="1:8" ht="79.5" thickBot="1">
      <c r="A49" s="2037"/>
      <c r="B49" s="2053"/>
      <c r="C49" s="2053"/>
      <c r="D49" s="2037"/>
      <c r="E49" s="2037"/>
      <c r="F49" s="320" t="s">
        <v>1061</v>
      </c>
      <c r="G49" s="2037"/>
      <c r="H49" s="2037"/>
    </row>
    <row r="50" spans="1:8" ht="363" thickBot="1">
      <c r="A50" s="562" t="s">
        <v>1070</v>
      </c>
      <c r="B50" s="850" t="s">
        <v>886</v>
      </c>
      <c r="C50" s="848" t="s">
        <v>1521</v>
      </c>
      <c r="D50" s="564" t="s">
        <v>1541</v>
      </c>
      <c r="E50" s="564"/>
      <c r="F50" s="563" t="s">
        <v>1616</v>
      </c>
      <c r="G50" s="564"/>
      <c r="H50" s="849"/>
    </row>
    <row r="51" spans="1:8" ht="347.25" thickBot="1">
      <c r="A51" s="562" t="s">
        <v>1093</v>
      </c>
      <c r="B51" s="847" t="s">
        <v>888</v>
      </c>
      <c r="C51" s="564" t="s">
        <v>1530</v>
      </c>
      <c r="D51" s="564"/>
      <c r="E51" s="564"/>
      <c r="F51" s="563" t="s">
        <v>1529</v>
      </c>
      <c r="G51" s="564" t="s">
        <v>1091</v>
      </c>
      <c r="H51" s="849" t="s">
        <v>1092</v>
      </c>
    </row>
    <row r="52" spans="1:8" ht="110.25">
      <c r="A52" s="2037" t="s">
        <v>1094</v>
      </c>
      <c r="B52" s="2053" t="s">
        <v>1139</v>
      </c>
      <c r="C52" s="2053" t="s">
        <v>1539</v>
      </c>
      <c r="D52" s="2037" t="s">
        <v>1540</v>
      </c>
      <c r="E52" s="2037" t="s">
        <v>1095</v>
      </c>
      <c r="F52" s="561" t="s">
        <v>1617</v>
      </c>
      <c r="G52" s="2037" t="s">
        <v>1095</v>
      </c>
      <c r="H52" s="2037" t="s">
        <v>1092</v>
      </c>
    </row>
    <row r="53" spans="1:8" ht="15.75">
      <c r="A53" s="2037"/>
      <c r="B53" s="2053"/>
      <c r="C53" s="2053"/>
      <c r="D53" s="2037"/>
      <c r="E53" s="2037"/>
      <c r="F53" s="320"/>
      <c r="G53" s="2037"/>
      <c r="H53" s="2037"/>
    </row>
    <row r="54" spans="1:8" ht="62.25" customHeight="1" thickBot="1">
      <c r="A54" s="2038"/>
      <c r="B54" s="2054"/>
      <c r="C54" s="2054"/>
      <c r="D54" s="2038"/>
      <c r="E54" s="2038"/>
      <c r="F54" s="560" t="s">
        <v>1618</v>
      </c>
      <c r="G54" s="2038"/>
      <c r="H54" s="2038"/>
    </row>
    <row r="55" spans="1:8" ht="221.25" thickTop="1">
      <c r="A55" s="2032" t="s">
        <v>1096</v>
      </c>
      <c r="B55" s="2052" t="s">
        <v>1037</v>
      </c>
      <c r="C55" s="2052" t="s">
        <v>1097</v>
      </c>
      <c r="D55" s="2032" t="s">
        <v>1538</v>
      </c>
      <c r="E55" s="2032" t="s">
        <v>1098</v>
      </c>
      <c r="F55" s="1005" t="s">
        <v>1619</v>
      </c>
      <c r="G55" s="2032" t="s">
        <v>1055</v>
      </c>
      <c r="H55" s="2032" t="s">
        <v>1092</v>
      </c>
    </row>
    <row r="56" spans="1:8" ht="15.75">
      <c r="A56" s="2037"/>
      <c r="B56" s="2053"/>
      <c r="C56" s="2053"/>
      <c r="D56" s="2037"/>
      <c r="E56" s="2037"/>
      <c r="F56" s="1007"/>
      <c r="G56" s="2037"/>
      <c r="H56" s="2037"/>
    </row>
    <row r="57" spans="1:8" ht="15.75">
      <c r="A57" s="2037"/>
      <c r="B57" s="2053"/>
      <c r="C57" s="2053"/>
      <c r="D57" s="2037"/>
      <c r="E57" s="2037"/>
      <c r="F57" s="1005" t="s">
        <v>1620</v>
      </c>
      <c r="G57" s="2037"/>
      <c r="H57" s="2037"/>
    </row>
    <row r="58" spans="1:8" ht="47.25">
      <c r="A58" s="2037"/>
      <c r="B58" s="2053"/>
      <c r="C58" s="2053"/>
      <c r="D58" s="2037"/>
      <c r="E58" s="2037"/>
      <c r="F58" s="320" t="s">
        <v>1086</v>
      </c>
      <c r="G58" s="2037"/>
      <c r="H58" s="2037"/>
    </row>
    <row r="59" spans="1:8" ht="79.5" thickBot="1">
      <c r="A59" s="2038"/>
      <c r="B59" s="2054"/>
      <c r="C59" s="2054"/>
      <c r="D59" s="2038"/>
      <c r="E59" s="2038"/>
      <c r="F59" s="86" t="s">
        <v>1061</v>
      </c>
      <c r="G59" s="2038"/>
      <c r="H59" s="2038"/>
    </row>
    <row r="60" spans="1:8" ht="16.5" thickTop="1">
      <c r="A60" s="1008"/>
      <c r="B60" s="324"/>
      <c r="C60" s="1008"/>
      <c r="D60" s="1008"/>
      <c r="E60" s="1008"/>
      <c r="F60" s="1008"/>
      <c r="G60" s="1008"/>
      <c r="H60" s="1008"/>
    </row>
    <row r="61" spans="1:8" ht="15.75">
      <c r="A61" s="1008"/>
      <c r="B61" s="324"/>
      <c r="C61" s="1008"/>
      <c r="D61" s="1008"/>
      <c r="E61" s="1008"/>
      <c r="F61" s="1008"/>
      <c r="G61" s="1008"/>
      <c r="H61" s="1008"/>
    </row>
    <row r="62" spans="1:8" ht="15.75">
      <c r="A62" s="1008"/>
      <c r="B62" s="324"/>
      <c r="C62" s="1008"/>
      <c r="D62" s="1008"/>
      <c r="E62" s="1008"/>
      <c r="F62" s="1008"/>
      <c r="G62" s="1008"/>
      <c r="H62" s="1008"/>
    </row>
    <row r="63" spans="1:8" ht="15.75">
      <c r="A63" s="1008"/>
      <c r="B63" s="324"/>
      <c r="C63" s="1008"/>
      <c r="D63" s="1008"/>
      <c r="E63" s="1008"/>
      <c r="F63" s="1008"/>
      <c r="G63" s="1008"/>
      <c r="H63" s="1008"/>
    </row>
    <row r="64" spans="1:8" ht="15.75">
      <c r="A64" s="1008"/>
      <c r="B64" s="324"/>
      <c r="C64" s="1008"/>
      <c r="D64" s="1008"/>
      <c r="E64" s="1008"/>
      <c r="F64" s="1008"/>
      <c r="G64" s="1008"/>
      <c r="H64" s="1008"/>
    </row>
    <row r="65" spans="1:8" ht="15.75">
      <c r="A65" s="1008"/>
      <c r="B65" s="324"/>
      <c r="C65" s="1008"/>
      <c r="D65" s="1008"/>
      <c r="E65" s="1008"/>
      <c r="F65" s="1008"/>
      <c r="G65" s="1008"/>
      <c r="H65" s="1008"/>
    </row>
    <row r="68" spans="1:8" ht="15.75">
      <c r="A68" s="437" t="s">
        <v>1099</v>
      </c>
    </row>
    <row r="69" spans="1:8" ht="15.75" thickBot="1"/>
    <row r="70" spans="1:8" ht="143.25" thickTop="1" thickBot="1">
      <c r="A70" s="800" t="s">
        <v>1045</v>
      </c>
      <c r="B70" s="801" t="s">
        <v>737</v>
      </c>
      <c r="C70" s="801" t="s">
        <v>1046</v>
      </c>
      <c r="D70" s="801" t="s">
        <v>1047</v>
      </c>
      <c r="E70" s="801" t="s">
        <v>1048</v>
      </c>
      <c r="F70" s="801" t="s">
        <v>1049</v>
      </c>
      <c r="G70" s="801" t="s">
        <v>1050</v>
      </c>
      <c r="H70" s="801" t="s">
        <v>1051</v>
      </c>
    </row>
    <row r="71" spans="1:8" ht="80.25" thickTop="1" thickBot="1">
      <c r="A71" s="88" t="s">
        <v>1052</v>
      </c>
      <c r="B71" s="90" t="s">
        <v>1534</v>
      </c>
      <c r="C71" s="90" t="s">
        <v>1532</v>
      </c>
      <c r="D71" s="320" t="s">
        <v>1538</v>
      </c>
      <c r="E71" s="86" t="s">
        <v>1535</v>
      </c>
      <c r="F71" s="86" t="s">
        <v>1531</v>
      </c>
      <c r="G71" s="86" t="s">
        <v>1055</v>
      </c>
      <c r="H71" s="86" t="s">
        <v>671</v>
      </c>
    </row>
    <row r="72" spans="1:8" ht="115.5" customHeight="1" thickTop="1" thickBot="1">
      <c r="A72" s="1000">
        <v>2</v>
      </c>
      <c r="B72" s="1009" t="s">
        <v>903</v>
      </c>
      <c r="C72" s="1010"/>
      <c r="D72" s="154" t="s">
        <v>1537</v>
      </c>
      <c r="E72" s="320" t="s">
        <v>1100</v>
      </c>
      <c r="F72" s="320" t="s">
        <v>1536</v>
      </c>
      <c r="G72" s="320" t="s">
        <v>1055</v>
      </c>
      <c r="H72" s="320" t="s">
        <v>671</v>
      </c>
    </row>
    <row r="73" spans="1:8" ht="268.5" thickBot="1">
      <c r="A73" s="562" t="s">
        <v>1087</v>
      </c>
      <c r="B73" s="850" t="s">
        <v>906</v>
      </c>
      <c r="C73" s="848" t="s">
        <v>1533</v>
      </c>
      <c r="D73" s="86" t="s">
        <v>1538</v>
      </c>
      <c r="E73" s="564" t="s">
        <v>1100</v>
      </c>
      <c r="F73" s="563" t="s">
        <v>1621</v>
      </c>
      <c r="G73" s="564" t="s">
        <v>1055</v>
      </c>
      <c r="H73" s="849" t="s">
        <v>671</v>
      </c>
    </row>
  </sheetData>
  <mergeCells count="49">
    <mergeCell ref="A52:A54"/>
    <mergeCell ref="B52:B54"/>
    <mergeCell ref="A55:A59"/>
    <mergeCell ref="B55:B59"/>
    <mergeCell ref="C55:C59"/>
    <mergeCell ref="C52:C54"/>
    <mergeCell ref="H43:H49"/>
    <mergeCell ref="A43:A49"/>
    <mergeCell ref="B43:B49"/>
    <mergeCell ref="C43:C49"/>
    <mergeCell ref="D43:D49"/>
    <mergeCell ref="E43:E49"/>
    <mergeCell ref="G43:G49"/>
    <mergeCell ref="H29:H35"/>
    <mergeCell ref="A36:A42"/>
    <mergeCell ref="B36:B42"/>
    <mergeCell ref="C36:C42"/>
    <mergeCell ref="D36:D42"/>
    <mergeCell ref="E36:E42"/>
    <mergeCell ref="G36:G42"/>
    <mergeCell ref="H36:H42"/>
    <mergeCell ref="A29:A35"/>
    <mergeCell ref="B29:B35"/>
    <mergeCell ref="C29:C35"/>
    <mergeCell ref="D29:D35"/>
    <mergeCell ref="E29:E35"/>
    <mergeCell ref="G29:G35"/>
    <mergeCell ref="H10:H14"/>
    <mergeCell ref="A15:A20"/>
    <mergeCell ref="B15:B20"/>
    <mergeCell ref="C15:C20"/>
    <mergeCell ref="D15:D20"/>
    <mergeCell ref="E15:E20"/>
    <mergeCell ref="G15:G20"/>
    <mergeCell ref="H15:H20"/>
    <mergeCell ref="A10:A14"/>
    <mergeCell ref="B10:B14"/>
    <mergeCell ref="C10:C14"/>
    <mergeCell ref="D10:D14"/>
    <mergeCell ref="E10:E14"/>
    <mergeCell ref="G10:G14"/>
    <mergeCell ref="D52:D54"/>
    <mergeCell ref="E52:E54"/>
    <mergeCell ref="G52:G54"/>
    <mergeCell ref="H52:H54"/>
    <mergeCell ref="D55:D59"/>
    <mergeCell ref="E55:E59"/>
    <mergeCell ref="G55:G59"/>
    <mergeCell ref="H55:H59"/>
  </mergeCells>
  <hyperlinks>
    <hyperlink ref="F28" r:id="rId1" display="http://www.llri.lt/" xr:uid="{00000000-0004-0000-1100-000000000000}"/>
  </hyperlinks>
  <pageMargins left="0.23622047244094491" right="0.23622047244094491" top="0.74803149606299213" bottom="0.74803149606299213" header="0.31496062992125984" footer="0.31496062992125984"/>
  <pageSetup paperSize="9" scale="90" orientation="landscape" r:id="rId2"/>
  <headerFooter>
    <oddHeader>&amp;C&amp;"Times New Roman,Paprastas"&amp;12Alytaus regiono 2014 – 2020 metų plėtros planas</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24"/>
  <sheetViews>
    <sheetView showRuler="0" zoomScaleNormal="100" workbookViewId="0">
      <selection activeCell="A38" sqref="A38:B38"/>
    </sheetView>
  </sheetViews>
  <sheetFormatPr defaultColWidth="9.140625" defaultRowHeight="15"/>
  <cols>
    <col min="1" max="1" width="19.42578125" style="131" customWidth="1"/>
    <col min="2" max="2" width="16.85546875" style="131" customWidth="1"/>
    <col min="3" max="3" width="11" style="131" customWidth="1"/>
    <col min="4" max="4" width="11.7109375" style="131" customWidth="1"/>
    <col min="5" max="6" width="12.42578125" style="131" customWidth="1"/>
    <col min="7" max="7" width="12.140625" style="131" customWidth="1"/>
    <col min="8" max="8" width="15.140625" style="131" customWidth="1"/>
    <col min="9" max="9" width="12.140625" style="131" customWidth="1"/>
    <col min="10" max="10" width="14.7109375" style="131" customWidth="1"/>
    <col min="11" max="16384" width="9.140625" style="131"/>
  </cols>
  <sheetData>
    <row r="1" spans="1:10" ht="15.75">
      <c r="A1" s="745" t="s">
        <v>1622</v>
      </c>
    </row>
    <row r="3" spans="1:10">
      <c r="A3" s="559" t="s">
        <v>1101</v>
      </c>
    </row>
    <row r="4" spans="1:10" ht="15.75" thickBot="1"/>
    <row r="5" spans="1:10" ht="17.25" thickTop="1" thickBot="1">
      <c r="A5" s="1991" t="s">
        <v>1102</v>
      </c>
      <c r="B5" s="1991" t="s">
        <v>1103</v>
      </c>
      <c r="C5" s="2055" t="s">
        <v>1104</v>
      </c>
      <c r="D5" s="2056"/>
      <c r="E5" s="2056"/>
      <c r="F5" s="2056"/>
      <c r="G5" s="2056"/>
      <c r="H5" s="2056"/>
      <c r="I5" s="2057"/>
      <c r="J5" s="1991" t="s">
        <v>1105</v>
      </c>
    </row>
    <row r="6" spans="1:10" ht="33" thickTop="1" thickBot="1">
      <c r="A6" s="2028"/>
      <c r="B6" s="2028"/>
      <c r="C6" s="560" t="s">
        <v>1106</v>
      </c>
      <c r="D6" s="560" t="s">
        <v>1107</v>
      </c>
      <c r="E6" s="560" t="s">
        <v>1108</v>
      </c>
      <c r="F6" s="560" t="s">
        <v>1109</v>
      </c>
      <c r="G6" s="560" t="s">
        <v>1110</v>
      </c>
      <c r="H6" s="560" t="s">
        <v>1111</v>
      </c>
      <c r="I6" s="560" t="s">
        <v>1112</v>
      </c>
      <c r="J6" s="2028"/>
    </row>
    <row r="7" spans="1:10" ht="33" thickTop="1" thickBot="1">
      <c r="A7" s="88" t="s">
        <v>1113</v>
      </c>
      <c r="B7" s="86" t="s">
        <v>1114</v>
      </c>
      <c r="C7" s="86" t="s">
        <v>1115</v>
      </c>
      <c r="D7" s="86" t="s">
        <v>66</v>
      </c>
      <c r="E7" s="86" t="s">
        <v>66</v>
      </c>
      <c r="F7" s="86" t="s">
        <v>66</v>
      </c>
      <c r="G7" s="86" t="s">
        <v>66</v>
      </c>
      <c r="H7" s="86" t="s">
        <v>66</v>
      </c>
      <c r="I7" s="86" t="s">
        <v>66</v>
      </c>
      <c r="J7" s="86" t="s">
        <v>66</v>
      </c>
    </row>
    <row r="8" spans="1:10" ht="64.5" thickTop="1" thickBot="1">
      <c r="A8" s="88" t="s">
        <v>1116</v>
      </c>
      <c r="B8" s="86" t="s">
        <v>1526</v>
      </c>
      <c r="C8" s="86" t="s">
        <v>1115</v>
      </c>
      <c r="D8" s="86" t="s">
        <v>66</v>
      </c>
      <c r="E8" s="86" t="s">
        <v>66</v>
      </c>
      <c r="F8" s="86" t="s">
        <v>66</v>
      </c>
      <c r="G8" s="86" t="s">
        <v>66</v>
      </c>
      <c r="H8" s="86" t="s">
        <v>66</v>
      </c>
      <c r="I8" s="86" t="s">
        <v>66</v>
      </c>
      <c r="J8" s="86" t="s">
        <v>66</v>
      </c>
    </row>
    <row r="9" spans="1:10" ht="48.75" thickTop="1" thickBot="1">
      <c r="A9" s="88" t="s">
        <v>1117</v>
      </c>
      <c r="B9" s="86" t="s">
        <v>1114</v>
      </c>
      <c r="C9" s="86" t="s">
        <v>1115</v>
      </c>
      <c r="D9" s="86" t="s">
        <v>66</v>
      </c>
      <c r="E9" s="86" t="s">
        <v>66</v>
      </c>
      <c r="F9" s="86" t="s">
        <v>66</v>
      </c>
      <c r="G9" s="86" t="s">
        <v>66</v>
      </c>
      <c r="H9" s="86" t="s">
        <v>66</v>
      </c>
      <c r="I9" s="86" t="s">
        <v>66</v>
      </c>
      <c r="J9" s="86" t="s">
        <v>66</v>
      </c>
    </row>
    <row r="10" spans="1:10" ht="80.25" thickTop="1" thickBot="1">
      <c r="A10" s="88" t="s">
        <v>1118</v>
      </c>
      <c r="B10" s="86" t="s">
        <v>1119</v>
      </c>
      <c r="C10" s="86" t="s">
        <v>1115</v>
      </c>
      <c r="D10" s="86" t="s">
        <v>66</v>
      </c>
      <c r="E10" s="86" t="s">
        <v>66</v>
      </c>
      <c r="F10" s="86" t="s">
        <v>66</v>
      </c>
      <c r="G10" s="86" t="s">
        <v>66</v>
      </c>
      <c r="H10" s="86" t="s">
        <v>66</v>
      </c>
      <c r="I10" s="86" t="s">
        <v>66</v>
      </c>
      <c r="J10" s="86" t="s">
        <v>66</v>
      </c>
    </row>
    <row r="11" spans="1:10" ht="15.75" thickTop="1"/>
    <row r="16" spans="1:10" ht="15.75">
      <c r="A16" s="1098"/>
    </row>
    <row r="19" spans="1:1">
      <c r="A19" s="1011"/>
    </row>
    <row r="24" spans="1:1">
      <c r="A24" s="1012"/>
    </row>
  </sheetData>
  <mergeCells count="4">
    <mergeCell ref="A5:A6"/>
    <mergeCell ref="B5:B6"/>
    <mergeCell ref="C5:I5"/>
    <mergeCell ref="J5:J6"/>
  </mergeCells>
  <pageMargins left="0.25" right="0.25" top="0.75" bottom="0.75" header="0.3" footer="0.3"/>
  <pageSetup paperSize="9" orientation="landscape" r:id="rId1"/>
  <headerFooter>
    <oddHeader>&amp;C&amp;"Times New Roman,Paprastas"&amp;12Alytaus regiono 2014 – 2020 metų plėtros planas</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B1:Q69"/>
  <sheetViews>
    <sheetView topLeftCell="A25" workbookViewId="0">
      <selection activeCell="C50" sqref="C50"/>
    </sheetView>
  </sheetViews>
  <sheetFormatPr defaultColWidth="9" defaultRowHeight="15"/>
  <cols>
    <col min="2" max="2" width="53.140625" customWidth="1"/>
    <col min="3" max="3" width="70" customWidth="1"/>
    <col min="4" max="4" width="20.7109375" customWidth="1"/>
  </cols>
  <sheetData>
    <row r="1" spans="2:17">
      <c r="B1" t="s">
        <v>1668</v>
      </c>
      <c r="C1" t="s">
        <v>367</v>
      </c>
      <c r="D1" t="s">
        <v>366</v>
      </c>
      <c r="G1" t="s">
        <v>1669</v>
      </c>
      <c r="H1" t="s">
        <v>1670</v>
      </c>
      <c r="I1" t="s">
        <v>1671</v>
      </c>
      <c r="J1" t="s">
        <v>1672</v>
      </c>
      <c r="K1" t="s">
        <v>1673</v>
      </c>
      <c r="L1" t="s">
        <v>1674</v>
      </c>
      <c r="M1" t="s">
        <v>1675</v>
      </c>
      <c r="N1" t="s">
        <v>1676</v>
      </c>
      <c r="O1" t="s">
        <v>1677</v>
      </c>
      <c r="P1" t="s">
        <v>1678</v>
      </c>
      <c r="Q1" t="s">
        <v>1679</v>
      </c>
    </row>
    <row r="2" spans="2:17">
      <c r="D2" s="1087" t="s">
        <v>1680</v>
      </c>
    </row>
    <row r="3" spans="2:17">
      <c r="C3" t="s">
        <v>370</v>
      </c>
      <c r="D3" s="1087" t="s">
        <v>1681</v>
      </c>
      <c r="G3" t="s">
        <v>370</v>
      </c>
      <c r="H3" t="s">
        <v>370</v>
      </c>
      <c r="I3" t="s">
        <v>344</v>
      </c>
      <c r="J3" t="s">
        <v>362</v>
      </c>
      <c r="K3" t="s">
        <v>350</v>
      </c>
      <c r="L3" t="s">
        <v>1432</v>
      </c>
      <c r="M3" t="s">
        <v>1682</v>
      </c>
      <c r="N3" t="s">
        <v>1683</v>
      </c>
      <c r="O3" t="s">
        <v>350</v>
      </c>
      <c r="P3" t="s">
        <v>370</v>
      </c>
      <c r="Q3" t="s">
        <v>370</v>
      </c>
    </row>
    <row r="4" spans="2:17">
      <c r="C4" t="s">
        <v>346</v>
      </c>
      <c r="D4" s="1087" t="s">
        <v>1684</v>
      </c>
      <c r="G4" t="s">
        <v>346</v>
      </c>
      <c r="H4" t="s">
        <v>346</v>
      </c>
      <c r="I4" t="s">
        <v>347</v>
      </c>
      <c r="J4" t="s">
        <v>361</v>
      </c>
      <c r="K4" t="s">
        <v>348</v>
      </c>
      <c r="L4" t="s">
        <v>358</v>
      </c>
      <c r="M4" t="s">
        <v>1685</v>
      </c>
      <c r="N4" t="s">
        <v>337</v>
      </c>
      <c r="O4" t="s">
        <v>353</v>
      </c>
      <c r="P4" t="s">
        <v>346</v>
      </c>
      <c r="Q4" t="s">
        <v>346</v>
      </c>
    </row>
    <row r="5" spans="2:17">
      <c r="C5" t="s">
        <v>1686</v>
      </c>
      <c r="D5" s="1087" t="s">
        <v>1687</v>
      </c>
      <c r="G5" t="s">
        <v>1686</v>
      </c>
      <c r="H5" t="s">
        <v>1686</v>
      </c>
      <c r="I5" t="s">
        <v>1688</v>
      </c>
      <c r="J5" t="s">
        <v>1432</v>
      </c>
      <c r="K5" t="s">
        <v>353</v>
      </c>
      <c r="L5" t="s">
        <v>359</v>
      </c>
      <c r="M5" t="s">
        <v>355</v>
      </c>
      <c r="N5" t="s">
        <v>343</v>
      </c>
      <c r="O5" t="s">
        <v>349</v>
      </c>
      <c r="P5" t="s">
        <v>1686</v>
      </c>
      <c r="Q5" t="s">
        <v>1686</v>
      </c>
    </row>
    <row r="6" spans="2:17">
      <c r="C6" t="s">
        <v>1689</v>
      </c>
      <c r="D6" s="1087" t="s">
        <v>1690</v>
      </c>
      <c r="G6" t="s">
        <v>1689</v>
      </c>
      <c r="H6" t="s">
        <v>1691</v>
      </c>
      <c r="I6" t="s">
        <v>1691</v>
      </c>
      <c r="J6" t="s">
        <v>358</v>
      </c>
      <c r="K6" t="s">
        <v>349</v>
      </c>
      <c r="L6" t="s">
        <v>1691</v>
      </c>
      <c r="M6" t="s">
        <v>357</v>
      </c>
      <c r="N6" t="s">
        <v>1692</v>
      </c>
      <c r="O6" t="s">
        <v>1693</v>
      </c>
      <c r="P6" t="s">
        <v>364</v>
      </c>
      <c r="Q6" t="s">
        <v>1689</v>
      </c>
    </row>
    <row r="7" spans="2:17">
      <c r="C7" t="s">
        <v>364</v>
      </c>
      <c r="D7" s="1087" t="s">
        <v>1694</v>
      </c>
      <c r="G7" t="s">
        <v>364</v>
      </c>
      <c r="H7" t="s">
        <v>1695</v>
      </c>
      <c r="I7" t="s">
        <v>1695</v>
      </c>
      <c r="J7" t="s">
        <v>360</v>
      </c>
      <c r="K7" t="s">
        <v>1693</v>
      </c>
      <c r="L7" t="s">
        <v>1695</v>
      </c>
      <c r="M7" t="s">
        <v>356</v>
      </c>
      <c r="N7" t="s">
        <v>347</v>
      </c>
      <c r="O7" t="s">
        <v>1696</v>
      </c>
      <c r="P7" t="s">
        <v>339</v>
      </c>
      <c r="Q7" t="s">
        <v>364</v>
      </c>
    </row>
    <row r="8" spans="2:17">
      <c r="C8" t="s">
        <v>339</v>
      </c>
      <c r="D8" s="1087" t="s">
        <v>1697</v>
      </c>
      <c r="G8" t="s">
        <v>339</v>
      </c>
      <c r="H8" t="s">
        <v>1698</v>
      </c>
      <c r="I8" t="s">
        <v>1698</v>
      </c>
      <c r="J8" t="s">
        <v>1691</v>
      </c>
      <c r="K8" t="s">
        <v>1696</v>
      </c>
      <c r="L8" t="s">
        <v>1698</v>
      </c>
      <c r="M8" t="s">
        <v>1691</v>
      </c>
      <c r="N8" t="s">
        <v>1699</v>
      </c>
      <c r="O8" t="s">
        <v>351</v>
      </c>
      <c r="P8" t="s">
        <v>340</v>
      </c>
      <c r="Q8" t="s">
        <v>339</v>
      </c>
    </row>
    <row r="9" spans="2:17">
      <c r="C9" t="s">
        <v>340</v>
      </c>
      <c r="D9" s="1087" t="s">
        <v>1700</v>
      </c>
      <c r="G9" t="s">
        <v>340</v>
      </c>
      <c r="J9" t="s">
        <v>1695</v>
      </c>
      <c r="K9" t="s">
        <v>1701</v>
      </c>
      <c r="M9" t="s">
        <v>1695</v>
      </c>
      <c r="N9" t="s">
        <v>1688</v>
      </c>
      <c r="O9" t="s">
        <v>356</v>
      </c>
      <c r="P9" t="s">
        <v>341</v>
      </c>
      <c r="Q9" t="s">
        <v>340</v>
      </c>
    </row>
    <row r="10" spans="2:17">
      <c r="C10" t="s">
        <v>341</v>
      </c>
      <c r="D10" s="1087" t="s">
        <v>1702</v>
      </c>
      <c r="G10" t="s">
        <v>341</v>
      </c>
      <c r="J10" t="s">
        <v>1698</v>
      </c>
      <c r="K10" t="s">
        <v>1703</v>
      </c>
      <c r="M10" t="s">
        <v>1698</v>
      </c>
      <c r="N10" t="s">
        <v>1691</v>
      </c>
      <c r="O10" t="s">
        <v>336</v>
      </c>
      <c r="P10" t="s">
        <v>350</v>
      </c>
      <c r="Q10" t="s">
        <v>341</v>
      </c>
    </row>
    <row r="11" spans="2:17">
      <c r="C11" t="s">
        <v>350</v>
      </c>
      <c r="D11" s="1087" t="s">
        <v>1704</v>
      </c>
      <c r="G11" t="s">
        <v>350</v>
      </c>
      <c r="K11" t="s">
        <v>1705</v>
      </c>
      <c r="N11" t="s">
        <v>1695</v>
      </c>
      <c r="O11" t="s">
        <v>334</v>
      </c>
      <c r="P11" t="s">
        <v>353</v>
      </c>
      <c r="Q11" t="s">
        <v>350</v>
      </c>
    </row>
    <row r="12" spans="2:17">
      <c r="C12" t="s">
        <v>348</v>
      </c>
      <c r="D12" s="1087" t="s">
        <v>1706</v>
      </c>
      <c r="G12" t="s">
        <v>348</v>
      </c>
      <c r="K12" t="s">
        <v>1410</v>
      </c>
      <c r="N12" t="s">
        <v>1698</v>
      </c>
      <c r="O12" t="s">
        <v>333</v>
      </c>
      <c r="P12" t="s">
        <v>349</v>
      </c>
      <c r="Q12" t="s">
        <v>348</v>
      </c>
    </row>
    <row r="13" spans="2:17">
      <c r="C13" t="s">
        <v>353</v>
      </c>
      <c r="D13" s="1087" t="s">
        <v>1707</v>
      </c>
      <c r="G13" t="s">
        <v>351</v>
      </c>
      <c r="K13" t="s">
        <v>351</v>
      </c>
      <c r="O13" t="s">
        <v>1708</v>
      </c>
      <c r="P13" t="s">
        <v>1693</v>
      </c>
      <c r="Q13" t="s">
        <v>353</v>
      </c>
    </row>
    <row r="14" spans="2:17">
      <c r="C14" t="s">
        <v>349</v>
      </c>
      <c r="D14" s="1087" t="s">
        <v>1709</v>
      </c>
      <c r="G14" t="s">
        <v>336</v>
      </c>
      <c r="K14" t="s">
        <v>352</v>
      </c>
      <c r="O14" t="s">
        <v>358</v>
      </c>
      <c r="P14" t="s">
        <v>1696</v>
      </c>
      <c r="Q14" t="s">
        <v>349</v>
      </c>
    </row>
    <row r="15" spans="2:17">
      <c r="C15" t="s">
        <v>1693</v>
      </c>
      <c r="D15" s="1087" t="s">
        <v>1710</v>
      </c>
      <c r="G15" t="s">
        <v>1683</v>
      </c>
      <c r="K15" t="s">
        <v>363</v>
      </c>
      <c r="O15" t="s">
        <v>344</v>
      </c>
      <c r="P15" t="s">
        <v>356</v>
      </c>
      <c r="Q15" t="s">
        <v>1693</v>
      </c>
    </row>
    <row r="16" spans="2:17">
      <c r="C16" t="s">
        <v>1696</v>
      </c>
      <c r="D16" s="1087" t="s">
        <v>1711</v>
      </c>
      <c r="G16" t="s">
        <v>1712</v>
      </c>
      <c r="K16" t="s">
        <v>1691</v>
      </c>
      <c r="O16" t="s">
        <v>335</v>
      </c>
      <c r="P16" t="s">
        <v>1432</v>
      </c>
      <c r="Q16" t="s">
        <v>1696</v>
      </c>
    </row>
    <row r="17" spans="3:17">
      <c r="C17" t="s">
        <v>1701</v>
      </c>
      <c r="D17" s="1087" t="s">
        <v>1713</v>
      </c>
      <c r="G17" t="s">
        <v>365</v>
      </c>
      <c r="O17" t="s">
        <v>1683</v>
      </c>
      <c r="P17" t="s">
        <v>336</v>
      </c>
      <c r="Q17" t="s">
        <v>1701</v>
      </c>
    </row>
    <row r="18" spans="3:17">
      <c r="C18" t="s">
        <v>1703</v>
      </c>
      <c r="D18" s="1087" t="s">
        <v>1714</v>
      </c>
      <c r="G18" t="s">
        <v>1715</v>
      </c>
      <c r="O18" t="s">
        <v>337</v>
      </c>
      <c r="P18" t="s">
        <v>334</v>
      </c>
      <c r="Q18" t="s">
        <v>1703</v>
      </c>
    </row>
    <row r="19" spans="3:17">
      <c r="C19" t="s">
        <v>1705</v>
      </c>
      <c r="D19" s="1087" t="s">
        <v>1716</v>
      </c>
      <c r="G19" t="s">
        <v>1717</v>
      </c>
      <c r="O19" t="s">
        <v>352</v>
      </c>
      <c r="P19" t="s">
        <v>333</v>
      </c>
      <c r="Q19" t="s">
        <v>1705</v>
      </c>
    </row>
    <row r="20" spans="3:17">
      <c r="C20" t="s">
        <v>1410</v>
      </c>
      <c r="D20" s="1087" t="s">
        <v>1718</v>
      </c>
      <c r="G20" t="s">
        <v>352</v>
      </c>
      <c r="O20" t="s">
        <v>347</v>
      </c>
      <c r="P20" t="s">
        <v>1708</v>
      </c>
      <c r="Q20" t="s">
        <v>1410</v>
      </c>
    </row>
    <row r="21" spans="3:17">
      <c r="C21" t="s">
        <v>351</v>
      </c>
      <c r="D21" s="1087" t="s">
        <v>1719</v>
      </c>
      <c r="G21" t="s">
        <v>343</v>
      </c>
      <c r="O21" t="s">
        <v>1699</v>
      </c>
      <c r="P21" t="s">
        <v>358</v>
      </c>
      <c r="Q21" t="s">
        <v>351</v>
      </c>
    </row>
    <row r="22" spans="3:17">
      <c r="C22" t="s">
        <v>1682</v>
      </c>
      <c r="D22" s="1087" t="s">
        <v>1720</v>
      </c>
      <c r="G22" t="s">
        <v>1692</v>
      </c>
      <c r="O22" t="s">
        <v>1688</v>
      </c>
      <c r="P22" t="s">
        <v>344</v>
      </c>
      <c r="Q22" t="s">
        <v>1682</v>
      </c>
    </row>
    <row r="23" spans="3:17">
      <c r="C23" t="s">
        <v>1685</v>
      </c>
      <c r="D23" s="1087" t="s">
        <v>1721</v>
      </c>
      <c r="G23" t="s">
        <v>1699</v>
      </c>
      <c r="O23" t="s">
        <v>363</v>
      </c>
      <c r="P23" t="s">
        <v>335</v>
      </c>
      <c r="Q23" t="s">
        <v>1685</v>
      </c>
    </row>
    <row r="24" spans="3:17">
      <c r="C24" t="s">
        <v>355</v>
      </c>
      <c r="D24" s="1087" t="s">
        <v>1722</v>
      </c>
      <c r="G24" t="s">
        <v>1688</v>
      </c>
      <c r="O24" t="s">
        <v>1691</v>
      </c>
      <c r="P24" t="s">
        <v>365</v>
      </c>
      <c r="Q24" t="s">
        <v>355</v>
      </c>
    </row>
    <row r="25" spans="3:17">
      <c r="C25" t="s">
        <v>357</v>
      </c>
      <c r="D25" s="1087" t="s">
        <v>1723</v>
      </c>
      <c r="G25" t="s">
        <v>1691</v>
      </c>
      <c r="O25" t="s">
        <v>1695</v>
      </c>
      <c r="P25" t="s">
        <v>1715</v>
      </c>
      <c r="Q25" t="s">
        <v>357</v>
      </c>
    </row>
    <row r="26" spans="3:17">
      <c r="C26" t="s">
        <v>356</v>
      </c>
      <c r="D26" s="1087" t="s">
        <v>1724</v>
      </c>
      <c r="G26" t="s">
        <v>1695</v>
      </c>
      <c r="O26" t="s">
        <v>1698</v>
      </c>
      <c r="P26" t="s">
        <v>352</v>
      </c>
      <c r="Q26" t="s">
        <v>356</v>
      </c>
    </row>
    <row r="27" spans="3:17">
      <c r="C27" t="s">
        <v>362</v>
      </c>
      <c r="D27" s="1087" t="s">
        <v>1725</v>
      </c>
      <c r="G27" t="s">
        <v>1698</v>
      </c>
      <c r="P27" t="s">
        <v>343</v>
      </c>
      <c r="Q27" t="s">
        <v>362</v>
      </c>
    </row>
    <row r="28" spans="3:17">
      <c r="C28" t="s">
        <v>361</v>
      </c>
      <c r="D28" s="1087" t="s">
        <v>1726</v>
      </c>
      <c r="P28" t="s">
        <v>1692</v>
      </c>
      <c r="Q28" t="s">
        <v>361</v>
      </c>
    </row>
    <row r="29" spans="3:17">
      <c r="C29" t="s">
        <v>1432</v>
      </c>
      <c r="D29" s="1087" t="s">
        <v>1727</v>
      </c>
      <c r="P29" t="s">
        <v>347</v>
      </c>
      <c r="Q29" t="s">
        <v>1432</v>
      </c>
    </row>
    <row r="30" spans="3:17" ht="36.75" customHeight="1">
      <c r="C30" t="s">
        <v>336</v>
      </c>
      <c r="D30" s="1087" t="s">
        <v>1728</v>
      </c>
      <c r="P30" t="s">
        <v>1699</v>
      </c>
      <c r="Q30" t="s">
        <v>336</v>
      </c>
    </row>
    <row r="31" spans="3:17">
      <c r="C31" t="s">
        <v>334</v>
      </c>
      <c r="D31" s="1087" t="s">
        <v>1729</v>
      </c>
      <c r="P31" t="s">
        <v>1688</v>
      </c>
      <c r="Q31" t="s">
        <v>334</v>
      </c>
    </row>
    <row r="32" spans="3:17">
      <c r="C32" t="s">
        <v>333</v>
      </c>
      <c r="D32" s="1087" t="s">
        <v>1730</v>
      </c>
      <c r="P32" t="s">
        <v>359</v>
      </c>
      <c r="Q32" t="s">
        <v>333</v>
      </c>
    </row>
    <row r="33" spans="3:17">
      <c r="C33" t="s">
        <v>1708</v>
      </c>
      <c r="D33" s="1087" t="s">
        <v>1731</v>
      </c>
      <c r="P33" t="s">
        <v>360</v>
      </c>
      <c r="Q33" t="s">
        <v>1708</v>
      </c>
    </row>
    <row r="34" spans="3:17">
      <c r="C34" t="s">
        <v>358</v>
      </c>
      <c r="D34" s="1087" t="s">
        <v>1732</v>
      </c>
      <c r="P34" t="s">
        <v>1691</v>
      </c>
      <c r="Q34" t="s">
        <v>358</v>
      </c>
    </row>
    <row r="35" spans="3:17">
      <c r="C35" t="s">
        <v>344</v>
      </c>
      <c r="D35" s="1087" t="s">
        <v>1733</v>
      </c>
      <c r="P35" t="s">
        <v>1695</v>
      </c>
      <c r="Q35" t="s">
        <v>344</v>
      </c>
    </row>
    <row r="36" spans="3:17">
      <c r="C36" t="s">
        <v>335</v>
      </c>
      <c r="D36" s="1087" t="s">
        <v>1734</v>
      </c>
      <c r="P36" t="s">
        <v>1698</v>
      </c>
      <c r="Q36" t="s">
        <v>335</v>
      </c>
    </row>
    <row r="37" spans="3:17">
      <c r="C37" t="s">
        <v>1683</v>
      </c>
      <c r="D37" s="1087" t="s">
        <v>1735</v>
      </c>
      <c r="Q37" t="s">
        <v>1683</v>
      </c>
    </row>
    <row r="38" spans="3:17">
      <c r="C38" t="s">
        <v>337</v>
      </c>
      <c r="D38" s="1087" t="s">
        <v>1736</v>
      </c>
      <c r="Q38" t="s">
        <v>337</v>
      </c>
    </row>
    <row r="39" spans="3:17">
      <c r="C39" t="s">
        <v>1712</v>
      </c>
      <c r="D39" s="1087" t="s">
        <v>1737</v>
      </c>
      <c r="Q39" t="s">
        <v>1712</v>
      </c>
    </row>
    <row r="40" spans="3:17">
      <c r="C40" t="s">
        <v>365</v>
      </c>
      <c r="D40" s="1087" t="s">
        <v>1738</v>
      </c>
      <c r="Q40" t="s">
        <v>365</v>
      </c>
    </row>
    <row r="41" spans="3:17">
      <c r="C41" t="s">
        <v>1715</v>
      </c>
      <c r="D41" s="1087" t="s">
        <v>1739</v>
      </c>
      <c r="Q41" t="s">
        <v>1715</v>
      </c>
    </row>
    <row r="42" spans="3:17">
      <c r="C42" t="s">
        <v>1717</v>
      </c>
      <c r="D42" s="1087" t="s">
        <v>1740</v>
      </c>
      <c r="Q42" t="s">
        <v>1717</v>
      </c>
    </row>
    <row r="43" spans="3:17">
      <c r="C43" t="s">
        <v>352</v>
      </c>
      <c r="D43" s="1087" t="s">
        <v>1741</v>
      </c>
      <c r="Q43" t="s">
        <v>352</v>
      </c>
    </row>
    <row r="44" spans="3:17">
      <c r="C44" t="s">
        <v>343</v>
      </c>
      <c r="D44" s="1087" t="s">
        <v>1742</v>
      </c>
      <c r="Q44" t="s">
        <v>343</v>
      </c>
    </row>
    <row r="45" spans="3:17">
      <c r="C45" t="s">
        <v>1692</v>
      </c>
      <c r="D45" s="1087" t="s">
        <v>1743</v>
      </c>
      <c r="Q45" t="s">
        <v>1692</v>
      </c>
    </row>
    <row r="46" spans="3:17">
      <c r="C46" t="s">
        <v>347</v>
      </c>
      <c r="D46" s="1087" t="s">
        <v>1744</v>
      </c>
      <c r="Q46" t="s">
        <v>347</v>
      </c>
    </row>
    <row r="47" spans="3:17">
      <c r="C47" t="s">
        <v>1699</v>
      </c>
      <c r="D47" s="1087" t="s">
        <v>1745</v>
      </c>
      <c r="Q47" t="s">
        <v>1699</v>
      </c>
    </row>
    <row r="48" spans="3:17">
      <c r="C48" t="s">
        <v>1688</v>
      </c>
      <c r="D48" s="1087" t="s">
        <v>1746</v>
      </c>
      <c r="Q48" t="s">
        <v>1688</v>
      </c>
    </row>
    <row r="49" spans="3:17">
      <c r="C49" t="s">
        <v>359</v>
      </c>
      <c r="D49" s="1087" t="s">
        <v>1433</v>
      </c>
      <c r="Q49" t="s">
        <v>359</v>
      </c>
    </row>
    <row r="50" spans="3:17">
      <c r="C50" t="s">
        <v>360</v>
      </c>
      <c r="D50" s="1087" t="s">
        <v>1747</v>
      </c>
      <c r="Q50" t="s">
        <v>360</v>
      </c>
    </row>
    <row r="51" spans="3:17">
      <c r="C51" t="s">
        <v>363</v>
      </c>
      <c r="D51" s="1087" t="s">
        <v>1748</v>
      </c>
      <c r="Q51" t="s">
        <v>363</v>
      </c>
    </row>
    <row r="52" spans="3:17">
      <c r="C52" t="s">
        <v>1691</v>
      </c>
      <c r="D52" s="1087" t="s">
        <v>1749</v>
      </c>
      <c r="Q52" t="s">
        <v>1691</v>
      </c>
    </row>
    <row r="53" spans="3:17">
      <c r="C53" t="s">
        <v>1695</v>
      </c>
      <c r="D53" s="1087" t="s">
        <v>1750</v>
      </c>
      <c r="Q53" t="s">
        <v>1695</v>
      </c>
    </row>
    <row r="54" spans="3:17">
      <c r="C54" t="s">
        <v>1698</v>
      </c>
      <c r="D54" s="1087" t="s">
        <v>1751</v>
      </c>
      <c r="Q54" t="s">
        <v>1698</v>
      </c>
    </row>
    <row r="58" spans="3:17">
      <c r="D58" t="s">
        <v>1752</v>
      </c>
    </row>
    <row r="59" spans="3:17">
      <c r="D59" t="s">
        <v>1669</v>
      </c>
    </row>
    <row r="60" spans="3:17">
      <c r="D60" t="s">
        <v>1670</v>
      </c>
    </row>
    <row r="61" spans="3:17">
      <c r="D61" t="s">
        <v>1671</v>
      </c>
    </row>
    <row r="62" spans="3:17">
      <c r="D62" t="s">
        <v>1672</v>
      </c>
    </row>
    <row r="63" spans="3:17">
      <c r="D63" t="s">
        <v>1673</v>
      </c>
    </row>
    <row r="64" spans="3:17">
      <c r="D64" t="s">
        <v>1674</v>
      </c>
    </row>
    <row r="65" spans="4:4">
      <c r="D65" t="s">
        <v>1675</v>
      </c>
    </row>
    <row r="66" spans="4:4">
      <c r="D66" t="s">
        <v>1676</v>
      </c>
    </row>
    <row r="67" spans="4:4">
      <c r="D67" t="s">
        <v>1677</v>
      </c>
    </row>
    <row r="68" spans="4:4">
      <c r="D68" t="s">
        <v>1678</v>
      </c>
    </row>
    <row r="69" spans="4:4">
      <c r="D69" t="s">
        <v>1679</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S90"/>
  <sheetViews>
    <sheetView tabSelected="1" topLeftCell="A10" zoomScale="75" zoomScaleNormal="75" workbookViewId="0">
      <pane ySplit="1470" topLeftCell="A22" activePane="bottomLeft"/>
      <selection activeCell="A10" sqref="A1:XFD1048576"/>
      <selection pane="bottomLeft" activeCell="F28" sqref="F28"/>
    </sheetView>
  </sheetViews>
  <sheetFormatPr defaultRowHeight="15"/>
  <cols>
    <col min="1" max="1" width="21.7109375" bestFit="1" customWidth="1"/>
    <col min="2" max="2" width="36.5703125" bestFit="1" customWidth="1"/>
    <col min="3" max="4" width="11.5703125" bestFit="1" customWidth="1"/>
    <col min="5" max="7" width="50.85546875" customWidth="1"/>
    <col min="8" max="11" width="15" customWidth="1"/>
    <col min="12" max="12" width="9.28515625" bestFit="1" customWidth="1"/>
  </cols>
  <sheetData>
    <row r="1" spans="1:19" ht="15.75">
      <c r="F1" s="2077" t="s">
        <v>1761</v>
      </c>
      <c r="G1" s="2077"/>
      <c r="H1" s="2077"/>
      <c r="I1" s="2077"/>
      <c r="P1" s="2077"/>
      <c r="Q1" s="2077"/>
      <c r="R1" s="2077"/>
      <c r="S1" s="2077"/>
    </row>
    <row r="2" spans="1:19" ht="15.75">
      <c r="F2" s="2078" t="s">
        <v>1762</v>
      </c>
      <c r="G2" s="2078"/>
      <c r="H2" s="2078"/>
      <c r="I2" s="2078"/>
      <c r="P2" s="2078"/>
      <c r="Q2" s="2078"/>
      <c r="R2" s="2078"/>
      <c r="S2" s="2078"/>
    </row>
    <row r="3" spans="1:19" ht="15.75">
      <c r="F3" s="2078" t="s">
        <v>1763</v>
      </c>
      <c r="G3" s="2078"/>
      <c r="H3" s="2078"/>
      <c r="I3" s="2078"/>
      <c r="P3" s="2078"/>
      <c r="Q3" s="2078"/>
      <c r="R3" s="2078"/>
      <c r="S3" s="2078"/>
    </row>
    <row r="5" spans="1:19" ht="15.75">
      <c r="B5" s="2076" t="s">
        <v>1764</v>
      </c>
      <c r="C5" s="2076"/>
      <c r="D5" s="2076"/>
      <c r="E5" s="2076"/>
      <c r="F5" s="2076"/>
      <c r="G5" s="2076"/>
      <c r="H5" s="1097"/>
      <c r="I5" s="1097"/>
      <c r="J5" s="1097"/>
      <c r="K5" s="1097"/>
      <c r="L5" s="1097"/>
      <c r="M5" s="1097"/>
      <c r="N5" s="1097"/>
      <c r="O5" s="1097"/>
      <c r="P5" s="1097"/>
      <c r="Q5" s="1097"/>
      <c r="R5" s="1097"/>
      <c r="S5" s="1097"/>
    </row>
    <row r="6" spans="1:19" ht="15.75">
      <c r="B6" s="1099"/>
      <c r="C6" s="1099"/>
      <c r="D6" s="1099"/>
      <c r="E6" s="1099"/>
      <c r="F6" s="1099"/>
      <c r="G6" s="1099"/>
      <c r="H6" s="1097"/>
      <c r="I6" s="1097"/>
      <c r="J6" s="1097"/>
      <c r="K6" s="1097"/>
      <c r="L6" s="1097"/>
      <c r="M6" s="1097"/>
      <c r="N6" s="1097"/>
      <c r="O6" s="1097"/>
      <c r="P6" s="1097"/>
      <c r="Q6" s="1097"/>
      <c r="R6" s="1097"/>
      <c r="S6" s="1097"/>
    </row>
    <row r="7" spans="1:19" ht="15.75">
      <c r="B7" s="1100" t="s">
        <v>1765</v>
      </c>
      <c r="C7" s="1833">
        <v>43557</v>
      </c>
      <c r="D7" s="1099"/>
      <c r="E7" s="1099"/>
      <c r="F7" s="1099"/>
      <c r="G7" s="1099"/>
      <c r="H7" s="1097"/>
      <c r="I7" s="1097"/>
      <c r="J7" s="1097"/>
      <c r="K7" s="1097"/>
      <c r="L7" s="1097"/>
      <c r="M7" s="1097"/>
      <c r="N7" s="1097"/>
      <c r="O7" s="1097"/>
      <c r="P7" s="1097"/>
      <c r="Q7" s="1097"/>
      <c r="R7" s="1097"/>
      <c r="S7" s="1097"/>
    </row>
    <row r="8" spans="1:19" ht="15.75">
      <c r="B8" s="1101"/>
      <c r="C8" s="1101"/>
      <c r="D8" s="1102"/>
      <c r="E8" s="1102"/>
      <c r="F8" s="1102"/>
      <c r="G8" s="1102"/>
      <c r="H8" s="1102"/>
      <c r="I8" s="1102"/>
      <c r="J8" s="1102"/>
      <c r="K8" s="1102"/>
      <c r="L8" s="1102"/>
      <c r="M8" s="1102"/>
      <c r="N8" s="1102"/>
      <c r="O8" s="1102"/>
      <c r="P8" s="1102"/>
      <c r="Q8" s="1102"/>
      <c r="R8" s="1102"/>
      <c r="S8" s="1102"/>
    </row>
    <row r="9" spans="1:19" ht="16.5" thickBot="1">
      <c r="A9" s="1100" t="s">
        <v>735</v>
      </c>
    </row>
    <row r="10" spans="1:19" ht="38.25" thickBot="1">
      <c r="A10" s="366" t="s">
        <v>366</v>
      </c>
      <c r="B10" s="366" t="s">
        <v>737</v>
      </c>
      <c r="C10" s="366" t="s">
        <v>736</v>
      </c>
      <c r="D10" s="366"/>
      <c r="E10" s="366"/>
      <c r="F10" s="366"/>
      <c r="G10" s="366"/>
      <c r="H10" s="366"/>
      <c r="I10" s="366"/>
      <c r="J10" s="366"/>
      <c r="K10" s="366"/>
    </row>
    <row r="11" spans="1:19" ht="16.5" thickBot="1">
      <c r="A11" s="238"/>
      <c r="B11" s="238"/>
      <c r="C11" s="421">
        <v>2015</v>
      </c>
      <c r="D11" s="421">
        <v>2016</v>
      </c>
      <c r="E11" s="421">
        <v>2017</v>
      </c>
      <c r="F11" s="421">
        <v>2018</v>
      </c>
      <c r="G11" s="421">
        <v>2019</v>
      </c>
      <c r="H11" s="421">
        <v>2020</v>
      </c>
      <c r="I11" s="421">
        <v>2021</v>
      </c>
      <c r="J11" s="421">
        <v>2022</v>
      </c>
      <c r="K11" s="421">
        <v>2023</v>
      </c>
    </row>
    <row r="12" spans="1:19" ht="16.5" thickBot="1">
      <c r="A12" s="422" t="s">
        <v>852</v>
      </c>
      <c r="B12" s="2058" t="s">
        <v>1544</v>
      </c>
      <c r="C12" s="2059"/>
      <c r="D12" s="2059"/>
      <c r="E12" s="2059"/>
      <c r="F12" s="2059"/>
      <c r="G12" s="2059"/>
      <c r="H12" s="2059"/>
      <c r="I12" s="2059"/>
      <c r="J12" s="2059"/>
      <c r="K12" s="2060"/>
    </row>
    <row r="13" spans="1:19" ht="57.75" thickBot="1">
      <c r="A13" s="1039" t="s">
        <v>738</v>
      </c>
      <c r="B13" s="1798" t="s">
        <v>1628</v>
      </c>
      <c r="C13" s="1799" t="s">
        <v>911</v>
      </c>
      <c r="D13" s="1800" t="s">
        <v>911</v>
      </c>
      <c r="E13" s="1800" t="s">
        <v>911</v>
      </c>
      <c r="F13" s="1800" t="s">
        <v>1545</v>
      </c>
      <c r="G13" s="1800" t="s">
        <v>1546</v>
      </c>
      <c r="H13" s="1785" t="s">
        <v>1547</v>
      </c>
      <c r="I13" s="1785" t="s">
        <v>1548</v>
      </c>
      <c r="J13" s="1785" t="s">
        <v>1549</v>
      </c>
      <c r="K13" s="1785" t="s">
        <v>1550</v>
      </c>
    </row>
    <row r="14" spans="1:19" ht="16.5" thickBot="1">
      <c r="A14" s="394"/>
      <c r="B14" s="416" t="s">
        <v>739</v>
      </c>
      <c r="C14" s="396" t="s">
        <v>1134</v>
      </c>
      <c r="D14" s="396" t="s">
        <v>1134</v>
      </c>
      <c r="E14" s="398" t="s">
        <v>1134</v>
      </c>
      <c r="F14" s="396">
        <v>4.6500000000000004</v>
      </c>
      <c r="G14" s="398"/>
      <c r="H14" s="398"/>
      <c r="I14" s="398"/>
      <c r="J14" s="398"/>
      <c r="K14" s="398"/>
    </row>
    <row r="15" spans="1:19" ht="48" thickBot="1">
      <c r="A15" s="394"/>
      <c r="B15" s="399" t="s">
        <v>1135</v>
      </c>
      <c r="C15" s="400" t="s">
        <v>1134</v>
      </c>
      <c r="D15" s="1039" t="s">
        <v>1134</v>
      </c>
      <c r="E15" s="398" t="s">
        <v>1134</v>
      </c>
      <c r="F15" s="396" t="s">
        <v>4479</v>
      </c>
      <c r="G15" s="1611" t="s">
        <v>4485</v>
      </c>
      <c r="H15" s="398"/>
      <c r="I15" s="398"/>
      <c r="J15" s="398"/>
      <c r="K15" s="398"/>
    </row>
    <row r="16" spans="1:19" ht="16.5" thickBot="1">
      <c r="A16" s="422" t="s">
        <v>866</v>
      </c>
      <c r="B16" s="2058" t="s">
        <v>1136</v>
      </c>
      <c r="C16" s="2059"/>
      <c r="D16" s="2059"/>
      <c r="E16" s="2059"/>
      <c r="F16" s="2059"/>
      <c r="G16" s="2059"/>
      <c r="H16" s="2059"/>
      <c r="I16" s="2059"/>
      <c r="J16" s="2059"/>
      <c r="K16" s="2060"/>
    </row>
    <row r="17" spans="1:13" ht="15.75">
      <c r="A17" s="2061" t="s">
        <v>738</v>
      </c>
      <c r="B17" s="2068" t="s">
        <v>1628</v>
      </c>
      <c r="C17" s="2064" t="s">
        <v>911</v>
      </c>
      <c r="D17" s="2066" t="s">
        <v>911</v>
      </c>
      <c r="E17" s="2066" t="s">
        <v>911</v>
      </c>
      <c r="F17" s="404" t="s">
        <v>912</v>
      </c>
      <c r="G17" s="1796" t="s">
        <v>915</v>
      </c>
      <c r="H17" s="403" t="s">
        <v>918</v>
      </c>
      <c r="I17" s="403" t="s">
        <v>921</v>
      </c>
      <c r="J17" s="403" t="s">
        <v>924</v>
      </c>
      <c r="K17" s="403" t="s">
        <v>927</v>
      </c>
    </row>
    <row r="18" spans="1:13" ht="15.75">
      <c r="A18" s="2062"/>
      <c r="B18" s="2069"/>
      <c r="C18" s="2065"/>
      <c r="D18" s="2067"/>
      <c r="E18" s="2067"/>
      <c r="F18" s="404" t="s">
        <v>913</v>
      </c>
      <c r="G18" s="404" t="s">
        <v>916</v>
      </c>
      <c r="H18" s="403" t="s">
        <v>919</v>
      </c>
      <c r="I18" s="403" t="s">
        <v>922</v>
      </c>
      <c r="J18" s="403" t="s">
        <v>925</v>
      </c>
      <c r="K18" s="403" t="s">
        <v>928</v>
      </c>
    </row>
    <row r="19" spans="1:13" ht="16.5" thickBot="1">
      <c r="A19" s="2063"/>
      <c r="B19" s="2070"/>
      <c r="C19" s="2065"/>
      <c r="D19" s="2067"/>
      <c r="E19" s="2067"/>
      <c r="F19" s="404" t="s">
        <v>914</v>
      </c>
      <c r="G19" s="1797" t="s">
        <v>917</v>
      </c>
      <c r="H19" s="403" t="s">
        <v>920</v>
      </c>
      <c r="I19" s="403" t="s">
        <v>923</v>
      </c>
      <c r="J19" s="403" t="s">
        <v>926</v>
      </c>
      <c r="K19" s="403" t="s">
        <v>929</v>
      </c>
    </row>
    <row r="20" spans="1:13" ht="16.5" thickBot="1">
      <c r="A20" s="394"/>
      <c r="B20" s="1040" t="s">
        <v>739</v>
      </c>
      <c r="C20" s="1041" t="s">
        <v>1134</v>
      </c>
      <c r="D20" s="1041" t="s">
        <v>1134</v>
      </c>
      <c r="E20" s="1043" t="s">
        <v>1134</v>
      </c>
      <c r="F20" s="1041" t="s">
        <v>1134</v>
      </c>
      <c r="G20" s="397" t="s">
        <v>1134</v>
      </c>
      <c r="H20" s="1042"/>
      <c r="I20" s="1042"/>
      <c r="J20" s="1042"/>
      <c r="K20" s="1042"/>
    </row>
    <row r="21" spans="1:13" ht="48" thickBot="1">
      <c r="A21" s="394"/>
      <c r="B21" s="399" t="s">
        <v>1135</v>
      </c>
      <c r="C21" s="400"/>
      <c r="D21" s="401"/>
      <c r="E21" s="1611" t="s">
        <v>4482</v>
      </c>
      <c r="F21" s="1611" t="s">
        <v>4481</v>
      </c>
      <c r="G21" s="1611" t="s">
        <v>4484</v>
      </c>
      <c r="H21" s="398"/>
      <c r="I21" s="398"/>
      <c r="J21" s="398"/>
      <c r="K21" s="398"/>
    </row>
    <row r="22" spans="1:13" ht="16.5" thickBot="1">
      <c r="A22" s="422" t="s">
        <v>869</v>
      </c>
      <c r="B22" s="2058" t="s">
        <v>870</v>
      </c>
      <c r="C22" s="2059"/>
      <c r="D22" s="2059"/>
      <c r="E22" s="2059"/>
      <c r="F22" s="2059"/>
      <c r="G22" s="2059"/>
      <c r="H22" s="2059"/>
      <c r="I22" s="2059"/>
      <c r="J22" s="2059"/>
      <c r="K22" s="2060"/>
    </row>
    <row r="23" spans="1:13" ht="15.75">
      <c r="A23" s="2071" t="s">
        <v>738</v>
      </c>
      <c r="B23" s="389" t="s">
        <v>1624</v>
      </c>
      <c r="C23" s="403" t="s">
        <v>930</v>
      </c>
      <c r="D23" s="403" t="s">
        <v>933</v>
      </c>
      <c r="E23" s="403" t="s">
        <v>936</v>
      </c>
      <c r="F23" s="403" t="s">
        <v>939</v>
      </c>
      <c r="G23" s="403" t="s">
        <v>942</v>
      </c>
      <c r="H23" s="403" t="s">
        <v>945</v>
      </c>
      <c r="I23" s="403" t="s">
        <v>948</v>
      </c>
      <c r="J23" s="403" t="s">
        <v>951</v>
      </c>
      <c r="K23" s="403" t="s">
        <v>954</v>
      </c>
    </row>
    <row r="24" spans="1:13" ht="15.75">
      <c r="A24" s="2072"/>
      <c r="B24" s="389" t="s">
        <v>1625</v>
      </c>
      <c r="C24" s="403" t="s">
        <v>931</v>
      </c>
      <c r="D24" s="403" t="s">
        <v>934</v>
      </c>
      <c r="E24" s="403" t="s">
        <v>937</v>
      </c>
      <c r="F24" s="403" t="s">
        <v>940</v>
      </c>
      <c r="G24" s="403" t="s">
        <v>943</v>
      </c>
      <c r="H24" s="403" t="s">
        <v>946</v>
      </c>
      <c r="I24" s="403" t="s">
        <v>949</v>
      </c>
      <c r="J24" s="403" t="s">
        <v>952</v>
      </c>
      <c r="K24" s="403" t="s">
        <v>955</v>
      </c>
    </row>
    <row r="25" spans="1:13" ht="15.75">
      <c r="A25" s="2072"/>
      <c r="B25" s="389" t="s">
        <v>1626</v>
      </c>
      <c r="C25" s="403" t="s">
        <v>932</v>
      </c>
      <c r="D25" s="403" t="s">
        <v>935</v>
      </c>
      <c r="E25" s="403" t="s">
        <v>938</v>
      </c>
      <c r="F25" s="403" t="s">
        <v>941</v>
      </c>
      <c r="G25" s="403" t="s">
        <v>944</v>
      </c>
      <c r="H25" s="403" t="s">
        <v>947</v>
      </c>
      <c r="I25" s="403" t="s">
        <v>950</v>
      </c>
      <c r="J25" s="403" t="s">
        <v>953</v>
      </c>
      <c r="K25" s="403" t="s">
        <v>956</v>
      </c>
    </row>
    <row r="26" spans="1:13" ht="16.5" thickBot="1">
      <c r="A26" s="2073"/>
      <c r="B26" s="390" t="s">
        <v>1627</v>
      </c>
      <c r="C26" s="393"/>
      <c r="D26" s="393"/>
      <c r="E26" s="393"/>
      <c r="F26" s="393"/>
      <c r="G26" s="393"/>
      <c r="H26" s="393"/>
      <c r="I26" s="393"/>
      <c r="J26" s="393"/>
      <c r="K26" s="393"/>
    </row>
    <row r="27" spans="1:13" ht="16.5" thickBot="1">
      <c r="A27" s="394"/>
      <c r="B27" s="395" t="s">
        <v>739</v>
      </c>
      <c r="C27" s="397" t="s">
        <v>1134</v>
      </c>
      <c r="D27" s="397" t="s">
        <v>1134</v>
      </c>
      <c r="E27" s="397" t="s">
        <v>1134</v>
      </c>
      <c r="F27" s="397" t="s">
        <v>1134</v>
      </c>
      <c r="G27" s="397" t="s">
        <v>1134</v>
      </c>
      <c r="H27" s="398"/>
      <c r="I27" s="398"/>
      <c r="J27" s="398"/>
      <c r="K27" s="398"/>
    </row>
    <row r="28" spans="1:13" ht="48" thickBot="1">
      <c r="A28" s="394"/>
      <c r="B28" s="399" t="s">
        <v>1135</v>
      </c>
      <c r="C28" s="397" t="s">
        <v>1134</v>
      </c>
      <c r="D28" s="397" t="s">
        <v>1134</v>
      </c>
      <c r="E28" s="1611" t="s">
        <v>4482</v>
      </c>
      <c r="F28" s="1611" t="s">
        <v>4481</v>
      </c>
      <c r="G28" s="1611" t="s">
        <v>4487</v>
      </c>
      <c r="H28" s="398"/>
      <c r="I28" s="398"/>
      <c r="J28" s="398"/>
      <c r="K28" s="398"/>
    </row>
    <row r="29" spans="1:13" ht="16.5" thickBot="1">
      <c r="A29" s="422" t="s">
        <v>872</v>
      </c>
      <c r="B29" s="2058" t="s">
        <v>4480</v>
      </c>
      <c r="C29" s="2059"/>
      <c r="D29" s="2059"/>
      <c r="E29" s="2059"/>
      <c r="F29" s="2059"/>
      <c r="G29" s="2059"/>
      <c r="H29" s="2059"/>
      <c r="I29" s="2059"/>
      <c r="J29" s="2059"/>
      <c r="K29" s="2060"/>
    </row>
    <row r="30" spans="1:13" ht="15.75">
      <c r="A30" s="2071" t="s">
        <v>738</v>
      </c>
      <c r="B30" s="389" t="s">
        <v>1624</v>
      </c>
      <c r="C30" s="2064" t="s">
        <v>911</v>
      </c>
      <c r="D30" s="2066" t="s">
        <v>911</v>
      </c>
      <c r="E30" s="404" t="s">
        <v>957</v>
      </c>
      <c r="F30" s="403" t="s">
        <v>959</v>
      </c>
      <c r="G30" s="403" t="s">
        <v>962</v>
      </c>
      <c r="H30" s="403" t="s">
        <v>965</v>
      </c>
      <c r="I30" s="403" t="s">
        <v>968</v>
      </c>
      <c r="J30" s="403" t="s">
        <v>971</v>
      </c>
      <c r="K30" s="403" t="s">
        <v>974</v>
      </c>
    </row>
    <row r="31" spans="1:13" ht="15.75">
      <c r="A31" s="2072"/>
      <c r="B31" s="389" t="s">
        <v>1625</v>
      </c>
      <c r="C31" s="2065"/>
      <c r="D31" s="2067"/>
      <c r="E31" s="404" t="s">
        <v>958</v>
      </c>
      <c r="F31" s="403" t="s">
        <v>960</v>
      </c>
      <c r="G31" s="403" t="s">
        <v>963</v>
      </c>
      <c r="H31" s="403" t="s">
        <v>966</v>
      </c>
      <c r="I31" s="403" t="s">
        <v>969</v>
      </c>
      <c r="J31" s="403" t="s">
        <v>972</v>
      </c>
      <c r="K31" s="403" t="s">
        <v>975</v>
      </c>
      <c r="M31" s="233"/>
    </row>
    <row r="32" spans="1:13" ht="15.75">
      <c r="A32" s="2072"/>
      <c r="B32" s="389" t="s">
        <v>1626</v>
      </c>
      <c r="C32" s="2065"/>
      <c r="D32" s="2067"/>
      <c r="E32" s="404"/>
      <c r="F32" s="403" t="s">
        <v>961</v>
      </c>
      <c r="G32" s="403" t="s">
        <v>964</v>
      </c>
      <c r="H32" s="403" t="s">
        <v>967</v>
      </c>
      <c r="I32" s="403" t="s">
        <v>970</v>
      </c>
      <c r="J32" s="403" t="s">
        <v>973</v>
      </c>
      <c r="K32" s="403" t="s">
        <v>976</v>
      </c>
      <c r="M32" s="233"/>
    </row>
    <row r="33" spans="1:11" ht="16.5" thickBot="1">
      <c r="A33" s="2073"/>
      <c r="B33" s="390" t="s">
        <v>1627</v>
      </c>
      <c r="C33" s="2074"/>
      <c r="D33" s="2075"/>
      <c r="E33" s="405"/>
      <c r="F33" s="393"/>
      <c r="G33" s="393"/>
      <c r="H33" s="393"/>
      <c r="I33" s="393"/>
      <c r="J33" s="393"/>
      <c r="K33" s="393"/>
    </row>
    <row r="34" spans="1:11" ht="16.5" thickBot="1">
      <c r="A34" s="394"/>
      <c r="B34" s="395" t="s">
        <v>739</v>
      </c>
      <c r="C34" s="397" t="s">
        <v>1134</v>
      </c>
      <c r="D34" s="397" t="s">
        <v>1134</v>
      </c>
      <c r="E34" s="396">
        <v>-39.69</v>
      </c>
      <c r="F34" s="1785">
        <v>-37.82</v>
      </c>
      <c r="G34" s="397" t="s">
        <v>1134</v>
      </c>
      <c r="H34" s="398"/>
      <c r="I34" s="398"/>
      <c r="J34" s="398"/>
      <c r="K34" s="398"/>
    </row>
    <row r="35" spans="1:11" ht="48" thickBot="1">
      <c r="A35" s="406"/>
      <c r="B35" s="407" t="s">
        <v>1135</v>
      </c>
      <c r="C35" s="408" t="s">
        <v>1134</v>
      </c>
      <c r="D35" s="409" t="s">
        <v>1134</v>
      </c>
      <c r="E35" s="396" t="s">
        <v>4233</v>
      </c>
      <c r="F35" s="396" t="s">
        <v>4233</v>
      </c>
      <c r="G35" s="1611" t="s">
        <v>4486</v>
      </c>
      <c r="H35" s="398"/>
      <c r="I35" s="398"/>
      <c r="J35" s="398"/>
      <c r="K35" s="398"/>
    </row>
    <row r="36" spans="1:11" ht="16.5" thickBot="1">
      <c r="A36" s="422" t="s">
        <v>875</v>
      </c>
      <c r="B36" s="2058" t="s">
        <v>876</v>
      </c>
      <c r="C36" s="2059"/>
      <c r="D36" s="2059"/>
      <c r="E36" s="2059"/>
      <c r="F36" s="2059"/>
      <c r="G36" s="2059"/>
      <c r="H36" s="2059"/>
      <c r="I36" s="2059"/>
      <c r="J36" s="2059"/>
      <c r="K36" s="2060"/>
    </row>
    <row r="37" spans="1:11" ht="57.75" thickBot="1">
      <c r="A37" s="1037" t="s">
        <v>738</v>
      </c>
      <c r="B37" s="389" t="s">
        <v>1629</v>
      </c>
      <c r="C37" s="564" t="s">
        <v>911</v>
      </c>
      <c r="D37" s="564" t="s">
        <v>911</v>
      </c>
      <c r="E37" s="564" t="s">
        <v>911</v>
      </c>
      <c r="F37" s="564" t="s">
        <v>911</v>
      </c>
      <c r="G37" s="564" t="s">
        <v>1552</v>
      </c>
      <c r="H37" s="564" t="s">
        <v>1553</v>
      </c>
      <c r="I37" s="564" t="s">
        <v>1554</v>
      </c>
      <c r="J37" s="564" t="s">
        <v>1555</v>
      </c>
      <c r="K37" s="849" t="s">
        <v>1555</v>
      </c>
    </row>
    <row r="38" spans="1:11" ht="16.5" thickBot="1">
      <c r="A38" s="401"/>
      <c r="B38" s="1040" t="s">
        <v>739</v>
      </c>
      <c r="C38" s="397" t="s">
        <v>1134</v>
      </c>
      <c r="D38" s="397" t="s">
        <v>1134</v>
      </c>
      <c r="E38" s="1042" t="s">
        <v>1134</v>
      </c>
      <c r="F38" s="1042" t="s">
        <v>1134</v>
      </c>
      <c r="G38" s="1042" t="s">
        <v>1134</v>
      </c>
      <c r="H38" s="1042"/>
      <c r="I38" s="1042"/>
      <c r="J38" s="1042"/>
      <c r="K38" s="1042"/>
    </row>
    <row r="39" spans="1:11" ht="48" thickBot="1">
      <c r="A39" s="401"/>
      <c r="B39" s="411" t="s">
        <v>1135</v>
      </c>
      <c r="C39" s="397" t="s">
        <v>1134</v>
      </c>
      <c r="D39" s="397" t="s">
        <v>1134</v>
      </c>
      <c r="E39" s="397" t="s">
        <v>1134</v>
      </c>
      <c r="F39" s="397" t="s">
        <v>1134</v>
      </c>
      <c r="G39" s="1611" t="s">
        <v>4486</v>
      </c>
      <c r="H39" s="398"/>
      <c r="I39" s="398"/>
      <c r="J39" s="398"/>
      <c r="K39" s="398"/>
    </row>
    <row r="40" spans="1:11" ht="16.5" thickBot="1">
      <c r="A40" s="422" t="s">
        <v>855</v>
      </c>
      <c r="B40" s="2058" t="s">
        <v>857</v>
      </c>
      <c r="C40" s="2059"/>
      <c r="D40" s="2059"/>
      <c r="E40" s="2059"/>
      <c r="F40" s="2059"/>
      <c r="G40" s="2059"/>
      <c r="H40" s="2059"/>
      <c r="I40" s="2059"/>
      <c r="J40" s="2059"/>
      <c r="K40" s="2060"/>
    </row>
    <row r="41" spans="1:11" ht="15.75">
      <c r="A41" s="2071" t="s">
        <v>738</v>
      </c>
      <c r="B41" s="389" t="s">
        <v>1624</v>
      </c>
      <c r="C41" s="402" t="s">
        <v>989</v>
      </c>
      <c r="D41" s="412" t="s">
        <v>992</v>
      </c>
      <c r="E41" s="412" t="s">
        <v>995</v>
      </c>
      <c r="F41" s="412" t="s">
        <v>998</v>
      </c>
      <c r="G41" s="412" t="s">
        <v>1001</v>
      </c>
      <c r="H41" s="412" t="s">
        <v>1004</v>
      </c>
      <c r="I41" s="412" t="s">
        <v>1007</v>
      </c>
      <c r="J41" s="412" t="s">
        <v>1010</v>
      </c>
      <c r="K41" s="404" t="s">
        <v>1013</v>
      </c>
    </row>
    <row r="42" spans="1:11" ht="15.75">
      <c r="A42" s="2072"/>
      <c r="B42" s="389" t="s">
        <v>1625</v>
      </c>
      <c r="C42" s="402" t="s">
        <v>990</v>
      </c>
      <c r="D42" s="412" t="s">
        <v>993</v>
      </c>
      <c r="E42" s="412" t="s">
        <v>996</v>
      </c>
      <c r="F42" s="412" t="s">
        <v>999</v>
      </c>
      <c r="G42" s="412" t="s">
        <v>1002</v>
      </c>
      <c r="H42" s="412" t="s">
        <v>1005</v>
      </c>
      <c r="I42" s="412" t="s">
        <v>1008</v>
      </c>
      <c r="J42" s="412" t="s">
        <v>1011</v>
      </c>
      <c r="K42" s="404" t="s">
        <v>1014</v>
      </c>
    </row>
    <row r="43" spans="1:11" ht="15.75">
      <c r="A43" s="2072"/>
      <c r="B43" s="389" t="s">
        <v>1626</v>
      </c>
      <c r="C43" s="402" t="s">
        <v>991</v>
      </c>
      <c r="D43" s="412" t="s">
        <v>994</v>
      </c>
      <c r="E43" s="412" t="s">
        <v>997</v>
      </c>
      <c r="F43" s="412" t="s">
        <v>1000</v>
      </c>
      <c r="G43" s="412" t="s">
        <v>1003</v>
      </c>
      <c r="H43" s="412" t="s">
        <v>1006</v>
      </c>
      <c r="I43" s="412" t="s">
        <v>1009</v>
      </c>
      <c r="J43" s="412" t="s">
        <v>1012</v>
      </c>
      <c r="K43" s="404" t="s">
        <v>1015</v>
      </c>
    </row>
    <row r="44" spans="1:11" ht="16.5" thickBot="1">
      <c r="A44" s="2073"/>
      <c r="B44" s="390" t="s">
        <v>1627</v>
      </c>
      <c r="C44" s="391"/>
      <c r="D44" s="413"/>
      <c r="E44" s="413"/>
      <c r="F44" s="413"/>
      <c r="G44" s="413"/>
      <c r="H44" s="413"/>
      <c r="I44" s="413"/>
      <c r="J44" s="413"/>
      <c r="K44" s="392"/>
    </row>
    <row r="45" spans="1:11" ht="16.5" thickBot="1">
      <c r="A45" s="394"/>
      <c r="B45" s="395" t="s">
        <v>739</v>
      </c>
      <c r="C45" s="396">
        <v>98.1</v>
      </c>
      <c r="D45" s="396">
        <v>98.3</v>
      </c>
      <c r="E45" s="396">
        <v>96.24</v>
      </c>
      <c r="F45" s="396">
        <v>97.4</v>
      </c>
      <c r="G45" s="1042" t="s">
        <v>1134</v>
      </c>
      <c r="H45" s="398"/>
      <c r="I45" s="398"/>
      <c r="J45" s="400"/>
      <c r="K45" s="401"/>
    </row>
    <row r="46" spans="1:11" ht="48" thickBot="1">
      <c r="A46" s="394"/>
      <c r="B46" s="399" t="s">
        <v>1135</v>
      </c>
      <c r="C46" s="414" t="s">
        <v>1138</v>
      </c>
      <c r="D46" s="415" t="s">
        <v>1138</v>
      </c>
      <c r="E46" s="396" t="s">
        <v>4232</v>
      </c>
      <c r="F46" s="396" t="s">
        <v>4232</v>
      </c>
      <c r="G46" s="1611" t="s">
        <v>4483</v>
      </c>
      <c r="H46" s="398"/>
      <c r="I46" s="398"/>
      <c r="J46" s="398"/>
      <c r="K46" s="398"/>
    </row>
    <row r="47" spans="1:11" ht="16.5" thickBot="1">
      <c r="A47" s="422" t="s">
        <v>877</v>
      </c>
      <c r="B47" s="2058" t="s">
        <v>879</v>
      </c>
      <c r="C47" s="2059"/>
      <c r="D47" s="2059"/>
      <c r="E47" s="2059"/>
      <c r="F47" s="2059"/>
      <c r="G47" s="2059"/>
      <c r="H47" s="2059"/>
      <c r="I47" s="2059"/>
      <c r="J47" s="2059"/>
      <c r="K47" s="2060"/>
    </row>
    <row r="48" spans="1:11" ht="57.75" thickBot="1">
      <c r="A48" s="1038" t="s">
        <v>738</v>
      </c>
      <c r="B48" s="1787" t="s">
        <v>1628</v>
      </c>
      <c r="C48" s="154" t="s">
        <v>911</v>
      </c>
      <c r="D48" s="154" t="s">
        <v>911</v>
      </c>
      <c r="E48" s="154" t="s">
        <v>911</v>
      </c>
      <c r="F48" s="1788" t="s">
        <v>911</v>
      </c>
      <c r="G48" s="154" t="s">
        <v>1556</v>
      </c>
      <c r="H48" s="154" t="s">
        <v>1511</v>
      </c>
      <c r="I48" s="154" t="s">
        <v>1557</v>
      </c>
      <c r="J48" s="154" t="s">
        <v>1557</v>
      </c>
      <c r="K48" s="565" t="s">
        <v>1557</v>
      </c>
    </row>
    <row r="49" spans="1:11" ht="16.5" thickBot="1">
      <c r="A49" s="1786"/>
      <c r="B49" s="1040" t="s">
        <v>739</v>
      </c>
      <c r="C49" s="397" t="s">
        <v>1134</v>
      </c>
      <c r="D49" s="397" t="s">
        <v>1134</v>
      </c>
      <c r="E49" s="1042" t="s">
        <v>1137</v>
      </c>
      <c r="F49" s="1041" t="s">
        <v>1134</v>
      </c>
      <c r="G49" s="1041" t="s">
        <v>1134</v>
      </c>
      <c r="H49" s="398"/>
      <c r="I49" s="398"/>
      <c r="J49" s="398"/>
      <c r="K49" s="398"/>
    </row>
    <row r="50" spans="1:11" ht="48" thickBot="1">
      <c r="A50" s="394"/>
      <c r="B50" s="399" t="s">
        <v>1135</v>
      </c>
      <c r="C50" s="397" t="s">
        <v>1134</v>
      </c>
      <c r="D50" s="397" t="s">
        <v>1134</v>
      </c>
      <c r="E50" s="397" t="s">
        <v>1134</v>
      </c>
      <c r="F50" s="409" t="s">
        <v>1134</v>
      </c>
      <c r="G50" s="1611" t="s">
        <v>4490</v>
      </c>
      <c r="H50" s="398"/>
      <c r="I50" s="398"/>
      <c r="J50" s="398"/>
      <c r="K50" s="398"/>
    </row>
    <row r="51" spans="1:11" ht="16.5" thickBot="1">
      <c r="A51" s="422" t="s">
        <v>1017</v>
      </c>
      <c r="B51" s="2058" t="s">
        <v>881</v>
      </c>
      <c r="C51" s="2059"/>
      <c r="D51" s="2059"/>
      <c r="E51" s="2059"/>
      <c r="F51" s="2059"/>
      <c r="G51" s="2059"/>
      <c r="H51" s="2059"/>
      <c r="I51" s="2059"/>
      <c r="J51" s="2059"/>
      <c r="K51" s="2060"/>
    </row>
    <row r="52" spans="1:11" ht="57.75" thickBot="1">
      <c r="A52" s="1039" t="s">
        <v>738</v>
      </c>
      <c r="B52" s="1040" t="s">
        <v>1628</v>
      </c>
      <c r="C52" s="1788" t="s">
        <v>911</v>
      </c>
      <c r="D52" s="154" t="s">
        <v>911</v>
      </c>
      <c r="E52" s="1788" t="s">
        <v>911</v>
      </c>
      <c r="F52" s="154" t="s">
        <v>911</v>
      </c>
      <c r="G52" s="1788" t="s">
        <v>1558</v>
      </c>
      <c r="H52" s="154" t="s">
        <v>1559</v>
      </c>
      <c r="I52" s="1788" t="s">
        <v>1560</v>
      </c>
      <c r="J52" s="154" t="s">
        <v>1560</v>
      </c>
      <c r="K52" s="565" t="s">
        <v>1560</v>
      </c>
    </row>
    <row r="53" spans="1:11" ht="16.5" thickBot="1">
      <c r="A53" s="394"/>
      <c r="B53" s="416" t="s">
        <v>739</v>
      </c>
      <c r="C53" s="397" t="s">
        <v>1134</v>
      </c>
      <c r="D53" s="397" t="s">
        <v>1134</v>
      </c>
      <c r="E53" s="1042" t="s">
        <v>1137</v>
      </c>
      <c r="F53" s="1041" t="s">
        <v>1134</v>
      </c>
      <c r="G53" s="1041" t="s">
        <v>1134</v>
      </c>
      <c r="H53" s="398"/>
      <c r="I53" s="398"/>
      <c r="J53" s="398"/>
      <c r="K53" s="398"/>
    </row>
    <row r="54" spans="1:11" ht="48" thickBot="1">
      <c r="A54" s="394"/>
      <c r="B54" s="399" t="s">
        <v>1135</v>
      </c>
      <c r="C54" s="408" t="s">
        <v>1134</v>
      </c>
      <c r="D54" s="409" t="s">
        <v>1134</v>
      </c>
      <c r="E54" s="397" t="s">
        <v>1134</v>
      </c>
      <c r="F54" s="409" t="s">
        <v>1134</v>
      </c>
      <c r="G54" s="1611" t="s">
        <v>4488</v>
      </c>
      <c r="H54" s="398"/>
      <c r="I54" s="398"/>
      <c r="J54" s="398"/>
      <c r="K54" s="398"/>
    </row>
    <row r="55" spans="1:11" ht="16.5" thickBot="1">
      <c r="A55" s="422" t="s">
        <v>882</v>
      </c>
      <c r="B55" s="2058" t="s">
        <v>883</v>
      </c>
      <c r="C55" s="2059"/>
      <c r="D55" s="2059"/>
      <c r="E55" s="2059"/>
      <c r="F55" s="2059"/>
      <c r="G55" s="2059"/>
      <c r="H55" s="2059"/>
      <c r="I55" s="2059"/>
      <c r="J55" s="2059"/>
      <c r="K55" s="2060"/>
    </row>
    <row r="56" spans="1:11" ht="57.75" thickBot="1">
      <c r="A56" s="1039" t="s">
        <v>738</v>
      </c>
      <c r="B56" s="1787" t="s">
        <v>1628</v>
      </c>
      <c r="C56" s="154" t="s">
        <v>911</v>
      </c>
      <c r="D56" s="154" t="s">
        <v>911</v>
      </c>
      <c r="E56" s="154" t="s">
        <v>911</v>
      </c>
      <c r="F56" s="1788" t="s">
        <v>911</v>
      </c>
      <c r="G56" s="1789" t="s">
        <v>1561</v>
      </c>
      <c r="H56" s="1789" t="s">
        <v>1562</v>
      </c>
      <c r="I56" s="1789" t="s">
        <v>1563</v>
      </c>
      <c r="J56" s="1789" t="s">
        <v>1563</v>
      </c>
      <c r="K56" s="1790" t="s">
        <v>1563</v>
      </c>
    </row>
    <row r="57" spans="1:11" ht="16.5" thickBot="1">
      <c r="A57" s="394"/>
      <c r="B57" s="395" t="s">
        <v>739</v>
      </c>
      <c r="C57" s="397" t="s">
        <v>1134</v>
      </c>
      <c r="D57" s="397" t="s">
        <v>1134</v>
      </c>
      <c r="E57" s="1042" t="s">
        <v>1137</v>
      </c>
      <c r="F57" s="1041" t="s">
        <v>1134</v>
      </c>
      <c r="G57" s="1041" t="s">
        <v>1134</v>
      </c>
      <c r="H57" s="398"/>
      <c r="I57" s="398"/>
      <c r="J57" s="398"/>
      <c r="K57" s="398"/>
    </row>
    <row r="58" spans="1:11" ht="48" thickBot="1">
      <c r="A58" s="394"/>
      <c r="B58" s="399" t="s">
        <v>1135</v>
      </c>
      <c r="C58" s="408" t="s">
        <v>1134</v>
      </c>
      <c r="D58" s="409" t="s">
        <v>1134</v>
      </c>
      <c r="E58" s="397" t="s">
        <v>1134</v>
      </c>
      <c r="F58" s="409" t="s">
        <v>1134</v>
      </c>
      <c r="G58" s="1611" t="s">
        <v>4490</v>
      </c>
      <c r="H58" s="398"/>
      <c r="I58" s="398"/>
      <c r="J58" s="398"/>
      <c r="K58" s="398"/>
    </row>
    <row r="59" spans="1:11" ht="16.5" thickBot="1">
      <c r="A59" s="422" t="s">
        <v>884</v>
      </c>
      <c r="B59" s="2058" t="s">
        <v>886</v>
      </c>
      <c r="C59" s="2059"/>
      <c r="D59" s="2059"/>
      <c r="E59" s="2059"/>
      <c r="F59" s="2059"/>
      <c r="G59" s="2059"/>
      <c r="H59" s="2059"/>
      <c r="I59" s="2059"/>
      <c r="J59" s="2059"/>
      <c r="K59" s="2060"/>
    </row>
    <row r="60" spans="1:11" ht="63.75" thickBot="1">
      <c r="A60" s="1039" t="s">
        <v>738</v>
      </c>
      <c r="B60" s="1787" t="s">
        <v>1629</v>
      </c>
      <c r="C60" s="154" t="s">
        <v>911</v>
      </c>
      <c r="D60" s="154" t="s">
        <v>911</v>
      </c>
      <c r="E60" s="154" t="s">
        <v>911</v>
      </c>
      <c r="F60" s="1788" t="s">
        <v>911</v>
      </c>
      <c r="G60" s="1789" t="s">
        <v>1493</v>
      </c>
      <c r="H60" s="1789" t="s">
        <v>1494</v>
      </c>
      <c r="I60" s="1789" t="s">
        <v>1495</v>
      </c>
      <c r="J60" s="1789" t="s">
        <v>1496</v>
      </c>
      <c r="K60" s="1790" t="s">
        <v>1496</v>
      </c>
    </row>
    <row r="61" spans="1:11" ht="16.5" thickBot="1">
      <c r="A61" s="394"/>
      <c r="B61" s="395" t="s">
        <v>739</v>
      </c>
      <c r="C61" s="397" t="s">
        <v>1134</v>
      </c>
      <c r="D61" s="397" t="s">
        <v>1134</v>
      </c>
      <c r="E61" s="397" t="s">
        <v>1134</v>
      </c>
      <c r="F61" s="1041" t="s">
        <v>1134</v>
      </c>
      <c r="G61" s="1041" t="s">
        <v>1134</v>
      </c>
      <c r="H61" s="398"/>
      <c r="I61" s="398"/>
      <c r="J61" s="398"/>
      <c r="K61" s="398"/>
    </row>
    <row r="62" spans="1:11" ht="48" thickBot="1">
      <c r="A62" s="394"/>
      <c r="B62" s="399" t="s">
        <v>1135</v>
      </c>
      <c r="C62" s="408" t="s">
        <v>1134</v>
      </c>
      <c r="D62" s="409" t="s">
        <v>1134</v>
      </c>
      <c r="E62" s="409" t="s">
        <v>1134</v>
      </c>
      <c r="F62" s="409" t="s">
        <v>1134</v>
      </c>
      <c r="G62" s="1611" t="s">
        <v>4489</v>
      </c>
      <c r="H62" s="398"/>
      <c r="I62" s="398"/>
      <c r="J62" s="398"/>
      <c r="K62" s="398"/>
    </row>
    <row r="63" spans="1:11" ht="16.5" thickBot="1">
      <c r="A63" s="422" t="s">
        <v>887</v>
      </c>
      <c r="B63" s="2058" t="s">
        <v>888</v>
      </c>
      <c r="C63" s="2059"/>
      <c r="D63" s="2059"/>
      <c r="E63" s="2059"/>
      <c r="F63" s="2059"/>
      <c r="G63" s="2059"/>
      <c r="H63" s="2059"/>
      <c r="I63" s="2059"/>
      <c r="J63" s="2059"/>
      <c r="K63" s="2060"/>
    </row>
    <row r="64" spans="1:11" ht="57.75" thickBot="1">
      <c r="A64" s="1039" t="s">
        <v>738</v>
      </c>
      <c r="B64" s="1787" t="s">
        <v>1629</v>
      </c>
      <c r="C64" s="154" t="s">
        <v>911</v>
      </c>
      <c r="D64" s="154" t="s">
        <v>911</v>
      </c>
      <c r="E64" s="154" t="s">
        <v>911</v>
      </c>
      <c r="F64" s="1788" t="s">
        <v>911</v>
      </c>
      <c r="G64" s="1789" t="s">
        <v>1497</v>
      </c>
      <c r="H64" s="1789" t="s">
        <v>1498</v>
      </c>
      <c r="I64" s="1789" t="s">
        <v>1499</v>
      </c>
      <c r="J64" s="1789" t="s">
        <v>1500</v>
      </c>
      <c r="K64" s="1790" t="s">
        <v>1501</v>
      </c>
    </row>
    <row r="65" spans="1:11" ht="16.5" thickBot="1">
      <c r="A65" s="394"/>
      <c r="B65" s="395" t="s">
        <v>739</v>
      </c>
      <c r="C65" s="397" t="s">
        <v>1134</v>
      </c>
      <c r="D65" s="397" t="s">
        <v>1134</v>
      </c>
      <c r="E65" s="397" t="s">
        <v>1134</v>
      </c>
      <c r="F65" s="1041" t="s">
        <v>1134</v>
      </c>
      <c r="G65" s="1041" t="s">
        <v>1134</v>
      </c>
      <c r="H65" s="398"/>
      <c r="I65" s="398"/>
      <c r="J65" s="398"/>
      <c r="K65" s="398"/>
    </row>
    <row r="66" spans="1:11" ht="48" thickBot="1">
      <c r="A66" s="394"/>
      <c r="B66" s="399" t="s">
        <v>1135</v>
      </c>
      <c r="C66" s="408" t="s">
        <v>1134</v>
      </c>
      <c r="D66" s="409" t="s">
        <v>1134</v>
      </c>
      <c r="E66" s="409" t="s">
        <v>1134</v>
      </c>
      <c r="F66" s="409" t="s">
        <v>1134</v>
      </c>
      <c r="G66" s="1611" t="s">
        <v>4489</v>
      </c>
      <c r="H66" s="398"/>
      <c r="I66" s="398"/>
      <c r="J66" s="398"/>
      <c r="K66" s="398"/>
    </row>
    <row r="67" spans="1:11" ht="16.5" thickBot="1">
      <c r="A67" s="422" t="s">
        <v>889</v>
      </c>
      <c r="B67" s="2058" t="s">
        <v>1139</v>
      </c>
      <c r="C67" s="2059"/>
      <c r="D67" s="2059"/>
      <c r="E67" s="2059"/>
      <c r="F67" s="2059"/>
      <c r="G67" s="2059"/>
      <c r="H67" s="2059"/>
      <c r="I67" s="2059"/>
      <c r="J67" s="2059"/>
      <c r="K67" s="2060"/>
    </row>
    <row r="68" spans="1:11" ht="57.75" thickBot="1">
      <c r="A68" s="1039" t="s">
        <v>738</v>
      </c>
      <c r="B68" s="1787" t="s">
        <v>1628</v>
      </c>
      <c r="C68" s="154" t="s">
        <v>911</v>
      </c>
      <c r="D68" s="154" t="s">
        <v>911</v>
      </c>
      <c r="E68" s="154" t="s">
        <v>911</v>
      </c>
      <c r="F68" s="1788" t="s">
        <v>911</v>
      </c>
      <c r="G68" s="1789" t="s">
        <v>1630</v>
      </c>
      <c r="H68" s="1789" t="s">
        <v>1631</v>
      </c>
      <c r="I68" s="1789" t="s">
        <v>1632</v>
      </c>
      <c r="J68" s="1789" t="s">
        <v>1633</v>
      </c>
      <c r="K68" s="1790" t="s">
        <v>1634</v>
      </c>
    </row>
    <row r="69" spans="1:11" ht="16.5" thickBot="1">
      <c r="A69" s="394"/>
      <c r="B69" s="395" t="s">
        <v>739</v>
      </c>
      <c r="C69" s="1043" t="s">
        <v>1134</v>
      </c>
      <c r="D69" s="1041" t="s">
        <v>1134</v>
      </c>
      <c r="E69" s="1043" t="s">
        <v>1134</v>
      </c>
      <c r="F69" s="1043" t="s">
        <v>1134</v>
      </c>
      <c r="G69" s="1041" t="s">
        <v>1134</v>
      </c>
      <c r="H69" s="1042"/>
      <c r="I69" s="1042"/>
      <c r="J69" s="1042"/>
      <c r="K69" s="1042"/>
    </row>
    <row r="70" spans="1:11" ht="48" thickBot="1">
      <c r="A70" s="394"/>
      <c r="B70" s="399" t="s">
        <v>1135</v>
      </c>
      <c r="C70" s="408" t="s">
        <v>1134</v>
      </c>
      <c r="D70" s="409" t="s">
        <v>1134</v>
      </c>
      <c r="E70" s="409" t="s">
        <v>1134</v>
      </c>
      <c r="F70" s="409" t="s">
        <v>1134</v>
      </c>
      <c r="G70" s="1611" t="s">
        <v>4489</v>
      </c>
      <c r="H70" s="398"/>
      <c r="I70" s="398"/>
      <c r="J70" s="398"/>
      <c r="K70" s="398"/>
    </row>
    <row r="71" spans="1:11" ht="16.5" thickBot="1">
      <c r="A71" s="422" t="s">
        <v>894</v>
      </c>
      <c r="B71" s="2058" t="s">
        <v>1635</v>
      </c>
      <c r="C71" s="2059"/>
      <c r="D71" s="2059"/>
      <c r="E71" s="2059"/>
      <c r="F71" s="2059"/>
      <c r="G71" s="2059"/>
      <c r="H71" s="2059"/>
      <c r="I71" s="2059"/>
      <c r="J71" s="2059"/>
      <c r="K71" s="2060"/>
    </row>
    <row r="72" spans="1:11" ht="57.75" thickBot="1">
      <c r="A72" s="1039" t="s">
        <v>738</v>
      </c>
      <c r="B72" s="1787" t="s">
        <v>1628</v>
      </c>
      <c r="C72" s="154" t="s">
        <v>911</v>
      </c>
      <c r="D72" s="154" t="s">
        <v>911</v>
      </c>
      <c r="E72" s="154" t="s">
        <v>911</v>
      </c>
      <c r="F72" s="1788" t="s">
        <v>911</v>
      </c>
      <c r="G72" s="1789" t="s">
        <v>1636</v>
      </c>
      <c r="H72" s="1789" t="s">
        <v>1637</v>
      </c>
      <c r="I72" s="1789" t="s">
        <v>1638</v>
      </c>
      <c r="J72" s="1789" t="s">
        <v>1640</v>
      </c>
      <c r="K72" s="1790" t="s">
        <v>1639</v>
      </c>
    </row>
    <row r="73" spans="1:11" ht="16.5" thickBot="1">
      <c r="A73" s="394"/>
      <c r="B73" s="395" t="s">
        <v>739</v>
      </c>
      <c r="C73" s="1043" t="s">
        <v>1134</v>
      </c>
      <c r="D73" s="1041" t="s">
        <v>1134</v>
      </c>
      <c r="E73" s="1041" t="s">
        <v>1134</v>
      </c>
      <c r="F73" s="1041" t="s">
        <v>1134</v>
      </c>
      <c r="G73" s="1041" t="s">
        <v>1134</v>
      </c>
      <c r="H73" s="1042"/>
      <c r="I73" s="1042"/>
      <c r="J73" s="1042"/>
      <c r="K73" s="1042"/>
    </row>
    <row r="74" spans="1:11" ht="32.25" thickBot="1">
      <c r="A74" s="394"/>
      <c r="B74" s="399" t="s">
        <v>1135</v>
      </c>
      <c r="C74" s="408" t="s">
        <v>1134</v>
      </c>
      <c r="D74" s="409" t="s">
        <v>1134</v>
      </c>
      <c r="E74" s="409" t="s">
        <v>1134</v>
      </c>
      <c r="F74" s="409" t="s">
        <v>1134</v>
      </c>
      <c r="G74" s="1611" t="s">
        <v>4491</v>
      </c>
      <c r="H74" s="398"/>
      <c r="I74" s="398"/>
      <c r="J74" s="398"/>
      <c r="K74" s="398"/>
    </row>
    <row r="75" spans="1:11" ht="16.5" thickBot="1">
      <c r="A75" s="422" t="s">
        <v>897</v>
      </c>
      <c r="B75" s="2058" t="s">
        <v>898</v>
      </c>
      <c r="C75" s="2059"/>
      <c r="D75" s="2059"/>
      <c r="E75" s="2059"/>
      <c r="F75" s="2059"/>
      <c r="G75" s="2059"/>
      <c r="H75" s="2059"/>
      <c r="I75" s="2059"/>
      <c r="J75" s="2059"/>
      <c r="K75" s="2060"/>
    </row>
    <row r="76" spans="1:11" ht="57.75" thickBot="1">
      <c r="A76" s="1036" t="s">
        <v>738</v>
      </c>
      <c r="B76" s="389" t="s">
        <v>1628</v>
      </c>
      <c r="C76" s="402" t="s">
        <v>1641</v>
      </c>
      <c r="D76" s="412" t="s">
        <v>1641</v>
      </c>
      <c r="E76" s="412" t="s">
        <v>1641</v>
      </c>
      <c r="F76" s="412" t="s">
        <v>1641</v>
      </c>
      <c r="G76" s="412" t="s">
        <v>1642</v>
      </c>
      <c r="H76" s="412" t="s">
        <v>1643</v>
      </c>
      <c r="I76" s="412" t="s">
        <v>1644</v>
      </c>
      <c r="J76" s="412" t="s">
        <v>1645</v>
      </c>
      <c r="K76" s="404" t="s">
        <v>1646</v>
      </c>
    </row>
    <row r="77" spans="1:11" ht="16.5" thickBot="1">
      <c r="A77" s="394"/>
      <c r="B77" s="395" t="s">
        <v>739</v>
      </c>
      <c r="C77" s="1043" t="s">
        <v>1134</v>
      </c>
      <c r="D77" s="1041" t="s">
        <v>1134</v>
      </c>
      <c r="E77" s="1041" t="s">
        <v>1134</v>
      </c>
      <c r="F77" s="1785">
        <v>21.1</v>
      </c>
      <c r="G77" s="1041" t="s">
        <v>1134</v>
      </c>
      <c r="H77" s="1042"/>
      <c r="I77" s="1042"/>
      <c r="J77" s="1042"/>
      <c r="K77" s="1042"/>
    </row>
    <row r="78" spans="1:11" ht="32.25" thickBot="1">
      <c r="A78" s="394"/>
      <c r="B78" s="399" t="s">
        <v>1135</v>
      </c>
      <c r="C78" s="408" t="s">
        <v>1134</v>
      </c>
      <c r="D78" s="409" t="s">
        <v>1134</v>
      </c>
      <c r="E78" s="409" t="s">
        <v>1134</v>
      </c>
      <c r="F78" s="1611" t="s">
        <v>4229</v>
      </c>
      <c r="G78" s="1611" t="s">
        <v>4492</v>
      </c>
      <c r="H78" s="398"/>
      <c r="I78" s="398"/>
      <c r="J78" s="398"/>
      <c r="K78" s="398"/>
    </row>
    <row r="79" spans="1:11" ht="16.5" thickBot="1">
      <c r="A79" s="422" t="s">
        <v>861</v>
      </c>
      <c r="B79" s="2058" t="s">
        <v>1564</v>
      </c>
      <c r="C79" s="2059"/>
      <c r="D79" s="2059"/>
      <c r="E79" s="2059"/>
      <c r="F79" s="2059"/>
      <c r="G79" s="2059"/>
      <c r="H79" s="2059"/>
      <c r="I79" s="2059"/>
      <c r="J79" s="2059"/>
      <c r="K79" s="2060"/>
    </row>
    <row r="80" spans="1:11" ht="57.75" thickBot="1">
      <c r="A80" s="1036" t="s">
        <v>738</v>
      </c>
      <c r="B80" s="389" t="s">
        <v>1629</v>
      </c>
      <c r="C80" s="851" t="s">
        <v>911</v>
      </c>
      <c r="D80" s="852" t="s">
        <v>911</v>
      </c>
      <c r="E80" s="154" t="s">
        <v>911</v>
      </c>
      <c r="F80" s="154" t="s">
        <v>1502</v>
      </c>
      <c r="G80" s="154" t="s">
        <v>1503</v>
      </c>
      <c r="H80" s="154" t="s">
        <v>1504</v>
      </c>
      <c r="I80" s="154" t="s">
        <v>1505</v>
      </c>
      <c r="J80" s="154" t="s">
        <v>1506</v>
      </c>
      <c r="K80" s="154" t="s">
        <v>1507</v>
      </c>
    </row>
    <row r="81" spans="1:11" ht="16.5" thickBot="1">
      <c r="A81" s="394"/>
      <c r="B81" s="395" t="s">
        <v>739</v>
      </c>
      <c r="C81" s="1043" t="s">
        <v>1134</v>
      </c>
      <c r="D81" s="1041" t="s">
        <v>1134</v>
      </c>
      <c r="E81" s="1041" t="s">
        <v>1134</v>
      </c>
      <c r="F81" s="396">
        <v>-0.95</v>
      </c>
      <c r="G81" s="1041" t="s">
        <v>1134</v>
      </c>
      <c r="H81" s="398"/>
      <c r="I81" s="398"/>
      <c r="J81" s="398"/>
      <c r="K81" s="398"/>
    </row>
    <row r="82" spans="1:11" ht="32.25" thickBot="1">
      <c r="A82" s="394"/>
      <c r="B82" s="399" t="s">
        <v>1135</v>
      </c>
      <c r="C82" s="408" t="s">
        <v>1134</v>
      </c>
      <c r="D82" s="409" t="s">
        <v>1134</v>
      </c>
      <c r="E82" s="409" t="s">
        <v>1134</v>
      </c>
      <c r="F82" s="1611" t="s">
        <v>4493</v>
      </c>
      <c r="G82" s="1611" t="s">
        <v>4494</v>
      </c>
      <c r="H82" s="398"/>
      <c r="I82" s="398"/>
      <c r="J82" s="398"/>
      <c r="K82" s="398"/>
    </row>
    <row r="83" spans="1:11" ht="16.5" thickBot="1">
      <c r="A83" s="422" t="s">
        <v>901</v>
      </c>
      <c r="B83" s="2058" t="s">
        <v>903</v>
      </c>
      <c r="C83" s="2059"/>
      <c r="D83" s="2059"/>
      <c r="E83" s="2059"/>
      <c r="F83" s="2059"/>
      <c r="G83" s="2059"/>
      <c r="H83" s="2059"/>
      <c r="I83" s="2059"/>
      <c r="J83" s="2059"/>
      <c r="K83" s="2060"/>
    </row>
    <row r="84" spans="1:11" ht="57.75" thickBot="1">
      <c r="A84" s="1039" t="s">
        <v>738</v>
      </c>
      <c r="B84" s="389" t="s">
        <v>1628</v>
      </c>
      <c r="C84" s="564" t="s">
        <v>911</v>
      </c>
      <c r="D84" s="564" t="s">
        <v>911</v>
      </c>
      <c r="E84" s="563" t="s">
        <v>911</v>
      </c>
      <c r="F84" s="563" t="s">
        <v>1508</v>
      </c>
      <c r="G84" s="563" t="s">
        <v>1509</v>
      </c>
      <c r="H84" s="563" t="s">
        <v>1510</v>
      </c>
      <c r="I84" s="563" t="s">
        <v>1511</v>
      </c>
      <c r="J84" s="563" t="s">
        <v>1512</v>
      </c>
      <c r="K84" s="565" t="s">
        <v>1513</v>
      </c>
    </row>
    <row r="85" spans="1:11" ht="16.5" thickBot="1">
      <c r="A85" s="394"/>
      <c r="B85" s="395" t="s">
        <v>739</v>
      </c>
      <c r="C85" s="1043" t="s">
        <v>1134</v>
      </c>
      <c r="D85" s="1041" t="s">
        <v>1134</v>
      </c>
      <c r="E85" s="1041" t="s">
        <v>1134</v>
      </c>
      <c r="F85" s="396">
        <f>SUMIF('stebesena 1'!B4:B100,B83,'stebesena 1'!D4:D100)</f>
        <v>10.27</v>
      </c>
      <c r="G85" s="1041" t="s">
        <v>1134</v>
      </c>
      <c r="H85" s="398"/>
      <c r="I85" s="398"/>
      <c r="J85" s="398"/>
      <c r="K85" s="398"/>
    </row>
    <row r="86" spans="1:11" ht="32.25" thickBot="1">
      <c r="A86" s="406"/>
      <c r="B86" s="407" t="s">
        <v>1135</v>
      </c>
      <c r="C86" s="408" t="s">
        <v>1134</v>
      </c>
      <c r="D86" s="409" t="s">
        <v>1134</v>
      </c>
      <c r="E86" s="409" t="s">
        <v>1134</v>
      </c>
      <c r="F86" s="396" t="s">
        <v>4229</v>
      </c>
      <c r="G86" s="1611" t="s">
        <v>4495</v>
      </c>
      <c r="H86" s="398"/>
      <c r="I86" s="398"/>
      <c r="J86" s="398"/>
      <c r="K86" s="398"/>
    </row>
    <row r="87" spans="1:11" ht="16.5" thickBot="1">
      <c r="A87" s="422" t="s">
        <v>904</v>
      </c>
      <c r="B87" s="2058" t="s">
        <v>906</v>
      </c>
      <c r="C87" s="2059"/>
      <c r="D87" s="2059"/>
      <c r="E87" s="2059"/>
      <c r="F87" s="2059"/>
      <c r="G87" s="2059"/>
      <c r="H87" s="2059"/>
      <c r="I87" s="2059"/>
      <c r="J87" s="2059"/>
      <c r="K87" s="2060"/>
    </row>
    <row r="88" spans="1:11" ht="57.75" thickBot="1">
      <c r="A88" s="1039" t="s">
        <v>738</v>
      </c>
      <c r="B88" s="1798" t="s">
        <v>1629</v>
      </c>
      <c r="C88" s="1788" t="s">
        <v>911</v>
      </c>
      <c r="D88" s="154" t="s">
        <v>911</v>
      </c>
      <c r="E88" s="1788" t="s">
        <v>1514</v>
      </c>
      <c r="F88" s="154" t="s">
        <v>1515</v>
      </c>
      <c r="G88" s="1788" t="s">
        <v>1516</v>
      </c>
      <c r="H88" s="154" t="s">
        <v>1517</v>
      </c>
      <c r="I88" s="1788" t="s">
        <v>1518</v>
      </c>
      <c r="J88" s="154" t="s">
        <v>1519</v>
      </c>
      <c r="K88" s="565" t="s">
        <v>1520</v>
      </c>
    </row>
    <row r="89" spans="1:11" ht="16.5" thickBot="1">
      <c r="A89" s="401"/>
      <c r="B89" s="410" t="s">
        <v>739</v>
      </c>
      <c r="C89" s="397" t="s">
        <v>1134</v>
      </c>
      <c r="D89" s="397" t="s">
        <v>1134</v>
      </c>
      <c r="E89" s="1610">
        <v>27</v>
      </c>
      <c r="F89" s="396">
        <v>45</v>
      </c>
      <c r="G89" s="397" t="s">
        <v>1134</v>
      </c>
      <c r="H89" s="398"/>
      <c r="I89" s="398"/>
      <c r="J89" s="398"/>
      <c r="K89" s="398"/>
    </row>
    <row r="90" spans="1:11" ht="32.25" thickBot="1">
      <c r="A90" s="401"/>
      <c r="B90" s="411" t="s">
        <v>1135</v>
      </c>
      <c r="C90" s="408" t="s">
        <v>1134</v>
      </c>
      <c r="D90" s="409" t="s">
        <v>1134</v>
      </c>
      <c r="E90" s="396" t="s">
        <v>4229</v>
      </c>
      <c r="F90" s="1611" t="s">
        <v>4229</v>
      </c>
      <c r="G90" s="1611" t="s">
        <v>4496</v>
      </c>
      <c r="H90" s="398"/>
      <c r="I90" s="398"/>
      <c r="J90" s="398"/>
      <c r="K90" s="398"/>
    </row>
  </sheetData>
  <mergeCells count="34">
    <mergeCell ref="B5:G5"/>
    <mergeCell ref="F1:I1"/>
    <mergeCell ref="P1:S1"/>
    <mergeCell ref="F2:I2"/>
    <mergeCell ref="P2:S2"/>
    <mergeCell ref="F3:I3"/>
    <mergeCell ref="P3:S3"/>
    <mergeCell ref="B75:K75"/>
    <mergeCell ref="B79:K79"/>
    <mergeCell ref="B83:K83"/>
    <mergeCell ref="B87:K87"/>
    <mergeCell ref="B55:K55"/>
    <mergeCell ref="B59:K59"/>
    <mergeCell ref="B63:K63"/>
    <mergeCell ref="B67:K67"/>
    <mergeCell ref="B71:K71"/>
    <mergeCell ref="B36:K36"/>
    <mergeCell ref="B40:K40"/>
    <mergeCell ref="A41:A44"/>
    <mergeCell ref="B47:K47"/>
    <mergeCell ref="B51:K51"/>
    <mergeCell ref="B22:K22"/>
    <mergeCell ref="A23:A26"/>
    <mergeCell ref="B29:K29"/>
    <mergeCell ref="A30:A33"/>
    <mergeCell ref="C30:C33"/>
    <mergeCell ref="D30:D33"/>
    <mergeCell ref="B12:K12"/>
    <mergeCell ref="B16:K16"/>
    <mergeCell ref="A17:A19"/>
    <mergeCell ref="C17:C19"/>
    <mergeCell ref="D17:D19"/>
    <mergeCell ref="E17:E19"/>
    <mergeCell ref="B17:B19"/>
  </mergeCells>
  <pageMargins left="0.23622047244094491" right="0.23622047244094491" top="0.74803149606299213" bottom="0.74803149606299213" header="0.31496062992125984" footer="0.31496062992125984"/>
  <pageSetup paperSize="9" scale="38" fitToHeight="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AH186"/>
  <sheetViews>
    <sheetView topLeftCell="D1" workbookViewId="0">
      <pane ySplit="2610" topLeftCell="A160" activePane="bottomLeft"/>
      <selection activeCell="B3" sqref="B1:B1048576"/>
      <selection pane="bottomLeft" activeCell="E17" sqref="E17"/>
    </sheetView>
  </sheetViews>
  <sheetFormatPr defaultRowHeight="15"/>
  <cols>
    <col min="1" max="1" width="7.85546875" bestFit="1" customWidth="1"/>
    <col min="2" max="2" width="13" hidden="1" customWidth="1"/>
    <col min="3" max="3" width="13" customWidth="1"/>
    <col min="4" max="4" width="37.28515625" customWidth="1"/>
    <col min="5" max="5" width="13.140625" customWidth="1"/>
    <col min="6" max="6" width="13" customWidth="1"/>
    <col min="7" max="7" width="11.28515625" bestFit="1" customWidth="1"/>
    <col min="8" max="8" width="27.140625" customWidth="1"/>
    <col min="9" max="9" width="5.42578125" bestFit="1" customWidth="1"/>
    <col min="10" max="10" width="5.5703125" bestFit="1" customWidth="1"/>
    <col min="11" max="11" width="18" bestFit="1" customWidth="1"/>
    <col min="12" max="13" width="14.28515625" hidden="1" customWidth="1"/>
    <col min="14" max="14" width="16.42578125" bestFit="1" customWidth="1"/>
    <col min="15" max="16" width="12.85546875" hidden="1" customWidth="1"/>
    <col min="17" max="17" width="16.42578125" bestFit="1" customWidth="1"/>
    <col min="18" max="19" width="12.7109375" hidden="1" customWidth="1"/>
    <col min="20" max="20" width="16.42578125" bestFit="1" customWidth="1"/>
    <col min="21" max="22" width="12.7109375" hidden="1" customWidth="1"/>
    <col min="23" max="23" width="14.28515625" bestFit="1" customWidth="1"/>
    <col min="24" max="25" width="9.140625" hidden="1" customWidth="1"/>
    <col min="26" max="26" width="18" bestFit="1" customWidth="1"/>
    <col min="27" max="28" width="14.140625" hidden="1" customWidth="1"/>
    <col min="29" max="29" width="10.85546875" customWidth="1"/>
    <col min="30" max="30" width="9" bestFit="1" customWidth="1"/>
    <col min="31" max="31" width="9.5703125" customWidth="1"/>
    <col min="32" max="32" width="9.7109375" hidden="1" customWidth="1"/>
    <col min="33" max="33" width="9.7109375" customWidth="1"/>
  </cols>
  <sheetData>
    <row r="1" spans="1:33" ht="16.5" thickBot="1">
      <c r="A1" s="2082" t="s">
        <v>1766</v>
      </c>
      <c r="B1" s="2082"/>
      <c r="C1" s="2082"/>
      <c r="D1" s="2083"/>
      <c r="E1" s="2083"/>
      <c r="F1" s="2083"/>
      <c r="G1" s="2083"/>
      <c r="H1" s="2083"/>
      <c r="I1" s="2083"/>
      <c r="J1" s="2083"/>
      <c r="K1" s="2083"/>
      <c r="L1" s="2083"/>
      <c r="M1" s="2083"/>
      <c r="N1" s="2083"/>
      <c r="O1" s="1058"/>
      <c r="P1" s="1058"/>
    </row>
    <row r="2" spans="1:33" ht="30.75" customHeight="1" thickBot="1">
      <c r="A2" s="2079" t="s">
        <v>46</v>
      </c>
      <c r="B2" s="2080"/>
      <c r="C2" s="2080"/>
      <c r="D2" s="2080"/>
      <c r="E2" s="2080"/>
      <c r="F2" s="2080"/>
      <c r="G2" s="2080"/>
      <c r="H2" s="2080"/>
      <c r="I2" s="2080"/>
      <c r="J2" s="2084"/>
      <c r="K2" s="2079" t="s">
        <v>1780</v>
      </c>
      <c r="L2" s="2080"/>
      <c r="M2" s="2080"/>
      <c r="N2" s="2080"/>
      <c r="O2" s="2080"/>
      <c r="P2" s="2080"/>
      <c r="Q2" s="2080"/>
      <c r="R2" s="2080"/>
      <c r="S2" s="2080"/>
      <c r="T2" s="2080"/>
      <c r="U2" s="2080"/>
      <c r="V2" s="2080"/>
      <c r="W2" s="2080"/>
      <c r="X2" s="2080"/>
      <c r="Y2" s="2080"/>
      <c r="Z2" s="2080"/>
      <c r="AA2" s="2091"/>
      <c r="AB2" s="2091"/>
      <c r="AC2" s="2081"/>
      <c r="AD2" s="2079" t="s">
        <v>675</v>
      </c>
      <c r="AE2" s="2080"/>
      <c r="AF2" s="2080"/>
      <c r="AG2" s="2081"/>
    </row>
    <row r="3" spans="1:33" ht="51.75" thickBot="1">
      <c r="A3" s="183" t="s">
        <v>7</v>
      </c>
      <c r="B3" s="265" t="s">
        <v>690</v>
      </c>
      <c r="C3" s="183" t="s">
        <v>1771</v>
      </c>
      <c r="D3" s="184" t="s">
        <v>49</v>
      </c>
      <c r="E3" s="184" t="s">
        <v>1772</v>
      </c>
      <c r="F3" s="184" t="s">
        <v>51</v>
      </c>
      <c r="G3" s="184" t="s">
        <v>52</v>
      </c>
      <c r="H3" s="184" t="s">
        <v>676</v>
      </c>
      <c r="I3" s="184" t="s">
        <v>1773</v>
      </c>
      <c r="J3" s="185" t="s">
        <v>1774</v>
      </c>
      <c r="K3" s="183" t="s">
        <v>57</v>
      </c>
      <c r="L3" s="1061" t="s">
        <v>1660</v>
      </c>
      <c r="M3" s="1070" t="s">
        <v>1661</v>
      </c>
      <c r="N3" s="1068" t="s">
        <v>58</v>
      </c>
      <c r="O3" s="1061" t="s">
        <v>1659</v>
      </c>
      <c r="P3" s="1070" t="s">
        <v>1662</v>
      </c>
      <c r="Q3" s="1060" t="s">
        <v>59</v>
      </c>
      <c r="R3" s="1069" t="s">
        <v>1658</v>
      </c>
      <c r="S3" s="1073" t="s">
        <v>1663</v>
      </c>
      <c r="T3" s="184" t="s">
        <v>60</v>
      </c>
      <c r="U3" s="1061" t="s">
        <v>1657</v>
      </c>
      <c r="V3" s="1070" t="s">
        <v>1664</v>
      </c>
      <c r="W3" s="1068" t="s">
        <v>61</v>
      </c>
      <c r="X3" s="1064" t="s">
        <v>1656</v>
      </c>
      <c r="Y3" s="1074" t="s">
        <v>1665</v>
      </c>
      <c r="Z3" s="185" t="s">
        <v>10</v>
      </c>
      <c r="AA3" s="1061" t="s">
        <v>1655</v>
      </c>
      <c r="AB3" s="1070" t="s">
        <v>1666</v>
      </c>
      <c r="AC3" s="185" t="s">
        <v>1781</v>
      </c>
      <c r="AD3" s="355" t="s">
        <v>1777</v>
      </c>
      <c r="AE3" s="355" t="s">
        <v>1776</v>
      </c>
      <c r="AF3" s="417" t="s">
        <v>686</v>
      </c>
      <c r="AG3" s="1118" t="s">
        <v>1775</v>
      </c>
    </row>
    <row r="4" spans="1:33" ht="16.5" thickBot="1">
      <c r="A4" s="266"/>
      <c r="B4" s="267"/>
      <c r="C4" s="266"/>
      <c r="D4" s="268"/>
      <c r="E4" s="268"/>
      <c r="F4" s="268"/>
      <c r="G4" s="268"/>
      <c r="H4" s="268"/>
      <c r="I4" s="268"/>
      <c r="J4" s="269"/>
      <c r="K4" s="266"/>
      <c r="L4" s="1062"/>
      <c r="M4" s="1071"/>
      <c r="N4" s="268"/>
      <c r="O4" s="1062"/>
      <c r="P4" s="1071"/>
      <c r="Q4" s="268"/>
      <c r="R4" s="1062"/>
      <c r="S4" s="1071"/>
      <c r="T4" s="268"/>
      <c r="U4" s="1062"/>
      <c r="V4" s="1071"/>
      <c r="W4" s="268"/>
      <c r="X4" s="1065"/>
      <c r="Y4" s="1075"/>
      <c r="Z4" s="269"/>
      <c r="AA4" s="1062"/>
      <c r="AB4" s="1071"/>
      <c r="AC4" s="269"/>
      <c r="AD4" s="179" t="s">
        <v>679</v>
      </c>
      <c r="AE4" s="179"/>
      <c r="AF4" s="174"/>
      <c r="AG4" s="1120"/>
    </row>
    <row r="5" spans="1:33" ht="16.5" thickBot="1">
      <c r="A5" s="270"/>
      <c r="B5" s="271"/>
      <c r="C5" s="270"/>
      <c r="D5" s="272"/>
      <c r="E5" s="272"/>
      <c r="F5" s="272"/>
      <c r="G5" s="272"/>
      <c r="H5" s="272"/>
      <c r="I5" s="272"/>
      <c r="J5" s="246"/>
      <c r="K5" s="273"/>
      <c r="L5" s="1063"/>
      <c r="M5" s="1072"/>
      <c r="N5" s="274"/>
      <c r="O5" s="1063"/>
      <c r="P5" s="1072"/>
      <c r="Q5" s="274"/>
      <c r="R5" s="1063"/>
      <c r="S5" s="1072"/>
      <c r="T5" s="274"/>
      <c r="U5" s="1063"/>
      <c r="V5" s="1072"/>
      <c r="W5" s="274"/>
      <c r="X5" s="1066"/>
      <c r="Y5" s="1076"/>
      <c r="Z5" s="275"/>
      <c r="AA5" s="1063"/>
      <c r="AB5" s="1072"/>
      <c r="AC5" s="275"/>
      <c r="AD5" s="418"/>
      <c r="AE5" s="419"/>
      <c r="AF5" s="420"/>
      <c r="AG5" s="1119"/>
    </row>
    <row r="6" spans="1:33" ht="75" customHeight="1" thickBot="1">
      <c r="A6" s="366" t="str">
        <f>CONCATENATE('3 pr-2'!A7)</f>
        <v>1.1.</v>
      </c>
      <c r="B6" s="367"/>
      <c r="C6" s="2092" t="str">
        <f>CONCATENATE('3 pr-2'!B7)</f>
        <v>Tikslas: 
DIDINTI ŪKINĖS VEIKLOS ĮVAIROVĘ IR PAGERINTI SĄLYGAS INVESTICIJŲ PRITRAUKIMUI, MAŽINANT GEOGRAFINIŲ SĄLYGŲ IR DEMOGRAFINIŲ PROCESŲ SUKELIAMUS GYVENIMO KOKYBĖS NETOLYGUMUS</v>
      </c>
      <c r="D6" s="2086"/>
      <c r="E6" s="2086"/>
      <c r="F6" s="2086"/>
      <c r="G6" s="2086"/>
      <c r="H6" s="2086"/>
      <c r="I6" s="2086"/>
      <c r="J6" s="2087"/>
      <c r="K6" s="1219">
        <f>SUM(K7+K72)</f>
        <v>48179758.077058807</v>
      </c>
      <c r="L6" s="1226">
        <f t="shared" ref="L6" si="0">SUM(L7+L31+L37+L44+L48+L54+L56+L60+L65)</f>
        <v>45783009.269999996</v>
      </c>
      <c r="M6" s="1227">
        <f t="shared" ref="M6" si="1">SUM(M7+M31+M37+M44+M48+M54+M56+M60+M65)</f>
        <v>44808560.299999997</v>
      </c>
      <c r="N6" s="1219">
        <f t="shared" ref="N6:Z6" si="2">SUM(N7+N72)</f>
        <v>5588818.8870588243</v>
      </c>
      <c r="O6" s="1226">
        <f t="shared" ref="O6:P6" si="3">SUM(O7+O31+O37+O44+O48+O54+O56+O60+O65)</f>
        <v>3469501.64</v>
      </c>
      <c r="P6" s="1227">
        <f t="shared" si="3"/>
        <v>4051383.0299999993</v>
      </c>
      <c r="Q6" s="1219">
        <f t="shared" ca="1" si="2"/>
        <v>721975.68</v>
      </c>
      <c r="R6" s="1226">
        <f t="shared" ref="R6:S6" si="4">SUM(R7+R31+R37+R44+R48+R54+R56+R60+R65)</f>
        <v>1539064.4300000002</v>
      </c>
      <c r="S6" s="1227">
        <f t="shared" si="4"/>
        <v>745998.07</v>
      </c>
      <c r="T6" s="1219">
        <f t="shared" si="2"/>
        <v>8555217.6500000004</v>
      </c>
      <c r="U6" s="1226">
        <f t="shared" ref="U6" si="5">SUM(U7+U31+U37+U44+U48+U54+U56+U60+U65)</f>
        <v>11241520.149999999</v>
      </c>
      <c r="V6" s="1227">
        <f t="shared" ref="V6" si="6">SUM(V7+V31+V37+V44+V48+V54+V56+V60+V65)</f>
        <v>9025491.540000001</v>
      </c>
      <c r="W6" s="1219">
        <f t="shared" si="2"/>
        <v>415060.82</v>
      </c>
      <c r="X6" s="1226">
        <f>SUM(X7+X31+X37+X44+X48+X54+X56+X60+X65)</f>
        <v>0</v>
      </c>
      <c r="Y6" s="1227">
        <f>SUM(Y7+Y31+Y37+Y44+Y48+Y54+Y56+Y60+Y65)</f>
        <v>352400.82</v>
      </c>
      <c r="Z6" s="1219">
        <f t="shared" si="2"/>
        <v>32898685.040000003</v>
      </c>
      <c r="AA6" s="1226">
        <f t="shared" ref="N6:AB7" si="7">SUM(AA7+AA31+AA37+AA44+AA48+AA54+AA56+AA60+AA65)</f>
        <v>29532923.050000004</v>
      </c>
      <c r="AB6" s="1227">
        <f t="shared" si="7"/>
        <v>21835041.599999998</v>
      </c>
      <c r="AC6" s="1219">
        <f t="shared" ref="AC6:AC8" si="8">SUM(AC7+AC72)</f>
        <v>0</v>
      </c>
      <c r="AD6" s="140" t="s">
        <v>679</v>
      </c>
      <c r="AE6" s="140" t="s">
        <v>679</v>
      </c>
      <c r="AF6" s="140" t="s">
        <v>679</v>
      </c>
      <c r="AG6" s="140"/>
    </row>
    <row r="7" spans="1:33" ht="59.25" customHeight="1" thickBot="1">
      <c r="A7" s="238" t="s">
        <v>680</v>
      </c>
      <c r="B7" s="363"/>
      <c r="C7" s="2085" t="str">
        <f>CONCATENATE('3 pr-2'!B8)</f>
        <v>Uždavinys: 
Sudaryti sąlygas darbo vietų kūrimui, kuriant ir atnaujinant viešąją ir ekoinžinerinę  infrastruktūrą,  gamtos, kultūros paveldo objektus ir kultūros įstaigas</v>
      </c>
      <c r="D7" s="2086"/>
      <c r="E7" s="2086"/>
      <c r="F7" s="2086"/>
      <c r="G7" s="2086"/>
      <c r="H7" s="2086"/>
      <c r="I7" s="2086"/>
      <c r="J7" s="2087"/>
      <c r="K7" s="1158">
        <f>SUM(K8+K32+K38+K45+K49+K55+K57+K61+K66)</f>
        <v>39462000.947058812</v>
      </c>
      <c r="L7" s="1228">
        <f t="shared" ref="L7" si="9">SUM(L8+L32+L38+L45+L49+L55+L57+L61+L66)</f>
        <v>37938947.659999996</v>
      </c>
      <c r="M7" s="1229">
        <f t="shared" ref="M7" si="10">SUM(M8+M32+M38+M45+M49+M55+M57+M61+M66)</f>
        <v>37348810.039999999</v>
      </c>
      <c r="N7" s="1158">
        <f t="shared" si="7"/>
        <v>3767704.8270588238</v>
      </c>
      <c r="O7" s="1228">
        <f t="shared" ref="O7:P7" si="11">SUM(O8+O32+O38+O45+O49+O55+O57+O61+O66)</f>
        <v>2882909.66</v>
      </c>
      <c r="P7" s="1229">
        <f t="shared" si="11"/>
        <v>3582055.2699999996</v>
      </c>
      <c r="Q7" s="1158">
        <f t="shared" ca="1" si="7"/>
        <v>721975.68</v>
      </c>
      <c r="R7" s="1228">
        <f t="shared" ref="R7:S7" si="12">SUM(R8+R32+R38+R45+R49+R55+R57+R61+R66)</f>
        <v>1421026.62</v>
      </c>
      <c r="S7" s="1229">
        <f t="shared" si="12"/>
        <v>647166.24</v>
      </c>
      <c r="T7" s="1158">
        <f t="shared" si="7"/>
        <v>8046402.1500000004</v>
      </c>
      <c r="U7" s="1228">
        <f t="shared" ref="U7" si="13">SUM(U8+U32+U38+U45+U49+U55+U57+U61+U66)</f>
        <v>9897793.5399999991</v>
      </c>
      <c r="V7" s="1229">
        <f t="shared" ref="V7" si="14">SUM(V8+V32+V38+V45+V49+V55+V57+V61+V66)</f>
        <v>7813592.2200000007</v>
      </c>
      <c r="W7" s="1158">
        <f t="shared" si="7"/>
        <v>352400.82</v>
      </c>
      <c r="X7" s="1228">
        <f t="shared" ref="X7:Y7" si="15">SUM(X8+X32+X38+X45+X49+X55+X57+X61+X66)</f>
        <v>0</v>
      </c>
      <c r="Y7" s="1229">
        <f t="shared" si="15"/>
        <v>352400.82</v>
      </c>
      <c r="Z7" s="1158">
        <f t="shared" si="7"/>
        <v>26573517.470000003</v>
      </c>
      <c r="AA7" s="1228">
        <f t="shared" si="7"/>
        <v>23737217.840000004</v>
      </c>
      <c r="AB7" s="1229">
        <f t="shared" si="7"/>
        <v>16155350.249999998</v>
      </c>
      <c r="AC7" s="1158">
        <f t="shared" si="8"/>
        <v>0</v>
      </c>
      <c r="AD7" s="217" t="s">
        <v>679</v>
      </c>
      <c r="AE7" s="365" t="s">
        <v>679</v>
      </c>
      <c r="AF7" s="364" t="s">
        <v>679</v>
      </c>
      <c r="AG7" s="220"/>
    </row>
    <row r="8" spans="1:33" ht="33.75" customHeight="1" thickBot="1">
      <c r="A8" s="296" t="s">
        <v>67</v>
      </c>
      <c r="B8" s="349"/>
      <c r="C8" s="2088" t="str">
        <f>CONCATENATE('3 pr-2'!B9)</f>
        <v>Priemonė:
Kaimo gyvenamųjų vietovių (turinčių iki 1 tūkst. gyventojų) atnaujinimas</v>
      </c>
      <c r="D8" s="2089"/>
      <c r="E8" s="2089"/>
      <c r="F8" s="2089"/>
      <c r="G8" s="2089"/>
      <c r="H8" s="2089"/>
      <c r="I8" s="2089"/>
      <c r="J8" s="2090"/>
      <c r="K8" s="1077">
        <f>SUM(K9:K31)</f>
        <v>4458652.3499999996</v>
      </c>
      <c r="L8" s="1078">
        <f t="shared" ref="L8" si="16">SUM(L9:L31)</f>
        <v>4207747</v>
      </c>
      <c r="M8" s="1079">
        <f t="shared" ref="M8" si="17">SUM(M9:M31)</f>
        <v>4298604.3499999996</v>
      </c>
      <c r="N8" s="1077">
        <f t="shared" ref="N8:AB8" si="18">SUM(N9:N31)</f>
        <v>1195247.3499999999</v>
      </c>
      <c r="O8" s="1078">
        <f t="shared" ref="O8:P8" si="19">SUM(O9:O31)</f>
        <v>908274</v>
      </c>
      <c r="P8" s="1079">
        <f t="shared" si="19"/>
        <v>1157795.5499999998</v>
      </c>
      <c r="Q8" s="1077">
        <f t="shared" ca="1" si="18"/>
        <v>0</v>
      </c>
      <c r="R8" s="1078">
        <f t="shared" ref="R8:S8" si="20">SUM(R9:R31)</f>
        <v>494922</v>
      </c>
      <c r="S8" s="1079">
        <f t="shared" si="20"/>
        <v>0</v>
      </c>
      <c r="T8" s="1077">
        <f t="shared" si="18"/>
        <v>0</v>
      </c>
      <c r="U8" s="1078">
        <f t="shared" ref="U8" si="21">SUM(U9:U31)</f>
        <v>0</v>
      </c>
      <c r="V8" s="1079">
        <f t="shared" ref="V8" si="22">SUM(V9:V31)</f>
        <v>0</v>
      </c>
      <c r="W8" s="1077">
        <f t="shared" si="18"/>
        <v>0</v>
      </c>
      <c r="X8" s="1078">
        <f t="shared" ref="X8:Y8" si="23">SUM(X9:X31)</f>
        <v>0</v>
      </c>
      <c r="Y8" s="1079">
        <f t="shared" si="23"/>
        <v>0</v>
      </c>
      <c r="Z8" s="1077">
        <f t="shared" si="18"/>
        <v>3263405</v>
      </c>
      <c r="AA8" s="1078">
        <f t="shared" si="18"/>
        <v>2804551</v>
      </c>
      <c r="AB8" s="1079">
        <f t="shared" si="18"/>
        <v>3140808.8</v>
      </c>
      <c r="AC8" s="1077">
        <f t="shared" si="8"/>
        <v>0</v>
      </c>
      <c r="AD8" s="357"/>
      <c r="AE8" s="358"/>
      <c r="AF8" s="357"/>
      <c r="AG8" s="358"/>
    </row>
    <row r="9" spans="1:33" ht="48.75">
      <c r="A9" s="164" t="str">
        <f>CONCATENATE('3 pr-2'!A10)</f>
        <v>1.1.1.1.1</v>
      </c>
      <c r="B9" s="281" t="s">
        <v>1214</v>
      </c>
      <c r="C9" s="164" t="str">
        <f>CONCATENATE('3 pr-2'!B10)</f>
        <v>R01-ZM72-120000-1101</v>
      </c>
      <c r="D9" s="164" t="str">
        <f>CONCATENATE('3 pr-2'!D10)</f>
        <v xml:space="preserve">Druskininkų savivaldybės Viečiūnų seniūnijos Ilgio ir Raigardo seniūnaitijų kelių būklės gerinimas  </v>
      </c>
      <c r="E9" s="164" t="str">
        <f>CONCATENATE('3 pr-2'!E10)</f>
        <v xml:space="preserve">Druskininkų savivaldybės administracija  </v>
      </c>
      <c r="F9" s="164" t="str">
        <f>CONCATENATE('3 pr-2'!F10)</f>
        <v>Lietuvos Respublikos žemės ūkio ministerija</v>
      </c>
      <c r="G9" s="164" t="str">
        <f>CONCATENATE('3 pr-2'!G10)</f>
        <v>Druskininkų sav.</v>
      </c>
      <c r="H9" s="164" t="str">
        <f>CONCATENATE('3 pr-2'!H10)</f>
        <v xml:space="preserve">Pagrindinės paslaugos ir kaimų atnaujinimas kaimo vietovėse </v>
      </c>
      <c r="I9" s="164" t="str">
        <f>CONCATENATE('3 pr-2'!I10)</f>
        <v>R</v>
      </c>
      <c r="J9" s="164" t="str">
        <f>CONCATENATE('3 pr-2'!J10)</f>
        <v>-</v>
      </c>
      <c r="K9" s="1080">
        <f>IF(AE9&gt;0,'3 pr-2'!L10,0)</f>
        <v>250766</v>
      </c>
      <c r="L9" s="1081">
        <v>198893</v>
      </c>
      <c r="M9" s="1082">
        <f>SUM(P9+S9+V9+Y9+AB9)</f>
        <v>250766</v>
      </c>
      <c r="N9" s="1080">
        <f>IF(AE9&gt;0,'3 pr-2'!O10,0)</f>
        <v>91651</v>
      </c>
      <c r="O9" s="1081">
        <v>39779</v>
      </c>
      <c r="P9" s="1082">
        <f>SUM('ketv. 6 '!P9)</f>
        <v>91651</v>
      </c>
      <c r="Q9" s="1080">
        <f ca="1">IF(AE9&gt;0,'3 pr-2'!R10,0)</f>
        <v>0</v>
      </c>
      <c r="R9" s="1081">
        <v>23867</v>
      </c>
      <c r="S9" s="1082">
        <f>SUM('ketv. 6 '!T9)</f>
        <v>0</v>
      </c>
      <c r="T9" s="1080">
        <f>IF(AE9&gt;0,'3 pr-2'!U10,0)</f>
        <v>0</v>
      </c>
      <c r="U9" s="1081">
        <v>0</v>
      </c>
      <c r="V9" s="1082">
        <f>SUM('ketv. 6 '!X9)</f>
        <v>0</v>
      </c>
      <c r="W9" s="1080">
        <f>IF(AE9&gt;0,'3 pr-2'!X10,0)</f>
        <v>0</v>
      </c>
      <c r="X9" s="1081">
        <v>0</v>
      </c>
      <c r="Y9" s="1082">
        <f>SUM('ketv. 6 '!AB9)</f>
        <v>0</v>
      </c>
      <c r="Z9" s="1080">
        <f>IF($AE$9&gt;0,'3 pr-2'!AA10,0)</f>
        <v>159115</v>
      </c>
      <c r="AA9" s="1081">
        <v>135247</v>
      </c>
      <c r="AB9" s="1082">
        <f>SUM('ketv. 6 '!AF9)</f>
        <v>159115</v>
      </c>
      <c r="AC9" s="1080">
        <f>IF($AE$9&gt;0,'3 pr-2'!AB10,0)</f>
        <v>0</v>
      </c>
      <c r="AD9" s="1104">
        <f>SUM('3 pr-2'!AG10)</f>
        <v>42855</v>
      </c>
      <c r="AE9" s="1104">
        <v>42839</v>
      </c>
      <c r="AF9" s="198">
        <f>IF((YEAR(AD9)-YEAR(AE9))=0,0,YEAR(AD9)-YEAR(AE9))</f>
        <v>0</v>
      </c>
      <c r="AG9" s="384" t="str">
        <f>IF(AD9-AE9&lt;0,(AD9-AE9)/30.41667,"–")</f>
        <v>–</v>
      </c>
    </row>
    <row r="10" spans="1:33" ht="48.75">
      <c r="A10" s="164" t="str">
        <f>CONCATENATE('3 pr-2'!A11)</f>
        <v>1.1.1.1.2</v>
      </c>
      <c r="B10" s="281" t="s">
        <v>1215</v>
      </c>
      <c r="C10" s="164" t="str">
        <f>CONCATENATE('3 pr-2'!B11)</f>
        <v>R01-ZM72-120000-1102</v>
      </c>
      <c r="D10" s="164" t="str">
        <f>CONCATENATE('3 pr-2'!D11)</f>
        <v>Druskininkų savivaldybės Viečiūnų seniūnijos Ratnyčėlės seniūnaitijos kelių būklės gerinimas</v>
      </c>
      <c r="E10" s="164" t="str">
        <f>CONCATENATE('3 pr-2'!E11)</f>
        <v xml:space="preserve">Druskininkų savivaldybės administracija  </v>
      </c>
      <c r="F10" s="164" t="str">
        <f>CONCATENATE('3 pr-2'!F11)</f>
        <v>Lietuvos Respublikos žemės ūkio ministerija</v>
      </c>
      <c r="G10" s="164" t="str">
        <f>CONCATENATE('3 pr-2'!G11)</f>
        <v>Druskininkų sav.</v>
      </c>
      <c r="H10" s="164" t="str">
        <f>CONCATENATE('3 pr-2'!H11)</f>
        <v xml:space="preserve">Pagrindinės paslaugos ir kaimų atnaujinimas kaimo vietovėse </v>
      </c>
      <c r="I10" s="164" t="str">
        <f>CONCATENATE('3 pr-2'!I11)</f>
        <v>R</v>
      </c>
      <c r="J10" s="164" t="str">
        <f>CONCATENATE('3 pr-2'!J11)</f>
        <v>-</v>
      </c>
      <c r="K10" s="1080">
        <f>IF(AE10&gt;0,'3 pr-2'!L11,0)</f>
        <v>188039</v>
      </c>
      <c r="L10" s="1081">
        <v>151340</v>
      </c>
      <c r="M10" s="1082">
        <f t="shared" ref="M10:M71" si="24">SUM(P10+S10+V10+Y10+AB10)</f>
        <v>188039</v>
      </c>
      <c r="N10" s="1080">
        <f>IF(AE10&gt;0,'3 pr-2'!O11,0)</f>
        <v>66968</v>
      </c>
      <c r="O10" s="1081">
        <v>30268</v>
      </c>
      <c r="P10" s="1082">
        <f>SUM('ketv. 6 '!P10)</f>
        <v>66968</v>
      </c>
      <c r="Q10" s="1080">
        <f ca="1">IF(AE10&gt;0,'3 pr-2'!R11,0)</f>
        <v>0</v>
      </c>
      <c r="R10" s="1081">
        <v>18161</v>
      </c>
      <c r="S10" s="1082">
        <f>SUM('ketv. 6 '!T10)</f>
        <v>0</v>
      </c>
      <c r="T10" s="1080">
        <f>IF(AE10&gt;0,'3 pr-2'!U11,0)</f>
        <v>0</v>
      </c>
      <c r="U10" s="1081">
        <v>0</v>
      </c>
      <c r="V10" s="1082">
        <f>SUM('ketv. 6 '!X10)</f>
        <v>0</v>
      </c>
      <c r="W10" s="1080">
        <f>IF(AE10&gt;0,'3 pr-2'!X11,0)</f>
        <v>0</v>
      </c>
      <c r="X10" s="1081">
        <v>0</v>
      </c>
      <c r="Y10" s="1082">
        <f>SUM('ketv. 6 '!AB10)</f>
        <v>0</v>
      </c>
      <c r="Z10" s="1080">
        <f>IF(AE10&gt;0,'3 pr-2'!AA11,0)</f>
        <v>121071</v>
      </c>
      <c r="AA10" s="1081">
        <v>102911</v>
      </c>
      <c r="AB10" s="1082">
        <f>SUM('ketv. 6 '!AF10)</f>
        <v>121071</v>
      </c>
      <c r="AC10" s="1080">
        <f>IF($AE$9&gt;0,'3 pr-2'!AB11,0)</f>
        <v>0</v>
      </c>
      <c r="AD10" s="1104">
        <f>SUM('3 pr-2'!AG11)</f>
        <v>42855</v>
      </c>
      <c r="AE10" s="1104">
        <v>42839</v>
      </c>
      <c r="AF10" s="198">
        <f>IF((YEAR(AD10)-YEAR(AE10))=0,0,YEAR(AD10)-YEAR(AE10))</f>
        <v>0</v>
      </c>
      <c r="AG10" s="384" t="str">
        <f t="shared" ref="AG10:AG71" si="25">IF(AD10-AE10&lt;0,(AD10-AE10)/30.41667,"–")</f>
        <v>–</v>
      </c>
    </row>
    <row r="11" spans="1:33" ht="48.75">
      <c r="A11" s="164" t="str">
        <f>CONCATENATE('3 pr-2'!A12)</f>
        <v>1.1.1.1.3</v>
      </c>
      <c r="B11" s="281" t="s">
        <v>1216</v>
      </c>
      <c r="C11" s="164" t="str">
        <f>CONCATENATE('3 pr-2'!B12)</f>
        <v>R01-ZM72-120000-1103</v>
      </c>
      <c r="D11" s="164" t="str">
        <f>CONCATENATE('3 pr-2'!D12)</f>
        <v>Druskininkų savivaldybės Leipalingio seniūnijos Klonio seniūnaitijos kelių būklės gerinimas</v>
      </c>
      <c r="E11" s="164" t="str">
        <f>CONCATENATE('3 pr-2'!E12)</f>
        <v xml:space="preserve">Druskininkų savivaldybės administracija  </v>
      </c>
      <c r="F11" s="164" t="str">
        <f>CONCATENATE('3 pr-2'!F12)</f>
        <v>Lietuvos Respublikos žemės ūkio ministerija</v>
      </c>
      <c r="G11" s="164" t="str">
        <f>CONCATENATE('3 pr-2'!G12)</f>
        <v>Druskininkų sav.</v>
      </c>
      <c r="H11" s="164" t="str">
        <f>CONCATENATE('3 pr-2'!H12)</f>
        <v xml:space="preserve">Pagrindinės paslaugos ir kaimų atnaujinimas kaimo vietovėse </v>
      </c>
      <c r="I11" s="164" t="str">
        <f>CONCATENATE('3 pr-2'!I12)</f>
        <v>R</v>
      </c>
      <c r="J11" s="164" t="str">
        <f>CONCATENATE('3 pr-2'!J12)</f>
        <v>-</v>
      </c>
      <c r="K11" s="1080">
        <f>IF(AE11&gt;0,'3 pr-2'!L12,0)</f>
        <v>222319</v>
      </c>
      <c r="L11" s="1081">
        <v>193059</v>
      </c>
      <c r="M11" s="1082">
        <f t="shared" si="24"/>
        <v>222319</v>
      </c>
      <c r="N11" s="1080">
        <f>IF(AE11&gt;0,'3 pr-2'!O12,0)</f>
        <v>67873</v>
      </c>
      <c r="O11" s="1081">
        <v>38612</v>
      </c>
      <c r="P11" s="1082">
        <f>SUM('ketv. 6 '!P11)</f>
        <v>67873</v>
      </c>
      <c r="Q11" s="1080">
        <f ca="1">IF(AE11&gt;0,'3 pr-2'!R12,0)</f>
        <v>0</v>
      </c>
      <c r="R11" s="1081">
        <v>23167</v>
      </c>
      <c r="S11" s="1082">
        <f>SUM('ketv. 6 '!T11)</f>
        <v>0</v>
      </c>
      <c r="T11" s="1080">
        <f>IF(AE11&gt;0,'3 pr-2'!U12,0)</f>
        <v>0</v>
      </c>
      <c r="U11" s="1081">
        <v>0</v>
      </c>
      <c r="V11" s="1082">
        <f>SUM('ketv. 6 '!X11)</f>
        <v>0</v>
      </c>
      <c r="W11" s="1080">
        <f>IF(AE11&gt;0,'3 pr-2'!X12,0)</f>
        <v>0</v>
      </c>
      <c r="X11" s="1081">
        <v>0</v>
      </c>
      <c r="Y11" s="1082">
        <f>SUM('ketv. 6 '!AB11)</f>
        <v>0</v>
      </c>
      <c r="Z11" s="1080">
        <f>IF(AE11&gt;0,'3 pr-2'!AA12,0)</f>
        <v>154446</v>
      </c>
      <c r="AA11" s="1081">
        <v>131280</v>
      </c>
      <c r="AB11" s="1082">
        <f>SUM('ketv. 6 '!AF11)</f>
        <v>154446</v>
      </c>
      <c r="AC11" s="1080">
        <f>IF($AE$9&gt;0,'3 pr-2'!AB12,0)</f>
        <v>0</v>
      </c>
      <c r="AD11" s="1104">
        <f>SUM('3 pr-2'!AG12)</f>
        <v>42855</v>
      </c>
      <c r="AE11" s="1104">
        <v>42839</v>
      </c>
      <c r="AF11" s="198">
        <f t="shared" ref="AF11:AF31" si="26">IF((YEAR(AD11)-YEAR(AE11))=0,0,YEAR(AD11)-YEAR(AE11))</f>
        <v>0</v>
      </c>
      <c r="AG11" s="384" t="str">
        <f t="shared" si="25"/>
        <v>–</v>
      </c>
    </row>
    <row r="12" spans="1:33" ht="48.75">
      <c r="A12" s="164" t="str">
        <f>CONCATENATE('3 pr-2'!A13)</f>
        <v>1.1.1.1.4</v>
      </c>
      <c r="B12" s="281" t="s">
        <v>1217</v>
      </c>
      <c r="C12" s="164" t="str">
        <f>CONCATENATE('3 pr-2'!B13)</f>
        <v>R01-ZM72-330200-1104</v>
      </c>
      <c r="D12" s="164" t="str">
        <f>CONCATENATE('3 pr-2'!D13)</f>
        <v>Rudaminos laisvalaikio salės pritaikymas bendruomenės poreikiams ir liaudies amatų plėtrai</v>
      </c>
      <c r="E12" s="164" t="str">
        <f>CONCATENATE('3 pr-2'!E13)</f>
        <v>Viešoji įstaiga Lazdijų kultūros centras</v>
      </c>
      <c r="F12" s="164" t="str">
        <f>CONCATENATE('3 pr-2'!F13)</f>
        <v>Lietuvos Respublikos žemės ūkio ministerija</v>
      </c>
      <c r="G12" s="164" t="str">
        <f>CONCATENATE('3 pr-2'!G13)</f>
        <v>Lazdijų r. sav.</v>
      </c>
      <c r="H12" s="164" t="str">
        <f>CONCATENATE('3 pr-2'!H13)</f>
        <v xml:space="preserve">Pagrindinės paslaugos ir kaimų atnaujinimas kaimo vietovėse </v>
      </c>
      <c r="I12" s="164" t="str">
        <f>CONCATENATE('3 pr-2'!I13)</f>
        <v>R</v>
      </c>
      <c r="J12" s="164" t="str">
        <f>CONCATENATE('3 pr-2'!J13)</f>
        <v>-</v>
      </c>
      <c r="K12" s="1080">
        <f>IF(AE12&gt;0,'3 pr-2'!L13,0)</f>
        <v>123160</v>
      </c>
      <c r="L12" s="1081">
        <v>125000</v>
      </c>
      <c r="M12" s="1082">
        <f t="shared" si="24"/>
        <v>123160</v>
      </c>
      <c r="N12" s="1080">
        <f>IF(AE12&gt;0,'3 pr-2'!O13,0)</f>
        <v>24632</v>
      </c>
      <c r="O12" s="1081">
        <v>25000</v>
      </c>
      <c r="P12" s="1082">
        <f>SUM('ketv. 6 '!P12)</f>
        <v>24632</v>
      </c>
      <c r="Q12" s="1080">
        <f ca="1">IF(AE12&gt;0,'3 pr-2'!R13,0)</f>
        <v>0</v>
      </c>
      <c r="R12" s="1081">
        <v>15000</v>
      </c>
      <c r="S12" s="1082">
        <f>SUM('ketv. 6 '!T12)</f>
        <v>0</v>
      </c>
      <c r="T12" s="1080">
        <f>IF(AE12&gt;0,'3 pr-2'!U13,0)</f>
        <v>0</v>
      </c>
      <c r="U12" s="1081">
        <v>0</v>
      </c>
      <c r="V12" s="1082">
        <f>SUM('ketv. 6 '!X12)</f>
        <v>0</v>
      </c>
      <c r="W12" s="1080">
        <f>IF(AE12&gt;0,'3 pr-2'!X13,0)</f>
        <v>0</v>
      </c>
      <c r="X12" s="1081">
        <v>0</v>
      </c>
      <c r="Y12" s="1082">
        <f>SUM('ketv. 6 '!AB12)</f>
        <v>0</v>
      </c>
      <c r="Z12" s="1080">
        <f>IF(AE12&gt;0,'3 pr-2'!AA13,0)</f>
        <v>98528</v>
      </c>
      <c r="AA12" s="1081">
        <v>85000</v>
      </c>
      <c r="AB12" s="1082">
        <f>SUM('ketv. 6 '!AF12)</f>
        <v>98528</v>
      </c>
      <c r="AC12" s="1080">
        <f>IF($AE$9&gt;0,'3 pr-2'!AB13,0)</f>
        <v>0</v>
      </c>
      <c r="AD12" s="1104">
        <f>SUM('3 pr-2'!AG13)</f>
        <v>42855</v>
      </c>
      <c r="AE12" s="1104">
        <v>42839</v>
      </c>
      <c r="AF12" s="198">
        <f t="shared" si="26"/>
        <v>0</v>
      </c>
      <c r="AG12" s="384" t="str">
        <f t="shared" si="25"/>
        <v>–</v>
      </c>
    </row>
    <row r="13" spans="1:33" ht="48.75">
      <c r="A13" s="164" t="str">
        <f>CONCATENATE('3 pr-2'!A14)</f>
        <v>1.1.1.1.5</v>
      </c>
      <c r="B13" s="281" t="s">
        <v>1218</v>
      </c>
      <c r="C13" s="164" t="str">
        <f>CONCATENATE('3 pr-2'!B14)</f>
        <v>R01-ZM72-120000-1105</v>
      </c>
      <c r="D13" s="164" t="str">
        <f>CONCATENATE('3 pr-2'!D14)</f>
        <v>Druskininkų savivaldybės Leipalingio seniūnijos Bilso seniūnaitijos kelių būklės gerinimas</v>
      </c>
      <c r="E13" s="164" t="str">
        <f>CONCATENATE('3 pr-2'!E14)</f>
        <v xml:space="preserve">Druskininkų savivaldybės administracija  </v>
      </c>
      <c r="F13" s="164" t="str">
        <f>CONCATENATE('3 pr-2'!F14)</f>
        <v>Lietuvos Respublikos žemės ūkio ministerija</v>
      </c>
      <c r="G13" s="164" t="str">
        <f>CONCATENATE('3 pr-2'!G14)</f>
        <v>Druskininkų sav.</v>
      </c>
      <c r="H13" s="164" t="str">
        <f>CONCATENATE('3 pr-2'!H14)</f>
        <v xml:space="preserve">Pagrindinės paslaugos ir kaimų atnaujinimas kaimo vietovėse </v>
      </c>
      <c r="I13" s="164" t="str">
        <f>CONCATENATE('3 pr-2'!I14)</f>
        <v>R</v>
      </c>
      <c r="J13" s="164" t="str">
        <f>CONCATENATE('3 pr-2'!J14)</f>
        <v>-</v>
      </c>
      <c r="K13" s="1080">
        <f>IF(AE13&gt;0,'3 pr-2'!L14,0)</f>
        <v>265076</v>
      </c>
      <c r="L13" s="1081">
        <v>240940</v>
      </c>
      <c r="M13" s="1082">
        <f t="shared" si="24"/>
        <v>265076</v>
      </c>
      <c r="N13" s="1080">
        <f>IF(AE13&gt;0,'3 pr-2'!O14,0)</f>
        <v>137032</v>
      </c>
      <c r="O13" s="1081">
        <v>112896</v>
      </c>
      <c r="P13" s="1082">
        <f>SUM('ketv. 6 '!P13)</f>
        <v>137032</v>
      </c>
      <c r="Q13" s="1080">
        <f ca="1">IF(AE13&gt;0,'3 pr-2'!R14,0)</f>
        <v>0</v>
      </c>
      <c r="R13" s="1081">
        <v>19207</v>
      </c>
      <c r="S13" s="1082">
        <f>SUM('ketv. 6 '!T13)</f>
        <v>0</v>
      </c>
      <c r="T13" s="1080">
        <f>IF(AE13&gt;0,'3 pr-2'!U14,0)</f>
        <v>0</v>
      </c>
      <c r="U13" s="1081">
        <v>0</v>
      </c>
      <c r="V13" s="1082">
        <f>SUM('ketv. 6 '!X13)</f>
        <v>0</v>
      </c>
      <c r="W13" s="1080">
        <f>IF(AE13&gt;0,'3 pr-2'!X14,0)</f>
        <v>0</v>
      </c>
      <c r="X13" s="1081">
        <v>0</v>
      </c>
      <c r="Y13" s="1082">
        <f>SUM('ketv. 6 '!AB13)</f>
        <v>0</v>
      </c>
      <c r="Z13" s="1080">
        <f>IF(AE13&gt;0,'3 pr-2'!AA14,0)</f>
        <v>128044</v>
      </c>
      <c r="AA13" s="1081">
        <v>108837</v>
      </c>
      <c r="AB13" s="1082">
        <f>SUM('ketv. 6 '!AF13)</f>
        <v>128044</v>
      </c>
      <c r="AC13" s="1080">
        <f>IF($AE$9&gt;0,'3 pr-2'!AB14,0)</f>
        <v>0</v>
      </c>
      <c r="AD13" s="1104">
        <f>SUM('3 pr-2'!AG14)</f>
        <v>42855</v>
      </c>
      <c r="AE13" s="1104">
        <v>42839</v>
      </c>
      <c r="AF13" s="198">
        <f t="shared" si="26"/>
        <v>0</v>
      </c>
      <c r="AG13" s="384" t="str">
        <f t="shared" si="25"/>
        <v>–</v>
      </c>
    </row>
    <row r="14" spans="1:33" ht="60.75">
      <c r="A14" s="164" t="str">
        <f>CONCATENATE('3 pr-2'!A15)</f>
        <v>1.1.1.1.6</v>
      </c>
      <c r="B14" s="281" t="s">
        <v>1219</v>
      </c>
      <c r="C14" s="164" t="str">
        <f>CONCATENATE('3 pr-2'!B15)</f>
        <v>R01-ZM72-330200-1106</v>
      </c>
      <c r="D14" s="164" t="str">
        <f>CONCATENATE('3 pr-2'!D15)</f>
        <v>Lazdijų rajono kaimų patrauklumo didinimas atnaujinant bibliotekas</v>
      </c>
      <c r="E14" s="164" t="str">
        <f>CONCATENATE('3 pr-2'!E15)</f>
        <v xml:space="preserve">Biudžetinė įstaiga Lazdijų rajono savivaldybės viešoji biblioteka </v>
      </c>
      <c r="F14" s="164" t="str">
        <f>CONCATENATE('3 pr-2'!F15)</f>
        <v>Lietuvos Respublikos žemės ūkio ministerija</v>
      </c>
      <c r="G14" s="164" t="str">
        <f>CONCATENATE('3 pr-2'!G15)</f>
        <v>Lazdijų r. sav.</v>
      </c>
      <c r="H14" s="164" t="str">
        <f>CONCATENATE('3 pr-2'!H15)</f>
        <v xml:space="preserve">Pagrindinės paslaugos ir kaimų atnaujinimas kaimo vietovėse </v>
      </c>
      <c r="I14" s="164" t="str">
        <f>CONCATENATE('3 pr-2'!I15)</f>
        <v>R</v>
      </c>
      <c r="J14" s="164" t="str">
        <f>CONCATENATE('3 pr-2'!J15)</f>
        <v>-</v>
      </c>
      <c r="K14" s="1080">
        <f>IF(AE14&gt;0,'3 pr-2'!L15,0)</f>
        <v>200999</v>
      </c>
      <c r="L14" s="1081">
        <v>201000</v>
      </c>
      <c r="M14" s="1082">
        <f t="shared" si="24"/>
        <v>200999</v>
      </c>
      <c r="N14" s="1080">
        <f>IF(AE14&gt;0,'3 pr-2'!O15,0)</f>
        <v>41071</v>
      </c>
      <c r="O14" s="1081">
        <v>40200</v>
      </c>
      <c r="P14" s="1082">
        <f>SUM('ketv. 6 '!P14)</f>
        <v>41071</v>
      </c>
      <c r="Q14" s="1080">
        <f ca="1">IF(AE14&gt;0,'3 pr-2'!R15,0)</f>
        <v>0</v>
      </c>
      <c r="R14" s="1081">
        <v>24120</v>
      </c>
      <c r="S14" s="1082">
        <f>SUM('ketv. 6 '!T14)</f>
        <v>0</v>
      </c>
      <c r="T14" s="1080">
        <f>IF(AE14&gt;0,'3 pr-2'!U15,0)</f>
        <v>0</v>
      </c>
      <c r="U14" s="1081">
        <v>0</v>
      </c>
      <c r="V14" s="1082">
        <f>SUM('ketv. 6 '!X14)</f>
        <v>0</v>
      </c>
      <c r="W14" s="1080">
        <f>IF(AE14&gt;0,'3 pr-2'!X15,0)</f>
        <v>0</v>
      </c>
      <c r="X14" s="1081">
        <v>0</v>
      </c>
      <c r="Y14" s="1082">
        <f>SUM('ketv. 6 '!AB14)</f>
        <v>0</v>
      </c>
      <c r="Z14" s="1080">
        <f>IF(AE14&gt;0,'3 pr-2'!AA15,0)</f>
        <v>159928</v>
      </c>
      <c r="AA14" s="1081">
        <v>136680</v>
      </c>
      <c r="AB14" s="1082">
        <f>SUM('ketv. 6 '!AF14)</f>
        <v>159928</v>
      </c>
      <c r="AC14" s="1080">
        <f>IF($AE$9&gt;0,'3 pr-2'!AB15,0)</f>
        <v>0</v>
      </c>
      <c r="AD14" s="1104">
        <f>SUM('3 pr-2'!AG15)</f>
        <v>42855</v>
      </c>
      <c r="AE14" s="1104">
        <v>42839</v>
      </c>
      <c r="AF14" s="198">
        <f t="shared" si="26"/>
        <v>0</v>
      </c>
      <c r="AG14" s="384" t="str">
        <f t="shared" si="25"/>
        <v>–</v>
      </c>
    </row>
    <row r="15" spans="1:33" ht="48.75">
      <c r="A15" s="164" t="str">
        <f>CONCATENATE('3 pr-2'!A16)</f>
        <v>1.1.1.1.7</v>
      </c>
      <c r="B15" s="281" t="s">
        <v>1220</v>
      </c>
      <c r="C15" s="164" t="str">
        <f>CONCATENATE('3 pr-2'!B16)</f>
        <v>R01-ZM72-123200-1107</v>
      </c>
      <c r="D15" s="164" t="str">
        <f>CONCATENATE('3 pr-2'!D16)</f>
        <v>Alytaus rajono Miroslavo kaimo multifunkcinės sporto aikštės įrengimas ir gatvių bei šaligatvių rekonstrukcija</v>
      </c>
      <c r="E15" s="164" t="str">
        <f>CONCATENATE('3 pr-2'!E16)</f>
        <v>Alytaus rajono savivaldybės administracija</v>
      </c>
      <c r="F15" s="164" t="str">
        <f>CONCATENATE('3 pr-2'!F16)</f>
        <v>Lietuvos Respublikos žemės ūkio ministerija</v>
      </c>
      <c r="G15" s="164" t="str">
        <f>CONCATENATE('3 pr-2'!G16)</f>
        <v>Alytaus r. sav.</v>
      </c>
      <c r="H15" s="164" t="str">
        <f>CONCATENATE('3 pr-2'!H16)</f>
        <v xml:space="preserve">Pagrindinės paslaugos ir kaimų atnaujinimas kaimo vietovėse </v>
      </c>
      <c r="I15" s="164" t="str">
        <f>CONCATENATE('3 pr-2'!I16)</f>
        <v>R</v>
      </c>
      <c r="J15" s="164" t="str">
        <f>CONCATENATE('3 pr-2'!J16)</f>
        <v>-</v>
      </c>
      <c r="K15" s="1080">
        <f>IF(AE15&gt;0,'3 pr-2'!L16,0)</f>
        <v>252211.6</v>
      </c>
      <c r="L15" s="1081">
        <v>252212</v>
      </c>
      <c r="M15" s="1082">
        <f t="shared" si="24"/>
        <v>252211.6</v>
      </c>
      <c r="N15" s="1080">
        <f>IF(AE15&gt;0,'3 pr-2'!O16,0)</f>
        <v>52211.6</v>
      </c>
      <c r="O15" s="1081">
        <v>52212</v>
      </c>
      <c r="P15" s="1082">
        <f>SUM('ketv. 6 '!P15)</f>
        <v>52211.6</v>
      </c>
      <c r="Q15" s="1080">
        <f ca="1">IF(AE15&gt;0,'3 pr-2'!R16,0)</f>
        <v>0</v>
      </c>
      <c r="R15" s="1081">
        <v>30000</v>
      </c>
      <c r="S15" s="1082">
        <f>SUM('ketv. 6 '!T15)</f>
        <v>0</v>
      </c>
      <c r="T15" s="1080">
        <f>IF(AE15&gt;0,'3 pr-2'!U16,0)</f>
        <v>0</v>
      </c>
      <c r="U15" s="1081">
        <v>0</v>
      </c>
      <c r="V15" s="1082">
        <f>SUM('ketv. 6 '!X15)</f>
        <v>0</v>
      </c>
      <c r="W15" s="1080">
        <f>IF(AE15&gt;0,'3 pr-2'!X16,0)</f>
        <v>0</v>
      </c>
      <c r="X15" s="1081">
        <v>0</v>
      </c>
      <c r="Y15" s="1082">
        <f>SUM('ketv. 6 '!AB15)</f>
        <v>0</v>
      </c>
      <c r="Z15" s="1080">
        <f>IF(AE15&gt;0,'3 pr-2'!AA16,0)</f>
        <v>200000</v>
      </c>
      <c r="AA15" s="1081">
        <v>170000</v>
      </c>
      <c r="AB15" s="1082">
        <f>SUM('ketv. 6 '!AF15)</f>
        <v>200000</v>
      </c>
      <c r="AC15" s="1080">
        <f>IF($AE$9&gt;0,'3 pr-2'!AB16,0)</f>
        <v>0</v>
      </c>
      <c r="AD15" s="1104">
        <f>SUM('3 pr-2'!AG16)</f>
        <v>42855</v>
      </c>
      <c r="AE15" s="1104">
        <v>42839</v>
      </c>
      <c r="AF15" s="198">
        <f t="shared" si="26"/>
        <v>0</v>
      </c>
      <c r="AG15" s="384" t="str">
        <f t="shared" si="25"/>
        <v>–</v>
      </c>
    </row>
    <row r="16" spans="1:33" ht="48.75">
      <c r="A16" s="164" t="str">
        <f>CONCATENATE('3 pr-2'!A17)</f>
        <v>1.1.1.1.8</v>
      </c>
      <c r="B16" s="281" t="s">
        <v>1221</v>
      </c>
      <c r="C16" s="164" t="str">
        <f>CONCATENATE('3 pr-2'!B17)</f>
        <v>R01-ZM72-123200-1108</v>
      </c>
      <c r="D16" s="164" t="str">
        <f>CONCATENATE('3 pr-2'!D17)</f>
        <v>Alytaus rajono Luksnėnų kaimo multifunkcinės sporto aikštės įrengimas ir gatvių rekonstrukcija</v>
      </c>
      <c r="E16" s="164" t="str">
        <f>CONCATENATE('3 pr-2'!E17)</f>
        <v>Alytaus rajono savivaldybės administracija</v>
      </c>
      <c r="F16" s="164" t="str">
        <f>CONCATENATE('3 pr-2'!F17)</f>
        <v>Lietuvos Respublikos žemės ūkio ministerija</v>
      </c>
      <c r="G16" s="164" t="str">
        <f>CONCATENATE('3 pr-2'!G17)</f>
        <v>Alytaus r. sav.</v>
      </c>
      <c r="H16" s="164" t="str">
        <f>CONCATENATE('3 pr-2'!H17)</f>
        <v xml:space="preserve">Pagrindinės paslaugos ir kaimų atnaujinimas kaimo vietovėse </v>
      </c>
      <c r="I16" s="164" t="str">
        <f>CONCATENATE('3 pr-2'!I17)</f>
        <v>R</v>
      </c>
      <c r="J16" s="164" t="str">
        <f>CONCATENATE('3 pr-2'!J17)</f>
        <v>-</v>
      </c>
      <c r="K16" s="1080">
        <f>IF(AE16&gt;0,'3 pr-2'!L17,0)</f>
        <v>250309.29</v>
      </c>
      <c r="L16" s="1081">
        <v>250309</v>
      </c>
      <c r="M16" s="1082">
        <f t="shared" si="24"/>
        <v>250309.29</v>
      </c>
      <c r="N16" s="1080">
        <f>IF(AE16&gt;0,'3 pr-2'!O17,0)</f>
        <v>50309.29</v>
      </c>
      <c r="O16" s="1081">
        <v>50309</v>
      </c>
      <c r="P16" s="1082">
        <f>SUM('ketv. 6 '!P16)</f>
        <v>50309.29</v>
      </c>
      <c r="Q16" s="1080">
        <f ca="1">IF(AE16&gt;0,'3 pr-2'!R17,0)</f>
        <v>0</v>
      </c>
      <c r="R16" s="1081">
        <v>30000</v>
      </c>
      <c r="S16" s="1082">
        <f>SUM('ketv. 6 '!T16)</f>
        <v>0</v>
      </c>
      <c r="T16" s="1080">
        <f>IF(AE16&gt;0,'3 pr-2'!U17,0)</f>
        <v>0</v>
      </c>
      <c r="U16" s="1081">
        <v>0</v>
      </c>
      <c r="V16" s="1082">
        <f>SUM('ketv. 6 '!X16)</f>
        <v>0</v>
      </c>
      <c r="W16" s="1080">
        <f>IF(AE16&gt;0,'3 pr-2'!X17,0)</f>
        <v>0</v>
      </c>
      <c r="X16" s="1081">
        <v>0</v>
      </c>
      <c r="Y16" s="1082">
        <f>SUM('ketv. 6 '!AB16)</f>
        <v>0</v>
      </c>
      <c r="Z16" s="1080">
        <f>IF(AE16&gt;0,'3 pr-2'!AA17,0)</f>
        <v>200000</v>
      </c>
      <c r="AA16" s="1081">
        <v>170000</v>
      </c>
      <c r="AB16" s="1082">
        <f>SUM('ketv. 6 '!AF16)</f>
        <v>200000</v>
      </c>
      <c r="AC16" s="1080">
        <f>IF($AE$9&gt;0,'3 pr-2'!AB17,0)</f>
        <v>0</v>
      </c>
      <c r="AD16" s="1104">
        <f>SUM('3 pr-2'!AG17)</f>
        <v>42855</v>
      </c>
      <c r="AE16" s="1104">
        <v>42839</v>
      </c>
      <c r="AF16" s="198">
        <f t="shared" si="26"/>
        <v>0</v>
      </c>
      <c r="AG16" s="384" t="str">
        <f t="shared" si="25"/>
        <v>–</v>
      </c>
    </row>
    <row r="17" spans="1:33" ht="48.75">
      <c r="A17" s="164" t="str">
        <f>CONCATENATE('3 pr-2'!A18)</f>
        <v>1.1.1.1.9</v>
      </c>
      <c r="B17" s="281" t="s">
        <v>1222</v>
      </c>
      <c r="C17" s="164" t="str">
        <f>CONCATENATE('3 pr-2'!B18)</f>
        <v>R01-ZM72-340000-1109</v>
      </c>
      <c r="D17" s="164" t="str">
        <f>CONCATENATE('3 pr-2'!D18)</f>
        <v>Krikštonių laisvalaikio salės pritaikymas bendruomenės poreikiams</v>
      </c>
      <c r="E17" s="164" t="str">
        <f>CONCATENATE('3 pr-2'!E18)</f>
        <v xml:space="preserve">Viešoji įstaiga Lazdijų kultūros centras </v>
      </c>
      <c r="F17" s="164" t="str">
        <f>CONCATENATE('3 pr-2'!F18)</f>
        <v>Lietuvos Respublikos žemės ūkio ministerija</v>
      </c>
      <c r="G17" s="164" t="str">
        <f>CONCATENATE('3 pr-2'!G18)</f>
        <v>Lazdijų r. sav.</v>
      </c>
      <c r="H17" s="164" t="str">
        <f>CONCATENATE('3 pr-2'!H18)</f>
        <v xml:space="preserve">Pagrindinės paslaugos ir kaimų atnaujinimas kaimo vietovėse </v>
      </c>
      <c r="I17" s="164" t="str">
        <f>CONCATENATE('3 pr-2'!I18)</f>
        <v>R</v>
      </c>
      <c r="J17" s="164" t="str">
        <f>CONCATENATE('3 pr-2'!J18)</f>
        <v>-</v>
      </c>
      <c r="K17" s="1080">
        <f>IF(AE17&gt;0,'3 pr-2'!L18,0)</f>
        <v>250000</v>
      </c>
      <c r="L17" s="1081">
        <v>250000</v>
      </c>
      <c r="M17" s="1082">
        <f t="shared" si="24"/>
        <v>250000</v>
      </c>
      <c r="N17" s="1080">
        <f>IF(AE17&gt;0,'3 pr-2'!O18,0)</f>
        <v>50000</v>
      </c>
      <c r="O17" s="1081">
        <v>50000</v>
      </c>
      <c r="P17" s="1082">
        <f>SUM('ketv. 6 '!P17)</f>
        <v>50000</v>
      </c>
      <c r="Q17" s="1080">
        <f ca="1">IF(AE17&gt;0,'3 pr-2'!R18,0)</f>
        <v>0</v>
      </c>
      <c r="R17" s="1081">
        <v>30000</v>
      </c>
      <c r="S17" s="1082">
        <f>SUM('ketv. 6 '!T17)</f>
        <v>0</v>
      </c>
      <c r="T17" s="1080">
        <f>IF(AE17&gt;0,'3 pr-2'!U18,0)</f>
        <v>0</v>
      </c>
      <c r="U17" s="1081">
        <v>0</v>
      </c>
      <c r="V17" s="1082">
        <f>SUM('ketv. 6 '!X17)</f>
        <v>0</v>
      </c>
      <c r="W17" s="1080">
        <f>IF(AE17&gt;0,'3 pr-2'!X18,0)</f>
        <v>0</v>
      </c>
      <c r="X17" s="1081">
        <v>0</v>
      </c>
      <c r="Y17" s="1082">
        <f>SUM('ketv. 6 '!AB17)</f>
        <v>0</v>
      </c>
      <c r="Z17" s="1080">
        <f>IF(AE17&gt;0,'3 pr-2'!AA18,0)</f>
        <v>200000</v>
      </c>
      <c r="AA17" s="1081">
        <v>170000</v>
      </c>
      <c r="AB17" s="1082">
        <f>SUM('ketv. 6 '!AF17)</f>
        <v>200000</v>
      </c>
      <c r="AC17" s="1080">
        <f>IF($AE$9&gt;0,'3 pr-2'!AB18,0)</f>
        <v>0</v>
      </c>
      <c r="AD17" s="1104">
        <f>SUM('3 pr-2'!AG18)</f>
        <v>42855</v>
      </c>
      <c r="AE17" s="1104">
        <v>42839</v>
      </c>
      <c r="AF17" s="198">
        <f t="shared" si="26"/>
        <v>0</v>
      </c>
      <c r="AG17" s="384" t="str">
        <f t="shared" si="25"/>
        <v>–</v>
      </c>
    </row>
    <row r="18" spans="1:33" ht="48.75">
      <c r="A18" s="164" t="str">
        <f>CONCATENATE('3 pr-2'!A19)</f>
        <v>1.1.1.1.10</v>
      </c>
      <c r="B18" s="281" t="s">
        <v>1223</v>
      </c>
      <c r="C18" s="164" t="str">
        <f>CONCATENATE('3 pr-2'!B19)</f>
        <v>R01-ZM72-340200-1110</v>
      </c>
      <c r="D18" s="164" t="str">
        <f>CONCATENATE('3 pr-2'!D19)</f>
        <v>Kučiūnų laisvalaikio salės pritaikymas bendruomenės poreikiams</v>
      </c>
      <c r="E18" s="164" t="str">
        <f>CONCATENATE('3 pr-2'!E19)</f>
        <v xml:space="preserve">Viešoji įstaiga Lazdijų kultūros centras </v>
      </c>
      <c r="F18" s="164" t="str">
        <f>CONCATENATE('3 pr-2'!F19)</f>
        <v>Lietuvos Respublikos žemės ūkio ministerija</v>
      </c>
      <c r="G18" s="164" t="str">
        <f>CONCATENATE('3 pr-2'!G19)</f>
        <v>Lazdijų r. sav.</v>
      </c>
      <c r="H18" s="164" t="str">
        <f>CONCATENATE('3 pr-2'!H19)</f>
        <v xml:space="preserve">Pagrindinės paslaugos ir kaimų atnaujinimas kaimo vietovėse </v>
      </c>
      <c r="I18" s="164" t="str">
        <f>CONCATENATE('3 pr-2'!I19)</f>
        <v>R</v>
      </c>
      <c r="J18" s="164" t="str">
        <f>CONCATENATE('3 pr-2'!J19)</f>
        <v>-</v>
      </c>
      <c r="K18" s="1080">
        <f>IF(AE18&gt;0,'3 pr-2'!L19,0)</f>
        <v>250000</v>
      </c>
      <c r="L18" s="1081">
        <v>250000</v>
      </c>
      <c r="M18" s="1082">
        <f t="shared" si="24"/>
        <v>250000</v>
      </c>
      <c r="N18" s="1080">
        <f>IF(AE18&gt;0,'3 pr-2'!O19,0)</f>
        <v>62460</v>
      </c>
      <c r="O18" s="1081">
        <v>50000</v>
      </c>
      <c r="P18" s="1082">
        <f>SUM('ketv. 6 '!P18)</f>
        <v>62460</v>
      </c>
      <c r="Q18" s="1080">
        <f ca="1">IF(AE18&gt;0,'3 pr-2'!R19,0)</f>
        <v>0</v>
      </c>
      <c r="R18" s="1081">
        <v>30000</v>
      </c>
      <c r="S18" s="1082">
        <f>SUM('ketv. 6 '!T18)</f>
        <v>0</v>
      </c>
      <c r="T18" s="1080">
        <f>IF(AE18&gt;0,'3 pr-2'!U19,0)</f>
        <v>0</v>
      </c>
      <c r="U18" s="1081">
        <v>0</v>
      </c>
      <c r="V18" s="1082">
        <f>SUM('ketv. 6 '!X18)</f>
        <v>0</v>
      </c>
      <c r="W18" s="1080">
        <f>IF(AE18&gt;0,'3 pr-2'!X19,0)</f>
        <v>0</v>
      </c>
      <c r="X18" s="1081">
        <v>0</v>
      </c>
      <c r="Y18" s="1082">
        <f>SUM('ketv. 6 '!AB18)</f>
        <v>0</v>
      </c>
      <c r="Z18" s="1080">
        <f>IF(AE18&gt;0,'3 pr-2'!AA19,0)</f>
        <v>187540</v>
      </c>
      <c r="AA18" s="1081">
        <v>170000</v>
      </c>
      <c r="AB18" s="1082">
        <f>SUM('ketv. 6 '!AF18)</f>
        <v>187540</v>
      </c>
      <c r="AC18" s="1080">
        <f>IF($AE$9&gt;0,'3 pr-2'!AB19,0)</f>
        <v>0</v>
      </c>
      <c r="AD18" s="1104">
        <f>SUM('3 pr-2'!AG19)</f>
        <v>42855</v>
      </c>
      <c r="AE18" s="1104">
        <v>42839</v>
      </c>
      <c r="AF18" s="198">
        <f t="shared" si="26"/>
        <v>0</v>
      </c>
      <c r="AG18" s="384" t="str">
        <f t="shared" si="25"/>
        <v>–</v>
      </c>
    </row>
    <row r="19" spans="1:33" ht="48.75">
      <c r="A19" s="164" t="str">
        <f>CONCATENATE('3 pr-2'!A20)</f>
        <v>1.1.1.1.11</v>
      </c>
      <c r="B19" s="281" t="s">
        <v>1224</v>
      </c>
      <c r="C19" s="164" t="str">
        <f>CONCATENATE('3 pr-2'!B20)</f>
        <v>R01-ZM72-320000-1111</v>
      </c>
      <c r="D19" s="164" t="str">
        <f>CONCATENATE('3 pr-2'!D20)</f>
        <v>Laisvalaikio infrastruktūros sukūrimas Lazdijų rajono kaimo gyvenamosiose vietovėse</v>
      </c>
      <c r="E19" s="164" t="str">
        <f>CONCATENATE('3 pr-2'!E20)</f>
        <v>Lazdijų rajono savivaldybės administracija</v>
      </c>
      <c r="F19" s="164" t="str">
        <f>CONCATENATE('3 pr-2'!F20)</f>
        <v>Lietuvos Respublikos žemės ūkio ministerija</v>
      </c>
      <c r="G19" s="164" t="str">
        <f>CONCATENATE('3 pr-2'!G20)</f>
        <v>Lazdijų r. sav.</v>
      </c>
      <c r="H19" s="164" t="str">
        <f>CONCATENATE('3 pr-2'!H20)</f>
        <v xml:space="preserve">Pagrindinės paslaugos ir kaimų atnaujinimas kaimo vietovėse </v>
      </c>
      <c r="I19" s="164" t="str">
        <f>CONCATENATE('3 pr-2'!I20)</f>
        <v>R</v>
      </c>
      <c r="J19" s="164" t="str">
        <f>CONCATENATE('3 pr-2'!J20)</f>
        <v>-</v>
      </c>
      <c r="K19" s="1080">
        <f>IF(AE19&gt;0,'3 pr-2'!L20,0)</f>
        <v>125000</v>
      </c>
      <c r="L19" s="1081">
        <v>125000</v>
      </c>
      <c r="M19" s="1082">
        <f t="shared" si="24"/>
        <v>125000</v>
      </c>
      <c r="N19" s="1080">
        <f>IF(AE19&gt;0,'3 pr-2'!O20,0)</f>
        <v>25000</v>
      </c>
      <c r="O19" s="1081">
        <v>25000</v>
      </c>
      <c r="P19" s="1082">
        <f>SUM('ketv. 6 '!P19)</f>
        <v>25000</v>
      </c>
      <c r="Q19" s="1080">
        <f ca="1">IF(AE19&gt;0,'3 pr-2'!R20,0)</f>
        <v>0</v>
      </c>
      <c r="R19" s="1081">
        <v>15000</v>
      </c>
      <c r="S19" s="1082">
        <f>SUM('ketv. 6 '!T19)</f>
        <v>0</v>
      </c>
      <c r="T19" s="1080">
        <f>IF(AE19&gt;0,'3 pr-2'!U20,0)</f>
        <v>0</v>
      </c>
      <c r="U19" s="1081">
        <v>0</v>
      </c>
      <c r="V19" s="1082">
        <f>SUM('ketv. 6 '!X19)</f>
        <v>0</v>
      </c>
      <c r="W19" s="1080">
        <f>IF(AE19&gt;0,'3 pr-2'!X20,0)</f>
        <v>0</v>
      </c>
      <c r="X19" s="1081">
        <v>0</v>
      </c>
      <c r="Y19" s="1082">
        <f>SUM('ketv. 6 '!AB19)</f>
        <v>0</v>
      </c>
      <c r="Z19" s="1080">
        <f>IF(AE19&gt;0,'3 pr-2'!AA20,0)</f>
        <v>100000</v>
      </c>
      <c r="AA19" s="1081">
        <v>85000</v>
      </c>
      <c r="AB19" s="1082">
        <f>SUM('ketv. 6 '!AF19)</f>
        <v>100000</v>
      </c>
      <c r="AC19" s="1080">
        <f>IF($AE$9&gt;0,'3 pr-2'!AB20,0)</f>
        <v>0</v>
      </c>
      <c r="AD19" s="1104">
        <f>SUM('3 pr-2'!AG20)</f>
        <v>42855</v>
      </c>
      <c r="AE19" s="1104">
        <v>42839</v>
      </c>
      <c r="AF19" s="198">
        <f t="shared" si="26"/>
        <v>0</v>
      </c>
      <c r="AG19" s="384" t="str">
        <f t="shared" si="25"/>
        <v>–</v>
      </c>
    </row>
    <row r="20" spans="1:33" ht="48.75">
      <c r="A20" s="164" t="str">
        <f>CONCATENATE('3 pr-2'!A21)</f>
        <v>1.1.1.1.12</v>
      </c>
      <c r="B20" s="281" t="s">
        <v>1225</v>
      </c>
      <c r="C20" s="164" t="str">
        <f>CONCATENATE('3 pr-2'!B21)</f>
        <v>R01-ZM72-120000-1112</v>
      </c>
      <c r="D20" s="164" t="str">
        <f>CONCATENATE('3 pr-2'!D21)</f>
        <v>Alytaus rajono Butrimonių miestelio šaligatvių kapitalinis remontas ir gyvenvietės apšvietimo įrengimas</v>
      </c>
      <c r="E20" s="164" t="str">
        <f>CONCATENATE('3 pr-2'!E21)</f>
        <v>Alytaus rajono savivaldybės administracija</v>
      </c>
      <c r="F20" s="164" t="str">
        <f>CONCATENATE('3 pr-2'!F21)</f>
        <v>Lietuvos Respublikos žemės ūkio ministerija</v>
      </c>
      <c r="G20" s="164" t="str">
        <f>CONCATENATE('3 pr-2'!G21)</f>
        <v>Alytaus r. sav.</v>
      </c>
      <c r="H20" s="164" t="str">
        <f>CONCATENATE('3 pr-2'!H21)</f>
        <v xml:space="preserve">Pagrindinės paslaugos ir kaimų atnaujinimas kaimo vietovėse </v>
      </c>
      <c r="I20" s="164" t="str">
        <f>CONCATENATE('3 pr-2'!I21)</f>
        <v>R</v>
      </c>
      <c r="J20" s="164" t="str">
        <f>CONCATENATE('3 pr-2'!J21)</f>
        <v>-</v>
      </c>
      <c r="K20" s="1080">
        <f>IF(AE20&gt;0,'3 pr-2'!L21,0)</f>
        <v>190756</v>
      </c>
      <c r="L20" s="1081">
        <v>153566</v>
      </c>
      <c r="M20" s="1082">
        <f t="shared" si="24"/>
        <v>190756</v>
      </c>
      <c r="N20" s="1080">
        <f>IF(AE20&gt;0,'3 pr-2'!O21,0)</f>
        <v>67904</v>
      </c>
      <c r="O20" s="1081">
        <v>30713</v>
      </c>
      <c r="P20" s="1082">
        <f>SUM('ketv. 6 '!P20)</f>
        <v>67904</v>
      </c>
      <c r="Q20" s="1080">
        <f ca="1">IF(AE20&gt;0,'3 pr-2'!R21,0)</f>
        <v>0</v>
      </c>
      <c r="R20" s="1081">
        <v>18428</v>
      </c>
      <c r="S20" s="1082">
        <f>SUM('ketv. 6 '!T20)</f>
        <v>0</v>
      </c>
      <c r="T20" s="1080">
        <f>IF(AE20&gt;0,'3 pr-2'!U21,0)</f>
        <v>0</v>
      </c>
      <c r="U20" s="1081">
        <v>0</v>
      </c>
      <c r="V20" s="1082">
        <f>SUM('ketv. 6 '!X20)</f>
        <v>0</v>
      </c>
      <c r="W20" s="1080">
        <f>IF(AE20&gt;0,'3 pr-2'!X21,0)</f>
        <v>0</v>
      </c>
      <c r="X20" s="1081">
        <v>0</v>
      </c>
      <c r="Y20" s="1082">
        <f>SUM('ketv. 6 '!AB20)</f>
        <v>0</v>
      </c>
      <c r="Z20" s="1080">
        <f>IF(AE20&gt;0,'3 pr-2'!AA21,0)</f>
        <v>122852</v>
      </c>
      <c r="AA20" s="1081">
        <v>104425</v>
      </c>
      <c r="AB20" s="1082">
        <f>SUM('ketv. 6 '!AF20)</f>
        <v>122852</v>
      </c>
      <c r="AC20" s="1080">
        <f>IF($AE$9&gt;0,'3 pr-2'!AB21,0)</f>
        <v>0</v>
      </c>
      <c r="AD20" s="1104">
        <f>SUM('3 pr-2'!AG21)</f>
        <v>42855</v>
      </c>
      <c r="AE20" s="1104">
        <v>42839</v>
      </c>
      <c r="AF20" s="198">
        <f t="shared" si="26"/>
        <v>0</v>
      </c>
      <c r="AG20" s="384" t="str">
        <f t="shared" si="25"/>
        <v>–</v>
      </c>
    </row>
    <row r="21" spans="1:33" ht="48.75">
      <c r="A21" s="164" t="str">
        <f>CONCATENATE('3 pr-2'!A22)</f>
        <v>1.1.1.1.13</v>
      </c>
      <c r="B21" s="281" t="s">
        <v>1226</v>
      </c>
      <c r="C21" s="164" t="str">
        <f>CONCATENATE('3 pr-2'!B22)</f>
        <v>R01-ZM72-123200-1113</v>
      </c>
      <c r="D21" s="164" t="str">
        <f>CONCATENATE('3 pr-2'!D22)</f>
        <v>Alytaus rajono Genių kaimo sporto aikštės įrengimas ir gatvių rekonstrukcija</v>
      </c>
      <c r="E21" s="164" t="str">
        <f>CONCATENATE('3 pr-2'!E22)</f>
        <v>Alytaus rajono savivaldybės administracija</v>
      </c>
      <c r="F21" s="164" t="str">
        <f>CONCATENATE('3 pr-2'!F22)</f>
        <v>Lietuvos Respublikos žemės ūkio ministerija</v>
      </c>
      <c r="G21" s="164" t="str">
        <f>CONCATENATE('3 pr-2'!G22)</f>
        <v>Alytaus r. sav.</v>
      </c>
      <c r="H21" s="164" t="str">
        <f>CONCATENATE('3 pr-2'!H22)</f>
        <v xml:space="preserve">Pagrindinės paslaugos ir kaimų atnaujinimas kaimo vietovėse </v>
      </c>
      <c r="I21" s="164" t="str">
        <f>CONCATENATE('3 pr-2'!I22)</f>
        <v>R</v>
      </c>
      <c r="J21" s="164" t="str">
        <f>CONCATENATE('3 pr-2'!J22)</f>
        <v>-</v>
      </c>
      <c r="K21" s="1080">
        <f>IF(AE21&gt;0,'3 pr-2'!L22,0)</f>
        <v>247392.46</v>
      </c>
      <c r="L21" s="1081">
        <v>250000</v>
      </c>
      <c r="M21" s="1082">
        <f t="shared" si="24"/>
        <v>247392.46</v>
      </c>
      <c r="N21" s="1080">
        <f>IF(AE21&gt;0,'3 pr-2'!O22,0)</f>
        <v>47392.46</v>
      </c>
      <c r="O21" s="1081">
        <v>50000</v>
      </c>
      <c r="P21" s="1082">
        <f>SUM('ketv. 6 '!P21)</f>
        <v>47392.46</v>
      </c>
      <c r="Q21" s="1080">
        <f ca="1">IF(AE21&gt;0,'3 pr-2'!R22,0)</f>
        <v>0</v>
      </c>
      <c r="R21" s="1081">
        <v>30000</v>
      </c>
      <c r="S21" s="1082">
        <f>SUM('ketv. 6 '!T21)</f>
        <v>0</v>
      </c>
      <c r="T21" s="1080">
        <f>IF(AE21&gt;0,'3 pr-2'!U22,0)</f>
        <v>0</v>
      </c>
      <c r="U21" s="1081">
        <v>0</v>
      </c>
      <c r="V21" s="1082">
        <f>SUM('ketv. 6 '!X21)</f>
        <v>0</v>
      </c>
      <c r="W21" s="1080">
        <f>IF(AE21&gt;0,'3 pr-2'!X22,0)</f>
        <v>0</v>
      </c>
      <c r="X21" s="1081">
        <v>0</v>
      </c>
      <c r="Y21" s="1082">
        <f>SUM('ketv. 6 '!AB21)</f>
        <v>0</v>
      </c>
      <c r="Z21" s="1080">
        <f>IF(AE21&gt;0,'3 pr-2'!AA22,0)</f>
        <v>200000</v>
      </c>
      <c r="AA21" s="1081">
        <v>170000</v>
      </c>
      <c r="AB21" s="1082">
        <f>SUM('ketv. 6 '!AF21)</f>
        <v>200000</v>
      </c>
      <c r="AC21" s="1080">
        <f>IF($AE$9&gt;0,'3 pr-2'!AB22,0)</f>
        <v>0</v>
      </c>
      <c r="AD21" s="1104">
        <f>SUM('3 pr-2'!AG22)</f>
        <v>42855</v>
      </c>
      <c r="AE21" s="1104">
        <v>42839</v>
      </c>
      <c r="AF21" s="198">
        <f t="shared" si="26"/>
        <v>0</v>
      </c>
      <c r="AG21" s="384" t="str">
        <f t="shared" si="25"/>
        <v>–</v>
      </c>
    </row>
    <row r="22" spans="1:33" ht="48.75">
      <c r="A22" s="164" t="str">
        <f>CONCATENATE('3 pr-2'!A23)</f>
        <v>1.1.1.1.14</v>
      </c>
      <c r="B22" s="281" t="s">
        <v>1227</v>
      </c>
      <c r="C22" s="164" t="str">
        <f>CONCATENATE('3 pr-2'!B23)</f>
        <v>R01-ZM72-122900-1114</v>
      </c>
      <c r="D22" s="164" t="str">
        <f>CONCATENATE('3 pr-2'!D23)</f>
        <v>Varėnos r. Dargužių kaimo Liepų gatvės ir viešosios erdvės įrengimas</v>
      </c>
      <c r="E22" s="164" t="str">
        <f>CONCATENATE('3 pr-2'!E23)</f>
        <v xml:space="preserve">Varėnos rajono savivaldybės administracija </v>
      </c>
      <c r="F22" s="164" t="str">
        <f>CONCATENATE('3 pr-2'!F23)</f>
        <v>Lietuvos Respublikos žemės ūkio ministerija</v>
      </c>
      <c r="G22" s="164" t="str">
        <f>CONCATENATE('3 pr-2'!G23)</f>
        <v>Varėnos r. sav.</v>
      </c>
      <c r="H22" s="164" t="str">
        <f>CONCATENATE('3 pr-2'!H23)</f>
        <v xml:space="preserve">Pagrindinės paslaugos ir kaimų atnaujinimas kaimo vietovėse </v>
      </c>
      <c r="I22" s="164" t="str">
        <f>CONCATENATE('3 pr-2'!I23)</f>
        <v>R</v>
      </c>
      <c r="J22" s="164" t="str">
        <f>CONCATENATE('3 pr-2'!J23)</f>
        <v>-</v>
      </c>
      <c r="K22" s="1080">
        <f>IF(AE22&gt;0,'3 pr-2'!L23,0)</f>
        <v>215626</v>
      </c>
      <c r="L22" s="1081">
        <v>215626</v>
      </c>
      <c r="M22" s="1082">
        <f t="shared" si="24"/>
        <v>215626</v>
      </c>
      <c r="N22" s="1080">
        <f>IF(AE22&gt;0,'3 pr-2'!O23,0)</f>
        <v>43125.2</v>
      </c>
      <c r="O22" s="1081">
        <v>43125</v>
      </c>
      <c r="P22" s="1082">
        <f>SUM('ketv. 6 '!P22)</f>
        <v>43125.2</v>
      </c>
      <c r="Q22" s="1080">
        <f ca="1">IF(AE22&gt;0,'3 pr-2'!R23,0)</f>
        <v>0</v>
      </c>
      <c r="R22" s="1081">
        <v>25875</v>
      </c>
      <c r="S22" s="1082">
        <f>SUM('ketv. 6 '!T22)</f>
        <v>0</v>
      </c>
      <c r="T22" s="1080">
        <f>IF(AE22&gt;0,'3 pr-2'!U23,0)</f>
        <v>0</v>
      </c>
      <c r="U22" s="1081">
        <v>0</v>
      </c>
      <c r="V22" s="1082">
        <f>SUM('ketv. 6 '!X22)</f>
        <v>0</v>
      </c>
      <c r="W22" s="1080">
        <f>IF(AE22&gt;0,'3 pr-2'!X23,0)</f>
        <v>0</v>
      </c>
      <c r="X22" s="1081">
        <v>0</v>
      </c>
      <c r="Y22" s="1082">
        <f>SUM('ketv. 6 '!AB22)</f>
        <v>0</v>
      </c>
      <c r="Z22" s="1080">
        <f>IF(AE22&gt;0,'3 pr-2'!AA23,0)</f>
        <v>172500.8</v>
      </c>
      <c r="AA22" s="1081">
        <v>146626</v>
      </c>
      <c r="AB22" s="1082">
        <f>SUM('ketv. 6 '!AF22)</f>
        <v>172500.8</v>
      </c>
      <c r="AC22" s="1080">
        <f>IF($AE$9&gt;0,'3 pr-2'!AB23,0)</f>
        <v>0</v>
      </c>
      <c r="AD22" s="1104">
        <f>SUM('3 pr-2'!AG23)</f>
        <v>42855</v>
      </c>
      <c r="AE22" s="1104">
        <v>42839</v>
      </c>
      <c r="AF22" s="198">
        <f t="shared" si="26"/>
        <v>0</v>
      </c>
      <c r="AG22" s="384" t="str">
        <f t="shared" si="25"/>
        <v>–</v>
      </c>
    </row>
    <row r="23" spans="1:33" ht="48.75">
      <c r="A23" s="164" t="str">
        <f>CONCATENATE('3 pr-2'!A24)</f>
        <v>1.1.1.1.15</v>
      </c>
      <c r="B23" s="281" t="s">
        <v>1228</v>
      </c>
      <c r="C23" s="164" t="str">
        <f>CONCATENATE('3 pr-2'!B24)</f>
        <v>R01-ZM72-123200-1115</v>
      </c>
      <c r="D23" s="164" t="str">
        <f>CONCATENATE('3 pr-2'!D24)</f>
        <v>Alytaus rajono Vaisodžių kaimo sporto aikštės įrengimas ir gatvių apšvietimo atnaujinimas bei plėtra</v>
      </c>
      <c r="E23" s="164" t="str">
        <f>CONCATENATE('3 pr-2'!E24)</f>
        <v>Alytaus rajono savivaldybės administracija</v>
      </c>
      <c r="F23" s="164" t="str">
        <f>CONCATENATE('3 pr-2'!F24)</f>
        <v>Lietuvos Respublikos žemės ūkio ministerija</v>
      </c>
      <c r="G23" s="164" t="str">
        <f>CONCATENATE('3 pr-2'!G24)</f>
        <v>Alytaus r. sav.</v>
      </c>
      <c r="H23" s="164" t="str">
        <f>CONCATENATE('3 pr-2'!H24)</f>
        <v xml:space="preserve">Pagrindinės paslaugos ir kaimų atnaujinimas kaimo vietovėse </v>
      </c>
      <c r="I23" s="164" t="str">
        <f>CONCATENATE('3 pr-2'!I24)</f>
        <v>R</v>
      </c>
      <c r="J23" s="164" t="str">
        <f>CONCATENATE('3 pr-2'!J24)</f>
        <v>-</v>
      </c>
      <c r="K23" s="1080">
        <f>IF(AE23&gt;0,'3 pr-2'!L24,0)</f>
        <v>75880</v>
      </c>
      <c r="L23" s="1081">
        <v>76480</v>
      </c>
      <c r="M23" s="1082">
        <f t="shared" si="24"/>
        <v>75880</v>
      </c>
      <c r="N23" s="1080">
        <f>IF(AE23&gt;0,'3 pr-2'!O24,0)</f>
        <v>15176</v>
      </c>
      <c r="O23" s="1081">
        <v>15296</v>
      </c>
      <c r="P23" s="1082">
        <f>SUM('ketv. 6 '!P23)</f>
        <v>15176</v>
      </c>
      <c r="Q23" s="1080">
        <f ca="1">IF(AE23&gt;0,'3 pr-2'!R24,0)</f>
        <v>0</v>
      </c>
      <c r="R23" s="1081">
        <v>9178</v>
      </c>
      <c r="S23" s="1082">
        <f>SUM('ketv. 6 '!T23)</f>
        <v>0</v>
      </c>
      <c r="T23" s="1080">
        <f>IF(AE23&gt;0,'3 pr-2'!U24,0)</f>
        <v>0</v>
      </c>
      <c r="U23" s="1081">
        <v>0</v>
      </c>
      <c r="V23" s="1082">
        <f>SUM('ketv. 6 '!X23)</f>
        <v>0</v>
      </c>
      <c r="W23" s="1080">
        <f>IF(AE23&gt;0,'3 pr-2'!X24,0)</f>
        <v>0</v>
      </c>
      <c r="X23" s="1081">
        <v>0</v>
      </c>
      <c r="Y23" s="1082">
        <f>SUM('ketv. 6 '!AB23)</f>
        <v>0</v>
      </c>
      <c r="Z23" s="1080">
        <f>IF(AE23&gt;0,'3 pr-2'!AA24,0)</f>
        <v>60704</v>
      </c>
      <c r="AA23" s="1081">
        <v>52006</v>
      </c>
      <c r="AB23" s="1082">
        <f>SUM('ketv. 6 '!AF23)</f>
        <v>60704</v>
      </c>
      <c r="AC23" s="1080">
        <f>IF($AE$9&gt;0,'3 pr-2'!AB24,0)</f>
        <v>0</v>
      </c>
      <c r="AD23" s="1104">
        <f>SUM('3 pr-2'!AG24)</f>
        <v>42855</v>
      </c>
      <c r="AE23" s="1104">
        <v>42839</v>
      </c>
      <c r="AF23" s="198">
        <f t="shared" si="26"/>
        <v>0</v>
      </c>
      <c r="AG23" s="384" t="str">
        <f t="shared" si="25"/>
        <v>–</v>
      </c>
    </row>
    <row r="24" spans="1:33" ht="48.75">
      <c r="A24" s="164" t="str">
        <f>CONCATENATE('3 pr-2'!A25)</f>
        <v>1.1.1.1.16</v>
      </c>
      <c r="B24" s="281" t="s">
        <v>1229</v>
      </c>
      <c r="C24" s="164" t="str">
        <f>CONCATENATE('3 pr-2'!B25)</f>
        <v>R01-ZM72-123200-1116</v>
      </c>
      <c r="D24" s="164" t="str">
        <f>CONCATENATE('3 pr-2'!D25)</f>
        <v>Alytaus rajono Talokių kaimo sporto aikštės įrengimas ir Plytinės gatvės apšvietimas</v>
      </c>
      <c r="E24" s="164" t="str">
        <f>CONCATENATE('3 pr-2'!E25)</f>
        <v>Alytaus rajono savivaldybės administracija</v>
      </c>
      <c r="F24" s="164" t="str">
        <f>CONCATENATE('3 pr-2'!F25)</f>
        <v>Lietuvos Respublikos žemės ūkio ministerija</v>
      </c>
      <c r="G24" s="164" t="str">
        <f>CONCATENATE('3 pr-2'!G25)</f>
        <v>Alytaus r. sav.</v>
      </c>
      <c r="H24" s="164" t="str">
        <f>CONCATENATE('3 pr-2'!H25)</f>
        <v xml:space="preserve">Pagrindinės paslaugos ir kaimų atnaujinimas kaimo vietovėse </v>
      </c>
      <c r="I24" s="164" t="str">
        <f>CONCATENATE('3 pr-2'!I25)</f>
        <v>R</v>
      </c>
      <c r="J24" s="164" t="str">
        <f>CONCATENATE('3 pr-2'!J25)</f>
        <v>-</v>
      </c>
      <c r="K24" s="1080">
        <f>IF(AE24&gt;0,'3 pr-2'!L25,0)</f>
        <v>141312</v>
      </c>
      <c r="L24" s="1081">
        <v>139472</v>
      </c>
      <c r="M24" s="1082">
        <f t="shared" si="24"/>
        <v>141312</v>
      </c>
      <c r="N24" s="1080">
        <f>IF(AE24&gt;0,'3 pr-2'!O25,0)</f>
        <v>44913</v>
      </c>
      <c r="O24" s="1081">
        <v>27894</v>
      </c>
      <c r="P24" s="1082">
        <f>SUM('ketv. 6 '!P24)</f>
        <v>44913</v>
      </c>
      <c r="Q24" s="1080">
        <f ca="1">IF(AE24&gt;0,'3 pr-2'!R25,0)</f>
        <v>0</v>
      </c>
      <c r="R24" s="1081">
        <v>16737</v>
      </c>
      <c r="S24" s="1082">
        <f>SUM('ketv. 6 '!T24)</f>
        <v>0</v>
      </c>
      <c r="T24" s="1080">
        <f>IF(AE24&gt;0,'3 pr-2'!U25,0)</f>
        <v>0</v>
      </c>
      <c r="U24" s="1081">
        <v>0</v>
      </c>
      <c r="V24" s="1082">
        <f>SUM('ketv. 6 '!X24)</f>
        <v>0</v>
      </c>
      <c r="W24" s="1080">
        <f>IF(AE24&gt;0,'3 pr-2'!X25,0)</f>
        <v>0</v>
      </c>
      <c r="X24" s="1081">
        <v>0</v>
      </c>
      <c r="Y24" s="1082">
        <f>SUM('ketv. 6 '!AB24)</f>
        <v>0</v>
      </c>
      <c r="Z24" s="1080">
        <f>IF(AE24&gt;0,'3 pr-2'!AA25,0)</f>
        <v>96399</v>
      </c>
      <c r="AA24" s="1081">
        <v>94841</v>
      </c>
      <c r="AB24" s="1082">
        <f>SUM('ketv. 6 '!AF24)</f>
        <v>96399</v>
      </c>
      <c r="AC24" s="1080">
        <f>IF($AE$9&gt;0,'3 pr-2'!AB25,0)</f>
        <v>0</v>
      </c>
      <c r="AD24" s="1104">
        <f>SUM('3 pr-2'!AG25)</f>
        <v>42855</v>
      </c>
      <c r="AE24" s="1104">
        <v>42839</v>
      </c>
      <c r="AF24" s="198">
        <f t="shared" si="26"/>
        <v>0</v>
      </c>
      <c r="AG24" s="384" t="str">
        <f t="shared" si="25"/>
        <v>–</v>
      </c>
    </row>
    <row r="25" spans="1:33" ht="48.75">
      <c r="A25" s="164" t="str">
        <f>CONCATENATE('3 pr-2'!A26)</f>
        <v>1.1.1.1.17</v>
      </c>
      <c r="B25" s="281" t="s">
        <v>1230</v>
      </c>
      <c r="C25" s="164" t="str">
        <f>CONCATENATE('3 pr-2'!B26)</f>
        <v>R01-ZM72-120000-1117</v>
      </c>
      <c r="D25" s="164" t="str">
        <f>CONCATENATE('3 pr-2'!D26)</f>
        <v>Varėnos r. Rudnios kaimo Pušyno gatvės įrengimas</v>
      </c>
      <c r="E25" s="164" t="str">
        <f>CONCATENATE('3 pr-2'!E26)</f>
        <v xml:space="preserve">Varėnos rajono savivaldybės administracija </v>
      </c>
      <c r="F25" s="164" t="str">
        <f>CONCATENATE('3 pr-2'!F26)</f>
        <v>Lietuvos Respublikos žemės ūkio ministerija</v>
      </c>
      <c r="G25" s="164" t="str">
        <f>CONCATENATE('3 pr-2'!G26)</f>
        <v>Varėnos r. sav.</v>
      </c>
      <c r="H25" s="164" t="str">
        <f>CONCATENATE('3 pr-2'!H26)</f>
        <v xml:space="preserve">Pagrindinės paslaugos ir kaimų atnaujinimas kaimo vietovėse </v>
      </c>
      <c r="I25" s="164" t="str">
        <f>CONCATENATE('3 pr-2'!I26)</f>
        <v>R</v>
      </c>
      <c r="J25" s="164" t="str">
        <f>CONCATENATE('3 pr-2'!J26)</f>
        <v>-</v>
      </c>
      <c r="K25" s="1080">
        <f>IF(AE25&gt;0,'3 pr-2'!L26,0)</f>
        <v>115624</v>
      </c>
      <c r="L25" s="1081">
        <v>115824</v>
      </c>
      <c r="M25" s="1082">
        <f t="shared" si="24"/>
        <v>115624</v>
      </c>
      <c r="N25" s="1080">
        <f>IF(AE25&gt;0,'3 pr-2'!O26,0)</f>
        <v>23125</v>
      </c>
      <c r="O25" s="1081">
        <v>23165</v>
      </c>
      <c r="P25" s="1082">
        <f>SUM('ketv. 6 '!P25)</f>
        <v>23125</v>
      </c>
      <c r="Q25" s="1080">
        <f ca="1">IF(AE25&gt;0,'3 pr-2'!R26,0)</f>
        <v>0</v>
      </c>
      <c r="R25" s="1081">
        <v>13899</v>
      </c>
      <c r="S25" s="1082">
        <f>SUM('ketv. 6 '!T25)</f>
        <v>0</v>
      </c>
      <c r="T25" s="1080">
        <f>IF(AE25&gt;0,'3 pr-2'!U26,0)</f>
        <v>0</v>
      </c>
      <c r="U25" s="1081">
        <v>0</v>
      </c>
      <c r="V25" s="1082">
        <f>SUM('ketv. 6 '!X25)</f>
        <v>0</v>
      </c>
      <c r="W25" s="1080">
        <f>IF(AE25&gt;0,'3 pr-2'!X26,0)</f>
        <v>0</v>
      </c>
      <c r="X25" s="1081">
        <v>0</v>
      </c>
      <c r="Y25" s="1082">
        <f>SUM('ketv. 6 '!AB25)</f>
        <v>0</v>
      </c>
      <c r="Z25" s="1080">
        <f>IF(AE25&gt;0,'3 pr-2'!AA26,0)</f>
        <v>92499</v>
      </c>
      <c r="AA25" s="1081">
        <v>78760</v>
      </c>
      <c r="AB25" s="1082">
        <f>SUM('ketv. 6 '!AF25)</f>
        <v>92499</v>
      </c>
      <c r="AC25" s="1080">
        <f>IF($AE$9&gt;0,'3 pr-2'!AB26,0)</f>
        <v>0</v>
      </c>
      <c r="AD25" s="1104">
        <f>SUM('3 pr-2'!AG26)</f>
        <v>42855</v>
      </c>
      <c r="AE25" s="1104">
        <v>42839</v>
      </c>
      <c r="AF25" s="198">
        <f t="shared" si="26"/>
        <v>0</v>
      </c>
      <c r="AG25" s="384" t="str">
        <f t="shared" si="25"/>
        <v>–</v>
      </c>
    </row>
    <row r="26" spans="1:33" ht="48.75">
      <c r="A26" s="164" t="str">
        <f>CONCATENATE('3 pr-2'!A27)</f>
        <v>1.1.1.1.18</v>
      </c>
      <c r="B26" s="281" t="s">
        <v>1231</v>
      </c>
      <c r="C26" s="164" t="str">
        <f>CONCATENATE('3 pr-2'!B27)</f>
        <v>R01-ZM72-340000-1118</v>
      </c>
      <c r="D26" s="164" t="str">
        <f>CONCATENATE('3 pr-2'!D27)</f>
        <v>Varėnos kultūros centro Žilinų filialo pastato atnaujinimas ir pritaikymas bendruomenės poreikiams</v>
      </c>
      <c r="E26" s="164" t="str">
        <f>CONCATENATE('3 pr-2'!E27)</f>
        <v xml:space="preserve">Varėnos rajono savivaldybės administracija </v>
      </c>
      <c r="F26" s="164" t="str">
        <f>CONCATENATE('3 pr-2'!F27)</f>
        <v>Lietuvos Respublikos žemės ūkio ministerija</v>
      </c>
      <c r="G26" s="164" t="str">
        <f>CONCATENATE('3 pr-2'!G27)</f>
        <v>Varėnos r. sav.</v>
      </c>
      <c r="H26" s="164" t="str">
        <f>CONCATENATE('3 pr-2'!H27)</f>
        <v xml:space="preserve">Pagrindinės paslaugos ir kaimų atnaujinimas kaimo vietovėse </v>
      </c>
      <c r="I26" s="164" t="str">
        <f>CONCATENATE('3 pr-2'!I27)</f>
        <v>R</v>
      </c>
      <c r="J26" s="164" t="str">
        <f>CONCATENATE('3 pr-2'!J27)</f>
        <v>-</v>
      </c>
      <c r="K26" s="1080">
        <f>IF(AE26&gt;0,'3 pr-2'!L27,0)</f>
        <v>250000</v>
      </c>
      <c r="L26" s="1081">
        <v>250000</v>
      </c>
      <c r="M26" s="1082">
        <f t="shared" si="24"/>
        <v>250000</v>
      </c>
      <c r="N26" s="1080">
        <f>IF(AE26&gt;0,'3 pr-2'!O27,0)</f>
        <v>50000</v>
      </c>
      <c r="O26" s="1081">
        <v>50000</v>
      </c>
      <c r="P26" s="1082">
        <f>SUM('ketv. 6 '!P26)</f>
        <v>50000</v>
      </c>
      <c r="Q26" s="1080">
        <f ca="1">IF(AE26&gt;0,'3 pr-2'!R27,0)</f>
        <v>0</v>
      </c>
      <c r="R26" s="1081">
        <v>30000</v>
      </c>
      <c r="S26" s="1082">
        <f>SUM('ketv. 6 '!T26)</f>
        <v>0</v>
      </c>
      <c r="T26" s="1080">
        <f>IF(AE26&gt;0,'3 pr-2'!U27,0)</f>
        <v>0</v>
      </c>
      <c r="U26" s="1081">
        <v>0</v>
      </c>
      <c r="V26" s="1082">
        <f>SUM('ketv. 6 '!X26)</f>
        <v>0</v>
      </c>
      <c r="W26" s="1080">
        <f>IF(AE26&gt;0,'3 pr-2'!X27,0)</f>
        <v>0</v>
      </c>
      <c r="X26" s="1081">
        <v>0</v>
      </c>
      <c r="Y26" s="1082">
        <f>SUM('ketv. 6 '!AB26)</f>
        <v>0</v>
      </c>
      <c r="Z26" s="1080">
        <f>IF(AE26&gt;0,'3 pr-2'!AA27,0)</f>
        <v>200000</v>
      </c>
      <c r="AA26" s="1081">
        <v>170000</v>
      </c>
      <c r="AB26" s="1082">
        <f>SUM('ketv. 6 '!AF26)</f>
        <v>200000</v>
      </c>
      <c r="AC26" s="1080">
        <f>IF($AE$9&gt;0,'3 pr-2'!AB27,0)</f>
        <v>0</v>
      </c>
      <c r="AD26" s="1104">
        <f>SUM('3 pr-2'!AG27)</f>
        <v>42855</v>
      </c>
      <c r="AE26" s="1104">
        <v>42839</v>
      </c>
      <c r="AF26" s="198">
        <f t="shared" si="26"/>
        <v>0</v>
      </c>
      <c r="AG26" s="384" t="str">
        <f t="shared" si="25"/>
        <v>–</v>
      </c>
    </row>
    <row r="27" spans="1:33" ht="48.75">
      <c r="A27" s="164" t="str">
        <f>CONCATENATE('3 pr-2'!A28)</f>
        <v>1.1.1.1.19</v>
      </c>
      <c r="B27" s="281" t="s">
        <v>1232</v>
      </c>
      <c r="C27" s="164" t="str">
        <f>CONCATENATE('3 pr-2'!B28)</f>
        <v>R01-ZM72-120000-1119</v>
      </c>
      <c r="D27" s="164" t="str">
        <f>CONCATENATE('3 pr-2'!D28)</f>
        <v>Alytaus rajono Pivašiūnų kaimo šaligatvių, laiptų kapitalinis remontas ir gyvenvietės apšvietimo įrengimas</v>
      </c>
      <c r="E27" s="164" t="str">
        <f>CONCATENATE('3 pr-2'!E28)</f>
        <v>Alytaus rajono savivaldybės administracija</v>
      </c>
      <c r="F27" s="164" t="str">
        <f>CONCATENATE('3 pr-2'!F28)</f>
        <v>Lietuvos Respublikos žemės ūkio ministerija</v>
      </c>
      <c r="G27" s="164" t="str">
        <f>CONCATENATE('3 pr-2'!G28)</f>
        <v>Alytaus r. sav.</v>
      </c>
      <c r="H27" s="164" t="str">
        <f>CONCATENATE('3 pr-2'!H28)</f>
        <v xml:space="preserve">Pagrindinės paslaugos ir kaimų atnaujinimas kaimo vietovėse </v>
      </c>
      <c r="I27" s="164" t="str">
        <f>CONCATENATE('3 pr-2'!I28)</f>
        <v>R</v>
      </c>
      <c r="J27" s="164" t="str">
        <f>CONCATENATE('3 pr-2'!J28)</f>
        <v>-</v>
      </c>
      <c r="K27" s="1080">
        <f>IF(AE27&gt;0,'3 pr-2'!L28,0)</f>
        <v>118362</v>
      </c>
      <c r="L27" s="1081">
        <v>117986</v>
      </c>
      <c r="M27" s="1082">
        <f t="shared" si="24"/>
        <v>118362</v>
      </c>
      <c r="N27" s="1080">
        <f>IF(AE27&gt;0,'3 pr-2'!O28,0)</f>
        <v>23973</v>
      </c>
      <c r="O27" s="1081">
        <v>23597</v>
      </c>
      <c r="P27" s="1082">
        <f>SUM('ketv. 6 '!P27)</f>
        <v>23973</v>
      </c>
      <c r="Q27" s="1080">
        <f ca="1">IF(AE27&gt;0,'3 pr-2'!R28,0)</f>
        <v>0</v>
      </c>
      <c r="R27" s="1081">
        <v>14158</v>
      </c>
      <c r="S27" s="1082">
        <f>SUM('ketv. 6 '!T27)</f>
        <v>0</v>
      </c>
      <c r="T27" s="1080">
        <f>IF(AE27&gt;0,'3 pr-2'!U28,0)</f>
        <v>0</v>
      </c>
      <c r="U27" s="1081">
        <v>0</v>
      </c>
      <c r="V27" s="1082">
        <f>SUM('ketv. 6 '!X27)</f>
        <v>0</v>
      </c>
      <c r="W27" s="1080">
        <f>IF(AE27&gt;0,'3 pr-2'!X28,0)</f>
        <v>0</v>
      </c>
      <c r="X27" s="1081">
        <v>0</v>
      </c>
      <c r="Y27" s="1082">
        <f>SUM('ketv. 6 '!AB27)</f>
        <v>0</v>
      </c>
      <c r="Z27" s="1080">
        <f>IF(AE27&gt;0,'3 pr-2'!AA28,0)</f>
        <v>94389</v>
      </c>
      <c r="AA27" s="1081">
        <v>80231</v>
      </c>
      <c r="AB27" s="1082">
        <f>SUM('ketv. 6 '!AF27)</f>
        <v>94389</v>
      </c>
      <c r="AC27" s="1080">
        <f>IF($AE$9&gt;0,'3 pr-2'!AB28,0)</f>
        <v>0</v>
      </c>
      <c r="AD27" s="1104">
        <f>SUM('3 pr-2'!AG28)</f>
        <v>42855</v>
      </c>
      <c r="AE27" s="1104">
        <v>42839</v>
      </c>
      <c r="AF27" s="198">
        <f t="shared" si="26"/>
        <v>0</v>
      </c>
      <c r="AG27" s="384" t="str">
        <f t="shared" si="25"/>
        <v>–</v>
      </c>
    </row>
    <row r="28" spans="1:33" ht="48.75">
      <c r="A28" s="164" t="str">
        <f>CONCATENATE('3 pr-2'!A29)</f>
        <v>1.1.1.1.20</v>
      </c>
      <c r="B28" s="281" t="s">
        <v>1233</v>
      </c>
      <c r="C28" s="164" t="str">
        <f>CONCATENATE('3 pr-2'!B29)</f>
        <v>R01-ZM72-340000-1120</v>
      </c>
      <c r="D28" s="164" t="str">
        <f>CONCATENATE('3 pr-2'!D29)</f>
        <v>Pastato, esančio Pušelės g. 11, Naujųjų Valkininkų k., Varėnos r., atnaujinimas ir pritaikymas bendruomenės poreikiams</v>
      </c>
      <c r="E28" s="164" t="str">
        <f>CONCATENATE('3 pr-2'!E29)</f>
        <v xml:space="preserve">Varėnos rajono savivaldybės administracija </v>
      </c>
      <c r="F28" s="164" t="str">
        <f>CONCATENATE('3 pr-2'!F29)</f>
        <v>Lietuvos Respublikos žemės ūkio ministerija</v>
      </c>
      <c r="G28" s="164" t="str">
        <f>CONCATENATE('3 pr-2'!G29)</f>
        <v>Varėnos r. sav.</v>
      </c>
      <c r="H28" s="164" t="str">
        <f>CONCATENATE('3 pr-2'!H29)</f>
        <v xml:space="preserve">Pagrindinės paslaugos ir kaimų atnaujinimas kaimo vietovėse </v>
      </c>
      <c r="I28" s="164" t="str">
        <f>CONCATENATE('3 pr-2'!I29)</f>
        <v>R</v>
      </c>
      <c r="J28" s="164" t="str">
        <f>CONCATENATE('3 pr-2'!J29)</f>
        <v>-</v>
      </c>
      <c r="K28" s="1080">
        <f>IF(AE28&gt;0,'3 pr-2'!L29,0)</f>
        <v>250000</v>
      </c>
      <c r="L28" s="1081">
        <v>250000</v>
      </c>
      <c r="M28" s="1082">
        <f t="shared" si="24"/>
        <v>250000</v>
      </c>
      <c r="N28" s="1080">
        <f>IF(AE28&gt;0,'3 pr-2'!O29,0)</f>
        <v>50000</v>
      </c>
      <c r="O28" s="1081">
        <v>50000</v>
      </c>
      <c r="P28" s="1082">
        <f>SUM('ketv. 6 '!P28)</f>
        <v>50000</v>
      </c>
      <c r="Q28" s="1080">
        <f ca="1">IF(AE28&gt;0,'3 pr-2'!R29,0)</f>
        <v>0</v>
      </c>
      <c r="R28" s="1081">
        <v>30000</v>
      </c>
      <c r="S28" s="1082">
        <f>SUM('ketv. 6 '!T28)</f>
        <v>0</v>
      </c>
      <c r="T28" s="1080">
        <f>IF(AE28&gt;0,'3 pr-2'!U29,0)</f>
        <v>0</v>
      </c>
      <c r="U28" s="1081">
        <v>0</v>
      </c>
      <c r="V28" s="1082">
        <f>SUM('ketv. 6 '!X28)</f>
        <v>0</v>
      </c>
      <c r="W28" s="1080">
        <f>IF(AE28&gt;0,'3 pr-2'!X29,0)</f>
        <v>0</v>
      </c>
      <c r="X28" s="1081">
        <v>0</v>
      </c>
      <c r="Y28" s="1082">
        <f>SUM('ketv. 6 '!AB28)</f>
        <v>0</v>
      </c>
      <c r="Z28" s="1080">
        <f>IF(AE28&gt;0,'3 pr-2'!AA29,0)</f>
        <v>200000</v>
      </c>
      <c r="AA28" s="1081">
        <v>170000</v>
      </c>
      <c r="AB28" s="1082">
        <f>SUM('ketv. 6 '!AF28)</f>
        <v>200000</v>
      </c>
      <c r="AC28" s="1080">
        <f>IF($AE$9&gt;0,'3 pr-2'!AB29,0)</f>
        <v>0</v>
      </c>
      <c r="AD28" s="1104">
        <f>SUM('3 pr-2'!AG29)</f>
        <v>42855</v>
      </c>
      <c r="AE28" s="1104">
        <v>42839</v>
      </c>
      <c r="AF28" s="198">
        <f t="shared" si="26"/>
        <v>0</v>
      </c>
      <c r="AG28" s="384" t="str">
        <f t="shared" si="25"/>
        <v>–</v>
      </c>
    </row>
    <row r="29" spans="1:33" ht="48.75">
      <c r="A29" s="164" t="str">
        <f>CONCATENATE('3 pr-2'!A30)</f>
        <v>1.1.1.1.21</v>
      </c>
      <c r="B29" s="281" t="s">
        <v>1234</v>
      </c>
      <c r="C29" s="164" t="str">
        <f>CONCATENATE('3 pr-2'!B30)</f>
        <v>R01-ZM72-120000-1121</v>
      </c>
      <c r="D29" s="164" t="str">
        <f>CONCATENATE('3 pr-2'!D30)</f>
        <v>Kaimo gyvenamųjų vietovių Lazdijų rajono savivaldybėje patrauklumo gerinimas</v>
      </c>
      <c r="E29" s="164" t="str">
        <f>CONCATENATE('3 pr-2'!E30)</f>
        <v>Lazdijų rajono savivaldybės administracija</v>
      </c>
      <c r="F29" s="164" t="str">
        <f>CONCATENATE('3 pr-2'!F30)</f>
        <v>Lietuvos Respublikos žemės ūkio ministerija</v>
      </c>
      <c r="G29" s="164" t="str">
        <f>CONCATENATE('3 pr-2'!G30)</f>
        <v>Lazdijų r. sav.</v>
      </c>
      <c r="H29" s="164" t="str">
        <f>CONCATENATE('3 pr-2'!H30)</f>
        <v xml:space="preserve">Pagrindinės paslaugos ir kaimų atnaujinimas kaimo vietovėse </v>
      </c>
      <c r="I29" s="164" t="str">
        <f>CONCATENATE('3 pr-2'!I30)</f>
        <v>R</v>
      </c>
      <c r="J29" s="164" t="str">
        <f>CONCATENATE('3 pr-2'!J30)</f>
        <v>-</v>
      </c>
      <c r="K29" s="1080">
        <f>IF(AE29&gt;0,'3 pr-2'!L30,0)</f>
        <v>170000</v>
      </c>
      <c r="L29" s="1081">
        <v>170000</v>
      </c>
      <c r="M29" s="1082">
        <f t="shared" si="24"/>
        <v>170000</v>
      </c>
      <c r="N29" s="1080">
        <f>IF(AE29&gt;0,'3 pr-2'!O30,0)</f>
        <v>34000</v>
      </c>
      <c r="O29" s="1081">
        <v>34000</v>
      </c>
      <c r="P29" s="1082">
        <f>SUM('ketv. 6 '!P29)</f>
        <v>34000</v>
      </c>
      <c r="Q29" s="1080">
        <f ca="1">IF(AE29&gt;0,'3 pr-2'!R30,0)</f>
        <v>0</v>
      </c>
      <c r="R29" s="1081">
        <v>20400</v>
      </c>
      <c r="S29" s="1082">
        <f>SUM('ketv. 6 '!T29)</f>
        <v>0</v>
      </c>
      <c r="T29" s="1080">
        <f>IF(AE29&gt;0,'3 pr-2'!U30,0)</f>
        <v>0</v>
      </c>
      <c r="U29" s="1081">
        <v>0</v>
      </c>
      <c r="V29" s="1082">
        <f>SUM('ketv. 6 '!X29)</f>
        <v>0</v>
      </c>
      <c r="W29" s="1080">
        <f>IF(AE29&gt;0,'3 pr-2'!X30,0)</f>
        <v>0</v>
      </c>
      <c r="X29" s="1081">
        <v>0</v>
      </c>
      <c r="Y29" s="1082">
        <f>SUM('ketv. 6 '!AB29)</f>
        <v>0</v>
      </c>
      <c r="Z29" s="1080">
        <f>IF(AE29&gt;0,'3 pr-2'!AA30,0)</f>
        <v>136000</v>
      </c>
      <c r="AA29" s="1081">
        <v>115600</v>
      </c>
      <c r="AB29" s="1082">
        <f>SUM('ketv. 6 '!AF29)</f>
        <v>136000</v>
      </c>
      <c r="AC29" s="1080">
        <f>IF($AE$9&gt;0,'3 pr-2'!AB30,0)</f>
        <v>0</v>
      </c>
      <c r="AD29" s="1104">
        <f>SUM('3 pr-2'!AG30)</f>
        <v>42855</v>
      </c>
      <c r="AE29" s="1104">
        <v>42839</v>
      </c>
      <c r="AF29" s="198">
        <f t="shared" si="26"/>
        <v>0</v>
      </c>
      <c r="AG29" s="384" t="str">
        <f t="shared" si="25"/>
        <v>–</v>
      </c>
    </row>
    <row r="30" spans="1:33" ht="48.75">
      <c r="A30" s="164" t="str">
        <f>CONCATENATE('3 pr-2'!A31)</f>
        <v>1.1.1.1.22</v>
      </c>
      <c r="B30" s="281" t="s">
        <v>1235</v>
      </c>
      <c r="C30" s="164" t="str">
        <f>CONCATENATE('3 pr-2'!B31)</f>
        <v>R01-ZM72-120000-1122</v>
      </c>
      <c r="D30" s="164" t="str">
        <f>CONCATENATE('3 pr-2'!D31)</f>
        <v>Alytaus rajono Makniūnų kaimo šaligatvių atnaujinimas ir plėtra</v>
      </c>
      <c r="E30" s="164" t="str">
        <f>CONCATENATE('3 pr-2'!E31)</f>
        <v>Alytaus rajono savivaldybės administracija</v>
      </c>
      <c r="F30" s="164" t="str">
        <f>CONCATENATE('3 pr-2'!F31)</f>
        <v>Lietuvos Respublikos žemės ūkio ministerija</v>
      </c>
      <c r="G30" s="164" t="str">
        <f>CONCATENATE('3 pr-2'!G31)</f>
        <v>Alytaus r. sav.</v>
      </c>
      <c r="H30" s="164" t="str">
        <f>CONCATENATE('3 pr-2'!H31)</f>
        <v xml:space="preserve">Pagrindinės paslaugos ir kaimų atnaujinimas kaimo vietovėse </v>
      </c>
      <c r="I30" s="164" t="str">
        <f>CONCATENATE('3 pr-2'!I31)</f>
        <v>R</v>
      </c>
      <c r="J30" s="164" t="str">
        <f>CONCATENATE('3 pr-2'!J31)</f>
        <v>-</v>
      </c>
      <c r="K30" s="1080">
        <f>IF(AE30&gt;0,'3 pr-2'!L31,0)</f>
        <v>145772</v>
      </c>
      <c r="L30" s="1081">
        <v>70991</v>
      </c>
      <c r="M30" s="1082">
        <f t="shared" si="24"/>
        <v>145772</v>
      </c>
      <c r="N30" s="1080">
        <f>IF(AE30&gt;0,'3 pr-2'!O31,0)</f>
        <v>88979</v>
      </c>
      <c r="O30" s="1081">
        <v>14198</v>
      </c>
      <c r="P30" s="1082">
        <f>SUM('ketv. 6 '!P30)</f>
        <v>88979</v>
      </c>
      <c r="Q30" s="1080">
        <f ca="1">IF(AE30&gt;0,'3 pr-2'!R31,0)</f>
        <v>0</v>
      </c>
      <c r="R30" s="1081">
        <v>8519</v>
      </c>
      <c r="S30" s="1082">
        <f>SUM('ketv. 6 '!T30)</f>
        <v>0</v>
      </c>
      <c r="T30" s="1080">
        <f>IF(AE30&gt;0,'3 pr-2'!U31,0)</f>
        <v>0</v>
      </c>
      <c r="U30" s="1081">
        <v>0</v>
      </c>
      <c r="V30" s="1082">
        <f>SUM('ketv. 6 '!X30)</f>
        <v>0</v>
      </c>
      <c r="W30" s="1080">
        <f>IF(AE30&gt;0,'3 pr-2'!X31,0)</f>
        <v>0</v>
      </c>
      <c r="X30" s="1081">
        <v>0</v>
      </c>
      <c r="Y30" s="1082">
        <f>SUM('ketv. 6 '!AB30)</f>
        <v>0</v>
      </c>
      <c r="Z30" s="1080">
        <f>IF(AE30&gt;0,'3 pr-2'!AA31,0)</f>
        <v>56793</v>
      </c>
      <c r="AA30" s="1081">
        <v>48274</v>
      </c>
      <c r="AB30" s="1082">
        <f>SUM('ketv. 6 '!AF30)</f>
        <v>56793</v>
      </c>
      <c r="AC30" s="1080">
        <f>IF($AE$9&gt;0,'3 pr-2'!AB31,0)</f>
        <v>0</v>
      </c>
      <c r="AD30" s="1104">
        <f>SUM('3 pr-2'!AG31)</f>
        <v>42855</v>
      </c>
      <c r="AE30" s="1104">
        <v>42839</v>
      </c>
      <c r="AF30" s="198">
        <f t="shared" si="26"/>
        <v>0</v>
      </c>
      <c r="AG30" s="384" t="str">
        <f t="shared" si="25"/>
        <v>–</v>
      </c>
    </row>
    <row r="31" spans="1:33" ht="59.25" customHeight="1" thickBot="1">
      <c r="A31" s="164" t="str">
        <f>CONCATENATE('3 pr-2'!A32)</f>
        <v>1.1.1.1.23</v>
      </c>
      <c r="B31" s="281" t="s">
        <v>4237</v>
      </c>
      <c r="C31" s="164" t="str">
        <f>CONCATENATE('3 pr-2'!B32)</f>
        <v>R01-ZM72-120000-1123</v>
      </c>
      <c r="D31" s="164" t="str">
        <f>CONCATENATE('3 pr-2'!D32)</f>
        <v>Varėnos r. Vazgirdonių kaimo Klevų gatvės įrengimas</v>
      </c>
      <c r="E31" s="164" t="str">
        <f>CONCATENATE('3 pr-2'!E32)</f>
        <v xml:space="preserve">Varėnos rajono savivaldybės administracija </v>
      </c>
      <c r="F31" s="164" t="str">
        <f>CONCATENATE('3 pr-2'!F32)</f>
        <v>Lietuvos Respublikos žemės ūkio ministerija</v>
      </c>
      <c r="G31" s="164" t="str">
        <f>CONCATENATE('3 pr-2'!G32)</f>
        <v>Varėnos r. sav.</v>
      </c>
      <c r="H31" s="164" t="str">
        <f>CONCATENATE('3 pr-2'!H32)</f>
        <v xml:space="preserve">Pagrindinės paslaugos ir kaimų atnaujinimas kaimo vietovėse </v>
      </c>
      <c r="I31" s="164" t="str">
        <f>CONCATENATE('3 pr-2'!I32)</f>
        <v>R</v>
      </c>
      <c r="J31" s="164" t="str">
        <f>CONCATENATE('3 pr-2'!J32)</f>
        <v>-</v>
      </c>
      <c r="K31" s="1080">
        <f>IF(AE31&gt;0,'3 pr-2'!L32,0)</f>
        <v>160048</v>
      </c>
      <c r="L31" s="1081">
        <v>160049</v>
      </c>
      <c r="M31" s="1082">
        <f t="shared" si="24"/>
        <v>0</v>
      </c>
      <c r="N31" s="1080">
        <f>IF(AE31&gt;0,'3 pr-2'!O32,0)</f>
        <v>37451.800000000003</v>
      </c>
      <c r="O31" s="1081">
        <v>32010</v>
      </c>
      <c r="P31" s="1082">
        <f>SUM('ketv. 6 '!P31)</f>
        <v>0</v>
      </c>
      <c r="Q31" s="1080">
        <f ca="1">IF(AE31&gt;0,'3 pr-2'!R32,0)</f>
        <v>0</v>
      </c>
      <c r="R31" s="1081">
        <v>19206</v>
      </c>
      <c r="S31" s="1082">
        <f>SUM('ketv. 6 '!T31)</f>
        <v>0</v>
      </c>
      <c r="T31" s="1080">
        <f>IF(AE31&gt;0,'3 pr-2'!U32,0)</f>
        <v>0</v>
      </c>
      <c r="U31" s="1081">
        <v>0</v>
      </c>
      <c r="V31" s="1082">
        <f>SUM('ketv. 6 '!X31)</f>
        <v>0</v>
      </c>
      <c r="W31" s="1080">
        <f>IF(AE31&gt;0,'3 pr-2'!X32,0)</f>
        <v>0</v>
      </c>
      <c r="X31" s="1081">
        <v>0</v>
      </c>
      <c r="Y31" s="1082">
        <f>SUM('ketv. 6 '!AB31)</f>
        <v>0</v>
      </c>
      <c r="Z31" s="1080">
        <f>IF(AE31&gt;0,'3 pr-2'!AA32,0)</f>
        <v>122596.20000000001</v>
      </c>
      <c r="AA31" s="1081">
        <v>108833</v>
      </c>
      <c r="AB31" s="1230">
        <f>SUM('ketv. 6 '!AF31)</f>
        <v>0</v>
      </c>
      <c r="AC31" s="1080">
        <f>IF($AE$9&gt;0,'3 pr-2'!AB32,0)</f>
        <v>0</v>
      </c>
      <c r="AD31" s="1104">
        <f>SUM('3 pr-2'!AG32)</f>
        <v>42855</v>
      </c>
      <c r="AE31" s="1104">
        <v>42839</v>
      </c>
      <c r="AF31" s="198">
        <f t="shared" si="26"/>
        <v>0</v>
      </c>
      <c r="AG31" s="384" t="str">
        <f t="shared" si="25"/>
        <v>–</v>
      </c>
    </row>
    <row r="32" spans="1:33" ht="28.5" customHeight="1" thickBot="1">
      <c r="A32" s="296" t="str">
        <f>CONCATENATE('3 pr-2'!A33)</f>
        <v>1.1.1.2</v>
      </c>
      <c r="B32" s="349"/>
      <c r="C32" s="2088" t="str">
        <f>CONCATENATE('3 pr-2'!B33)</f>
        <v>Priemonė:
Kaimo gyvenamųjų vietovių (turinčių 1-6 tūkst. gyventojų) atnaujinimas ir plėtra</v>
      </c>
      <c r="D32" s="2089"/>
      <c r="E32" s="2089"/>
      <c r="F32" s="2089"/>
      <c r="G32" s="2089"/>
      <c r="H32" s="2089"/>
      <c r="I32" s="2089"/>
      <c r="J32" s="2090"/>
      <c r="K32" s="1077">
        <f>SUM(K33:K37)</f>
        <v>3717325.8</v>
      </c>
      <c r="L32" s="1231">
        <f t="shared" ref="L32:AC32" si="27">SUM(L33:L37)</f>
        <v>2514462.38</v>
      </c>
      <c r="M32" s="1079">
        <f t="shared" si="27"/>
        <v>2673858.7999999998</v>
      </c>
      <c r="N32" s="1077">
        <f t="shared" si="27"/>
        <v>652364.41999999993</v>
      </c>
      <c r="O32" s="1231">
        <f t="shared" si="27"/>
        <v>414707</v>
      </c>
      <c r="P32" s="1079">
        <f t="shared" si="27"/>
        <v>574103.41999999993</v>
      </c>
      <c r="Q32" s="1077">
        <f t="shared" si="27"/>
        <v>248510.74</v>
      </c>
      <c r="R32" s="1231">
        <f t="shared" si="27"/>
        <v>170250.74</v>
      </c>
      <c r="S32" s="1079">
        <f t="shared" si="27"/>
        <v>170250.74</v>
      </c>
      <c r="T32" s="1077">
        <f t="shared" si="27"/>
        <v>0</v>
      </c>
      <c r="U32" s="1231">
        <f t="shared" si="27"/>
        <v>0</v>
      </c>
      <c r="V32" s="1079">
        <f t="shared" si="27"/>
        <v>0</v>
      </c>
      <c r="W32" s="1077">
        <f t="shared" si="27"/>
        <v>0</v>
      </c>
      <c r="X32" s="1078">
        <f t="shared" si="27"/>
        <v>0</v>
      </c>
      <c r="Y32" s="1079">
        <f t="shared" si="27"/>
        <v>0</v>
      </c>
      <c r="Z32" s="1077">
        <f t="shared" si="27"/>
        <v>2816450.64</v>
      </c>
      <c r="AA32" s="1078">
        <f t="shared" si="27"/>
        <v>1929504.6400000001</v>
      </c>
      <c r="AB32" s="1079">
        <f t="shared" si="27"/>
        <v>1929504.6400000001</v>
      </c>
      <c r="AC32" s="1077">
        <f t="shared" si="27"/>
        <v>0</v>
      </c>
      <c r="AD32" s="1108" t="s">
        <v>679</v>
      </c>
      <c r="AE32" s="1109" t="s">
        <v>679</v>
      </c>
      <c r="AF32" s="357" t="s">
        <v>679</v>
      </c>
      <c r="AG32" s="358"/>
    </row>
    <row r="33" spans="1:33" ht="48.75">
      <c r="A33" s="164" t="str">
        <f>CONCATENATE('3 pr-2'!A34)</f>
        <v>1.1.1.2.1</v>
      </c>
      <c r="B33" s="281" t="s">
        <v>1598</v>
      </c>
      <c r="C33" s="164" t="str">
        <f>CONCATENATE('3 pr-2'!B34)</f>
        <v>R01-9908-293400-1121</v>
      </c>
      <c r="D33" s="164" t="str">
        <f>CONCATENATE('3 pr-2'!D34)</f>
        <v>Matuizų kaimo viešosios infrastruktūros atnaujinimas ir pritaikymas bendruomenės poreikiams</v>
      </c>
      <c r="E33" s="164" t="str">
        <f>CONCATENATE('3 pr-2'!E34)</f>
        <v>Varėnos rajono savivaldybės administracija</v>
      </c>
      <c r="F33" s="164" t="str">
        <f>CONCATENATE('3 pr-2'!F34)</f>
        <v>Lietuvos Respublikos vidaus reikalų ministerija</v>
      </c>
      <c r="G33" s="164" t="str">
        <f>CONCATENATE('3 pr-2'!G34)</f>
        <v>Varėnos r. sav.</v>
      </c>
      <c r="H33" s="164" t="str">
        <f>CONCATENATE('3 pr-2'!H34)</f>
        <v>8.2.1-CPVA-R-908</v>
      </c>
      <c r="I33" s="164" t="str">
        <f>CONCATENATE('3 pr-2'!I34)</f>
        <v>R</v>
      </c>
      <c r="J33" s="164" t="str">
        <f>CONCATENATE('3 pr-2'!J34)</f>
        <v>-</v>
      </c>
      <c r="K33" s="1080">
        <f>IF(AE33&gt;0,'3 pr-2'!L34,0)</f>
        <v>815537.61</v>
      </c>
      <c r="L33" s="1081">
        <f>SUM(O33+R33+U33+X33+AA33)</f>
        <v>646197</v>
      </c>
      <c r="M33" s="1082">
        <f t="shared" si="24"/>
        <v>815537.61</v>
      </c>
      <c r="N33" s="1080">
        <f>IF(AE33&gt;0,'3 pr-2'!O34,0)</f>
        <v>285195.61</v>
      </c>
      <c r="O33" s="1081">
        <v>115855</v>
      </c>
      <c r="P33" s="1082">
        <f>SUM('ketv. 6 '!P33)</f>
        <v>285195.61</v>
      </c>
      <c r="Q33" s="1080">
        <f>IF(AE33&gt;0,'3 pr-2'!R34,0)</f>
        <v>43001</v>
      </c>
      <c r="R33" s="1081">
        <v>43001</v>
      </c>
      <c r="S33" s="1082">
        <f>SUM('ketv. 6 '!T33)</f>
        <v>43001</v>
      </c>
      <c r="T33" s="1080">
        <f>IF(AE33&gt;0,'3 pr-2'!U34,0)</f>
        <v>0</v>
      </c>
      <c r="U33" s="1081">
        <v>0</v>
      </c>
      <c r="V33" s="1082">
        <f>SUM('ketv. 6 '!X33)</f>
        <v>0</v>
      </c>
      <c r="W33" s="1080">
        <f>IF(AE33&gt;0,'3 pr-2'!X34,0)</f>
        <v>0</v>
      </c>
      <c r="X33" s="1081">
        <v>0</v>
      </c>
      <c r="Y33" s="1082">
        <f>SUM('ketv. 6 '!AB33)</f>
        <v>0</v>
      </c>
      <c r="Z33" s="1080">
        <f>IF(AE33&gt;0,'3 pr-2'!AA34,0)</f>
        <v>487341</v>
      </c>
      <c r="AA33" s="1081">
        <v>487341</v>
      </c>
      <c r="AB33" s="1191">
        <f>SUM('ketv. 6 '!AF33)</f>
        <v>487341</v>
      </c>
      <c r="AC33" s="1080">
        <f>IF($AE$9&gt;0,'3 pr-2'!AB34,0)</f>
        <v>0</v>
      </c>
      <c r="AD33" s="1104">
        <f>SUM('3 pr-2'!AG34)</f>
        <v>43124</v>
      </c>
      <c r="AE33" s="1110">
        <v>43124</v>
      </c>
      <c r="AF33" s="198"/>
      <c r="AG33" s="384" t="str">
        <f t="shared" si="25"/>
        <v>–</v>
      </c>
    </row>
    <row r="34" spans="1:33" ht="48.75">
      <c r="A34" s="164" t="str">
        <f>CONCATENATE('3 pr-2'!A35)</f>
        <v>1.1.1.2.2</v>
      </c>
      <c r="B34" s="281" t="s">
        <v>1207</v>
      </c>
      <c r="C34" s="164" t="str">
        <f>CONCATENATE('3 pr-2'!B35)</f>
        <v>R01-9908-290000-1122</v>
      </c>
      <c r="D34" s="164" t="str">
        <f>CONCATENATE('3 pr-2'!D35)</f>
        <v>Senosios Varėnos kaimo viešosios infrastruktūros atnaujinimas ir pritaikymas bendruomenės poreikiams</v>
      </c>
      <c r="E34" s="164" t="str">
        <f>CONCATENATE('3 pr-2'!E35)</f>
        <v>Varėnos rajono savivaldybės administracija</v>
      </c>
      <c r="F34" s="164" t="str">
        <f>CONCATENATE('3 pr-2'!F35)</f>
        <v>Lietuvos Respublikos vidaus reikalų ministerija</v>
      </c>
      <c r="G34" s="164" t="str">
        <f>CONCATENATE('3 pr-2'!G35)</f>
        <v>Varėnos r. sav.</v>
      </c>
      <c r="H34" s="164" t="str">
        <f>CONCATENATE('3 pr-2'!H35)</f>
        <v>8.2.1-CPVA-R-908</v>
      </c>
      <c r="I34" s="164" t="str">
        <f>CONCATENATE('3 pr-2'!I35)</f>
        <v>R</v>
      </c>
      <c r="J34" s="164" t="str">
        <f>CONCATENATE('3 pr-2'!J35)</f>
        <v>-</v>
      </c>
      <c r="K34" s="1080">
        <f>IF(AE34&gt;0,'3 pr-2'!L35,0)</f>
        <v>605024.19999999995</v>
      </c>
      <c r="L34" s="1081">
        <f>SUM(O34+R34+U34+X34+AA34)</f>
        <v>605024.19999999995</v>
      </c>
      <c r="M34" s="1082">
        <f t="shared" si="24"/>
        <v>605024.19999999995</v>
      </c>
      <c r="N34" s="1080">
        <f>IF(AE34&gt;0,'3 pr-2'!O35,0)</f>
        <v>45376.82</v>
      </c>
      <c r="O34" s="1081">
        <v>45376.82</v>
      </c>
      <c r="P34" s="1082">
        <f>SUM('ketv. 6 '!P34)</f>
        <v>45376.82</v>
      </c>
      <c r="Q34" s="1080">
        <f>IF(AE34&gt;0,'3 pr-2'!R35,0)</f>
        <v>45376.81</v>
      </c>
      <c r="R34" s="1081">
        <v>45376.81</v>
      </c>
      <c r="S34" s="1082">
        <f>SUM('ketv. 6 '!T34)</f>
        <v>45376.81</v>
      </c>
      <c r="T34" s="1080">
        <f>IF(AE34&gt;0,'3 pr-2'!U35,0)</f>
        <v>0</v>
      </c>
      <c r="U34" s="1081">
        <v>0</v>
      </c>
      <c r="V34" s="1082">
        <f>SUM('ketv. 6 '!X34)</f>
        <v>0</v>
      </c>
      <c r="W34" s="1080">
        <f>IF(AE34&gt;0,'3 pr-2'!X35,0)</f>
        <v>0</v>
      </c>
      <c r="X34" s="1081">
        <v>0</v>
      </c>
      <c r="Y34" s="1082">
        <f>SUM('ketv. 6 '!AB34)</f>
        <v>0</v>
      </c>
      <c r="Z34" s="1080">
        <f>IF(AE34&gt;0,'3 pr-2'!AA35,0)</f>
        <v>514270.57</v>
      </c>
      <c r="AA34" s="1081">
        <v>514270.57</v>
      </c>
      <c r="AB34" s="1082">
        <f>SUM('ketv. 6 '!AF34)</f>
        <v>514270.57</v>
      </c>
      <c r="AC34" s="1080">
        <f>IF($AE$9&gt;0,'3 pr-2'!AB35,0)</f>
        <v>0</v>
      </c>
      <c r="AD34" s="1104">
        <f>SUM('3 pr-2'!AG35)</f>
        <v>42978</v>
      </c>
      <c r="AE34" s="1110">
        <v>42978</v>
      </c>
      <c r="AF34" s="198"/>
      <c r="AG34" s="384" t="str">
        <f t="shared" si="25"/>
        <v>–</v>
      </c>
    </row>
    <row r="35" spans="1:33" ht="49.5" customHeight="1">
      <c r="A35" s="164" t="str">
        <f>CONCATENATE('3 pr-2'!A36)</f>
        <v>1.1.1.2.3</v>
      </c>
      <c r="B35" s="281" t="s">
        <v>4469</v>
      </c>
      <c r="C35" s="164" t="str">
        <f>CONCATENATE('3 pr-2'!B36)</f>
        <v>R01-9908-290000-1123</v>
      </c>
      <c r="D35" s="164" t="str">
        <f>CONCATENATE('3 pr-2'!D36)</f>
        <v>Kompleksinė Miklusėnų gyvenvietės plėtra</v>
      </c>
      <c r="E35" s="164" t="str">
        <f>CONCATENATE('3 pr-2'!E36)</f>
        <v>Alytaus rajono savivaldybės administracija</v>
      </c>
      <c r="F35" s="164" t="str">
        <f>CONCATENATE('3 pr-2'!F36)</f>
        <v>Lietuvos Respublikos vidaus reikalų ministerija</v>
      </c>
      <c r="G35" s="164" t="str">
        <f>CONCATENATE('3 pr-2'!G36)</f>
        <v>Alytaus r. sav.</v>
      </c>
      <c r="H35" s="164" t="str">
        <f>CONCATENATE('3 pr-2'!H36)</f>
        <v>8.2.1-CPVA-R-908</v>
      </c>
      <c r="I35" s="164" t="str">
        <f>CONCATENATE('3 pr-2'!I36)</f>
        <v>R</v>
      </c>
      <c r="J35" s="164" t="str">
        <f>CONCATENATE('3 pr-2'!J36)</f>
        <v>-</v>
      </c>
      <c r="K35" s="1080">
        <f>IF(AE35&gt;0,'3 pr-2'!L36,0)</f>
        <v>1043467</v>
      </c>
      <c r="L35" s="1081"/>
      <c r="M35" s="1082">
        <f t="shared" si="24"/>
        <v>0</v>
      </c>
      <c r="N35" s="1080">
        <f>IF(AE35&gt;0,'3 pr-2'!O36,0)</f>
        <v>78261</v>
      </c>
      <c r="O35" s="1081"/>
      <c r="P35" s="1082">
        <f>SUM('ketv. 6 '!P35)</f>
        <v>0</v>
      </c>
      <c r="Q35" s="1080">
        <f>IF(AE35&gt;0,'3 pr-2'!R36,0)</f>
        <v>78260</v>
      </c>
      <c r="R35" s="1081"/>
      <c r="S35" s="1082">
        <f>SUM('ketv. 6 '!T35)</f>
        <v>0</v>
      </c>
      <c r="T35" s="1080">
        <f>IF(AE35&gt;0,'3 pr-2'!U36,0)</f>
        <v>0</v>
      </c>
      <c r="U35" s="1081"/>
      <c r="V35" s="1082">
        <f>SUM('ketv. 6 '!X35)</f>
        <v>0</v>
      </c>
      <c r="W35" s="1080">
        <f>IF(AE35&gt;0,'3 pr-2'!X36,0)</f>
        <v>0</v>
      </c>
      <c r="X35" s="1081"/>
      <c r="Y35" s="1082">
        <f>SUM('ketv. 6 '!AB35)</f>
        <v>0</v>
      </c>
      <c r="Z35" s="1080">
        <f>IF(AE35&gt;0,'3 pr-2'!AA36,0)</f>
        <v>886946</v>
      </c>
      <c r="AA35" s="1081"/>
      <c r="AB35" s="1082">
        <f>SUM('ketv. 6 '!AF35)</f>
        <v>0</v>
      </c>
      <c r="AC35" s="1080">
        <f>IF($AE$9&gt;0,'3 pr-2'!AB36,0)</f>
        <v>0</v>
      </c>
      <c r="AD35" s="1104">
        <f>SUM('3 pr-2'!AG36)</f>
        <v>43465</v>
      </c>
      <c r="AE35" s="1110">
        <v>43453</v>
      </c>
      <c r="AF35" s="198"/>
      <c r="AG35" s="384" t="str">
        <f t="shared" si="25"/>
        <v>–</v>
      </c>
    </row>
    <row r="36" spans="1:33" ht="48.75">
      <c r="A36" s="164" t="str">
        <f>CONCATENATE('3 pr-2'!A37)</f>
        <v>1.1.1.2.4</v>
      </c>
      <c r="B36" s="281" t="s">
        <v>1599</v>
      </c>
      <c r="C36" s="164" t="str">
        <f>CONCATENATE('3 pr-2'!B37)</f>
        <v>R01-9908-290000-1124</v>
      </c>
      <c r="D36" s="164" t="str">
        <f>CONCATENATE('3 pr-2'!D37)</f>
        <v>Leipalingio viešosios erdvės pritaikymas bendruomenės poreikiams</v>
      </c>
      <c r="E36" s="164" t="str">
        <f>CONCATENATE('3 pr-2'!E37)</f>
        <v xml:space="preserve">Druskininkų savivaldybės administracija  </v>
      </c>
      <c r="F36" s="164" t="str">
        <f>CONCATENATE('3 pr-2'!F37)</f>
        <v>Lietuvos Respublikos vidaus reikalų ministerija</v>
      </c>
      <c r="G36" s="164" t="str">
        <f>CONCATENATE('3 pr-2'!G37)</f>
        <v>Druskininkų sav.</v>
      </c>
      <c r="H36" s="164" t="str">
        <f>CONCATENATE('3 pr-2'!H37)</f>
        <v>8.2.1-CPVA-R-908</v>
      </c>
      <c r="I36" s="164" t="str">
        <f>CONCATENATE('3 pr-2'!I37)</f>
        <v>R</v>
      </c>
      <c r="J36" s="164" t="str">
        <f>CONCATENATE('3 pr-2'!J37)</f>
        <v>-</v>
      </c>
      <c r="K36" s="1080">
        <f>IF(AE36&gt;0,'3 pr-2'!L37,0)</f>
        <v>579418.99</v>
      </c>
      <c r="L36" s="1081">
        <f>SUM(O36+R36+U36+X36+AA36)</f>
        <v>589363.17999999993</v>
      </c>
      <c r="M36" s="1082">
        <f t="shared" si="24"/>
        <v>579418.99</v>
      </c>
      <c r="N36" s="1080">
        <f>IF(AE36&gt;0,'3 pr-2'!O37,0)</f>
        <v>192989.99</v>
      </c>
      <c r="O36" s="1081">
        <v>202934.18</v>
      </c>
      <c r="P36" s="1082">
        <f>SUM('ketv. 6 '!P36)</f>
        <v>192989.99</v>
      </c>
      <c r="Q36" s="1080">
        <f>IF(AE36&gt;0,'3 pr-2'!R37,0)</f>
        <v>31332.09</v>
      </c>
      <c r="R36" s="1081">
        <v>31332.09</v>
      </c>
      <c r="S36" s="1082">
        <f>SUM('ketv. 6 '!T36)</f>
        <v>31332.09</v>
      </c>
      <c r="T36" s="1080">
        <f>IF(AE36&gt;0,'3 pr-2'!U37,0)</f>
        <v>0</v>
      </c>
      <c r="U36" s="1081">
        <v>0</v>
      </c>
      <c r="V36" s="1082">
        <f>SUM('ketv. 6 '!X36)</f>
        <v>0</v>
      </c>
      <c r="W36" s="1080">
        <f>IF(AE36&gt;0,'3 pr-2'!X37,0)</f>
        <v>0</v>
      </c>
      <c r="X36" s="1081">
        <v>0</v>
      </c>
      <c r="Y36" s="1082">
        <f>SUM('ketv. 6 '!AB36)</f>
        <v>0</v>
      </c>
      <c r="Z36" s="1080">
        <f>IF(AE36&gt;0,'3 pr-2'!AA37,0)</f>
        <v>355096.91</v>
      </c>
      <c r="AA36" s="1081">
        <v>355096.91</v>
      </c>
      <c r="AB36" s="1082">
        <f>SUM('ketv. 6 '!AF36)</f>
        <v>355096.91</v>
      </c>
      <c r="AC36" s="1080">
        <f>IF($AE$9&gt;0,'3 pr-2'!AB37,0)</f>
        <v>0</v>
      </c>
      <c r="AD36" s="1104">
        <f>SUM('3 pr-2'!AG37)</f>
        <v>43124</v>
      </c>
      <c r="AE36" s="1110">
        <v>43124</v>
      </c>
      <c r="AF36" s="198"/>
      <c r="AG36" s="384" t="str">
        <f t="shared" si="25"/>
        <v>–</v>
      </c>
    </row>
    <row r="37" spans="1:33" ht="49.5" thickBot="1">
      <c r="A37" s="164" t="str">
        <f>CONCATENATE('3 pr-2'!A38)</f>
        <v>1.1.1.2.5</v>
      </c>
      <c r="B37" s="281" t="s">
        <v>1600</v>
      </c>
      <c r="C37" s="164" t="str">
        <f>CONCATENATE('3 pr-2'!B38)</f>
        <v>R01-9908-290000-1125</v>
      </c>
      <c r="D37" s="164" t="str">
        <f>CONCATENATE('3 pr-2'!D38)</f>
        <v>Viečiūnų viešosios erdvės pritaikymas bendruomenės poreikiams</v>
      </c>
      <c r="E37" s="164" t="str">
        <f>CONCATENATE('3 pr-2'!E38)</f>
        <v xml:space="preserve">Druskininkų savivaldybės administracija  </v>
      </c>
      <c r="F37" s="164" t="str">
        <f>CONCATENATE('3 pr-2'!F38)</f>
        <v>Lietuvos Respublikos vidaus reikalų ministerija</v>
      </c>
      <c r="G37" s="164" t="str">
        <f>CONCATENATE('3 pr-2'!G38)</f>
        <v>Druskininkų sav.</v>
      </c>
      <c r="H37" s="164" t="str">
        <f>CONCATENATE('3 pr-2'!H38)</f>
        <v>8.2.1-CPVA-R-908</v>
      </c>
      <c r="I37" s="164" t="str">
        <f>CONCATENATE('3 pr-2'!I38)</f>
        <v>R</v>
      </c>
      <c r="J37" s="164" t="str">
        <f>CONCATENATE('3 pr-2'!J38)</f>
        <v>-</v>
      </c>
      <c r="K37" s="1080">
        <f>IF(AE37&gt;0,'3 pr-2'!L38,0)</f>
        <v>673878</v>
      </c>
      <c r="L37" s="1081">
        <f>SUM(O37+R37+U37+X37+AA37)</f>
        <v>673878</v>
      </c>
      <c r="M37" s="1082">
        <f t="shared" si="24"/>
        <v>673878</v>
      </c>
      <c r="N37" s="1080">
        <f>IF(AE37&gt;0,'3 pr-2'!O38,0)</f>
        <v>50541</v>
      </c>
      <c r="O37" s="1081">
        <v>50541</v>
      </c>
      <c r="P37" s="1082">
        <f>SUM('ketv. 6 '!P37)</f>
        <v>50541</v>
      </c>
      <c r="Q37" s="1080">
        <f>IF(AE37&gt;0,'3 pr-2'!R38,0)</f>
        <v>50540.84</v>
      </c>
      <c r="R37" s="1081">
        <v>50540.84</v>
      </c>
      <c r="S37" s="1082">
        <f>SUM('ketv. 6 '!T37)</f>
        <v>50540.84</v>
      </c>
      <c r="T37" s="1080">
        <f>IF(AE37&gt;0,'3 pr-2'!U38,0)</f>
        <v>0</v>
      </c>
      <c r="U37" s="1081">
        <v>0</v>
      </c>
      <c r="V37" s="1082">
        <f>SUM('ketv. 6 '!X37)</f>
        <v>0</v>
      </c>
      <c r="W37" s="1080">
        <f>IF(AE37&gt;0,'3 pr-2'!X38,0)</f>
        <v>0</v>
      </c>
      <c r="X37" s="1081">
        <v>0</v>
      </c>
      <c r="Y37" s="1082">
        <f>SUM('ketv. 6 '!AB37)</f>
        <v>0</v>
      </c>
      <c r="Z37" s="1080">
        <f>IF(AE37&gt;0,'3 pr-2'!AA38,0)</f>
        <v>572796.16000000003</v>
      </c>
      <c r="AA37" s="1081">
        <v>572796.16000000003</v>
      </c>
      <c r="AB37" s="1082">
        <f>SUM('ketv. 6 '!AF37)</f>
        <v>572796.16000000003</v>
      </c>
      <c r="AC37" s="1080">
        <f>IF($AE$9&gt;0,'3 pr-2'!AB38,0)</f>
        <v>0</v>
      </c>
      <c r="AD37" s="1104">
        <f>SUM('3 pr-2'!AG38)</f>
        <v>43124</v>
      </c>
      <c r="AE37" s="1110">
        <v>43124</v>
      </c>
      <c r="AF37" s="198"/>
      <c r="AG37" s="384" t="str">
        <f t="shared" si="25"/>
        <v>–</v>
      </c>
    </row>
    <row r="38" spans="1:33" ht="30" customHeight="1" thickBot="1">
      <c r="A38" s="296" t="str">
        <f>CONCATENATE('3 pr-2'!A39)</f>
        <v>1.1.1.3</v>
      </c>
      <c r="B38" s="349"/>
      <c r="C38" s="2088" t="str">
        <f>CONCATENATE('3 pr-2'!B39)</f>
        <v>Priemonė:
Varėnos miesto kompleksinė plėtra</v>
      </c>
      <c r="D38" s="2089"/>
      <c r="E38" s="2089"/>
      <c r="F38" s="2089"/>
      <c r="G38" s="2089"/>
      <c r="H38" s="2089"/>
      <c r="I38" s="2089"/>
      <c r="J38" s="2090"/>
      <c r="K38" s="1077">
        <f>SUM(K39:K44)</f>
        <v>4359732.13</v>
      </c>
      <c r="L38" s="1231">
        <f>SUM(L39:L44)</f>
        <v>4196690.13</v>
      </c>
      <c r="M38" s="1232">
        <f>SUM(M39:M44)</f>
        <v>4374552.7700000005</v>
      </c>
      <c r="N38" s="1077">
        <f t="shared" ref="N38:Z38" si="28">SUM(N39:N44)</f>
        <v>336200.36</v>
      </c>
      <c r="O38" s="1231">
        <f>SUM(O39:O44)</f>
        <v>276828.48</v>
      </c>
      <c r="P38" s="1232">
        <f>SUM(P39:P44)</f>
        <v>632549.98</v>
      </c>
      <c r="Q38" s="1077">
        <f t="shared" si="28"/>
        <v>326232.31000000006</v>
      </c>
      <c r="R38" s="1231">
        <f>SUM(R39:R44)</f>
        <v>352675.06000000006</v>
      </c>
      <c r="S38" s="1232">
        <f>SUM(S39:S44)</f>
        <v>329682.87</v>
      </c>
      <c r="T38" s="1077">
        <f t="shared" si="28"/>
        <v>0</v>
      </c>
      <c r="U38" s="1231">
        <f>SUM(U39:U44)</f>
        <v>0</v>
      </c>
      <c r="V38" s="1232">
        <f>SUM(V39:V44)</f>
        <v>0</v>
      </c>
      <c r="W38" s="1077">
        <f t="shared" si="28"/>
        <v>0</v>
      </c>
      <c r="X38" s="1078">
        <f>SUM(X39:X44)</f>
        <v>0</v>
      </c>
      <c r="Y38" s="1079">
        <f>SUM(Y39:Y44)</f>
        <v>0</v>
      </c>
      <c r="Z38" s="1077">
        <f t="shared" si="28"/>
        <v>3697299.46</v>
      </c>
      <c r="AA38" s="1078">
        <f>SUM(AA39:AA44)</f>
        <v>3567186.5899999994</v>
      </c>
      <c r="AB38" s="1232">
        <f>SUM(AB39:AB44)</f>
        <v>3412319.92</v>
      </c>
      <c r="AC38" s="1077">
        <f t="shared" ref="AC38" si="29">SUM(AC39:AC44)</f>
        <v>0</v>
      </c>
      <c r="AD38" s="1108" t="s">
        <v>679</v>
      </c>
      <c r="AE38" s="1109" t="s">
        <v>679</v>
      </c>
      <c r="AF38" s="357" t="s">
        <v>679</v>
      </c>
      <c r="AG38" s="358"/>
    </row>
    <row r="39" spans="1:33" ht="48.75">
      <c r="A39" s="164" t="str">
        <f>CONCATENATE('3 pr-2'!A40)</f>
        <v>1.1.1.3.1</v>
      </c>
      <c r="B39" s="281" t="s">
        <v>707</v>
      </c>
      <c r="C39" s="164" t="str">
        <f>CONCATENATE('3 pr-2'!B40)</f>
        <v>R01-9905-290000-1131</v>
      </c>
      <c r="D39" s="164" t="str">
        <f>CONCATENATE('3 pr-2'!D40)</f>
        <v>Varėnos miesto centrinės dalies modernizavimas ir pritaikymas visuomenės poreikiams (I etapas)</v>
      </c>
      <c r="E39" s="164" t="str">
        <f>CONCATENATE('3 pr-2'!E40)</f>
        <v>Varėnos rajono savivaldybės administracija</v>
      </c>
      <c r="F39" s="164" t="str">
        <f>CONCATENATE('3 pr-2'!F40)</f>
        <v>Lietuvos Respublikos vidaus reikalų ministerija</v>
      </c>
      <c r="G39" s="164" t="str">
        <f>CONCATENATE('3 pr-2'!G40)</f>
        <v>Varėnos r. sav.</v>
      </c>
      <c r="H39" s="164" t="str">
        <f>CONCATENATE('3 pr-2'!H40)</f>
        <v xml:space="preserve">07.1.1-CPVA-R-905 </v>
      </c>
      <c r="I39" s="164" t="str">
        <f>CONCATENATE('3 pr-2'!I40)</f>
        <v>R</v>
      </c>
      <c r="J39" s="164" t="str">
        <f>CONCATENATE('3 pr-2'!J40)</f>
        <v>ITI</v>
      </c>
      <c r="K39" s="1080">
        <f>IF(AE39&gt;0,'3 pr-2'!L40,0)</f>
        <v>1516825.67</v>
      </c>
      <c r="L39" s="1081">
        <f t="shared" ref="L39:L44" si="30">SUM(O39+R39+U39+X39+AA39)</f>
        <v>1516932.01</v>
      </c>
      <c r="M39" s="1082">
        <f t="shared" si="24"/>
        <v>1516825.6700000004</v>
      </c>
      <c r="N39" s="1080">
        <f>IF(AE39&gt;0,'3 pr-2'!O40,0)</f>
        <v>113761.94</v>
      </c>
      <c r="O39" s="1081">
        <v>75846.61</v>
      </c>
      <c r="P39" s="1082">
        <f>SUM('ketv. 6 '!P39)</f>
        <v>113761.94</v>
      </c>
      <c r="Q39" s="1080">
        <f>IF(AE39&gt;0,'3 pr-2'!R40,0)</f>
        <v>113761.92</v>
      </c>
      <c r="R39" s="1081">
        <v>151693.20000000001</v>
      </c>
      <c r="S39" s="1082">
        <f>SUM('ketv. 6 '!T39)</f>
        <v>140039.17000000001</v>
      </c>
      <c r="T39" s="1080">
        <f>IF(AE39&gt;0,'3 pr-2'!U40,0)</f>
        <v>0</v>
      </c>
      <c r="U39" s="1081">
        <v>0</v>
      </c>
      <c r="V39" s="1082">
        <f>SUM('ketv. 6 '!X39)</f>
        <v>0</v>
      </c>
      <c r="W39" s="1080">
        <f>IF(AE39&gt;0,'3 pr-2'!X40,0)</f>
        <v>0</v>
      </c>
      <c r="X39" s="1081">
        <v>0</v>
      </c>
      <c r="Y39" s="1082">
        <f>SUM('ketv. 6 '!AB39)</f>
        <v>0</v>
      </c>
      <c r="Z39" s="1080">
        <f>IF(AE39&gt;0,'3 pr-2'!AA40,0)</f>
        <v>1289301.81</v>
      </c>
      <c r="AA39" s="1081">
        <v>1289392.2</v>
      </c>
      <c r="AB39" s="1082">
        <f>SUM('ketv. 6 '!AF39)</f>
        <v>1263024.5600000003</v>
      </c>
      <c r="AC39" s="1080">
        <f>IF($AE$9&gt;0,'3 pr-2'!AB40,0)</f>
        <v>0</v>
      </c>
      <c r="AD39" s="1104">
        <f>SUM('3 pr-2'!AG40)</f>
        <v>42528</v>
      </c>
      <c r="AE39" s="1104">
        <v>42528</v>
      </c>
      <c r="AF39" s="198">
        <f t="shared" ref="AF39" si="31">IF((YEAR(AD39)-YEAR(AE39))=0,0,YEAR(AD39)-YEAR(AE39))</f>
        <v>0</v>
      </c>
      <c r="AG39" s="384" t="str">
        <f t="shared" si="25"/>
        <v>–</v>
      </c>
    </row>
    <row r="40" spans="1:33" ht="48.75">
      <c r="A40" s="164" t="str">
        <f>CONCATENATE('3 pr-2'!A41)</f>
        <v>1.1.1.3.2</v>
      </c>
      <c r="B40" s="281" t="s">
        <v>708</v>
      </c>
      <c r="C40" s="164" t="str">
        <f>CONCATENATE('3 pr-2'!B41)</f>
        <v>R01-9905-282900-1132</v>
      </c>
      <c r="D40" s="164" t="str">
        <f>CONCATENATE('3 pr-2'!D41)</f>
        <v>Varėnos miesto centrinės dalies modernizavimas ir pritaikymas visuomenės poreikiams (II etapas)</v>
      </c>
      <c r="E40" s="164" t="str">
        <f>CONCATENATE('3 pr-2'!E41)</f>
        <v>Varėnos rajono savivaldybės administracija</v>
      </c>
      <c r="F40" s="164" t="str">
        <f>CONCATENATE('3 pr-2'!F41)</f>
        <v>Lietuvos Respublikos vidaus reikalų ministerija</v>
      </c>
      <c r="G40" s="164" t="str">
        <f>CONCATENATE('3 pr-2'!G41)</f>
        <v>Varėnos r. sav.</v>
      </c>
      <c r="H40" s="164" t="str">
        <f>CONCATENATE('3 pr-2'!H41)</f>
        <v xml:space="preserve">07.1.1-CPVA-R-905 </v>
      </c>
      <c r="I40" s="164" t="str">
        <f>CONCATENATE('3 pr-2'!I41)</f>
        <v>R</v>
      </c>
      <c r="J40" s="164" t="str">
        <f>CONCATENATE('3 pr-2'!J41)</f>
        <v>ITI</v>
      </c>
      <c r="K40" s="1080">
        <f>IF(AE40&gt;0,'3 pr-2'!L41,0)</f>
        <v>815103</v>
      </c>
      <c r="L40" s="1081">
        <f t="shared" si="30"/>
        <v>995216.11</v>
      </c>
      <c r="M40" s="1082">
        <f t="shared" si="24"/>
        <v>806317.97</v>
      </c>
      <c r="N40" s="1080">
        <f>IF(AE40&gt;0,'3 pr-2'!O41,0)</f>
        <v>69259</v>
      </c>
      <c r="O40" s="1081">
        <v>74641.210000000006</v>
      </c>
      <c r="P40" s="1082">
        <f>SUM('ketv. 6 '!P40)</f>
        <v>60473.85</v>
      </c>
      <c r="Q40" s="1080">
        <f>IF(AE40&gt;0,'3 pr-2'!R41,0)</f>
        <v>60474</v>
      </c>
      <c r="R40" s="1081">
        <v>74641.210000000006</v>
      </c>
      <c r="S40" s="1082">
        <f>SUM('ketv. 6 '!T40)</f>
        <v>60473.84</v>
      </c>
      <c r="T40" s="1080">
        <f>IF(AE40&gt;0,'3 pr-2'!U41,0)</f>
        <v>0</v>
      </c>
      <c r="U40" s="1081">
        <v>0</v>
      </c>
      <c r="V40" s="1082">
        <f>SUM('ketv. 6 '!X40)</f>
        <v>0</v>
      </c>
      <c r="W40" s="1080">
        <f>IF(AE40&gt;0,'3 pr-2'!X41,0)</f>
        <v>0</v>
      </c>
      <c r="X40" s="1081">
        <v>0</v>
      </c>
      <c r="Y40" s="1082">
        <f>SUM('ketv. 6 '!AB40)</f>
        <v>0</v>
      </c>
      <c r="Z40" s="1080">
        <f>IF(AE40&gt;0,'3 pr-2'!AA41,0)</f>
        <v>685370</v>
      </c>
      <c r="AA40" s="1081">
        <v>845933.69</v>
      </c>
      <c r="AB40" s="1082">
        <f>SUM('ketv. 6 '!AF40)</f>
        <v>685370.28</v>
      </c>
      <c r="AC40" s="1080">
        <f>IF($AE$9&gt;0,'3 pr-2'!AB41,0)</f>
        <v>0</v>
      </c>
      <c r="AD40" s="1104">
        <f>SUM('3 pr-2'!AG41)</f>
        <v>42830</v>
      </c>
      <c r="AE40" s="1104">
        <v>42830</v>
      </c>
      <c r="AF40" s="198">
        <f t="shared" ref="AF40" si="32">IF((YEAR(AD40)-YEAR(AE40))=0,0,YEAR(AD40)-YEAR(AE40))</f>
        <v>0</v>
      </c>
      <c r="AG40" s="384" t="str">
        <f t="shared" si="25"/>
        <v>–</v>
      </c>
    </row>
    <row r="41" spans="1:33" ht="48.75">
      <c r="A41" s="164" t="str">
        <f>CONCATENATE('3 pr-2'!A42)</f>
        <v>1.1.1.3.3</v>
      </c>
      <c r="B41" s="281" t="s">
        <v>1597</v>
      </c>
      <c r="C41" s="164" t="str">
        <f>CONCATENATE('3 pr-2'!B42)</f>
        <v>R01-9905-292800-1133</v>
      </c>
      <c r="D41" s="164" t="str">
        <f>CONCATENATE('3 pr-2'!D42)</f>
        <v>Varėnos miesto Dainų slėnio infrastruktūros atnaujinimas ir pritaikymas visuomenės poreikiams</v>
      </c>
      <c r="E41" s="164" t="str">
        <f>CONCATENATE('3 pr-2'!E42)</f>
        <v>Varėnos rajono savivaldybės administracija</v>
      </c>
      <c r="F41" s="164" t="str">
        <f>CONCATENATE('3 pr-2'!F42)</f>
        <v>Lietuvos Respublikos vidaus reikalų ministerija</v>
      </c>
      <c r="G41" s="164" t="str">
        <f>CONCATENATE('3 pr-2'!G42)</f>
        <v>Varėnos r. sav.</v>
      </c>
      <c r="H41" s="164" t="str">
        <f>CONCATENATE('3 pr-2'!H42)</f>
        <v xml:space="preserve">07.1.1-CPVA-R-905 </v>
      </c>
      <c r="I41" s="164" t="str">
        <f>CONCATENATE('3 pr-2'!I42)</f>
        <v>R</v>
      </c>
      <c r="J41" s="164" t="str">
        <f>CONCATENATE('3 pr-2'!J42)</f>
        <v>ITI</v>
      </c>
      <c r="K41" s="1080">
        <f>IF(AE41&gt;0,'3 pr-2'!L42,0)</f>
        <v>514646.41000000003</v>
      </c>
      <c r="L41" s="1081">
        <f t="shared" si="30"/>
        <v>630000</v>
      </c>
      <c r="M41" s="1082">
        <f t="shared" si="24"/>
        <v>514646.41000000003</v>
      </c>
      <c r="N41" s="1080">
        <f>IF(AE41&gt;0,'3 pr-2'!O42,0)</f>
        <v>38598.49</v>
      </c>
      <c r="O41" s="1081">
        <v>47250</v>
      </c>
      <c r="P41" s="1082">
        <f>SUM('ketv. 6 '!P41)</f>
        <v>38598.49</v>
      </c>
      <c r="Q41" s="1080">
        <f>IF(AE41&gt;0,'3 pr-2'!R42,0)</f>
        <v>38598.480000000003</v>
      </c>
      <c r="R41" s="1081">
        <v>47250</v>
      </c>
      <c r="S41" s="1082">
        <f>SUM('ketv. 6 '!T41)</f>
        <v>38598.480000000003</v>
      </c>
      <c r="T41" s="1080">
        <f>IF(AE41&gt;0,'3 pr-2'!U42,0)</f>
        <v>0</v>
      </c>
      <c r="U41" s="1081">
        <v>0</v>
      </c>
      <c r="V41" s="1082">
        <f>SUM('ketv. 6 '!X41)</f>
        <v>0</v>
      </c>
      <c r="W41" s="1080">
        <f>IF(AE41&gt;0,'3 pr-2'!X42,0)</f>
        <v>0</v>
      </c>
      <c r="X41" s="1081">
        <v>0</v>
      </c>
      <c r="Y41" s="1082">
        <f>SUM('ketv. 6 '!AB41)</f>
        <v>0</v>
      </c>
      <c r="Z41" s="1080">
        <f>IF(AE41&gt;0,'3 pr-2'!AA42,0)</f>
        <v>437449.44</v>
      </c>
      <c r="AA41" s="1081">
        <v>535500</v>
      </c>
      <c r="AB41" s="1082">
        <f>SUM('ketv. 6 '!AF41)</f>
        <v>437449.44</v>
      </c>
      <c r="AC41" s="1080">
        <f>IF($AE$9&gt;0,'3 pr-2'!AB42,0)</f>
        <v>0</v>
      </c>
      <c r="AD41" s="1104">
        <f>SUM('3 pr-2'!AG42)</f>
        <v>43190</v>
      </c>
      <c r="AE41" s="1104">
        <v>43178</v>
      </c>
      <c r="AF41" s="198"/>
      <c r="AG41" s="384" t="str">
        <f t="shared" si="25"/>
        <v>–</v>
      </c>
    </row>
    <row r="42" spans="1:33" ht="48.75">
      <c r="A42" s="164" t="str">
        <f>CONCATENATE('3 pr-2'!A43)</f>
        <v>1.1.1.3.4</v>
      </c>
      <c r="B42" s="281" t="s">
        <v>806</v>
      </c>
      <c r="C42" s="164" t="str">
        <f>CONCATENATE('3 pr-2'!B43)</f>
        <v>R01-9905-280000-1134</v>
      </c>
      <c r="D42" s="164" t="str">
        <f>CONCATENATE('3 pr-2'!D43)</f>
        <v>Karloniškės ežero ir jo prieigų sutvarkymas ir pritaikymas aktyviam poilsiui</v>
      </c>
      <c r="E42" s="164" t="str">
        <f>CONCATENATE('3 pr-2'!E43)</f>
        <v>Varėnos rajono savivaldybės administracija</v>
      </c>
      <c r="F42" s="164" t="str">
        <f>CONCATENATE('3 pr-2'!F43)</f>
        <v>Lietuvos Respublikos vidaus reikalų ministerija</v>
      </c>
      <c r="G42" s="164" t="str">
        <f>CONCATENATE('3 pr-2'!G43)</f>
        <v>Varėnos r. sav.</v>
      </c>
      <c r="H42" s="164" t="str">
        <f>CONCATENATE('3 pr-2'!H43)</f>
        <v xml:space="preserve">07.1.1-CPVA-R-905 </v>
      </c>
      <c r="I42" s="164" t="str">
        <f>CONCATENATE('3 pr-2'!I43)</f>
        <v>R</v>
      </c>
      <c r="J42" s="164" t="str">
        <f>CONCATENATE('3 pr-2'!J43)</f>
        <v>ITI</v>
      </c>
      <c r="K42" s="1080">
        <f>IF(AE42&gt;0,'3 pr-2'!L43,0)</f>
        <v>877516.65</v>
      </c>
      <c r="L42" s="1081">
        <f t="shared" si="30"/>
        <v>604169.01</v>
      </c>
      <c r="M42" s="1082">
        <f t="shared" si="24"/>
        <v>877516.64999999991</v>
      </c>
      <c r="N42" s="1080">
        <f>IF(AE42&gt;0,'3 pr-2'!O43,0)</f>
        <v>65813.75</v>
      </c>
      <c r="O42" s="1081">
        <v>45312.68</v>
      </c>
      <c r="P42" s="1082">
        <f>SUM('ketv. 6 '!P42)</f>
        <v>177064.65</v>
      </c>
      <c r="Q42" s="1080">
        <f>IF(AE42&gt;0,'3 pr-2'!R43,0)</f>
        <v>65813.75</v>
      </c>
      <c r="R42" s="1081">
        <v>45312.68</v>
      </c>
      <c r="S42" s="1082">
        <f>SUM('ketv. 6 '!T42)</f>
        <v>56793.41</v>
      </c>
      <c r="T42" s="1080">
        <f>IF(AE42&gt;0,'3 pr-2'!U43,0)</f>
        <v>0</v>
      </c>
      <c r="U42" s="1081">
        <v>0</v>
      </c>
      <c r="V42" s="1082">
        <f>SUM('ketv. 6 '!X42)</f>
        <v>0</v>
      </c>
      <c r="W42" s="1080">
        <f>IF(AE42&gt;0,'3 pr-2'!X43,0)</f>
        <v>0</v>
      </c>
      <c r="X42" s="1081">
        <v>0</v>
      </c>
      <c r="Y42" s="1082">
        <f>SUM('ketv. 6 '!AB42)</f>
        <v>0</v>
      </c>
      <c r="Z42" s="1080">
        <f>IF(AE42&gt;0,'3 pr-2'!AA43,0)</f>
        <v>745889.15</v>
      </c>
      <c r="AA42" s="1081">
        <v>513543.65</v>
      </c>
      <c r="AB42" s="1082">
        <f>SUM('ketv. 6 '!AF42)</f>
        <v>643658.59</v>
      </c>
      <c r="AC42" s="1080">
        <f>IF($AE$9&gt;0,'3 pr-2'!AB43,0)</f>
        <v>0</v>
      </c>
      <c r="AD42" s="1104">
        <f>SUM('3 pr-2'!AG43)</f>
        <v>42915</v>
      </c>
      <c r="AE42" s="1104">
        <v>42923</v>
      </c>
      <c r="AF42" s="198">
        <f t="shared" ref="AF42" si="33">IF((YEAR(AD42)-YEAR(AE42))=0,0,YEAR(AD42)-YEAR(AE42))</f>
        <v>0</v>
      </c>
      <c r="AG42" s="384">
        <f t="shared" si="25"/>
        <v>-0.26301366980672114</v>
      </c>
    </row>
    <row r="43" spans="1:33" ht="38.25" customHeight="1">
      <c r="A43" s="164" t="str">
        <f>CONCATENATE('3 pr-2'!A44)</f>
        <v>1.1.1.3.5</v>
      </c>
      <c r="B43" s="281" t="s">
        <v>3431</v>
      </c>
      <c r="C43" s="164" t="str">
        <f>CONCATENATE('3 pr-2'!B44)</f>
        <v>R01-9905-362900-1135</v>
      </c>
      <c r="D43" s="164" t="str">
        <f>CONCATENATE('3 pr-2'!D44)</f>
        <v>Nenaudojamų teritorijų Varėnos mieste sutvarkymas ir pritaikymas verslui</v>
      </c>
      <c r="E43" s="164" t="str">
        <f>CONCATENATE('3 pr-2'!E44)</f>
        <v>Varėnos rajono savivaldybės administracija</v>
      </c>
      <c r="F43" s="164" t="str">
        <f>CONCATENATE('3 pr-2'!F44)</f>
        <v>Lietuvos Respublikos vidaus reikalų ministerija</v>
      </c>
      <c r="G43" s="164" t="str">
        <f>CONCATENATE('3 pr-2'!G44)</f>
        <v>Varėnos r. sav.</v>
      </c>
      <c r="H43" s="164" t="str">
        <f>CONCATENATE('3 pr-2'!H44)</f>
        <v xml:space="preserve">07.1.1-CPVA-R-905 </v>
      </c>
      <c r="I43" s="164" t="str">
        <f>CONCATENATE('3 pr-2'!I44)</f>
        <v>R</v>
      </c>
      <c r="J43" s="164" t="str">
        <f>CONCATENATE('3 pr-2'!J44)</f>
        <v>ITI</v>
      </c>
      <c r="K43" s="1080">
        <f>IF(AE43&gt;0,'3 pr-2'!L44,0)</f>
        <v>150000</v>
      </c>
      <c r="L43" s="1081">
        <f t="shared" si="30"/>
        <v>150000</v>
      </c>
      <c r="M43" s="1082">
        <f t="shared" si="24"/>
        <v>173605.66999999998</v>
      </c>
      <c r="N43" s="1080">
        <f>IF(AE43&gt;0,'3 pr-2'!O44,0)</f>
        <v>11250</v>
      </c>
      <c r="O43" s="1081">
        <v>11250</v>
      </c>
      <c r="P43" s="1082">
        <f>SUM('ketv. 6 '!P43)</f>
        <v>34855.67</v>
      </c>
      <c r="Q43" s="1080">
        <f>IF(AE43&gt;0,'3 pr-2'!R44,0)</f>
        <v>11250</v>
      </c>
      <c r="R43" s="1081">
        <v>11250</v>
      </c>
      <c r="S43" s="1082">
        <f>SUM('ketv. 6 '!T43)</f>
        <v>11250</v>
      </c>
      <c r="T43" s="1080">
        <f>IF(AE43&gt;0,'3 pr-2'!U44,0)</f>
        <v>0</v>
      </c>
      <c r="U43" s="1081">
        <v>0</v>
      </c>
      <c r="V43" s="1082">
        <f>SUM('ketv. 6 '!X43)</f>
        <v>0</v>
      </c>
      <c r="W43" s="1080">
        <f>IF(AE43&gt;0,'3 pr-2'!X44,0)</f>
        <v>0</v>
      </c>
      <c r="X43" s="1081">
        <v>0</v>
      </c>
      <c r="Y43" s="1082">
        <f>SUM('ketv. 6 '!AB43)</f>
        <v>0</v>
      </c>
      <c r="Z43" s="1080">
        <f>IF(AE43&gt;0,'3 pr-2'!AA44,0)</f>
        <v>127500</v>
      </c>
      <c r="AA43" s="1081">
        <v>127500</v>
      </c>
      <c r="AB43" s="1082">
        <f>SUM('ketv. 6 '!AF43)</f>
        <v>127500</v>
      </c>
      <c r="AC43" s="1080">
        <f>IF($AE$9&gt;0,'3 pr-2'!AB44,0)</f>
        <v>0</v>
      </c>
      <c r="AD43" s="1104">
        <f>SUM('3 pr-2'!AG44)</f>
        <v>43342</v>
      </c>
      <c r="AE43" s="1104">
        <v>43311</v>
      </c>
      <c r="AF43" s="198"/>
      <c r="AG43" s="384" t="str">
        <f t="shared" si="25"/>
        <v>–</v>
      </c>
    </row>
    <row r="44" spans="1:33" ht="49.5" customHeight="1" thickBot="1">
      <c r="A44" s="164" t="str">
        <f>CONCATENATE('3 pr-2'!A45)</f>
        <v>1.1.1.3.6</v>
      </c>
      <c r="B44" s="281" t="s">
        <v>3443</v>
      </c>
      <c r="C44" s="164" t="str">
        <f>CONCATENATE('3 pr-2'!B45)</f>
        <v>R01-9905-290000-1136</v>
      </c>
      <c r="D44" s="164" t="str">
        <f>CONCATENATE('3 pr-2'!D45)</f>
        <v>Teritorijų prie daugiabučių gyvenamųjų pastatų Varėnos mieste sutvarkymas ir pritaikymas visuomenės poreikiams</v>
      </c>
      <c r="E44" s="164" t="str">
        <f>CONCATENATE('3 pr-2'!E45)</f>
        <v>Varėnos rajono savivaldybės administracija</v>
      </c>
      <c r="F44" s="164" t="str">
        <f>CONCATENATE('3 pr-2'!F45)</f>
        <v>Lietuvos Respublikos vidaus reikalų ministerija</v>
      </c>
      <c r="G44" s="164" t="str">
        <f>CONCATENATE('3 pr-2'!G45)</f>
        <v>Varėnos r. sav.</v>
      </c>
      <c r="H44" s="164" t="str">
        <f>CONCATENATE('3 pr-2'!H45)</f>
        <v xml:space="preserve">07.1.1-CPVA-R-905 </v>
      </c>
      <c r="I44" s="164" t="str">
        <f>CONCATENATE('3 pr-2'!I45)</f>
        <v>R</v>
      </c>
      <c r="J44" s="164" t="str">
        <f>CONCATENATE('3 pr-2'!J45)</f>
        <v>ITI</v>
      </c>
      <c r="K44" s="1080">
        <f>IF(AE44&gt;0,'3 pr-2'!L45,0)</f>
        <v>485640.4</v>
      </c>
      <c r="L44" s="1081">
        <f t="shared" si="30"/>
        <v>300373</v>
      </c>
      <c r="M44" s="1082">
        <f t="shared" si="24"/>
        <v>485640.4</v>
      </c>
      <c r="N44" s="1080">
        <f>IF(AE44&gt;0,'3 pr-2'!O45,0)</f>
        <v>37517.18</v>
      </c>
      <c r="O44" s="1081">
        <v>22527.98</v>
      </c>
      <c r="P44" s="1082">
        <f>SUM('ketv. 6 '!P44)</f>
        <v>207795.38</v>
      </c>
      <c r="Q44" s="1080">
        <f>IF(AE44&gt;0,'3 pr-2'!R45,0)</f>
        <v>36334.160000000003</v>
      </c>
      <c r="R44" s="1081">
        <v>22527.97</v>
      </c>
      <c r="S44" s="1082">
        <f>SUM('ketv. 6 '!T44)</f>
        <v>22527.97</v>
      </c>
      <c r="T44" s="1080">
        <f>IF(AE44&gt;0,'3 pr-2'!U45,0)</f>
        <v>0</v>
      </c>
      <c r="U44" s="1081">
        <v>0</v>
      </c>
      <c r="V44" s="1082">
        <f>SUM('ketv. 6 '!X44)</f>
        <v>0</v>
      </c>
      <c r="W44" s="1080">
        <f>IF(AE44&gt;0,'3 pr-2'!X45,0)</f>
        <v>0</v>
      </c>
      <c r="X44" s="1081">
        <v>0</v>
      </c>
      <c r="Y44" s="1082">
        <f>SUM('ketv. 6 '!AB44)</f>
        <v>0</v>
      </c>
      <c r="Z44" s="1080">
        <f>IF(AE44&gt;0,'3 pr-2'!AA45,0)</f>
        <v>411789.06</v>
      </c>
      <c r="AA44" s="1081">
        <v>255317.05</v>
      </c>
      <c r="AB44" s="1082">
        <f>SUM('ketv. 6 '!AF44)</f>
        <v>255317.05</v>
      </c>
      <c r="AC44" s="1080">
        <f>IF($AE$9&gt;0,'3 pr-2'!AB45,0)</f>
        <v>0</v>
      </c>
      <c r="AD44" s="1104">
        <f>SUM('3 pr-2'!AG45)</f>
        <v>43342</v>
      </c>
      <c r="AE44" s="1104">
        <v>43311</v>
      </c>
      <c r="AF44" s="198"/>
      <c r="AG44" s="384" t="str">
        <f t="shared" si="25"/>
        <v>–</v>
      </c>
    </row>
    <row r="45" spans="1:33" ht="39" customHeight="1" thickBot="1">
      <c r="A45" s="296" t="str">
        <f>CONCATENATE('3 pr-2'!A46)</f>
        <v>1.1.1.4</v>
      </c>
      <c r="B45" s="349"/>
      <c r="C45" s="2088" t="str">
        <f>CONCATENATE('3 pr-2'!B46)</f>
        <v xml:space="preserve">Priemonė:
Alytaus, Druskininkų ir Lazdijų miestų kompleksinė plėtra
</v>
      </c>
      <c r="D45" s="2089"/>
      <c r="E45" s="2089"/>
      <c r="F45" s="2089"/>
      <c r="G45" s="2089"/>
      <c r="H45" s="2089"/>
      <c r="I45" s="2089"/>
      <c r="J45" s="2090"/>
      <c r="K45" s="1077">
        <f>SUM(K46:K48)</f>
        <v>2431517.75</v>
      </c>
      <c r="L45" s="1231">
        <f t="shared" ref="L45:AC45" si="34">SUM(L46:L48)</f>
        <v>813862.85</v>
      </c>
      <c r="M45" s="1079">
        <f t="shared" si="34"/>
        <v>2104351.75</v>
      </c>
      <c r="N45" s="1077">
        <f t="shared" si="34"/>
        <v>615648.60000000009</v>
      </c>
      <c r="O45" s="1231">
        <f t="shared" si="34"/>
        <v>187599.85</v>
      </c>
      <c r="P45" s="1079">
        <f t="shared" si="34"/>
        <v>288482.59999999998</v>
      </c>
      <c r="Q45" s="1077">
        <f t="shared" si="34"/>
        <v>147232.63000000003</v>
      </c>
      <c r="R45" s="1231">
        <f t="shared" si="34"/>
        <v>50778</v>
      </c>
      <c r="S45" s="1079">
        <f t="shared" si="34"/>
        <v>147232.63000000003</v>
      </c>
      <c r="T45" s="1077">
        <f t="shared" si="34"/>
        <v>0</v>
      </c>
      <c r="U45" s="1231">
        <f t="shared" si="34"/>
        <v>0</v>
      </c>
      <c r="V45" s="1079">
        <f t="shared" si="34"/>
        <v>0</v>
      </c>
      <c r="W45" s="1077">
        <f t="shared" si="34"/>
        <v>0</v>
      </c>
      <c r="X45" s="1078">
        <f t="shared" si="34"/>
        <v>0</v>
      </c>
      <c r="Y45" s="1079">
        <f t="shared" si="34"/>
        <v>0</v>
      </c>
      <c r="Z45" s="1077">
        <f t="shared" si="34"/>
        <v>1668636.52</v>
      </c>
      <c r="AA45" s="1078">
        <f t="shared" si="34"/>
        <v>575485</v>
      </c>
      <c r="AB45" s="1079">
        <f t="shared" si="34"/>
        <v>1668636.52</v>
      </c>
      <c r="AC45" s="1077">
        <f t="shared" si="34"/>
        <v>0</v>
      </c>
      <c r="AD45" s="1108" t="s">
        <v>679</v>
      </c>
      <c r="AE45" s="1109" t="s">
        <v>679</v>
      </c>
      <c r="AF45" s="357" t="s">
        <v>679</v>
      </c>
      <c r="AG45" s="358"/>
    </row>
    <row r="46" spans="1:33" ht="48.75">
      <c r="A46" s="164" t="str">
        <f>CONCATENATE('3 pr-2'!A47)</f>
        <v>1.1.1.4.1</v>
      </c>
      <c r="B46" s="281" t="s">
        <v>689</v>
      </c>
      <c r="C46" s="164" t="str">
        <f>CONCATENATE('3 pr-2'!B47)</f>
        <v>R01-9902-310000-1141</v>
      </c>
      <c r="D46" s="164" t="str">
        <f>CONCATENATE('3 pr-2'!D47)</f>
        <v>Buvusios pramoninės teritorijos Pramonės g. 1 Alytuje, pritaikymas verslo vystymui ir plėtrai.</v>
      </c>
      <c r="E46" s="164" t="str">
        <f>CONCATENATE('3 pr-2'!E47)</f>
        <v>Alytaus miesto savivaldybės administracija</v>
      </c>
      <c r="F46" s="164" t="str">
        <f>CONCATENATE('3 pr-2'!F47)</f>
        <v>Lietuvos Respublikos vidaus reikalų ministerija</v>
      </c>
      <c r="G46" s="164" t="str">
        <f>CONCATENATE('3 pr-2'!G47)</f>
        <v>Alytaus m. sav.</v>
      </c>
      <c r="H46" s="164" t="str">
        <f>CONCATENATE('3 pr-2'!H47)</f>
        <v>07.1.1-CPVA-V-902</v>
      </c>
      <c r="I46" s="164" t="str">
        <f>CONCATENATE('3 pr-2'!I47)</f>
        <v>V</v>
      </c>
      <c r="J46" s="164" t="str">
        <f>CONCATENATE('3 pr-2'!J47)</f>
        <v>ITI</v>
      </c>
      <c r="K46" s="1080">
        <f>IF(AE46&gt;0,'3 pr-2'!L47,0)</f>
        <v>1286060.7500000002</v>
      </c>
      <c r="L46" s="1081">
        <f t="shared" ref="L46:L59" si="35">SUM(O46+R46+U46+X46+AA46)</f>
        <v>0</v>
      </c>
      <c r="M46" s="1082">
        <f t="shared" si="24"/>
        <v>1286060.7500000002</v>
      </c>
      <c r="N46" s="1080">
        <f>IF(AE46&gt;0,'3 pr-2'!O47,0)</f>
        <v>96454.570000000022</v>
      </c>
      <c r="O46" s="1081"/>
      <c r="P46" s="1082">
        <f>SUM('ketv. 6 '!P46)</f>
        <v>96454.570000000022</v>
      </c>
      <c r="Q46" s="1080">
        <f>IF(AE46&gt;0,'3 pr-2'!R47,0)</f>
        <v>96454.550000000032</v>
      </c>
      <c r="R46" s="1081"/>
      <c r="S46" s="1082">
        <f>SUM('ketv. 6 '!T46)</f>
        <v>96454.550000000032</v>
      </c>
      <c r="T46" s="1080">
        <f>IF(AE46&gt;0,'3 pr-2'!U47,0)</f>
        <v>0</v>
      </c>
      <c r="U46" s="1081"/>
      <c r="V46" s="1082">
        <f>SUM('ketv. 6 '!X46)</f>
        <v>0</v>
      </c>
      <c r="W46" s="1080">
        <f>IF(AE46&gt;0,'3 pr-2'!X47,0)</f>
        <v>0</v>
      </c>
      <c r="X46" s="1081"/>
      <c r="Y46" s="1082">
        <f>SUM('ketv. 6 '!AB46)</f>
        <v>0</v>
      </c>
      <c r="Z46" s="1080">
        <f>IF(AE46&gt;0,'3 pr-2'!AA47,0)</f>
        <v>1093151.6300000001</v>
      </c>
      <c r="AA46" s="1081"/>
      <c r="AB46" s="1082">
        <f>SUM('ketv. 6 '!AF46)</f>
        <v>1093151.6300000001</v>
      </c>
      <c r="AC46" s="1080">
        <f>IF($AE$9&gt;0,'3 pr-2'!AB47,0)</f>
        <v>0</v>
      </c>
      <c r="AD46" s="1104">
        <f>SUM('3 pr-2'!AG47)</f>
        <v>42338</v>
      </c>
      <c r="AE46" s="1111">
        <v>42323</v>
      </c>
      <c r="AF46" s="198">
        <f t="shared" ref="AF46" si="36">IF((YEAR(AD46)-YEAR(AE46))=0,0,YEAR(AD46)-YEAR(AE46))</f>
        <v>0</v>
      </c>
      <c r="AG46" s="384" t="str">
        <f t="shared" si="25"/>
        <v>–</v>
      </c>
    </row>
    <row r="47" spans="1:33" ht="48.75">
      <c r="A47" s="164" t="str">
        <f>CONCATENATE('3 pr-2'!A48)</f>
        <v>1.1.1.4.2</v>
      </c>
      <c r="B47" s="281" t="s">
        <v>709</v>
      </c>
      <c r="C47" s="164" t="str">
        <f>CONCATENATE('3 pr-2'!B48)</f>
        <v>R01-9903-290000-1142</v>
      </c>
      <c r="D47" s="164" t="str">
        <f>CONCATENATE('3 pr-2'!D48)</f>
        <v>Amatų centro „Menų kalvė“ Druskininkuose įkūrimas</v>
      </c>
      <c r="E47" s="164" t="str">
        <f>CONCATENATE('3 pr-2'!E48)</f>
        <v xml:space="preserve">Druskininkų savivaldybės administracija  </v>
      </c>
      <c r="F47" s="164" t="str">
        <f>CONCATENATE('3 pr-2'!F48)</f>
        <v>Lietuvos Respublikos vidaus reikalų ministerija</v>
      </c>
      <c r="G47" s="164" t="str">
        <f>CONCATENATE('3 pr-2'!G48)</f>
        <v>Druskininkų sav.</v>
      </c>
      <c r="H47" s="164" t="str">
        <f>CONCATENATE('3 pr-2'!H48)</f>
        <v>07.1.1-CPVA-R-903</v>
      </c>
      <c r="I47" s="164" t="str">
        <f>CONCATENATE('3 pr-2'!I48)</f>
        <v>R</v>
      </c>
      <c r="J47" s="164" t="str">
        <f>CONCATENATE('3 pr-2'!J48)</f>
        <v>ITI</v>
      </c>
      <c r="K47" s="1080">
        <f>IF(AE47&gt;0,'3 pr-2'!L48,0)</f>
        <v>801950</v>
      </c>
      <c r="L47" s="1081">
        <f t="shared" si="35"/>
        <v>470355.85</v>
      </c>
      <c r="M47" s="1082">
        <f t="shared" si="24"/>
        <v>474784</v>
      </c>
      <c r="N47" s="1080">
        <f>IF(AE47&gt;0,'3 pr-2'!O48,0)</f>
        <v>493431</v>
      </c>
      <c r="O47" s="1081">
        <v>161836.85</v>
      </c>
      <c r="P47" s="1082">
        <f>SUM('ketv. 6 '!P47)</f>
        <v>166265</v>
      </c>
      <c r="Q47" s="1080">
        <f>IF(AE47&gt;0,'3 pr-2'!R48,0)</f>
        <v>25015.06</v>
      </c>
      <c r="R47" s="1081">
        <v>25015</v>
      </c>
      <c r="S47" s="1082">
        <f>SUM('ketv. 6 '!T47)</f>
        <v>25015.06</v>
      </c>
      <c r="T47" s="1080">
        <f>IF(AE47&gt;0,'3 pr-2'!U48,0)</f>
        <v>0</v>
      </c>
      <c r="U47" s="1081">
        <v>0</v>
      </c>
      <c r="V47" s="1082">
        <f>SUM('ketv. 6 '!X47)</f>
        <v>0</v>
      </c>
      <c r="W47" s="1080">
        <f>IF(AE47&gt;0,'3 pr-2'!X48,0)</f>
        <v>0</v>
      </c>
      <c r="X47" s="1081">
        <v>0</v>
      </c>
      <c r="Y47" s="1082">
        <f>SUM('ketv. 6 '!AB47)</f>
        <v>0</v>
      </c>
      <c r="Z47" s="1080">
        <f>IF(AE47&gt;0,'3 pr-2'!AA48,0)</f>
        <v>283503.94</v>
      </c>
      <c r="AA47" s="1081">
        <v>283504</v>
      </c>
      <c r="AB47" s="1082">
        <f>SUM('ketv. 6 '!AF47)</f>
        <v>283503.94</v>
      </c>
      <c r="AC47" s="1080">
        <f>IF($AE$9&gt;0,'3 pr-2'!AB48,0)</f>
        <v>0</v>
      </c>
      <c r="AD47" s="1104">
        <f>SUM('3 pr-2'!AG48)</f>
        <v>42494</v>
      </c>
      <c r="AE47" s="1111">
        <v>42494</v>
      </c>
      <c r="AF47" s="198">
        <f t="shared" ref="AF47:AF48" si="37">IF((YEAR(AD47)-YEAR(AE47))=0,0,YEAR(AD47)-YEAR(AE47))</f>
        <v>0</v>
      </c>
      <c r="AG47" s="384" t="str">
        <f t="shared" si="25"/>
        <v>–</v>
      </c>
    </row>
    <row r="48" spans="1:33" ht="49.5" thickBot="1">
      <c r="A48" s="164" t="str">
        <f>CONCATENATE('3 pr-2'!A49)</f>
        <v>1.1.1.4.3</v>
      </c>
      <c r="B48" s="281" t="s">
        <v>710</v>
      </c>
      <c r="C48" s="164" t="str">
        <f>CONCATENATE('3 pr-2'!B49)</f>
        <v>R01-9903-290000-1143</v>
      </c>
      <c r="D48" s="164" t="str">
        <f>CONCATENATE('3 pr-2'!D49)</f>
        <v>Lazdijų miesto kompleksinė infrastruktūros plėtra, III etapas</v>
      </c>
      <c r="E48" s="164" t="str">
        <f>CONCATENATE('3 pr-2'!E49)</f>
        <v>Lazdijų rajono savivaldybės administracija</v>
      </c>
      <c r="F48" s="164" t="str">
        <f>CONCATENATE('3 pr-2'!F49)</f>
        <v>Lietuvos Respublikos vidaus reikalų ministerija</v>
      </c>
      <c r="G48" s="164" t="str">
        <f>CONCATENATE('3 pr-2'!G49)</f>
        <v>Lazdijų r. sav.</v>
      </c>
      <c r="H48" s="164" t="str">
        <f>CONCATENATE('3 pr-2'!H49)</f>
        <v>07.1.1-CPVA-R-903</v>
      </c>
      <c r="I48" s="164" t="str">
        <f>CONCATENATE('3 pr-2'!I49)</f>
        <v>R</v>
      </c>
      <c r="J48" s="164" t="str">
        <f>CONCATENATE('3 pr-2'!J49)</f>
        <v>ITI</v>
      </c>
      <c r="K48" s="1080">
        <f>IF(AE48&gt;0,'3 pr-2'!L49,0)</f>
        <v>343507</v>
      </c>
      <c r="L48" s="1081">
        <f t="shared" si="35"/>
        <v>343507</v>
      </c>
      <c r="M48" s="1082">
        <f t="shared" si="24"/>
        <v>343507</v>
      </c>
      <c r="N48" s="1080">
        <f>IF(AE48&gt;0,'3 pr-2'!O49,0)</f>
        <v>25763.03</v>
      </c>
      <c r="O48" s="1081">
        <v>25763</v>
      </c>
      <c r="P48" s="1082">
        <f>SUM('ketv. 6 '!P48)</f>
        <v>25763.03</v>
      </c>
      <c r="Q48" s="1080">
        <f>IF(AE48&gt;0,'3 pr-2'!R49,0)</f>
        <v>25763.02</v>
      </c>
      <c r="R48" s="1081">
        <v>25763</v>
      </c>
      <c r="S48" s="1082">
        <f>SUM('ketv. 6 '!T48)</f>
        <v>25763.02</v>
      </c>
      <c r="T48" s="1080">
        <f>IF(AE48&gt;0,'3 pr-2'!U49,0)</f>
        <v>0</v>
      </c>
      <c r="U48" s="1081">
        <v>0</v>
      </c>
      <c r="V48" s="1082">
        <f>SUM('ketv. 6 '!X48)</f>
        <v>0</v>
      </c>
      <c r="W48" s="1080">
        <f>IF(AE48&gt;0,'3 pr-2'!X49,0)</f>
        <v>0</v>
      </c>
      <c r="X48" s="1081">
        <v>0</v>
      </c>
      <c r="Y48" s="1082">
        <f>SUM('ketv. 6 '!AB48)</f>
        <v>0</v>
      </c>
      <c r="Z48" s="1080">
        <f>IF(AE48&gt;0,'3 pr-2'!AA49,0)</f>
        <v>291980.95</v>
      </c>
      <c r="AA48" s="1081">
        <v>291981</v>
      </c>
      <c r="AB48" s="1082">
        <f>SUM('ketv. 6 '!AF48)</f>
        <v>291980.95</v>
      </c>
      <c r="AC48" s="1080">
        <f>IF($AE$9&gt;0,'3 pr-2'!AB49,0)</f>
        <v>0</v>
      </c>
      <c r="AD48" s="1104">
        <f>SUM('3 pr-2'!AG49)</f>
        <v>42494</v>
      </c>
      <c r="AE48" s="1111">
        <v>42494</v>
      </c>
      <c r="AF48" s="198">
        <f t="shared" si="37"/>
        <v>0</v>
      </c>
      <c r="AG48" s="384" t="str">
        <f t="shared" si="25"/>
        <v>–</v>
      </c>
    </row>
    <row r="49" spans="1:33" ht="36" customHeight="1" thickBot="1">
      <c r="A49" s="296" t="str">
        <f>CONCATENATE('3 pr-2'!A50)</f>
        <v>1.1.1.5</v>
      </c>
      <c r="B49" s="349"/>
      <c r="C49" s="2088" t="str">
        <f>CONCATENATE('3 pr-2'!B50)</f>
        <v xml:space="preserve">Priemonė:
Geriamojo vandens tiekimo ir nuotekų tvarkymo sistemų renovavimas ir plėtra, įmonių valdymo tobulinimas </v>
      </c>
      <c r="D49" s="2089"/>
      <c r="E49" s="2089"/>
      <c r="F49" s="2089"/>
      <c r="G49" s="2089"/>
      <c r="H49" s="2089"/>
      <c r="I49" s="2089"/>
      <c r="J49" s="2090"/>
      <c r="K49" s="1077">
        <f>SUM(K50:K54)</f>
        <v>16349723.129999999</v>
      </c>
      <c r="L49" s="1231">
        <f t="shared" ref="L49:AC49" si="38">SUM(L50:L54)</f>
        <v>18511446.439999998</v>
      </c>
      <c r="M49" s="1079">
        <f t="shared" si="38"/>
        <v>16013194.139999999</v>
      </c>
      <c r="N49" s="1077">
        <f t="shared" si="38"/>
        <v>0</v>
      </c>
      <c r="O49" s="1231">
        <f t="shared" si="38"/>
        <v>402890</v>
      </c>
      <c r="P49" s="1079">
        <f t="shared" si="38"/>
        <v>0</v>
      </c>
      <c r="Q49" s="1077">
        <f t="shared" si="38"/>
        <v>0</v>
      </c>
      <c r="R49" s="1231">
        <f t="shared" si="38"/>
        <v>0</v>
      </c>
      <c r="S49" s="1079">
        <f t="shared" si="38"/>
        <v>0</v>
      </c>
      <c r="T49" s="1077">
        <f t="shared" si="38"/>
        <v>7447758.8300000001</v>
      </c>
      <c r="U49" s="1231">
        <f t="shared" si="38"/>
        <v>9297882.9299999997</v>
      </c>
      <c r="V49" s="1079">
        <f t="shared" si="38"/>
        <v>7214948.9000000004</v>
      </c>
      <c r="W49" s="1077">
        <f t="shared" si="38"/>
        <v>0</v>
      </c>
      <c r="X49" s="1078">
        <f t="shared" si="38"/>
        <v>0</v>
      </c>
      <c r="Y49" s="1079">
        <f t="shared" si="38"/>
        <v>0</v>
      </c>
      <c r="Z49" s="1077">
        <f t="shared" si="38"/>
        <v>8901964.3000000007</v>
      </c>
      <c r="AA49" s="1078">
        <f t="shared" si="38"/>
        <v>8810673.5099999998</v>
      </c>
      <c r="AB49" s="1079"/>
      <c r="AC49" s="1077">
        <f t="shared" si="38"/>
        <v>0</v>
      </c>
      <c r="AD49" s="1108"/>
      <c r="AE49" s="1109"/>
      <c r="AF49" s="357"/>
      <c r="AG49" s="358"/>
    </row>
    <row r="50" spans="1:33" ht="48.75">
      <c r="A50" s="164" t="str">
        <f>CONCATENATE('3 pr-2'!A51)</f>
        <v>1.1.1.5.1</v>
      </c>
      <c r="B50" s="281" t="s">
        <v>699</v>
      </c>
      <c r="C50" s="164" t="str">
        <f>CONCATENATE('3 pr-2'!B51)</f>
        <v>R01-0014-060700-1151</v>
      </c>
      <c r="D50" s="164" t="str">
        <f>CONCATENATE('3 pr-2'!D51)</f>
        <v>Geriamojo vandens tiekimo ir nuotekų tvarkymo sistemų renovavimas ir plėtra Varėnos rajone</v>
      </c>
      <c r="E50" s="164" t="str">
        <f>CONCATENATE('3 pr-2'!E51)</f>
        <v>UAB „Varėnos vandenys“</v>
      </c>
      <c r="F50" s="164" t="str">
        <f>CONCATENATE('3 pr-2'!F51)</f>
        <v>Lietuvos Respublikos aplinkos ministerija</v>
      </c>
      <c r="G50" s="164" t="str">
        <f>CONCATENATE('3 pr-2'!G51)</f>
        <v>Varėnos r. sav.</v>
      </c>
      <c r="H50" s="164" t="str">
        <f>CONCATENATE('3 pr-2'!H51)</f>
        <v>05.3.2-APVA-R-014</v>
      </c>
      <c r="I50" s="164" t="str">
        <f>CONCATENATE('3 pr-2'!I51)</f>
        <v>R</v>
      </c>
      <c r="J50" s="164" t="str">
        <f>CONCATENATE('3 pr-2'!J51)</f>
        <v>ITI</v>
      </c>
      <c r="K50" s="1080">
        <f>IF(AE50&gt;0,'3 pr-2'!L51,0)</f>
        <v>2474472.79</v>
      </c>
      <c r="L50" s="1081">
        <f t="shared" si="35"/>
        <v>2539908.79</v>
      </c>
      <c r="M50" s="1082">
        <f t="shared" si="24"/>
        <v>2474472.79</v>
      </c>
      <c r="N50" s="1080">
        <f>IF(AE50&gt;0,'3 pr-2'!O51,0)</f>
        <v>0</v>
      </c>
      <c r="O50" s="1081">
        <v>0</v>
      </c>
      <c r="P50" s="1082">
        <f>SUM('ketv. 6 '!P50)</f>
        <v>0</v>
      </c>
      <c r="Q50" s="1080">
        <f>IF(AE50&gt;0,'3 pr-2'!R51,0)</f>
        <v>0</v>
      </c>
      <c r="R50" s="1081">
        <v>0</v>
      </c>
      <c r="S50" s="1082">
        <f>SUM('ketv. 6 '!T50)</f>
        <v>0</v>
      </c>
      <c r="T50" s="1080">
        <f>IF(AE50&gt;0,'3 pr-2'!U51,0)</f>
        <v>860244.53</v>
      </c>
      <c r="U50" s="1081">
        <v>925680.53</v>
      </c>
      <c r="V50" s="1082">
        <f>SUM('ketv. 6 '!X50)</f>
        <v>860244.53</v>
      </c>
      <c r="W50" s="1080">
        <f>IF(AE50&gt;0,'3 pr-2'!X51,0)</f>
        <v>0</v>
      </c>
      <c r="X50" s="1081">
        <v>0</v>
      </c>
      <c r="Y50" s="1082">
        <f>SUM('ketv. 6 '!AB50)</f>
        <v>0</v>
      </c>
      <c r="Z50" s="1080">
        <f>IF(AE50&gt;0,'3 pr-2'!AA51,0)</f>
        <v>1614228.26</v>
      </c>
      <c r="AA50" s="1081">
        <v>1614228.26</v>
      </c>
      <c r="AB50" s="1082">
        <f>SUM('ketv. 6 '!AF50)</f>
        <v>1614228.26</v>
      </c>
      <c r="AC50" s="1080">
        <f>IF($AE$9&gt;0,'3 pr-2'!AB51,0)</f>
        <v>0</v>
      </c>
      <c r="AD50" s="1111">
        <f>SUM('3 pr-2'!AG51)</f>
        <v>42551</v>
      </c>
      <c r="AE50" s="1111">
        <v>42551</v>
      </c>
      <c r="AF50" s="198">
        <f t="shared" ref="AF50:AF54" si="39">IF((YEAR(AD50)-YEAR(AE50))=0,0,YEAR(AD50)-YEAR(AE50))</f>
        <v>0</v>
      </c>
      <c r="AG50" s="384" t="str">
        <f t="shared" si="25"/>
        <v>–</v>
      </c>
    </row>
    <row r="51" spans="1:33" ht="48.75">
      <c r="A51" s="164" t="str">
        <f>CONCATENATE('3 pr-2'!A52)</f>
        <v>1.1.1.5.2.</v>
      </c>
      <c r="B51" s="281" t="s">
        <v>700</v>
      </c>
      <c r="C51" s="164" t="str">
        <f>CONCATENATE('3 pr-2'!B52)</f>
        <v>R01-0014-060750-1152</v>
      </c>
      <c r="D51" s="164" t="str">
        <f>CONCATENATE('3 pr-2'!D52)</f>
        <v>Geriamojo vandens ir nuotekų tvarkymo sistemų renovavimas Alytaus mieste</v>
      </c>
      <c r="E51" s="164" t="str">
        <f>CONCATENATE('3 pr-2'!E52)</f>
        <v>UAB “Dzūkijos vandenys“</v>
      </c>
      <c r="F51" s="164" t="str">
        <f>CONCATENATE('3 pr-2'!F52)</f>
        <v>Lietuvos Respublikos aplinkos ministerija</v>
      </c>
      <c r="G51" s="164" t="str">
        <f>CONCATENATE('3 pr-2'!G52)</f>
        <v>Alytaus m. sav.</v>
      </c>
      <c r="H51" s="164" t="str">
        <f>CONCATENATE('3 pr-2'!H52)</f>
        <v>05.3.2-APVA-R-014</v>
      </c>
      <c r="I51" s="164" t="str">
        <f>CONCATENATE('3 pr-2'!I52)</f>
        <v>R</v>
      </c>
      <c r="J51" s="164" t="str">
        <f>CONCATENATE('3 pr-2'!J52)</f>
        <v>ITI</v>
      </c>
      <c r="K51" s="1080">
        <f>IF(AE51&gt;0,'3 pr-2'!L52,0)</f>
        <v>5706088</v>
      </c>
      <c r="L51" s="1081">
        <f t="shared" si="35"/>
        <v>7476987</v>
      </c>
      <c r="M51" s="1082">
        <f t="shared" si="24"/>
        <v>5598211</v>
      </c>
      <c r="N51" s="1080">
        <f>IF(AE51&gt;0,'3 pr-2'!O52,0)</f>
        <v>0</v>
      </c>
      <c r="O51" s="1081">
        <v>0</v>
      </c>
      <c r="P51" s="1082">
        <f>SUM('ketv. 6 '!P51)</f>
        <v>0</v>
      </c>
      <c r="Q51" s="1080">
        <f>IF(AE51&gt;0,'3 pr-2'!R52,0)</f>
        <v>0</v>
      </c>
      <c r="R51" s="1081">
        <v>0</v>
      </c>
      <c r="S51" s="1082">
        <f>SUM('ketv. 6 '!T51)</f>
        <v>0</v>
      </c>
      <c r="T51" s="1080">
        <f>IF(AE51&gt;0,'3 pr-2'!U52,0)</f>
        <v>3009103.69</v>
      </c>
      <c r="U51" s="1081">
        <v>4830990.75</v>
      </c>
      <c r="V51" s="1082">
        <f>SUM('ketv. 6 '!X51)</f>
        <v>2952214.75</v>
      </c>
      <c r="W51" s="1080">
        <f>IF(AE51&gt;0,'3 pr-2'!X52,0)</f>
        <v>0</v>
      </c>
      <c r="X51" s="1081">
        <v>0</v>
      </c>
      <c r="Y51" s="1082">
        <f>SUM('ketv. 6 '!AB51)</f>
        <v>0</v>
      </c>
      <c r="Z51" s="1080">
        <f>IF(AE51&gt;0,'3 pr-2'!AA52,0)</f>
        <v>2696984.31</v>
      </c>
      <c r="AA51" s="1081">
        <v>2645996.25</v>
      </c>
      <c r="AB51" s="1082">
        <f>SUM('ketv. 6 '!AF51)</f>
        <v>2645996.25</v>
      </c>
      <c r="AC51" s="1080">
        <f>IF($AE$9&gt;0,'3 pr-2'!AB52,0)</f>
        <v>0</v>
      </c>
      <c r="AD51" s="1111">
        <f>SUM('3 pr-2'!AG52)</f>
        <v>42551</v>
      </c>
      <c r="AE51" s="1111">
        <v>42551</v>
      </c>
      <c r="AF51" s="198">
        <f t="shared" si="39"/>
        <v>0</v>
      </c>
      <c r="AG51" s="384" t="str">
        <f t="shared" si="25"/>
        <v>–</v>
      </c>
    </row>
    <row r="52" spans="1:33" ht="48.75">
      <c r="A52" s="164" t="str">
        <f>CONCATENATE('3 pr-2'!A53)</f>
        <v>1.1.1.5.3</v>
      </c>
      <c r="B52" s="281" t="s">
        <v>702</v>
      </c>
      <c r="C52" s="164" t="str">
        <f>CONCATENATE('3 pr-2'!B53)</f>
        <v>R01-0014-070650-1153</v>
      </c>
      <c r="D52" s="164" t="str">
        <f>CONCATENATE('3 pr-2'!D53)</f>
        <v>Geriamojo vandens tiekimo ir nuotekų tvarkymo sistemų renovavimas ir plėtra Lazdijų rajono savivaldybėje</v>
      </c>
      <c r="E52" s="164" t="str">
        <f>CONCATENATE('3 pr-2'!E53)</f>
        <v>UAB „Lazdijų vanduo“</v>
      </c>
      <c r="F52" s="164" t="str">
        <f>CONCATENATE('3 pr-2'!F53)</f>
        <v>Lietuvos Respublikos aplinkos ministerija</v>
      </c>
      <c r="G52" s="164" t="str">
        <f>CONCATENATE('3 pr-2'!G53)</f>
        <v>Lazdijų r. sav.</v>
      </c>
      <c r="H52" s="164" t="str">
        <f>CONCATENATE('3 pr-2'!H53)</f>
        <v>05.3.2-APVA-R-014</v>
      </c>
      <c r="I52" s="164" t="str">
        <f>CONCATENATE('3 pr-2'!I53)</f>
        <v>R</v>
      </c>
      <c r="J52" s="164" t="str">
        <f>CONCATENATE('3 pr-2'!J53)</f>
        <v>-</v>
      </c>
      <c r="K52" s="1080">
        <f>IF(AE52&gt;0,'3 pr-2'!L53,0)</f>
        <v>1437425.74</v>
      </c>
      <c r="L52" s="1081">
        <f t="shared" si="35"/>
        <v>1220128</v>
      </c>
      <c r="M52" s="1082">
        <f t="shared" si="24"/>
        <v>1298773.75</v>
      </c>
      <c r="N52" s="1080">
        <f>IF(AE52&gt;0,'3 pr-2'!O53,0)</f>
        <v>0</v>
      </c>
      <c r="O52" s="1081">
        <v>0</v>
      </c>
      <c r="P52" s="1082">
        <f>SUM('ketv. 6 '!P52)</f>
        <v>0</v>
      </c>
      <c r="Q52" s="1080">
        <f>IF(AE52&gt;0,'3 pr-2'!R53,0)</f>
        <v>0</v>
      </c>
      <c r="R52" s="1081">
        <v>0</v>
      </c>
      <c r="S52" s="1082">
        <f>SUM('ketv. 6 '!T52)</f>
        <v>0</v>
      </c>
      <c r="T52" s="1080">
        <f>IF(AE52&gt;0,'3 pr-2'!U53,0)</f>
        <v>641323.74</v>
      </c>
      <c r="U52" s="1081">
        <v>430026</v>
      </c>
      <c r="V52" s="1082">
        <f>SUM('ketv. 6 '!X52)</f>
        <v>502671.75</v>
      </c>
      <c r="W52" s="1080">
        <f>IF(AE52&gt;0,'3 pr-2'!X53,0)</f>
        <v>0</v>
      </c>
      <c r="X52" s="1081">
        <v>0</v>
      </c>
      <c r="Y52" s="1082">
        <f>SUM('ketv. 6 '!AB52)</f>
        <v>0</v>
      </c>
      <c r="Z52" s="1080">
        <f>IF(AE52&gt;0,'3 pr-2'!AA53,0)</f>
        <v>796102</v>
      </c>
      <c r="AA52" s="1081">
        <v>790102</v>
      </c>
      <c r="AB52" s="1082">
        <f>SUM('ketv. 6 '!AF52)</f>
        <v>796102</v>
      </c>
      <c r="AC52" s="1080">
        <f>IF($AE$9&gt;0,'3 pr-2'!AB53,0)</f>
        <v>0</v>
      </c>
      <c r="AD52" s="1111">
        <f>SUM('3 pr-2'!AG53)</f>
        <v>42551</v>
      </c>
      <c r="AE52" s="1111">
        <v>42551</v>
      </c>
      <c r="AF52" s="198">
        <f t="shared" si="39"/>
        <v>0</v>
      </c>
      <c r="AG52" s="384" t="str">
        <f t="shared" si="25"/>
        <v>–</v>
      </c>
    </row>
    <row r="53" spans="1:33" ht="48.75">
      <c r="A53" s="164" t="str">
        <f>CONCATENATE('3 pr-2'!A54)</f>
        <v>1.1.1.5.4.</v>
      </c>
      <c r="B53" s="281" t="s">
        <v>703</v>
      </c>
      <c r="C53" s="164" t="str">
        <f>CONCATENATE('3 pr-2'!B54)</f>
        <v>R01-0014-060700-1154</v>
      </c>
      <c r="D53" s="164" t="str">
        <f>CONCATENATE('3 pr-2'!D54)</f>
        <v>Vandens tiekimo ir nuotekų šalinimo infrastruktūros renovavimas ir plėtra Druskininkų savivaldybėje</v>
      </c>
      <c r="E53" s="164" t="str">
        <f>CONCATENATE('3 pr-2'!E54)</f>
        <v>UAB "Druskininkų vandenys"</v>
      </c>
      <c r="F53" s="164" t="str">
        <f>CONCATENATE('3 pr-2'!F54)</f>
        <v>Lietuvos Respublikos aplinkos ministerija</v>
      </c>
      <c r="G53" s="164" t="str">
        <f>CONCATENATE('3 pr-2'!G54)</f>
        <v>Druskininkų sav.</v>
      </c>
      <c r="H53" s="164" t="str">
        <f>CONCATENATE('3 pr-2'!H54)</f>
        <v>05.3.2-APVA-R-014</v>
      </c>
      <c r="I53" s="164" t="str">
        <f>CONCATENATE('3 pr-2'!I54)</f>
        <v>R</v>
      </c>
      <c r="J53" s="164" t="str">
        <f>CONCATENATE('3 pr-2'!J54)</f>
        <v>-</v>
      </c>
      <c r="K53" s="1080">
        <f>IF(AE53&gt;0,'3 pr-2'!L54,0)</f>
        <v>5160736.5999999996</v>
      </c>
      <c r="L53" s="1081">
        <f t="shared" si="35"/>
        <v>5259972.6500000004</v>
      </c>
      <c r="M53" s="1082">
        <f t="shared" si="24"/>
        <v>5160736.5999999996</v>
      </c>
      <c r="N53" s="1080">
        <f>IF(AE53&gt;0,'3 pr-2'!O54,0)</f>
        <v>0</v>
      </c>
      <c r="O53" s="1081">
        <v>0</v>
      </c>
      <c r="P53" s="1082">
        <f>SUM('ketv. 6 '!P53)</f>
        <v>0</v>
      </c>
      <c r="Q53" s="1080">
        <f>IF(AE53&gt;0,'3 pr-2'!R54,0)</f>
        <v>0</v>
      </c>
      <c r="R53" s="1081">
        <v>0</v>
      </c>
      <c r="S53" s="1082">
        <f>SUM('ketv. 6 '!T53)</f>
        <v>0</v>
      </c>
      <c r="T53" s="1080">
        <f>IF(AE53&gt;0,'3 pr-2'!U54,0)</f>
        <v>2286561.87</v>
      </c>
      <c r="U53" s="1081">
        <v>2367369.65</v>
      </c>
      <c r="V53" s="1082">
        <f>SUM('ketv. 6 '!X53)</f>
        <v>2286561.87</v>
      </c>
      <c r="W53" s="1080">
        <f>IF(AE53&gt;0,'3 pr-2'!X54,0)</f>
        <v>0</v>
      </c>
      <c r="X53" s="1081"/>
      <c r="Y53" s="1082">
        <f>SUM('ketv. 6 '!AB53)</f>
        <v>0</v>
      </c>
      <c r="Z53" s="1080">
        <f>IF(AE53&gt;0,'3 pr-2'!AA54,0)</f>
        <v>2874174.73</v>
      </c>
      <c r="AA53" s="1081">
        <v>2892603</v>
      </c>
      <c r="AB53" s="1082">
        <f>SUM('ketv. 6 '!AF53)</f>
        <v>2874174.73</v>
      </c>
      <c r="AC53" s="1080">
        <f>IF($AE$9&gt;0,'3 pr-2'!AB54,0)</f>
        <v>0</v>
      </c>
      <c r="AD53" s="1111">
        <f>SUM('3 pr-2'!AG54)</f>
        <v>42551</v>
      </c>
      <c r="AE53" s="1111">
        <v>42551</v>
      </c>
      <c r="AF53" s="198">
        <f t="shared" si="39"/>
        <v>0</v>
      </c>
      <c r="AG53" s="384" t="str">
        <f t="shared" si="25"/>
        <v>–</v>
      </c>
    </row>
    <row r="54" spans="1:33" ht="49.5" thickBot="1">
      <c r="A54" s="164" t="str">
        <f>CONCATENATE('3 pr-2'!A55)</f>
        <v>1.1.1.5.5.</v>
      </c>
      <c r="B54" s="281" t="s">
        <v>701</v>
      </c>
      <c r="C54" s="164" t="str">
        <f>CONCATENATE('3 pr-2'!B55)</f>
        <v>R01-0014-060750-1155</v>
      </c>
      <c r="D54" s="164" t="str">
        <f>CONCATENATE('3 pr-2'!D55)</f>
        <v>Vandens tiekimo ir nuotekų tvarkymo infrastruktūros plėtra Alytaus rajone (Krokialaukyje)</v>
      </c>
      <c r="E54" s="164" t="str">
        <f>CONCATENATE('3 pr-2'!E55)</f>
        <v>SĮ „Simno komunalininkas“</v>
      </c>
      <c r="F54" s="164" t="str">
        <f>CONCATENATE('3 pr-2'!F55)</f>
        <v>Lietuvos Respublikos aplinkos ministerija</v>
      </c>
      <c r="G54" s="164" t="str">
        <f>CONCATENATE('3 pr-2'!G55)</f>
        <v>Alytaus r. sav.</v>
      </c>
      <c r="H54" s="164" t="str">
        <f>CONCATENATE('3 pr-2'!H55)</f>
        <v>05.3.2-APVA-R-014</v>
      </c>
      <c r="I54" s="164" t="str">
        <f>CONCATENATE('3 pr-2'!I55)</f>
        <v>R</v>
      </c>
      <c r="J54" s="164" t="str">
        <f>CONCATENATE('3 pr-2'!J55)</f>
        <v>-</v>
      </c>
      <c r="K54" s="1080">
        <f>IF(AE54&gt;0,'3 pr-2'!L55,0)</f>
        <v>1571000</v>
      </c>
      <c r="L54" s="1081">
        <f t="shared" si="35"/>
        <v>2014450</v>
      </c>
      <c r="M54" s="1082">
        <f t="shared" si="24"/>
        <v>1481000</v>
      </c>
      <c r="N54" s="1080">
        <f>IF(AE54&gt;0,'3 pr-2'!O55,0)</f>
        <v>0</v>
      </c>
      <c r="O54" s="1081">
        <v>402890</v>
      </c>
      <c r="P54" s="1082">
        <f>SUM('ketv. 6 '!P54)</f>
        <v>0</v>
      </c>
      <c r="Q54" s="1080">
        <f>IF(AE54&gt;0,'3 pr-2'!R55,0)</f>
        <v>0</v>
      </c>
      <c r="R54" s="1081">
        <v>0</v>
      </c>
      <c r="S54" s="1082">
        <f>SUM('ketv. 6 '!T54)</f>
        <v>0</v>
      </c>
      <c r="T54" s="1080">
        <f>IF(AE54&gt;0,'3 pr-2'!U55,0)</f>
        <v>650525</v>
      </c>
      <c r="U54" s="1081">
        <v>743816</v>
      </c>
      <c r="V54" s="1082">
        <f>SUM('ketv. 6 '!X54)</f>
        <v>613256</v>
      </c>
      <c r="W54" s="1080">
        <f>IF(AE54&gt;0,'3 pr-2'!X55,0)</f>
        <v>0</v>
      </c>
      <c r="X54" s="1081">
        <v>0</v>
      </c>
      <c r="Y54" s="1082">
        <f>SUM('ketv. 6 '!AB54)</f>
        <v>0</v>
      </c>
      <c r="Z54" s="1080">
        <f>IF(AE54&gt;0,'3 pr-2'!AA55,0)</f>
        <v>920475</v>
      </c>
      <c r="AA54" s="1081">
        <v>867744</v>
      </c>
      <c r="AB54" s="1082">
        <f>SUM('ketv. 6 '!AF54)</f>
        <v>867744</v>
      </c>
      <c r="AC54" s="1080">
        <f>IF($AE$9&gt;0,'3 pr-2'!AB55,0)</f>
        <v>0</v>
      </c>
      <c r="AD54" s="1111">
        <f>SUM('3 pr-2'!AG55)</f>
        <v>42551</v>
      </c>
      <c r="AE54" s="1111">
        <v>42551</v>
      </c>
      <c r="AF54" s="198">
        <f t="shared" si="39"/>
        <v>0</v>
      </c>
      <c r="AG54" s="384" t="str">
        <f t="shared" si="25"/>
        <v>–</v>
      </c>
    </row>
    <row r="55" spans="1:33" ht="33.75" customHeight="1" thickBot="1">
      <c r="A55" s="296" t="str">
        <f>CONCATENATE('3 pr-2'!A56)</f>
        <v>1.1.1.6</v>
      </c>
      <c r="B55" s="349"/>
      <c r="C55" s="2088" t="str">
        <f>CONCATENATE('3 pr-2'!B56)</f>
        <v>Priemonė:
Paviršinių nuotekų sistemų tvarkymas</v>
      </c>
      <c r="D55" s="2089"/>
      <c r="E55" s="2089"/>
      <c r="F55" s="2089"/>
      <c r="G55" s="2089"/>
      <c r="H55" s="2089"/>
      <c r="I55" s="2089"/>
      <c r="J55" s="2090"/>
      <c r="K55" s="1077">
        <f>SUM(K56)</f>
        <v>3990955.51</v>
      </c>
      <c r="L55" s="1231">
        <f t="shared" ref="L55:AC55" si="40">SUM(L56)</f>
        <v>3999403.61</v>
      </c>
      <c r="M55" s="1079">
        <f t="shared" si="40"/>
        <v>3990955.51</v>
      </c>
      <c r="N55" s="1077">
        <f t="shared" si="40"/>
        <v>0</v>
      </c>
      <c r="O55" s="1078">
        <f t="shared" si="40"/>
        <v>0</v>
      </c>
      <c r="P55" s="1232">
        <f t="shared" si="40"/>
        <v>0</v>
      </c>
      <c r="Q55" s="1077">
        <f t="shared" si="40"/>
        <v>0</v>
      </c>
      <c r="R55" s="1078">
        <f t="shared" si="40"/>
        <v>0</v>
      </c>
      <c r="S55" s="1232">
        <f t="shared" si="40"/>
        <v>0</v>
      </c>
      <c r="T55" s="1077">
        <f t="shared" si="40"/>
        <v>598643.31999999995</v>
      </c>
      <c r="U55" s="1231">
        <f t="shared" si="40"/>
        <v>599910.61</v>
      </c>
      <c r="V55" s="1079">
        <f t="shared" si="40"/>
        <v>598643.31999999995</v>
      </c>
      <c r="W55" s="1077">
        <f t="shared" si="40"/>
        <v>0</v>
      </c>
      <c r="X55" s="1078">
        <f t="shared" si="40"/>
        <v>0</v>
      </c>
      <c r="Y55" s="1079">
        <f t="shared" si="40"/>
        <v>0</v>
      </c>
      <c r="Z55" s="1077">
        <f t="shared" si="40"/>
        <v>3392312.19</v>
      </c>
      <c r="AA55" s="1078">
        <f t="shared" si="40"/>
        <v>3399493</v>
      </c>
      <c r="AB55" s="1079">
        <f t="shared" si="40"/>
        <v>3392312.19</v>
      </c>
      <c r="AC55" s="1077">
        <f t="shared" si="40"/>
        <v>0</v>
      </c>
      <c r="AD55" s="1108"/>
      <c r="AE55" s="1109"/>
      <c r="AF55" s="357"/>
      <c r="AG55" s="358"/>
    </row>
    <row r="56" spans="1:33" ht="49.5" thickBot="1">
      <c r="A56" s="164" t="str">
        <f>CONCATENATE('3 pr-2'!A57)</f>
        <v>1.1.1.6.1</v>
      </c>
      <c r="B56" s="164" t="s">
        <v>704</v>
      </c>
      <c r="C56" s="164" t="str">
        <f>CONCATENATE('3 pr-2'!B57)</f>
        <v>R01-0007-080000-1161</v>
      </c>
      <c r="D56" s="164" t="str">
        <f>CONCATENATE('3 pr-2'!D57)</f>
        <v>Paviršinių nuotekų sistemų tvarkymas Alytaus mieste</v>
      </c>
      <c r="E56" s="164" t="str">
        <f>CONCATENATE('3 pr-2'!E57)</f>
        <v>UAB “Dzūkijos vandenys“</v>
      </c>
      <c r="F56" s="164" t="str">
        <f>CONCATENATE('3 pr-2'!F57)</f>
        <v>Lietuvos Respublikos aplinkos ministerija</v>
      </c>
      <c r="G56" s="164" t="str">
        <f>CONCATENATE('3 pr-2'!G57)</f>
        <v>Alytaus m. sav.</v>
      </c>
      <c r="H56" s="164" t="str">
        <f>CONCATENATE('3 pr-2'!H57)</f>
        <v>05.1.1-APVA-R-007</v>
      </c>
      <c r="I56" s="164" t="str">
        <f>CONCATENATE('3 pr-2'!I57)</f>
        <v>R</v>
      </c>
      <c r="J56" s="164" t="str">
        <f>CONCATENATE('3 pr-2'!J57)</f>
        <v>-</v>
      </c>
      <c r="K56" s="1080">
        <f>IF(AE56&gt;0,'3 pr-2'!L57,0)</f>
        <v>3990955.51</v>
      </c>
      <c r="L56" s="1081">
        <f t="shared" si="35"/>
        <v>3999403.61</v>
      </c>
      <c r="M56" s="1082">
        <f t="shared" si="24"/>
        <v>3990955.51</v>
      </c>
      <c r="N56" s="1080">
        <f>IF(AE56&gt;0,'3 pr-2'!O57,0)</f>
        <v>0</v>
      </c>
      <c r="O56" s="1081">
        <v>0</v>
      </c>
      <c r="P56" s="1082">
        <f>SUM('ketv. 6 '!P56)</f>
        <v>0</v>
      </c>
      <c r="Q56" s="1080">
        <f>IF(AE56&gt;0,'3 pr-2'!R57,0)</f>
        <v>0</v>
      </c>
      <c r="R56" s="1081">
        <v>0</v>
      </c>
      <c r="S56" s="1082">
        <f>SUM('ketv. 6 '!T56)</f>
        <v>0</v>
      </c>
      <c r="T56" s="1080">
        <f>IF(AE56&gt;0,'3 pr-2'!U57,0)</f>
        <v>598643.31999999995</v>
      </c>
      <c r="U56" s="1081">
        <v>599910.61</v>
      </c>
      <c r="V56" s="1082">
        <f>SUM('ketv. 6 '!X56)</f>
        <v>598643.31999999995</v>
      </c>
      <c r="W56" s="1080">
        <f>IF(AE56&gt;0,'3 pr-2'!X57,0)</f>
        <v>0</v>
      </c>
      <c r="X56" s="1081">
        <v>0</v>
      </c>
      <c r="Y56" s="1082">
        <f>SUM('ketv. 6 '!AB56)</f>
        <v>0</v>
      </c>
      <c r="Z56" s="1080">
        <f>IF(AE56&gt;0,'3 pr-2'!AA57,0)</f>
        <v>3392312.19</v>
      </c>
      <c r="AA56" s="1081">
        <v>3399493</v>
      </c>
      <c r="AB56" s="1082">
        <f>SUM('ketv. 6 '!AF56)</f>
        <v>3392312.19</v>
      </c>
      <c r="AC56" s="1080">
        <f>IF($AE$9&gt;0,'3 pr-2'!AB57,0)</f>
        <v>0</v>
      </c>
      <c r="AD56" s="1104">
        <f>SUM('3 pr-2'!AG57)</f>
        <v>42551</v>
      </c>
      <c r="AE56" s="1104">
        <v>42551</v>
      </c>
      <c r="AF56" s="198">
        <f t="shared" ref="AF56" si="41">IF((YEAR(AD56)-YEAR(AE56))=0,0,YEAR(AD56)-YEAR(AE56))</f>
        <v>0</v>
      </c>
      <c r="AG56" s="384" t="str">
        <f t="shared" si="25"/>
        <v>–</v>
      </c>
    </row>
    <row r="57" spans="1:33" ht="35.25" customHeight="1" thickBot="1">
      <c r="A57" s="296" t="str">
        <f>CONCATENATE('3 pr-2'!A58)</f>
        <v>1.1.1.7</v>
      </c>
      <c r="B57" s="349"/>
      <c r="C57" s="2088" t="str">
        <f>CONCATENATE('3 pr-2'!B58)</f>
        <v>Priemonė:
Savivaldybes jungiančių turizmo trasų ir turizmo maršrutų informacinės infrastruktūros plėtra</v>
      </c>
      <c r="D57" s="2089"/>
      <c r="E57" s="2089"/>
      <c r="F57" s="2089"/>
      <c r="G57" s="2089"/>
      <c r="H57" s="2089"/>
      <c r="I57" s="2089"/>
      <c r="J57" s="2090"/>
      <c r="K57" s="1077">
        <f>SUM(K58:K60)</f>
        <v>719317.64705882361</v>
      </c>
      <c r="L57" s="1231">
        <f t="shared" ref="L57:AC57" si="42">SUM(L58:L60)</f>
        <v>496329.53</v>
      </c>
      <c r="M57" s="1079">
        <f t="shared" si="42"/>
        <v>496329.53</v>
      </c>
      <c r="N57" s="1077">
        <f t="shared" si="42"/>
        <v>107897.64705882352</v>
      </c>
      <c r="O57" s="1078">
        <f t="shared" si="42"/>
        <v>74449.429999999993</v>
      </c>
      <c r="P57" s="1232">
        <f t="shared" si="42"/>
        <v>74449.429999999993</v>
      </c>
      <c r="Q57" s="1077">
        <f t="shared" si="42"/>
        <v>0</v>
      </c>
      <c r="R57" s="1078">
        <f t="shared" si="42"/>
        <v>0</v>
      </c>
      <c r="S57" s="1232">
        <f t="shared" si="42"/>
        <v>0</v>
      </c>
      <c r="T57" s="1077">
        <f t="shared" si="42"/>
        <v>0</v>
      </c>
      <c r="U57" s="1231">
        <f t="shared" si="42"/>
        <v>0</v>
      </c>
      <c r="V57" s="1079">
        <f t="shared" si="42"/>
        <v>0</v>
      </c>
      <c r="W57" s="1077">
        <f t="shared" si="42"/>
        <v>0</v>
      </c>
      <c r="X57" s="1078">
        <f t="shared" si="42"/>
        <v>0</v>
      </c>
      <c r="Y57" s="1079">
        <f t="shared" si="42"/>
        <v>0</v>
      </c>
      <c r="Z57" s="1077">
        <f t="shared" si="42"/>
        <v>611420</v>
      </c>
      <c r="AA57" s="1078">
        <f t="shared" si="42"/>
        <v>421880.1</v>
      </c>
      <c r="AB57" s="1079">
        <f t="shared" si="42"/>
        <v>421880.1</v>
      </c>
      <c r="AC57" s="1077">
        <f t="shared" si="42"/>
        <v>0</v>
      </c>
      <c r="AD57" s="1108"/>
      <c r="AE57" s="1109"/>
      <c r="AF57" s="357"/>
      <c r="AG57" s="358"/>
    </row>
    <row r="58" spans="1:33" ht="36.75">
      <c r="A58" s="164" t="str">
        <f>CONCATENATE('3 pr-2'!A59)</f>
        <v>1.1.1.7.1</v>
      </c>
      <c r="B58" s="281" t="s">
        <v>706</v>
      </c>
      <c r="C58" s="164" t="str">
        <f>CONCATENATE('3 pr-2'!B59)</f>
        <v>R01-8821-420000-1171</v>
      </c>
      <c r="D58" s="164" t="str">
        <f>CONCATENATE('3 pr-2'!D59)</f>
        <v>Alytaus regiono turizmo informacinės infrastruktūros plėtra</v>
      </c>
      <c r="E58" s="164" t="str">
        <f>CONCATENATE('3 pr-2'!E59)</f>
        <v>Alytaus miesto savivaldybės administracija</v>
      </c>
      <c r="F58" s="164" t="str">
        <f>CONCATENATE('3 pr-2'!F59)</f>
        <v>Lietuvos Respublikos ūkio ministerija</v>
      </c>
      <c r="G58" s="164" t="str">
        <f>CONCATENATE('3 pr-2'!G59)</f>
        <v>Alytaus regionas</v>
      </c>
      <c r="H58" s="164" t="str">
        <f>CONCATENATE('3 pr-2'!H59)</f>
        <v>05.4.1-LVPA-R-821</v>
      </c>
      <c r="I58" s="164" t="str">
        <f>CONCATENATE('3 pr-2'!I59)</f>
        <v>R</v>
      </c>
      <c r="J58" s="164" t="str">
        <f>CONCATENATE('3 pr-2'!J59)</f>
        <v>-</v>
      </c>
      <c r="K58" s="1080">
        <f>IF(AE58&gt;0,'3 pr-2'!L59,0)</f>
        <v>208223.52941176473</v>
      </c>
      <c r="L58" s="1081">
        <f t="shared" si="35"/>
        <v>208223.53</v>
      </c>
      <c r="M58" s="1082">
        <f t="shared" si="24"/>
        <v>208223.53</v>
      </c>
      <c r="N58" s="1080">
        <f>IF(AE58&gt;0,'3 pr-2'!O59,0)</f>
        <v>31233.529411764706</v>
      </c>
      <c r="O58" s="1081">
        <v>31233.53</v>
      </c>
      <c r="P58" s="1082">
        <f>SUM('ketv. 6 '!P58)</f>
        <v>31233.53</v>
      </c>
      <c r="Q58" s="1080">
        <f>IF(AE58&gt;0,'3 pr-2'!R59,0)</f>
        <v>0</v>
      </c>
      <c r="R58" s="1081">
        <v>0</v>
      </c>
      <c r="S58" s="1082">
        <f>SUM('ketv. 6 '!T58)</f>
        <v>0</v>
      </c>
      <c r="T58" s="1080">
        <f>IF(AE58&gt;0,'3 pr-2'!U59,0)</f>
        <v>0</v>
      </c>
      <c r="U58" s="1081">
        <v>0</v>
      </c>
      <c r="V58" s="1082">
        <f>SUM('ketv. 6 '!X58)</f>
        <v>0</v>
      </c>
      <c r="W58" s="1080">
        <f>IF(AE58&gt;0,'3 pr-2'!X59,0)</f>
        <v>0</v>
      </c>
      <c r="X58" s="1081">
        <v>0</v>
      </c>
      <c r="Y58" s="1082">
        <f>SUM('ketv. 6 '!AB58)</f>
        <v>0</v>
      </c>
      <c r="Z58" s="1080">
        <f>IF(AE58&gt;0,'3 pr-2'!AA59,0)</f>
        <v>176990</v>
      </c>
      <c r="AA58" s="1081">
        <v>176990</v>
      </c>
      <c r="AB58" s="1082">
        <f>SUM('ketv. 6 '!AF58)</f>
        <v>176990</v>
      </c>
      <c r="AC58" s="1080">
        <f>IF($AE$9&gt;0,'3 pr-2'!AB59,0)</f>
        <v>0</v>
      </c>
      <c r="AD58" s="1104">
        <f>SUM('3 pr-2'!AG59)</f>
        <v>42635</v>
      </c>
      <c r="AE58" s="1104">
        <v>42635</v>
      </c>
      <c r="AF58" s="198">
        <f t="shared" ref="AF58:AF59" si="43">IF((YEAR(AD58)-YEAR(AE58))=0,0,YEAR(AD58)-YEAR(AE58))</f>
        <v>0</v>
      </c>
      <c r="AG58" s="384" t="str">
        <f t="shared" si="25"/>
        <v>–</v>
      </c>
    </row>
    <row r="59" spans="1:33" ht="48.75">
      <c r="A59" s="164" t="str">
        <f>CONCATENATE('3 pr-2'!A60)</f>
        <v>1.1.1.7.2</v>
      </c>
      <c r="B59" s="281" t="s">
        <v>705</v>
      </c>
      <c r="C59" s="164" t="str">
        <f>CONCATENATE('3 pr-2'!B60)</f>
        <v>R01-8821-420000-1172</v>
      </c>
      <c r="D59" s="164" t="str">
        <f>CONCATENATE('3 pr-2'!D60)</f>
        <v>Turizmo trasų ir maršrutų informacinės infrastruktūros plėtra Lazdijų, Varėnos rajonų ir Druskininkų savivaldybėse</v>
      </c>
      <c r="E59" s="164" t="str">
        <f>CONCATENATE('3 pr-2'!E60)</f>
        <v>Lazdijų rajono savivaldybės administracija</v>
      </c>
      <c r="F59" s="164" t="str">
        <f>CONCATENATE('3 pr-2'!F60)</f>
        <v>Lietuvos Respublikos ūkio ministerija</v>
      </c>
      <c r="G59" s="164" t="str">
        <f>CONCATENATE('3 pr-2'!G60)</f>
        <v xml:space="preserve">Lazdijų, Varėnos rajonų ir Druskininkų savivaldybės </v>
      </c>
      <c r="H59" s="164" t="str">
        <f>CONCATENATE('3 pr-2'!H60)</f>
        <v>05.4.1-LVPA-R-821</v>
      </c>
      <c r="I59" s="164" t="str">
        <f>CONCATENATE('3 pr-2'!I60)</f>
        <v>R</v>
      </c>
      <c r="J59" s="164" t="str">
        <f>CONCATENATE('3 pr-2'!J60)</f>
        <v>-</v>
      </c>
      <c r="K59" s="1080">
        <f>IF(AE59&gt;0,'3 pr-2'!L60,0)</f>
        <v>288106</v>
      </c>
      <c r="L59" s="1081">
        <f t="shared" si="35"/>
        <v>288106</v>
      </c>
      <c r="M59" s="1082">
        <f t="shared" si="24"/>
        <v>288106</v>
      </c>
      <c r="N59" s="1080">
        <f>IF(AE59&gt;0,'3 pr-2'!O60,0)</f>
        <v>43215.9</v>
      </c>
      <c r="O59" s="1081">
        <v>43215.9</v>
      </c>
      <c r="P59" s="1082">
        <f>SUM('ketv. 6 '!P59)</f>
        <v>43215.9</v>
      </c>
      <c r="Q59" s="1080">
        <f>IF(AE59&gt;0,'3 pr-2'!R60,0)</f>
        <v>0</v>
      </c>
      <c r="R59" s="1081">
        <v>0</v>
      </c>
      <c r="S59" s="1082">
        <f>SUM('ketv. 6 '!T59)</f>
        <v>0</v>
      </c>
      <c r="T59" s="1080">
        <f>IF(AE59&gt;0,'3 pr-2'!U60,0)</f>
        <v>0</v>
      </c>
      <c r="U59" s="1081">
        <v>0</v>
      </c>
      <c r="V59" s="1082">
        <f>SUM('ketv. 6 '!X59)</f>
        <v>0</v>
      </c>
      <c r="W59" s="1080">
        <f>IF(AE59&gt;0,'3 pr-2'!X60,0)</f>
        <v>0</v>
      </c>
      <c r="X59" s="1081">
        <v>0</v>
      </c>
      <c r="Y59" s="1082">
        <f>SUM('ketv. 6 '!AB59)</f>
        <v>0</v>
      </c>
      <c r="Z59" s="1080">
        <f>IF(AE59&gt;0,'3 pr-2'!AA60,0)</f>
        <v>244890.1</v>
      </c>
      <c r="AA59" s="1081">
        <v>244890.1</v>
      </c>
      <c r="AB59" s="1082">
        <f>SUM('ketv. 6 '!AF59)</f>
        <v>244890.1</v>
      </c>
      <c r="AC59" s="1080">
        <f>IF($AE$9&gt;0,'3 pr-2'!AB60,0)</f>
        <v>0</v>
      </c>
      <c r="AD59" s="1104">
        <f>SUM('3 pr-2'!AG60)</f>
        <v>42635</v>
      </c>
      <c r="AE59" s="1104">
        <v>42635</v>
      </c>
      <c r="AF59" s="198">
        <f t="shared" si="43"/>
        <v>0</v>
      </c>
      <c r="AG59" s="384" t="str">
        <f t="shared" si="25"/>
        <v>–</v>
      </c>
    </row>
    <row r="60" spans="1:33" ht="49.5" thickBot="1">
      <c r="A60" s="164" t="str">
        <f>CONCATENATE('3 pr-2'!A61)</f>
        <v>1.1.1.7.3</v>
      </c>
      <c r="B60" s="281" t="s">
        <v>4473</v>
      </c>
      <c r="C60" s="164" t="str">
        <f>CONCATENATE('3 pr-2'!B61)</f>
        <v>R01-8821-420000-1173</v>
      </c>
      <c r="D60" s="164" t="str">
        <f>CONCATENATE('3 pr-2'!D61)</f>
        <v>Turizmo trasų ir maršrutų informacinės infrastruktūros plėtra Lazdijų, Varėnos rajonų ir Druskininkų savivaldybėse, II etapas</v>
      </c>
      <c r="E60" s="164" t="str">
        <f>CONCATENATE('3 pr-2'!E61)</f>
        <v>Lazdijų rajono savivaldybės administracija</v>
      </c>
      <c r="F60" s="164" t="str">
        <f>CONCATENATE('3 pr-2'!F61)</f>
        <v>Lietuvos Respublikos ūkio ministerija</v>
      </c>
      <c r="G60" s="164" t="str">
        <f>CONCATENATE('3 pr-2'!G61)</f>
        <v xml:space="preserve">Lazdijų, Varėnos rajonų ir Druskininkų savivaldybės </v>
      </c>
      <c r="H60" s="164" t="str">
        <f>CONCATENATE('3 pr-2'!H61)</f>
        <v>05.4.1-LVPA-R-821</v>
      </c>
      <c r="I60" s="164" t="str">
        <f>CONCATENATE('3 pr-2'!I61)</f>
        <v>R</v>
      </c>
      <c r="J60" s="164" t="str">
        <f>CONCATENATE('3 pr-2'!J61)</f>
        <v>-</v>
      </c>
      <c r="K60" s="1080">
        <f>IF(AE60&gt;0,'3 pr-2'!L61,0)</f>
        <v>222988.11764705885</v>
      </c>
      <c r="L60" s="1081"/>
      <c r="M60" s="1082">
        <f t="shared" si="24"/>
        <v>0</v>
      </c>
      <c r="N60" s="1080">
        <f>IF(AE60&gt;0,'3 pr-2'!O61,0)</f>
        <v>33448.217647058824</v>
      </c>
      <c r="O60" s="1081"/>
      <c r="P60" s="1082">
        <f>SUM('ketv. 6 '!P60)</f>
        <v>0</v>
      </c>
      <c r="Q60" s="1080">
        <f>IF(AE60&gt;0,'3 pr-2'!R61,0)</f>
        <v>0</v>
      </c>
      <c r="R60" s="1081"/>
      <c r="S60" s="1082">
        <f>SUM('ketv. 6 '!T60)</f>
        <v>0</v>
      </c>
      <c r="T60" s="1080">
        <f>IF(AE60&gt;0,'3 pr-2'!U61,0)</f>
        <v>0</v>
      </c>
      <c r="U60" s="1081"/>
      <c r="V60" s="1082">
        <f>SUM('ketv. 6 '!X60)</f>
        <v>0</v>
      </c>
      <c r="W60" s="1080">
        <f>IF(AE60&gt;0,'3 pr-2'!X61,0)</f>
        <v>0</v>
      </c>
      <c r="X60" s="1081"/>
      <c r="Y60" s="1082">
        <f>SUM('ketv. 6 '!AB60)</f>
        <v>0</v>
      </c>
      <c r="Z60" s="1080">
        <f>IF(AE60&gt;0,'3 pr-2'!AA61,0)</f>
        <v>189539.9</v>
      </c>
      <c r="AA60" s="1081"/>
      <c r="AB60" s="1082">
        <f>SUM('ketv. 6 '!AF60)</f>
        <v>0</v>
      </c>
      <c r="AC60" s="1080">
        <f>IF($AE$9&gt;0,'3 pr-2'!AB61,0)</f>
        <v>0</v>
      </c>
      <c r="AD60" s="1104">
        <f>SUM('3 pr-2'!AG61)</f>
        <v>43465</v>
      </c>
      <c r="AE60" s="1104">
        <v>43465</v>
      </c>
      <c r="AF60" s="198"/>
      <c r="AG60" s="384" t="str">
        <f t="shared" si="25"/>
        <v>–</v>
      </c>
    </row>
    <row r="61" spans="1:33" ht="29.25" customHeight="1" thickBot="1">
      <c r="A61" s="296" t="str">
        <f>CONCATENATE('3 pr-2'!A62)</f>
        <v>1.1.1.8</v>
      </c>
      <c r="B61" s="349"/>
      <c r="C61" s="2088" t="str">
        <f>CONCATENATE('3 pr-2'!B62)</f>
        <v>Priemonė:
Modernizuoti savivaldybių kultūros infrastruktūrą</v>
      </c>
      <c r="D61" s="2089"/>
      <c r="E61" s="2089"/>
      <c r="F61" s="2089"/>
      <c r="G61" s="2089"/>
      <c r="H61" s="2089"/>
      <c r="I61" s="2089"/>
      <c r="J61" s="2090"/>
      <c r="K61" s="1077">
        <f>SUM(K62:K65)</f>
        <v>1972835.5100000002</v>
      </c>
      <c r="L61" s="1231">
        <f t="shared" ref="L61:AC61" si="44">SUM(L62:L65)</f>
        <v>1762005</v>
      </c>
      <c r="M61" s="1079">
        <f t="shared" si="44"/>
        <v>1972835.5100000002</v>
      </c>
      <c r="N61" s="1077">
        <f t="shared" si="44"/>
        <v>422270.99</v>
      </c>
      <c r="O61" s="1078">
        <f t="shared" si="44"/>
        <v>211440.18</v>
      </c>
      <c r="P61" s="1232">
        <f t="shared" si="44"/>
        <v>422270.99</v>
      </c>
      <c r="Q61" s="1077">
        <f t="shared" si="44"/>
        <v>0</v>
      </c>
      <c r="R61" s="1078">
        <f t="shared" si="44"/>
        <v>352400.82</v>
      </c>
      <c r="S61" s="1232">
        <f t="shared" si="44"/>
        <v>0</v>
      </c>
      <c r="T61" s="1077">
        <f t="shared" si="44"/>
        <v>0</v>
      </c>
      <c r="U61" s="1231">
        <f t="shared" si="44"/>
        <v>0</v>
      </c>
      <c r="V61" s="1079">
        <f t="shared" si="44"/>
        <v>0</v>
      </c>
      <c r="W61" s="1077">
        <f t="shared" si="44"/>
        <v>352400.82</v>
      </c>
      <c r="X61" s="1078">
        <f t="shared" si="44"/>
        <v>0</v>
      </c>
      <c r="Y61" s="1079">
        <f t="shared" si="44"/>
        <v>352400.82</v>
      </c>
      <c r="Z61" s="1077">
        <f t="shared" si="44"/>
        <v>1198163.7</v>
      </c>
      <c r="AA61" s="1078">
        <f t="shared" si="44"/>
        <v>1198164</v>
      </c>
      <c r="AB61" s="1079">
        <f t="shared" si="44"/>
        <v>1198163.7</v>
      </c>
      <c r="AC61" s="1077">
        <f t="shared" si="44"/>
        <v>0</v>
      </c>
      <c r="AD61" s="1108"/>
      <c r="AE61" s="1109"/>
      <c r="AF61" s="357"/>
      <c r="AG61" s="358"/>
    </row>
    <row r="62" spans="1:33" ht="48.75">
      <c r="A62" s="164" t="str">
        <f>CONCATENATE('3 pr-2'!A63)</f>
        <v>1.1.1.8.1</v>
      </c>
      <c r="B62" s="281" t="s">
        <v>711</v>
      </c>
      <c r="C62" s="164" t="str">
        <f>CONCATENATE('3 pr-2'!B63)</f>
        <v>R01-3305-330000-1181</v>
      </c>
      <c r="D62" s="164" t="str">
        <f>CONCATENATE('3 pr-2'!D63)</f>
        <v>Kultūros įstaigų infrastruktūros modernizavimas Varėnos mieste</v>
      </c>
      <c r="E62" s="164" t="str">
        <f>CONCATENATE('3 pr-2'!E63)</f>
        <v>Varėnos rajono savivaldybės administracija</v>
      </c>
      <c r="F62" s="164" t="str">
        <f>CONCATENATE('3 pr-2'!F63)</f>
        <v>Lietuvos Respublikos kultūros ministerija</v>
      </c>
      <c r="G62" s="164" t="str">
        <f>CONCATENATE('3 pr-2'!G63)</f>
        <v>Varėnos r. sav.</v>
      </c>
      <c r="H62" s="164" t="str">
        <f>CONCATENATE('3 pr-2'!H63)</f>
        <v>07.1.1-CPVA-R-305</v>
      </c>
      <c r="I62" s="164" t="str">
        <f>CONCATENATE('3 pr-2'!I63)</f>
        <v>R</v>
      </c>
      <c r="J62" s="164" t="str">
        <f>CONCATENATE('3 pr-2'!J63)</f>
        <v>ITI</v>
      </c>
      <c r="K62" s="1080">
        <f>IF(AE62&gt;0,'3 pr-2'!L63,0)</f>
        <v>352401</v>
      </c>
      <c r="L62" s="1081">
        <f t="shared" ref="L62:L71" si="45">SUM(O62+R62+U62+X62+AA62)</f>
        <v>352401</v>
      </c>
      <c r="M62" s="1082">
        <f t="shared" si="24"/>
        <v>352401</v>
      </c>
      <c r="N62" s="1080">
        <f>IF(AE62&gt;0,'3 pr-2'!O63,0)</f>
        <v>52860.15</v>
      </c>
      <c r="O62" s="1081">
        <v>52860</v>
      </c>
      <c r="P62" s="1082">
        <f>SUM('ketv. 6 '!P62)</f>
        <v>52860.15</v>
      </c>
      <c r="Q62" s="1080">
        <f>IF(AE62&gt;0,'3 pr-2'!R63,0)</f>
        <v>0</v>
      </c>
      <c r="R62" s="1081">
        <v>0</v>
      </c>
      <c r="S62" s="1082">
        <f>SUM('ketv. 6 '!T62)</f>
        <v>0</v>
      </c>
      <c r="T62" s="1080">
        <f>IF(AE62&gt;0,'3 pr-2'!U63,0)</f>
        <v>0</v>
      </c>
      <c r="U62" s="1081">
        <v>0</v>
      </c>
      <c r="V62" s="1082">
        <f>SUM('ketv. 6 '!X62)</f>
        <v>0</v>
      </c>
      <c r="W62" s="1080">
        <f>IF(AE62&gt;0,'3 pr-2'!X63,0)</f>
        <v>0</v>
      </c>
      <c r="X62" s="1081">
        <v>0</v>
      </c>
      <c r="Y62" s="1082">
        <f>SUM('ketv. 6 '!AB62)</f>
        <v>0</v>
      </c>
      <c r="Z62" s="1080">
        <f>IF(AE62&gt;0,'3 pr-2'!AA63,0)</f>
        <v>299540.84999999998</v>
      </c>
      <c r="AA62" s="1081">
        <v>299541</v>
      </c>
      <c r="AB62" s="1082">
        <f>SUM('ketv. 6 '!AF62)</f>
        <v>299540.84999999998</v>
      </c>
      <c r="AC62" s="1080">
        <f>IF($AE$9&gt;0,'3 pr-2'!AB63,0)</f>
        <v>0</v>
      </c>
      <c r="AD62" s="1104">
        <f>SUM('3 pr-2'!AG63)</f>
        <v>42632</v>
      </c>
      <c r="AE62" s="1111">
        <v>42632</v>
      </c>
      <c r="AF62" s="198">
        <f t="shared" ref="AF62" si="46">IF((YEAR(AD62)-YEAR(AE62))=0,0,YEAR(AD62)-YEAR(AE62))</f>
        <v>0</v>
      </c>
      <c r="AG62" s="384" t="str">
        <f t="shared" si="25"/>
        <v>–</v>
      </c>
    </row>
    <row r="63" spans="1:33" ht="48.75">
      <c r="A63" s="164" t="str">
        <f>CONCATENATE('3 pr-2'!A64)</f>
        <v>1.1.1.8.2</v>
      </c>
      <c r="B63" s="281" t="s">
        <v>712</v>
      </c>
      <c r="C63" s="164" t="str">
        <f>CONCATENATE('3 pr-2'!B64)</f>
        <v>R01-3305-330000-1182</v>
      </c>
      <c r="D63" s="164" t="str">
        <f>CONCATENATE('3 pr-2'!D64)</f>
        <v>VšĮ Alytaus kultūros ir komunikacijos centro pastato Alytuje, Pramonės g. 1B, rekonstravimas</v>
      </c>
      <c r="E63" s="164" t="str">
        <f>CONCATENATE('3 pr-2'!E64)</f>
        <v>Alytaus miesto savivaldybės administracija</v>
      </c>
      <c r="F63" s="164" t="str">
        <f>CONCATENATE('3 pr-2'!F64)</f>
        <v>Lietuvos Respublikos kultūros ministerija</v>
      </c>
      <c r="G63" s="164" t="str">
        <f>CONCATENATE('3 pr-2'!G64)</f>
        <v>Alytaus m. sav.</v>
      </c>
      <c r="H63" s="164" t="str">
        <f>CONCATENATE('3 pr-2'!H64)</f>
        <v>07.1.1-CPVA-R-305</v>
      </c>
      <c r="I63" s="164" t="str">
        <f>CONCATENATE('3 pr-2'!I64)</f>
        <v>R</v>
      </c>
      <c r="J63" s="164" t="str">
        <f>CONCATENATE('3 pr-2'!J64)</f>
        <v>ITI</v>
      </c>
      <c r="K63" s="1080">
        <f>IF(AE63&gt;0,'3 pr-2'!L64,0)</f>
        <v>783264.16</v>
      </c>
      <c r="L63" s="1081">
        <f t="shared" si="45"/>
        <v>704802</v>
      </c>
      <c r="M63" s="1082">
        <f t="shared" si="24"/>
        <v>783264.16</v>
      </c>
      <c r="N63" s="1080">
        <f>IF(AE63&gt;0,'3 pr-2'!O64,0)</f>
        <v>131322.34</v>
      </c>
      <c r="O63" s="1081">
        <v>52860.18</v>
      </c>
      <c r="P63" s="1082">
        <f>SUM('ketv. 6 '!P63)</f>
        <v>131322.34</v>
      </c>
      <c r="Q63" s="1080">
        <f>IF(AE63&gt;0,'3 pr-2'!R64,0)</f>
        <v>0</v>
      </c>
      <c r="R63" s="1081">
        <v>352400.82</v>
      </c>
      <c r="S63" s="1082">
        <f>SUM('ketv. 6 '!T63)</f>
        <v>0</v>
      </c>
      <c r="T63" s="1080">
        <f>IF(AE63&gt;0,'3 pr-2'!U64,0)</f>
        <v>0</v>
      </c>
      <c r="U63" s="1081">
        <v>0</v>
      </c>
      <c r="V63" s="1082">
        <f>SUM('ketv. 6 '!X63)</f>
        <v>0</v>
      </c>
      <c r="W63" s="1080">
        <f>IF(AE63&gt;0,'3 pr-2'!X64,0)</f>
        <v>352400.82</v>
      </c>
      <c r="X63" s="1081">
        <v>0</v>
      </c>
      <c r="Y63" s="1082">
        <f>SUM('ketv. 6 '!AB63)</f>
        <v>352400.82</v>
      </c>
      <c r="Z63" s="1080">
        <f>IF(AE63&gt;0,'3 pr-2'!AA64,0)</f>
        <v>299541</v>
      </c>
      <c r="AA63" s="1081">
        <v>299541</v>
      </c>
      <c r="AB63" s="1082">
        <f>SUM('ketv. 6 '!AF63)</f>
        <v>299541</v>
      </c>
      <c r="AC63" s="1080">
        <f>IF($AE$9&gt;0,'3 pr-2'!AB64,0)</f>
        <v>0</v>
      </c>
      <c r="AD63" s="1104">
        <f>SUM('3 pr-2'!AG64)</f>
        <v>42703</v>
      </c>
      <c r="AE63" s="1111">
        <v>42703</v>
      </c>
      <c r="AF63" s="198">
        <f t="shared" ref="AF63" si="47">IF((YEAR(AD63)-YEAR(AE63))=0,0,YEAR(AD63)-YEAR(AE63))</f>
        <v>0</v>
      </c>
      <c r="AG63" s="384" t="str">
        <f t="shared" si="25"/>
        <v>–</v>
      </c>
    </row>
    <row r="64" spans="1:33" ht="48.75">
      <c r="A64" s="164" t="str">
        <f>CONCATENATE('3 pr-2'!A65)</f>
        <v>1.1.1.8.3</v>
      </c>
      <c r="B64" s="281" t="s">
        <v>713</v>
      </c>
      <c r="C64" s="164" t="str">
        <f>CONCATENATE('3 pr-2'!B65)</f>
        <v>R01-3305-330000-1183</v>
      </c>
      <c r="D64" s="164" t="str">
        <f>CONCATENATE('3 pr-2'!D65)</f>
        <v>Druskininkų kultūros centro lauko scenos, Vilniaus al. 24, Druskininkai, modernizavimas ir pritaikymas kultūros poreikiams</v>
      </c>
      <c r="E64" s="164" t="str">
        <f>CONCATENATE('3 pr-2'!E65)</f>
        <v xml:space="preserve">Druskininkų savivaldybės administracija  </v>
      </c>
      <c r="F64" s="164" t="str">
        <f>CONCATENATE('3 pr-2'!F65)</f>
        <v>Lietuvos Respublikos kultūros ministerija</v>
      </c>
      <c r="G64" s="164" t="str">
        <f>CONCATENATE('3 pr-2'!G65)</f>
        <v>Druskininkų sav.</v>
      </c>
      <c r="H64" s="164" t="str">
        <f>CONCATENATE('3 pr-2'!H65)</f>
        <v>07.1.1-CPVA-R-305</v>
      </c>
      <c r="I64" s="164" t="str">
        <f>CONCATENATE('3 pr-2'!I65)</f>
        <v>R</v>
      </c>
      <c r="J64" s="164" t="str">
        <f>CONCATENATE('3 pr-2'!J65)</f>
        <v>ITI</v>
      </c>
      <c r="K64" s="1080">
        <f>IF(AE64&gt;0,'3 pr-2'!L65,0)</f>
        <v>352401</v>
      </c>
      <c r="L64" s="1081">
        <f t="shared" si="45"/>
        <v>352401</v>
      </c>
      <c r="M64" s="1082">
        <f t="shared" si="24"/>
        <v>352401</v>
      </c>
      <c r="N64" s="1080">
        <f>IF(AE64&gt;0,'3 pr-2'!O65,0)</f>
        <v>52860.15</v>
      </c>
      <c r="O64" s="1081">
        <v>52860</v>
      </c>
      <c r="P64" s="1082">
        <f>SUM('ketv. 6 '!P64)</f>
        <v>52860.15</v>
      </c>
      <c r="Q64" s="1080">
        <f>IF(AE64&gt;0,'3 pr-2'!R65,0)</f>
        <v>0</v>
      </c>
      <c r="R64" s="1081">
        <v>0</v>
      </c>
      <c r="S64" s="1082">
        <f>SUM('ketv. 6 '!T64)</f>
        <v>0</v>
      </c>
      <c r="T64" s="1080">
        <f>IF(AE64&gt;0,'3 pr-2'!U65,0)</f>
        <v>0</v>
      </c>
      <c r="U64" s="1081">
        <v>0</v>
      </c>
      <c r="V64" s="1082">
        <f>SUM('ketv. 6 '!X64)</f>
        <v>0</v>
      </c>
      <c r="W64" s="1080">
        <f>IF(AE64&gt;0,'3 pr-2'!X65,0)</f>
        <v>0</v>
      </c>
      <c r="X64" s="1081">
        <v>0</v>
      </c>
      <c r="Y64" s="1082">
        <f>SUM('ketv. 6 '!AB64)</f>
        <v>0</v>
      </c>
      <c r="Z64" s="1080">
        <f>IF(AE64&gt;0,'3 pr-2'!AA65,0)</f>
        <v>299540.84999999998</v>
      </c>
      <c r="AA64" s="1081">
        <v>299541</v>
      </c>
      <c r="AB64" s="1082">
        <f>SUM('ketv. 6 '!AF64)</f>
        <v>299540.84999999998</v>
      </c>
      <c r="AC64" s="1080">
        <f>IF($AE$9&gt;0,'3 pr-2'!AB65,0)</f>
        <v>0</v>
      </c>
      <c r="AD64" s="1104">
        <f>SUM('3 pr-2'!AG65)</f>
        <v>42703</v>
      </c>
      <c r="AE64" s="1111">
        <v>42703</v>
      </c>
      <c r="AF64" s="198">
        <f t="shared" ref="AF64:AF65" si="48">IF((YEAR(AD64)-YEAR(AE64))=0,0,YEAR(AD64)-YEAR(AE64))</f>
        <v>0</v>
      </c>
      <c r="AG64" s="384" t="str">
        <f t="shared" si="25"/>
        <v>–</v>
      </c>
    </row>
    <row r="65" spans="1:33" ht="49.5" thickBot="1">
      <c r="A65" s="164" t="str">
        <f>CONCATENATE('3 pr-2'!A66)</f>
        <v>1.1.1.8.4</v>
      </c>
      <c r="B65" s="281" t="s">
        <v>1236</v>
      </c>
      <c r="C65" s="164" t="str">
        <f>CONCATENATE('3 pr-2'!B66)</f>
        <v>R01-3305-330200-1184</v>
      </c>
      <c r="D65" s="164" t="str">
        <f>CONCATENATE('3 pr-2'!D66)</f>
        <v>Pastato rekonstrukcija ir pritaikymas kultūrinėms, muziejinėms ir edukacinėms reikmėms</v>
      </c>
      <c r="E65" s="164" t="str">
        <f>CONCATENATE('3 pr-2'!E66)</f>
        <v>Lazdijų rajono savivaldybės administracija</v>
      </c>
      <c r="F65" s="164" t="str">
        <f>CONCATENATE('3 pr-2'!F66)</f>
        <v>Lietuvos Respublikos kultūros ministerija</v>
      </c>
      <c r="G65" s="164" t="str">
        <f>CONCATENATE('3 pr-2'!G66)</f>
        <v>Lazdijų r. sav.</v>
      </c>
      <c r="H65" s="164" t="str">
        <f>CONCATENATE('3 pr-2'!H66)</f>
        <v>07.1.1-CPVA-R-305</v>
      </c>
      <c r="I65" s="164" t="str">
        <f>CONCATENATE('3 pr-2'!I66)</f>
        <v>R</v>
      </c>
      <c r="J65" s="164" t="str">
        <f>CONCATENATE('3 pr-2'!J66)</f>
        <v>ITI</v>
      </c>
      <c r="K65" s="1080">
        <f>IF(AE65&gt;0,'3 pr-2'!L66,0)</f>
        <v>484769.35</v>
      </c>
      <c r="L65" s="1081">
        <f t="shared" si="45"/>
        <v>352401</v>
      </c>
      <c r="M65" s="1082">
        <f t="shared" si="24"/>
        <v>484769.35</v>
      </c>
      <c r="N65" s="1080">
        <f>IF(AE65&gt;0,'3 pr-2'!O66,0)</f>
        <v>185228.35</v>
      </c>
      <c r="O65" s="1081">
        <v>52860</v>
      </c>
      <c r="P65" s="1082">
        <f>SUM('ketv. 6 '!P65)</f>
        <v>185228.35</v>
      </c>
      <c r="Q65" s="1080">
        <f>IF(AE65&gt;0,'3 pr-2'!R66,0)</f>
        <v>0</v>
      </c>
      <c r="R65" s="1081">
        <v>0</v>
      </c>
      <c r="S65" s="1082">
        <f>SUM('ketv. 6 '!T65)</f>
        <v>0</v>
      </c>
      <c r="T65" s="1080">
        <f>IF(AE65&gt;0,'3 pr-2'!U66,0)</f>
        <v>0</v>
      </c>
      <c r="U65" s="1081">
        <v>0</v>
      </c>
      <c r="V65" s="1082">
        <f>SUM('ketv. 6 '!X65)</f>
        <v>0</v>
      </c>
      <c r="W65" s="1080">
        <f>IF(AE65&gt;0,'3 pr-2'!X66,0)</f>
        <v>0</v>
      </c>
      <c r="X65" s="1081">
        <v>0</v>
      </c>
      <c r="Y65" s="1082">
        <f>SUM('ketv. 6 '!AB65)</f>
        <v>0</v>
      </c>
      <c r="Z65" s="1080">
        <f>IF(AE65&gt;0,'3 pr-2'!AA66,0)</f>
        <v>299541</v>
      </c>
      <c r="AA65" s="1081">
        <v>299541</v>
      </c>
      <c r="AB65" s="1082">
        <f>SUM('ketv. 6 '!AF65)</f>
        <v>299541</v>
      </c>
      <c r="AC65" s="1080">
        <f>IF($AE$9&gt;0,'3 pr-2'!AB66,0)</f>
        <v>0</v>
      </c>
      <c r="AD65" s="1104">
        <f>SUM('3 pr-2'!AG66)</f>
        <v>42703</v>
      </c>
      <c r="AE65" s="1111">
        <v>42703</v>
      </c>
      <c r="AF65" s="198">
        <f t="shared" si="48"/>
        <v>0</v>
      </c>
      <c r="AG65" s="384" t="str">
        <f t="shared" si="25"/>
        <v>–</v>
      </c>
    </row>
    <row r="66" spans="1:33" ht="34.5" customHeight="1" thickBot="1">
      <c r="A66" s="296" t="str">
        <f>CONCATENATE('3 pr-2'!A67)</f>
        <v>1.1.1.9</v>
      </c>
      <c r="B66" s="349"/>
      <c r="C66" s="2088" t="str">
        <f>CONCATENATE('3 pr-2'!B67)</f>
        <v>Priemonė:
Aktualizuoti savivaldybių kultūros paveldo objektus</v>
      </c>
      <c r="D66" s="2089"/>
      <c r="E66" s="2089"/>
      <c r="F66" s="2089"/>
      <c r="G66" s="2089"/>
      <c r="H66" s="2089"/>
      <c r="I66" s="2089"/>
      <c r="J66" s="2090"/>
      <c r="K66" s="1077">
        <f>SUM(K67:K71)</f>
        <v>1461941.12</v>
      </c>
      <c r="L66" s="1231">
        <f t="shared" ref="L66:AC66" si="49">SUM(L67:L71)</f>
        <v>1437000.72</v>
      </c>
      <c r="M66" s="1079">
        <f t="shared" si="49"/>
        <v>1424127.6800000002</v>
      </c>
      <c r="N66" s="1077">
        <f t="shared" si="49"/>
        <v>438075.46</v>
      </c>
      <c r="O66" s="1078">
        <f t="shared" si="49"/>
        <v>406720.72</v>
      </c>
      <c r="P66" s="1232">
        <f t="shared" si="49"/>
        <v>432403.30000000005</v>
      </c>
      <c r="Q66" s="1077">
        <f t="shared" si="49"/>
        <v>0</v>
      </c>
      <c r="R66" s="1078">
        <f t="shared" si="49"/>
        <v>0</v>
      </c>
      <c r="S66" s="1232">
        <f t="shared" si="49"/>
        <v>0</v>
      </c>
      <c r="T66" s="1077">
        <f t="shared" si="49"/>
        <v>0</v>
      </c>
      <c r="U66" s="1231">
        <f t="shared" si="49"/>
        <v>0</v>
      </c>
      <c r="V66" s="1079">
        <f t="shared" si="49"/>
        <v>0</v>
      </c>
      <c r="W66" s="1077">
        <f t="shared" si="49"/>
        <v>0</v>
      </c>
      <c r="X66" s="1078">
        <f t="shared" si="49"/>
        <v>0</v>
      </c>
      <c r="Y66" s="1079">
        <f t="shared" si="49"/>
        <v>0</v>
      </c>
      <c r="Z66" s="1077">
        <f t="shared" si="49"/>
        <v>1023865.66</v>
      </c>
      <c r="AA66" s="1078">
        <f t="shared" si="49"/>
        <v>1030280</v>
      </c>
      <c r="AB66" s="1079">
        <f t="shared" si="49"/>
        <v>991724.38</v>
      </c>
      <c r="AC66" s="1077">
        <f t="shared" si="49"/>
        <v>0</v>
      </c>
      <c r="AD66" s="1108"/>
      <c r="AE66" s="1109"/>
      <c r="AF66" s="357"/>
      <c r="AG66" s="358"/>
    </row>
    <row r="67" spans="1:33" ht="48.75">
      <c r="A67" s="164" t="str">
        <f>CONCATENATE('3 pr-2'!A68)</f>
        <v>1.1.1.9.1</v>
      </c>
      <c r="B67" s="281" t="s">
        <v>1596</v>
      </c>
      <c r="C67" s="164" t="str">
        <f>CONCATENATE('3 pr-2'!B68)</f>
        <v>R01-3302-440000-1191</v>
      </c>
      <c r="D67" s="164" t="str">
        <f>CONCATENATE('3 pr-2'!D68)</f>
        <v>Buvusios sinagogos pastato Kauno g. 9A Alytuje rekonstravimas ir aplinkinės teritorijos sutvarkymas</v>
      </c>
      <c r="E67" s="164" t="str">
        <f>CONCATENATE('3 pr-2'!E68)</f>
        <v>Alytaus miesto savivaldybės administracija</v>
      </c>
      <c r="F67" s="164" t="str">
        <f>CONCATENATE('3 pr-2'!F68)</f>
        <v>Lietuvos Respublikos kultūros ministerija</v>
      </c>
      <c r="G67" s="164" t="str">
        <f>CONCATENATE('3 pr-2'!G68)</f>
        <v>Alytaus m. sav.</v>
      </c>
      <c r="H67" s="164" t="str">
        <f>CONCATENATE('3 pr-2'!H68)</f>
        <v>05.4.1-CPVA-R-302</v>
      </c>
      <c r="I67" s="164" t="str">
        <f>CONCATENATE('3 pr-2'!I68)</f>
        <v>R</v>
      </c>
      <c r="J67" s="164" t="str">
        <f>CONCATENATE('3 pr-2'!J68)</f>
        <v>ITI</v>
      </c>
      <c r="K67" s="1080">
        <f>IF(AE67&gt;0,'3 pr-2'!L68,0)</f>
        <v>444560.16000000003</v>
      </c>
      <c r="L67" s="1081">
        <f t="shared" si="45"/>
        <v>449621.72</v>
      </c>
      <c r="M67" s="1082">
        <f t="shared" si="24"/>
        <v>444560.16000000003</v>
      </c>
      <c r="N67" s="1080">
        <f>IF(AE67&gt;0,'3 pr-2'!O68,0)</f>
        <v>238504.16</v>
      </c>
      <c r="O67" s="1081">
        <v>243565.72</v>
      </c>
      <c r="P67" s="1082">
        <f>SUM('ketv. 6 '!P67)</f>
        <v>238504.16</v>
      </c>
      <c r="Q67" s="1080">
        <f>IF(AE67&gt;0,'3 pr-2'!R68,0)</f>
        <v>0</v>
      </c>
      <c r="R67" s="1081">
        <v>0</v>
      </c>
      <c r="S67" s="1082">
        <f>SUM('ketv. 6 '!T67)</f>
        <v>0</v>
      </c>
      <c r="T67" s="1080">
        <f>IF(AE67&gt;0,'3 pr-2'!U68,0)</f>
        <v>0</v>
      </c>
      <c r="U67" s="1081">
        <v>0</v>
      </c>
      <c r="V67" s="1082">
        <f>SUM('ketv. 6 '!X67)</f>
        <v>0</v>
      </c>
      <c r="W67" s="1080">
        <f>IF(AE67&gt;0,'3 pr-2'!X68,0)</f>
        <v>0</v>
      </c>
      <c r="X67" s="1081">
        <v>0</v>
      </c>
      <c r="Y67" s="1082">
        <f>SUM('ketv. 6 '!AB67)</f>
        <v>0</v>
      </c>
      <c r="Z67" s="1080">
        <f>IF(AE67&gt;0,'3 pr-2'!AA68,0)</f>
        <v>206056</v>
      </c>
      <c r="AA67" s="1081">
        <v>206056</v>
      </c>
      <c r="AB67" s="1082">
        <f>SUM('ketv. 6 '!AF67)</f>
        <v>206056</v>
      </c>
      <c r="AC67" s="1080">
        <f>IF($AE$9&gt;0,'3 pr-2'!AB68,0)</f>
        <v>0</v>
      </c>
      <c r="AD67" s="1104">
        <f>SUM('3 pr-2'!AG68)</f>
        <v>42794</v>
      </c>
      <c r="AE67" s="1104">
        <v>42787</v>
      </c>
      <c r="AF67" s="198">
        <f t="shared" ref="AF67:AF71" si="50">IF((YEAR(AD67)-YEAR(AE67))=0,0,YEAR(AD67)-YEAR(AE67))</f>
        <v>0</v>
      </c>
      <c r="AG67" s="384" t="str">
        <f t="shared" si="25"/>
        <v>–</v>
      </c>
    </row>
    <row r="68" spans="1:33" ht="48.75">
      <c r="A68" s="164" t="str">
        <f>CONCATENATE('3 pr-2'!A69)</f>
        <v>1.1.1.9.2</v>
      </c>
      <c r="B68" s="281" t="s">
        <v>1593</v>
      </c>
      <c r="C68" s="164" t="str">
        <f>CONCATENATE('3 pr-2'!B69)</f>
        <v>R01-3302-440000-1192</v>
      </c>
      <c r="D68" s="164" t="str">
        <f>CONCATENATE('3 pr-2'!D69)</f>
        <v>Mažosios dailės galerijos, M.K.Čiurlionio g. 37, Druskininkai, modernizavimas ir pritaikymas kultūros poreikiams</v>
      </c>
      <c r="E68" s="164" t="str">
        <f>CONCATENATE('3 pr-2'!E69)</f>
        <v xml:space="preserve">Druskininkų savivaldybės administracija  </v>
      </c>
      <c r="F68" s="164" t="str">
        <f>CONCATENATE('3 pr-2'!F69)</f>
        <v>Lietuvos Respublikos kultūros ministerija</v>
      </c>
      <c r="G68" s="164" t="str">
        <f>CONCATENATE('3 pr-2'!G69)</f>
        <v>Druskininkų sav.</v>
      </c>
      <c r="H68" s="164" t="str">
        <f>CONCATENATE('3 pr-2'!H69)</f>
        <v>05.4.1-CPVA-R-302</v>
      </c>
      <c r="I68" s="164" t="str">
        <f>CONCATENATE('3 pr-2'!I69)</f>
        <v>R</v>
      </c>
      <c r="J68" s="164" t="str">
        <f>CONCATENATE('3 pr-2'!J69)</f>
        <v>-</v>
      </c>
      <c r="K68" s="1080">
        <f>IF(AE68&gt;0,'3 pr-2'!L69,0)</f>
        <v>297670.41000000003</v>
      </c>
      <c r="L68" s="1081">
        <f t="shared" si="45"/>
        <v>242419</v>
      </c>
      <c r="M68" s="1082">
        <f t="shared" si="24"/>
        <v>297670.41000000003</v>
      </c>
      <c r="N68" s="1080">
        <f>IF(AE68&gt;0,'3 pr-2'!O69,0)</f>
        <v>91614.41</v>
      </c>
      <c r="O68" s="1081">
        <v>36363</v>
      </c>
      <c r="P68" s="1082">
        <f>SUM('ketv. 6 '!P68)</f>
        <v>91614.41</v>
      </c>
      <c r="Q68" s="1080">
        <f>IF(AE68&gt;0,'3 pr-2'!R69,0)</f>
        <v>0</v>
      </c>
      <c r="R68" s="1081">
        <v>0</v>
      </c>
      <c r="S68" s="1082">
        <f>SUM('ketv. 6 '!T68)</f>
        <v>0</v>
      </c>
      <c r="T68" s="1080">
        <f>IF(AE68&gt;0,'3 pr-2'!U69,0)</f>
        <v>0</v>
      </c>
      <c r="U68" s="1081">
        <v>0</v>
      </c>
      <c r="V68" s="1082">
        <f>SUM('ketv. 6 '!X68)</f>
        <v>0</v>
      </c>
      <c r="W68" s="1080">
        <f>IF(AE68&gt;0,'3 pr-2'!X69,0)</f>
        <v>0</v>
      </c>
      <c r="X68" s="1081">
        <v>0</v>
      </c>
      <c r="Y68" s="1082">
        <f>SUM('ketv. 6 '!AB68)</f>
        <v>0</v>
      </c>
      <c r="Z68" s="1080">
        <f>IF(AE68&gt;0,'3 pr-2'!AA69,0)</f>
        <v>206056</v>
      </c>
      <c r="AA68" s="1081">
        <v>206056</v>
      </c>
      <c r="AB68" s="1082">
        <f>SUM('ketv. 6 '!AF68)</f>
        <v>206056</v>
      </c>
      <c r="AC68" s="1080">
        <f>IF($AE$9&gt;0,'3 pr-2'!AB69,0)</f>
        <v>0</v>
      </c>
      <c r="AD68" s="1104">
        <f>SUM('3 pr-2'!AG69)</f>
        <v>42779</v>
      </c>
      <c r="AE68" s="1104">
        <v>42787</v>
      </c>
      <c r="AF68" s="198">
        <f t="shared" si="50"/>
        <v>0</v>
      </c>
      <c r="AG68" s="384">
        <f t="shared" si="25"/>
        <v>-0.26301366980672114</v>
      </c>
    </row>
    <row r="69" spans="1:33" ht="48.75">
      <c r="A69" s="164" t="str">
        <f>CONCATENATE('3 pr-2'!A70)</f>
        <v>1.1.1.9.3</v>
      </c>
      <c r="B69" s="281" t="s">
        <v>1592</v>
      </c>
      <c r="C69" s="164" t="str">
        <f>CONCATENATE('3 pr-2'!B70)</f>
        <v>R01-3302-440200-1193</v>
      </c>
      <c r="D69" s="164" t="str">
        <f>CONCATENATE('3 pr-2'!D70)</f>
        <v>Motiejaus Gustaičio memorialinio namo kompleksinis sutvarkymas</v>
      </c>
      <c r="E69" s="164" t="str">
        <f>CONCATENATE('3 pr-2'!E70)</f>
        <v>Lazdijų rajono savivaldybės administracija</v>
      </c>
      <c r="F69" s="164" t="str">
        <f>CONCATENATE('3 pr-2'!F70)</f>
        <v>Lietuvos Respublikos kultūros ministerija</v>
      </c>
      <c r="G69" s="164" t="str">
        <f>CONCATENATE('3 pr-2'!G70)</f>
        <v>Lazdijų r. sav.</v>
      </c>
      <c r="H69" s="164" t="str">
        <f>CONCATENATE('3 pr-2'!H70)</f>
        <v>05.4.1-CPVA-R-302</v>
      </c>
      <c r="I69" s="164" t="str">
        <f>CONCATENATE('3 pr-2'!I70)</f>
        <v>R</v>
      </c>
      <c r="J69" s="164" t="str">
        <f>CONCATENATE('3 pr-2'!J70)</f>
        <v>ITI</v>
      </c>
      <c r="K69" s="1080">
        <f>IF(AE69&gt;0,'3 pr-2'!L70,0)</f>
        <v>242419</v>
      </c>
      <c r="L69" s="1081">
        <f t="shared" si="45"/>
        <v>242419</v>
      </c>
      <c r="M69" s="1082">
        <f t="shared" si="24"/>
        <v>242419</v>
      </c>
      <c r="N69" s="1080">
        <f>IF(AE69&gt;0,'3 pr-2'!O70,0)</f>
        <v>36363</v>
      </c>
      <c r="O69" s="1081">
        <v>36363</v>
      </c>
      <c r="P69" s="1082">
        <f>SUM('ketv. 6 '!P69)</f>
        <v>36363</v>
      </c>
      <c r="Q69" s="1080">
        <f>IF(AE69&gt;0,'3 pr-2'!R70,0)</f>
        <v>0</v>
      </c>
      <c r="R69" s="1081">
        <v>0</v>
      </c>
      <c r="S69" s="1082">
        <f>SUM('ketv. 6 '!T69)</f>
        <v>0</v>
      </c>
      <c r="T69" s="1080">
        <f>IF(AE69&gt;0,'3 pr-2'!U70,0)</f>
        <v>0</v>
      </c>
      <c r="U69" s="1081">
        <v>0</v>
      </c>
      <c r="V69" s="1082">
        <f>SUM('ketv. 6 '!X69)</f>
        <v>0</v>
      </c>
      <c r="W69" s="1080">
        <f>IF(AE69&gt;0,'3 pr-2'!X70,0)</f>
        <v>0</v>
      </c>
      <c r="X69" s="1081">
        <v>0</v>
      </c>
      <c r="Y69" s="1082">
        <f>SUM('ketv. 6 '!AB69)</f>
        <v>0</v>
      </c>
      <c r="Z69" s="1080">
        <f>IF(AE69&gt;0,'3 pr-2'!AA70,0)</f>
        <v>206056</v>
      </c>
      <c r="AA69" s="1081">
        <v>206056</v>
      </c>
      <c r="AB69" s="1082">
        <f>SUM('ketv. 6 '!AF69)</f>
        <v>206056</v>
      </c>
      <c r="AC69" s="1080">
        <f>IF($AE$9&gt;0,'3 pr-2'!AB70,0)</f>
        <v>0</v>
      </c>
      <c r="AD69" s="1104">
        <f>SUM('3 pr-2'!AG70)</f>
        <v>42794</v>
      </c>
      <c r="AE69" s="1104">
        <v>42787</v>
      </c>
      <c r="AF69" s="198">
        <f t="shared" si="50"/>
        <v>0</v>
      </c>
      <c r="AG69" s="384" t="str">
        <f t="shared" si="25"/>
        <v>–</v>
      </c>
    </row>
    <row r="70" spans="1:33" ht="48.75">
      <c r="A70" s="164" t="str">
        <f>CONCATENATE('3 pr-2'!A71)</f>
        <v>1.1.1.9.4</v>
      </c>
      <c r="B70" s="281" t="s">
        <v>1594</v>
      </c>
      <c r="C70" s="164" t="str">
        <f>CONCATENATE('3 pr-2'!B71)</f>
        <v>R01-3302-440000-1194</v>
      </c>
      <c r="D70" s="164" t="str">
        <f>CONCATENATE('3 pr-2'!D71)</f>
        <v>Kurnėnų Lauryno Radziukyno mokyklos pritaikymas kultūrinėms ir turistinėms reikmėms</v>
      </c>
      <c r="E70" s="164" t="str">
        <f>CONCATENATE('3 pr-2'!E71)</f>
        <v>Alytaus rajono savivaldybės administracija</v>
      </c>
      <c r="F70" s="164" t="str">
        <f>CONCATENATE('3 pr-2'!F71)</f>
        <v>Lietuvos Respublikos kultūros ministerija</v>
      </c>
      <c r="G70" s="164" t="str">
        <f>CONCATENATE('3 pr-2'!G71)</f>
        <v>Alytaus r. sav.</v>
      </c>
      <c r="H70" s="164" t="str">
        <f>CONCATENATE('3 pr-2'!H71)</f>
        <v>05.4.1-CPVA-R-302</v>
      </c>
      <c r="I70" s="164" t="str">
        <f>CONCATENATE('3 pr-2'!I71)</f>
        <v>R</v>
      </c>
      <c r="J70" s="164" t="str">
        <f>CONCATENATE('3 pr-2'!J71)</f>
        <v>-</v>
      </c>
      <c r="K70" s="1080">
        <f>IF(AE70&gt;0,'3 pr-2'!L71,0)</f>
        <v>234872.55</v>
      </c>
      <c r="L70" s="1081">
        <f t="shared" si="45"/>
        <v>260122</v>
      </c>
      <c r="M70" s="1082">
        <f t="shared" si="24"/>
        <v>234872.55</v>
      </c>
      <c r="N70" s="1080">
        <f>IF(AE70&gt;0,'3 pr-2'!O71,0)</f>
        <v>35230.89</v>
      </c>
      <c r="O70" s="1081">
        <v>54066</v>
      </c>
      <c r="P70" s="1082">
        <f>SUM('ketv. 6 '!P70)</f>
        <v>35230.89</v>
      </c>
      <c r="Q70" s="1080">
        <f>IF(AE70&gt;0,'3 pr-2'!R71,0)</f>
        <v>0</v>
      </c>
      <c r="R70" s="1081">
        <v>0</v>
      </c>
      <c r="S70" s="1082">
        <f>SUM('ketv. 6 '!T70)</f>
        <v>0</v>
      </c>
      <c r="T70" s="1080">
        <f>IF(AE70&gt;0,'3 pr-2'!U71,0)</f>
        <v>0</v>
      </c>
      <c r="U70" s="1081">
        <v>0</v>
      </c>
      <c r="V70" s="1082">
        <f>SUM('ketv. 6 '!X70)</f>
        <v>0</v>
      </c>
      <c r="W70" s="1080">
        <f>IF(AE70&gt;0,'3 pr-2'!X71,0)</f>
        <v>0</v>
      </c>
      <c r="X70" s="1081">
        <v>0</v>
      </c>
      <c r="Y70" s="1082">
        <f>SUM('ketv. 6 '!AB70)</f>
        <v>0</v>
      </c>
      <c r="Z70" s="1080">
        <f>IF(AE70&gt;0,'3 pr-2'!AA71,0)</f>
        <v>199641.66</v>
      </c>
      <c r="AA70" s="1081">
        <v>206056</v>
      </c>
      <c r="AB70" s="1082">
        <f>SUM('ketv. 6 '!AF70)</f>
        <v>199641.66</v>
      </c>
      <c r="AC70" s="1080">
        <f>IF($AE$9&gt;0,'3 pr-2'!AB71,0)</f>
        <v>0</v>
      </c>
      <c r="AD70" s="1104">
        <f>SUM('3 pr-2'!AG71)</f>
        <v>42794</v>
      </c>
      <c r="AE70" s="1104">
        <v>42787</v>
      </c>
      <c r="AF70" s="198">
        <f t="shared" si="50"/>
        <v>0</v>
      </c>
      <c r="AG70" s="384" t="str">
        <f t="shared" si="25"/>
        <v>–</v>
      </c>
    </row>
    <row r="71" spans="1:33" ht="49.5" thickBot="1">
      <c r="A71" s="164" t="str">
        <f>CONCATENATE('3 pr-2'!A72)</f>
        <v>1.1.1.9.5</v>
      </c>
      <c r="B71" s="281" t="s">
        <v>1595</v>
      </c>
      <c r="C71" s="164" t="str">
        <f>CONCATENATE('3 pr-2'!B72)</f>
        <v>R01-3302-440000-1195</v>
      </c>
      <c r="D71" s="164" t="str">
        <f>CONCATENATE('3 pr-2'!D72)</f>
        <v>Vinco Krėvės-Mickevičiaus memorialinio muziejaus atnaujinimas</v>
      </c>
      <c r="E71" s="164" t="str">
        <f>CONCATENATE('3 pr-2'!E72)</f>
        <v>Varėnos rajono savivaldybės administracija</v>
      </c>
      <c r="F71" s="164" t="str">
        <f>CONCATENATE('3 pr-2'!F72)</f>
        <v>Lietuvos Respublikos kultūros ministerija</v>
      </c>
      <c r="G71" s="164" t="str">
        <f>CONCATENATE('3 pr-2'!G72)</f>
        <v>Varėnos r. sav.</v>
      </c>
      <c r="H71" s="164" t="str">
        <f>CONCATENATE('3 pr-2'!H72)</f>
        <v>05.4.1-CPVA-R-302</v>
      </c>
      <c r="I71" s="164" t="str">
        <f>CONCATENATE('3 pr-2'!I72)</f>
        <v>R</v>
      </c>
      <c r="J71" s="164" t="str">
        <f>CONCATENATE('3 pr-2'!J72)</f>
        <v>-</v>
      </c>
      <c r="K71" s="1080">
        <f>IF(AE71&gt;0,'3 pr-2'!L72,0)</f>
        <v>242419</v>
      </c>
      <c r="L71" s="1081">
        <f t="shared" si="45"/>
        <v>242419</v>
      </c>
      <c r="M71" s="1082">
        <f t="shared" si="24"/>
        <v>204605.56</v>
      </c>
      <c r="N71" s="1080">
        <f>IF(AE71&gt;0,'3 pr-2'!O72,0)</f>
        <v>36363</v>
      </c>
      <c r="O71" s="1081">
        <v>36363</v>
      </c>
      <c r="P71" s="1082">
        <f>SUM('ketv. 6 '!P71)</f>
        <v>30690.84</v>
      </c>
      <c r="Q71" s="1080">
        <f>IF(AE71&gt;0,'3 pr-2'!R72,0)</f>
        <v>0</v>
      </c>
      <c r="R71" s="1081">
        <v>0</v>
      </c>
      <c r="S71" s="1082">
        <f>SUM('ketv. 6 '!T71)</f>
        <v>0</v>
      </c>
      <c r="T71" s="1080">
        <f>IF(AE71&gt;0,'3 pr-2'!U72,0)</f>
        <v>0</v>
      </c>
      <c r="U71" s="1081">
        <v>0</v>
      </c>
      <c r="V71" s="1082">
        <f>SUM('ketv. 6 '!X71)</f>
        <v>0</v>
      </c>
      <c r="W71" s="1080">
        <f>IF(AE71&gt;0,'3 pr-2'!X72,0)</f>
        <v>0</v>
      </c>
      <c r="X71" s="1081">
        <v>0</v>
      </c>
      <c r="Y71" s="1082">
        <f>SUM('ketv. 6 '!AB71)</f>
        <v>0</v>
      </c>
      <c r="Z71" s="1080">
        <f>IF(AE71&gt;0,'3 pr-2'!AA72,0)</f>
        <v>206056</v>
      </c>
      <c r="AA71" s="1081">
        <v>206056</v>
      </c>
      <c r="AB71" s="1082">
        <f>SUM('ketv. 6 '!AF71)</f>
        <v>173914.72</v>
      </c>
      <c r="AC71" s="1080">
        <f>IF($AE$9&gt;0,'3 pr-2'!AB72,0)</f>
        <v>0</v>
      </c>
      <c r="AD71" s="1104">
        <f>SUM('3 pr-2'!AG72)</f>
        <v>42794</v>
      </c>
      <c r="AE71" s="1104">
        <v>42787</v>
      </c>
      <c r="AF71" s="198">
        <f t="shared" si="50"/>
        <v>0</v>
      </c>
      <c r="AG71" s="384" t="str">
        <f t="shared" si="25"/>
        <v>–</v>
      </c>
    </row>
    <row r="72" spans="1:33" ht="39.75" customHeight="1" thickBot="1">
      <c r="A72" s="238" t="str">
        <f>CONCATENATE('3 pr-2'!A73)</f>
        <v>1.1.2.</v>
      </c>
      <c r="B72" s="363"/>
      <c r="C72" s="2085" t="str">
        <f>CONCATENATE('3 pr-2'!B73)</f>
        <v>Uždavinys:
Pagerinti darbo jėgos judėjimo galimybes gerinant susisiekimo sistemas</v>
      </c>
      <c r="D72" s="2086"/>
      <c r="E72" s="2086"/>
      <c r="F72" s="2086"/>
      <c r="G72" s="2086"/>
      <c r="H72" s="2086"/>
      <c r="I72" s="2086"/>
      <c r="J72" s="2087"/>
      <c r="K72" s="1158">
        <f t="shared" ref="K72:AB72" si="51">SUM(K73+K78+K85+K91)</f>
        <v>8717757.129999999</v>
      </c>
      <c r="L72" s="1233">
        <f t="shared" si="51"/>
        <v>7661145.2000000002</v>
      </c>
      <c r="M72" s="1229">
        <f t="shared" si="51"/>
        <v>5646208.8599999994</v>
      </c>
      <c r="N72" s="1158">
        <f t="shared" si="51"/>
        <v>1821114.06</v>
      </c>
      <c r="O72" s="1233">
        <f t="shared" si="51"/>
        <v>2220526.89</v>
      </c>
      <c r="P72" s="1229">
        <f t="shared" si="51"/>
        <v>1311719.99</v>
      </c>
      <c r="Q72" s="1158">
        <f t="shared" si="51"/>
        <v>0</v>
      </c>
      <c r="R72" s="1233">
        <f t="shared" si="51"/>
        <v>0</v>
      </c>
      <c r="S72" s="1229">
        <f t="shared" si="51"/>
        <v>0</v>
      </c>
      <c r="T72" s="1158">
        <f t="shared" si="51"/>
        <v>508815.5</v>
      </c>
      <c r="U72" s="1233">
        <f t="shared" si="51"/>
        <v>508611.95</v>
      </c>
      <c r="V72" s="1229">
        <f t="shared" si="51"/>
        <v>276697</v>
      </c>
      <c r="W72" s="1158">
        <f t="shared" si="51"/>
        <v>62660</v>
      </c>
      <c r="X72" s="1234">
        <f t="shared" si="51"/>
        <v>62660</v>
      </c>
      <c r="Y72" s="1190">
        <f t="shared" si="51"/>
        <v>62660</v>
      </c>
      <c r="Z72" s="1158">
        <f t="shared" si="51"/>
        <v>6325167.5700000003</v>
      </c>
      <c r="AA72" s="1233">
        <f t="shared" si="51"/>
        <v>4869346.3600000003</v>
      </c>
      <c r="AB72" s="1229">
        <f t="shared" si="51"/>
        <v>3995131.87</v>
      </c>
      <c r="AC72" s="1158">
        <f t="shared" ref="AC72" si="52">SUM(AC73+AC78+AC85+AC91)</f>
        <v>0</v>
      </c>
      <c r="AD72" s="1106"/>
      <c r="AE72" s="1107"/>
      <c r="AF72" s="364"/>
      <c r="AG72" s="220"/>
    </row>
    <row r="73" spans="1:33" ht="37.5" customHeight="1" thickBot="1">
      <c r="A73" s="296" t="str">
        <f>CONCATENATE('3 pr-2'!A74)</f>
        <v>1.1.2.1</v>
      </c>
      <c r="B73" s="349"/>
      <c r="C73" s="2088" t="str">
        <f>CONCATENATE('3 pr-2'!B74)</f>
        <v>Priemonė:
Vietinio susisiekimo viešojo transporto priemonių parko atnaujinimas</v>
      </c>
      <c r="D73" s="2089"/>
      <c r="E73" s="2089"/>
      <c r="F73" s="2089"/>
      <c r="G73" s="2089"/>
      <c r="H73" s="2089"/>
      <c r="I73" s="2089"/>
      <c r="J73" s="2090"/>
      <c r="K73" s="1077">
        <f>SUM(K74:K77)</f>
        <v>2005982</v>
      </c>
      <c r="L73" s="1231">
        <f t="shared" ref="L73:AA73" si="53">SUM(L74:L77)</f>
        <v>1599686.45</v>
      </c>
      <c r="M73" s="1079">
        <f t="shared" si="53"/>
        <v>912405</v>
      </c>
      <c r="N73" s="1077">
        <f t="shared" si="53"/>
        <v>233894.5</v>
      </c>
      <c r="O73" s="1078">
        <f t="shared" si="53"/>
        <v>172980.5</v>
      </c>
      <c r="P73" s="1232">
        <f t="shared" si="53"/>
        <v>32724</v>
      </c>
      <c r="Q73" s="1077">
        <f t="shared" si="53"/>
        <v>0</v>
      </c>
      <c r="R73" s="1078">
        <f t="shared" si="53"/>
        <v>0</v>
      </c>
      <c r="S73" s="1082">
        <f>SUM('ketv. 6 '!T73)</f>
        <v>0</v>
      </c>
      <c r="T73" s="1077">
        <f t="shared" si="53"/>
        <v>508815.5</v>
      </c>
      <c r="U73" s="1231">
        <f t="shared" si="53"/>
        <v>508611.95</v>
      </c>
      <c r="V73" s="1079">
        <f t="shared" si="53"/>
        <v>276697</v>
      </c>
      <c r="W73" s="1077">
        <f t="shared" si="53"/>
        <v>0</v>
      </c>
      <c r="X73" s="1078">
        <f t="shared" si="53"/>
        <v>0</v>
      </c>
      <c r="Y73" s="1079">
        <f t="shared" si="53"/>
        <v>0</v>
      </c>
      <c r="Z73" s="1077">
        <f t="shared" si="53"/>
        <v>1263272</v>
      </c>
      <c r="AA73" s="1078">
        <f t="shared" si="53"/>
        <v>918094</v>
      </c>
      <c r="AB73" s="1079">
        <f>SUM(AB74:AB77)</f>
        <v>602984</v>
      </c>
      <c r="AC73" s="1077">
        <f t="shared" ref="AC73" si="54">SUM(AC74:AC77)</f>
        <v>0</v>
      </c>
      <c r="AD73" s="1108"/>
      <c r="AE73" s="1109"/>
      <c r="AF73" s="357"/>
      <c r="AG73" s="358"/>
    </row>
    <row r="74" spans="1:33" ht="48.75">
      <c r="A74" s="164" t="str">
        <f>CONCATENATE('3 pr-2'!A75)</f>
        <v>1.1.2.1.1</v>
      </c>
      <c r="B74" s="281"/>
      <c r="C74" s="164" t="str">
        <f>CONCATENATE('3 pr-2'!B75)</f>
        <v>R01-5518-100000-1211</v>
      </c>
      <c r="D74" s="164" t="str">
        <f>CONCATENATE('3 pr-2'!D75)</f>
        <v>Nekenksmingų aplinkai viešojo transporto priemonių įsigijimas Alytaus mieste</v>
      </c>
      <c r="E74" s="164" t="str">
        <f>CONCATENATE('3 pr-2'!E75)</f>
        <v>Alytaus miesto savivaldybės administracija</v>
      </c>
      <c r="F74" s="164" t="str">
        <f>CONCATENATE('3 pr-2'!F75)</f>
        <v>Lietuvos Respublikos susisiekimo ministerija</v>
      </c>
      <c r="G74" s="164" t="str">
        <f>CONCATENATE('3 pr-2'!G75)</f>
        <v>Alytaus m. sav.</v>
      </c>
      <c r="H74" s="164" t="str">
        <f>CONCATENATE('3 pr-2'!H75)</f>
        <v>04.5.1-TID-R-518</v>
      </c>
      <c r="I74" s="164" t="str">
        <f>CONCATENATE('3 pr-2'!I75)</f>
        <v>R</v>
      </c>
      <c r="J74" s="164" t="str">
        <f>CONCATENATE('3 pr-2'!J75)</f>
        <v>ITI</v>
      </c>
      <c r="K74" s="1080">
        <f>IF(AE74&gt;0,'3 pr-2'!L75,0)</f>
        <v>406091</v>
      </c>
      <c r="L74" s="1081">
        <f t="shared" ref="L74:L97" si="55">SUM(O74+R74+U74+X74+AA74)</f>
        <v>0</v>
      </c>
      <c r="M74" s="1082">
        <f>SUM(P74+S74+V74+Y74+AB74)</f>
        <v>0</v>
      </c>
      <c r="N74" s="1080">
        <f>IF(AE74&gt;0,'3 pr-2'!O75,0)</f>
        <v>60914</v>
      </c>
      <c r="O74" s="1081"/>
      <c r="P74" s="1082">
        <f>SUM('ketv. 6 '!P74)</f>
        <v>0</v>
      </c>
      <c r="Q74" s="1080">
        <f>IF(AE74&gt;0,'3 pr-2'!R75,0)</f>
        <v>0</v>
      </c>
      <c r="R74" s="1081"/>
      <c r="S74" s="1082">
        <f>SUM('ketv. 6 '!T74)</f>
        <v>0</v>
      </c>
      <c r="T74" s="1080">
        <f>IF(AE74&gt;0,'3 pr-2'!U75,0)</f>
        <v>0</v>
      </c>
      <c r="U74" s="1081"/>
      <c r="V74" s="1082">
        <f>SUM('ketv. 6 '!X74)</f>
        <v>0</v>
      </c>
      <c r="W74" s="1080">
        <f>IF(AE74&gt;0,'3 pr-2'!X75,0)</f>
        <v>0</v>
      </c>
      <c r="X74" s="1081"/>
      <c r="Y74" s="1082">
        <f>SUM('ketv. 6 '!AB74)</f>
        <v>0</v>
      </c>
      <c r="Z74" s="1080">
        <f>IF(AE74&gt;0,'3 pr-2'!AA75,0)</f>
        <v>345177</v>
      </c>
      <c r="AA74" s="1081"/>
      <c r="AB74" s="1082">
        <f>SUM('ketv. 6 '!AF74)</f>
        <v>0</v>
      </c>
      <c r="AC74" s="1080">
        <f>IF($AE$9&gt;0,'3 pr-2'!AB75,0)</f>
        <v>0</v>
      </c>
      <c r="AD74" s="1104">
        <f>SUM('3 pr-2'!AG75)</f>
        <v>43465</v>
      </c>
      <c r="AE74" s="1104">
        <v>43465</v>
      </c>
      <c r="AF74" s="164"/>
      <c r="AG74" s="384" t="str">
        <f t="shared" ref="AG74:AG97" si="56">IF(AD74-AE74&lt;0,(AD74-AE74)/30.41667,"–")</f>
        <v>–</v>
      </c>
    </row>
    <row r="75" spans="1:33" ht="48.75">
      <c r="A75" s="164" t="str">
        <f>CONCATENATE('3 pr-2'!A76)</f>
        <v>1.1.2.1.2</v>
      </c>
      <c r="B75" s="281"/>
      <c r="C75" s="164" t="str">
        <f>CONCATENATE('3 pr-2'!B76)</f>
        <v>R01-5518-100000-1212</v>
      </c>
      <c r="D75" s="164" t="str">
        <f>CONCATENATE('3 pr-2'!D76)</f>
        <v>Vietinio susisiekimo transporto priemonių įsigijimas</v>
      </c>
      <c r="E75" s="164" t="str">
        <f>CONCATENATE('3 pr-2'!E76)</f>
        <v>Alytaus rajono savivaldybės administracija</v>
      </c>
      <c r="F75" s="164" t="str">
        <f>CONCATENATE('3 pr-2'!F76)</f>
        <v>Lietuvos Respublikos susisiekimo ministerija</v>
      </c>
      <c r="G75" s="164" t="str">
        <f>CONCATENATE('3 pr-2'!G76)</f>
        <v>Alytaus r. sav.</v>
      </c>
      <c r="H75" s="164" t="str">
        <f>CONCATENATE('3 pr-2'!H76)</f>
        <v>04.5.1-TID-R-518</v>
      </c>
      <c r="I75" s="164" t="str">
        <f>CONCATENATE('3 pr-2'!I76)</f>
        <v>R</v>
      </c>
      <c r="J75" s="164" t="str">
        <f>CONCATENATE('3 pr-2'!J76)</f>
        <v>-</v>
      </c>
      <c r="K75" s="1080">
        <f>IF(AE75&gt;0,'3 pr-2'!L76,0)</f>
        <v>496947</v>
      </c>
      <c r="L75" s="1081">
        <f t="shared" si="55"/>
        <v>496947</v>
      </c>
      <c r="M75" s="1082">
        <f t="shared" ref="M75:M76" si="57">SUM(P75+S75+V75+Y75+AB75)</f>
        <v>0</v>
      </c>
      <c r="N75" s="1080">
        <f>IF(AE75&gt;0,'3 pr-2'!O76,0)</f>
        <v>133574.5</v>
      </c>
      <c r="O75" s="1081">
        <v>133574.5</v>
      </c>
      <c r="P75" s="1082">
        <f>SUM('ketv. 6 '!P75)</f>
        <v>0</v>
      </c>
      <c r="Q75" s="1080">
        <f>IF(AE75&gt;0,'3 pr-2'!R76,0)</f>
        <v>0</v>
      </c>
      <c r="R75" s="1081">
        <v>0</v>
      </c>
      <c r="S75" s="1082">
        <f>SUM('ketv. 6 '!T75)</f>
        <v>0</v>
      </c>
      <c r="T75" s="1080">
        <f>IF(AE75&gt;0,'3 pr-2'!U76,0)</f>
        <v>86123.5</v>
      </c>
      <c r="U75" s="1081">
        <v>86123.5</v>
      </c>
      <c r="V75" s="1082">
        <f>SUM('ketv. 6 '!X75)</f>
        <v>0</v>
      </c>
      <c r="W75" s="1080">
        <f>IF(AE75&gt;0,'3 pr-2'!X76,0)</f>
        <v>0</v>
      </c>
      <c r="X75" s="1081">
        <v>0</v>
      </c>
      <c r="Y75" s="1082">
        <f>SUM('ketv. 6 '!AB75)</f>
        <v>0</v>
      </c>
      <c r="Z75" s="1080">
        <f>IF(AE75&gt;0,'3 pr-2'!AA76,0)</f>
        <v>277249</v>
      </c>
      <c r="AA75" s="1081">
        <v>277249</v>
      </c>
      <c r="AB75" s="1082">
        <f>SUM('ketv. 6 '!AF75)</f>
        <v>0</v>
      </c>
      <c r="AC75" s="1080">
        <f>IF($AE$9&gt;0,'3 pr-2'!AB76,0)</f>
        <v>0</v>
      </c>
      <c r="AD75" s="1104">
        <f>SUM('3 pr-2'!AG76)</f>
        <v>43292</v>
      </c>
      <c r="AE75" s="1104">
        <v>42944</v>
      </c>
      <c r="AF75" s="164"/>
      <c r="AG75" s="384" t="str">
        <f t="shared" si="56"/>
        <v>–</v>
      </c>
    </row>
    <row r="76" spans="1:33" ht="48.75">
      <c r="A76" s="164" t="str">
        <f>CONCATENATE('3 pr-2'!A77)</f>
        <v>1.1.2.1.3</v>
      </c>
      <c r="B76" s="281" t="s">
        <v>1654</v>
      </c>
      <c r="C76" s="164" t="str">
        <f>CONCATENATE('3 pr-2'!B77)</f>
        <v>R01-5518-100000-1213</v>
      </c>
      <c r="D76" s="164" t="str">
        <f>CONCATENATE('3 pr-2'!D77)</f>
        <v>Ekologiškų transporto priemonių įsigijimas Druskininkų savivaldybėje</v>
      </c>
      <c r="E76" s="164" t="str">
        <f>CONCATENATE('3 pr-2'!E77)</f>
        <v xml:space="preserve">Druskininkų savivaldybės administracija  </v>
      </c>
      <c r="F76" s="164" t="str">
        <f>CONCATENATE('3 pr-2'!F77)</f>
        <v>Lietuvos Respublikos susisiekimo ministerija</v>
      </c>
      <c r="G76" s="164" t="str">
        <f>CONCATENATE('3 pr-2'!G77)</f>
        <v>Druskininkų sav.</v>
      </c>
      <c r="H76" s="164" t="str">
        <f>CONCATENATE('3 pr-2'!H77)</f>
        <v>04.5.1-TID-R-518</v>
      </c>
      <c r="I76" s="164" t="str">
        <f>CONCATENATE('3 pr-2'!I77)</f>
        <v>R</v>
      </c>
      <c r="J76" s="164" t="str">
        <f>CONCATENATE('3 pr-2'!J77)</f>
        <v>-</v>
      </c>
      <c r="K76" s="1080">
        <f>IF(AE76&gt;0,'3 pr-2'!L77,0)</f>
        <v>840240</v>
      </c>
      <c r="L76" s="1081">
        <f t="shared" si="55"/>
        <v>840036.45</v>
      </c>
      <c r="M76" s="1082">
        <f t="shared" si="57"/>
        <v>694245</v>
      </c>
      <c r="N76" s="1080">
        <f>IF(AE76&gt;0,'3 pr-2'!O77,0)</f>
        <v>0</v>
      </c>
      <c r="O76" s="1081">
        <v>0</v>
      </c>
      <c r="P76" s="1082">
        <f>SUM('ketv. 6 '!P76)</f>
        <v>0</v>
      </c>
      <c r="Q76" s="1080">
        <f>IF(AE76&gt;0,'3 pr-2'!R77,0)</f>
        <v>0</v>
      </c>
      <c r="R76" s="1081">
        <v>0</v>
      </c>
      <c r="S76" s="1082">
        <f>SUM('ketv. 6 '!T76)</f>
        <v>0</v>
      </c>
      <c r="T76" s="1080">
        <f>IF(AE76&gt;0,'3 pr-2'!U77,0)</f>
        <v>422692</v>
      </c>
      <c r="U76" s="1081">
        <v>422488.45</v>
      </c>
      <c r="V76" s="1082">
        <f>SUM('ketv. 6 '!X76)</f>
        <v>276697</v>
      </c>
      <c r="W76" s="1080">
        <f>IF(AE76&gt;0,'3 pr-2'!X77,0)</f>
        <v>0</v>
      </c>
      <c r="X76" s="1081">
        <v>0</v>
      </c>
      <c r="Y76" s="1082">
        <f>SUM('ketv. 6 '!AB76)</f>
        <v>0</v>
      </c>
      <c r="Z76" s="1080">
        <f>IF(AE76&gt;0,'3 pr-2'!AA77,0)</f>
        <v>417548</v>
      </c>
      <c r="AA76" s="1081">
        <v>417548</v>
      </c>
      <c r="AB76" s="1082">
        <f>SUM('ketv. 6 '!AF76)</f>
        <v>417548</v>
      </c>
      <c r="AC76" s="1080">
        <f>IF($AE$9&gt;0,'3 pr-2'!AB77,0)</f>
        <v>0</v>
      </c>
      <c r="AD76" s="1104">
        <f>SUM('3 pr-2'!AG77)</f>
        <v>42978</v>
      </c>
      <c r="AE76" s="1104">
        <v>42944</v>
      </c>
      <c r="AF76" s="164"/>
      <c r="AG76" s="384" t="str">
        <f t="shared" si="56"/>
        <v>–</v>
      </c>
    </row>
    <row r="77" spans="1:33" ht="49.5" thickBot="1">
      <c r="A77" s="164" t="str">
        <f>CONCATENATE('3 pr-2'!A78)</f>
        <v>1.1.2.1.4</v>
      </c>
      <c r="B77" s="281" t="s">
        <v>1653</v>
      </c>
      <c r="C77" s="164" t="str">
        <f>CONCATENATE('3 pr-2'!B78)</f>
        <v>R01-5518-100000-1214</v>
      </c>
      <c r="D77" s="164" t="str">
        <f>CONCATENATE('3 pr-2'!D78)</f>
        <v>Ekologiškų transporto priemonių įsigijimas Lazdijų rajono savivaldybėje</v>
      </c>
      <c r="E77" s="164" t="str">
        <f>CONCATENATE('3 pr-2'!E78)</f>
        <v>Lazdijų rajono savivaldybės administracija</v>
      </c>
      <c r="F77" s="164" t="str">
        <f>CONCATENATE('3 pr-2'!F78)</f>
        <v>Lietuvos Respublikos susisiekimo ministerija</v>
      </c>
      <c r="G77" s="164" t="str">
        <f>CONCATENATE('3 pr-2'!G78)</f>
        <v>Lazdijų r. sav.</v>
      </c>
      <c r="H77" s="164" t="str">
        <f>CONCATENATE('3 pr-2'!H78)</f>
        <v>04.5.1-TID-R-518</v>
      </c>
      <c r="I77" s="164" t="str">
        <f>CONCATENATE('3 pr-2'!I78)</f>
        <v>R</v>
      </c>
      <c r="J77" s="164" t="str">
        <f>CONCATENATE('3 pr-2'!J78)</f>
        <v>-</v>
      </c>
      <c r="K77" s="1080">
        <f>IF(AE77&gt;0,'3 pr-2'!L78,0)</f>
        <v>262704</v>
      </c>
      <c r="L77" s="1081">
        <f t="shared" si="55"/>
        <v>262703</v>
      </c>
      <c r="M77" s="1082">
        <f>SUM(P77+S77+V77+Y77+AB77)</f>
        <v>218160</v>
      </c>
      <c r="N77" s="1080">
        <f>IF(AE77&gt;0,'3 pr-2'!O78,0)</f>
        <v>39406</v>
      </c>
      <c r="O77" s="1081">
        <v>39406</v>
      </c>
      <c r="P77" s="1082">
        <f>SUM('ketv. 6 '!P77)</f>
        <v>32724</v>
      </c>
      <c r="Q77" s="1080">
        <f>IF(AE77&gt;0,'3 pr-2'!R78,0)</f>
        <v>0</v>
      </c>
      <c r="R77" s="1081">
        <v>0</v>
      </c>
      <c r="S77" s="1082">
        <f>SUM('ketv. 6 '!T77)</f>
        <v>0</v>
      </c>
      <c r="T77" s="1080">
        <f>IF(AE77&gt;0,'3 pr-2'!U78,0)</f>
        <v>0</v>
      </c>
      <c r="U77" s="1081">
        <v>0</v>
      </c>
      <c r="V77" s="1082">
        <f>SUM('ketv. 6 '!X77)</f>
        <v>0</v>
      </c>
      <c r="W77" s="1080">
        <f>IF(AE77&gt;0,'3 pr-2'!X78,0)</f>
        <v>0</v>
      </c>
      <c r="X77" s="1081">
        <v>0</v>
      </c>
      <c r="Y77" s="1082">
        <f>SUM('ketv. 6 '!AB77)</f>
        <v>0</v>
      </c>
      <c r="Z77" s="1080">
        <f>IF(AE77&gt;0,'3 pr-2'!AA78,0)</f>
        <v>223298</v>
      </c>
      <c r="AA77" s="1081">
        <v>223297</v>
      </c>
      <c r="AB77" s="1082">
        <f>SUM('ketv. 6 '!AF77)</f>
        <v>185436</v>
      </c>
      <c r="AC77" s="1080">
        <f>IF($AE$9&gt;0,'3 pr-2'!AB78,0)</f>
        <v>0</v>
      </c>
      <c r="AD77" s="1104">
        <f>SUM('3 pr-2'!AG78)</f>
        <v>42978</v>
      </c>
      <c r="AE77" s="1104">
        <v>42944</v>
      </c>
      <c r="AF77" s="164"/>
      <c r="AG77" s="384" t="str">
        <f t="shared" si="56"/>
        <v>–</v>
      </c>
    </row>
    <row r="78" spans="1:33" ht="36" customHeight="1" thickBot="1">
      <c r="A78" s="296" t="str">
        <f>CONCATENATE('3 pr-2'!A79)</f>
        <v>1.1.2.2</v>
      </c>
      <c r="B78" s="349"/>
      <c r="C78" s="2088" t="str">
        <f>CONCATENATE('3 pr-2'!B79)</f>
        <v>Priemonė:
Darnaus judumo priemonių diegimas</v>
      </c>
      <c r="D78" s="2089"/>
      <c r="E78" s="2089"/>
      <c r="F78" s="2089"/>
      <c r="G78" s="2089"/>
      <c r="H78" s="2089"/>
      <c r="I78" s="2089"/>
      <c r="J78" s="2090"/>
      <c r="K78" s="1077">
        <f t="shared" ref="K78:AC78" si="58">SUM(K79:K84)</f>
        <v>1894943.24</v>
      </c>
      <c r="L78" s="1231">
        <f t="shared" si="58"/>
        <v>700836.24</v>
      </c>
      <c r="M78" s="1079">
        <f t="shared" si="58"/>
        <v>50638</v>
      </c>
      <c r="N78" s="1077">
        <f t="shared" si="58"/>
        <v>284241.14</v>
      </c>
      <c r="O78" s="1078">
        <f t="shared" si="58"/>
        <v>105125.44</v>
      </c>
      <c r="P78" s="1232">
        <f t="shared" si="58"/>
        <v>7595.7</v>
      </c>
      <c r="Q78" s="1077">
        <f t="shared" si="58"/>
        <v>0</v>
      </c>
      <c r="R78" s="1078">
        <f t="shared" si="58"/>
        <v>0</v>
      </c>
      <c r="S78" s="1082">
        <f t="shared" si="58"/>
        <v>0</v>
      </c>
      <c r="T78" s="1077">
        <f t="shared" si="58"/>
        <v>0</v>
      </c>
      <c r="U78" s="1231">
        <f t="shared" si="58"/>
        <v>0</v>
      </c>
      <c r="V78" s="1079">
        <f t="shared" si="58"/>
        <v>0</v>
      </c>
      <c r="W78" s="1077">
        <f t="shared" si="58"/>
        <v>0</v>
      </c>
      <c r="X78" s="1078">
        <f t="shared" si="58"/>
        <v>0</v>
      </c>
      <c r="Y78" s="1079">
        <f t="shared" si="58"/>
        <v>0</v>
      </c>
      <c r="Z78" s="1077">
        <f t="shared" si="58"/>
        <v>1610702.1</v>
      </c>
      <c r="AA78" s="1078">
        <f t="shared" si="58"/>
        <v>595710.80000000005</v>
      </c>
      <c r="AB78" s="1079">
        <f t="shared" si="58"/>
        <v>43042.3</v>
      </c>
      <c r="AC78" s="1077">
        <f t="shared" si="58"/>
        <v>0</v>
      </c>
      <c r="AD78" s="1108"/>
      <c r="AE78" s="1109"/>
      <c r="AF78" s="357"/>
      <c r="AG78" s="358"/>
    </row>
    <row r="79" spans="1:33" ht="48.75">
      <c r="A79" s="164" t="str">
        <f>CONCATENATE('3 pr-2'!A80)</f>
        <v>1.1.2.2.1</v>
      </c>
      <c r="B79" s="281"/>
      <c r="C79" s="164" t="str">
        <f>CONCATENATE('3 pr-2'!B80)</f>
        <v>R01-5514-190000-1221</v>
      </c>
      <c r="D79" s="164" t="str">
        <f>CONCATENATE('3 pr-2'!D80)</f>
        <v>Darnaus judumo priemonių diegimas Alytaus mieste</v>
      </c>
      <c r="E79" s="164" t="str">
        <f>CONCATENATE('3 pr-2'!E80)</f>
        <v>Alytaus miesto savivaldybės administracija</v>
      </c>
      <c r="F79" s="164" t="str">
        <f>CONCATENATE('3 pr-2'!F80)</f>
        <v>Lietuvos Respublikos susisiekimo ministerija</v>
      </c>
      <c r="G79" s="164" t="str">
        <f>CONCATENATE('3 pr-2'!G80)</f>
        <v>Alytaus m. sav.</v>
      </c>
      <c r="H79" s="164" t="str">
        <f>CONCATENATE('3 pr-2'!H80)</f>
        <v>04.5.1.-TID-R-514</v>
      </c>
      <c r="I79" s="164" t="str">
        <f>CONCATENATE('3 pr-2'!I80)</f>
        <v>R</v>
      </c>
      <c r="J79" s="164" t="str">
        <f>CONCATENATE('3 pr-2'!J80)</f>
        <v>ITI</v>
      </c>
      <c r="K79" s="1080">
        <f>IF(AE79&gt;0,'3 pr-2'!L80,0)</f>
        <v>1143469</v>
      </c>
      <c r="L79" s="1081">
        <f t="shared" si="55"/>
        <v>0</v>
      </c>
      <c r="M79" s="1082">
        <f t="shared" ref="M79:M98" si="59">SUM(P79+S79+V79+Y79+AB79)</f>
        <v>0</v>
      </c>
      <c r="N79" s="1080">
        <f>IF(AE79&gt;0,'3 pr-2'!O80,0)</f>
        <v>171520</v>
      </c>
      <c r="O79" s="1081"/>
      <c r="P79" s="1082">
        <f>SUM('ketv. 6 '!P79)</f>
        <v>0</v>
      </c>
      <c r="Q79" s="1080">
        <f>IF(AE79&gt;0,'3 pr-2'!R80,0)</f>
        <v>0</v>
      </c>
      <c r="R79" s="1081"/>
      <c r="S79" s="1082">
        <f>SUM('ketv. 6 '!T79)</f>
        <v>0</v>
      </c>
      <c r="T79" s="1080">
        <f>IF(AE79&gt;0,'3 pr-2'!U80,0)</f>
        <v>0</v>
      </c>
      <c r="U79" s="1081"/>
      <c r="V79" s="1082">
        <f>SUM('ketv. 6 '!X79)</f>
        <v>0</v>
      </c>
      <c r="W79" s="1080">
        <f>IF(AE79&gt;0,'3 pr-2'!X80,0)</f>
        <v>0</v>
      </c>
      <c r="X79" s="1081"/>
      <c r="Y79" s="1082">
        <f>SUM('ketv. 6 '!AB79)</f>
        <v>0</v>
      </c>
      <c r="Z79" s="1080">
        <f>IF(AE79&gt;0,'3 pr-2'!AA80,0)</f>
        <v>971949</v>
      </c>
      <c r="AA79" s="1081"/>
      <c r="AB79" s="1082">
        <f>SUM('ketv. 6 '!AF79)</f>
        <v>0</v>
      </c>
      <c r="AC79" s="1080">
        <f>IF($AE$9&gt;0,'3 pr-2'!AB80,0)</f>
        <v>0</v>
      </c>
      <c r="AD79" s="1104">
        <f>SUM('3 pr-2'!AG80)</f>
        <v>43388</v>
      </c>
      <c r="AE79" s="1111">
        <v>43388</v>
      </c>
      <c r="AF79" s="214"/>
      <c r="AG79" s="384" t="str">
        <f t="shared" si="56"/>
        <v>–</v>
      </c>
    </row>
    <row r="80" spans="1:33" ht="48.75">
      <c r="A80" s="164" t="str">
        <f>CONCATENATE('3 pr-2'!A81)</f>
        <v>1.1.2.2.2</v>
      </c>
      <c r="B80" s="281" t="s">
        <v>715</v>
      </c>
      <c r="C80" s="164" t="str">
        <f>CONCATENATE('3 pr-2'!B81)</f>
        <v>R01-5514-190000-1222</v>
      </c>
      <c r="D80" s="375" t="str">
        <f>CONCATENATE('3 pr-2'!D81)</f>
        <v>Alytaus miesto darnaus judumo plano parengimas</v>
      </c>
      <c r="E80" s="375" t="str">
        <f>CONCATENATE('3 pr-2'!E81)</f>
        <v>Alytaus miesto savivaldybės administracija</v>
      </c>
      <c r="F80" s="375" t="str">
        <f>CONCATENATE('3 pr-2'!F81)</f>
        <v>Lietuvos Respublikos susisiekimo ministerija</v>
      </c>
      <c r="G80" s="375" t="str">
        <f>CONCATENATE('3 pr-2'!G81)</f>
        <v>Alytaus m. sav.</v>
      </c>
      <c r="H80" s="375" t="str">
        <f>CONCATENATE('3 pr-2'!H81)</f>
        <v>04.5.1-TID-V-513</v>
      </c>
      <c r="I80" s="375" t="str">
        <f>CONCATENATE('3 pr-2'!I81)</f>
        <v>V</v>
      </c>
      <c r="J80" s="375" t="str">
        <f>CONCATENATE('3 pr-2'!J81)</f>
        <v>ITI</v>
      </c>
      <c r="K80" s="1173">
        <f>IF(AE80&gt;0,'3 pr-2'!L81,0)</f>
        <v>33638</v>
      </c>
      <c r="L80" s="1081">
        <f t="shared" si="55"/>
        <v>0</v>
      </c>
      <c r="M80" s="1082">
        <f t="shared" si="59"/>
        <v>33638</v>
      </c>
      <c r="N80" s="1173">
        <f>IF(AE80&gt;0,'3 pr-2'!O81,0)</f>
        <v>5045.7</v>
      </c>
      <c r="O80" s="1235"/>
      <c r="P80" s="1082">
        <f>SUM('ketv. 6 '!P80)</f>
        <v>5045.7</v>
      </c>
      <c r="Q80" s="1173">
        <f>IF(AE80&gt;0,'3 pr-2'!R81,0)</f>
        <v>0</v>
      </c>
      <c r="R80" s="1235"/>
      <c r="S80" s="1082">
        <f>SUM('ketv. 6 '!T80)</f>
        <v>0</v>
      </c>
      <c r="T80" s="1173">
        <f>IF(AE80&gt;0,'3 pr-2'!U81,0)</f>
        <v>0</v>
      </c>
      <c r="U80" s="1235"/>
      <c r="V80" s="1082">
        <f>SUM('ketv. 6 '!X80)</f>
        <v>0</v>
      </c>
      <c r="W80" s="1173">
        <f>IF(AE80&gt;0,'3 pr-2'!X81,0)</f>
        <v>0</v>
      </c>
      <c r="X80" s="1235"/>
      <c r="Y80" s="1082">
        <f>SUM('ketv. 6 '!AB80)</f>
        <v>0</v>
      </c>
      <c r="Z80" s="1173">
        <f>IF(AE80&gt;0,'3 pr-2'!AA81,0)</f>
        <v>28592.3</v>
      </c>
      <c r="AA80" s="1235"/>
      <c r="AB80" s="1082">
        <f>SUM('ketv. 6 '!AF80)</f>
        <v>28592.3</v>
      </c>
      <c r="AC80" s="1173">
        <f>IF($AE$9&gt;0,'3 pr-2'!AB81,0)</f>
        <v>0</v>
      </c>
      <c r="AD80" s="1112">
        <f>SUM('3 pr-2'!AG81)</f>
        <v>42674</v>
      </c>
      <c r="AE80" s="1113">
        <v>42671</v>
      </c>
      <c r="AF80" s="376">
        <f t="shared" ref="AF80" si="60">IF((YEAR(AD80)-YEAR(AE80))=0,0,YEAR(AD80)-YEAR(AE80))</f>
        <v>0</v>
      </c>
      <c r="AG80" s="1059" t="str">
        <f t="shared" si="56"/>
        <v>–</v>
      </c>
    </row>
    <row r="81" spans="1:33" ht="48.75">
      <c r="A81" s="164" t="str">
        <f>CONCATENATE('3 pr-2'!A82)</f>
        <v>1.1.2.2.3</v>
      </c>
      <c r="B81" s="281"/>
      <c r="C81" s="164" t="str">
        <f>CONCATENATE('3 pr-2'!B82)</f>
        <v>R01-5514-191800-1223</v>
      </c>
      <c r="D81" s="375" t="str">
        <f>CONCATENATE('3 pr-2'!D82)</f>
        <v>Intelektinių transporto sistemų diegimas Druskininkuose</v>
      </c>
      <c r="E81" s="375" t="str">
        <f>CONCATENATE('3 pr-2'!E82)</f>
        <v>Druskininkų savivaldybės administracija</v>
      </c>
      <c r="F81" s="375" t="str">
        <f>CONCATENATE('3 pr-2'!F82)</f>
        <v>Lietuvos Respublikos susisiekimo ministerija</v>
      </c>
      <c r="G81" s="375" t="str">
        <f>CONCATENATE('3 pr-2'!G82)</f>
        <v>Druskininkų sav.</v>
      </c>
      <c r="H81" s="375" t="str">
        <f>CONCATENATE('3 pr-2'!H82)</f>
        <v>04.5.1.-TID-R-514</v>
      </c>
      <c r="I81" s="375" t="str">
        <f>CONCATENATE('3 pr-2'!I82)</f>
        <v>R</v>
      </c>
      <c r="J81" s="375" t="str">
        <f>CONCATENATE('3 pr-2'!J82)</f>
        <v>-</v>
      </c>
      <c r="K81" s="1173">
        <f>IF(AE81&gt;0,'3 pr-2'!L82,0)</f>
        <v>160836.24</v>
      </c>
      <c r="L81" s="1081">
        <f t="shared" si="55"/>
        <v>160836.24</v>
      </c>
      <c r="M81" s="1082">
        <f t="shared" si="59"/>
        <v>0</v>
      </c>
      <c r="N81" s="1173">
        <f>IF(AE81&gt;0,'3 pr-2'!O82,0)</f>
        <v>24125.439999999999</v>
      </c>
      <c r="O81" s="1235">
        <v>24125.439999999999</v>
      </c>
      <c r="P81" s="1082">
        <f>SUM('ketv. 6 '!P81)</f>
        <v>0</v>
      </c>
      <c r="Q81" s="1173">
        <f>IF(AE81&gt;0,'3 pr-2'!R82,0)</f>
        <v>0</v>
      </c>
      <c r="R81" s="1235">
        <v>0</v>
      </c>
      <c r="S81" s="1082">
        <f>SUM('ketv. 6 '!T81)</f>
        <v>0</v>
      </c>
      <c r="T81" s="1173">
        <f>IF(AE81&gt;0,'3 pr-2'!U82,0)</f>
        <v>0</v>
      </c>
      <c r="U81" s="1235">
        <v>0</v>
      </c>
      <c r="V81" s="1082">
        <f>SUM('ketv. 6 '!X81)</f>
        <v>0</v>
      </c>
      <c r="W81" s="1173">
        <f>IF(AE81&gt;0,'3 pr-2'!X82,0)</f>
        <v>0</v>
      </c>
      <c r="X81" s="1235">
        <v>0</v>
      </c>
      <c r="Y81" s="1082">
        <f>SUM('ketv. 6 '!AB81)</f>
        <v>0</v>
      </c>
      <c r="Z81" s="1173">
        <f>IF(AE81&gt;0,'3 pr-2'!AA82,0)</f>
        <v>136710.79999999999</v>
      </c>
      <c r="AA81" s="1235">
        <v>136710.79999999999</v>
      </c>
      <c r="AB81" s="1082">
        <f>SUM('ketv. 6 '!AF81)</f>
        <v>0</v>
      </c>
      <c r="AC81" s="1173">
        <f>IF($AE$9&gt;0,'3 pr-2'!AB82,0)</f>
        <v>0</v>
      </c>
      <c r="AD81" s="1112">
        <f>SUM('3 pr-2'!AG82)</f>
        <v>43343</v>
      </c>
      <c r="AE81" s="1113">
        <v>43311</v>
      </c>
      <c r="AF81" s="991"/>
      <c r="AG81" s="1059" t="str">
        <f t="shared" si="56"/>
        <v>–</v>
      </c>
    </row>
    <row r="82" spans="1:33" ht="48.75">
      <c r="A82" s="164" t="str">
        <f>CONCATENATE('3 pr-2'!A83)</f>
        <v>1.1.2.2.4</v>
      </c>
      <c r="B82" s="281" t="s">
        <v>714</v>
      </c>
      <c r="C82" s="164" t="str">
        <f>CONCATENATE('3 pr-2'!B83)</f>
        <v>R01-5514-190000-1224</v>
      </c>
      <c r="D82" s="375" t="str">
        <f>CONCATENATE('3 pr-2'!D83)</f>
        <v>Darnaus judumo plano Druskininkuose parengimas</v>
      </c>
      <c r="E82" s="375" t="str">
        <f>CONCATENATE('3 pr-2'!E83)</f>
        <v>Druskininkų savivaldybės administracija</v>
      </c>
      <c r="F82" s="375" t="str">
        <f>CONCATENATE('3 pr-2'!F83)</f>
        <v>Lietuvos Respublikos susisiekimo ministerija</v>
      </c>
      <c r="G82" s="375" t="str">
        <f>CONCATENATE('3 pr-2'!G83)</f>
        <v>Druskininkų sav.</v>
      </c>
      <c r="H82" s="375" t="str">
        <f>CONCATENATE('3 pr-2'!H83)</f>
        <v>04.5.1-TID-V-513</v>
      </c>
      <c r="I82" s="375" t="str">
        <f>CONCATENATE('3 pr-2'!I83)</f>
        <v>V</v>
      </c>
      <c r="J82" s="375" t="str">
        <f>CONCATENATE('3 pr-2'!J83)</f>
        <v>ITI</v>
      </c>
      <c r="K82" s="1173">
        <f>IF(AE82&gt;0,'3 pr-2'!L83,0)</f>
        <v>17000</v>
      </c>
      <c r="L82" s="1081">
        <f t="shared" si="55"/>
        <v>0</v>
      </c>
      <c r="M82" s="1082">
        <f t="shared" si="59"/>
        <v>17000</v>
      </c>
      <c r="N82" s="1173">
        <f>IF(AE82&gt;0,'3 pr-2'!O83,0)</f>
        <v>2550</v>
      </c>
      <c r="O82" s="1235"/>
      <c r="P82" s="1082">
        <f>SUM('ketv. 6 '!P82)</f>
        <v>2550</v>
      </c>
      <c r="Q82" s="1173">
        <f>IF(AE82&gt;0,'3 pr-2'!R83,0)</f>
        <v>0</v>
      </c>
      <c r="R82" s="1235"/>
      <c r="S82" s="1082">
        <f>SUM('ketv. 6 '!T82)</f>
        <v>0</v>
      </c>
      <c r="T82" s="1173">
        <f>IF(AE82&gt;0,'3 pr-2'!U83,0)</f>
        <v>0</v>
      </c>
      <c r="U82" s="1235"/>
      <c r="V82" s="1082">
        <f>SUM('ketv. 6 '!X82)</f>
        <v>0</v>
      </c>
      <c r="W82" s="1173">
        <f>IF(AE82&gt;0,'3 pr-2'!X83,0)</f>
        <v>0</v>
      </c>
      <c r="X82" s="1235"/>
      <c r="Y82" s="1082">
        <f>SUM('ketv. 6 '!AB82)</f>
        <v>0</v>
      </c>
      <c r="Z82" s="1173">
        <f>IF(AE82&gt;0,'3 pr-2'!AA83,0)</f>
        <v>14450</v>
      </c>
      <c r="AA82" s="1235"/>
      <c r="AB82" s="1082">
        <f>SUM('ketv. 6 '!AF82)</f>
        <v>14450</v>
      </c>
      <c r="AC82" s="1173">
        <f>IF($AE$9&gt;0,'3 pr-2'!AB83,0)</f>
        <v>0</v>
      </c>
      <c r="AD82" s="1112">
        <f>SUM('3 pr-2'!AG83)</f>
        <v>42674</v>
      </c>
      <c r="AE82" s="1113">
        <v>42671</v>
      </c>
      <c r="AF82" s="376">
        <f t="shared" ref="AF82" si="61">IF((YEAR(AD82)-YEAR(AE82))=0,0,YEAR(AD82)-YEAR(AE82))</f>
        <v>0</v>
      </c>
      <c r="AG82" s="1059" t="str">
        <f t="shared" si="56"/>
        <v>–</v>
      </c>
    </row>
    <row r="83" spans="1:33" ht="48.75">
      <c r="A83" s="164" t="str">
        <f>CONCATENATE('3 pr-2'!A84)</f>
        <v>1.1.2.2.5</v>
      </c>
      <c r="B83" s="281"/>
      <c r="C83" s="164" t="str">
        <f>CONCATENATE('3 pr-2'!B84)</f>
        <v>R01-5514-190000-1225</v>
      </c>
      <c r="D83" s="375" t="str">
        <f>CONCATENATE('3 pr-2'!D84)</f>
        <v>Viešojo transporto organizavimo tobulinimas rekonstruojant Druskininkų miesto gatvių infrastruktūrą</v>
      </c>
      <c r="E83" s="375" t="str">
        <f>CONCATENATE('3 pr-2'!E84)</f>
        <v>Druskininkų savivaldybės administracija</v>
      </c>
      <c r="F83" s="375" t="str">
        <f>CONCATENATE('3 pr-2'!F84)</f>
        <v>Lietuvos Respublikos susisiekimo ministerija</v>
      </c>
      <c r="G83" s="375" t="str">
        <f>CONCATENATE('3 pr-2'!G84)</f>
        <v>Druskininkų sav.</v>
      </c>
      <c r="H83" s="375" t="str">
        <f>CONCATENATE('3 pr-2'!H84)</f>
        <v>04.5.1.-TID-R-514</v>
      </c>
      <c r="I83" s="375" t="str">
        <f>CONCATENATE('3 pr-2'!I84)</f>
        <v>R</v>
      </c>
      <c r="J83" s="375" t="str">
        <f>CONCATENATE('3 pr-2'!J84)</f>
        <v>-</v>
      </c>
      <c r="K83" s="1173">
        <f>IF(AE83&gt;0,'3 pr-2'!L84,0)</f>
        <v>290000</v>
      </c>
      <c r="L83" s="1081">
        <f t="shared" si="55"/>
        <v>290000</v>
      </c>
      <c r="M83" s="1082">
        <f t="shared" si="59"/>
        <v>0</v>
      </c>
      <c r="N83" s="1173">
        <f>IF(AE83&gt;0,'3 pr-2'!O84,0)</f>
        <v>43500</v>
      </c>
      <c r="O83" s="1235">
        <v>43500</v>
      </c>
      <c r="P83" s="1082">
        <f>SUM('ketv. 6 '!P83)</f>
        <v>0</v>
      </c>
      <c r="Q83" s="1173">
        <f>IF(AE83&gt;0,'3 pr-2'!R84,0)</f>
        <v>0</v>
      </c>
      <c r="R83" s="1235">
        <v>0</v>
      </c>
      <c r="S83" s="1082">
        <f>SUM('ketv. 6 '!T83)</f>
        <v>0</v>
      </c>
      <c r="T83" s="1173">
        <f>IF(AE83&gt;0,'3 pr-2'!U84,0)</f>
        <v>0</v>
      </c>
      <c r="U83" s="1235">
        <v>0</v>
      </c>
      <c r="V83" s="1082">
        <f>SUM('ketv. 6 '!X83)</f>
        <v>0</v>
      </c>
      <c r="W83" s="1173">
        <f>IF(AE83&gt;0,'3 pr-2'!X84,0)</f>
        <v>0</v>
      </c>
      <c r="X83" s="1235">
        <v>0</v>
      </c>
      <c r="Y83" s="1082">
        <f>SUM('ketv. 6 '!AB83)</f>
        <v>0</v>
      </c>
      <c r="Z83" s="1173">
        <f>IF(AE83&gt;0,'3 pr-2'!AA84,0)</f>
        <v>246500</v>
      </c>
      <c r="AA83" s="1235">
        <v>246500</v>
      </c>
      <c r="AB83" s="1082">
        <f>SUM('ketv. 6 '!AF83)</f>
        <v>0</v>
      </c>
      <c r="AC83" s="1173">
        <f>IF($AE$9&gt;0,'3 pr-2'!AB84,0)</f>
        <v>0</v>
      </c>
      <c r="AD83" s="1112">
        <f>SUM('3 pr-2'!AG84)</f>
        <v>43343</v>
      </c>
      <c r="AE83" s="1113">
        <v>43311</v>
      </c>
      <c r="AF83" s="376">
        <f t="shared" ref="AF83:AF84" si="62">IF((YEAR(AD83)-YEAR(AE83))=0,0,YEAR(AD83)-YEAR(AE83))</f>
        <v>0</v>
      </c>
      <c r="AG83" s="1059" t="str">
        <f t="shared" ref="AG83:AG84" si="63">IF(AD83-AE83&lt;0,(AD83-AE83)/30.41667,"–")</f>
        <v>–</v>
      </c>
    </row>
    <row r="84" spans="1:33" ht="49.5" thickBot="1">
      <c r="A84" s="164" t="str">
        <f>CONCATENATE('3 pr-2'!A85)</f>
        <v>1.1.2.2.6</v>
      </c>
      <c r="B84" s="281"/>
      <c r="C84" s="164" t="str">
        <f>CONCATENATE('3 pr-2'!B85)</f>
        <v>R01-5514-190000-1226</v>
      </c>
      <c r="D84" s="375" t="str">
        <f>CONCATENATE('3 pr-2'!D85)</f>
        <v>Vandens transporto infrastruktūros įrengimas skatinant kitų rūšių transportą</v>
      </c>
      <c r="E84" s="375" t="str">
        <f>CONCATENATE('3 pr-2'!E85)</f>
        <v>Druskininkų savivaldybės administracija</v>
      </c>
      <c r="F84" s="375" t="str">
        <f>CONCATENATE('3 pr-2'!F85)</f>
        <v>Lietuvos Respublikos susisiekimo ministerija</v>
      </c>
      <c r="G84" s="375" t="str">
        <f>CONCATENATE('3 pr-2'!G85)</f>
        <v>Druskininkų sav.</v>
      </c>
      <c r="H84" s="375" t="str">
        <f>CONCATENATE('3 pr-2'!H85)</f>
        <v>04.5.1.-TID-R-514</v>
      </c>
      <c r="I84" s="375" t="str">
        <f>CONCATENATE('3 pr-2'!I85)</f>
        <v>R</v>
      </c>
      <c r="J84" s="375" t="str">
        <f>CONCATENATE('3 pr-2'!J85)</f>
        <v>-</v>
      </c>
      <c r="K84" s="1173">
        <f>IF(AE84&gt;0,'3 pr-2'!L85,0)</f>
        <v>250000</v>
      </c>
      <c r="L84" s="1081">
        <f t="shared" si="55"/>
        <v>250000</v>
      </c>
      <c r="M84" s="1082">
        <f t="shared" si="59"/>
        <v>0</v>
      </c>
      <c r="N84" s="1173">
        <f>IF(AE84&gt;0,'3 pr-2'!O85,0)</f>
        <v>37500</v>
      </c>
      <c r="O84" s="1235">
        <v>37500</v>
      </c>
      <c r="P84" s="1082">
        <f>SUM('ketv. 6 '!P84)</f>
        <v>0</v>
      </c>
      <c r="Q84" s="1173">
        <f>IF(AE84&gt;0,'3 pr-2'!R85,0)</f>
        <v>0</v>
      </c>
      <c r="R84" s="1235">
        <v>0</v>
      </c>
      <c r="S84" s="1082">
        <f>SUM('ketv. 6 '!T84)</f>
        <v>0</v>
      </c>
      <c r="T84" s="1173">
        <f>IF(AE84&gt;0,'3 pr-2'!U85,0)</f>
        <v>0</v>
      </c>
      <c r="U84" s="1235">
        <v>0</v>
      </c>
      <c r="V84" s="1082">
        <f>SUM('ketv. 6 '!X84)</f>
        <v>0</v>
      </c>
      <c r="W84" s="1173">
        <f>IF(AE84&gt;0,'3 pr-2'!X85,0)</f>
        <v>0</v>
      </c>
      <c r="X84" s="1235">
        <v>0</v>
      </c>
      <c r="Y84" s="1082">
        <f>SUM('ketv. 6 '!AB84)</f>
        <v>0</v>
      </c>
      <c r="Z84" s="1173">
        <f>IF(AE84&gt;0,'3 pr-2'!AA85,0)</f>
        <v>212500</v>
      </c>
      <c r="AA84" s="1235">
        <v>212500</v>
      </c>
      <c r="AB84" s="1082">
        <f>SUM('ketv. 6 '!AF84)</f>
        <v>0</v>
      </c>
      <c r="AC84" s="1173">
        <f>IF($AE$9&gt;0,'3 pr-2'!AB85,0)</f>
        <v>0</v>
      </c>
      <c r="AD84" s="1112">
        <f>SUM('3 pr-2'!AG85)</f>
        <v>43343</v>
      </c>
      <c r="AE84" s="1113">
        <v>43311</v>
      </c>
      <c r="AF84" s="376">
        <f t="shared" si="62"/>
        <v>0</v>
      </c>
      <c r="AG84" s="1059" t="str">
        <f t="shared" si="63"/>
        <v>–</v>
      </c>
    </row>
    <row r="85" spans="1:33" ht="36.75" customHeight="1" thickBot="1">
      <c r="A85" s="296" t="str">
        <f>CONCATENATE('3 pr-2'!A86)</f>
        <v>1.1.2.3</v>
      </c>
      <c r="B85" s="349"/>
      <c r="C85" s="2088" t="str">
        <f>CONCATENATE('3 pr-2'!B86)</f>
        <v>Priemonė:
Pėsčiųjų ir dviračių takų rekonstrukcija ir plėtra</v>
      </c>
      <c r="D85" s="2089"/>
      <c r="E85" s="2089"/>
      <c r="F85" s="2089"/>
      <c r="G85" s="2089"/>
      <c r="H85" s="2089"/>
      <c r="I85" s="2089"/>
      <c r="J85" s="2090"/>
      <c r="K85" s="1077">
        <f>SUM(K86:K90)</f>
        <v>500953.05</v>
      </c>
      <c r="L85" s="1231">
        <f t="shared" ref="L85:AC85" si="64">SUM(L86:L90)</f>
        <v>552337.55000000005</v>
      </c>
      <c r="M85" s="1079">
        <f t="shared" si="64"/>
        <v>421638.05</v>
      </c>
      <c r="N85" s="1077">
        <f t="shared" si="64"/>
        <v>85292.359999999986</v>
      </c>
      <c r="O85" s="1078">
        <f t="shared" si="64"/>
        <v>136613.99</v>
      </c>
      <c r="P85" s="1232">
        <f t="shared" si="64"/>
        <v>69600.36</v>
      </c>
      <c r="Q85" s="1077">
        <f t="shared" si="64"/>
        <v>0</v>
      </c>
      <c r="R85" s="1078">
        <f t="shared" si="64"/>
        <v>0</v>
      </c>
      <c r="S85" s="1082">
        <f t="shared" si="64"/>
        <v>0</v>
      </c>
      <c r="T85" s="1077">
        <f t="shared" si="64"/>
        <v>0</v>
      </c>
      <c r="U85" s="1231">
        <f t="shared" si="64"/>
        <v>0</v>
      </c>
      <c r="V85" s="1079">
        <f t="shared" si="64"/>
        <v>0</v>
      </c>
      <c r="W85" s="1077">
        <f t="shared" si="64"/>
        <v>0</v>
      </c>
      <c r="X85" s="1078">
        <f t="shared" si="64"/>
        <v>0</v>
      </c>
      <c r="Y85" s="1079">
        <f t="shared" si="64"/>
        <v>0</v>
      </c>
      <c r="Z85" s="1077">
        <f t="shared" si="64"/>
        <v>415660.69</v>
      </c>
      <c r="AA85" s="1078">
        <f t="shared" si="64"/>
        <v>415723.56</v>
      </c>
      <c r="AB85" s="1079">
        <f t="shared" si="64"/>
        <v>352037.69</v>
      </c>
      <c r="AC85" s="1077">
        <f t="shared" si="64"/>
        <v>0</v>
      </c>
      <c r="AD85" s="1108"/>
      <c r="AE85" s="1109"/>
      <c r="AF85" s="357"/>
      <c r="AG85" s="358"/>
    </row>
    <row r="86" spans="1:33" ht="48.75">
      <c r="A86" s="164" t="str">
        <f>CONCATENATE('3 pr-2'!A87)</f>
        <v>1.1.2.3.1</v>
      </c>
      <c r="B86" s="281" t="s">
        <v>1237</v>
      </c>
      <c r="C86" s="164" t="str">
        <f>CONCATENATE('3 pr-2'!B87)</f>
        <v>R01-5516-190000-1231</v>
      </c>
      <c r="D86" s="164" t="str">
        <f>CONCATENATE('3 pr-2'!D87)</f>
        <v>Dviračių ir pėsčiųjų takų įrengimas Varėnos miesto J. Basanavičiaus ir Žiedo gatvėse</v>
      </c>
      <c r="E86" s="164" t="str">
        <f>CONCATENATE('3 pr-2'!E87)</f>
        <v>Varėnos rajono savivaldybės administracija</v>
      </c>
      <c r="F86" s="164" t="str">
        <f>CONCATENATE('3 pr-2'!F87)</f>
        <v>Lietuvos Respublikos susisiekimo ministerija</v>
      </c>
      <c r="G86" s="164" t="str">
        <f>CONCATENATE('3 pr-2'!G87)</f>
        <v>Varėnos r. sav.</v>
      </c>
      <c r="H86" s="164" t="str">
        <f>CONCATENATE('3 pr-2'!H87)</f>
        <v>04.5.1-TID-R-516</v>
      </c>
      <c r="I86" s="164" t="str">
        <f>CONCATENATE('3 pr-2'!I87)</f>
        <v>R</v>
      </c>
      <c r="J86" s="164" t="str">
        <f>CONCATENATE('3 pr-2'!J87)</f>
        <v>ITI</v>
      </c>
      <c r="K86" s="1080">
        <f>IF(AE86&gt;0,'3 pr-2'!L87,0)</f>
        <v>103306</v>
      </c>
      <c r="L86" s="1081">
        <f t="shared" si="55"/>
        <v>95080</v>
      </c>
      <c r="M86" s="1082">
        <f t="shared" si="59"/>
        <v>95080</v>
      </c>
      <c r="N86" s="1080">
        <f>IF(AE86&gt;0,'3 pr-2'!O87,0)</f>
        <v>15496</v>
      </c>
      <c r="O86" s="1081">
        <v>14270</v>
      </c>
      <c r="P86" s="1082">
        <f>SUM('ketv. 6 '!P86)</f>
        <v>14270</v>
      </c>
      <c r="Q86" s="1080">
        <f>IF(AE86&gt;0,'3 pr-2'!R87,0)</f>
        <v>0</v>
      </c>
      <c r="R86" s="1081">
        <v>0</v>
      </c>
      <c r="S86" s="1082">
        <f>SUM('ketv. 6 '!T86)</f>
        <v>0</v>
      </c>
      <c r="T86" s="1080">
        <f>IF(AE86&gt;0,'3 pr-2'!U87,0)</f>
        <v>0</v>
      </c>
      <c r="U86" s="1081">
        <v>0</v>
      </c>
      <c r="V86" s="1082">
        <f>SUM('ketv. 6 '!X86)</f>
        <v>0</v>
      </c>
      <c r="W86" s="1080">
        <f>IF(AE86&gt;0,'3 pr-2'!X87,0)</f>
        <v>0</v>
      </c>
      <c r="X86" s="1081">
        <v>0</v>
      </c>
      <c r="Y86" s="1082">
        <f>SUM('ketv. 6 '!AB86)</f>
        <v>0</v>
      </c>
      <c r="Z86" s="1080">
        <f>IF(AE86&gt;0,'3 pr-2'!AA87,0)</f>
        <v>87810</v>
      </c>
      <c r="AA86" s="1081">
        <v>80810</v>
      </c>
      <c r="AB86" s="1082">
        <f>SUM('ketv. 6 '!AF86)</f>
        <v>80810</v>
      </c>
      <c r="AC86" s="1080">
        <f>IF($AE$9&gt;0,'3 pr-2'!AB87,0)</f>
        <v>0</v>
      </c>
      <c r="AD86" s="1104">
        <f>SUM('3 pr-2'!AG87)</f>
        <v>42735</v>
      </c>
      <c r="AE86" s="1104">
        <v>42703</v>
      </c>
      <c r="AF86" s="198">
        <f t="shared" ref="AF86:AF90" si="65">IF((YEAR(AD86)-YEAR(AE86))=0,0,YEAR(AD86)-YEAR(AE86))</f>
        <v>0</v>
      </c>
      <c r="AG86" s="384" t="str">
        <f t="shared" si="56"/>
        <v>–</v>
      </c>
    </row>
    <row r="87" spans="1:33" ht="48.75">
      <c r="A87" s="164" t="str">
        <f>CONCATENATE('3 pr-2'!A88)</f>
        <v>1.1.2.3.2</v>
      </c>
      <c r="B87" s="281" t="s">
        <v>716</v>
      </c>
      <c r="C87" s="164" t="str">
        <f>CONCATENATE('3 pr-2'!B88)</f>
        <v>R01-5516-190000-1232</v>
      </c>
      <c r="D87" s="164" t="str">
        <f>CONCATENATE('3 pr-2'!D88)</f>
        <v>Dviračių trasų infrastruktūros įrengimas nuo Putinų g. žiedo Pramonės gatvėje, Alytaus mieste</v>
      </c>
      <c r="E87" s="164" t="str">
        <f>CONCATENATE('3 pr-2'!E88)</f>
        <v>Alytaus miesto savivaldybės administracija</v>
      </c>
      <c r="F87" s="164" t="str">
        <f>CONCATENATE('3 pr-2'!F88)</f>
        <v>Lietuvos Respublikos susisiekimo ministerija</v>
      </c>
      <c r="G87" s="164" t="str">
        <f>CONCATENATE('3 pr-2'!G88)</f>
        <v>Alytaus m. sav.</v>
      </c>
      <c r="H87" s="164" t="str">
        <f>CONCATENATE('3 pr-2'!H88)</f>
        <v>04.5.1-TID-R-516</v>
      </c>
      <c r="I87" s="164" t="str">
        <f>CONCATENATE('3 pr-2'!I88)</f>
        <v>R</v>
      </c>
      <c r="J87" s="164" t="str">
        <f>CONCATENATE('3 pr-2'!J88)</f>
        <v>ITI</v>
      </c>
      <c r="K87" s="1080">
        <f>IF(AE87&gt;0,'3 pr-2'!L88,0)</f>
        <v>133670.07</v>
      </c>
      <c r="L87" s="1081">
        <f t="shared" si="55"/>
        <v>175170.45</v>
      </c>
      <c r="M87" s="1082">
        <f t="shared" si="59"/>
        <v>133670.06999999998</v>
      </c>
      <c r="N87" s="1080">
        <f>IF(AE87&gt;0,'3 pr-2'!O88,0)</f>
        <v>20050.509999999998</v>
      </c>
      <c r="O87" s="1081">
        <v>61550.89</v>
      </c>
      <c r="P87" s="1082">
        <f>SUM('ketv. 6 '!P87)</f>
        <v>20050.510000000002</v>
      </c>
      <c r="Q87" s="1080">
        <f>IF(AE87&gt;0,'3 pr-2'!R88,0)</f>
        <v>0</v>
      </c>
      <c r="R87" s="1081">
        <v>0</v>
      </c>
      <c r="S87" s="1082">
        <f>SUM('ketv. 6 '!T87)</f>
        <v>0</v>
      </c>
      <c r="T87" s="1080">
        <f>IF(AE87&gt;0,'3 pr-2'!U88,0)</f>
        <v>0</v>
      </c>
      <c r="U87" s="1081">
        <v>0</v>
      </c>
      <c r="V87" s="1082">
        <f>SUM('ketv. 6 '!X87)</f>
        <v>0</v>
      </c>
      <c r="W87" s="1080">
        <f>IF(AE87&gt;0,'3 pr-2'!X88,0)</f>
        <v>0</v>
      </c>
      <c r="X87" s="1081">
        <v>0</v>
      </c>
      <c r="Y87" s="1082">
        <f>SUM('ketv. 6 '!AB87)</f>
        <v>0</v>
      </c>
      <c r="Z87" s="1080">
        <f>IF(AE87&gt;0,'3 pr-2'!AA88,0)</f>
        <v>113619.56</v>
      </c>
      <c r="AA87" s="1081">
        <v>113619.56</v>
      </c>
      <c r="AB87" s="1082">
        <f>SUM('ketv. 6 '!AF87)</f>
        <v>113619.55999999998</v>
      </c>
      <c r="AC87" s="1080">
        <f>IF($AE$9&gt;0,'3 pr-2'!AB88,0)</f>
        <v>0</v>
      </c>
      <c r="AD87" s="1104">
        <f>SUM('3 pr-2'!AG88)</f>
        <v>42643</v>
      </c>
      <c r="AE87" s="1104">
        <v>42703</v>
      </c>
      <c r="AF87" s="198">
        <f t="shared" si="65"/>
        <v>0</v>
      </c>
      <c r="AG87" s="384">
        <f t="shared" si="56"/>
        <v>-1.9726025235504083</v>
      </c>
    </row>
    <row r="88" spans="1:33" ht="48.75">
      <c r="A88" s="164" t="str">
        <f>CONCATENATE('3 pr-2'!A89)</f>
        <v>1.1.2.3.3</v>
      </c>
      <c r="B88" s="281" t="s">
        <v>1208</v>
      </c>
      <c r="C88" s="164" t="str">
        <f>CONCATENATE('3 pr-2'!B89)</f>
        <v>R01-5516-190000-1233</v>
      </c>
      <c r="D88" s="164" t="str">
        <f>CONCATENATE('3 pr-2'!D89)</f>
        <v>Dviračių ir pėsčiųjų takų plėtra Lazdijų miesto Turistų gatvėje iki sodų bendrijos „Baltasis“ Lazdijų seniūnijoje</v>
      </c>
      <c r="E88" s="164" t="str">
        <f>CONCATENATE('3 pr-2'!E89)</f>
        <v>Lazdijų rajono savivaldybės administracija</v>
      </c>
      <c r="F88" s="164" t="str">
        <f>CONCATENATE('3 pr-2'!F89)</f>
        <v>Lietuvos Respublikos susisiekimo ministerija</v>
      </c>
      <c r="G88" s="164" t="str">
        <f>CONCATENATE('3 pr-2'!G89)</f>
        <v>Lazdijų r. sav.</v>
      </c>
      <c r="H88" s="164" t="str">
        <f>CONCATENATE('3 pr-2'!H89)</f>
        <v>04.5.1-TID-R-516</v>
      </c>
      <c r="I88" s="164" t="str">
        <f>CONCATENATE('3 pr-2'!I89)</f>
        <v>R</v>
      </c>
      <c r="J88" s="164" t="str">
        <f>CONCATENATE('3 pr-2'!J89)</f>
        <v>ITI</v>
      </c>
      <c r="K88" s="1080">
        <f>IF(AE88&gt;0,'3 pr-2'!L89,0)</f>
        <v>93938.42</v>
      </c>
      <c r="L88" s="1081">
        <f t="shared" si="55"/>
        <v>100658.08</v>
      </c>
      <c r="M88" s="1082">
        <f t="shared" si="59"/>
        <v>93938.42</v>
      </c>
      <c r="N88" s="1080">
        <f>IF(AE88&gt;0,'3 pr-2'!O89,0)</f>
        <v>20437.419999999998</v>
      </c>
      <c r="O88" s="1081">
        <v>27157.08</v>
      </c>
      <c r="P88" s="1082">
        <f>SUM('ketv. 6 '!P88)</f>
        <v>20437.419999999998</v>
      </c>
      <c r="Q88" s="1080">
        <f>IF(AE88&gt;0,'3 pr-2'!R89,0)</f>
        <v>0</v>
      </c>
      <c r="R88" s="1081">
        <v>0</v>
      </c>
      <c r="S88" s="1082">
        <f>SUM('ketv. 6 '!T88)</f>
        <v>0</v>
      </c>
      <c r="T88" s="1080">
        <f>IF(AE88&gt;0,'3 pr-2'!U89,0)</f>
        <v>0</v>
      </c>
      <c r="U88" s="1081">
        <v>0</v>
      </c>
      <c r="V88" s="1082">
        <f>SUM('ketv. 6 '!X88)</f>
        <v>0</v>
      </c>
      <c r="W88" s="1080">
        <f>IF(AE88&gt;0,'3 pr-2'!X89,0)</f>
        <v>0</v>
      </c>
      <c r="X88" s="1081">
        <v>0</v>
      </c>
      <c r="Y88" s="1082">
        <f>SUM('ketv. 6 '!AB88)</f>
        <v>0</v>
      </c>
      <c r="Z88" s="1080">
        <f>IF(AE88&gt;0,'3 pr-2'!AA89,0)</f>
        <v>73501</v>
      </c>
      <c r="AA88" s="1081">
        <v>73501</v>
      </c>
      <c r="AB88" s="1082">
        <f>SUM('ketv. 6 '!AF88)</f>
        <v>73501</v>
      </c>
      <c r="AC88" s="1080">
        <f>IF($AE$9&gt;0,'3 pr-2'!AB89,0)</f>
        <v>0</v>
      </c>
      <c r="AD88" s="1104">
        <f>SUM('3 pr-2'!AG89)</f>
        <v>42735</v>
      </c>
      <c r="AE88" s="1104">
        <v>42703</v>
      </c>
      <c r="AF88" s="198">
        <f t="shared" si="65"/>
        <v>0</v>
      </c>
      <c r="AG88" s="384" t="str">
        <f t="shared" si="56"/>
        <v>–</v>
      </c>
    </row>
    <row r="89" spans="1:33" ht="48.75">
      <c r="A89" s="164" t="str">
        <f>CONCATENATE('3 pr-2'!A90)</f>
        <v>1.1.2.3.4</v>
      </c>
      <c r="B89" s="281" t="s">
        <v>1591</v>
      </c>
      <c r="C89" s="164" t="str">
        <f>CONCATENATE('3 pr-2'!B90)</f>
        <v>R01-5516-190000-1234</v>
      </c>
      <c r="D89" s="164" t="str">
        <f>CONCATENATE('3 pr-2'!D90)</f>
        <v>Pėsčiųjų ir dviračių takų plėtra Simno seniūnijoje</v>
      </c>
      <c r="E89" s="164" t="str">
        <f>CONCATENATE('3 pr-2'!E90)</f>
        <v>Alytaus rajono savivaldybės administracija</v>
      </c>
      <c r="F89" s="164" t="str">
        <f>CONCATENATE('3 pr-2'!F90)</f>
        <v>Lietuvos Respublikos susisiekimo ministerija</v>
      </c>
      <c r="G89" s="164" t="str">
        <f>CONCATENATE('3 pr-2'!G90)</f>
        <v>Alytaus r. sav.</v>
      </c>
      <c r="H89" s="164" t="str">
        <f>CONCATENATE('3 pr-2'!H90)</f>
        <v>04.5.1-TID-R-516</v>
      </c>
      <c r="I89" s="164" t="str">
        <f>CONCATENATE('3 pr-2'!I90)</f>
        <v>R</v>
      </c>
      <c r="J89" s="164" t="str">
        <f>CONCATENATE('3 pr-2'!J90)</f>
        <v>-</v>
      </c>
      <c r="K89" s="1080">
        <f>IF(AE89&gt;0,'3 pr-2'!L90,0)</f>
        <v>98949.56</v>
      </c>
      <c r="L89" s="1081">
        <f t="shared" si="55"/>
        <v>110340</v>
      </c>
      <c r="M89" s="1082">
        <f t="shared" si="59"/>
        <v>98949.56</v>
      </c>
      <c r="N89" s="1080">
        <f>IF(AE89&gt;0,'3 pr-2'!O90,0)</f>
        <v>14842.43</v>
      </c>
      <c r="O89" s="1081">
        <v>19170</v>
      </c>
      <c r="P89" s="1082">
        <f>SUM('ketv. 6 '!P89)</f>
        <v>14842.43</v>
      </c>
      <c r="Q89" s="1080">
        <f>IF(AE89&gt;0,'3 pr-2'!R90,0)</f>
        <v>0</v>
      </c>
      <c r="R89" s="1081">
        <v>0</v>
      </c>
      <c r="S89" s="1082">
        <f>SUM('ketv. 6 '!T89)</f>
        <v>0</v>
      </c>
      <c r="T89" s="1080">
        <f>IF(AE89&gt;0,'3 pr-2'!U90,0)</f>
        <v>0</v>
      </c>
      <c r="U89" s="1081">
        <v>0</v>
      </c>
      <c r="V89" s="1082">
        <f>SUM('ketv. 6 '!X89)</f>
        <v>0</v>
      </c>
      <c r="W89" s="1080">
        <f>IF(AE89&gt;0,'3 pr-2'!X90,0)</f>
        <v>0</v>
      </c>
      <c r="X89" s="1081">
        <v>0</v>
      </c>
      <c r="Y89" s="1082">
        <f>SUM('ketv. 6 '!AB89)</f>
        <v>0</v>
      </c>
      <c r="Z89" s="1080">
        <f>IF(AE89&gt;0,'3 pr-2'!AA90,0)</f>
        <v>84107.13</v>
      </c>
      <c r="AA89" s="1081">
        <v>91170</v>
      </c>
      <c r="AB89" s="1082">
        <f>SUM('ketv. 6 '!AF89)</f>
        <v>84107.13</v>
      </c>
      <c r="AC89" s="1080">
        <f>IF($AE$9&gt;0,'3 pr-2'!AB90,0)</f>
        <v>0</v>
      </c>
      <c r="AD89" s="1104">
        <f>SUM('3 pr-2'!AG90)</f>
        <v>42754</v>
      </c>
      <c r="AE89" s="1104">
        <v>42754</v>
      </c>
      <c r="AF89" s="198">
        <f t="shared" si="65"/>
        <v>0</v>
      </c>
      <c r="AG89" s="384" t="str">
        <f t="shared" si="56"/>
        <v>–</v>
      </c>
    </row>
    <row r="90" spans="1:33" ht="49.5" thickBot="1">
      <c r="A90" s="164" t="str">
        <f>CONCATENATE('3 pr-2'!A91)</f>
        <v>1.1.2.3.5</v>
      </c>
      <c r="B90" s="281" t="s">
        <v>4470</v>
      </c>
      <c r="C90" s="164" t="str">
        <f>CONCATENATE('3 pr-2'!B91)</f>
        <v>R01-5516-190000-1235</v>
      </c>
      <c r="D90" s="164" t="str">
        <f>CONCATENATE('3 pr-2'!D91)</f>
        <v>Dviračių ir pėsčiųjų tako, esančio šalia Ratnyčios upelio Druskininkų mieste, rekonstrukcija</v>
      </c>
      <c r="E90" s="164" t="str">
        <f>CONCATENATE('3 pr-2'!E91)</f>
        <v xml:space="preserve">Druskininkų savivaldybės administracija  </v>
      </c>
      <c r="F90" s="164" t="str">
        <f>CONCATENATE('3 pr-2'!F91)</f>
        <v>Lietuvos Respublikos susisiekimo ministerija</v>
      </c>
      <c r="G90" s="164" t="str">
        <f>CONCATENATE('3 pr-2'!G91)</f>
        <v>Druskininkų sav.</v>
      </c>
      <c r="H90" s="164" t="str">
        <f>CONCATENATE('3 pr-2'!H91)</f>
        <v>04.5.1-TID-R-516</v>
      </c>
      <c r="I90" s="164" t="str">
        <f>CONCATENATE('3 pr-2'!I91)</f>
        <v>R</v>
      </c>
      <c r="J90" s="164" t="str">
        <f>CONCATENATE('3 pr-2'!J91)</f>
        <v>-</v>
      </c>
      <c r="K90" s="1080">
        <f>IF(AE90&gt;0,'3 pr-2'!L91,0)</f>
        <v>71089</v>
      </c>
      <c r="L90" s="1081">
        <f t="shared" si="55"/>
        <v>71089.02</v>
      </c>
      <c r="M90" s="1082">
        <f t="shared" si="59"/>
        <v>0</v>
      </c>
      <c r="N90" s="1080">
        <f>IF(AE90&gt;0,'3 pr-2'!O91,0)</f>
        <v>14466</v>
      </c>
      <c r="O90" s="1081">
        <v>14466.02</v>
      </c>
      <c r="P90" s="1082">
        <f>SUM('ketv. 6 '!P90)</f>
        <v>0</v>
      </c>
      <c r="Q90" s="1080">
        <f>IF(AE90&gt;0,'3 pr-2'!R91,0)</f>
        <v>0</v>
      </c>
      <c r="R90" s="1081">
        <v>0</v>
      </c>
      <c r="S90" s="1082">
        <f>SUM('ketv. 6 '!T90)</f>
        <v>0</v>
      </c>
      <c r="T90" s="1080">
        <f>IF(AE90&gt;0,'3 pr-2'!U91,0)</f>
        <v>0</v>
      </c>
      <c r="U90" s="1081">
        <v>0</v>
      </c>
      <c r="V90" s="1082">
        <f>SUM('ketv. 6 '!X90)</f>
        <v>0</v>
      </c>
      <c r="W90" s="1080">
        <f>IF(AE90&gt;0,'3 pr-2'!X91,0)</f>
        <v>0</v>
      </c>
      <c r="X90" s="1081">
        <v>0</v>
      </c>
      <c r="Y90" s="1082">
        <f>SUM('ketv. 6 '!AB90)</f>
        <v>0</v>
      </c>
      <c r="Z90" s="1080">
        <f>IF(AE90&gt;0,'3 pr-2'!AA91,0)</f>
        <v>56623</v>
      </c>
      <c r="AA90" s="1081">
        <v>56623</v>
      </c>
      <c r="AB90" s="1082">
        <f>SUM('ketv. 6 '!AF90)</f>
        <v>0</v>
      </c>
      <c r="AC90" s="1080">
        <f>IF($AE$9&gt;0,'3 pr-2'!AB91,0)</f>
        <v>0</v>
      </c>
      <c r="AD90" s="1104">
        <f>SUM('3 pr-2'!AG91)</f>
        <v>42754</v>
      </c>
      <c r="AE90" s="1104">
        <v>42754</v>
      </c>
      <c r="AF90" s="198">
        <f t="shared" si="65"/>
        <v>0</v>
      </c>
      <c r="AG90" s="384" t="str">
        <f t="shared" si="56"/>
        <v>–</v>
      </c>
    </row>
    <row r="91" spans="1:33" ht="42.75" customHeight="1" thickBot="1">
      <c r="A91" s="296" t="str">
        <f>CONCATENATE('3 pr-2'!A92)</f>
        <v>1.1.2.4</v>
      </c>
      <c r="B91" s="349"/>
      <c r="C91" s="2088" t="str">
        <f>CONCATENATE('3 pr-2'!B92)</f>
        <v>Priemonė:
Vietinių kelių techninių parametrų ir eismo saugos gerinimas</v>
      </c>
      <c r="D91" s="2089"/>
      <c r="E91" s="2089"/>
      <c r="F91" s="2089"/>
      <c r="G91" s="2089"/>
      <c r="H91" s="2089"/>
      <c r="I91" s="2089"/>
      <c r="J91" s="2090"/>
      <c r="K91" s="1077">
        <f>SUM(K92:K98)</f>
        <v>4315878.84</v>
      </c>
      <c r="L91" s="1231">
        <f t="shared" ref="L91:AC91" si="66">SUM(L92:L98)</f>
        <v>4808284.96</v>
      </c>
      <c r="M91" s="1079">
        <f t="shared" si="66"/>
        <v>4261527.8099999996</v>
      </c>
      <c r="N91" s="1077">
        <f t="shared" si="66"/>
        <v>1217686.06</v>
      </c>
      <c r="O91" s="1078">
        <f t="shared" si="66"/>
        <v>1805806.96</v>
      </c>
      <c r="P91" s="1232">
        <f t="shared" si="66"/>
        <v>1201799.93</v>
      </c>
      <c r="Q91" s="1077">
        <f t="shared" si="66"/>
        <v>0</v>
      </c>
      <c r="R91" s="1078">
        <f t="shared" si="66"/>
        <v>0</v>
      </c>
      <c r="S91" s="1082">
        <f t="shared" si="66"/>
        <v>0</v>
      </c>
      <c r="T91" s="1077">
        <f t="shared" si="66"/>
        <v>0</v>
      </c>
      <c r="U91" s="1231">
        <f t="shared" si="66"/>
        <v>0</v>
      </c>
      <c r="V91" s="1079">
        <f t="shared" si="66"/>
        <v>0</v>
      </c>
      <c r="W91" s="1077">
        <f t="shared" si="66"/>
        <v>62660</v>
      </c>
      <c r="X91" s="1078">
        <f t="shared" si="66"/>
        <v>62660</v>
      </c>
      <c r="Y91" s="1079">
        <f t="shared" si="66"/>
        <v>62660</v>
      </c>
      <c r="Z91" s="1077">
        <f t="shared" si="66"/>
        <v>3035532.7800000003</v>
      </c>
      <c r="AA91" s="1078">
        <f t="shared" si="66"/>
        <v>2939818</v>
      </c>
      <c r="AB91" s="1079">
        <f t="shared" si="66"/>
        <v>2997067.88</v>
      </c>
      <c r="AC91" s="1077">
        <f t="shared" si="66"/>
        <v>0</v>
      </c>
      <c r="AD91" s="1108"/>
      <c r="AE91" s="1109"/>
      <c r="AF91" s="357"/>
      <c r="AG91" s="358"/>
    </row>
    <row r="92" spans="1:33" ht="48.75">
      <c r="A92" s="164" t="str">
        <f>CONCATENATE('3 pr-2'!A93)</f>
        <v>1.1.2.4.1</v>
      </c>
      <c r="B92" s="281" t="s">
        <v>718</v>
      </c>
      <c r="C92" s="164" t="str">
        <f>CONCATENATE('3 pr-2'!B93)</f>
        <v>R01-5511-120000-1241</v>
      </c>
      <c r="D92" s="164" t="str">
        <f>CONCATENATE('3 pr-2'!D93)</f>
        <v>Varėnos miesto J. Basanavičiaus, Savanorių, M. K. Čiurlionio gatvių rekonstrukcija</v>
      </c>
      <c r="E92" s="164" t="str">
        <f>CONCATENATE('3 pr-2'!E93)</f>
        <v>Varėnos rajono savivaldybės administracija</v>
      </c>
      <c r="F92" s="164" t="str">
        <f>CONCATENATE('3 pr-2'!F93)</f>
        <v>Lietuvos Respublikos susisiekimo ministerija</v>
      </c>
      <c r="G92" s="164" t="str">
        <f>CONCATENATE('3 pr-2'!G93)</f>
        <v>Varėnos r. sav.</v>
      </c>
      <c r="H92" s="164" t="str">
        <f>CONCATENATE('3 pr-2'!H93)</f>
        <v>06.2.1-TID-R-511</v>
      </c>
      <c r="I92" s="164" t="str">
        <f>CONCATENATE('3 pr-2'!I93)</f>
        <v>R</v>
      </c>
      <c r="J92" s="164" t="str">
        <f>CONCATENATE('3 pr-2'!J93)</f>
        <v>ITI</v>
      </c>
      <c r="K92" s="1080">
        <f>IF(AE92&gt;0,'3 pr-2'!L93,0)</f>
        <v>835464</v>
      </c>
      <c r="L92" s="1081">
        <f t="shared" si="55"/>
        <v>835464</v>
      </c>
      <c r="M92" s="1082">
        <f t="shared" si="59"/>
        <v>835464</v>
      </c>
      <c r="N92" s="1080">
        <f>IF(AE92&gt;0,'3 pr-2'!O93,0)</f>
        <v>62660</v>
      </c>
      <c r="O92" s="1081">
        <v>62660</v>
      </c>
      <c r="P92" s="1082">
        <f>SUM('ketv. 6 '!P92)</f>
        <v>62660</v>
      </c>
      <c r="Q92" s="1080">
        <f>IF(AE92&gt;0,'3 pr-2'!R93,0)</f>
        <v>0</v>
      </c>
      <c r="R92" s="1081">
        <v>0</v>
      </c>
      <c r="S92" s="1082">
        <f>SUM('ketv. 6 '!T92)</f>
        <v>0</v>
      </c>
      <c r="T92" s="1080">
        <f>IF(AE92&gt;0,'3 pr-2'!U93,0)</f>
        <v>0</v>
      </c>
      <c r="U92" s="1081">
        <v>0</v>
      </c>
      <c r="V92" s="1082">
        <f>SUM('ketv. 6 '!X92)</f>
        <v>0</v>
      </c>
      <c r="W92" s="1080">
        <f>IF(AE92&gt;0,'3 pr-2'!X93,0)</f>
        <v>62660</v>
      </c>
      <c r="X92" s="1081">
        <v>62660</v>
      </c>
      <c r="Y92" s="1082">
        <f>SUM('ketv. 6 '!AB92)</f>
        <v>62660</v>
      </c>
      <c r="Z92" s="1080">
        <f>IF(AE92&gt;0,'3 pr-2'!AA93,0)</f>
        <v>710144</v>
      </c>
      <c r="AA92" s="1081">
        <v>710144</v>
      </c>
      <c r="AB92" s="1082">
        <f>SUM('ketv. 6 '!AF92)</f>
        <v>710144</v>
      </c>
      <c r="AC92" s="1080">
        <f>IF($AE$9&gt;0,'3 pr-2'!AB93,0)</f>
        <v>0</v>
      </c>
      <c r="AD92" s="1104">
        <f>SUM('3 pr-2'!AG93)</f>
        <v>42732</v>
      </c>
      <c r="AE92" s="1104">
        <v>42732</v>
      </c>
      <c r="AF92" s="198">
        <f t="shared" ref="AF92:AF97" si="67">IF((YEAR(AD92)-YEAR(AE92))=0,0,YEAR(AD92)-YEAR(AE92))</f>
        <v>0</v>
      </c>
      <c r="AG92" s="384" t="str">
        <f t="shared" si="56"/>
        <v>–</v>
      </c>
    </row>
    <row r="93" spans="1:33" ht="48.75">
      <c r="A93" s="164" t="str">
        <f>CONCATENATE('3 pr-2'!A94)</f>
        <v>1.1.2.4.2</v>
      </c>
      <c r="B93" s="281" t="s">
        <v>717</v>
      </c>
      <c r="C93" s="164" t="str">
        <f>CONCATENATE('3 pr-2'!B94)</f>
        <v>R01-5511-110000-1242</v>
      </c>
      <c r="D93" s="164" t="str">
        <f>CONCATENATE('3 pr-2'!D94)</f>
        <v>Perspektyvinės gatvės nuo Pramonės g. iki Naujosios g. Alytuje įrengimas</v>
      </c>
      <c r="E93" s="164" t="str">
        <f>CONCATENATE('3 pr-2'!E94)</f>
        <v>Alytaus miesto savivaldybės administracija</v>
      </c>
      <c r="F93" s="164" t="str">
        <f>CONCATENATE('3 pr-2'!F94)</f>
        <v>Lietuvos Respublikos susisiekimo ministerija</v>
      </c>
      <c r="G93" s="164" t="str">
        <f>CONCATENATE('3 pr-2'!G94)</f>
        <v>Alytaus m. sav.</v>
      </c>
      <c r="H93" s="164" t="str">
        <f>CONCATENATE('3 pr-2'!H94)</f>
        <v>06.2.1-TID-R-511</v>
      </c>
      <c r="I93" s="164" t="str">
        <f>CONCATENATE('3 pr-2'!I94)</f>
        <v>R</v>
      </c>
      <c r="J93" s="164" t="str">
        <f>CONCATENATE('3 pr-2'!J94)</f>
        <v>ITI</v>
      </c>
      <c r="K93" s="1080">
        <f>IF(AE93&gt;0,'3 pr-2'!L94,0)</f>
        <v>879927.06</v>
      </c>
      <c r="L93" s="1081">
        <f t="shared" si="55"/>
        <v>1402213.12</v>
      </c>
      <c r="M93" s="1082">
        <f t="shared" si="59"/>
        <v>879927.06</v>
      </c>
      <c r="N93" s="1080">
        <f>IF(AE93&gt;0,'3 pr-2'!O94,0)</f>
        <v>131989.06</v>
      </c>
      <c r="O93" s="1081">
        <v>654275.12</v>
      </c>
      <c r="P93" s="1082">
        <f>SUM('ketv. 6 '!P93)</f>
        <v>131989.06</v>
      </c>
      <c r="Q93" s="1080">
        <f>IF(AE93&gt;0,'3 pr-2'!R94,0)</f>
        <v>0</v>
      </c>
      <c r="R93" s="1081">
        <v>0</v>
      </c>
      <c r="S93" s="1082">
        <f>SUM('ketv. 6 '!T93)</f>
        <v>0</v>
      </c>
      <c r="T93" s="1080">
        <f>IF(AE93&gt;0,'3 pr-2'!U94,0)</f>
        <v>0</v>
      </c>
      <c r="U93" s="1081">
        <v>0</v>
      </c>
      <c r="V93" s="1082">
        <f>SUM('ketv. 6 '!X93)</f>
        <v>0</v>
      </c>
      <c r="W93" s="1080">
        <f>IF(AE93&gt;0,'3 pr-2'!X94,0)</f>
        <v>0</v>
      </c>
      <c r="X93" s="1081">
        <v>0</v>
      </c>
      <c r="Y93" s="1082">
        <f>SUM('ketv. 6 '!AB93)</f>
        <v>0</v>
      </c>
      <c r="Z93" s="1080">
        <f>IF(AE93&gt;0,'3 pr-2'!AA94,0)</f>
        <v>747938</v>
      </c>
      <c r="AA93" s="1081">
        <v>747938</v>
      </c>
      <c r="AB93" s="1082">
        <f>SUM('ketv. 6 '!AF93)</f>
        <v>747938</v>
      </c>
      <c r="AC93" s="1080">
        <f>IF($AE$9&gt;0,'3 pr-2'!AB94,0)</f>
        <v>0</v>
      </c>
      <c r="AD93" s="1104">
        <f>SUM('3 pr-2'!AG94)</f>
        <v>42732</v>
      </c>
      <c r="AE93" s="1104">
        <v>42732</v>
      </c>
      <c r="AF93" s="198">
        <f t="shared" si="67"/>
        <v>0</v>
      </c>
      <c r="AG93" s="384" t="str">
        <f t="shared" si="56"/>
        <v>–</v>
      </c>
    </row>
    <row r="94" spans="1:33" ht="48.75">
      <c r="A94" s="164" t="str">
        <f>CONCATENATE('3 pr-2'!A95)</f>
        <v>1.1.2.4.3.</v>
      </c>
      <c r="B94" s="281" t="s">
        <v>1651</v>
      </c>
      <c r="C94" s="164" t="str">
        <f>CONCATENATE('3 pr-2'!B95)</f>
        <v>R01-5511-500000-1243</v>
      </c>
      <c r="D94" s="164" t="str">
        <f>CONCATENATE('3 pr-2'!D95)</f>
        <v>Saugaus eismo priemonių diegimas Alytaus mieste</v>
      </c>
      <c r="E94" s="164" t="str">
        <f>CONCATENATE('3 pr-2'!E95)</f>
        <v>Alytaus miesto savivaldybės administracija</v>
      </c>
      <c r="F94" s="164" t="str">
        <f>CONCATENATE('3 pr-2'!F95)</f>
        <v>Lietuvos Respublikos susisiekimo ministerija</v>
      </c>
      <c r="G94" s="164" t="str">
        <f>CONCATENATE('3 pr-2'!G95)</f>
        <v>Alytaus m. sav.</v>
      </c>
      <c r="H94" s="164" t="str">
        <f>CONCATENATE('3 pr-2'!H95)</f>
        <v>06.2.1-TID-R-511</v>
      </c>
      <c r="I94" s="164" t="str">
        <f>CONCATENATE('3 pr-2'!I95)</f>
        <v>R</v>
      </c>
      <c r="J94" s="164" t="str">
        <f>CONCATENATE('3 pr-2'!J95)</f>
        <v>-</v>
      </c>
      <c r="K94" s="1080">
        <f>IF(AE94&gt;0,'3 pr-2'!L95,0)</f>
        <v>274146.8</v>
      </c>
      <c r="L94" s="1081">
        <f t="shared" si="55"/>
        <v>315614.59999999998</v>
      </c>
      <c r="M94" s="1082">
        <f t="shared" si="59"/>
        <v>274146.8</v>
      </c>
      <c r="N94" s="1080">
        <f>IF(AE94&gt;0,'3 pr-2'!O95,0)</f>
        <v>41122.019999999997</v>
      </c>
      <c r="O94" s="1081">
        <v>65315.6</v>
      </c>
      <c r="P94" s="1082">
        <f>SUM('ketv. 6 '!P94)</f>
        <v>41122.019999999997</v>
      </c>
      <c r="Q94" s="1080">
        <f>IF(AE94&gt;0,'3 pr-2'!R95,0)</f>
        <v>0</v>
      </c>
      <c r="R94" s="1081">
        <v>0</v>
      </c>
      <c r="S94" s="1082">
        <f>SUM('ketv. 6 '!T94)</f>
        <v>0</v>
      </c>
      <c r="T94" s="1080">
        <f>IF(AE94&gt;0,'3 pr-2'!U95,0)</f>
        <v>0</v>
      </c>
      <c r="U94" s="1081">
        <v>0</v>
      </c>
      <c r="V94" s="1082">
        <f>SUM('ketv. 6 '!X94)</f>
        <v>0</v>
      </c>
      <c r="W94" s="1080">
        <f>IF(AE94&gt;0,'3 pr-2'!X95,0)</f>
        <v>0</v>
      </c>
      <c r="X94" s="1081">
        <v>0</v>
      </c>
      <c r="Y94" s="1082">
        <f>SUM('ketv. 6 '!AB94)</f>
        <v>0</v>
      </c>
      <c r="Z94" s="1080">
        <f>IF(AE94&gt;0,'3 pr-2'!AA95,0)</f>
        <v>233024.78</v>
      </c>
      <c r="AA94" s="1081">
        <v>250299</v>
      </c>
      <c r="AB94" s="1082">
        <f>SUM('ketv. 6 '!AF94)</f>
        <v>233024.78</v>
      </c>
      <c r="AC94" s="1080">
        <f>IF($AE$9&gt;0,'3 pr-2'!AB95,0)</f>
        <v>0</v>
      </c>
      <c r="AD94" s="1104">
        <f>SUM('3 pr-2'!AG95)</f>
        <v>42732</v>
      </c>
      <c r="AE94" s="1104">
        <v>42732</v>
      </c>
      <c r="AF94" s="198">
        <f t="shared" si="67"/>
        <v>0</v>
      </c>
      <c r="AG94" s="384" t="str">
        <f t="shared" si="56"/>
        <v>–</v>
      </c>
    </row>
    <row r="95" spans="1:33" ht="48.75">
      <c r="A95" s="164" t="str">
        <f>CONCATENATE('3 pr-2'!A96)</f>
        <v>1.1.2.4.4</v>
      </c>
      <c r="B95" s="281" t="s">
        <v>1589</v>
      </c>
      <c r="C95" s="164" t="str">
        <f>CONCATENATE('3 pr-2'!B96)</f>
        <v>R01-5511-500000-1244</v>
      </c>
      <c r="D95" s="164" t="str">
        <f>CONCATENATE('3 pr-2'!D96)</f>
        <v>Eismo saugos priemonių diegimas Alytaus rajono savivaldybėje</v>
      </c>
      <c r="E95" s="164" t="str">
        <f>CONCATENATE('3 pr-2'!E96)</f>
        <v>Alytaus rajono savivaldybės administracija</v>
      </c>
      <c r="F95" s="164" t="str">
        <f>CONCATENATE('3 pr-2'!F96)</f>
        <v>Lietuvos Respublikos susisiekimo ministerija</v>
      </c>
      <c r="G95" s="164" t="str">
        <f>CONCATENATE('3 pr-2'!G96)</f>
        <v>Alytaus r. sav.</v>
      </c>
      <c r="H95" s="164" t="str">
        <f>CONCATENATE('3 pr-2'!H96)</f>
        <v>06.2.1-TID-R-511</v>
      </c>
      <c r="I95" s="164" t="str">
        <f>CONCATENATE('3 pr-2'!I96)</f>
        <v>R</v>
      </c>
      <c r="J95" s="164" t="str">
        <f>CONCATENATE('3 pr-2'!J96)</f>
        <v>-</v>
      </c>
      <c r="K95" s="1080">
        <f>IF(AE95&gt;0,'3 pr-2'!L96,0)</f>
        <v>274817.98</v>
      </c>
      <c r="L95" s="1081">
        <f t="shared" si="55"/>
        <v>236915</v>
      </c>
      <c r="M95" s="1082">
        <f t="shared" si="59"/>
        <v>274817.98</v>
      </c>
      <c r="N95" s="1080">
        <f>IF(AE95&gt;0,'3 pr-2'!O96,0)</f>
        <v>73973.98</v>
      </c>
      <c r="O95" s="1081">
        <v>36071</v>
      </c>
      <c r="P95" s="1082">
        <f>SUM('ketv. 6 '!P95)</f>
        <v>73973.98</v>
      </c>
      <c r="Q95" s="1080">
        <f>IF(AE95&gt;0,'3 pr-2'!R96,0)</f>
        <v>0</v>
      </c>
      <c r="R95" s="1081">
        <v>0</v>
      </c>
      <c r="S95" s="1082">
        <f>SUM('ketv. 6 '!T95)</f>
        <v>0</v>
      </c>
      <c r="T95" s="1080">
        <f>IF(AE95&gt;0,'3 pr-2'!U96,0)</f>
        <v>0</v>
      </c>
      <c r="U95" s="1081">
        <v>0</v>
      </c>
      <c r="V95" s="1082">
        <f>SUM('ketv. 6 '!X95)</f>
        <v>0</v>
      </c>
      <c r="W95" s="1080">
        <f>IF(AE95&gt;0,'3 pr-2'!X96,0)</f>
        <v>0</v>
      </c>
      <c r="X95" s="1081">
        <v>0</v>
      </c>
      <c r="Y95" s="1082">
        <f>SUM('ketv. 6 '!AB95)</f>
        <v>0</v>
      </c>
      <c r="Z95" s="1080">
        <f>IF(AE95&gt;0,'3 pr-2'!AA96,0)</f>
        <v>200844</v>
      </c>
      <c r="AA95" s="1081">
        <v>200844</v>
      </c>
      <c r="AB95" s="1082">
        <f>SUM('ketv. 6 '!AF95)</f>
        <v>200844</v>
      </c>
      <c r="AC95" s="1080">
        <f>IF($AE$9&gt;0,'3 pr-2'!AB96,0)</f>
        <v>0</v>
      </c>
      <c r="AD95" s="1104">
        <f>SUM('3 pr-2'!AG96)</f>
        <v>42735</v>
      </c>
      <c r="AE95" s="1104">
        <v>42732</v>
      </c>
      <c r="AF95" s="198">
        <f t="shared" si="67"/>
        <v>0</v>
      </c>
      <c r="AG95" s="384" t="str">
        <f t="shared" si="56"/>
        <v>–</v>
      </c>
    </row>
    <row r="96" spans="1:33" ht="48.75">
      <c r="A96" s="164" t="str">
        <f>CONCATENATE('3 pr-2'!A97)</f>
        <v>1.1.2.4.5</v>
      </c>
      <c r="B96" s="281" t="s">
        <v>1652</v>
      </c>
      <c r="C96" s="164" t="str">
        <f>CONCATENATE('3 pr-2'!B97)</f>
        <v>R01-5511-120900-1245</v>
      </c>
      <c r="D96" s="164" t="str">
        <f>CONCATENATE('3 pr-2'!D97)</f>
        <v>M.K. Čiurlionio gatvės atkarpos Druskininkų m. rekonstrukcija</v>
      </c>
      <c r="E96" s="164" t="str">
        <f>CONCATENATE('3 pr-2'!E97)</f>
        <v xml:space="preserve">Druskininkų savivaldybės administracija  </v>
      </c>
      <c r="F96" s="164" t="str">
        <f>CONCATENATE('3 pr-2'!F97)</f>
        <v>Lietuvos Respublikos susisiekimo ministerija</v>
      </c>
      <c r="G96" s="164" t="str">
        <f>CONCATENATE('3 pr-2'!G97)</f>
        <v>Druskininkų sav.</v>
      </c>
      <c r="H96" s="164" t="str">
        <f>CONCATENATE('3 pr-2'!H97)</f>
        <v>06.2.1-TID-R-511</v>
      </c>
      <c r="I96" s="164" t="str">
        <f>CONCATENATE('3 pr-2'!I97)</f>
        <v>R</v>
      </c>
      <c r="J96" s="164" t="str">
        <f>CONCATENATE('3 pr-2'!J97)</f>
        <v>ITI</v>
      </c>
      <c r="K96" s="1080">
        <f>IF(AE96&gt;0,'3 pr-2'!L97,0)</f>
        <v>1156237</v>
      </c>
      <c r="L96" s="1081">
        <f t="shared" si="55"/>
        <v>1258144.24</v>
      </c>
      <c r="M96" s="1082">
        <f t="shared" si="59"/>
        <v>916566.48</v>
      </c>
      <c r="N96" s="1080">
        <f>IF(AE96&gt;0,'3 pr-2'!O97,0)</f>
        <v>771588</v>
      </c>
      <c r="O96" s="1081">
        <v>873495.24</v>
      </c>
      <c r="P96" s="1082">
        <f>SUM('ketv. 6 '!P96)</f>
        <v>570382.38</v>
      </c>
      <c r="Q96" s="1080">
        <f>IF(AE96&gt;0,'3 pr-2'!R97,0)</f>
        <v>0</v>
      </c>
      <c r="R96" s="1081">
        <v>0</v>
      </c>
      <c r="S96" s="1082">
        <f>SUM('ketv. 6 '!T96)</f>
        <v>0</v>
      </c>
      <c r="T96" s="1080">
        <f>IF(AE96&gt;0,'3 pr-2'!U97,0)</f>
        <v>0</v>
      </c>
      <c r="U96" s="1081">
        <v>0</v>
      </c>
      <c r="V96" s="1082">
        <f>SUM('ketv. 6 '!X96)</f>
        <v>0</v>
      </c>
      <c r="W96" s="1080">
        <f>IF(AE96&gt;0,'3 pr-2'!X97,0)</f>
        <v>0</v>
      </c>
      <c r="X96" s="1081">
        <v>0</v>
      </c>
      <c r="Y96" s="1082">
        <f>SUM('ketv. 6 '!AB96)</f>
        <v>0</v>
      </c>
      <c r="Z96" s="1080">
        <f>IF(AE96&gt;0,'3 pr-2'!AA97,0)</f>
        <v>384649</v>
      </c>
      <c r="AA96" s="1081">
        <v>384649</v>
      </c>
      <c r="AB96" s="1082">
        <f>SUM('ketv. 6 '!AF96)</f>
        <v>346184.1</v>
      </c>
      <c r="AC96" s="1080">
        <f>IF($AE$9&gt;0,'3 pr-2'!AB97,0)</f>
        <v>0</v>
      </c>
      <c r="AD96" s="1104">
        <f>SUM('3 pr-2'!AG97)</f>
        <v>42732</v>
      </c>
      <c r="AE96" s="1104">
        <v>42732</v>
      </c>
      <c r="AF96" s="198">
        <f t="shared" si="67"/>
        <v>0</v>
      </c>
      <c r="AG96" s="384" t="str">
        <f t="shared" si="56"/>
        <v>–</v>
      </c>
    </row>
    <row r="97" spans="1:33" ht="45.75" customHeight="1">
      <c r="A97" s="164" t="str">
        <f>CONCATENATE('3 pr-2'!A98)</f>
        <v>1.1.2.4.6</v>
      </c>
      <c r="B97" s="281" t="s">
        <v>1590</v>
      </c>
      <c r="C97" s="164" t="str">
        <f>CONCATENATE('3 pr-2'!B98)</f>
        <v>R01-5511-120000-1246</v>
      </c>
      <c r="D97" s="164" t="str">
        <f>CONCATENATE('3 pr-2'!D98)</f>
        <v>Lazdijų miesto Seinų ir Lazdijos gatvių bei vietinės reikšmės kelio nuo Janonio gatvės iki Lazdijų hipodromo rekonstravimas</v>
      </c>
      <c r="E97" s="164" t="str">
        <f>CONCATENATE('3 pr-2'!E98)</f>
        <v>Lazdijų rajono savivaldybės administracija</v>
      </c>
      <c r="F97" s="164" t="str">
        <f>CONCATENATE('3 pr-2'!F98)</f>
        <v>Lietuvos Respublikos susisiekimo ministerija</v>
      </c>
      <c r="G97" s="164" t="str">
        <f>CONCATENATE('3 pr-2'!G98)</f>
        <v>Lazdijų r. sav.</v>
      </c>
      <c r="H97" s="164" t="str">
        <f>CONCATENATE('3 pr-2'!H98)</f>
        <v>06.2.1-TID-R-511</v>
      </c>
      <c r="I97" s="164" t="str">
        <f>CONCATENATE('3 pr-2'!I98)</f>
        <v>R</v>
      </c>
      <c r="J97" s="164" t="str">
        <f>CONCATENATE('3 pr-2'!J98)</f>
        <v>ITI</v>
      </c>
      <c r="K97" s="1080">
        <f>IF(AE97&gt;0,'3 pr-2'!L98,0)</f>
        <v>759934</v>
      </c>
      <c r="L97" s="1081">
        <f t="shared" si="55"/>
        <v>759934</v>
      </c>
      <c r="M97" s="1082">
        <f t="shared" si="59"/>
        <v>759934</v>
      </c>
      <c r="N97" s="1080">
        <f>IF(AE97&gt;0,'3 pr-2'!O98,0)</f>
        <v>113990</v>
      </c>
      <c r="O97" s="1081">
        <v>113990</v>
      </c>
      <c r="P97" s="1082">
        <f>SUM('ketv. 6 '!P97)</f>
        <v>113990</v>
      </c>
      <c r="Q97" s="1080">
        <f>IF(AE97&gt;0,'3 pr-2'!R98,0)</f>
        <v>0</v>
      </c>
      <c r="R97" s="1081">
        <v>0</v>
      </c>
      <c r="S97" s="1082">
        <f>SUM('ketv. 6 '!T97)</f>
        <v>0</v>
      </c>
      <c r="T97" s="1080">
        <f>IF(AE97&gt;0,'3 pr-2'!U98,0)</f>
        <v>0</v>
      </c>
      <c r="U97" s="1081">
        <v>0</v>
      </c>
      <c r="V97" s="1082">
        <f>SUM('ketv. 6 '!X97)</f>
        <v>0</v>
      </c>
      <c r="W97" s="1080">
        <f>IF(AE97&gt;0,'3 pr-2'!X98,0)</f>
        <v>0</v>
      </c>
      <c r="X97" s="1081">
        <v>0</v>
      </c>
      <c r="Y97" s="1082">
        <f>SUM('ketv. 6 '!AB97)</f>
        <v>0</v>
      </c>
      <c r="Z97" s="1080">
        <f>IF(AE97&gt;0,'3 pr-2'!AA98,0)</f>
        <v>645944</v>
      </c>
      <c r="AA97" s="1081">
        <v>645944</v>
      </c>
      <c r="AB97" s="1082">
        <f>SUM('ketv. 6 '!AF97)</f>
        <v>645944</v>
      </c>
      <c r="AC97" s="1080">
        <f>IF($AE$9&gt;0,'3 pr-2'!AB98,0)</f>
        <v>0</v>
      </c>
      <c r="AD97" s="1104">
        <f>SUM('3 pr-2'!AG98)</f>
        <v>42732</v>
      </c>
      <c r="AE97" s="1104">
        <v>42732</v>
      </c>
      <c r="AF97" s="198">
        <f t="shared" si="67"/>
        <v>0</v>
      </c>
      <c r="AG97" s="384" t="str">
        <f t="shared" si="56"/>
        <v>–</v>
      </c>
    </row>
    <row r="98" spans="1:33" ht="49.5" thickBot="1">
      <c r="A98" s="164" t="str">
        <f>CONCATENATE('3 pr-2'!A99)</f>
        <v>1.1.2.4.7</v>
      </c>
      <c r="B98" s="281" t="s">
        <v>4340</v>
      </c>
      <c r="C98" s="164" t="str">
        <f>CONCATENATE('3 pr-2'!B99)</f>
        <v>R01-5511-120000-1247</v>
      </c>
      <c r="D98" s="164" t="str">
        <f>CONCATENATE('3 pr-2'!D99)</f>
        <v>Eismo saugumo priemonių diegimas Druskininkų savivaldybėje</v>
      </c>
      <c r="E98" s="164" t="str">
        <f>CONCATENATE('3 pr-2'!E99)</f>
        <v xml:space="preserve">Druskininkų savivaldybės administracija  </v>
      </c>
      <c r="F98" s="164" t="str">
        <f>CONCATENATE('3 pr-2'!F99)</f>
        <v>Lietuvos Respublikos susisiekimo ministerija</v>
      </c>
      <c r="G98" s="164" t="str">
        <f>CONCATENATE('3 pr-2'!G99)</f>
        <v>Druskininkų sav.</v>
      </c>
      <c r="H98" s="164" t="str">
        <f>CONCATENATE('3 pr-2'!H99)</f>
        <v>06.2.1-TID-R-511</v>
      </c>
      <c r="I98" s="164" t="str">
        <f>CONCATENATE('3 pr-2'!I99)</f>
        <v>R</v>
      </c>
      <c r="J98" s="164" t="str">
        <f>CONCATENATE('3 pr-2'!J99)</f>
        <v>-</v>
      </c>
      <c r="K98" s="1163">
        <f>IF(AE98&gt;0,'3 pr-2'!L99,0)</f>
        <v>135352</v>
      </c>
      <c r="L98" s="1081">
        <v>0</v>
      </c>
      <c r="M98" s="1082">
        <f t="shared" si="59"/>
        <v>320671.49</v>
      </c>
      <c r="N98" s="1080">
        <f>IF(AE98&gt;0,'3 pr-2'!O99,0)</f>
        <v>22363</v>
      </c>
      <c r="O98" s="1236">
        <v>0</v>
      </c>
      <c r="P98" s="1082">
        <f>SUM('ketv. 6 '!P98)</f>
        <v>207682.49</v>
      </c>
      <c r="Q98" s="1163">
        <f>IF(AE98&gt;0,'3 pr-2'!R99,0)</f>
        <v>0</v>
      </c>
      <c r="R98" s="1236">
        <v>0</v>
      </c>
      <c r="S98" s="1082">
        <f>SUM('ketv. 6 '!T98)</f>
        <v>0</v>
      </c>
      <c r="T98" s="1163">
        <f>IF(AE98&gt;0,'3 pr-2'!U99,0)</f>
        <v>0</v>
      </c>
      <c r="U98" s="1236">
        <v>0</v>
      </c>
      <c r="V98" s="1082">
        <f>SUM('ketv. 6 '!X98)</f>
        <v>0</v>
      </c>
      <c r="W98" s="1163">
        <f>IF(AE98&gt;0,'3 pr-2'!X99,0)</f>
        <v>0</v>
      </c>
      <c r="X98" s="1236">
        <v>0</v>
      </c>
      <c r="Y98" s="1082">
        <f>SUM('ketv. 6 '!AB98)</f>
        <v>0</v>
      </c>
      <c r="Z98" s="1163">
        <f>IF(AE98&gt;0,'3 pr-2'!AA99,0)</f>
        <v>112989</v>
      </c>
      <c r="AA98" s="1236">
        <v>0</v>
      </c>
      <c r="AB98" s="1082">
        <f>SUM('ketv. 6 '!AF98)</f>
        <v>112989</v>
      </c>
      <c r="AC98" s="1163">
        <f>IF($AE$9&gt;0,'3 pr-2'!AB99,0)</f>
        <v>0</v>
      </c>
      <c r="AD98" s="1114">
        <f>SUM('3 pr-2'!AG99)</f>
        <v>43404</v>
      </c>
      <c r="AE98" s="1114">
        <v>43388</v>
      </c>
      <c r="AF98" s="360">
        <f t="shared" ref="AF98" si="68">IF((YEAR(AD98)-YEAR(AE98))=0,0,YEAR(AD98)-YEAR(AE98))</f>
        <v>0</v>
      </c>
      <c r="AG98" s="1067" t="str">
        <f t="shared" ref="AG98" si="69">IF(AD98-AE98&lt;0,(AD98-AE98)/30.41667,"–")</f>
        <v>–</v>
      </c>
    </row>
    <row r="99" spans="1:33" ht="48" customHeight="1" thickBot="1">
      <c r="A99" s="366" t="str">
        <f>CONCATENATE('3 pr-2'!A100)</f>
        <v>2.1.</v>
      </c>
      <c r="B99" s="367"/>
      <c r="C99" s="2092" t="str">
        <f>CONCATENATE('3 pr-2'!B100)</f>
        <v>Tikslas:
GERINTI VIEŠŲJŲ  PASLAUGŲ KOKYBĘ IR PRIEINAMUMĄ</v>
      </c>
      <c r="D99" s="2086"/>
      <c r="E99" s="2086"/>
      <c r="F99" s="2086"/>
      <c r="G99" s="2086"/>
      <c r="H99" s="2086"/>
      <c r="I99" s="2086"/>
      <c r="J99" s="2087"/>
      <c r="K99" s="1219">
        <f t="shared" ref="K99:AB99" si="70">SUM(K100+K119+K146+K159)</f>
        <v>12392963.76</v>
      </c>
      <c r="L99" s="1237">
        <f t="shared" si="70"/>
        <v>12430844.540000001</v>
      </c>
      <c r="M99" s="1238">
        <f t="shared" si="70"/>
        <v>12418617.129999999</v>
      </c>
      <c r="N99" s="1219">
        <f t="shared" si="70"/>
        <v>1864321.69</v>
      </c>
      <c r="O99" s="1237">
        <f t="shared" si="70"/>
        <v>1834219.23</v>
      </c>
      <c r="P99" s="1238">
        <f t="shared" si="70"/>
        <v>1819038.3</v>
      </c>
      <c r="Q99" s="1219">
        <f t="shared" si="70"/>
        <v>411944.43</v>
      </c>
      <c r="R99" s="1237">
        <f t="shared" si="70"/>
        <v>411238.65</v>
      </c>
      <c r="S99" s="1238">
        <f t="shared" si="70"/>
        <v>410243.26999999996</v>
      </c>
      <c r="T99" s="1219">
        <f t="shared" si="70"/>
        <v>40107.979999999996</v>
      </c>
      <c r="U99" s="1237">
        <f t="shared" si="70"/>
        <v>54374.2</v>
      </c>
      <c r="V99" s="1238">
        <f t="shared" si="70"/>
        <v>46858.02</v>
      </c>
      <c r="W99" s="1219">
        <f t="shared" si="70"/>
        <v>1299.95</v>
      </c>
      <c r="X99" s="1226">
        <f t="shared" si="70"/>
        <v>13560.2</v>
      </c>
      <c r="Y99" s="1227">
        <f t="shared" si="70"/>
        <v>73670.34</v>
      </c>
      <c r="Z99" s="1219">
        <f t="shared" si="70"/>
        <v>10075289.709999999</v>
      </c>
      <c r="AA99" s="1237">
        <f t="shared" si="70"/>
        <v>10117452.26</v>
      </c>
      <c r="AB99" s="1238">
        <f t="shared" si="70"/>
        <v>10068807.199999999</v>
      </c>
      <c r="AC99" s="1219">
        <f t="shared" ref="AC99" si="71">SUM(AC100+AC119+AC146+AC159)</f>
        <v>0</v>
      </c>
      <c r="AD99" s="1115" t="s">
        <v>679</v>
      </c>
      <c r="AE99" s="1115" t="s">
        <v>679</v>
      </c>
      <c r="AF99" s="362" t="s">
        <v>679</v>
      </c>
      <c r="AG99" s="362"/>
    </row>
    <row r="100" spans="1:33" ht="59.25" customHeight="1" thickBot="1">
      <c r="A100" s="238" t="str">
        <f>CONCATENATE('3 pr-2'!A101)</f>
        <v>2.1.1.</v>
      </c>
      <c r="B100" s="363"/>
      <c r="C100" s="2085" t="str">
        <f>CONCATENATE('3 pr-2'!B101)</f>
        <v xml:space="preserve">Uždavinys:
Bendrojo ugdymo ir neformaliojo švietimo įstaigų (ypač vykdančių ikimokyklinio ir priešmokyklinio ugdymo programas) tinklo veiklos efektyvumo didinimas </v>
      </c>
      <c r="D100" s="2086"/>
      <c r="E100" s="2086"/>
      <c r="F100" s="2086"/>
      <c r="G100" s="2086"/>
      <c r="H100" s="2086"/>
      <c r="I100" s="2086"/>
      <c r="J100" s="2087"/>
      <c r="K100" s="1158">
        <f>SUM(K101+K107+K113)</f>
        <v>4776867.3599999994</v>
      </c>
      <c r="L100" s="1233">
        <f t="shared" ref="L100:AB100" si="72">SUM(L101+L107+L113)</f>
        <v>4705147.4800000004</v>
      </c>
      <c r="M100" s="1229">
        <f t="shared" si="72"/>
        <v>4776867.3599999994</v>
      </c>
      <c r="N100" s="1158">
        <f t="shared" si="72"/>
        <v>808633.36</v>
      </c>
      <c r="O100" s="1233">
        <f t="shared" si="72"/>
        <v>736912.48</v>
      </c>
      <c r="P100" s="1229">
        <f t="shared" si="72"/>
        <v>808633.36</v>
      </c>
      <c r="Q100" s="1158">
        <f t="shared" si="72"/>
        <v>201262</v>
      </c>
      <c r="R100" s="1233">
        <f t="shared" si="72"/>
        <v>201262</v>
      </c>
      <c r="S100" s="1229">
        <f t="shared" si="72"/>
        <v>201262</v>
      </c>
      <c r="T100" s="1158">
        <f t="shared" si="72"/>
        <v>0</v>
      </c>
      <c r="U100" s="1233">
        <f t="shared" si="72"/>
        <v>0</v>
      </c>
      <c r="V100" s="1229">
        <f t="shared" si="72"/>
        <v>0</v>
      </c>
      <c r="W100" s="1158">
        <f t="shared" si="72"/>
        <v>0</v>
      </c>
      <c r="X100" s="1234">
        <f t="shared" si="72"/>
        <v>0</v>
      </c>
      <c r="Y100" s="1190">
        <f t="shared" si="72"/>
        <v>0</v>
      </c>
      <c r="Z100" s="1158">
        <f t="shared" si="72"/>
        <v>3766972</v>
      </c>
      <c r="AA100" s="1233">
        <f t="shared" si="72"/>
        <v>3766973</v>
      </c>
      <c r="AB100" s="1229">
        <f t="shared" si="72"/>
        <v>3766972</v>
      </c>
      <c r="AC100" s="1158">
        <f t="shared" ref="AC100" si="73">SUM(AC101+AC107+AC113)</f>
        <v>0</v>
      </c>
      <c r="AD100" s="1106" t="s">
        <v>679</v>
      </c>
      <c r="AE100" s="1107" t="s">
        <v>679</v>
      </c>
      <c r="AF100" s="364" t="s">
        <v>679</v>
      </c>
      <c r="AG100" s="220"/>
    </row>
    <row r="101" spans="1:33" ht="37.5" customHeight="1" thickBot="1">
      <c r="A101" s="296" t="str">
        <f>CONCATENATE('3 pr-2'!A102)</f>
        <v>2.1.1.1</v>
      </c>
      <c r="B101" s="349"/>
      <c r="C101" s="2088" t="str">
        <f>CONCATENATE('3 pr-2'!B102)</f>
        <v>Priemonė:
Mokyklų tinklo efektyvumo didinimas</v>
      </c>
      <c r="D101" s="2089"/>
      <c r="E101" s="2089"/>
      <c r="F101" s="2089"/>
      <c r="G101" s="2089"/>
      <c r="H101" s="2089"/>
      <c r="I101" s="2089"/>
      <c r="J101" s="2090"/>
      <c r="K101" s="1077">
        <f>SUM(K102:K106)</f>
        <v>1343975.4100000001</v>
      </c>
      <c r="L101" s="1231">
        <f t="shared" ref="L101:AB101" si="74">SUM(L102:L106)</f>
        <v>1343974.4100000001</v>
      </c>
      <c r="M101" s="1079">
        <f t="shared" si="74"/>
        <v>1343975.4100000001</v>
      </c>
      <c r="N101" s="1077">
        <f t="shared" si="74"/>
        <v>100799.41</v>
      </c>
      <c r="O101" s="1078">
        <f t="shared" si="74"/>
        <v>100798.41</v>
      </c>
      <c r="P101" s="1232">
        <f t="shared" si="74"/>
        <v>100799.41</v>
      </c>
      <c r="Q101" s="1077">
        <f t="shared" si="74"/>
        <v>100799</v>
      </c>
      <c r="R101" s="1078">
        <f t="shared" si="74"/>
        <v>100799</v>
      </c>
      <c r="S101" s="1082">
        <f t="shared" si="74"/>
        <v>100799</v>
      </c>
      <c r="T101" s="1077">
        <f t="shared" si="74"/>
        <v>0</v>
      </c>
      <c r="U101" s="1231">
        <f t="shared" si="74"/>
        <v>0</v>
      </c>
      <c r="V101" s="1079">
        <f t="shared" si="74"/>
        <v>0</v>
      </c>
      <c r="W101" s="1077">
        <f t="shared" si="74"/>
        <v>0</v>
      </c>
      <c r="X101" s="1078">
        <f t="shared" si="74"/>
        <v>0</v>
      </c>
      <c r="Y101" s="1079">
        <f t="shared" si="74"/>
        <v>0</v>
      </c>
      <c r="Z101" s="1077">
        <f t="shared" si="74"/>
        <v>1142377</v>
      </c>
      <c r="AA101" s="1078">
        <f t="shared" si="74"/>
        <v>1142377</v>
      </c>
      <c r="AB101" s="1079">
        <f t="shared" si="74"/>
        <v>1142377</v>
      </c>
      <c r="AC101" s="1077">
        <f t="shared" ref="AC101" si="75">SUM(AC102:AC106)</f>
        <v>0</v>
      </c>
      <c r="AD101" s="1108"/>
      <c r="AE101" s="1109"/>
      <c r="AF101" s="357"/>
      <c r="AG101" s="358"/>
    </row>
    <row r="102" spans="1:33" ht="60.75">
      <c r="A102" s="164" t="str">
        <f>CONCATENATE('3 pr-2'!A103)</f>
        <v>2.1.1.1.1</v>
      </c>
      <c r="B102" s="281" t="s">
        <v>3254</v>
      </c>
      <c r="C102" s="164" t="str">
        <f>CONCATENATE('3 pr-2'!B103)</f>
        <v>R01-7724-220000-2111</v>
      </c>
      <c r="D102" s="164" t="str">
        <f>CONCATENATE('3 pr-2'!D103)</f>
        <v>Varėnos r. Merkinės Vinco Krėvės gimnazijos laisvų patalpų pritaikymas ikimokyklinio ir priešmokyklinio ugdymo grupėms įrengti</v>
      </c>
      <c r="E102" s="164" t="str">
        <f>CONCATENATE('3 pr-2'!E103)</f>
        <v>Varėnos rajono savivaldybės administracija</v>
      </c>
      <c r="F102" s="164" t="str">
        <f>CONCATENATE('3 pr-2'!F103)</f>
        <v>Lietuvos Respublikos švietimo ir mokslo ministerija</v>
      </c>
      <c r="G102" s="164" t="str">
        <f>CONCATENATE('3 pr-2'!G103)</f>
        <v>Varėnos r. sav.</v>
      </c>
      <c r="H102" s="164" t="str">
        <f>CONCATENATE('3 pr-2'!H103)</f>
        <v>09.1.3-CPVA-R-724</v>
      </c>
      <c r="I102" s="164" t="str">
        <f>CONCATENATE('3 pr-2'!I103)</f>
        <v>R</v>
      </c>
      <c r="J102" s="164" t="str">
        <f>CONCATENATE('3 pr-2'!J103)</f>
        <v>-</v>
      </c>
      <c r="K102" s="1080">
        <f>IF(AE102&gt;0,'3 pr-2'!L103,0)</f>
        <v>220453</v>
      </c>
      <c r="L102" s="1081">
        <f t="shared" ref="L102:L118" si="76">SUM(O102+R102+U102+X102+AA102)</f>
        <v>220453</v>
      </c>
      <c r="M102" s="1082">
        <f t="shared" ref="M102:M118" si="77">SUM(P102+S102+V102+Y102+AB102)</f>
        <v>220453</v>
      </c>
      <c r="N102" s="1080">
        <f>IF(AE102&gt;0,'3 pr-2'!O103,0)</f>
        <v>16534</v>
      </c>
      <c r="O102" s="1081">
        <v>16534</v>
      </c>
      <c r="P102" s="1082">
        <f>SUM('ketv. 6 '!P102)</f>
        <v>16534</v>
      </c>
      <c r="Q102" s="1080">
        <f>IF(AE102&gt;0,'3 pr-2'!R103,0)</f>
        <v>16534</v>
      </c>
      <c r="R102" s="1081">
        <v>16534</v>
      </c>
      <c r="S102" s="1082">
        <f>SUM('ketv. 6 '!T102)</f>
        <v>16534</v>
      </c>
      <c r="T102" s="1080">
        <f>IF(AE102&gt;0,'3 pr-2'!U103,0)</f>
        <v>0</v>
      </c>
      <c r="U102" s="1081">
        <v>0</v>
      </c>
      <c r="V102" s="1082">
        <f>SUM('ketv. 6 '!X102)</f>
        <v>0</v>
      </c>
      <c r="W102" s="1080">
        <f>IF(AE102&gt;0,'3 pr-2'!X103,0)</f>
        <v>0</v>
      </c>
      <c r="X102" s="1081">
        <v>0</v>
      </c>
      <c r="Y102" s="1082">
        <f>SUM('ketv. 6 '!AB102)</f>
        <v>0</v>
      </c>
      <c r="Z102" s="1080">
        <f>IF(AE102&gt;0,'3 pr-2'!AA103,0)</f>
        <v>187385</v>
      </c>
      <c r="AA102" s="1081">
        <v>187385</v>
      </c>
      <c r="AB102" s="1082">
        <f>SUM('ketv. 6 '!AF102)</f>
        <v>187385</v>
      </c>
      <c r="AC102" s="1080">
        <f>IF($AE$9&gt;0,'3 pr-2'!AB103,0)</f>
        <v>0</v>
      </c>
      <c r="AD102" s="1104">
        <f>SUM('3 pr-2'!AG103)</f>
        <v>42916</v>
      </c>
      <c r="AE102" s="1111">
        <v>42915</v>
      </c>
      <c r="AF102" s="198">
        <f t="shared" ref="AF102:AF103" si="78">IF((YEAR(AD102)-YEAR(AE102))=0,0,YEAR(AD102)-YEAR(AE102))</f>
        <v>0</v>
      </c>
      <c r="AG102" s="384" t="str">
        <f t="shared" ref="AG102:AG106" si="79">IF(AD102-AE102&lt;0,(AD102-AE102)/30.41667,"–")</f>
        <v>–</v>
      </c>
    </row>
    <row r="103" spans="1:33" ht="60.75">
      <c r="A103" s="164" t="str">
        <f>CONCATENATE('3 pr-2'!A104)</f>
        <v>2.1.1.1.2</v>
      </c>
      <c r="B103" s="281" t="s">
        <v>807</v>
      </c>
      <c r="C103" s="164" t="str">
        <f>CONCATENATE('3 pr-2'!B104)</f>
        <v>R01-7724-220000-2112</v>
      </c>
      <c r="D103" s="164" t="str">
        <f>CONCATENATE('3 pr-2'!D104)</f>
        <v>Alytaus rajono bendrojo ugdymo įstaigų aprūpinimas gamtos, technologijų, menų ir kitų mokslų laboratorijų įranga</v>
      </c>
      <c r="E103" s="164" t="str">
        <f>CONCATENATE('3 pr-2'!E104)</f>
        <v>Alytaus rajono savivaldybės administracija</v>
      </c>
      <c r="F103" s="164" t="str">
        <f>CONCATENATE('3 pr-2'!F104)</f>
        <v>Lietuvos Respublikos švietimo ir mokslo ministerija</v>
      </c>
      <c r="G103" s="164" t="str">
        <f>CONCATENATE('3 pr-2'!G104)</f>
        <v>Alytaus r. sav.</v>
      </c>
      <c r="H103" s="164" t="str">
        <f>CONCATENATE('3 pr-2'!H104)</f>
        <v>09.1.3-CPVA-R-724</v>
      </c>
      <c r="I103" s="164" t="str">
        <f>CONCATENATE('3 pr-2'!I104)</f>
        <v>R</v>
      </c>
      <c r="J103" s="164" t="str">
        <f>CONCATENATE('3 pr-2'!J104)</f>
        <v>-</v>
      </c>
      <c r="K103" s="1080">
        <f>IF(AE103&gt;0,'3 pr-2'!L104,0)</f>
        <v>106845.41</v>
      </c>
      <c r="L103" s="1081">
        <f t="shared" si="76"/>
        <v>106845.41</v>
      </c>
      <c r="M103" s="1082">
        <f t="shared" si="77"/>
        <v>106845.41</v>
      </c>
      <c r="N103" s="1080">
        <f>IF(AE103&gt;0,'3 pr-2'!O104,0)</f>
        <v>8013.41</v>
      </c>
      <c r="O103" s="1081">
        <v>8013.41</v>
      </c>
      <c r="P103" s="1082">
        <f>SUM('ketv. 6 '!P103)</f>
        <v>8013.41</v>
      </c>
      <c r="Q103" s="1080">
        <f>IF(AE103&gt;0,'3 pr-2'!R104,0)</f>
        <v>8014</v>
      </c>
      <c r="R103" s="1081">
        <v>8014</v>
      </c>
      <c r="S103" s="1082">
        <f>SUM('ketv. 6 '!T103)</f>
        <v>8014</v>
      </c>
      <c r="T103" s="1080">
        <f>IF(AE103&gt;0,'3 pr-2'!U104,0)</f>
        <v>0</v>
      </c>
      <c r="U103" s="1081">
        <v>0</v>
      </c>
      <c r="V103" s="1082">
        <f>SUM('ketv. 6 '!X103)</f>
        <v>0</v>
      </c>
      <c r="W103" s="1080">
        <f>IF(AE103&gt;0,'3 pr-2'!X104,0)</f>
        <v>0</v>
      </c>
      <c r="X103" s="1081">
        <v>0</v>
      </c>
      <c r="Y103" s="1082">
        <f>SUM('ketv. 6 '!AB103)</f>
        <v>0</v>
      </c>
      <c r="Z103" s="1080">
        <f>IF(AE103&gt;0,'3 pr-2'!AA104,0)</f>
        <v>90818</v>
      </c>
      <c r="AA103" s="1081">
        <v>90818</v>
      </c>
      <c r="AB103" s="1082">
        <f>SUM('ketv. 6 '!AF103)</f>
        <v>90818</v>
      </c>
      <c r="AC103" s="1080">
        <f>IF($AE$9&gt;0,'3 pr-2'!AB104,0)</f>
        <v>0</v>
      </c>
      <c r="AD103" s="1104">
        <f>SUM('3 pr-2'!AG104)</f>
        <v>42916</v>
      </c>
      <c r="AE103" s="1111">
        <v>42915</v>
      </c>
      <c r="AF103" s="198">
        <f t="shared" si="78"/>
        <v>0</v>
      </c>
      <c r="AG103" s="384" t="str">
        <f t="shared" si="79"/>
        <v>–</v>
      </c>
    </row>
    <row r="104" spans="1:33" ht="60.75">
      <c r="A104" s="164" t="str">
        <f>CONCATENATE('3 pr-2'!A105)</f>
        <v>2.1.1.1.3</v>
      </c>
      <c r="B104" s="281" t="s">
        <v>2454</v>
      </c>
      <c r="C104" s="164" t="str">
        <f>CONCATENATE('3 pr-2'!B105)</f>
        <v>R01-7724-220000-2113</v>
      </c>
      <c r="D104" s="164" t="str">
        <f>CONCATENATE('3 pr-2'!D105)</f>
        <v>Modernių ir saugių erdvių kūrimas Dzūkijos pagrindinėje mokykloje, Alytuje</v>
      </c>
      <c r="E104" s="164" t="str">
        <f>CONCATENATE('3 pr-2'!E105)</f>
        <v>Alytaus miesto savivaldybės administracija</v>
      </c>
      <c r="F104" s="164" t="str">
        <f>CONCATENATE('3 pr-2'!F105)</f>
        <v>Lietuvos Respublikos švietimo ir mokslo ministerija</v>
      </c>
      <c r="G104" s="164" t="str">
        <f>CONCATENATE('3 pr-2'!G105)</f>
        <v>Alytaus m. sav.</v>
      </c>
      <c r="H104" s="164" t="str">
        <f>CONCATENATE('3 pr-2'!H105)</f>
        <v>09.1.3-CPVA-R-724</v>
      </c>
      <c r="I104" s="164" t="str">
        <f>CONCATENATE('3 pr-2'!I105)</f>
        <v>R</v>
      </c>
      <c r="J104" s="164" t="str">
        <f>CONCATENATE('3 pr-2'!J105)</f>
        <v>-</v>
      </c>
      <c r="K104" s="1080">
        <f>IF(AE104&gt;0,'3 pr-2'!L105,0)</f>
        <v>657021</v>
      </c>
      <c r="L104" s="1081">
        <f t="shared" si="76"/>
        <v>657021</v>
      </c>
      <c r="M104" s="1082">
        <f t="shared" si="77"/>
        <v>657021</v>
      </c>
      <c r="N104" s="1080">
        <f>IF(AE104&gt;0,'3 pr-2'!O105,0)</f>
        <v>49277</v>
      </c>
      <c r="O104" s="1081">
        <v>49277</v>
      </c>
      <c r="P104" s="1082">
        <f>SUM('ketv. 6 '!P104)</f>
        <v>49277</v>
      </c>
      <c r="Q104" s="1080">
        <f>IF(AE104&gt;0,'3 pr-2'!R105,0)</f>
        <v>49277</v>
      </c>
      <c r="R104" s="1081">
        <v>49277</v>
      </c>
      <c r="S104" s="1082">
        <f>SUM('ketv. 6 '!T104)</f>
        <v>49277</v>
      </c>
      <c r="T104" s="1080">
        <f>IF(AE104&gt;0,'3 pr-2'!U105,0)</f>
        <v>0</v>
      </c>
      <c r="U104" s="1081">
        <v>0</v>
      </c>
      <c r="V104" s="1082">
        <f>SUM('ketv. 6 '!X104)</f>
        <v>0</v>
      </c>
      <c r="W104" s="1080">
        <f>IF(AE104&gt;0,'3 pr-2'!X105,0)</f>
        <v>0</v>
      </c>
      <c r="X104" s="1081">
        <v>0</v>
      </c>
      <c r="Y104" s="1082">
        <f>SUM('ketv. 6 '!AB104)</f>
        <v>0</v>
      </c>
      <c r="Z104" s="1080">
        <f>IF(AE104&gt;0,'3 pr-2'!AA105,0)</f>
        <v>558467</v>
      </c>
      <c r="AA104" s="1081">
        <v>558467</v>
      </c>
      <c r="AB104" s="1082">
        <f>SUM('ketv. 6 '!AF104)</f>
        <v>558467</v>
      </c>
      <c r="AC104" s="1080">
        <f>IF($AE$9&gt;0,'3 pr-2'!AB105,0)</f>
        <v>0</v>
      </c>
      <c r="AD104" s="1104">
        <f>SUM('3 pr-2'!AG105)</f>
        <v>42947</v>
      </c>
      <c r="AE104" s="1111">
        <v>42934</v>
      </c>
      <c r="AF104" s="198">
        <f t="shared" ref="AF104" si="80">IF((YEAR(AD104)-YEAR(AE104))=0,0,YEAR(AD104)-YEAR(AE104))</f>
        <v>0</v>
      </c>
      <c r="AG104" s="384" t="str">
        <f t="shared" si="79"/>
        <v>–</v>
      </c>
    </row>
    <row r="105" spans="1:33" ht="60.75">
      <c r="A105" s="164" t="str">
        <f>CONCATENATE('3 pr-2'!A106)</f>
        <v>2.1.1.1.4</v>
      </c>
      <c r="B105" s="281" t="s">
        <v>804</v>
      </c>
      <c r="C105" s="164" t="str">
        <f>CONCATENATE('3 pr-2'!B106)</f>
        <v>R01-7724-220000-2114</v>
      </c>
      <c r="D105" s="164" t="str">
        <f>CONCATENATE('3 pr-2'!D106)</f>
        <v>Modernių ir saugių erdvių sukūrimas bendrojo ugdymo mokyklose Druskininkų sav.</v>
      </c>
      <c r="E105" s="164" t="str">
        <f>CONCATENATE('3 pr-2'!E106)</f>
        <v>Druskininkų savivaldybės administracija</v>
      </c>
      <c r="F105" s="164" t="str">
        <f>CONCATENATE('3 pr-2'!F106)</f>
        <v>Lietuvos Respublikos švietimo ir mokslo ministerija</v>
      </c>
      <c r="G105" s="164" t="str">
        <f>CONCATENATE('3 pr-2'!G106)</f>
        <v>Druskininkų sav.</v>
      </c>
      <c r="H105" s="164" t="str">
        <f>CONCATENATE('3 pr-2'!H106)</f>
        <v>09.1.3-CPVA-R-724</v>
      </c>
      <c r="I105" s="164" t="str">
        <f>CONCATENATE('3 pr-2'!I106)</f>
        <v>R</v>
      </c>
      <c r="J105" s="164" t="str">
        <f>CONCATENATE('3 pr-2'!J106)</f>
        <v>-</v>
      </c>
      <c r="K105" s="1080">
        <f>IF(AE105&gt;0,'3 pr-2'!L106,0)</f>
        <v>163877</v>
      </c>
      <c r="L105" s="1081">
        <f t="shared" si="76"/>
        <v>163877</v>
      </c>
      <c r="M105" s="1082">
        <f t="shared" si="77"/>
        <v>163877</v>
      </c>
      <c r="N105" s="1080">
        <f>IF(AE105&gt;0,'3 pr-2'!O106,0)</f>
        <v>12291</v>
      </c>
      <c r="O105" s="1081">
        <v>12291</v>
      </c>
      <c r="P105" s="1082">
        <f>SUM('ketv. 6 '!P105)</f>
        <v>12291</v>
      </c>
      <c r="Q105" s="1080">
        <f>IF(AE105&gt;0,'3 pr-2'!R106,0)</f>
        <v>12291</v>
      </c>
      <c r="R105" s="1081">
        <v>12291</v>
      </c>
      <c r="S105" s="1082">
        <f>SUM('ketv. 6 '!T105)</f>
        <v>12291</v>
      </c>
      <c r="T105" s="1080">
        <f>IF(AE105&gt;0,'3 pr-2'!U106,0)</f>
        <v>0</v>
      </c>
      <c r="U105" s="1081">
        <v>0</v>
      </c>
      <c r="V105" s="1082">
        <f>SUM('ketv. 6 '!X105)</f>
        <v>0</v>
      </c>
      <c r="W105" s="1080">
        <f>IF(AE105&gt;0,'3 pr-2'!X106,0)</f>
        <v>0</v>
      </c>
      <c r="X105" s="1081">
        <v>0</v>
      </c>
      <c r="Y105" s="1082">
        <f>SUM('ketv. 6 '!AB105)</f>
        <v>0</v>
      </c>
      <c r="Z105" s="1080">
        <f>IF(AE105&gt;0,'3 pr-2'!AA106,0)</f>
        <v>139295</v>
      </c>
      <c r="AA105" s="1081">
        <v>139295</v>
      </c>
      <c r="AB105" s="1082">
        <f>SUM('ketv. 6 '!AF105)</f>
        <v>139295</v>
      </c>
      <c r="AC105" s="1080">
        <f>IF($AE$9&gt;0,'3 pr-2'!AB106,0)</f>
        <v>0</v>
      </c>
      <c r="AD105" s="1104">
        <f>SUM('3 pr-2'!AG106)</f>
        <v>42916</v>
      </c>
      <c r="AE105" s="1111">
        <v>42915</v>
      </c>
      <c r="AF105" s="198">
        <f t="shared" ref="AF105:AF106" si="81">IF((YEAR(AD105)-YEAR(AE105))=0,0,YEAR(AD105)-YEAR(AE105))</f>
        <v>0</v>
      </c>
      <c r="AG105" s="384" t="str">
        <f t="shared" si="79"/>
        <v>–</v>
      </c>
    </row>
    <row r="106" spans="1:33" ht="61.5" thickBot="1">
      <c r="A106" s="164" t="str">
        <f>CONCATENATE('3 pr-2'!A107)</f>
        <v>2.1.1.1.5</v>
      </c>
      <c r="B106" s="281" t="s">
        <v>2449</v>
      </c>
      <c r="C106" s="164" t="str">
        <f>CONCATENATE('3 pr-2'!B107)</f>
        <v>R01-7724-220000-2115</v>
      </c>
      <c r="D106" s="164" t="str">
        <f>CONCATENATE('3 pr-2'!D107)</f>
        <v>Modernių ir saugių erdvių sukūrimas bendrojo ugdymo įstaigose Lazdijų rajono savivaldybėje</v>
      </c>
      <c r="E106" s="164" t="str">
        <f>CONCATENATE('3 pr-2'!E107)</f>
        <v>Lazdijų rajono savivaldybės administracija</v>
      </c>
      <c r="F106" s="164" t="str">
        <f>CONCATENATE('3 pr-2'!F107)</f>
        <v>Lietuvos Respublikos švietimo ir mokslo ministerija</v>
      </c>
      <c r="G106" s="164" t="str">
        <f>CONCATENATE('3 pr-2'!G107)</f>
        <v>Lazdijų r. sav.</v>
      </c>
      <c r="H106" s="164" t="str">
        <f>CONCATENATE('3 pr-2'!H107)</f>
        <v>09.1.3-CPVA-R-724</v>
      </c>
      <c r="I106" s="164" t="str">
        <f>CONCATENATE('3 pr-2'!I107)</f>
        <v>R</v>
      </c>
      <c r="J106" s="164" t="str">
        <f>CONCATENATE('3 pr-2'!J107)</f>
        <v>-</v>
      </c>
      <c r="K106" s="1080">
        <f>IF(AE106&gt;0,'3 pr-2'!L107,0)</f>
        <v>195779</v>
      </c>
      <c r="L106" s="1081">
        <f t="shared" si="76"/>
        <v>195778</v>
      </c>
      <c r="M106" s="1082">
        <f t="shared" si="77"/>
        <v>195779</v>
      </c>
      <c r="N106" s="1080">
        <f>IF(AE106&gt;0,'3 pr-2'!O107,0)</f>
        <v>14684</v>
      </c>
      <c r="O106" s="1081">
        <v>14683</v>
      </c>
      <c r="P106" s="1082">
        <f>SUM('ketv. 6 '!P106)</f>
        <v>14684</v>
      </c>
      <c r="Q106" s="1080">
        <f>IF(AE106&gt;0,'3 pr-2'!R107,0)</f>
        <v>14683</v>
      </c>
      <c r="R106" s="1081">
        <v>14683</v>
      </c>
      <c r="S106" s="1082">
        <f>SUM('ketv. 6 '!T106)</f>
        <v>14683</v>
      </c>
      <c r="T106" s="1080">
        <f>IF(AE106&gt;0,'3 pr-2'!U107,0)</f>
        <v>0</v>
      </c>
      <c r="U106" s="1081">
        <v>0</v>
      </c>
      <c r="V106" s="1082">
        <f>SUM('ketv. 6 '!X106)</f>
        <v>0</v>
      </c>
      <c r="W106" s="1080">
        <f>IF(AE106&gt;0,'3 pr-2'!X107,0)</f>
        <v>0</v>
      </c>
      <c r="X106" s="1081">
        <v>0</v>
      </c>
      <c r="Y106" s="1082">
        <f>SUM('ketv. 6 '!AB106)</f>
        <v>0</v>
      </c>
      <c r="Z106" s="1080">
        <f>IF(AE106&gt;0,'3 pr-2'!AA107,0)</f>
        <v>166412</v>
      </c>
      <c r="AA106" s="1081">
        <v>166412</v>
      </c>
      <c r="AB106" s="1082">
        <f>SUM('ketv. 6 '!AF106)</f>
        <v>166412</v>
      </c>
      <c r="AC106" s="1080">
        <f>IF($AE$9&gt;0,'3 pr-2'!AB107,0)</f>
        <v>0</v>
      </c>
      <c r="AD106" s="1104">
        <f>SUM('3 pr-2'!AG107)</f>
        <v>42916</v>
      </c>
      <c r="AE106" s="1111">
        <v>42915</v>
      </c>
      <c r="AF106" s="198">
        <f t="shared" si="81"/>
        <v>0</v>
      </c>
      <c r="AG106" s="384" t="str">
        <f t="shared" si="79"/>
        <v>–</v>
      </c>
    </row>
    <row r="107" spans="1:33" ht="39.75" customHeight="1" thickBot="1">
      <c r="A107" s="296" t="str">
        <f>CONCATENATE('3 pr-2'!A108)</f>
        <v>2.1.1.2</v>
      </c>
      <c r="B107" s="349"/>
      <c r="C107" s="2088" t="str">
        <f>CONCATENATE('3 pr-2'!B108)</f>
        <v>Priemonė:
Neformaliojo švietimo infrastruktūros tobulinimas</v>
      </c>
      <c r="D107" s="2089"/>
      <c r="E107" s="2089"/>
      <c r="F107" s="2089"/>
      <c r="G107" s="2089"/>
      <c r="H107" s="2089"/>
      <c r="I107" s="2089"/>
      <c r="J107" s="2090"/>
      <c r="K107" s="1077">
        <f t="shared" ref="K107:AC107" si="82">SUM(K108:K112)</f>
        <v>1973870.18</v>
      </c>
      <c r="L107" s="1231">
        <f t="shared" si="82"/>
        <v>1973394.07</v>
      </c>
      <c r="M107" s="1079">
        <f t="shared" si="82"/>
        <v>1973870.18</v>
      </c>
      <c r="N107" s="1077">
        <f t="shared" si="82"/>
        <v>487863.18</v>
      </c>
      <c r="O107" s="1078">
        <f t="shared" si="82"/>
        <v>487386.07</v>
      </c>
      <c r="P107" s="1232">
        <f t="shared" si="82"/>
        <v>487863.18</v>
      </c>
      <c r="Q107" s="1077">
        <f t="shared" si="82"/>
        <v>0</v>
      </c>
      <c r="R107" s="1078">
        <f t="shared" si="82"/>
        <v>0</v>
      </c>
      <c r="S107" s="1082">
        <f t="shared" si="82"/>
        <v>0</v>
      </c>
      <c r="T107" s="1077">
        <f t="shared" si="82"/>
        <v>0</v>
      </c>
      <c r="U107" s="1231">
        <f t="shared" si="82"/>
        <v>0</v>
      </c>
      <c r="V107" s="1079">
        <f t="shared" si="82"/>
        <v>0</v>
      </c>
      <c r="W107" s="1077">
        <f t="shared" si="82"/>
        <v>0</v>
      </c>
      <c r="X107" s="1078">
        <f t="shared" si="82"/>
        <v>0</v>
      </c>
      <c r="Y107" s="1079">
        <f t="shared" si="82"/>
        <v>0</v>
      </c>
      <c r="Z107" s="1077">
        <f t="shared" si="82"/>
        <v>1486007</v>
      </c>
      <c r="AA107" s="1078">
        <f t="shared" si="82"/>
        <v>1486008</v>
      </c>
      <c r="AB107" s="1079">
        <f t="shared" si="82"/>
        <v>1486007</v>
      </c>
      <c r="AC107" s="1077">
        <f t="shared" si="82"/>
        <v>0</v>
      </c>
      <c r="AD107" s="1108"/>
      <c r="AE107" s="1109"/>
      <c r="AF107" s="357"/>
      <c r="AG107" s="358"/>
    </row>
    <row r="108" spans="1:33" ht="37.5" customHeight="1">
      <c r="A108" s="164" t="str">
        <f>CONCATENATE('3 pr-2'!A109)</f>
        <v>2.1.1.2.1</v>
      </c>
      <c r="B108" s="281" t="s">
        <v>808</v>
      </c>
      <c r="C108" s="164" t="str">
        <f>CONCATENATE('3 pr-2'!B109)</f>
        <v>R01-7725-240000-2121</v>
      </c>
      <c r="D108" s="164" t="str">
        <f>CONCATENATE('3 pr-2'!D109)</f>
        <v>Varėnos moksleivių kūrybos centro pastato J.Basanavičiaus g. 38, Varėnoje, modernizavimas</v>
      </c>
      <c r="E108" s="164" t="str">
        <f>CONCATENATE('3 pr-2'!E109)</f>
        <v>Varėnos rajono savivaldybės administracija</v>
      </c>
      <c r="F108" s="164" t="str">
        <f>CONCATENATE('3 pr-2'!F109)</f>
        <v>Lietuvos Respublikos švietimo ir mokslo ministerija</v>
      </c>
      <c r="G108" s="164" t="str">
        <f>CONCATENATE('3 pr-2'!G109)</f>
        <v>Varėnos r. sav.</v>
      </c>
      <c r="H108" s="164" t="str">
        <f>CONCATENATE('3 pr-2'!H109)</f>
        <v>09.13.CPVA-R-725</v>
      </c>
      <c r="I108" s="164" t="str">
        <f>CONCATENATE('3 pr-2'!I109)</f>
        <v>R</v>
      </c>
      <c r="J108" s="164" t="str">
        <f>CONCATENATE('3 pr-2'!J109)</f>
        <v>-</v>
      </c>
      <c r="K108" s="1080">
        <f>IF(AE108&gt;0,'3 pr-2'!L109,0)</f>
        <v>437551</v>
      </c>
      <c r="L108" s="1081">
        <f t="shared" si="76"/>
        <v>437551</v>
      </c>
      <c r="M108" s="1082">
        <f t="shared" si="77"/>
        <v>437551</v>
      </c>
      <c r="N108" s="1080">
        <f>IF(AE108&gt;0,'3 pr-2'!O109,0)</f>
        <v>65633</v>
      </c>
      <c r="O108" s="1081">
        <v>65633</v>
      </c>
      <c r="P108" s="1082">
        <f>SUM('ketv. 6 '!P108)</f>
        <v>65633</v>
      </c>
      <c r="Q108" s="1080">
        <f>IF(AE108&gt;0,'3 pr-2'!R109,0)</f>
        <v>0</v>
      </c>
      <c r="R108" s="1081">
        <v>0</v>
      </c>
      <c r="S108" s="1082">
        <f>SUM('ketv. 6 '!T108)</f>
        <v>0</v>
      </c>
      <c r="T108" s="1080">
        <f>IF(AE108&gt;0,'3 pr-2'!U109,0)</f>
        <v>0</v>
      </c>
      <c r="U108" s="1081">
        <v>0</v>
      </c>
      <c r="V108" s="1082">
        <f>SUM('ketv. 6 '!X108)</f>
        <v>0</v>
      </c>
      <c r="W108" s="1080">
        <f>IF(AE108&gt;0,'3 pr-2'!X109,0)</f>
        <v>0</v>
      </c>
      <c r="X108" s="1081">
        <v>0</v>
      </c>
      <c r="Y108" s="1082">
        <f>SUM('ketv. 6 '!AB108)</f>
        <v>0</v>
      </c>
      <c r="Z108" s="1080">
        <f>IF(AE108&gt;0,'3 pr-2'!AA109,0)</f>
        <v>371918</v>
      </c>
      <c r="AA108" s="1081">
        <v>371918</v>
      </c>
      <c r="AB108" s="1082">
        <f>SUM('ketv. 6 '!AF108)</f>
        <v>371918</v>
      </c>
      <c r="AC108" s="1080">
        <f>IF($AE$9&gt;0,'3 pr-2'!AB109,0)</f>
        <v>0</v>
      </c>
      <c r="AD108" s="1104">
        <f>SUM('3 pr-2'!AG109)</f>
        <v>42916</v>
      </c>
      <c r="AE108" s="1111">
        <v>42923</v>
      </c>
      <c r="AF108" s="198">
        <f t="shared" ref="AF108:AF110" si="83">IF((YEAR(AD108)-YEAR(AE108))=0,0,YEAR(AD108)-YEAR(AE108))</f>
        <v>0</v>
      </c>
      <c r="AG108" s="384">
        <f t="shared" ref="AG108:AG112" si="84">IF(AD108-AE108&lt;0,(AD108-AE108)/30.41667,"–")</f>
        <v>-0.23013696108088097</v>
      </c>
    </row>
    <row r="109" spans="1:33" ht="60.75">
      <c r="A109" s="164" t="str">
        <f>CONCATENATE('3 pr-2'!A110)</f>
        <v>2.1.1.2.2</v>
      </c>
      <c r="B109" s="281" t="s">
        <v>810</v>
      </c>
      <c r="C109" s="164" t="str">
        <f>CONCATENATE('3 pr-2'!B110)</f>
        <v>R01-7725-240000-2122</v>
      </c>
      <c r="D109" s="164" t="str">
        <f>CONCATENATE('3 pr-2'!D110)</f>
        <v>Alytaus r. meno ir sporto mokyklos edukacinių erdvių įkūrimas ir atnaujinimas</v>
      </c>
      <c r="E109" s="164" t="str">
        <f>CONCATENATE('3 pr-2'!E110)</f>
        <v>Alytaus rajono savivaldybės administracija</v>
      </c>
      <c r="F109" s="164" t="str">
        <f>CONCATENATE('3 pr-2'!F110)</f>
        <v>Lietuvos Respublikos švietimo ir mokslo ministerija</v>
      </c>
      <c r="G109" s="164" t="str">
        <f>CONCATENATE('3 pr-2'!G110)</f>
        <v>Alytaus r. sav.</v>
      </c>
      <c r="H109" s="164" t="str">
        <f>CONCATENATE('3 pr-2'!H110)</f>
        <v>09.13.CPVA-R-725</v>
      </c>
      <c r="I109" s="164" t="str">
        <f>CONCATENATE('3 pr-2'!I110)</f>
        <v>R</v>
      </c>
      <c r="J109" s="164" t="str">
        <f>CONCATENATE('3 pr-2'!J110)</f>
        <v>-</v>
      </c>
      <c r="K109" s="1080">
        <f>IF(AE109&gt;0,'3 pr-2'!L110,0)</f>
        <v>856424.88</v>
      </c>
      <c r="L109" s="1081">
        <f t="shared" si="76"/>
        <v>856456.07000000007</v>
      </c>
      <c r="M109" s="1082">
        <f t="shared" si="77"/>
        <v>856424.88</v>
      </c>
      <c r="N109" s="1080">
        <f>IF(AE109&gt;0,'3 pr-2'!O110,0)</f>
        <v>319813.88</v>
      </c>
      <c r="O109" s="1081">
        <v>319845.07</v>
      </c>
      <c r="P109" s="1082">
        <f>SUM('ketv. 6 '!P109)</f>
        <v>319813.88</v>
      </c>
      <c r="Q109" s="1080">
        <f>IF(AE109&gt;0,'3 pr-2'!R110,0)</f>
        <v>0</v>
      </c>
      <c r="R109" s="1081">
        <v>0</v>
      </c>
      <c r="S109" s="1082">
        <f>SUM('ketv. 6 '!T109)</f>
        <v>0</v>
      </c>
      <c r="T109" s="1080">
        <f>IF(AE109&gt;0,'3 pr-2'!U110,0)</f>
        <v>0</v>
      </c>
      <c r="U109" s="1081">
        <v>0</v>
      </c>
      <c r="V109" s="1082">
        <f>SUM('ketv. 6 '!X109)</f>
        <v>0</v>
      </c>
      <c r="W109" s="1080">
        <f>IF(AE109&gt;0,'3 pr-2'!X110,0)</f>
        <v>0</v>
      </c>
      <c r="X109" s="1081">
        <v>0</v>
      </c>
      <c r="Y109" s="1082">
        <f>SUM('ketv. 6 '!AB109)</f>
        <v>0</v>
      </c>
      <c r="Z109" s="1080">
        <f>IF(AE109&gt;0,'3 pr-2'!AA110,0)</f>
        <v>536611</v>
      </c>
      <c r="AA109" s="1081">
        <v>536611</v>
      </c>
      <c r="AB109" s="1082">
        <f>SUM('ketv. 6 '!AF109)</f>
        <v>536611</v>
      </c>
      <c r="AC109" s="1080">
        <f>IF($AE$9&gt;0,'3 pr-2'!AB110,0)</f>
        <v>0</v>
      </c>
      <c r="AD109" s="1104">
        <f>SUM('3 pr-2'!AG110)</f>
        <v>42916</v>
      </c>
      <c r="AE109" s="1111">
        <v>42923</v>
      </c>
      <c r="AF109" s="198">
        <f t="shared" si="83"/>
        <v>0</v>
      </c>
      <c r="AG109" s="384">
        <f t="shared" si="84"/>
        <v>-0.23013696108088097</v>
      </c>
    </row>
    <row r="110" spans="1:33" ht="60.75">
      <c r="A110" s="164" t="str">
        <f>CONCATENATE('3 pr-2'!A111)</f>
        <v>2.1.1.2.3</v>
      </c>
      <c r="B110" s="281" t="s">
        <v>809</v>
      </c>
      <c r="C110" s="164" t="str">
        <f>CONCATENATE('3 pr-2'!B111)</f>
        <v>R01-7725-240000-2123</v>
      </c>
      <c r="D110" s="164" t="str">
        <f>CONCATENATE('3 pr-2'!D111)</f>
        <v>Alytaus muzikos mokyklos pastato modernizavimas ir ugdymo aplinkos gerinimas</v>
      </c>
      <c r="E110" s="164" t="str">
        <f>CONCATENATE('3 pr-2'!E111)</f>
        <v>Alytaus miesto savivaldybės administracija</v>
      </c>
      <c r="F110" s="164" t="str">
        <f>CONCATENATE('3 pr-2'!F111)</f>
        <v>Lietuvos Respublikos švietimo ir mokslo ministerija</v>
      </c>
      <c r="G110" s="164" t="str">
        <f>CONCATENATE('3 pr-2'!G111)</f>
        <v>Alytaus m. sav.</v>
      </c>
      <c r="H110" s="164" t="str">
        <f>CONCATENATE('3 pr-2'!H111)</f>
        <v>09.13.CPVA-R-725</v>
      </c>
      <c r="I110" s="164" t="str">
        <f>CONCATENATE('3 pr-2'!I111)</f>
        <v>R</v>
      </c>
      <c r="J110" s="164" t="str">
        <f>CONCATENATE('3 pr-2'!J111)</f>
        <v>-</v>
      </c>
      <c r="K110" s="1080">
        <f>IF(AE110&gt;0,'3 pr-2'!L111,0)</f>
        <v>397378</v>
      </c>
      <c r="L110" s="1081">
        <f t="shared" si="76"/>
        <v>397378</v>
      </c>
      <c r="M110" s="1082">
        <f t="shared" si="77"/>
        <v>397378</v>
      </c>
      <c r="N110" s="1080">
        <f>IF(AE110&gt;0,'3 pr-2'!O111,0)</f>
        <v>59607</v>
      </c>
      <c r="O110" s="1081">
        <v>59607</v>
      </c>
      <c r="P110" s="1082">
        <f>SUM('ketv. 6 '!P110)</f>
        <v>59607</v>
      </c>
      <c r="Q110" s="1080">
        <f>IF(AE110&gt;0,'3 pr-2'!R111,0)</f>
        <v>0</v>
      </c>
      <c r="R110" s="1081">
        <v>0</v>
      </c>
      <c r="S110" s="1082">
        <f>SUM('ketv. 6 '!T110)</f>
        <v>0</v>
      </c>
      <c r="T110" s="1080">
        <f>IF(AE110&gt;0,'3 pr-2'!U111,0)</f>
        <v>0</v>
      </c>
      <c r="U110" s="1081">
        <v>0</v>
      </c>
      <c r="V110" s="1082">
        <f>SUM('ketv. 6 '!X110)</f>
        <v>0</v>
      </c>
      <c r="W110" s="1080">
        <f>IF(AE110&gt;0,'3 pr-2'!X111,0)</f>
        <v>0</v>
      </c>
      <c r="X110" s="1081">
        <v>0</v>
      </c>
      <c r="Y110" s="1082">
        <f>SUM('ketv. 6 '!AB110)</f>
        <v>0</v>
      </c>
      <c r="Z110" s="1080">
        <f>IF(AE110&gt;0,'3 pr-2'!AA111,0)</f>
        <v>337771</v>
      </c>
      <c r="AA110" s="1081">
        <v>337771</v>
      </c>
      <c r="AB110" s="1082">
        <f>SUM('ketv. 6 '!AF110)</f>
        <v>337771</v>
      </c>
      <c r="AC110" s="1080">
        <f>IF($AE$9&gt;0,'3 pr-2'!AB111,0)</f>
        <v>0</v>
      </c>
      <c r="AD110" s="1104">
        <f>SUM('3 pr-2'!AG111)</f>
        <v>42916</v>
      </c>
      <c r="AE110" s="1111">
        <v>42923</v>
      </c>
      <c r="AF110" s="198">
        <f t="shared" si="83"/>
        <v>0</v>
      </c>
      <c r="AG110" s="384">
        <f t="shared" si="84"/>
        <v>-0.23013696108088097</v>
      </c>
    </row>
    <row r="111" spans="1:33" ht="60.75">
      <c r="A111" s="164" t="str">
        <f>CONCATENATE('3 pr-2'!A112)</f>
        <v>2.1.1.2.4</v>
      </c>
      <c r="B111" s="281" t="s">
        <v>805</v>
      </c>
      <c r="C111" s="164" t="str">
        <f>CONCATENATE('3 pr-2'!B112)</f>
        <v>R01-7725-240000-2124</v>
      </c>
      <c r="D111" s="164" t="str">
        <f>CONCATENATE('3 pr-2'!D112)</f>
        <v>Druskininkų M. K. Čiurlionio meno mokyklos infrastruktūros tobulinimas</v>
      </c>
      <c r="E111" s="164" t="str">
        <f>CONCATENATE('3 pr-2'!E112)</f>
        <v xml:space="preserve">Druskininkų savivaldybės administracija  </v>
      </c>
      <c r="F111" s="164" t="str">
        <f>CONCATENATE('3 pr-2'!F112)</f>
        <v>Lietuvos Respublikos švietimo ir mokslo ministerija</v>
      </c>
      <c r="G111" s="164" t="str">
        <f>CONCATENATE('3 pr-2'!G112)</f>
        <v>Druskininkų sav.</v>
      </c>
      <c r="H111" s="164" t="str">
        <f>CONCATENATE('3 pr-2'!H112)</f>
        <v>09.13.CPVA-R-725</v>
      </c>
      <c r="I111" s="164" t="str">
        <f>CONCATENATE('3 pr-2'!I112)</f>
        <v>R</v>
      </c>
      <c r="J111" s="164" t="str">
        <f>CONCATENATE('3 pr-2'!J112)</f>
        <v>-</v>
      </c>
      <c r="K111" s="1080">
        <f>IF(AE111&gt;0,'3 pr-2'!L112,0)</f>
        <v>146702.29999999999</v>
      </c>
      <c r="L111" s="1081">
        <f t="shared" si="76"/>
        <v>146195</v>
      </c>
      <c r="M111" s="1082">
        <f t="shared" si="77"/>
        <v>146702.29999999999</v>
      </c>
      <c r="N111" s="1080">
        <f>IF(AE111&gt;0,'3 pr-2'!O112,0)</f>
        <v>22436.3</v>
      </c>
      <c r="O111" s="1081">
        <v>21929</v>
      </c>
      <c r="P111" s="1082">
        <f>SUM('ketv. 6 '!P111)</f>
        <v>22436.3</v>
      </c>
      <c r="Q111" s="1080">
        <f>IF(AE111&gt;0,'3 pr-2'!R112,0)</f>
        <v>0</v>
      </c>
      <c r="R111" s="1081">
        <v>0</v>
      </c>
      <c r="S111" s="1082">
        <f>SUM('ketv. 6 '!T111)</f>
        <v>0</v>
      </c>
      <c r="T111" s="1080">
        <f>IF(AE111&gt;0,'3 pr-2'!U112,0)</f>
        <v>0</v>
      </c>
      <c r="U111" s="1081">
        <v>0</v>
      </c>
      <c r="V111" s="1082">
        <f>SUM('ketv. 6 '!X111)</f>
        <v>0</v>
      </c>
      <c r="W111" s="1080">
        <f>IF(AE111&gt;0,'3 pr-2'!X112,0)</f>
        <v>0</v>
      </c>
      <c r="X111" s="1081">
        <v>0</v>
      </c>
      <c r="Y111" s="1082">
        <f>SUM('ketv. 6 '!AB111)</f>
        <v>0</v>
      </c>
      <c r="Z111" s="1080">
        <f>IF(AE111&gt;0,'3 pr-2'!AA112,0)</f>
        <v>124266</v>
      </c>
      <c r="AA111" s="1081">
        <v>124266</v>
      </c>
      <c r="AB111" s="1082">
        <f>SUM('ketv. 6 '!AF111)</f>
        <v>124266</v>
      </c>
      <c r="AC111" s="1080">
        <f>IF($AE$9&gt;0,'3 pr-2'!AB112,0)</f>
        <v>0</v>
      </c>
      <c r="AD111" s="1104">
        <f>SUM('3 pr-2'!AG112)</f>
        <v>42916</v>
      </c>
      <c r="AE111" s="1111">
        <v>42866</v>
      </c>
      <c r="AF111" s="198">
        <f t="shared" ref="AF111:AF112" si="85">IF((YEAR(AD111)-YEAR(AE111))=0,0,YEAR(AD111)-YEAR(AE111))</f>
        <v>0</v>
      </c>
      <c r="AG111" s="384" t="str">
        <f t="shared" si="84"/>
        <v>–</v>
      </c>
    </row>
    <row r="112" spans="1:33" ht="61.5" thickBot="1">
      <c r="A112" s="164" t="str">
        <f>CONCATENATE('3 pr-2'!A113)</f>
        <v>2.1.1.2.5</v>
      </c>
      <c r="B112" s="281" t="s">
        <v>790</v>
      </c>
      <c r="C112" s="164" t="str">
        <f>CONCATENATE('3 pr-2'!B113)</f>
        <v>R01-7725-240000-2125</v>
      </c>
      <c r="D112" s="164" t="str">
        <f>CONCATENATE('3 pr-2'!D113)</f>
        <v>Neformaliojo švietimo įstaigų Lazdijų rajono savivaldybėje infrastruktūros tobulinimas</v>
      </c>
      <c r="E112" s="164" t="str">
        <f>CONCATENATE('3 pr-2'!E113)</f>
        <v>VšĮ „Lazdijų sporto centras“</v>
      </c>
      <c r="F112" s="164" t="str">
        <f>CONCATENATE('3 pr-2'!F113)</f>
        <v>Lietuvos Respublikos švietimo ir mokslo ministerija</v>
      </c>
      <c r="G112" s="164" t="str">
        <f>CONCATENATE('3 pr-2'!G113)</f>
        <v>Lazdijų r. sav.</v>
      </c>
      <c r="H112" s="164" t="str">
        <f>CONCATENATE('3 pr-2'!H113)</f>
        <v>09.13.CPVA-R-725</v>
      </c>
      <c r="I112" s="164" t="str">
        <f>CONCATENATE('3 pr-2'!I113)</f>
        <v>R</v>
      </c>
      <c r="J112" s="164" t="str">
        <f>CONCATENATE('3 pr-2'!J113)</f>
        <v>-</v>
      </c>
      <c r="K112" s="1080">
        <f>IF(AE112&gt;0,'3 pr-2'!L113,0)</f>
        <v>135814</v>
      </c>
      <c r="L112" s="1081">
        <f t="shared" si="76"/>
        <v>135814</v>
      </c>
      <c r="M112" s="1082">
        <f t="shared" si="77"/>
        <v>135814</v>
      </c>
      <c r="N112" s="1080">
        <f>IF(AE112&gt;0,'3 pr-2'!O113,0)</f>
        <v>20373</v>
      </c>
      <c r="O112" s="1081">
        <v>20372</v>
      </c>
      <c r="P112" s="1082">
        <f>SUM('ketv. 6 '!P112)</f>
        <v>20373</v>
      </c>
      <c r="Q112" s="1080">
        <f>IF(AE112&gt;0,'3 pr-2'!R113,0)</f>
        <v>0</v>
      </c>
      <c r="R112" s="1081">
        <v>0</v>
      </c>
      <c r="S112" s="1082">
        <f>SUM('ketv. 6 '!T112)</f>
        <v>0</v>
      </c>
      <c r="T112" s="1080">
        <f>IF(AE112&gt;0,'3 pr-2'!U113,0)</f>
        <v>0</v>
      </c>
      <c r="U112" s="1081">
        <v>0</v>
      </c>
      <c r="V112" s="1082">
        <f>SUM('ketv. 6 '!X112)</f>
        <v>0</v>
      </c>
      <c r="W112" s="1080">
        <f>IF(AE112&gt;0,'3 pr-2'!X113,0)</f>
        <v>0</v>
      </c>
      <c r="X112" s="1081">
        <v>0</v>
      </c>
      <c r="Y112" s="1082">
        <f>SUM('ketv. 6 '!AB112)</f>
        <v>0</v>
      </c>
      <c r="Z112" s="1080">
        <f>IF(AE112&gt;0,'3 pr-2'!AA113,0)</f>
        <v>115441</v>
      </c>
      <c r="AA112" s="1081">
        <v>115442</v>
      </c>
      <c r="AB112" s="1082">
        <f>SUM('ketv. 6 '!AF112)</f>
        <v>115441</v>
      </c>
      <c r="AC112" s="1080">
        <f>IF($AE$9&gt;0,'3 pr-2'!AB113,0)</f>
        <v>0</v>
      </c>
      <c r="AD112" s="1104">
        <f>SUM('3 pr-2'!AG113)</f>
        <v>42866</v>
      </c>
      <c r="AE112" s="1111">
        <v>42866</v>
      </c>
      <c r="AF112" s="198">
        <f t="shared" si="85"/>
        <v>0</v>
      </c>
      <c r="AG112" s="384" t="str">
        <f t="shared" si="84"/>
        <v>–</v>
      </c>
    </row>
    <row r="113" spans="1:34" ht="37.5" customHeight="1" thickBot="1">
      <c r="A113" s="296" t="str">
        <f>CONCATENATE('3 pr-2'!A114)</f>
        <v>2.1.1.3</v>
      </c>
      <c r="B113" s="349"/>
      <c r="C113" s="2088" t="str">
        <f>CONCATENATE('3 pr-2'!B114)</f>
        <v>Priemonė:
Ikimokyklinio ir priešmokyklinio ugdymo prieinamumo didinimas</v>
      </c>
      <c r="D113" s="2089"/>
      <c r="E113" s="2089"/>
      <c r="F113" s="2089"/>
      <c r="G113" s="2089"/>
      <c r="H113" s="2089"/>
      <c r="I113" s="2089"/>
      <c r="J113" s="2090"/>
      <c r="K113" s="1077">
        <f>SUM(K114:K118)</f>
        <v>1459021.7699999998</v>
      </c>
      <c r="L113" s="1231">
        <f t="shared" ref="L113:AC113" si="86">SUM(L114:L118)</f>
        <v>1387779</v>
      </c>
      <c r="M113" s="1079">
        <f t="shared" si="86"/>
        <v>1459021.7699999998</v>
      </c>
      <c r="N113" s="1077">
        <f t="shared" si="86"/>
        <v>219970.77</v>
      </c>
      <c r="O113" s="1078">
        <f t="shared" si="86"/>
        <v>148728</v>
      </c>
      <c r="P113" s="1232">
        <f t="shared" si="86"/>
        <v>219970.77</v>
      </c>
      <c r="Q113" s="1077">
        <f t="shared" si="86"/>
        <v>100463</v>
      </c>
      <c r="R113" s="1078">
        <f t="shared" si="86"/>
        <v>100463</v>
      </c>
      <c r="S113" s="1082">
        <f t="shared" si="86"/>
        <v>100463</v>
      </c>
      <c r="T113" s="1077">
        <f t="shared" si="86"/>
        <v>0</v>
      </c>
      <c r="U113" s="1231">
        <f t="shared" si="86"/>
        <v>0</v>
      </c>
      <c r="V113" s="1079">
        <f t="shared" si="86"/>
        <v>0</v>
      </c>
      <c r="W113" s="1077">
        <f t="shared" si="86"/>
        <v>0</v>
      </c>
      <c r="X113" s="1078">
        <f t="shared" si="86"/>
        <v>0</v>
      </c>
      <c r="Y113" s="1079">
        <f t="shared" si="86"/>
        <v>0</v>
      </c>
      <c r="Z113" s="1077">
        <f t="shared" si="86"/>
        <v>1138588</v>
      </c>
      <c r="AA113" s="1078">
        <f t="shared" si="86"/>
        <v>1138588</v>
      </c>
      <c r="AB113" s="1079">
        <f t="shared" si="86"/>
        <v>1138588</v>
      </c>
      <c r="AC113" s="1077">
        <f t="shared" si="86"/>
        <v>0</v>
      </c>
      <c r="AD113" s="1108"/>
      <c r="AE113" s="1109"/>
      <c r="AF113" s="357"/>
      <c r="AG113" s="358"/>
    </row>
    <row r="114" spans="1:34" ht="60.75">
      <c r="A114" s="164" t="str">
        <f>CONCATENATE('3 pr-2'!A115)</f>
        <v>2.1.1.3.1</v>
      </c>
      <c r="B114" s="281" t="s">
        <v>1240</v>
      </c>
      <c r="C114" s="164" t="str">
        <f>CONCATENATE('3 pr-2'!B115)</f>
        <v>R01-7705-230000-2131</v>
      </c>
      <c r="D114" s="164" t="str">
        <f>CONCATENATE('3 pr-2'!D115)</f>
        <v>Varėnos "Pasakos" vaikų lopšelio-darželio pastato modernizavimas</v>
      </c>
      <c r="E114" s="164" t="str">
        <f>CONCATENATE('3 pr-2'!E115)</f>
        <v>Varėnos rajono savivaldybės administracija</v>
      </c>
      <c r="F114" s="164" t="str">
        <f>CONCATENATE('3 pr-2'!F115)</f>
        <v>Lietuvos Respublikos švietimo ir mokslo ministerija</v>
      </c>
      <c r="G114" s="164" t="str">
        <f>CONCATENATE('3 pr-2'!G115)</f>
        <v>Varėnos r. sav.</v>
      </c>
      <c r="H114" s="164" t="str">
        <f>CONCATENATE('3 pr-2'!H115)</f>
        <v>09.1.3-CPVA-R-705</v>
      </c>
      <c r="I114" s="164" t="str">
        <f>CONCATENATE('3 pr-2'!I115)</f>
        <v>R</v>
      </c>
      <c r="J114" s="164" t="str">
        <f>CONCATENATE('3 pr-2'!J115)</f>
        <v>-</v>
      </c>
      <c r="K114" s="1080">
        <f>IF(AE114&gt;0,'3 pr-2'!L115,0)</f>
        <v>370000</v>
      </c>
      <c r="L114" s="1081">
        <f t="shared" si="76"/>
        <v>370000</v>
      </c>
      <c r="M114" s="1082">
        <f t="shared" si="77"/>
        <v>370000</v>
      </c>
      <c r="N114" s="1080">
        <f>IF(AE114&gt;0,'3 pr-2'!O115,0)</f>
        <v>57342</v>
      </c>
      <c r="O114" s="1081">
        <v>57342</v>
      </c>
      <c r="P114" s="1082">
        <f>SUM('ketv. 6 '!P114)</f>
        <v>57342</v>
      </c>
      <c r="Q114" s="1080">
        <f>IF(AE114&gt;0,'3 pr-2'!R115,0)</f>
        <v>25351</v>
      </c>
      <c r="R114" s="1081">
        <v>25351</v>
      </c>
      <c r="S114" s="1082">
        <f>SUM('ketv. 6 '!T114)</f>
        <v>25351</v>
      </c>
      <c r="T114" s="1080">
        <f>IF(AE114&gt;0,'3 pr-2'!U115,0)</f>
        <v>0</v>
      </c>
      <c r="U114" s="1081">
        <v>0</v>
      </c>
      <c r="V114" s="1082">
        <f>SUM('ketv. 6 '!X114)</f>
        <v>0</v>
      </c>
      <c r="W114" s="1080">
        <f>IF(AE114&gt;0,'3 pr-2'!X115,0)</f>
        <v>0</v>
      </c>
      <c r="X114" s="1081">
        <v>0</v>
      </c>
      <c r="Y114" s="1082">
        <f>SUM('ketv. 6 '!AB114)</f>
        <v>0</v>
      </c>
      <c r="Z114" s="1080">
        <f>IF(AE114&gt;0,'3 pr-2'!AA115,0)</f>
        <v>287307</v>
      </c>
      <c r="AA114" s="1081">
        <v>287307</v>
      </c>
      <c r="AB114" s="1082">
        <f>SUM('ketv. 6 '!AF114)</f>
        <v>287307</v>
      </c>
      <c r="AC114" s="1080">
        <f>IF($AE$9&gt;0,'3 pr-2'!AB115,0)</f>
        <v>0</v>
      </c>
      <c r="AD114" s="1104">
        <f>SUM('3 pr-2'!AG115)</f>
        <v>43039</v>
      </c>
      <c r="AE114" s="1111">
        <v>43039</v>
      </c>
      <c r="AF114" s="164"/>
      <c r="AG114" s="384" t="str">
        <f t="shared" ref="AG114:AG118" si="87">IF(AD114-AE114&lt;0,(AD114-AE114)/30.41667,"–")</f>
        <v>–</v>
      </c>
      <c r="AH114" s="4"/>
    </row>
    <row r="115" spans="1:34" ht="60.75">
      <c r="A115" s="164" t="str">
        <f>CONCATENATE('3 pr-2'!A116)</f>
        <v>2.1.1.3.2</v>
      </c>
      <c r="B115" s="281" t="s">
        <v>1241</v>
      </c>
      <c r="C115" s="164" t="str">
        <f>CONCATENATE('3 pr-2'!B116)</f>
        <v>R01-7705-230000-2132</v>
      </c>
      <c r="D115" s="164" t="str">
        <f>CONCATENATE('3 pr-2'!D116)</f>
        <v>Alytaus r. ikimokyklinio ir priešmokyklinio ugdymo prieinamumo didinimas įkuriant ir atnaujinant edukacines erdves</v>
      </c>
      <c r="E115" s="164" t="str">
        <f>CONCATENATE('3 pr-2'!E116)</f>
        <v>Alytaus rajono savivaldybės administracija</v>
      </c>
      <c r="F115" s="164" t="str">
        <f>CONCATENATE('3 pr-2'!F116)</f>
        <v>Lietuvos Respublikos švietimo ir mokslo ministerija</v>
      </c>
      <c r="G115" s="164" t="str">
        <f>CONCATENATE('3 pr-2'!G116)</f>
        <v>Alytaus r. sav.</v>
      </c>
      <c r="H115" s="164" t="str">
        <f>CONCATENATE('3 pr-2'!H116)</f>
        <v>09.1.3-CPVA-R-705</v>
      </c>
      <c r="I115" s="164" t="str">
        <f>CONCATENATE('3 pr-2'!I116)</f>
        <v>R</v>
      </c>
      <c r="J115" s="164" t="str">
        <f>CONCATENATE('3 pr-2'!J116)</f>
        <v/>
      </c>
      <c r="K115" s="1080">
        <f>IF(AE115&gt;0,'3 pr-2'!L116,0)</f>
        <v>597456.88</v>
      </c>
      <c r="L115" s="1081">
        <f t="shared" si="76"/>
        <v>597457</v>
      </c>
      <c r="M115" s="1082">
        <f t="shared" si="77"/>
        <v>597456.88</v>
      </c>
      <c r="N115" s="1080">
        <f>IF(AE115&gt;0,'3 pr-2'!O116,0)</f>
        <v>59861.88</v>
      </c>
      <c r="O115" s="1081">
        <v>59862</v>
      </c>
      <c r="P115" s="1082">
        <f>SUM('ketv. 6 '!P115)</f>
        <v>59861.88</v>
      </c>
      <c r="Q115" s="1080">
        <f>IF(AE115&gt;0,'3 pr-2'!R116,0)</f>
        <v>43588</v>
      </c>
      <c r="R115" s="1081">
        <v>43588</v>
      </c>
      <c r="S115" s="1082">
        <f>SUM('ketv. 6 '!T115)</f>
        <v>43588</v>
      </c>
      <c r="T115" s="1080">
        <f>IF(AE115&gt;0,'3 pr-2'!U116,0)</f>
        <v>0</v>
      </c>
      <c r="U115" s="1081">
        <v>0</v>
      </c>
      <c r="V115" s="1082">
        <f>SUM('ketv. 6 '!X115)</f>
        <v>0</v>
      </c>
      <c r="W115" s="1080">
        <f>IF(AE115&gt;0,'3 pr-2'!X116,0)</f>
        <v>0</v>
      </c>
      <c r="X115" s="1081">
        <v>0</v>
      </c>
      <c r="Y115" s="1082">
        <f>SUM('ketv. 6 '!AB115)</f>
        <v>0</v>
      </c>
      <c r="Z115" s="1080">
        <f>IF(AE115&gt;0,'3 pr-2'!AA116,0)</f>
        <v>494007</v>
      </c>
      <c r="AA115" s="1081">
        <v>494007</v>
      </c>
      <c r="AB115" s="1082">
        <f>SUM('ketv. 6 '!AF115)</f>
        <v>494007</v>
      </c>
      <c r="AC115" s="1080">
        <f>IF($AE$9&gt;0,'3 pr-2'!AB116,0)</f>
        <v>0</v>
      </c>
      <c r="AD115" s="1104">
        <f>SUM('3 pr-2'!AG116)</f>
        <v>43039</v>
      </c>
      <c r="AE115" s="1111">
        <v>43039</v>
      </c>
      <c r="AF115" s="164"/>
      <c r="AG115" s="384" t="str">
        <f t="shared" si="87"/>
        <v>–</v>
      </c>
    </row>
    <row r="116" spans="1:34" ht="60.75">
      <c r="A116" s="164" t="str">
        <f>CONCATENATE('3 pr-2'!A117)</f>
        <v>2.1.1.3.3</v>
      </c>
      <c r="B116" s="281" t="s">
        <v>1238</v>
      </c>
      <c r="C116" s="164" t="str">
        <f>CONCATENATE('3 pr-2'!B117)</f>
        <v>R01-7705-230000-2133</v>
      </c>
      <c r="D116" s="164" t="str">
        <f>CONCATENATE('3 pr-2'!D117)</f>
        <v>Alytaus lopšelio-darželio „Girinukas“ ugdymo aplinkos modernizavimas</v>
      </c>
      <c r="E116" s="164" t="str">
        <f>CONCATENATE('3 pr-2'!E117)</f>
        <v>Alytaus miesto savivaldybės administracija</v>
      </c>
      <c r="F116" s="164" t="str">
        <f>CONCATENATE('3 pr-2'!F117)</f>
        <v>Lietuvos Respublikos švietimo ir mokslo ministerija</v>
      </c>
      <c r="G116" s="164" t="str">
        <f>CONCATENATE('3 pr-2'!G117)</f>
        <v>Alytaus m. sav.</v>
      </c>
      <c r="H116" s="164" t="str">
        <f>CONCATENATE('3 pr-2'!H117)</f>
        <v>09.1.3-CPVA-R-705</v>
      </c>
      <c r="I116" s="164" t="str">
        <f>CONCATENATE('3 pr-2'!I117)</f>
        <v>R</v>
      </c>
      <c r="J116" s="164" t="str">
        <f>CONCATENATE('3 pr-2'!J117)</f>
        <v>-</v>
      </c>
      <c r="K116" s="1080">
        <f>IF(AE116&gt;0,'3 pr-2'!L117,0)</f>
        <v>181986</v>
      </c>
      <c r="L116" s="1081">
        <f t="shared" si="76"/>
        <v>181986</v>
      </c>
      <c r="M116" s="1082">
        <f t="shared" si="77"/>
        <v>181986</v>
      </c>
      <c r="N116" s="1080">
        <f>IF(AE116&gt;0,'3 pr-2'!O117,0)</f>
        <v>13649</v>
      </c>
      <c r="O116" s="1081">
        <v>13649</v>
      </c>
      <c r="P116" s="1082">
        <f>SUM('ketv. 6 '!P116)</f>
        <v>13649</v>
      </c>
      <c r="Q116" s="1080">
        <f>IF(AE116&gt;0,'3 pr-2'!R117,0)</f>
        <v>13649</v>
      </c>
      <c r="R116" s="1081">
        <v>13649</v>
      </c>
      <c r="S116" s="1082">
        <f>SUM('ketv. 6 '!T116)</f>
        <v>13649</v>
      </c>
      <c r="T116" s="1080">
        <f>IF(AE116&gt;0,'3 pr-2'!U117,0)</f>
        <v>0</v>
      </c>
      <c r="U116" s="1081">
        <v>0</v>
      </c>
      <c r="V116" s="1082">
        <f>SUM('ketv. 6 '!X116)</f>
        <v>0</v>
      </c>
      <c r="W116" s="1080">
        <f>IF(AE116&gt;0,'3 pr-2'!X117,0)</f>
        <v>0</v>
      </c>
      <c r="X116" s="1081">
        <v>0</v>
      </c>
      <c r="Y116" s="1082">
        <f>SUM('ketv. 6 '!AB116)</f>
        <v>0</v>
      </c>
      <c r="Z116" s="1080">
        <f>IF(AE116&gt;0,'3 pr-2'!AA117,0)</f>
        <v>154688</v>
      </c>
      <c r="AA116" s="1081">
        <v>154688</v>
      </c>
      <c r="AB116" s="1082">
        <f>SUM('ketv. 6 '!AF116)</f>
        <v>154688</v>
      </c>
      <c r="AC116" s="1080">
        <f>IF($AE$9&gt;0,'3 pr-2'!AB117,0)</f>
        <v>0</v>
      </c>
      <c r="AD116" s="1104">
        <f>SUM('3 pr-2'!AG117)</f>
        <v>43039</v>
      </c>
      <c r="AE116" s="1111">
        <v>42992</v>
      </c>
      <c r="AF116" s="164"/>
      <c r="AG116" s="384" t="str">
        <f t="shared" si="87"/>
        <v>–</v>
      </c>
    </row>
    <row r="117" spans="1:34" ht="60.75">
      <c r="A117" s="164" t="str">
        <f>CONCATENATE('3 pr-2'!A118)</f>
        <v>2.1.1.3.4</v>
      </c>
      <c r="B117" s="281" t="s">
        <v>2444</v>
      </c>
      <c r="C117" s="164" t="str">
        <f>CONCATENATE('3 pr-2'!B118)</f>
        <v>R01-7705-230000-2134</v>
      </c>
      <c r="D117" s="164" t="str">
        <f>CONCATENATE('3 pr-2'!D118)</f>
        <v>Druskininkų sav. Viečiūnų progimnazijos ikimokyklinio ugdymo skyriaus „Linelis“ ugdymo prieinamumo didinimas</v>
      </c>
      <c r="E117" s="164" t="str">
        <f>CONCATENATE('3 pr-2'!E118)</f>
        <v xml:space="preserve">Druskininkų savivaldybės administracija  </v>
      </c>
      <c r="F117" s="164" t="str">
        <f>CONCATENATE('3 pr-2'!F118)</f>
        <v>Lietuvos Respublikos švietimo ir mokslo ministerija</v>
      </c>
      <c r="G117" s="164" t="str">
        <f>CONCATENATE('3 pr-2'!G118)</f>
        <v>Druskininkų sav.</v>
      </c>
      <c r="H117" s="164" t="str">
        <f>CONCATENATE('3 pr-2'!H118)</f>
        <v>09.1.3-CPVA-R-705</v>
      </c>
      <c r="I117" s="164" t="str">
        <f>CONCATENATE('3 pr-2'!I118)</f>
        <v>R</v>
      </c>
      <c r="J117" s="164" t="str">
        <f>CONCATENATE('3 pr-2'!J118)</f>
        <v>-</v>
      </c>
      <c r="K117" s="1080">
        <f>IF(AE117&gt;0,'3 pr-2'!L118,0)</f>
        <v>176024.68</v>
      </c>
      <c r="L117" s="1081">
        <f t="shared" si="76"/>
        <v>104792</v>
      </c>
      <c r="M117" s="1082">
        <f t="shared" si="77"/>
        <v>176024.68</v>
      </c>
      <c r="N117" s="1080">
        <f>IF(AE117&gt;0,'3 pr-2'!O118,0)</f>
        <v>79091.679999999993</v>
      </c>
      <c r="O117" s="1081">
        <v>7859</v>
      </c>
      <c r="P117" s="1082">
        <f>SUM('ketv. 6 '!P117)</f>
        <v>79091.679999999993</v>
      </c>
      <c r="Q117" s="1080">
        <f>IF(AE117&gt;0,'3 pr-2'!R118,0)</f>
        <v>7859</v>
      </c>
      <c r="R117" s="1081">
        <v>7859</v>
      </c>
      <c r="S117" s="1082">
        <f>SUM('ketv. 6 '!T117)</f>
        <v>7859</v>
      </c>
      <c r="T117" s="1080">
        <f>IF(AE117&gt;0,'3 pr-2'!U118,0)</f>
        <v>0</v>
      </c>
      <c r="U117" s="1081">
        <v>0</v>
      </c>
      <c r="V117" s="1082">
        <f>SUM('ketv. 6 '!X117)</f>
        <v>0</v>
      </c>
      <c r="W117" s="1080">
        <f>IF(AE117&gt;0,'3 pr-2'!X118,0)</f>
        <v>0</v>
      </c>
      <c r="X117" s="1081">
        <v>0</v>
      </c>
      <c r="Y117" s="1082">
        <f>SUM('ketv. 6 '!AB117)</f>
        <v>0</v>
      </c>
      <c r="Z117" s="1080">
        <f>IF(AE117&gt;0,'3 pr-2'!AA118,0)</f>
        <v>89074</v>
      </c>
      <c r="AA117" s="1081">
        <v>89074</v>
      </c>
      <c r="AB117" s="1082">
        <f>SUM('ketv. 6 '!AF117)</f>
        <v>89074</v>
      </c>
      <c r="AC117" s="1080">
        <f>IF($AE$9&gt;0,'3 pr-2'!AB118,0)</f>
        <v>0</v>
      </c>
      <c r="AD117" s="1104">
        <f>SUM('3 pr-2'!AG118)</f>
        <v>43008</v>
      </c>
      <c r="AE117" s="1111">
        <v>42992</v>
      </c>
      <c r="AF117" s="164"/>
      <c r="AG117" s="384" t="str">
        <f t="shared" si="87"/>
        <v>–</v>
      </c>
    </row>
    <row r="118" spans="1:34" ht="61.5" thickBot="1">
      <c r="A118" s="164" t="str">
        <f>CONCATENATE('3 pr-2'!A119)</f>
        <v>2.1.1.3.5</v>
      </c>
      <c r="B118" s="281" t="s">
        <v>1239</v>
      </c>
      <c r="C118" s="164" t="str">
        <f>CONCATENATE('3 pr-2'!B119)</f>
        <v>R01-7705-230000-2135</v>
      </c>
      <c r="D118" s="164" t="str">
        <f>CONCATENATE('3 pr-2'!D119)</f>
        <v>Ikimokyklinio ir priešmokyklinio ugdymo įstaigų Lazdijų rajono savivaldybėje modernizavimas</v>
      </c>
      <c r="E118" s="164" t="str">
        <f>CONCATENATE('3 pr-2'!E119)</f>
        <v>Lazdijų rajono savivaldybės administracija</v>
      </c>
      <c r="F118" s="164" t="str">
        <f>CONCATENATE('3 pr-2'!F119)</f>
        <v>Lietuvos Respublikos švietimo ir mokslo ministerija</v>
      </c>
      <c r="G118" s="164" t="str">
        <f>CONCATENATE('3 pr-2'!G119)</f>
        <v>Lazdijų r. sav.</v>
      </c>
      <c r="H118" s="164" t="str">
        <f>CONCATENATE('3 pr-2'!H119)</f>
        <v>09.1.3-CPVA-R-705</v>
      </c>
      <c r="I118" s="164" t="str">
        <f>CONCATENATE('3 pr-2'!I119)</f>
        <v>R</v>
      </c>
      <c r="J118" s="164" t="str">
        <f>CONCATENATE('3 pr-2'!J119)</f>
        <v>-</v>
      </c>
      <c r="K118" s="1080">
        <f>IF(AE118&gt;0,'3 pr-2'!L119,0)</f>
        <v>133554.21</v>
      </c>
      <c r="L118" s="1081">
        <f t="shared" si="76"/>
        <v>133544</v>
      </c>
      <c r="M118" s="1082">
        <f t="shared" si="77"/>
        <v>133554.21</v>
      </c>
      <c r="N118" s="1080">
        <f>IF(AE118&gt;0,'3 pr-2'!O119,0)</f>
        <v>10026.209999999999</v>
      </c>
      <c r="O118" s="1081">
        <v>10016</v>
      </c>
      <c r="P118" s="1082">
        <f>SUM('ketv. 6 '!P118)</f>
        <v>10026.209999999999</v>
      </c>
      <c r="Q118" s="1080">
        <f>IF(AE118&gt;0,'3 pr-2'!R119,0)</f>
        <v>10016</v>
      </c>
      <c r="R118" s="1081">
        <v>10016</v>
      </c>
      <c r="S118" s="1082">
        <f>SUM('ketv. 6 '!T118)</f>
        <v>10016</v>
      </c>
      <c r="T118" s="1080">
        <f>IF(AE118&gt;0,'3 pr-2'!U119,0)</f>
        <v>0</v>
      </c>
      <c r="U118" s="1081">
        <v>0</v>
      </c>
      <c r="V118" s="1082">
        <f>SUM('ketv. 6 '!X118)</f>
        <v>0</v>
      </c>
      <c r="W118" s="1080">
        <f>IF(AE118&gt;0,'3 pr-2'!X119,0)</f>
        <v>0</v>
      </c>
      <c r="X118" s="1081">
        <v>0</v>
      </c>
      <c r="Y118" s="1082">
        <f>SUM('ketv. 6 '!AB118)</f>
        <v>0</v>
      </c>
      <c r="Z118" s="1080">
        <f>IF(AE118&gt;0,'3 pr-2'!AA119,0)</f>
        <v>113512</v>
      </c>
      <c r="AA118" s="1081">
        <v>113512</v>
      </c>
      <c r="AB118" s="1082">
        <f>SUM('ketv. 6 '!AF118)</f>
        <v>113512</v>
      </c>
      <c r="AC118" s="1080">
        <f>IF($AE$9&gt;0,'3 pr-2'!AB119,0)</f>
        <v>0</v>
      </c>
      <c r="AD118" s="1104">
        <f>SUM('3 pr-2'!AG119)</f>
        <v>43039</v>
      </c>
      <c r="AE118" s="1111">
        <v>42992</v>
      </c>
      <c r="AF118" s="164"/>
      <c r="AG118" s="384" t="str">
        <f t="shared" si="87"/>
        <v>–</v>
      </c>
    </row>
    <row r="119" spans="1:34" ht="50.25" customHeight="1" thickBot="1">
      <c r="A119" s="238" t="str">
        <f>CONCATENATE('3 pr-2'!A120)</f>
        <v>2.1.2.</v>
      </c>
      <c r="B119" s="363"/>
      <c r="C119" s="2085" t="str">
        <f>CONCATENATE('3 pr-2'!B120)</f>
        <v>Uždavinys:
Sveikatos netolygumų sumažinimas, gerinant sveikatos priežiūros kokybę ir prieinamumą tikslinėms gyventojų grupėms ir sveiko senėjimo skatinimas</v>
      </c>
      <c r="D119" s="2086"/>
      <c r="E119" s="2086"/>
      <c r="F119" s="2086"/>
      <c r="G119" s="2086"/>
      <c r="H119" s="2086"/>
      <c r="I119" s="2086"/>
      <c r="J119" s="2087"/>
      <c r="K119" s="1158">
        <f t="shared" ref="K119:AB119" si="88">SUM(K120+K134+K140)</f>
        <v>2507585.75</v>
      </c>
      <c r="L119" s="1233">
        <f t="shared" si="88"/>
        <v>2535067.0900000003</v>
      </c>
      <c r="M119" s="1229">
        <f t="shared" si="88"/>
        <v>2533239.12</v>
      </c>
      <c r="N119" s="1158">
        <f t="shared" si="88"/>
        <v>146668.16</v>
      </c>
      <c r="O119" s="1233">
        <f t="shared" si="88"/>
        <v>148119.78</v>
      </c>
      <c r="P119" s="1229">
        <f t="shared" si="88"/>
        <v>101384.77</v>
      </c>
      <c r="Q119" s="1158">
        <f t="shared" si="88"/>
        <v>188734.58000000002</v>
      </c>
      <c r="R119" s="1233">
        <f t="shared" si="88"/>
        <v>188028.65000000002</v>
      </c>
      <c r="S119" s="1229">
        <f t="shared" si="88"/>
        <v>187033.41999999998</v>
      </c>
      <c r="T119" s="1158">
        <f t="shared" si="88"/>
        <v>40107.979999999996</v>
      </c>
      <c r="U119" s="1233">
        <f t="shared" si="88"/>
        <v>54374.2</v>
      </c>
      <c r="V119" s="1229">
        <f t="shared" si="88"/>
        <v>46858.02</v>
      </c>
      <c r="W119" s="1158">
        <f t="shared" si="88"/>
        <v>1299.95</v>
      </c>
      <c r="X119" s="1234">
        <f t="shared" si="88"/>
        <v>13560.2</v>
      </c>
      <c r="Y119" s="1190">
        <f t="shared" si="88"/>
        <v>73670.34</v>
      </c>
      <c r="Z119" s="1158">
        <f t="shared" si="88"/>
        <v>2130775.08</v>
      </c>
      <c r="AA119" s="1233">
        <f t="shared" si="88"/>
        <v>2130984.2600000002</v>
      </c>
      <c r="AB119" s="1229">
        <f t="shared" si="88"/>
        <v>2124292.5700000003</v>
      </c>
      <c r="AC119" s="1158">
        <f t="shared" ref="AC119" si="89">SUM(AC120+AC134+AC140)</f>
        <v>0</v>
      </c>
      <c r="AD119" s="1106"/>
      <c r="AE119" s="1107"/>
      <c r="AF119" s="364"/>
      <c r="AG119" s="220"/>
    </row>
    <row r="120" spans="1:34" ht="33" customHeight="1" thickBot="1">
      <c r="A120" s="296" t="str">
        <f>CONCATENATE('3 pr-2'!A121)</f>
        <v>2.1.2.1</v>
      </c>
      <c r="B120" s="349"/>
      <c r="C120" s="2088" t="str">
        <f>CONCATENATE('3 pr-2'!B121)</f>
        <v>Priemonė:
Pirminės asmens ir visuomenės sveikatos priežiūros veiklos efektyvumo didinimas gerinant jų infrastruktūrą</v>
      </c>
      <c r="D120" s="2089"/>
      <c r="E120" s="2089"/>
      <c r="F120" s="2089"/>
      <c r="G120" s="2089"/>
      <c r="H120" s="2089"/>
      <c r="I120" s="2089"/>
      <c r="J120" s="2090"/>
      <c r="K120" s="1077">
        <f t="shared" ref="K120" si="90">SUM(K121:K133)</f>
        <v>1447388.03</v>
      </c>
      <c r="L120" s="1231">
        <f t="shared" ref="L120" si="91">SUM(L121:L133)</f>
        <v>1474868.19</v>
      </c>
      <c r="M120" s="1079">
        <f t="shared" ref="M120" si="92">SUM(M121:M133)</f>
        <v>1473041.4000000001</v>
      </c>
      <c r="N120" s="1077">
        <f t="shared" ref="N120" si="93">SUM(N121:N133)</f>
        <v>68448</v>
      </c>
      <c r="O120" s="1078">
        <f t="shared" ref="O120" si="94">SUM(O121:O133)</f>
        <v>69899.53</v>
      </c>
      <c r="P120" s="1232">
        <f t="shared" ref="P120" si="95">SUM(P121:P133)</f>
        <v>23164.61</v>
      </c>
      <c r="Q120" s="1077">
        <f t="shared" ref="Q120" si="96">SUM(Q121:Q133)</f>
        <v>108554.52</v>
      </c>
      <c r="R120" s="1078">
        <f t="shared" ref="R120" si="97">SUM(R121:R133)</f>
        <v>108513.80000000002</v>
      </c>
      <c r="S120" s="1239">
        <f t="shared" ref="S120" si="98">SUM(S121:S133)</f>
        <v>106853.35999999999</v>
      </c>
      <c r="T120" s="1077">
        <f t="shared" ref="T120" si="99">SUM(T121:T133)</f>
        <v>40107.979999999996</v>
      </c>
      <c r="U120" s="1231">
        <f t="shared" ref="U120" si="100">SUM(U121:U133)</f>
        <v>54374.2</v>
      </c>
      <c r="V120" s="1079">
        <f t="shared" ref="V120" si="101">SUM(V121:V133)</f>
        <v>46858.02</v>
      </c>
      <c r="W120" s="1077">
        <f t="shared" ref="W120" si="102">SUM(W121:W133)</f>
        <v>0</v>
      </c>
      <c r="X120" s="1078">
        <f t="shared" ref="X120" si="103">SUM(X121:X133)</f>
        <v>12265</v>
      </c>
      <c r="Y120" s="1079">
        <f t="shared" ref="Y120" si="104">SUM(Y121:Y133)</f>
        <v>72370.39</v>
      </c>
      <c r="Z120" s="1077">
        <f t="shared" ref="Z120" si="105">SUM(Z121:Z133)</f>
        <v>1230277.5299999998</v>
      </c>
      <c r="AA120" s="1078">
        <f t="shared" ref="AA120" si="106">SUM(AA121:AA133)</f>
        <v>1229815.6600000001</v>
      </c>
      <c r="AB120" s="1079">
        <f t="shared" ref="AB120:AC120" si="107">SUM(AB121:AB133)</f>
        <v>1223795.02</v>
      </c>
      <c r="AC120" s="1077">
        <f t="shared" si="107"/>
        <v>0</v>
      </c>
      <c r="AD120" s="1108"/>
      <c r="AE120" s="1109"/>
      <c r="AF120" s="357"/>
      <c r="AG120" s="358"/>
    </row>
    <row r="121" spans="1:34" ht="60.75">
      <c r="A121" s="164" t="str">
        <f>CONCATENATE('3 pr-2'!A122)</f>
        <v>2.1.2.1.1</v>
      </c>
      <c r="B121" s="281" t="s">
        <v>3434</v>
      </c>
      <c r="C121" s="164" t="str">
        <f>CONCATENATE('3 pr-2'!B122)</f>
        <v>R01-6609-274710-2211</v>
      </c>
      <c r="D121" s="164" t="str">
        <f>CONCATENATE('3 pr-2'!D122)</f>
        <v>Alytaus poliklinikos teikiamų pirminės sveikatos priežiūros paslaugų prieinamumo didinimas ir kokybės gerinimas</v>
      </c>
      <c r="E121" s="164" t="str">
        <f>CONCATENATE('3 pr-2'!E122)</f>
        <v>VšĮ Alytaus poliklinika</v>
      </c>
      <c r="F121" s="164" t="str">
        <f>CONCATENATE('3 pr-2'!F122)</f>
        <v>Lietuvos Respublikos Sveikatos apsaugos ministerija</v>
      </c>
      <c r="G121" s="164" t="str">
        <f>CONCATENATE('3 pr-2'!G122)</f>
        <v>Alytaus m. sav.</v>
      </c>
      <c r="H121" s="164" t="str">
        <f>CONCATENATE('3 pr-2'!H122)</f>
        <v>08.1.3-CPVA-R-609</v>
      </c>
      <c r="I121" s="164" t="str">
        <f>CONCATENATE('3 pr-2'!I122)</f>
        <v>R</v>
      </c>
      <c r="J121" s="164" t="str">
        <f>CONCATENATE('3 pr-2'!J122)</f>
        <v>-</v>
      </c>
      <c r="K121" s="1164">
        <f>IF(AE121&gt;0,'3 pr-2'!L122,0)</f>
        <v>458183</v>
      </c>
      <c r="L121" s="1240">
        <f t="shared" ref="L121:L139" si="108">SUM(O121+R121+U121+X121+AA121)</f>
        <v>466774.13</v>
      </c>
      <c r="M121" s="1082">
        <f t="shared" ref="M121:M145" si="109">SUM(P121+S121+V121+Y121+AB121)</f>
        <v>466768.66000000003</v>
      </c>
      <c r="N121" s="1164">
        <f>IF(AE121&gt;0,'3 pr-2'!O122,0)</f>
        <v>34364</v>
      </c>
      <c r="O121" s="1240">
        <v>42954.13</v>
      </c>
      <c r="P121" s="1082">
        <f>SUM('ketv. 6 '!P121)</f>
        <v>0</v>
      </c>
      <c r="Q121" s="1164">
        <f>IF(AE121&gt;0,'3 pr-2'!R122,0)</f>
        <v>34363</v>
      </c>
      <c r="R121" s="1240">
        <v>34364</v>
      </c>
      <c r="S121" s="1082">
        <f>SUM('ketv. 6 '!T121)</f>
        <v>34364</v>
      </c>
      <c r="T121" s="1164">
        <f>IF(AE121&gt;0,'3 pr-2'!U122,0)</f>
        <v>0</v>
      </c>
      <c r="U121" s="1240">
        <v>0</v>
      </c>
      <c r="V121" s="1082">
        <f>SUM('ketv. 6 '!X121)</f>
        <v>0</v>
      </c>
      <c r="W121" s="1164">
        <f>IF(AE121&gt;0,'3 pr-2'!X122,0)</f>
        <v>0</v>
      </c>
      <c r="X121" s="1240">
        <v>0</v>
      </c>
      <c r="Y121" s="1082">
        <f>SUM('ketv. 6 '!AB121)</f>
        <v>42948.66</v>
      </c>
      <c r="Z121" s="1164">
        <f>IF(AE121&gt;0,'3 pr-2'!AA122,0)</f>
        <v>389456</v>
      </c>
      <c r="AA121" s="1240">
        <v>389456</v>
      </c>
      <c r="AB121" s="1082">
        <f>SUM('ketv. 6 '!AF121)</f>
        <v>389456</v>
      </c>
      <c r="AC121" s="1164">
        <f>IF($AE$9&gt;0,'3 pr-2'!AB122,0)</f>
        <v>0</v>
      </c>
      <c r="AD121" s="1104">
        <f>SUM('3 pr-2'!AG122)</f>
        <v>43312</v>
      </c>
      <c r="AE121" s="1104">
        <v>43311</v>
      </c>
      <c r="AF121" s="198"/>
      <c r="AG121" s="384" t="str">
        <f t="shared" ref="AG121:AG128" si="110">IF(AD121-AE121&lt;0,(AD121-AE121)/30.41667,"–")</f>
        <v>–</v>
      </c>
    </row>
    <row r="122" spans="1:34" ht="84.75">
      <c r="A122" s="164" t="str">
        <f>CONCATENATE('3 pr-2'!A123)</f>
        <v>2.1.2.1.2</v>
      </c>
      <c r="B122" s="281" t="s">
        <v>3445</v>
      </c>
      <c r="C122" s="164" t="str">
        <f>CONCATENATE('3 pr-2'!B123)</f>
        <v>R01-6609-274710-2212</v>
      </c>
      <c r="D122" s="164" t="str">
        <f>CONCATENATE('3 pr-2'!D123)</f>
        <v>Sveikatos priežiūros paslaugų modernizavimas bei optimizavimas pirminės sveikatos priežiūros centre</v>
      </c>
      <c r="E122" s="164" t="str">
        <f>CONCATENATE('3 pr-2'!E123)</f>
        <v xml:space="preserve">VšĮ Alytaus miesto savivaldybės pirminės sveikatos priežiūros centras </v>
      </c>
      <c r="F122" s="164" t="str">
        <f>CONCATENATE('3 pr-2'!F123)</f>
        <v>Lietuvos Respublikos Sveikatos apsaugos ministerija</v>
      </c>
      <c r="G122" s="164" t="str">
        <f>CONCATENATE('3 pr-2'!G123)</f>
        <v>Alytaus m. sav.</v>
      </c>
      <c r="H122" s="164" t="str">
        <f>CONCATENATE('3 pr-2'!H123)</f>
        <v>08.1.3-CPVA-R-609</v>
      </c>
      <c r="I122" s="164" t="str">
        <f>CONCATENATE('3 pr-2'!I123)</f>
        <v>R</v>
      </c>
      <c r="J122" s="164" t="str">
        <f>CONCATENATE('3 pr-2'!J123)</f>
        <v>-</v>
      </c>
      <c r="K122" s="1080">
        <f>IF(AE122&gt;0,'3 pr-2'!L123,0)</f>
        <v>50356</v>
      </c>
      <c r="L122" s="1081">
        <f t="shared" si="108"/>
        <v>50356</v>
      </c>
      <c r="M122" s="1082">
        <f t="shared" si="109"/>
        <v>50356</v>
      </c>
      <c r="N122" s="1080">
        <f>IF(AE122&gt;0,'3 pr-2'!O123,0)</f>
        <v>3777</v>
      </c>
      <c r="O122" s="1081">
        <v>3777</v>
      </c>
      <c r="P122" s="1082">
        <f>SUM('ketv. 6 '!P122)</f>
        <v>0</v>
      </c>
      <c r="Q122" s="1080">
        <f>IF(AE122&gt;0,'3 pr-2'!R123,0)</f>
        <v>3777</v>
      </c>
      <c r="R122" s="1081">
        <v>3777</v>
      </c>
      <c r="S122" s="1082">
        <f>SUM('ketv. 6 '!T122)</f>
        <v>3777</v>
      </c>
      <c r="T122" s="1080">
        <f>IF(AE122&gt;0,'3 pr-2'!U123,0)</f>
        <v>0</v>
      </c>
      <c r="U122" s="1081">
        <v>0</v>
      </c>
      <c r="V122" s="1082">
        <f>SUM('ketv. 6 '!X122)</f>
        <v>0</v>
      </c>
      <c r="W122" s="1080">
        <f>IF(AE122&gt;0,'3 pr-2'!X123,0)</f>
        <v>0</v>
      </c>
      <c r="X122" s="1081">
        <v>0</v>
      </c>
      <c r="Y122" s="1082">
        <f>SUM('ketv. 6 '!AB122)</f>
        <v>3777</v>
      </c>
      <c r="Z122" s="1080">
        <f>IF(AE122&gt;0,'3 pr-2'!AA123,0)</f>
        <v>42802</v>
      </c>
      <c r="AA122" s="1081">
        <v>42802</v>
      </c>
      <c r="AB122" s="1082">
        <f>SUM('ketv. 6 '!AF122)</f>
        <v>42802</v>
      </c>
      <c r="AC122" s="1080">
        <f>IF($AE$9&gt;0,'3 pr-2'!AB123,0)</f>
        <v>0</v>
      </c>
      <c r="AD122" s="1104">
        <f>SUM('3 pr-2'!AG123)</f>
        <v>43312</v>
      </c>
      <c r="AE122" s="1104">
        <v>43272</v>
      </c>
      <c r="AF122" s="198"/>
      <c r="AG122" s="384" t="str">
        <f t="shared" si="110"/>
        <v>–</v>
      </c>
    </row>
    <row r="123" spans="1:34" ht="60.75">
      <c r="A123" s="164" t="str">
        <f>CONCATENATE('3 pr-2'!A124)</f>
        <v>2.1.2.1.3</v>
      </c>
      <c r="B123" s="281" t="s">
        <v>3439</v>
      </c>
      <c r="C123" s="164" t="str">
        <f>CONCATENATE('3 pr-2'!B124)</f>
        <v>R01-6609-274700-2213</v>
      </c>
      <c r="D123" s="164" t="str">
        <f>CONCATENATE('3 pr-2'!D124)</f>
        <v>UAB "MediCA klinika" teikiamų pirminės asmens sveikatos priežiūros paslaugų efektyvumo didinimas Alytaus miesto savivaldybėje</v>
      </c>
      <c r="E123" s="164" t="str">
        <f>CONCATENATE('3 pr-2'!E124)</f>
        <v>UAB „MediCA klinika“</v>
      </c>
      <c r="F123" s="164" t="str">
        <f>CONCATENATE('3 pr-2'!F124)</f>
        <v>Lietuvos Respublikos Sveikatos apsaugos ministerija</v>
      </c>
      <c r="G123" s="164" t="str">
        <f>CONCATENATE('3 pr-2'!G124)</f>
        <v>Alytaus m. sav.</v>
      </c>
      <c r="H123" s="164" t="str">
        <f>CONCATENATE('3 pr-2'!H124)</f>
        <v>08.1.3-CPVA-R-609</v>
      </c>
      <c r="I123" s="164" t="str">
        <f>CONCATENATE('3 pr-2'!I124)</f>
        <v>R</v>
      </c>
      <c r="J123" s="164" t="str">
        <f>CONCATENATE('3 pr-2'!J124)</f>
        <v>-</v>
      </c>
      <c r="K123" s="1080">
        <f>IF(AE123&gt;0,'3 pr-2'!L124,0)</f>
        <v>83468</v>
      </c>
      <c r="L123" s="1081">
        <f t="shared" si="108"/>
        <v>82938</v>
      </c>
      <c r="M123" s="1082">
        <f t="shared" si="109"/>
        <v>82938</v>
      </c>
      <c r="N123" s="1080">
        <f>IF(AE123&gt;0,'3 pr-2'!O124,0)</f>
        <v>0</v>
      </c>
      <c r="O123" s="1081">
        <v>0</v>
      </c>
      <c r="P123" s="1082">
        <f>SUM('ketv. 6 '!P123)</f>
        <v>0</v>
      </c>
      <c r="Q123" s="1080">
        <f>IF(AE123&gt;0,'3 pr-2'!R124,0)</f>
        <v>6260</v>
      </c>
      <c r="R123" s="1081">
        <v>6220</v>
      </c>
      <c r="S123" s="1082">
        <f>SUM('ketv. 6 '!T123)</f>
        <v>6220</v>
      </c>
      <c r="T123" s="1080">
        <f>IF(AE123&gt;0,'3 pr-2'!U124,0)</f>
        <v>6260</v>
      </c>
      <c r="U123" s="1081">
        <v>6220</v>
      </c>
      <c r="V123" s="1082">
        <f>SUM('ketv. 6 '!X123)</f>
        <v>6220</v>
      </c>
      <c r="W123" s="1080">
        <f>IF(AE123&gt;0,'3 pr-2'!X124,0)</f>
        <v>0</v>
      </c>
      <c r="X123" s="1081">
        <v>0</v>
      </c>
      <c r="Y123" s="1082">
        <f>SUM('ketv. 6 '!AB123)</f>
        <v>0</v>
      </c>
      <c r="Z123" s="1080">
        <f>IF(AE123&gt;0,'3 pr-2'!AA124,0)</f>
        <v>70948</v>
      </c>
      <c r="AA123" s="1081">
        <v>70498</v>
      </c>
      <c r="AB123" s="1082">
        <f>SUM('ketv. 6 '!AF123)</f>
        <v>70498</v>
      </c>
      <c r="AC123" s="1080">
        <f>IF($AE$9&gt;0,'3 pr-2'!AB124,0)</f>
        <v>0</v>
      </c>
      <c r="AD123" s="1104">
        <f>SUM('3 pr-2'!AG124)</f>
        <v>43312</v>
      </c>
      <c r="AE123" s="1104">
        <v>43272</v>
      </c>
      <c r="AF123" s="198"/>
      <c r="AG123" s="384" t="str">
        <f t="shared" si="110"/>
        <v>–</v>
      </c>
    </row>
    <row r="124" spans="1:34" ht="60.75">
      <c r="A124" s="164" t="str">
        <f>CONCATENATE('3 pr-2'!A125)</f>
        <v>2.1.2.1.4</v>
      </c>
      <c r="B124" s="281" t="s">
        <v>3448</v>
      </c>
      <c r="C124" s="164" t="str">
        <f>CONCATENATE('3 pr-2'!B125)</f>
        <v>R01-6609-274710-2214</v>
      </c>
      <c r="D124" s="164" t="str">
        <f>CONCATENATE('3 pr-2'!D125)</f>
        <v>UAB "Pagalba ligoniui" teikiamų paslaugų efektyvumo didinimas</v>
      </c>
      <c r="E124" s="164" t="str">
        <f>CONCATENATE('3 pr-2'!E125)</f>
        <v>UAB „Pagalba ligoniui“, Alytaus filialas</v>
      </c>
      <c r="F124" s="164" t="str">
        <f>CONCATENATE('3 pr-2'!F125)</f>
        <v>Lietuvos Respublikos Sveikatos apsaugos ministerija</v>
      </c>
      <c r="G124" s="164" t="str">
        <f>CONCATENATE('3 pr-2'!G125)</f>
        <v>Alytaus m. sav.</v>
      </c>
      <c r="H124" s="164" t="str">
        <f>CONCATENATE('3 pr-2'!H125)</f>
        <v>08.1.3-CPVA-R-609</v>
      </c>
      <c r="I124" s="164" t="str">
        <f>CONCATENATE('3 pr-2'!I125)</f>
        <v>R</v>
      </c>
      <c r="J124" s="164" t="str">
        <f>CONCATENATE('3 pr-2'!J125)</f>
        <v>-</v>
      </c>
      <c r="K124" s="1080">
        <f>IF(AE124&gt;0,'3 pr-2'!L125,0)</f>
        <v>43413.03</v>
      </c>
      <c r="L124" s="1081">
        <f t="shared" si="108"/>
        <v>43413.03</v>
      </c>
      <c r="M124" s="1082">
        <f t="shared" si="109"/>
        <v>43413.03</v>
      </c>
      <c r="N124" s="1080">
        <f>IF(AE124&gt;0,'3 pr-2'!O125,0)</f>
        <v>0</v>
      </c>
      <c r="O124" s="1081">
        <v>0</v>
      </c>
      <c r="P124" s="1082">
        <f>SUM('ketv. 6 '!P124)</f>
        <v>0</v>
      </c>
      <c r="Q124" s="1080">
        <f>IF(AE124&gt;0,'3 pr-2'!R125,0)</f>
        <v>3255.97</v>
      </c>
      <c r="R124" s="1081">
        <v>3255.98</v>
      </c>
      <c r="S124" s="1082">
        <f>SUM('ketv. 6 '!T124)</f>
        <v>3255.97</v>
      </c>
      <c r="T124" s="1080">
        <f>IF(AE124&gt;0,'3 pr-2'!U125,0)</f>
        <v>3255.98</v>
      </c>
      <c r="U124" s="1081">
        <v>3255.98</v>
      </c>
      <c r="V124" s="1082">
        <f>SUM('ketv. 6 '!X124)</f>
        <v>3255.98</v>
      </c>
      <c r="W124" s="1080">
        <f>IF(AE124&gt;0,'3 pr-2'!X125,0)</f>
        <v>0</v>
      </c>
      <c r="X124" s="1081">
        <v>0</v>
      </c>
      <c r="Y124" s="1082">
        <f>SUM('ketv. 6 '!AB124)</f>
        <v>0</v>
      </c>
      <c r="Z124" s="1080">
        <f>IF(AE124&gt;0,'3 pr-2'!AA125,0)</f>
        <v>36901.08</v>
      </c>
      <c r="AA124" s="1081">
        <v>36901.07</v>
      </c>
      <c r="AB124" s="1082">
        <f>SUM('ketv. 6 '!AF124)</f>
        <v>36901.08</v>
      </c>
      <c r="AC124" s="1080">
        <f>IF($AE$9&gt;0,'3 pr-2'!AB125,0)</f>
        <v>0</v>
      </c>
      <c r="AD124" s="1104">
        <f>SUM('3 pr-2'!AG125)</f>
        <v>43312</v>
      </c>
      <c r="AE124" s="1104">
        <v>43272</v>
      </c>
      <c r="AF124" s="198"/>
      <c r="AG124" s="384" t="str">
        <f t="shared" si="110"/>
        <v>–</v>
      </c>
    </row>
    <row r="125" spans="1:34" ht="84.75">
      <c r="A125" s="164" t="str">
        <f>CONCATENATE('3 pr-2'!A126)</f>
        <v>2.1.2.1.5</v>
      </c>
      <c r="B125" s="281" t="s">
        <v>3799</v>
      </c>
      <c r="C125" s="164" t="str">
        <f>CONCATENATE('3 pr-2'!B126)</f>
        <v>R01-6609-274710-2215</v>
      </c>
      <c r="D125" s="164" t="str">
        <f>CONCATENATE('3 pr-2'!D126)</f>
        <v>Pirminės asmens sveikatos priežiūros veiklos efektyvumo didinimas Alytaus rajono savivaldybėje</v>
      </c>
      <c r="E125" s="164" t="str">
        <f>CONCATENATE('3 pr-2'!E126)</f>
        <v>VšĮ Alytaus rajono savivaldybės pirminės sveikatos priežiūros centras</v>
      </c>
      <c r="F125" s="164" t="str">
        <f>CONCATENATE('3 pr-2'!F126)</f>
        <v>Lietuvos Respublikos Sveikatos apsaugos ministerija</v>
      </c>
      <c r="G125" s="164" t="str">
        <f>CONCATENATE('3 pr-2'!G126)</f>
        <v>Alytaus r. sav.</v>
      </c>
      <c r="H125" s="164" t="str">
        <f>CONCATENATE('3 pr-2'!H126)</f>
        <v>08.1.3-CPVA-R-609</v>
      </c>
      <c r="I125" s="164" t="str">
        <f>CONCATENATE('3 pr-2'!I126)</f>
        <v>R</v>
      </c>
      <c r="J125" s="164" t="str">
        <f>CONCATENATE('3 pr-2'!J126)</f>
        <v>-</v>
      </c>
      <c r="K125" s="1080">
        <f>IF(AE125&gt;0,'3 pr-2'!L126,0)</f>
        <v>171636</v>
      </c>
      <c r="L125" s="1081">
        <f t="shared" si="108"/>
        <v>171636</v>
      </c>
      <c r="M125" s="1082">
        <f t="shared" si="109"/>
        <v>172142.73</v>
      </c>
      <c r="N125" s="1080">
        <f>IF(AE125&gt;0,'3 pr-2'!O126,0)</f>
        <v>12873</v>
      </c>
      <c r="O125" s="1081">
        <v>0</v>
      </c>
      <c r="P125" s="1082">
        <f>SUM('ketv. 6 '!P125)</f>
        <v>0</v>
      </c>
      <c r="Q125" s="1080">
        <f>IF(AE125&gt;0,'3 pr-2'!R126,0)</f>
        <v>12873</v>
      </c>
      <c r="R125" s="1081">
        <v>12873</v>
      </c>
      <c r="S125" s="1082">
        <f>SUM('ketv. 6 '!T125)</f>
        <v>12873</v>
      </c>
      <c r="T125" s="1080">
        <f>IF(AE125&gt;0,'3 pr-2'!U126,0)</f>
        <v>0</v>
      </c>
      <c r="U125" s="1081">
        <v>12873</v>
      </c>
      <c r="V125" s="1082">
        <f>SUM('ketv. 6 '!X125)</f>
        <v>0</v>
      </c>
      <c r="W125" s="1080">
        <f>IF(AE125&gt;0,'3 pr-2'!X126,0)</f>
        <v>0</v>
      </c>
      <c r="X125" s="1081">
        <v>0</v>
      </c>
      <c r="Y125" s="1082">
        <f>SUM('ketv. 6 '!AB125)</f>
        <v>13379.73</v>
      </c>
      <c r="Z125" s="1080">
        <f>IF(AE125&gt;0,'3 pr-2'!AA126,0)</f>
        <v>145890</v>
      </c>
      <c r="AA125" s="1081">
        <v>145890</v>
      </c>
      <c r="AB125" s="1082">
        <f>SUM('ketv. 6 '!AF125)</f>
        <v>145890</v>
      </c>
      <c r="AC125" s="1080">
        <f>IF($AE$9&gt;0,'3 pr-2'!AB126,0)</f>
        <v>0</v>
      </c>
      <c r="AD125" s="1104">
        <f>SUM('3 pr-2'!AG126)</f>
        <v>43312</v>
      </c>
      <c r="AE125" s="1104">
        <v>43272</v>
      </c>
      <c r="AF125" s="198"/>
      <c r="AG125" s="384" t="str">
        <f t="shared" si="110"/>
        <v>–</v>
      </c>
    </row>
    <row r="126" spans="1:34" ht="60.75">
      <c r="A126" s="164" t="str">
        <f>CONCATENATE('3 pr-2'!A127)</f>
        <v>2.1.2.1.6</v>
      </c>
      <c r="B126" s="281" t="s">
        <v>3801</v>
      </c>
      <c r="C126" s="164" t="str">
        <f>CONCATENATE('3 pr-2'!B127)</f>
        <v>R01-6609-471000-2216</v>
      </c>
      <c r="D126" s="164" t="str">
        <f>CONCATENATE('3 pr-2'!D127)</f>
        <v>Sveikatos priežiūros paslaugų gerinimas UAB „Disolis“</v>
      </c>
      <c r="E126" s="164" t="str">
        <f>CONCATENATE('3 pr-2'!E127)</f>
        <v>UAB „Disolis“</v>
      </c>
      <c r="F126" s="164" t="str">
        <f>CONCATENATE('3 pr-2'!F127)</f>
        <v>Lietuvos Respublikos Sveikatos apsaugos ministerija</v>
      </c>
      <c r="G126" s="164" t="str">
        <f>CONCATENATE('3 pr-2'!G127)</f>
        <v>Alytaus r. sav.</v>
      </c>
      <c r="H126" s="164" t="str">
        <f>CONCATENATE('3 pr-2'!H127)</f>
        <v>08.1.3-CPVA-R-609</v>
      </c>
      <c r="I126" s="164" t="str">
        <f>CONCATENATE('3 pr-2'!I127)</f>
        <v>R</v>
      </c>
      <c r="J126" s="164" t="str">
        <f>CONCATENATE('3 pr-2'!J127)</f>
        <v>-</v>
      </c>
      <c r="K126" s="1080">
        <f>IF(AE126&gt;0,'3 pr-2'!L127,0)</f>
        <v>17386</v>
      </c>
      <c r="L126" s="1081">
        <f t="shared" si="108"/>
        <v>24107.8</v>
      </c>
      <c r="M126" s="1082">
        <f t="shared" si="109"/>
        <v>23990.78</v>
      </c>
      <c r="N126" s="1080">
        <f>IF(AE126&gt;0,'3 pr-2'!O127,0)</f>
        <v>0</v>
      </c>
      <c r="O126" s="1081">
        <v>0</v>
      </c>
      <c r="P126" s="1082">
        <f>SUM('ketv. 6 '!P126)</f>
        <v>0</v>
      </c>
      <c r="Q126" s="1080">
        <f>IF(AE126&gt;0,'3 pr-2'!R127,0)</f>
        <v>1304</v>
      </c>
      <c r="R126" s="1081">
        <v>1304</v>
      </c>
      <c r="S126" s="1082">
        <f>SUM('ketv. 6 '!T126)</f>
        <v>266.12</v>
      </c>
      <c r="T126" s="1080">
        <f>IF(AE126&gt;0,'3 pr-2'!U127,0)</f>
        <v>1304</v>
      </c>
      <c r="U126" s="1081">
        <v>8025.8</v>
      </c>
      <c r="V126" s="1082">
        <f>SUM('ketv. 6 '!X126)</f>
        <v>7908.78</v>
      </c>
      <c r="W126" s="1080">
        <f>IF(AE126&gt;0,'3 pr-2'!X127,0)</f>
        <v>0</v>
      </c>
      <c r="X126" s="1081">
        <v>0</v>
      </c>
      <c r="Y126" s="1082">
        <f>SUM('ketv. 6 '!AB126)</f>
        <v>0</v>
      </c>
      <c r="Z126" s="1080">
        <f>IF(AE126&gt;0,'3 pr-2'!AA127,0)</f>
        <v>14778</v>
      </c>
      <c r="AA126" s="1081">
        <v>14778</v>
      </c>
      <c r="AB126" s="1082">
        <f>SUM('ketv. 6 '!AF126)</f>
        <v>15815.88</v>
      </c>
      <c r="AC126" s="1080">
        <f>IF($AE$9&gt;0,'3 pr-2'!AB127,0)</f>
        <v>0</v>
      </c>
      <c r="AD126" s="1104">
        <f>SUM('3 pr-2'!AG127)</f>
        <v>43312</v>
      </c>
      <c r="AE126" s="1104">
        <v>43272</v>
      </c>
      <c r="AF126" s="198"/>
      <c r="AG126" s="384" t="str">
        <f t="shared" si="110"/>
        <v>–</v>
      </c>
    </row>
    <row r="127" spans="1:34" ht="60.75">
      <c r="A127" s="164" t="str">
        <f>CONCATENATE('3 pr-2'!A128)</f>
        <v>2.1.2.1.7</v>
      </c>
      <c r="B127" s="281" t="s">
        <v>3797</v>
      </c>
      <c r="C127" s="164" t="str">
        <f>CONCATENATE('3 pr-2'!B128)</f>
        <v>R01-6609-274710-2217</v>
      </c>
      <c r="D127" s="164" t="str">
        <f>CONCATENATE('3 pr-2'!D128)</f>
        <v>Pirminės asmens sveikatos priežiūros kokybės ir prieinamumo gerinimas Druskininkų savivaldybėje</v>
      </c>
      <c r="E127" s="164" t="str">
        <f>CONCATENATE('3 pr-2'!E128)</f>
        <v>VšĮ Druskininkų pirminės sveikatos priežiūros centras</v>
      </c>
      <c r="F127" s="164" t="str">
        <f>CONCATENATE('3 pr-2'!F128)</f>
        <v>Lietuvos Respublikos Sveikatos apsaugos ministerija</v>
      </c>
      <c r="G127" s="164" t="str">
        <f>CONCATENATE('3 pr-2'!G128)</f>
        <v>Druskininkų sav.</v>
      </c>
      <c r="H127" s="164" t="str">
        <f>CONCATENATE('3 pr-2'!H128)</f>
        <v>08.1.3-CPVA-R-609</v>
      </c>
      <c r="I127" s="164" t="str">
        <f>CONCATENATE('3 pr-2'!I128)</f>
        <v>R</v>
      </c>
      <c r="J127" s="164" t="str">
        <f>CONCATENATE('3 pr-2'!J128)</f>
        <v>-</v>
      </c>
      <c r="K127" s="1080">
        <f>IF(AE127&gt;0,'3 pr-2'!L128,0)</f>
        <v>163532</v>
      </c>
      <c r="L127" s="1081">
        <f t="shared" si="108"/>
        <v>163532</v>
      </c>
      <c r="M127" s="1082">
        <f t="shared" si="109"/>
        <v>163532</v>
      </c>
      <c r="N127" s="1080">
        <f>IF(AE127&gt;0,'3 pr-2'!O128,0)</f>
        <v>0</v>
      </c>
      <c r="O127" s="1081">
        <v>0</v>
      </c>
      <c r="P127" s="1082">
        <f>SUM('ketv. 6 '!P127)</f>
        <v>0</v>
      </c>
      <c r="Q127" s="1080">
        <f>IF(AE127&gt;0,'3 pr-2'!R128,0)</f>
        <v>12265</v>
      </c>
      <c r="R127" s="1081">
        <v>12265</v>
      </c>
      <c r="S127" s="1082">
        <f>SUM('ketv. 6 '!T127)</f>
        <v>12265</v>
      </c>
      <c r="T127" s="1080">
        <f>IF(AE127&gt;0,'3 pr-2'!U128,0)</f>
        <v>12265</v>
      </c>
      <c r="U127" s="1081">
        <v>0</v>
      </c>
      <c r="V127" s="1082">
        <f>SUM('ketv. 6 '!X127)</f>
        <v>0</v>
      </c>
      <c r="W127" s="1080">
        <f>IF(AE127&gt;0,'3 pr-2'!X128,0)</f>
        <v>0</v>
      </c>
      <c r="X127" s="1081">
        <v>12265</v>
      </c>
      <c r="Y127" s="1082">
        <f>SUM('ketv. 6 '!AB127)</f>
        <v>12265</v>
      </c>
      <c r="Z127" s="1080">
        <f>IF(AE127&gt;0,'3 pr-2'!AA128,0)</f>
        <v>139002</v>
      </c>
      <c r="AA127" s="1081">
        <v>139002</v>
      </c>
      <c r="AB127" s="1082">
        <f>SUM('ketv. 6 '!AF127)</f>
        <v>139002</v>
      </c>
      <c r="AC127" s="1080">
        <f>IF($AE$9&gt;0,'3 pr-2'!AB128,0)</f>
        <v>0</v>
      </c>
      <c r="AD127" s="1104">
        <f>SUM('3 pr-2'!AG128)</f>
        <v>43312</v>
      </c>
      <c r="AE127" s="1104">
        <v>43272</v>
      </c>
      <c r="AF127" s="198"/>
      <c r="AG127" s="384" t="str">
        <f t="shared" si="110"/>
        <v>–</v>
      </c>
    </row>
    <row r="128" spans="1:34" ht="60.75">
      <c r="A128" s="164" t="str">
        <f>CONCATENATE('3 pr-2'!A129)</f>
        <v>2.1.2.1.8</v>
      </c>
      <c r="B128" s="281" t="s">
        <v>3796</v>
      </c>
      <c r="C128" s="164" t="str">
        <f>CONCATENATE('3 pr-2'!B129)</f>
        <v>R01-6609-104700-2218</v>
      </c>
      <c r="D128" s="164" t="str">
        <f>CONCATENATE('3 pr-2'!D129)</f>
        <v>UAB "Druskininkų šeimos klinika" asmens sveikatos priežiūros paslaugų prieinamumo ir efektyvumo didinimas</v>
      </c>
      <c r="E128" s="164" t="str">
        <f>CONCATENATE('3 pr-2'!E129)</f>
        <v>UAB „Druskininkų šeimos klinika“</v>
      </c>
      <c r="F128" s="164" t="str">
        <f>CONCATENATE('3 pr-2'!F129)</f>
        <v>Lietuvos Respublikos Sveikatos apsaugos ministerija</v>
      </c>
      <c r="G128" s="164" t="str">
        <f>CONCATENATE('3 pr-2'!G129)</f>
        <v>Druskininkų sav.</v>
      </c>
      <c r="H128" s="164" t="str">
        <f>CONCATENATE('3 pr-2'!H129)</f>
        <v>08.1.3-CPVA-R-609</v>
      </c>
      <c r="I128" s="164" t="str">
        <f>CONCATENATE('3 pr-2'!I129)</f>
        <v>R</v>
      </c>
      <c r="J128" s="164" t="str">
        <f>CONCATENATE('3 pr-2'!J129)</f>
        <v>-</v>
      </c>
      <c r="K128" s="1080">
        <f>IF(AE128&gt;0,'3 pr-2'!L129,0)</f>
        <v>12289</v>
      </c>
      <c r="L128" s="1081">
        <f t="shared" si="108"/>
        <v>25000</v>
      </c>
      <c r="M128" s="1082">
        <f t="shared" si="109"/>
        <v>29990</v>
      </c>
      <c r="N128" s="1080">
        <f>IF(AE128&gt;0,'3 pr-2'!O129,0)</f>
        <v>0</v>
      </c>
      <c r="O128" s="1081">
        <v>0</v>
      </c>
      <c r="P128" s="1082">
        <f>SUM('ketv. 6 '!P128)</f>
        <v>0</v>
      </c>
      <c r="Q128" s="1080">
        <f>IF(AE128&gt;0,'3 pr-2'!R129,0)</f>
        <v>922</v>
      </c>
      <c r="R128" s="1081">
        <v>922</v>
      </c>
      <c r="S128" s="1082">
        <f>SUM('ketv. 6 '!T128)</f>
        <v>922</v>
      </c>
      <c r="T128" s="1080">
        <f>IF(AE128&gt;0,'3 pr-2'!U129,0)</f>
        <v>922</v>
      </c>
      <c r="U128" s="1081">
        <v>13633</v>
      </c>
      <c r="V128" s="1082">
        <f>SUM('ketv. 6 '!X128)</f>
        <v>18623</v>
      </c>
      <c r="W128" s="1080">
        <f>IF(AE128&gt;0,'3 pr-2'!X129,0)</f>
        <v>0</v>
      </c>
      <c r="X128" s="1081">
        <v>0</v>
      </c>
      <c r="Y128" s="1082">
        <f>SUM('ketv. 6 '!AB128)</f>
        <v>0</v>
      </c>
      <c r="Z128" s="1080">
        <f>IF(AE128&gt;0,'3 pr-2'!AA129,0)</f>
        <v>10445</v>
      </c>
      <c r="AA128" s="1081">
        <v>10445</v>
      </c>
      <c r="AB128" s="1082">
        <f>SUM('ketv. 6 '!AF128)</f>
        <v>10445</v>
      </c>
      <c r="AC128" s="1080">
        <f>IF($AE$9&gt;0,'3 pr-2'!AB129,0)</f>
        <v>0</v>
      </c>
      <c r="AD128" s="1104">
        <f>SUM('3 pr-2'!AG129)</f>
        <v>43312</v>
      </c>
      <c r="AE128" s="1104">
        <v>43272</v>
      </c>
      <c r="AF128" s="198"/>
      <c r="AG128" s="384" t="str">
        <f t="shared" si="110"/>
        <v>–</v>
      </c>
    </row>
    <row r="129" spans="1:33" ht="60.75">
      <c r="A129" s="164" t="str">
        <f>CONCATENATE('3 pr-2'!A130)</f>
        <v>2.1.2.1.9</v>
      </c>
      <c r="B129" s="281" t="s">
        <v>1650</v>
      </c>
      <c r="C129" s="164" t="str">
        <f>CONCATENATE('3 pr-2'!B130)</f>
        <v>R01-6609-274710-2219</v>
      </c>
      <c r="D129" s="164" t="str">
        <f>CONCATENATE('3 pr-2'!D130)</f>
        <v>I. S. Kavaliauskienės įmonės teikiamų pirminės ambulatorinės asmens sveikatos priežiūros paslaugų kokybės ir prieinamumo gerinimas</v>
      </c>
      <c r="E129" s="164" t="str">
        <f>CONCATENATE('3 pr-2'!E130)</f>
        <v>Irenos Stanislavos Kavaliauskienės įmonė</v>
      </c>
      <c r="F129" s="164" t="str">
        <f>CONCATENATE('3 pr-2'!F130)</f>
        <v>Lietuvos Respublikos Sveikatos apsaugos ministerija</v>
      </c>
      <c r="G129" s="164" t="str">
        <f>CONCATENATE('3 pr-2'!G130)</f>
        <v>Druskininkų sav.</v>
      </c>
      <c r="H129" s="164" t="str">
        <f>CONCATENATE('3 pr-2'!H130)</f>
        <v>08.1.3-CPVA-R-609</v>
      </c>
      <c r="I129" s="164" t="str">
        <f>CONCATENATE('3 pr-2'!I130)</f>
        <v>R</v>
      </c>
      <c r="J129" s="164" t="str">
        <f>CONCATENATE('3 pr-2'!J130)</f>
        <v>-</v>
      </c>
      <c r="K129" s="1080">
        <f>IF(AE129&gt;0,'3 pr-2'!L130,0)</f>
        <v>25517</v>
      </c>
      <c r="L129" s="1081">
        <f t="shared" si="108"/>
        <v>25517</v>
      </c>
      <c r="M129" s="1082">
        <f t="shared" si="109"/>
        <v>25517</v>
      </c>
      <c r="N129" s="1080">
        <f>IF(AE129&gt;0,'3 pr-2'!O130,0)</f>
        <v>0</v>
      </c>
      <c r="O129" s="1081">
        <v>0</v>
      </c>
      <c r="P129" s="1082">
        <f>SUM('ketv. 6 '!P129)</f>
        <v>0</v>
      </c>
      <c r="Q129" s="1080">
        <f>IF(AE129&gt;0,'3 pr-2'!R130,0)</f>
        <v>1913.55</v>
      </c>
      <c r="R129" s="1081">
        <v>1914</v>
      </c>
      <c r="S129" s="1082">
        <f>SUM('ketv. 6 '!T129)</f>
        <v>1913.55</v>
      </c>
      <c r="T129" s="1080">
        <f>IF(AE129&gt;0,'3 pr-2'!U130,0)</f>
        <v>1914</v>
      </c>
      <c r="U129" s="1081">
        <v>1914</v>
      </c>
      <c r="V129" s="1082">
        <f>SUM('ketv. 6 '!X129)</f>
        <v>1914</v>
      </c>
      <c r="W129" s="1080">
        <f>IF(AE129&gt;0,'3 pr-2'!X130,0)</f>
        <v>0</v>
      </c>
      <c r="X129" s="1081">
        <v>0</v>
      </c>
      <c r="Y129" s="1082">
        <f>SUM('ketv. 6 '!AB129)</f>
        <v>0</v>
      </c>
      <c r="Z129" s="1080">
        <f>IF(AE129&gt;0,'3 pr-2'!AA130,0)</f>
        <v>21689.45</v>
      </c>
      <c r="AA129" s="1081">
        <v>21689</v>
      </c>
      <c r="AB129" s="1082">
        <f>SUM('ketv. 6 '!AF129)</f>
        <v>21689.45</v>
      </c>
      <c r="AC129" s="1080">
        <f>IF($AE$9&gt;0,'3 pr-2'!AB130,0)</f>
        <v>0</v>
      </c>
      <c r="AD129" s="1104">
        <f>SUM('3 pr-2'!AG130)</f>
        <v>43312</v>
      </c>
      <c r="AE129" s="1104">
        <v>43272</v>
      </c>
      <c r="AF129" s="198"/>
      <c r="AG129" s="384" t="str">
        <f t="shared" ref="AG129:AG132" si="111">IF(AD129-AE129&lt;0,(AD129-AE129)/30.41667,"–")</f>
        <v>–</v>
      </c>
    </row>
    <row r="130" spans="1:33" ht="60.75">
      <c r="A130" s="164" t="str">
        <f>CONCATENATE('3 pr-2'!A131)</f>
        <v>2.1.2.1.10</v>
      </c>
      <c r="B130" s="281" t="s">
        <v>3798</v>
      </c>
      <c r="C130" s="164" t="str">
        <f>CONCATENATE('3 pr-2'!B131)</f>
        <v>R01-6609-274710-2220</v>
      </c>
      <c r="D130" s="164" t="str">
        <f>CONCATENATE('3 pr-2'!D131)</f>
        <v>Pirminės ambulatorinės asmens sveikatos priežiūros efektyvumo didinimas R. Ambrazaitienės ir L. Puzinovienės šeimos gydytojų kabinetuose</v>
      </c>
      <c r="E130" s="164" t="str">
        <f>CONCATENATE('3 pr-2'!E131)</f>
        <v>UAB „Rasos Ambrazaitienės šeimos gydytojo kabinetas“</v>
      </c>
      <c r="F130" s="164" t="str">
        <f>CONCATENATE('3 pr-2'!F131)</f>
        <v>Lietuvos Respublikos Sveikatos apsaugos ministerija</v>
      </c>
      <c r="G130" s="164" t="str">
        <f>CONCATENATE('3 pr-2'!G131)</f>
        <v>Druskininkų sav.</v>
      </c>
      <c r="H130" s="164" t="str">
        <f>CONCATENATE('3 pr-2'!H131)</f>
        <v>08.1.3-CPVA-R-609</v>
      </c>
      <c r="I130" s="164" t="str">
        <f>CONCATENATE('3 pr-2'!I131)</f>
        <v>R</v>
      </c>
      <c r="J130" s="164" t="str">
        <f>CONCATENATE('3 pr-2'!J131)</f>
        <v>-</v>
      </c>
      <c r="K130" s="1080">
        <f>IF(AE130&gt;0,'3 pr-2'!L131,0)</f>
        <v>27906</v>
      </c>
      <c r="L130" s="1081">
        <f t="shared" si="108"/>
        <v>27906</v>
      </c>
      <c r="M130" s="1082">
        <f t="shared" si="109"/>
        <v>27906</v>
      </c>
      <c r="N130" s="1080">
        <f>IF(AE130&gt;0,'3 pr-2'!O131,0)</f>
        <v>0</v>
      </c>
      <c r="O130" s="1081">
        <v>0</v>
      </c>
      <c r="P130" s="1082">
        <f>SUM('ketv. 6 '!P130)</f>
        <v>0</v>
      </c>
      <c r="Q130" s="1080">
        <f>IF(AE130&gt;0,'3 pr-2'!R131,0)</f>
        <v>2093</v>
      </c>
      <c r="R130" s="1081">
        <v>2093</v>
      </c>
      <c r="S130" s="1082">
        <f>SUM('ketv. 6 '!T130)</f>
        <v>2092.9</v>
      </c>
      <c r="T130" s="1080">
        <f>IF(AE130&gt;0,'3 pr-2'!U131,0)</f>
        <v>2093</v>
      </c>
      <c r="U130" s="1081">
        <v>2093</v>
      </c>
      <c r="V130" s="1082">
        <f>SUM('ketv. 6 '!X130)</f>
        <v>2093</v>
      </c>
      <c r="W130" s="1080">
        <f>IF(AE130&gt;0,'3 pr-2'!X131,0)</f>
        <v>0</v>
      </c>
      <c r="X130" s="1081">
        <v>0</v>
      </c>
      <c r="Y130" s="1082">
        <f>SUM('ketv. 6 '!AB130)</f>
        <v>0</v>
      </c>
      <c r="Z130" s="1080">
        <f>IF(AE130&gt;0,'3 pr-2'!AA131,0)</f>
        <v>23720</v>
      </c>
      <c r="AA130" s="1081">
        <v>23720</v>
      </c>
      <c r="AB130" s="1082">
        <f>SUM('ketv. 6 '!AF130)</f>
        <v>23720.1</v>
      </c>
      <c r="AC130" s="1080">
        <f>IF($AE$9&gt;0,'3 pr-2'!AB131,0)</f>
        <v>0</v>
      </c>
      <c r="AD130" s="1104">
        <f>SUM('3 pr-2'!AG131)</f>
        <v>43312</v>
      </c>
      <c r="AE130" s="1104">
        <v>43272</v>
      </c>
      <c r="AF130" s="198"/>
      <c r="AG130" s="384" t="str">
        <f t="shared" si="111"/>
        <v>–</v>
      </c>
    </row>
    <row r="131" spans="1:33" ht="60.75">
      <c r="A131" s="164" t="str">
        <f>CONCATENATE('3 pr-2'!A132)</f>
        <v>2.1.2.1.11</v>
      </c>
      <c r="B131" s="281" t="s">
        <v>3800</v>
      </c>
      <c r="C131" s="164" t="str">
        <f>CONCATENATE('3 pr-2'!B132)</f>
        <v>R01-6609-274700-2221</v>
      </c>
      <c r="D131" s="164" t="str">
        <f>CONCATENATE('3 pr-2'!D132)</f>
        <v>Pirminės asmens sveikatos priežiūros veiklos efektyvumo didinimas Lazdijų rajono savivaldybėje</v>
      </c>
      <c r="E131" s="164" t="str">
        <f>CONCATENATE('3 pr-2'!E132)</f>
        <v>Lazdijų rajono savivaldybės administracija</v>
      </c>
      <c r="F131" s="164" t="str">
        <f>CONCATENATE('3 pr-2'!F132)</f>
        <v>Lietuvos Respublikos Sveikatos apsaugos ministerija</v>
      </c>
      <c r="G131" s="164" t="str">
        <f>CONCATENATE('3 pr-2'!G132)</f>
        <v>Lazdijų r. sav.</v>
      </c>
      <c r="H131" s="164" t="str">
        <f>CONCATENATE('3 pr-2'!H132)</f>
        <v>08.1.3-CPVA-R-609</v>
      </c>
      <c r="I131" s="164" t="str">
        <f>CONCATENATE('3 pr-2'!I132)</f>
        <v>R</v>
      </c>
      <c r="J131" s="164" t="str">
        <f>CONCATENATE('3 pr-2'!J132)</f>
        <v>-</v>
      </c>
      <c r="K131" s="1080">
        <f>IF(AE131&gt;0,'3 pr-2'!L132,0)</f>
        <v>192719</v>
      </c>
      <c r="L131" s="1081">
        <f t="shared" si="108"/>
        <v>192718.96</v>
      </c>
      <c r="M131" s="1082">
        <f t="shared" si="109"/>
        <v>193823.02</v>
      </c>
      <c r="N131" s="1080">
        <f>IF(AE131&gt;0,'3 pr-2'!O132,0)</f>
        <v>2983</v>
      </c>
      <c r="O131" s="1081">
        <v>8718.58</v>
      </c>
      <c r="P131" s="1082">
        <f>SUM('ketv. 6 '!P131)</f>
        <v>8714.7999999999993</v>
      </c>
      <c r="Q131" s="1080">
        <f>IF(AE131&gt;0,'3 pr-2'!R132,0)</f>
        <v>14454</v>
      </c>
      <c r="R131" s="1081">
        <v>14454</v>
      </c>
      <c r="S131" s="1082">
        <f>SUM('ketv. 6 '!T131)</f>
        <v>14454</v>
      </c>
      <c r="T131" s="1080">
        <f>IF(AE131&gt;0,'3 pr-2'!U132,0)</f>
        <v>11471</v>
      </c>
      <c r="U131" s="1081">
        <v>5735.42</v>
      </c>
      <c r="V131" s="1082">
        <f>SUM('ketv. 6 '!X131)</f>
        <v>6843.26</v>
      </c>
      <c r="W131" s="1080">
        <f>IF(AE131&gt;0,'3 pr-2'!X132,0)</f>
        <v>0</v>
      </c>
      <c r="X131" s="1081">
        <v>0</v>
      </c>
      <c r="Y131" s="1082">
        <f>SUM('ketv. 6 '!AB131)</f>
        <v>0</v>
      </c>
      <c r="Z131" s="1080">
        <f>IF(AE131&gt;0,'3 pr-2'!AA132,0)</f>
        <v>163811</v>
      </c>
      <c r="AA131" s="1081">
        <v>163810.96</v>
      </c>
      <c r="AB131" s="1082">
        <f>SUM('ketv. 6 '!AF131)</f>
        <v>163810.96</v>
      </c>
      <c r="AC131" s="1080">
        <f>IF($AE$9&gt;0,'3 pr-2'!AB132,0)</f>
        <v>0</v>
      </c>
      <c r="AD131" s="1104">
        <f>SUM('3 pr-2'!AG132)</f>
        <v>43312</v>
      </c>
      <c r="AE131" s="1104">
        <v>43272</v>
      </c>
      <c r="AF131" s="198"/>
      <c r="AG131" s="384" t="str">
        <f t="shared" si="111"/>
        <v>–</v>
      </c>
    </row>
    <row r="132" spans="1:33" ht="60.75">
      <c r="A132" s="164" t="str">
        <f>CONCATENATE('3 pr-2'!A133)</f>
        <v>2.1.2.1.12</v>
      </c>
      <c r="B132" s="281" t="s">
        <v>3802</v>
      </c>
      <c r="C132" s="164" t="str">
        <f>CONCATENATE('3 pr-2'!B133)</f>
        <v>R01-6609-274710-2222</v>
      </c>
      <c r="D132" s="164" t="str">
        <f>CONCATENATE('3 pr-2'!D133)</f>
        <v>Pirminės asmens sveikatos priežiūros veiklos efektyvumo didinimas Varėnos rajono savivaldybėje</v>
      </c>
      <c r="E132" s="164" t="str">
        <f>CONCATENATE('3 pr-2'!E133)</f>
        <v>VšĮ Varėnos pirminės sveikatos priežiūros centras</v>
      </c>
      <c r="F132" s="164" t="str">
        <f>CONCATENATE('3 pr-2'!F133)</f>
        <v>Lietuvos Respublikos Sveikatos apsaugos ministerija</v>
      </c>
      <c r="G132" s="164" t="str">
        <f>CONCATENATE('3 pr-2'!G133)</f>
        <v>Varėnos r. sav.</v>
      </c>
      <c r="H132" s="164" t="str">
        <f>CONCATENATE('3 pr-2'!H133)</f>
        <v>08.1.3-CPVA-R-609</v>
      </c>
      <c r="I132" s="164" t="str">
        <f>CONCATENATE('3 pr-2'!I133)</f>
        <v>R</v>
      </c>
      <c r="J132" s="164" t="str">
        <f>CONCATENATE('3 pr-2'!J133)</f>
        <v>-</v>
      </c>
      <c r="K132" s="1080">
        <f>IF(AE132&gt;0,'3 pr-2'!L133,0)</f>
        <v>192678</v>
      </c>
      <c r="L132" s="1081">
        <f t="shared" si="108"/>
        <v>192664.27000000002</v>
      </c>
      <c r="M132" s="1082">
        <f t="shared" si="109"/>
        <v>192664.18</v>
      </c>
      <c r="N132" s="1080">
        <f>IF(AE132&gt;0,'3 pr-2'!O133,0)</f>
        <v>14451</v>
      </c>
      <c r="O132" s="1081">
        <v>14449.82</v>
      </c>
      <c r="P132" s="1082">
        <f>SUM('ketv. 6 '!P132)</f>
        <v>14449.81</v>
      </c>
      <c r="Q132" s="1080">
        <f>IF(AE132&gt;0,'3 pr-2'!R133,0)</f>
        <v>14451</v>
      </c>
      <c r="R132" s="1081">
        <v>14449.82</v>
      </c>
      <c r="S132" s="1082">
        <f>SUM('ketv. 6 '!T132)</f>
        <v>14449.82</v>
      </c>
      <c r="T132" s="1080">
        <f>IF(AE132&gt;0,'3 pr-2'!U133,0)</f>
        <v>0</v>
      </c>
      <c r="U132" s="1081">
        <v>0</v>
      </c>
      <c r="V132" s="1082">
        <f>SUM('ketv. 6 '!X132)</f>
        <v>0</v>
      </c>
      <c r="W132" s="1080">
        <f>IF(AE132&gt;0,'3 pr-2'!X133,0)</f>
        <v>0</v>
      </c>
      <c r="X132" s="1081">
        <v>0</v>
      </c>
      <c r="Y132" s="1082">
        <f>SUM('ketv. 6 '!AB132)</f>
        <v>0</v>
      </c>
      <c r="Z132" s="1080">
        <f>IF(AE132&gt;0,'3 pr-2'!AA133,0)</f>
        <v>163776</v>
      </c>
      <c r="AA132" s="1081">
        <v>163764.63</v>
      </c>
      <c r="AB132" s="1082">
        <f>SUM('ketv. 6 '!AF132)</f>
        <v>163764.54999999999</v>
      </c>
      <c r="AC132" s="1080">
        <f>IF($AE$9&gt;0,'3 pr-2'!AB133,0)</f>
        <v>0</v>
      </c>
      <c r="AD132" s="1104">
        <f>SUM('3 pr-2'!AG133)</f>
        <v>43312</v>
      </c>
      <c r="AE132" s="1104">
        <v>43272</v>
      </c>
      <c r="AF132" s="198"/>
      <c r="AG132" s="384" t="str">
        <f t="shared" si="111"/>
        <v>–</v>
      </c>
    </row>
    <row r="133" spans="1:33" ht="61.5" thickBot="1">
      <c r="A133" s="164" t="str">
        <f>CONCATENATE('3 pr-2'!A134)</f>
        <v>2.1.2.1.13</v>
      </c>
      <c r="B133" s="990"/>
      <c r="C133" s="164" t="str">
        <f>CONCATENATE('3 pr-2'!B134)</f>
        <v>R01-6609-470000-2223</v>
      </c>
      <c r="D133" s="164" t="str">
        <f>CONCATENATE('3 pr-2'!D134)</f>
        <v>Pirminės asmens sveikatos priežiūros veiklos efektyvumo didinimas N. Jarašienės personalinėje įmonėje</v>
      </c>
      <c r="E133" s="164" t="str">
        <f>CONCATENATE('3 pr-2'!E134)</f>
        <v>N. Jarašienės personalinė įmonė</v>
      </c>
      <c r="F133" s="164" t="str">
        <f>CONCATENATE('3 pr-2'!F134)</f>
        <v>Lietuvos Respublikos Sveikatos apsaugos ministerija</v>
      </c>
      <c r="G133" s="164" t="str">
        <f>CONCATENATE('3 pr-2'!G134)</f>
        <v>Varėnos r. sav.</v>
      </c>
      <c r="H133" s="164" t="str">
        <f>CONCATENATE('3 pr-2'!H134)</f>
        <v>08.1.3-CPVA-R-609</v>
      </c>
      <c r="I133" s="164" t="str">
        <f>CONCATENATE('3 pr-2'!I134)</f>
        <v>R</v>
      </c>
      <c r="J133" s="164" t="str">
        <f>CONCATENATE('3 pr-2'!J134)</f>
        <v>-</v>
      </c>
      <c r="K133" s="1080">
        <f>IF(AE133&gt;0,'3 pr-2'!L134,0)</f>
        <v>8305</v>
      </c>
      <c r="L133" s="1081">
        <f t="shared" si="108"/>
        <v>8305</v>
      </c>
      <c r="M133" s="1082">
        <f t="shared" si="109"/>
        <v>0</v>
      </c>
      <c r="N133" s="1080">
        <f>IF(AE133&gt;0,'3 pr-2'!O134,0)</f>
        <v>0</v>
      </c>
      <c r="O133" s="1081">
        <v>0</v>
      </c>
      <c r="P133" s="1082">
        <f>SUM('ketv. 6 '!P133)</f>
        <v>0</v>
      </c>
      <c r="Q133" s="1080">
        <f>IF(AE133&gt;0,'3 pr-2'!R134,0)</f>
        <v>623</v>
      </c>
      <c r="R133" s="1081">
        <v>622</v>
      </c>
      <c r="S133" s="1082">
        <f>SUM('ketv. 6 '!T133)</f>
        <v>0</v>
      </c>
      <c r="T133" s="1080">
        <f>IF(AE133&gt;0,'3 pr-2'!U134,0)</f>
        <v>623</v>
      </c>
      <c r="U133" s="1081">
        <v>624</v>
      </c>
      <c r="V133" s="1082">
        <f>SUM('ketv. 6 '!X133)</f>
        <v>0</v>
      </c>
      <c r="W133" s="1080">
        <f>IF(AE133&gt;0,'3 pr-2'!X134,0)</f>
        <v>0</v>
      </c>
      <c r="X133" s="1081">
        <v>0</v>
      </c>
      <c r="Y133" s="1082">
        <f>SUM('ketv. 6 '!AB133)</f>
        <v>0</v>
      </c>
      <c r="Z133" s="1080">
        <f>IF(AE133&gt;0,'3 pr-2'!AA134,0)</f>
        <v>7059</v>
      </c>
      <c r="AA133" s="1081">
        <v>7059</v>
      </c>
      <c r="AB133" s="1082">
        <f>SUM('ketv. 6 '!AF133)</f>
        <v>0</v>
      </c>
      <c r="AC133" s="1080">
        <f>IF($AE$9&gt;0,'3 pr-2'!AB134,0)</f>
        <v>0</v>
      </c>
      <c r="AD133" s="1104">
        <f>SUM('3 pr-2'!AG134)</f>
        <v>43311</v>
      </c>
      <c r="AE133" s="1104">
        <v>43272</v>
      </c>
      <c r="AF133" s="198"/>
      <c r="AG133" s="384" t="str">
        <f t="shared" ref="AG133" si="112">IF(AD133-AE133&lt;0,(AD133-AE133)/30.41667,"–")</f>
        <v>–</v>
      </c>
    </row>
    <row r="134" spans="1:33" ht="41.25" customHeight="1" thickBot="1">
      <c r="A134" s="296" t="str">
        <f>CONCATENATE('3 pr-2'!A135)</f>
        <v>2.1.2.2</v>
      </c>
      <c r="B134" s="349"/>
      <c r="C134" s="2088" t="str">
        <f>CONCATENATE('3 pr-2'!B135)</f>
        <v>Priemonė:
Sveikos gyvensenos skatinimas regioniniu lygiu</v>
      </c>
      <c r="D134" s="2089"/>
      <c r="E134" s="2089"/>
      <c r="F134" s="2089"/>
      <c r="G134" s="2089"/>
      <c r="H134" s="2089"/>
      <c r="I134" s="2089"/>
      <c r="J134" s="2090"/>
      <c r="K134" s="1077">
        <f t="shared" ref="K134:AC134" si="113">SUM(K135:K139)</f>
        <v>994984.5399999998</v>
      </c>
      <c r="L134" s="1231">
        <f t="shared" si="113"/>
        <v>994985.72</v>
      </c>
      <c r="M134" s="1079">
        <f t="shared" si="113"/>
        <v>994984.5399999998</v>
      </c>
      <c r="N134" s="1077">
        <f t="shared" si="113"/>
        <v>74624.070000000007</v>
      </c>
      <c r="O134" s="1078">
        <f t="shared" si="113"/>
        <v>74624.160000000003</v>
      </c>
      <c r="P134" s="1232">
        <f t="shared" si="113"/>
        <v>74624.070000000007</v>
      </c>
      <c r="Q134" s="1077">
        <f t="shared" si="113"/>
        <v>74623.62</v>
      </c>
      <c r="R134" s="1078">
        <f t="shared" si="113"/>
        <v>74623.56</v>
      </c>
      <c r="S134" s="1239">
        <f t="shared" si="113"/>
        <v>74623.62</v>
      </c>
      <c r="T134" s="1077">
        <f t="shared" si="113"/>
        <v>0</v>
      </c>
      <c r="U134" s="1231">
        <f t="shared" si="113"/>
        <v>0</v>
      </c>
      <c r="V134" s="1079">
        <f t="shared" si="113"/>
        <v>0</v>
      </c>
      <c r="W134" s="1077">
        <f t="shared" si="113"/>
        <v>0</v>
      </c>
      <c r="X134" s="1078">
        <f t="shared" si="113"/>
        <v>0</v>
      </c>
      <c r="Y134" s="1079">
        <f t="shared" si="113"/>
        <v>0</v>
      </c>
      <c r="Z134" s="1077">
        <f t="shared" si="113"/>
        <v>845736.85</v>
      </c>
      <c r="AA134" s="1078">
        <f t="shared" si="113"/>
        <v>845738</v>
      </c>
      <c r="AB134" s="1079">
        <f t="shared" si="113"/>
        <v>845736.85</v>
      </c>
      <c r="AC134" s="1077">
        <f t="shared" si="113"/>
        <v>0</v>
      </c>
      <c r="AD134" s="1116"/>
      <c r="AE134" s="1117"/>
      <c r="AF134" s="569"/>
      <c r="AG134" s="570"/>
    </row>
    <row r="135" spans="1:33" ht="60.75">
      <c r="A135" s="375" t="str">
        <f>CONCATENATE('3 pr-2'!A136)</f>
        <v>2.1.2.2.1</v>
      </c>
      <c r="B135" s="373" t="s">
        <v>1604</v>
      </c>
      <c r="C135" s="164" t="str">
        <f>CONCATENATE('3 pr-2'!B136)</f>
        <v>R01-6630-475000-2221</v>
      </c>
      <c r="D135" s="375" t="str">
        <f>CONCATENATE('3 pr-2'!D136)</f>
        <v>Sveikos gyvensenos skatinimas Alytaus rajone</v>
      </c>
      <c r="E135" s="375" t="str">
        <f>CONCATENATE('3 pr-2'!E136)</f>
        <v>Alytaus rajono savivaldybės visuomenės sveikatos biuras</v>
      </c>
      <c r="F135" s="375" t="str">
        <f>CONCATENATE('3 pr-2'!F136)</f>
        <v>Lietuvos Respublikos Sveikatos apsaugos ministerija</v>
      </c>
      <c r="G135" s="375" t="str">
        <f>CONCATENATE('3 pr-2'!G136)</f>
        <v>Alytaus r. sav.</v>
      </c>
      <c r="H135" s="376" t="str">
        <f>CONCATENATE('3 pr-2'!H136)</f>
        <v>08.4.2-ESFA-R-630</v>
      </c>
      <c r="I135" s="375" t="str">
        <f>CONCATENATE('3 pr-2'!I136)</f>
        <v>R</v>
      </c>
      <c r="J135" s="375" t="str">
        <f>CONCATENATE('3 pr-2'!J136)</f>
        <v>-</v>
      </c>
      <c r="K135" s="1173">
        <f>IF(AE135&gt;0,'3 pr-2'!L136,0)</f>
        <v>198997.18</v>
      </c>
      <c r="L135" s="1081">
        <f t="shared" si="108"/>
        <v>198997.18</v>
      </c>
      <c r="M135" s="1082">
        <f t="shared" si="109"/>
        <v>198997.18</v>
      </c>
      <c r="N135" s="1173">
        <f>IF(AE135&gt;0,'3 pr-2'!O136,0)</f>
        <v>14924.79</v>
      </c>
      <c r="O135" s="1235">
        <v>14924.79</v>
      </c>
      <c r="P135" s="1082">
        <f>SUM('ketv. 6 '!P135)</f>
        <v>14924.79</v>
      </c>
      <c r="Q135" s="1173">
        <f>IF(AE135&gt;0,'3 pr-2'!R136,0)</f>
        <v>14924.79</v>
      </c>
      <c r="R135" s="1235">
        <v>14924.79</v>
      </c>
      <c r="S135" s="1082">
        <f>SUM('ketv. 6 '!T135)</f>
        <v>14924.79</v>
      </c>
      <c r="T135" s="1173">
        <f>IF(AE135&gt;0,'3 pr-2'!U136,0)</f>
        <v>0</v>
      </c>
      <c r="U135" s="1235">
        <v>0</v>
      </c>
      <c r="V135" s="1082">
        <f>SUM('ketv. 6 '!X135)</f>
        <v>0</v>
      </c>
      <c r="W135" s="1173">
        <f>IF(AE135&gt;0,'3 pr-2'!X136,0)</f>
        <v>0</v>
      </c>
      <c r="X135" s="1235">
        <v>0</v>
      </c>
      <c r="Y135" s="1082">
        <f>SUM('ketv. 6 '!AB135)</f>
        <v>0</v>
      </c>
      <c r="Z135" s="1173">
        <f>IF(AE135&gt;0,'3 pr-2'!AA136,0)</f>
        <v>169147.6</v>
      </c>
      <c r="AA135" s="1235">
        <v>169147.6</v>
      </c>
      <c r="AB135" s="1082">
        <f>SUM('ketv. 6 '!AF135)</f>
        <v>169147.6</v>
      </c>
      <c r="AC135" s="1173">
        <f>IF($AE$9&gt;0,'3 pr-2'!AB136,0)</f>
        <v>0</v>
      </c>
      <c r="AD135" s="1112">
        <f>SUM('3 pr-2'!AG136)</f>
        <v>43159</v>
      </c>
      <c r="AE135" s="1112">
        <v>43159</v>
      </c>
      <c r="AF135" s="375"/>
      <c r="AG135" s="384" t="str">
        <f t="shared" ref="AG135:AG139" si="114">IF(AD135-AE135&lt;0,(AD135-AE135)/30.41667,"–")</f>
        <v>–</v>
      </c>
    </row>
    <row r="136" spans="1:33" ht="60.75">
      <c r="A136" s="375" t="str">
        <f>CONCATENATE('3 pr-2'!A137)</f>
        <v>2.1.2.2.2</v>
      </c>
      <c r="B136" s="373" t="s">
        <v>1601</v>
      </c>
      <c r="C136" s="164" t="str">
        <f>CONCATENATE('3 pr-2'!B137)</f>
        <v>R01-6630-470000-2222</v>
      </c>
      <c r="D136" s="375" t="str">
        <f>CONCATENATE('3 pr-2'!D137)</f>
        <v>Mažais žingsneliais – sveikos gyvensenos link</v>
      </c>
      <c r="E136" s="375" t="str">
        <f>CONCATENATE('3 pr-2'!E137)</f>
        <v>Alytaus miesto savivaldybės administracija</v>
      </c>
      <c r="F136" s="375" t="str">
        <f>CONCATENATE('3 pr-2'!F137)</f>
        <v>Lietuvos Respublikos Sveikatos apsaugos ministerija</v>
      </c>
      <c r="G136" s="375" t="str">
        <f>CONCATENATE('3 pr-2'!G137)</f>
        <v>Alytaus m. sav.</v>
      </c>
      <c r="H136" s="376" t="str">
        <f>CONCATENATE('3 pr-2'!H137)</f>
        <v>08.4.2-ESFA-R-630</v>
      </c>
      <c r="I136" s="375" t="str">
        <f>CONCATENATE('3 pr-2'!I137)</f>
        <v>R</v>
      </c>
      <c r="J136" s="375" t="str">
        <f>CONCATENATE('3 pr-2'!J137)</f>
        <v>-</v>
      </c>
      <c r="K136" s="1173">
        <f>IF(AE136&gt;0,'3 pr-2'!L137,0)</f>
        <v>198996</v>
      </c>
      <c r="L136" s="1081">
        <f t="shared" si="108"/>
        <v>198997.18</v>
      </c>
      <c r="M136" s="1082">
        <f t="shared" si="109"/>
        <v>198996</v>
      </c>
      <c r="N136" s="1173">
        <f>IF(AE136&gt;0,'3 pr-2'!O137,0)</f>
        <v>14924.7</v>
      </c>
      <c r="O136" s="1235">
        <v>14924.79</v>
      </c>
      <c r="P136" s="1082">
        <f>SUM('ketv. 6 '!P136)</f>
        <v>14924.7</v>
      </c>
      <c r="Q136" s="1173">
        <f>IF(AE136&gt;0,'3 pr-2'!R137,0)</f>
        <v>14924.7</v>
      </c>
      <c r="R136" s="1235">
        <v>14924.79</v>
      </c>
      <c r="S136" s="1082">
        <f>SUM('ketv. 6 '!T136)</f>
        <v>14924.7</v>
      </c>
      <c r="T136" s="1173">
        <f>IF(AE136&gt;0,'3 pr-2'!U137,0)</f>
        <v>0</v>
      </c>
      <c r="U136" s="1235">
        <v>0</v>
      </c>
      <c r="V136" s="1082">
        <f>SUM('ketv. 6 '!X136)</f>
        <v>0</v>
      </c>
      <c r="W136" s="1173">
        <f>IF(AE136&gt;0,'3 pr-2'!X137,0)</f>
        <v>0</v>
      </c>
      <c r="X136" s="1235"/>
      <c r="Y136" s="1082">
        <f>SUM('ketv. 6 '!AB136)</f>
        <v>0</v>
      </c>
      <c r="Z136" s="1173">
        <f>IF(AE136&gt;0,'3 pr-2'!AA137,0)</f>
        <v>169146.6</v>
      </c>
      <c r="AA136" s="1235">
        <v>169147.6</v>
      </c>
      <c r="AB136" s="1082">
        <f>SUM('ketv. 6 '!AF136)</f>
        <v>169146.6</v>
      </c>
      <c r="AC136" s="1173">
        <f>IF($AE$9&gt;0,'3 pr-2'!AB137,0)</f>
        <v>0</v>
      </c>
      <c r="AD136" s="1112">
        <f>SUM('3 pr-2'!AG137)</f>
        <v>43189</v>
      </c>
      <c r="AE136" s="1112">
        <v>43159</v>
      </c>
      <c r="AF136" s="375"/>
      <c r="AG136" s="384" t="str">
        <f t="shared" si="114"/>
        <v>–</v>
      </c>
    </row>
    <row r="137" spans="1:33" ht="60.75">
      <c r="A137" s="375" t="str">
        <f>CONCATENATE('3 pr-2'!A138)</f>
        <v>2.1.2.2.3</v>
      </c>
      <c r="B137" s="373" t="s">
        <v>1605</v>
      </c>
      <c r="C137" s="164" t="str">
        <f>CONCATENATE('3 pr-2'!B138)</f>
        <v>R01-6630-470000-2223</v>
      </c>
      <c r="D137" s="375" t="str">
        <f>CONCATENATE('3 pr-2'!D138)</f>
        <v>Sveikos gyvensenos skatinimas Varėnos rajono savivaldybėje</v>
      </c>
      <c r="E137" s="375" t="str">
        <f>CONCATENATE('3 pr-2'!E138)</f>
        <v>Varėnos rajono savivaldybės visuomenės sveikatos biuras</v>
      </c>
      <c r="F137" s="375" t="str">
        <f>CONCATENATE('3 pr-2'!F138)</f>
        <v>Lietuvos Respublikos Sveikatos apsaugos ministerija</v>
      </c>
      <c r="G137" s="375" t="str">
        <f>CONCATENATE('3 pr-2'!G138)</f>
        <v>Varėnos r. sav.</v>
      </c>
      <c r="H137" s="376" t="str">
        <f>CONCATENATE('3 pr-2'!H138)</f>
        <v>08.4.2-ESFA-R-630</v>
      </c>
      <c r="I137" s="375" t="str">
        <f>CONCATENATE('3 pr-2'!I138)</f>
        <v>R</v>
      </c>
      <c r="J137" s="375" t="str">
        <f>CONCATENATE('3 pr-2'!J138)</f>
        <v>-</v>
      </c>
      <c r="K137" s="1173">
        <f>IF(AE137&gt;0,'3 pr-2'!L138,0)</f>
        <v>198997</v>
      </c>
      <c r="L137" s="1081">
        <f t="shared" si="108"/>
        <v>198997</v>
      </c>
      <c r="M137" s="1082">
        <f t="shared" si="109"/>
        <v>198997</v>
      </c>
      <c r="N137" s="1173">
        <f>IF(AE137&gt;0,'3 pr-2'!O138,0)</f>
        <v>14925</v>
      </c>
      <c r="O137" s="1235">
        <v>14925</v>
      </c>
      <c r="P137" s="1082">
        <f>SUM('ketv. 6 '!P137)</f>
        <v>14925</v>
      </c>
      <c r="Q137" s="1173">
        <f>IF(AE137&gt;0,'3 pr-2'!R138,0)</f>
        <v>14924.55</v>
      </c>
      <c r="R137" s="1235">
        <v>14924.4</v>
      </c>
      <c r="S137" s="1082">
        <f>SUM('ketv. 6 '!T137)</f>
        <v>14924.55</v>
      </c>
      <c r="T137" s="1173">
        <f>IF(AE137&gt;0,'3 pr-2'!U138,0)</f>
        <v>0</v>
      </c>
      <c r="U137" s="1235">
        <v>0</v>
      </c>
      <c r="V137" s="1082">
        <f>SUM('ketv. 6 '!X137)</f>
        <v>0</v>
      </c>
      <c r="W137" s="1173">
        <f>IF(AE137&gt;0,'3 pr-2'!X138,0)</f>
        <v>0</v>
      </c>
      <c r="X137" s="1235"/>
      <c r="Y137" s="1082">
        <f>SUM('ketv. 6 '!AB137)</f>
        <v>0</v>
      </c>
      <c r="Z137" s="1173">
        <f>IF(AE137&gt;0,'3 pr-2'!AA138,0)</f>
        <v>169147.45</v>
      </c>
      <c r="AA137" s="1235">
        <v>169147.6</v>
      </c>
      <c r="AB137" s="1082">
        <f>SUM('ketv. 6 '!AF137)</f>
        <v>169147.45</v>
      </c>
      <c r="AC137" s="1173">
        <f>IF($AE$9&gt;0,'3 pr-2'!AB138,0)</f>
        <v>0</v>
      </c>
      <c r="AD137" s="1112">
        <f>SUM('3 pr-2'!AG138)</f>
        <v>43160</v>
      </c>
      <c r="AE137" s="1112">
        <v>43159</v>
      </c>
      <c r="AF137" s="375"/>
      <c r="AG137" s="384" t="str">
        <f t="shared" si="114"/>
        <v>–</v>
      </c>
    </row>
    <row r="138" spans="1:33" ht="60.75">
      <c r="A138" s="375" t="str">
        <f>CONCATENATE('3 pr-2'!A139)</f>
        <v>2.1.2.2.4.</v>
      </c>
      <c r="B138" s="373" t="s">
        <v>1603</v>
      </c>
      <c r="C138" s="164" t="str">
        <f>CONCATENATE('3 pr-2'!B139)</f>
        <v>R01-6630-470000-2224</v>
      </c>
      <c r="D138" s="375" t="str">
        <f>CONCATENATE('3 pr-2'!D139)</f>
        <v>Sveika bendruomenė – stipri visuomenė</v>
      </c>
      <c r="E138" s="375" t="str">
        <f>CONCATENATE('3 pr-2'!E139)</f>
        <v>Druskininkų savivaldybės visuomenės sveikatos biuras</v>
      </c>
      <c r="F138" s="375" t="str">
        <f>CONCATENATE('3 pr-2'!F139)</f>
        <v>Lietuvos Respublikos Sveikatos apsaugos ministerija</v>
      </c>
      <c r="G138" s="375" t="str">
        <f>CONCATENATE('3 pr-2'!G139)</f>
        <v>Druskininkų sav.</v>
      </c>
      <c r="H138" s="376" t="str">
        <f>CONCATENATE('3 pr-2'!H139)</f>
        <v>08.4.2-ESFA-R-630</v>
      </c>
      <c r="I138" s="375" t="str">
        <f>CONCATENATE('3 pr-2'!I139)</f>
        <v>R</v>
      </c>
      <c r="J138" s="375" t="str">
        <f>CONCATENATE('3 pr-2'!J139)</f>
        <v>-</v>
      </c>
      <c r="K138" s="1173">
        <f>IF(AE138&gt;0,'3 pr-2'!L139,0)</f>
        <v>198997.18</v>
      </c>
      <c r="L138" s="1081">
        <f t="shared" si="108"/>
        <v>198997.18</v>
      </c>
      <c r="M138" s="1082">
        <f t="shared" si="109"/>
        <v>198997.18</v>
      </c>
      <c r="N138" s="1173">
        <f>IF(AE138&gt;0,'3 pr-2'!O139,0)</f>
        <v>14924.79</v>
      </c>
      <c r="O138" s="1235">
        <v>14924.79</v>
      </c>
      <c r="P138" s="1082">
        <f>SUM('ketv. 6 '!P138)</f>
        <v>14924.79</v>
      </c>
      <c r="Q138" s="1173">
        <f>IF(AE138&gt;0,'3 pr-2'!R139,0)</f>
        <v>14924.79</v>
      </c>
      <c r="R138" s="1235">
        <v>14924.79</v>
      </c>
      <c r="S138" s="1082">
        <f>SUM('ketv. 6 '!T138)</f>
        <v>14924.79</v>
      </c>
      <c r="T138" s="1173">
        <f>IF(AE138&gt;0,'3 pr-2'!U139,0)</f>
        <v>0</v>
      </c>
      <c r="U138" s="1235">
        <v>0</v>
      </c>
      <c r="V138" s="1082">
        <f>SUM('ketv. 6 '!X138)</f>
        <v>0</v>
      </c>
      <c r="W138" s="1173">
        <f>IF(AE138&gt;0,'3 pr-2'!X139,0)</f>
        <v>0</v>
      </c>
      <c r="X138" s="1235"/>
      <c r="Y138" s="1082">
        <f>SUM('ketv. 6 '!AB138)</f>
        <v>0</v>
      </c>
      <c r="Z138" s="1173">
        <f>IF(AE138&gt;0,'3 pr-2'!AA139,0)</f>
        <v>169147.6</v>
      </c>
      <c r="AA138" s="1235">
        <v>169147.6</v>
      </c>
      <c r="AB138" s="1082">
        <f>SUM('ketv. 6 '!AF138)</f>
        <v>169147.6</v>
      </c>
      <c r="AC138" s="1173">
        <f>IF($AE$9&gt;0,'3 pr-2'!AB139,0)</f>
        <v>0</v>
      </c>
      <c r="AD138" s="1112">
        <f>SUM('3 pr-2'!AG139)</f>
        <v>43189</v>
      </c>
      <c r="AE138" s="1112">
        <v>43159</v>
      </c>
      <c r="AF138" s="375"/>
      <c r="AG138" s="384" t="str">
        <f t="shared" si="114"/>
        <v>–</v>
      </c>
    </row>
    <row r="139" spans="1:33" ht="61.5" thickBot="1">
      <c r="A139" s="375" t="str">
        <f>CONCATENATE('3 pr-2'!A140)</f>
        <v>2.1.2.2.5</v>
      </c>
      <c r="B139" s="373" t="s">
        <v>1602</v>
      </c>
      <c r="C139" s="164" t="str">
        <f>CONCATENATE('3 pr-2'!B140)</f>
        <v>R01-6630-470000-2225</v>
      </c>
      <c r="D139" s="375" t="str">
        <f>CONCATENATE('3 pr-2'!D140)</f>
        <v>Sveikos gyvensenos skatinimas Lazdijų rajono savivaldybėje</v>
      </c>
      <c r="E139" s="375" t="str">
        <f>CONCATENATE('3 pr-2'!E140)</f>
        <v>Lazdijų rajono savivaldybės visuomenės sveikatos biuras</v>
      </c>
      <c r="F139" s="375" t="str">
        <f>CONCATENATE('3 pr-2'!F140)</f>
        <v>Lietuvos Respublikos Sveikatos apsaugos ministerija</v>
      </c>
      <c r="G139" s="375" t="str">
        <f>CONCATENATE('3 pr-2'!G140)</f>
        <v>Lazdijų r. sav.</v>
      </c>
      <c r="H139" s="376" t="str">
        <f>CONCATENATE('3 pr-2'!H140)</f>
        <v>08.4.2-ESFA-R-630</v>
      </c>
      <c r="I139" s="375" t="str">
        <f>CONCATENATE('3 pr-2'!I140)</f>
        <v>R</v>
      </c>
      <c r="J139" s="375" t="str">
        <f>CONCATENATE('3 pr-2'!J140)</f>
        <v>-</v>
      </c>
      <c r="K139" s="1173">
        <f>IF(AE139&gt;0,'3 pr-2'!L140,0)</f>
        <v>198997.18</v>
      </c>
      <c r="L139" s="1081">
        <f t="shared" si="108"/>
        <v>198997.18</v>
      </c>
      <c r="M139" s="1082">
        <f t="shared" si="109"/>
        <v>198997.18</v>
      </c>
      <c r="N139" s="1173">
        <f>IF(AE139&gt;0,'3 pr-2'!O140,0)</f>
        <v>14924.79</v>
      </c>
      <c r="O139" s="1235">
        <v>14924.79</v>
      </c>
      <c r="P139" s="1082">
        <f>SUM('ketv. 6 '!P139)</f>
        <v>14924.79</v>
      </c>
      <c r="Q139" s="1173">
        <f>IF(AE139&gt;0,'3 pr-2'!R140,0)</f>
        <v>14924.79</v>
      </c>
      <c r="R139" s="1235">
        <v>14924.79</v>
      </c>
      <c r="S139" s="1082">
        <f>SUM('ketv. 6 '!T139)</f>
        <v>14924.79</v>
      </c>
      <c r="T139" s="1173">
        <f>IF(AE139&gt;0,'3 pr-2'!U140,0)</f>
        <v>0</v>
      </c>
      <c r="U139" s="1235">
        <v>0</v>
      </c>
      <c r="V139" s="1082">
        <f>SUM('ketv. 6 '!X139)</f>
        <v>0</v>
      </c>
      <c r="W139" s="1173">
        <f>IF(AE139&gt;0,'3 pr-2'!X140,0)</f>
        <v>0</v>
      </c>
      <c r="X139" s="1235"/>
      <c r="Y139" s="1082">
        <f>SUM('ketv. 6 '!AB139)</f>
        <v>0</v>
      </c>
      <c r="Z139" s="1173">
        <f>IF(AE139&gt;0,'3 pr-2'!AA140,0)</f>
        <v>169147.6</v>
      </c>
      <c r="AA139" s="1235">
        <v>169147.6</v>
      </c>
      <c r="AB139" s="1082">
        <f>SUM('ketv. 6 '!AF139)</f>
        <v>169147.6</v>
      </c>
      <c r="AC139" s="1173">
        <f>IF($AE$9&gt;0,'3 pr-2'!AB140,0)</f>
        <v>0</v>
      </c>
      <c r="AD139" s="1112">
        <f>SUM('3 pr-2'!AG140)</f>
        <v>43189</v>
      </c>
      <c r="AE139" s="1112">
        <v>43159</v>
      </c>
      <c r="AF139" s="375"/>
      <c r="AG139" s="384" t="str">
        <f t="shared" si="114"/>
        <v>–</v>
      </c>
    </row>
    <row r="140" spans="1:33" s="21" customFormat="1" ht="41.25" customHeight="1" thickBot="1">
      <c r="A140" s="296" t="str">
        <f>CONCATENATE('3 pr-2'!A141)</f>
        <v>2.1.2.3</v>
      </c>
      <c r="B140" s="349"/>
      <c r="C140" s="2088" t="str">
        <f>CONCATENATE('3 pr-2'!B141)</f>
        <v>Priemonė:
Priemonių, gerinančių ambulatorinių sveikatos priežiūros paslaugų prieinamumą tuberkulioze sergantiems pacientams, įgyvendinimas</v>
      </c>
      <c r="D140" s="2089"/>
      <c r="E140" s="2089"/>
      <c r="F140" s="2089"/>
      <c r="G140" s="2089"/>
      <c r="H140" s="2089"/>
      <c r="I140" s="2089"/>
      <c r="J140" s="2090"/>
      <c r="K140" s="1077">
        <f>SUM(K141:K145)</f>
        <v>65213.18</v>
      </c>
      <c r="L140" s="1231">
        <f t="shared" ref="L140:AC140" si="115">SUM(L141:L145)</f>
        <v>65213.18</v>
      </c>
      <c r="M140" s="1079">
        <f t="shared" si="115"/>
        <v>65213.18</v>
      </c>
      <c r="N140" s="1077">
        <f t="shared" si="115"/>
        <v>3596.09</v>
      </c>
      <c r="O140" s="1078">
        <f t="shared" si="115"/>
        <v>3596.09</v>
      </c>
      <c r="P140" s="1232">
        <f t="shared" si="115"/>
        <v>3596.09</v>
      </c>
      <c r="Q140" s="1077">
        <f t="shared" si="115"/>
        <v>5556.4400000000005</v>
      </c>
      <c r="R140" s="1078">
        <f t="shared" si="115"/>
        <v>4891.29</v>
      </c>
      <c r="S140" s="1239">
        <f t="shared" si="115"/>
        <v>5556.4400000000005</v>
      </c>
      <c r="T140" s="1077">
        <f t="shared" si="115"/>
        <v>0</v>
      </c>
      <c r="U140" s="1231">
        <f t="shared" si="115"/>
        <v>0</v>
      </c>
      <c r="V140" s="1079">
        <f t="shared" si="115"/>
        <v>0</v>
      </c>
      <c r="W140" s="1077">
        <f t="shared" si="115"/>
        <v>1299.95</v>
      </c>
      <c r="X140" s="1078">
        <f t="shared" si="115"/>
        <v>1295.2</v>
      </c>
      <c r="Y140" s="1079">
        <f t="shared" si="115"/>
        <v>1299.95</v>
      </c>
      <c r="Z140" s="1077">
        <f t="shared" si="115"/>
        <v>54760.7</v>
      </c>
      <c r="AA140" s="1078">
        <f t="shared" si="115"/>
        <v>55430.6</v>
      </c>
      <c r="AB140" s="1079">
        <f t="shared" si="115"/>
        <v>54760.7</v>
      </c>
      <c r="AC140" s="1077">
        <f t="shared" si="115"/>
        <v>0</v>
      </c>
      <c r="AD140" s="1116"/>
      <c r="AE140" s="1117"/>
      <c r="AF140" s="569"/>
      <c r="AG140" s="570"/>
    </row>
    <row r="141" spans="1:33" s="21" customFormat="1" ht="84.75">
      <c r="A141" s="375" t="str">
        <f>CONCATENATE('3 pr-2'!A142)</f>
        <v>2.1.2.3.1</v>
      </c>
      <c r="B141" s="373" t="s">
        <v>1609</v>
      </c>
      <c r="C141" s="164" t="str">
        <f>CONCATENATE('3 pr-2'!B142)</f>
        <v>R01-6615-475000-2231</v>
      </c>
      <c r="D141" s="375" t="str">
        <f>CONCATENATE('3 pr-2'!D142)</f>
        <v>Priemonių, gerinančių ambulatorinių sveikatos priežiūros paslaugų prieinamumą tuberkulioze sergantiems asmenims, Alytaus rajone, įgyvendinimas</v>
      </c>
      <c r="E141" s="375" t="str">
        <f>CONCATENATE('3 pr-2'!E142)</f>
        <v>VšĮ Alytaus rajono savivaldybės pirminės sveikatos priežiūros centras</v>
      </c>
      <c r="F141" s="375" t="str">
        <f>CONCATENATE('3 pr-2'!F142)</f>
        <v>Lietuvos Respublikos Sveikatos apsaugos ministerija</v>
      </c>
      <c r="G141" s="375" t="str">
        <f>CONCATENATE('3 pr-2'!G142)</f>
        <v>Alytaus r. sav.</v>
      </c>
      <c r="H141" s="376" t="str">
        <f>CONCATENATE('3 pr-2'!H142)</f>
        <v>08.4.2-ESFA-R-615</v>
      </c>
      <c r="I141" s="376" t="str">
        <f>CONCATENATE('3 pr-2'!I142)</f>
        <v>R</v>
      </c>
      <c r="J141" s="376" t="str">
        <f>CONCATENATE('3 pr-2'!J142)</f>
        <v>-</v>
      </c>
      <c r="K141" s="1173">
        <f>IF(AE141&gt;0,'3 pr-2'!L142,0)</f>
        <v>10453</v>
      </c>
      <c r="L141" s="1081">
        <f t="shared" ref="L141:L145" si="116">SUM(O141+R141+U141+X141+AA141)</f>
        <v>10453</v>
      </c>
      <c r="M141" s="1082">
        <f t="shared" si="109"/>
        <v>10453</v>
      </c>
      <c r="N141" s="1173">
        <f>IF(AE141&gt;0,'3 pr-2'!O142,0)</f>
        <v>0</v>
      </c>
      <c r="O141" s="1235">
        <v>0</v>
      </c>
      <c r="P141" s="1082">
        <f>SUM('ketv. 6 '!P141)</f>
        <v>0</v>
      </c>
      <c r="Q141" s="1173">
        <f>IF(AE141&gt;0,'3 pr-2'!R142,0)</f>
        <v>1449.64</v>
      </c>
      <c r="R141" s="1235">
        <v>784</v>
      </c>
      <c r="S141" s="1082">
        <f>SUM('ketv. 6 '!T141)</f>
        <v>1449.64</v>
      </c>
      <c r="T141" s="1173">
        <f>IF(AE141&gt;0,'3 pr-2'!U142,0)</f>
        <v>0</v>
      </c>
      <c r="U141" s="1235">
        <v>0</v>
      </c>
      <c r="V141" s="1082">
        <f>SUM('ketv. 6 '!X141)</f>
        <v>0</v>
      </c>
      <c r="W141" s="1173">
        <f>IF(AE141&gt;0,'3 pr-2'!X142,0)</f>
        <v>788.75</v>
      </c>
      <c r="X141" s="1235">
        <v>784</v>
      </c>
      <c r="Y141" s="1082">
        <f>SUM('ketv. 6 '!AB141)</f>
        <v>788.75</v>
      </c>
      <c r="Z141" s="1173">
        <f>IF(AE141&gt;0,'3 pr-2'!AA142,0)</f>
        <v>8214.61</v>
      </c>
      <c r="AA141" s="1235">
        <v>8885</v>
      </c>
      <c r="AB141" s="1082">
        <f>SUM('ketv. 6 '!AF141)</f>
        <v>8214.61</v>
      </c>
      <c r="AC141" s="1173">
        <f>IF($AE$9&gt;0,'3 pr-2'!AB142,0)</f>
        <v>0</v>
      </c>
      <c r="AD141" s="1112">
        <f>SUM('3 pr-2'!AG142)</f>
        <v>43189</v>
      </c>
      <c r="AE141" s="1112">
        <v>43159</v>
      </c>
      <c r="AF141" s="375"/>
      <c r="AG141" s="384" t="str">
        <f t="shared" ref="AG141:AG145" si="117">IF(AD141-AE141&lt;0,(AD141-AE141)/30.41667,"–")</f>
        <v>–</v>
      </c>
    </row>
    <row r="142" spans="1:33" s="21" customFormat="1" ht="60.75">
      <c r="A142" s="375" t="str">
        <f>CONCATENATE('3 pr-2'!A143)</f>
        <v>2.1.2.3.2</v>
      </c>
      <c r="B142" s="373" t="s">
        <v>1623</v>
      </c>
      <c r="C142" s="164" t="str">
        <f>CONCATENATE('3 pr-2'!B143)</f>
        <v>R01-6615-470000-2232</v>
      </c>
      <c r="D142" s="375" t="str">
        <f>CONCATENATE('3 pr-2'!D143)</f>
        <v>Ambulatorinių sveikatos priežiūros paslaugų gerinimas tuberkulioze sergantiems asmenims</v>
      </c>
      <c r="E142" s="375" t="str">
        <f>CONCATENATE('3 pr-2'!E143)</f>
        <v>Alytaus miesto savivaldybės administracija</v>
      </c>
      <c r="F142" s="375" t="str">
        <f>CONCATENATE('3 pr-2'!F143)</f>
        <v>Lietuvos Respublikos Sveikatos apsaugos ministerija</v>
      </c>
      <c r="G142" s="375" t="str">
        <f>CONCATENATE('3 pr-2'!G143)</f>
        <v>Alytaus m. sav.</v>
      </c>
      <c r="H142" s="376" t="str">
        <f>CONCATENATE('3 pr-2'!H143)</f>
        <v>08.4.2-ESFA-R-615</v>
      </c>
      <c r="I142" s="376" t="str">
        <f>CONCATENATE('3 pr-2'!I143)</f>
        <v>R</v>
      </c>
      <c r="J142" s="376" t="str">
        <f>CONCATENATE('3 pr-2'!J143)</f>
        <v>-</v>
      </c>
      <c r="K142" s="1173">
        <f>IF(AE142&gt;0,'3 pr-2'!L143,0)</f>
        <v>17041.18</v>
      </c>
      <c r="L142" s="1081">
        <f t="shared" si="116"/>
        <v>17041.18</v>
      </c>
      <c r="M142" s="1082">
        <f t="shared" si="109"/>
        <v>17041.18</v>
      </c>
      <c r="N142" s="1173">
        <f>IF(AE142&gt;0,'3 pr-2'!O143,0)</f>
        <v>1278.0899999999999</v>
      </c>
      <c r="O142" s="1235">
        <v>1278.0899999999999</v>
      </c>
      <c r="P142" s="1082">
        <f>SUM('ketv. 6 '!P142)</f>
        <v>1278.0899999999999</v>
      </c>
      <c r="Q142" s="1173">
        <f>IF(AE142&gt;0,'3 pr-2'!R143,0)</f>
        <v>1278</v>
      </c>
      <c r="R142" s="1235">
        <v>1278.0899999999999</v>
      </c>
      <c r="S142" s="1082">
        <f>SUM('ketv. 6 '!T142)</f>
        <v>1278</v>
      </c>
      <c r="T142" s="1173">
        <f>IF(AE142&gt;0,'3 pr-2'!U143,0)</f>
        <v>0</v>
      </c>
      <c r="U142" s="1235">
        <v>0</v>
      </c>
      <c r="V142" s="1082">
        <f>SUM('ketv. 6 '!X142)</f>
        <v>0</v>
      </c>
      <c r="W142" s="1173">
        <f>IF(AE142&gt;0,'3 pr-2'!X143,0)</f>
        <v>0</v>
      </c>
      <c r="X142" s="1235">
        <v>0</v>
      </c>
      <c r="Y142" s="1082">
        <f>SUM('ketv. 6 '!AB142)</f>
        <v>0</v>
      </c>
      <c r="Z142" s="1173">
        <f>IF(AE142&gt;0,'3 pr-2'!AA143,0)</f>
        <v>14485.09</v>
      </c>
      <c r="AA142" s="1235">
        <v>14485</v>
      </c>
      <c r="AB142" s="1082">
        <f>SUM('ketv. 6 '!AF142)</f>
        <v>14485.09</v>
      </c>
      <c r="AC142" s="1173">
        <f>IF($AE$9&gt;0,'3 pr-2'!AB143,0)</f>
        <v>0</v>
      </c>
      <c r="AD142" s="1112">
        <f>SUM('3 pr-2'!AG143)</f>
        <v>43189</v>
      </c>
      <c r="AE142" s="1112">
        <v>43159</v>
      </c>
      <c r="AF142" s="375"/>
      <c r="AG142" s="384" t="str">
        <f t="shared" si="117"/>
        <v>–</v>
      </c>
    </row>
    <row r="143" spans="1:33" s="21" customFormat="1" ht="60.75">
      <c r="A143" s="375" t="str">
        <f>CONCATENATE('3 pr-2'!A144)</f>
        <v>2.1.2.3.3</v>
      </c>
      <c r="B143" s="373" t="s">
        <v>1606</v>
      </c>
      <c r="C143" s="164" t="str">
        <f>CONCATENATE('3 pr-2'!B144)</f>
        <v>R01-6615-470000-2233</v>
      </c>
      <c r="D143" s="375" t="str">
        <f>CONCATENATE('3 pr-2'!D144)</f>
        <v>Paslaugų tuberkulioze sergantiems asmenims gerinimas Lazdijų rajono savivaldybėje</v>
      </c>
      <c r="E143" s="375" t="str">
        <f>CONCATENATE('3 pr-2'!E144)</f>
        <v>Lazdijų rajono savivaldybės administracija</v>
      </c>
      <c r="F143" s="375" t="str">
        <f>CONCATENATE('3 pr-2'!F144)</f>
        <v>Lietuvos Respublikos Sveikatos apsaugos ministerija</v>
      </c>
      <c r="G143" s="375" t="str">
        <f>CONCATENATE('3 pr-2'!G144)</f>
        <v>Lazdijų r. sav.</v>
      </c>
      <c r="H143" s="376" t="str">
        <f>CONCATENATE('3 pr-2'!H144)</f>
        <v>08.4.2-ESFA-R-615</v>
      </c>
      <c r="I143" s="376" t="str">
        <f>CONCATENATE('3 pr-2'!I144)</f>
        <v>R</v>
      </c>
      <c r="J143" s="376" t="str">
        <f>CONCATENATE('3 pr-2'!J144)</f>
        <v>-</v>
      </c>
      <c r="K143" s="1173">
        <f>IF(AE143&gt;0,'3 pr-2'!L144,0)</f>
        <v>15224</v>
      </c>
      <c r="L143" s="1081">
        <f t="shared" si="116"/>
        <v>15224</v>
      </c>
      <c r="M143" s="1082">
        <f t="shared" si="109"/>
        <v>15224</v>
      </c>
      <c r="N143" s="1173">
        <f>IF(AE143&gt;0,'3 pr-2'!O144,0)</f>
        <v>1142</v>
      </c>
      <c r="O143" s="1235">
        <v>1142</v>
      </c>
      <c r="P143" s="1082">
        <f>SUM('ketv. 6 '!P143)</f>
        <v>1142</v>
      </c>
      <c r="Q143" s="1173">
        <f>IF(AE143&gt;0,'3 pr-2'!R144,0)</f>
        <v>1141.5999999999999</v>
      </c>
      <c r="R143" s="1235">
        <v>1142</v>
      </c>
      <c r="S143" s="1082">
        <f>SUM('ketv. 6 '!T143)</f>
        <v>1141.5999999999999</v>
      </c>
      <c r="T143" s="1173">
        <f>IF(AE143&gt;0,'3 pr-2'!U144,0)</f>
        <v>0</v>
      </c>
      <c r="U143" s="1235">
        <v>0</v>
      </c>
      <c r="V143" s="1082">
        <f>SUM('ketv. 6 '!X143)</f>
        <v>0</v>
      </c>
      <c r="W143" s="1173">
        <f>IF(AE143&gt;0,'3 pr-2'!X144,0)</f>
        <v>0</v>
      </c>
      <c r="X143" s="1235">
        <v>0</v>
      </c>
      <c r="Y143" s="1082">
        <f>SUM('ketv. 6 '!AB143)</f>
        <v>0</v>
      </c>
      <c r="Z143" s="1173">
        <f>IF(AE143&gt;0,'3 pr-2'!AA144,0)</f>
        <v>12940.4</v>
      </c>
      <c r="AA143" s="1235">
        <v>12940</v>
      </c>
      <c r="AB143" s="1082">
        <f>SUM('ketv. 6 '!AF143)</f>
        <v>12940.4</v>
      </c>
      <c r="AC143" s="1173">
        <f>IF($AE$9&gt;0,'3 pr-2'!AB144,0)</f>
        <v>0</v>
      </c>
      <c r="AD143" s="1112">
        <f>SUM('3 pr-2'!AG144)</f>
        <v>43189</v>
      </c>
      <c r="AE143" s="1112">
        <v>43159</v>
      </c>
      <c r="AF143" s="375"/>
      <c r="AG143" s="384" t="str">
        <f t="shared" si="117"/>
        <v>–</v>
      </c>
    </row>
    <row r="144" spans="1:33" s="21" customFormat="1" ht="60.75">
      <c r="A144" s="375" t="str">
        <f>CONCATENATE('3 pr-2'!A145)</f>
        <v>2.1.2.3.4</v>
      </c>
      <c r="B144" s="373" t="s">
        <v>1607</v>
      </c>
      <c r="C144" s="164" t="str">
        <f>CONCATENATE('3 pr-2'!B145)</f>
        <v>R01-6615-470000-2234</v>
      </c>
      <c r="D144" s="375" t="str">
        <f>CONCATENATE('3 pr-2'!D145)</f>
        <v>Ambulatorinių sveikatos priežiūros paslaugų tuberkulioze sergantiems asmenims prieinamumo gerinimas Druskininkų savivaldybėje</v>
      </c>
      <c r="E144" s="375" t="str">
        <f>CONCATENATE('3 pr-2'!E145)</f>
        <v>Druskininkų pirminės sveikatos priežiūros centras</v>
      </c>
      <c r="F144" s="375" t="str">
        <f>CONCATENATE('3 pr-2'!F145)</f>
        <v>Lietuvos Respublikos Sveikatos apsaugos ministerija</v>
      </c>
      <c r="G144" s="375" t="str">
        <f>CONCATENATE('3 pr-2'!G145)</f>
        <v>Druskininkų sav.</v>
      </c>
      <c r="H144" s="376" t="str">
        <f>CONCATENATE('3 pr-2'!H145)</f>
        <v>08.4.2-ESFA-R-615</v>
      </c>
      <c r="I144" s="376" t="str">
        <f>CONCATENATE('3 pr-2'!I145)</f>
        <v>R</v>
      </c>
      <c r="J144" s="376" t="str">
        <f>CONCATENATE('3 pr-2'!J145)</f>
        <v>-</v>
      </c>
      <c r="K144" s="1173">
        <f>IF(AE144&gt;0,'3 pr-2'!L145,0)</f>
        <v>6816</v>
      </c>
      <c r="L144" s="1081">
        <f t="shared" si="116"/>
        <v>6816</v>
      </c>
      <c r="M144" s="1082">
        <f t="shared" si="109"/>
        <v>6816</v>
      </c>
      <c r="N144" s="1173">
        <f>IF(AE144&gt;0,'3 pr-2'!O145,0)</f>
        <v>0</v>
      </c>
      <c r="O144" s="1235">
        <v>0</v>
      </c>
      <c r="P144" s="1082">
        <f>SUM('ketv. 6 '!P144)</f>
        <v>0</v>
      </c>
      <c r="Q144" s="1173">
        <f>IF(AE144&gt;0,'3 pr-2'!R145,0)</f>
        <v>511.2</v>
      </c>
      <c r="R144" s="1235">
        <v>511.2</v>
      </c>
      <c r="S144" s="1082">
        <f>SUM('ketv. 6 '!T144)</f>
        <v>511.2</v>
      </c>
      <c r="T144" s="1173">
        <f>IF(AE144&gt;0,'3 pr-2'!U145,0)</f>
        <v>0</v>
      </c>
      <c r="U144" s="1235">
        <v>0</v>
      </c>
      <c r="V144" s="1082">
        <f>SUM('ketv. 6 '!X144)</f>
        <v>0</v>
      </c>
      <c r="W144" s="1173">
        <f>IF(AE144&gt;0,'3 pr-2'!X145,0)</f>
        <v>511.2</v>
      </c>
      <c r="X144" s="1235">
        <v>511.2</v>
      </c>
      <c r="Y144" s="1082">
        <f>SUM('ketv. 6 '!AB144)</f>
        <v>511.2</v>
      </c>
      <c r="Z144" s="1173">
        <f>IF(AE144&gt;0,'3 pr-2'!AA145,0)</f>
        <v>5793.6</v>
      </c>
      <c r="AA144" s="1235">
        <v>5793.6</v>
      </c>
      <c r="AB144" s="1082">
        <f>SUM('ketv. 6 '!AF144)</f>
        <v>5793.6</v>
      </c>
      <c r="AC144" s="1173">
        <f>IF($AE$9&gt;0,'3 pr-2'!AB145,0)</f>
        <v>0</v>
      </c>
      <c r="AD144" s="1112">
        <f>SUM('3 pr-2'!AG145)</f>
        <v>43159</v>
      </c>
      <c r="AE144" s="1112">
        <v>43159</v>
      </c>
      <c r="AF144" s="375"/>
      <c r="AG144" s="384" t="str">
        <f t="shared" si="117"/>
        <v>–</v>
      </c>
    </row>
    <row r="145" spans="1:33" s="21" customFormat="1" ht="61.5" thickBot="1">
      <c r="A145" s="375" t="str">
        <f>CONCATENATE('3 pr-2'!A146)</f>
        <v>2.1.2.3.5</v>
      </c>
      <c r="B145" s="373" t="s">
        <v>1608</v>
      </c>
      <c r="C145" s="164" t="str">
        <f>CONCATENATE('3 pr-2'!B146)</f>
        <v>R01-6615-470000-2235</v>
      </c>
      <c r="D145" s="375" t="str">
        <f>CONCATENATE('3 pr-2'!D146)</f>
        <v>Ambulatorinių sveikatos priežiūros paslaugų prieinamumo gerinimas tuberkulioze sergantiems asmenims Varėnos rajono savivaldybėje</v>
      </c>
      <c r="E145" s="375" t="str">
        <f>CONCATENATE('3 pr-2'!E146)</f>
        <v>Varėnos rajono savivaldybės administracija</v>
      </c>
      <c r="F145" s="375" t="str">
        <f>CONCATENATE('3 pr-2'!F146)</f>
        <v>Lietuvos Respublikos Sveikatos apsaugos ministerija</v>
      </c>
      <c r="G145" s="375" t="str">
        <f>CONCATENATE('3 pr-2'!G146)</f>
        <v>Varėnos r. sav.</v>
      </c>
      <c r="H145" s="376" t="str">
        <f>CONCATENATE('3 pr-2'!H146)</f>
        <v>08.4.2-ESFA-R-615</v>
      </c>
      <c r="I145" s="576" t="str">
        <f>CONCATENATE('3 pr-2'!I146)</f>
        <v>R</v>
      </c>
      <c r="J145" s="576" t="str">
        <f>CONCATENATE('3 pr-2'!J146)</f>
        <v>-</v>
      </c>
      <c r="K145" s="1173">
        <f>IF(AE145&gt;0,'3 pr-2'!L146,0)</f>
        <v>15679</v>
      </c>
      <c r="L145" s="1081">
        <f t="shared" si="116"/>
        <v>15679</v>
      </c>
      <c r="M145" s="1082">
        <f t="shared" si="109"/>
        <v>15679</v>
      </c>
      <c r="N145" s="1173">
        <f>IF(AE145&gt;0,'3 pr-2'!O146,0)</f>
        <v>1176</v>
      </c>
      <c r="O145" s="1235">
        <v>1176</v>
      </c>
      <c r="P145" s="1082">
        <f>SUM('ketv. 6 '!P145)</f>
        <v>1176</v>
      </c>
      <c r="Q145" s="1173">
        <f>IF(AE145&gt;0,'3 pr-2'!R146,0)</f>
        <v>1176</v>
      </c>
      <c r="R145" s="1235">
        <v>1176</v>
      </c>
      <c r="S145" s="1082">
        <f>SUM('ketv. 6 '!T145)</f>
        <v>1176</v>
      </c>
      <c r="T145" s="1173">
        <f>IF(AE145&gt;0,'3 pr-2'!U146,0)</f>
        <v>0</v>
      </c>
      <c r="U145" s="1235">
        <v>0</v>
      </c>
      <c r="V145" s="1082">
        <f>SUM('ketv. 6 '!X145)</f>
        <v>0</v>
      </c>
      <c r="W145" s="1173">
        <f>IF(AE145&gt;0,'3 pr-2'!X146,0)</f>
        <v>0</v>
      </c>
      <c r="X145" s="1235">
        <v>0</v>
      </c>
      <c r="Y145" s="1082">
        <f>SUM('ketv. 6 '!AB145)</f>
        <v>0</v>
      </c>
      <c r="Z145" s="1173">
        <f>IF(AE145&gt;0,'3 pr-2'!AA146,0)</f>
        <v>13327</v>
      </c>
      <c r="AA145" s="1235">
        <v>13327</v>
      </c>
      <c r="AB145" s="1082">
        <f>SUM('ketv. 6 '!AF145)</f>
        <v>13327</v>
      </c>
      <c r="AC145" s="1173">
        <f>IF($AE$9&gt;0,'3 pr-2'!AB146,0)</f>
        <v>0</v>
      </c>
      <c r="AD145" s="1112">
        <f>SUM('3 pr-2'!AG146)</f>
        <v>43160</v>
      </c>
      <c r="AE145" s="1112">
        <v>43159</v>
      </c>
      <c r="AF145" s="375"/>
      <c r="AG145" s="384" t="str">
        <f t="shared" si="117"/>
        <v>–</v>
      </c>
    </row>
    <row r="146" spans="1:33" ht="44.25" customHeight="1" thickBot="1">
      <c r="A146" s="238" t="str">
        <f>CONCATENATE('3 pr-2'!A147)</f>
        <v>2.1.3.</v>
      </c>
      <c r="B146" s="363"/>
      <c r="C146" s="2085" t="str">
        <f>CONCATENATE('3 pr-2'!B147)</f>
        <v>Uždavinys:
Socialinio būsto ir socialinių paslaugų prieinamumo pažeidžiamiausioms gyventojų grupėms padidinimas</v>
      </c>
      <c r="D146" s="2086"/>
      <c r="E146" s="2086"/>
      <c r="F146" s="2086"/>
      <c r="G146" s="2086"/>
      <c r="H146" s="2086"/>
      <c r="I146" s="2086"/>
      <c r="J146" s="2087"/>
      <c r="K146" s="1158">
        <f>SUM(K147+K153)</f>
        <v>4201522.92</v>
      </c>
      <c r="L146" s="1233">
        <f t="shared" ref="L146:AB146" si="118">SUM(L147+L153)</f>
        <v>4234440.7299999995</v>
      </c>
      <c r="M146" s="1229">
        <f t="shared" si="118"/>
        <v>4201522.92</v>
      </c>
      <c r="N146" s="1158">
        <f t="shared" si="118"/>
        <v>772840.28</v>
      </c>
      <c r="O146" s="1233">
        <f t="shared" si="118"/>
        <v>805757.73</v>
      </c>
      <c r="P146" s="1229">
        <f t="shared" si="118"/>
        <v>772840.28</v>
      </c>
      <c r="Q146" s="1158">
        <f t="shared" si="118"/>
        <v>21947.85</v>
      </c>
      <c r="R146" s="1233">
        <f t="shared" si="118"/>
        <v>21948</v>
      </c>
      <c r="S146" s="1229">
        <f t="shared" si="118"/>
        <v>21947.849999999995</v>
      </c>
      <c r="T146" s="1158">
        <f t="shared" si="118"/>
        <v>0</v>
      </c>
      <c r="U146" s="1233">
        <f t="shared" si="118"/>
        <v>0</v>
      </c>
      <c r="V146" s="1229">
        <f t="shared" si="118"/>
        <v>0</v>
      </c>
      <c r="W146" s="1158">
        <f t="shared" si="118"/>
        <v>0</v>
      </c>
      <c r="X146" s="1234">
        <f t="shared" si="118"/>
        <v>0</v>
      </c>
      <c r="Y146" s="1190">
        <f t="shared" si="118"/>
        <v>0</v>
      </c>
      <c r="Z146" s="1158">
        <f t="shared" si="118"/>
        <v>3406734.7899999996</v>
      </c>
      <c r="AA146" s="1233">
        <f t="shared" si="118"/>
        <v>3406735</v>
      </c>
      <c r="AB146" s="1229">
        <f t="shared" si="118"/>
        <v>3406734.7899999996</v>
      </c>
      <c r="AC146" s="1158">
        <f t="shared" ref="AC146" si="119">SUM(AC147+AC153)</f>
        <v>0</v>
      </c>
      <c r="AD146" s="1106" t="s">
        <v>679</v>
      </c>
      <c r="AE146" s="1107" t="s">
        <v>679</v>
      </c>
      <c r="AF146" s="364" t="s">
        <v>679</v>
      </c>
      <c r="AG146" s="220"/>
    </row>
    <row r="147" spans="1:33" ht="42.75" customHeight="1" thickBot="1">
      <c r="A147" s="296" t="str">
        <f>CONCATENATE('3 pr-2'!A148)</f>
        <v>2.1.3.1</v>
      </c>
      <c r="B147" s="349"/>
      <c r="C147" s="2088" t="str">
        <f>CONCATENATE('3 pr-2'!B148)</f>
        <v>Priemonė:
Socialinių paslaugų infrastruktūros plėtra</v>
      </c>
      <c r="D147" s="2089"/>
      <c r="E147" s="2089"/>
      <c r="F147" s="2089"/>
      <c r="G147" s="2089"/>
      <c r="H147" s="2089"/>
      <c r="I147" s="2089"/>
      <c r="J147" s="2090"/>
      <c r="K147" s="1077">
        <f>SUM(K148:K152)</f>
        <v>1235321.8</v>
      </c>
      <c r="L147" s="1231">
        <f t="shared" ref="L147:AB147" si="120">SUM(L148:L152)</f>
        <v>1268239.55</v>
      </c>
      <c r="M147" s="1079">
        <f t="shared" si="120"/>
        <v>1235321.7999999998</v>
      </c>
      <c r="N147" s="1077">
        <f t="shared" si="120"/>
        <v>327612.79999999999</v>
      </c>
      <c r="O147" s="1078">
        <f t="shared" si="120"/>
        <v>360530.55</v>
      </c>
      <c r="P147" s="1232">
        <f t="shared" si="120"/>
        <v>327612.80000000005</v>
      </c>
      <c r="Q147" s="1077">
        <f t="shared" si="120"/>
        <v>21947.85</v>
      </c>
      <c r="R147" s="1078">
        <f t="shared" si="120"/>
        <v>21948</v>
      </c>
      <c r="S147" s="1239">
        <f t="shared" si="120"/>
        <v>21947.849999999995</v>
      </c>
      <c r="T147" s="1077">
        <f t="shared" si="120"/>
        <v>0</v>
      </c>
      <c r="U147" s="1231">
        <f t="shared" si="120"/>
        <v>0</v>
      </c>
      <c r="V147" s="1079">
        <f t="shared" si="120"/>
        <v>0</v>
      </c>
      <c r="W147" s="1077">
        <f t="shared" si="120"/>
        <v>0</v>
      </c>
      <c r="X147" s="1078">
        <f t="shared" si="120"/>
        <v>0</v>
      </c>
      <c r="Y147" s="1079">
        <f t="shared" si="120"/>
        <v>0</v>
      </c>
      <c r="Z147" s="1077">
        <f t="shared" si="120"/>
        <v>885761.15</v>
      </c>
      <c r="AA147" s="1078">
        <f t="shared" si="120"/>
        <v>885761</v>
      </c>
      <c r="AB147" s="1079">
        <f t="shared" si="120"/>
        <v>885761.15</v>
      </c>
      <c r="AC147" s="1077">
        <f t="shared" ref="AC147" si="121">SUM(AC148:AC152)</f>
        <v>0</v>
      </c>
      <c r="AD147" s="1108"/>
      <c r="AE147" s="1109"/>
      <c r="AF147" s="357"/>
      <c r="AG147" s="358"/>
    </row>
    <row r="148" spans="1:33" ht="60.75">
      <c r="A148" s="164" t="str">
        <f>CONCATENATE('3 pr-2'!A149)</f>
        <v>2.1.3.1.1</v>
      </c>
      <c r="B148" s="281" t="s">
        <v>719</v>
      </c>
      <c r="C148" s="164" t="str">
        <f>CONCATENATE('3 pr-2'!B149)</f>
        <v>R01-4407-270000-2311</v>
      </c>
      <c r="D148" s="164" t="str">
        <f>CONCATENATE('3 pr-2'!D149)</f>
        <v>Socialinių paslaugų infrastruktūros plėtra Varėnos rajono savivaldybėje</v>
      </c>
      <c r="E148" s="164" t="str">
        <f>CONCATENATE('3 pr-2'!E149)</f>
        <v>Varėnos rajono savivaldybės administracija</v>
      </c>
      <c r="F148" s="164" t="str">
        <f>CONCATENATE('3 pr-2'!F149)</f>
        <v>Lietuvos Respublikos socialinės apsaugos ir darbo ministerija</v>
      </c>
      <c r="G148" s="164" t="str">
        <f>CONCATENATE('3 pr-2'!G149)</f>
        <v>Varėnos r. sav.</v>
      </c>
      <c r="H148" s="164" t="str">
        <f>CONCATENATE('3 pr-2'!H149)</f>
        <v>08.1.1-CPVA-R-407</v>
      </c>
      <c r="I148" s="164" t="str">
        <f>CONCATENATE('3 pr-2'!I149)</f>
        <v>R</v>
      </c>
      <c r="J148" s="164" t="str">
        <f>CONCATENATE('3 pr-2'!J149)</f>
        <v>-</v>
      </c>
      <c r="K148" s="1080">
        <f>IF(AE148&gt;0,'3 pr-2'!L149,0)</f>
        <v>148480</v>
      </c>
      <c r="L148" s="1081">
        <f t="shared" ref="L148:L152" si="122">SUM(O148+R148+U148+X148+AA148)</f>
        <v>148480</v>
      </c>
      <c r="M148" s="1082">
        <f t="shared" ref="M148:M158" si="123">SUM(P148+S148+V148+Y148+AB148)</f>
        <v>148480</v>
      </c>
      <c r="N148" s="1080">
        <f>IF(AE148&gt;0,'3 pr-2'!O149,0)</f>
        <v>22272</v>
      </c>
      <c r="O148" s="1081">
        <v>22272</v>
      </c>
      <c r="P148" s="1082">
        <f>SUM('ketv. 6 '!P148)</f>
        <v>22272</v>
      </c>
      <c r="Q148" s="1080">
        <f>IF(AE148&gt;0,'3 pr-2'!R149,0)</f>
        <v>0</v>
      </c>
      <c r="R148" s="1081">
        <v>0</v>
      </c>
      <c r="S148" s="1082">
        <f>SUM('ketv. 6 '!T148)</f>
        <v>0</v>
      </c>
      <c r="T148" s="1080">
        <f>IF(AE148&gt;0,'3 pr-2'!U149,0)</f>
        <v>0</v>
      </c>
      <c r="U148" s="1081">
        <v>0</v>
      </c>
      <c r="V148" s="1082">
        <f>SUM('ketv. 6 '!X148)</f>
        <v>0</v>
      </c>
      <c r="W148" s="1080">
        <f>IF(AE148&gt;0,'3 pr-2'!X149,0)</f>
        <v>0</v>
      </c>
      <c r="X148" s="1081">
        <v>0</v>
      </c>
      <c r="Y148" s="1082">
        <f>SUM('ketv. 6 '!AB148)</f>
        <v>0</v>
      </c>
      <c r="Z148" s="1080">
        <f>IF(AE148&gt;0,'3 pr-2'!AA149,0)</f>
        <v>126208</v>
      </c>
      <c r="AA148" s="1081">
        <v>126208</v>
      </c>
      <c r="AB148" s="1082">
        <f>SUM('ketv. 6 '!AF148)</f>
        <v>126208</v>
      </c>
      <c r="AC148" s="1080">
        <f>IF($AE$9&gt;0,'3 pr-2'!AB149,0)</f>
        <v>0</v>
      </c>
      <c r="AD148" s="1104">
        <f>SUM('3 pr-2'!AG149)</f>
        <v>42669</v>
      </c>
      <c r="AE148" s="1104">
        <v>42669</v>
      </c>
      <c r="AF148" s="198">
        <f t="shared" ref="AF148" si="124">IF((YEAR(AD148)-YEAR(AE148))=0,0,YEAR(AD148)-YEAR(AE148))</f>
        <v>0</v>
      </c>
      <c r="AG148" s="384" t="str">
        <f t="shared" ref="AG148:AG152" si="125">IF(AD148-AE148&lt;0,(AD148-AE148)/30.41667,"–")</f>
        <v>–</v>
      </c>
    </row>
    <row r="149" spans="1:33" ht="60.75">
      <c r="A149" s="164" t="str">
        <f>CONCATENATE('3 pr-2'!A150)</f>
        <v>2.1.3.1.2</v>
      </c>
      <c r="B149" s="281" t="s">
        <v>722</v>
      </c>
      <c r="C149" s="164" t="str">
        <f>CONCATENATE('3 pr-2'!B150)</f>
        <v>R01-4407-274800-2312</v>
      </c>
      <c r="D149" s="164" t="str">
        <f>CONCATENATE('3 pr-2'!D150)</f>
        <v>Psichosocialinės pagalbos centro įkūrimas</v>
      </c>
      <c r="E149" s="164" t="str">
        <f>CONCATENATE('3 pr-2'!E150)</f>
        <v>Alytaus rajono savivaldybės administracija</v>
      </c>
      <c r="F149" s="164" t="str">
        <f>CONCATENATE('3 pr-2'!F150)</f>
        <v>Lietuvos Respublikos socialinės apsaugos ir darbo ministerija</v>
      </c>
      <c r="G149" s="164" t="str">
        <f>CONCATENATE('3 pr-2'!G150)</f>
        <v>Alytaus r. sav.</v>
      </c>
      <c r="H149" s="164" t="str">
        <f>CONCATENATE('3 pr-2'!H150)</f>
        <v>08.1.1-CPVA-R-407</v>
      </c>
      <c r="I149" s="164" t="str">
        <f>CONCATENATE('3 pr-2'!I150)</f>
        <v>R</v>
      </c>
      <c r="J149" s="164" t="str">
        <f>CONCATENATE('3 pr-2'!J150)</f>
        <v/>
      </c>
      <c r="K149" s="1080">
        <f>IF(AE149&gt;0,'3 pr-2'!L150,0)</f>
        <v>188353</v>
      </c>
      <c r="L149" s="1081">
        <f t="shared" si="122"/>
        <v>188353</v>
      </c>
      <c r="M149" s="1082">
        <f t="shared" si="123"/>
        <v>188353</v>
      </c>
      <c r="N149" s="1080">
        <f>IF(AE149&gt;0,'3 pr-2'!O150,0)</f>
        <v>28253</v>
      </c>
      <c r="O149" s="1081">
        <v>28253</v>
      </c>
      <c r="P149" s="1082">
        <f>SUM('ketv. 6 '!P149)</f>
        <v>28253</v>
      </c>
      <c r="Q149" s="1080">
        <f>IF(AE149&gt;0,'3 pr-2'!R150,0)</f>
        <v>0</v>
      </c>
      <c r="R149" s="1081">
        <v>0</v>
      </c>
      <c r="S149" s="1082">
        <f>SUM('ketv. 6 '!T149)</f>
        <v>0</v>
      </c>
      <c r="T149" s="1080">
        <f>IF(AE149&gt;0,'3 pr-2'!U150,0)</f>
        <v>0</v>
      </c>
      <c r="U149" s="1081">
        <v>0</v>
      </c>
      <c r="V149" s="1082">
        <f>SUM('ketv. 6 '!X149)</f>
        <v>0</v>
      </c>
      <c r="W149" s="1080">
        <f>IF(AE149&gt;0,'3 pr-2'!X150,0)</f>
        <v>0</v>
      </c>
      <c r="X149" s="1081">
        <v>0</v>
      </c>
      <c r="Y149" s="1082">
        <f>SUM('ketv. 6 '!AB149)</f>
        <v>0</v>
      </c>
      <c r="Z149" s="1080">
        <f>IF(AE149&gt;0,'3 pr-2'!AA150,0)</f>
        <v>160100</v>
      </c>
      <c r="AA149" s="1081">
        <v>160100</v>
      </c>
      <c r="AB149" s="1082">
        <f>SUM('ketv. 6 '!AF149)</f>
        <v>160100</v>
      </c>
      <c r="AC149" s="1080">
        <f>IF($AE$9&gt;0,'3 pr-2'!AB150,0)</f>
        <v>0</v>
      </c>
      <c r="AD149" s="1104">
        <f>SUM('3 pr-2'!AG150)</f>
        <v>42669</v>
      </c>
      <c r="AE149" s="1104">
        <v>42669</v>
      </c>
      <c r="AF149" s="198">
        <f t="shared" ref="AF149" si="126">IF((YEAR(AD149)-YEAR(AE149))=0,0,YEAR(AD149)-YEAR(AE149))</f>
        <v>0</v>
      </c>
      <c r="AG149" s="384" t="str">
        <f t="shared" si="125"/>
        <v>–</v>
      </c>
    </row>
    <row r="150" spans="1:33" ht="60.75">
      <c r="A150" s="164" t="str">
        <f>CONCATENATE('3 pr-2'!A151)</f>
        <v>2.1.3.1.3</v>
      </c>
      <c r="B150" s="281" t="s">
        <v>723</v>
      </c>
      <c r="C150" s="164" t="str">
        <f>CONCATENATE('3 pr-2'!B151)</f>
        <v>R01-4407-270000-2313</v>
      </c>
      <c r="D150" s="164" t="str">
        <f>CONCATENATE('3 pr-2'!D151)</f>
        <v>Socialinių paslaugų plėtra Alytaus mieste</v>
      </c>
      <c r="E150" s="164" t="str">
        <f>CONCATENATE('3 pr-2'!E151)</f>
        <v>Alytaus miesto savivaldybės administracija</v>
      </c>
      <c r="F150" s="164" t="str">
        <f>CONCATENATE('3 pr-2'!F151)</f>
        <v>Lietuvos Respublikos socialinės apsaugos ir darbo ministerija</v>
      </c>
      <c r="G150" s="164" t="str">
        <f>CONCATENATE('3 pr-2'!G151)</f>
        <v>Alytaus m. sav.</v>
      </c>
      <c r="H150" s="164" t="str">
        <f>CONCATENATE('3 pr-2'!H151)</f>
        <v>08.1.1-CPVA-R-407</v>
      </c>
      <c r="I150" s="164" t="str">
        <f>CONCATENATE('3 pr-2'!I151)</f>
        <v>R</v>
      </c>
      <c r="J150" s="164" t="str">
        <f>CONCATENATE('3 pr-2'!J151)</f>
        <v>-</v>
      </c>
      <c r="K150" s="1080">
        <f>IF(AE150&gt;0,'3 pr-2'!L151,0)</f>
        <v>600732.80000000005</v>
      </c>
      <c r="L150" s="1081">
        <f t="shared" si="122"/>
        <v>633650.55000000005</v>
      </c>
      <c r="M150" s="1082">
        <f t="shared" si="123"/>
        <v>600732.79999999993</v>
      </c>
      <c r="N150" s="1080">
        <f>IF(AE150&gt;0,'3 pr-2'!O151,0)</f>
        <v>254371.8</v>
      </c>
      <c r="O150" s="1081">
        <v>287289.55</v>
      </c>
      <c r="P150" s="1082">
        <f>SUM('ketv. 6 '!P150)</f>
        <v>254371.80000000002</v>
      </c>
      <c r="Q150" s="1080">
        <f>IF(AE150&gt;0,'3 pr-2'!R151,0)</f>
        <v>0</v>
      </c>
      <c r="R150" s="1081">
        <v>0</v>
      </c>
      <c r="S150" s="1082">
        <f>SUM('ketv. 6 '!T150)</f>
        <v>0</v>
      </c>
      <c r="T150" s="1080">
        <f>IF(AE150&gt;0,'3 pr-2'!U151,0)</f>
        <v>0</v>
      </c>
      <c r="U150" s="1081">
        <v>0</v>
      </c>
      <c r="V150" s="1082">
        <f>SUM('ketv. 6 '!X150)</f>
        <v>0</v>
      </c>
      <c r="W150" s="1080">
        <f>IF(AE150&gt;0,'3 pr-2'!X151,0)</f>
        <v>0</v>
      </c>
      <c r="X150" s="1081">
        <v>0</v>
      </c>
      <c r="Y150" s="1082">
        <f>SUM('ketv. 6 '!AB150)</f>
        <v>0</v>
      </c>
      <c r="Z150" s="1080">
        <f>IF(AE150&gt;0,'3 pr-2'!AA151,0)</f>
        <v>346361</v>
      </c>
      <c r="AA150" s="1081">
        <v>346361</v>
      </c>
      <c r="AB150" s="1082">
        <f>SUM('ketv. 6 '!AF150)</f>
        <v>346360.99999999994</v>
      </c>
      <c r="AC150" s="1080">
        <f>IF($AE$9&gt;0,'3 pr-2'!AB151,0)</f>
        <v>0</v>
      </c>
      <c r="AD150" s="1104">
        <f>SUM('3 pr-2'!AG151)</f>
        <v>42754</v>
      </c>
      <c r="AE150" s="1104">
        <v>42754</v>
      </c>
      <c r="AF150" s="198">
        <f t="shared" ref="AF150" si="127">IF((YEAR(AD150)-YEAR(AE150))=0,0,YEAR(AD150)-YEAR(AE150))</f>
        <v>0</v>
      </c>
      <c r="AG150" s="384" t="str">
        <f t="shared" si="125"/>
        <v>–</v>
      </c>
    </row>
    <row r="151" spans="1:33" ht="60.75">
      <c r="A151" s="164" t="str">
        <f>CONCATENATE('3 pr-2'!A152)</f>
        <v>2.1.3.1.4</v>
      </c>
      <c r="B151" s="281" t="s">
        <v>720</v>
      </c>
      <c r="C151" s="164" t="str">
        <f>CONCATENATE('3 pr-2'!B152)</f>
        <v>R01-4407-270000-2314</v>
      </c>
      <c r="D151" s="164" t="str">
        <f>CONCATENATE('3 pr-2'!D152)</f>
        <v>Socialinių paslaugų infrastruktūros plėtra Druskininkų savivaldybėje</v>
      </c>
      <c r="E151" s="164" t="str">
        <f>CONCATENATE('3 pr-2'!E152)</f>
        <v>Druskininkų savivaldybės administracija</v>
      </c>
      <c r="F151" s="164" t="str">
        <f>CONCATENATE('3 pr-2'!F152)</f>
        <v>Lietuvos Respublikos socialinės apsaugos ir darbo ministerija</v>
      </c>
      <c r="G151" s="164" t="str">
        <f>CONCATENATE('3 pr-2'!G152)</f>
        <v>Druskininkų sav.</v>
      </c>
      <c r="H151" s="164" t="str">
        <f>CONCATENATE('3 pr-2'!H152)</f>
        <v>08.1.1-CPVA-R-407</v>
      </c>
      <c r="I151" s="164" t="str">
        <f>CONCATENATE('3 pr-2'!I152)</f>
        <v>R</v>
      </c>
      <c r="J151" s="164" t="str">
        <f>CONCATENATE('3 pr-2'!J152)</f>
        <v>-</v>
      </c>
      <c r="K151" s="1080">
        <f>IF(AE151&gt;0,'3 pr-2'!L152,0)</f>
        <v>151437</v>
      </c>
      <c r="L151" s="1081">
        <f t="shared" si="122"/>
        <v>151437</v>
      </c>
      <c r="M151" s="1082">
        <f t="shared" si="123"/>
        <v>151437</v>
      </c>
      <c r="N151" s="1080">
        <f>IF(AE151&gt;0,'3 pr-2'!O152,0)</f>
        <v>22716</v>
      </c>
      <c r="O151" s="1081">
        <v>22716</v>
      </c>
      <c r="P151" s="1082">
        <f>SUM('ketv. 6 '!P151)</f>
        <v>22716</v>
      </c>
      <c r="Q151" s="1080">
        <f>IF(AE151&gt;0,'3 pr-2'!R152,0)</f>
        <v>0</v>
      </c>
      <c r="R151" s="1081">
        <v>0</v>
      </c>
      <c r="S151" s="1082">
        <f>SUM('ketv. 6 '!T151)</f>
        <v>0</v>
      </c>
      <c r="T151" s="1080">
        <f>IF(AE151&gt;0,'3 pr-2'!U152,0)</f>
        <v>0</v>
      </c>
      <c r="U151" s="1081">
        <v>0</v>
      </c>
      <c r="V151" s="1082">
        <f>SUM('ketv. 6 '!X151)</f>
        <v>0</v>
      </c>
      <c r="W151" s="1080">
        <f>IF(AE151&gt;0,'3 pr-2'!X152,0)</f>
        <v>0</v>
      </c>
      <c r="X151" s="1081">
        <v>0</v>
      </c>
      <c r="Y151" s="1082">
        <f>SUM('ketv. 6 '!AB151)</f>
        <v>0</v>
      </c>
      <c r="Z151" s="1080">
        <f>IF(AE151&gt;0,'3 pr-2'!AA152,0)</f>
        <v>128721</v>
      </c>
      <c r="AA151" s="1081">
        <v>128721</v>
      </c>
      <c r="AB151" s="1082">
        <f>SUM('ketv. 6 '!AF151)</f>
        <v>128721</v>
      </c>
      <c r="AC151" s="1080">
        <f>IF($AE$9&gt;0,'3 pr-2'!AB152,0)</f>
        <v>0</v>
      </c>
      <c r="AD151" s="1104">
        <f>SUM('3 pr-2'!AG152)</f>
        <v>42669</v>
      </c>
      <c r="AE151" s="1104">
        <v>42669</v>
      </c>
      <c r="AF151" s="198">
        <f t="shared" ref="AF151:AF152" si="128">IF((YEAR(AD151)-YEAR(AE151))=0,0,YEAR(AD151)-YEAR(AE151))</f>
        <v>0</v>
      </c>
      <c r="AG151" s="384" t="str">
        <f t="shared" si="125"/>
        <v>–</v>
      </c>
    </row>
    <row r="152" spans="1:33" ht="61.5" thickBot="1">
      <c r="A152" s="164" t="str">
        <f>CONCATENATE('3 pr-2'!A153)</f>
        <v>2.1.3.1.5</v>
      </c>
      <c r="B152" s="281" t="s">
        <v>721</v>
      </c>
      <c r="C152" s="164" t="str">
        <f>CONCATENATE('3 pr-2'!B153)</f>
        <v>R01-4407-270000-2315</v>
      </c>
      <c r="D152" s="164" t="str">
        <f>CONCATENATE('3 pr-2'!D153)</f>
        <v>Socialinių paslaugų infrastruktūros modernizavimas ir plėtra VšĮ Kapčiamiesčio globos namuose</v>
      </c>
      <c r="E152" s="164" t="str">
        <f>CONCATENATE('3 pr-2'!E153)</f>
        <v>VšĮ Kapčiamiesčio globos namai</v>
      </c>
      <c r="F152" s="164" t="str">
        <f>CONCATENATE('3 pr-2'!F153)</f>
        <v>Lietuvos Respublikos socialinės apsaugos ir darbo ministerija</v>
      </c>
      <c r="G152" s="164" t="str">
        <f>CONCATENATE('3 pr-2'!G153)</f>
        <v>Lazdijų r. sav.</v>
      </c>
      <c r="H152" s="164" t="str">
        <f>CONCATENATE('3 pr-2'!H153)</f>
        <v>08.1.1-CPVA-R-407</v>
      </c>
      <c r="I152" s="164" t="str">
        <f>CONCATENATE('3 pr-2'!I153)</f>
        <v>R</v>
      </c>
      <c r="J152" s="164" t="str">
        <f>CONCATENATE('3 pr-2'!J153)</f>
        <v>-</v>
      </c>
      <c r="K152" s="1080">
        <f>IF(AE152&gt;0,'3 pr-2'!L153,0)</f>
        <v>146319</v>
      </c>
      <c r="L152" s="1081">
        <f t="shared" si="122"/>
        <v>146319</v>
      </c>
      <c r="M152" s="1082">
        <f t="shared" si="123"/>
        <v>146319</v>
      </c>
      <c r="N152" s="1080">
        <f>IF(AE152&gt;0,'3 pr-2'!O153,0)</f>
        <v>0</v>
      </c>
      <c r="O152" s="1081">
        <v>0</v>
      </c>
      <c r="P152" s="1082">
        <f>SUM('ketv. 6 '!P152)</f>
        <v>0</v>
      </c>
      <c r="Q152" s="1080">
        <f>IF(AE152&gt;0,'3 pr-2'!R153,0)</f>
        <v>21947.85</v>
      </c>
      <c r="R152" s="1081">
        <v>21948</v>
      </c>
      <c r="S152" s="1082">
        <f>SUM('ketv. 6 '!T152)</f>
        <v>21947.849999999995</v>
      </c>
      <c r="T152" s="1080">
        <f>IF(AE152&gt;0,'3 pr-2'!U153,0)</f>
        <v>0</v>
      </c>
      <c r="U152" s="1081"/>
      <c r="V152" s="1082">
        <f>SUM('ketv. 6 '!X152)</f>
        <v>0</v>
      </c>
      <c r="W152" s="1080">
        <f>IF(AE152&gt;0,'3 pr-2'!X153,0)</f>
        <v>0</v>
      </c>
      <c r="X152" s="1081"/>
      <c r="Y152" s="1082">
        <f>SUM('ketv. 6 '!AB152)</f>
        <v>0</v>
      </c>
      <c r="Z152" s="1080">
        <f>IF(AE152&gt;0,'3 pr-2'!AA153,0)</f>
        <v>124371.15</v>
      </c>
      <c r="AA152" s="1081">
        <v>124371</v>
      </c>
      <c r="AB152" s="1082">
        <f>SUM('ketv. 6 '!AF152)</f>
        <v>124371.15</v>
      </c>
      <c r="AC152" s="1080">
        <f>IF($AE$9&gt;0,'3 pr-2'!AB153,0)</f>
        <v>0</v>
      </c>
      <c r="AD152" s="1104">
        <f>SUM('3 pr-2'!AG153)</f>
        <v>42669</v>
      </c>
      <c r="AE152" s="1104">
        <v>42669</v>
      </c>
      <c r="AF152" s="198">
        <f t="shared" si="128"/>
        <v>0</v>
      </c>
      <c r="AG152" s="384" t="str">
        <f t="shared" si="125"/>
        <v>–</v>
      </c>
    </row>
    <row r="153" spans="1:33" ht="33.75" customHeight="1" thickBot="1">
      <c r="A153" s="296" t="str">
        <f>CONCATENATE('3 pr-2'!A154)</f>
        <v>2.1.3.2</v>
      </c>
      <c r="B153" s="349"/>
      <c r="C153" s="2088" t="str">
        <f>CONCATENATE('3 pr-2'!B154)</f>
        <v>Priemonė:
Socialinio būsto fondo plėtra</v>
      </c>
      <c r="D153" s="2089"/>
      <c r="E153" s="2089"/>
      <c r="F153" s="2089"/>
      <c r="G153" s="2089"/>
      <c r="H153" s="2089"/>
      <c r="I153" s="2089"/>
      <c r="J153" s="2090"/>
      <c r="K153" s="1077">
        <f>SUM(K154:K158)</f>
        <v>2966201.12</v>
      </c>
      <c r="L153" s="1231">
        <f t="shared" ref="L153:AC153" si="129">SUM(L154:L158)</f>
        <v>2966201.1799999997</v>
      </c>
      <c r="M153" s="1079">
        <f t="shared" si="129"/>
        <v>2966201.12</v>
      </c>
      <c r="N153" s="1077">
        <f t="shared" si="129"/>
        <v>445227.48000000004</v>
      </c>
      <c r="O153" s="1078">
        <f t="shared" si="129"/>
        <v>445227.18</v>
      </c>
      <c r="P153" s="1232">
        <f t="shared" si="129"/>
        <v>445227.48000000004</v>
      </c>
      <c r="Q153" s="1077">
        <f t="shared" si="129"/>
        <v>0</v>
      </c>
      <c r="R153" s="1078">
        <f t="shared" si="129"/>
        <v>0</v>
      </c>
      <c r="S153" s="1239">
        <f t="shared" si="129"/>
        <v>0</v>
      </c>
      <c r="T153" s="1077">
        <f t="shared" si="129"/>
        <v>0</v>
      </c>
      <c r="U153" s="1231">
        <f t="shared" si="129"/>
        <v>0</v>
      </c>
      <c r="V153" s="1079">
        <f t="shared" si="129"/>
        <v>0</v>
      </c>
      <c r="W153" s="1077">
        <f t="shared" si="129"/>
        <v>0</v>
      </c>
      <c r="X153" s="1078">
        <f t="shared" si="129"/>
        <v>0</v>
      </c>
      <c r="Y153" s="1079">
        <f t="shared" si="129"/>
        <v>0</v>
      </c>
      <c r="Z153" s="1077">
        <f t="shared" si="129"/>
        <v>2520973.6399999997</v>
      </c>
      <c r="AA153" s="1078">
        <f t="shared" si="129"/>
        <v>2520974</v>
      </c>
      <c r="AB153" s="1079">
        <f t="shared" si="129"/>
        <v>2520973.6399999997</v>
      </c>
      <c r="AC153" s="1077">
        <f t="shared" si="129"/>
        <v>0</v>
      </c>
      <c r="AD153" s="1108"/>
      <c r="AE153" s="1109"/>
      <c r="AF153" s="357"/>
      <c r="AG153" s="358"/>
    </row>
    <row r="154" spans="1:33" ht="60.75">
      <c r="A154" s="164" t="str">
        <f>CONCATENATE('3 pr-2'!A155)</f>
        <v>2.1.3.2.1</v>
      </c>
      <c r="B154" s="281" t="s">
        <v>724</v>
      </c>
      <c r="C154" s="164" t="str">
        <f>CONCATENATE('3 pr-2'!B155)</f>
        <v>R01-4408-260000-2321</v>
      </c>
      <c r="D154" s="164" t="str">
        <f>CONCATENATE('3 pr-2'!D155)</f>
        <v>Socialinio būsto plėtra Varėnos rajone</v>
      </c>
      <c r="E154" s="164" t="str">
        <f>CONCATENATE('3 pr-2'!E155)</f>
        <v>Varėnos rajono savivaldybės administracija</v>
      </c>
      <c r="F154" s="164" t="str">
        <f>CONCATENATE('3 pr-2'!F155)</f>
        <v>Lietuvos Respublikos socialinės apsaugos ir darbo ministerija</v>
      </c>
      <c r="G154" s="164" t="str">
        <f>CONCATENATE('3 pr-2'!G155)</f>
        <v>Varėnos r. sav.</v>
      </c>
      <c r="H154" s="164" t="str">
        <f>CONCATENATE('3 pr-2'!H155)</f>
        <v>08.1.2-CPVA-R-408</v>
      </c>
      <c r="I154" s="164" t="str">
        <f>CONCATENATE('3 pr-2'!I155)</f>
        <v>R</v>
      </c>
      <c r="J154" s="164" t="str">
        <f>CONCATENATE('3 pr-2'!J155)</f>
        <v>-</v>
      </c>
      <c r="K154" s="1080">
        <f>IF(AE154&gt;0,'3 pr-2'!L155,0)</f>
        <v>736499</v>
      </c>
      <c r="L154" s="1081">
        <f t="shared" ref="L154:L158" si="130">SUM(O154+R154+U154+X154+AA154)</f>
        <v>736499</v>
      </c>
      <c r="M154" s="1082">
        <f t="shared" si="123"/>
        <v>736499</v>
      </c>
      <c r="N154" s="1080">
        <f>IF(AE154&gt;0,'3 pr-2'!O155,0)</f>
        <v>110475</v>
      </c>
      <c r="O154" s="1081">
        <v>110475</v>
      </c>
      <c r="P154" s="1082">
        <f>SUM('ketv. 6 '!P154)</f>
        <v>110475</v>
      </c>
      <c r="Q154" s="1080">
        <f>IF(AE154&gt;0,'3 pr-2'!R155,0)</f>
        <v>0</v>
      </c>
      <c r="R154" s="1081">
        <v>0</v>
      </c>
      <c r="S154" s="1082">
        <f>SUM('ketv. 6 '!T154)</f>
        <v>0</v>
      </c>
      <c r="T154" s="1080">
        <f>IF(AE154&gt;0,'3 pr-2'!U155,0)</f>
        <v>0</v>
      </c>
      <c r="U154" s="1081">
        <v>0</v>
      </c>
      <c r="V154" s="1082">
        <f>SUM('ketv. 6 '!X154)</f>
        <v>0</v>
      </c>
      <c r="W154" s="1080">
        <f>IF(AE154&gt;0,'3 pr-2'!X155,0)</f>
        <v>0</v>
      </c>
      <c r="X154" s="1081">
        <v>0</v>
      </c>
      <c r="Y154" s="1082">
        <f>SUM('ketv. 6 '!AB154)</f>
        <v>0</v>
      </c>
      <c r="Z154" s="1080">
        <f>IF(AE154&gt;0,'3 pr-2'!AA155,0)</f>
        <v>626024</v>
      </c>
      <c r="AA154" s="1081">
        <v>626024</v>
      </c>
      <c r="AB154" s="1082">
        <f>SUM('ketv. 6 '!AF154)</f>
        <v>626024</v>
      </c>
      <c r="AC154" s="1080">
        <f>IF($AE$9&gt;0,'3 pr-2'!AB155,0)</f>
        <v>0</v>
      </c>
      <c r="AD154" s="1104">
        <f>SUM('3 pr-2'!AG155)</f>
        <v>42490</v>
      </c>
      <c r="AE154" s="1104">
        <v>42464</v>
      </c>
      <c r="AF154" s="198">
        <f t="shared" ref="AF154:AF158" si="131">IF((YEAR(AD154)-YEAR(AE154))=0,0,YEAR(AD154)-YEAR(AE154))</f>
        <v>0</v>
      </c>
      <c r="AG154" s="384" t="str">
        <f t="shared" ref="AG154:AG158" si="132">IF(AD154-AE154&lt;0,(AD154-AE154)/30.41667,"–")</f>
        <v>–</v>
      </c>
    </row>
    <row r="155" spans="1:33" ht="60.75">
      <c r="A155" s="164" t="str">
        <f>CONCATENATE('3 pr-2'!A156)</f>
        <v>2.1.3.2.2</v>
      </c>
      <c r="B155" s="281" t="s">
        <v>728</v>
      </c>
      <c r="C155" s="164" t="str">
        <f>CONCATENATE('3 pr-2'!B156)</f>
        <v>R01-4408-250000-2322</v>
      </c>
      <c r="D155" s="164" t="str">
        <f>CONCATENATE('3 pr-2'!D156)</f>
        <v>Būsto prieinamumo pažeidžiamoms gyventojų grupėms didinimas Alytaus rajone</v>
      </c>
      <c r="E155" s="164" t="str">
        <f>CONCATENATE('3 pr-2'!E156)</f>
        <v>Alytaus rajono savivaldybės administracija</v>
      </c>
      <c r="F155" s="164" t="str">
        <f>CONCATENATE('3 pr-2'!F156)</f>
        <v>Lietuvos Respublikos socialinės apsaugos ir darbo ministerija</v>
      </c>
      <c r="G155" s="164" t="str">
        <f>CONCATENATE('3 pr-2'!G156)</f>
        <v>Alytaus r. sav.</v>
      </c>
      <c r="H155" s="164" t="str">
        <f>CONCATENATE('3 pr-2'!H156)</f>
        <v>08.1.2-CPVA-R-408</v>
      </c>
      <c r="I155" s="164" t="str">
        <f>CONCATENATE('3 pr-2'!I156)</f>
        <v>R</v>
      </c>
      <c r="J155" s="164" t="str">
        <f>CONCATENATE('3 pr-2'!J156)</f>
        <v>-</v>
      </c>
      <c r="K155" s="1080">
        <f>IF(AE155&gt;0,'3 pr-2'!L156,0)</f>
        <v>241889</v>
      </c>
      <c r="L155" s="1081">
        <f t="shared" si="130"/>
        <v>241889</v>
      </c>
      <c r="M155" s="1082">
        <f t="shared" si="123"/>
        <v>241889</v>
      </c>
      <c r="N155" s="1080">
        <f>IF(AE155&gt;0,'3 pr-2'!O156,0)</f>
        <v>36283.35</v>
      </c>
      <c r="O155" s="1081">
        <v>36283</v>
      </c>
      <c r="P155" s="1082">
        <f>SUM('ketv. 6 '!P155)</f>
        <v>36283.35</v>
      </c>
      <c r="Q155" s="1080">
        <f>IF(AE155&gt;0,'3 pr-2'!R156,0)</f>
        <v>0</v>
      </c>
      <c r="R155" s="1081">
        <v>0</v>
      </c>
      <c r="S155" s="1082">
        <f>SUM('ketv. 6 '!T155)</f>
        <v>0</v>
      </c>
      <c r="T155" s="1080">
        <f>IF(AE155&gt;0,'3 pr-2'!U156,0)</f>
        <v>0</v>
      </c>
      <c r="U155" s="1081">
        <v>0</v>
      </c>
      <c r="V155" s="1082">
        <f>SUM('ketv. 6 '!X155)</f>
        <v>0</v>
      </c>
      <c r="W155" s="1080">
        <f>IF(AE155&gt;0,'3 pr-2'!X156,0)</f>
        <v>0</v>
      </c>
      <c r="X155" s="1081">
        <v>0</v>
      </c>
      <c r="Y155" s="1082">
        <f>SUM('ketv. 6 '!AB155)</f>
        <v>0</v>
      </c>
      <c r="Z155" s="1080">
        <f>IF(AE155&gt;0,'3 pr-2'!AA156,0)</f>
        <v>205605.65</v>
      </c>
      <c r="AA155" s="1081">
        <v>205606</v>
      </c>
      <c r="AB155" s="1082">
        <f>SUM('ketv. 6 '!AF155)</f>
        <v>205605.65</v>
      </c>
      <c r="AC155" s="1080">
        <f>IF($AE$9&gt;0,'3 pr-2'!AB156,0)</f>
        <v>0</v>
      </c>
      <c r="AD155" s="1104">
        <f>SUM('3 pr-2'!AG156)</f>
        <v>42490</v>
      </c>
      <c r="AE155" s="1104">
        <v>42464</v>
      </c>
      <c r="AF155" s="198">
        <f t="shared" si="131"/>
        <v>0</v>
      </c>
      <c r="AG155" s="384" t="str">
        <f t="shared" si="132"/>
        <v>–</v>
      </c>
    </row>
    <row r="156" spans="1:33" ht="60.75">
      <c r="A156" s="164" t="str">
        <f>CONCATENATE('3 pr-2'!A157)</f>
        <v>2.1.3.1.3</v>
      </c>
      <c r="B156" s="281" t="s">
        <v>725</v>
      </c>
      <c r="C156" s="164" t="str">
        <f>CONCATENATE('3 pr-2'!B157)</f>
        <v>R01-4408-260000-2323</v>
      </c>
      <c r="D156" s="164" t="str">
        <f>CONCATENATE('3 pr-2'!D157)</f>
        <v>Socialinio būsto plėtra Alytaus mieste</v>
      </c>
      <c r="E156" s="164" t="str">
        <f>CONCATENATE('3 pr-2'!E157)</f>
        <v>Alytaus miesto savivaldybės administracija</v>
      </c>
      <c r="F156" s="164" t="str">
        <f>CONCATENATE('3 pr-2'!F157)</f>
        <v>Lietuvos Respublikos socialinės apsaugos ir darbo ministerija</v>
      </c>
      <c r="G156" s="164" t="str">
        <f>CONCATENATE('3 pr-2'!G157)</f>
        <v>Alytaus m. sav.</v>
      </c>
      <c r="H156" s="164" t="str">
        <f>CONCATENATE('3 pr-2'!H157)</f>
        <v>08.1.2-CPVA-R-408</v>
      </c>
      <c r="I156" s="164" t="str">
        <f>CONCATENATE('3 pr-2'!I157)</f>
        <v>R</v>
      </c>
      <c r="J156" s="164" t="str">
        <f>CONCATENATE('3 pr-2'!J157)</f>
        <v>-</v>
      </c>
      <c r="K156" s="1080">
        <f>IF(AE156&gt;0,'3 pr-2'!L157,0)</f>
        <v>891741.17999999993</v>
      </c>
      <c r="L156" s="1081">
        <f t="shared" si="130"/>
        <v>891741.17999999993</v>
      </c>
      <c r="M156" s="1082">
        <f t="shared" si="123"/>
        <v>891741.17999999993</v>
      </c>
      <c r="N156" s="1080">
        <f>IF(AE156&gt;0,'3 pr-2'!O157,0)</f>
        <v>133761.18</v>
      </c>
      <c r="O156" s="1081">
        <v>133761.18</v>
      </c>
      <c r="P156" s="1082">
        <f>SUM('ketv. 6 '!P156)</f>
        <v>133761.18</v>
      </c>
      <c r="Q156" s="1080">
        <f>IF(AE156&gt;0,'3 pr-2'!R157,0)</f>
        <v>0</v>
      </c>
      <c r="R156" s="1081">
        <v>0</v>
      </c>
      <c r="S156" s="1082">
        <f>SUM('ketv. 6 '!T156)</f>
        <v>0</v>
      </c>
      <c r="T156" s="1080">
        <f>IF(AE156&gt;0,'3 pr-2'!U157,0)</f>
        <v>0</v>
      </c>
      <c r="U156" s="1081">
        <v>0</v>
      </c>
      <c r="V156" s="1082">
        <f>SUM('ketv. 6 '!X156)</f>
        <v>0</v>
      </c>
      <c r="W156" s="1080">
        <f>IF(AE156&gt;0,'3 pr-2'!X157,0)</f>
        <v>0</v>
      </c>
      <c r="X156" s="1081">
        <v>0</v>
      </c>
      <c r="Y156" s="1082">
        <f>SUM('ketv. 6 '!AB156)</f>
        <v>0</v>
      </c>
      <c r="Z156" s="1080">
        <f>IF(AE156&gt;0,'3 pr-2'!AA157,0)</f>
        <v>757980</v>
      </c>
      <c r="AA156" s="1081">
        <v>757980</v>
      </c>
      <c r="AB156" s="1082">
        <f>SUM('ketv. 6 '!AF156)</f>
        <v>757980</v>
      </c>
      <c r="AC156" s="1080">
        <f>IF($AE$9&gt;0,'3 pr-2'!AB157,0)</f>
        <v>0</v>
      </c>
      <c r="AD156" s="1104">
        <f>SUM('3 pr-2'!AG157)</f>
        <v>42464</v>
      </c>
      <c r="AE156" s="1104">
        <v>42464</v>
      </c>
      <c r="AF156" s="198">
        <f t="shared" si="131"/>
        <v>0</v>
      </c>
      <c r="AG156" s="384" t="str">
        <f t="shared" si="132"/>
        <v>–</v>
      </c>
    </row>
    <row r="157" spans="1:33" ht="60.75">
      <c r="A157" s="164" t="str">
        <f>CONCATENATE('3 pr-2'!A158)</f>
        <v>2.1.3.2.4</v>
      </c>
      <c r="B157" s="281" t="s">
        <v>726</v>
      </c>
      <c r="C157" s="164" t="str">
        <f>CONCATENATE('3 pr-2'!B158)</f>
        <v>R01-4408-260000-2324</v>
      </c>
      <c r="D157" s="164" t="str">
        <f>CONCATENATE('3 pr-2'!D158)</f>
        <v>Socialinio būsto fondo plėtra Druskininkų savivaldybėje</v>
      </c>
      <c r="E157" s="164" t="str">
        <f>CONCATENATE('3 pr-2'!E158)</f>
        <v>Druskininkų savivaldybės administracija</v>
      </c>
      <c r="F157" s="164" t="str">
        <f>CONCATENATE('3 pr-2'!F158)</f>
        <v>Lietuvos Respublikos socialinės apsaugos ir darbo ministerija</v>
      </c>
      <c r="G157" s="164" t="str">
        <f>CONCATENATE('3 pr-2'!G158)</f>
        <v>Druskininkų sav.</v>
      </c>
      <c r="H157" s="164" t="str">
        <f>CONCATENATE('3 pr-2'!H158)</f>
        <v>08.1.2-CPVA-R-408</v>
      </c>
      <c r="I157" s="164" t="str">
        <f>CONCATENATE('3 pr-2'!I158)</f>
        <v>R</v>
      </c>
      <c r="J157" s="164" t="str">
        <f>CONCATENATE('3 pr-2'!J158)</f>
        <v>-</v>
      </c>
      <c r="K157" s="1080">
        <f>IF(AE157&gt;0,'3 pr-2'!L158,0)</f>
        <v>727472.94</v>
      </c>
      <c r="L157" s="1081">
        <f t="shared" si="130"/>
        <v>727473</v>
      </c>
      <c r="M157" s="1082">
        <f t="shared" si="123"/>
        <v>727472.94</v>
      </c>
      <c r="N157" s="1080">
        <f>IF(AE157&gt;0,'3 pr-2'!O158,0)</f>
        <v>109120.95</v>
      </c>
      <c r="O157" s="1081">
        <v>109121</v>
      </c>
      <c r="P157" s="1082">
        <f>SUM('ketv. 6 '!P157)</f>
        <v>109120.95</v>
      </c>
      <c r="Q157" s="1080">
        <f>IF(AE157&gt;0,'3 pr-2'!R158,0)</f>
        <v>0</v>
      </c>
      <c r="R157" s="1081">
        <v>0</v>
      </c>
      <c r="S157" s="1082">
        <f>SUM('ketv. 6 '!T157)</f>
        <v>0</v>
      </c>
      <c r="T157" s="1080">
        <f>IF(AE157&gt;0,'3 pr-2'!U158,0)</f>
        <v>0</v>
      </c>
      <c r="U157" s="1081">
        <v>0</v>
      </c>
      <c r="V157" s="1082">
        <f>SUM('ketv. 6 '!X157)</f>
        <v>0</v>
      </c>
      <c r="W157" s="1080">
        <f>IF(AE157&gt;0,'3 pr-2'!X158,0)</f>
        <v>0</v>
      </c>
      <c r="X157" s="1081">
        <v>0</v>
      </c>
      <c r="Y157" s="1082">
        <f>SUM('ketv. 6 '!AB157)</f>
        <v>0</v>
      </c>
      <c r="Z157" s="1080">
        <f>IF(AE157&gt;0,'3 pr-2'!AA158,0)</f>
        <v>618351.99</v>
      </c>
      <c r="AA157" s="1081">
        <v>618352</v>
      </c>
      <c r="AB157" s="1082">
        <f>SUM('ketv. 6 '!AF157)</f>
        <v>618351.99</v>
      </c>
      <c r="AC157" s="1080">
        <f>IF($AE$9&gt;0,'3 pr-2'!AB158,0)</f>
        <v>0</v>
      </c>
      <c r="AD157" s="1104">
        <f>SUM('3 pr-2'!AG158)</f>
        <v>42490</v>
      </c>
      <c r="AE157" s="1104">
        <v>42464</v>
      </c>
      <c r="AF157" s="198">
        <f t="shared" si="131"/>
        <v>0</v>
      </c>
      <c r="AG157" s="384" t="str">
        <f t="shared" si="132"/>
        <v>–</v>
      </c>
    </row>
    <row r="158" spans="1:33" ht="61.5" thickBot="1">
      <c r="A158" s="164" t="str">
        <f>CONCATENATE('3 pr-2'!A159)</f>
        <v>2.1.3.2.5</v>
      </c>
      <c r="B158" s="281" t="s">
        <v>727</v>
      </c>
      <c r="C158" s="164" t="str">
        <f>CONCATENATE('3 pr-2'!B159)</f>
        <v>R01-4408-252600-2325</v>
      </c>
      <c r="D158" s="164" t="str">
        <f>CONCATENATE('3 pr-2'!D159)</f>
        <v>Socialinio būsto fondo plėtra Lazdijų rajono savivaldybėje</v>
      </c>
      <c r="E158" s="164" t="str">
        <f>CONCATENATE('3 pr-2'!E159)</f>
        <v>Lazdijų rajono savivaldybės administracija</v>
      </c>
      <c r="F158" s="164" t="str">
        <f>CONCATENATE('3 pr-2'!F159)</f>
        <v>Lietuvos Respublikos socialinės apsaugos ir darbo ministerija</v>
      </c>
      <c r="G158" s="164" t="str">
        <f>CONCATENATE('3 pr-2'!G159)</f>
        <v>Lazdijų r. sav.</v>
      </c>
      <c r="H158" s="164" t="str">
        <f>CONCATENATE('3 pr-2'!H159)</f>
        <v>08.1.2-CPVA-R-408</v>
      </c>
      <c r="I158" s="164" t="str">
        <f>CONCATENATE('3 pr-2'!I159)</f>
        <v>R</v>
      </c>
      <c r="J158" s="164" t="str">
        <f>CONCATENATE('3 pr-2'!J159)</f>
        <v>-</v>
      </c>
      <c r="K158" s="1080">
        <f>IF(AE158&gt;0,'3 pr-2'!L159,0)</f>
        <v>368599</v>
      </c>
      <c r="L158" s="1081">
        <f t="shared" si="130"/>
        <v>368599</v>
      </c>
      <c r="M158" s="1082">
        <f t="shared" si="123"/>
        <v>368599</v>
      </c>
      <c r="N158" s="1080">
        <f>IF(AE158&gt;0,'3 pr-2'!O159,0)</f>
        <v>55587</v>
      </c>
      <c r="O158" s="1081">
        <v>55587</v>
      </c>
      <c r="P158" s="1082">
        <f>SUM('ketv. 6 '!P158)</f>
        <v>55587</v>
      </c>
      <c r="Q158" s="1080">
        <f>IF(AE158&gt;0,'3 pr-2'!R159,0)</f>
        <v>0</v>
      </c>
      <c r="R158" s="1081">
        <v>0</v>
      </c>
      <c r="S158" s="1082">
        <f>SUM('ketv. 6 '!T158)</f>
        <v>0</v>
      </c>
      <c r="T158" s="1080">
        <f>IF(AE158&gt;0,'3 pr-2'!U159,0)</f>
        <v>0</v>
      </c>
      <c r="U158" s="1081">
        <v>0</v>
      </c>
      <c r="V158" s="1082">
        <f>SUM('ketv. 6 '!X158)</f>
        <v>0</v>
      </c>
      <c r="W158" s="1080">
        <f>IF(AE158&gt;0,'3 pr-2'!X159,0)</f>
        <v>0</v>
      </c>
      <c r="X158" s="1081">
        <v>0</v>
      </c>
      <c r="Y158" s="1082">
        <f>SUM('ketv. 6 '!AB158)</f>
        <v>0</v>
      </c>
      <c r="Z158" s="1080">
        <f>IF(AE158&gt;0,'3 pr-2'!AA159,0)</f>
        <v>313012</v>
      </c>
      <c r="AA158" s="1081">
        <v>313012</v>
      </c>
      <c r="AB158" s="1082">
        <f>SUM('ketv. 6 '!AF158)</f>
        <v>313012</v>
      </c>
      <c r="AC158" s="1080">
        <f>IF($AE$9&gt;0,'3 pr-2'!AB159,0)</f>
        <v>0</v>
      </c>
      <c r="AD158" s="1104">
        <f>SUM('3 pr-2'!AG159)</f>
        <v>42490</v>
      </c>
      <c r="AE158" s="1104">
        <v>42464</v>
      </c>
      <c r="AF158" s="198">
        <f t="shared" si="131"/>
        <v>0</v>
      </c>
      <c r="AG158" s="384" t="str">
        <f t="shared" si="132"/>
        <v>–</v>
      </c>
    </row>
    <row r="159" spans="1:33" ht="40.5" customHeight="1" thickBot="1">
      <c r="A159" s="238" t="str">
        <f>CONCATENATE('3 pr-2'!A160)</f>
        <v>2.1.4.</v>
      </c>
      <c r="B159" s="363"/>
      <c r="C159" s="2085" t="str">
        <f>CONCATENATE('3 pr-2'!B160)</f>
        <v>Uždavinys:
Visuomenei teikiamų paslaugų kokybės, didinant jų atitikimo visuomenės poreikiams pagerinimas</v>
      </c>
      <c r="D159" s="2086"/>
      <c r="E159" s="2086"/>
      <c r="F159" s="2086"/>
      <c r="G159" s="2086"/>
      <c r="H159" s="2086"/>
      <c r="I159" s="2086"/>
      <c r="J159" s="2087"/>
      <c r="K159" s="1158">
        <f>SUM(K160)</f>
        <v>906987.73</v>
      </c>
      <c r="L159" s="1233">
        <f t="shared" ref="L159:AC159" si="133">SUM(L160)</f>
        <v>956189.24</v>
      </c>
      <c r="M159" s="1229">
        <f t="shared" si="133"/>
        <v>906987.73</v>
      </c>
      <c r="N159" s="1158">
        <f t="shared" si="133"/>
        <v>136179.88999999998</v>
      </c>
      <c r="O159" s="1233">
        <f t="shared" si="133"/>
        <v>143429.24</v>
      </c>
      <c r="P159" s="1229">
        <f t="shared" si="133"/>
        <v>136179.88999999998</v>
      </c>
      <c r="Q159" s="1158">
        <f t="shared" si="133"/>
        <v>0</v>
      </c>
      <c r="R159" s="1233">
        <f t="shared" si="133"/>
        <v>0</v>
      </c>
      <c r="S159" s="1229">
        <f t="shared" si="133"/>
        <v>0</v>
      </c>
      <c r="T159" s="1158">
        <f t="shared" si="133"/>
        <v>0</v>
      </c>
      <c r="U159" s="1233">
        <f t="shared" si="133"/>
        <v>0</v>
      </c>
      <c r="V159" s="1229">
        <f t="shared" si="133"/>
        <v>0</v>
      </c>
      <c r="W159" s="1158">
        <f t="shared" si="133"/>
        <v>0</v>
      </c>
      <c r="X159" s="1234">
        <f t="shared" si="133"/>
        <v>0</v>
      </c>
      <c r="Y159" s="1190">
        <f t="shared" si="133"/>
        <v>0</v>
      </c>
      <c r="Z159" s="1158">
        <f t="shared" si="133"/>
        <v>770807.84000000008</v>
      </c>
      <c r="AA159" s="1233">
        <f t="shared" si="133"/>
        <v>812760</v>
      </c>
      <c r="AB159" s="1229">
        <f t="shared" si="133"/>
        <v>770807.84000000008</v>
      </c>
      <c r="AC159" s="1158">
        <f t="shared" si="133"/>
        <v>0</v>
      </c>
      <c r="AD159" s="1106" t="s">
        <v>679</v>
      </c>
      <c r="AE159" s="1107" t="s">
        <v>679</v>
      </c>
      <c r="AF159" s="364" t="s">
        <v>679</v>
      </c>
      <c r="AG159" s="220"/>
    </row>
    <row r="160" spans="1:33" ht="38.25" customHeight="1" thickBot="1">
      <c r="A160" s="296" t="str">
        <f>CONCATENATE('3 pr-2'!A161)</f>
        <v>2.1.4.1</v>
      </c>
      <c r="B160" s="349"/>
      <c r="C160" s="2088" t="str">
        <f>CONCATENATE('3 pr-2'!B161)</f>
        <v>Priemonė:
Paslaugų teikimo ir asmenų aptarnavimo kokybės gerinimas savivaldybėse</v>
      </c>
      <c r="D160" s="2089"/>
      <c r="E160" s="2089"/>
      <c r="F160" s="2089"/>
      <c r="G160" s="2089"/>
      <c r="H160" s="2089"/>
      <c r="I160" s="2089"/>
      <c r="J160" s="2090"/>
      <c r="K160" s="1077">
        <f>SUM(K161:K166)</f>
        <v>906987.73</v>
      </c>
      <c r="L160" s="1231">
        <f t="shared" ref="L160:AB160" si="134">SUM(L161:L166)</f>
        <v>956189.24</v>
      </c>
      <c r="M160" s="1079">
        <f t="shared" si="134"/>
        <v>906987.73</v>
      </c>
      <c r="N160" s="1077">
        <f t="shared" si="134"/>
        <v>136179.88999999998</v>
      </c>
      <c r="O160" s="1078">
        <f t="shared" si="134"/>
        <v>143429.24</v>
      </c>
      <c r="P160" s="1232">
        <f t="shared" si="134"/>
        <v>136179.88999999998</v>
      </c>
      <c r="Q160" s="1077">
        <f t="shared" si="134"/>
        <v>0</v>
      </c>
      <c r="R160" s="1078">
        <f t="shared" si="134"/>
        <v>0</v>
      </c>
      <c r="S160" s="1239">
        <f t="shared" si="134"/>
        <v>0</v>
      </c>
      <c r="T160" s="1077">
        <f t="shared" si="134"/>
        <v>0</v>
      </c>
      <c r="U160" s="1231">
        <f t="shared" si="134"/>
        <v>0</v>
      </c>
      <c r="V160" s="1079">
        <f t="shared" si="134"/>
        <v>0</v>
      </c>
      <c r="W160" s="1077">
        <f t="shared" si="134"/>
        <v>0</v>
      </c>
      <c r="X160" s="1078">
        <f t="shared" si="134"/>
        <v>0</v>
      </c>
      <c r="Y160" s="1079">
        <f t="shared" si="134"/>
        <v>0</v>
      </c>
      <c r="Z160" s="1077">
        <f t="shared" si="134"/>
        <v>770807.84000000008</v>
      </c>
      <c r="AA160" s="1078">
        <f t="shared" si="134"/>
        <v>812760</v>
      </c>
      <c r="AB160" s="1079">
        <f t="shared" si="134"/>
        <v>770807.84000000008</v>
      </c>
      <c r="AC160" s="1077">
        <f t="shared" ref="AC160" si="135">SUM(AC161:AC166)</f>
        <v>0</v>
      </c>
      <c r="AD160" s="1108"/>
      <c r="AE160" s="1109"/>
      <c r="AF160" s="357"/>
      <c r="AG160" s="358"/>
    </row>
    <row r="161" spans="1:34" ht="48.75">
      <c r="A161" s="164" t="str">
        <f>CONCATENATE('3 pr-2'!A162)</f>
        <v>2.1.4.1.1</v>
      </c>
      <c r="B161" s="281" t="s">
        <v>1209</v>
      </c>
      <c r="C161" s="164" t="str">
        <f>CONCATENATE('3 pr-2'!B162)</f>
        <v>R01-9920-490000-2411</v>
      </c>
      <c r="D161" s="164" t="str">
        <f>CONCATENATE('3 pr-2'!D162)</f>
        <v>Paslaugų teikimo ir asmenų aptarnavimo kokybės gerinimas Varėnos rajono savivaldybėje</v>
      </c>
      <c r="E161" s="164" t="str">
        <f>CONCATENATE('3 pr-2'!E162)</f>
        <v>Varėnos rajono savivaldybės administracija</v>
      </c>
      <c r="F161" s="164" t="str">
        <f>CONCATENATE('3 pr-2'!F162)</f>
        <v>Lietuvos Respublikos vidaus reikalų ministerija</v>
      </c>
      <c r="G161" s="164" t="str">
        <f>CONCATENATE('3 pr-2'!G162)</f>
        <v>Varėnos r. sav.</v>
      </c>
      <c r="H161" s="164" t="str">
        <f>CONCATENATE('3 pr-2'!H162)</f>
        <v>10.1.3-ESFA-R-920</v>
      </c>
      <c r="I161" s="164" t="str">
        <f>CONCATENATE('3 pr-2'!I162)</f>
        <v>R</v>
      </c>
      <c r="J161" s="164" t="str">
        <f>CONCATENATE('3 pr-2'!J162)</f>
        <v>-</v>
      </c>
      <c r="K161" s="1080">
        <f>IF(AE161&gt;0,'3 pr-2'!L162,0)</f>
        <v>172733.52</v>
      </c>
      <c r="L161" s="1081">
        <f t="shared" ref="L161:L166" si="136">SUM(O161+R161+U161+X161+AA161)</f>
        <v>184788.24</v>
      </c>
      <c r="M161" s="1082">
        <f t="shared" ref="M161:M166" si="137">SUM(P161+S161+V161+Y161+AB161)</f>
        <v>172733.52</v>
      </c>
      <c r="N161" s="1080">
        <f>IF(AE161&gt;0,'3 pr-2'!O162,0)</f>
        <v>25910.03</v>
      </c>
      <c r="O161" s="1081">
        <v>27718.240000000002</v>
      </c>
      <c r="P161" s="1082">
        <f>SUM('ketv. 6 '!P161)</f>
        <v>25910.03</v>
      </c>
      <c r="Q161" s="1080">
        <f>IF(AE161&gt;0,'3 pr-2'!R162,0)</f>
        <v>0</v>
      </c>
      <c r="R161" s="1081">
        <v>0</v>
      </c>
      <c r="S161" s="1082">
        <f>SUM('ketv. 6 '!T161)</f>
        <v>0</v>
      </c>
      <c r="T161" s="1080">
        <f>IF(AE161&gt;0,'3 pr-2'!U162,0)</f>
        <v>0</v>
      </c>
      <c r="U161" s="1081">
        <v>0</v>
      </c>
      <c r="V161" s="1082">
        <f>SUM('ketv. 6 '!X161)</f>
        <v>0</v>
      </c>
      <c r="W161" s="1080">
        <f>IF(AE161&gt;0,'3 pr-2'!X162,0)</f>
        <v>0</v>
      </c>
      <c r="X161" s="1081">
        <v>0</v>
      </c>
      <c r="Y161" s="1082">
        <f>SUM('ketv. 6 '!AB161)</f>
        <v>0</v>
      </c>
      <c r="Z161" s="1080">
        <f>IF(AE161&gt;0,'3 pr-2'!AA162,0)</f>
        <v>146823.49</v>
      </c>
      <c r="AA161" s="1081">
        <v>157070</v>
      </c>
      <c r="AB161" s="1082">
        <f>SUM('ketv. 6 '!AF161)</f>
        <v>146823.49</v>
      </c>
      <c r="AC161" s="1080">
        <f>IF($AE$9&gt;0,'3 pr-2'!AB162,0)</f>
        <v>0</v>
      </c>
      <c r="AD161" s="1104">
        <f>SUM('3 pr-2'!AG162)</f>
        <v>42992</v>
      </c>
      <c r="AE161" s="1104">
        <v>42992</v>
      </c>
      <c r="AF161" s="164"/>
      <c r="AG161" s="384" t="str">
        <f t="shared" ref="AG161:AG166" si="138">IF(AD161-AE161&lt;0,(AD161-AE161)/30.41667,"–")</f>
        <v>–</v>
      </c>
    </row>
    <row r="162" spans="1:34" ht="48.75">
      <c r="A162" s="164" t="str">
        <f>CONCATENATE('3 pr-2'!A163)</f>
        <v>2.1.4.1.2</v>
      </c>
      <c r="B162" s="281" t="s">
        <v>1610</v>
      </c>
      <c r="C162" s="164" t="str">
        <f>CONCATENATE('3 pr-2'!B163)</f>
        <v>R01-9920-490000-2412</v>
      </c>
      <c r="D162" s="164" t="str">
        <f>CONCATENATE('3 pr-2'!D163)</f>
        <v>Paslaugų ir asmenų aptarnavimo kokybės gerinimas Alytaus rajono savivaldybėje</v>
      </c>
      <c r="E162" s="164" t="str">
        <f>CONCATENATE('3 pr-2'!E163)</f>
        <v>Alytaus rajono savivaldybės administracija</v>
      </c>
      <c r="F162" s="164" t="str">
        <f>CONCATENATE('3 pr-2'!F163)</f>
        <v>Lietuvos Respublikos vidaus reikalų ministerija</v>
      </c>
      <c r="G162" s="164" t="str">
        <f>CONCATENATE('3 pr-2'!G163)</f>
        <v>Alytaus r. sav.</v>
      </c>
      <c r="H162" s="164" t="str">
        <f>CONCATENATE('3 pr-2'!H163)</f>
        <v>10.1.3-ESFA-R-920</v>
      </c>
      <c r="I162" s="164" t="str">
        <f>CONCATENATE('3 pr-2'!I163)</f>
        <v>R</v>
      </c>
      <c r="J162" s="164" t="str">
        <f>CONCATENATE('3 pr-2'!J163)</f>
        <v>-</v>
      </c>
      <c r="K162" s="1080">
        <f>IF(AE162&gt;0,'3 pr-2'!L163,0)</f>
        <v>192832.21</v>
      </c>
      <c r="L162" s="1081">
        <f t="shared" si="136"/>
        <v>210999</v>
      </c>
      <c r="M162" s="1082">
        <f t="shared" si="137"/>
        <v>192832.21</v>
      </c>
      <c r="N162" s="1080">
        <f>IF(AE162&gt;0,'3 pr-2'!O163,0)</f>
        <v>28924.84</v>
      </c>
      <c r="O162" s="1081">
        <v>31650</v>
      </c>
      <c r="P162" s="1082">
        <f>SUM('ketv. 6 '!P162)</f>
        <v>28924.84</v>
      </c>
      <c r="Q162" s="1080">
        <f>IF(AE162&gt;0,'3 pr-2'!R163,0)</f>
        <v>0</v>
      </c>
      <c r="R162" s="1081">
        <v>0</v>
      </c>
      <c r="S162" s="1082">
        <f>SUM('ketv. 6 '!T162)</f>
        <v>0</v>
      </c>
      <c r="T162" s="1080">
        <f>IF(AE162&gt;0,'3 pr-2'!U163,0)</f>
        <v>0</v>
      </c>
      <c r="U162" s="1081">
        <v>0</v>
      </c>
      <c r="V162" s="1082">
        <f>SUM('ketv. 6 '!X162)</f>
        <v>0</v>
      </c>
      <c r="W162" s="1080">
        <f>IF(AE162&gt;0,'3 pr-2'!X163,0)</f>
        <v>0</v>
      </c>
      <c r="X162" s="1081">
        <v>0</v>
      </c>
      <c r="Y162" s="1082">
        <f>SUM('ketv. 6 '!AB162)</f>
        <v>0</v>
      </c>
      <c r="Z162" s="1080">
        <f>IF(AE162&gt;0,'3 pr-2'!AA163,0)</f>
        <v>163907.37</v>
      </c>
      <c r="AA162" s="1081">
        <v>179349</v>
      </c>
      <c r="AB162" s="1082">
        <f>SUM('ketv. 6 '!AF162)</f>
        <v>163907.37</v>
      </c>
      <c r="AC162" s="1080">
        <f>IF($AE$9&gt;0,'3 pr-2'!AB163,0)</f>
        <v>0</v>
      </c>
      <c r="AD162" s="1104">
        <f>SUM('3 pr-2'!AG163)</f>
        <v>43100</v>
      </c>
      <c r="AE162" s="1104">
        <v>43080</v>
      </c>
      <c r="AF162" s="164"/>
      <c r="AG162" s="384" t="str">
        <f t="shared" si="138"/>
        <v>–</v>
      </c>
      <c r="AH162" s="4"/>
    </row>
    <row r="163" spans="1:34" ht="48.75">
      <c r="A163" s="164" t="str">
        <f>CONCATENATE('3 pr-2'!A164)</f>
        <v>2.1.4.1.3</v>
      </c>
      <c r="B163" s="281" t="s">
        <v>1210</v>
      </c>
      <c r="C163" s="164" t="str">
        <f>CONCATENATE('3 pr-2'!B164)</f>
        <v>R01-9920-490000-2413</v>
      </c>
      <c r="D163" s="164" t="str">
        <f>CONCATENATE('3 pr-2'!D164)</f>
        <v>Lazdijų rajono savivaldybės administracijos ir jos viešojo valdymo institucijų teikiamų paslaugų procesų tobulinimas</v>
      </c>
      <c r="E163" s="164" t="str">
        <f>CONCATENATE('3 pr-2'!E164)</f>
        <v>Lazdijų rajono savivaldybės administracija</v>
      </c>
      <c r="F163" s="164" t="str">
        <f>CONCATENATE('3 pr-2'!F164)</f>
        <v>Lietuvos Respublikos vidaus reikalų ministerija</v>
      </c>
      <c r="G163" s="164" t="str">
        <f>CONCATENATE('3 pr-2'!G164)</f>
        <v>Lazdijų r. sav.</v>
      </c>
      <c r="H163" s="164" t="str">
        <f>CONCATENATE('3 pr-2'!H164)</f>
        <v>10.1.3-ESFA-R-920</v>
      </c>
      <c r="I163" s="164" t="str">
        <f>CONCATENATE('3 pr-2'!I164)</f>
        <v>R</v>
      </c>
      <c r="J163" s="164" t="str">
        <f>CONCATENATE('3 pr-2'!J164)</f>
        <v>-</v>
      </c>
      <c r="K163" s="1080">
        <f>IF(AE163&gt;0,'3 pr-2'!L164,0)</f>
        <v>163986.88</v>
      </c>
      <c r="L163" s="1081">
        <f t="shared" si="136"/>
        <v>163987</v>
      </c>
      <c r="M163" s="1082">
        <f t="shared" si="137"/>
        <v>163986.88</v>
      </c>
      <c r="N163" s="1080">
        <f>IF(AE163&gt;0,'3 pr-2'!O164,0)</f>
        <v>24598.880000000001</v>
      </c>
      <c r="O163" s="1081">
        <v>24599</v>
      </c>
      <c r="P163" s="1082">
        <f>SUM('ketv. 6 '!P163)</f>
        <v>24598.880000000001</v>
      </c>
      <c r="Q163" s="1080">
        <f>IF(AE163&gt;0,'3 pr-2'!R164,0)</f>
        <v>0</v>
      </c>
      <c r="R163" s="1081">
        <v>0</v>
      </c>
      <c r="S163" s="1082">
        <f>SUM('ketv. 6 '!T163)</f>
        <v>0</v>
      </c>
      <c r="T163" s="1080">
        <f>IF(AE163&gt;0,'3 pr-2'!U164,0)</f>
        <v>0</v>
      </c>
      <c r="U163" s="1081">
        <v>0</v>
      </c>
      <c r="V163" s="1082">
        <f>SUM('ketv. 6 '!X163)</f>
        <v>0</v>
      </c>
      <c r="W163" s="1080">
        <f>IF(AE163&gt;0,'3 pr-2'!X164,0)</f>
        <v>0</v>
      </c>
      <c r="X163" s="1081">
        <v>0</v>
      </c>
      <c r="Y163" s="1082">
        <f>SUM('ketv. 6 '!AB163)</f>
        <v>0</v>
      </c>
      <c r="Z163" s="1080">
        <f>IF(AE163&gt;0,'3 pr-2'!AA164,0)</f>
        <v>139388</v>
      </c>
      <c r="AA163" s="1081">
        <v>139388</v>
      </c>
      <c r="AB163" s="1082">
        <f>SUM('ketv. 6 '!AF163)</f>
        <v>139388</v>
      </c>
      <c r="AC163" s="1080">
        <f>IF($AE$9&gt;0,'3 pr-2'!AB164,0)</f>
        <v>0</v>
      </c>
      <c r="AD163" s="1104">
        <f>SUM('3 pr-2'!AG164)</f>
        <v>43039</v>
      </c>
      <c r="AE163" s="1104">
        <v>43039</v>
      </c>
      <c r="AF163" s="164"/>
      <c r="AG163" s="384" t="str">
        <f t="shared" si="138"/>
        <v>–</v>
      </c>
    </row>
    <row r="164" spans="1:34" ht="48.75">
      <c r="A164" s="164" t="str">
        <f>CONCATENATE('3 pr-2'!A165)</f>
        <v>2.1.4.1.4</v>
      </c>
      <c r="B164" s="281" t="s">
        <v>1612</v>
      </c>
      <c r="C164" s="164" t="str">
        <f>CONCATENATE('3 pr-2'!B165)</f>
        <v>R01-9920-490000-2414</v>
      </c>
      <c r="D164" s="164" t="str">
        <f>CONCATENATE('3 pr-2'!D165)</f>
        <v>Teikiamų paslaugų procesų tobulinimas ir asmenų aptarnavimo kokybės gerinimas Alytaus m. sav. administracijoje ir jai pavaldžiose įstaigose. I etapas</v>
      </c>
      <c r="E164" s="164" t="str">
        <f>CONCATENATE('3 pr-2'!E165)</f>
        <v>Alytaus miesto savivaldybės administracija</v>
      </c>
      <c r="F164" s="164" t="str">
        <f>CONCATENATE('3 pr-2'!F165)</f>
        <v>Lietuvos Respublikos vidaus reikalų ministerija</v>
      </c>
      <c r="G164" s="164" t="str">
        <f>CONCATENATE('3 pr-2'!G165)</f>
        <v>Alytaus m. sav.</v>
      </c>
      <c r="H164" s="164" t="str">
        <f>CONCATENATE('3 pr-2'!H165)</f>
        <v>10.1.3-ESFA-R-920</v>
      </c>
      <c r="I164" s="164" t="str">
        <f>CONCATENATE('3 pr-2'!I165)</f>
        <v>R</v>
      </c>
      <c r="J164" s="164" t="str">
        <f>CONCATENATE('3 pr-2'!J165)</f>
        <v>-</v>
      </c>
      <c r="K164" s="1080">
        <f>IF(AE164&gt;0,'3 pr-2'!L165,0)</f>
        <v>215693.16</v>
      </c>
      <c r="L164" s="1081">
        <f t="shared" si="136"/>
        <v>234827</v>
      </c>
      <c r="M164" s="1082">
        <f t="shared" si="137"/>
        <v>215693.16</v>
      </c>
      <c r="N164" s="1080">
        <f>IF(AE164&gt;0,'3 pr-2'!O165,0)</f>
        <v>32353.98</v>
      </c>
      <c r="O164" s="1081">
        <v>35224</v>
      </c>
      <c r="P164" s="1082">
        <f>SUM('ketv. 6 '!P164)</f>
        <v>32353.98</v>
      </c>
      <c r="Q164" s="1080">
        <f>IF(AE164&gt;0,'3 pr-2'!R165,0)</f>
        <v>0</v>
      </c>
      <c r="R164" s="1081">
        <v>0</v>
      </c>
      <c r="S164" s="1082">
        <f>SUM('ketv. 6 '!T164)</f>
        <v>0</v>
      </c>
      <c r="T164" s="1080">
        <f>IF(AE164&gt;0,'3 pr-2'!U165,0)</f>
        <v>0</v>
      </c>
      <c r="U164" s="1081">
        <v>0</v>
      </c>
      <c r="V164" s="1082">
        <f>SUM('ketv. 6 '!X164)</f>
        <v>0</v>
      </c>
      <c r="W164" s="1080">
        <f>IF(AE164&gt;0,'3 pr-2'!X165,0)</f>
        <v>0</v>
      </c>
      <c r="X164" s="1081">
        <v>0</v>
      </c>
      <c r="Y164" s="1082">
        <f>SUM('ketv. 6 '!AB164)</f>
        <v>0</v>
      </c>
      <c r="Z164" s="1080">
        <f>IF(AE164&gt;0,'3 pr-2'!AA165,0)</f>
        <v>183339.18</v>
      </c>
      <c r="AA164" s="1081">
        <v>199603</v>
      </c>
      <c r="AB164" s="1082">
        <f>SUM('ketv. 6 '!AF164)</f>
        <v>183339.18</v>
      </c>
      <c r="AC164" s="1080">
        <f>IF($AE$9&gt;0,'3 pr-2'!AB165,0)</f>
        <v>0</v>
      </c>
      <c r="AD164" s="1104">
        <f>SUM('3 pr-2'!AG165)</f>
        <v>43100</v>
      </c>
      <c r="AE164" s="1104">
        <v>43080</v>
      </c>
      <c r="AF164" s="164"/>
      <c r="AG164" s="384" t="str">
        <f t="shared" si="138"/>
        <v>–</v>
      </c>
    </row>
    <row r="165" spans="1:34" ht="48.75">
      <c r="A165" s="164" t="str">
        <f>CONCATENATE('3 pr-2'!A166)</f>
        <v>2.1.4.1.5</v>
      </c>
      <c r="B165" s="281" t="s">
        <v>1611</v>
      </c>
      <c r="C165" s="164" t="str">
        <f>CONCATENATE('3 pr-2'!B166)</f>
        <v>R01-9920-490000-2415</v>
      </c>
      <c r="D165" s="164" t="str">
        <f>CONCATENATE('3 pr-2'!D166)</f>
        <v>Paslaugų teikimo ir asmenų aptarnavimo kokybės gerinimas Druskininkų savivaldybėje</v>
      </c>
      <c r="E165" s="164" t="str">
        <f>CONCATENATE('3 pr-2'!E166)</f>
        <v>Druskininkų savivaldybės administracija</v>
      </c>
      <c r="F165" s="164" t="str">
        <f>CONCATENATE('3 pr-2'!F166)</f>
        <v>Lietuvos Respublikos vidaus reikalų ministerija</v>
      </c>
      <c r="G165" s="164" t="str">
        <f>CONCATENATE('3 pr-2'!G166)</f>
        <v>Druskininkų sav.</v>
      </c>
      <c r="H165" s="164" t="str">
        <f>CONCATENATE('3 pr-2'!H166)</f>
        <v>10.1.3-ESFA-R-920</v>
      </c>
      <c r="I165" s="164" t="str">
        <f>CONCATENATE('3 pr-2'!I166)</f>
        <v>R</v>
      </c>
      <c r="J165" s="164" t="str">
        <f>CONCATENATE('3 pr-2'!J166)</f>
        <v>-</v>
      </c>
      <c r="K165" s="1080">
        <f>IF(AE165&gt;0,'3 pr-2'!L166,0)</f>
        <v>161741.96</v>
      </c>
      <c r="L165" s="1081">
        <f t="shared" si="136"/>
        <v>161588</v>
      </c>
      <c r="M165" s="1082">
        <f t="shared" si="137"/>
        <v>161741.96</v>
      </c>
      <c r="N165" s="1080">
        <f>IF(AE165&gt;0,'3 pr-2'!O166,0)</f>
        <v>24392.16</v>
      </c>
      <c r="O165" s="1081">
        <v>24238</v>
      </c>
      <c r="P165" s="1082">
        <f>SUM('ketv. 6 '!P165)</f>
        <v>24392.16</v>
      </c>
      <c r="Q165" s="1080">
        <f>IF(AE165&gt;0,'3 pr-2'!R166,0)</f>
        <v>0</v>
      </c>
      <c r="R165" s="1081">
        <v>0</v>
      </c>
      <c r="S165" s="1082">
        <f>SUM('ketv. 6 '!T165)</f>
        <v>0</v>
      </c>
      <c r="T165" s="1080">
        <f>IF(AE165&gt;0,'3 pr-2'!U166,0)</f>
        <v>0</v>
      </c>
      <c r="U165" s="1081">
        <v>0</v>
      </c>
      <c r="V165" s="1082">
        <f>SUM('ketv. 6 '!X165)</f>
        <v>0</v>
      </c>
      <c r="W165" s="1080">
        <f>IF(AE165&gt;0,'3 pr-2'!X166,0)</f>
        <v>0</v>
      </c>
      <c r="X165" s="1081">
        <v>0</v>
      </c>
      <c r="Y165" s="1082">
        <f>SUM('ketv. 6 '!AB165)</f>
        <v>0</v>
      </c>
      <c r="Z165" s="1080">
        <f>IF(AE165&gt;0,'3 pr-2'!AA166,0)</f>
        <v>137349.79999999999</v>
      </c>
      <c r="AA165" s="1081">
        <v>137350</v>
      </c>
      <c r="AB165" s="1082">
        <f>SUM('ketv. 6 '!AF165)</f>
        <v>137349.79999999999</v>
      </c>
      <c r="AC165" s="1080">
        <f>IF($AE$9&gt;0,'3 pr-2'!AB166,0)</f>
        <v>0</v>
      </c>
      <c r="AD165" s="1104">
        <f>SUM('3 pr-2'!AG166)</f>
        <v>42992</v>
      </c>
      <c r="AE165" s="1104">
        <v>42992</v>
      </c>
      <c r="AF165" s="164"/>
      <c r="AG165" s="384" t="str">
        <f t="shared" si="138"/>
        <v>–</v>
      </c>
    </row>
    <row r="166" spans="1:34" ht="49.5" thickBot="1">
      <c r="A166" s="164" t="str">
        <f>CONCATENATE('3 pr-2'!A167)</f>
        <v>2.1.4.1.6</v>
      </c>
      <c r="B166" s="281"/>
      <c r="C166" s="164" t="str">
        <f>CONCATENATE('3 pr-2'!B167)</f>
        <v>R01-9920-490000-2416</v>
      </c>
      <c r="D166" s="236" t="str">
        <f>CONCATENATE('3 pr-2'!D167)</f>
        <v>Teikiamų paslaugų procesų tobulinimas ir asmenų aptarnavimo kokybės gerinimas Alytaus m. sav. administracijoje ir jai pavaldžiose įstaigose. II etapas</v>
      </c>
      <c r="E166" s="236" t="str">
        <f>CONCATENATE('3 pr-2'!E167)</f>
        <v>Alytaus miesto savivaldybės administracija</v>
      </c>
      <c r="F166" s="236" t="str">
        <f>CONCATENATE('3 pr-2'!F167)</f>
        <v>Lietuvos Respublikos vidaus reikalų ministerija</v>
      </c>
      <c r="G166" s="236" t="str">
        <f>CONCATENATE('3 pr-2'!G167)</f>
        <v>Alytaus m. sav.</v>
      </c>
      <c r="H166" s="236" t="str">
        <f>CONCATENATE('3 pr-2'!H167)</f>
        <v>10.1.3-ESFA-R-920</v>
      </c>
      <c r="I166" s="236" t="str">
        <f>CONCATENATE('3 pr-2'!I167)</f>
        <v>R</v>
      </c>
      <c r="J166" s="236" t="str">
        <f>CONCATENATE('3 pr-2'!J167)</f>
        <v>-</v>
      </c>
      <c r="K166" s="1163">
        <f>IF(AE166&gt;0,'3 pr-2'!L167,0)</f>
        <v>0</v>
      </c>
      <c r="L166" s="1236">
        <f t="shared" si="136"/>
        <v>0</v>
      </c>
      <c r="M166" s="1230">
        <f t="shared" si="137"/>
        <v>0</v>
      </c>
      <c r="N166" s="1163">
        <f>IF(AE166&gt;0,'3 pr-2'!O167,0)</f>
        <v>0</v>
      </c>
      <c r="O166" s="1236"/>
      <c r="P166" s="1230">
        <f>SUM('ketv. 6 '!P166)</f>
        <v>0</v>
      </c>
      <c r="Q166" s="1163">
        <f>IF(AE166&gt;0,'3 pr-2'!R167,0)</f>
        <v>0</v>
      </c>
      <c r="R166" s="1236"/>
      <c r="S166" s="1230">
        <f>SUM('ketv. 6 '!T166)</f>
        <v>0</v>
      </c>
      <c r="T166" s="1163">
        <f>IF(AE166&gt;0,'3 pr-2'!U167,0)</f>
        <v>0</v>
      </c>
      <c r="U166" s="1236"/>
      <c r="V166" s="1230">
        <f>SUM('ketv. 6 '!X166)</f>
        <v>0</v>
      </c>
      <c r="W166" s="1163">
        <f>IF(AE166&gt;0,'3 pr-2'!X167,0)</f>
        <v>0</v>
      </c>
      <c r="X166" s="1236"/>
      <c r="Y166" s="1230">
        <f>SUM('ketv. 6 '!AB166)</f>
        <v>0</v>
      </c>
      <c r="Z166" s="1163">
        <f>IF(AE166&gt;0,'3 pr-2'!AA167,0)</f>
        <v>0</v>
      </c>
      <c r="AA166" s="1236"/>
      <c r="AB166" s="1230">
        <f>SUM('ketv. 6 '!AF166)</f>
        <v>0</v>
      </c>
      <c r="AC166" s="1163">
        <f>IF($AE$9&gt;0,'3 pr-2'!AB167,0)</f>
        <v>0</v>
      </c>
      <c r="AD166" s="1104">
        <f>SUM('3 pr-2'!AG167)</f>
        <v>43465</v>
      </c>
      <c r="AE166" s="1104"/>
      <c r="AF166" s="164"/>
      <c r="AG166" s="384" t="str">
        <f t="shared" si="138"/>
        <v>–</v>
      </c>
    </row>
    <row r="167" spans="1:34" ht="42" customHeight="1" thickBot="1">
      <c r="A167" s="366" t="str">
        <f>CONCATENATE('3 pr-2'!A168)</f>
        <v>3.1.</v>
      </c>
      <c r="B167" s="367"/>
      <c r="C167" s="2092" t="str">
        <f>CONCATENATE('3 pr-2'!B168)</f>
        <v>Tikslas: 
DARNIAI TVARKYTI IR VYSTYTI REGIONO TERITORIJĄ</v>
      </c>
      <c r="D167" s="2086"/>
      <c r="E167" s="2086"/>
      <c r="F167" s="2086"/>
      <c r="G167" s="2086"/>
      <c r="H167" s="2086"/>
      <c r="I167" s="2086"/>
      <c r="J167" s="2087"/>
      <c r="K167" s="1219">
        <f>SUM(K168+K171)</f>
        <v>6549960.737058823</v>
      </c>
      <c r="L167" s="1237">
        <f t="shared" ref="L167:AB167" si="139">SUM(L168+L171)</f>
        <v>6744766.1400000006</v>
      </c>
      <c r="M167" s="1238">
        <f t="shared" si="139"/>
        <v>5374253.1099999994</v>
      </c>
      <c r="N167" s="1219">
        <f t="shared" si="139"/>
        <v>362891.41705882351</v>
      </c>
      <c r="O167" s="1237">
        <f t="shared" si="139"/>
        <v>362891.76</v>
      </c>
      <c r="P167" s="1238">
        <f t="shared" si="139"/>
        <v>186534.93</v>
      </c>
      <c r="Q167" s="1219">
        <f t="shared" si="139"/>
        <v>0</v>
      </c>
      <c r="R167" s="1237">
        <f t="shared" si="139"/>
        <v>0</v>
      </c>
      <c r="S167" s="1238">
        <f t="shared" si="139"/>
        <v>0</v>
      </c>
      <c r="T167" s="1219">
        <f t="shared" si="139"/>
        <v>777879.2799999998</v>
      </c>
      <c r="U167" s="1237">
        <f t="shared" si="139"/>
        <v>972684.23</v>
      </c>
      <c r="V167" s="1238">
        <f t="shared" si="139"/>
        <v>777879.28</v>
      </c>
      <c r="W167" s="1219">
        <f t="shared" si="139"/>
        <v>0</v>
      </c>
      <c r="X167" s="1226">
        <f t="shared" si="139"/>
        <v>0</v>
      </c>
      <c r="Y167" s="1227">
        <f t="shared" si="139"/>
        <v>0</v>
      </c>
      <c r="Z167" s="1219">
        <f t="shared" si="139"/>
        <v>5409190.04</v>
      </c>
      <c r="AA167" s="1237">
        <f t="shared" si="139"/>
        <v>5409190.1500000004</v>
      </c>
      <c r="AB167" s="1238">
        <f t="shared" si="139"/>
        <v>4409838.9000000004</v>
      </c>
      <c r="AC167" s="1219">
        <f t="shared" ref="AC167" si="140">SUM(AC168+AC171)</f>
        <v>0</v>
      </c>
      <c r="AD167" s="1105" t="s">
        <v>679</v>
      </c>
      <c r="AE167" s="1105" t="s">
        <v>679</v>
      </c>
      <c r="AF167" s="140" t="s">
        <v>679</v>
      </c>
      <c r="AG167" s="140"/>
    </row>
    <row r="168" spans="1:34" ht="32.25" customHeight="1" thickBot="1">
      <c r="A168" s="238" t="str">
        <f>CONCATENATE('3 pr-2'!A169)</f>
        <v>3.1.1.</v>
      </c>
      <c r="B168" s="363"/>
      <c r="C168" s="2085" t="str">
        <f>CONCATENATE('3 pr-2'!B169)</f>
        <v>Uždavinys:
Sumažinti sąvartynuose šalinamų komunalinių atliekų kiekį</v>
      </c>
      <c r="D168" s="2086"/>
      <c r="E168" s="2086"/>
      <c r="F168" s="2086"/>
      <c r="G168" s="2086"/>
      <c r="H168" s="2086"/>
      <c r="I168" s="2086"/>
      <c r="J168" s="2087"/>
      <c r="K168" s="1158">
        <f>SUM(K169)</f>
        <v>4130687.05</v>
      </c>
      <c r="L168" s="1233">
        <f t="shared" ref="L168:AC169" si="141">SUM(L169)</f>
        <v>4325492</v>
      </c>
      <c r="M168" s="1229">
        <f t="shared" si="141"/>
        <v>4130687.05</v>
      </c>
      <c r="N168" s="1158">
        <f t="shared" si="141"/>
        <v>0</v>
      </c>
      <c r="O168" s="1233">
        <f t="shared" si="141"/>
        <v>0</v>
      </c>
      <c r="P168" s="1229">
        <f t="shared" si="141"/>
        <v>0</v>
      </c>
      <c r="Q168" s="1158">
        <f t="shared" si="141"/>
        <v>0</v>
      </c>
      <c r="R168" s="1233">
        <f t="shared" si="141"/>
        <v>0</v>
      </c>
      <c r="S168" s="1229">
        <f t="shared" si="141"/>
        <v>0</v>
      </c>
      <c r="T168" s="1158">
        <f t="shared" si="141"/>
        <v>777879.2799999998</v>
      </c>
      <c r="U168" s="1233">
        <f t="shared" si="141"/>
        <v>972684.23</v>
      </c>
      <c r="V168" s="1229">
        <f t="shared" si="141"/>
        <v>777879.28</v>
      </c>
      <c r="W168" s="1158">
        <f t="shared" si="141"/>
        <v>0</v>
      </c>
      <c r="X168" s="1234">
        <f t="shared" si="141"/>
        <v>0</v>
      </c>
      <c r="Y168" s="1190">
        <f t="shared" si="141"/>
        <v>0</v>
      </c>
      <c r="Z168" s="1158">
        <f t="shared" si="141"/>
        <v>3352807.77</v>
      </c>
      <c r="AA168" s="1233">
        <f t="shared" si="141"/>
        <v>3352807.77</v>
      </c>
      <c r="AB168" s="1229">
        <f t="shared" si="141"/>
        <v>3352807.77</v>
      </c>
      <c r="AC168" s="1158">
        <f t="shared" si="141"/>
        <v>0</v>
      </c>
      <c r="AD168" s="1106" t="s">
        <v>679</v>
      </c>
      <c r="AE168" s="1107" t="s">
        <v>679</v>
      </c>
      <c r="AF168" s="364" t="s">
        <v>679</v>
      </c>
      <c r="AG168" s="220"/>
    </row>
    <row r="169" spans="1:34" ht="33.75" customHeight="1" thickBot="1">
      <c r="A169" s="296" t="str">
        <f>CONCATENATE('3 pr-2'!A170)</f>
        <v>3.1.1.1</v>
      </c>
      <c r="B169" s="349"/>
      <c r="C169" s="2088" t="str">
        <f>CONCATENATE('3 pr-2'!B170)</f>
        <v>Priemonė:
Komunalinių atliekų tvarkymo infrastruktūros plėtra</v>
      </c>
      <c r="D169" s="2089"/>
      <c r="E169" s="2089"/>
      <c r="F169" s="2089"/>
      <c r="G169" s="2089"/>
      <c r="H169" s="2089"/>
      <c r="I169" s="2089"/>
      <c r="J169" s="2090"/>
      <c r="K169" s="1077">
        <f>SUM(K170)</f>
        <v>4130687.05</v>
      </c>
      <c r="L169" s="1231">
        <f t="shared" si="141"/>
        <v>4325492</v>
      </c>
      <c r="M169" s="1079">
        <f t="shared" si="141"/>
        <v>4130687.05</v>
      </c>
      <c r="N169" s="1077">
        <f t="shared" si="141"/>
        <v>0</v>
      </c>
      <c r="O169" s="1078">
        <f t="shared" si="141"/>
        <v>0</v>
      </c>
      <c r="P169" s="1232">
        <f t="shared" si="141"/>
        <v>0</v>
      </c>
      <c r="Q169" s="1077">
        <f t="shared" si="141"/>
        <v>0</v>
      </c>
      <c r="R169" s="1078">
        <f t="shared" si="141"/>
        <v>0</v>
      </c>
      <c r="S169" s="1239">
        <f t="shared" si="141"/>
        <v>0</v>
      </c>
      <c r="T169" s="1077">
        <f t="shared" si="141"/>
        <v>777879.2799999998</v>
      </c>
      <c r="U169" s="1231">
        <f t="shared" si="141"/>
        <v>972684.23</v>
      </c>
      <c r="V169" s="1079">
        <f t="shared" si="141"/>
        <v>777879.28</v>
      </c>
      <c r="W169" s="1077">
        <f t="shared" si="141"/>
        <v>0</v>
      </c>
      <c r="X169" s="1078">
        <f t="shared" si="141"/>
        <v>0</v>
      </c>
      <c r="Y169" s="1079">
        <f t="shared" si="141"/>
        <v>0</v>
      </c>
      <c r="Z169" s="1077">
        <f t="shared" si="141"/>
        <v>3352807.77</v>
      </c>
      <c r="AA169" s="1078">
        <f t="shared" si="141"/>
        <v>3352807.77</v>
      </c>
      <c r="AB169" s="1079">
        <f t="shared" si="141"/>
        <v>3352807.77</v>
      </c>
      <c r="AC169" s="1077">
        <f t="shared" si="141"/>
        <v>0</v>
      </c>
      <c r="AD169" s="1108"/>
      <c r="AE169" s="1109"/>
      <c r="AF169" s="357"/>
      <c r="AG169" s="358"/>
    </row>
    <row r="170" spans="1:34" ht="49.5" thickBot="1">
      <c r="A170" s="164" t="str">
        <f>CONCATENATE('3 pr-2'!A171)</f>
        <v>3.1.1.1.1</v>
      </c>
      <c r="B170" s="281" t="s">
        <v>729</v>
      </c>
      <c r="C170" s="164" t="str">
        <f>CONCATENATE('3 pr-2'!B171)</f>
        <v>R01-0008-050000-3111</v>
      </c>
      <c r="D170" s="164" t="str">
        <f>CONCATENATE('3 pr-2'!D171)</f>
        <v>Komunalinių atliekų tvarkymo infrastruktūros plėtra Alytaus regione</v>
      </c>
      <c r="E170" s="164" t="str">
        <f>CONCATENATE('3 pr-2'!E171)</f>
        <v>Alytaus regiono atliekų tvarkymo centras</v>
      </c>
      <c r="F170" s="164" t="str">
        <f>CONCATENATE('3 pr-2'!F171)</f>
        <v>Lietuvos Respublikos aplinkos ministerija</v>
      </c>
      <c r="G170" s="164" t="str">
        <f>CONCATENATE('3 pr-2'!G171)</f>
        <v>Alytaus regionas</v>
      </c>
      <c r="H170" s="164" t="str">
        <f>CONCATENATE('3 pr-2'!H171)</f>
        <v>05.2.1-APVA-R-008</v>
      </c>
      <c r="I170" s="164" t="str">
        <f>CONCATENATE('3 pr-2'!I171)</f>
        <v>R</v>
      </c>
      <c r="J170" s="164" t="str">
        <f>CONCATENATE('3 pr-2'!J171)</f>
        <v>-</v>
      </c>
      <c r="K170" s="1080">
        <f>IF(AE170&gt;0,'3 pr-2'!L171,0)</f>
        <v>4130687.05</v>
      </c>
      <c r="L170" s="1081">
        <f t="shared" ref="L170" si="142">SUM(O170+R170+U170+X170+AA170)</f>
        <v>4325492</v>
      </c>
      <c r="M170" s="1230">
        <f t="shared" ref="M170" si="143">SUM(P170+S170+V170+Y170+AB170)</f>
        <v>4130687.05</v>
      </c>
      <c r="N170" s="1080">
        <f>IF(AE170&gt;0,'3 pr-2'!O171,0)</f>
        <v>0</v>
      </c>
      <c r="O170" s="1081">
        <v>0</v>
      </c>
      <c r="P170" s="1230">
        <f>SUM('ketv. 6 '!P170)</f>
        <v>0</v>
      </c>
      <c r="Q170" s="1080">
        <f>IF(AE170&gt;0,'3 pr-2'!R171,0)</f>
        <v>0</v>
      </c>
      <c r="R170" s="1081">
        <v>0</v>
      </c>
      <c r="S170" s="1230">
        <f>SUM('ketv. 6 '!T170)</f>
        <v>0</v>
      </c>
      <c r="T170" s="1080">
        <f>IF(AE170&gt;0,'3 pr-2'!U171,0)</f>
        <v>777879.2799999998</v>
      </c>
      <c r="U170" s="1081">
        <v>972684.23</v>
      </c>
      <c r="V170" s="1230">
        <f>SUM('ketv. 6 '!X170)</f>
        <v>777879.28</v>
      </c>
      <c r="W170" s="1080">
        <f>IF(AE170&gt;0,'3 pr-2'!X171,0)</f>
        <v>0</v>
      </c>
      <c r="X170" s="1081"/>
      <c r="Y170" s="1230">
        <f>SUM('ketv. 6 '!AB170)</f>
        <v>0</v>
      </c>
      <c r="Z170" s="1080">
        <f>IF(AE170&gt;0,'3 pr-2'!AA171,0)</f>
        <v>3352807.77</v>
      </c>
      <c r="AA170" s="1081">
        <v>3352807.77</v>
      </c>
      <c r="AB170" s="1230">
        <f>SUM('ketv. 6 '!AF170)</f>
        <v>3352807.77</v>
      </c>
      <c r="AC170" s="1080">
        <f>IF($AE$9&gt;0,'3 pr-2'!AB171,0)</f>
        <v>0</v>
      </c>
      <c r="AD170" s="1104">
        <f>SUM('3 pr-2'!AG171)</f>
        <v>42754</v>
      </c>
      <c r="AE170" s="1104">
        <v>42754</v>
      </c>
      <c r="AF170" s="198">
        <f t="shared" ref="AF170" si="144">IF((YEAR(AD170)-YEAR(AE170))=0,0,YEAR(AD170)-YEAR(AE170))</f>
        <v>0</v>
      </c>
      <c r="AG170" s="384" t="str">
        <f t="shared" ref="AG170" si="145">IF(AD170-AE170&lt;0,(AD170-AE170)/30.41667,"–")</f>
        <v>–</v>
      </c>
    </row>
    <row r="171" spans="1:34" ht="39.75" customHeight="1" thickBot="1">
      <c r="A171" s="238" t="str">
        <f>CONCATENATE('3 pr-2'!A172)</f>
        <v>3.1.2.</v>
      </c>
      <c r="B171" s="363"/>
      <c r="C171" s="2085" t="str">
        <f>CONCATENATE('3 pr-2'!B172)</f>
        <v>Uždavinys:
Kraštovaizdžio apsauga, planavimas ir tvarkymas</v>
      </c>
      <c r="D171" s="2086"/>
      <c r="E171" s="2086"/>
      <c r="F171" s="2086"/>
      <c r="G171" s="2086"/>
      <c r="H171" s="2086"/>
      <c r="I171" s="2086"/>
      <c r="J171" s="2087"/>
      <c r="K171" s="1158">
        <f>SUM(K172)</f>
        <v>2419273.6870588232</v>
      </c>
      <c r="L171" s="1233">
        <f t="shared" ref="L171:AC171" si="146">SUM(L172)</f>
        <v>2419274.14</v>
      </c>
      <c r="M171" s="1229">
        <f t="shared" si="146"/>
        <v>1243566.06</v>
      </c>
      <c r="N171" s="1158">
        <f t="shared" si="146"/>
        <v>362891.41705882351</v>
      </c>
      <c r="O171" s="1233">
        <f t="shared" si="146"/>
        <v>362891.76</v>
      </c>
      <c r="P171" s="1229">
        <f t="shared" si="146"/>
        <v>186534.93</v>
      </c>
      <c r="Q171" s="1158">
        <f t="shared" si="146"/>
        <v>0</v>
      </c>
      <c r="R171" s="1233">
        <f t="shared" si="146"/>
        <v>0</v>
      </c>
      <c r="S171" s="1229">
        <f t="shared" si="146"/>
        <v>0</v>
      </c>
      <c r="T171" s="1158">
        <f t="shared" si="146"/>
        <v>0</v>
      </c>
      <c r="U171" s="1233">
        <f t="shared" si="146"/>
        <v>0</v>
      </c>
      <c r="V171" s="1229">
        <f t="shared" si="146"/>
        <v>0</v>
      </c>
      <c r="W171" s="1158">
        <f t="shared" si="146"/>
        <v>0</v>
      </c>
      <c r="X171" s="1234">
        <f t="shared" si="146"/>
        <v>0</v>
      </c>
      <c r="Y171" s="1190">
        <f t="shared" si="146"/>
        <v>0</v>
      </c>
      <c r="Z171" s="1158">
        <f t="shared" si="146"/>
        <v>2056382.27</v>
      </c>
      <c r="AA171" s="1233">
        <f t="shared" si="146"/>
        <v>2056382.3800000001</v>
      </c>
      <c r="AB171" s="1229">
        <f t="shared" si="146"/>
        <v>1057031.1300000001</v>
      </c>
      <c r="AC171" s="1158">
        <f t="shared" si="146"/>
        <v>0</v>
      </c>
      <c r="AD171" s="1106" t="s">
        <v>679</v>
      </c>
      <c r="AE171" s="1107" t="s">
        <v>679</v>
      </c>
      <c r="AF171" s="364" t="s">
        <v>679</v>
      </c>
      <c r="AG171" s="220"/>
    </row>
    <row r="172" spans="1:34" ht="33.75" customHeight="1" thickBot="1">
      <c r="A172" s="296" t="str">
        <f>CONCATENATE('3 pr-2'!A173)</f>
        <v>3.1.2.1</v>
      </c>
      <c r="B172" s="349"/>
      <c r="C172" s="2088" t="str">
        <f>CONCATENATE('3 pr-2'!B173)</f>
        <v>Priemonė:
Kraštovaizdžio apsauga/plėtra</v>
      </c>
      <c r="D172" s="2089"/>
      <c r="E172" s="2089"/>
      <c r="F172" s="2089"/>
      <c r="G172" s="2089"/>
      <c r="H172" s="2089"/>
      <c r="I172" s="2089"/>
      <c r="J172" s="2090"/>
      <c r="K172" s="1077">
        <f>SUM(K173:K180)</f>
        <v>2419273.6870588232</v>
      </c>
      <c r="L172" s="1231">
        <f t="shared" ref="L172:AB172" si="147">SUM(L173:L180)</f>
        <v>2419274.14</v>
      </c>
      <c r="M172" s="1079">
        <f t="shared" si="147"/>
        <v>1243566.06</v>
      </c>
      <c r="N172" s="1077">
        <f t="shared" si="147"/>
        <v>362891.41705882351</v>
      </c>
      <c r="O172" s="1078">
        <f t="shared" si="147"/>
        <v>362891.76</v>
      </c>
      <c r="P172" s="1232">
        <f t="shared" si="147"/>
        <v>186534.93</v>
      </c>
      <c r="Q172" s="1077">
        <f t="shared" si="147"/>
        <v>0</v>
      </c>
      <c r="R172" s="1078">
        <f t="shared" si="147"/>
        <v>0</v>
      </c>
      <c r="S172" s="1239">
        <f t="shared" si="147"/>
        <v>0</v>
      </c>
      <c r="T172" s="1077">
        <f t="shared" si="147"/>
        <v>0</v>
      </c>
      <c r="U172" s="1231">
        <f t="shared" si="147"/>
        <v>0</v>
      </c>
      <c r="V172" s="1079">
        <f t="shared" si="147"/>
        <v>0</v>
      </c>
      <c r="W172" s="1077">
        <f t="shared" si="147"/>
        <v>0</v>
      </c>
      <c r="X172" s="1078">
        <f t="shared" si="147"/>
        <v>0</v>
      </c>
      <c r="Y172" s="1079">
        <f t="shared" si="147"/>
        <v>0</v>
      </c>
      <c r="Z172" s="1077">
        <f t="shared" si="147"/>
        <v>2056382.27</v>
      </c>
      <c r="AA172" s="1078">
        <f t="shared" si="147"/>
        <v>2056382.3800000001</v>
      </c>
      <c r="AB172" s="1079">
        <f t="shared" si="147"/>
        <v>1057031.1300000001</v>
      </c>
      <c r="AC172" s="1077">
        <f t="shared" ref="AC172" si="148">SUM(AC173:AC180)</f>
        <v>0</v>
      </c>
      <c r="AD172" s="1108"/>
      <c r="AE172" s="1109"/>
      <c r="AF172" s="357"/>
      <c r="AG172" s="358"/>
    </row>
    <row r="173" spans="1:34" ht="48.75">
      <c r="A173" s="164" t="str">
        <f>CONCATENATE('3 pr-2'!A174)</f>
        <v>3.1.2.1.1</v>
      </c>
      <c r="B173" s="281" t="s">
        <v>731</v>
      </c>
      <c r="C173" s="164" t="str">
        <f>CONCATENATE('3 pr-2'!B174)</f>
        <v>R01-0019-380000-3211</v>
      </c>
      <c r="D173" s="164" t="str">
        <f>CONCATENATE('3 pr-2'!D174)</f>
        <v>Kraštovaizdžio formavimas ir tvarkymas Varėnos r. savivaldybėje (I etapas)</v>
      </c>
      <c r="E173" s="164" t="str">
        <f>CONCATENATE('3 pr-2'!E174)</f>
        <v>Varėnos rajono savivaldybės administracija</v>
      </c>
      <c r="F173" s="164" t="str">
        <f>CONCATENATE('3 pr-2'!F174)</f>
        <v>Lietuvos Respublikos aplinkos ministerija</v>
      </c>
      <c r="G173" s="164" t="str">
        <f>CONCATENATE('3 pr-2'!G174)</f>
        <v>Varėnos r. sav.</v>
      </c>
      <c r="H173" s="164" t="str">
        <f>CONCATENATE('3 pr-2'!H174)</f>
        <v>05.5.1-APVA-R-019</v>
      </c>
      <c r="I173" s="164" t="str">
        <f>CONCATENATE('3 pr-2'!I174)</f>
        <v>R</v>
      </c>
      <c r="J173" s="164" t="str">
        <f>CONCATENATE('3 pr-2'!J174)</f>
        <v>-</v>
      </c>
      <c r="K173" s="1080">
        <f>IF(AE173&gt;0,'3 pr-2'!L174,0)</f>
        <v>309522</v>
      </c>
      <c r="L173" s="1081">
        <f t="shared" ref="L173:L181" si="149">SUM(O173+R173+U173+X173+AA173)</f>
        <v>309522</v>
      </c>
      <c r="M173" s="1230">
        <f t="shared" ref="M173:M181" si="150">SUM(P173+S173+V173+Y173+AB173)</f>
        <v>296679.24</v>
      </c>
      <c r="N173" s="1080">
        <f>IF(AE173&gt;0,'3 pr-2'!O174,0)</f>
        <v>46428.3</v>
      </c>
      <c r="O173" s="1081">
        <v>46428</v>
      </c>
      <c r="P173" s="1230">
        <f>SUM('ketv. 6 '!P173)</f>
        <v>44501.89</v>
      </c>
      <c r="Q173" s="1080">
        <f>IF(AE173&gt;0,'3 pr-2'!R174,0)</f>
        <v>0</v>
      </c>
      <c r="R173" s="1081">
        <v>0</v>
      </c>
      <c r="S173" s="1230">
        <f>SUM('ketv. 6 '!T173)</f>
        <v>0</v>
      </c>
      <c r="T173" s="1080">
        <f>IF(AE173&gt;0,'3 pr-2'!U174,0)</f>
        <v>0</v>
      </c>
      <c r="U173" s="1081">
        <v>0</v>
      </c>
      <c r="V173" s="1230">
        <f>SUM('ketv. 6 '!X173)</f>
        <v>0</v>
      </c>
      <c r="W173" s="1080">
        <f>IF(AE173&gt;0,'3 pr-2'!X174,0)</f>
        <v>0</v>
      </c>
      <c r="X173" s="1081">
        <v>0</v>
      </c>
      <c r="Y173" s="1230">
        <f>SUM('ketv. 6 '!AB173)</f>
        <v>0</v>
      </c>
      <c r="Z173" s="1080">
        <f>IF(AE173&gt;0,'3 pr-2'!AA174,0)</f>
        <v>263093.7</v>
      </c>
      <c r="AA173" s="1081">
        <v>263094</v>
      </c>
      <c r="AB173" s="1230">
        <f>SUM('ketv. 6 '!AF173)</f>
        <v>252177.35</v>
      </c>
      <c r="AC173" s="1080">
        <f>IF($AE$9&gt;0,'3 pr-2'!AB174,0)</f>
        <v>0</v>
      </c>
      <c r="AD173" s="1104">
        <f>SUM('3 pr-2'!AG174)</f>
        <v>42632</v>
      </c>
      <c r="AE173" s="1104">
        <v>42632</v>
      </c>
      <c r="AF173" s="198">
        <f t="shared" ref="AF173" si="151">IF((YEAR(AD173)-YEAR(AE173))=0,0,YEAR(AD173)-YEAR(AE173))</f>
        <v>0</v>
      </c>
      <c r="AG173" s="384" t="str">
        <f t="shared" ref="AG173:AG180" si="152">IF(AD173-AE173&lt;0,(AD173-AE173)/30.41667,"–")</f>
        <v>–</v>
      </c>
    </row>
    <row r="174" spans="1:34" ht="48.75">
      <c r="A174" s="164" t="str">
        <f>CONCATENATE('3 pr-2'!A175)</f>
        <v>3.1.2.1.2</v>
      </c>
      <c r="B174" s="281" t="s">
        <v>4194</v>
      </c>
      <c r="C174" s="164" t="str">
        <f>CONCATENATE('3 pr-2'!B175)</f>
        <v>R01-0019-380000-3212</v>
      </c>
      <c r="D174" s="164" t="str">
        <f>CONCATENATE('3 pr-2'!D175)</f>
        <v>Kraštovaizdžio formavimas ir tvarkymas Varėnos r. savivaldybėje (II etapas)</v>
      </c>
      <c r="E174" s="164" t="str">
        <f>CONCATENATE('3 pr-2'!E175)</f>
        <v>Varėnos rajono savivaldybės administracija</v>
      </c>
      <c r="F174" s="164" t="str">
        <f>CONCATENATE('3 pr-2'!F175)</f>
        <v>Lietuvos Respublikos aplinkos ministerija</v>
      </c>
      <c r="G174" s="164" t="str">
        <f>CONCATENATE('3 pr-2'!G175)</f>
        <v>Varėnos r. sav.</v>
      </c>
      <c r="H174" s="164" t="str">
        <f>CONCATENATE('3 pr-2'!H175)</f>
        <v>05.5.1-APVA-R-019</v>
      </c>
      <c r="I174" s="164" t="str">
        <f>CONCATENATE('3 pr-2'!I175)</f>
        <v>R</v>
      </c>
      <c r="J174" s="164" t="str">
        <f>CONCATENATE('3 pr-2'!J175)</f>
        <v>-</v>
      </c>
      <c r="K174" s="1080">
        <f>IF(AE174&gt;0,'3 pr-2'!L175,0)</f>
        <v>554211</v>
      </c>
      <c r="L174" s="1081">
        <f t="shared" si="149"/>
        <v>554211</v>
      </c>
      <c r="M174" s="1230">
        <f t="shared" si="150"/>
        <v>0</v>
      </c>
      <c r="N174" s="1080">
        <f>IF(AE174&gt;0,'3 pr-2'!O175,0)</f>
        <v>83132</v>
      </c>
      <c r="O174" s="1081">
        <v>83132</v>
      </c>
      <c r="P174" s="1230">
        <f>SUM('ketv. 6 '!P174)</f>
        <v>0</v>
      </c>
      <c r="Q174" s="1080">
        <f>IF(AE174&gt;0,'3 pr-2'!R175,0)</f>
        <v>0</v>
      </c>
      <c r="R174" s="1081">
        <v>0</v>
      </c>
      <c r="S174" s="1230">
        <f>SUM('ketv. 6 '!T174)</f>
        <v>0</v>
      </c>
      <c r="T174" s="1080">
        <f>IF(AE174&gt;0,'3 pr-2'!U175,0)</f>
        <v>0</v>
      </c>
      <c r="U174" s="1081">
        <v>0</v>
      </c>
      <c r="V174" s="1230">
        <f>SUM('ketv. 6 '!X174)</f>
        <v>0</v>
      </c>
      <c r="W174" s="1080">
        <f>IF(AE174&gt;0,'3 pr-2'!X175,0)</f>
        <v>0</v>
      </c>
      <c r="X174" s="1081">
        <v>0</v>
      </c>
      <c r="Y174" s="1230">
        <f>SUM('ketv. 6 '!AB174)</f>
        <v>0</v>
      </c>
      <c r="Z174" s="1080">
        <f>IF(AE174&gt;0,'3 pr-2'!AA175,0)</f>
        <v>471079</v>
      </c>
      <c r="AA174" s="1081">
        <v>471079</v>
      </c>
      <c r="AB174" s="1230">
        <f>SUM('ketv. 6 '!AF174)</f>
        <v>0</v>
      </c>
      <c r="AC174" s="1080">
        <f>IF($AE$9&gt;0,'3 pr-2'!AB175,0)</f>
        <v>0</v>
      </c>
      <c r="AD174" s="1104">
        <f>SUM('3 pr-2'!AG175)</f>
        <v>43373</v>
      </c>
      <c r="AE174" s="1104">
        <v>43362</v>
      </c>
      <c r="AF174" s="198"/>
      <c r="AG174" s="384" t="str">
        <f t="shared" si="152"/>
        <v>–</v>
      </c>
    </row>
    <row r="175" spans="1:34" ht="48.75">
      <c r="A175" s="164" t="str">
        <f>CONCATENATE('3 pr-2'!A176)</f>
        <v>3.1.2.1.3</v>
      </c>
      <c r="B175" s="281" t="s">
        <v>730</v>
      </c>
      <c r="C175" s="164" t="str">
        <f>CONCATENATE('3 pr-2'!B176)</f>
        <v>R01-0019-380000-3213</v>
      </c>
      <c r="D175" s="164" t="str">
        <f>CONCATENATE('3 pr-2'!D176)</f>
        <v>Bešeimininkių apleistų pastatų ir įrenginių tvarkymas Alytaus rajono savivaldybėje</v>
      </c>
      <c r="E175" s="164" t="str">
        <f>CONCATENATE('3 pr-2'!E176)</f>
        <v>Alytaus rajono savivaldybės administracija</v>
      </c>
      <c r="F175" s="164" t="str">
        <f>CONCATENATE('3 pr-2'!F176)</f>
        <v>Lietuvos Respublikos aplinkos ministerija</v>
      </c>
      <c r="G175" s="164" t="str">
        <f>CONCATENATE('3 pr-2'!G176)</f>
        <v>Alytaus r. sav.</v>
      </c>
      <c r="H175" s="164" t="str">
        <f>CONCATENATE('3 pr-2'!H176)</f>
        <v>05.5.1-APVA-R-019</v>
      </c>
      <c r="I175" s="164" t="str">
        <f>CONCATENATE('3 pr-2'!I176)</f>
        <v>R</v>
      </c>
      <c r="J175" s="164" t="str">
        <f>CONCATENATE('3 pr-2'!J176)</f>
        <v/>
      </c>
      <c r="K175" s="1080">
        <f>IF(AE175&gt;0,'3 pr-2'!L176,0)</f>
        <v>101765.7</v>
      </c>
      <c r="L175" s="1081">
        <f t="shared" si="149"/>
        <v>101766</v>
      </c>
      <c r="M175" s="1230">
        <f t="shared" si="150"/>
        <v>101765.7</v>
      </c>
      <c r="N175" s="1080">
        <f>IF(AE175&gt;0,'3 pr-2'!O176,0)</f>
        <v>15264.9</v>
      </c>
      <c r="O175" s="1081">
        <v>15265</v>
      </c>
      <c r="P175" s="1230">
        <f>SUM('ketv. 6 '!P175)</f>
        <v>15264.9</v>
      </c>
      <c r="Q175" s="1080">
        <f>IF(AE175&gt;0,'3 pr-2'!R176,0)</f>
        <v>0</v>
      </c>
      <c r="R175" s="1081">
        <v>0</v>
      </c>
      <c r="S175" s="1230">
        <f>SUM('ketv. 6 '!T175)</f>
        <v>0</v>
      </c>
      <c r="T175" s="1080">
        <f>IF(AE175&gt;0,'3 pr-2'!U176,0)</f>
        <v>0</v>
      </c>
      <c r="U175" s="1081">
        <v>0</v>
      </c>
      <c r="V175" s="1230">
        <f>SUM('ketv. 6 '!X175)</f>
        <v>0</v>
      </c>
      <c r="W175" s="1080">
        <f>IF(AE175&gt;0,'3 pr-2'!X176,0)</f>
        <v>0</v>
      </c>
      <c r="X175" s="1081">
        <v>0</v>
      </c>
      <c r="Y175" s="1230">
        <f>SUM('ketv. 6 '!AB175)</f>
        <v>0</v>
      </c>
      <c r="Z175" s="1080">
        <f>IF(AE175&gt;0,'3 pr-2'!AA176,0)</f>
        <v>86500.800000000003</v>
      </c>
      <c r="AA175" s="1081">
        <v>86501</v>
      </c>
      <c r="AB175" s="1230">
        <f>SUM('ketv. 6 '!AF175)</f>
        <v>86500.800000000003</v>
      </c>
      <c r="AC175" s="1080">
        <f>IF($AE$9&gt;0,'3 pr-2'!AB176,0)</f>
        <v>0</v>
      </c>
      <c r="AD175" s="1104">
        <f>SUM('3 pr-2'!AG176)</f>
        <v>42632</v>
      </c>
      <c r="AE175" s="1104">
        <v>42632</v>
      </c>
      <c r="AF175" s="198">
        <f t="shared" ref="AF175:AF176" si="153">IF((YEAR(AD175)-YEAR(AE175))=0,0,YEAR(AD175)-YEAR(AE175))</f>
        <v>0</v>
      </c>
      <c r="AG175" s="384" t="str">
        <f t="shared" si="152"/>
        <v>–</v>
      </c>
    </row>
    <row r="176" spans="1:34" ht="48.75">
      <c r="A176" s="164" t="str">
        <f>CONCATENATE('3 pr-2'!A177)</f>
        <v>3.1.2.1.4</v>
      </c>
      <c r="B176" s="281" t="s">
        <v>733</v>
      </c>
      <c r="C176" s="164" t="str">
        <f>CONCATENATE('3 pr-2'!B177)</f>
        <v>R01-0019-380000-3214</v>
      </c>
      <c r="D176" s="164" t="str">
        <f>CONCATENATE('3 pr-2'!D177)</f>
        <v>Alytaus miesto bendrojo plano korektūra zonuojant kraštovaizdžio struktūrą, nustatant reglamentus ir principus</v>
      </c>
      <c r="E176" s="164" t="str">
        <f>CONCATENATE('3 pr-2'!E177)</f>
        <v>Alytaus miesto savivaldybės administracija</v>
      </c>
      <c r="F176" s="164" t="str">
        <f>CONCATENATE('3 pr-2'!F177)</f>
        <v>Lietuvos Respublikos aplinkos ministerija</v>
      </c>
      <c r="G176" s="164" t="str">
        <f>CONCATENATE('3 pr-2'!G177)</f>
        <v>Alytaus m. sav.</v>
      </c>
      <c r="H176" s="164" t="str">
        <f>CONCATENATE('3 pr-2'!H177)</f>
        <v>05.5.1-APVA-R-019</v>
      </c>
      <c r="I176" s="164" t="str">
        <f>CONCATENATE('3 pr-2'!I177)</f>
        <v>R</v>
      </c>
      <c r="J176" s="164" t="str">
        <f>CONCATENATE('3 pr-2'!J177)</f>
        <v/>
      </c>
      <c r="K176" s="1080">
        <f>IF(AE176&gt;0,'3 pr-2'!L177,0)</f>
        <v>3993</v>
      </c>
      <c r="L176" s="1081">
        <f t="shared" si="149"/>
        <v>3993</v>
      </c>
      <c r="M176" s="1230">
        <f t="shared" si="150"/>
        <v>3993</v>
      </c>
      <c r="N176" s="1080">
        <f>IF(AE176&gt;0,'3 pr-2'!O177,0)</f>
        <v>598.95000000000005</v>
      </c>
      <c r="O176" s="1081">
        <v>598.95000000000005</v>
      </c>
      <c r="P176" s="1230">
        <f>SUM('ketv. 6 '!P176)</f>
        <v>598.95000000000005</v>
      </c>
      <c r="Q176" s="1080">
        <f>IF(AE176&gt;0,'3 pr-2'!R177,0)</f>
        <v>0</v>
      </c>
      <c r="R176" s="1081">
        <v>0</v>
      </c>
      <c r="S176" s="1230">
        <f>SUM('ketv. 6 '!T176)</f>
        <v>0</v>
      </c>
      <c r="T176" s="1080">
        <f>IF(AE176&gt;0,'3 pr-2'!U177,0)</f>
        <v>0</v>
      </c>
      <c r="U176" s="1081">
        <v>0</v>
      </c>
      <c r="V176" s="1230">
        <f>SUM('ketv. 6 '!X176)</f>
        <v>0</v>
      </c>
      <c r="W176" s="1080">
        <f>IF(AE176&gt;0,'3 pr-2'!X177,0)</f>
        <v>0</v>
      </c>
      <c r="X176" s="1081">
        <v>0</v>
      </c>
      <c r="Y176" s="1230">
        <f>SUM('ketv. 6 '!AB176)</f>
        <v>0</v>
      </c>
      <c r="Z176" s="1080">
        <f>IF(AE176&gt;0,'3 pr-2'!AA177,0)</f>
        <v>3394.05</v>
      </c>
      <c r="AA176" s="1081">
        <v>3394.05</v>
      </c>
      <c r="AB176" s="1230">
        <f>SUM('ketv. 6 '!AF176)</f>
        <v>3394.05</v>
      </c>
      <c r="AC176" s="1080">
        <f>IF($AE$9&gt;0,'3 pr-2'!AB177,0)</f>
        <v>0</v>
      </c>
      <c r="AD176" s="1104">
        <f>SUM('3 pr-2'!AG177)</f>
        <v>42632</v>
      </c>
      <c r="AE176" s="1104">
        <v>42632</v>
      </c>
      <c r="AF176" s="198">
        <f t="shared" si="153"/>
        <v>0</v>
      </c>
      <c r="AG176" s="384" t="str">
        <f t="shared" si="152"/>
        <v>–</v>
      </c>
    </row>
    <row r="177" spans="1:34" ht="48.75">
      <c r="A177" s="164" t="str">
        <f>CONCATENATE('3 pr-2'!A178)</f>
        <v>3.1.2.1.5</v>
      </c>
      <c r="B177" s="281" t="s">
        <v>734</v>
      </c>
      <c r="C177" s="164" t="str">
        <f>CONCATENATE('3 pr-2'!B178)</f>
        <v>R01-0019-380000-3215</v>
      </c>
      <c r="D177" s="164" t="str">
        <f>CONCATENATE('3 pr-2'!D178)</f>
        <v>Bešeimininkių apleistų pastatų Druskininkų savivaldybės teritorijoje likvidavimas</v>
      </c>
      <c r="E177" s="164" t="str">
        <f>CONCATENATE('3 pr-2'!E178)</f>
        <v>Druskininkų savivaldybės administracija</v>
      </c>
      <c r="F177" s="164" t="str">
        <f>CONCATENATE('3 pr-2'!F178)</f>
        <v>Lietuvos Respublikos aplinkos ministerija</v>
      </c>
      <c r="G177" s="164" t="str">
        <f>CONCATENATE('3 pr-2'!G178)</f>
        <v>Druskininkų sav.</v>
      </c>
      <c r="H177" s="164" t="str">
        <f>CONCATENATE('3 pr-2'!H178)</f>
        <v>05.5.1-APVA-R-019</v>
      </c>
      <c r="I177" s="164" t="str">
        <f>CONCATENATE('3 pr-2'!I178)</f>
        <v>R</v>
      </c>
      <c r="J177" s="164" t="str">
        <f>CONCATENATE('3 pr-2'!J178)</f>
        <v>-</v>
      </c>
      <c r="K177" s="1080">
        <f>IF(AE177&gt;0,'3 pr-2'!L178,0)</f>
        <v>121153.53</v>
      </c>
      <c r="L177" s="1081">
        <f t="shared" si="149"/>
        <v>121153.55</v>
      </c>
      <c r="M177" s="1230">
        <f t="shared" si="150"/>
        <v>121153.53</v>
      </c>
      <c r="N177" s="1080">
        <f>IF(AE177&gt;0,'3 pr-2'!O178,0)</f>
        <v>18173.009999999998</v>
      </c>
      <c r="O177" s="1081">
        <v>18173.03</v>
      </c>
      <c r="P177" s="1230">
        <f>SUM('ketv. 6 '!P177)</f>
        <v>18173.009999999998</v>
      </c>
      <c r="Q177" s="1080">
        <f>IF(AE177&gt;0,'3 pr-2'!R178,0)</f>
        <v>0</v>
      </c>
      <c r="R177" s="1081">
        <v>0</v>
      </c>
      <c r="S177" s="1230">
        <f>SUM('ketv. 6 '!T177)</f>
        <v>0</v>
      </c>
      <c r="T177" s="1080">
        <f>IF(AE177&gt;0,'3 pr-2'!U178,0)</f>
        <v>0</v>
      </c>
      <c r="U177" s="1081">
        <v>0</v>
      </c>
      <c r="V177" s="1230">
        <f>SUM('ketv. 6 '!X177)</f>
        <v>0</v>
      </c>
      <c r="W177" s="1080">
        <f>IF(AE177&gt;0,'3 pr-2'!X178,0)</f>
        <v>0</v>
      </c>
      <c r="X177" s="1081">
        <v>0</v>
      </c>
      <c r="Y177" s="1230">
        <f>SUM('ketv. 6 '!AB177)</f>
        <v>0</v>
      </c>
      <c r="Z177" s="1080">
        <f>IF(AE177&gt;0,'3 pr-2'!AA178,0)</f>
        <v>102980.52</v>
      </c>
      <c r="AA177" s="1081">
        <v>102980.52</v>
      </c>
      <c r="AB177" s="1230">
        <f>SUM('ketv. 6 '!AF177)</f>
        <v>102980.52</v>
      </c>
      <c r="AC177" s="1080">
        <f>IF($AE$9&gt;0,'3 pr-2'!AB178,0)</f>
        <v>0</v>
      </c>
      <c r="AD177" s="1104">
        <f>SUM('3 pr-2'!AG178)</f>
        <v>42704</v>
      </c>
      <c r="AE177" s="1104">
        <v>42632</v>
      </c>
      <c r="AF177" s="198">
        <f t="shared" ref="AF177" si="154">IF((YEAR(AD177)-YEAR(AE177))=0,0,YEAR(AD177)-YEAR(AE177))</f>
        <v>0</v>
      </c>
      <c r="AG177" s="384" t="str">
        <f t="shared" si="152"/>
        <v>–</v>
      </c>
    </row>
    <row r="178" spans="1:34" ht="48.75">
      <c r="A178" s="164" t="str">
        <f>CONCATENATE('3 pr-2'!A179)</f>
        <v>3.1.2.1.6</v>
      </c>
      <c r="B178" s="281" t="s">
        <v>732</v>
      </c>
      <c r="C178" s="164" t="str">
        <f>CONCATENATE('3 pr-2'!B179)</f>
        <v>R01-0019-380000-3216</v>
      </c>
      <c r="D178" s="164" t="str">
        <f>CONCATENATE('3 pr-2'!D179)</f>
        <v>Kraštovaizdžio formavimas Lazdijų rajono savivaldybėje</v>
      </c>
      <c r="E178" s="164" t="str">
        <f>CONCATENATE('3 pr-2'!E179)</f>
        <v>Lazdijų rajono savivaldybės administracija</v>
      </c>
      <c r="F178" s="164" t="str">
        <f>CONCATENATE('3 pr-2'!F179)</f>
        <v>Lietuvos Respublikos aplinkos ministerija</v>
      </c>
      <c r="G178" s="164" t="str">
        <f>CONCATENATE('3 pr-2'!G179)</f>
        <v>Lazdijų r. sav.</v>
      </c>
      <c r="H178" s="164" t="str">
        <f>CONCATENATE('3 pr-2'!H179)</f>
        <v>05.5.1-APVA-R-019</v>
      </c>
      <c r="I178" s="164" t="str">
        <f>CONCATENATE('3 pr-2'!I179)</f>
        <v>R</v>
      </c>
      <c r="J178" s="164" t="str">
        <f>CONCATENATE('3 pr-2'!J179)</f>
        <v>-</v>
      </c>
      <c r="K178" s="1080">
        <f>IF(AE178&gt;0,'3 pr-2'!L179,0)</f>
        <v>442298.58999999997</v>
      </c>
      <c r="L178" s="1081">
        <f>SUM(O178+R178+U178+X178+AA178)</f>
        <v>442298.58999999997</v>
      </c>
      <c r="M178" s="1230">
        <f t="shared" si="150"/>
        <v>442298.58999999997</v>
      </c>
      <c r="N178" s="1080">
        <f>IF(AE178&gt;0,'3 pr-2'!O179,0)</f>
        <v>66344.78</v>
      </c>
      <c r="O178" s="1081">
        <v>66344.78</v>
      </c>
      <c r="P178" s="1230">
        <f>SUM('ketv. 6 '!P178)</f>
        <v>66344.78</v>
      </c>
      <c r="Q178" s="1080">
        <f>IF(AE178&gt;0,'3 pr-2'!R179,0)</f>
        <v>0</v>
      </c>
      <c r="R178" s="1081">
        <v>0</v>
      </c>
      <c r="S178" s="1230">
        <f>SUM('ketv. 6 '!T178)</f>
        <v>0</v>
      </c>
      <c r="T178" s="1080">
        <f>IF(AE178&gt;0,'3 pr-2'!U179,0)</f>
        <v>0</v>
      </c>
      <c r="U178" s="1081">
        <v>0</v>
      </c>
      <c r="V178" s="1230">
        <f>SUM('ketv. 6 '!X178)</f>
        <v>0</v>
      </c>
      <c r="W178" s="1080">
        <f>IF(AE178&gt;0,'3 pr-2'!X179,0)</f>
        <v>0</v>
      </c>
      <c r="X178" s="1081">
        <v>0</v>
      </c>
      <c r="Y178" s="1230">
        <f>SUM('ketv. 6 '!AB178)</f>
        <v>0</v>
      </c>
      <c r="Z178" s="1080">
        <f>IF(AE178&gt;0,'3 pr-2'!AA179,0)</f>
        <v>375953.81</v>
      </c>
      <c r="AA178" s="1081">
        <v>375953.81</v>
      </c>
      <c r="AB178" s="1230">
        <f>SUM('ketv. 6 '!AF178)</f>
        <v>375953.81</v>
      </c>
      <c r="AC178" s="1080">
        <f>IF($AE$9&gt;0,'3 pr-2'!AB179,0)</f>
        <v>0</v>
      </c>
      <c r="AD178" s="1104">
        <f>SUM('3 pr-2'!AG179)</f>
        <v>42704</v>
      </c>
      <c r="AE178" s="1104">
        <v>42703</v>
      </c>
      <c r="AF178" s="198">
        <f t="shared" ref="AF178:AF179" si="155">IF((YEAR(AD178)-YEAR(AE178))=0,0,YEAR(AD178)-YEAR(AE178))</f>
        <v>0</v>
      </c>
      <c r="AG178" s="1149" t="str">
        <f t="shared" si="152"/>
        <v>–</v>
      </c>
      <c r="AH178" s="1148"/>
    </row>
    <row r="179" spans="1:34" ht="48.75">
      <c r="A179" s="164" t="str">
        <f>CONCATENATE('3 pr-2'!A180)</f>
        <v>3.1.2.1.7</v>
      </c>
      <c r="B179" s="281" t="s">
        <v>4341</v>
      </c>
      <c r="C179" s="164" t="str">
        <f>CONCATENATE('3 pr-2'!B180)</f>
        <v>R01-0019-283800-3217</v>
      </c>
      <c r="D179" s="164" t="str">
        <f>CONCATENATE('3 pr-2'!D180)</f>
        <v>Kraštovaizdžio formavimas Lazdijų rajono savivaldybėje (II etapas)</v>
      </c>
      <c r="E179" s="164" t="str">
        <f>CONCATENATE('3 pr-2'!E180)</f>
        <v>Lazdijų rajono savivaldybės administracija</v>
      </c>
      <c r="F179" s="164" t="str">
        <f>CONCATENATE('3 pr-2'!F180)</f>
        <v>Lietuvos Respublikos aplinkos ministerija</v>
      </c>
      <c r="G179" s="164" t="str">
        <f>CONCATENATE('3 pr-2'!G180)</f>
        <v>Lazdijų r. sav.</v>
      </c>
      <c r="H179" s="164" t="str">
        <f>CONCATENATE('3 pr-2'!H180)</f>
        <v>05.5.1-APVA-R-019</v>
      </c>
      <c r="I179" s="164" t="str">
        <f>CONCATENATE('3 pr-2'!I180)</f>
        <v>R</v>
      </c>
      <c r="J179" s="164" t="str">
        <f>CONCATENATE('3 pr-2'!J180)</f>
        <v>-</v>
      </c>
      <c r="K179" s="1080">
        <f>IF(AE179&gt;0,'3 pr-2'!L180,0)</f>
        <v>149792.22</v>
      </c>
      <c r="L179" s="1081">
        <f t="shared" si="149"/>
        <v>149792</v>
      </c>
      <c r="M179" s="1230">
        <f t="shared" si="150"/>
        <v>0</v>
      </c>
      <c r="N179" s="1080">
        <f>IF(AE179&gt;0,'3 pr-2'!O180,0)</f>
        <v>22468.83</v>
      </c>
      <c r="O179" s="1081">
        <v>22469</v>
      </c>
      <c r="P179" s="1230">
        <f>SUM('ketv. 6 '!P179)</f>
        <v>0</v>
      </c>
      <c r="Q179" s="1080">
        <f>IF(AE179&gt;0,'3 pr-2'!R180,0)</f>
        <v>0</v>
      </c>
      <c r="R179" s="1081">
        <v>0</v>
      </c>
      <c r="S179" s="1230">
        <f>SUM('ketv. 6 '!T179)</f>
        <v>0</v>
      </c>
      <c r="T179" s="1080">
        <f>IF(AE179&gt;0,'3 pr-2'!U180,0)</f>
        <v>0</v>
      </c>
      <c r="U179" s="1081">
        <v>0</v>
      </c>
      <c r="V179" s="1230">
        <f>SUM('ketv. 6 '!X179)</f>
        <v>0</v>
      </c>
      <c r="W179" s="1080">
        <f>IF(AE179&gt;0,'3 pr-2'!X180,0)</f>
        <v>0</v>
      </c>
      <c r="X179" s="1081">
        <v>0</v>
      </c>
      <c r="Y179" s="1230">
        <f>SUM('ketv. 6 '!AB179)</f>
        <v>0</v>
      </c>
      <c r="Z179" s="1080">
        <f>IF(AE179&gt;0,'3 pr-2'!AA180,0)</f>
        <v>127323.39</v>
      </c>
      <c r="AA179" s="1081">
        <v>127323</v>
      </c>
      <c r="AB179" s="1230">
        <f>SUM('ketv. 6 '!AF179)</f>
        <v>0</v>
      </c>
      <c r="AC179" s="1080">
        <f>IF($AE$9&gt;0,'3 pr-2'!AB180,0)</f>
        <v>0</v>
      </c>
      <c r="AD179" s="1104">
        <f>SUM('3 pr-2'!AG180)</f>
        <v>43343</v>
      </c>
      <c r="AE179" s="1104">
        <v>43362</v>
      </c>
      <c r="AF179" s="198">
        <f t="shared" si="155"/>
        <v>0</v>
      </c>
      <c r="AG179" s="384">
        <f t="shared" si="152"/>
        <v>-0.62465746579096271</v>
      </c>
    </row>
    <row r="180" spans="1:34" ht="48.75">
      <c r="A180" s="164" t="str">
        <f>CONCATENATE('3 pr-2'!A181)</f>
        <v>3.1.2.1.8</v>
      </c>
      <c r="B180" s="281" t="s">
        <v>1613</v>
      </c>
      <c r="C180" s="164" t="str">
        <f>CONCATENATE('3 pr-2'!B181)</f>
        <v>R01-0019-380000-3218</v>
      </c>
      <c r="D180" s="164" t="str">
        <f>CONCATENATE('3 pr-2'!D181)</f>
        <v>Bešeimininkių apleistų pastatų ir įrenginių tvarkymas Alytaus rajono savivaldybėje (II etapas)</v>
      </c>
      <c r="E180" s="164" t="str">
        <f>CONCATENATE('3 pr-2'!E181)</f>
        <v>Alytaus rajono savivaldybės administracija</v>
      </c>
      <c r="F180" s="164" t="str">
        <f>CONCATENATE('3 pr-2'!F181)</f>
        <v>Lietuvos Respublikos aplinkos ministerija</v>
      </c>
      <c r="G180" s="164" t="str">
        <f>CONCATENATE('3 pr-2'!G181)</f>
        <v>Alytaus r. sav.</v>
      </c>
      <c r="H180" s="164" t="str">
        <f>CONCATENATE('3 pr-2'!H181)</f>
        <v>05.5.1-APVA-R-019</v>
      </c>
      <c r="I180" s="164" t="str">
        <f>CONCATENATE('3 pr-2'!I181)</f>
        <v>R</v>
      </c>
      <c r="J180" s="164" t="str">
        <f>CONCATENATE('3 pr-2'!J181)</f>
        <v>-</v>
      </c>
      <c r="K180" s="1080">
        <f>IF(AE180&gt;0,'3 pr-2'!L181,0)</f>
        <v>736537.6470588235</v>
      </c>
      <c r="L180" s="1081">
        <f t="shared" si="149"/>
        <v>736538</v>
      </c>
      <c r="M180" s="1230">
        <f t="shared" si="150"/>
        <v>277676</v>
      </c>
      <c r="N180" s="1080">
        <f>IF(AE180&gt;0,'3 pr-2'!O181,0)</f>
        <v>110480.64705882352</v>
      </c>
      <c r="O180" s="1081">
        <v>110481</v>
      </c>
      <c r="P180" s="1230">
        <f>SUM('ketv. 6 '!P180)</f>
        <v>41651.4</v>
      </c>
      <c r="Q180" s="1080">
        <f>IF(AE180&gt;0,'3 pr-2'!R181,0)</f>
        <v>0</v>
      </c>
      <c r="R180" s="1081">
        <v>0</v>
      </c>
      <c r="S180" s="1230">
        <f>SUM('ketv. 6 '!T180)</f>
        <v>0</v>
      </c>
      <c r="T180" s="1080">
        <f>IF(AE180&gt;0,'3 pr-2'!U181,0)</f>
        <v>0</v>
      </c>
      <c r="U180" s="1081">
        <v>0</v>
      </c>
      <c r="V180" s="1230">
        <f>SUM('ketv. 6 '!X180)</f>
        <v>0</v>
      </c>
      <c r="W180" s="1080">
        <f>IF(AE180&gt;0,'3 pr-2'!X181,0)</f>
        <v>0</v>
      </c>
      <c r="X180" s="1081"/>
      <c r="Y180" s="1230">
        <f>SUM('ketv. 6 '!AB180)</f>
        <v>0</v>
      </c>
      <c r="Z180" s="1080">
        <f>IF(AE180&gt;0,'3 pr-2'!AA181,0)</f>
        <v>626057</v>
      </c>
      <c r="AA180" s="1081">
        <v>626057</v>
      </c>
      <c r="AB180" s="1230">
        <f>SUM('ketv. 6 '!AF180)</f>
        <v>236024.6</v>
      </c>
      <c r="AC180" s="1080">
        <f>IF($AE$9&gt;0,'3 pr-2'!AB181,0)</f>
        <v>0</v>
      </c>
      <c r="AD180" s="1104">
        <f>SUM('3 pr-2'!AG181)</f>
        <v>43159</v>
      </c>
      <c r="AE180" s="1104">
        <v>43159</v>
      </c>
      <c r="AF180" s="198" t="s">
        <v>679</v>
      </c>
      <c r="AG180" s="384" t="str">
        <f t="shared" si="152"/>
        <v>–</v>
      </c>
    </row>
    <row r="181" spans="1:34" ht="48.75">
      <c r="A181" s="164" t="str">
        <f>CONCATENATE('3 pr-2'!A182)</f>
        <v>3.1.2.1.9</v>
      </c>
      <c r="B181" s="281"/>
      <c r="C181" s="164" t="str">
        <f>CONCATENATE('3 pr-2'!B182)</f>
        <v>R01-0019-380000-3219</v>
      </c>
      <c r="D181" s="164" t="str">
        <f>CONCATENATE('3 pr-2'!D182)</f>
        <v>Etaloninio kraštovaizdžio formavimas Druskininkų savivaldybės pasienyje</v>
      </c>
      <c r="E181" s="164" t="str">
        <f>CONCATENATE('3 pr-2'!E182)</f>
        <v>Druskininkų savivaldybės administracija</v>
      </c>
      <c r="F181" s="164" t="str">
        <f>CONCATENATE('3 pr-2'!F182)</f>
        <v>Lietuvos Respublikos aplinkos ministerija</v>
      </c>
      <c r="G181" s="164" t="str">
        <f>CONCATENATE('3 pr-2'!G182)</f>
        <v>Druskininkų sav.</v>
      </c>
      <c r="H181" s="164" t="str">
        <f>CONCATENATE('3 pr-2'!H182)</f>
        <v>05.5.1-APVA-R-019</v>
      </c>
      <c r="I181" s="164" t="str">
        <f>CONCATENATE('3 pr-2'!I182)</f>
        <v>R</v>
      </c>
      <c r="J181" s="164" t="str">
        <f>CONCATENATE('3 pr-2'!J182)</f>
        <v>-</v>
      </c>
      <c r="K181" s="1080">
        <f>IF(AE181&gt;0,'3 pr-2'!L182,0)</f>
        <v>88524.094117647051</v>
      </c>
      <c r="L181" s="1081">
        <f t="shared" si="149"/>
        <v>88524</v>
      </c>
      <c r="M181" s="1230">
        <f t="shared" si="150"/>
        <v>0</v>
      </c>
      <c r="N181" s="1080">
        <f>IF(AE181&gt;0,'3 pr-2'!O182,0)</f>
        <v>13278.614117647059</v>
      </c>
      <c r="O181" s="1081">
        <v>13279</v>
      </c>
      <c r="P181" s="1230">
        <f>SUM('ketv. 6 '!P181)</f>
        <v>0</v>
      </c>
      <c r="Q181" s="1080">
        <f>IF(AE181&gt;0,'3 pr-2'!R182,0)</f>
        <v>0</v>
      </c>
      <c r="R181" s="1081">
        <v>0</v>
      </c>
      <c r="S181" s="1230">
        <f>SUM('ketv. 6 '!T181)</f>
        <v>0</v>
      </c>
      <c r="T181" s="1080">
        <f>IF(AE181&gt;0,'3 pr-2'!U182,0)</f>
        <v>0</v>
      </c>
      <c r="U181" s="1081">
        <v>0</v>
      </c>
      <c r="V181" s="1230">
        <f>SUM('ketv. 6 '!X181)</f>
        <v>0</v>
      </c>
      <c r="W181" s="1080">
        <f>IF(AE181&gt;0,'3 pr-2'!X182,0)</f>
        <v>0</v>
      </c>
      <c r="X181" s="1081"/>
      <c r="Y181" s="1230">
        <f>SUM('ketv. 6 '!AB181)</f>
        <v>0</v>
      </c>
      <c r="Z181" s="1080">
        <f>IF(AE181&gt;0,'3 pr-2'!AA182,0)</f>
        <v>75245.48</v>
      </c>
      <c r="AA181" s="1081">
        <v>75245</v>
      </c>
      <c r="AB181" s="1230">
        <f>SUM('ketv. 6 '!AF181)</f>
        <v>0</v>
      </c>
      <c r="AC181" s="1080">
        <f>IF($AE$9&gt;0,'3 pr-2'!AB182,0)</f>
        <v>0</v>
      </c>
      <c r="AD181" s="1104">
        <f>SUM('3 pr-2'!AG182)</f>
        <v>43373</v>
      </c>
      <c r="AE181" s="1104">
        <v>43362</v>
      </c>
      <c r="AF181" s="198" t="s">
        <v>679</v>
      </c>
      <c r="AG181" s="384" t="str">
        <f t="shared" ref="AG181" si="156">IF(AD181-AE181&lt;0,(AD181-AE181)/30.41667,"–")</f>
        <v>–</v>
      </c>
    </row>
    <row r="182" spans="1:34">
      <c r="K182" s="1258">
        <f>SUM(K6+K99+K167)</f>
        <v>67122682.574117631</v>
      </c>
      <c r="L182" s="1147"/>
      <c r="M182" s="1147"/>
      <c r="N182" s="1258">
        <f t="shared" ref="N182:AC182" si="157">SUM(N6+N99+N167)</f>
        <v>7816031.9941176474</v>
      </c>
      <c r="O182" s="1258">
        <f t="shared" si="157"/>
        <v>5666612.6299999999</v>
      </c>
      <c r="P182" s="1258">
        <f t="shared" si="157"/>
        <v>6056956.2599999988</v>
      </c>
      <c r="Q182" s="1258">
        <f t="shared" ca="1" si="157"/>
        <v>1133920.1100000001</v>
      </c>
      <c r="R182" s="1258">
        <f t="shared" si="157"/>
        <v>1950303.08</v>
      </c>
      <c r="S182" s="1258">
        <f t="shared" si="157"/>
        <v>1156241.3399999999</v>
      </c>
      <c r="T182" s="1258">
        <f t="shared" si="157"/>
        <v>9373204.9100000001</v>
      </c>
      <c r="U182" s="1258">
        <f t="shared" si="157"/>
        <v>12268578.579999998</v>
      </c>
      <c r="V182" s="1258">
        <f t="shared" si="157"/>
        <v>9850228.8399999999</v>
      </c>
      <c r="W182" s="1258">
        <f t="shared" si="157"/>
        <v>416360.77</v>
      </c>
      <c r="X182" s="1258">
        <f t="shared" si="157"/>
        <v>13560.2</v>
      </c>
      <c r="Y182" s="1258">
        <f t="shared" si="157"/>
        <v>426071.16000000003</v>
      </c>
      <c r="Z182" s="1258">
        <f t="shared" si="157"/>
        <v>48383164.789999999</v>
      </c>
      <c r="AA182" s="1258">
        <f t="shared" si="157"/>
        <v>45059565.460000001</v>
      </c>
      <c r="AB182" s="1258">
        <f t="shared" si="157"/>
        <v>36313687.699999996</v>
      </c>
      <c r="AC182" s="1258">
        <f t="shared" si="157"/>
        <v>0</v>
      </c>
    </row>
    <row r="183" spans="1:34" ht="15.75">
      <c r="B183" s="1103" t="s">
        <v>1767</v>
      </c>
      <c r="C183" s="1103"/>
    </row>
    <row r="184" spans="1:34" ht="15.75">
      <c r="B184" s="1103" t="s">
        <v>1768</v>
      </c>
      <c r="C184" s="1103"/>
    </row>
    <row r="185" spans="1:34" ht="15.75">
      <c r="B185" s="1103" t="s">
        <v>1769</v>
      </c>
      <c r="C185" s="1103"/>
    </row>
    <row r="186" spans="1:34">
      <c r="B186" s="2093" t="s">
        <v>1770</v>
      </c>
      <c r="C186" s="2093"/>
      <c r="D186" s="2093"/>
      <c r="E186" s="2093"/>
      <c r="F186" s="2093"/>
      <c r="G186" s="2093"/>
      <c r="H186" s="2093"/>
      <c r="I186" s="2093"/>
      <c r="J186" s="2093"/>
      <c r="K186" s="2093"/>
      <c r="L186" s="2093"/>
      <c r="M186" s="2093"/>
      <c r="N186" s="2093"/>
      <c r="O186" s="2093"/>
      <c r="P186" s="2093"/>
      <c r="Q186" s="2093"/>
      <c r="R186" s="2093"/>
      <c r="S186" s="2093"/>
      <c r="T186" s="2093"/>
      <c r="U186" s="2093"/>
      <c r="V186" s="2093"/>
      <c r="W186" s="2093"/>
      <c r="X186" s="2093"/>
    </row>
  </sheetData>
  <autoFilter ref="A5:AG186" xr:uid="{00000000-0009-0000-0000-000015000000}"/>
  <mergeCells count="40">
    <mergeCell ref="C101:J101"/>
    <mergeCell ref="C107:J107"/>
    <mergeCell ref="C100:J100"/>
    <mergeCell ref="C160:J160"/>
    <mergeCell ref="C169:J169"/>
    <mergeCell ref="C7:J7"/>
    <mergeCell ref="C8:J8"/>
    <mergeCell ref="C99:J99"/>
    <mergeCell ref="C72:J72"/>
    <mergeCell ref="C57:J57"/>
    <mergeCell ref="C61:J61"/>
    <mergeCell ref="C66:J66"/>
    <mergeCell ref="C73:J73"/>
    <mergeCell ref="C78:J78"/>
    <mergeCell ref="C32:J32"/>
    <mergeCell ref="C38:J38"/>
    <mergeCell ref="B186:X186"/>
    <mergeCell ref="C159:J159"/>
    <mergeCell ref="C147:J147"/>
    <mergeCell ref="C153:J153"/>
    <mergeCell ref="C172:J172"/>
    <mergeCell ref="C168:J168"/>
    <mergeCell ref="C171:J171"/>
    <mergeCell ref="C167:J167"/>
    <mergeCell ref="AD2:AG2"/>
    <mergeCell ref="A1:N1"/>
    <mergeCell ref="A2:J2"/>
    <mergeCell ref="C119:J119"/>
    <mergeCell ref="C146:J146"/>
    <mergeCell ref="C113:J113"/>
    <mergeCell ref="C120:J120"/>
    <mergeCell ref="C134:J134"/>
    <mergeCell ref="C140:J140"/>
    <mergeCell ref="C85:J85"/>
    <mergeCell ref="C91:J91"/>
    <mergeCell ref="C45:J45"/>
    <mergeCell ref="C49:J49"/>
    <mergeCell ref="C55:J55"/>
    <mergeCell ref="K2:AC2"/>
    <mergeCell ref="C6:J6"/>
  </mergeCells>
  <pageMargins left="0.23622047244094491" right="0.23622047244094491" top="0.74803149606299213" bottom="0.74803149606299213" header="0.31496062992125984" footer="0.31496062992125984"/>
  <pageSetup paperSize="8" scale="75" fitToHeight="0"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S189"/>
  <sheetViews>
    <sheetView workbookViewId="0">
      <pane ySplit="3240" activePane="bottomLeft"/>
      <selection activeCell="P3" sqref="P3:S3"/>
      <selection pane="bottomLeft" activeCell="G182" sqref="G182"/>
    </sheetView>
  </sheetViews>
  <sheetFormatPr defaultRowHeight="15"/>
  <cols>
    <col min="1" max="1" width="7.85546875" customWidth="1"/>
    <col min="2" max="2" width="13" hidden="1" customWidth="1"/>
    <col min="3" max="3" width="37.28515625" customWidth="1"/>
    <col min="4" max="4" width="13.140625" customWidth="1"/>
    <col min="5" max="5" width="13" customWidth="1"/>
    <col min="6" max="6" width="11.28515625" customWidth="1"/>
    <col min="7" max="7" width="27.140625" customWidth="1"/>
    <col min="8" max="8" width="5.42578125" customWidth="1"/>
    <col min="9" max="9" width="5.5703125" customWidth="1"/>
    <col min="10" max="10" width="14.28515625" customWidth="1"/>
    <col min="11" max="11" width="12.85546875" customWidth="1"/>
    <col min="12" max="13" width="12.7109375" customWidth="1"/>
    <col min="15" max="15" width="14.28515625" customWidth="1"/>
    <col min="16" max="16" width="9" customWidth="1"/>
    <col min="17" max="17" width="9.5703125" customWidth="1"/>
    <col min="18" max="18" width="9.7109375" customWidth="1"/>
    <col min="19" max="19" width="11.5703125" customWidth="1"/>
  </cols>
  <sheetData>
    <row r="1" spans="1:19" ht="15.75">
      <c r="A1" s="2101" t="s">
        <v>692</v>
      </c>
      <c r="B1" s="2101"/>
      <c r="C1" s="1994"/>
      <c r="D1" s="1994"/>
      <c r="E1" s="1994"/>
      <c r="F1" s="1994"/>
      <c r="G1" s="1994"/>
      <c r="H1" s="1994"/>
      <c r="I1" s="1994"/>
      <c r="J1" s="1994"/>
      <c r="K1" s="1994"/>
    </row>
    <row r="2" spans="1:19" ht="15.75" thickBot="1"/>
    <row r="3" spans="1:19" ht="47.25" customHeight="1" thickTop="1" thickBot="1">
      <c r="A3" s="2102" t="s">
        <v>46</v>
      </c>
      <c r="B3" s="2103"/>
      <c r="C3" s="2103"/>
      <c r="D3" s="2103"/>
      <c r="E3" s="2103"/>
      <c r="F3" s="2103"/>
      <c r="G3" s="2103"/>
      <c r="H3" s="2103"/>
      <c r="I3" s="2103"/>
      <c r="J3" s="2104" t="s">
        <v>47</v>
      </c>
      <c r="K3" s="2105"/>
      <c r="L3" s="2105"/>
      <c r="M3" s="2105"/>
      <c r="N3" s="2105"/>
      <c r="O3" s="2106"/>
      <c r="P3" s="2107" t="s">
        <v>1125</v>
      </c>
      <c r="Q3" s="2108"/>
      <c r="R3" s="2108"/>
      <c r="S3" s="2109"/>
    </row>
    <row r="4" spans="1:19" ht="64.5" thickBot="1">
      <c r="A4" s="180" t="s">
        <v>7</v>
      </c>
      <c r="B4" s="222" t="s">
        <v>690</v>
      </c>
      <c r="C4" s="181" t="s">
        <v>49</v>
      </c>
      <c r="D4" s="181" t="s">
        <v>50</v>
      </c>
      <c r="E4" s="181" t="s">
        <v>51</v>
      </c>
      <c r="F4" s="181" t="s">
        <v>52</v>
      </c>
      <c r="G4" s="181" t="s">
        <v>676</v>
      </c>
      <c r="H4" s="181" t="s">
        <v>677</v>
      </c>
      <c r="I4" s="182" t="s">
        <v>678</v>
      </c>
      <c r="J4" s="183" t="s">
        <v>57</v>
      </c>
      <c r="K4" s="184" t="s">
        <v>58</v>
      </c>
      <c r="L4" s="184" t="s">
        <v>59</v>
      </c>
      <c r="M4" s="184" t="s">
        <v>60</v>
      </c>
      <c r="N4" s="184" t="s">
        <v>61</v>
      </c>
      <c r="O4" s="185" t="s">
        <v>10</v>
      </c>
      <c r="P4" s="194" t="s">
        <v>1130</v>
      </c>
      <c r="Q4" s="194" t="s">
        <v>688</v>
      </c>
      <c r="R4" s="192" t="s">
        <v>1127</v>
      </c>
      <c r="S4" s="192" t="s">
        <v>1127</v>
      </c>
    </row>
    <row r="5" spans="1:19" ht="16.5" thickBot="1">
      <c r="A5" s="161"/>
      <c r="B5" s="223"/>
      <c r="C5" s="162"/>
      <c r="D5" s="162"/>
      <c r="E5" s="162"/>
      <c r="F5" s="162"/>
      <c r="G5" s="162"/>
      <c r="H5" s="162"/>
      <c r="I5" s="166"/>
      <c r="J5" s="167"/>
      <c r="K5" s="168"/>
      <c r="L5" s="168"/>
      <c r="M5" s="168"/>
      <c r="N5" s="168"/>
      <c r="O5" s="178"/>
      <c r="P5" s="179" t="s">
        <v>679</v>
      </c>
      <c r="Q5" s="179" t="s">
        <v>682</v>
      </c>
      <c r="R5" s="165" t="s">
        <v>1131</v>
      </c>
      <c r="S5" s="165" t="s">
        <v>687</v>
      </c>
    </row>
    <row r="6" spans="1:19" ht="16.5" thickBot="1">
      <c r="A6" s="188"/>
      <c r="B6" s="224"/>
      <c r="C6" s="189"/>
      <c r="D6" s="189"/>
      <c r="E6" s="189"/>
      <c r="F6" s="189"/>
      <c r="G6" s="189"/>
      <c r="H6" s="189"/>
      <c r="I6" s="189"/>
      <c r="J6" s="167"/>
      <c r="K6" s="168"/>
      <c r="L6" s="168"/>
      <c r="M6" s="168"/>
      <c r="N6" s="168"/>
      <c r="O6" s="178"/>
      <c r="P6" s="190"/>
      <c r="Q6" s="191"/>
      <c r="R6" s="165"/>
      <c r="S6" s="165"/>
    </row>
    <row r="7" spans="1:19" ht="77.25" customHeight="1" thickBot="1">
      <c r="A7" s="139" t="str">
        <f>CONCATENATE('3 pr-2'!A7)</f>
        <v>1.1.</v>
      </c>
      <c r="B7" s="225"/>
      <c r="C7" s="1951" t="str">
        <f>CONCATENATE('3 pr-2'!B7)</f>
        <v>Tikslas: 
DIDINTI ŪKINĖS VEIKLOS ĮVAIROVĘ IR PAGERINTI SĄLYGAS INVESTICIJŲ PRITRAUKIMUI, MAŽINANT GEOGRAFINIŲ SĄLYGŲ IR DEMOGRAFINIŲ PROCESŲ SUKELIAMUS GYVENIMO KOKYBĖS NETOLYGUMUS</v>
      </c>
      <c r="D7" s="2096" t="str">
        <f>CONCATENATE('3 pr-2'!E7)</f>
        <v/>
      </c>
      <c r="E7" s="2096" t="str">
        <f>CONCATENATE('3 pr-2'!F7)</f>
        <v/>
      </c>
      <c r="F7" s="2096" t="str">
        <f>CONCATENATE('3 pr-2'!G7)</f>
        <v/>
      </c>
      <c r="G7" s="2096" t="str">
        <f>CONCATENATE('3 pr-2'!H7)</f>
        <v/>
      </c>
      <c r="H7" s="2096" t="str">
        <f>CONCATENATE('3 pr-2'!I7)</f>
        <v/>
      </c>
      <c r="I7" s="2096" t="str">
        <f>CONCATENATE('3 pr-2'!J7)</f>
        <v/>
      </c>
      <c r="J7" s="203">
        <f>SUM('3 pr-2'!L7)</f>
        <v>48179758.077058807</v>
      </c>
      <c r="K7" s="204">
        <f>SUM('3 pr-2'!O7)</f>
        <v>5588818.8870588243</v>
      </c>
      <c r="L7" s="204">
        <f ca="1">SUM('3 pr-2'!R7)</f>
        <v>721975.68</v>
      </c>
      <c r="M7" s="204">
        <f>SUM('3 pr-2'!U7)</f>
        <v>8555217.6500000004</v>
      </c>
      <c r="N7" s="204">
        <f>SUM('3 pr-2'!X7)</f>
        <v>415060.82</v>
      </c>
      <c r="O7" s="205">
        <f>SUM('3 pr-2'!AA7)</f>
        <v>32898685.040000003</v>
      </c>
      <c r="P7" s="186" t="s">
        <v>679</v>
      </c>
      <c r="Q7" s="169" t="s">
        <v>679</v>
      </c>
      <c r="R7" s="170" t="s">
        <v>679</v>
      </c>
      <c r="S7" s="170"/>
    </row>
    <row r="8" spans="1:19" ht="45.75" customHeight="1" thickBot="1">
      <c r="A8" s="138" t="s">
        <v>680</v>
      </c>
      <c r="B8" s="226"/>
      <c r="C8" s="1948" t="str">
        <f>CONCATENATE('3 pr-2'!B8)</f>
        <v>Uždavinys: 
Sudaryti sąlygas darbo vietų kūrimui, kuriant ir atnaujinant viešąją ir ekoinžinerinę  infrastruktūrą,  gamtos, kultūros paveldo objektus ir kultūros įstaigas</v>
      </c>
      <c r="D8" s="2094" t="str">
        <f>CONCATENATE('3 pr-2'!E8)</f>
        <v/>
      </c>
      <c r="E8" s="2094" t="str">
        <f>CONCATENATE('3 pr-2'!F8)</f>
        <v/>
      </c>
      <c r="F8" s="2094" t="str">
        <f>CONCATENATE('3 pr-2'!G8)</f>
        <v/>
      </c>
      <c r="G8" s="2094" t="str">
        <f>CONCATENATE('3 pr-2'!H8)</f>
        <v/>
      </c>
      <c r="H8" s="2094" t="str">
        <f>CONCATENATE('3 pr-2'!I8)</f>
        <v/>
      </c>
      <c r="I8" s="2094" t="str">
        <f>CONCATENATE('3 pr-2'!J8)</f>
        <v/>
      </c>
      <c r="J8" s="202">
        <f>SUM('3 pr-2'!L8)</f>
        <v>39462000.947058812</v>
      </c>
      <c r="K8" s="202">
        <f>SUM('3 pr-2'!O8)</f>
        <v>3767704.8270588238</v>
      </c>
      <c r="L8" s="202">
        <f ca="1">SUM('3 pr-2'!R8)</f>
        <v>721975.68</v>
      </c>
      <c r="M8" s="202">
        <f>SUM('3 pr-2'!U8)</f>
        <v>8046402.1500000004</v>
      </c>
      <c r="N8" s="202">
        <f>SUM('3 pr-2'!X8)</f>
        <v>352400.82</v>
      </c>
      <c r="O8" s="202">
        <f>SUM('3 pr-2'!AA8)</f>
        <v>26573517.470000003</v>
      </c>
      <c r="P8" s="187" t="s">
        <v>679</v>
      </c>
      <c r="Q8" s="171" t="s">
        <v>679</v>
      </c>
      <c r="R8" s="172" t="s">
        <v>679</v>
      </c>
      <c r="S8" s="172"/>
    </row>
    <row r="9" spans="1:19" ht="33.75" customHeight="1" thickBot="1">
      <c r="A9" s="287" t="s">
        <v>67</v>
      </c>
      <c r="B9" s="425"/>
      <c r="C9" s="1936" t="str">
        <f>CONCATENATE('3 pr-2'!B9)</f>
        <v>Priemonė:
Kaimo gyvenamųjų vietovių (turinčių iki 1 tūkst. gyventojų) atnaujinimas</v>
      </c>
      <c r="D9" s="2095" t="str">
        <f>CONCATENATE('3 pr-2'!E9)</f>
        <v/>
      </c>
      <c r="E9" s="2095" t="str">
        <f>CONCATENATE('3 pr-2'!F9)</f>
        <v/>
      </c>
      <c r="F9" s="2095" t="str">
        <f>CONCATENATE('3 pr-2'!G9)</f>
        <v/>
      </c>
      <c r="G9" s="2095" t="str">
        <f>CONCATENATE('3 pr-2'!H9)</f>
        <v/>
      </c>
      <c r="H9" s="2095" t="str">
        <f>CONCATENATE('3 pr-2'!I9)</f>
        <v/>
      </c>
      <c r="I9" s="2095" t="str">
        <f>CONCATENATE('3 pr-2'!J9)</f>
        <v/>
      </c>
      <c r="J9" s="426">
        <f>SUM(J10:J32)</f>
        <v>4458652.3499999996</v>
      </c>
      <c r="K9" s="426">
        <f t="shared" ref="K9:O9" si="0">SUM(K10:K32)</f>
        <v>1195247.3499999999</v>
      </c>
      <c r="L9" s="426">
        <f t="shared" ca="1" si="0"/>
        <v>0</v>
      </c>
      <c r="M9" s="426">
        <f t="shared" si="0"/>
        <v>0</v>
      </c>
      <c r="N9" s="426">
        <f t="shared" si="0"/>
        <v>0</v>
      </c>
      <c r="O9" s="427">
        <f t="shared" si="0"/>
        <v>3263405</v>
      </c>
      <c r="P9" s="428"/>
      <c r="Q9" s="429"/>
      <c r="R9" s="430"/>
      <c r="S9" s="430"/>
    </row>
    <row r="10" spans="1:19" ht="49.5" thickBot="1">
      <c r="A10" s="163" t="str">
        <f>CONCATENATE('3 pr-2'!A10)</f>
        <v>1.1.1.1.1</v>
      </c>
      <c r="B10" s="227"/>
      <c r="C10" s="164" t="str">
        <f>CONCATENATE('3 pr-2'!D10)</f>
        <v xml:space="preserve">Druskininkų savivaldybės Viečiūnų seniūnijos Ilgio ir Raigardo seniūnaitijų kelių būklės gerinimas  </v>
      </c>
      <c r="D10" s="164" t="str">
        <f>CONCATENATE('3 pr-2'!E10)</f>
        <v xml:space="preserve">Druskininkų savivaldybės administracija  </v>
      </c>
      <c r="E10" s="164" t="str">
        <f>CONCATENATE('3 pr-2'!F10)</f>
        <v>Lietuvos Respublikos žemės ūkio ministerija</v>
      </c>
      <c r="F10" s="164" t="str">
        <f>CONCATENATE('3 pr-2'!G10)</f>
        <v>Druskininkų sav.</v>
      </c>
      <c r="G10" s="164" t="str">
        <f>CONCATENATE('3 pr-2'!H10)</f>
        <v xml:space="preserve">Pagrindinės paslaugos ir kaimų atnaujinimas kaimo vietovėse </v>
      </c>
      <c r="H10" s="164" t="str">
        <f>CONCATENATE('3 pr-2'!I10)</f>
        <v>R</v>
      </c>
      <c r="I10" s="174" t="str">
        <f>CONCATENATE('3 pr-2'!J10)</f>
        <v>-</v>
      </c>
      <c r="J10" s="175">
        <f>SUM('3 pr-2'!L10)</f>
        <v>250766</v>
      </c>
      <c r="K10" s="176">
        <f>SUM('3 pr-2'!O10)</f>
        <v>91651</v>
      </c>
      <c r="L10" s="176">
        <f ca="1">SUM('3 pr-2'!R10)</f>
        <v>0</v>
      </c>
      <c r="M10" s="176">
        <f>SUM('3 pr-2'!U10)</f>
        <v>0</v>
      </c>
      <c r="N10" s="176">
        <f>SUM('3 pr-2'!X10)</f>
        <v>0</v>
      </c>
      <c r="O10" s="177">
        <f>SUM('3 pr-2'!AA10)</f>
        <v>159115</v>
      </c>
      <c r="P10" s="195">
        <f>SUM('3 pr-2'!AF10)</f>
        <v>42643</v>
      </c>
      <c r="Q10" s="241">
        <v>42643</v>
      </c>
      <c r="R10" s="173">
        <f t="shared" ref="R10:R32" si="1">SUM(P10-Q10)</f>
        <v>0</v>
      </c>
      <c r="S10" s="173">
        <f>IF((MONTH(P10)-MONTH(Q10))=0,0,MONTH(P10)-MONTH(Q10))</f>
        <v>0</v>
      </c>
    </row>
    <row r="11" spans="1:19" ht="49.5" thickBot="1">
      <c r="A11" s="163" t="str">
        <f>CONCATENATE('3 pr-2'!A11)</f>
        <v>1.1.1.1.2</v>
      </c>
      <c r="B11" s="227"/>
      <c r="C11" s="164" t="str">
        <f>CONCATENATE('3 pr-2'!D11)</f>
        <v>Druskininkų savivaldybės Viečiūnų seniūnijos Ratnyčėlės seniūnaitijos kelių būklės gerinimas</v>
      </c>
      <c r="D11" s="164" t="str">
        <f>CONCATENATE('3 pr-2'!E11)</f>
        <v xml:space="preserve">Druskininkų savivaldybės administracija  </v>
      </c>
      <c r="E11" s="164" t="str">
        <f>CONCATENATE('3 pr-2'!F11)</f>
        <v>Lietuvos Respublikos žemės ūkio ministerija</v>
      </c>
      <c r="F11" s="164" t="str">
        <f>CONCATENATE('3 pr-2'!G11)</f>
        <v>Druskininkų sav.</v>
      </c>
      <c r="G11" s="164" t="str">
        <f>CONCATENATE('3 pr-2'!H11)</f>
        <v xml:space="preserve">Pagrindinės paslaugos ir kaimų atnaujinimas kaimo vietovėse </v>
      </c>
      <c r="H11" s="164" t="str">
        <f>CONCATENATE('3 pr-2'!I11)</f>
        <v>R</v>
      </c>
      <c r="I11" s="174" t="str">
        <f>CONCATENATE('3 pr-2'!J11)</f>
        <v>-</v>
      </c>
      <c r="J11" s="175">
        <f>SUM('3 pr-2'!L11)</f>
        <v>188039</v>
      </c>
      <c r="K11" s="176">
        <f>SUM('3 pr-2'!O11)</f>
        <v>66968</v>
      </c>
      <c r="L11" s="176">
        <f ca="1">SUM('3 pr-2'!R11)</f>
        <v>0</v>
      </c>
      <c r="M11" s="176">
        <f>SUM('3 pr-2'!U11)</f>
        <v>0</v>
      </c>
      <c r="N11" s="176">
        <f>SUM('3 pr-2'!X11)</f>
        <v>0</v>
      </c>
      <c r="O11" s="177">
        <f>SUM('3 pr-2'!AA11)</f>
        <v>121071</v>
      </c>
      <c r="P11" s="195">
        <f>SUM('3 pr-2'!AF11)</f>
        <v>42643</v>
      </c>
      <c r="Q11" s="241">
        <v>42643</v>
      </c>
      <c r="R11" s="173">
        <f t="shared" si="1"/>
        <v>0</v>
      </c>
      <c r="S11" s="173">
        <f t="shared" ref="S11:S32" si="2">IF((MONTH(P11)-MONTH(Q11))=0,0,MONTH(P11)-MONTH(Q11))</f>
        <v>0</v>
      </c>
    </row>
    <row r="12" spans="1:19" ht="49.5" thickBot="1">
      <c r="A12" s="163" t="str">
        <f>CONCATENATE('3 pr-2'!A12)</f>
        <v>1.1.1.1.3</v>
      </c>
      <c r="B12" s="227"/>
      <c r="C12" s="164" t="str">
        <f>CONCATENATE('3 pr-2'!D12)</f>
        <v>Druskininkų savivaldybės Leipalingio seniūnijos Klonio seniūnaitijos kelių būklės gerinimas</v>
      </c>
      <c r="D12" s="164" t="str">
        <f>CONCATENATE('3 pr-2'!E12)</f>
        <v xml:space="preserve">Druskininkų savivaldybės administracija  </v>
      </c>
      <c r="E12" s="164" t="str">
        <f>CONCATENATE('3 pr-2'!F12)</f>
        <v>Lietuvos Respublikos žemės ūkio ministerija</v>
      </c>
      <c r="F12" s="164" t="str">
        <f>CONCATENATE('3 pr-2'!G12)</f>
        <v>Druskininkų sav.</v>
      </c>
      <c r="G12" s="164" t="str">
        <f>CONCATENATE('3 pr-2'!H12)</f>
        <v xml:space="preserve">Pagrindinės paslaugos ir kaimų atnaujinimas kaimo vietovėse </v>
      </c>
      <c r="H12" s="164" t="str">
        <f>CONCATENATE('3 pr-2'!I12)</f>
        <v>R</v>
      </c>
      <c r="I12" s="174" t="str">
        <f>CONCATENATE('3 pr-2'!J12)</f>
        <v>-</v>
      </c>
      <c r="J12" s="175">
        <f>SUM('3 pr-2'!L12)</f>
        <v>222319</v>
      </c>
      <c r="K12" s="176">
        <f>SUM('3 pr-2'!O12)</f>
        <v>67873</v>
      </c>
      <c r="L12" s="176">
        <f ca="1">SUM('3 pr-2'!R12)</f>
        <v>0</v>
      </c>
      <c r="M12" s="176">
        <f>SUM('3 pr-2'!U12)</f>
        <v>0</v>
      </c>
      <c r="N12" s="176">
        <f>SUM('3 pr-2'!X12)</f>
        <v>0</v>
      </c>
      <c r="O12" s="177">
        <f>SUM('3 pr-2'!AA12)</f>
        <v>154446</v>
      </c>
      <c r="P12" s="195">
        <f>SUM('3 pr-2'!AF12)</f>
        <v>42643</v>
      </c>
      <c r="Q12" s="241">
        <v>42643</v>
      </c>
      <c r="R12" s="173">
        <f t="shared" si="1"/>
        <v>0</v>
      </c>
      <c r="S12" s="173">
        <f t="shared" si="2"/>
        <v>0</v>
      </c>
    </row>
    <row r="13" spans="1:19" ht="49.5" thickBot="1">
      <c r="A13" s="163" t="str">
        <f>CONCATENATE('3 pr-2'!A13)</f>
        <v>1.1.1.1.4</v>
      </c>
      <c r="B13" s="227"/>
      <c r="C13" s="164" t="str">
        <f>CONCATENATE('3 pr-2'!D13)</f>
        <v>Rudaminos laisvalaikio salės pritaikymas bendruomenės poreikiams ir liaudies amatų plėtrai</v>
      </c>
      <c r="D13" s="164" t="str">
        <f>CONCATENATE('3 pr-2'!E13)</f>
        <v>Viešoji įstaiga Lazdijų kultūros centras</v>
      </c>
      <c r="E13" s="164" t="str">
        <f>CONCATENATE('3 pr-2'!F13)</f>
        <v>Lietuvos Respublikos žemės ūkio ministerija</v>
      </c>
      <c r="F13" s="164" t="str">
        <f>CONCATENATE('3 pr-2'!G13)</f>
        <v>Lazdijų r. sav.</v>
      </c>
      <c r="G13" s="164" t="str">
        <f>CONCATENATE('3 pr-2'!H13)</f>
        <v xml:space="preserve">Pagrindinės paslaugos ir kaimų atnaujinimas kaimo vietovėse </v>
      </c>
      <c r="H13" s="164" t="str">
        <f>CONCATENATE('3 pr-2'!I13)</f>
        <v>R</v>
      </c>
      <c r="I13" s="174" t="str">
        <f>CONCATENATE('3 pr-2'!J13)</f>
        <v>-</v>
      </c>
      <c r="J13" s="175">
        <f>SUM('3 pr-2'!L13)</f>
        <v>123160</v>
      </c>
      <c r="K13" s="176">
        <f>SUM('3 pr-2'!O13)</f>
        <v>24632</v>
      </c>
      <c r="L13" s="176">
        <f ca="1">SUM('3 pr-2'!R13)</f>
        <v>0</v>
      </c>
      <c r="M13" s="176">
        <f>SUM('3 pr-2'!U13)</f>
        <v>0</v>
      </c>
      <c r="N13" s="176">
        <f>SUM('3 pr-2'!X13)</f>
        <v>0</v>
      </c>
      <c r="O13" s="177">
        <f>SUM('3 pr-2'!AA13)</f>
        <v>98528</v>
      </c>
      <c r="P13" s="195">
        <f>SUM('3 pr-2'!AF13)</f>
        <v>42643</v>
      </c>
      <c r="Q13" s="241">
        <v>42643</v>
      </c>
      <c r="R13" s="173">
        <f t="shared" si="1"/>
        <v>0</v>
      </c>
      <c r="S13" s="173">
        <f t="shared" si="2"/>
        <v>0</v>
      </c>
    </row>
    <row r="14" spans="1:19" ht="49.5" thickBot="1">
      <c r="A14" s="163" t="str">
        <f>CONCATENATE('3 pr-2'!A14)</f>
        <v>1.1.1.1.5</v>
      </c>
      <c r="B14" s="227"/>
      <c r="C14" s="164" t="str">
        <f>CONCATENATE('3 pr-2'!D14)</f>
        <v>Druskininkų savivaldybės Leipalingio seniūnijos Bilso seniūnaitijos kelių būklės gerinimas</v>
      </c>
      <c r="D14" s="164" t="str">
        <f>CONCATENATE('3 pr-2'!E14)</f>
        <v xml:space="preserve">Druskininkų savivaldybės administracija  </v>
      </c>
      <c r="E14" s="164" t="str">
        <f>CONCATENATE('3 pr-2'!F14)</f>
        <v>Lietuvos Respublikos žemės ūkio ministerija</v>
      </c>
      <c r="F14" s="164" t="str">
        <f>CONCATENATE('3 pr-2'!G14)</f>
        <v>Druskininkų sav.</v>
      </c>
      <c r="G14" s="164" t="str">
        <f>CONCATENATE('3 pr-2'!H14)</f>
        <v xml:space="preserve">Pagrindinės paslaugos ir kaimų atnaujinimas kaimo vietovėse </v>
      </c>
      <c r="H14" s="164" t="str">
        <f>CONCATENATE('3 pr-2'!I14)</f>
        <v>R</v>
      </c>
      <c r="I14" s="174" t="str">
        <f>CONCATENATE('3 pr-2'!J14)</f>
        <v>-</v>
      </c>
      <c r="J14" s="175">
        <f>SUM('3 pr-2'!L14)</f>
        <v>265076</v>
      </c>
      <c r="K14" s="176">
        <f>SUM('3 pr-2'!O14)</f>
        <v>137032</v>
      </c>
      <c r="L14" s="176">
        <f ca="1">SUM('3 pr-2'!R14)</f>
        <v>0</v>
      </c>
      <c r="M14" s="176">
        <f>SUM('3 pr-2'!U14)</f>
        <v>0</v>
      </c>
      <c r="N14" s="176">
        <f>SUM('3 pr-2'!X14)</f>
        <v>0</v>
      </c>
      <c r="O14" s="177">
        <f>SUM('3 pr-2'!AA14)</f>
        <v>128044</v>
      </c>
      <c r="P14" s="195">
        <f>SUM('3 pr-2'!AF14)</f>
        <v>42643</v>
      </c>
      <c r="Q14" s="241">
        <v>42643</v>
      </c>
      <c r="R14" s="173">
        <f t="shared" si="1"/>
        <v>0</v>
      </c>
      <c r="S14" s="173">
        <f t="shared" si="2"/>
        <v>0</v>
      </c>
    </row>
    <row r="15" spans="1:19" ht="61.5" thickBot="1">
      <c r="A15" s="163" t="str">
        <f>CONCATENATE('3 pr-2'!A15)</f>
        <v>1.1.1.1.6</v>
      </c>
      <c r="B15" s="227"/>
      <c r="C15" s="164" t="str">
        <f>CONCATENATE('3 pr-2'!D15)</f>
        <v>Lazdijų rajono kaimų patrauklumo didinimas atnaujinant bibliotekas</v>
      </c>
      <c r="D15" s="164" t="str">
        <f>CONCATENATE('3 pr-2'!E15)</f>
        <v xml:space="preserve">Biudžetinė įstaiga Lazdijų rajono savivaldybės viešoji biblioteka </v>
      </c>
      <c r="E15" s="164" t="str">
        <f>CONCATENATE('3 pr-2'!F15)</f>
        <v>Lietuvos Respublikos žemės ūkio ministerija</v>
      </c>
      <c r="F15" s="164" t="str">
        <f>CONCATENATE('3 pr-2'!G15)</f>
        <v>Lazdijų r. sav.</v>
      </c>
      <c r="G15" s="164" t="str">
        <f>CONCATENATE('3 pr-2'!H15)</f>
        <v xml:space="preserve">Pagrindinės paslaugos ir kaimų atnaujinimas kaimo vietovėse </v>
      </c>
      <c r="H15" s="164" t="str">
        <f>CONCATENATE('3 pr-2'!I15)</f>
        <v>R</v>
      </c>
      <c r="I15" s="174" t="str">
        <f>CONCATENATE('3 pr-2'!J15)</f>
        <v>-</v>
      </c>
      <c r="J15" s="175">
        <f>SUM('3 pr-2'!L15)</f>
        <v>200999</v>
      </c>
      <c r="K15" s="176">
        <f>SUM('3 pr-2'!O15)</f>
        <v>41071</v>
      </c>
      <c r="L15" s="176">
        <f ca="1">SUM('3 pr-2'!R15)</f>
        <v>0</v>
      </c>
      <c r="M15" s="176">
        <f>SUM('3 pr-2'!U15)</f>
        <v>0</v>
      </c>
      <c r="N15" s="176">
        <f>SUM('3 pr-2'!X15)</f>
        <v>0</v>
      </c>
      <c r="O15" s="177">
        <f>SUM('3 pr-2'!AA15)</f>
        <v>159928</v>
      </c>
      <c r="P15" s="195">
        <f>SUM('3 pr-2'!AF15)</f>
        <v>42643</v>
      </c>
      <c r="Q15" s="241">
        <v>42643</v>
      </c>
      <c r="R15" s="173">
        <f t="shared" si="1"/>
        <v>0</v>
      </c>
      <c r="S15" s="173">
        <f t="shared" si="2"/>
        <v>0</v>
      </c>
    </row>
    <row r="16" spans="1:19" ht="49.5" thickBot="1">
      <c r="A16" s="163" t="str">
        <f>CONCATENATE('3 pr-2'!A16)</f>
        <v>1.1.1.1.7</v>
      </c>
      <c r="B16" s="227"/>
      <c r="C16" s="164" t="str">
        <f>CONCATENATE('3 pr-2'!D16)</f>
        <v>Alytaus rajono Miroslavo kaimo multifunkcinės sporto aikštės įrengimas ir gatvių bei šaligatvių rekonstrukcija</v>
      </c>
      <c r="D16" s="164" t="str">
        <f>CONCATENATE('3 pr-2'!E16)</f>
        <v>Alytaus rajono savivaldybės administracija</v>
      </c>
      <c r="E16" s="164" t="str">
        <f>CONCATENATE('3 pr-2'!F16)</f>
        <v>Lietuvos Respublikos žemės ūkio ministerija</v>
      </c>
      <c r="F16" s="164" t="str">
        <f>CONCATENATE('3 pr-2'!G16)</f>
        <v>Alytaus r. sav.</v>
      </c>
      <c r="G16" s="164" t="str">
        <f>CONCATENATE('3 pr-2'!H16)</f>
        <v xml:space="preserve">Pagrindinės paslaugos ir kaimų atnaujinimas kaimo vietovėse </v>
      </c>
      <c r="H16" s="164" t="str">
        <f>CONCATENATE('3 pr-2'!I16)</f>
        <v>R</v>
      </c>
      <c r="I16" s="174" t="str">
        <f>CONCATENATE('3 pr-2'!J16)</f>
        <v>-</v>
      </c>
      <c r="J16" s="175">
        <f>SUM('3 pr-2'!L16)</f>
        <v>252211.6</v>
      </c>
      <c r="K16" s="176">
        <f>SUM('3 pr-2'!O16)</f>
        <v>52211.6</v>
      </c>
      <c r="L16" s="176">
        <f ca="1">SUM('3 pr-2'!R16)</f>
        <v>0</v>
      </c>
      <c r="M16" s="176">
        <f>SUM('3 pr-2'!U16)</f>
        <v>0</v>
      </c>
      <c r="N16" s="176">
        <f>SUM('3 pr-2'!X16)</f>
        <v>0</v>
      </c>
      <c r="O16" s="177">
        <f>SUM('3 pr-2'!AA16)</f>
        <v>200000</v>
      </c>
      <c r="P16" s="195">
        <f>SUM('3 pr-2'!AF16)</f>
        <v>42643</v>
      </c>
      <c r="Q16" s="241">
        <v>42643</v>
      </c>
      <c r="R16" s="173">
        <f t="shared" si="1"/>
        <v>0</v>
      </c>
      <c r="S16" s="173">
        <f t="shared" si="2"/>
        <v>0</v>
      </c>
    </row>
    <row r="17" spans="1:19" ht="49.5" thickBot="1">
      <c r="A17" s="163" t="str">
        <f>CONCATENATE('3 pr-2'!A17)</f>
        <v>1.1.1.1.8</v>
      </c>
      <c r="B17" s="227"/>
      <c r="C17" s="164" t="str">
        <f>CONCATENATE('3 pr-2'!D17)</f>
        <v>Alytaus rajono Luksnėnų kaimo multifunkcinės sporto aikštės įrengimas ir gatvių rekonstrukcija</v>
      </c>
      <c r="D17" s="164" t="str">
        <f>CONCATENATE('3 pr-2'!E17)</f>
        <v>Alytaus rajono savivaldybės administracija</v>
      </c>
      <c r="E17" s="164" t="str">
        <f>CONCATENATE('3 pr-2'!F17)</f>
        <v>Lietuvos Respublikos žemės ūkio ministerija</v>
      </c>
      <c r="F17" s="164" t="str">
        <f>CONCATENATE('3 pr-2'!G17)</f>
        <v>Alytaus r. sav.</v>
      </c>
      <c r="G17" s="164" t="str">
        <f>CONCATENATE('3 pr-2'!H17)</f>
        <v xml:space="preserve">Pagrindinės paslaugos ir kaimų atnaujinimas kaimo vietovėse </v>
      </c>
      <c r="H17" s="164" t="str">
        <f>CONCATENATE('3 pr-2'!I17)</f>
        <v>R</v>
      </c>
      <c r="I17" s="174" t="str">
        <f>CONCATENATE('3 pr-2'!J17)</f>
        <v>-</v>
      </c>
      <c r="J17" s="175">
        <f>SUM('3 pr-2'!L17)</f>
        <v>250309.29</v>
      </c>
      <c r="K17" s="176">
        <f>SUM('3 pr-2'!O17)</f>
        <v>50309.29</v>
      </c>
      <c r="L17" s="176">
        <f ca="1">SUM('3 pr-2'!R17)</f>
        <v>0</v>
      </c>
      <c r="M17" s="176">
        <f>SUM('3 pr-2'!U17)</f>
        <v>0</v>
      </c>
      <c r="N17" s="176">
        <f>SUM('3 pr-2'!X17)</f>
        <v>0</v>
      </c>
      <c r="O17" s="177">
        <f>SUM('3 pr-2'!AA17)</f>
        <v>200000</v>
      </c>
      <c r="P17" s="195">
        <f>SUM('3 pr-2'!AF17)</f>
        <v>42643</v>
      </c>
      <c r="Q17" s="241">
        <v>42643</v>
      </c>
      <c r="R17" s="173">
        <f t="shared" si="1"/>
        <v>0</v>
      </c>
      <c r="S17" s="173">
        <f t="shared" si="2"/>
        <v>0</v>
      </c>
    </row>
    <row r="18" spans="1:19" ht="49.5" thickBot="1">
      <c r="A18" s="163" t="str">
        <f>CONCATENATE('3 pr-2'!A18)</f>
        <v>1.1.1.1.9</v>
      </c>
      <c r="B18" s="227"/>
      <c r="C18" s="164" t="str">
        <f>CONCATENATE('3 pr-2'!D18)</f>
        <v>Krikštonių laisvalaikio salės pritaikymas bendruomenės poreikiams</v>
      </c>
      <c r="D18" s="164" t="str">
        <f>CONCATENATE('3 pr-2'!E18)</f>
        <v xml:space="preserve">Viešoji įstaiga Lazdijų kultūros centras </v>
      </c>
      <c r="E18" s="164" t="str">
        <f>CONCATENATE('3 pr-2'!F18)</f>
        <v>Lietuvos Respublikos žemės ūkio ministerija</v>
      </c>
      <c r="F18" s="164" t="str">
        <f>CONCATENATE('3 pr-2'!G18)</f>
        <v>Lazdijų r. sav.</v>
      </c>
      <c r="G18" s="164" t="str">
        <f>CONCATENATE('3 pr-2'!H18)</f>
        <v xml:space="preserve">Pagrindinės paslaugos ir kaimų atnaujinimas kaimo vietovėse </v>
      </c>
      <c r="H18" s="164" t="str">
        <f>CONCATENATE('3 pr-2'!I18)</f>
        <v>R</v>
      </c>
      <c r="I18" s="174" t="str">
        <f>CONCATENATE('3 pr-2'!J18)</f>
        <v>-</v>
      </c>
      <c r="J18" s="175">
        <f>SUM('3 pr-2'!L18)</f>
        <v>250000</v>
      </c>
      <c r="K18" s="176">
        <f>SUM('3 pr-2'!O18)</f>
        <v>50000</v>
      </c>
      <c r="L18" s="176">
        <f ca="1">SUM('3 pr-2'!R18)</f>
        <v>0</v>
      </c>
      <c r="M18" s="176">
        <f>SUM('3 pr-2'!U18)</f>
        <v>0</v>
      </c>
      <c r="N18" s="176">
        <f>SUM('3 pr-2'!X18)</f>
        <v>0</v>
      </c>
      <c r="O18" s="177">
        <f>SUM('3 pr-2'!AA18)</f>
        <v>200000</v>
      </c>
      <c r="P18" s="195">
        <f>SUM('3 pr-2'!AF18)</f>
        <v>42643</v>
      </c>
      <c r="Q18" s="241">
        <v>42643</v>
      </c>
      <c r="R18" s="173">
        <f t="shared" si="1"/>
        <v>0</v>
      </c>
      <c r="S18" s="173">
        <f t="shared" si="2"/>
        <v>0</v>
      </c>
    </row>
    <row r="19" spans="1:19" ht="49.5" thickBot="1">
      <c r="A19" s="163" t="str">
        <f>CONCATENATE('3 pr-2'!A19)</f>
        <v>1.1.1.1.10</v>
      </c>
      <c r="B19" s="227"/>
      <c r="C19" s="164" t="str">
        <f>CONCATENATE('3 pr-2'!D19)</f>
        <v>Kučiūnų laisvalaikio salės pritaikymas bendruomenės poreikiams</v>
      </c>
      <c r="D19" s="164" t="str">
        <f>CONCATENATE('3 pr-2'!E19)</f>
        <v xml:space="preserve">Viešoji įstaiga Lazdijų kultūros centras </v>
      </c>
      <c r="E19" s="164" t="str">
        <f>CONCATENATE('3 pr-2'!F19)</f>
        <v>Lietuvos Respublikos žemės ūkio ministerija</v>
      </c>
      <c r="F19" s="164" t="str">
        <f>CONCATENATE('3 pr-2'!G19)</f>
        <v>Lazdijų r. sav.</v>
      </c>
      <c r="G19" s="164" t="str">
        <f>CONCATENATE('3 pr-2'!H19)</f>
        <v xml:space="preserve">Pagrindinės paslaugos ir kaimų atnaujinimas kaimo vietovėse </v>
      </c>
      <c r="H19" s="164" t="str">
        <f>CONCATENATE('3 pr-2'!I19)</f>
        <v>R</v>
      </c>
      <c r="I19" s="174" t="str">
        <f>CONCATENATE('3 pr-2'!J19)</f>
        <v>-</v>
      </c>
      <c r="J19" s="175">
        <f>SUM('3 pr-2'!L19)</f>
        <v>250000</v>
      </c>
      <c r="K19" s="176">
        <f>SUM('3 pr-2'!O19)</f>
        <v>62460</v>
      </c>
      <c r="L19" s="176">
        <f ca="1">SUM('3 pr-2'!R19)</f>
        <v>0</v>
      </c>
      <c r="M19" s="176">
        <f>SUM('3 pr-2'!U19)</f>
        <v>0</v>
      </c>
      <c r="N19" s="176">
        <f>SUM('3 pr-2'!X19)</f>
        <v>0</v>
      </c>
      <c r="O19" s="177">
        <f>SUM('3 pr-2'!AA19)</f>
        <v>187540</v>
      </c>
      <c r="P19" s="195">
        <f>SUM('3 pr-2'!AF19)</f>
        <v>42643</v>
      </c>
      <c r="Q19" s="241">
        <v>42643</v>
      </c>
      <c r="R19" s="173">
        <f t="shared" si="1"/>
        <v>0</v>
      </c>
      <c r="S19" s="173">
        <f t="shared" si="2"/>
        <v>0</v>
      </c>
    </row>
    <row r="20" spans="1:19" ht="49.5" thickBot="1">
      <c r="A20" s="163" t="str">
        <f>CONCATENATE('3 pr-2'!A20)</f>
        <v>1.1.1.1.11</v>
      </c>
      <c r="B20" s="227"/>
      <c r="C20" s="164" t="str">
        <f>CONCATENATE('3 pr-2'!D20)</f>
        <v>Laisvalaikio infrastruktūros sukūrimas Lazdijų rajono kaimo gyvenamosiose vietovėse</v>
      </c>
      <c r="D20" s="164" t="str">
        <f>CONCATENATE('3 pr-2'!E20)</f>
        <v>Lazdijų rajono savivaldybės administracija</v>
      </c>
      <c r="E20" s="164" t="str">
        <f>CONCATENATE('3 pr-2'!F20)</f>
        <v>Lietuvos Respublikos žemės ūkio ministerija</v>
      </c>
      <c r="F20" s="164" t="str">
        <f>CONCATENATE('3 pr-2'!G20)</f>
        <v>Lazdijų r. sav.</v>
      </c>
      <c r="G20" s="164" t="str">
        <f>CONCATENATE('3 pr-2'!H20)</f>
        <v xml:space="preserve">Pagrindinės paslaugos ir kaimų atnaujinimas kaimo vietovėse </v>
      </c>
      <c r="H20" s="164" t="str">
        <f>CONCATENATE('3 pr-2'!I20)</f>
        <v>R</v>
      </c>
      <c r="I20" s="174" t="str">
        <f>CONCATENATE('3 pr-2'!J20)</f>
        <v>-</v>
      </c>
      <c r="J20" s="175">
        <f>SUM('3 pr-2'!L20)</f>
        <v>125000</v>
      </c>
      <c r="K20" s="176">
        <f>SUM('3 pr-2'!O20)</f>
        <v>25000</v>
      </c>
      <c r="L20" s="176">
        <f ca="1">SUM('3 pr-2'!R20)</f>
        <v>0</v>
      </c>
      <c r="M20" s="176">
        <f>SUM('3 pr-2'!U20)</f>
        <v>0</v>
      </c>
      <c r="N20" s="176">
        <f>SUM('3 pr-2'!X20)</f>
        <v>0</v>
      </c>
      <c r="O20" s="177">
        <f>SUM('3 pr-2'!AA20)</f>
        <v>100000</v>
      </c>
      <c r="P20" s="195">
        <f>SUM('3 pr-2'!AF20)</f>
        <v>42643</v>
      </c>
      <c r="Q20" s="241">
        <v>42643</v>
      </c>
      <c r="R20" s="173">
        <f t="shared" si="1"/>
        <v>0</v>
      </c>
      <c r="S20" s="173">
        <f t="shared" si="2"/>
        <v>0</v>
      </c>
    </row>
    <row r="21" spans="1:19" ht="49.5" thickBot="1">
      <c r="A21" s="163" t="str">
        <f>CONCATENATE('3 pr-2'!A21)</f>
        <v>1.1.1.1.12</v>
      </c>
      <c r="B21" s="227"/>
      <c r="C21" s="164" t="str">
        <f>CONCATENATE('3 pr-2'!D21)</f>
        <v>Alytaus rajono Butrimonių miestelio šaligatvių kapitalinis remontas ir gyvenvietės apšvietimo įrengimas</v>
      </c>
      <c r="D21" s="164" t="str">
        <f>CONCATENATE('3 pr-2'!E21)</f>
        <v>Alytaus rajono savivaldybės administracija</v>
      </c>
      <c r="E21" s="164" t="str">
        <f>CONCATENATE('3 pr-2'!F21)</f>
        <v>Lietuvos Respublikos žemės ūkio ministerija</v>
      </c>
      <c r="F21" s="164" t="str">
        <f>CONCATENATE('3 pr-2'!G21)</f>
        <v>Alytaus r. sav.</v>
      </c>
      <c r="G21" s="164" t="str">
        <f>CONCATENATE('3 pr-2'!H21)</f>
        <v xml:space="preserve">Pagrindinės paslaugos ir kaimų atnaujinimas kaimo vietovėse </v>
      </c>
      <c r="H21" s="164" t="str">
        <f>CONCATENATE('3 pr-2'!I21)</f>
        <v>R</v>
      </c>
      <c r="I21" s="174" t="str">
        <f>CONCATENATE('3 pr-2'!J21)</f>
        <v>-</v>
      </c>
      <c r="J21" s="175">
        <f>SUM('3 pr-2'!L21)</f>
        <v>190756</v>
      </c>
      <c r="K21" s="176">
        <f>SUM('3 pr-2'!O21)</f>
        <v>67904</v>
      </c>
      <c r="L21" s="176">
        <f ca="1">SUM('3 pr-2'!R21)</f>
        <v>0</v>
      </c>
      <c r="M21" s="176">
        <f>SUM('3 pr-2'!U21)</f>
        <v>0</v>
      </c>
      <c r="N21" s="176">
        <f>SUM('3 pr-2'!X21)</f>
        <v>0</v>
      </c>
      <c r="O21" s="177">
        <f>SUM('3 pr-2'!AA21)</f>
        <v>122852</v>
      </c>
      <c r="P21" s="195">
        <f>SUM('3 pr-2'!AF21)</f>
        <v>42643</v>
      </c>
      <c r="Q21" s="241">
        <v>42643</v>
      </c>
      <c r="R21" s="173">
        <f t="shared" si="1"/>
        <v>0</v>
      </c>
      <c r="S21" s="173">
        <f t="shared" si="2"/>
        <v>0</v>
      </c>
    </row>
    <row r="22" spans="1:19" ht="49.5" thickBot="1">
      <c r="A22" s="163" t="str">
        <f>CONCATENATE('3 pr-2'!A22)</f>
        <v>1.1.1.1.13</v>
      </c>
      <c r="B22" s="227"/>
      <c r="C22" s="164" t="str">
        <f>CONCATENATE('3 pr-2'!D22)</f>
        <v>Alytaus rajono Genių kaimo sporto aikštės įrengimas ir gatvių rekonstrukcija</v>
      </c>
      <c r="D22" s="164" t="str">
        <f>CONCATENATE('3 pr-2'!E22)</f>
        <v>Alytaus rajono savivaldybės administracija</v>
      </c>
      <c r="E22" s="164" t="str">
        <f>CONCATENATE('3 pr-2'!F22)</f>
        <v>Lietuvos Respublikos žemės ūkio ministerija</v>
      </c>
      <c r="F22" s="164" t="str">
        <f>CONCATENATE('3 pr-2'!G22)</f>
        <v>Alytaus r. sav.</v>
      </c>
      <c r="G22" s="164" t="str">
        <f>CONCATENATE('3 pr-2'!H22)</f>
        <v xml:space="preserve">Pagrindinės paslaugos ir kaimų atnaujinimas kaimo vietovėse </v>
      </c>
      <c r="H22" s="164" t="str">
        <f>CONCATENATE('3 pr-2'!I22)</f>
        <v>R</v>
      </c>
      <c r="I22" s="174" t="str">
        <f>CONCATENATE('3 pr-2'!J22)</f>
        <v>-</v>
      </c>
      <c r="J22" s="175">
        <f>SUM('3 pr-2'!L22)</f>
        <v>247392.46</v>
      </c>
      <c r="K22" s="176">
        <f>SUM('3 pr-2'!O22)</f>
        <v>47392.46</v>
      </c>
      <c r="L22" s="176">
        <f ca="1">SUM('3 pr-2'!R22)</f>
        <v>0</v>
      </c>
      <c r="M22" s="176">
        <f>SUM('3 pr-2'!U22)</f>
        <v>0</v>
      </c>
      <c r="N22" s="176">
        <f>SUM('3 pr-2'!X22)</f>
        <v>0</v>
      </c>
      <c r="O22" s="177">
        <f>SUM('3 pr-2'!AA22)</f>
        <v>200000</v>
      </c>
      <c r="P22" s="195">
        <f>SUM('3 pr-2'!AF22)</f>
        <v>42643</v>
      </c>
      <c r="Q22" s="241">
        <v>42643</v>
      </c>
      <c r="R22" s="173">
        <f t="shared" si="1"/>
        <v>0</v>
      </c>
      <c r="S22" s="173">
        <f t="shared" si="2"/>
        <v>0</v>
      </c>
    </row>
    <row r="23" spans="1:19" ht="49.5" thickBot="1">
      <c r="A23" s="163" t="str">
        <f>CONCATENATE('3 pr-2'!A23)</f>
        <v>1.1.1.1.14</v>
      </c>
      <c r="B23" s="227"/>
      <c r="C23" s="164" t="str">
        <f>CONCATENATE('3 pr-2'!D23)</f>
        <v>Varėnos r. Dargužių kaimo Liepų gatvės ir viešosios erdvės įrengimas</v>
      </c>
      <c r="D23" s="164" t="str">
        <f>CONCATENATE('3 pr-2'!E23)</f>
        <v xml:space="preserve">Varėnos rajono savivaldybės administracija </v>
      </c>
      <c r="E23" s="164" t="str">
        <f>CONCATENATE('3 pr-2'!F23)</f>
        <v>Lietuvos Respublikos žemės ūkio ministerija</v>
      </c>
      <c r="F23" s="164" t="str">
        <f>CONCATENATE('3 pr-2'!G23)</f>
        <v>Varėnos r. sav.</v>
      </c>
      <c r="G23" s="164" t="str">
        <f>CONCATENATE('3 pr-2'!H23)</f>
        <v xml:space="preserve">Pagrindinės paslaugos ir kaimų atnaujinimas kaimo vietovėse </v>
      </c>
      <c r="H23" s="164" t="str">
        <f>CONCATENATE('3 pr-2'!I23)</f>
        <v>R</v>
      </c>
      <c r="I23" s="174" t="str">
        <f>CONCATENATE('3 pr-2'!J23)</f>
        <v>-</v>
      </c>
      <c r="J23" s="175">
        <f>SUM('3 pr-2'!L23)</f>
        <v>215626</v>
      </c>
      <c r="K23" s="176">
        <f>SUM('3 pr-2'!O23)</f>
        <v>43125.2</v>
      </c>
      <c r="L23" s="176">
        <f ca="1">SUM('3 pr-2'!R23)</f>
        <v>0</v>
      </c>
      <c r="M23" s="176">
        <f>SUM('3 pr-2'!U23)</f>
        <v>0</v>
      </c>
      <c r="N23" s="176">
        <f>SUM('3 pr-2'!X23)</f>
        <v>0</v>
      </c>
      <c r="O23" s="177">
        <f>SUM('3 pr-2'!AA23)</f>
        <v>172500.8</v>
      </c>
      <c r="P23" s="195">
        <f>SUM('3 pr-2'!AF23)</f>
        <v>42643</v>
      </c>
      <c r="Q23" s="241">
        <v>42643</v>
      </c>
      <c r="R23" s="173">
        <f t="shared" si="1"/>
        <v>0</v>
      </c>
      <c r="S23" s="173">
        <f t="shared" si="2"/>
        <v>0</v>
      </c>
    </row>
    <row r="24" spans="1:19" ht="49.5" thickBot="1">
      <c r="A24" s="163" t="str">
        <f>CONCATENATE('3 pr-2'!A24)</f>
        <v>1.1.1.1.15</v>
      </c>
      <c r="B24" s="227"/>
      <c r="C24" s="164" t="str">
        <f>CONCATENATE('3 pr-2'!D24)</f>
        <v>Alytaus rajono Vaisodžių kaimo sporto aikštės įrengimas ir gatvių apšvietimo atnaujinimas bei plėtra</v>
      </c>
      <c r="D24" s="164" t="str">
        <f>CONCATENATE('3 pr-2'!E24)</f>
        <v>Alytaus rajono savivaldybės administracija</v>
      </c>
      <c r="E24" s="164" t="str">
        <f>CONCATENATE('3 pr-2'!F24)</f>
        <v>Lietuvos Respublikos žemės ūkio ministerija</v>
      </c>
      <c r="F24" s="164" t="str">
        <f>CONCATENATE('3 pr-2'!G24)</f>
        <v>Alytaus r. sav.</v>
      </c>
      <c r="G24" s="164" t="str">
        <f>CONCATENATE('3 pr-2'!H24)</f>
        <v xml:space="preserve">Pagrindinės paslaugos ir kaimų atnaujinimas kaimo vietovėse </v>
      </c>
      <c r="H24" s="164" t="str">
        <f>CONCATENATE('3 pr-2'!I24)</f>
        <v>R</v>
      </c>
      <c r="I24" s="174" t="str">
        <f>CONCATENATE('3 pr-2'!J24)</f>
        <v>-</v>
      </c>
      <c r="J24" s="175">
        <f>SUM('3 pr-2'!L24)</f>
        <v>75880</v>
      </c>
      <c r="K24" s="176">
        <f>SUM('3 pr-2'!O24)</f>
        <v>15176</v>
      </c>
      <c r="L24" s="176">
        <f ca="1">SUM('3 pr-2'!R24)</f>
        <v>0</v>
      </c>
      <c r="M24" s="176">
        <f>SUM('3 pr-2'!U24)</f>
        <v>0</v>
      </c>
      <c r="N24" s="176">
        <f>SUM('3 pr-2'!X24)</f>
        <v>0</v>
      </c>
      <c r="O24" s="177">
        <f>SUM('3 pr-2'!AA24)</f>
        <v>60704</v>
      </c>
      <c r="P24" s="195">
        <f>SUM('3 pr-2'!AF24)</f>
        <v>42643</v>
      </c>
      <c r="Q24" s="241">
        <v>42643</v>
      </c>
      <c r="R24" s="173">
        <f t="shared" si="1"/>
        <v>0</v>
      </c>
      <c r="S24" s="173">
        <f t="shared" si="2"/>
        <v>0</v>
      </c>
    </row>
    <row r="25" spans="1:19" ht="49.5" thickBot="1">
      <c r="A25" s="163" t="str">
        <f>CONCATENATE('3 pr-2'!A25)</f>
        <v>1.1.1.1.16</v>
      </c>
      <c r="B25" s="227"/>
      <c r="C25" s="164" t="str">
        <f>CONCATENATE('3 pr-2'!D25)</f>
        <v>Alytaus rajono Talokių kaimo sporto aikštės įrengimas ir Plytinės gatvės apšvietimas</v>
      </c>
      <c r="D25" s="164" t="str">
        <f>CONCATENATE('3 pr-2'!E25)</f>
        <v>Alytaus rajono savivaldybės administracija</v>
      </c>
      <c r="E25" s="164" t="str">
        <f>CONCATENATE('3 pr-2'!F25)</f>
        <v>Lietuvos Respublikos žemės ūkio ministerija</v>
      </c>
      <c r="F25" s="164" t="str">
        <f>CONCATENATE('3 pr-2'!G25)</f>
        <v>Alytaus r. sav.</v>
      </c>
      <c r="G25" s="164" t="str">
        <f>CONCATENATE('3 pr-2'!H25)</f>
        <v xml:space="preserve">Pagrindinės paslaugos ir kaimų atnaujinimas kaimo vietovėse </v>
      </c>
      <c r="H25" s="164" t="str">
        <f>CONCATENATE('3 pr-2'!I25)</f>
        <v>R</v>
      </c>
      <c r="I25" s="174" t="str">
        <f>CONCATENATE('3 pr-2'!J25)</f>
        <v>-</v>
      </c>
      <c r="J25" s="175">
        <f>SUM('3 pr-2'!L25)</f>
        <v>141312</v>
      </c>
      <c r="K25" s="176">
        <f>SUM('3 pr-2'!O25)</f>
        <v>44913</v>
      </c>
      <c r="L25" s="176">
        <f ca="1">SUM('3 pr-2'!R25)</f>
        <v>0</v>
      </c>
      <c r="M25" s="176">
        <f>SUM('3 pr-2'!U25)</f>
        <v>0</v>
      </c>
      <c r="N25" s="176">
        <f>SUM('3 pr-2'!X25)</f>
        <v>0</v>
      </c>
      <c r="O25" s="177">
        <f>SUM('3 pr-2'!AA25)</f>
        <v>96399</v>
      </c>
      <c r="P25" s="195">
        <f>SUM('3 pr-2'!AF25)</f>
        <v>42643</v>
      </c>
      <c r="Q25" s="241">
        <v>42643</v>
      </c>
      <c r="R25" s="173">
        <f t="shared" si="1"/>
        <v>0</v>
      </c>
      <c r="S25" s="173">
        <f t="shared" si="2"/>
        <v>0</v>
      </c>
    </row>
    <row r="26" spans="1:19" ht="49.5" thickBot="1">
      <c r="A26" s="163" t="str">
        <f>CONCATENATE('3 pr-2'!A26)</f>
        <v>1.1.1.1.17</v>
      </c>
      <c r="B26" s="227"/>
      <c r="C26" s="164" t="str">
        <f>CONCATENATE('3 pr-2'!D26)</f>
        <v>Varėnos r. Rudnios kaimo Pušyno gatvės įrengimas</v>
      </c>
      <c r="D26" s="164" t="str">
        <f>CONCATENATE('3 pr-2'!E26)</f>
        <v xml:space="preserve">Varėnos rajono savivaldybės administracija </v>
      </c>
      <c r="E26" s="164" t="str">
        <f>CONCATENATE('3 pr-2'!F26)</f>
        <v>Lietuvos Respublikos žemės ūkio ministerija</v>
      </c>
      <c r="F26" s="164" t="str">
        <f>CONCATENATE('3 pr-2'!G26)</f>
        <v>Varėnos r. sav.</v>
      </c>
      <c r="G26" s="164" t="str">
        <f>CONCATENATE('3 pr-2'!H26)</f>
        <v xml:space="preserve">Pagrindinės paslaugos ir kaimų atnaujinimas kaimo vietovėse </v>
      </c>
      <c r="H26" s="164" t="str">
        <f>CONCATENATE('3 pr-2'!I26)</f>
        <v>R</v>
      </c>
      <c r="I26" s="174" t="str">
        <f>CONCATENATE('3 pr-2'!J26)</f>
        <v>-</v>
      </c>
      <c r="J26" s="175">
        <f>SUM('3 pr-2'!L26)</f>
        <v>115624</v>
      </c>
      <c r="K26" s="176">
        <f>SUM('3 pr-2'!O26)</f>
        <v>23125</v>
      </c>
      <c r="L26" s="176">
        <f ca="1">SUM('3 pr-2'!R26)</f>
        <v>0</v>
      </c>
      <c r="M26" s="176">
        <f>SUM('3 pr-2'!U26)</f>
        <v>0</v>
      </c>
      <c r="N26" s="176">
        <f>SUM('3 pr-2'!X26)</f>
        <v>0</v>
      </c>
      <c r="O26" s="177">
        <f>SUM('3 pr-2'!AA26)</f>
        <v>92499</v>
      </c>
      <c r="P26" s="195">
        <f>SUM('3 pr-2'!AF26)</f>
        <v>42643</v>
      </c>
      <c r="Q26" s="241">
        <v>42643</v>
      </c>
      <c r="R26" s="173">
        <f t="shared" si="1"/>
        <v>0</v>
      </c>
      <c r="S26" s="173">
        <f t="shared" si="2"/>
        <v>0</v>
      </c>
    </row>
    <row r="27" spans="1:19" ht="49.5" thickBot="1">
      <c r="A27" s="163" t="str">
        <f>CONCATENATE('3 pr-2'!A27)</f>
        <v>1.1.1.1.18</v>
      </c>
      <c r="B27" s="227"/>
      <c r="C27" s="164" t="str">
        <f>CONCATENATE('3 pr-2'!D27)</f>
        <v>Varėnos kultūros centro Žilinų filialo pastato atnaujinimas ir pritaikymas bendruomenės poreikiams</v>
      </c>
      <c r="D27" s="164" t="str">
        <f>CONCATENATE('3 pr-2'!E27)</f>
        <v xml:space="preserve">Varėnos rajono savivaldybės administracija </v>
      </c>
      <c r="E27" s="164" t="str">
        <f>CONCATENATE('3 pr-2'!F27)</f>
        <v>Lietuvos Respublikos žemės ūkio ministerija</v>
      </c>
      <c r="F27" s="164" t="str">
        <f>CONCATENATE('3 pr-2'!G27)</f>
        <v>Varėnos r. sav.</v>
      </c>
      <c r="G27" s="164" t="str">
        <f>CONCATENATE('3 pr-2'!H27)</f>
        <v xml:space="preserve">Pagrindinės paslaugos ir kaimų atnaujinimas kaimo vietovėse </v>
      </c>
      <c r="H27" s="164" t="str">
        <f>CONCATENATE('3 pr-2'!I27)</f>
        <v>R</v>
      </c>
      <c r="I27" s="174" t="str">
        <f>CONCATENATE('3 pr-2'!J27)</f>
        <v>-</v>
      </c>
      <c r="J27" s="175">
        <f>SUM('3 pr-2'!L27)</f>
        <v>250000</v>
      </c>
      <c r="K27" s="176">
        <f>SUM('3 pr-2'!O27)</f>
        <v>50000</v>
      </c>
      <c r="L27" s="176">
        <f ca="1">SUM('3 pr-2'!R27)</f>
        <v>0</v>
      </c>
      <c r="M27" s="176">
        <f>SUM('3 pr-2'!U27)</f>
        <v>0</v>
      </c>
      <c r="N27" s="176">
        <f>SUM('3 pr-2'!X27)</f>
        <v>0</v>
      </c>
      <c r="O27" s="177">
        <f>SUM('3 pr-2'!AA27)</f>
        <v>200000</v>
      </c>
      <c r="P27" s="195">
        <f>SUM('3 pr-2'!AF27)</f>
        <v>42643</v>
      </c>
      <c r="Q27" s="241">
        <v>42643</v>
      </c>
      <c r="R27" s="173">
        <f t="shared" si="1"/>
        <v>0</v>
      </c>
      <c r="S27" s="173">
        <f t="shared" si="2"/>
        <v>0</v>
      </c>
    </row>
    <row r="28" spans="1:19" ht="49.5" thickBot="1">
      <c r="A28" s="163" t="str">
        <f>CONCATENATE('3 pr-2'!A28)</f>
        <v>1.1.1.1.19</v>
      </c>
      <c r="B28" s="227"/>
      <c r="C28" s="164" t="str">
        <f>CONCATENATE('3 pr-2'!D28)</f>
        <v>Alytaus rajono Pivašiūnų kaimo šaligatvių, laiptų kapitalinis remontas ir gyvenvietės apšvietimo įrengimas</v>
      </c>
      <c r="D28" s="164" t="str">
        <f>CONCATENATE('3 pr-2'!E28)</f>
        <v>Alytaus rajono savivaldybės administracija</v>
      </c>
      <c r="E28" s="164" t="str">
        <f>CONCATENATE('3 pr-2'!F28)</f>
        <v>Lietuvos Respublikos žemės ūkio ministerija</v>
      </c>
      <c r="F28" s="164" t="str">
        <f>CONCATENATE('3 pr-2'!G28)</f>
        <v>Alytaus r. sav.</v>
      </c>
      <c r="G28" s="164" t="str">
        <f>CONCATENATE('3 pr-2'!H28)</f>
        <v xml:space="preserve">Pagrindinės paslaugos ir kaimų atnaujinimas kaimo vietovėse </v>
      </c>
      <c r="H28" s="164" t="str">
        <f>CONCATENATE('3 pr-2'!I28)</f>
        <v>R</v>
      </c>
      <c r="I28" s="174" t="str">
        <f>CONCATENATE('3 pr-2'!J28)</f>
        <v>-</v>
      </c>
      <c r="J28" s="175">
        <f>SUM('3 pr-2'!L28)</f>
        <v>118362</v>
      </c>
      <c r="K28" s="176">
        <f>SUM('3 pr-2'!O28)</f>
        <v>23973</v>
      </c>
      <c r="L28" s="176">
        <f ca="1">SUM('3 pr-2'!R28)</f>
        <v>0</v>
      </c>
      <c r="M28" s="176">
        <f>SUM('3 pr-2'!U28)</f>
        <v>0</v>
      </c>
      <c r="N28" s="176">
        <f>SUM('3 pr-2'!X28)</f>
        <v>0</v>
      </c>
      <c r="O28" s="177">
        <f>SUM('3 pr-2'!AA28)</f>
        <v>94389</v>
      </c>
      <c r="P28" s="195">
        <f>SUM('3 pr-2'!AF28)</f>
        <v>42643</v>
      </c>
      <c r="Q28" s="241">
        <v>42643</v>
      </c>
      <c r="R28" s="173">
        <f t="shared" si="1"/>
        <v>0</v>
      </c>
      <c r="S28" s="173">
        <f t="shared" si="2"/>
        <v>0</v>
      </c>
    </row>
    <row r="29" spans="1:19" ht="49.5" thickBot="1">
      <c r="A29" s="163" t="str">
        <f>CONCATENATE('3 pr-2'!A29)</f>
        <v>1.1.1.1.20</v>
      </c>
      <c r="B29" s="227"/>
      <c r="C29" s="164" t="str">
        <f>CONCATENATE('3 pr-2'!D29)</f>
        <v>Pastato, esančio Pušelės g. 11, Naujųjų Valkininkų k., Varėnos r., atnaujinimas ir pritaikymas bendruomenės poreikiams</v>
      </c>
      <c r="D29" s="164" t="str">
        <f>CONCATENATE('3 pr-2'!E29)</f>
        <v xml:space="preserve">Varėnos rajono savivaldybės administracija </v>
      </c>
      <c r="E29" s="164" t="str">
        <f>CONCATENATE('3 pr-2'!F29)</f>
        <v>Lietuvos Respublikos žemės ūkio ministerija</v>
      </c>
      <c r="F29" s="164" t="str">
        <f>CONCATENATE('3 pr-2'!G29)</f>
        <v>Varėnos r. sav.</v>
      </c>
      <c r="G29" s="164" t="str">
        <f>CONCATENATE('3 pr-2'!H29)</f>
        <v xml:space="preserve">Pagrindinės paslaugos ir kaimų atnaujinimas kaimo vietovėse </v>
      </c>
      <c r="H29" s="164" t="str">
        <f>CONCATENATE('3 pr-2'!I29)</f>
        <v>R</v>
      </c>
      <c r="I29" s="174" t="str">
        <f>CONCATENATE('3 pr-2'!J29)</f>
        <v>-</v>
      </c>
      <c r="J29" s="175">
        <f>SUM('3 pr-2'!L29)</f>
        <v>250000</v>
      </c>
      <c r="K29" s="176">
        <f>SUM('3 pr-2'!O29)</f>
        <v>50000</v>
      </c>
      <c r="L29" s="176">
        <f ca="1">SUM('3 pr-2'!R29)</f>
        <v>0</v>
      </c>
      <c r="M29" s="176">
        <f>SUM('3 pr-2'!U29)</f>
        <v>0</v>
      </c>
      <c r="N29" s="176">
        <f>SUM('3 pr-2'!X29)</f>
        <v>0</v>
      </c>
      <c r="O29" s="177">
        <f>SUM('3 pr-2'!AA29)</f>
        <v>200000</v>
      </c>
      <c r="P29" s="195">
        <f>SUM('3 pr-2'!AF29)</f>
        <v>42643</v>
      </c>
      <c r="Q29" s="241">
        <v>42643</v>
      </c>
      <c r="R29" s="173">
        <f t="shared" si="1"/>
        <v>0</v>
      </c>
      <c r="S29" s="173">
        <f t="shared" si="2"/>
        <v>0</v>
      </c>
    </row>
    <row r="30" spans="1:19" ht="49.5" thickBot="1">
      <c r="A30" s="163" t="str">
        <f>CONCATENATE('3 pr-2'!A30)</f>
        <v>1.1.1.1.21</v>
      </c>
      <c r="B30" s="227"/>
      <c r="C30" s="164" t="str">
        <f>CONCATENATE('3 pr-2'!D30)</f>
        <v>Kaimo gyvenamųjų vietovių Lazdijų rajono savivaldybėje patrauklumo gerinimas</v>
      </c>
      <c r="D30" s="164" t="str">
        <f>CONCATENATE('3 pr-2'!E30)</f>
        <v>Lazdijų rajono savivaldybės administracija</v>
      </c>
      <c r="E30" s="164" t="str">
        <f>CONCATENATE('3 pr-2'!F30)</f>
        <v>Lietuvos Respublikos žemės ūkio ministerija</v>
      </c>
      <c r="F30" s="164" t="str">
        <f>CONCATENATE('3 pr-2'!G30)</f>
        <v>Lazdijų r. sav.</v>
      </c>
      <c r="G30" s="164" t="str">
        <f>CONCATENATE('3 pr-2'!H30)</f>
        <v xml:space="preserve">Pagrindinės paslaugos ir kaimų atnaujinimas kaimo vietovėse </v>
      </c>
      <c r="H30" s="164" t="str">
        <f>CONCATENATE('3 pr-2'!I30)</f>
        <v>R</v>
      </c>
      <c r="I30" s="174" t="str">
        <f>CONCATENATE('3 pr-2'!J30)</f>
        <v>-</v>
      </c>
      <c r="J30" s="175">
        <f>SUM('3 pr-2'!L30)</f>
        <v>170000</v>
      </c>
      <c r="K30" s="176">
        <f>SUM('3 pr-2'!O30)</f>
        <v>34000</v>
      </c>
      <c r="L30" s="176">
        <f ca="1">SUM('3 pr-2'!R30)</f>
        <v>0</v>
      </c>
      <c r="M30" s="176">
        <f>SUM('3 pr-2'!U30)</f>
        <v>0</v>
      </c>
      <c r="N30" s="176">
        <f>SUM('3 pr-2'!X30)</f>
        <v>0</v>
      </c>
      <c r="O30" s="177">
        <f>SUM('3 pr-2'!AA30)</f>
        <v>136000</v>
      </c>
      <c r="P30" s="195">
        <f>SUM('3 pr-2'!AF30)</f>
        <v>42643</v>
      </c>
      <c r="Q30" s="241">
        <v>42643</v>
      </c>
      <c r="R30" s="173">
        <f t="shared" si="1"/>
        <v>0</v>
      </c>
      <c r="S30" s="173">
        <f t="shared" si="2"/>
        <v>0</v>
      </c>
    </row>
    <row r="31" spans="1:19" ht="49.5" thickBot="1">
      <c r="A31" s="163" t="str">
        <f>CONCATENATE('3 pr-2'!A31)</f>
        <v>1.1.1.1.22</v>
      </c>
      <c r="B31" s="227"/>
      <c r="C31" s="164" t="str">
        <f>CONCATENATE('3 pr-2'!D31)</f>
        <v>Alytaus rajono Makniūnų kaimo šaligatvių atnaujinimas ir plėtra</v>
      </c>
      <c r="D31" s="164" t="str">
        <f>CONCATENATE('3 pr-2'!E31)</f>
        <v>Alytaus rajono savivaldybės administracija</v>
      </c>
      <c r="E31" s="164" t="str">
        <f>CONCATENATE('3 pr-2'!F31)</f>
        <v>Lietuvos Respublikos žemės ūkio ministerija</v>
      </c>
      <c r="F31" s="164" t="str">
        <f>CONCATENATE('3 pr-2'!G31)</f>
        <v>Alytaus r. sav.</v>
      </c>
      <c r="G31" s="164" t="str">
        <f>CONCATENATE('3 pr-2'!H31)</f>
        <v xml:space="preserve">Pagrindinės paslaugos ir kaimų atnaujinimas kaimo vietovėse </v>
      </c>
      <c r="H31" s="164" t="str">
        <f>CONCATENATE('3 pr-2'!I31)</f>
        <v>R</v>
      </c>
      <c r="I31" s="174" t="str">
        <f>CONCATENATE('3 pr-2'!J31)</f>
        <v>-</v>
      </c>
      <c r="J31" s="175">
        <f>SUM('3 pr-2'!L31)</f>
        <v>145772</v>
      </c>
      <c r="K31" s="176">
        <f>SUM('3 pr-2'!O31)</f>
        <v>88979</v>
      </c>
      <c r="L31" s="176">
        <f ca="1">SUM('3 pr-2'!R31)</f>
        <v>0</v>
      </c>
      <c r="M31" s="176">
        <f>SUM('3 pr-2'!U31)</f>
        <v>0</v>
      </c>
      <c r="N31" s="176">
        <f>SUM('3 pr-2'!X31)</f>
        <v>0</v>
      </c>
      <c r="O31" s="177">
        <f>SUM('3 pr-2'!AA31)</f>
        <v>56793</v>
      </c>
      <c r="P31" s="195">
        <f>SUM('3 pr-2'!AF31)</f>
        <v>42643</v>
      </c>
      <c r="Q31" s="241">
        <v>42643</v>
      </c>
      <c r="R31" s="173">
        <f t="shared" si="1"/>
        <v>0</v>
      </c>
      <c r="S31" s="173">
        <f t="shared" si="2"/>
        <v>0</v>
      </c>
    </row>
    <row r="32" spans="1:19" ht="49.5" thickBot="1">
      <c r="A32" s="163" t="str">
        <f>CONCATENATE('3 pr-2'!A32)</f>
        <v>1.1.1.1.23</v>
      </c>
      <c r="B32" s="227"/>
      <c r="C32" s="164" t="str">
        <f>CONCATENATE('3 pr-2'!D32)</f>
        <v>Varėnos r. Vazgirdonių kaimo Klevų gatvės įrengimas</v>
      </c>
      <c r="D32" s="164" t="str">
        <f>CONCATENATE('3 pr-2'!E32)</f>
        <v xml:space="preserve">Varėnos rajono savivaldybės administracija </v>
      </c>
      <c r="E32" s="164" t="str">
        <f>CONCATENATE('3 pr-2'!F32)</f>
        <v>Lietuvos Respublikos žemės ūkio ministerija</v>
      </c>
      <c r="F32" s="164" t="str">
        <f>CONCATENATE('3 pr-2'!G32)</f>
        <v>Varėnos r. sav.</v>
      </c>
      <c r="G32" s="164" t="str">
        <f>CONCATENATE('3 pr-2'!H32)</f>
        <v xml:space="preserve">Pagrindinės paslaugos ir kaimų atnaujinimas kaimo vietovėse </v>
      </c>
      <c r="H32" s="164" t="str">
        <f>CONCATENATE('3 pr-2'!I32)</f>
        <v>R</v>
      </c>
      <c r="I32" s="174" t="str">
        <f>CONCATENATE('3 pr-2'!J32)</f>
        <v>-</v>
      </c>
      <c r="J32" s="175">
        <f>SUM('3 pr-2'!L32)</f>
        <v>160048</v>
      </c>
      <c r="K32" s="176">
        <f>SUM('3 pr-2'!O32)</f>
        <v>37451.800000000003</v>
      </c>
      <c r="L32" s="176">
        <f ca="1">SUM('3 pr-2'!R32)</f>
        <v>0</v>
      </c>
      <c r="M32" s="176">
        <f>SUM('3 pr-2'!U32)</f>
        <v>0</v>
      </c>
      <c r="N32" s="176">
        <f>SUM('3 pr-2'!X32)</f>
        <v>0</v>
      </c>
      <c r="O32" s="177">
        <f>SUM('3 pr-2'!AA32)</f>
        <v>122596.20000000001</v>
      </c>
      <c r="P32" s="195">
        <f>SUM('3 pr-2'!AF32)</f>
        <v>42643</v>
      </c>
      <c r="Q32" s="241">
        <v>42643</v>
      </c>
      <c r="R32" s="173">
        <f t="shared" si="1"/>
        <v>0</v>
      </c>
      <c r="S32" s="173">
        <f t="shared" si="2"/>
        <v>0</v>
      </c>
    </row>
    <row r="33" spans="1:19" ht="28.5" customHeight="1" thickBot="1">
      <c r="A33" s="287" t="str">
        <f>CONCATENATE('3 pr-2'!A33)</f>
        <v>1.1.1.2</v>
      </c>
      <c r="B33" s="425"/>
      <c r="C33" s="1936" t="str">
        <f>CONCATENATE('3 pr-2'!B33)</f>
        <v>Priemonė:
Kaimo gyvenamųjų vietovių (turinčių 1-6 tūkst. gyventojų) atnaujinimas ir plėtra</v>
      </c>
      <c r="D33" s="2095" t="str">
        <f>CONCATENATE('3 pr-2'!E33)</f>
        <v/>
      </c>
      <c r="E33" s="2095" t="str">
        <f>CONCATENATE('3 pr-2'!F33)</f>
        <v/>
      </c>
      <c r="F33" s="2095" t="str">
        <f>CONCATENATE('3 pr-2'!G33)</f>
        <v/>
      </c>
      <c r="G33" s="2095" t="str">
        <f>CONCATENATE('3 pr-2'!H33)</f>
        <v/>
      </c>
      <c r="H33" s="2095" t="str">
        <f>CONCATENATE('3 pr-2'!I33)</f>
        <v/>
      </c>
      <c r="I33" s="2095" t="str">
        <f>CONCATENATE('3 pr-2'!J33)</f>
        <v/>
      </c>
      <c r="J33" s="426" t="s">
        <v>66</v>
      </c>
      <c r="K33" s="426" t="s">
        <v>66</v>
      </c>
      <c r="L33" s="426" t="s">
        <v>66</v>
      </c>
      <c r="M33" s="426" t="s">
        <v>66</v>
      </c>
      <c r="N33" s="426" t="s">
        <v>66</v>
      </c>
      <c r="O33" s="427" t="s">
        <v>66</v>
      </c>
      <c r="P33" s="428" t="s">
        <v>679</v>
      </c>
      <c r="Q33" s="429" t="s">
        <v>679</v>
      </c>
      <c r="R33" s="430" t="s">
        <v>679</v>
      </c>
      <c r="S33" s="430"/>
    </row>
    <row r="34" spans="1:19" ht="49.5" thickBot="1">
      <c r="A34" s="163" t="str">
        <f>CONCATENATE('3 pr-2'!A34)</f>
        <v>1.1.1.2.1</v>
      </c>
      <c r="B34" s="227"/>
      <c r="C34" s="164" t="str">
        <f>CONCATENATE('3 pr-2'!D34)</f>
        <v>Matuizų kaimo viešosios infrastruktūros atnaujinimas ir pritaikymas bendruomenės poreikiams</v>
      </c>
      <c r="D34" s="164" t="str">
        <f>CONCATENATE('3 pr-2'!E34)</f>
        <v>Varėnos rajono savivaldybės administracija</v>
      </c>
      <c r="E34" s="164" t="str">
        <f>CONCATENATE('3 pr-2'!F34)</f>
        <v>Lietuvos Respublikos vidaus reikalų ministerija</v>
      </c>
      <c r="F34" s="164" t="str">
        <f>CONCATENATE('3 pr-2'!G34)</f>
        <v>Varėnos r. sav.</v>
      </c>
      <c r="G34" s="164" t="str">
        <f>CONCATENATE('3 pr-2'!H34)</f>
        <v>8.2.1-CPVA-R-908</v>
      </c>
      <c r="H34" s="164" t="str">
        <f>CONCATENATE('3 pr-2'!I34)</f>
        <v>R</v>
      </c>
      <c r="I34" s="174" t="str">
        <f>CONCATENATE('3 pr-2'!J34)</f>
        <v>-</v>
      </c>
      <c r="J34" s="175">
        <f>SUM('3 pr-2'!L34)</f>
        <v>815537.61</v>
      </c>
      <c r="K34" s="176">
        <f>SUM('3 pr-2'!O34)</f>
        <v>285195.61</v>
      </c>
      <c r="L34" s="176">
        <f>SUM('3 pr-2'!R34)</f>
        <v>43001</v>
      </c>
      <c r="M34" s="176">
        <f>SUM('3 pr-2'!U34)</f>
        <v>0</v>
      </c>
      <c r="N34" s="176">
        <f>SUM('3 pr-2'!X34)</f>
        <v>0</v>
      </c>
      <c r="O34" s="177">
        <f>SUM('3 pr-2'!AA34)</f>
        <v>487341</v>
      </c>
      <c r="P34" s="195">
        <f>SUM('3 pr-2'!AF34)</f>
        <v>43006</v>
      </c>
      <c r="Q34" s="241">
        <v>43005</v>
      </c>
      <c r="R34" s="173">
        <f t="shared" ref="R34:R38" si="3">SUM(P34-Q34)</f>
        <v>1</v>
      </c>
      <c r="S34" s="234">
        <f>SUM(P34-Q34)/30.1667</f>
        <v>3.3149134641840175E-2</v>
      </c>
    </row>
    <row r="35" spans="1:19" ht="49.5" thickBot="1">
      <c r="A35" s="163" t="str">
        <f>CONCATENATE('3 pr-2'!A35)</f>
        <v>1.1.1.2.2</v>
      </c>
      <c r="B35" s="227"/>
      <c r="C35" s="164" t="str">
        <f>CONCATENATE('3 pr-2'!D35)</f>
        <v>Senosios Varėnos kaimo viešosios infrastruktūros atnaujinimas ir pritaikymas bendruomenės poreikiams</v>
      </c>
      <c r="D35" s="164" t="str">
        <f>CONCATENATE('3 pr-2'!E35)</f>
        <v>Varėnos rajono savivaldybės administracija</v>
      </c>
      <c r="E35" s="164" t="str">
        <f>CONCATENATE('3 pr-2'!F35)</f>
        <v>Lietuvos Respublikos vidaus reikalų ministerija</v>
      </c>
      <c r="F35" s="164" t="str">
        <f>CONCATENATE('3 pr-2'!G35)</f>
        <v>Varėnos r. sav.</v>
      </c>
      <c r="G35" s="164" t="str">
        <f>CONCATENATE('3 pr-2'!H35)</f>
        <v>8.2.1-CPVA-R-908</v>
      </c>
      <c r="H35" s="164" t="str">
        <f>CONCATENATE('3 pr-2'!I35)</f>
        <v>R</v>
      </c>
      <c r="I35" s="174" t="str">
        <f>CONCATENATE('3 pr-2'!J35)</f>
        <v>-</v>
      </c>
      <c r="J35" s="175">
        <f>SUM('3 pr-2'!L35)</f>
        <v>605024.19999999995</v>
      </c>
      <c r="K35" s="176">
        <f>SUM('3 pr-2'!O35)</f>
        <v>45376.82</v>
      </c>
      <c r="L35" s="176">
        <f>SUM('3 pr-2'!R35)</f>
        <v>45376.81</v>
      </c>
      <c r="M35" s="176">
        <f>SUM('3 pr-2'!U35)</f>
        <v>0</v>
      </c>
      <c r="N35" s="176">
        <f>SUM('3 pr-2'!X35)</f>
        <v>0</v>
      </c>
      <c r="O35" s="177">
        <f>SUM('3 pr-2'!AA35)</f>
        <v>514270.57</v>
      </c>
      <c r="P35" s="195">
        <f>SUM('3 pr-2'!AF35)</f>
        <v>42982</v>
      </c>
      <c r="Q35" s="241">
        <v>42905</v>
      </c>
      <c r="R35" s="173">
        <f t="shared" si="3"/>
        <v>77</v>
      </c>
      <c r="S35" s="234">
        <f>SUM(P35-Q35)/30.1667</f>
        <v>2.5524833674216936</v>
      </c>
    </row>
    <row r="36" spans="1:19" ht="49.5" thickBot="1">
      <c r="A36" s="163" t="str">
        <f>CONCATENATE('3 pr-2'!A36)</f>
        <v>1.1.1.2.3</v>
      </c>
      <c r="B36" s="227"/>
      <c r="C36" s="164" t="str">
        <f>CONCATENATE('3 pr-2'!D36)</f>
        <v>Kompleksinė Miklusėnų gyvenvietės plėtra</v>
      </c>
      <c r="D36" s="164" t="str">
        <f>CONCATENATE('3 pr-2'!E36)</f>
        <v>Alytaus rajono savivaldybės administracija</v>
      </c>
      <c r="E36" s="164" t="str">
        <f>CONCATENATE('3 pr-2'!F36)</f>
        <v>Lietuvos Respublikos vidaus reikalų ministerija</v>
      </c>
      <c r="F36" s="164" t="str">
        <f>CONCATENATE('3 pr-2'!G36)</f>
        <v>Alytaus r. sav.</v>
      </c>
      <c r="G36" s="164" t="str">
        <f>CONCATENATE('3 pr-2'!H36)</f>
        <v>8.2.1-CPVA-R-908</v>
      </c>
      <c r="H36" s="164" t="str">
        <f>CONCATENATE('3 pr-2'!I36)</f>
        <v>R</v>
      </c>
      <c r="I36" s="174" t="str">
        <f>CONCATENATE('3 pr-2'!J36)</f>
        <v>-</v>
      </c>
      <c r="J36" s="175">
        <f>SUM('3 pr-2'!L36)</f>
        <v>1043467</v>
      </c>
      <c r="K36" s="176">
        <f>SUM('3 pr-2'!O36)</f>
        <v>78261</v>
      </c>
      <c r="L36" s="176">
        <f>SUM('3 pr-2'!R36)</f>
        <v>78260</v>
      </c>
      <c r="M36" s="176">
        <f>SUM('3 pr-2'!U36)</f>
        <v>0</v>
      </c>
      <c r="N36" s="176">
        <f>SUM('3 pr-2'!X36)</f>
        <v>0</v>
      </c>
      <c r="O36" s="177">
        <f>SUM('3 pr-2'!AA36)</f>
        <v>886946</v>
      </c>
      <c r="P36" s="481">
        <f>SUM('3 pr-2'!AF36)</f>
        <v>43130</v>
      </c>
      <c r="Q36" s="241"/>
      <c r="R36" s="173"/>
      <c r="S36" s="234"/>
    </row>
    <row r="37" spans="1:19" ht="49.5" thickBot="1">
      <c r="A37" s="163" t="str">
        <f>CONCATENATE('3 pr-2'!A37)</f>
        <v>1.1.1.2.4</v>
      </c>
      <c r="B37" s="227"/>
      <c r="C37" s="164" t="str">
        <f>CONCATENATE('3 pr-2'!D37)</f>
        <v>Leipalingio viešosios erdvės pritaikymas bendruomenės poreikiams</v>
      </c>
      <c r="D37" s="164" t="str">
        <f>CONCATENATE('3 pr-2'!E37)</f>
        <v xml:space="preserve">Druskininkų savivaldybės administracija  </v>
      </c>
      <c r="E37" s="164" t="str">
        <f>CONCATENATE('3 pr-2'!F37)</f>
        <v>Lietuvos Respublikos vidaus reikalų ministerija</v>
      </c>
      <c r="F37" s="164" t="str">
        <f>CONCATENATE('3 pr-2'!G37)</f>
        <v>Druskininkų sav.</v>
      </c>
      <c r="G37" s="164" t="str">
        <f>CONCATENATE('3 pr-2'!H37)</f>
        <v>8.2.1-CPVA-R-908</v>
      </c>
      <c r="H37" s="164" t="str">
        <f>CONCATENATE('3 pr-2'!I37)</f>
        <v>R</v>
      </c>
      <c r="I37" s="174" t="str">
        <f>CONCATENATE('3 pr-2'!J37)</f>
        <v>-</v>
      </c>
      <c r="J37" s="175">
        <f>SUM('3 pr-2'!L37)</f>
        <v>579418.99</v>
      </c>
      <c r="K37" s="176">
        <f>SUM('3 pr-2'!O37)</f>
        <v>192989.99</v>
      </c>
      <c r="L37" s="176">
        <f>SUM('3 pr-2'!R37)</f>
        <v>31332.09</v>
      </c>
      <c r="M37" s="176">
        <f>SUM('3 pr-2'!U37)</f>
        <v>0</v>
      </c>
      <c r="N37" s="176">
        <f>SUM('3 pr-2'!X37)</f>
        <v>0</v>
      </c>
      <c r="O37" s="177">
        <f>SUM('3 pr-2'!AA37)</f>
        <v>355096.91</v>
      </c>
      <c r="P37" s="567">
        <f>SUM('3 pr-2'!AF37)</f>
        <v>43038</v>
      </c>
      <c r="Q37" s="241">
        <v>43038</v>
      </c>
      <c r="R37" s="173">
        <f t="shared" si="3"/>
        <v>0</v>
      </c>
      <c r="S37" s="234">
        <f>SUM(P37-Q37)/30.1667</f>
        <v>0</v>
      </c>
    </row>
    <row r="38" spans="1:19" ht="49.5" thickBot="1">
      <c r="A38" s="163" t="str">
        <f>CONCATENATE('3 pr-2'!A38)</f>
        <v>1.1.1.2.5</v>
      </c>
      <c r="B38" s="227"/>
      <c r="C38" s="164" t="str">
        <f>CONCATENATE('3 pr-2'!D38)</f>
        <v>Viečiūnų viešosios erdvės pritaikymas bendruomenės poreikiams</v>
      </c>
      <c r="D38" s="164" t="str">
        <f>CONCATENATE('3 pr-2'!E38)</f>
        <v xml:space="preserve">Druskininkų savivaldybės administracija  </v>
      </c>
      <c r="E38" s="164" t="str">
        <f>CONCATENATE('3 pr-2'!F38)</f>
        <v>Lietuvos Respublikos vidaus reikalų ministerija</v>
      </c>
      <c r="F38" s="164" t="str">
        <f>CONCATENATE('3 pr-2'!G38)</f>
        <v>Druskininkų sav.</v>
      </c>
      <c r="G38" s="164" t="str">
        <f>CONCATENATE('3 pr-2'!H38)</f>
        <v>8.2.1-CPVA-R-908</v>
      </c>
      <c r="H38" s="164" t="str">
        <f>CONCATENATE('3 pr-2'!I38)</f>
        <v>R</v>
      </c>
      <c r="I38" s="174" t="str">
        <f>CONCATENATE('3 pr-2'!J38)</f>
        <v>-</v>
      </c>
      <c r="J38" s="175">
        <f>SUM('3 pr-2'!L38)</f>
        <v>673878</v>
      </c>
      <c r="K38" s="176">
        <f>SUM('3 pr-2'!O38)</f>
        <v>50541</v>
      </c>
      <c r="L38" s="176">
        <f>SUM('3 pr-2'!R38)</f>
        <v>50540.84</v>
      </c>
      <c r="M38" s="176">
        <f>SUM('3 pr-2'!U38)</f>
        <v>0</v>
      </c>
      <c r="N38" s="176">
        <f>SUM('3 pr-2'!X38)</f>
        <v>0</v>
      </c>
      <c r="O38" s="177">
        <f>SUM('3 pr-2'!AA38)</f>
        <v>572796.16000000003</v>
      </c>
      <c r="P38" s="567">
        <f>SUM('3 pr-2'!AF38)</f>
        <v>43038</v>
      </c>
      <c r="Q38" s="241">
        <v>43038</v>
      </c>
      <c r="R38" s="173">
        <f t="shared" si="3"/>
        <v>0</v>
      </c>
      <c r="S38" s="234">
        <f>SUM(P38-Q38)/30.1667</f>
        <v>0</v>
      </c>
    </row>
    <row r="39" spans="1:19" ht="30" customHeight="1" thickBot="1">
      <c r="A39" s="287" t="str">
        <f>CONCATENATE('3 pr-2'!A39)</f>
        <v>1.1.1.3</v>
      </c>
      <c r="B39" s="425"/>
      <c r="C39" s="1936" t="str">
        <f>CONCATENATE('3 pr-2'!B39)</f>
        <v>Priemonė:
Varėnos miesto kompleksinė plėtra</v>
      </c>
      <c r="D39" s="2095" t="str">
        <f>CONCATENATE('3 pr-2'!E39)</f>
        <v/>
      </c>
      <c r="E39" s="2095" t="str">
        <f>CONCATENATE('3 pr-2'!F39)</f>
        <v/>
      </c>
      <c r="F39" s="2095" t="str">
        <f>CONCATENATE('3 pr-2'!G39)</f>
        <v/>
      </c>
      <c r="G39" s="2095" t="str">
        <f>CONCATENATE('3 pr-2'!H39)</f>
        <v/>
      </c>
      <c r="H39" s="2095" t="str">
        <f>CONCATENATE('3 pr-2'!I39)</f>
        <v/>
      </c>
      <c r="I39" s="2095" t="str">
        <f>CONCATENATE('3 pr-2'!J39)</f>
        <v/>
      </c>
      <c r="J39" s="426">
        <f>SUM('3 pr-2'!L39)</f>
        <v>4359732.13</v>
      </c>
      <c r="K39" s="426">
        <f>SUM('3 pr-2'!O39)</f>
        <v>336200.36</v>
      </c>
      <c r="L39" s="426">
        <f>SUM('3 pr-2'!R39)</f>
        <v>326232.31000000006</v>
      </c>
      <c r="M39" s="426">
        <f>SUM('3 pr-2'!U39)</f>
        <v>0</v>
      </c>
      <c r="N39" s="426">
        <f>SUM('3 pr-2'!X39)</f>
        <v>0</v>
      </c>
      <c r="O39" s="427">
        <f>SUM('3 pr-2'!AA39)</f>
        <v>3697299.46</v>
      </c>
      <c r="P39" s="428" t="s">
        <v>679</v>
      </c>
      <c r="Q39" s="429" t="s">
        <v>679</v>
      </c>
      <c r="R39" s="430" t="s">
        <v>679</v>
      </c>
      <c r="S39" s="430"/>
    </row>
    <row r="40" spans="1:19" ht="49.5" thickBot="1">
      <c r="A40" s="163" t="str">
        <f>CONCATENATE('3 pr-2'!A40)</f>
        <v>1.1.1.3.1</v>
      </c>
      <c r="B40" s="227" t="str">
        <f>CONCATENATE('ketv. 2'!B39)</f>
        <v>07.1.1-CPVA-R-905-11-0001</v>
      </c>
      <c r="C40" s="164" t="str">
        <f>CONCATENATE('3 pr-2'!D40)</f>
        <v>Varėnos miesto centrinės dalies modernizavimas ir pritaikymas visuomenės poreikiams (I etapas)</v>
      </c>
      <c r="D40" s="164" t="str">
        <f>CONCATENATE('3 pr-2'!E40)</f>
        <v>Varėnos rajono savivaldybės administracija</v>
      </c>
      <c r="E40" s="164" t="str">
        <f>CONCATENATE('3 pr-2'!F40)</f>
        <v>Lietuvos Respublikos vidaus reikalų ministerija</v>
      </c>
      <c r="F40" s="164" t="str">
        <f>CONCATENATE('3 pr-2'!G40)</f>
        <v>Varėnos r. sav.</v>
      </c>
      <c r="G40" s="164" t="str">
        <f>CONCATENATE('3 pr-2'!H40)</f>
        <v xml:space="preserve">07.1.1-CPVA-R-905 </v>
      </c>
      <c r="H40" s="164" t="str">
        <f>CONCATENATE('3 pr-2'!I40)</f>
        <v>R</v>
      </c>
      <c r="I40" s="174" t="str">
        <f>CONCATENATE('3 pr-2'!J40)</f>
        <v>ITI</v>
      </c>
      <c r="J40" s="175">
        <f>SUM('3 pr-2'!L40)</f>
        <v>1516825.67</v>
      </c>
      <c r="K40" s="176">
        <f>SUM('3 pr-2'!O40)</f>
        <v>113761.94</v>
      </c>
      <c r="L40" s="176">
        <f>SUM('3 pr-2'!R40)</f>
        <v>113761.92</v>
      </c>
      <c r="M40" s="176">
        <f>SUM('3 pr-2'!U40)</f>
        <v>0</v>
      </c>
      <c r="N40" s="176">
        <f>SUM('3 pr-2'!X40)</f>
        <v>0</v>
      </c>
      <c r="O40" s="177">
        <f>SUM('3 pr-2'!AA40)</f>
        <v>1289301.81</v>
      </c>
      <c r="P40" s="195">
        <f>SUM('3 pr-2'!AF40)</f>
        <v>43108</v>
      </c>
      <c r="Q40" s="239">
        <v>42395</v>
      </c>
      <c r="R40" s="173">
        <f t="shared" ref="R40:R43" si="4">SUM(P40-Q40)</f>
        <v>713</v>
      </c>
      <c r="S40" s="234">
        <f>SUM(P40-Q40)/30.1667</f>
        <v>23.635332999632045</v>
      </c>
    </row>
    <row r="41" spans="1:19" ht="49.5" thickBot="1">
      <c r="A41" s="163" t="str">
        <f>CONCATENATE('3 pr-2'!A41)</f>
        <v>1.1.1.3.2</v>
      </c>
      <c r="B41" s="227" t="str">
        <f>CONCATENATE('ketv. 2'!B40)</f>
        <v>07.1.1-CPVA-R-905-11-0002</v>
      </c>
      <c r="C41" s="164" t="str">
        <f>CONCATENATE('3 pr-2'!D41)</f>
        <v>Varėnos miesto centrinės dalies modernizavimas ir pritaikymas visuomenės poreikiams (II etapas)</v>
      </c>
      <c r="D41" s="164" t="str">
        <f>CONCATENATE('3 pr-2'!E41)</f>
        <v>Varėnos rajono savivaldybės administracija</v>
      </c>
      <c r="E41" s="164" t="str">
        <f>CONCATENATE('3 pr-2'!F41)</f>
        <v>Lietuvos Respublikos vidaus reikalų ministerija</v>
      </c>
      <c r="F41" s="164" t="str">
        <f>CONCATENATE('3 pr-2'!G41)</f>
        <v>Varėnos r. sav.</v>
      </c>
      <c r="G41" s="164" t="str">
        <f>CONCATENATE('3 pr-2'!H41)</f>
        <v xml:space="preserve">07.1.1-CPVA-R-905 </v>
      </c>
      <c r="H41" s="164" t="str">
        <f>CONCATENATE('3 pr-2'!I41)</f>
        <v>R</v>
      </c>
      <c r="I41" s="174" t="str">
        <f>CONCATENATE('3 pr-2'!J41)</f>
        <v>ITI</v>
      </c>
      <c r="J41" s="175">
        <f>SUM('3 pr-2'!L41)</f>
        <v>815103</v>
      </c>
      <c r="K41" s="176">
        <f>SUM('3 pr-2'!O41)</f>
        <v>69259</v>
      </c>
      <c r="L41" s="176">
        <f>SUM('3 pr-2'!R41)</f>
        <v>60474</v>
      </c>
      <c r="M41" s="176">
        <f>SUM('3 pr-2'!U41)</f>
        <v>0</v>
      </c>
      <c r="N41" s="176">
        <f>SUM('3 pr-2'!X41)</f>
        <v>0</v>
      </c>
      <c r="O41" s="177">
        <f>SUM('3 pr-2'!AA41)</f>
        <v>685370</v>
      </c>
      <c r="P41" s="195">
        <f>SUM('3 pr-2'!AF41)</f>
        <v>43108</v>
      </c>
      <c r="Q41" s="239">
        <v>42653</v>
      </c>
      <c r="R41" s="173">
        <f t="shared" si="4"/>
        <v>455</v>
      </c>
      <c r="S41" s="234">
        <f>SUM(P41-Q41)/30.1667</f>
        <v>15.08285626203728</v>
      </c>
    </row>
    <row r="42" spans="1:19" ht="49.5" thickBot="1">
      <c r="A42" s="163" t="str">
        <f>CONCATENATE('3 pr-2'!A42)</f>
        <v>1.1.1.3.3</v>
      </c>
      <c r="B42" s="227" t="str">
        <f>CONCATENATE('ketv. 2'!B41)</f>
        <v>07.1.1-CPVA-R-905-11-0004</v>
      </c>
      <c r="C42" s="164" t="str">
        <f>CONCATENATE('3 pr-2'!D42)</f>
        <v>Varėnos miesto Dainų slėnio infrastruktūros atnaujinimas ir pritaikymas visuomenės poreikiams</v>
      </c>
      <c r="D42" s="164" t="str">
        <f>CONCATENATE('3 pr-2'!E42)</f>
        <v>Varėnos rajono savivaldybės administracija</v>
      </c>
      <c r="E42" s="164" t="str">
        <f>CONCATENATE('3 pr-2'!F42)</f>
        <v>Lietuvos Respublikos vidaus reikalų ministerija</v>
      </c>
      <c r="F42" s="164" t="str">
        <f>CONCATENATE('3 pr-2'!G42)</f>
        <v>Varėnos r. sav.</v>
      </c>
      <c r="G42" s="164" t="str">
        <f>CONCATENATE('3 pr-2'!H42)</f>
        <v xml:space="preserve">07.1.1-CPVA-R-905 </v>
      </c>
      <c r="H42" s="164" t="str">
        <f>CONCATENATE('3 pr-2'!I42)</f>
        <v>R</v>
      </c>
      <c r="I42" s="174" t="str">
        <f>CONCATENATE('3 pr-2'!J42)</f>
        <v>ITI</v>
      </c>
      <c r="J42" s="175">
        <f>SUM('3 pr-2'!L42)</f>
        <v>514646.41000000003</v>
      </c>
      <c r="K42" s="176">
        <f>SUM('3 pr-2'!O42)</f>
        <v>38598.49</v>
      </c>
      <c r="L42" s="176">
        <f>SUM('3 pr-2'!R42)</f>
        <v>38598.480000000003</v>
      </c>
      <c r="M42" s="176">
        <f>SUM('3 pr-2'!U42)</f>
        <v>0</v>
      </c>
      <c r="N42" s="176">
        <f>SUM('3 pr-2'!X42)</f>
        <v>0</v>
      </c>
      <c r="O42" s="177">
        <f>SUM('3 pr-2'!AA42)</f>
        <v>437449.44</v>
      </c>
      <c r="P42" s="195">
        <f>SUM('3 pr-2'!AF42)</f>
        <v>43108</v>
      </c>
      <c r="Q42" s="239">
        <v>43108</v>
      </c>
      <c r="R42" s="173">
        <f>IF(Q42&gt;0,P42-Q42,0)</f>
        <v>0</v>
      </c>
      <c r="S42" s="234">
        <f>IF(Q42&gt;0,(P42-Q42)/30.1667,0)</f>
        <v>0</v>
      </c>
    </row>
    <row r="43" spans="1:19" ht="49.5" thickBot="1">
      <c r="A43" s="163" t="str">
        <f>CONCATENATE('3 pr-2'!A43)</f>
        <v>1.1.1.3.4</v>
      </c>
      <c r="B43" s="227" t="str">
        <f>CONCATENATE('ketv. 2'!B42)</f>
        <v>07.1.1-CPVA-R-905-11-0003</v>
      </c>
      <c r="C43" s="164" t="str">
        <f>CONCATENATE('3 pr-2'!D43)</f>
        <v>Karloniškės ežero ir jo prieigų sutvarkymas ir pritaikymas aktyviam poilsiui</v>
      </c>
      <c r="D43" s="164" t="str">
        <f>CONCATENATE('3 pr-2'!E43)</f>
        <v>Varėnos rajono savivaldybės administracija</v>
      </c>
      <c r="E43" s="164" t="str">
        <f>CONCATENATE('3 pr-2'!F43)</f>
        <v>Lietuvos Respublikos vidaus reikalų ministerija</v>
      </c>
      <c r="F43" s="164" t="str">
        <f>CONCATENATE('3 pr-2'!G43)</f>
        <v>Varėnos r. sav.</v>
      </c>
      <c r="G43" s="164" t="str">
        <f>CONCATENATE('3 pr-2'!H43)</f>
        <v xml:space="preserve">07.1.1-CPVA-R-905 </v>
      </c>
      <c r="H43" s="164" t="str">
        <f>CONCATENATE('3 pr-2'!I43)</f>
        <v>R</v>
      </c>
      <c r="I43" s="174" t="str">
        <f>CONCATENATE('3 pr-2'!J43)</f>
        <v>ITI</v>
      </c>
      <c r="J43" s="175">
        <f>SUM('3 pr-2'!L43)</f>
        <v>877516.65</v>
      </c>
      <c r="K43" s="176">
        <f>SUM('3 pr-2'!O43)</f>
        <v>65813.75</v>
      </c>
      <c r="L43" s="176">
        <f>SUM('3 pr-2'!R43)</f>
        <v>65813.75</v>
      </c>
      <c r="M43" s="176">
        <f>SUM('3 pr-2'!U43)</f>
        <v>0</v>
      </c>
      <c r="N43" s="176">
        <f>SUM('3 pr-2'!X43)</f>
        <v>0</v>
      </c>
      <c r="O43" s="177">
        <f>SUM('3 pr-2'!AA43)</f>
        <v>745889.15</v>
      </c>
      <c r="P43" s="195">
        <f>SUM('3 pr-2'!AF43)</f>
        <v>43108</v>
      </c>
      <c r="Q43" s="239">
        <v>42870</v>
      </c>
      <c r="R43" s="173">
        <f t="shared" si="4"/>
        <v>238</v>
      </c>
      <c r="S43" s="234">
        <f>SUM(P43-Q43)/30.1667</f>
        <v>7.8894940447579618</v>
      </c>
    </row>
    <row r="44" spans="1:19" ht="49.5" thickBot="1">
      <c r="A44" s="163" t="str">
        <f>CONCATENATE('3 pr-2'!A44)</f>
        <v>1.1.1.3.5</v>
      </c>
      <c r="B44" s="227" t="str">
        <f>CONCATENATE('ketv. 2'!B43)</f>
        <v>07.1.1-CPVA-R-905-11-0005</v>
      </c>
      <c r="C44" s="164" t="str">
        <f>CONCATENATE('3 pr-2'!D44)</f>
        <v>Nenaudojamų teritorijų Varėnos mieste sutvarkymas ir pritaikymas verslui</v>
      </c>
      <c r="D44" s="164" t="str">
        <f>CONCATENATE('3 pr-2'!E44)</f>
        <v>Varėnos rajono savivaldybės administracija</v>
      </c>
      <c r="E44" s="164" t="str">
        <f>CONCATENATE('3 pr-2'!F44)</f>
        <v>Lietuvos Respublikos vidaus reikalų ministerija</v>
      </c>
      <c r="F44" s="164" t="str">
        <f>CONCATENATE('3 pr-2'!G44)</f>
        <v>Varėnos r. sav.</v>
      </c>
      <c r="G44" s="164" t="str">
        <f>CONCATENATE('3 pr-2'!H44)</f>
        <v xml:space="preserve">07.1.1-CPVA-R-905 </v>
      </c>
      <c r="H44" s="164" t="str">
        <f>CONCATENATE('3 pr-2'!I44)</f>
        <v>R</v>
      </c>
      <c r="I44" s="174" t="str">
        <f>CONCATENATE('3 pr-2'!J44)</f>
        <v>ITI</v>
      </c>
      <c r="J44" s="175">
        <f>SUM('3 pr-2'!L44)</f>
        <v>150000</v>
      </c>
      <c r="K44" s="176">
        <f>SUM('3 pr-2'!O44)</f>
        <v>11250</v>
      </c>
      <c r="L44" s="176">
        <f>SUM('3 pr-2'!R44)</f>
        <v>11250</v>
      </c>
      <c r="M44" s="176">
        <f>SUM('3 pr-2'!U44)</f>
        <v>0</v>
      </c>
      <c r="N44" s="176">
        <f>SUM('3 pr-2'!X44)</f>
        <v>0</v>
      </c>
      <c r="O44" s="177">
        <f>SUM('3 pr-2'!AA44)</f>
        <v>127500</v>
      </c>
      <c r="P44" s="195">
        <f>SUM('3 pr-2'!AF44)</f>
        <v>43108</v>
      </c>
      <c r="Q44" s="239">
        <v>43206</v>
      </c>
      <c r="R44" s="173">
        <f>IF(Q44&gt;0,P44-Q44,0)</f>
        <v>-98</v>
      </c>
      <c r="S44" s="234">
        <f>IF(Q44&gt;0,(P44-Q44)/30.1667,0)</f>
        <v>-3.2486151949003372</v>
      </c>
    </row>
    <row r="45" spans="1:19" ht="49.5" thickBot="1">
      <c r="A45" s="163" t="str">
        <f>CONCATENATE('3 pr-2'!A45)</f>
        <v>1.1.1.3.6</v>
      </c>
      <c r="B45" s="227" t="str">
        <f>CONCATENATE('ketv. 2'!B44)</f>
        <v>07.1.1-CPVA-R-905-11-0006</v>
      </c>
      <c r="C45" s="164" t="str">
        <f>CONCATENATE('3 pr-2'!D45)</f>
        <v>Teritorijų prie daugiabučių gyvenamųjų pastatų Varėnos mieste sutvarkymas ir pritaikymas visuomenės poreikiams</v>
      </c>
      <c r="D45" s="164" t="str">
        <f>CONCATENATE('3 pr-2'!E45)</f>
        <v>Varėnos rajono savivaldybės administracija</v>
      </c>
      <c r="E45" s="164" t="str">
        <f>CONCATENATE('3 pr-2'!F45)</f>
        <v>Lietuvos Respublikos vidaus reikalų ministerija</v>
      </c>
      <c r="F45" s="164" t="str">
        <f>CONCATENATE('3 pr-2'!G45)</f>
        <v>Varėnos r. sav.</v>
      </c>
      <c r="G45" s="164" t="str">
        <f>CONCATENATE('3 pr-2'!H45)</f>
        <v xml:space="preserve">07.1.1-CPVA-R-905 </v>
      </c>
      <c r="H45" s="164" t="str">
        <f>CONCATENATE('3 pr-2'!I45)</f>
        <v>R</v>
      </c>
      <c r="I45" s="174" t="str">
        <f>CONCATENATE('3 pr-2'!J45)</f>
        <v>ITI</v>
      </c>
      <c r="J45" s="175">
        <f>SUM('3 pr-2'!L45)</f>
        <v>485640.4</v>
      </c>
      <c r="K45" s="176">
        <f>SUM('3 pr-2'!O45)</f>
        <v>37517.18</v>
      </c>
      <c r="L45" s="176">
        <f>SUM('3 pr-2'!R45)</f>
        <v>36334.160000000003</v>
      </c>
      <c r="M45" s="176">
        <f>SUM('3 pr-2'!U45)</f>
        <v>0</v>
      </c>
      <c r="N45" s="176">
        <f>SUM('3 pr-2'!X45)</f>
        <v>0</v>
      </c>
      <c r="O45" s="177">
        <f>SUM('3 pr-2'!AA45)</f>
        <v>411789.06</v>
      </c>
      <c r="P45" s="481">
        <f>SUM('3 pr-2'!AF45)</f>
        <v>43108</v>
      </c>
      <c r="Q45" s="239">
        <v>43206</v>
      </c>
      <c r="R45" s="173">
        <f>IF(Q45&gt;0,P45-Q45,0)</f>
        <v>-98</v>
      </c>
      <c r="S45" s="234">
        <f>IF(Q45&gt;0,(P45-Q45)/30.1667,0)</f>
        <v>-3.2486151949003372</v>
      </c>
    </row>
    <row r="46" spans="1:19" ht="31.5" customHeight="1" thickBot="1">
      <c r="A46" s="287" t="str">
        <f>CONCATENATE('3 pr-2'!A46)</f>
        <v>1.1.1.4</v>
      </c>
      <c r="B46" s="425"/>
      <c r="C46" s="1936" t="str">
        <f>CONCATENATE('3 pr-2'!B46)</f>
        <v xml:space="preserve">Priemonė:
Alytaus, Druskininkų ir Lazdijų miestų kompleksinė plėtra
</v>
      </c>
      <c r="D46" s="2095" t="str">
        <f>CONCATENATE('3 pr-2'!E46)</f>
        <v/>
      </c>
      <c r="E46" s="2095" t="str">
        <f>CONCATENATE('3 pr-2'!F46)</f>
        <v/>
      </c>
      <c r="F46" s="2095" t="str">
        <f>CONCATENATE('3 pr-2'!G46)</f>
        <v/>
      </c>
      <c r="G46" s="2095" t="str">
        <f>CONCATENATE('3 pr-2'!H46)</f>
        <v/>
      </c>
      <c r="H46" s="2095" t="str">
        <f>CONCATENATE('3 pr-2'!I46)</f>
        <v/>
      </c>
      <c r="I46" s="2095" t="str">
        <f>CONCATENATE('3 pr-2'!J46)</f>
        <v/>
      </c>
      <c r="J46" s="426">
        <f>SUM('3 pr-2'!L46)</f>
        <v>2431517.75</v>
      </c>
      <c r="K46" s="426">
        <f>SUM('3 pr-2'!O46)</f>
        <v>615648.60000000009</v>
      </c>
      <c r="L46" s="426">
        <f>SUM('3 pr-2'!R46)</f>
        <v>147232.63000000003</v>
      </c>
      <c r="M46" s="426">
        <f>SUM('3 pr-2'!U46)</f>
        <v>0</v>
      </c>
      <c r="N46" s="426">
        <f>SUM('3 pr-2'!X46)</f>
        <v>0</v>
      </c>
      <c r="O46" s="427">
        <f>SUM('3 pr-2'!AA46)</f>
        <v>1668636.52</v>
      </c>
      <c r="P46" s="428" t="s">
        <v>679</v>
      </c>
      <c r="Q46" s="429" t="s">
        <v>679</v>
      </c>
      <c r="R46" s="430" t="s">
        <v>679</v>
      </c>
      <c r="S46" s="430"/>
    </row>
    <row r="47" spans="1:19" ht="49.5" thickBot="1">
      <c r="A47" s="163" t="str">
        <f>CONCATENATE('3 pr-2'!A47)</f>
        <v>1.1.1.4.1</v>
      </c>
      <c r="B47" s="227" t="str">
        <f>CONCATENATE('ketv. 2'!B46)</f>
        <v>07.1.1-CPVA-V-902-01-0008</v>
      </c>
      <c r="C47" s="164" t="str">
        <f>CONCATENATE('3 pr-2'!D47)</f>
        <v>Buvusios pramoninės teritorijos Pramonės g. 1 Alytuje, pritaikymas verslo vystymui ir plėtrai.</v>
      </c>
      <c r="D47" s="164" t="str">
        <f>CONCATENATE('3 pr-2'!E47)</f>
        <v>Alytaus miesto savivaldybės administracija</v>
      </c>
      <c r="E47" s="164" t="str">
        <f>CONCATENATE('3 pr-2'!F47)</f>
        <v>Lietuvos Respublikos vidaus reikalų ministerija</v>
      </c>
      <c r="F47" s="164" t="str">
        <f>CONCATENATE('3 pr-2'!G47)</f>
        <v>Alytaus m. sav.</v>
      </c>
      <c r="G47" s="164" t="str">
        <f>CONCATENATE('3 pr-2'!H47)</f>
        <v>07.1.1-CPVA-V-902</v>
      </c>
      <c r="H47" s="164" t="str">
        <f>CONCATENATE('3 pr-2'!I47)</f>
        <v>V</v>
      </c>
      <c r="I47" s="174" t="str">
        <f>CONCATENATE('3 pr-2'!J47)</f>
        <v>ITI</v>
      </c>
      <c r="J47" s="175">
        <f>SUM('3 pr-2'!L47)</f>
        <v>1286060.7500000002</v>
      </c>
      <c r="K47" s="176">
        <f>SUM('3 pr-2'!O47)</f>
        <v>96454.570000000022</v>
      </c>
      <c r="L47" s="176">
        <f>SUM('3 pr-2'!R47)</f>
        <v>96454.550000000032</v>
      </c>
      <c r="M47" s="176">
        <f>SUM('3 pr-2'!U47)</f>
        <v>0</v>
      </c>
      <c r="N47" s="176">
        <f>SUM('3 pr-2'!X47)</f>
        <v>0</v>
      </c>
      <c r="O47" s="177">
        <f>SUM('3 pr-2'!AA47)</f>
        <v>1093151.6300000001</v>
      </c>
      <c r="P47" s="195">
        <f>SUM('3 pr-2'!AF47)</f>
        <v>42246</v>
      </c>
      <c r="Q47" s="240">
        <v>42246</v>
      </c>
      <c r="R47" s="173">
        <f t="shared" ref="R47:R49" si="5">SUM(P47-Q47)</f>
        <v>0</v>
      </c>
      <c r="S47" s="234">
        <f>SUM(P47-Q47)/30.1667</f>
        <v>0</v>
      </c>
    </row>
    <row r="48" spans="1:19" ht="49.5" thickBot="1">
      <c r="A48" s="163" t="str">
        <f>CONCATENATE('3 pr-2'!A48)</f>
        <v>1.1.1.4.2</v>
      </c>
      <c r="B48" s="227" t="str">
        <f>CONCATENATE('ketv. 2'!B47)</f>
        <v>07.1.1-CPVA-R-903-11-0001</v>
      </c>
      <c r="C48" s="164" t="str">
        <f>CONCATENATE('3 pr-2'!D48)</f>
        <v>Amatų centro „Menų kalvė“ Druskininkuose įkūrimas</v>
      </c>
      <c r="D48" s="164" t="str">
        <f>CONCATENATE('3 pr-2'!E48)</f>
        <v xml:space="preserve">Druskininkų savivaldybės administracija  </v>
      </c>
      <c r="E48" s="164" t="str">
        <f>CONCATENATE('3 pr-2'!F48)</f>
        <v>Lietuvos Respublikos vidaus reikalų ministerija</v>
      </c>
      <c r="F48" s="164" t="str">
        <f>CONCATENATE('3 pr-2'!G48)</f>
        <v>Druskininkų sav.</v>
      </c>
      <c r="G48" s="164" t="str">
        <f>CONCATENATE('3 pr-2'!H48)</f>
        <v>07.1.1-CPVA-R-903</v>
      </c>
      <c r="H48" s="164" t="str">
        <f>CONCATENATE('3 pr-2'!I48)</f>
        <v>R</v>
      </c>
      <c r="I48" s="174" t="str">
        <f>CONCATENATE('3 pr-2'!J48)</f>
        <v>ITI</v>
      </c>
      <c r="J48" s="175">
        <f>SUM('3 pr-2'!L48)</f>
        <v>801950</v>
      </c>
      <c r="K48" s="176">
        <f>SUM('3 pr-2'!O48)</f>
        <v>493431</v>
      </c>
      <c r="L48" s="176">
        <f>SUM('3 pr-2'!R48)</f>
        <v>25015.06</v>
      </c>
      <c r="M48" s="176">
        <f>SUM('3 pr-2'!U48)</f>
        <v>0</v>
      </c>
      <c r="N48" s="176">
        <f>SUM('3 pr-2'!X48)</f>
        <v>0</v>
      </c>
      <c r="O48" s="177">
        <f>SUM('3 pr-2'!AA48)</f>
        <v>283503.94</v>
      </c>
      <c r="P48" s="195">
        <f>SUM('3 pr-2'!AF48)</f>
        <v>42419</v>
      </c>
      <c r="Q48" s="240">
        <v>42418</v>
      </c>
      <c r="R48" s="173">
        <f t="shared" si="5"/>
        <v>1</v>
      </c>
      <c r="S48" s="234">
        <f>SUM(P48-Q48)/30.1667</f>
        <v>3.3149134641840175E-2</v>
      </c>
    </row>
    <row r="49" spans="1:19" ht="49.5" thickBot="1">
      <c r="A49" s="163" t="str">
        <f>CONCATENATE('3 pr-2'!A49)</f>
        <v>1.1.1.4.3</v>
      </c>
      <c r="B49" s="227" t="str">
        <f>CONCATENATE('ketv. 2'!B48)</f>
        <v>07.1.1-CPVA-R-903-11-0002</v>
      </c>
      <c r="C49" s="164" t="str">
        <f>CONCATENATE('3 pr-2'!D49)</f>
        <v>Lazdijų miesto kompleksinė infrastruktūros plėtra, III etapas</v>
      </c>
      <c r="D49" s="164" t="str">
        <f>CONCATENATE('3 pr-2'!E49)</f>
        <v>Lazdijų rajono savivaldybės administracija</v>
      </c>
      <c r="E49" s="164" t="str">
        <f>CONCATENATE('3 pr-2'!F49)</f>
        <v>Lietuvos Respublikos vidaus reikalų ministerija</v>
      </c>
      <c r="F49" s="164" t="str">
        <f>CONCATENATE('3 pr-2'!G49)</f>
        <v>Lazdijų r. sav.</v>
      </c>
      <c r="G49" s="164" t="str">
        <f>CONCATENATE('3 pr-2'!H49)</f>
        <v>07.1.1-CPVA-R-903</v>
      </c>
      <c r="H49" s="164" t="str">
        <f>CONCATENATE('3 pr-2'!I49)</f>
        <v>R</v>
      </c>
      <c r="I49" s="174" t="str">
        <f>CONCATENATE('3 pr-2'!J49)</f>
        <v>ITI</v>
      </c>
      <c r="J49" s="175">
        <f>SUM('3 pr-2'!L49)</f>
        <v>343507</v>
      </c>
      <c r="K49" s="176">
        <f>SUM('3 pr-2'!O49)</f>
        <v>25763.03</v>
      </c>
      <c r="L49" s="176">
        <f>SUM('3 pr-2'!R49)</f>
        <v>25763.02</v>
      </c>
      <c r="M49" s="176">
        <f>SUM('3 pr-2'!U49)</f>
        <v>0</v>
      </c>
      <c r="N49" s="176">
        <f>SUM('3 pr-2'!X49)</f>
        <v>0</v>
      </c>
      <c r="O49" s="177">
        <f>SUM('3 pr-2'!AA49)</f>
        <v>291980.95</v>
      </c>
      <c r="P49" s="195">
        <f>SUM('3 pr-2'!AF49)</f>
        <v>42419</v>
      </c>
      <c r="Q49" s="240">
        <v>42418</v>
      </c>
      <c r="R49" s="173">
        <f t="shared" si="5"/>
        <v>1</v>
      </c>
      <c r="S49" s="234">
        <f>SUM(P49-Q49)/30.1667</f>
        <v>3.3149134641840175E-2</v>
      </c>
    </row>
    <row r="50" spans="1:19" ht="36" customHeight="1" thickBot="1">
      <c r="A50" s="287" t="str">
        <f>CONCATENATE('3 pr-2'!A50)</f>
        <v>1.1.1.5</v>
      </c>
      <c r="B50" s="425"/>
      <c r="C50" s="1936" t="str">
        <f>CONCATENATE('3 pr-2'!B50)</f>
        <v xml:space="preserve">Priemonė:
Geriamojo vandens tiekimo ir nuotekų tvarkymo sistemų renovavimas ir plėtra, įmonių valdymo tobulinimas </v>
      </c>
      <c r="D50" s="2095" t="str">
        <f>CONCATENATE('3 pr-2'!E50)</f>
        <v/>
      </c>
      <c r="E50" s="2095" t="str">
        <f>CONCATENATE('3 pr-2'!F50)</f>
        <v/>
      </c>
      <c r="F50" s="2095" t="str">
        <f>CONCATENATE('3 pr-2'!G50)</f>
        <v/>
      </c>
      <c r="G50" s="2095" t="str">
        <f>CONCATENATE('3 pr-2'!H50)</f>
        <v/>
      </c>
      <c r="H50" s="2095" t="str">
        <f>CONCATENATE('3 pr-2'!I50)</f>
        <v/>
      </c>
      <c r="I50" s="2095" t="str">
        <f>CONCATENATE('3 pr-2'!J50)</f>
        <v/>
      </c>
      <c r="J50" s="426">
        <f>SUM('3 pr-2'!L50)</f>
        <v>16349723.129999999</v>
      </c>
      <c r="K50" s="426">
        <f>SUM('3 pr-2'!O50)</f>
        <v>0</v>
      </c>
      <c r="L50" s="426">
        <f>SUM('3 pr-2'!R50)</f>
        <v>0</v>
      </c>
      <c r="M50" s="426">
        <f>SUM('3 pr-2'!U50)</f>
        <v>7447758.8300000001</v>
      </c>
      <c r="N50" s="426">
        <f>SUM('3 pr-2'!X50)</f>
        <v>0</v>
      </c>
      <c r="O50" s="427">
        <f>SUM('3 pr-2'!AA50)</f>
        <v>8901964.3000000007</v>
      </c>
      <c r="P50" s="428"/>
      <c r="Q50" s="429"/>
      <c r="R50" s="430"/>
      <c r="S50" s="430"/>
    </row>
    <row r="51" spans="1:19" ht="49.5" thickBot="1">
      <c r="A51" s="163" t="str">
        <f>CONCATENATE('3 pr-2'!A51)</f>
        <v>1.1.1.5.1</v>
      </c>
      <c r="B51" s="227" t="str">
        <f>CONCATENATE('ketv. 2'!B50)</f>
        <v>05.3.2-APVA-R-014-11-0001</v>
      </c>
      <c r="C51" s="164" t="str">
        <f>CONCATENATE('3 pr-2'!D51)</f>
        <v>Geriamojo vandens tiekimo ir nuotekų tvarkymo sistemų renovavimas ir plėtra Varėnos rajone</v>
      </c>
      <c r="D51" s="164" t="str">
        <f>CONCATENATE('3 pr-2'!E51)</f>
        <v>UAB „Varėnos vandenys“</v>
      </c>
      <c r="E51" s="164" t="str">
        <f>CONCATENATE('3 pr-2'!F51)</f>
        <v>Lietuvos Respublikos aplinkos ministerija</v>
      </c>
      <c r="F51" s="164" t="str">
        <f>CONCATENATE('3 pr-2'!G51)</f>
        <v>Varėnos r. sav.</v>
      </c>
      <c r="G51" s="164" t="str">
        <f>CONCATENATE('3 pr-2'!H51)</f>
        <v>05.3.2-APVA-R-014</v>
      </c>
      <c r="H51" s="164" t="str">
        <f>CONCATENATE('3 pr-2'!I51)</f>
        <v>R</v>
      </c>
      <c r="I51" s="174" t="str">
        <f>CONCATENATE('3 pr-2'!J51)</f>
        <v>ITI</v>
      </c>
      <c r="J51" s="175">
        <f>SUM('3 pr-2'!L51)</f>
        <v>2474472.79</v>
      </c>
      <c r="K51" s="176">
        <f>SUM('3 pr-2'!O51)</f>
        <v>0</v>
      </c>
      <c r="L51" s="176">
        <f>SUM('3 pr-2'!R51)</f>
        <v>0</v>
      </c>
      <c r="M51" s="176">
        <f>SUM('3 pr-2'!U51)</f>
        <v>860244.53</v>
      </c>
      <c r="N51" s="176">
        <f>SUM('3 pr-2'!X51)</f>
        <v>0</v>
      </c>
      <c r="O51" s="177">
        <f>SUM('3 pr-2'!AA51)</f>
        <v>1614228.26</v>
      </c>
      <c r="P51" s="195">
        <f>SUM('3 pr-2'!AF51)</f>
        <v>42451</v>
      </c>
      <c r="Q51" s="240">
        <v>42451</v>
      </c>
      <c r="R51" s="173">
        <f t="shared" ref="R51:R55" si="6">SUM(P51-Q51)</f>
        <v>0</v>
      </c>
      <c r="S51" s="234">
        <f>(P51-Q51)/30.4166666666667</f>
        <v>0</v>
      </c>
    </row>
    <row r="52" spans="1:19" ht="49.5" thickBot="1">
      <c r="A52" s="163" t="str">
        <f>CONCATENATE('3 pr-2'!A52)</f>
        <v>1.1.1.5.2.</v>
      </c>
      <c r="B52" s="227" t="str">
        <f>CONCATENATE('ketv. 2'!B51)</f>
        <v>05.3.2-APVA-R-014-11-0002</v>
      </c>
      <c r="C52" s="164" t="str">
        <f>CONCATENATE('3 pr-2'!D52)</f>
        <v>Geriamojo vandens ir nuotekų tvarkymo sistemų renovavimas Alytaus mieste</v>
      </c>
      <c r="D52" s="164" t="str">
        <f>CONCATENATE('3 pr-2'!E52)</f>
        <v>UAB “Dzūkijos vandenys“</v>
      </c>
      <c r="E52" s="164" t="str">
        <f>CONCATENATE('3 pr-2'!F52)</f>
        <v>Lietuvos Respublikos aplinkos ministerija</v>
      </c>
      <c r="F52" s="164" t="str">
        <f>CONCATENATE('3 pr-2'!G52)</f>
        <v>Alytaus m. sav.</v>
      </c>
      <c r="G52" s="164" t="str">
        <f>CONCATENATE('3 pr-2'!H52)</f>
        <v>05.3.2-APVA-R-014</v>
      </c>
      <c r="H52" s="164" t="str">
        <f>CONCATENATE('3 pr-2'!I52)</f>
        <v>R</v>
      </c>
      <c r="I52" s="174" t="str">
        <f>CONCATENATE('3 pr-2'!J52)</f>
        <v>ITI</v>
      </c>
      <c r="J52" s="175">
        <f>SUM('3 pr-2'!L52)</f>
        <v>5706088</v>
      </c>
      <c r="K52" s="176">
        <f>SUM('3 pr-2'!O52)</f>
        <v>0</v>
      </c>
      <c r="L52" s="176">
        <f>SUM('3 pr-2'!R52)</f>
        <v>0</v>
      </c>
      <c r="M52" s="176">
        <f>SUM('3 pr-2'!U52)</f>
        <v>3009103.69</v>
      </c>
      <c r="N52" s="176">
        <f>SUM('3 pr-2'!X52)</f>
        <v>0</v>
      </c>
      <c r="O52" s="177">
        <f>SUM('3 pr-2'!AA52)</f>
        <v>2696984.31</v>
      </c>
      <c r="P52" s="195">
        <f>SUM('3 pr-2'!AF52)</f>
        <v>42451</v>
      </c>
      <c r="Q52" s="240">
        <v>42451</v>
      </c>
      <c r="R52" s="173">
        <f t="shared" si="6"/>
        <v>0</v>
      </c>
      <c r="S52" s="234">
        <f>(P52-Q52)/30.4166666666667</f>
        <v>0</v>
      </c>
    </row>
    <row r="53" spans="1:19" ht="49.5" thickBot="1">
      <c r="A53" s="163" t="str">
        <f>CONCATENATE('3 pr-2'!A53)</f>
        <v>1.1.1.5.3</v>
      </c>
      <c r="B53" s="227" t="str">
        <f>CONCATENATE('ketv. 2'!B52)</f>
        <v>05.3.2-APVA-R-014-11-0004</v>
      </c>
      <c r="C53" s="164" t="str">
        <f>CONCATENATE('3 pr-2'!D53)</f>
        <v>Geriamojo vandens tiekimo ir nuotekų tvarkymo sistemų renovavimas ir plėtra Lazdijų rajono savivaldybėje</v>
      </c>
      <c r="D53" s="164" t="str">
        <f>CONCATENATE('3 pr-2'!E53)</f>
        <v>UAB „Lazdijų vanduo“</v>
      </c>
      <c r="E53" s="164" t="str">
        <f>CONCATENATE('3 pr-2'!F53)</f>
        <v>Lietuvos Respublikos aplinkos ministerija</v>
      </c>
      <c r="F53" s="164" t="str">
        <f>CONCATENATE('3 pr-2'!G53)</f>
        <v>Lazdijų r. sav.</v>
      </c>
      <c r="G53" s="164" t="str">
        <f>CONCATENATE('3 pr-2'!H53)</f>
        <v>05.3.2-APVA-R-014</v>
      </c>
      <c r="H53" s="164" t="str">
        <f>CONCATENATE('3 pr-2'!I53)</f>
        <v>R</v>
      </c>
      <c r="I53" s="174" t="str">
        <f>CONCATENATE('3 pr-2'!J53)</f>
        <v>-</v>
      </c>
      <c r="J53" s="175">
        <f>SUM('3 pr-2'!L53)</f>
        <v>1437425.74</v>
      </c>
      <c r="K53" s="176">
        <f>SUM('3 pr-2'!O53)</f>
        <v>0</v>
      </c>
      <c r="L53" s="176">
        <f>SUM('3 pr-2'!R53)</f>
        <v>0</v>
      </c>
      <c r="M53" s="176">
        <f>SUM('3 pr-2'!U53)</f>
        <v>641323.74</v>
      </c>
      <c r="N53" s="176">
        <f>SUM('3 pr-2'!X53)</f>
        <v>0</v>
      </c>
      <c r="O53" s="177">
        <f>SUM('3 pr-2'!AA53)</f>
        <v>796102</v>
      </c>
      <c r="P53" s="195">
        <f>SUM('3 pr-2'!AF53)</f>
        <v>42451</v>
      </c>
      <c r="Q53" s="240">
        <v>42451</v>
      </c>
      <c r="R53" s="173">
        <f t="shared" si="6"/>
        <v>0</v>
      </c>
      <c r="S53" s="234">
        <f>(P53-Q53)/30.4166666666667</f>
        <v>0</v>
      </c>
    </row>
    <row r="54" spans="1:19" ht="49.5" thickBot="1">
      <c r="A54" s="163" t="str">
        <f>CONCATENATE('3 pr-2'!A54)</f>
        <v>1.1.1.5.4.</v>
      </c>
      <c r="B54" s="227" t="str">
        <f>CONCATENATE('ketv. 2'!B53)</f>
        <v>05.3.2-APVA-R-014-11-0003</v>
      </c>
      <c r="C54" s="164" t="str">
        <f>CONCATENATE('3 pr-2'!D54)</f>
        <v>Vandens tiekimo ir nuotekų šalinimo infrastruktūros renovavimas ir plėtra Druskininkų savivaldybėje</v>
      </c>
      <c r="D54" s="164" t="str">
        <f>CONCATENATE('3 pr-2'!E54)</f>
        <v>UAB "Druskininkų vandenys"</v>
      </c>
      <c r="E54" s="164" t="str">
        <f>CONCATENATE('3 pr-2'!F54)</f>
        <v>Lietuvos Respublikos aplinkos ministerija</v>
      </c>
      <c r="F54" s="164" t="str">
        <f>CONCATENATE('3 pr-2'!G54)</f>
        <v>Druskininkų sav.</v>
      </c>
      <c r="G54" s="164" t="str">
        <f>CONCATENATE('3 pr-2'!H54)</f>
        <v>05.3.2-APVA-R-014</v>
      </c>
      <c r="H54" s="164" t="str">
        <f>CONCATENATE('3 pr-2'!I54)</f>
        <v>R</v>
      </c>
      <c r="I54" s="174" t="str">
        <f>CONCATENATE('3 pr-2'!J54)</f>
        <v>-</v>
      </c>
      <c r="J54" s="175">
        <f>SUM('3 pr-2'!L54)</f>
        <v>5160736.5999999996</v>
      </c>
      <c r="K54" s="176">
        <f>SUM('3 pr-2'!O54)</f>
        <v>0</v>
      </c>
      <c r="L54" s="176">
        <f>SUM('3 pr-2'!R54)</f>
        <v>0</v>
      </c>
      <c r="M54" s="176">
        <f>SUM('3 pr-2'!U54)</f>
        <v>2286561.87</v>
      </c>
      <c r="N54" s="176">
        <f>SUM('3 pr-2'!X54)</f>
        <v>0</v>
      </c>
      <c r="O54" s="177">
        <f>SUM('3 pr-2'!AA54)</f>
        <v>2874174.73</v>
      </c>
      <c r="P54" s="195">
        <f>SUM('3 pr-2'!AF54)</f>
        <v>42451</v>
      </c>
      <c r="Q54" s="240">
        <v>42451</v>
      </c>
      <c r="R54" s="173">
        <f t="shared" si="6"/>
        <v>0</v>
      </c>
      <c r="S54" s="234">
        <f>(P54-Q54)/30.4166666666667</f>
        <v>0</v>
      </c>
    </row>
    <row r="55" spans="1:19" ht="49.5" thickBot="1">
      <c r="A55" s="163" t="str">
        <f>CONCATENATE('3 pr-2'!A55)</f>
        <v>1.1.1.5.5.</v>
      </c>
      <c r="B55" s="227" t="str">
        <f>CONCATENATE('ketv. 2'!B54)</f>
        <v>05.3.2-APVA-R-014-11-0005</v>
      </c>
      <c r="C55" s="164" t="str">
        <f>CONCATENATE('3 pr-2'!D55)</f>
        <v>Vandens tiekimo ir nuotekų tvarkymo infrastruktūros plėtra Alytaus rajone (Krokialaukyje)</v>
      </c>
      <c r="D55" s="164" t="str">
        <f>CONCATENATE('3 pr-2'!E55)</f>
        <v>SĮ „Simno komunalininkas“</v>
      </c>
      <c r="E55" s="164" t="str">
        <f>CONCATENATE('3 pr-2'!F55)</f>
        <v>Lietuvos Respublikos aplinkos ministerija</v>
      </c>
      <c r="F55" s="164" t="str">
        <f>CONCATENATE('3 pr-2'!G55)</f>
        <v>Alytaus r. sav.</v>
      </c>
      <c r="G55" s="164" t="str">
        <f>CONCATENATE('3 pr-2'!H55)</f>
        <v>05.3.2-APVA-R-014</v>
      </c>
      <c r="H55" s="164" t="str">
        <f>CONCATENATE('3 pr-2'!I55)</f>
        <v>R</v>
      </c>
      <c r="I55" s="174" t="str">
        <f>CONCATENATE('3 pr-2'!J55)</f>
        <v>-</v>
      </c>
      <c r="J55" s="175">
        <f>SUM('3 pr-2'!L55)</f>
        <v>1571000</v>
      </c>
      <c r="K55" s="176">
        <f>SUM('3 pr-2'!O55)</f>
        <v>0</v>
      </c>
      <c r="L55" s="176">
        <f>SUM('3 pr-2'!R55)</f>
        <v>0</v>
      </c>
      <c r="M55" s="176">
        <f>SUM('3 pr-2'!U55)</f>
        <v>650525</v>
      </c>
      <c r="N55" s="176">
        <f>SUM('3 pr-2'!X55)</f>
        <v>0</v>
      </c>
      <c r="O55" s="177">
        <f>SUM('3 pr-2'!AA55)</f>
        <v>920475</v>
      </c>
      <c r="P55" s="195">
        <f>SUM('3 pr-2'!AF55)</f>
        <v>42451</v>
      </c>
      <c r="Q55" s="240">
        <v>42451</v>
      </c>
      <c r="R55" s="173">
        <f t="shared" si="6"/>
        <v>0</v>
      </c>
      <c r="S55" s="234">
        <f>(P55-Q55)/30.4166666666667</f>
        <v>0</v>
      </c>
    </row>
    <row r="56" spans="1:19" ht="33.75" customHeight="1" thickBot="1">
      <c r="A56" s="287" t="str">
        <f>CONCATENATE('3 pr-2'!A56)</f>
        <v>1.1.1.6</v>
      </c>
      <c r="B56" s="425"/>
      <c r="C56" s="1936" t="str">
        <f>CONCATENATE('3 pr-2'!B56)</f>
        <v>Priemonė:
Paviršinių nuotekų sistemų tvarkymas</v>
      </c>
      <c r="D56" s="2095" t="str">
        <f>CONCATENATE('3 pr-2'!E56)</f>
        <v/>
      </c>
      <c r="E56" s="2095" t="str">
        <f>CONCATENATE('3 pr-2'!F56)</f>
        <v/>
      </c>
      <c r="F56" s="2095" t="str">
        <f>CONCATENATE('3 pr-2'!G56)</f>
        <v/>
      </c>
      <c r="G56" s="2095" t="str">
        <f>CONCATENATE('3 pr-2'!H56)</f>
        <v/>
      </c>
      <c r="H56" s="2095" t="str">
        <f>CONCATENATE('3 pr-2'!I56)</f>
        <v/>
      </c>
      <c r="I56" s="2095" t="str">
        <f>CONCATENATE('3 pr-2'!J56)</f>
        <v/>
      </c>
      <c r="J56" s="426">
        <f>SUM('3 pr-2'!L56)</f>
        <v>3990955.51</v>
      </c>
      <c r="K56" s="426">
        <f>SUM('3 pr-2'!O56)</f>
        <v>0</v>
      </c>
      <c r="L56" s="426">
        <f>SUM('3 pr-2'!R56)</f>
        <v>0</v>
      </c>
      <c r="M56" s="426">
        <f>SUM('3 pr-2'!U56)</f>
        <v>598643.31999999995</v>
      </c>
      <c r="N56" s="426">
        <f>SUM('3 pr-2'!X56)</f>
        <v>0</v>
      </c>
      <c r="O56" s="427">
        <f>SUM('3 pr-2'!AA56)</f>
        <v>3392312.19</v>
      </c>
      <c r="P56" s="428"/>
      <c r="Q56" s="429"/>
      <c r="R56" s="430"/>
      <c r="S56" s="430"/>
    </row>
    <row r="57" spans="1:19" ht="49.5" thickBot="1">
      <c r="A57" s="163" t="str">
        <f>CONCATENATE('3 pr-2'!A57)</f>
        <v>1.1.1.6.1</v>
      </c>
      <c r="B57" s="227" t="str">
        <f>CONCATENATE('ketv. 2'!B56)</f>
        <v>05.1.1-APVA-R-007-11-0001</v>
      </c>
      <c r="C57" s="164" t="str">
        <f>CONCATENATE('3 pr-2'!D57)</f>
        <v>Paviršinių nuotekų sistemų tvarkymas Alytaus mieste</v>
      </c>
      <c r="D57" s="164" t="str">
        <f>CONCATENATE('3 pr-2'!E57)</f>
        <v>UAB “Dzūkijos vandenys“</v>
      </c>
      <c r="E57" s="164" t="str">
        <f>CONCATENATE('3 pr-2'!F57)</f>
        <v>Lietuvos Respublikos aplinkos ministerija</v>
      </c>
      <c r="F57" s="164" t="str">
        <f>CONCATENATE('3 pr-2'!G57)</f>
        <v>Alytaus m. sav.</v>
      </c>
      <c r="G57" s="164" t="str">
        <f>CONCATENATE('3 pr-2'!H57)</f>
        <v>05.1.1-APVA-R-007</v>
      </c>
      <c r="H57" s="164" t="str">
        <f>CONCATENATE('3 pr-2'!I57)</f>
        <v>R</v>
      </c>
      <c r="I57" s="174" t="str">
        <f>CONCATENATE('3 pr-2'!J57)</f>
        <v>-</v>
      </c>
      <c r="J57" s="175">
        <f>SUM('3 pr-2'!L57)</f>
        <v>3990955.51</v>
      </c>
      <c r="K57" s="176">
        <f>SUM('3 pr-2'!O57)</f>
        <v>0</v>
      </c>
      <c r="L57" s="176">
        <f>SUM('3 pr-2'!R57)</f>
        <v>0</v>
      </c>
      <c r="M57" s="176">
        <f>SUM('3 pr-2'!U57)</f>
        <v>598643.31999999995</v>
      </c>
      <c r="N57" s="176">
        <f>SUM('3 pr-2'!X57)</f>
        <v>0</v>
      </c>
      <c r="O57" s="177">
        <f>SUM('3 pr-2'!AA57)</f>
        <v>3392312.19</v>
      </c>
      <c r="P57" s="481">
        <f>SUM('3 pr-2'!AF57)</f>
        <v>43130</v>
      </c>
      <c r="Q57" s="239">
        <v>43130</v>
      </c>
      <c r="R57" s="173">
        <f t="shared" ref="R57" si="7">SUM(P57-Q57)</f>
        <v>0</v>
      </c>
      <c r="S57" s="234">
        <f>(P57-Q57)/30.4166666666667</f>
        <v>0</v>
      </c>
    </row>
    <row r="58" spans="1:19" ht="35.25" customHeight="1" thickBot="1">
      <c r="A58" s="287" t="str">
        <f>CONCATENATE('3 pr-2'!A58)</f>
        <v>1.1.1.7</v>
      </c>
      <c r="B58" s="425"/>
      <c r="C58" s="1936" t="str">
        <f>CONCATENATE('3 pr-2'!D58)</f>
        <v/>
      </c>
      <c r="D58" s="2095" t="str">
        <f>CONCATENATE('3 pr-2'!E58)</f>
        <v/>
      </c>
      <c r="E58" s="2095" t="str">
        <f>CONCATENATE('3 pr-2'!F58)</f>
        <v/>
      </c>
      <c r="F58" s="2095" t="str">
        <f>CONCATENATE('3 pr-2'!G58)</f>
        <v/>
      </c>
      <c r="G58" s="2095" t="str">
        <f>CONCATENATE('3 pr-2'!H58)</f>
        <v/>
      </c>
      <c r="H58" s="2095" t="str">
        <f>CONCATENATE('3 pr-2'!I58)</f>
        <v/>
      </c>
      <c r="I58" s="2095" t="str">
        <f>CONCATENATE('3 pr-2'!J58)</f>
        <v/>
      </c>
      <c r="J58" s="426">
        <f>SUM('3 pr-2'!L58)</f>
        <v>719317.64705882361</v>
      </c>
      <c r="K58" s="426">
        <f>SUM('3 pr-2'!O58)</f>
        <v>107897.64705882352</v>
      </c>
      <c r="L58" s="426">
        <f>SUM('3 pr-2'!R58)</f>
        <v>0</v>
      </c>
      <c r="M58" s="426">
        <f>SUM('3 pr-2'!U58)</f>
        <v>0</v>
      </c>
      <c r="N58" s="426">
        <f>SUM('3 pr-2'!X58)</f>
        <v>0</v>
      </c>
      <c r="O58" s="427">
        <f>SUM('3 pr-2'!AA58)</f>
        <v>611420</v>
      </c>
      <c r="P58" s="428"/>
      <c r="Q58" s="429"/>
      <c r="R58" s="430"/>
      <c r="S58" s="430"/>
    </row>
    <row r="59" spans="1:19" ht="37.5" thickBot="1">
      <c r="A59" s="163" t="str">
        <f>CONCATENATE('3 pr-2'!A59)</f>
        <v>1.1.1.7.1</v>
      </c>
      <c r="B59" s="227" t="str">
        <f>CONCATENATE('ketv. 2'!B58)</f>
        <v>05.4.1-LVPA-R-821-11-0002</v>
      </c>
      <c r="C59" s="164" t="str">
        <f>CONCATENATE('3 pr-2'!D59)</f>
        <v>Alytaus regiono turizmo informacinės infrastruktūros plėtra</v>
      </c>
      <c r="D59" s="164" t="str">
        <f>CONCATENATE('3 pr-2'!E59)</f>
        <v>Alytaus miesto savivaldybės administracija</v>
      </c>
      <c r="E59" s="164" t="str">
        <f>CONCATENATE('3 pr-2'!F59)</f>
        <v>Lietuvos Respublikos ūkio ministerija</v>
      </c>
      <c r="F59" s="164" t="str">
        <f>CONCATENATE('3 pr-2'!G59)</f>
        <v>Alytaus regionas</v>
      </c>
      <c r="G59" s="164" t="str">
        <f>CONCATENATE('3 pr-2'!H59)</f>
        <v>05.4.1-LVPA-R-821</v>
      </c>
      <c r="H59" s="164" t="str">
        <f>CONCATENATE('3 pr-2'!I59)</f>
        <v>R</v>
      </c>
      <c r="I59" s="174" t="str">
        <f>CONCATENATE('3 pr-2'!J59)</f>
        <v>-</v>
      </c>
      <c r="J59" s="175">
        <f>SUM('3 pr-2'!L59)</f>
        <v>208223.52941176473</v>
      </c>
      <c r="K59" s="176">
        <f>SUM('3 pr-2'!O59)</f>
        <v>31233.529411764706</v>
      </c>
      <c r="L59" s="176">
        <f>SUM('3 pr-2'!R59)</f>
        <v>0</v>
      </c>
      <c r="M59" s="176">
        <f>SUM('3 pr-2'!U59)</f>
        <v>0</v>
      </c>
      <c r="N59" s="176">
        <f>SUM('3 pr-2'!X59)</f>
        <v>0</v>
      </c>
      <c r="O59" s="177">
        <f>SUM('3 pr-2'!AA59)</f>
        <v>176990</v>
      </c>
      <c r="P59" s="195">
        <f>SUM('3 pr-2'!AF59)</f>
        <v>42604</v>
      </c>
      <c r="Q59" s="239">
        <v>42604</v>
      </c>
      <c r="R59" s="173">
        <f t="shared" ref="R59:R60" si="8">SUM(P59-Q59)</f>
        <v>0</v>
      </c>
      <c r="S59" s="234">
        <f>(P59-Q59)/30.4166666666667</f>
        <v>0</v>
      </c>
    </row>
    <row r="60" spans="1:19" ht="49.5" thickBot="1">
      <c r="A60" s="163" t="str">
        <f>CONCATENATE('3 pr-2'!A60)</f>
        <v>1.1.1.7.2</v>
      </c>
      <c r="B60" s="227" t="str">
        <f>CONCATENATE('ketv. 2'!B59)</f>
        <v>05.4.1-LVPA-R-821-11-0001</v>
      </c>
      <c r="C60" s="164" t="str">
        <f>CONCATENATE('3 pr-2'!D60)</f>
        <v>Turizmo trasų ir maršrutų informacinės infrastruktūros plėtra Lazdijų, Varėnos rajonų ir Druskininkų savivaldybėse</v>
      </c>
      <c r="D60" s="164" t="str">
        <f>CONCATENATE('3 pr-2'!E60)</f>
        <v>Lazdijų rajono savivaldybės administracija</v>
      </c>
      <c r="E60" s="164" t="str">
        <f>CONCATENATE('3 pr-2'!F60)</f>
        <v>Lietuvos Respublikos ūkio ministerija</v>
      </c>
      <c r="F60" s="164" t="str">
        <f>CONCATENATE('3 pr-2'!G60)</f>
        <v xml:space="preserve">Lazdijų, Varėnos rajonų ir Druskininkų savivaldybės </v>
      </c>
      <c r="G60" s="164" t="str">
        <f>CONCATENATE('3 pr-2'!H60)</f>
        <v>05.4.1-LVPA-R-821</v>
      </c>
      <c r="H60" s="164" t="str">
        <f>CONCATENATE('3 pr-2'!I60)</f>
        <v>R</v>
      </c>
      <c r="I60" s="174" t="str">
        <f>CONCATENATE('3 pr-2'!J60)</f>
        <v>-</v>
      </c>
      <c r="J60" s="175">
        <f>SUM('3 pr-2'!L60)</f>
        <v>288106</v>
      </c>
      <c r="K60" s="176">
        <f>SUM('3 pr-2'!O60)</f>
        <v>43215.9</v>
      </c>
      <c r="L60" s="176">
        <f>SUM('3 pr-2'!R60)</f>
        <v>0</v>
      </c>
      <c r="M60" s="176">
        <f>SUM('3 pr-2'!U60)</f>
        <v>0</v>
      </c>
      <c r="N60" s="176">
        <f>SUM('3 pr-2'!X60)</f>
        <v>0</v>
      </c>
      <c r="O60" s="177">
        <f>SUM('3 pr-2'!AA60)</f>
        <v>244890.1</v>
      </c>
      <c r="P60" s="195">
        <f>SUM('3 pr-2'!AF60)</f>
        <v>42604</v>
      </c>
      <c r="Q60" s="239">
        <v>42604</v>
      </c>
      <c r="R60" s="173">
        <f t="shared" si="8"/>
        <v>0</v>
      </c>
      <c r="S60" s="173">
        <f t="shared" ref="S60" si="9">IF((MONTH(P60)-MONTH(Q60))=0,0,MONTH(P60)-MONTH(Q60))</f>
        <v>0</v>
      </c>
    </row>
    <row r="61" spans="1:19" ht="49.5" thickBot="1">
      <c r="A61" s="163" t="str">
        <f>CONCATENATE('3 pr-2'!A61)</f>
        <v>1.1.1.7.3</v>
      </c>
      <c r="B61" s="227" t="str">
        <f>CONCATENATE('ketv. 2'!B60)</f>
        <v>05.4.1-LVPA-R-821-11-0003</v>
      </c>
      <c r="C61" s="164" t="str">
        <f>CONCATENATE('3 pr-2'!D61)</f>
        <v>Turizmo trasų ir maršrutų informacinės infrastruktūros plėtra Lazdijų, Varėnos rajonų ir Druskininkų savivaldybėse, II etapas</v>
      </c>
      <c r="D61" s="164" t="str">
        <f>CONCATENATE('3 pr-2'!E61)</f>
        <v>Lazdijų rajono savivaldybės administracija</v>
      </c>
      <c r="E61" s="164" t="str">
        <f>CONCATENATE('3 pr-2'!F61)</f>
        <v>Lietuvos Respublikos ūkio ministerija</v>
      </c>
      <c r="F61" s="164" t="str">
        <f>CONCATENATE('3 pr-2'!G61)</f>
        <v xml:space="preserve">Lazdijų, Varėnos rajonų ir Druskininkų savivaldybės </v>
      </c>
      <c r="G61" s="164" t="str">
        <f>CONCATENATE('3 pr-2'!H61)</f>
        <v>05.4.1-LVPA-R-821</v>
      </c>
      <c r="H61" s="164" t="str">
        <f>CONCATENATE('3 pr-2'!I61)</f>
        <v>R</v>
      </c>
      <c r="I61" s="174" t="str">
        <f>CONCATENATE('3 pr-2'!J61)</f>
        <v>-</v>
      </c>
      <c r="J61" s="175">
        <f>SUM('3 pr-2'!L61)</f>
        <v>222988.11764705885</v>
      </c>
      <c r="K61" s="176">
        <f>SUM('3 pr-2'!O61)</f>
        <v>33448.217647058824</v>
      </c>
      <c r="L61" s="176">
        <f>SUM('3 pr-2'!R61)</f>
        <v>0</v>
      </c>
      <c r="M61" s="176">
        <f>SUM('3 pr-2'!U61)</f>
        <v>0</v>
      </c>
      <c r="N61" s="176">
        <f>SUM('3 pr-2'!X61)</f>
        <v>0</v>
      </c>
      <c r="O61" s="177">
        <f>SUM('3 pr-2'!AA61)</f>
        <v>189539.9</v>
      </c>
      <c r="P61" s="481">
        <f>SUM('3 pr-2'!AF61)</f>
        <v>43189</v>
      </c>
      <c r="Q61" s="239">
        <v>43404</v>
      </c>
      <c r="R61" s="173">
        <f>IF(Q61&gt;0,P61-Q61,0)</f>
        <v>-215</v>
      </c>
      <c r="S61" s="234">
        <f>IF(Q61&gt;0,(P61-Q61)/30.1667,0)</f>
        <v>-7.1270639479956381</v>
      </c>
    </row>
    <row r="62" spans="1:19" ht="29.25" customHeight="1" thickBot="1">
      <c r="A62" s="287" t="str">
        <f>CONCATENATE('3 pr-2'!A62)</f>
        <v>1.1.1.8</v>
      </c>
      <c r="B62" s="425"/>
      <c r="C62" s="1936" t="str">
        <f>CONCATENATE('3 pr-2'!B62)</f>
        <v>Priemonė:
Modernizuoti savivaldybių kultūros infrastruktūrą</v>
      </c>
      <c r="D62" s="2095" t="str">
        <f>CONCATENATE('3 pr-2'!E62)</f>
        <v/>
      </c>
      <c r="E62" s="2095" t="str">
        <f>CONCATENATE('3 pr-2'!F62)</f>
        <v/>
      </c>
      <c r="F62" s="2095" t="str">
        <f>CONCATENATE('3 pr-2'!G62)</f>
        <v/>
      </c>
      <c r="G62" s="2095" t="str">
        <f>CONCATENATE('3 pr-2'!H62)</f>
        <v/>
      </c>
      <c r="H62" s="2095" t="str">
        <f>CONCATENATE('3 pr-2'!I62)</f>
        <v/>
      </c>
      <c r="I62" s="2095" t="str">
        <f>CONCATENATE('3 pr-2'!J62)</f>
        <v/>
      </c>
      <c r="J62" s="426">
        <f>SUM('3 pr-2'!L62)</f>
        <v>1972835.5100000002</v>
      </c>
      <c r="K62" s="426">
        <f>SUM('3 pr-2'!O62)</f>
        <v>422270.99</v>
      </c>
      <c r="L62" s="426">
        <f>SUM('3 pr-2'!R62)</f>
        <v>0</v>
      </c>
      <c r="M62" s="426">
        <f>SUM('3 pr-2'!U62)</f>
        <v>0</v>
      </c>
      <c r="N62" s="426">
        <f>SUM('3 pr-2'!X62)</f>
        <v>352400.82</v>
      </c>
      <c r="O62" s="427">
        <f>SUM('3 pr-2'!AA62)</f>
        <v>1198163.7</v>
      </c>
      <c r="P62" s="428"/>
      <c r="Q62" s="429"/>
      <c r="R62" s="430"/>
      <c r="S62" s="430"/>
    </row>
    <row r="63" spans="1:19" ht="49.5" thickBot="1">
      <c r="A63" s="163" t="str">
        <f>CONCATENATE('3 pr-2'!A63)</f>
        <v>1.1.1.8.1</v>
      </c>
      <c r="B63" s="227" t="str">
        <f>CONCATENATE('ketv. 2'!B62)</f>
        <v>07.1.1-CPVA-R-305-11-0001</v>
      </c>
      <c r="C63" s="164" t="str">
        <f>CONCATENATE('3 pr-2'!D63)</f>
        <v>Kultūros įstaigų infrastruktūros modernizavimas Varėnos mieste</v>
      </c>
      <c r="D63" s="164" t="str">
        <f>CONCATENATE('3 pr-2'!E63)</f>
        <v>Varėnos rajono savivaldybės administracija</v>
      </c>
      <c r="E63" s="164" t="str">
        <f>CONCATENATE('3 pr-2'!F63)</f>
        <v>Lietuvos Respublikos kultūros ministerija</v>
      </c>
      <c r="F63" s="164" t="str">
        <f>CONCATENATE('3 pr-2'!G63)</f>
        <v>Varėnos r. sav.</v>
      </c>
      <c r="G63" s="164" t="str">
        <f>CONCATENATE('3 pr-2'!H63)</f>
        <v>07.1.1-CPVA-R-305</v>
      </c>
      <c r="H63" s="164" t="str">
        <f>CONCATENATE('3 pr-2'!I63)</f>
        <v>R</v>
      </c>
      <c r="I63" s="174" t="str">
        <f>CONCATENATE('3 pr-2'!J63)</f>
        <v>ITI</v>
      </c>
      <c r="J63" s="175">
        <f>SUM('3 pr-2'!L63)</f>
        <v>352401</v>
      </c>
      <c r="K63" s="176">
        <f>SUM('3 pr-2'!O63)</f>
        <v>52860.15</v>
      </c>
      <c r="L63" s="176">
        <f>SUM('3 pr-2'!R63)</f>
        <v>0</v>
      </c>
      <c r="M63" s="176">
        <f>SUM('3 pr-2'!U63)</f>
        <v>0</v>
      </c>
      <c r="N63" s="176">
        <f>SUM('3 pr-2'!X63)</f>
        <v>0</v>
      </c>
      <c r="O63" s="177">
        <f>SUM('3 pr-2'!AA63)</f>
        <v>299540.84999999998</v>
      </c>
      <c r="P63" s="195">
        <f>SUM('3 pr-2'!AF63)</f>
        <v>42614</v>
      </c>
      <c r="Q63" s="240">
        <v>42592</v>
      </c>
      <c r="R63" s="173">
        <f t="shared" ref="R63:R66" si="10">SUM(P63-Q63)</f>
        <v>22</v>
      </c>
      <c r="S63" s="234">
        <f>(P63-Q63)/30.4166666666667</f>
        <v>0.72328767123287596</v>
      </c>
    </row>
    <row r="64" spans="1:19" ht="49.5" thickBot="1">
      <c r="A64" s="163" t="str">
        <f>CONCATENATE('3 pr-2'!A64)</f>
        <v>1.1.1.8.2</v>
      </c>
      <c r="B64" s="227" t="str">
        <f>CONCATENATE('ketv. 2'!B63)</f>
        <v>07.1.1-CPVA-R-305-11-0002</v>
      </c>
      <c r="C64" s="164" t="str">
        <f>CONCATENATE('3 pr-2'!D64)</f>
        <v>VšĮ Alytaus kultūros ir komunikacijos centro pastato Alytuje, Pramonės g. 1B, rekonstravimas</v>
      </c>
      <c r="D64" s="164" t="str">
        <f>CONCATENATE('3 pr-2'!E64)</f>
        <v>Alytaus miesto savivaldybės administracija</v>
      </c>
      <c r="E64" s="164" t="str">
        <f>CONCATENATE('3 pr-2'!F64)</f>
        <v>Lietuvos Respublikos kultūros ministerija</v>
      </c>
      <c r="F64" s="164" t="str">
        <f>CONCATENATE('3 pr-2'!G64)</f>
        <v>Alytaus m. sav.</v>
      </c>
      <c r="G64" s="164" t="str">
        <f>CONCATENATE('3 pr-2'!H64)</f>
        <v>07.1.1-CPVA-R-305</v>
      </c>
      <c r="H64" s="164" t="str">
        <f>CONCATENATE('3 pr-2'!I64)</f>
        <v>R</v>
      </c>
      <c r="I64" s="174" t="str">
        <f>CONCATENATE('3 pr-2'!J64)</f>
        <v>ITI</v>
      </c>
      <c r="J64" s="175">
        <f>SUM('3 pr-2'!L64)</f>
        <v>783264.16</v>
      </c>
      <c r="K64" s="176">
        <f>SUM('3 pr-2'!O64)</f>
        <v>131322.34</v>
      </c>
      <c r="L64" s="176">
        <f>SUM('3 pr-2'!R64)</f>
        <v>0</v>
      </c>
      <c r="M64" s="176">
        <f>SUM('3 pr-2'!U64)</f>
        <v>0</v>
      </c>
      <c r="N64" s="176">
        <f>SUM('3 pr-2'!X64)</f>
        <v>352400.82</v>
      </c>
      <c r="O64" s="177">
        <f>SUM('3 pr-2'!AA64)</f>
        <v>299541</v>
      </c>
      <c r="P64" s="195">
        <f>SUM('3 pr-2'!AF64)</f>
        <v>42614</v>
      </c>
      <c r="Q64" s="240">
        <v>42614</v>
      </c>
      <c r="R64" s="173">
        <f t="shared" si="10"/>
        <v>0</v>
      </c>
      <c r="S64" s="234">
        <f>(P64-Q64)/30.4166666666667</f>
        <v>0</v>
      </c>
    </row>
    <row r="65" spans="1:19" ht="49.5" thickBot="1">
      <c r="A65" s="163" t="str">
        <f>CONCATENATE('3 pr-2'!A65)</f>
        <v>1.1.1.8.3</v>
      </c>
      <c r="B65" s="227" t="str">
        <f>CONCATENATE('ketv. 2'!B64)</f>
        <v>07.1.1-CPVA-R-305-11-0003</v>
      </c>
      <c r="C65" s="164" t="str">
        <f>CONCATENATE('3 pr-2'!D65)</f>
        <v>Druskininkų kultūros centro lauko scenos, Vilniaus al. 24, Druskininkai, modernizavimas ir pritaikymas kultūros poreikiams</v>
      </c>
      <c r="D65" s="164" t="str">
        <f>CONCATENATE('3 pr-2'!E65)</f>
        <v xml:space="preserve">Druskininkų savivaldybės administracija  </v>
      </c>
      <c r="E65" s="164" t="str">
        <f>CONCATENATE('3 pr-2'!F65)</f>
        <v>Lietuvos Respublikos kultūros ministerija</v>
      </c>
      <c r="F65" s="164" t="str">
        <f>CONCATENATE('3 pr-2'!G65)</f>
        <v>Druskininkų sav.</v>
      </c>
      <c r="G65" s="164" t="str">
        <f>CONCATENATE('3 pr-2'!H65)</f>
        <v>07.1.1-CPVA-R-305</v>
      </c>
      <c r="H65" s="164" t="str">
        <f>CONCATENATE('3 pr-2'!I65)</f>
        <v>R</v>
      </c>
      <c r="I65" s="174" t="str">
        <f>CONCATENATE('3 pr-2'!J65)</f>
        <v>ITI</v>
      </c>
      <c r="J65" s="175">
        <f>SUM('3 pr-2'!L65)</f>
        <v>352401</v>
      </c>
      <c r="K65" s="176">
        <f>SUM('3 pr-2'!O65)</f>
        <v>52860.15</v>
      </c>
      <c r="L65" s="176">
        <f>SUM('3 pr-2'!R65)</f>
        <v>0</v>
      </c>
      <c r="M65" s="176">
        <f>SUM('3 pr-2'!U65)</f>
        <v>0</v>
      </c>
      <c r="N65" s="176">
        <f>SUM('3 pr-2'!X65)</f>
        <v>0</v>
      </c>
      <c r="O65" s="177">
        <f>SUM('3 pr-2'!AA65)</f>
        <v>299540.84999999998</v>
      </c>
      <c r="P65" s="195">
        <f>SUM('3 pr-2'!AF65)</f>
        <v>42614</v>
      </c>
      <c r="Q65" s="240">
        <v>42614</v>
      </c>
      <c r="R65" s="173">
        <f t="shared" si="10"/>
        <v>0</v>
      </c>
      <c r="S65" s="234">
        <f>(P65-Q65)/30.4166666666667</f>
        <v>0</v>
      </c>
    </row>
    <row r="66" spans="1:19" ht="49.5" thickBot="1">
      <c r="A66" s="163" t="str">
        <f>CONCATENATE('3 pr-2'!A66)</f>
        <v>1.1.1.8.4</v>
      </c>
      <c r="B66" s="227" t="str">
        <f>CONCATENATE('ketv. 2'!B65)</f>
        <v>07.1.1-CPVA-R-305-11-0004</v>
      </c>
      <c r="C66" s="164" t="str">
        <f>CONCATENATE('3 pr-2'!D66)</f>
        <v>Pastato rekonstrukcija ir pritaikymas kultūrinėms, muziejinėms ir edukacinėms reikmėms</v>
      </c>
      <c r="D66" s="164" t="str">
        <f>CONCATENATE('3 pr-2'!E66)</f>
        <v>Lazdijų rajono savivaldybės administracija</v>
      </c>
      <c r="E66" s="164" t="str">
        <f>CONCATENATE('3 pr-2'!F66)</f>
        <v>Lietuvos Respublikos kultūros ministerija</v>
      </c>
      <c r="F66" s="164" t="str">
        <f>CONCATENATE('3 pr-2'!G66)</f>
        <v>Lazdijų r. sav.</v>
      </c>
      <c r="G66" s="164" t="str">
        <f>CONCATENATE('3 pr-2'!H66)</f>
        <v>07.1.1-CPVA-R-305</v>
      </c>
      <c r="H66" s="164" t="str">
        <f>CONCATENATE('3 pr-2'!I66)</f>
        <v>R</v>
      </c>
      <c r="I66" s="174" t="str">
        <f>CONCATENATE('3 pr-2'!J66)</f>
        <v>ITI</v>
      </c>
      <c r="J66" s="175">
        <f>SUM('3 pr-2'!L66)</f>
        <v>484769.35</v>
      </c>
      <c r="K66" s="176">
        <f>SUM('3 pr-2'!O66)</f>
        <v>185228.35</v>
      </c>
      <c r="L66" s="176">
        <f>SUM('3 pr-2'!R66)</f>
        <v>0</v>
      </c>
      <c r="M66" s="176">
        <f>SUM('3 pr-2'!U66)</f>
        <v>0</v>
      </c>
      <c r="N66" s="176">
        <f>SUM('3 pr-2'!X66)</f>
        <v>0</v>
      </c>
      <c r="O66" s="177">
        <f>SUM('3 pr-2'!AA66)</f>
        <v>299541</v>
      </c>
      <c r="P66" s="195">
        <f>SUM('3 pr-2'!AF66)</f>
        <v>42614</v>
      </c>
      <c r="Q66" s="240">
        <v>42613</v>
      </c>
      <c r="R66" s="173">
        <f t="shared" si="10"/>
        <v>1</v>
      </c>
      <c r="S66" s="234">
        <f>(P66-Q66)/30.4166666666667</f>
        <v>3.2876712328767085E-2</v>
      </c>
    </row>
    <row r="67" spans="1:19" ht="34.5" customHeight="1" thickBot="1">
      <c r="A67" s="287" t="str">
        <f>CONCATENATE('3 pr-2'!A67)</f>
        <v>1.1.1.9</v>
      </c>
      <c r="B67" s="425"/>
      <c r="C67" s="1936" t="str">
        <f>CONCATENATE('3 pr-2'!B67)</f>
        <v>Priemonė:
Aktualizuoti savivaldybių kultūros paveldo objektus</v>
      </c>
      <c r="D67" s="2095" t="str">
        <f>CONCATENATE('3 pr-2'!E67)</f>
        <v/>
      </c>
      <c r="E67" s="2095" t="str">
        <f>CONCATENATE('3 pr-2'!F67)</f>
        <v/>
      </c>
      <c r="F67" s="2095" t="str">
        <f>CONCATENATE('3 pr-2'!G67)</f>
        <v/>
      </c>
      <c r="G67" s="2095" t="str">
        <f>CONCATENATE('3 pr-2'!H67)</f>
        <v/>
      </c>
      <c r="H67" s="2095" t="str">
        <f>CONCATENATE('3 pr-2'!I67)</f>
        <v/>
      </c>
      <c r="I67" s="2095" t="str">
        <f>CONCATENATE('3 pr-2'!J67)</f>
        <v/>
      </c>
      <c r="J67" s="426">
        <f>SUM('3 pr-2'!L67)</f>
        <v>1461941.12</v>
      </c>
      <c r="K67" s="426">
        <f>SUM('3 pr-2'!O67)</f>
        <v>438075.46</v>
      </c>
      <c r="L67" s="426">
        <f>SUM('3 pr-2'!R67)</f>
        <v>0</v>
      </c>
      <c r="M67" s="426">
        <f>SUM('3 pr-2'!U67)</f>
        <v>0</v>
      </c>
      <c r="N67" s="426">
        <f>SUM('3 pr-2'!X67)</f>
        <v>0</v>
      </c>
      <c r="O67" s="427">
        <f>SUM('3 pr-2'!AA67)</f>
        <v>1023865.66</v>
      </c>
      <c r="P67" s="428"/>
      <c r="Q67" s="429"/>
      <c r="R67" s="430"/>
      <c r="S67" s="430"/>
    </row>
    <row r="68" spans="1:19" ht="49.5" thickBot="1">
      <c r="A68" s="163" t="str">
        <f>CONCATENATE('3 pr-2'!A68)</f>
        <v>1.1.1.9.1</v>
      </c>
      <c r="B68" s="227" t="str">
        <f>CONCATENATE('ketv. 2'!B67)</f>
        <v>05.4.1-CPVA-R-302-11-0003</v>
      </c>
      <c r="C68" s="164" t="str">
        <f>CONCATENATE('3 pr-2'!D68)</f>
        <v>Buvusios sinagogos pastato Kauno g. 9A Alytuje rekonstravimas ir aplinkinės teritorijos sutvarkymas</v>
      </c>
      <c r="D68" s="164" t="str">
        <f>CONCATENATE('3 pr-2'!E68)</f>
        <v>Alytaus miesto savivaldybės administracija</v>
      </c>
      <c r="E68" s="164" t="str">
        <f>CONCATENATE('3 pr-2'!F68)</f>
        <v>Lietuvos Respublikos kultūros ministerija</v>
      </c>
      <c r="F68" s="164" t="str">
        <f>CONCATENATE('3 pr-2'!G68)</f>
        <v>Alytaus m. sav.</v>
      </c>
      <c r="G68" s="164" t="str">
        <f>CONCATENATE('3 pr-2'!H68)</f>
        <v>05.4.1-CPVA-R-302</v>
      </c>
      <c r="H68" s="164" t="str">
        <f>CONCATENATE('3 pr-2'!I68)</f>
        <v>R</v>
      </c>
      <c r="I68" s="174" t="str">
        <f>CONCATENATE('3 pr-2'!J68)</f>
        <v>ITI</v>
      </c>
      <c r="J68" s="175">
        <f>SUM('3 pr-2'!L68)</f>
        <v>444560.16000000003</v>
      </c>
      <c r="K68" s="176">
        <f>SUM('3 pr-2'!O68)</f>
        <v>238504.16</v>
      </c>
      <c r="L68" s="176">
        <f>SUM('3 pr-2'!R68)</f>
        <v>0</v>
      </c>
      <c r="M68" s="176">
        <f>SUM('3 pr-2'!U68)</f>
        <v>0</v>
      </c>
      <c r="N68" s="176">
        <f>SUM('3 pr-2'!X68)</f>
        <v>0</v>
      </c>
      <c r="O68" s="177">
        <f>SUM('3 pr-2'!AA68)</f>
        <v>206056</v>
      </c>
      <c r="P68" s="195">
        <f>SUM('3 pr-2'!AF68)</f>
        <v>42667</v>
      </c>
      <c r="Q68" s="239">
        <v>42667</v>
      </c>
      <c r="R68" s="173">
        <f t="shared" ref="R68:R72" si="11">SUM(P68-Q68)</f>
        <v>0</v>
      </c>
      <c r="S68" s="234">
        <f>(P68-Q68)/30.4166666666667</f>
        <v>0</v>
      </c>
    </row>
    <row r="69" spans="1:19" ht="49.5" thickBot="1">
      <c r="A69" s="163" t="str">
        <f>CONCATENATE('3 pr-2'!A69)</f>
        <v>1.1.1.9.2</v>
      </c>
      <c r="B69" s="227" t="str">
        <f>CONCATENATE('ketv. 2'!B68)</f>
        <v>05.4.1-CPVA-R-302-11-0002</v>
      </c>
      <c r="C69" s="164" t="str">
        <f>CONCATENATE('3 pr-2'!D69)</f>
        <v>Mažosios dailės galerijos, M.K.Čiurlionio g. 37, Druskininkai, modernizavimas ir pritaikymas kultūros poreikiams</v>
      </c>
      <c r="D69" s="164" t="str">
        <f>CONCATENATE('3 pr-2'!E69)</f>
        <v xml:space="preserve">Druskininkų savivaldybės administracija  </v>
      </c>
      <c r="E69" s="164" t="str">
        <f>CONCATENATE('3 pr-2'!F69)</f>
        <v>Lietuvos Respublikos kultūros ministerija</v>
      </c>
      <c r="F69" s="164" t="str">
        <f>CONCATENATE('3 pr-2'!G69)</f>
        <v>Druskininkų sav.</v>
      </c>
      <c r="G69" s="164" t="str">
        <f>CONCATENATE('3 pr-2'!H69)</f>
        <v>05.4.1-CPVA-R-302</v>
      </c>
      <c r="H69" s="164" t="str">
        <f>CONCATENATE('3 pr-2'!I69)</f>
        <v>R</v>
      </c>
      <c r="I69" s="174" t="str">
        <f>CONCATENATE('3 pr-2'!J69)</f>
        <v>-</v>
      </c>
      <c r="J69" s="175">
        <f>SUM('3 pr-2'!L69)</f>
        <v>297670.41000000003</v>
      </c>
      <c r="K69" s="176">
        <f>SUM('3 pr-2'!O69)</f>
        <v>91614.41</v>
      </c>
      <c r="L69" s="176">
        <f>SUM('3 pr-2'!R69)</f>
        <v>0</v>
      </c>
      <c r="M69" s="176">
        <f>SUM('3 pr-2'!U69)</f>
        <v>0</v>
      </c>
      <c r="N69" s="176">
        <f>SUM('3 pr-2'!X69)</f>
        <v>0</v>
      </c>
      <c r="O69" s="177">
        <f>SUM('3 pr-2'!AA69)</f>
        <v>206056</v>
      </c>
      <c r="P69" s="195">
        <f>SUM('3 pr-2'!AF69)</f>
        <v>42667</v>
      </c>
      <c r="Q69" s="239">
        <v>42667</v>
      </c>
      <c r="R69" s="173">
        <f t="shared" si="11"/>
        <v>0</v>
      </c>
      <c r="S69" s="234">
        <f>(P69-Q69)/30.4166666666667</f>
        <v>0</v>
      </c>
    </row>
    <row r="70" spans="1:19" ht="49.5" thickBot="1">
      <c r="A70" s="163" t="str">
        <f>CONCATENATE('3 pr-2'!A70)</f>
        <v>1.1.1.9.3</v>
      </c>
      <c r="B70" s="227" t="str">
        <f>CONCATENATE('ketv. 2'!B69)</f>
        <v>05.4.1-CPVA-R-302-11-0001</v>
      </c>
      <c r="C70" s="164" t="str">
        <f>CONCATENATE('3 pr-2'!D70)</f>
        <v>Motiejaus Gustaičio memorialinio namo kompleksinis sutvarkymas</v>
      </c>
      <c r="D70" s="164" t="str">
        <f>CONCATENATE('3 pr-2'!E70)</f>
        <v>Lazdijų rajono savivaldybės administracija</v>
      </c>
      <c r="E70" s="164" t="str">
        <f>CONCATENATE('3 pr-2'!F70)</f>
        <v>Lietuvos Respublikos kultūros ministerija</v>
      </c>
      <c r="F70" s="164" t="str">
        <f>CONCATENATE('3 pr-2'!G70)</f>
        <v>Lazdijų r. sav.</v>
      </c>
      <c r="G70" s="164" t="str">
        <f>CONCATENATE('3 pr-2'!H70)</f>
        <v>05.4.1-CPVA-R-302</v>
      </c>
      <c r="H70" s="164" t="str">
        <f>CONCATENATE('3 pr-2'!I70)</f>
        <v>R</v>
      </c>
      <c r="I70" s="174" t="str">
        <f>CONCATENATE('3 pr-2'!J70)</f>
        <v>ITI</v>
      </c>
      <c r="J70" s="175">
        <f>SUM('3 pr-2'!L70)</f>
        <v>242419</v>
      </c>
      <c r="K70" s="176">
        <f>SUM('3 pr-2'!O70)</f>
        <v>36363</v>
      </c>
      <c r="L70" s="176">
        <f>SUM('3 pr-2'!R70)</f>
        <v>0</v>
      </c>
      <c r="M70" s="176">
        <f>SUM('3 pr-2'!U70)</f>
        <v>0</v>
      </c>
      <c r="N70" s="176">
        <f>SUM('3 pr-2'!X70)</f>
        <v>0</v>
      </c>
      <c r="O70" s="177">
        <f>SUM('3 pr-2'!AA70)</f>
        <v>206056</v>
      </c>
      <c r="P70" s="195">
        <f>SUM('3 pr-2'!AF70)</f>
        <v>42667</v>
      </c>
      <c r="Q70" s="239">
        <v>42664</v>
      </c>
      <c r="R70" s="173">
        <f t="shared" si="11"/>
        <v>3</v>
      </c>
      <c r="S70" s="234">
        <f>(P70-Q70)/30.4166666666667</f>
        <v>9.8630136986301256E-2</v>
      </c>
    </row>
    <row r="71" spans="1:19" ht="49.5" thickBot="1">
      <c r="A71" s="163" t="str">
        <f>CONCATENATE('3 pr-2'!A71)</f>
        <v>1.1.1.9.4</v>
      </c>
      <c r="B71" s="227" t="str">
        <f>CONCATENATE('ketv. 2'!B70)</f>
        <v>05.4.1-CPVA-R-302-11-0004</v>
      </c>
      <c r="C71" s="164" t="str">
        <f>CONCATENATE('3 pr-2'!D71)</f>
        <v>Kurnėnų Lauryno Radziukyno mokyklos pritaikymas kultūrinėms ir turistinėms reikmėms</v>
      </c>
      <c r="D71" s="164" t="str">
        <f>CONCATENATE('3 pr-2'!E71)</f>
        <v>Alytaus rajono savivaldybės administracija</v>
      </c>
      <c r="E71" s="164" t="str">
        <f>CONCATENATE('3 pr-2'!F71)</f>
        <v>Lietuvos Respublikos kultūros ministerija</v>
      </c>
      <c r="F71" s="164" t="str">
        <f>CONCATENATE('3 pr-2'!G71)</f>
        <v>Alytaus r. sav.</v>
      </c>
      <c r="G71" s="164" t="str">
        <f>CONCATENATE('3 pr-2'!H71)</f>
        <v>05.4.1-CPVA-R-302</v>
      </c>
      <c r="H71" s="164" t="str">
        <f>CONCATENATE('3 pr-2'!I71)</f>
        <v>R</v>
      </c>
      <c r="I71" s="174" t="str">
        <f>CONCATENATE('3 pr-2'!J71)</f>
        <v>-</v>
      </c>
      <c r="J71" s="175">
        <f>SUM('3 pr-2'!L71)</f>
        <v>234872.55</v>
      </c>
      <c r="K71" s="176">
        <f>SUM('3 pr-2'!O71)</f>
        <v>35230.89</v>
      </c>
      <c r="L71" s="176">
        <f>SUM('3 pr-2'!R71)</f>
        <v>0</v>
      </c>
      <c r="M71" s="176">
        <f>SUM('3 pr-2'!U71)</f>
        <v>0</v>
      </c>
      <c r="N71" s="176">
        <f>SUM('3 pr-2'!X71)</f>
        <v>0</v>
      </c>
      <c r="O71" s="177">
        <f>SUM('3 pr-2'!AA71)</f>
        <v>199641.66</v>
      </c>
      <c r="P71" s="195">
        <f>SUM('3 pr-2'!AF71)</f>
        <v>42667</v>
      </c>
      <c r="Q71" s="239">
        <v>42667</v>
      </c>
      <c r="R71" s="173">
        <f t="shared" si="11"/>
        <v>0</v>
      </c>
      <c r="S71" s="234">
        <f>(P71-Q71)/30.4166666666667</f>
        <v>0</v>
      </c>
    </row>
    <row r="72" spans="1:19" ht="49.5" thickBot="1">
      <c r="A72" s="163" t="str">
        <f>CONCATENATE('3 pr-2'!A72)</f>
        <v>1.1.1.9.5</v>
      </c>
      <c r="B72" s="227" t="str">
        <f>CONCATENATE('ketv. 2'!B71)</f>
        <v>05.4.1-CPVA-R-302-11-0005</v>
      </c>
      <c r="C72" s="164" t="str">
        <f>CONCATENATE('3 pr-2'!D72)</f>
        <v>Vinco Krėvės-Mickevičiaus memorialinio muziejaus atnaujinimas</v>
      </c>
      <c r="D72" s="164" t="str">
        <f>CONCATENATE('3 pr-2'!E72)</f>
        <v>Varėnos rajono savivaldybės administracija</v>
      </c>
      <c r="E72" s="164" t="str">
        <f>CONCATENATE('3 pr-2'!F72)</f>
        <v>Lietuvos Respublikos kultūros ministerija</v>
      </c>
      <c r="F72" s="164" t="str">
        <f>CONCATENATE('3 pr-2'!G72)</f>
        <v>Varėnos r. sav.</v>
      </c>
      <c r="G72" s="164" t="str">
        <f>CONCATENATE('3 pr-2'!H72)</f>
        <v>05.4.1-CPVA-R-302</v>
      </c>
      <c r="H72" s="164" t="str">
        <f>CONCATENATE('3 pr-2'!I72)</f>
        <v>R</v>
      </c>
      <c r="I72" s="174" t="str">
        <f>CONCATENATE('3 pr-2'!J72)</f>
        <v>-</v>
      </c>
      <c r="J72" s="207">
        <f>SUM('3 pr-2'!L72)</f>
        <v>242419</v>
      </c>
      <c r="K72" s="208">
        <f>SUM('3 pr-2'!O72)</f>
        <v>36363</v>
      </c>
      <c r="L72" s="208">
        <f>SUM('3 pr-2'!R72)</f>
        <v>0</v>
      </c>
      <c r="M72" s="208">
        <f>SUM('3 pr-2'!U72)</f>
        <v>0</v>
      </c>
      <c r="N72" s="208">
        <f>SUM('3 pr-2'!X72)</f>
        <v>0</v>
      </c>
      <c r="O72" s="209">
        <f>SUM('3 pr-2'!AA72)</f>
        <v>206056</v>
      </c>
      <c r="P72" s="195">
        <f>SUM('3 pr-2'!AF72)</f>
        <v>42667</v>
      </c>
      <c r="Q72" s="239">
        <v>42663</v>
      </c>
      <c r="R72" s="173">
        <f t="shared" si="11"/>
        <v>4</v>
      </c>
      <c r="S72" s="234">
        <f>(P72-Q72)/30.4166666666667</f>
        <v>0.13150684931506834</v>
      </c>
    </row>
    <row r="73" spans="1:19" ht="39.75" customHeight="1" thickBot="1">
      <c r="A73" s="138" t="str">
        <f>CONCATENATE('3 pr-2'!A73)</f>
        <v>1.1.2.</v>
      </c>
      <c r="B73" s="226"/>
      <c r="C73" s="1948" t="str">
        <f>CONCATENATE('3 pr-2'!B73)</f>
        <v>Uždavinys:
Pagerinti darbo jėgos judėjimo galimybes gerinant susisiekimo sistemas</v>
      </c>
      <c r="D73" s="2094" t="str">
        <f>CONCATENATE('3 pr-2'!E73)</f>
        <v/>
      </c>
      <c r="E73" s="2094" t="str">
        <f>CONCATENATE('3 pr-2'!F73)</f>
        <v/>
      </c>
      <c r="F73" s="2094" t="str">
        <f>CONCATENATE('3 pr-2'!G73)</f>
        <v/>
      </c>
      <c r="G73" s="2094" t="str">
        <f>CONCATENATE('3 pr-2'!H73)</f>
        <v/>
      </c>
      <c r="H73" s="2094" t="str">
        <f>CONCATENATE('3 pr-2'!I73)</f>
        <v/>
      </c>
      <c r="I73" s="2094" t="str">
        <f>CONCATENATE('3 pr-2'!J73)</f>
        <v/>
      </c>
      <c r="J73" s="210">
        <f>SUM('3 pr-2'!L73)</f>
        <v>8717757.129999999</v>
      </c>
      <c r="K73" s="211">
        <f>SUM('3 pr-2'!O73)</f>
        <v>1821114.06</v>
      </c>
      <c r="L73" s="211">
        <f>SUM('3 pr-2'!R73)</f>
        <v>0</v>
      </c>
      <c r="M73" s="211">
        <f>SUM('3 pr-2'!U73)</f>
        <v>508815.5</v>
      </c>
      <c r="N73" s="211">
        <f>SUM('3 pr-2'!X73)</f>
        <v>62660</v>
      </c>
      <c r="O73" s="212">
        <f>SUM('3 pr-2'!AA73)</f>
        <v>6325167.5700000003</v>
      </c>
      <c r="P73" s="206"/>
      <c r="Q73" s="171"/>
      <c r="R73" s="172"/>
      <c r="S73" s="172"/>
    </row>
    <row r="74" spans="1:19" ht="37.5" customHeight="1" thickBot="1">
      <c r="A74" s="287" t="str">
        <f>CONCATENATE('3 pr-2'!A74)</f>
        <v>1.1.2.1</v>
      </c>
      <c r="B74" s="425"/>
      <c r="C74" s="1936" t="str">
        <f>CONCATENATE('3 pr-2'!B74)</f>
        <v>Priemonė:
Vietinio susisiekimo viešojo transporto priemonių parko atnaujinimas</v>
      </c>
      <c r="D74" s="2095" t="str">
        <f>CONCATENATE('3 pr-2'!E74)</f>
        <v/>
      </c>
      <c r="E74" s="2095" t="str">
        <f>CONCATENATE('3 pr-2'!F74)</f>
        <v/>
      </c>
      <c r="F74" s="2095" t="str">
        <f>CONCATENATE('3 pr-2'!G74)</f>
        <v/>
      </c>
      <c r="G74" s="2095" t="str">
        <f>CONCATENATE('3 pr-2'!H74)</f>
        <v/>
      </c>
      <c r="H74" s="2095" t="str">
        <f>CONCATENATE('3 pr-2'!I74)</f>
        <v/>
      </c>
      <c r="I74" s="2095" t="str">
        <f>CONCATENATE('3 pr-2'!J74)</f>
        <v/>
      </c>
      <c r="J74" s="426">
        <f>SUM('3 pr-2'!L74)</f>
        <v>2005982</v>
      </c>
      <c r="K74" s="426">
        <f>SUM('3 pr-2'!O74)</f>
        <v>233894.5</v>
      </c>
      <c r="L74" s="426">
        <f>SUM('3 pr-2'!R74)</f>
        <v>0</v>
      </c>
      <c r="M74" s="426">
        <f>SUM('3 pr-2'!U74)</f>
        <v>508815.5</v>
      </c>
      <c r="N74" s="426">
        <f>SUM('3 pr-2'!X74)</f>
        <v>0</v>
      </c>
      <c r="O74" s="427">
        <f>SUM('3 pr-2'!AA74)</f>
        <v>1263272</v>
      </c>
      <c r="P74" s="428"/>
      <c r="Q74" s="429"/>
      <c r="R74" s="430"/>
      <c r="S74" s="430"/>
    </row>
    <row r="75" spans="1:19" ht="49.5" thickBot="1">
      <c r="A75" s="163" t="str">
        <f>CONCATENATE('3 pr-2'!A75)</f>
        <v>1.1.2.1.1</v>
      </c>
      <c r="B75" s="227" t="str">
        <f>CONCATENATE('ketv. 2'!B74)</f>
        <v/>
      </c>
      <c r="C75" s="164" t="str">
        <f>CONCATENATE('3 pr-2'!D75)</f>
        <v>Nekenksmingų aplinkai viešojo transporto priemonių įsigijimas Alytaus mieste</v>
      </c>
      <c r="D75" s="164" t="str">
        <f>CONCATENATE('3 pr-2'!E75)</f>
        <v>Alytaus miesto savivaldybės administracija</v>
      </c>
      <c r="E75" s="164" t="str">
        <f>CONCATENATE('3 pr-2'!F75)</f>
        <v>Lietuvos Respublikos susisiekimo ministerija</v>
      </c>
      <c r="F75" s="164" t="str">
        <f>CONCATENATE('3 pr-2'!G75)</f>
        <v>Alytaus m. sav.</v>
      </c>
      <c r="G75" s="164" t="str">
        <f>CONCATENATE('3 pr-2'!H75)</f>
        <v>04.5.1-TID-R-518</v>
      </c>
      <c r="H75" s="164" t="str">
        <f>CONCATENATE('3 pr-2'!I75)</f>
        <v>R</v>
      </c>
      <c r="I75" s="174" t="str">
        <f>CONCATENATE('3 pr-2'!J75)</f>
        <v>ITI</v>
      </c>
      <c r="J75" s="175">
        <f>SUM('3 pr-2'!L75)</f>
        <v>406091</v>
      </c>
      <c r="K75" s="176">
        <f>SUM('3 pr-2'!O75)</f>
        <v>60914</v>
      </c>
      <c r="L75" s="176">
        <f>SUM('3 pr-2'!R75)</f>
        <v>0</v>
      </c>
      <c r="M75" s="176">
        <f>SUM('3 pr-2'!U75)</f>
        <v>0</v>
      </c>
      <c r="N75" s="176">
        <f>SUM('3 pr-2'!X75)</f>
        <v>0</v>
      </c>
      <c r="O75" s="177">
        <f>SUM('3 pr-2'!AA75)</f>
        <v>345177</v>
      </c>
      <c r="P75" s="195">
        <f>SUM('3 pr-2'!AF75)</f>
        <v>42877</v>
      </c>
      <c r="Q75" s="239">
        <v>42877</v>
      </c>
      <c r="R75" s="173">
        <f t="shared" ref="R75:R78" si="12">SUM(P75-Q75)</f>
        <v>0</v>
      </c>
      <c r="S75" s="234">
        <f>(P75-Q75)/30.4166666666667</f>
        <v>0</v>
      </c>
    </row>
    <row r="76" spans="1:19" ht="49.5" thickBot="1">
      <c r="A76" s="163" t="str">
        <f>CONCATENATE('3 pr-2'!A76)</f>
        <v>1.1.2.1.2</v>
      </c>
      <c r="B76" s="227" t="str">
        <f>CONCATENATE('ketv. 2'!B75)</f>
        <v/>
      </c>
      <c r="C76" s="164" t="str">
        <f>CONCATENATE('3 pr-2'!D76)</f>
        <v>Vietinio susisiekimo transporto priemonių įsigijimas</v>
      </c>
      <c r="D76" s="164" t="str">
        <f>CONCATENATE('3 pr-2'!E76)</f>
        <v>Alytaus rajono savivaldybės administracija</v>
      </c>
      <c r="E76" s="164" t="str">
        <f>CONCATENATE('3 pr-2'!F76)</f>
        <v>Lietuvos Respublikos susisiekimo ministerija</v>
      </c>
      <c r="F76" s="164" t="str">
        <f>CONCATENATE('3 pr-2'!G76)</f>
        <v>Alytaus r. sav.</v>
      </c>
      <c r="G76" s="164" t="str">
        <f>CONCATENATE('3 pr-2'!H76)</f>
        <v>04.5.1-TID-R-518</v>
      </c>
      <c r="H76" s="164" t="str">
        <f>CONCATENATE('3 pr-2'!I76)</f>
        <v>R</v>
      </c>
      <c r="I76" s="174" t="str">
        <f>CONCATENATE('3 pr-2'!J76)</f>
        <v>-</v>
      </c>
      <c r="J76" s="175">
        <f>SUM('3 pr-2'!L76)</f>
        <v>496947</v>
      </c>
      <c r="K76" s="176">
        <f>SUM('3 pr-2'!O76)</f>
        <v>133574.5</v>
      </c>
      <c r="L76" s="176">
        <f>SUM('3 pr-2'!R76)</f>
        <v>0</v>
      </c>
      <c r="M76" s="176">
        <f>SUM('3 pr-2'!U76)</f>
        <v>86123.5</v>
      </c>
      <c r="N76" s="176">
        <f>SUM('3 pr-2'!X76)</f>
        <v>0</v>
      </c>
      <c r="O76" s="177">
        <f>SUM('3 pr-2'!AA76)</f>
        <v>277249</v>
      </c>
      <c r="P76" s="195">
        <f>SUM('3 pr-2'!AF76)</f>
        <v>42877</v>
      </c>
      <c r="Q76" s="239">
        <v>42877</v>
      </c>
      <c r="R76" s="173">
        <f t="shared" si="12"/>
        <v>0</v>
      </c>
      <c r="S76" s="234">
        <f>(P76-Q76)/30.4166666666667</f>
        <v>0</v>
      </c>
    </row>
    <row r="77" spans="1:19" ht="49.5" thickBot="1">
      <c r="A77" s="163" t="str">
        <f>CONCATENATE('3 pr-2'!A77)</f>
        <v>1.1.2.1.3</v>
      </c>
      <c r="B77" s="227" t="str">
        <f>CONCATENATE('ketv. 2'!B76)</f>
        <v>04.5.1-TID-R-518-11-0002</v>
      </c>
      <c r="C77" s="164" t="str">
        <f>CONCATENATE('3 pr-2'!D77)</f>
        <v>Ekologiškų transporto priemonių įsigijimas Druskininkų savivaldybėje</v>
      </c>
      <c r="D77" s="164" t="str">
        <f>CONCATENATE('3 pr-2'!E77)</f>
        <v xml:space="preserve">Druskininkų savivaldybės administracija  </v>
      </c>
      <c r="E77" s="164" t="str">
        <f>CONCATENATE('3 pr-2'!F77)</f>
        <v>Lietuvos Respublikos susisiekimo ministerija</v>
      </c>
      <c r="F77" s="164" t="str">
        <f>CONCATENATE('3 pr-2'!G77)</f>
        <v>Druskininkų sav.</v>
      </c>
      <c r="G77" s="164" t="str">
        <f>CONCATENATE('3 pr-2'!H77)</f>
        <v>04.5.1-TID-R-518</v>
      </c>
      <c r="H77" s="164" t="str">
        <f>CONCATENATE('3 pr-2'!I77)</f>
        <v>R</v>
      </c>
      <c r="I77" s="174" t="str">
        <f>CONCATENATE('3 pr-2'!J77)</f>
        <v>-</v>
      </c>
      <c r="J77" s="175">
        <f>SUM('3 pr-2'!L77)</f>
        <v>840240</v>
      </c>
      <c r="K77" s="176">
        <f>SUM('3 pr-2'!O77)</f>
        <v>0</v>
      </c>
      <c r="L77" s="176">
        <f>SUM('3 pr-2'!R77)</f>
        <v>0</v>
      </c>
      <c r="M77" s="176">
        <f>SUM('3 pr-2'!U77)</f>
        <v>422692</v>
      </c>
      <c r="N77" s="176">
        <f>SUM('3 pr-2'!X77)</f>
        <v>0</v>
      </c>
      <c r="O77" s="177">
        <f>SUM('3 pr-2'!AA77)</f>
        <v>417548</v>
      </c>
      <c r="P77" s="195">
        <f>SUM('3 pr-2'!AF77)</f>
        <v>42877</v>
      </c>
      <c r="Q77" s="239">
        <v>42877</v>
      </c>
      <c r="R77" s="173">
        <f t="shared" si="12"/>
        <v>0</v>
      </c>
      <c r="S77" s="234">
        <f>(P77-Q77)/30.4166666666667</f>
        <v>0</v>
      </c>
    </row>
    <row r="78" spans="1:19" ht="49.5" thickBot="1">
      <c r="A78" s="163" t="str">
        <f>CONCATENATE('3 pr-2'!A78)</f>
        <v>1.1.2.1.4</v>
      </c>
      <c r="B78" s="227" t="str">
        <f>CONCATENATE('ketv. 2'!B77)</f>
        <v>04.5.1-TID-R-518-11-0001</v>
      </c>
      <c r="C78" s="164" t="str">
        <f>CONCATENATE('3 pr-2'!D78)</f>
        <v>Ekologiškų transporto priemonių įsigijimas Lazdijų rajono savivaldybėje</v>
      </c>
      <c r="D78" s="164" t="str">
        <f>CONCATENATE('3 pr-2'!E78)</f>
        <v>Lazdijų rajono savivaldybės administracija</v>
      </c>
      <c r="E78" s="164" t="str">
        <f>CONCATENATE('3 pr-2'!F78)</f>
        <v>Lietuvos Respublikos susisiekimo ministerija</v>
      </c>
      <c r="F78" s="164" t="str">
        <f>CONCATENATE('3 pr-2'!G78)</f>
        <v>Lazdijų r. sav.</v>
      </c>
      <c r="G78" s="164" t="str">
        <f>CONCATENATE('3 pr-2'!H78)</f>
        <v>04.5.1-TID-R-518</v>
      </c>
      <c r="H78" s="164" t="str">
        <f>CONCATENATE('3 pr-2'!I78)</f>
        <v>R</v>
      </c>
      <c r="I78" s="174" t="str">
        <f>CONCATENATE('3 pr-2'!J78)</f>
        <v>-</v>
      </c>
      <c r="J78" s="175">
        <f>SUM('3 pr-2'!L78)</f>
        <v>262704</v>
      </c>
      <c r="K78" s="176">
        <f>SUM('3 pr-2'!O78)</f>
        <v>39406</v>
      </c>
      <c r="L78" s="176">
        <f>SUM('3 pr-2'!R78)</f>
        <v>0</v>
      </c>
      <c r="M78" s="176">
        <f>SUM('3 pr-2'!U78)</f>
        <v>0</v>
      </c>
      <c r="N78" s="176">
        <f>SUM('3 pr-2'!X78)</f>
        <v>0</v>
      </c>
      <c r="O78" s="177">
        <f>SUM('3 pr-2'!AA78)</f>
        <v>223298</v>
      </c>
      <c r="P78" s="195">
        <f>SUM('3 pr-2'!AF78)</f>
        <v>42877</v>
      </c>
      <c r="Q78" s="239">
        <v>42877</v>
      </c>
      <c r="R78" s="173">
        <f t="shared" si="12"/>
        <v>0</v>
      </c>
      <c r="S78" s="234">
        <f>(P78-Q78)/30.4166666666667</f>
        <v>0</v>
      </c>
    </row>
    <row r="79" spans="1:19" ht="36" customHeight="1" thickBot="1">
      <c r="A79" s="287" t="str">
        <f>CONCATENATE('3 pr-2'!A79)</f>
        <v>1.1.2.2</v>
      </c>
      <c r="B79" s="425"/>
      <c r="C79" s="1936" t="str">
        <f>CONCATENATE('3 pr-2'!B79)</f>
        <v>Priemonė:
Darnaus judumo priemonių diegimas</v>
      </c>
      <c r="D79" s="2095" t="str">
        <f>CONCATENATE('3 pr-2'!E80)</f>
        <v>Alytaus miesto savivaldybės administracija</v>
      </c>
      <c r="E79" s="2095" t="str">
        <f>CONCATENATE('3 pr-2'!F80)</f>
        <v>Lietuvos Respublikos susisiekimo ministerija</v>
      </c>
      <c r="F79" s="2095" t="str">
        <f>CONCATENATE('3 pr-2'!G80)</f>
        <v>Alytaus m. sav.</v>
      </c>
      <c r="G79" s="2095" t="str">
        <f>CONCATENATE('3 pr-2'!H80)</f>
        <v>04.5.1.-TID-R-514</v>
      </c>
      <c r="H79" s="2095" t="str">
        <f>CONCATENATE('3 pr-2'!I80)</f>
        <v>R</v>
      </c>
      <c r="I79" s="2095" t="str">
        <f>CONCATENATE('3 pr-2'!J80)</f>
        <v>ITI</v>
      </c>
      <c r="J79" s="426">
        <f>SUM('3 pr-2'!L79)</f>
        <v>1894943.24</v>
      </c>
      <c r="K79" s="426">
        <f>SUM('3 pr-2'!O79)</f>
        <v>284241.14</v>
      </c>
      <c r="L79" s="426">
        <f>SUM('3 pr-2'!R79)</f>
        <v>0</v>
      </c>
      <c r="M79" s="426">
        <f>SUM('3 pr-2'!U79)</f>
        <v>0</v>
      </c>
      <c r="N79" s="426">
        <f>SUM('3 pr-2'!X79)</f>
        <v>0</v>
      </c>
      <c r="O79" s="427">
        <f>SUM('3 pr-2'!AA79)</f>
        <v>1610702.1</v>
      </c>
      <c r="P79" s="428"/>
      <c r="Q79" s="429"/>
      <c r="R79" s="430"/>
      <c r="S79" s="430"/>
    </row>
    <row r="80" spans="1:19" ht="49.5" thickBot="1">
      <c r="A80" s="163" t="str">
        <f>CONCATENATE('3 pr-2'!A80)</f>
        <v>1.1.2.2.1</v>
      </c>
      <c r="B80" s="227" t="str">
        <f>CONCATENATE('ketv. 2'!B79)</f>
        <v/>
      </c>
      <c r="C80" s="164" t="str">
        <f>CONCATENATE('3 pr-2'!D80)</f>
        <v>Darnaus judumo priemonių diegimas Alytaus mieste</v>
      </c>
      <c r="D80" s="164" t="str">
        <f>CONCATENATE('3 pr-2'!E80)</f>
        <v>Alytaus miesto savivaldybės administracija</v>
      </c>
      <c r="E80" s="164" t="str">
        <f>CONCATENATE('3 pr-2'!F80)</f>
        <v>Lietuvos Respublikos susisiekimo ministerija</v>
      </c>
      <c r="F80" s="164" t="str">
        <f>CONCATENATE('3 pr-2'!G80)</f>
        <v>Alytaus m. sav.</v>
      </c>
      <c r="G80" s="164" t="str">
        <f>CONCATENATE('3 pr-2'!H80)</f>
        <v>04.5.1.-TID-R-514</v>
      </c>
      <c r="H80" s="164" t="str">
        <f>CONCATENATE('3 pr-2'!I80)</f>
        <v>R</v>
      </c>
      <c r="I80" s="174" t="str">
        <f>CONCATENATE('3 pr-2'!J80)</f>
        <v>ITI</v>
      </c>
      <c r="J80" s="175">
        <f>SUM('3 pr-2'!L80)</f>
        <v>1143469</v>
      </c>
      <c r="K80" s="176">
        <f>SUM('3 pr-2'!O80)</f>
        <v>171520</v>
      </c>
      <c r="L80" s="176">
        <f>SUM('3 pr-2'!R80)</f>
        <v>0</v>
      </c>
      <c r="M80" s="176">
        <f>SUM('3 pr-2'!U80)</f>
        <v>0</v>
      </c>
      <c r="N80" s="176">
        <f>SUM('3 pr-2'!X80)</f>
        <v>0</v>
      </c>
      <c r="O80" s="177">
        <f>SUM('3 pr-2'!AA80)</f>
        <v>971949</v>
      </c>
      <c r="P80" s="195">
        <f>SUM('3 pr-2'!AF80)</f>
        <v>43130</v>
      </c>
      <c r="Q80" s="214"/>
      <c r="R80" s="173">
        <f>IF(Q80&gt;0,P80-Q80,0)</f>
        <v>0</v>
      </c>
      <c r="S80" s="234">
        <f>IF(Q80&gt;0,(P80-Q80)/30.1667,0)</f>
        <v>0</v>
      </c>
    </row>
    <row r="81" spans="1:19" ht="49.5" thickBot="1">
      <c r="A81" s="163" t="str">
        <f>CONCATENATE('3 pr-2'!A81)</f>
        <v>1.1.2.2.2</v>
      </c>
      <c r="B81" s="227" t="str">
        <f>CONCATENATE('ketv. 2'!B80)</f>
        <v>04.5.1-TID-V-513-01-0015</v>
      </c>
      <c r="C81" s="164" t="str">
        <f>CONCATENATE('3 pr-2'!D81)</f>
        <v>Alytaus miesto darnaus judumo plano parengimas</v>
      </c>
      <c r="D81" s="164" t="str">
        <f>CONCATENATE('3 pr-2'!E81)</f>
        <v>Alytaus miesto savivaldybės administracija</v>
      </c>
      <c r="E81" s="164" t="str">
        <f>CONCATENATE('3 pr-2'!F81)</f>
        <v>Lietuvos Respublikos susisiekimo ministerija</v>
      </c>
      <c r="F81" s="164" t="str">
        <f>CONCATENATE('3 pr-2'!G81)</f>
        <v>Alytaus m. sav.</v>
      </c>
      <c r="G81" s="164" t="str">
        <f>CONCATENATE('3 pr-2'!H81)</f>
        <v>04.5.1-TID-V-513</v>
      </c>
      <c r="H81" s="164" t="str">
        <f>CONCATENATE('3 pr-2'!I81)</f>
        <v>V</v>
      </c>
      <c r="I81" s="174" t="str">
        <f>CONCATENATE('3 pr-2'!J81)</f>
        <v>ITI</v>
      </c>
      <c r="J81" s="175">
        <f>SUM('3 pr-2'!L81)</f>
        <v>33638</v>
      </c>
      <c r="K81" s="176">
        <f>SUM('3 pr-2'!O81)</f>
        <v>5045.7</v>
      </c>
      <c r="L81" s="176">
        <f>SUM('3 pr-2'!R81)</f>
        <v>0</v>
      </c>
      <c r="M81" s="176">
        <f>SUM('3 pr-2'!U81)</f>
        <v>0</v>
      </c>
      <c r="N81" s="176">
        <f>SUM('3 pr-2'!X81)</f>
        <v>0</v>
      </c>
      <c r="O81" s="177">
        <f>SUM('3 pr-2'!AA81)</f>
        <v>28592.3</v>
      </c>
      <c r="P81" s="195">
        <f>SUM('3 pr-2'!AF81)</f>
        <v>42643</v>
      </c>
      <c r="Q81" s="240">
        <v>42643</v>
      </c>
      <c r="R81" s="173">
        <f t="shared" ref="R81" si="13">SUM(P81-Q81)</f>
        <v>0</v>
      </c>
      <c r="S81" s="234">
        <f>(P81-Q81)/30.4166666666667</f>
        <v>0</v>
      </c>
    </row>
    <row r="82" spans="1:19" ht="49.5" thickBot="1">
      <c r="A82" s="163" t="str">
        <f>CONCATENATE('3 pr-2'!A82)</f>
        <v>1.1.2.2.3</v>
      </c>
      <c r="B82" s="227" t="str">
        <f>CONCATENATE('ketv. 2'!B81)</f>
        <v/>
      </c>
      <c r="C82" s="164" t="str">
        <f>CONCATENATE('3 pr-2'!D82)</f>
        <v>Intelektinių transporto sistemų diegimas Druskininkuose</v>
      </c>
      <c r="D82" s="164" t="str">
        <f>CONCATENATE('3 pr-2'!E82)</f>
        <v>Druskininkų savivaldybės administracija</v>
      </c>
      <c r="E82" s="164" t="str">
        <f>CONCATENATE('3 pr-2'!F82)</f>
        <v>Lietuvos Respublikos susisiekimo ministerija</v>
      </c>
      <c r="F82" s="164" t="str">
        <f>CONCATENATE('3 pr-2'!G82)</f>
        <v>Druskininkų sav.</v>
      </c>
      <c r="G82" s="164" t="str">
        <f>CONCATENATE('3 pr-2'!H82)</f>
        <v>04.5.1.-TID-R-514</v>
      </c>
      <c r="H82" s="164" t="str">
        <f>CONCATENATE('3 pr-2'!I82)</f>
        <v>R</v>
      </c>
      <c r="I82" s="174" t="str">
        <f>CONCATENATE('3 pr-2'!J82)</f>
        <v>-</v>
      </c>
      <c r="J82" s="175">
        <f>SUM('3 pr-2'!L82)</f>
        <v>160836.24</v>
      </c>
      <c r="K82" s="176">
        <f>SUM('3 pr-2'!O82)</f>
        <v>24125.439999999999</v>
      </c>
      <c r="L82" s="176">
        <f>SUM('3 pr-2'!R82)</f>
        <v>0</v>
      </c>
      <c r="M82" s="176">
        <f>SUM('3 pr-2'!U82)</f>
        <v>0</v>
      </c>
      <c r="N82" s="176">
        <f>SUM('3 pr-2'!X82)</f>
        <v>0</v>
      </c>
      <c r="O82" s="177">
        <f>SUM('3 pr-2'!AA82)</f>
        <v>136710.79999999999</v>
      </c>
      <c r="P82" s="195"/>
      <c r="Q82" s="240"/>
      <c r="R82" s="173">
        <f t="shared" ref="R82:R84" si="14">SUM(P82-Q82)</f>
        <v>0</v>
      </c>
      <c r="S82" s="234">
        <f>(P82-Q82)/30.4166666666667</f>
        <v>0</v>
      </c>
    </row>
    <row r="83" spans="1:19" ht="49.5" thickBot="1">
      <c r="A83" s="163" t="str">
        <f>CONCATENATE('3 pr-2'!A83)</f>
        <v>1.1.2.2.4</v>
      </c>
      <c r="B83" s="227" t="str">
        <f>CONCATENATE('ketv. 2'!B82)</f>
        <v>04.5.1-TID-V-513-01-0006</v>
      </c>
      <c r="C83" s="164" t="str">
        <f>CONCATENATE('3 pr-2'!D83)</f>
        <v>Darnaus judumo plano Druskininkuose parengimas</v>
      </c>
      <c r="D83" s="164" t="str">
        <f>CONCATENATE('3 pr-2'!E83)</f>
        <v>Druskininkų savivaldybės administracija</v>
      </c>
      <c r="E83" s="164" t="str">
        <f>CONCATENATE('3 pr-2'!F83)</f>
        <v>Lietuvos Respublikos susisiekimo ministerija</v>
      </c>
      <c r="F83" s="164" t="str">
        <f>CONCATENATE('3 pr-2'!G83)</f>
        <v>Druskininkų sav.</v>
      </c>
      <c r="G83" s="164" t="str">
        <f>CONCATENATE('3 pr-2'!H83)</f>
        <v>04.5.1-TID-V-513</v>
      </c>
      <c r="H83" s="164" t="str">
        <f>CONCATENATE('3 pr-2'!I83)</f>
        <v>V</v>
      </c>
      <c r="I83" s="174" t="str">
        <f>CONCATENATE('3 pr-2'!J83)</f>
        <v>ITI</v>
      </c>
      <c r="J83" s="175">
        <f>SUM('3 pr-2'!L83)</f>
        <v>17000</v>
      </c>
      <c r="K83" s="176">
        <f>SUM('3 pr-2'!O83)</f>
        <v>2550</v>
      </c>
      <c r="L83" s="176">
        <f>SUM('3 pr-2'!R83)</f>
        <v>0</v>
      </c>
      <c r="M83" s="176">
        <f>SUM('3 pr-2'!U83)</f>
        <v>0</v>
      </c>
      <c r="N83" s="176">
        <f>SUM('3 pr-2'!X83)</f>
        <v>0</v>
      </c>
      <c r="O83" s="177">
        <f>SUM('3 pr-2'!AA83)</f>
        <v>14450</v>
      </c>
      <c r="P83" s="195"/>
      <c r="Q83" s="240"/>
      <c r="R83" s="173">
        <f t="shared" si="14"/>
        <v>0</v>
      </c>
      <c r="S83" s="234">
        <f>(P83-Q83)/30.4166666666667</f>
        <v>0</v>
      </c>
    </row>
    <row r="84" spans="1:19" ht="49.5" thickBot="1">
      <c r="A84" s="163" t="str">
        <f>CONCATENATE('3 pr-2'!A84)</f>
        <v>1.1.2.2.5</v>
      </c>
      <c r="B84" s="227" t="str">
        <f>CONCATENATE('ketv. 2'!B83)</f>
        <v/>
      </c>
      <c r="C84" s="164" t="str">
        <f>CONCATENATE('3 pr-2'!D84)</f>
        <v>Viešojo transporto organizavimo tobulinimas rekonstruojant Druskininkų miesto gatvių infrastruktūrą</v>
      </c>
      <c r="D84" s="164" t="str">
        <f>CONCATENATE('3 pr-2'!E84)</f>
        <v>Druskininkų savivaldybės administracija</v>
      </c>
      <c r="E84" s="164" t="str">
        <f>CONCATENATE('3 pr-2'!F84)</f>
        <v>Lietuvos Respublikos susisiekimo ministerija</v>
      </c>
      <c r="F84" s="164" t="str">
        <f>CONCATENATE('3 pr-2'!G84)</f>
        <v>Druskininkų sav.</v>
      </c>
      <c r="G84" s="164" t="str">
        <f>CONCATENATE('3 pr-2'!H84)</f>
        <v>04.5.1.-TID-R-514</v>
      </c>
      <c r="H84" s="164" t="str">
        <f>CONCATENATE('3 pr-2'!I84)</f>
        <v>R</v>
      </c>
      <c r="I84" s="174" t="str">
        <f>CONCATENATE('3 pr-2'!J84)</f>
        <v>-</v>
      </c>
      <c r="J84" s="175">
        <f>SUM('3 pr-2'!L84)</f>
        <v>290000</v>
      </c>
      <c r="K84" s="176">
        <f>SUM('3 pr-2'!O84)</f>
        <v>43500</v>
      </c>
      <c r="L84" s="176">
        <f>SUM('3 pr-2'!R84)</f>
        <v>0</v>
      </c>
      <c r="M84" s="176">
        <f>SUM('3 pr-2'!U84)</f>
        <v>0</v>
      </c>
      <c r="N84" s="176">
        <f>SUM('3 pr-2'!X84)</f>
        <v>0</v>
      </c>
      <c r="O84" s="177">
        <f>SUM('3 pr-2'!AA84)</f>
        <v>246500</v>
      </c>
      <c r="P84" s="195"/>
      <c r="Q84" s="240"/>
      <c r="R84" s="173">
        <f t="shared" si="14"/>
        <v>0</v>
      </c>
      <c r="S84" s="234">
        <f>(P84-Q84)/30.4166666666667</f>
        <v>0</v>
      </c>
    </row>
    <row r="85" spans="1:19" ht="49.5" thickBot="1">
      <c r="A85" s="163" t="str">
        <f>CONCATENATE('3 pr-2'!A85)</f>
        <v>1.1.2.2.6</v>
      </c>
      <c r="B85" s="227" t="str">
        <f>CONCATENATE('ketv. 2'!B84)</f>
        <v/>
      </c>
      <c r="C85" s="164" t="str">
        <f>CONCATENATE('3 pr-2'!D85)</f>
        <v>Vandens transporto infrastruktūros įrengimas skatinant kitų rūšių transportą</v>
      </c>
      <c r="D85" s="164" t="str">
        <f>CONCATENATE('3 pr-2'!E85)</f>
        <v>Druskininkų savivaldybės administracija</v>
      </c>
      <c r="E85" s="164" t="str">
        <f>CONCATENATE('3 pr-2'!F85)</f>
        <v>Lietuvos Respublikos susisiekimo ministerija</v>
      </c>
      <c r="F85" s="164" t="str">
        <f>CONCATENATE('3 pr-2'!G85)</f>
        <v>Druskininkų sav.</v>
      </c>
      <c r="G85" s="164" t="str">
        <f>CONCATENATE('3 pr-2'!H85)</f>
        <v>04.5.1.-TID-R-514</v>
      </c>
      <c r="H85" s="164" t="str">
        <f>CONCATENATE('3 pr-2'!I85)</f>
        <v>R</v>
      </c>
      <c r="I85" s="174" t="str">
        <f>CONCATENATE('3 pr-2'!J85)</f>
        <v>-</v>
      </c>
      <c r="J85" s="175">
        <f>SUM('3 pr-2'!L85)</f>
        <v>250000</v>
      </c>
      <c r="K85" s="176">
        <f>SUM('3 pr-2'!O85)</f>
        <v>37500</v>
      </c>
      <c r="L85" s="176">
        <f>SUM('3 pr-2'!R85)</f>
        <v>0</v>
      </c>
      <c r="M85" s="176">
        <f>SUM('3 pr-2'!U85)</f>
        <v>0</v>
      </c>
      <c r="N85" s="176">
        <f>SUM('3 pr-2'!X85)</f>
        <v>0</v>
      </c>
      <c r="O85" s="177">
        <f>SUM('3 pr-2'!AA85)</f>
        <v>212500</v>
      </c>
      <c r="P85" s="1083"/>
      <c r="Q85" s="1084"/>
      <c r="R85" s="173"/>
      <c r="S85" s="234"/>
    </row>
    <row r="86" spans="1:19" ht="36.75" customHeight="1" thickBot="1">
      <c r="A86" s="287" t="str">
        <f>CONCATENATE('3 pr-2'!A86)</f>
        <v>1.1.2.3</v>
      </c>
      <c r="B86" s="425"/>
      <c r="C86" s="1936" t="str">
        <f>CONCATENATE('3 pr-2'!B86)</f>
        <v>Priemonė:
Pėsčiųjų ir dviračių takų rekonstrukcija ir plėtra</v>
      </c>
      <c r="D86" s="2095" t="str">
        <f>CONCATENATE('3 pr-2'!E87)</f>
        <v>Varėnos rajono savivaldybės administracija</v>
      </c>
      <c r="E86" s="2095" t="str">
        <f>CONCATENATE('3 pr-2'!F87)</f>
        <v>Lietuvos Respublikos susisiekimo ministerija</v>
      </c>
      <c r="F86" s="2095" t="str">
        <f>CONCATENATE('3 pr-2'!G87)</f>
        <v>Varėnos r. sav.</v>
      </c>
      <c r="G86" s="2095" t="str">
        <f>CONCATENATE('3 pr-2'!H87)</f>
        <v>04.5.1-TID-R-516</v>
      </c>
      <c r="H86" s="2095" t="str">
        <f>CONCATENATE('3 pr-2'!I87)</f>
        <v>R</v>
      </c>
      <c r="I86" s="2095" t="str">
        <f>CONCATENATE('3 pr-2'!J87)</f>
        <v>ITI</v>
      </c>
      <c r="J86" s="426">
        <f>SUM('3 pr-2'!L86)</f>
        <v>500953.05</v>
      </c>
      <c r="K86" s="426">
        <f>SUM('3 pr-2'!O86)</f>
        <v>85292.359999999986</v>
      </c>
      <c r="L86" s="426">
        <f>SUM('3 pr-2'!R86)</f>
        <v>0</v>
      </c>
      <c r="M86" s="426">
        <f>SUM('3 pr-2'!U86)</f>
        <v>0</v>
      </c>
      <c r="N86" s="426">
        <f>SUM('3 pr-2'!X86)</f>
        <v>0</v>
      </c>
      <c r="O86" s="427">
        <f>SUM('3 pr-2'!AA86)</f>
        <v>415660.69</v>
      </c>
      <c r="P86" s="428"/>
      <c r="Q86" s="429"/>
      <c r="R86" s="430">
        <f>SUM(P86-Q86)</f>
        <v>0</v>
      </c>
      <c r="S86" s="430"/>
    </row>
    <row r="87" spans="1:19" ht="49.5" thickBot="1">
      <c r="A87" s="163" t="str">
        <f>CONCATENATE('3 pr-2'!A87)</f>
        <v>1.1.2.3.1</v>
      </c>
      <c r="B87" s="227" t="str">
        <f>CONCATENATE('ketv. 2'!B86)</f>
        <v>04.5.1-TID-R-516-11-0004</v>
      </c>
      <c r="C87" s="164" t="str">
        <f>CONCATENATE('3 pr-2'!D87)</f>
        <v>Dviračių ir pėsčiųjų takų įrengimas Varėnos miesto J. Basanavičiaus ir Žiedo gatvėse</v>
      </c>
      <c r="D87" s="164" t="str">
        <f>CONCATENATE('3 pr-2'!E87)</f>
        <v>Varėnos rajono savivaldybės administracija</v>
      </c>
      <c r="E87" s="164" t="str">
        <f>CONCATENATE('3 pr-2'!F87)</f>
        <v>Lietuvos Respublikos susisiekimo ministerija</v>
      </c>
      <c r="F87" s="164" t="str">
        <f>CONCATENATE('3 pr-2'!G87)</f>
        <v>Varėnos r. sav.</v>
      </c>
      <c r="G87" s="164" t="str">
        <f>CONCATENATE('3 pr-2'!H87)</f>
        <v>04.5.1-TID-R-516</v>
      </c>
      <c r="H87" s="164" t="str">
        <f>CONCATENATE('3 pr-2'!I87)</f>
        <v>R</v>
      </c>
      <c r="I87" s="174" t="str">
        <f>CONCATENATE('3 pr-2'!J87)</f>
        <v>ITI</v>
      </c>
      <c r="J87" s="175">
        <f>SUM('3 pr-2'!L87)</f>
        <v>103306</v>
      </c>
      <c r="K87" s="176">
        <f>SUM('3 pr-2'!O87)</f>
        <v>15496</v>
      </c>
      <c r="L87" s="176">
        <f>SUM('3 pr-2'!R87)</f>
        <v>0</v>
      </c>
      <c r="M87" s="176">
        <f>SUM('3 pr-2'!U87)</f>
        <v>0</v>
      </c>
      <c r="N87" s="176">
        <f>SUM('3 pr-2'!X87)</f>
        <v>0</v>
      </c>
      <c r="O87" s="177">
        <f>SUM('3 pr-2'!AA87)</f>
        <v>87810</v>
      </c>
      <c r="P87" s="195">
        <f>SUM('3 pr-2'!AF87)</f>
        <v>42660</v>
      </c>
      <c r="Q87" s="241">
        <v>42660</v>
      </c>
      <c r="R87" s="173">
        <f t="shared" ref="R87:R90" si="15">SUM(P87-Q87)</f>
        <v>0</v>
      </c>
      <c r="S87" s="234">
        <f>(P87-Q87)/30.4166666666667</f>
        <v>0</v>
      </c>
    </row>
    <row r="88" spans="1:19" ht="49.5" thickBot="1">
      <c r="A88" s="163" t="str">
        <f>CONCATENATE('3 pr-2'!A88)</f>
        <v>1.1.2.3.2</v>
      </c>
      <c r="B88" s="227" t="str">
        <f>CONCATENATE('ketv. 2'!B87)</f>
        <v>04.5.1-TID-R-516-11-0001</v>
      </c>
      <c r="C88" s="164" t="str">
        <f>CONCATENATE('3 pr-2'!D88)</f>
        <v>Dviračių trasų infrastruktūros įrengimas nuo Putinų g. žiedo Pramonės gatvėje, Alytaus mieste</v>
      </c>
      <c r="D88" s="164" t="str">
        <f>CONCATENATE('3 pr-2'!E88)</f>
        <v>Alytaus miesto savivaldybės administracija</v>
      </c>
      <c r="E88" s="164" t="str">
        <f>CONCATENATE('3 pr-2'!F88)</f>
        <v>Lietuvos Respublikos susisiekimo ministerija</v>
      </c>
      <c r="F88" s="164" t="str">
        <f>CONCATENATE('3 pr-2'!G88)</f>
        <v>Alytaus m. sav.</v>
      </c>
      <c r="G88" s="164" t="str">
        <f>CONCATENATE('3 pr-2'!H88)</f>
        <v>04.5.1-TID-R-516</v>
      </c>
      <c r="H88" s="164" t="str">
        <f>CONCATENATE('3 pr-2'!I88)</f>
        <v>R</v>
      </c>
      <c r="I88" s="174" t="str">
        <f>CONCATENATE('3 pr-2'!J88)</f>
        <v>ITI</v>
      </c>
      <c r="J88" s="175">
        <f>SUM('3 pr-2'!L88)</f>
        <v>133670.07</v>
      </c>
      <c r="K88" s="176">
        <f>SUM('3 pr-2'!O88)</f>
        <v>20050.509999999998</v>
      </c>
      <c r="L88" s="176">
        <f>SUM('3 pr-2'!R88)</f>
        <v>0</v>
      </c>
      <c r="M88" s="176">
        <f>SUM('3 pr-2'!U88)</f>
        <v>0</v>
      </c>
      <c r="N88" s="176">
        <f>SUM('3 pr-2'!X88)</f>
        <v>0</v>
      </c>
      <c r="O88" s="177">
        <f>SUM('3 pr-2'!AA88)</f>
        <v>113619.56</v>
      </c>
      <c r="P88" s="195">
        <f>SUM('3 pr-2'!AF88)</f>
        <v>42660</v>
      </c>
      <c r="Q88" s="241">
        <v>42660</v>
      </c>
      <c r="R88" s="173">
        <f t="shared" si="15"/>
        <v>0</v>
      </c>
      <c r="S88" s="234">
        <f>(P88-Q88)/30.4166666666667</f>
        <v>0</v>
      </c>
    </row>
    <row r="89" spans="1:19" ht="49.5" thickBot="1">
      <c r="A89" s="163" t="str">
        <f>CONCATENATE('3 pr-2'!A89)</f>
        <v>1.1.2.3.3</v>
      </c>
      <c r="B89" s="227" t="str">
        <f>CONCATENATE('ketv. 2'!B88)</f>
        <v>04.5.1-TID-R-516-11-0002</v>
      </c>
      <c r="C89" s="164" t="str">
        <f>CONCATENATE('3 pr-2'!D89)</f>
        <v>Dviračių ir pėsčiųjų takų plėtra Lazdijų miesto Turistų gatvėje iki sodų bendrijos „Baltasis“ Lazdijų seniūnijoje</v>
      </c>
      <c r="D89" s="164" t="str">
        <f>CONCATENATE('3 pr-2'!E89)</f>
        <v>Lazdijų rajono savivaldybės administracija</v>
      </c>
      <c r="E89" s="164" t="str">
        <f>CONCATENATE('3 pr-2'!F89)</f>
        <v>Lietuvos Respublikos susisiekimo ministerija</v>
      </c>
      <c r="F89" s="164" t="str">
        <f>CONCATENATE('3 pr-2'!G89)</f>
        <v>Lazdijų r. sav.</v>
      </c>
      <c r="G89" s="164" t="str">
        <f>CONCATENATE('3 pr-2'!H89)</f>
        <v>04.5.1-TID-R-516</v>
      </c>
      <c r="H89" s="164" t="str">
        <f>CONCATENATE('3 pr-2'!I89)</f>
        <v>R</v>
      </c>
      <c r="I89" s="174" t="str">
        <f>CONCATENATE('3 pr-2'!J89)</f>
        <v>ITI</v>
      </c>
      <c r="J89" s="175">
        <f>SUM('3 pr-2'!L89)</f>
        <v>93938.42</v>
      </c>
      <c r="K89" s="176">
        <f>SUM('3 pr-2'!O89)</f>
        <v>20437.419999999998</v>
      </c>
      <c r="L89" s="176">
        <f>SUM('3 pr-2'!R89)</f>
        <v>0</v>
      </c>
      <c r="M89" s="176">
        <f>SUM('3 pr-2'!U89)</f>
        <v>0</v>
      </c>
      <c r="N89" s="176">
        <f>SUM('3 pr-2'!X89)</f>
        <v>0</v>
      </c>
      <c r="O89" s="177">
        <f>SUM('3 pr-2'!AA89)</f>
        <v>73501</v>
      </c>
      <c r="P89" s="195">
        <f>SUM('3 pr-2'!AF89)</f>
        <v>42660</v>
      </c>
      <c r="Q89" s="241">
        <v>42660</v>
      </c>
      <c r="R89" s="173">
        <f t="shared" si="15"/>
        <v>0</v>
      </c>
      <c r="S89" s="234">
        <f>(P89-Q89)/30.4166666666667</f>
        <v>0</v>
      </c>
    </row>
    <row r="90" spans="1:19" ht="49.5" thickBot="1">
      <c r="A90" s="163" t="str">
        <f>CONCATENATE('3 pr-2'!A90)</f>
        <v>1.1.2.3.4</v>
      </c>
      <c r="B90" s="227" t="str">
        <f>CONCATENATE('ketv. 2'!B89)</f>
        <v>04.5.1-TID-R-516-11-0005</v>
      </c>
      <c r="C90" s="164" t="str">
        <f>CONCATENATE('3 pr-2'!D90)</f>
        <v>Pėsčiųjų ir dviračių takų plėtra Simno seniūnijoje</v>
      </c>
      <c r="D90" s="164" t="str">
        <f>CONCATENATE('3 pr-2'!E90)</f>
        <v>Alytaus rajono savivaldybės administracija</v>
      </c>
      <c r="E90" s="164" t="str">
        <f>CONCATENATE('3 pr-2'!F90)</f>
        <v>Lietuvos Respublikos susisiekimo ministerija</v>
      </c>
      <c r="F90" s="164" t="str">
        <f>CONCATENATE('3 pr-2'!G90)</f>
        <v>Alytaus r. sav.</v>
      </c>
      <c r="G90" s="164" t="str">
        <f>CONCATENATE('3 pr-2'!H90)</f>
        <v>04.5.1-TID-R-516</v>
      </c>
      <c r="H90" s="164" t="str">
        <f>CONCATENATE('3 pr-2'!I90)</f>
        <v>R</v>
      </c>
      <c r="I90" s="174" t="str">
        <f>CONCATENATE('3 pr-2'!J90)</f>
        <v>-</v>
      </c>
      <c r="J90" s="175">
        <f>SUM('3 pr-2'!L90)</f>
        <v>98949.56</v>
      </c>
      <c r="K90" s="176">
        <f>SUM('3 pr-2'!O90)</f>
        <v>14842.43</v>
      </c>
      <c r="L90" s="176">
        <f>SUM('3 pr-2'!R90)</f>
        <v>0</v>
      </c>
      <c r="M90" s="176">
        <f>SUM('3 pr-2'!U90)</f>
        <v>0</v>
      </c>
      <c r="N90" s="176">
        <f>SUM('3 pr-2'!X90)</f>
        <v>0</v>
      </c>
      <c r="O90" s="177">
        <f>SUM('3 pr-2'!AA90)</f>
        <v>84107.13</v>
      </c>
      <c r="P90" s="195">
        <f>SUM('3 pr-2'!AF90)</f>
        <v>42660</v>
      </c>
      <c r="Q90" s="241">
        <v>42660</v>
      </c>
      <c r="R90" s="173">
        <f t="shared" si="15"/>
        <v>0</v>
      </c>
      <c r="S90" s="234">
        <f>(P90-Q90)/30.4166666666667</f>
        <v>0</v>
      </c>
    </row>
    <row r="91" spans="1:19" ht="49.5" thickBot="1">
      <c r="A91" s="163" t="str">
        <f>CONCATENATE('3 pr-2'!A91)</f>
        <v>1.1.2.3.5</v>
      </c>
      <c r="B91" s="227" t="str">
        <f>CONCATENATE('ketv. 2'!B90)</f>
        <v>04.5.1-TID-R-516-11-0006</v>
      </c>
      <c r="C91" s="164" t="str">
        <f>CONCATENATE('3 pr-2'!D91)</f>
        <v>Dviračių ir pėsčiųjų tako, esančio šalia Ratnyčios upelio Druskininkų mieste, rekonstrukcija</v>
      </c>
      <c r="D91" s="164" t="str">
        <f>CONCATENATE('3 pr-2'!E91)</f>
        <v xml:space="preserve">Druskininkų savivaldybės administracija  </v>
      </c>
      <c r="E91" s="164" t="str">
        <f>CONCATENATE('3 pr-2'!F91)</f>
        <v>Lietuvos Respublikos susisiekimo ministerija</v>
      </c>
      <c r="F91" s="164" t="str">
        <f>CONCATENATE('3 pr-2'!G91)</f>
        <v>Druskininkų sav.</v>
      </c>
      <c r="G91" s="164" t="str">
        <f>CONCATENATE('3 pr-2'!H91)</f>
        <v>04.5.1-TID-R-516</v>
      </c>
      <c r="H91" s="164" t="str">
        <f>CONCATENATE('3 pr-2'!I91)</f>
        <v>R</v>
      </c>
      <c r="I91" s="174" t="str">
        <f>CONCATENATE('3 pr-2'!J91)</f>
        <v>-</v>
      </c>
      <c r="J91" s="175">
        <f>SUM('3 pr-2'!L91)</f>
        <v>71089</v>
      </c>
      <c r="K91" s="176">
        <f>SUM('3 pr-2'!O91)</f>
        <v>14466</v>
      </c>
      <c r="L91" s="176">
        <f>SUM('3 pr-2'!R91)</f>
        <v>0</v>
      </c>
      <c r="M91" s="176">
        <f>SUM('3 pr-2'!U91)</f>
        <v>0</v>
      </c>
      <c r="N91" s="176">
        <f>SUM('3 pr-2'!X91)</f>
        <v>0</v>
      </c>
      <c r="O91" s="177">
        <f>SUM('3 pr-2'!AA91)</f>
        <v>56623</v>
      </c>
      <c r="P91" s="195">
        <f>SUM('3 pr-2'!AF91)</f>
        <v>42660</v>
      </c>
      <c r="Q91" s="241">
        <v>42660</v>
      </c>
      <c r="R91" s="173">
        <f>SUM(P91-Q91)</f>
        <v>0</v>
      </c>
      <c r="S91" s="234">
        <f>(P91-Q91)/30.4166666666667</f>
        <v>0</v>
      </c>
    </row>
    <row r="92" spans="1:19" ht="42.75" customHeight="1" thickBot="1">
      <c r="A92" s="287" t="str">
        <f>CONCATENATE('3 pr-2'!A92)</f>
        <v>1.1.2.4</v>
      </c>
      <c r="B92" s="425" t="str">
        <f>CONCATENATE('ketv. 2'!B91)</f>
        <v/>
      </c>
      <c r="C92" s="1936" t="str">
        <f>CONCATENATE('3 pr-2'!B92)</f>
        <v>Priemonė:
Vietinių kelių techninių parametrų ir eismo saugos gerinimas</v>
      </c>
      <c r="D92" s="2095" t="str">
        <f>CONCATENATE('3 pr-2'!E93)</f>
        <v>Varėnos rajono savivaldybės administracija</v>
      </c>
      <c r="E92" s="2095" t="str">
        <f>CONCATENATE('3 pr-2'!F93)</f>
        <v>Lietuvos Respublikos susisiekimo ministerija</v>
      </c>
      <c r="F92" s="2095" t="str">
        <f>CONCATENATE('3 pr-2'!G93)</f>
        <v>Varėnos r. sav.</v>
      </c>
      <c r="G92" s="2095" t="str">
        <f>CONCATENATE('3 pr-2'!H93)</f>
        <v>06.2.1-TID-R-511</v>
      </c>
      <c r="H92" s="2095" t="str">
        <f>CONCATENATE('3 pr-2'!I93)</f>
        <v>R</v>
      </c>
      <c r="I92" s="2095" t="str">
        <f>CONCATENATE('3 pr-2'!J93)</f>
        <v>ITI</v>
      </c>
      <c r="J92" s="426">
        <f>SUM('3 pr-2'!L92)</f>
        <v>4315878.84</v>
      </c>
      <c r="K92" s="426">
        <f>SUM('3 pr-2'!O92)</f>
        <v>1217686.06</v>
      </c>
      <c r="L92" s="426">
        <f>SUM('3 pr-2'!R92)</f>
        <v>0</v>
      </c>
      <c r="M92" s="426">
        <f>SUM('3 pr-2'!U92)</f>
        <v>0</v>
      </c>
      <c r="N92" s="426">
        <f>SUM('3 pr-2'!X92)</f>
        <v>62660</v>
      </c>
      <c r="O92" s="427">
        <f>SUM('3 pr-2'!AA92)</f>
        <v>3035532.7800000003</v>
      </c>
      <c r="P92" s="428"/>
      <c r="Q92" s="429"/>
      <c r="R92" s="430"/>
      <c r="S92" s="430"/>
    </row>
    <row r="93" spans="1:19" ht="49.5" thickBot="1">
      <c r="A93" s="163" t="str">
        <f>CONCATENATE('3 pr-2'!A93)</f>
        <v>1.1.2.4.1</v>
      </c>
      <c r="B93" s="227" t="str">
        <f>CONCATENATE('ketv. 2'!B92)</f>
        <v>06.2.1-TID-R-511-11-0002</v>
      </c>
      <c r="C93" s="164" t="str">
        <f>CONCATENATE('3 pr-2'!D93)</f>
        <v>Varėnos miesto J. Basanavičiaus, Savanorių, M. K. Čiurlionio gatvių rekonstrukcija</v>
      </c>
      <c r="D93" s="164" t="str">
        <f>CONCATENATE('3 pr-2'!E93)</f>
        <v>Varėnos rajono savivaldybės administracija</v>
      </c>
      <c r="E93" s="164" t="str">
        <f>CONCATENATE('3 pr-2'!F93)</f>
        <v>Lietuvos Respublikos susisiekimo ministerija</v>
      </c>
      <c r="F93" s="164" t="str">
        <f>CONCATENATE('3 pr-2'!G93)</f>
        <v>Varėnos r. sav.</v>
      </c>
      <c r="G93" s="164" t="str">
        <f>CONCATENATE('3 pr-2'!H93)</f>
        <v>06.2.1-TID-R-511</v>
      </c>
      <c r="H93" s="164" t="str">
        <f>CONCATENATE('3 pr-2'!I93)</f>
        <v>R</v>
      </c>
      <c r="I93" s="174" t="str">
        <f>CONCATENATE('3 pr-2'!J93)</f>
        <v>ITI</v>
      </c>
      <c r="J93" s="175">
        <f>SUM('3 pr-2'!L93)</f>
        <v>835464</v>
      </c>
      <c r="K93" s="176">
        <f>SUM('3 pr-2'!O93)</f>
        <v>62660</v>
      </c>
      <c r="L93" s="176">
        <f>SUM('3 pr-2'!R93)</f>
        <v>0</v>
      </c>
      <c r="M93" s="176">
        <f>SUM('3 pr-2'!U93)</f>
        <v>0</v>
      </c>
      <c r="N93" s="176">
        <f>SUM('3 pr-2'!X93)</f>
        <v>62660</v>
      </c>
      <c r="O93" s="177">
        <f>SUM('3 pr-2'!AA93)</f>
        <v>710144</v>
      </c>
      <c r="P93" s="195">
        <f>SUM('3 pr-2'!AF93)</f>
        <v>42639</v>
      </c>
      <c r="Q93" s="239">
        <v>42636</v>
      </c>
      <c r="R93" s="173">
        <f t="shared" ref="R93:R96" si="16">SUM(P93-Q93)</f>
        <v>3</v>
      </c>
      <c r="S93" s="234">
        <f t="shared" ref="S93:S98" si="17">(P93-Q93)/30.4166666666667</f>
        <v>9.8630136986301256E-2</v>
      </c>
    </row>
    <row r="94" spans="1:19" ht="49.5" thickBot="1">
      <c r="A94" s="163" t="str">
        <f>CONCATENATE('3 pr-2'!A94)</f>
        <v>1.1.2.4.2</v>
      </c>
      <c r="B94" s="227" t="str">
        <f>CONCATENATE('ketv. 2'!B93)</f>
        <v>06.2.1-TID-R-511-11-0001</v>
      </c>
      <c r="C94" s="164" t="str">
        <f>CONCATENATE('3 pr-2'!D94)</f>
        <v>Perspektyvinės gatvės nuo Pramonės g. iki Naujosios g. Alytuje įrengimas</v>
      </c>
      <c r="D94" s="164" t="str">
        <f>CONCATENATE('3 pr-2'!E94)</f>
        <v>Alytaus miesto savivaldybės administracija</v>
      </c>
      <c r="E94" s="164" t="str">
        <f>CONCATENATE('3 pr-2'!F94)</f>
        <v>Lietuvos Respublikos susisiekimo ministerija</v>
      </c>
      <c r="F94" s="164" t="str">
        <f>CONCATENATE('3 pr-2'!G94)</f>
        <v>Alytaus m. sav.</v>
      </c>
      <c r="G94" s="164" t="str">
        <f>CONCATENATE('3 pr-2'!H94)</f>
        <v>06.2.1-TID-R-511</v>
      </c>
      <c r="H94" s="164" t="str">
        <f>CONCATENATE('3 pr-2'!I94)</f>
        <v>R</v>
      </c>
      <c r="I94" s="174" t="str">
        <f>CONCATENATE('3 pr-2'!J94)</f>
        <v>ITI</v>
      </c>
      <c r="J94" s="175">
        <f>SUM('3 pr-2'!L94)</f>
        <v>879927.06</v>
      </c>
      <c r="K94" s="176">
        <f>SUM('3 pr-2'!O94)</f>
        <v>131989.06</v>
      </c>
      <c r="L94" s="176">
        <f>SUM('3 pr-2'!R94)</f>
        <v>0</v>
      </c>
      <c r="M94" s="176">
        <f>SUM('3 pr-2'!U94)</f>
        <v>0</v>
      </c>
      <c r="N94" s="176">
        <f>SUM('3 pr-2'!X94)</f>
        <v>0</v>
      </c>
      <c r="O94" s="177">
        <f>SUM('3 pr-2'!AA94)</f>
        <v>747938</v>
      </c>
      <c r="P94" s="195">
        <f>SUM('3 pr-2'!AF94)</f>
        <v>42639</v>
      </c>
      <c r="Q94" s="239">
        <v>42639</v>
      </c>
      <c r="R94" s="173">
        <f t="shared" si="16"/>
        <v>0</v>
      </c>
      <c r="S94" s="234">
        <f t="shared" si="17"/>
        <v>0</v>
      </c>
    </row>
    <row r="95" spans="1:19" ht="49.5" thickBot="1">
      <c r="A95" s="163" t="str">
        <f>CONCATENATE('3 pr-2'!A95)</f>
        <v>1.1.2.4.3.</v>
      </c>
      <c r="B95" s="227" t="str">
        <f>CONCATENATE('ketv. 2'!B94)</f>
        <v>06.2.1-TID-R-511-11-0008</v>
      </c>
      <c r="C95" s="164" t="str">
        <f>CONCATENATE('3 pr-2'!D95)</f>
        <v>Saugaus eismo priemonių diegimas Alytaus mieste</v>
      </c>
      <c r="D95" s="164" t="str">
        <f>CONCATENATE('3 pr-2'!E95)</f>
        <v>Alytaus miesto savivaldybės administracija</v>
      </c>
      <c r="E95" s="164" t="str">
        <f>CONCATENATE('3 pr-2'!F95)</f>
        <v>Lietuvos Respublikos susisiekimo ministerija</v>
      </c>
      <c r="F95" s="164" t="str">
        <f>CONCATENATE('3 pr-2'!G95)</f>
        <v>Alytaus m. sav.</v>
      </c>
      <c r="G95" s="164" t="str">
        <f>CONCATENATE('3 pr-2'!H95)</f>
        <v>06.2.1-TID-R-511</v>
      </c>
      <c r="H95" s="164" t="str">
        <f>CONCATENATE('3 pr-2'!I95)</f>
        <v>R</v>
      </c>
      <c r="I95" s="174" t="str">
        <f>CONCATENATE('3 pr-2'!J95)</f>
        <v>-</v>
      </c>
      <c r="J95" s="175">
        <f>SUM('3 pr-2'!L95)</f>
        <v>274146.8</v>
      </c>
      <c r="K95" s="176">
        <f>SUM('3 pr-2'!O95)</f>
        <v>41122.019999999997</v>
      </c>
      <c r="L95" s="176">
        <f>SUM('3 pr-2'!R95)</f>
        <v>0</v>
      </c>
      <c r="M95" s="176">
        <f>SUM('3 pr-2'!U95)</f>
        <v>0</v>
      </c>
      <c r="N95" s="176">
        <f>SUM('3 pr-2'!X95)</f>
        <v>0</v>
      </c>
      <c r="O95" s="177">
        <f>SUM('3 pr-2'!AA95)</f>
        <v>233024.78</v>
      </c>
      <c r="P95" s="195">
        <f>SUM('3 pr-2'!AF95)</f>
        <v>42639</v>
      </c>
      <c r="Q95" s="241">
        <v>42639</v>
      </c>
      <c r="R95" s="173">
        <f t="shared" si="16"/>
        <v>0</v>
      </c>
      <c r="S95" s="234">
        <f t="shared" si="17"/>
        <v>0</v>
      </c>
    </row>
    <row r="96" spans="1:19" ht="49.5" thickBot="1">
      <c r="A96" s="163" t="str">
        <f>CONCATENATE('3 pr-2'!A96)</f>
        <v>1.1.2.4.4</v>
      </c>
      <c r="B96" s="227" t="str">
        <f>CONCATENATE('ketv. 2'!B95)</f>
        <v>06.2.1-TID-R-511-11-0006</v>
      </c>
      <c r="C96" s="164" t="str">
        <f>CONCATENATE('3 pr-2'!D96)</f>
        <v>Eismo saugos priemonių diegimas Alytaus rajono savivaldybėje</v>
      </c>
      <c r="D96" s="164" t="str">
        <f>CONCATENATE('3 pr-2'!E96)</f>
        <v>Alytaus rajono savivaldybės administracija</v>
      </c>
      <c r="E96" s="164" t="str">
        <f>CONCATENATE('3 pr-2'!F96)</f>
        <v>Lietuvos Respublikos susisiekimo ministerija</v>
      </c>
      <c r="F96" s="164" t="str">
        <f>CONCATENATE('3 pr-2'!G96)</f>
        <v>Alytaus r. sav.</v>
      </c>
      <c r="G96" s="164" t="str">
        <f>CONCATENATE('3 pr-2'!H96)</f>
        <v>06.2.1-TID-R-511</v>
      </c>
      <c r="H96" s="164" t="str">
        <f>CONCATENATE('3 pr-2'!I96)</f>
        <v>R</v>
      </c>
      <c r="I96" s="174" t="str">
        <f>CONCATENATE('3 pr-2'!J96)</f>
        <v>-</v>
      </c>
      <c r="J96" s="175">
        <f>SUM('3 pr-2'!L96)</f>
        <v>274817.98</v>
      </c>
      <c r="K96" s="176">
        <f>SUM('3 pr-2'!O96)</f>
        <v>73973.98</v>
      </c>
      <c r="L96" s="176">
        <f>SUM('3 pr-2'!R96)</f>
        <v>0</v>
      </c>
      <c r="M96" s="176">
        <f>SUM('3 pr-2'!U96)</f>
        <v>0</v>
      </c>
      <c r="N96" s="176">
        <f>SUM('3 pr-2'!X96)</f>
        <v>0</v>
      </c>
      <c r="O96" s="177">
        <f>SUM('3 pr-2'!AA96)</f>
        <v>200844</v>
      </c>
      <c r="P96" s="195">
        <f>SUM('3 pr-2'!AF96)</f>
        <v>42639</v>
      </c>
      <c r="Q96" s="241">
        <v>42639</v>
      </c>
      <c r="R96" s="173">
        <f t="shared" si="16"/>
        <v>0</v>
      </c>
      <c r="S96" s="234">
        <f t="shared" si="17"/>
        <v>0</v>
      </c>
    </row>
    <row r="97" spans="1:19" ht="49.5" thickBot="1">
      <c r="A97" s="163" t="str">
        <f>CONCATENATE('3 pr-2'!A97)</f>
        <v>1.1.2.4.5</v>
      </c>
      <c r="B97" s="227" t="str">
        <f>CONCATENATE('ketv. 2'!B96)</f>
        <v>06.2.1-TID-R-511-11-0007</v>
      </c>
      <c r="C97" s="164" t="str">
        <f>CONCATENATE('3 pr-2'!D97)</f>
        <v>M.K. Čiurlionio gatvės atkarpos Druskininkų m. rekonstrukcija</v>
      </c>
      <c r="D97" s="164" t="str">
        <f>CONCATENATE('3 pr-2'!E97)</f>
        <v xml:space="preserve">Druskininkų savivaldybės administracija  </v>
      </c>
      <c r="E97" s="164" t="str">
        <f>CONCATENATE('3 pr-2'!F97)</f>
        <v>Lietuvos Respublikos susisiekimo ministerija</v>
      </c>
      <c r="F97" s="164" t="str">
        <f>CONCATENATE('3 pr-2'!G97)</f>
        <v>Druskininkų sav.</v>
      </c>
      <c r="G97" s="164" t="str">
        <f>CONCATENATE('3 pr-2'!H97)</f>
        <v>06.2.1-TID-R-511</v>
      </c>
      <c r="H97" s="164" t="str">
        <f>CONCATENATE('3 pr-2'!I97)</f>
        <v>R</v>
      </c>
      <c r="I97" s="174" t="str">
        <f>CONCATENATE('3 pr-2'!J97)</f>
        <v>ITI</v>
      </c>
      <c r="J97" s="175">
        <f>SUM('3 pr-2'!L97)</f>
        <v>1156237</v>
      </c>
      <c r="K97" s="176">
        <f>SUM('3 pr-2'!O97)</f>
        <v>771588</v>
      </c>
      <c r="L97" s="176">
        <f>SUM('3 pr-2'!R97)</f>
        <v>0</v>
      </c>
      <c r="M97" s="176">
        <f>SUM('3 pr-2'!U97)</f>
        <v>0</v>
      </c>
      <c r="N97" s="176">
        <f>SUM('3 pr-2'!X97)</f>
        <v>0</v>
      </c>
      <c r="O97" s="177">
        <f>SUM('3 pr-2'!AA97)</f>
        <v>384649</v>
      </c>
      <c r="P97" s="195">
        <f>SUM('3 pr-2'!AF97)</f>
        <v>42639</v>
      </c>
      <c r="Q97" s="239">
        <v>42640</v>
      </c>
      <c r="R97" s="173">
        <f>SUM(P97-Q97)</f>
        <v>-1</v>
      </c>
      <c r="S97" s="234">
        <f t="shared" si="17"/>
        <v>-3.2876712328767085E-2</v>
      </c>
    </row>
    <row r="98" spans="1:19" ht="45.75" customHeight="1" thickBot="1">
      <c r="A98" s="163" t="str">
        <f>CONCATENATE('3 pr-2'!A98)</f>
        <v>1.1.2.4.6</v>
      </c>
      <c r="B98" s="227" t="str">
        <f>CONCATENATE('ketv. 2'!B97)</f>
        <v>06.2.1-TID-R-511-11-0004</v>
      </c>
      <c r="C98" s="164" t="str">
        <f>CONCATENATE('3 pr-2'!D98)</f>
        <v>Lazdijų miesto Seinų ir Lazdijos gatvių bei vietinės reikšmės kelio nuo Janonio gatvės iki Lazdijų hipodromo rekonstravimas</v>
      </c>
      <c r="D98" s="164" t="str">
        <f>CONCATENATE('3 pr-2'!E98)</f>
        <v>Lazdijų rajono savivaldybės administracija</v>
      </c>
      <c r="E98" s="164" t="str">
        <f>CONCATENATE('3 pr-2'!F98)</f>
        <v>Lietuvos Respublikos susisiekimo ministerija</v>
      </c>
      <c r="F98" s="164" t="str">
        <f>CONCATENATE('3 pr-2'!G98)</f>
        <v>Lazdijų r. sav.</v>
      </c>
      <c r="G98" s="164" t="str">
        <f>CONCATENATE('3 pr-2'!H98)</f>
        <v>06.2.1-TID-R-511</v>
      </c>
      <c r="H98" s="164" t="str">
        <f>CONCATENATE('3 pr-2'!I98)</f>
        <v>R</v>
      </c>
      <c r="I98" s="174" t="str">
        <f>CONCATENATE('3 pr-2'!J98)</f>
        <v>ITI</v>
      </c>
      <c r="J98" s="175">
        <f>SUM('3 pr-2'!L98)</f>
        <v>759934</v>
      </c>
      <c r="K98" s="176">
        <f>SUM('3 pr-2'!O98)</f>
        <v>113990</v>
      </c>
      <c r="L98" s="176">
        <f>SUM('3 pr-2'!R98)</f>
        <v>0</v>
      </c>
      <c r="M98" s="176">
        <f>SUM('3 pr-2'!U98)</f>
        <v>0</v>
      </c>
      <c r="N98" s="176">
        <f>SUM('3 pr-2'!X98)</f>
        <v>0</v>
      </c>
      <c r="O98" s="177">
        <f>SUM('3 pr-2'!AA98)</f>
        <v>645944</v>
      </c>
      <c r="P98" s="195">
        <f>SUM('3 pr-2'!AF98)</f>
        <v>42639</v>
      </c>
      <c r="Q98" s="241">
        <v>42639</v>
      </c>
      <c r="R98" s="173">
        <f t="shared" ref="R98" si="18">IF((YEAR(P98)-YEAR(Q98))=0,0,YEAR(P98)-YEAR(Q98))</f>
        <v>0</v>
      </c>
      <c r="S98" s="234">
        <f t="shared" si="17"/>
        <v>0</v>
      </c>
    </row>
    <row r="99" spans="1:19" ht="45.75" customHeight="1" thickBot="1">
      <c r="A99" s="163" t="str">
        <f>CONCATENATE('3 pr-2'!A99)</f>
        <v>1.1.2.4.7</v>
      </c>
      <c r="B99" s="227" t="str">
        <f>CONCATENATE('ketv. 2'!B98)</f>
        <v>06.2.1-TID-R-511-11-0009</v>
      </c>
      <c r="C99" s="164" t="str">
        <f>CONCATENATE('3 pr-2'!D99)</f>
        <v>Eismo saugumo priemonių diegimas Druskininkų savivaldybėje</v>
      </c>
      <c r="D99" s="164" t="str">
        <f>CONCATENATE('3 pr-2'!E99)</f>
        <v xml:space="preserve">Druskininkų savivaldybės administracija  </v>
      </c>
      <c r="E99" s="164" t="str">
        <f>CONCATENATE('3 pr-2'!F99)</f>
        <v>Lietuvos Respublikos susisiekimo ministerija</v>
      </c>
      <c r="F99" s="164" t="str">
        <f>CONCATENATE('3 pr-2'!G99)</f>
        <v>Druskininkų sav.</v>
      </c>
      <c r="G99" s="164" t="str">
        <f>CONCATENATE('3 pr-2'!H99)</f>
        <v>06.2.1-TID-R-511</v>
      </c>
      <c r="H99" s="164" t="str">
        <f>CONCATENATE('3 pr-2'!I99)</f>
        <v>R</v>
      </c>
      <c r="I99" s="174" t="str">
        <f>CONCATENATE('3 pr-2'!J99)</f>
        <v>-</v>
      </c>
      <c r="J99" s="175">
        <f>SUM('3 pr-2'!L99)</f>
        <v>135352</v>
      </c>
      <c r="K99" s="176">
        <f>SUM('3 pr-2'!O99)</f>
        <v>22363</v>
      </c>
      <c r="L99" s="176">
        <f>SUM('3 pr-2'!R99)</f>
        <v>0</v>
      </c>
      <c r="M99" s="176">
        <f>SUM('3 pr-2'!U99)</f>
        <v>0</v>
      </c>
      <c r="N99" s="176">
        <f>SUM('3 pr-2'!X99)</f>
        <v>0</v>
      </c>
      <c r="O99" s="177">
        <f>SUM('3 pr-2'!AA99)</f>
        <v>112989</v>
      </c>
      <c r="P99" s="1086"/>
      <c r="Q99" s="241"/>
      <c r="R99" s="173"/>
      <c r="S99" s="234"/>
    </row>
    <row r="100" spans="1:19" ht="48" customHeight="1" thickBot="1">
      <c r="A100" s="139" t="str">
        <f>CONCATENATE('3 pr-2'!A100)</f>
        <v>2.1.</v>
      </c>
      <c r="B100" s="227" t="str">
        <f>CONCATENATE('ketv. 2'!B99)</f>
        <v/>
      </c>
      <c r="C100" s="1951" t="str">
        <f>CONCATENATE('3 pr-2'!B100)</f>
        <v>Tikslas:
GERINTI VIEŠŲJŲ  PASLAUGŲ KOKYBĘ IR PRIEINAMUMĄ</v>
      </c>
      <c r="D100" s="2096" t="str">
        <f>CONCATENATE('3 pr-2'!E100)</f>
        <v/>
      </c>
      <c r="E100" s="2096" t="str">
        <f>CONCATENATE('3 pr-2'!F100)</f>
        <v/>
      </c>
      <c r="F100" s="2096" t="str">
        <f>CONCATENATE('3 pr-2'!G100)</f>
        <v/>
      </c>
      <c r="G100" s="2096" t="str">
        <f>CONCATENATE('3 pr-2'!H100)</f>
        <v/>
      </c>
      <c r="H100" s="2096" t="str">
        <f>CONCATENATE('3 pr-2'!I100)</f>
        <v/>
      </c>
      <c r="I100" s="2096" t="str">
        <f>CONCATENATE('3 pr-2'!J100)</f>
        <v/>
      </c>
      <c r="J100" s="203">
        <f>SUM('3 pr-2'!L100)</f>
        <v>12592963.76</v>
      </c>
      <c r="K100" s="204">
        <f>SUM('3 pr-2'!O100)</f>
        <v>1894321.69</v>
      </c>
      <c r="L100" s="204">
        <f>SUM('3 pr-2'!R100)</f>
        <v>411944.43</v>
      </c>
      <c r="M100" s="204">
        <f>SUM('3 pr-2'!U100)</f>
        <v>40107.979999999996</v>
      </c>
      <c r="N100" s="204">
        <f>SUM('3 pr-2'!X100)</f>
        <v>1299.95</v>
      </c>
      <c r="O100" s="205">
        <f>SUM('3 pr-2'!AA100)</f>
        <v>10245289.709999999</v>
      </c>
      <c r="P100" s="186" t="s">
        <v>679</v>
      </c>
      <c r="Q100" s="169" t="s">
        <v>679</v>
      </c>
      <c r="R100" s="170" t="s">
        <v>679</v>
      </c>
      <c r="S100" s="170"/>
    </row>
    <row r="101" spans="1:19" ht="59.25" customHeight="1" thickBot="1">
      <c r="A101" s="138" t="str">
        <f>CONCATENATE('3 pr-2'!A101)</f>
        <v>2.1.1.</v>
      </c>
      <c r="B101" s="227" t="str">
        <f>CONCATENATE('ketv. 2'!B100)</f>
        <v/>
      </c>
      <c r="C101" s="1948" t="str">
        <f>CONCATENATE('3 pr-2'!B101)</f>
        <v xml:space="preserve">Uždavinys:
Bendrojo ugdymo ir neformaliojo švietimo įstaigų (ypač vykdančių ikimokyklinio ir priešmokyklinio ugdymo programas) tinklo veiklos efektyvumo didinimas </v>
      </c>
      <c r="D101" s="2094" t="str">
        <f>CONCATENATE('3 pr-2'!E101)</f>
        <v/>
      </c>
      <c r="E101" s="2094" t="str">
        <f>CONCATENATE('3 pr-2'!F101)</f>
        <v/>
      </c>
      <c r="F101" s="2094" t="str">
        <f>CONCATENATE('3 pr-2'!G101)</f>
        <v/>
      </c>
      <c r="G101" s="2094" t="str">
        <f>CONCATENATE('3 pr-2'!H101)</f>
        <v/>
      </c>
      <c r="H101" s="2094" t="str">
        <f>CONCATENATE('3 pr-2'!I101)</f>
        <v/>
      </c>
      <c r="I101" s="2094" t="str">
        <f>CONCATENATE('3 pr-2'!J101)</f>
        <v/>
      </c>
      <c r="J101" s="202">
        <f>SUM('3 pr-2'!L101)</f>
        <v>4776867.3599999994</v>
      </c>
      <c r="K101" s="202">
        <f>SUM('3 pr-2'!O101)</f>
        <v>808633.36</v>
      </c>
      <c r="L101" s="202">
        <f>SUM('3 pr-2'!R101)</f>
        <v>201262</v>
      </c>
      <c r="M101" s="202">
        <f>SUM('3 pr-2'!U101)</f>
        <v>0</v>
      </c>
      <c r="N101" s="202">
        <f>SUM('3 pr-2'!X101)</f>
        <v>0</v>
      </c>
      <c r="O101" s="202">
        <f>SUM('3 pr-2'!AA101)</f>
        <v>3766972</v>
      </c>
      <c r="P101" s="187" t="s">
        <v>679</v>
      </c>
      <c r="Q101" s="171" t="s">
        <v>679</v>
      </c>
      <c r="R101" s="172" t="s">
        <v>679</v>
      </c>
      <c r="S101" s="172"/>
    </row>
    <row r="102" spans="1:19" ht="37.5" customHeight="1" thickBot="1">
      <c r="A102" s="287" t="str">
        <f>CONCATENATE('3 pr-2'!A102)</f>
        <v>2.1.1.1</v>
      </c>
      <c r="B102" s="425" t="str">
        <f>CONCATENATE('ketv. 2'!B101)</f>
        <v/>
      </c>
      <c r="C102" s="1936" t="str">
        <f>CONCATENATE('3 pr-2'!B101)</f>
        <v xml:space="preserve">Uždavinys:
Bendrojo ugdymo ir neformaliojo švietimo įstaigų (ypač vykdančių ikimokyklinio ir priešmokyklinio ugdymo programas) tinklo veiklos efektyvumo didinimas </v>
      </c>
      <c r="D102" s="2095" t="str">
        <f>CONCATENATE('3 pr-2'!E102)</f>
        <v/>
      </c>
      <c r="E102" s="2095" t="str">
        <f>CONCATENATE('3 pr-2'!F102)</f>
        <v/>
      </c>
      <c r="F102" s="2095" t="str">
        <f>CONCATENATE('3 pr-2'!G102)</f>
        <v/>
      </c>
      <c r="G102" s="2095" t="str">
        <f>CONCATENATE('3 pr-2'!H102)</f>
        <v/>
      </c>
      <c r="H102" s="2095" t="str">
        <f>CONCATENATE('3 pr-2'!I102)</f>
        <v/>
      </c>
      <c r="I102" s="2095" t="str">
        <f>CONCATENATE('3 pr-2'!J102)</f>
        <v/>
      </c>
      <c r="J102" s="426">
        <f>SUM('3 pr-2'!L102)</f>
        <v>1343975.4100000001</v>
      </c>
      <c r="K102" s="426">
        <f>SUM('3 pr-2'!O102)</f>
        <v>100799.41</v>
      </c>
      <c r="L102" s="426">
        <f>SUM('3 pr-2'!R102)</f>
        <v>100799</v>
      </c>
      <c r="M102" s="426">
        <f>SUM('3 pr-2'!U102)</f>
        <v>0</v>
      </c>
      <c r="N102" s="426">
        <f>SUM('3 pr-2'!X102)</f>
        <v>0</v>
      </c>
      <c r="O102" s="427">
        <f>SUM('3 pr-2'!AA102)</f>
        <v>1142377</v>
      </c>
      <c r="P102" s="428"/>
      <c r="Q102" s="429"/>
      <c r="R102" s="430"/>
      <c r="S102" s="430"/>
    </row>
    <row r="103" spans="1:19" ht="61.5" thickBot="1">
      <c r="A103" s="163" t="str">
        <f>CONCATENATE('3 pr-2'!A103)</f>
        <v>2.1.1.1.1</v>
      </c>
      <c r="B103" s="227" t="str">
        <f>CONCATENATE('ketv. 2'!B102)</f>
        <v>09.1.3-CPVA-R-724-11-0003</v>
      </c>
      <c r="C103" s="164" t="str">
        <f>CONCATENATE('3 pr-2'!D103)</f>
        <v>Varėnos r. Merkinės Vinco Krėvės gimnazijos laisvų patalpų pritaikymas ikimokyklinio ir priešmokyklinio ugdymo grupėms įrengti</v>
      </c>
      <c r="D103" s="164" t="str">
        <f>CONCATENATE('3 pr-2'!E103)</f>
        <v>Varėnos rajono savivaldybės administracija</v>
      </c>
      <c r="E103" s="164" t="str">
        <f>CONCATENATE('3 pr-2'!F103)</f>
        <v>Lietuvos Respublikos švietimo ir mokslo ministerija</v>
      </c>
      <c r="F103" s="164" t="str">
        <f>CONCATENATE('3 pr-2'!G103)</f>
        <v>Varėnos r. sav.</v>
      </c>
      <c r="G103" s="164" t="str">
        <f>CONCATENATE('3 pr-2'!H103)</f>
        <v>09.1.3-CPVA-R-724</v>
      </c>
      <c r="H103" s="164" t="str">
        <f>CONCATENATE('3 pr-2'!I103)</f>
        <v>R</v>
      </c>
      <c r="I103" s="174" t="str">
        <f>CONCATENATE('3 pr-2'!J103)</f>
        <v>-</v>
      </c>
      <c r="J103" s="175">
        <f>SUM('3 pr-2'!L103)</f>
        <v>220453</v>
      </c>
      <c r="K103" s="176">
        <f>SUM('3 pr-2'!O103)</f>
        <v>16534</v>
      </c>
      <c r="L103" s="176">
        <f>SUM('3 pr-2'!R103)</f>
        <v>16534</v>
      </c>
      <c r="M103" s="176">
        <f>SUM('3 pr-2'!U103)</f>
        <v>0</v>
      </c>
      <c r="N103" s="176">
        <f>SUM('3 pr-2'!X103)</f>
        <v>0</v>
      </c>
      <c r="O103" s="177">
        <f>SUM('3 pr-2'!AA103)</f>
        <v>187385</v>
      </c>
      <c r="P103" s="195">
        <f>SUM('3 pr-2'!AF103)</f>
        <v>42863</v>
      </c>
      <c r="Q103" s="240">
        <v>42863</v>
      </c>
      <c r="R103" s="173">
        <f t="shared" ref="R103:R106" si="19">SUM(P103-Q103)</f>
        <v>0</v>
      </c>
      <c r="S103" s="234">
        <f t="shared" ref="S103:S107" si="20">(P103-Q103)/30.4166666666667</f>
        <v>0</v>
      </c>
    </row>
    <row r="104" spans="1:19" ht="61.5" thickBot="1">
      <c r="A104" s="163" t="str">
        <f>CONCATENATE('3 pr-2'!A104)</f>
        <v>2.1.1.1.2</v>
      </c>
      <c r="B104" s="227" t="str">
        <f>CONCATENATE('ketv. 2'!B103)</f>
        <v>09.1.3-CPVA-R-724-11-0005</v>
      </c>
      <c r="C104" s="164" t="str">
        <f>CONCATENATE('3 pr-2'!D104)</f>
        <v>Alytaus rajono bendrojo ugdymo įstaigų aprūpinimas gamtos, technologijų, menų ir kitų mokslų laboratorijų įranga</v>
      </c>
      <c r="D104" s="164" t="str">
        <f>CONCATENATE('3 pr-2'!E104)</f>
        <v>Alytaus rajono savivaldybės administracija</v>
      </c>
      <c r="E104" s="164" t="str">
        <f>CONCATENATE('3 pr-2'!F104)</f>
        <v>Lietuvos Respublikos švietimo ir mokslo ministerija</v>
      </c>
      <c r="F104" s="164" t="str">
        <f>CONCATENATE('3 pr-2'!G104)</f>
        <v>Alytaus r. sav.</v>
      </c>
      <c r="G104" s="164" t="str">
        <f>CONCATENATE('3 pr-2'!H104)</f>
        <v>09.1.3-CPVA-R-724</v>
      </c>
      <c r="H104" s="164" t="str">
        <f>CONCATENATE('3 pr-2'!I104)</f>
        <v>R</v>
      </c>
      <c r="I104" s="174" t="str">
        <f>CONCATENATE('3 pr-2'!J104)</f>
        <v>-</v>
      </c>
      <c r="J104" s="175">
        <f>SUM('3 pr-2'!L104)</f>
        <v>106845.41</v>
      </c>
      <c r="K104" s="176">
        <f>SUM('3 pr-2'!O104)</f>
        <v>8013.41</v>
      </c>
      <c r="L104" s="176">
        <f>SUM('3 pr-2'!R104)</f>
        <v>8014</v>
      </c>
      <c r="M104" s="176">
        <f>SUM('3 pr-2'!U104)</f>
        <v>0</v>
      </c>
      <c r="N104" s="176">
        <f>SUM('3 pr-2'!X104)</f>
        <v>0</v>
      </c>
      <c r="O104" s="177">
        <f>SUM('3 pr-2'!AA104)</f>
        <v>90818</v>
      </c>
      <c r="P104" s="195">
        <f>SUM('3 pr-2'!AF104)</f>
        <v>42863</v>
      </c>
      <c r="Q104" s="240">
        <v>42863</v>
      </c>
      <c r="R104" s="173">
        <f t="shared" si="19"/>
        <v>0</v>
      </c>
      <c r="S104" s="234">
        <f t="shared" si="20"/>
        <v>0</v>
      </c>
    </row>
    <row r="105" spans="1:19" ht="61.5" thickBot="1">
      <c r="A105" s="163" t="str">
        <f>CONCATENATE('3 pr-2'!A105)</f>
        <v>2.1.1.1.3</v>
      </c>
      <c r="B105" s="227" t="str">
        <f>CONCATENATE('ketv. 2'!B104)</f>
        <v>09.1.3-CPVA-R-724-11-0002</v>
      </c>
      <c r="C105" s="164" t="str">
        <f>CONCATENATE('3 pr-2'!D105)</f>
        <v>Modernių ir saugių erdvių kūrimas Dzūkijos pagrindinėje mokykloje, Alytuje</v>
      </c>
      <c r="D105" s="164" t="str">
        <f>CONCATENATE('3 pr-2'!E105)</f>
        <v>Alytaus miesto savivaldybės administracija</v>
      </c>
      <c r="E105" s="164" t="str">
        <f>CONCATENATE('3 pr-2'!F105)</f>
        <v>Lietuvos Respublikos švietimo ir mokslo ministerija</v>
      </c>
      <c r="F105" s="164" t="str">
        <f>CONCATENATE('3 pr-2'!G105)</f>
        <v>Alytaus m. sav.</v>
      </c>
      <c r="G105" s="164" t="str">
        <f>CONCATENATE('3 pr-2'!H105)</f>
        <v>09.1.3-CPVA-R-724</v>
      </c>
      <c r="H105" s="164" t="str">
        <f>CONCATENATE('3 pr-2'!I105)</f>
        <v>R</v>
      </c>
      <c r="I105" s="174" t="str">
        <f>CONCATENATE('3 pr-2'!J105)</f>
        <v>-</v>
      </c>
      <c r="J105" s="175">
        <f>SUM('3 pr-2'!L105)</f>
        <v>657021</v>
      </c>
      <c r="K105" s="176">
        <f>SUM('3 pr-2'!O105)</f>
        <v>49277</v>
      </c>
      <c r="L105" s="176">
        <f>SUM('3 pr-2'!R105)</f>
        <v>49277</v>
      </c>
      <c r="M105" s="176">
        <f>SUM('3 pr-2'!U105)</f>
        <v>0</v>
      </c>
      <c r="N105" s="176">
        <f>SUM('3 pr-2'!X105)</f>
        <v>0</v>
      </c>
      <c r="O105" s="177">
        <f>SUM('3 pr-2'!AA105)</f>
        <v>558467</v>
      </c>
      <c r="P105" s="195">
        <f>SUM('3 pr-2'!AF105)</f>
        <v>42877</v>
      </c>
      <c r="Q105" s="240">
        <v>42877</v>
      </c>
      <c r="R105" s="173">
        <f t="shared" si="19"/>
        <v>0</v>
      </c>
      <c r="S105" s="234">
        <f t="shared" si="20"/>
        <v>0</v>
      </c>
    </row>
    <row r="106" spans="1:19" ht="61.5" thickBot="1">
      <c r="A106" s="163" t="str">
        <f>CONCATENATE('3 pr-2'!A106)</f>
        <v>2.1.1.1.4</v>
      </c>
      <c r="B106" s="227" t="str">
        <f>CONCATENATE('ketv. 2'!B105)</f>
        <v>09.1.3-CPVA-R-724-11-0004</v>
      </c>
      <c r="C106" s="164" t="str">
        <f>CONCATENATE('3 pr-2'!D106)</f>
        <v>Modernių ir saugių erdvių sukūrimas bendrojo ugdymo mokyklose Druskininkų sav.</v>
      </c>
      <c r="D106" s="164" t="str">
        <f>CONCATENATE('3 pr-2'!E106)</f>
        <v>Druskininkų savivaldybės administracija</v>
      </c>
      <c r="E106" s="164" t="str">
        <f>CONCATENATE('3 pr-2'!F106)</f>
        <v>Lietuvos Respublikos švietimo ir mokslo ministerija</v>
      </c>
      <c r="F106" s="164" t="str">
        <f>CONCATENATE('3 pr-2'!G106)</f>
        <v>Druskininkų sav.</v>
      </c>
      <c r="G106" s="164" t="str">
        <f>CONCATENATE('3 pr-2'!H106)</f>
        <v>09.1.3-CPVA-R-724</v>
      </c>
      <c r="H106" s="164" t="str">
        <f>CONCATENATE('3 pr-2'!I106)</f>
        <v>R</v>
      </c>
      <c r="I106" s="174" t="str">
        <f>CONCATENATE('3 pr-2'!J106)</f>
        <v>-</v>
      </c>
      <c r="J106" s="175">
        <f>SUM('3 pr-2'!L106)</f>
        <v>163877</v>
      </c>
      <c r="K106" s="176">
        <f>SUM('3 pr-2'!O106)</f>
        <v>12291</v>
      </c>
      <c r="L106" s="176">
        <f>SUM('3 pr-2'!R106)</f>
        <v>12291</v>
      </c>
      <c r="M106" s="176">
        <f>SUM('3 pr-2'!U106)</f>
        <v>0</v>
      </c>
      <c r="N106" s="176">
        <f>SUM('3 pr-2'!X106)</f>
        <v>0</v>
      </c>
      <c r="O106" s="177">
        <f>SUM('3 pr-2'!AA106)</f>
        <v>139295</v>
      </c>
      <c r="P106" s="195">
        <f>SUM('3 pr-2'!AF106)</f>
        <v>42863</v>
      </c>
      <c r="Q106" s="240">
        <v>42863</v>
      </c>
      <c r="R106" s="173">
        <f t="shared" si="19"/>
        <v>0</v>
      </c>
      <c r="S106" s="234">
        <f t="shared" si="20"/>
        <v>0</v>
      </c>
    </row>
    <row r="107" spans="1:19" ht="61.5" thickBot="1">
      <c r="A107" s="163" t="str">
        <f>CONCATENATE('3 pr-2'!A107)</f>
        <v>2.1.1.1.5</v>
      </c>
      <c r="B107" s="227" t="str">
        <f>CONCATENATE('ketv. 2'!B106)</f>
        <v>09.1.3-CPVA-R-724-11-0001</v>
      </c>
      <c r="C107" s="164" t="str">
        <f>CONCATENATE('3 pr-2'!D107)</f>
        <v>Modernių ir saugių erdvių sukūrimas bendrojo ugdymo įstaigose Lazdijų rajono savivaldybėje</v>
      </c>
      <c r="D107" s="164" t="str">
        <f>CONCATENATE('3 pr-2'!E107)</f>
        <v>Lazdijų rajono savivaldybės administracija</v>
      </c>
      <c r="E107" s="164" t="str">
        <f>CONCATENATE('3 pr-2'!F107)</f>
        <v>Lietuvos Respublikos švietimo ir mokslo ministerija</v>
      </c>
      <c r="F107" s="164" t="str">
        <f>CONCATENATE('3 pr-2'!G107)</f>
        <v>Lazdijų r. sav.</v>
      </c>
      <c r="G107" s="164" t="str">
        <f>CONCATENATE('3 pr-2'!H107)</f>
        <v>09.1.3-CPVA-R-724</v>
      </c>
      <c r="H107" s="164" t="str">
        <f>CONCATENATE('3 pr-2'!I107)</f>
        <v>R</v>
      </c>
      <c r="I107" s="174" t="str">
        <f>CONCATENATE('3 pr-2'!J107)</f>
        <v>-</v>
      </c>
      <c r="J107" s="175">
        <f>SUM('3 pr-2'!L107)</f>
        <v>195779</v>
      </c>
      <c r="K107" s="176">
        <f>SUM('3 pr-2'!O107)</f>
        <v>14684</v>
      </c>
      <c r="L107" s="176">
        <f>SUM('3 pr-2'!R107)</f>
        <v>14683</v>
      </c>
      <c r="M107" s="176">
        <f>SUM('3 pr-2'!U107)</f>
        <v>0</v>
      </c>
      <c r="N107" s="176">
        <f>SUM('3 pr-2'!X107)</f>
        <v>0</v>
      </c>
      <c r="O107" s="177">
        <f>SUM('3 pr-2'!AA107)</f>
        <v>166412</v>
      </c>
      <c r="P107" s="195">
        <f>SUM('3 pr-2'!AF107)</f>
        <v>42863</v>
      </c>
      <c r="Q107" s="240">
        <v>42860</v>
      </c>
      <c r="R107" s="173">
        <f>SUM(P107-Q107)</f>
        <v>3</v>
      </c>
      <c r="S107" s="234">
        <f t="shared" si="20"/>
        <v>9.8630136986301256E-2</v>
      </c>
    </row>
    <row r="108" spans="1:19" ht="39.75" customHeight="1" thickBot="1">
      <c r="A108" s="287" t="str">
        <f>CONCATENATE('3 pr-2'!A108)</f>
        <v>2.1.1.2</v>
      </c>
      <c r="B108" s="425" t="str">
        <f>CONCATENATE('ketv. 2'!B107)</f>
        <v/>
      </c>
      <c r="C108" s="1936" t="str">
        <f>CONCATENATE('3 pr-2'!B108)</f>
        <v>Priemonė:
Neformaliojo švietimo infrastruktūros tobulinimas</v>
      </c>
      <c r="D108" s="2095" t="str">
        <f>CONCATENATE('3 pr-2'!E108)</f>
        <v/>
      </c>
      <c r="E108" s="2095" t="str">
        <f>CONCATENATE('3 pr-2'!F108)</f>
        <v/>
      </c>
      <c r="F108" s="2095" t="str">
        <f>CONCATENATE('3 pr-2'!G108)</f>
        <v/>
      </c>
      <c r="G108" s="2095" t="str">
        <f>CONCATENATE('3 pr-2'!H108)</f>
        <v/>
      </c>
      <c r="H108" s="2095" t="str">
        <f>CONCATENATE('3 pr-2'!I108)</f>
        <v/>
      </c>
      <c r="I108" s="2095" t="str">
        <f>CONCATENATE('3 pr-2'!J108)</f>
        <v/>
      </c>
      <c r="J108" s="426">
        <f>SUM('3 pr-2'!L108)</f>
        <v>1973870.18</v>
      </c>
      <c r="K108" s="426">
        <f>SUM('3 pr-2'!O108)</f>
        <v>487863.18</v>
      </c>
      <c r="L108" s="426">
        <f>SUM('3 pr-2'!R108)</f>
        <v>0</v>
      </c>
      <c r="M108" s="426">
        <f>SUM('3 pr-2'!U108)</f>
        <v>0</v>
      </c>
      <c r="N108" s="426">
        <f>SUM('3 pr-2'!X108)</f>
        <v>0</v>
      </c>
      <c r="O108" s="427">
        <f>SUM('3 pr-2'!AA108)</f>
        <v>1486007</v>
      </c>
      <c r="P108" s="428"/>
      <c r="Q108" s="429"/>
      <c r="R108" s="430"/>
      <c r="S108" s="430"/>
    </row>
    <row r="109" spans="1:19" ht="37.5" customHeight="1" thickBot="1">
      <c r="A109" s="163" t="str">
        <f>CONCATENATE('3 pr-2'!A109)</f>
        <v>2.1.1.2.1</v>
      </c>
      <c r="B109" s="227" t="str">
        <f>CONCATENATE('ketv. 2'!B108)</f>
        <v>09.1.3-CPVA-R-725-11-0003</v>
      </c>
      <c r="C109" s="164" t="str">
        <f>CONCATENATE('3 pr-2'!D109)</f>
        <v>Varėnos moksleivių kūrybos centro pastato J.Basanavičiaus g. 38, Varėnoje, modernizavimas</v>
      </c>
      <c r="D109" s="164" t="str">
        <f>CONCATENATE('3 pr-2'!E109)</f>
        <v>Varėnos rajono savivaldybės administracija</v>
      </c>
      <c r="E109" s="164" t="str">
        <f>CONCATENATE('3 pr-2'!F109)</f>
        <v>Lietuvos Respublikos švietimo ir mokslo ministerija</v>
      </c>
      <c r="F109" s="164" t="str">
        <f>CONCATENATE('3 pr-2'!G109)</f>
        <v>Varėnos r. sav.</v>
      </c>
      <c r="G109" s="164" t="str">
        <f>CONCATENATE('3 pr-2'!H109)</f>
        <v>09.13.CPVA-R-725</v>
      </c>
      <c r="H109" s="164" t="str">
        <f>CONCATENATE('3 pr-2'!I109)</f>
        <v>R</v>
      </c>
      <c r="I109" s="174" t="str">
        <f>CONCATENATE('3 pr-2'!J109)</f>
        <v>-</v>
      </c>
      <c r="J109" s="175">
        <f>SUM('3 pr-2'!L109)</f>
        <v>437551</v>
      </c>
      <c r="K109" s="176">
        <f>SUM('3 pr-2'!O109)</f>
        <v>65633</v>
      </c>
      <c r="L109" s="176">
        <f>SUM('3 pr-2'!R109)</f>
        <v>0</v>
      </c>
      <c r="M109" s="176">
        <f>SUM('3 pr-2'!U109)</f>
        <v>0</v>
      </c>
      <c r="N109" s="176">
        <f>SUM('3 pr-2'!X109)</f>
        <v>0</v>
      </c>
      <c r="O109" s="177">
        <f>SUM('3 pr-2'!AA109)</f>
        <v>371918</v>
      </c>
      <c r="P109" s="195">
        <f>SUM('3 pr-2'!AF109)</f>
        <v>42870</v>
      </c>
      <c r="Q109" s="240">
        <v>42843</v>
      </c>
      <c r="R109" s="173">
        <f t="shared" ref="R109:R112" si="21">SUM(P109-Q109)</f>
        <v>27</v>
      </c>
      <c r="S109" s="234">
        <f t="shared" ref="S109:S113" si="22">(P109-Q109)/30.4166666666667</f>
        <v>0.88767123287671135</v>
      </c>
    </row>
    <row r="110" spans="1:19" ht="61.5" thickBot="1">
      <c r="A110" s="163" t="str">
        <f>CONCATENATE('3 pr-2'!A110)</f>
        <v>2.1.1.2.2</v>
      </c>
      <c r="B110" s="227" t="str">
        <f>CONCATENATE('ketv. 2'!B109)</f>
        <v>09.1.3-CPVA-R-725-11-0005</v>
      </c>
      <c r="C110" s="164" t="str">
        <f>CONCATENATE('3 pr-2'!D110)</f>
        <v>Alytaus r. meno ir sporto mokyklos edukacinių erdvių įkūrimas ir atnaujinimas</v>
      </c>
      <c r="D110" s="164" t="str">
        <f>CONCATENATE('3 pr-2'!E110)</f>
        <v>Alytaus rajono savivaldybės administracija</v>
      </c>
      <c r="E110" s="164" t="str">
        <f>CONCATENATE('3 pr-2'!F110)</f>
        <v>Lietuvos Respublikos švietimo ir mokslo ministerija</v>
      </c>
      <c r="F110" s="164" t="str">
        <f>CONCATENATE('3 pr-2'!G110)</f>
        <v>Alytaus r. sav.</v>
      </c>
      <c r="G110" s="164" t="str">
        <f>CONCATENATE('3 pr-2'!H110)</f>
        <v>09.13.CPVA-R-725</v>
      </c>
      <c r="H110" s="164" t="str">
        <f>CONCATENATE('3 pr-2'!I110)</f>
        <v>R</v>
      </c>
      <c r="I110" s="174" t="str">
        <f>CONCATENATE('3 pr-2'!J110)</f>
        <v>-</v>
      </c>
      <c r="J110" s="175">
        <f>SUM('3 pr-2'!L110)</f>
        <v>856424.88</v>
      </c>
      <c r="K110" s="176">
        <f>SUM('3 pr-2'!O110)</f>
        <v>319813.88</v>
      </c>
      <c r="L110" s="176">
        <f>SUM('3 pr-2'!R110)</f>
        <v>0</v>
      </c>
      <c r="M110" s="176">
        <f>SUM('3 pr-2'!U110)</f>
        <v>0</v>
      </c>
      <c r="N110" s="176">
        <f>SUM('3 pr-2'!X110)</f>
        <v>0</v>
      </c>
      <c r="O110" s="177">
        <f>SUM('3 pr-2'!AA110)</f>
        <v>536611</v>
      </c>
      <c r="P110" s="195">
        <f>SUM('3 pr-2'!AF110)</f>
        <v>42870</v>
      </c>
      <c r="Q110" s="240">
        <v>42870</v>
      </c>
      <c r="R110" s="173">
        <f t="shared" si="21"/>
        <v>0</v>
      </c>
      <c r="S110" s="234">
        <f t="shared" si="22"/>
        <v>0</v>
      </c>
    </row>
    <row r="111" spans="1:19" ht="61.5" thickBot="1">
      <c r="A111" s="163" t="str">
        <f>CONCATENATE('3 pr-2'!A111)</f>
        <v>2.1.1.2.3</v>
      </c>
      <c r="B111" s="227" t="str">
        <f>CONCATENATE('ketv. 2'!B110)</f>
        <v>09.1.3-CPVA-R-725-11-0004</v>
      </c>
      <c r="C111" s="164" t="str">
        <f>CONCATENATE('3 pr-2'!D111)</f>
        <v>Alytaus muzikos mokyklos pastato modernizavimas ir ugdymo aplinkos gerinimas</v>
      </c>
      <c r="D111" s="164" t="str">
        <f>CONCATENATE('3 pr-2'!E111)</f>
        <v>Alytaus miesto savivaldybės administracija</v>
      </c>
      <c r="E111" s="164" t="str">
        <f>CONCATENATE('3 pr-2'!F111)</f>
        <v>Lietuvos Respublikos švietimo ir mokslo ministerija</v>
      </c>
      <c r="F111" s="164" t="str">
        <f>CONCATENATE('3 pr-2'!G111)</f>
        <v>Alytaus m. sav.</v>
      </c>
      <c r="G111" s="164" t="str">
        <f>CONCATENATE('3 pr-2'!H111)</f>
        <v>09.13.CPVA-R-725</v>
      </c>
      <c r="H111" s="164" t="str">
        <f>CONCATENATE('3 pr-2'!I111)</f>
        <v>R</v>
      </c>
      <c r="I111" s="174" t="str">
        <f>CONCATENATE('3 pr-2'!J111)</f>
        <v>-</v>
      </c>
      <c r="J111" s="175">
        <f>SUM('3 pr-2'!L111)</f>
        <v>397378</v>
      </c>
      <c r="K111" s="176">
        <f>SUM('3 pr-2'!O111)</f>
        <v>59607</v>
      </c>
      <c r="L111" s="176">
        <f>SUM('3 pr-2'!R111)</f>
        <v>0</v>
      </c>
      <c r="M111" s="176">
        <f>SUM('3 pr-2'!U111)</f>
        <v>0</v>
      </c>
      <c r="N111" s="176">
        <f>SUM('3 pr-2'!X111)</f>
        <v>0</v>
      </c>
      <c r="O111" s="177">
        <f>SUM('3 pr-2'!AA111)</f>
        <v>337771</v>
      </c>
      <c r="P111" s="195">
        <f>SUM('3 pr-2'!AF111)</f>
        <v>42870</v>
      </c>
      <c r="Q111" s="240">
        <v>42870</v>
      </c>
      <c r="R111" s="173">
        <f t="shared" si="21"/>
        <v>0</v>
      </c>
      <c r="S111" s="234">
        <f t="shared" si="22"/>
        <v>0</v>
      </c>
    </row>
    <row r="112" spans="1:19" ht="61.5" thickBot="1">
      <c r="A112" s="163" t="str">
        <f>CONCATENATE('3 pr-2'!A112)</f>
        <v>2.1.1.2.4</v>
      </c>
      <c r="B112" s="227" t="str">
        <f>CONCATENATE('ketv. 2'!B111)</f>
        <v>09.1.3-CPVA-R-725-11-0002</v>
      </c>
      <c r="C112" s="164" t="str">
        <f>CONCATENATE('3 pr-2'!D112)</f>
        <v>Druskininkų M. K. Čiurlionio meno mokyklos infrastruktūros tobulinimas</v>
      </c>
      <c r="D112" s="164" t="str">
        <f>CONCATENATE('3 pr-2'!E112)</f>
        <v xml:space="preserve">Druskininkų savivaldybės administracija  </v>
      </c>
      <c r="E112" s="164" t="str">
        <f>CONCATENATE('3 pr-2'!F112)</f>
        <v>Lietuvos Respublikos švietimo ir mokslo ministerija</v>
      </c>
      <c r="F112" s="164" t="str">
        <f>CONCATENATE('3 pr-2'!G112)</f>
        <v>Druskininkų sav.</v>
      </c>
      <c r="G112" s="164" t="str">
        <f>CONCATENATE('3 pr-2'!H112)</f>
        <v>09.13.CPVA-R-725</v>
      </c>
      <c r="H112" s="164" t="str">
        <f>CONCATENATE('3 pr-2'!I112)</f>
        <v>R</v>
      </c>
      <c r="I112" s="174" t="str">
        <f>CONCATENATE('3 pr-2'!J112)</f>
        <v>-</v>
      </c>
      <c r="J112" s="175">
        <f>SUM('3 pr-2'!L112)</f>
        <v>146702.29999999999</v>
      </c>
      <c r="K112" s="176">
        <f>SUM('3 pr-2'!O112)</f>
        <v>22436.3</v>
      </c>
      <c r="L112" s="176">
        <f>SUM('3 pr-2'!R112)</f>
        <v>0</v>
      </c>
      <c r="M112" s="176">
        <f>SUM('3 pr-2'!U112)</f>
        <v>0</v>
      </c>
      <c r="N112" s="176">
        <f>SUM('3 pr-2'!X112)</f>
        <v>0</v>
      </c>
      <c r="O112" s="177">
        <f>SUM('3 pr-2'!AA112)</f>
        <v>124266</v>
      </c>
      <c r="P112" s="195">
        <f>SUM('3 pr-2'!AF112)</f>
        <v>42828</v>
      </c>
      <c r="Q112" s="240">
        <v>42828</v>
      </c>
      <c r="R112" s="173">
        <f t="shared" si="21"/>
        <v>0</v>
      </c>
      <c r="S112" s="234">
        <f t="shared" si="22"/>
        <v>0</v>
      </c>
    </row>
    <row r="113" spans="1:19" ht="61.5" thickBot="1">
      <c r="A113" s="163" t="str">
        <f>CONCATENATE('3 pr-2'!A113)</f>
        <v>2.1.1.2.5</v>
      </c>
      <c r="B113" s="227" t="str">
        <f>CONCATENATE('ketv. 2'!B112)</f>
        <v>09.1.3-CPVA-R-725-11-0001</v>
      </c>
      <c r="C113" s="164" t="str">
        <f>CONCATENATE('3 pr-2'!D113)</f>
        <v>Neformaliojo švietimo įstaigų Lazdijų rajono savivaldybėje infrastruktūros tobulinimas</v>
      </c>
      <c r="D113" s="164" t="str">
        <f>CONCATENATE('3 pr-2'!E113)</f>
        <v>VšĮ „Lazdijų sporto centras“</v>
      </c>
      <c r="E113" s="164" t="str">
        <f>CONCATENATE('3 pr-2'!F113)</f>
        <v>Lietuvos Respublikos švietimo ir mokslo ministerija</v>
      </c>
      <c r="F113" s="164" t="str">
        <f>CONCATENATE('3 pr-2'!G113)</f>
        <v>Lazdijų r. sav.</v>
      </c>
      <c r="G113" s="164" t="str">
        <f>CONCATENATE('3 pr-2'!H113)</f>
        <v>09.13.CPVA-R-725</v>
      </c>
      <c r="H113" s="164" t="str">
        <f>CONCATENATE('3 pr-2'!I113)</f>
        <v>R</v>
      </c>
      <c r="I113" s="174" t="str">
        <f>CONCATENATE('3 pr-2'!J113)</f>
        <v>-</v>
      </c>
      <c r="J113" s="175">
        <f>SUM('3 pr-2'!L113)</f>
        <v>135814</v>
      </c>
      <c r="K113" s="176">
        <f>SUM('3 pr-2'!O113)</f>
        <v>20373</v>
      </c>
      <c r="L113" s="176">
        <f>SUM('3 pr-2'!R113)</f>
        <v>0</v>
      </c>
      <c r="M113" s="176">
        <f>SUM('3 pr-2'!U113)</f>
        <v>0</v>
      </c>
      <c r="N113" s="176">
        <f>SUM('3 pr-2'!X113)</f>
        <v>0</v>
      </c>
      <c r="O113" s="177">
        <f>SUM('3 pr-2'!AA113)</f>
        <v>115441</v>
      </c>
      <c r="P113" s="195">
        <f>SUM('3 pr-2'!AF113)</f>
        <v>42828</v>
      </c>
      <c r="Q113" s="240">
        <v>42828</v>
      </c>
      <c r="R113" s="173">
        <f>SUM(P113-Q113)</f>
        <v>0</v>
      </c>
      <c r="S113" s="234">
        <f t="shared" si="22"/>
        <v>0</v>
      </c>
    </row>
    <row r="114" spans="1:19" ht="37.5" customHeight="1" thickBot="1">
      <c r="A114" s="287" t="str">
        <f>CONCATENATE('3 pr-2'!A114)</f>
        <v>2.1.1.3</v>
      </c>
      <c r="B114" s="425" t="str">
        <f>CONCATENATE('ketv. 2'!B113)</f>
        <v/>
      </c>
      <c r="C114" s="1936" t="str">
        <f>CONCATENATE('3 pr-2'!B114)</f>
        <v>Priemonė:
Ikimokyklinio ir priešmokyklinio ugdymo prieinamumo didinimas</v>
      </c>
      <c r="D114" s="2095" t="str">
        <f>CONCATENATE('3 pr-2'!E114)</f>
        <v/>
      </c>
      <c r="E114" s="2095" t="str">
        <f>CONCATENATE('3 pr-2'!F114)</f>
        <v/>
      </c>
      <c r="F114" s="2095" t="str">
        <f>CONCATENATE('3 pr-2'!G114)</f>
        <v/>
      </c>
      <c r="G114" s="2095" t="str">
        <f>CONCATENATE('3 pr-2'!H114)</f>
        <v/>
      </c>
      <c r="H114" s="2095" t="str">
        <f>CONCATENATE('3 pr-2'!I114)</f>
        <v/>
      </c>
      <c r="I114" s="2095" t="str">
        <f>CONCATENATE('3 pr-2'!J114)</f>
        <v/>
      </c>
      <c r="J114" s="426">
        <f>SUM('3 pr-2'!L114)</f>
        <v>1459021.7699999998</v>
      </c>
      <c r="K114" s="426">
        <f>SUM('3 pr-2'!O114)</f>
        <v>219970.77</v>
      </c>
      <c r="L114" s="426">
        <f>SUM('3 pr-2'!R114)</f>
        <v>100463</v>
      </c>
      <c r="M114" s="426">
        <f>SUM('3 pr-2'!U114)</f>
        <v>0</v>
      </c>
      <c r="N114" s="426">
        <f>SUM('3 pr-2'!X114)</f>
        <v>0</v>
      </c>
      <c r="O114" s="427">
        <f>SUM('3 pr-2'!AA114)</f>
        <v>1138588</v>
      </c>
      <c r="P114" s="428"/>
      <c r="Q114" s="429"/>
      <c r="R114" s="430"/>
      <c r="S114" s="430"/>
    </row>
    <row r="115" spans="1:19" ht="61.5" thickBot="1">
      <c r="A115" s="163" t="str">
        <f>CONCATENATE('3 pr-2'!A115)</f>
        <v>2.1.1.3.1</v>
      </c>
      <c r="B115" s="227" t="str">
        <f>CONCATENATE('ketv. 2'!B114)</f>
        <v>09.1.3-CPVA-R-705-11-0003</v>
      </c>
      <c r="C115" s="164" t="str">
        <f>CONCATENATE('3 pr-2'!D115)</f>
        <v>Varėnos "Pasakos" vaikų lopšelio-darželio pastato modernizavimas</v>
      </c>
      <c r="D115" s="164" t="str">
        <f>CONCATENATE('3 pr-2'!E115)</f>
        <v>Varėnos rajono savivaldybės administracija</v>
      </c>
      <c r="E115" s="164" t="str">
        <f>CONCATENATE('3 pr-2'!F115)</f>
        <v>Lietuvos Respublikos švietimo ir mokslo ministerija</v>
      </c>
      <c r="F115" s="164" t="str">
        <f>CONCATENATE('3 pr-2'!G115)</f>
        <v>Varėnos r. sav.</v>
      </c>
      <c r="G115" s="164" t="str">
        <f>CONCATENATE('3 pr-2'!H115)</f>
        <v>09.1.3-CPVA-R-705</v>
      </c>
      <c r="H115" s="164" t="str">
        <f>CONCATENATE('3 pr-2'!I115)</f>
        <v>R</v>
      </c>
      <c r="I115" s="174" t="str">
        <f>CONCATENATE('3 pr-2'!J115)</f>
        <v>-</v>
      </c>
      <c r="J115" s="175">
        <f>SUM('3 pr-2'!L115)</f>
        <v>370000</v>
      </c>
      <c r="K115" s="176">
        <f>SUM('3 pr-2'!O115)</f>
        <v>57342</v>
      </c>
      <c r="L115" s="176">
        <f>SUM('3 pr-2'!R115)</f>
        <v>25351</v>
      </c>
      <c r="M115" s="176">
        <f>SUM('3 pr-2'!U115)</f>
        <v>0</v>
      </c>
      <c r="N115" s="176">
        <f>SUM('3 pr-2'!X115)</f>
        <v>0</v>
      </c>
      <c r="O115" s="177">
        <f>SUM('3 pr-2'!AA115)</f>
        <v>287307</v>
      </c>
      <c r="P115" s="195">
        <f>SUM('3 pr-2'!AF115)</f>
        <v>42968</v>
      </c>
      <c r="Q115" s="239">
        <v>42965</v>
      </c>
      <c r="R115" s="173">
        <f t="shared" ref="R115:R118" si="23">SUM(P115-Q115)</f>
        <v>3</v>
      </c>
      <c r="S115" s="234">
        <f t="shared" ref="S115:S119" si="24">(P115-Q115)/30.4166666666667</f>
        <v>9.8630136986301256E-2</v>
      </c>
    </row>
    <row r="116" spans="1:19" ht="61.5" thickBot="1">
      <c r="A116" s="163" t="str">
        <f>CONCATENATE('3 pr-2'!A116)</f>
        <v>2.1.1.3.2</v>
      </c>
      <c r="B116" s="227" t="str">
        <f>CONCATENATE('ketv. 2'!B115)</f>
        <v>09.1.3-CPVA-R-705-11-0004</v>
      </c>
      <c r="C116" s="164" t="str">
        <f>CONCATENATE('3 pr-2'!D116)</f>
        <v>Alytaus r. ikimokyklinio ir priešmokyklinio ugdymo prieinamumo didinimas įkuriant ir atnaujinant edukacines erdves</v>
      </c>
      <c r="D116" s="164" t="str">
        <f>CONCATENATE('3 pr-2'!E116)</f>
        <v>Alytaus rajono savivaldybės administracija</v>
      </c>
      <c r="E116" s="164" t="str">
        <f>CONCATENATE('3 pr-2'!F116)</f>
        <v>Lietuvos Respublikos švietimo ir mokslo ministerija</v>
      </c>
      <c r="F116" s="164" t="str">
        <f>CONCATENATE('3 pr-2'!G116)</f>
        <v>Alytaus r. sav.</v>
      </c>
      <c r="G116" s="164" t="str">
        <f>CONCATENATE('3 pr-2'!H116)</f>
        <v>09.1.3-CPVA-R-705</v>
      </c>
      <c r="H116" s="164" t="str">
        <f>CONCATENATE('3 pr-2'!I116)</f>
        <v>R</v>
      </c>
      <c r="I116" s="174" t="str">
        <f>CONCATENATE('3 pr-2'!J116)</f>
        <v/>
      </c>
      <c r="J116" s="175">
        <f>SUM('3 pr-2'!L116)</f>
        <v>597456.88</v>
      </c>
      <c r="K116" s="176">
        <f>SUM('3 pr-2'!O116)</f>
        <v>59861.88</v>
      </c>
      <c r="L116" s="176">
        <f>SUM('3 pr-2'!R116)</f>
        <v>43588</v>
      </c>
      <c r="M116" s="176">
        <f>SUM('3 pr-2'!U116)</f>
        <v>0</v>
      </c>
      <c r="N116" s="176">
        <f>SUM('3 pr-2'!X116)</f>
        <v>0</v>
      </c>
      <c r="O116" s="177">
        <f>SUM('3 pr-2'!AA116)</f>
        <v>494007</v>
      </c>
      <c r="P116" s="195">
        <f>SUM('3 pr-2'!AF116)</f>
        <v>42968</v>
      </c>
      <c r="Q116" s="239">
        <v>42968</v>
      </c>
      <c r="R116" s="173">
        <f t="shared" si="23"/>
        <v>0</v>
      </c>
      <c r="S116" s="234">
        <f t="shared" si="24"/>
        <v>0</v>
      </c>
    </row>
    <row r="117" spans="1:19" ht="61.5" thickBot="1">
      <c r="A117" s="163" t="str">
        <f>CONCATENATE('3 pr-2'!A117)</f>
        <v>2.1.1.3.3</v>
      </c>
      <c r="B117" s="227" t="str">
        <f>CONCATENATE('ketv. 2'!B116)</f>
        <v>09.1.3-CPVA-R-705-11-0001</v>
      </c>
      <c r="C117" s="164" t="str">
        <f>CONCATENATE('3 pr-2'!D117)</f>
        <v>Alytaus lopšelio-darželio „Girinukas“ ugdymo aplinkos modernizavimas</v>
      </c>
      <c r="D117" s="164" t="str">
        <f>CONCATENATE('3 pr-2'!E117)</f>
        <v>Alytaus miesto savivaldybės administracija</v>
      </c>
      <c r="E117" s="164" t="str">
        <f>CONCATENATE('3 pr-2'!F117)</f>
        <v>Lietuvos Respublikos švietimo ir mokslo ministerija</v>
      </c>
      <c r="F117" s="164" t="str">
        <f>CONCATENATE('3 pr-2'!G117)</f>
        <v>Alytaus m. sav.</v>
      </c>
      <c r="G117" s="164" t="str">
        <f>CONCATENATE('3 pr-2'!H117)</f>
        <v>09.1.3-CPVA-R-705</v>
      </c>
      <c r="H117" s="164" t="str">
        <f>CONCATENATE('3 pr-2'!I117)</f>
        <v>R</v>
      </c>
      <c r="I117" s="174" t="str">
        <f>CONCATENATE('3 pr-2'!J117)</f>
        <v>-</v>
      </c>
      <c r="J117" s="175">
        <f>SUM('3 pr-2'!L117)</f>
        <v>181986</v>
      </c>
      <c r="K117" s="176">
        <f>SUM('3 pr-2'!O117)</f>
        <v>13649</v>
      </c>
      <c r="L117" s="176">
        <f>SUM('3 pr-2'!R117)</f>
        <v>13649</v>
      </c>
      <c r="M117" s="176">
        <f>SUM('3 pr-2'!U117)</f>
        <v>0</v>
      </c>
      <c r="N117" s="176">
        <f>SUM('3 pr-2'!X117)</f>
        <v>0</v>
      </c>
      <c r="O117" s="177">
        <f>SUM('3 pr-2'!AA117)</f>
        <v>154688</v>
      </c>
      <c r="P117" s="195">
        <f>SUM('3 pr-2'!AF117)</f>
        <v>42966</v>
      </c>
      <c r="Q117" s="239">
        <v>42964</v>
      </c>
      <c r="R117" s="173">
        <f t="shared" si="23"/>
        <v>2</v>
      </c>
      <c r="S117" s="234">
        <f t="shared" si="24"/>
        <v>6.5753424657534171E-2</v>
      </c>
    </row>
    <row r="118" spans="1:19" ht="61.5" thickBot="1">
      <c r="A118" s="163" t="str">
        <f>CONCATENATE('3 pr-2'!A118)</f>
        <v>2.1.1.3.4</v>
      </c>
      <c r="B118" s="227" t="str">
        <f>CONCATENATE('ketv. 2'!B117)</f>
        <v>09.1.3-CPVA-R-705-11-0006</v>
      </c>
      <c r="C118" s="164" t="str">
        <f>CONCATENATE('3 pr-2'!D118)</f>
        <v>Druskininkų sav. Viečiūnų progimnazijos ikimokyklinio ugdymo skyriaus „Linelis“ ugdymo prieinamumo didinimas</v>
      </c>
      <c r="D118" s="164" t="str">
        <f>CONCATENATE('3 pr-2'!E118)</f>
        <v xml:space="preserve">Druskininkų savivaldybės administracija  </v>
      </c>
      <c r="E118" s="164" t="str">
        <f>CONCATENATE('3 pr-2'!F118)</f>
        <v>Lietuvos Respublikos švietimo ir mokslo ministerija</v>
      </c>
      <c r="F118" s="164" t="str">
        <f>CONCATENATE('3 pr-2'!G118)</f>
        <v>Druskininkų sav.</v>
      </c>
      <c r="G118" s="164" t="str">
        <f>CONCATENATE('3 pr-2'!H118)</f>
        <v>09.1.3-CPVA-R-705</v>
      </c>
      <c r="H118" s="164" t="str">
        <f>CONCATENATE('3 pr-2'!I118)</f>
        <v>R</v>
      </c>
      <c r="I118" s="174" t="str">
        <f>CONCATENATE('3 pr-2'!J118)</f>
        <v>-</v>
      </c>
      <c r="J118" s="175">
        <f>SUM('3 pr-2'!L118)</f>
        <v>176024.68</v>
      </c>
      <c r="K118" s="176">
        <f>SUM('3 pr-2'!O118)</f>
        <v>79091.679999999993</v>
      </c>
      <c r="L118" s="176">
        <f>SUM('3 pr-2'!R118)</f>
        <v>7859</v>
      </c>
      <c r="M118" s="176">
        <f>SUM('3 pr-2'!U118)</f>
        <v>0</v>
      </c>
      <c r="N118" s="176">
        <f>SUM('3 pr-2'!X118)</f>
        <v>0</v>
      </c>
      <c r="O118" s="177">
        <f>SUM('3 pr-2'!AA118)</f>
        <v>89074</v>
      </c>
      <c r="P118" s="195">
        <f>SUM('3 pr-2'!AF118)</f>
        <v>42966</v>
      </c>
      <c r="Q118" s="239">
        <v>42965</v>
      </c>
      <c r="R118" s="173">
        <f t="shared" si="23"/>
        <v>1</v>
      </c>
      <c r="S118" s="234">
        <f t="shared" si="24"/>
        <v>3.2876712328767085E-2</v>
      </c>
    </row>
    <row r="119" spans="1:19" ht="61.5" thickBot="1">
      <c r="A119" s="163" t="str">
        <f>CONCATENATE('3 pr-2'!A119)</f>
        <v>2.1.1.3.5</v>
      </c>
      <c r="B119" s="227" t="str">
        <f>CONCATENATE('ketv. 2'!B118)</f>
        <v>09.1.3-CPVA-R-705-11-0002</v>
      </c>
      <c r="C119" s="164" t="str">
        <f>CONCATENATE('3 pr-2'!D119)</f>
        <v>Ikimokyklinio ir priešmokyklinio ugdymo įstaigų Lazdijų rajono savivaldybėje modernizavimas</v>
      </c>
      <c r="D119" s="164" t="str">
        <f>CONCATENATE('3 pr-2'!E119)</f>
        <v>Lazdijų rajono savivaldybės administracija</v>
      </c>
      <c r="E119" s="164" t="str">
        <f>CONCATENATE('3 pr-2'!F119)</f>
        <v>Lietuvos Respublikos švietimo ir mokslo ministerija</v>
      </c>
      <c r="F119" s="164" t="str">
        <f>CONCATENATE('3 pr-2'!G119)</f>
        <v>Lazdijų r. sav.</v>
      </c>
      <c r="G119" s="164" t="str">
        <f>CONCATENATE('3 pr-2'!H119)</f>
        <v>09.1.3-CPVA-R-705</v>
      </c>
      <c r="H119" s="164" t="str">
        <f>CONCATENATE('3 pr-2'!I119)</f>
        <v>R</v>
      </c>
      <c r="I119" s="174" t="str">
        <f>CONCATENATE('3 pr-2'!J119)</f>
        <v>-</v>
      </c>
      <c r="J119" s="175">
        <f>SUM('3 pr-2'!L119)</f>
        <v>133554.21</v>
      </c>
      <c r="K119" s="176">
        <f>SUM('3 pr-2'!O119)</f>
        <v>10026.209999999999</v>
      </c>
      <c r="L119" s="176">
        <f>SUM('3 pr-2'!R119)</f>
        <v>10016</v>
      </c>
      <c r="M119" s="176">
        <f>SUM('3 pr-2'!U119)</f>
        <v>0</v>
      </c>
      <c r="N119" s="176">
        <f>SUM('3 pr-2'!X119)</f>
        <v>0</v>
      </c>
      <c r="O119" s="177">
        <f>SUM('3 pr-2'!AA119)</f>
        <v>113512</v>
      </c>
      <c r="P119" s="195">
        <f>SUM('3 pr-2'!AF119)</f>
        <v>42966</v>
      </c>
      <c r="Q119" s="239">
        <v>42965</v>
      </c>
      <c r="R119" s="173">
        <f>SUM(P119-Q119)</f>
        <v>1</v>
      </c>
      <c r="S119" s="234">
        <f t="shared" si="24"/>
        <v>3.2876712328767085E-2</v>
      </c>
    </row>
    <row r="120" spans="1:19" ht="50.25" customHeight="1" thickBot="1">
      <c r="A120" s="138" t="str">
        <f>CONCATENATE('3 pr-2'!A120)</f>
        <v>2.1.2.</v>
      </c>
      <c r="B120" s="227" t="str">
        <f>CONCATENATE('ketv. 2'!B119)</f>
        <v/>
      </c>
      <c r="C120" s="1948" t="str">
        <f>CONCATENATE('3 pr-2'!B120)</f>
        <v>Uždavinys:
Sveikatos netolygumų sumažinimas, gerinant sveikatos priežiūros kokybę ir prieinamumą tikslinėms gyventojų grupėms ir sveiko senėjimo skatinimas</v>
      </c>
      <c r="D120" s="2094" t="str">
        <f>CONCATENATE('3 pr-2'!E120)</f>
        <v/>
      </c>
      <c r="E120" s="2094" t="str">
        <f>CONCATENATE('3 pr-2'!F120)</f>
        <v/>
      </c>
      <c r="F120" s="2094" t="str">
        <f>CONCATENATE('3 pr-2'!G120)</f>
        <v/>
      </c>
      <c r="G120" s="2094" t="str">
        <f>CONCATENATE('3 pr-2'!H120)</f>
        <v/>
      </c>
      <c r="H120" s="2094" t="str">
        <f>CONCATENATE('3 pr-2'!I120)</f>
        <v/>
      </c>
      <c r="I120" s="2094" t="str">
        <f>CONCATENATE('3 pr-2'!J120)</f>
        <v/>
      </c>
      <c r="J120" s="202">
        <f>SUM('3 pr-2'!L120)</f>
        <v>2507585.75</v>
      </c>
      <c r="K120" s="202">
        <f>SUM('3 pr-2'!O120)</f>
        <v>146668.16</v>
      </c>
      <c r="L120" s="202">
        <f>SUM('3 pr-2'!R120)</f>
        <v>188734.58000000002</v>
      </c>
      <c r="M120" s="202">
        <f>SUM('3 pr-2'!U120)</f>
        <v>40107.979999999996</v>
      </c>
      <c r="N120" s="202">
        <f>SUM('3 pr-2'!X120)</f>
        <v>1299.95</v>
      </c>
      <c r="O120" s="202">
        <f>SUM('3 pr-2'!AA120)</f>
        <v>2130775.08</v>
      </c>
      <c r="P120" s="187"/>
      <c r="Q120" s="171"/>
      <c r="R120" s="172"/>
      <c r="S120" s="172"/>
    </row>
    <row r="121" spans="1:19" ht="38.25" customHeight="1" thickBot="1">
      <c r="A121" s="287" t="str">
        <f>CONCATENATE('3 pr-2'!A121)</f>
        <v>2.1.2.1</v>
      </c>
      <c r="B121" s="425" t="str">
        <f>CONCATENATE('ketv. 2'!B120)</f>
        <v/>
      </c>
      <c r="C121" s="1936" t="str">
        <f>CONCATENATE('3 pr-2'!B121)</f>
        <v>Priemonė:
Pirminės asmens ir visuomenės sveikatos priežiūros veiklos efektyvumo didinimas gerinant jų infrastruktūrą</v>
      </c>
      <c r="D121" s="2095" t="str">
        <f>CONCATENATE('3 pr-2'!E121)</f>
        <v/>
      </c>
      <c r="E121" s="2095" t="str">
        <f>CONCATENATE('3 pr-2'!F121)</f>
        <v/>
      </c>
      <c r="F121" s="2095" t="str">
        <f>CONCATENATE('3 pr-2'!G121)</f>
        <v/>
      </c>
      <c r="G121" s="2095" t="str">
        <f>CONCATENATE('3 pr-2'!H121)</f>
        <v/>
      </c>
      <c r="H121" s="2095" t="str">
        <f>CONCATENATE('3 pr-2'!I121)</f>
        <v/>
      </c>
      <c r="I121" s="2095" t="str">
        <f>CONCATENATE('3 pr-2'!J121)</f>
        <v/>
      </c>
      <c r="J121" s="426">
        <f>SUM('3 pr-2'!L121)</f>
        <v>1447388.03</v>
      </c>
      <c r="K121" s="426">
        <f>SUM('3 pr-2'!O121)</f>
        <v>68448</v>
      </c>
      <c r="L121" s="426">
        <f>SUM('3 pr-2'!R121)</f>
        <v>108554.52</v>
      </c>
      <c r="M121" s="426">
        <f>SUM('3 pr-2'!U121)</f>
        <v>40107.979999999996</v>
      </c>
      <c r="N121" s="426">
        <f>SUM('3 pr-2'!X121)</f>
        <v>0</v>
      </c>
      <c r="O121" s="427">
        <f>SUM('3 pr-2'!AA121)</f>
        <v>1230277.5299999998</v>
      </c>
      <c r="P121" s="428"/>
      <c r="Q121" s="429"/>
      <c r="R121" s="430">
        <f t="shared" ref="R121" si="25">IF((YEAR(P121)-YEAR(Q121))=0,0,YEAR(P121)-YEAR(Q121))</f>
        <v>0</v>
      </c>
      <c r="S121" s="430">
        <f t="shared" ref="S121" si="26">IF((MONTH(P121)-MONTH(Q121))=0,0,MONTH(P121)-MONTH(Q121))</f>
        <v>0</v>
      </c>
    </row>
    <row r="122" spans="1:19" ht="61.5" thickBot="1">
      <c r="A122" s="163" t="str">
        <f>CONCATENATE('3 pr-2'!A122)</f>
        <v>2.1.2.1.1</v>
      </c>
      <c r="B122" s="227" t="str">
        <f>CONCATENATE('ketv. 2'!B121)</f>
        <v>08.1.3-CPVA-R-609-11-0002</v>
      </c>
      <c r="C122" s="164" t="str">
        <f>CONCATENATE('3 pr-2'!D122)</f>
        <v>Alytaus poliklinikos teikiamų pirminės sveikatos priežiūros paslaugų prieinamumo didinimas ir kokybės gerinimas</v>
      </c>
      <c r="D122" s="164" t="str">
        <f>CONCATENATE('3 pr-2'!E122)</f>
        <v>VšĮ Alytaus poliklinika</v>
      </c>
      <c r="E122" s="164" t="str">
        <f>CONCATENATE('3 pr-2'!F122)</f>
        <v>Lietuvos Respublikos Sveikatos apsaugos ministerija</v>
      </c>
      <c r="F122" s="164" t="str">
        <f>CONCATENATE('3 pr-2'!G122)</f>
        <v>Alytaus m. sav.</v>
      </c>
      <c r="G122" s="164" t="str">
        <f>CONCATENATE('3 pr-2'!H122)</f>
        <v>08.1.3-CPVA-R-609</v>
      </c>
      <c r="H122" s="164" t="str">
        <f>CONCATENATE('3 pr-2'!I122)</f>
        <v>R</v>
      </c>
      <c r="I122" s="174" t="str">
        <f>CONCATENATE('3 pr-2'!J122)</f>
        <v>-</v>
      </c>
      <c r="J122" s="175">
        <f>SUM('3 pr-2'!L122)</f>
        <v>458183</v>
      </c>
      <c r="K122" s="176">
        <f>SUM('3 pr-2'!O122)</f>
        <v>34364</v>
      </c>
      <c r="L122" s="176">
        <f>SUM('3 pr-2'!R122)</f>
        <v>34363</v>
      </c>
      <c r="M122" s="176">
        <f>SUM('3 pr-2'!U122)</f>
        <v>0</v>
      </c>
      <c r="N122" s="176">
        <f>SUM('3 pr-2'!X122)</f>
        <v>0</v>
      </c>
      <c r="O122" s="177">
        <f>SUM('3 pr-2'!AA122)</f>
        <v>389456</v>
      </c>
      <c r="P122" s="195">
        <f>SUM('3 pr-2'!AF122)</f>
        <v>43261</v>
      </c>
      <c r="Q122" s="196"/>
      <c r="R122" s="173">
        <f t="shared" ref="R122:R129" si="27">IF(Q122&gt;0,P122-Q122,0)</f>
        <v>0</v>
      </c>
      <c r="S122" s="234">
        <f t="shared" ref="S122:S129" si="28">IF(Q122&gt;0,(P122-Q122)/30.1667,0)</f>
        <v>0</v>
      </c>
    </row>
    <row r="123" spans="1:19" ht="85.5" thickBot="1">
      <c r="A123" s="163" t="str">
        <f>CONCATENATE('3 pr-2'!A123)</f>
        <v>2.1.2.1.2</v>
      </c>
      <c r="B123" s="227" t="str">
        <f>CONCATENATE('ketv. 2'!B122)</f>
        <v>08.1.3-CPVA-R-609-11-0004</v>
      </c>
      <c r="C123" s="164" t="str">
        <f>CONCATENATE('3 pr-2'!D123)</f>
        <v>Sveikatos priežiūros paslaugų modernizavimas bei optimizavimas pirminės sveikatos priežiūros centre</v>
      </c>
      <c r="D123" s="164" t="str">
        <f>CONCATENATE('3 pr-2'!E123)</f>
        <v xml:space="preserve">VšĮ Alytaus miesto savivaldybės pirminės sveikatos priežiūros centras </v>
      </c>
      <c r="E123" s="164" t="str">
        <f>CONCATENATE('3 pr-2'!F123)</f>
        <v>Lietuvos Respublikos Sveikatos apsaugos ministerija</v>
      </c>
      <c r="F123" s="164" t="str">
        <f>CONCATENATE('3 pr-2'!G123)</f>
        <v>Alytaus m. sav.</v>
      </c>
      <c r="G123" s="164" t="str">
        <f>CONCATENATE('3 pr-2'!H123)</f>
        <v>08.1.3-CPVA-R-609</v>
      </c>
      <c r="H123" s="164" t="str">
        <f>CONCATENATE('3 pr-2'!I123)</f>
        <v>R</v>
      </c>
      <c r="I123" s="174" t="str">
        <f>CONCATENATE('3 pr-2'!J123)</f>
        <v>-</v>
      </c>
      <c r="J123" s="175">
        <f>SUM('3 pr-2'!L123)</f>
        <v>50356</v>
      </c>
      <c r="K123" s="176">
        <f>SUM('3 pr-2'!O123)</f>
        <v>3777</v>
      </c>
      <c r="L123" s="176">
        <f>SUM('3 pr-2'!R123)</f>
        <v>3777</v>
      </c>
      <c r="M123" s="176">
        <f>SUM('3 pr-2'!U123)</f>
        <v>0</v>
      </c>
      <c r="N123" s="176">
        <f>SUM('3 pr-2'!X123)</f>
        <v>0</v>
      </c>
      <c r="O123" s="177">
        <f>SUM('3 pr-2'!AA123)</f>
        <v>42802</v>
      </c>
      <c r="P123" s="195">
        <f>SUM('3 pr-2'!AF123)</f>
        <v>43227</v>
      </c>
      <c r="Q123" s="196"/>
      <c r="R123" s="173">
        <f t="shared" si="27"/>
        <v>0</v>
      </c>
      <c r="S123" s="234">
        <f t="shared" si="28"/>
        <v>0</v>
      </c>
    </row>
    <row r="124" spans="1:19" ht="61.5" thickBot="1">
      <c r="A124" s="163" t="str">
        <f>CONCATENATE('3 pr-2'!A124)</f>
        <v>2.1.2.1.3</v>
      </c>
      <c r="B124" s="227" t="str">
        <f>CONCATENATE('ketv. 2'!B123)</f>
        <v>08.1.3-CPVA-R-609-11-0003</v>
      </c>
      <c r="C124" s="164" t="str">
        <f>CONCATENATE('3 pr-2'!D124)</f>
        <v>UAB "MediCA klinika" teikiamų pirminės asmens sveikatos priežiūros paslaugų efektyvumo didinimas Alytaus miesto savivaldybėje</v>
      </c>
      <c r="D124" s="164" t="str">
        <f>CONCATENATE('3 pr-2'!E124)</f>
        <v>UAB „MediCA klinika“</v>
      </c>
      <c r="E124" s="164" t="str">
        <f>CONCATENATE('3 pr-2'!F124)</f>
        <v>Lietuvos Respublikos Sveikatos apsaugos ministerija</v>
      </c>
      <c r="F124" s="164" t="str">
        <f>CONCATENATE('3 pr-2'!G124)</f>
        <v>Alytaus m. sav.</v>
      </c>
      <c r="G124" s="164" t="str">
        <f>CONCATENATE('3 pr-2'!H124)</f>
        <v>08.1.3-CPVA-R-609</v>
      </c>
      <c r="H124" s="164" t="str">
        <f>CONCATENATE('3 pr-2'!I124)</f>
        <v>R</v>
      </c>
      <c r="I124" s="174" t="str">
        <f>CONCATENATE('3 pr-2'!J124)</f>
        <v>-</v>
      </c>
      <c r="J124" s="175">
        <f>SUM('3 pr-2'!L124)</f>
        <v>83468</v>
      </c>
      <c r="K124" s="176">
        <f>SUM('3 pr-2'!O124)</f>
        <v>0</v>
      </c>
      <c r="L124" s="176">
        <f>SUM('3 pr-2'!R124)</f>
        <v>6260</v>
      </c>
      <c r="M124" s="176">
        <f>SUM('3 pr-2'!U124)</f>
        <v>6260</v>
      </c>
      <c r="N124" s="176">
        <f>SUM('3 pr-2'!X124)</f>
        <v>0</v>
      </c>
      <c r="O124" s="177">
        <f>SUM('3 pr-2'!AA124)</f>
        <v>70948</v>
      </c>
      <c r="P124" s="195">
        <f>SUM('3 pr-2'!AF124)</f>
        <v>43227</v>
      </c>
      <c r="Q124" s="196"/>
      <c r="R124" s="173">
        <f t="shared" si="27"/>
        <v>0</v>
      </c>
      <c r="S124" s="234">
        <f t="shared" si="28"/>
        <v>0</v>
      </c>
    </row>
    <row r="125" spans="1:19" ht="61.5" thickBot="1">
      <c r="A125" s="163" t="str">
        <f>CONCATENATE('3 pr-2'!A125)</f>
        <v>2.1.2.1.4</v>
      </c>
      <c r="B125" s="227" t="str">
        <f>CONCATENATE('ketv. 2'!B124)</f>
        <v>08.1.3-CPVA-R-609-11-0005</v>
      </c>
      <c r="C125" s="164" t="str">
        <f>CONCATENATE('3 pr-2'!D125)</f>
        <v>UAB "Pagalba ligoniui" teikiamų paslaugų efektyvumo didinimas</v>
      </c>
      <c r="D125" s="164" t="str">
        <f>CONCATENATE('3 pr-2'!E125)</f>
        <v>UAB „Pagalba ligoniui“, Alytaus filialas</v>
      </c>
      <c r="E125" s="164" t="str">
        <f>CONCATENATE('3 pr-2'!F125)</f>
        <v>Lietuvos Respublikos Sveikatos apsaugos ministerija</v>
      </c>
      <c r="F125" s="164" t="str">
        <f>CONCATENATE('3 pr-2'!G125)</f>
        <v>Alytaus m. sav.</v>
      </c>
      <c r="G125" s="164" t="str">
        <f>CONCATENATE('3 pr-2'!H125)</f>
        <v>08.1.3-CPVA-R-609</v>
      </c>
      <c r="H125" s="164" t="str">
        <f>CONCATENATE('3 pr-2'!I125)</f>
        <v>R</v>
      </c>
      <c r="I125" s="174" t="str">
        <f>CONCATENATE('3 pr-2'!J125)</f>
        <v>-</v>
      </c>
      <c r="J125" s="175">
        <f>SUM('3 pr-2'!L125)</f>
        <v>43413.03</v>
      </c>
      <c r="K125" s="176">
        <f>SUM('3 pr-2'!O125)</f>
        <v>0</v>
      </c>
      <c r="L125" s="176">
        <f>SUM('3 pr-2'!R125)</f>
        <v>3255.97</v>
      </c>
      <c r="M125" s="176">
        <f>SUM('3 pr-2'!U125)</f>
        <v>3255.98</v>
      </c>
      <c r="N125" s="176">
        <f>SUM('3 pr-2'!X125)</f>
        <v>0</v>
      </c>
      <c r="O125" s="177">
        <f>SUM('3 pr-2'!AA125)</f>
        <v>36901.08</v>
      </c>
      <c r="P125" s="195">
        <f>SUM('3 pr-2'!AF125)</f>
        <v>43227</v>
      </c>
      <c r="Q125" s="196"/>
      <c r="R125" s="173">
        <f t="shared" si="27"/>
        <v>0</v>
      </c>
      <c r="S125" s="234">
        <f t="shared" si="28"/>
        <v>0</v>
      </c>
    </row>
    <row r="126" spans="1:19" ht="85.5" thickBot="1">
      <c r="A126" s="163" t="str">
        <f>CONCATENATE('3 pr-2'!A126)</f>
        <v>2.1.2.1.5</v>
      </c>
      <c r="B126" s="227" t="str">
        <f>CONCATENATE('ketv. 2'!B125)</f>
        <v>08.1.3-CPVA-R-609-11-0009</v>
      </c>
      <c r="C126" s="164" t="str">
        <f>CONCATENATE('3 pr-2'!D126)</f>
        <v>Pirminės asmens sveikatos priežiūros veiklos efektyvumo didinimas Alytaus rajono savivaldybėje</v>
      </c>
      <c r="D126" s="164" t="str">
        <f>CONCATENATE('3 pr-2'!E126)</f>
        <v>VšĮ Alytaus rajono savivaldybės pirminės sveikatos priežiūros centras</v>
      </c>
      <c r="E126" s="164" t="str">
        <f>CONCATENATE('3 pr-2'!F126)</f>
        <v>Lietuvos Respublikos Sveikatos apsaugos ministerija</v>
      </c>
      <c r="F126" s="164" t="str">
        <f>CONCATENATE('3 pr-2'!G126)</f>
        <v>Alytaus r. sav.</v>
      </c>
      <c r="G126" s="164" t="str">
        <f>CONCATENATE('3 pr-2'!H126)</f>
        <v>08.1.3-CPVA-R-609</v>
      </c>
      <c r="H126" s="164" t="str">
        <f>CONCATENATE('3 pr-2'!I126)</f>
        <v>R</v>
      </c>
      <c r="I126" s="174" t="str">
        <f>CONCATENATE('3 pr-2'!J126)</f>
        <v>-</v>
      </c>
      <c r="J126" s="175">
        <f>SUM('3 pr-2'!L126)</f>
        <v>171636</v>
      </c>
      <c r="K126" s="176">
        <f>SUM('3 pr-2'!O126)</f>
        <v>12873</v>
      </c>
      <c r="L126" s="176">
        <f>SUM('3 pr-2'!R126)</f>
        <v>12873</v>
      </c>
      <c r="M126" s="176">
        <f>SUM('3 pr-2'!U126)</f>
        <v>0</v>
      </c>
      <c r="N126" s="176">
        <f>SUM('3 pr-2'!X126)</f>
        <v>0</v>
      </c>
      <c r="O126" s="177">
        <f>SUM('3 pr-2'!AA126)</f>
        <v>145890</v>
      </c>
      <c r="P126" s="195">
        <f>SUM('3 pr-2'!AF126)</f>
        <v>43227</v>
      </c>
      <c r="Q126" s="196"/>
      <c r="R126" s="173">
        <f t="shared" si="27"/>
        <v>0</v>
      </c>
      <c r="S126" s="234">
        <f t="shared" si="28"/>
        <v>0</v>
      </c>
    </row>
    <row r="127" spans="1:19" ht="61.5" thickBot="1">
      <c r="A127" s="163" t="str">
        <f>CONCATENATE('3 pr-2'!A127)</f>
        <v>2.1.2.1.6</v>
      </c>
      <c r="B127" s="227" t="str">
        <f>CONCATENATE('ketv. 2'!B126)</f>
        <v>08.1.3-CPVA-R-609-11-0011</v>
      </c>
      <c r="C127" s="164" t="str">
        <f>CONCATENATE('3 pr-2'!D127)</f>
        <v>Sveikatos priežiūros paslaugų gerinimas UAB „Disolis“</v>
      </c>
      <c r="D127" s="164" t="str">
        <f>CONCATENATE('3 pr-2'!E127)</f>
        <v>UAB „Disolis“</v>
      </c>
      <c r="E127" s="164" t="str">
        <f>CONCATENATE('3 pr-2'!F127)</f>
        <v>Lietuvos Respublikos Sveikatos apsaugos ministerija</v>
      </c>
      <c r="F127" s="164" t="str">
        <f>CONCATENATE('3 pr-2'!G127)</f>
        <v>Alytaus r. sav.</v>
      </c>
      <c r="G127" s="164" t="str">
        <f>CONCATENATE('3 pr-2'!H127)</f>
        <v>08.1.3-CPVA-R-609</v>
      </c>
      <c r="H127" s="164" t="str">
        <f>CONCATENATE('3 pr-2'!I127)</f>
        <v>R</v>
      </c>
      <c r="I127" s="174" t="str">
        <f>CONCATENATE('3 pr-2'!J127)</f>
        <v>-</v>
      </c>
      <c r="J127" s="175">
        <f>SUM('3 pr-2'!L127)</f>
        <v>17386</v>
      </c>
      <c r="K127" s="176">
        <f>SUM('3 pr-2'!O127)</f>
        <v>0</v>
      </c>
      <c r="L127" s="176">
        <f>SUM('3 pr-2'!R127)</f>
        <v>1304</v>
      </c>
      <c r="M127" s="176">
        <f>SUM('3 pr-2'!U127)</f>
        <v>1304</v>
      </c>
      <c r="N127" s="176">
        <f>SUM('3 pr-2'!X127)</f>
        <v>0</v>
      </c>
      <c r="O127" s="177">
        <f>SUM('3 pr-2'!AA127)</f>
        <v>14778</v>
      </c>
      <c r="P127" s="195">
        <f>SUM('3 pr-2'!AF127)</f>
        <v>43227</v>
      </c>
      <c r="Q127" s="196"/>
      <c r="R127" s="173">
        <f t="shared" si="27"/>
        <v>0</v>
      </c>
      <c r="S127" s="234">
        <f t="shared" si="28"/>
        <v>0</v>
      </c>
    </row>
    <row r="128" spans="1:19" ht="61.5" thickBot="1">
      <c r="A128" s="163" t="str">
        <f>CONCATENATE('3 pr-2'!A128)</f>
        <v>2.1.2.1.7</v>
      </c>
      <c r="B128" s="227" t="str">
        <f>CONCATENATE('ketv. 2'!B127)</f>
        <v>08.1.3-CPVA-R-609-11-0007</v>
      </c>
      <c r="C128" s="164" t="str">
        <f>CONCATENATE('3 pr-2'!D128)</f>
        <v>Pirminės asmens sveikatos priežiūros kokybės ir prieinamumo gerinimas Druskininkų savivaldybėje</v>
      </c>
      <c r="D128" s="164" t="str">
        <f>CONCATENATE('3 pr-2'!E128)</f>
        <v>VšĮ Druskininkų pirminės sveikatos priežiūros centras</v>
      </c>
      <c r="E128" s="164" t="str">
        <f>CONCATENATE('3 pr-2'!F128)</f>
        <v>Lietuvos Respublikos Sveikatos apsaugos ministerija</v>
      </c>
      <c r="F128" s="164" t="str">
        <f>CONCATENATE('3 pr-2'!G128)</f>
        <v>Druskininkų sav.</v>
      </c>
      <c r="G128" s="164" t="str">
        <f>CONCATENATE('3 pr-2'!H128)</f>
        <v>08.1.3-CPVA-R-609</v>
      </c>
      <c r="H128" s="164" t="str">
        <f>CONCATENATE('3 pr-2'!I128)</f>
        <v>R</v>
      </c>
      <c r="I128" s="174" t="str">
        <f>CONCATENATE('3 pr-2'!J128)</f>
        <v>-</v>
      </c>
      <c r="J128" s="175">
        <f>SUM('3 pr-2'!L128)</f>
        <v>163532</v>
      </c>
      <c r="K128" s="176">
        <f>SUM('3 pr-2'!O128)</f>
        <v>0</v>
      </c>
      <c r="L128" s="176">
        <f>SUM('3 pr-2'!R128)</f>
        <v>12265</v>
      </c>
      <c r="M128" s="176">
        <f>SUM('3 pr-2'!U128)</f>
        <v>12265</v>
      </c>
      <c r="N128" s="176">
        <f>SUM('3 pr-2'!X128)</f>
        <v>0</v>
      </c>
      <c r="O128" s="177">
        <f>SUM('3 pr-2'!AA128)</f>
        <v>139002</v>
      </c>
      <c r="P128" s="195">
        <f>SUM('3 pr-2'!AF128)</f>
        <v>43227</v>
      </c>
      <c r="Q128" s="196"/>
      <c r="R128" s="173">
        <f t="shared" si="27"/>
        <v>0</v>
      </c>
      <c r="S128" s="234">
        <f t="shared" si="28"/>
        <v>0</v>
      </c>
    </row>
    <row r="129" spans="1:19" ht="61.5" thickBot="1">
      <c r="A129" s="163" t="str">
        <f>CONCATENATE('3 pr-2'!A129)</f>
        <v>2.1.2.1.8</v>
      </c>
      <c r="B129" s="227" t="str">
        <f>CONCATENATE('ketv. 2'!B128)</f>
        <v>08.1.3-CPVA-R-609-11-0006</v>
      </c>
      <c r="C129" s="164" t="str">
        <f>CONCATENATE('3 pr-2'!D129)</f>
        <v>UAB "Druskininkų šeimos klinika" asmens sveikatos priežiūros paslaugų prieinamumo ir efektyvumo didinimas</v>
      </c>
      <c r="D129" s="164" t="str">
        <f>CONCATENATE('3 pr-2'!E129)</f>
        <v>UAB „Druskininkų šeimos klinika“</v>
      </c>
      <c r="E129" s="164" t="str">
        <f>CONCATENATE('3 pr-2'!F129)</f>
        <v>Lietuvos Respublikos Sveikatos apsaugos ministerija</v>
      </c>
      <c r="F129" s="164" t="str">
        <f>CONCATENATE('3 pr-2'!G129)</f>
        <v>Druskininkų sav.</v>
      </c>
      <c r="G129" s="164" t="str">
        <f>CONCATENATE('3 pr-2'!H129)</f>
        <v>08.1.3-CPVA-R-609</v>
      </c>
      <c r="H129" s="164" t="str">
        <f>CONCATENATE('3 pr-2'!I129)</f>
        <v>R</v>
      </c>
      <c r="I129" s="174" t="str">
        <f>CONCATENATE('3 pr-2'!J129)</f>
        <v>-</v>
      </c>
      <c r="J129" s="175">
        <f>SUM('3 pr-2'!L129)</f>
        <v>12289</v>
      </c>
      <c r="K129" s="176">
        <f>SUM('3 pr-2'!O129)</f>
        <v>0</v>
      </c>
      <c r="L129" s="176">
        <f>SUM('3 pr-2'!R129)</f>
        <v>922</v>
      </c>
      <c r="M129" s="176">
        <f>SUM('3 pr-2'!U129)</f>
        <v>922</v>
      </c>
      <c r="N129" s="176">
        <f>SUM('3 pr-2'!X129)</f>
        <v>0</v>
      </c>
      <c r="O129" s="177">
        <f>SUM('3 pr-2'!AA129)</f>
        <v>10445</v>
      </c>
      <c r="P129" s="195">
        <f>SUM('3 pr-2'!AF129)</f>
        <v>43227</v>
      </c>
      <c r="Q129" s="196"/>
      <c r="R129" s="173">
        <f t="shared" si="27"/>
        <v>0</v>
      </c>
      <c r="S129" s="234">
        <f t="shared" si="28"/>
        <v>0</v>
      </c>
    </row>
    <row r="130" spans="1:19" ht="61.5" thickBot="1">
      <c r="A130" s="163" t="str">
        <f>CONCATENATE('3 pr-2'!A130)</f>
        <v>2.1.2.1.9</v>
      </c>
      <c r="B130" s="227" t="str">
        <f>CONCATENATE('ketv. 2'!B129)</f>
        <v>08.1.3-CPVA-R-609-11-0001</v>
      </c>
      <c r="C130" s="164" t="str">
        <f>CONCATENATE('3 pr-2'!D130)</f>
        <v>I. S. Kavaliauskienės įmonės teikiamų pirminės ambulatorinės asmens sveikatos priežiūros paslaugų kokybės ir prieinamumo gerinimas</v>
      </c>
      <c r="D130" s="164" t="str">
        <f>CONCATENATE('3 pr-2'!E130)</f>
        <v>Irenos Stanislavos Kavaliauskienės įmonė</v>
      </c>
      <c r="E130" s="164" t="str">
        <f>CONCATENATE('3 pr-2'!F130)</f>
        <v>Lietuvos Respublikos Sveikatos apsaugos ministerija</v>
      </c>
      <c r="F130" s="164" t="str">
        <f>CONCATENATE('3 pr-2'!G130)</f>
        <v>Druskininkų sav.</v>
      </c>
      <c r="G130" s="164" t="str">
        <f>CONCATENATE('3 pr-2'!H130)</f>
        <v>08.1.3-CPVA-R-609</v>
      </c>
      <c r="H130" s="164" t="str">
        <f>CONCATENATE('3 pr-2'!I130)</f>
        <v>R</v>
      </c>
      <c r="I130" s="174" t="str">
        <f>CONCATENATE('3 pr-2'!J130)</f>
        <v>-</v>
      </c>
      <c r="J130" s="175">
        <f>SUM('3 pr-2'!L130)</f>
        <v>25517</v>
      </c>
      <c r="K130" s="176">
        <f>SUM('3 pr-2'!O130)</f>
        <v>0</v>
      </c>
      <c r="L130" s="176">
        <f>SUM('3 pr-2'!R130)</f>
        <v>1913.55</v>
      </c>
      <c r="M130" s="176">
        <f>SUM('3 pr-2'!U130)</f>
        <v>1914</v>
      </c>
      <c r="N130" s="176">
        <f>SUM('3 pr-2'!X130)</f>
        <v>0</v>
      </c>
      <c r="O130" s="177">
        <f>SUM('3 pr-2'!AA130)</f>
        <v>21689.45</v>
      </c>
      <c r="P130" s="1083"/>
      <c r="Q130" s="1085"/>
      <c r="R130" s="173"/>
      <c r="S130" s="234"/>
    </row>
    <row r="131" spans="1:19" ht="61.5" thickBot="1">
      <c r="A131" s="163" t="str">
        <f>CONCATENATE('3 pr-2'!A131)</f>
        <v>2.1.2.1.10</v>
      </c>
      <c r="B131" s="227" t="str">
        <f>CONCATENATE('ketv. 2'!B130)</f>
        <v>08.1.3-CPVA-R-609-11-0008</v>
      </c>
      <c r="C131" s="164" t="str">
        <f>CONCATENATE('3 pr-2'!D131)</f>
        <v>Pirminės ambulatorinės asmens sveikatos priežiūros efektyvumo didinimas R. Ambrazaitienės ir L. Puzinovienės šeimos gydytojų kabinetuose</v>
      </c>
      <c r="D131" s="164" t="str">
        <f>CONCATENATE('3 pr-2'!E131)</f>
        <v>UAB „Rasos Ambrazaitienės šeimos gydytojo kabinetas“</v>
      </c>
      <c r="E131" s="164" t="str">
        <f>CONCATENATE('3 pr-2'!F131)</f>
        <v>Lietuvos Respublikos Sveikatos apsaugos ministerija</v>
      </c>
      <c r="F131" s="164" t="str">
        <f>CONCATENATE('3 pr-2'!G131)</f>
        <v>Druskininkų sav.</v>
      </c>
      <c r="G131" s="164" t="str">
        <f>CONCATENATE('3 pr-2'!H131)</f>
        <v>08.1.3-CPVA-R-609</v>
      </c>
      <c r="H131" s="164" t="str">
        <f>CONCATENATE('3 pr-2'!I131)</f>
        <v>R</v>
      </c>
      <c r="I131" s="174" t="str">
        <f>CONCATENATE('3 pr-2'!J131)</f>
        <v>-</v>
      </c>
      <c r="J131" s="175">
        <f>SUM('3 pr-2'!L131)</f>
        <v>27906</v>
      </c>
      <c r="K131" s="176">
        <f>SUM('3 pr-2'!O131)</f>
        <v>0</v>
      </c>
      <c r="L131" s="176">
        <f>SUM('3 pr-2'!R131)</f>
        <v>2093</v>
      </c>
      <c r="M131" s="176">
        <f>SUM('3 pr-2'!U131)</f>
        <v>2093</v>
      </c>
      <c r="N131" s="176">
        <f>SUM('3 pr-2'!X131)</f>
        <v>0</v>
      </c>
      <c r="O131" s="177">
        <f>SUM('3 pr-2'!AA131)</f>
        <v>23720</v>
      </c>
      <c r="P131" s="1083"/>
      <c r="Q131" s="1085"/>
      <c r="R131" s="173"/>
      <c r="S131" s="234"/>
    </row>
    <row r="132" spans="1:19" ht="61.5" thickBot="1">
      <c r="A132" s="163" t="str">
        <f>CONCATENATE('3 pr-2'!A132)</f>
        <v>2.1.2.1.11</v>
      </c>
      <c r="B132" s="227" t="str">
        <f>CONCATENATE('ketv. 2'!B131)</f>
        <v>08.1.3-CPVA-R-609-11-0010</v>
      </c>
      <c r="C132" s="164" t="str">
        <f>CONCATENATE('3 pr-2'!D132)</f>
        <v>Pirminės asmens sveikatos priežiūros veiklos efektyvumo didinimas Lazdijų rajono savivaldybėje</v>
      </c>
      <c r="D132" s="164" t="str">
        <f>CONCATENATE('3 pr-2'!E132)</f>
        <v>Lazdijų rajono savivaldybės administracija</v>
      </c>
      <c r="E132" s="164" t="str">
        <f>CONCATENATE('3 pr-2'!F132)</f>
        <v>Lietuvos Respublikos Sveikatos apsaugos ministerija</v>
      </c>
      <c r="F132" s="164" t="str">
        <f>CONCATENATE('3 pr-2'!G132)</f>
        <v>Lazdijų r. sav.</v>
      </c>
      <c r="G132" s="164" t="str">
        <f>CONCATENATE('3 pr-2'!H132)</f>
        <v>08.1.3-CPVA-R-609</v>
      </c>
      <c r="H132" s="164" t="str">
        <f>CONCATENATE('3 pr-2'!I132)</f>
        <v>R</v>
      </c>
      <c r="I132" s="174" t="str">
        <f>CONCATENATE('3 pr-2'!J132)</f>
        <v>-</v>
      </c>
      <c r="J132" s="175">
        <f>SUM('3 pr-2'!L132)</f>
        <v>192719</v>
      </c>
      <c r="K132" s="176">
        <f>SUM('3 pr-2'!O132)</f>
        <v>2983</v>
      </c>
      <c r="L132" s="176">
        <f>SUM('3 pr-2'!R132)</f>
        <v>14454</v>
      </c>
      <c r="M132" s="176">
        <f>SUM('3 pr-2'!U132)</f>
        <v>11471</v>
      </c>
      <c r="N132" s="176">
        <f>SUM('3 pr-2'!X132)</f>
        <v>0</v>
      </c>
      <c r="O132" s="177">
        <f>SUM('3 pr-2'!AA132)</f>
        <v>163811</v>
      </c>
      <c r="P132" s="1083"/>
      <c r="Q132" s="1085"/>
      <c r="R132" s="173"/>
      <c r="S132" s="234"/>
    </row>
    <row r="133" spans="1:19" ht="61.5" thickBot="1">
      <c r="A133" s="163" t="str">
        <f>CONCATENATE('3 pr-2'!A133)</f>
        <v>2.1.2.1.12</v>
      </c>
      <c r="B133" s="227" t="str">
        <f>CONCATENATE('ketv. 2'!B132)</f>
        <v>08.1.3-CPVA-R-609-11-0012</v>
      </c>
      <c r="C133" s="164" t="str">
        <f>CONCATENATE('3 pr-2'!D133)</f>
        <v>Pirminės asmens sveikatos priežiūros veiklos efektyvumo didinimas Varėnos rajono savivaldybėje</v>
      </c>
      <c r="D133" s="164" t="str">
        <f>CONCATENATE('3 pr-2'!E133)</f>
        <v>VšĮ Varėnos pirminės sveikatos priežiūros centras</v>
      </c>
      <c r="E133" s="164" t="str">
        <f>CONCATENATE('3 pr-2'!F133)</f>
        <v>Lietuvos Respublikos Sveikatos apsaugos ministerija</v>
      </c>
      <c r="F133" s="164" t="str">
        <f>CONCATENATE('3 pr-2'!G133)</f>
        <v>Varėnos r. sav.</v>
      </c>
      <c r="G133" s="164" t="str">
        <f>CONCATENATE('3 pr-2'!H133)</f>
        <v>08.1.3-CPVA-R-609</v>
      </c>
      <c r="H133" s="164" t="str">
        <f>CONCATENATE('3 pr-2'!I133)</f>
        <v>R</v>
      </c>
      <c r="I133" s="174" t="str">
        <f>CONCATENATE('3 pr-2'!J133)</f>
        <v>-</v>
      </c>
      <c r="J133" s="175">
        <f>SUM('3 pr-2'!L133)</f>
        <v>192678</v>
      </c>
      <c r="K133" s="176">
        <f>SUM('3 pr-2'!O133)</f>
        <v>14451</v>
      </c>
      <c r="L133" s="176">
        <f>SUM('3 pr-2'!R133)</f>
        <v>14451</v>
      </c>
      <c r="M133" s="176">
        <f>SUM('3 pr-2'!U133)</f>
        <v>0</v>
      </c>
      <c r="N133" s="176">
        <f>SUM('3 pr-2'!X133)</f>
        <v>0</v>
      </c>
      <c r="O133" s="177">
        <f>SUM('3 pr-2'!AA133)</f>
        <v>163776</v>
      </c>
      <c r="P133" s="1083"/>
      <c r="Q133" s="1085"/>
      <c r="R133" s="173"/>
      <c r="S133" s="234"/>
    </row>
    <row r="134" spans="1:19" ht="61.5" thickBot="1">
      <c r="A134" s="163" t="str">
        <f>CONCATENATE('3 pr-2'!A134)</f>
        <v>2.1.2.1.13</v>
      </c>
      <c r="B134" s="227" t="str">
        <f>CONCATENATE('ketv. 2'!B133)</f>
        <v/>
      </c>
      <c r="C134" s="164" t="str">
        <f>CONCATENATE('3 pr-2'!D134)</f>
        <v>Pirminės asmens sveikatos priežiūros veiklos efektyvumo didinimas N. Jarašienės personalinėje įmonėje</v>
      </c>
      <c r="D134" s="164" t="str">
        <f>CONCATENATE('3 pr-2'!E134)</f>
        <v>N. Jarašienės personalinė įmonė</v>
      </c>
      <c r="E134" s="164" t="str">
        <f>CONCATENATE('3 pr-2'!F134)</f>
        <v>Lietuvos Respublikos Sveikatos apsaugos ministerija</v>
      </c>
      <c r="F134" s="164" t="str">
        <f>CONCATENATE('3 pr-2'!G134)</f>
        <v>Varėnos r. sav.</v>
      </c>
      <c r="G134" s="164" t="str">
        <f>CONCATENATE('3 pr-2'!H134)</f>
        <v>08.1.3-CPVA-R-609</v>
      </c>
      <c r="H134" s="164" t="str">
        <f>CONCATENATE('3 pr-2'!I134)</f>
        <v>R</v>
      </c>
      <c r="I134" s="174" t="str">
        <f>CONCATENATE('3 pr-2'!J134)</f>
        <v>-</v>
      </c>
      <c r="J134" s="175">
        <f>SUM('3 pr-2'!L134)</f>
        <v>8305</v>
      </c>
      <c r="K134" s="176">
        <f>SUM('3 pr-2'!O134)</f>
        <v>0</v>
      </c>
      <c r="L134" s="176">
        <f>SUM('3 pr-2'!R134)</f>
        <v>623</v>
      </c>
      <c r="M134" s="176">
        <f>SUM('3 pr-2'!U134)</f>
        <v>623</v>
      </c>
      <c r="N134" s="176">
        <f>SUM('3 pr-2'!X134)</f>
        <v>0</v>
      </c>
      <c r="O134" s="177">
        <f>SUM('3 pr-2'!AA134)</f>
        <v>7059</v>
      </c>
      <c r="P134" s="1083"/>
      <c r="Q134" s="1085"/>
      <c r="R134" s="173"/>
      <c r="S134" s="234"/>
    </row>
    <row r="135" spans="1:19" ht="41.25" customHeight="1" thickBot="1">
      <c r="A135" s="442" t="str">
        <f>CONCATENATE('3 pr-2'!A135)</f>
        <v>2.1.2.2</v>
      </c>
      <c r="B135" s="453" t="str">
        <f>CONCATENATE('ketv. 2'!B134)</f>
        <v/>
      </c>
      <c r="C135" s="2099" t="str">
        <f>CONCATENATE('3 pr-2'!B135)</f>
        <v>Priemonė:
Sveikos gyvensenos skatinimas regioniniu lygiu</v>
      </c>
      <c r="D135" s="2100" t="str">
        <f>CONCATENATE('3 pr-2'!E135)</f>
        <v/>
      </c>
      <c r="E135" s="2100" t="str">
        <f>CONCATENATE('3 pr-2'!F135)</f>
        <v/>
      </c>
      <c r="F135" s="2100" t="str">
        <f>CONCATENATE('3 pr-2'!G135)</f>
        <v/>
      </c>
      <c r="G135" s="2100" t="str">
        <f>CONCATENATE('3 pr-2'!H135)</f>
        <v/>
      </c>
      <c r="H135" s="2100" t="str">
        <f>CONCATENATE('3 pr-2'!I135)</f>
        <v/>
      </c>
      <c r="I135" s="2100" t="str">
        <f>CONCATENATE('3 pr-2'!J135)</f>
        <v/>
      </c>
      <c r="J135" s="454">
        <f>SUM('3 pr-2'!L135)</f>
        <v>994984.5399999998</v>
      </c>
      <c r="K135" s="454">
        <f>SUM('3 pr-2'!O135)</f>
        <v>74624.070000000007</v>
      </c>
      <c r="L135" s="454">
        <f>SUM('3 pr-2'!R135)</f>
        <v>74623.62</v>
      </c>
      <c r="M135" s="454">
        <f>SUM('3 pr-2'!U135)</f>
        <v>0</v>
      </c>
      <c r="N135" s="454">
        <f>SUM('3 pr-2'!X135)</f>
        <v>0</v>
      </c>
      <c r="O135" s="455">
        <f>SUM('3 pr-2'!AA135)</f>
        <v>845736.85</v>
      </c>
      <c r="P135" s="456"/>
      <c r="Q135" s="457"/>
      <c r="R135" s="458"/>
      <c r="S135" s="458"/>
    </row>
    <row r="136" spans="1:19" ht="61.5" thickBot="1">
      <c r="A136" s="444" t="str">
        <f>CONCATENATE('3 pr-2'!A136)</f>
        <v>2.1.2.2.1</v>
      </c>
      <c r="B136" s="445" t="str">
        <f>CONCATENATE('ketv. 2'!B135)</f>
        <v>08.4.2-ESFA-R-630-11-0004</v>
      </c>
      <c r="C136" s="443" t="str">
        <f>CONCATENATE('3 pr-2'!D136)</f>
        <v>Sveikos gyvensenos skatinimas Alytaus rajone</v>
      </c>
      <c r="D136" s="443" t="str">
        <f>CONCATENATE('3 pr-2'!E136)</f>
        <v>Alytaus rajono savivaldybės visuomenės sveikatos biuras</v>
      </c>
      <c r="E136" s="443" t="str">
        <f>CONCATENATE('3 pr-2'!F136)</f>
        <v>Lietuvos Respublikos Sveikatos apsaugos ministerija</v>
      </c>
      <c r="F136" s="443" t="str">
        <f>CONCATENATE('3 pr-2'!G136)</f>
        <v>Alytaus r. sav.</v>
      </c>
      <c r="G136" s="443" t="str">
        <f>CONCATENATE('3 pr-2'!H136)</f>
        <v>08.4.2-ESFA-R-630</v>
      </c>
      <c r="H136" s="443" t="str">
        <f>CONCATENATE('3 pr-2'!I136)</f>
        <v>R</v>
      </c>
      <c r="I136" s="446" t="str">
        <f>CONCATENATE('3 pr-2'!J136)</f>
        <v>-</v>
      </c>
      <c r="J136" s="447">
        <f>SUM('3 pr-2'!L136)</f>
        <v>198997.18</v>
      </c>
      <c r="K136" s="448">
        <f>SUM('3 pr-2'!O136)</f>
        <v>14924.79</v>
      </c>
      <c r="L136" s="448">
        <f>SUM('3 pr-2'!R136)</f>
        <v>14924.79</v>
      </c>
      <c r="M136" s="448">
        <f>SUM('3 pr-2'!U136)</f>
        <v>0</v>
      </c>
      <c r="N136" s="448">
        <f>SUM('3 pr-2'!X136)</f>
        <v>0</v>
      </c>
      <c r="O136" s="449">
        <f>SUM('3 pr-2'!AA136)</f>
        <v>169147.6</v>
      </c>
      <c r="P136" s="450">
        <f>SUM('3 pr-2'!AF136)</f>
        <v>43108</v>
      </c>
      <c r="Q136" s="443"/>
      <c r="R136" s="451">
        <f t="shared" ref="R136:R146" si="29">IF(Q136&gt;0,P136-Q136,0)</f>
        <v>0</v>
      </c>
      <c r="S136" s="452">
        <f t="shared" ref="S136:S146" si="30">IF(Q136&gt;0,(P136-Q136)/30.1667,0)</f>
        <v>0</v>
      </c>
    </row>
    <row r="137" spans="1:19" ht="61.5" thickBot="1">
      <c r="A137" s="444" t="str">
        <f>CONCATENATE('3 pr-2'!A137)</f>
        <v>2.1.2.2.2</v>
      </c>
      <c r="B137" s="445" t="str">
        <f>CONCATENATE('ketv. 2'!B136)</f>
        <v>08.4.2-ESFA-R-630-11-0001</v>
      </c>
      <c r="C137" s="443" t="str">
        <f>CONCATENATE('3 pr-2'!D137)</f>
        <v>Mažais žingsneliais – sveikos gyvensenos link</v>
      </c>
      <c r="D137" s="443" t="str">
        <f>CONCATENATE('3 pr-2'!E137)</f>
        <v>Alytaus miesto savivaldybės administracija</v>
      </c>
      <c r="E137" s="443" t="str">
        <f>CONCATENATE('3 pr-2'!F137)</f>
        <v>Lietuvos Respublikos Sveikatos apsaugos ministerija</v>
      </c>
      <c r="F137" s="443" t="str">
        <f>CONCATENATE('3 pr-2'!G137)</f>
        <v>Alytaus m. sav.</v>
      </c>
      <c r="G137" s="443" t="str">
        <f>CONCATENATE('3 pr-2'!H137)</f>
        <v>08.4.2-ESFA-R-630</v>
      </c>
      <c r="H137" s="443" t="str">
        <f>CONCATENATE('3 pr-2'!I137)</f>
        <v>R</v>
      </c>
      <c r="I137" s="446" t="str">
        <f>CONCATENATE('3 pr-2'!J137)</f>
        <v>-</v>
      </c>
      <c r="J137" s="447">
        <f>SUM('3 pr-2'!L137)</f>
        <v>198996</v>
      </c>
      <c r="K137" s="448">
        <f>SUM('3 pr-2'!O137)</f>
        <v>14924.7</v>
      </c>
      <c r="L137" s="448">
        <f>SUM('3 pr-2'!R137)</f>
        <v>14924.7</v>
      </c>
      <c r="M137" s="448">
        <f>SUM('3 pr-2'!U137)</f>
        <v>0</v>
      </c>
      <c r="N137" s="448">
        <f>SUM('3 pr-2'!X137)</f>
        <v>0</v>
      </c>
      <c r="O137" s="449">
        <f>SUM('3 pr-2'!AA137)</f>
        <v>169146.6</v>
      </c>
      <c r="P137" s="450">
        <f>SUM('3 pr-2'!AF137)</f>
        <v>43108</v>
      </c>
      <c r="Q137" s="443"/>
      <c r="R137" s="451">
        <f t="shared" si="29"/>
        <v>0</v>
      </c>
      <c r="S137" s="452">
        <f t="shared" si="30"/>
        <v>0</v>
      </c>
    </row>
    <row r="138" spans="1:19" ht="61.5" thickBot="1">
      <c r="A138" s="444" t="str">
        <f>CONCATENATE('3 pr-2'!A138)</f>
        <v>2.1.2.2.3</v>
      </c>
      <c r="B138" s="445" t="str">
        <f>CONCATENATE('ketv. 2'!B137)</f>
        <v>08.4.2-ESFA-R-630-11-0005</v>
      </c>
      <c r="C138" s="443" t="str">
        <f>CONCATENATE('3 pr-2'!D138)</f>
        <v>Sveikos gyvensenos skatinimas Varėnos rajono savivaldybėje</v>
      </c>
      <c r="D138" s="443" t="str">
        <f>CONCATENATE('3 pr-2'!E138)</f>
        <v>Varėnos rajono savivaldybės visuomenės sveikatos biuras</v>
      </c>
      <c r="E138" s="443" t="str">
        <f>CONCATENATE('3 pr-2'!F138)</f>
        <v>Lietuvos Respublikos Sveikatos apsaugos ministerija</v>
      </c>
      <c r="F138" s="443" t="str">
        <f>CONCATENATE('3 pr-2'!G138)</f>
        <v>Varėnos r. sav.</v>
      </c>
      <c r="G138" s="443" t="str">
        <f>CONCATENATE('3 pr-2'!H138)</f>
        <v>08.4.2-ESFA-R-630</v>
      </c>
      <c r="H138" s="443" t="str">
        <f>CONCATENATE('3 pr-2'!I138)</f>
        <v>R</v>
      </c>
      <c r="I138" s="446" t="str">
        <f>CONCATENATE('3 pr-2'!J138)</f>
        <v>-</v>
      </c>
      <c r="J138" s="447">
        <f>SUM('3 pr-2'!L138)</f>
        <v>198997</v>
      </c>
      <c r="K138" s="448">
        <f>SUM('3 pr-2'!O138)</f>
        <v>14925</v>
      </c>
      <c r="L138" s="448">
        <f>SUM('3 pr-2'!R138)</f>
        <v>14924.55</v>
      </c>
      <c r="M138" s="448">
        <f>SUM('3 pr-2'!U138)</f>
        <v>0</v>
      </c>
      <c r="N138" s="448">
        <f>SUM('3 pr-2'!X138)</f>
        <v>0</v>
      </c>
      <c r="O138" s="449">
        <f>SUM('3 pr-2'!AA138)</f>
        <v>169147.45</v>
      </c>
      <c r="P138" s="450">
        <f>SUM('3 pr-2'!AF138)</f>
        <v>43108</v>
      </c>
      <c r="Q138" s="443"/>
      <c r="R138" s="451">
        <f t="shared" si="29"/>
        <v>0</v>
      </c>
      <c r="S138" s="452">
        <f t="shared" si="30"/>
        <v>0</v>
      </c>
    </row>
    <row r="139" spans="1:19" ht="61.5" thickBot="1">
      <c r="A139" s="444" t="str">
        <f>CONCATENATE('3 pr-2'!A139)</f>
        <v>2.1.2.2.4.</v>
      </c>
      <c r="B139" s="445" t="str">
        <f>CONCATENATE('ketv. 2'!B138)</f>
        <v>08.4.2-ESFA-R-630-11-0003</v>
      </c>
      <c r="C139" s="443" t="str">
        <f>CONCATENATE('3 pr-2'!D139)</f>
        <v>Sveika bendruomenė – stipri visuomenė</v>
      </c>
      <c r="D139" s="443" t="str">
        <f>CONCATENATE('3 pr-2'!E139)</f>
        <v>Druskininkų savivaldybės visuomenės sveikatos biuras</v>
      </c>
      <c r="E139" s="443" t="str">
        <f>CONCATENATE('3 pr-2'!F139)</f>
        <v>Lietuvos Respublikos Sveikatos apsaugos ministerija</v>
      </c>
      <c r="F139" s="443" t="str">
        <f>CONCATENATE('3 pr-2'!G139)</f>
        <v>Druskininkų sav.</v>
      </c>
      <c r="G139" s="443" t="str">
        <f>CONCATENATE('3 pr-2'!H139)</f>
        <v>08.4.2-ESFA-R-630</v>
      </c>
      <c r="H139" s="443" t="str">
        <f>CONCATENATE('3 pr-2'!I139)</f>
        <v>R</v>
      </c>
      <c r="I139" s="446" t="str">
        <f>CONCATENATE('3 pr-2'!J139)</f>
        <v>-</v>
      </c>
      <c r="J139" s="447">
        <f>SUM('3 pr-2'!L139)</f>
        <v>198997.18</v>
      </c>
      <c r="K139" s="448">
        <f>SUM('3 pr-2'!O139)</f>
        <v>14924.79</v>
      </c>
      <c r="L139" s="448">
        <f>SUM('3 pr-2'!R139)</f>
        <v>14924.79</v>
      </c>
      <c r="M139" s="448">
        <f>SUM('3 pr-2'!U139)</f>
        <v>0</v>
      </c>
      <c r="N139" s="448">
        <f>SUM('3 pr-2'!X139)</f>
        <v>0</v>
      </c>
      <c r="O139" s="449">
        <f>SUM('3 pr-2'!AA139)</f>
        <v>169147.6</v>
      </c>
      <c r="P139" s="450">
        <f>SUM('3 pr-2'!AF139)</f>
        <v>43108</v>
      </c>
      <c r="Q139" s="443"/>
      <c r="R139" s="451">
        <f t="shared" si="29"/>
        <v>0</v>
      </c>
      <c r="S139" s="452">
        <f t="shared" si="30"/>
        <v>0</v>
      </c>
    </row>
    <row r="140" spans="1:19" ht="61.5" thickBot="1">
      <c r="A140" s="444" t="str">
        <f>CONCATENATE('3 pr-2'!A140)</f>
        <v>2.1.2.2.5</v>
      </c>
      <c r="B140" s="445" t="str">
        <f>CONCATENATE('ketv. 2'!B139)</f>
        <v>08.4.2-ESFA-R-630-11-0002</v>
      </c>
      <c r="C140" s="443" t="str">
        <f>CONCATENATE('3 pr-2'!D140)</f>
        <v>Sveikos gyvensenos skatinimas Lazdijų rajono savivaldybėje</v>
      </c>
      <c r="D140" s="443" t="str">
        <f>CONCATENATE('3 pr-2'!E140)</f>
        <v>Lazdijų rajono savivaldybės visuomenės sveikatos biuras</v>
      </c>
      <c r="E140" s="443" t="str">
        <f>CONCATENATE('3 pr-2'!F140)</f>
        <v>Lietuvos Respublikos Sveikatos apsaugos ministerija</v>
      </c>
      <c r="F140" s="443" t="str">
        <f>CONCATENATE('3 pr-2'!G140)</f>
        <v>Lazdijų r. sav.</v>
      </c>
      <c r="G140" s="443" t="str">
        <f>CONCATENATE('3 pr-2'!H140)</f>
        <v>08.4.2-ESFA-R-630</v>
      </c>
      <c r="H140" s="443" t="str">
        <f>CONCATENATE('3 pr-2'!I140)</f>
        <v>R</v>
      </c>
      <c r="I140" s="446" t="str">
        <f>CONCATENATE('3 pr-2'!J140)</f>
        <v>-</v>
      </c>
      <c r="J140" s="447">
        <f>SUM('3 pr-2'!L140)</f>
        <v>198997.18</v>
      </c>
      <c r="K140" s="448">
        <f>SUM('3 pr-2'!O140)</f>
        <v>14924.79</v>
      </c>
      <c r="L140" s="448">
        <f>SUM('3 pr-2'!R140)</f>
        <v>14924.79</v>
      </c>
      <c r="M140" s="448">
        <f>SUM('3 pr-2'!U140)</f>
        <v>0</v>
      </c>
      <c r="N140" s="448">
        <f>SUM('3 pr-2'!X140)</f>
        <v>0</v>
      </c>
      <c r="O140" s="449">
        <f>SUM('3 pr-2'!AA140)</f>
        <v>169147.6</v>
      </c>
      <c r="P140" s="450">
        <f>SUM('3 pr-2'!AF140)</f>
        <v>43108</v>
      </c>
      <c r="Q140" s="443"/>
      <c r="R140" s="451">
        <f t="shared" si="29"/>
        <v>0</v>
      </c>
      <c r="S140" s="452">
        <f t="shared" si="30"/>
        <v>0</v>
      </c>
    </row>
    <row r="141" spans="1:19" ht="15.75" hidden="1" thickBot="1">
      <c r="A141" s="444" t="e">
        <f>CONCATENATE('3 pr-2'!#REF!)</f>
        <v>#REF!</v>
      </c>
      <c r="B141" s="445" t="e">
        <f>CONCATENATE('ketv. 2'!#REF!)</f>
        <v>#REF!</v>
      </c>
      <c r="C141" s="443" t="e">
        <f>CONCATENATE('3 pr-2'!#REF!)</f>
        <v>#REF!</v>
      </c>
      <c r="D141" s="443" t="e">
        <f>CONCATENATE('3 pr-2'!#REF!)</f>
        <v>#REF!</v>
      </c>
      <c r="E141" s="443" t="e">
        <f>CONCATENATE('3 pr-2'!#REF!)</f>
        <v>#REF!</v>
      </c>
      <c r="F141" s="443" t="e">
        <f>CONCATENATE('3 pr-2'!#REF!)</f>
        <v>#REF!</v>
      </c>
      <c r="G141" s="443" t="e">
        <f>CONCATENATE('3 pr-2'!#REF!)</f>
        <v>#REF!</v>
      </c>
      <c r="H141" s="443" t="e">
        <f>CONCATENATE('3 pr-2'!#REF!)</f>
        <v>#REF!</v>
      </c>
      <c r="I141" s="446" t="e">
        <f>CONCATENATE('3 pr-2'!#REF!)</f>
        <v>#REF!</v>
      </c>
      <c r="J141" s="447" t="e">
        <f>SUM('3 pr-2'!#REF!)</f>
        <v>#REF!</v>
      </c>
      <c r="K141" s="448" t="e">
        <f>SUM('3 pr-2'!#REF!)</f>
        <v>#REF!</v>
      </c>
      <c r="L141" s="448" t="e">
        <f>SUM('3 pr-2'!#REF!)</f>
        <v>#REF!</v>
      </c>
      <c r="M141" s="448" t="e">
        <f>SUM('3 pr-2'!#REF!)</f>
        <v>#REF!</v>
      </c>
      <c r="N141" s="448" t="e">
        <f>SUM('3 pr-2'!#REF!)</f>
        <v>#REF!</v>
      </c>
      <c r="O141" s="449" t="e">
        <f>SUM('3 pr-2'!#REF!)</f>
        <v>#REF!</v>
      </c>
      <c r="P141" s="450" t="e">
        <f>SUM('3 pr-2'!#REF!)</f>
        <v>#REF!</v>
      </c>
      <c r="Q141" s="443"/>
      <c r="R141" s="451">
        <f t="shared" si="29"/>
        <v>0</v>
      </c>
      <c r="S141" s="452">
        <f t="shared" si="30"/>
        <v>0</v>
      </c>
    </row>
    <row r="142" spans="1:19" ht="15.75" hidden="1" thickBot="1">
      <c r="A142" s="444" t="e">
        <f>CONCATENATE('3 pr-2'!#REF!)</f>
        <v>#REF!</v>
      </c>
      <c r="B142" s="445" t="e">
        <f>CONCATENATE('ketv. 2'!#REF!)</f>
        <v>#REF!</v>
      </c>
      <c r="C142" s="443" t="e">
        <f>CONCATENATE('3 pr-2'!#REF!)</f>
        <v>#REF!</v>
      </c>
      <c r="D142" s="443" t="e">
        <f>CONCATENATE('3 pr-2'!#REF!)</f>
        <v>#REF!</v>
      </c>
      <c r="E142" s="443" t="e">
        <f>CONCATENATE('3 pr-2'!#REF!)</f>
        <v>#REF!</v>
      </c>
      <c r="F142" s="443" t="e">
        <f>CONCATENATE('3 pr-2'!#REF!)</f>
        <v>#REF!</v>
      </c>
      <c r="G142" s="443" t="e">
        <f>CONCATENATE('3 pr-2'!#REF!)</f>
        <v>#REF!</v>
      </c>
      <c r="H142" s="443" t="e">
        <f>CONCATENATE('3 pr-2'!#REF!)</f>
        <v>#REF!</v>
      </c>
      <c r="I142" s="446" t="e">
        <f>CONCATENATE('3 pr-2'!#REF!)</f>
        <v>#REF!</v>
      </c>
      <c r="J142" s="447" t="e">
        <f>SUM('3 pr-2'!#REF!)</f>
        <v>#REF!</v>
      </c>
      <c r="K142" s="448" t="e">
        <f>SUM('3 pr-2'!#REF!)</f>
        <v>#REF!</v>
      </c>
      <c r="L142" s="448" t="e">
        <f>SUM('3 pr-2'!#REF!)</f>
        <v>#REF!</v>
      </c>
      <c r="M142" s="448" t="e">
        <f>SUM('3 pr-2'!#REF!)</f>
        <v>#REF!</v>
      </c>
      <c r="N142" s="448" t="e">
        <f>SUM('3 pr-2'!#REF!)</f>
        <v>#REF!</v>
      </c>
      <c r="O142" s="449" t="e">
        <f>SUM('3 pr-2'!#REF!)</f>
        <v>#REF!</v>
      </c>
      <c r="P142" s="450" t="e">
        <f>SUM('3 pr-2'!#REF!)</f>
        <v>#REF!</v>
      </c>
      <c r="Q142" s="443"/>
      <c r="R142" s="451">
        <f t="shared" si="29"/>
        <v>0</v>
      </c>
      <c r="S142" s="452">
        <f t="shared" si="30"/>
        <v>0</v>
      </c>
    </row>
    <row r="143" spans="1:19" ht="15.75" hidden="1" thickBot="1">
      <c r="A143" s="444" t="e">
        <f>CONCATENATE('3 pr-2'!#REF!)</f>
        <v>#REF!</v>
      </c>
      <c r="B143" s="445" t="e">
        <f>CONCATENATE('ketv. 2'!#REF!)</f>
        <v>#REF!</v>
      </c>
      <c r="C143" s="443" t="e">
        <f>CONCATENATE('3 pr-2'!#REF!)</f>
        <v>#REF!</v>
      </c>
      <c r="D143" s="443" t="e">
        <f>CONCATENATE('3 pr-2'!#REF!)</f>
        <v>#REF!</v>
      </c>
      <c r="E143" s="443" t="e">
        <f>CONCATENATE('3 pr-2'!#REF!)</f>
        <v>#REF!</v>
      </c>
      <c r="F143" s="443" t="e">
        <f>CONCATENATE('3 pr-2'!#REF!)</f>
        <v>#REF!</v>
      </c>
      <c r="G143" s="443" t="e">
        <f>CONCATENATE('3 pr-2'!#REF!)</f>
        <v>#REF!</v>
      </c>
      <c r="H143" s="443" t="e">
        <f>CONCATENATE('3 pr-2'!#REF!)</f>
        <v>#REF!</v>
      </c>
      <c r="I143" s="446" t="e">
        <f>CONCATENATE('3 pr-2'!#REF!)</f>
        <v>#REF!</v>
      </c>
      <c r="J143" s="447" t="e">
        <f>SUM('3 pr-2'!#REF!)</f>
        <v>#REF!</v>
      </c>
      <c r="K143" s="448" t="e">
        <f>SUM('3 pr-2'!#REF!)</f>
        <v>#REF!</v>
      </c>
      <c r="L143" s="448" t="e">
        <f>SUM('3 pr-2'!#REF!)</f>
        <v>#REF!</v>
      </c>
      <c r="M143" s="448" t="e">
        <f>SUM('3 pr-2'!#REF!)</f>
        <v>#REF!</v>
      </c>
      <c r="N143" s="448" t="e">
        <f>SUM('3 pr-2'!#REF!)</f>
        <v>#REF!</v>
      </c>
      <c r="O143" s="449" t="e">
        <f>SUM('3 pr-2'!#REF!)</f>
        <v>#REF!</v>
      </c>
      <c r="P143" s="450" t="e">
        <f>SUM('3 pr-2'!#REF!)</f>
        <v>#REF!</v>
      </c>
      <c r="Q143" s="443"/>
      <c r="R143" s="451">
        <f t="shared" si="29"/>
        <v>0</v>
      </c>
      <c r="S143" s="452">
        <f t="shared" si="30"/>
        <v>0</v>
      </c>
    </row>
    <row r="144" spans="1:19" ht="15.75" hidden="1" thickBot="1">
      <c r="A144" s="444" t="e">
        <f>CONCATENATE('3 pr-2'!#REF!)</f>
        <v>#REF!</v>
      </c>
      <c r="B144" s="445" t="e">
        <f>CONCATENATE('ketv. 2'!#REF!)</f>
        <v>#REF!</v>
      </c>
      <c r="C144" s="443" t="e">
        <f>CONCATENATE('3 pr-2'!#REF!)</f>
        <v>#REF!</v>
      </c>
      <c r="D144" s="443" t="e">
        <f>CONCATENATE('3 pr-2'!#REF!)</f>
        <v>#REF!</v>
      </c>
      <c r="E144" s="443" t="e">
        <f>CONCATENATE('3 pr-2'!#REF!)</f>
        <v>#REF!</v>
      </c>
      <c r="F144" s="443" t="e">
        <f>CONCATENATE('3 pr-2'!#REF!)</f>
        <v>#REF!</v>
      </c>
      <c r="G144" s="443" t="e">
        <f>CONCATENATE('3 pr-2'!#REF!)</f>
        <v>#REF!</v>
      </c>
      <c r="H144" s="443" t="e">
        <f>CONCATENATE('3 pr-2'!#REF!)</f>
        <v>#REF!</v>
      </c>
      <c r="I144" s="446" t="e">
        <f>CONCATENATE('3 pr-2'!#REF!)</f>
        <v>#REF!</v>
      </c>
      <c r="J144" s="447" t="e">
        <f>SUM('3 pr-2'!#REF!)</f>
        <v>#REF!</v>
      </c>
      <c r="K144" s="448" t="e">
        <f>SUM('3 pr-2'!#REF!)</f>
        <v>#REF!</v>
      </c>
      <c r="L144" s="448" t="e">
        <f>SUM('3 pr-2'!#REF!)</f>
        <v>#REF!</v>
      </c>
      <c r="M144" s="448" t="e">
        <f>SUM('3 pr-2'!#REF!)</f>
        <v>#REF!</v>
      </c>
      <c r="N144" s="448" t="e">
        <f>SUM('3 pr-2'!#REF!)</f>
        <v>#REF!</v>
      </c>
      <c r="O144" s="449" t="e">
        <f>SUM('3 pr-2'!#REF!)</f>
        <v>#REF!</v>
      </c>
      <c r="P144" s="450" t="e">
        <f>SUM('3 pr-2'!#REF!)</f>
        <v>#REF!</v>
      </c>
      <c r="Q144" s="443"/>
      <c r="R144" s="451">
        <f t="shared" si="29"/>
        <v>0</v>
      </c>
      <c r="S144" s="452">
        <f t="shared" si="30"/>
        <v>0</v>
      </c>
    </row>
    <row r="145" spans="1:19" ht="15.75" hidden="1" thickBot="1">
      <c r="A145" s="444" t="e">
        <f>CONCATENATE('3 pr-2'!#REF!)</f>
        <v>#REF!</v>
      </c>
      <c r="B145" s="445" t="e">
        <f>CONCATENATE('ketv. 2'!#REF!)</f>
        <v>#REF!</v>
      </c>
      <c r="C145" s="443" t="e">
        <f>CONCATENATE('3 pr-2'!#REF!)</f>
        <v>#REF!</v>
      </c>
      <c r="D145" s="443" t="e">
        <f>CONCATENATE('3 pr-2'!#REF!)</f>
        <v>#REF!</v>
      </c>
      <c r="E145" s="443" t="e">
        <f>CONCATENATE('3 pr-2'!#REF!)</f>
        <v>#REF!</v>
      </c>
      <c r="F145" s="443" t="e">
        <f>CONCATENATE('3 pr-2'!#REF!)</f>
        <v>#REF!</v>
      </c>
      <c r="G145" s="443" t="e">
        <f>CONCATENATE('3 pr-2'!#REF!)</f>
        <v>#REF!</v>
      </c>
      <c r="H145" s="443" t="e">
        <f>CONCATENATE('3 pr-2'!#REF!)</f>
        <v>#REF!</v>
      </c>
      <c r="I145" s="446" t="e">
        <f>CONCATENATE('3 pr-2'!#REF!)</f>
        <v>#REF!</v>
      </c>
      <c r="J145" s="447" t="e">
        <f>SUM('3 pr-2'!#REF!)</f>
        <v>#REF!</v>
      </c>
      <c r="K145" s="448" t="e">
        <f>SUM('3 pr-2'!#REF!)</f>
        <v>#REF!</v>
      </c>
      <c r="L145" s="448" t="e">
        <f>SUM('3 pr-2'!#REF!)</f>
        <v>#REF!</v>
      </c>
      <c r="M145" s="448" t="e">
        <f>SUM('3 pr-2'!#REF!)</f>
        <v>#REF!</v>
      </c>
      <c r="N145" s="448" t="e">
        <f>SUM('3 pr-2'!#REF!)</f>
        <v>#REF!</v>
      </c>
      <c r="O145" s="449" t="e">
        <f>SUM('3 pr-2'!#REF!)</f>
        <v>#REF!</v>
      </c>
      <c r="P145" s="450" t="e">
        <f>SUM('3 pr-2'!#REF!)</f>
        <v>#REF!</v>
      </c>
      <c r="Q145" s="443"/>
      <c r="R145" s="451">
        <f t="shared" si="29"/>
        <v>0</v>
      </c>
      <c r="S145" s="452">
        <f t="shared" si="30"/>
        <v>0</v>
      </c>
    </row>
    <row r="146" spans="1:19" ht="15.75" hidden="1" thickBot="1">
      <c r="A146" s="163" t="e">
        <f>CONCATENATE('3 pr-2'!#REF!)</f>
        <v>#REF!</v>
      </c>
      <c r="B146" s="227" t="e">
        <f>CONCATENATE('ketv. 2'!#REF!)</f>
        <v>#REF!</v>
      </c>
      <c r="C146" s="164" t="e">
        <f>CONCATENATE('3 pr-2'!#REF!)</f>
        <v>#REF!</v>
      </c>
      <c r="D146" s="164" t="e">
        <f>CONCATENATE('3 pr-2'!#REF!)</f>
        <v>#REF!</v>
      </c>
      <c r="E146" s="164" t="e">
        <f>CONCATENATE('3 pr-2'!#REF!)</f>
        <v>#REF!</v>
      </c>
      <c r="F146" s="164" t="e">
        <f>CONCATENATE('3 pr-2'!#REF!)</f>
        <v>#REF!</v>
      </c>
      <c r="G146" s="164" t="e">
        <f>CONCATENATE('3 pr-2'!#REF!)</f>
        <v>#REF!</v>
      </c>
      <c r="H146" s="164" t="e">
        <f>CONCATENATE('3 pr-2'!#REF!)</f>
        <v>#REF!</v>
      </c>
      <c r="I146" s="174" t="e">
        <f>CONCATENATE('3 pr-2'!#REF!)</f>
        <v>#REF!</v>
      </c>
      <c r="J146" s="175" t="e">
        <f>SUM('3 pr-2'!#REF!)</f>
        <v>#REF!</v>
      </c>
      <c r="K146" s="176" t="e">
        <f>SUM('3 pr-2'!#REF!)</f>
        <v>#REF!</v>
      </c>
      <c r="L146" s="176" t="e">
        <f>SUM('3 pr-2'!#REF!)</f>
        <v>#REF!</v>
      </c>
      <c r="M146" s="176" t="e">
        <f>SUM('3 pr-2'!#REF!)</f>
        <v>#REF!</v>
      </c>
      <c r="N146" s="176" t="e">
        <f>SUM('3 pr-2'!#REF!)</f>
        <v>#REF!</v>
      </c>
      <c r="O146" s="177" t="e">
        <f>SUM('3 pr-2'!#REF!)</f>
        <v>#REF!</v>
      </c>
      <c r="P146" s="215" t="e">
        <f>SUM('3 pr-2'!#REF!)</f>
        <v>#REF!</v>
      </c>
      <c r="Q146" s="236"/>
      <c r="R146" s="216">
        <f t="shared" si="29"/>
        <v>0</v>
      </c>
      <c r="S146" s="459">
        <f t="shared" si="30"/>
        <v>0</v>
      </c>
    </row>
    <row r="147" spans="1:19" ht="41.25" customHeight="1" thickBot="1">
      <c r="A147" s="442" t="str">
        <f>CONCATENATE('3 pr-2'!A141)</f>
        <v>2.1.2.3</v>
      </c>
      <c r="B147" s="453" t="str">
        <f>CONCATENATE('ketv. 2'!B140)</f>
        <v/>
      </c>
      <c r="C147" s="2099" t="str">
        <f>CONCATENATE('3 pr-2'!B141)</f>
        <v>Priemonė:
Priemonių, gerinančių ambulatorinių sveikatos priežiūros paslaugų prieinamumą tuberkulioze sergantiems pacientams, įgyvendinimas</v>
      </c>
      <c r="D147" s="2100" t="str">
        <f>CONCATENATE('3 pr-2'!E147)</f>
        <v/>
      </c>
      <c r="E147" s="2100" t="str">
        <f>CONCATENATE('3 pr-2'!F147)</f>
        <v/>
      </c>
      <c r="F147" s="2100" t="str">
        <f>CONCATENATE('3 pr-2'!G147)</f>
        <v/>
      </c>
      <c r="G147" s="2100" t="str">
        <f>CONCATENATE('3 pr-2'!H147)</f>
        <v/>
      </c>
      <c r="H147" s="2100" t="str">
        <f>CONCATENATE('3 pr-2'!I147)</f>
        <v/>
      </c>
      <c r="I147" s="2100" t="str">
        <f>CONCATENATE('3 pr-2'!J147)</f>
        <v/>
      </c>
      <c r="J147" s="454">
        <f>SUM('3 pr-2'!L141)</f>
        <v>65213.18</v>
      </c>
      <c r="K147" s="454">
        <f>SUM('3 pr-2'!O141)</f>
        <v>3596.09</v>
      </c>
      <c r="L147" s="454">
        <f>SUM('3 pr-2'!R141)</f>
        <v>5556.4400000000005</v>
      </c>
      <c r="M147" s="454">
        <f>SUM('3 pr-2'!U141)</f>
        <v>0</v>
      </c>
      <c r="N147" s="454">
        <f>SUM('3 pr-2'!X141)</f>
        <v>1299.95</v>
      </c>
      <c r="O147" s="455">
        <f>SUM('3 pr-2'!AA141)</f>
        <v>54760.7</v>
      </c>
      <c r="P147" s="464"/>
      <c r="Q147" s="465"/>
      <c r="R147" s="466"/>
      <c r="S147" s="467"/>
    </row>
    <row r="148" spans="1:19" ht="85.5" thickBot="1">
      <c r="A148" s="444" t="str">
        <f>CONCATENATE('3 pr-2'!A142)</f>
        <v>2.1.2.3.1</v>
      </c>
      <c r="B148" s="445" t="str">
        <f>CONCATENATE('ketv. 2'!B141)</f>
        <v>08.4.2-ESFA-R-615-11-0004</v>
      </c>
      <c r="C148" s="443" t="str">
        <f>CONCATENATE('3 pr-2'!D142)</f>
        <v>Priemonių, gerinančių ambulatorinių sveikatos priežiūros paslaugų prieinamumą tuberkulioze sergantiems asmenims, Alytaus rajone, įgyvendinimas</v>
      </c>
      <c r="D148" s="443" t="str">
        <f>CONCATENATE('3 pr-2'!E142)</f>
        <v>VšĮ Alytaus rajono savivaldybės pirminės sveikatos priežiūros centras</v>
      </c>
      <c r="E148" s="443" t="str">
        <f>CONCATENATE('3 pr-2'!F142)</f>
        <v>Lietuvos Respublikos Sveikatos apsaugos ministerija</v>
      </c>
      <c r="F148" s="443" t="str">
        <f>CONCATENATE('3 pr-2'!G142)</f>
        <v>Alytaus r. sav.</v>
      </c>
      <c r="G148" s="443" t="str">
        <f>CONCATENATE('3 pr-2'!H142)</f>
        <v>08.4.2-ESFA-R-615</v>
      </c>
      <c r="H148" s="443" t="str">
        <f>CONCATENATE('3 pr-2'!I142)</f>
        <v>R</v>
      </c>
      <c r="I148" s="446" t="str">
        <f>CONCATENATE('3 pr-2'!J142)</f>
        <v>-</v>
      </c>
      <c r="J148" s="447">
        <f>SUM('3 pr-2'!L142)</f>
        <v>10453</v>
      </c>
      <c r="K148" s="448">
        <f>SUM('3 pr-2'!O142)</f>
        <v>0</v>
      </c>
      <c r="L148" s="448">
        <f>SUM('3 pr-2'!R142)</f>
        <v>1449.64</v>
      </c>
      <c r="M148" s="448">
        <f>SUM('3 pr-2'!U142)</f>
        <v>0</v>
      </c>
      <c r="N148" s="448">
        <f>SUM('3 pr-2'!X142)</f>
        <v>788.75</v>
      </c>
      <c r="O148" s="449">
        <f>SUM('3 pr-2'!AA142)</f>
        <v>8214.61</v>
      </c>
      <c r="P148" s="460">
        <f>SUM('3 pr-2'!AF142)</f>
        <v>43136</v>
      </c>
      <c r="Q148" s="461"/>
      <c r="R148" s="462">
        <f t="shared" ref="R148:R152" si="31">IF(Q148&gt;0,P148-Q148,0)</f>
        <v>0</v>
      </c>
      <c r="S148" s="463">
        <f t="shared" ref="S148:S152" si="32">IF(Q148&gt;0,(P148-Q148)/30.1667,0)</f>
        <v>0</v>
      </c>
    </row>
    <row r="149" spans="1:19" ht="61.5" thickBot="1">
      <c r="A149" s="444" t="str">
        <f>CONCATENATE('3 pr-2'!A143)</f>
        <v>2.1.2.3.2</v>
      </c>
      <c r="B149" s="445" t="str">
        <f>CONCATENATE('ketv. 2'!B142)</f>
        <v>08.4.2-ESFA-R-615-11-0005</v>
      </c>
      <c r="C149" s="443" t="str">
        <f>CONCATENATE('3 pr-2'!D143)</f>
        <v>Ambulatorinių sveikatos priežiūros paslaugų gerinimas tuberkulioze sergantiems asmenims</v>
      </c>
      <c r="D149" s="443" t="str">
        <f>CONCATENATE('3 pr-2'!E143)</f>
        <v>Alytaus miesto savivaldybės administracija</v>
      </c>
      <c r="E149" s="443" t="str">
        <f>CONCATENATE('3 pr-2'!F143)</f>
        <v>Lietuvos Respublikos Sveikatos apsaugos ministerija</v>
      </c>
      <c r="F149" s="443" t="str">
        <f>CONCATENATE('3 pr-2'!G143)</f>
        <v>Alytaus m. sav.</v>
      </c>
      <c r="G149" s="443" t="str">
        <f>CONCATENATE('3 pr-2'!H143)</f>
        <v>08.4.2-ESFA-R-615</v>
      </c>
      <c r="H149" s="443" t="str">
        <f>CONCATENATE('3 pr-2'!I143)</f>
        <v>R</v>
      </c>
      <c r="I149" s="446" t="str">
        <f>CONCATENATE('3 pr-2'!J143)</f>
        <v>-</v>
      </c>
      <c r="J149" s="447">
        <f>SUM('3 pr-2'!L143)</f>
        <v>17041.18</v>
      </c>
      <c r="K149" s="448">
        <f>SUM('3 pr-2'!O143)</f>
        <v>1278.0899999999999</v>
      </c>
      <c r="L149" s="448">
        <f>SUM('3 pr-2'!R143)</f>
        <v>1278</v>
      </c>
      <c r="M149" s="448">
        <f>SUM('3 pr-2'!U143)</f>
        <v>0</v>
      </c>
      <c r="N149" s="448">
        <f>SUM('3 pr-2'!X143)</f>
        <v>0</v>
      </c>
      <c r="O149" s="449">
        <f>SUM('3 pr-2'!AA143)</f>
        <v>14485.09</v>
      </c>
      <c r="P149" s="450">
        <f>SUM('3 pr-2'!AF143)</f>
        <v>43136</v>
      </c>
      <c r="Q149" s="443"/>
      <c r="R149" s="451">
        <f t="shared" si="31"/>
        <v>0</v>
      </c>
      <c r="S149" s="452">
        <f t="shared" si="32"/>
        <v>0</v>
      </c>
    </row>
    <row r="150" spans="1:19" ht="61.5" thickBot="1">
      <c r="A150" s="444" t="str">
        <f>CONCATENATE('3 pr-2'!A144)</f>
        <v>2.1.2.3.3</v>
      </c>
      <c r="B150" s="445" t="str">
        <f>CONCATENATE('ketv. 2'!B143)</f>
        <v>08.4.2-ESFA-R-615-11-0001</v>
      </c>
      <c r="C150" s="443" t="str">
        <f>CONCATENATE('3 pr-2'!D144)</f>
        <v>Paslaugų tuberkulioze sergantiems asmenims gerinimas Lazdijų rajono savivaldybėje</v>
      </c>
      <c r="D150" s="443" t="str">
        <f>CONCATENATE('3 pr-2'!E144)</f>
        <v>Lazdijų rajono savivaldybės administracija</v>
      </c>
      <c r="E150" s="443" t="str">
        <f>CONCATENATE('3 pr-2'!F144)</f>
        <v>Lietuvos Respublikos Sveikatos apsaugos ministerija</v>
      </c>
      <c r="F150" s="443" t="str">
        <f>CONCATENATE('3 pr-2'!G144)</f>
        <v>Lazdijų r. sav.</v>
      </c>
      <c r="G150" s="443" t="str">
        <f>CONCATENATE('3 pr-2'!H144)</f>
        <v>08.4.2-ESFA-R-615</v>
      </c>
      <c r="H150" s="443" t="str">
        <f>CONCATENATE('3 pr-2'!I144)</f>
        <v>R</v>
      </c>
      <c r="I150" s="446" t="str">
        <f>CONCATENATE('3 pr-2'!J144)</f>
        <v>-</v>
      </c>
      <c r="J150" s="447">
        <f>SUM('3 pr-2'!L144)</f>
        <v>15224</v>
      </c>
      <c r="K150" s="448">
        <f>SUM('3 pr-2'!O144)</f>
        <v>1142</v>
      </c>
      <c r="L150" s="448">
        <f>SUM('3 pr-2'!R144)</f>
        <v>1141.5999999999999</v>
      </c>
      <c r="M150" s="448">
        <f>SUM('3 pr-2'!U144)</f>
        <v>0</v>
      </c>
      <c r="N150" s="448">
        <f>SUM('3 pr-2'!X144)</f>
        <v>0</v>
      </c>
      <c r="O150" s="449">
        <f>SUM('3 pr-2'!AA144)</f>
        <v>12940.4</v>
      </c>
      <c r="P150" s="450">
        <f>SUM('3 pr-2'!AF144)</f>
        <v>43136</v>
      </c>
      <c r="Q150" s="443"/>
      <c r="R150" s="451">
        <f t="shared" si="31"/>
        <v>0</v>
      </c>
      <c r="S150" s="452">
        <f t="shared" si="32"/>
        <v>0</v>
      </c>
    </row>
    <row r="151" spans="1:19" ht="61.5" thickBot="1">
      <c r="A151" s="444" t="str">
        <f>CONCATENATE('3 pr-2'!A145)</f>
        <v>2.1.2.3.4</v>
      </c>
      <c r="B151" s="445" t="str">
        <f>CONCATENATE('ketv. 2'!B144)</f>
        <v>08.4.2-ESFA-R-615-11-0002</v>
      </c>
      <c r="C151" s="443" t="str">
        <f>CONCATENATE('3 pr-2'!D145)</f>
        <v>Ambulatorinių sveikatos priežiūros paslaugų tuberkulioze sergantiems asmenims prieinamumo gerinimas Druskininkų savivaldybėje</v>
      </c>
      <c r="D151" s="443" t="str">
        <f>CONCATENATE('3 pr-2'!E145)</f>
        <v>Druskininkų pirminės sveikatos priežiūros centras</v>
      </c>
      <c r="E151" s="443" t="str">
        <f>CONCATENATE('3 pr-2'!F145)</f>
        <v>Lietuvos Respublikos Sveikatos apsaugos ministerija</v>
      </c>
      <c r="F151" s="443" t="str">
        <f>CONCATENATE('3 pr-2'!G145)</f>
        <v>Druskininkų sav.</v>
      </c>
      <c r="G151" s="443" t="str">
        <f>CONCATENATE('3 pr-2'!H145)</f>
        <v>08.4.2-ESFA-R-615</v>
      </c>
      <c r="H151" s="443" t="str">
        <f>CONCATENATE('3 pr-2'!I145)</f>
        <v>R</v>
      </c>
      <c r="I151" s="446" t="str">
        <f>CONCATENATE('3 pr-2'!J145)</f>
        <v>-</v>
      </c>
      <c r="J151" s="447">
        <f>SUM('3 pr-2'!L145)</f>
        <v>6816</v>
      </c>
      <c r="K151" s="448">
        <f>SUM('3 pr-2'!O145)</f>
        <v>0</v>
      </c>
      <c r="L151" s="448">
        <f>SUM('3 pr-2'!R145)</f>
        <v>511.2</v>
      </c>
      <c r="M151" s="448">
        <f>SUM('3 pr-2'!U145)</f>
        <v>0</v>
      </c>
      <c r="N151" s="448">
        <f>SUM('3 pr-2'!X145)</f>
        <v>511.2</v>
      </c>
      <c r="O151" s="449">
        <f>SUM('3 pr-2'!AA145)</f>
        <v>5793.6</v>
      </c>
      <c r="P151" s="450">
        <f>SUM('3 pr-2'!AF145)</f>
        <v>43136</v>
      </c>
      <c r="Q151" s="443"/>
      <c r="R151" s="451">
        <f t="shared" si="31"/>
        <v>0</v>
      </c>
      <c r="S151" s="452">
        <f t="shared" si="32"/>
        <v>0</v>
      </c>
    </row>
    <row r="152" spans="1:19" ht="61.5" thickBot="1">
      <c r="A152" s="444" t="str">
        <f>CONCATENATE('3 pr-2'!A146)</f>
        <v>2.1.2.3.5</v>
      </c>
      <c r="B152" s="445" t="str">
        <f>CONCATENATE('ketv. 2'!B145)</f>
        <v>08.4.2-ESFA-R-615-11-0003</v>
      </c>
      <c r="C152" s="443" t="str">
        <f>CONCATENATE('3 pr-2'!D146)</f>
        <v>Ambulatorinių sveikatos priežiūros paslaugų prieinamumo gerinimas tuberkulioze sergantiems asmenims Varėnos rajono savivaldybėje</v>
      </c>
      <c r="D152" s="443" t="str">
        <f>CONCATENATE('3 pr-2'!E146)</f>
        <v>Varėnos rajono savivaldybės administracija</v>
      </c>
      <c r="E152" s="443" t="str">
        <f>CONCATENATE('3 pr-2'!F146)</f>
        <v>Lietuvos Respublikos Sveikatos apsaugos ministerija</v>
      </c>
      <c r="F152" s="443" t="str">
        <f>CONCATENATE('3 pr-2'!G146)</f>
        <v>Varėnos r. sav.</v>
      </c>
      <c r="G152" s="443" t="str">
        <f>CONCATENATE('3 pr-2'!H146)</f>
        <v>08.4.2-ESFA-R-615</v>
      </c>
      <c r="H152" s="443" t="str">
        <f>CONCATENATE('3 pr-2'!I146)</f>
        <v>R</v>
      </c>
      <c r="I152" s="446" t="str">
        <f>CONCATENATE('3 pr-2'!J146)</f>
        <v>-</v>
      </c>
      <c r="J152" s="447">
        <f>SUM('3 pr-2'!L146)</f>
        <v>15679</v>
      </c>
      <c r="K152" s="448">
        <f>SUM('3 pr-2'!O146)</f>
        <v>1176</v>
      </c>
      <c r="L152" s="448">
        <f>SUM('3 pr-2'!R146)</f>
        <v>1176</v>
      </c>
      <c r="M152" s="448">
        <f>SUM('3 pr-2'!U146)</f>
        <v>0</v>
      </c>
      <c r="N152" s="448">
        <f>SUM('3 pr-2'!X146)</f>
        <v>0</v>
      </c>
      <c r="O152" s="449">
        <f>SUM('3 pr-2'!AA146)</f>
        <v>13327</v>
      </c>
      <c r="P152" s="450">
        <f>SUM('3 pr-2'!AF146)</f>
        <v>43136</v>
      </c>
      <c r="Q152" s="443"/>
      <c r="R152" s="451">
        <f t="shared" si="31"/>
        <v>0</v>
      </c>
      <c r="S152" s="452">
        <f t="shared" si="32"/>
        <v>0</v>
      </c>
    </row>
    <row r="153" spans="1:19" ht="44.25" customHeight="1" thickBot="1">
      <c r="A153" s="138" t="str">
        <f>CONCATENATE('3 pr-2'!A147)</f>
        <v>2.1.3.</v>
      </c>
      <c r="B153" s="227" t="str">
        <f>CONCATENATE('ketv. 2'!B146)</f>
        <v/>
      </c>
      <c r="C153" s="1948" t="str">
        <f>CONCATENATE('3 pr-2'!B147)</f>
        <v>Uždavinys:
Socialinio būsto ir socialinių paslaugų prieinamumo pažeidžiamiausioms gyventojų grupėms padidinimas</v>
      </c>
      <c r="D153" s="1949" t="str">
        <f>CONCATENATE('3 pr-2'!E153)</f>
        <v>VšĮ Kapčiamiesčio globos namai</v>
      </c>
      <c r="E153" s="1949" t="str">
        <f>CONCATENATE('3 pr-2'!F153)</f>
        <v>Lietuvos Respublikos socialinės apsaugos ir darbo ministerija</v>
      </c>
      <c r="F153" s="1949" t="str">
        <f>CONCATENATE('3 pr-2'!G153)</f>
        <v>Lazdijų r. sav.</v>
      </c>
      <c r="G153" s="1949" t="str">
        <f>CONCATENATE('3 pr-2'!H153)</f>
        <v>08.1.1-CPVA-R-407</v>
      </c>
      <c r="H153" s="1949" t="str">
        <f>CONCATENATE('3 pr-2'!I153)</f>
        <v>R</v>
      </c>
      <c r="I153" s="1950" t="str">
        <f>CONCATENATE('3 pr-2'!J153)</f>
        <v>-</v>
      </c>
      <c r="J153" s="202">
        <f>SUM('3 pr-2'!L147)</f>
        <v>4201522.92</v>
      </c>
      <c r="K153" s="202">
        <f>SUM('3 pr-2'!O147)</f>
        <v>772840.28</v>
      </c>
      <c r="L153" s="202">
        <f>SUM('3 pr-2'!R147)</f>
        <v>21947.85</v>
      </c>
      <c r="M153" s="202">
        <f>SUM('3 pr-2'!U147)</f>
        <v>0</v>
      </c>
      <c r="N153" s="202">
        <f>SUM('3 pr-2'!X147)</f>
        <v>0</v>
      </c>
      <c r="O153" s="202">
        <f>SUM('3 pr-2'!AA147)</f>
        <v>3406734.7899999996</v>
      </c>
      <c r="P153" s="187" t="s">
        <v>679</v>
      </c>
      <c r="Q153" s="171" t="s">
        <v>679</v>
      </c>
      <c r="R153" s="172" t="s">
        <v>679</v>
      </c>
      <c r="S153" s="172"/>
    </row>
    <row r="154" spans="1:19" ht="42.75" customHeight="1" thickBot="1">
      <c r="A154" s="287" t="str">
        <f>CONCATENATE('3 pr-2'!A148)</f>
        <v>2.1.3.1</v>
      </c>
      <c r="B154" s="425" t="str">
        <f>CONCATENATE('ketv. 2'!B147)</f>
        <v/>
      </c>
      <c r="C154" s="1936" t="str">
        <f>CONCATENATE('3 pr-2'!B148)</f>
        <v>Priemonė:
Socialinių paslaugų infrastruktūros plėtra</v>
      </c>
      <c r="D154" s="2097" t="str">
        <f>CONCATENATE('3 pr-2'!E154)</f>
        <v/>
      </c>
      <c r="E154" s="2097" t="str">
        <f>CONCATENATE('3 pr-2'!F154)</f>
        <v/>
      </c>
      <c r="F154" s="2097" t="str">
        <f>CONCATENATE('3 pr-2'!G154)</f>
        <v/>
      </c>
      <c r="G154" s="2097" t="str">
        <f>CONCATENATE('3 pr-2'!H154)</f>
        <v/>
      </c>
      <c r="H154" s="2097" t="str">
        <f>CONCATENATE('3 pr-2'!I154)</f>
        <v/>
      </c>
      <c r="I154" s="2098" t="str">
        <f>CONCATENATE('3 pr-2'!J154)</f>
        <v/>
      </c>
      <c r="J154" s="426">
        <f>SUM('3 pr-2'!L148)</f>
        <v>1235321.8</v>
      </c>
      <c r="K154" s="426">
        <f>SUM('3 pr-2'!O148)</f>
        <v>327612.79999999999</v>
      </c>
      <c r="L154" s="426">
        <f>SUM('3 pr-2'!R148)</f>
        <v>21947.85</v>
      </c>
      <c r="M154" s="426">
        <f>SUM('3 pr-2'!U148)</f>
        <v>0</v>
      </c>
      <c r="N154" s="426">
        <f>SUM('3 pr-2'!X148)</f>
        <v>0</v>
      </c>
      <c r="O154" s="427">
        <f>SUM('3 pr-2'!AA148)</f>
        <v>885761.15</v>
      </c>
      <c r="P154" s="428"/>
      <c r="Q154" s="429"/>
      <c r="R154" s="430"/>
      <c r="S154" s="430"/>
    </row>
    <row r="155" spans="1:19" ht="61.5" thickBot="1">
      <c r="A155" s="163" t="str">
        <f>CONCATENATE('3 pr-2'!A149)</f>
        <v>2.1.3.1.1</v>
      </c>
      <c r="B155" s="227" t="str">
        <f>CONCATENATE('ketv. 2'!B148)</f>
        <v>08.1.1-CPVA-R-407-11-0002</v>
      </c>
      <c r="C155" s="164" t="str">
        <f>CONCATENATE('3 pr-2'!D149)</f>
        <v>Socialinių paslaugų infrastruktūros plėtra Varėnos rajono savivaldybėje</v>
      </c>
      <c r="D155" s="164" t="str">
        <f>CONCATENATE('3 pr-2'!E149)</f>
        <v>Varėnos rajono savivaldybės administracija</v>
      </c>
      <c r="E155" s="164" t="str">
        <f>CONCATENATE('3 pr-2'!F149)</f>
        <v>Lietuvos Respublikos socialinės apsaugos ir darbo ministerija</v>
      </c>
      <c r="F155" s="164" t="str">
        <f>CONCATENATE('3 pr-2'!G149)</f>
        <v>Varėnos r. sav.</v>
      </c>
      <c r="G155" s="164" t="str">
        <f>CONCATENATE('3 pr-2'!H149)</f>
        <v>08.1.1-CPVA-R-407</v>
      </c>
      <c r="H155" s="164" t="str">
        <f>CONCATENATE('3 pr-2'!I149)</f>
        <v>R</v>
      </c>
      <c r="I155" s="174" t="str">
        <f>CONCATENATE('3 pr-2'!J149)</f>
        <v>-</v>
      </c>
      <c r="J155" s="175">
        <f>SUM('3 pr-2'!L149)</f>
        <v>148480</v>
      </c>
      <c r="K155" s="176">
        <f>SUM('3 pr-2'!O149)</f>
        <v>22272</v>
      </c>
      <c r="L155" s="176">
        <f>SUM('3 pr-2'!R149)</f>
        <v>0</v>
      </c>
      <c r="M155" s="176">
        <f>SUM('3 pr-2'!U149)</f>
        <v>0</v>
      </c>
      <c r="N155" s="176">
        <f>SUM('3 pr-2'!X149)</f>
        <v>0</v>
      </c>
      <c r="O155" s="177">
        <f>SUM('3 pr-2'!AA149)</f>
        <v>126208</v>
      </c>
      <c r="P155" s="195">
        <f>SUM('3 pr-2'!AF149)</f>
        <v>42618</v>
      </c>
      <c r="Q155" s="239">
        <v>42618</v>
      </c>
      <c r="R155" s="173">
        <f t="shared" ref="R155:R159" si="33">IF(Q155&gt;0,P155-Q155,0)</f>
        <v>0</v>
      </c>
      <c r="S155" s="234">
        <f t="shared" ref="S155:S159" si="34">IF(Q155&gt;0,(P155-Q155)/30.1667,0)</f>
        <v>0</v>
      </c>
    </row>
    <row r="156" spans="1:19" ht="61.5" thickBot="1">
      <c r="A156" s="163" t="str">
        <f>CONCATENATE('3 pr-2'!A150)</f>
        <v>2.1.3.1.2</v>
      </c>
      <c r="B156" s="227" t="str">
        <f>CONCATENATE('ketv. 2'!B149)</f>
        <v>08.1.1-CPVA-R-407-11-0004</v>
      </c>
      <c r="C156" s="164" t="str">
        <f>CONCATENATE('3 pr-2'!D150)</f>
        <v>Psichosocialinės pagalbos centro įkūrimas</v>
      </c>
      <c r="D156" s="164" t="str">
        <f>CONCATENATE('3 pr-2'!E150)</f>
        <v>Alytaus rajono savivaldybės administracija</v>
      </c>
      <c r="E156" s="164" t="str">
        <f>CONCATENATE('3 pr-2'!F150)</f>
        <v>Lietuvos Respublikos socialinės apsaugos ir darbo ministerija</v>
      </c>
      <c r="F156" s="164" t="str">
        <f>CONCATENATE('3 pr-2'!G150)</f>
        <v>Alytaus r. sav.</v>
      </c>
      <c r="G156" s="164" t="str">
        <f>CONCATENATE('3 pr-2'!H150)</f>
        <v>08.1.1-CPVA-R-407</v>
      </c>
      <c r="H156" s="164" t="str">
        <f>CONCATENATE('3 pr-2'!I150)</f>
        <v>R</v>
      </c>
      <c r="I156" s="174" t="str">
        <f>CONCATENATE('3 pr-2'!J150)</f>
        <v/>
      </c>
      <c r="J156" s="175">
        <f>SUM('3 pr-2'!L150)</f>
        <v>188353</v>
      </c>
      <c r="K156" s="176">
        <f>SUM('3 pr-2'!O150)</f>
        <v>28253</v>
      </c>
      <c r="L156" s="176">
        <f>SUM('3 pr-2'!R150)</f>
        <v>0</v>
      </c>
      <c r="M156" s="176">
        <f>SUM('3 pr-2'!U150)</f>
        <v>0</v>
      </c>
      <c r="N156" s="176">
        <f>SUM('3 pr-2'!X150)</f>
        <v>0</v>
      </c>
      <c r="O156" s="177">
        <f>SUM('3 pr-2'!AA150)</f>
        <v>160100</v>
      </c>
      <c r="P156" s="195">
        <f>SUM('3 pr-2'!AF150)</f>
        <v>42618</v>
      </c>
      <c r="Q156" s="239">
        <v>42618</v>
      </c>
      <c r="R156" s="173">
        <f t="shared" si="33"/>
        <v>0</v>
      </c>
      <c r="S156" s="234">
        <f t="shared" si="34"/>
        <v>0</v>
      </c>
    </row>
    <row r="157" spans="1:19" ht="61.5" thickBot="1">
      <c r="A157" s="163" t="str">
        <f>CONCATENATE('3 pr-2'!A151)</f>
        <v>2.1.3.1.3</v>
      </c>
      <c r="B157" s="227" t="str">
        <f>CONCATENATE('ketv. 2'!B150)</f>
        <v>08.1.1-CPVA-R-407-11-0005</v>
      </c>
      <c r="C157" s="164" t="str">
        <f>CONCATENATE('3 pr-2'!D151)</f>
        <v>Socialinių paslaugų plėtra Alytaus mieste</v>
      </c>
      <c r="D157" s="164" t="str">
        <f>CONCATENATE('3 pr-2'!E151)</f>
        <v>Alytaus miesto savivaldybės administracija</v>
      </c>
      <c r="E157" s="164" t="str">
        <f>CONCATENATE('3 pr-2'!F151)</f>
        <v>Lietuvos Respublikos socialinės apsaugos ir darbo ministerija</v>
      </c>
      <c r="F157" s="164" t="str">
        <f>CONCATENATE('3 pr-2'!G151)</f>
        <v>Alytaus m. sav.</v>
      </c>
      <c r="G157" s="164" t="str">
        <f>CONCATENATE('3 pr-2'!H151)</f>
        <v>08.1.1-CPVA-R-407</v>
      </c>
      <c r="H157" s="164" t="str">
        <f>CONCATENATE('3 pr-2'!I151)</f>
        <v>R</v>
      </c>
      <c r="I157" s="174" t="str">
        <f>CONCATENATE('3 pr-2'!J151)</f>
        <v>-</v>
      </c>
      <c r="J157" s="175">
        <f>SUM('3 pr-2'!L151)</f>
        <v>600732.80000000005</v>
      </c>
      <c r="K157" s="176">
        <f>SUM('3 pr-2'!O151)</f>
        <v>254371.8</v>
      </c>
      <c r="L157" s="176">
        <f>SUM('3 pr-2'!R151)</f>
        <v>0</v>
      </c>
      <c r="M157" s="176">
        <f>SUM('3 pr-2'!U151)</f>
        <v>0</v>
      </c>
      <c r="N157" s="176">
        <f>SUM('3 pr-2'!X151)</f>
        <v>0</v>
      </c>
      <c r="O157" s="177">
        <f>SUM('3 pr-2'!AA151)</f>
        <v>346361</v>
      </c>
      <c r="P157" s="195">
        <f>SUM('3 pr-2'!AF151)</f>
        <v>42653</v>
      </c>
      <c r="Q157" s="239">
        <v>42653</v>
      </c>
      <c r="R157" s="173">
        <f t="shared" si="33"/>
        <v>0</v>
      </c>
      <c r="S157" s="234">
        <f t="shared" si="34"/>
        <v>0</v>
      </c>
    </row>
    <row r="158" spans="1:19" ht="61.5" thickBot="1">
      <c r="A158" s="163" t="str">
        <f>CONCATENATE('3 pr-2'!A152)</f>
        <v>2.1.3.1.4</v>
      </c>
      <c r="B158" s="227" t="str">
        <f>CONCATENATE('ketv. 2'!B151)</f>
        <v>08.1.1-CPVA-R-407-11-0001</v>
      </c>
      <c r="C158" s="164" t="str">
        <f>CONCATENATE('3 pr-2'!D152)</f>
        <v>Socialinių paslaugų infrastruktūros plėtra Druskininkų savivaldybėje</v>
      </c>
      <c r="D158" s="164" t="str">
        <f>CONCATENATE('3 pr-2'!E152)</f>
        <v>Druskininkų savivaldybės administracija</v>
      </c>
      <c r="E158" s="164" t="str">
        <f>CONCATENATE('3 pr-2'!F152)</f>
        <v>Lietuvos Respublikos socialinės apsaugos ir darbo ministerija</v>
      </c>
      <c r="F158" s="164" t="str">
        <f>CONCATENATE('3 pr-2'!G152)</f>
        <v>Druskininkų sav.</v>
      </c>
      <c r="G158" s="164" t="str">
        <f>CONCATENATE('3 pr-2'!H152)</f>
        <v>08.1.1-CPVA-R-407</v>
      </c>
      <c r="H158" s="164" t="str">
        <f>CONCATENATE('3 pr-2'!I152)</f>
        <v>R</v>
      </c>
      <c r="I158" s="174" t="str">
        <f>CONCATENATE('3 pr-2'!J152)</f>
        <v>-</v>
      </c>
      <c r="J158" s="175">
        <f>SUM('3 pr-2'!L152)</f>
        <v>151437</v>
      </c>
      <c r="K158" s="176">
        <f>SUM('3 pr-2'!O152)</f>
        <v>22716</v>
      </c>
      <c r="L158" s="176">
        <f>SUM('3 pr-2'!R152)</f>
        <v>0</v>
      </c>
      <c r="M158" s="176">
        <f>SUM('3 pr-2'!U152)</f>
        <v>0</v>
      </c>
      <c r="N158" s="176">
        <f>SUM('3 pr-2'!X152)</f>
        <v>0</v>
      </c>
      <c r="O158" s="177">
        <f>SUM('3 pr-2'!AA152)</f>
        <v>128721</v>
      </c>
      <c r="P158" s="195">
        <f>SUM('3 pr-2'!AF152)</f>
        <v>42618</v>
      </c>
      <c r="Q158" s="239">
        <v>42618</v>
      </c>
      <c r="R158" s="173">
        <f t="shared" si="33"/>
        <v>0</v>
      </c>
      <c r="S158" s="234">
        <f t="shared" si="34"/>
        <v>0</v>
      </c>
    </row>
    <row r="159" spans="1:19" ht="61.5" thickBot="1">
      <c r="A159" s="163" t="str">
        <f>CONCATENATE('3 pr-2'!A153)</f>
        <v>2.1.3.1.5</v>
      </c>
      <c r="B159" s="227" t="str">
        <f>CONCATENATE('ketv. 2'!B152)</f>
        <v>08.1.1-CPVA-R-407-11-0003</v>
      </c>
      <c r="C159" s="164" t="str">
        <f>CONCATENATE('3 pr-2'!D153)</f>
        <v>Socialinių paslaugų infrastruktūros modernizavimas ir plėtra VšĮ Kapčiamiesčio globos namuose</v>
      </c>
      <c r="D159" s="164" t="str">
        <f>CONCATENATE('3 pr-2'!E153)</f>
        <v>VšĮ Kapčiamiesčio globos namai</v>
      </c>
      <c r="E159" s="164" t="str">
        <f>CONCATENATE('3 pr-2'!F153)</f>
        <v>Lietuvos Respublikos socialinės apsaugos ir darbo ministerija</v>
      </c>
      <c r="F159" s="164" t="str">
        <f>CONCATENATE('3 pr-2'!G153)</f>
        <v>Lazdijų r. sav.</v>
      </c>
      <c r="G159" s="164" t="str">
        <f>CONCATENATE('3 pr-2'!H153)</f>
        <v>08.1.1-CPVA-R-407</v>
      </c>
      <c r="H159" s="164" t="str">
        <f>CONCATENATE('3 pr-2'!I153)</f>
        <v>R</v>
      </c>
      <c r="I159" s="174" t="str">
        <f>CONCATENATE('3 pr-2'!J153)</f>
        <v>-</v>
      </c>
      <c r="J159" s="175">
        <f>SUM('3 pr-2'!L153)</f>
        <v>146319</v>
      </c>
      <c r="K159" s="176">
        <f>SUM('3 pr-2'!O153)</f>
        <v>0</v>
      </c>
      <c r="L159" s="176">
        <f>SUM('3 pr-2'!R153)</f>
        <v>21947.85</v>
      </c>
      <c r="M159" s="176">
        <f>SUM('3 pr-2'!U153)</f>
        <v>0</v>
      </c>
      <c r="N159" s="176">
        <f>SUM('3 pr-2'!X153)</f>
        <v>0</v>
      </c>
      <c r="O159" s="177">
        <f>SUM('3 pr-2'!AA153)</f>
        <v>124371.15</v>
      </c>
      <c r="P159" s="195">
        <f>SUM('3 pr-2'!AF153)</f>
        <v>42618</v>
      </c>
      <c r="Q159" s="239">
        <v>42618</v>
      </c>
      <c r="R159" s="173">
        <f t="shared" si="33"/>
        <v>0</v>
      </c>
      <c r="S159" s="234">
        <f t="shared" si="34"/>
        <v>0</v>
      </c>
    </row>
    <row r="160" spans="1:19" ht="25.5" customHeight="1" thickBot="1">
      <c r="A160" s="287" t="str">
        <f>CONCATENATE('3 pr-2'!A154)</f>
        <v>2.1.3.2</v>
      </c>
      <c r="B160" s="425" t="str">
        <f>CONCATENATE('ketv. 2'!B153)</f>
        <v/>
      </c>
      <c r="C160" s="1936" t="str">
        <f>CONCATENATE('3 pr-2'!B154)</f>
        <v>Priemonė:
Socialinio būsto fondo plėtra</v>
      </c>
      <c r="D160" s="2095" t="str">
        <f>CONCATENATE('3 pr-2'!E160)</f>
        <v/>
      </c>
      <c r="E160" s="2095" t="str">
        <f>CONCATENATE('3 pr-2'!F160)</f>
        <v/>
      </c>
      <c r="F160" s="2095" t="str">
        <f>CONCATENATE('3 pr-2'!G160)</f>
        <v/>
      </c>
      <c r="G160" s="2095" t="str">
        <f>CONCATENATE('3 pr-2'!H160)</f>
        <v/>
      </c>
      <c r="H160" s="2095" t="str">
        <f>CONCATENATE('3 pr-2'!I160)</f>
        <v/>
      </c>
      <c r="I160" s="2095" t="str">
        <f>CONCATENATE('3 pr-2'!J160)</f>
        <v/>
      </c>
      <c r="J160" s="426">
        <f>SUM('3 pr-2'!L154)</f>
        <v>2966201.12</v>
      </c>
      <c r="K160" s="426">
        <f>SUM('3 pr-2'!O154)</f>
        <v>445227.48000000004</v>
      </c>
      <c r="L160" s="426">
        <f>SUM('3 pr-2'!R154)</f>
        <v>0</v>
      </c>
      <c r="M160" s="426">
        <f>SUM('3 pr-2'!U154)</f>
        <v>0</v>
      </c>
      <c r="N160" s="426">
        <f>SUM('3 pr-2'!X154)</f>
        <v>0</v>
      </c>
      <c r="O160" s="427">
        <f>SUM('3 pr-2'!AA154)</f>
        <v>2520973.6399999997</v>
      </c>
      <c r="P160" s="428"/>
      <c r="Q160" s="429"/>
      <c r="R160" s="430"/>
      <c r="S160" s="430"/>
    </row>
    <row r="161" spans="1:19" ht="61.5" thickBot="1">
      <c r="A161" s="163" t="str">
        <f>CONCATENATE('3 pr-2'!A155)</f>
        <v>2.1.3.2.1</v>
      </c>
      <c r="B161" s="227" t="str">
        <f>CONCATENATE('ketv. 2'!B154)</f>
        <v>08.1.2-CPVA-R-408-11-0001</v>
      </c>
      <c r="C161" s="164" t="str">
        <f>CONCATENATE('3 pr-2'!D155)</f>
        <v>Socialinio būsto plėtra Varėnos rajone</v>
      </c>
      <c r="D161" s="164" t="str">
        <f>CONCATENATE('3 pr-2'!E155)</f>
        <v>Varėnos rajono savivaldybės administracija</v>
      </c>
      <c r="E161" s="164" t="str">
        <f>CONCATENATE('3 pr-2'!F155)</f>
        <v>Lietuvos Respublikos socialinės apsaugos ir darbo ministerija</v>
      </c>
      <c r="F161" s="164" t="str">
        <f>CONCATENATE('3 pr-2'!G155)</f>
        <v>Varėnos r. sav.</v>
      </c>
      <c r="G161" s="164" t="str">
        <f>CONCATENATE('3 pr-2'!H155)</f>
        <v>08.1.2-CPVA-R-408</v>
      </c>
      <c r="H161" s="164" t="str">
        <f>CONCATENATE('3 pr-2'!I155)</f>
        <v>R</v>
      </c>
      <c r="I161" s="174" t="str">
        <f>CONCATENATE('3 pr-2'!J155)</f>
        <v>-</v>
      </c>
      <c r="J161" s="175">
        <f>SUM('3 pr-2'!L155)</f>
        <v>736499</v>
      </c>
      <c r="K161" s="176">
        <f>SUM('3 pr-2'!O155)</f>
        <v>110475</v>
      </c>
      <c r="L161" s="176">
        <f>SUM('3 pr-2'!R155)</f>
        <v>0</v>
      </c>
      <c r="M161" s="176">
        <f>SUM('3 pr-2'!U155)</f>
        <v>0</v>
      </c>
      <c r="N161" s="176">
        <f>SUM('3 pr-2'!X155)</f>
        <v>0</v>
      </c>
      <c r="O161" s="177">
        <f>SUM('3 pr-2'!AA155)</f>
        <v>626024</v>
      </c>
      <c r="P161" s="195">
        <f>SUM('3 pr-2'!AF155)</f>
        <v>42401</v>
      </c>
      <c r="Q161" s="240">
        <v>42401</v>
      </c>
      <c r="R161" s="173">
        <f t="shared" ref="R161:R165" si="35">IF(Q161&gt;0,P161-Q161,0)</f>
        <v>0</v>
      </c>
      <c r="S161" s="234">
        <f t="shared" ref="S161:S165" si="36">IF(Q161&gt;0,(P161-Q161)/30.1667,0)</f>
        <v>0</v>
      </c>
    </row>
    <row r="162" spans="1:19" ht="61.5" thickBot="1">
      <c r="A162" s="163" t="str">
        <f>CONCATENATE('3 pr-2'!A156)</f>
        <v>2.1.3.2.2</v>
      </c>
      <c r="B162" s="227" t="str">
        <f>CONCATENATE('ketv. 2'!B155)</f>
        <v>08.1.2-CPVA-R-408-11-0005</v>
      </c>
      <c r="C162" s="164" t="str">
        <f>CONCATENATE('3 pr-2'!D156)</f>
        <v>Būsto prieinamumo pažeidžiamoms gyventojų grupėms didinimas Alytaus rajone</v>
      </c>
      <c r="D162" s="164" t="str">
        <f>CONCATENATE('3 pr-2'!E156)</f>
        <v>Alytaus rajono savivaldybės administracija</v>
      </c>
      <c r="E162" s="164" t="str">
        <f>CONCATENATE('3 pr-2'!F156)</f>
        <v>Lietuvos Respublikos socialinės apsaugos ir darbo ministerija</v>
      </c>
      <c r="F162" s="164" t="str">
        <f>CONCATENATE('3 pr-2'!G156)</f>
        <v>Alytaus r. sav.</v>
      </c>
      <c r="G162" s="164" t="str">
        <f>CONCATENATE('3 pr-2'!H156)</f>
        <v>08.1.2-CPVA-R-408</v>
      </c>
      <c r="H162" s="164" t="str">
        <f>CONCATENATE('3 pr-2'!I156)</f>
        <v>R</v>
      </c>
      <c r="I162" s="174" t="str">
        <f>CONCATENATE('3 pr-2'!J156)</f>
        <v>-</v>
      </c>
      <c r="J162" s="175">
        <f>SUM('3 pr-2'!L156)</f>
        <v>241889</v>
      </c>
      <c r="K162" s="176">
        <f>SUM('3 pr-2'!O156)</f>
        <v>36283.35</v>
      </c>
      <c r="L162" s="176">
        <f>SUM('3 pr-2'!R156)</f>
        <v>0</v>
      </c>
      <c r="M162" s="176">
        <f>SUM('3 pr-2'!U156)</f>
        <v>0</v>
      </c>
      <c r="N162" s="176">
        <f>SUM('3 pr-2'!X156)</f>
        <v>0</v>
      </c>
      <c r="O162" s="177">
        <f>SUM('3 pr-2'!AA156)</f>
        <v>205605.65</v>
      </c>
      <c r="P162" s="195">
        <f>SUM('3 pr-2'!AF156)</f>
        <v>42401</v>
      </c>
      <c r="Q162" s="240">
        <v>42401</v>
      </c>
      <c r="R162" s="173">
        <f t="shared" si="35"/>
        <v>0</v>
      </c>
      <c r="S162" s="234">
        <f t="shared" si="36"/>
        <v>0</v>
      </c>
    </row>
    <row r="163" spans="1:19" ht="61.5" thickBot="1">
      <c r="A163" s="163" t="str">
        <f>CONCATENATE('3 pr-2'!A157)</f>
        <v>2.1.3.1.3</v>
      </c>
      <c r="B163" s="227" t="str">
        <f>CONCATENATE('ketv. 2'!B156)</f>
        <v>08.1.2-CPVA-R-408-11-0002</v>
      </c>
      <c r="C163" s="164" t="str">
        <f>CONCATENATE('3 pr-2'!D157)</f>
        <v>Socialinio būsto plėtra Alytaus mieste</v>
      </c>
      <c r="D163" s="164" t="str">
        <f>CONCATENATE('3 pr-2'!E157)</f>
        <v>Alytaus miesto savivaldybės administracija</v>
      </c>
      <c r="E163" s="164" t="str">
        <f>CONCATENATE('3 pr-2'!F157)</f>
        <v>Lietuvos Respublikos socialinės apsaugos ir darbo ministerija</v>
      </c>
      <c r="F163" s="164" t="str">
        <f>CONCATENATE('3 pr-2'!G157)</f>
        <v>Alytaus m. sav.</v>
      </c>
      <c r="G163" s="164" t="str">
        <f>CONCATENATE('3 pr-2'!H157)</f>
        <v>08.1.2-CPVA-R-408</v>
      </c>
      <c r="H163" s="164" t="str">
        <f>CONCATENATE('3 pr-2'!I157)</f>
        <v>R</v>
      </c>
      <c r="I163" s="174" t="str">
        <f>CONCATENATE('3 pr-2'!J157)</f>
        <v>-</v>
      </c>
      <c r="J163" s="175">
        <f>SUM('3 pr-2'!L157)</f>
        <v>891741.17999999993</v>
      </c>
      <c r="K163" s="176">
        <f>SUM('3 pr-2'!O157)</f>
        <v>133761.18</v>
      </c>
      <c r="L163" s="176">
        <f>SUM('3 pr-2'!R157)</f>
        <v>0</v>
      </c>
      <c r="M163" s="176">
        <f>SUM('3 pr-2'!U157)</f>
        <v>0</v>
      </c>
      <c r="N163" s="176">
        <f>SUM('3 pr-2'!X157)</f>
        <v>0</v>
      </c>
      <c r="O163" s="177">
        <f>SUM('3 pr-2'!AA157)</f>
        <v>757980</v>
      </c>
      <c r="P163" s="195">
        <f>SUM('3 pr-2'!AF157)</f>
        <v>42401</v>
      </c>
      <c r="Q163" s="240">
        <v>42401</v>
      </c>
      <c r="R163" s="173">
        <f t="shared" si="35"/>
        <v>0</v>
      </c>
      <c r="S163" s="234">
        <f t="shared" si="36"/>
        <v>0</v>
      </c>
    </row>
    <row r="164" spans="1:19" ht="61.5" thickBot="1">
      <c r="A164" s="163" t="str">
        <f>CONCATENATE('3 pr-2'!A158)</f>
        <v>2.1.3.2.4</v>
      </c>
      <c r="B164" s="227" t="str">
        <f>CONCATENATE('ketv. 2'!B157)</f>
        <v>08.1.2-CPVA-R-408-11-0003</v>
      </c>
      <c r="C164" s="164" t="str">
        <f>CONCATENATE('3 pr-2'!D158)</f>
        <v>Socialinio būsto fondo plėtra Druskininkų savivaldybėje</v>
      </c>
      <c r="D164" s="164" t="str">
        <f>CONCATENATE('3 pr-2'!E158)</f>
        <v>Druskininkų savivaldybės administracija</v>
      </c>
      <c r="E164" s="164" t="str">
        <f>CONCATENATE('3 pr-2'!F158)</f>
        <v>Lietuvos Respublikos socialinės apsaugos ir darbo ministerija</v>
      </c>
      <c r="F164" s="164" t="str">
        <f>CONCATENATE('3 pr-2'!G158)</f>
        <v>Druskininkų sav.</v>
      </c>
      <c r="G164" s="164" t="str">
        <f>CONCATENATE('3 pr-2'!H158)</f>
        <v>08.1.2-CPVA-R-408</v>
      </c>
      <c r="H164" s="164" t="str">
        <f>CONCATENATE('3 pr-2'!I158)</f>
        <v>R</v>
      </c>
      <c r="I164" s="174" t="str">
        <f>CONCATENATE('3 pr-2'!J158)</f>
        <v>-</v>
      </c>
      <c r="J164" s="175">
        <f>SUM('3 pr-2'!L158)</f>
        <v>727472.94</v>
      </c>
      <c r="K164" s="176">
        <f>SUM('3 pr-2'!O158)</f>
        <v>109120.95</v>
      </c>
      <c r="L164" s="176">
        <f>SUM('3 pr-2'!R158)</f>
        <v>0</v>
      </c>
      <c r="M164" s="176">
        <f>SUM('3 pr-2'!U158)</f>
        <v>0</v>
      </c>
      <c r="N164" s="176">
        <f>SUM('3 pr-2'!X158)</f>
        <v>0</v>
      </c>
      <c r="O164" s="177">
        <f>SUM('3 pr-2'!AA158)</f>
        <v>618351.99</v>
      </c>
      <c r="P164" s="195">
        <f>SUM('3 pr-2'!AF158)</f>
        <v>42401</v>
      </c>
      <c r="Q164" s="240">
        <v>42401</v>
      </c>
      <c r="R164" s="173">
        <f t="shared" si="35"/>
        <v>0</v>
      </c>
      <c r="S164" s="234">
        <f t="shared" si="36"/>
        <v>0</v>
      </c>
    </row>
    <row r="165" spans="1:19" ht="61.5" thickBot="1">
      <c r="A165" s="163" t="str">
        <f>CONCATENATE('3 pr-2'!A159)</f>
        <v>2.1.3.2.5</v>
      </c>
      <c r="B165" s="227" t="str">
        <f>CONCATENATE('ketv. 2'!B158)</f>
        <v>08.1.2-CPVA-R-408-11-0004</v>
      </c>
      <c r="C165" s="164" t="str">
        <f>CONCATENATE('3 pr-2'!D159)</f>
        <v>Socialinio būsto fondo plėtra Lazdijų rajono savivaldybėje</v>
      </c>
      <c r="D165" s="164" t="str">
        <f>CONCATENATE('3 pr-2'!E159)</f>
        <v>Lazdijų rajono savivaldybės administracija</v>
      </c>
      <c r="E165" s="164" t="str">
        <f>CONCATENATE('3 pr-2'!F159)</f>
        <v>Lietuvos Respublikos socialinės apsaugos ir darbo ministerija</v>
      </c>
      <c r="F165" s="164" t="str">
        <f>CONCATENATE('3 pr-2'!G159)</f>
        <v>Lazdijų r. sav.</v>
      </c>
      <c r="G165" s="164" t="str">
        <f>CONCATENATE('3 pr-2'!H159)</f>
        <v>08.1.2-CPVA-R-408</v>
      </c>
      <c r="H165" s="164" t="str">
        <f>CONCATENATE('3 pr-2'!I159)</f>
        <v>R</v>
      </c>
      <c r="I165" s="174" t="str">
        <f>CONCATENATE('3 pr-2'!J159)</f>
        <v>-</v>
      </c>
      <c r="J165" s="207">
        <f>SUM('3 pr-2'!L159)</f>
        <v>368599</v>
      </c>
      <c r="K165" s="208">
        <f>SUM('3 pr-2'!O159)</f>
        <v>55587</v>
      </c>
      <c r="L165" s="208">
        <f>SUM('3 pr-2'!R159)</f>
        <v>0</v>
      </c>
      <c r="M165" s="208">
        <f>SUM('3 pr-2'!U159)</f>
        <v>0</v>
      </c>
      <c r="N165" s="208">
        <f>SUM('3 pr-2'!X159)</f>
        <v>0</v>
      </c>
      <c r="O165" s="209">
        <f>SUM('3 pr-2'!AA159)</f>
        <v>313012</v>
      </c>
      <c r="P165" s="195">
        <f>SUM('3 pr-2'!AF159)</f>
        <v>42401</v>
      </c>
      <c r="Q165" s="242">
        <v>42401</v>
      </c>
      <c r="R165" s="173">
        <f t="shared" si="35"/>
        <v>0</v>
      </c>
      <c r="S165" s="234">
        <f t="shared" si="36"/>
        <v>0</v>
      </c>
    </row>
    <row r="166" spans="1:19" ht="40.5" customHeight="1" thickBot="1">
      <c r="A166" s="138" t="str">
        <f>CONCATENATE('3 pr-2'!A160)</f>
        <v>2.1.4.</v>
      </c>
      <c r="B166" s="227" t="str">
        <f>CONCATENATE('ketv. 2'!B159)</f>
        <v/>
      </c>
      <c r="C166" s="1948" t="str">
        <f>CONCATENATE('3 pr-2'!B160)</f>
        <v>Uždavinys:
Visuomenei teikiamų paslaugų kokybės, didinant jų atitikimo visuomenės poreikiams pagerinimas</v>
      </c>
      <c r="D166" s="2094" t="str">
        <f>CONCATENATE('3 pr-2'!E166)</f>
        <v>Druskininkų savivaldybės administracija</v>
      </c>
      <c r="E166" s="2094" t="str">
        <f>CONCATENATE('3 pr-2'!F166)</f>
        <v>Lietuvos Respublikos vidaus reikalų ministerija</v>
      </c>
      <c r="F166" s="2094" t="str">
        <f>CONCATENATE('3 pr-2'!G166)</f>
        <v>Druskininkų sav.</v>
      </c>
      <c r="G166" s="2094" t="str">
        <f>CONCATENATE('3 pr-2'!H166)</f>
        <v>10.1.3-ESFA-R-920</v>
      </c>
      <c r="H166" s="2094" t="str">
        <f>CONCATENATE('3 pr-2'!I166)</f>
        <v>R</v>
      </c>
      <c r="I166" s="2094" t="str">
        <f>CONCATENATE('3 pr-2'!J166)</f>
        <v>-</v>
      </c>
      <c r="J166" s="210">
        <f>SUM('3 pr-2'!L160)</f>
        <v>1106987.73</v>
      </c>
      <c r="K166" s="210">
        <f>SUM('3 pr-2'!O160)</f>
        <v>166179.88999999998</v>
      </c>
      <c r="L166" s="210">
        <f>SUM('3 pr-2'!R160)</f>
        <v>0</v>
      </c>
      <c r="M166" s="210">
        <f>SUM('3 pr-2'!U160)</f>
        <v>0</v>
      </c>
      <c r="N166" s="210">
        <f>SUM('3 pr-2'!X160)</f>
        <v>0</v>
      </c>
      <c r="O166" s="210">
        <f>SUM('3 pr-2'!AA160)</f>
        <v>940807.84000000008</v>
      </c>
      <c r="P166" s="217" t="s">
        <v>679</v>
      </c>
      <c r="Q166" s="218" t="s">
        <v>679</v>
      </c>
      <c r="R166" s="219" t="s">
        <v>679</v>
      </c>
      <c r="S166" s="220"/>
    </row>
    <row r="167" spans="1:19" ht="38.25" customHeight="1" thickBot="1">
      <c r="A167" s="287" t="str">
        <f>CONCATENATE('3 pr-2'!A161)</f>
        <v>2.1.4.1</v>
      </c>
      <c r="B167" s="425" t="str">
        <f>CONCATENATE('ketv. 2'!B160)</f>
        <v/>
      </c>
      <c r="C167" s="1936" t="str">
        <f>CONCATENATE('3 pr-2'!B161)</f>
        <v>Priemonė:
Paslaugų teikimo ir asmenų aptarnavimo kokybės gerinimas savivaldybėse</v>
      </c>
      <c r="D167" s="2095" t="str">
        <f>CONCATENATE('3 pr-2'!E167)</f>
        <v>Alytaus miesto savivaldybės administracija</v>
      </c>
      <c r="E167" s="2095" t="str">
        <f>CONCATENATE('3 pr-2'!F167)</f>
        <v>Lietuvos Respublikos vidaus reikalų ministerija</v>
      </c>
      <c r="F167" s="2095" t="str">
        <f>CONCATENATE('3 pr-2'!G167)</f>
        <v>Alytaus m. sav.</v>
      </c>
      <c r="G167" s="2095" t="str">
        <f>CONCATENATE('3 pr-2'!H167)</f>
        <v>10.1.3-ESFA-R-920</v>
      </c>
      <c r="H167" s="2095" t="str">
        <f>CONCATENATE('3 pr-2'!I167)</f>
        <v>R</v>
      </c>
      <c r="I167" s="2095" t="str">
        <f>CONCATENATE('3 pr-2'!J167)</f>
        <v>-</v>
      </c>
      <c r="J167" s="426">
        <f>SUM('3 pr-2'!L161)</f>
        <v>1106987.73</v>
      </c>
      <c r="K167" s="426">
        <f>SUM('3 pr-2'!O161)</f>
        <v>166179.88999999998</v>
      </c>
      <c r="L167" s="426">
        <f>SUM('3 pr-2'!R161)</f>
        <v>0</v>
      </c>
      <c r="M167" s="426">
        <f>SUM('3 pr-2'!U161)</f>
        <v>0</v>
      </c>
      <c r="N167" s="426">
        <f>SUM('3 pr-2'!X161)</f>
        <v>0</v>
      </c>
      <c r="O167" s="427">
        <f>SUM('3 pr-2'!AA161)</f>
        <v>940807.84000000008</v>
      </c>
      <c r="P167" s="428"/>
      <c r="Q167" s="429"/>
      <c r="R167" s="430"/>
      <c r="S167" s="430"/>
    </row>
    <row r="168" spans="1:19" ht="49.5" thickBot="1">
      <c r="A168" s="163" t="str">
        <f>CONCATENATE('3 pr-2'!A162)</f>
        <v>2.1.4.1.1</v>
      </c>
      <c r="B168" s="227" t="str">
        <f>CONCATENATE('ketv. 2'!B161)</f>
        <v>10.1.3-ESFA-R-920-11-0001</v>
      </c>
      <c r="C168" s="164" t="str">
        <f>CONCATENATE('3 pr-2'!D162)</f>
        <v>Paslaugų teikimo ir asmenų aptarnavimo kokybės gerinimas Varėnos rajono savivaldybėje</v>
      </c>
      <c r="D168" s="164" t="str">
        <f>CONCATENATE('3 pr-2'!E162)</f>
        <v>Varėnos rajono savivaldybės administracija</v>
      </c>
      <c r="E168" s="164" t="str">
        <f>CONCATENATE('3 pr-2'!F162)</f>
        <v>Lietuvos Respublikos vidaus reikalų ministerija</v>
      </c>
      <c r="F168" s="164" t="str">
        <f>CONCATENATE('3 pr-2'!G162)</f>
        <v>Varėnos r. sav.</v>
      </c>
      <c r="G168" s="164" t="str">
        <f>CONCATENATE('3 pr-2'!H162)</f>
        <v>10.1.3-ESFA-R-920</v>
      </c>
      <c r="H168" s="164" t="str">
        <f>CONCATENATE('3 pr-2'!I162)</f>
        <v>R</v>
      </c>
      <c r="I168" s="174" t="str">
        <f>CONCATENATE('3 pr-2'!J162)</f>
        <v>-</v>
      </c>
      <c r="J168" s="199">
        <f>SUM('3 pr-2'!L162)</f>
        <v>172733.52</v>
      </c>
      <c r="K168" s="200">
        <f>SUM('3 pr-2'!O162)</f>
        <v>25910.03</v>
      </c>
      <c r="L168" s="200">
        <f>SUM('3 pr-2'!R162)</f>
        <v>0</v>
      </c>
      <c r="M168" s="200">
        <f>SUM('3 pr-2'!U162)</f>
        <v>0</v>
      </c>
      <c r="N168" s="200">
        <f>SUM('3 pr-2'!X162)</f>
        <v>0</v>
      </c>
      <c r="O168" s="201">
        <f>SUM('3 pr-2'!AA162)</f>
        <v>146823.49</v>
      </c>
      <c r="P168" s="567">
        <f>SUM('3 pr-2'!AF162)</f>
        <v>43017</v>
      </c>
      <c r="Q168" s="247">
        <v>42951</v>
      </c>
      <c r="R168" s="173">
        <f t="shared" ref="R168:R173" si="37">IF(Q168&gt;0,P168-Q168,0)</f>
        <v>66</v>
      </c>
      <c r="S168" s="234">
        <f t="shared" ref="S168:S173" si="38">IF(Q168&gt;0,(P168-Q168)/30.1667,0)</f>
        <v>2.1878428863614516</v>
      </c>
    </row>
    <row r="169" spans="1:19" ht="49.5" thickBot="1">
      <c r="A169" s="163" t="str">
        <f>CONCATENATE('3 pr-2'!A163)</f>
        <v>2.1.4.1.2</v>
      </c>
      <c r="B169" s="227" t="str">
        <f>CONCATENATE('ketv. 2'!B162)</f>
        <v>10.1.3-ESFA-R-920-11-0005</v>
      </c>
      <c r="C169" s="164" t="str">
        <f>CONCATENATE('3 pr-2'!D163)</f>
        <v>Paslaugų ir asmenų aptarnavimo kokybės gerinimas Alytaus rajono savivaldybėje</v>
      </c>
      <c r="D169" s="164" t="str">
        <f>CONCATENATE('3 pr-2'!E163)</f>
        <v>Alytaus rajono savivaldybės administracija</v>
      </c>
      <c r="E169" s="164" t="str">
        <f>CONCATENATE('3 pr-2'!F163)</f>
        <v>Lietuvos Respublikos vidaus reikalų ministerija</v>
      </c>
      <c r="F169" s="164" t="str">
        <f>CONCATENATE('3 pr-2'!G163)</f>
        <v>Alytaus r. sav.</v>
      </c>
      <c r="G169" s="164" t="str">
        <f>CONCATENATE('3 pr-2'!H163)</f>
        <v>10.1.3-ESFA-R-920</v>
      </c>
      <c r="H169" s="164" t="str">
        <f>CONCATENATE('3 pr-2'!I163)</f>
        <v>R</v>
      </c>
      <c r="I169" s="174" t="str">
        <f>CONCATENATE('3 pr-2'!J163)</f>
        <v>-</v>
      </c>
      <c r="J169" s="175">
        <f>SUM('3 pr-2'!L163)</f>
        <v>192832.21</v>
      </c>
      <c r="K169" s="176">
        <f>SUM('3 pr-2'!O163)</f>
        <v>28924.84</v>
      </c>
      <c r="L169" s="176">
        <f>SUM('3 pr-2'!R163)</f>
        <v>0</v>
      </c>
      <c r="M169" s="176">
        <f>SUM('3 pr-2'!U163)</f>
        <v>0</v>
      </c>
      <c r="N169" s="176">
        <f>SUM('3 pr-2'!X163)</f>
        <v>0</v>
      </c>
      <c r="O169" s="177">
        <f>SUM('3 pr-2'!AA163)</f>
        <v>163907.37</v>
      </c>
      <c r="P169" s="567">
        <f>SUM('3 pr-2'!AF163)</f>
        <v>43017</v>
      </c>
      <c r="Q169" s="247">
        <v>43017</v>
      </c>
      <c r="R169" s="173">
        <f t="shared" si="37"/>
        <v>0</v>
      </c>
      <c r="S169" s="234">
        <f t="shared" si="38"/>
        <v>0</v>
      </c>
    </row>
    <row r="170" spans="1:19" ht="49.5" thickBot="1">
      <c r="A170" s="163" t="str">
        <f>CONCATENATE('3 pr-2'!A164)</f>
        <v>2.1.4.1.3</v>
      </c>
      <c r="B170" s="227" t="str">
        <f>CONCATENATE('ketv. 2'!B163)</f>
        <v>10.1.3-ESFA-R-920-11-0003</v>
      </c>
      <c r="C170" s="164" t="str">
        <f>CONCATENATE('3 pr-2'!D164)</f>
        <v>Lazdijų rajono savivaldybės administracijos ir jos viešojo valdymo institucijų teikiamų paslaugų procesų tobulinimas</v>
      </c>
      <c r="D170" s="164" t="str">
        <f>CONCATENATE('3 pr-2'!E164)</f>
        <v>Lazdijų rajono savivaldybės administracija</v>
      </c>
      <c r="E170" s="164" t="str">
        <f>CONCATENATE('3 pr-2'!F164)</f>
        <v>Lietuvos Respublikos vidaus reikalų ministerija</v>
      </c>
      <c r="F170" s="164" t="str">
        <f>CONCATENATE('3 pr-2'!G164)</f>
        <v>Lazdijų r. sav.</v>
      </c>
      <c r="G170" s="164" t="str">
        <f>CONCATENATE('3 pr-2'!H164)</f>
        <v>10.1.3-ESFA-R-920</v>
      </c>
      <c r="H170" s="164" t="str">
        <f>CONCATENATE('3 pr-2'!I164)</f>
        <v>R</v>
      </c>
      <c r="I170" s="174" t="str">
        <f>CONCATENATE('3 pr-2'!J164)</f>
        <v>-</v>
      </c>
      <c r="J170" s="175">
        <f>SUM('3 pr-2'!L164)</f>
        <v>163986.88</v>
      </c>
      <c r="K170" s="176">
        <f>SUM('3 pr-2'!O164)</f>
        <v>24598.880000000001</v>
      </c>
      <c r="L170" s="176">
        <f>SUM('3 pr-2'!R164)</f>
        <v>0</v>
      </c>
      <c r="M170" s="176">
        <f>SUM('3 pr-2'!U164)</f>
        <v>0</v>
      </c>
      <c r="N170" s="176">
        <f>SUM('3 pr-2'!X164)</f>
        <v>0</v>
      </c>
      <c r="O170" s="177">
        <f>SUM('3 pr-2'!AA164)</f>
        <v>139388</v>
      </c>
      <c r="P170" s="567">
        <f>SUM('3 pr-2'!AF164)</f>
        <v>43017</v>
      </c>
      <c r="Q170" s="239">
        <v>42989</v>
      </c>
      <c r="R170" s="173">
        <f t="shared" si="37"/>
        <v>28</v>
      </c>
      <c r="S170" s="234">
        <f t="shared" si="38"/>
        <v>0.92817576997152496</v>
      </c>
    </row>
    <row r="171" spans="1:19" ht="49.5" thickBot="1">
      <c r="A171" s="163" t="str">
        <f>CONCATENATE('3 pr-2'!A165)</f>
        <v>2.1.4.1.4</v>
      </c>
      <c r="B171" s="227" t="str">
        <f>CONCATENATE('ketv. 2'!B164)</f>
        <v>10.1.3-ESFA-R-920-11-0007</v>
      </c>
      <c r="C171" s="164" t="str">
        <f>CONCATENATE('3 pr-2'!D165)</f>
        <v>Teikiamų paslaugų procesų tobulinimas ir asmenų aptarnavimo kokybės gerinimas Alytaus m. sav. administracijoje ir jai pavaldžiose įstaigose. I etapas</v>
      </c>
      <c r="D171" s="164" t="str">
        <f>CONCATENATE('3 pr-2'!E165)</f>
        <v>Alytaus miesto savivaldybės administracija</v>
      </c>
      <c r="E171" s="164" t="str">
        <f>CONCATENATE('3 pr-2'!F165)</f>
        <v>Lietuvos Respublikos vidaus reikalų ministerija</v>
      </c>
      <c r="F171" s="164" t="str">
        <f>CONCATENATE('3 pr-2'!G165)</f>
        <v>Alytaus m. sav.</v>
      </c>
      <c r="G171" s="164" t="str">
        <f>CONCATENATE('3 pr-2'!H165)</f>
        <v>10.1.3-ESFA-R-920</v>
      </c>
      <c r="H171" s="164" t="str">
        <f>CONCATENATE('3 pr-2'!I165)</f>
        <v>R</v>
      </c>
      <c r="I171" s="174" t="str">
        <f>CONCATENATE('3 pr-2'!J165)</f>
        <v>-</v>
      </c>
      <c r="J171" s="175">
        <f>SUM('3 pr-2'!L165)</f>
        <v>215693.16</v>
      </c>
      <c r="K171" s="176">
        <f>SUM('3 pr-2'!O165)</f>
        <v>32353.98</v>
      </c>
      <c r="L171" s="176">
        <f>SUM('3 pr-2'!R165)</f>
        <v>0</v>
      </c>
      <c r="M171" s="176">
        <f>SUM('3 pr-2'!U165)</f>
        <v>0</v>
      </c>
      <c r="N171" s="176">
        <f>SUM('3 pr-2'!X165)</f>
        <v>0</v>
      </c>
      <c r="O171" s="177">
        <f>SUM('3 pr-2'!AA165)</f>
        <v>183339.18</v>
      </c>
      <c r="P171" s="567">
        <f>SUM('3 pr-2'!AF165)</f>
        <v>43017</v>
      </c>
      <c r="Q171" s="239">
        <v>43017</v>
      </c>
      <c r="R171" s="173">
        <f t="shared" si="37"/>
        <v>0</v>
      </c>
      <c r="S171" s="234">
        <f t="shared" si="38"/>
        <v>0</v>
      </c>
    </row>
    <row r="172" spans="1:19" ht="49.5" thickBot="1">
      <c r="A172" s="163" t="str">
        <f>CONCATENATE('3 pr-2'!A166)</f>
        <v>2.1.4.1.5</v>
      </c>
      <c r="B172" s="227" t="str">
        <f>CONCATENATE('ketv. 2'!B165)</f>
        <v>10.1.3-ESFA-R-920-11-0006</v>
      </c>
      <c r="C172" s="164" t="str">
        <f>CONCATENATE('3 pr-2'!D166)</f>
        <v>Paslaugų teikimo ir asmenų aptarnavimo kokybės gerinimas Druskininkų savivaldybėje</v>
      </c>
      <c r="D172" s="164" t="str">
        <f>CONCATENATE('3 pr-2'!E166)</f>
        <v>Druskininkų savivaldybės administracija</v>
      </c>
      <c r="E172" s="164" t="str">
        <f>CONCATENATE('3 pr-2'!F166)</f>
        <v>Lietuvos Respublikos vidaus reikalų ministerija</v>
      </c>
      <c r="F172" s="164" t="str">
        <f>CONCATENATE('3 pr-2'!G166)</f>
        <v>Druskininkų sav.</v>
      </c>
      <c r="G172" s="164" t="str">
        <f>CONCATENATE('3 pr-2'!H166)</f>
        <v>10.1.3-ESFA-R-920</v>
      </c>
      <c r="H172" s="164" t="str">
        <f>CONCATENATE('3 pr-2'!I166)</f>
        <v>R</v>
      </c>
      <c r="I172" s="174" t="str">
        <f>CONCATENATE('3 pr-2'!J166)</f>
        <v>-</v>
      </c>
      <c r="J172" s="175">
        <f>SUM('3 pr-2'!L166)</f>
        <v>161741.96</v>
      </c>
      <c r="K172" s="176">
        <f>SUM('3 pr-2'!O166)</f>
        <v>24392.16</v>
      </c>
      <c r="L172" s="176">
        <f>SUM('3 pr-2'!R166)</f>
        <v>0</v>
      </c>
      <c r="M172" s="176">
        <f>SUM('3 pr-2'!U166)</f>
        <v>0</v>
      </c>
      <c r="N172" s="176">
        <f>SUM('3 pr-2'!X166)</f>
        <v>0</v>
      </c>
      <c r="O172" s="177">
        <f>SUM('3 pr-2'!AA166)</f>
        <v>137349.79999999999</v>
      </c>
      <c r="P172" s="567">
        <f>SUM('3 pr-2'!AF166)</f>
        <v>43017</v>
      </c>
      <c r="Q172" s="239">
        <v>42963</v>
      </c>
      <c r="R172" s="173">
        <f t="shared" si="37"/>
        <v>54</v>
      </c>
      <c r="S172" s="234">
        <f t="shared" si="38"/>
        <v>1.7900532706593695</v>
      </c>
    </row>
    <row r="173" spans="1:19" ht="49.5" thickBot="1">
      <c r="A173" s="163" t="str">
        <f>CONCATENATE('3 pr-2'!A167)</f>
        <v>2.1.4.1.6</v>
      </c>
      <c r="B173" s="227" t="str">
        <f>CONCATENATE('ketv. 2'!B166)</f>
        <v/>
      </c>
      <c r="C173" s="164" t="str">
        <f>CONCATENATE('3 pr-2'!D167)</f>
        <v>Teikiamų paslaugų procesų tobulinimas ir asmenų aptarnavimo kokybės gerinimas Alytaus m. sav. administracijoje ir jai pavaldžiose įstaigose. II etapas</v>
      </c>
      <c r="D173" s="164" t="str">
        <f>CONCATENATE('3 pr-2'!E167)</f>
        <v>Alytaus miesto savivaldybės administracija</v>
      </c>
      <c r="E173" s="164" t="str">
        <f>CONCATENATE('3 pr-2'!F167)</f>
        <v>Lietuvos Respublikos vidaus reikalų ministerija</v>
      </c>
      <c r="F173" s="164" t="str">
        <f>CONCATENATE('3 pr-2'!G167)</f>
        <v>Alytaus m. sav.</v>
      </c>
      <c r="G173" s="164" t="str">
        <f>CONCATENATE('3 pr-2'!H167)</f>
        <v>10.1.3-ESFA-R-920</v>
      </c>
      <c r="H173" s="164" t="str">
        <f>CONCATENATE('3 pr-2'!I167)</f>
        <v>R</v>
      </c>
      <c r="I173" s="174" t="str">
        <f>CONCATENATE('3 pr-2'!J167)</f>
        <v>-</v>
      </c>
      <c r="J173" s="175">
        <f>SUM('3 pr-2'!L167)</f>
        <v>200000</v>
      </c>
      <c r="K173" s="176">
        <f>SUM('3 pr-2'!O167)</f>
        <v>30000</v>
      </c>
      <c r="L173" s="176">
        <f>SUM('3 pr-2'!R167)</f>
        <v>0</v>
      </c>
      <c r="M173" s="176">
        <f>SUM('3 pr-2'!U167)</f>
        <v>0</v>
      </c>
      <c r="N173" s="176">
        <f>SUM('3 pr-2'!X167)</f>
        <v>0</v>
      </c>
      <c r="O173" s="177">
        <f>SUM('3 pr-2'!AA167)</f>
        <v>170000</v>
      </c>
      <c r="P173" s="195">
        <f>SUM('3 pr-2'!AF167)</f>
        <v>43434</v>
      </c>
      <c r="Q173" s="164"/>
      <c r="R173" s="173">
        <f t="shared" si="37"/>
        <v>0</v>
      </c>
      <c r="S173" s="234">
        <f t="shared" si="38"/>
        <v>0</v>
      </c>
    </row>
    <row r="174" spans="1:19" ht="42" customHeight="1" thickBot="1">
      <c r="A174" s="139" t="str">
        <f>CONCATENATE('3 pr-2'!A168)</f>
        <v>3.1.</v>
      </c>
      <c r="B174" s="227" t="str">
        <f>CONCATENATE('ketv. 2'!B167)</f>
        <v/>
      </c>
      <c r="C174" s="1951" t="str">
        <f>CONCATENATE('3 pr-2'!B168)</f>
        <v>Tikslas: 
DARNIAI TVARKYTI IR VYSTYTI REGIONO TERITORIJĄ</v>
      </c>
      <c r="D174" s="2096" t="str">
        <f>CONCATENATE('3 pr-2'!E169)</f>
        <v/>
      </c>
      <c r="E174" s="2096" t="str">
        <f>CONCATENATE('3 pr-2'!F169)</f>
        <v/>
      </c>
      <c r="F174" s="2096" t="str">
        <f>CONCATENATE('3 pr-2'!G169)</f>
        <v/>
      </c>
      <c r="G174" s="2096" t="str">
        <f>CONCATENATE('3 pr-2'!H169)</f>
        <v/>
      </c>
      <c r="H174" s="2096" t="str">
        <f>CONCATENATE('3 pr-2'!I169)</f>
        <v/>
      </c>
      <c r="I174" s="2096" t="str">
        <f>CONCATENATE('3 pr-2'!J169)</f>
        <v/>
      </c>
      <c r="J174" s="203">
        <f>SUM('3 pr-2'!L168)</f>
        <v>6638484.83117647</v>
      </c>
      <c r="K174" s="204">
        <f>SUM('3 pr-2'!O168)</f>
        <v>376170.03117647057</v>
      </c>
      <c r="L174" s="204">
        <f>SUM('3 pr-2'!R168)</f>
        <v>0</v>
      </c>
      <c r="M174" s="204">
        <f>SUM('3 pr-2'!U168)</f>
        <v>777879.2799999998</v>
      </c>
      <c r="N174" s="204">
        <f>SUM('3 pr-2'!X168)</f>
        <v>0</v>
      </c>
      <c r="O174" s="205">
        <f>SUM('3 pr-2'!AA168)</f>
        <v>5484435.5199999996</v>
      </c>
      <c r="P174" s="186" t="s">
        <v>679</v>
      </c>
      <c r="Q174" s="169" t="s">
        <v>679</v>
      </c>
      <c r="R174" s="170" t="s">
        <v>679</v>
      </c>
      <c r="S174" s="170"/>
    </row>
    <row r="175" spans="1:19" ht="32.25" customHeight="1" thickBot="1">
      <c r="A175" s="138" t="str">
        <f>CONCATENATE('3 pr-2'!A169)</f>
        <v>3.1.1.</v>
      </c>
      <c r="B175" s="227" t="str">
        <f>CONCATENATE('ketv. 2'!B168)</f>
        <v/>
      </c>
      <c r="C175" s="1948" t="str">
        <f>CONCATENATE('3 pr-2'!B169)</f>
        <v>Uždavinys:
Sumažinti sąvartynuose šalinamų komunalinių atliekų kiekį</v>
      </c>
      <c r="D175" s="2094" t="str">
        <f>CONCATENATE('3 pr-2'!E175)</f>
        <v>Varėnos rajono savivaldybės administracija</v>
      </c>
      <c r="E175" s="2094" t="str">
        <f>CONCATENATE('3 pr-2'!F175)</f>
        <v>Lietuvos Respublikos aplinkos ministerija</v>
      </c>
      <c r="F175" s="2094" t="str">
        <f>CONCATENATE('3 pr-2'!G175)</f>
        <v>Varėnos r. sav.</v>
      </c>
      <c r="G175" s="2094" t="str">
        <f>CONCATENATE('3 pr-2'!H175)</f>
        <v>05.5.1-APVA-R-019</v>
      </c>
      <c r="H175" s="2094" t="str">
        <f>CONCATENATE('3 pr-2'!I175)</f>
        <v>R</v>
      </c>
      <c r="I175" s="2094" t="str">
        <f>CONCATENATE('3 pr-2'!J175)</f>
        <v>-</v>
      </c>
      <c r="J175" s="202">
        <f>SUM('3 pr-2'!L169)</f>
        <v>4130687.05</v>
      </c>
      <c r="K175" s="202">
        <f>SUM('3 pr-2'!O169)</f>
        <v>0</v>
      </c>
      <c r="L175" s="202">
        <f>SUM('3 pr-2'!R169)</f>
        <v>0</v>
      </c>
      <c r="M175" s="202">
        <f>SUM('3 pr-2'!U169)</f>
        <v>777879.2799999998</v>
      </c>
      <c r="N175" s="202">
        <f>SUM('3 pr-2'!X169)</f>
        <v>0</v>
      </c>
      <c r="O175" s="202">
        <f>SUM('3 pr-2'!AA169)</f>
        <v>3352807.77</v>
      </c>
      <c r="P175" s="187" t="s">
        <v>679</v>
      </c>
      <c r="Q175" s="171" t="s">
        <v>679</v>
      </c>
      <c r="R175" s="172" t="s">
        <v>679</v>
      </c>
      <c r="S175" s="172"/>
    </row>
    <row r="176" spans="1:19" ht="33.75" customHeight="1" thickBot="1">
      <c r="A176" s="287" t="str">
        <f>CONCATENATE('3 pr-2'!A170)</f>
        <v>3.1.1.1</v>
      </c>
      <c r="B176" s="425" t="str">
        <f>CONCATENATE('ketv. 2'!B169)</f>
        <v/>
      </c>
      <c r="C176" s="1936" t="str">
        <f>CONCATENATE('3 pr-2'!B170)</f>
        <v>Priemonė:
Komunalinių atliekų tvarkymo infrastruktūros plėtra</v>
      </c>
      <c r="D176" s="2095" t="str">
        <f>CONCATENATE('3 pr-2'!E176)</f>
        <v>Alytaus rajono savivaldybės administracija</v>
      </c>
      <c r="E176" s="2095" t="str">
        <f>CONCATENATE('3 pr-2'!F176)</f>
        <v>Lietuvos Respublikos aplinkos ministerija</v>
      </c>
      <c r="F176" s="2095" t="str">
        <f>CONCATENATE('3 pr-2'!G176)</f>
        <v>Alytaus r. sav.</v>
      </c>
      <c r="G176" s="2095" t="str">
        <f>CONCATENATE('3 pr-2'!H176)</f>
        <v>05.5.1-APVA-R-019</v>
      </c>
      <c r="H176" s="2095" t="str">
        <f>CONCATENATE('3 pr-2'!I176)</f>
        <v>R</v>
      </c>
      <c r="I176" s="2095" t="str">
        <f>CONCATENATE('3 pr-2'!J176)</f>
        <v/>
      </c>
      <c r="J176" s="426">
        <f>SUM('3 pr-2'!L170)</f>
        <v>4130687.05</v>
      </c>
      <c r="K176" s="426">
        <f>SUM('3 pr-2'!O170)</f>
        <v>0</v>
      </c>
      <c r="L176" s="426">
        <f>SUM('3 pr-2'!R170)</f>
        <v>0</v>
      </c>
      <c r="M176" s="426">
        <f>SUM('3 pr-2'!U170)</f>
        <v>777879.2799999998</v>
      </c>
      <c r="N176" s="426">
        <f>SUM('3 pr-2'!X170)</f>
        <v>0</v>
      </c>
      <c r="O176" s="427">
        <f>SUM('3 pr-2'!AA170)</f>
        <v>3352807.77</v>
      </c>
      <c r="P176" s="428"/>
      <c r="Q176" s="429"/>
      <c r="R176" s="430"/>
      <c r="S176" s="430"/>
    </row>
    <row r="177" spans="1:19" ht="49.5" thickBot="1">
      <c r="A177" s="163" t="str">
        <f>CONCATENATE('3 pr-2'!A171)</f>
        <v>3.1.1.1.1</v>
      </c>
      <c r="B177" s="227" t="str">
        <f>CONCATENATE('ketv. 2'!B170)</f>
        <v>05.2.1-APVA-R-008-11-0001</v>
      </c>
      <c r="C177" s="164" t="str">
        <f>CONCATENATE('3 pr-2'!D171)</f>
        <v>Komunalinių atliekų tvarkymo infrastruktūros plėtra Alytaus regione</v>
      </c>
      <c r="D177" s="164" t="str">
        <f>CONCATENATE('3 pr-2'!E171)</f>
        <v>Alytaus regiono atliekų tvarkymo centras</v>
      </c>
      <c r="E177" s="164" t="str">
        <f>CONCATENATE('3 pr-2'!F171)</f>
        <v>Lietuvos Respublikos aplinkos ministerija</v>
      </c>
      <c r="F177" s="164" t="str">
        <f>CONCATENATE('3 pr-2'!G171)</f>
        <v>Alytaus regionas</v>
      </c>
      <c r="G177" s="164" t="str">
        <f>CONCATENATE('3 pr-2'!H171)</f>
        <v>05.2.1-APVA-R-008</v>
      </c>
      <c r="H177" s="164" t="str">
        <f>CONCATENATE('3 pr-2'!I171)</f>
        <v>R</v>
      </c>
      <c r="I177" s="174" t="str">
        <f>CONCATENATE('3 pr-2'!J171)</f>
        <v>-</v>
      </c>
      <c r="J177" s="175">
        <f>SUM('3 pr-2'!L171)</f>
        <v>4130687.05</v>
      </c>
      <c r="K177" s="176">
        <f>SUM('3 pr-2'!O171)</f>
        <v>0</v>
      </c>
      <c r="L177" s="176">
        <f>SUM('3 pr-2'!R171)</f>
        <v>0</v>
      </c>
      <c r="M177" s="176">
        <f>SUM('3 pr-2'!U171)</f>
        <v>777879.2799999998</v>
      </c>
      <c r="N177" s="176">
        <f>SUM('3 pr-2'!X171)</f>
        <v>0</v>
      </c>
      <c r="O177" s="177">
        <f>SUM('3 pr-2'!AA171)</f>
        <v>3352807.77</v>
      </c>
      <c r="P177" s="195">
        <f>SUM('3 pr-2'!AF171)</f>
        <v>42590</v>
      </c>
      <c r="Q177" s="239">
        <v>42620</v>
      </c>
      <c r="R177" s="173">
        <f>IF(Q177&gt;0,P177-Q177,0)</f>
        <v>-30</v>
      </c>
      <c r="S177" s="234">
        <f>IF(Q177&gt;0,(P177-Q177)/30.1667,0)</f>
        <v>-0.99447403925520528</v>
      </c>
    </row>
    <row r="178" spans="1:19" ht="39.75" customHeight="1" thickBot="1">
      <c r="A178" s="138" t="str">
        <f>CONCATENATE('3 pr-2'!A172)</f>
        <v>3.1.2.</v>
      </c>
      <c r="B178" s="227" t="str">
        <f>CONCATENATE('ketv. 2'!B171)</f>
        <v/>
      </c>
      <c r="C178" s="1948" t="str">
        <f>CONCATENATE('3 pr-2'!B172)</f>
        <v>Uždavinys:
Kraštovaizdžio apsauga, planavimas ir tvarkymas</v>
      </c>
      <c r="D178" s="2094" t="str">
        <f>CONCATENATE('3 pr-2'!E178)</f>
        <v>Druskininkų savivaldybės administracija</v>
      </c>
      <c r="E178" s="2094" t="str">
        <f>CONCATENATE('3 pr-2'!F178)</f>
        <v>Lietuvos Respublikos aplinkos ministerija</v>
      </c>
      <c r="F178" s="2094" t="str">
        <f>CONCATENATE('3 pr-2'!G178)</f>
        <v>Druskininkų sav.</v>
      </c>
      <c r="G178" s="2094" t="str">
        <f>CONCATENATE('3 pr-2'!H178)</f>
        <v>05.5.1-APVA-R-019</v>
      </c>
      <c r="H178" s="2094" t="str">
        <f>CONCATENATE('3 pr-2'!I178)</f>
        <v>R</v>
      </c>
      <c r="I178" s="2094" t="str">
        <f>CONCATENATE('3 pr-2'!J178)</f>
        <v>-</v>
      </c>
      <c r="J178" s="202">
        <f>SUM('3 pr-2'!L172)</f>
        <v>2507797.7811764702</v>
      </c>
      <c r="K178" s="202">
        <f>SUM('3 pr-2'!O172)</f>
        <v>376170.03117647057</v>
      </c>
      <c r="L178" s="202">
        <f>SUM('3 pr-2'!R172)</f>
        <v>0</v>
      </c>
      <c r="M178" s="202">
        <f>SUM('3 pr-2'!U172)</f>
        <v>0</v>
      </c>
      <c r="N178" s="202">
        <f>SUM('3 pr-2'!X172)</f>
        <v>0</v>
      </c>
      <c r="O178" s="202">
        <f>SUM('3 pr-2'!AA172)</f>
        <v>2131627.75</v>
      </c>
      <c r="P178" s="187" t="s">
        <v>679</v>
      </c>
      <c r="Q178" s="171" t="s">
        <v>679</v>
      </c>
      <c r="R178" s="172" t="s">
        <v>679</v>
      </c>
      <c r="S178" s="172"/>
    </row>
    <row r="179" spans="1:19" ht="33.75" customHeight="1" thickBot="1">
      <c r="A179" s="287" t="str">
        <f>CONCATENATE('3 pr-2'!A173)</f>
        <v>3.1.2.1</v>
      </c>
      <c r="B179" s="425" t="str">
        <f>CONCATENATE('ketv. 2'!B172)</f>
        <v/>
      </c>
      <c r="C179" s="1936" t="str">
        <f>CONCATENATE('3 pr-2'!B173)</f>
        <v>Priemonė:
Kraštovaizdžio apsauga/plėtra</v>
      </c>
      <c r="D179" s="2095" t="str">
        <f>CONCATENATE('3 pr-2'!E179)</f>
        <v>Lazdijų rajono savivaldybės administracija</v>
      </c>
      <c r="E179" s="2095" t="str">
        <f>CONCATENATE('3 pr-2'!F179)</f>
        <v>Lietuvos Respublikos aplinkos ministerija</v>
      </c>
      <c r="F179" s="2095" t="str">
        <f>CONCATENATE('3 pr-2'!G179)</f>
        <v>Lazdijų r. sav.</v>
      </c>
      <c r="G179" s="2095" t="str">
        <f>CONCATENATE('3 pr-2'!H179)</f>
        <v>05.5.1-APVA-R-019</v>
      </c>
      <c r="H179" s="2095" t="str">
        <f>CONCATENATE('3 pr-2'!I179)</f>
        <v>R</v>
      </c>
      <c r="I179" s="2095" t="str">
        <f>CONCATENATE('3 pr-2'!J179)</f>
        <v>-</v>
      </c>
      <c r="J179" s="426">
        <f>SUM('3 pr-2'!L173)</f>
        <v>2507797.7811764702</v>
      </c>
      <c r="K179" s="426">
        <f>SUM('3 pr-2'!O173)</f>
        <v>376170.03117647057</v>
      </c>
      <c r="L179" s="426">
        <f>SUM('3 pr-2'!R173)</f>
        <v>0</v>
      </c>
      <c r="M179" s="426">
        <f>SUM('3 pr-2'!U173)</f>
        <v>0</v>
      </c>
      <c r="N179" s="426">
        <f>SUM('3 pr-2'!X173)</f>
        <v>0</v>
      </c>
      <c r="O179" s="427">
        <f>SUM('3 pr-2'!AA173)</f>
        <v>2131627.75</v>
      </c>
      <c r="P179" s="428"/>
      <c r="Q179" s="429"/>
      <c r="R179" s="430"/>
      <c r="S179" s="430"/>
    </row>
    <row r="180" spans="1:19" ht="49.5" thickBot="1">
      <c r="A180" s="163" t="str">
        <f>CONCATENATE('3 pr-2'!A174)</f>
        <v>3.1.2.1.1</v>
      </c>
      <c r="B180" s="227" t="str">
        <f>CONCATENATE('ketv. 2'!B173)</f>
        <v>05.5.1-APVA-R-019-11-0002</v>
      </c>
      <c r="C180" s="164" t="str">
        <f>CONCATENATE('3 pr-2'!D174)</f>
        <v>Kraštovaizdžio formavimas ir tvarkymas Varėnos r. savivaldybėje (I etapas)</v>
      </c>
      <c r="D180" s="164" t="str">
        <f>CONCATENATE('3 pr-2'!E174)</f>
        <v>Varėnos rajono savivaldybės administracija</v>
      </c>
      <c r="E180" s="164" t="str">
        <f>CONCATENATE('3 pr-2'!F174)</f>
        <v>Lietuvos Respublikos aplinkos ministerija</v>
      </c>
      <c r="F180" s="164" t="str">
        <f>CONCATENATE('3 pr-2'!G174)</f>
        <v>Varėnos r. sav.</v>
      </c>
      <c r="G180" s="164" t="str">
        <f>CONCATENATE('3 pr-2'!H174)</f>
        <v>05.5.1-APVA-R-019</v>
      </c>
      <c r="H180" s="164" t="str">
        <f>CONCATENATE('3 pr-2'!I174)</f>
        <v>R</v>
      </c>
      <c r="I180" s="174" t="str">
        <f>CONCATENATE('3 pr-2'!J174)</f>
        <v>-</v>
      </c>
      <c r="J180" s="175">
        <f>SUM('3 pr-2'!L174)</f>
        <v>309522</v>
      </c>
      <c r="K180" s="176">
        <f>SUM('3 pr-2'!O174)</f>
        <v>46428.3</v>
      </c>
      <c r="L180" s="176">
        <f>SUM('3 pr-2'!R174)</f>
        <v>0</v>
      </c>
      <c r="M180" s="176">
        <f>SUM('3 pr-2'!U174)</f>
        <v>0</v>
      </c>
      <c r="N180" s="176">
        <f>SUM('3 pr-2'!X174)</f>
        <v>0</v>
      </c>
      <c r="O180" s="177">
        <f>SUM('3 pr-2'!AA174)</f>
        <v>263093.7</v>
      </c>
      <c r="P180" s="195">
        <f>SUM('3 pr-2'!AF174)</f>
        <v>42598</v>
      </c>
      <c r="Q180" s="239">
        <v>42598</v>
      </c>
      <c r="R180" s="173">
        <f t="shared" ref="R180:R187" si="39">IF(Q180&gt;0,P180-Q180,0)</f>
        <v>0</v>
      </c>
      <c r="S180" s="234">
        <f t="shared" ref="S180:S187" si="40">IF(Q180&gt;0,(P180-Q180)/30.1667,0)</f>
        <v>0</v>
      </c>
    </row>
    <row r="181" spans="1:19" ht="49.5" thickBot="1">
      <c r="A181" s="163" t="str">
        <f>CONCATENATE('3 pr-2'!A175)</f>
        <v>3.1.2.1.2</v>
      </c>
      <c r="B181" s="227" t="str">
        <f>CONCATENATE('ketv. 2'!B174)</f>
        <v>05.5.1-APVA-R-019-11-0007</v>
      </c>
      <c r="C181" s="164" t="str">
        <f>CONCATENATE('3 pr-2'!D175)</f>
        <v>Kraštovaizdžio formavimas ir tvarkymas Varėnos r. savivaldybėje (II etapas)</v>
      </c>
      <c r="D181" s="164" t="str">
        <f>CONCATENATE('3 pr-2'!E175)</f>
        <v>Varėnos rajono savivaldybės administracija</v>
      </c>
      <c r="E181" s="164" t="str">
        <f>CONCATENATE('3 pr-2'!F175)</f>
        <v>Lietuvos Respublikos aplinkos ministerija</v>
      </c>
      <c r="F181" s="164" t="str">
        <f>CONCATENATE('3 pr-2'!G175)</f>
        <v>Varėnos r. sav.</v>
      </c>
      <c r="G181" s="164" t="str">
        <f>CONCATENATE('3 pr-2'!H175)</f>
        <v>05.5.1-APVA-R-019</v>
      </c>
      <c r="H181" s="164" t="str">
        <f>CONCATENATE('3 pr-2'!I175)</f>
        <v>R</v>
      </c>
      <c r="I181" s="174" t="str">
        <f>CONCATENATE('3 pr-2'!J175)</f>
        <v>-</v>
      </c>
      <c r="J181" s="175">
        <f>SUM('3 pr-2'!L175)</f>
        <v>554211</v>
      </c>
      <c r="K181" s="176">
        <f>SUM('3 pr-2'!O175)</f>
        <v>83132</v>
      </c>
      <c r="L181" s="176">
        <f>SUM('3 pr-2'!R175)</f>
        <v>0</v>
      </c>
      <c r="M181" s="176">
        <f>SUM('3 pr-2'!U175)</f>
        <v>0</v>
      </c>
      <c r="N181" s="176">
        <f>SUM('3 pr-2'!X175)</f>
        <v>0</v>
      </c>
      <c r="O181" s="177">
        <f>SUM('3 pr-2'!AA175)</f>
        <v>471079</v>
      </c>
      <c r="P181" s="195">
        <f>SUM('3 pr-2'!AF175)</f>
        <v>43277</v>
      </c>
      <c r="Q181" s="197"/>
      <c r="R181" s="173">
        <f t="shared" si="39"/>
        <v>0</v>
      </c>
      <c r="S181" s="234">
        <f t="shared" si="40"/>
        <v>0</v>
      </c>
    </row>
    <row r="182" spans="1:19" ht="49.5" thickBot="1">
      <c r="A182" s="163" t="str">
        <f>CONCATENATE('3 pr-2'!A176)</f>
        <v>3.1.2.1.3</v>
      </c>
      <c r="B182" s="227" t="str">
        <f>CONCATENATE('ketv. 2'!B175)</f>
        <v>05.5.1-APVA-R-019-11-0001</v>
      </c>
      <c r="C182" s="164" t="str">
        <f>CONCATENATE('3 pr-2'!D176)</f>
        <v>Bešeimininkių apleistų pastatų ir įrenginių tvarkymas Alytaus rajono savivaldybėje</v>
      </c>
      <c r="D182" s="164" t="str">
        <f>CONCATENATE('3 pr-2'!E176)</f>
        <v>Alytaus rajono savivaldybės administracija</v>
      </c>
      <c r="E182" s="164" t="str">
        <f>CONCATENATE('3 pr-2'!F176)</f>
        <v>Lietuvos Respublikos aplinkos ministerija</v>
      </c>
      <c r="F182" s="164" t="str">
        <f>CONCATENATE('3 pr-2'!G176)</f>
        <v>Alytaus r. sav.</v>
      </c>
      <c r="G182" s="164" t="str">
        <f>CONCATENATE('3 pr-2'!H176)</f>
        <v>05.5.1-APVA-R-019</v>
      </c>
      <c r="H182" s="164" t="str">
        <f>CONCATENATE('3 pr-2'!I176)</f>
        <v>R</v>
      </c>
      <c r="I182" s="174" t="str">
        <f>CONCATENATE('3 pr-2'!J176)</f>
        <v/>
      </c>
      <c r="J182" s="175">
        <f>SUM('3 pr-2'!L176)</f>
        <v>101765.7</v>
      </c>
      <c r="K182" s="176">
        <f>SUM('3 pr-2'!O176)</f>
        <v>15264.9</v>
      </c>
      <c r="L182" s="176">
        <f>SUM('3 pr-2'!R176)</f>
        <v>0</v>
      </c>
      <c r="M182" s="176">
        <f>SUM('3 pr-2'!U176)</f>
        <v>0</v>
      </c>
      <c r="N182" s="176">
        <f>SUM('3 pr-2'!X176)</f>
        <v>0</v>
      </c>
      <c r="O182" s="177">
        <f>SUM('3 pr-2'!AA176)</f>
        <v>86500.800000000003</v>
      </c>
      <c r="P182" s="195">
        <f>SUM('3 pr-2'!AF176)</f>
        <v>42598</v>
      </c>
      <c r="Q182" s="239">
        <v>42598</v>
      </c>
      <c r="R182" s="173">
        <f t="shared" si="39"/>
        <v>0</v>
      </c>
      <c r="S182" s="234">
        <f t="shared" si="40"/>
        <v>0</v>
      </c>
    </row>
    <row r="183" spans="1:19" ht="49.5" thickBot="1">
      <c r="A183" s="163" t="str">
        <f>CONCATENATE('3 pr-2'!A177)</f>
        <v>3.1.2.1.4</v>
      </c>
      <c r="B183" s="227" t="str">
        <f>CONCATENATE('ketv. 2'!B176)</f>
        <v>05.5.1-APVA-R-019-11-0004</v>
      </c>
      <c r="C183" s="164" t="str">
        <f>CONCATENATE('3 pr-2'!D177)</f>
        <v>Alytaus miesto bendrojo plano korektūra zonuojant kraštovaizdžio struktūrą, nustatant reglamentus ir principus</v>
      </c>
      <c r="D183" s="164" t="str">
        <f>CONCATENATE('3 pr-2'!E177)</f>
        <v>Alytaus miesto savivaldybės administracija</v>
      </c>
      <c r="E183" s="164" t="str">
        <f>CONCATENATE('3 pr-2'!F177)</f>
        <v>Lietuvos Respublikos aplinkos ministerija</v>
      </c>
      <c r="F183" s="164" t="str">
        <f>CONCATENATE('3 pr-2'!G177)</f>
        <v>Alytaus m. sav.</v>
      </c>
      <c r="G183" s="164" t="str">
        <f>CONCATENATE('3 pr-2'!H177)</f>
        <v>05.5.1-APVA-R-019</v>
      </c>
      <c r="H183" s="164" t="str">
        <f>CONCATENATE('3 pr-2'!I177)</f>
        <v>R</v>
      </c>
      <c r="I183" s="174" t="str">
        <f>CONCATENATE('3 pr-2'!J177)</f>
        <v/>
      </c>
      <c r="J183" s="175">
        <f>SUM('3 pr-2'!L177)</f>
        <v>3993</v>
      </c>
      <c r="K183" s="176">
        <f>SUM('3 pr-2'!O177)</f>
        <v>598.95000000000005</v>
      </c>
      <c r="L183" s="176">
        <f>SUM('3 pr-2'!R177)</f>
        <v>0</v>
      </c>
      <c r="M183" s="176">
        <f>SUM('3 pr-2'!U177)</f>
        <v>0</v>
      </c>
      <c r="N183" s="176">
        <f>SUM('3 pr-2'!X177)</f>
        <v>0</v>
      </c>
      <c r="O183" s="177">
        <f>SUM('3 pr-2'!AA177)</f>
        <v>3394.05</v>
      </c>
      <c r="P183" s="195">
        <f>SUM('3 pr-2'!AF177)</f>
        <v>42598</v>
      </c>
      <c r="Q183" s="239">
        <v>42598</v>
      </c>
      <c r="R183" s="173">
        <f t="shared" si="39"/>
        <v>0</v>
      </c>
      <c r="S183" s="234">
        <f t="shared" si="40"/>
        <v>0</v>
      </c>
    </row>
    <row r="184" spans="1:19" ht="49.5" thickBot="1">
      <c r="A184" s="163" t="str">
        <f>CONCATENATE('3 pr-2'!A178)</f>
        <v>3.1.2.1.5</v>
      </c>
      <c r="B184" s="227" t="str">
        <f>CONCATENATE('ketv. 2'!B177)</f>
        <v>05.5.1-APVA-R-019-11-0005</v>
      </c>
      <c r="C184" s="164" t="str">
        <f>CONCATENATE('3 pr-2'!D178)</f>
        <v>Bešeimininkių apleistų pastatų Druskininkų savivaldybės teritorijoje likvidavimas</v>
      </c>
      <c r="D184" s="164" t="str">
        <f>CONCATENATE('3 pr-2'!E178)</f>
        <v>Druskininkų savivaldybės administracija</v>
      </c>
      <c r="E184" s="164" t="str">
        <f>CONCATENATE('3 pr-2'!F178)</f>
        <v>Lietuvos Respublikos aplinkos ministerija</v>
      </c>
      <c r="F184" s="164" t="str">
        <f>CONCATENATE('3 pr-2'!G178)</f>
        <v>Druskininkų sav.</v>
      </c>
      <c r="G184" s="164" t="str">
        <f>CONCATENATE('3 pr-2'!H178)</f>
        <v>05.5.1-APVA-R-019</v>
      </c>
      <c r="H184" s="164" t="str">
        <f>CONCATENATE('3 pr-2'!I178)</f>
        <v>R</v>
      </c>
      <c r="I184" s="174" t="str">
        <f>CONCATENATE('3 pr-2'!J178)</f>
        <v>-</v>
      </c>
      <c r="J184" s="175">
        <f>SUM('3 pr-2'!L178)</f>
        <v>121153.53</v>
      </c>
      <c r="K184" s="176">
        <f>SUM('3 pr-2'!O178)</f>
        <v>18173.009999999998</v>
      </c>
      <c r="L184" s="176">
        <f>SUM('3 pr-2'!R178)</f>
        <v>0</v>
      </c>
      <c r="M184" s="176">
        <f>SUM('3 pr-2'!U178)</f>
        <v>0</v>
      </c>
      <c r="N184" s="176">
        <f>SUM('3 pr-2'!X178)</f>
        <v>0</v>
      </c>
      <c r="O184" s="177">
        <f>SUM('3 pr-2'!AA178)</f>
        <v>102980.52</v>
      </c>
      <c r="P184" s="195">
        <f>SUM('3 pr-2'!AF178)</f>
        <v>42598</v>
      </c>
      <c r="Q184" s="239">
        <v>42598</v>
      </c>
      <c r="R184" s="173">
        <f t="shared" si="39"/>
        <v>0</v>
      </c>
      <c r="S184" s="234">
        <f t="shared" si="40"/>
        <v>0</v>
      </c>
    </row>
    <row r="185" spans="1:19" ht="49.5" thickBot="1">
      <c r="A185" s="163" t="str">
        <f>CONCATENATE('3 pr-2'!A179)</f>
        <v>3.1.2.1.6</v>
      </c>
      <c r="B185" s="227" t="str">
        <f>CONCATENATE('ketv. 2'!B178)</f>
        <v>05.5.1-APVA-R-019-11-0003</v>
      </c>
      <c r="C185" s="164" t="str">
        <f>CONCATENATE('3 pr-2'!D179)</f>
        <v>Kraštovaizdžio formavimas Lazdijų rajono savivaldybėje</v>
      </c>
      <c r="D185" s="164" t="str">
        <f>CONCATENATE('3 pr-2'!E179)</f>
        <v>Lazdijų rajono savivaldybės administracija</v>
      </c>
      <c r="E185" s="164" t="str">
        <f>CONCATENATE('3 pr-2'!F179)</f>
        <v>Lietuvos Respublikos aplinkos ministerija</v>
      </c>
      <c r="F185" s="164" t="str">
        <f>CONCATENATE('3 pr-2'!G179)</f>
        <v>Lazdijų r. sav.</v>
      </c>
      <c r="G185" s="164" t="str">
        <f>CONCATENATE('3 pr-2'!H179)</f>
        <v>05.5.1-APVA-R-019</v>
      </c>
      <c r="H185" s="164" t="str">
        <f>CONCATENATE('3 pr-2'!I179)</f>
        <v>R</v>
      </c>
      <c r="I185" s="174" t="str">
        <f>CONCATENATE('3 pr-2'!J179)</f>
        <v>-</v>
      </c>
      <c r="J185" s="175">
        <f>SUM('3 pr-2'!L179)</f>
        <v>442298.58999999997</v>
      </c>
      <c r="K185" s="176">
        <f>SUM('3 pr-2'!O179)</f>
        <v>66344.78</v>
      </c>
      <c r="L185" s="176">
        <f>SUM('3 pr-2'!R179)</f>
        <v>0</v>
      </c>
      <c r="M185" s="176">
        <f>SUM('3 pr-2'!U179)</f>
        <v>0</v>
      </c>
      <c r="N185" s="176">
        <f>SUM('3 pr-2'!X179)</f>
        <v>0</v>
      </c>
      <c r="O185" s="177">
        <f>SUM('3 pr-2'!AA179)</f>
        <v>375953.81</v>
      </c>
      <c r="P185" s="195">
        <f>SUM('3 pr-2'!AF179)</f>
        <v>42598</v>
      </c>
      <c r="Q185" s="239">
        <v>42598</v>
      </c>
      <c r="R185" s="173">
        <f t="shared" si="39"/>
        <v>0</v>
      </c>
      <c r="S185" s="234">
        <f t="shared" si="40"/>
        <v>0</v>
      </c>
    </row>
    <row r="186" spans="1:19" ht="49.5" thickBot="1">
      <c r="A186" s="163" t="str">
        <f>CONCATENATE('3 pr-2'!A180)</f>
        <v>3.1.2.1.7</v>
      </c>
      <c r="B186" s="227" t="str">
        <f>CONCATENATE('ketv. 2'!B179)</f>
        <v>05.5.1-APVA-R-019-11-0008</v>
      </c>
      <c r="C186" s="164" t="str">
        <f>CONCATENATE('3 pr-2'!D180)</f>
        <v>Kraštovaizdžio formavimas Lazdijų rajono savivaldybėje (II etapas)</v>
      </c>
      <c r="D186" s="164" t="str">
        <f>CONCATENATE('3 pr-2'!E180)</f>
        <v>Lazdijų rajono savivaldybės administracija</v>
      </c>
      <c r="E186" s="164" t="str">
        <f>CONCATENATE('3 pr-2'!F180)</f>
        <v>Lietuvos Respublikos aplinkos ministerija</v>
      </c>
      <c r="F186" s="164" t="str">
        <f>CONCATENATE('3 pr-2'!G180)</f>
        <v>Lazdijų r. sav.</v>
      </c>
      <c r="G186" s="164" t="str">
        <f>CONCATENATE('3 pr-2'!H180)</f>
        <v>05.5.1-APVA-R-019</v>
      </c>
      <c r="H186" s="164" t="str">
        <f>CONCATENATE('3 pr-2'!I180)</f>
        <v>R</v>
      </c>
      <c r="I186" s="174" t="str">
        <f>CONCATENATE('3 pr-2'!J180)</f>
        <v>-</v>
      </c>
      <c r="J186" s="175">
        <f>SUM('3 pr-2'!L180)</f>
        <v>149792.22</v>
      </c>
      <c r="K186" s="176">
        <f>SUM('3 pr-2'!O180)</f>
        <v>22468.83</v>
      </c>
      <c r="L186" s="176">
        <f>SUM('3 pr-2'!R180)</f>
        <v>0</v>
      </c>
      <c r="M186" s="176">
        <f>SUM('3 pr-2'!U180)</f>
        <v>0</v>
      </c>
      <c r="N186" s="176">
        <f>SUM('3 pr-2'!X180)</f>
        <v>0</v>
      </c>
      <c r="O186" s="177">
        <f>SUM('3 pr-2'!AA180)</f>
        <v>127323.39</v>
      </c>
      <c r="P186" s="481">
        <f>SUM('3 pr-2'!AF180)</f>
        <v>43277</v>
      </c>
      <c r="Q186" s="197"/>
      <c r="R186" s="173">
        <f t="shared" si="39"/>
        <v>0</v>
      </c>
      <c r="S186" s="234">
        <f t="shared" si="40"/>
        <v>0</v>
      </c>
    </row>
    <row r="187" spans="1:19" ht="49.5" thickBot="1">
      <c r="A187" s="163" t="str">
        <f>CONCATENATE('3 pr-2'!A181)</f>
        <v>3.1.2.1.8</v>
      </c>
      <c r="B187" s="227" t="str">
        <f>CONCATENATE('ketv. 2'!B180)</f>
        <v>05.5.1-APVA-R-019-11-0006</v>
      </c>
      <c r="C187" s="164" t="str">
        <f>CONCATENATE('3 pr-2'!D181)</f>
        <v>Bešeimininkių apleistų pastatų ir įrenginių tvarkymas Alytaus rajono savivaldybėje (II etapas)</v>
      </c>
      <c r="D187" s="164" t="str">
        <f>CONCATENATE('3 pr-2'!E181)</f>
        <v>Alytaus rajono savivaldybės administracija</v>
      </c>
      <c r="E187" s="164" t="str">
        <f>CONCATENATE('3 pr-2'!F181)</f>
        <v>Lietuvos Respublikos aplinkos ministerija</v>
      </c>
      <c r="F187" s="164" t="str">
        <f>CONCATENATE('3 pr-2'!G181)</f>
        <v>Alytaus r. sav.</v>
      </c>
      <c r="G187" s="164" t="str">
        <f>CONCATENATE('3 pr-2'!H181)</f>
        <v>05.5.1-APVA-R-019</v>
      </c>
      <c r="H187" s="164" t="str">
        <f>CONCATENATE('3 pr-2'!I181)</f>
        <v>R</v>
      </c>
      <c r="I187" s="174" t="str">
        <f>CONCATENATE('3 pr-2'!J181)</f>
        <v>-</v>
      </c>
      <c r="J187" s="175">
        <f>SUM('3 pr-2'!L181)</f>
        <v>736537.6470588235</v>
      </c>
      <c r="K187" s="176">
        <f>SUM('3 pr-2'!O181)</f>
        <v>110480.64705882352</v>
      </c>
      <c r="L187" s="176">
        <f>SUM('3 pr-2'!R181)</f>
        <v>0</v>
      </c>
      <c r="M187" s="176">
        <f>SUM('3 pr-2'!U181)</f>
        <v>0</v>
      </c>
      <c r="N187" s="176">
        <f>SUM('3 pr-2'!X181)</f>
        <v>0</v>
      </c>
      <c r="O187" s="177">
        <f>SUM('3 pr-2'!AA181)</f>
        <v>626057</v>
      </c>
      <c r="P187" s="481">
        <f>SUM('3 pr-2'!AF181)</f>
        <v>43128</v>
      </c>
      <c r="Q187" s="213">
        <v>0</v>
      </c>
      <c r="R187" s="173">
        <f t="shared" si="39"/>
        <v>0</v>
      </c>
      <c r="S187" s="234">
        <f t="shared" si="40"/>
        <v>0</v>
      </c>
    </row>
    <row r="188" spans="1:19" ht="50.25" thickTop="1" thickBot="1">
      <c r="A188" s="163" t="str">
        <f>CONCATENATE('3 pr-2'!A182)</f>
        <v>3.1.2.1.9</v>
      </c>
      <c r="B188" s="227" t="str">
        <f>CONCATENATE('ketv. 2'!B181)</f>
        <v/>
      </c>
      <c r="C188" s="164" t="str">
        <f>CONCATENATE('3 pr-2'!D182)</f>
        <v>Etaloninio kraštovaizdžio formavimas Druskininkų savivaldybės pasienyje</v>
      </c>
      <c r="D188" s="164" t="str">
        <f>CONCATENATE('3 pr-2'!E182)</f>
        <v>Druskininkų savivaldybės administracija</v>
      </c>
      <c r="E188" s="164" t="str">
        <f>CONCATENATE('3 pr-2'!F182)</f>
        <v>Lietuvos Respublikos aplinkos ministerija</v>
      </c>
      <c r="F188" s="164" t="str">
        <f>CONCATENATE('3 pr-2'!G182)</f>
        <v>Druskininkų sav.</v>
      </c>
      <c r="G188" s="164" t="str">
        <f>CONCATENATE('3 pr-2'!H182)</f>
        <v>05.5.1-APVA-R-019</v>
      </c>
      <c r="H188" s="164" t="str">
        <f>CONCATENATE('3 pr-2'!I182)</f>
        <v>R</v>
      </c>
      <c r="I188" s="174" t="str">
        <f>CONCATENATE('3 pr-2'!J182)</f>
        <v>-</v>
      </c>
      <c r="J188" s="175">
        <f>SUM('3 pr-2'!L182)</f>
        <v>88524.094117647051</v>
      </c>
      <c r="K188" s="176">
        <f>SUM('3 pr-2'!O182)</f>
        <v>13278.614117647059</v>
      </c>
      <c r="L188" s="176">
        <f>SUM('3 pr-2'!R182)</f>
        <v>0</v>
      </c>
      <c r="M188" s="176">
        <f>SUM('3 pr-2'!U182)</f>
        <v>0</v>
      </c>
      <c r="N188" s="176">
        <f>SUM('3 pr-2'!X182)</f>
        <v>0</v>
      </c>
      <c r="O188" s="177">
        <f>SUM('3 pr-2'!AA182)</f>
        <v>75245.48</v>
      </c>
      <c r="P188" s="481">
        <f>SUM('3 pr-2'!AF182)</f>
        <v>0</v>
      </c>
      <c r="Q188" s="213">
        <v>0</v>
      </c>
      <c r="R188" s="173">
        <f t="shared" ref="R188" si="41">IF(Q188&gt;0,P188-Q188,0)</f>
        <v>0</v>
      </c>
      <c r="S188" s="234">
        <f t="shared" ref="S188" si="42">IF(Q188&gt;0,(P188-Q188)/30.1667,0)</f>
        <v>0</v>
      </c>
    </row>
    <row r="189" spans="1:19" ht="15.75" thickTop="1"/>
  </sheetData>
  <mergeCells count="39">
    <mergeCell ref="C8:I8"/>
    <mergeCell ref="A1:K1"/>
    <mergeCell ref="A3:I3"/>
    <mergeCell ref="J3:O3"/>
    <mergeCell ref="P3:S3"/>
    <mergeCell ref="C7:I7"/>
    <mergeCell ref="C79:I79"/>
    <mergeCell ref="C9:I9"/>
    <mergeCell ref="C33:I33"/>
    <mergeCell ref="C39:I39"/>
    <mergeCell ref="C46:I46"/>
    <mergeCell ref="C50:I50"/>
    <mergeCell ref="C56:I56"/>
    <mergeCell ref="C58:I58"/>
    <mergeCell ref="C62:I62"/>
    <mergeCell ref="C67:I67"/>
    <mergeCell ref="C73:I73"/>
    <mergeCell ref="C74:I74"/>
    <mergeCell ref="C154:I154"/>
    <mergeCell ref="C86:I86"/>
    <mergeCell ref="C92:I92"/>
    <mergeCell ref="C100:I100"/>
    <mergeCell ref="C101:I101"/>
    <mergeCell ref="C102:I102"/>
    <mergeCell ref="C108:I108"/>
    <mergeCell ref="C114:I114"/>
    <mergeCell ref="C120:I120"/>
    <mergeCell ref="C121:I121"/>
    <mergeCell ref="C135:I135"/>
    <mergeCell ref="C153:I153"/>
    <mergeCell ref="C147:I147"/>
    <mergeCell ref="C178:I178"/>
    <mergeCell ref="C179:I179"/>
    <mergeCell ref="C160:I160"/>
    <mergeCell ref="C166:I166"/>
    <mergeCell ref="C167:I167"/>
    <mergeCell ref="C174:I174"/>
    <mergeCell ref="C175:I175"/>
    <mergeCell ref="C176:I17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X184"/>
  <sheetViews>
    <sheetView workbookViewId="0">
      <pane ySplit="3270" topLeftCell="A171"/>
      <selection activeCell="U1" sqref="U1:U1048576"/>
      <selection pane="bottomLeft" activeCell="T173" sqref="T173:T180"/>
    </sheetView>
  </sheetViews>
  <sheetFormatPr defaultRowHeight="15"/>
  <cols>
    <col min="1" max="1" width="8" customWidth="1"/>
    <col min="2" max="2" width="9.42578125" customWidth="1"/>
    <col min="3" max="3" width="13" hidden="1" customWidth="1"/>
    <col min="4" max="4" width="37.28515625" customWidth="1"/>
    <col min="5" max="5" width="13.140625" customWidth="1"/>
    <col min="6" max="6" width="13" customWidth="1"/>
    <col min="7" max="7" width="11.28515625" customWidth="1"/>
    <col min="8" max="8" width="27.140625" customWidth="1"/>
    <col min="9" max="9" width="5.42578125" customWidth="1"/>
    <col min="10" max="10" width="5.5703125" customWidth="1"/>
    <col min="11" max="11" width="18" bestFit="1" customWidth="1"/>
    <col min="12" max="14" width="16.42578125" bestFit="1" customWidth="1"/>
    <col min="15" max="15" width="14.28515625" bestFit="1" customWidth="1"/>
    <col min="16" max="16" width="18" bestFit="1" customWidth="1"/>
    <col min="17" max="17" width="11.140625" customWidth="1"/>
    <col min="18" max="18" width="9" customWidth="1"/>
    <col min="19" max="19" width="9.5703125" customWidth="1"/>
    <col min="20" max="20" width="9.7109375" customWidth="1"/>
    <col min="21" max="21" width="9.7109375" hidden="1" customWidth="1"/>
    <col min="23" max="24" width="10.42578125" bestFit="1" customWidth="1"/>
  </cols>
  <sheetData>
    <row r="1" spans="1:21" ht="16.5" thickBot="1">
      <c r="A1" s="2082" t="s">
        <v>692</v>
      </c>
      <c r="B1" s="2082"/>
      <c r="C1" s="2082"/>
      <c r="D1" s="2083"/>
      <c r="E1" s="2083"/>
      <c r="F1" s="2083"/>
      <c r="G1" s="2083"/>
      <c r="H1" s="2083"/>
      <c r="I1" s="2083"/>
      <c r="J1" s="2083"/>
      <c r="K1" s="2083"/>
      <c r="L1" s="2083"/>
    </row>
    <row r="2" spans="1:21" ht="47.25" customHeight="1" thickBot="1">
      <c r="A2" s="2079" t="s">
        <v>46</v>
      </c>
      <c r="B2" s="2080"/>
      <c r="C2" s="2080"/>
      <c r="D2" s="2080"/>
      <c r="E2" s="2080"/>
      <c r="F2" s="2080"/>
      <c r="G2" s="2080"/>
      <c r="H2" s="2080"/>
      <c r="I2" s="2080"/>
      <c r="J2" s="2084"/>
      <c r="K2" s="2079" t="s">
        <v>1780</v>
      </c>
      <c r="L2" s="2080"/>
      <c r="M2" s="2080"/>
      <c r="N2" s="2080"/>
      <c r="O2" s="2080"/>
      <c r="P2" s="2080"/>
      <c r="Q2" s="2081"/>
      <c r="R2" s="2079" t="s">
        <v>691</v>
      </c>
      <c r="S2" s="2080"/>
      <c r="T2" s="2080"/>
      <c r="U2" s="2084"/>
    </row>
    <row r="3" spans="1:21" ht="51.75" thickBot="1">
      <c r="A3" s="229" t="s">
        <v>7</v>
      </c>
      <c r="B3" s="1121" t="s">
        <v>1779</v>
      </c>
      <c r="C3" s="346" t="s">
        <v>690</v>
      </c>
      <c r="D3" s="229" t="s">
        <v>49</v>
      </c>
      <c r="E3" s="229" t="s">
        <v>1772</v>
      </c>
      <c r="F3" s="229" t="s">
        <v>51</v>
      </c>
      <c r="G3" s="229" t="s">
        <v>52</v>
      </c>
      <c r="H3" s="229" t="s">
        <v>676</v>
      </c>
      <c r="I3" s="347" t="s">
        <v>1783</v>
      </c>
      <c r="J3" s="345" t="s">
        <v>1784</v>
      </c>
      <c r="K3" s="183" t="s">
        <v>57</v>
      </c>
      <c r="L3" s="184" t="s">
        <v>58</v>
      </c>
      <c r="M3" s="184" t="s">
        <v>59</v>
      </c>
      <c r="N3" s="184" t="s">
        <v>60</v>
      </c>
      <c r="O3" s="184" t="s">
        <v>61</v>
      </c>
      <c r="P3" s="185" t="s">
        <v>10</v>
      </c>
      <c r="Q3" s="1121" t="s">
        <v>1781</v>
      </c>
      <c r="R3" s="194" t="s">
        <v>1777</v>
      </c>
      <c r="S3" s="194" t="s">
        <v>1776</v>
      </c>
      <c r="T3" s="1468" t="s">
        <v>686</v>
      </c>
      <c r="U3" s="193" t="s">
        <v>1775</v>
      </c>
    </row>
    <row r="4" spans="1:21" ht="16.5" thickBot="1">
      <c r="A4" s="343"/>
      <c r="B4" s="1122"/>
      <c r="C4" s="344"/>
      <c r="D4" s="168"/>
      <c r="E4" s="168"/>
      <c r="F4" s="168"/>
      <c r="G4" s="168"/>
      <c r="H4" s="168"/>
      <c r="I4" s="168"/>
      <c r="J4" s="178"/>
      <c r="K4" s="167"/>
      <c r="L4" s="168"/>
      <c r="M4" s="168"/>
      <c r="N4" s="168"/>
      <c r="O4" s="168"/>
      <c r="P4" s="178"/>
      <c r="Q4" s="189"/>
      <c r="R4" s="179" t="s">
        <v>679</v>
      </c>
      <c r="S4" s="1467"/>
      <c r="T4" s="1469" t="s">
        <v>3835</v>
      </c>
      <c r="U4" s="1139"/>
    </row>
    <row r="5" spans="1:21" ht="16.5" thickBot="1">
      <c r="A5" s="188"/>
      <c r="B5" s="189"/>
      <c r="C5" s="224"/>
      <c r="D5" s="189"/>
      <c r="E5" s="189"/>
      <c r="F5" s="189"/>
      <c r="G5" s="189"/>
      <c r="H5" s="189"/>
      <c r="I5" s="189"/>
      <c r="J5" s="189"/>
      <c r="K5" s="167"/>
      <c r="L5" s="168"/>
      <c r="M5" s="168"/>
      <c r="N5" s="168"/>
      <c r="O5" s="168"/>
      <c r="P5" s="178"/>
      <c r="Q5" s="189"/>
      <c r="R5" s="190"/>
      <c r="S5" s="1327"/>
      <c r="T5" s="1470"/>
      <c r="U5" s="1139"/>
    </row>
    <row r="6" spans="1:21" ht="81" customHeight="1" thickBot="1">
      <c r="A6" s="366" t="str">
        <f>CONCATENATE('3 pr-2'!A7)</f>
        <v>1.1.</v>
      </c>
      <c r="B6" s="2092" t="str">
        <f>CONCATENATE('3 pr-2'!B7)</f>
        <v>Tikslas: 
DIDINTI ŪKINĖS VEIKLOS ĮVAIROVĘ IR PAGERINTI SĄLYGAS INVESTICIJŲ PRITRAUKIMUI, MAŽINANT GEOGRAFINIŲ SĄLYGŲ IR DEMOGRAFINIŲ PROCESŲ SUKELIAMUS GYVENIMO KOKYBĖS NETOLYGUMUS</v>
      </c>
      <c r="C6" s="2086"/>
      <c r="D6" s="2086"/>
      <c r="E6" s="2086"/>
      <c r="F6" s="2086"/>
      <c r="G6" s="2086"/>
      <c r="H6" s="2086"/>
      <c r="I6" s="2086"/>
      <c r="J6" s="2087"/>
      <c r="K6" s="1219">
        <f t="shared" ref="K6:P6" si="0">SUM(K7+K72)</f>
        <v>45272366.837058812</v>
      </c>
      <c r="L6" s="1219">
        <f t="shared" si="0"/>
        <v>5080233.1470588231</v>
      </c>
      <c r="M6" s="1219">
        <f t="shared" ca="1" si="0"/>
        <v>721975.68</v>
      </c>
      <c r="N6" s="1219">
        <f t="shared" si="0"/>
        <v>8469094.1500000004</v>
      </c>
      <c r="O6" s="1219">
        <f t="shared" si="0"/>
        <v>415060.82</v>
      </c>
      <c r="P6" s="1219">
        <f t="shared" si="0"/>
        <v>30586003.039999999</v>
      </c>
      <c r="Q6" s="1219">
        <f t="shared" ref="Q6" si="1">SUM(Q7+Q72)</f>
        <v>0</v>
      </c>
      <c r="R6" s="140" t="s">
        <v>679</v>
      </c>
      <c r="S6" s="140" t="s">
        <v>679</v>
      </c>
      <c r="T6" s="140" t="s">
        <v>679</v>
      </c>
      <c r="U6" s="1458"/>
    </row>
    <row r="7" spans="1:21" ht="45" customHeight="1" thickBot="1">
      <c r="A7" s="238" t="s">
        <v>680</v>
      </c>
      <c r="B7" s="2085" t="str">
        <f>CONCATENATE('3 pr-2'!B8)</f>
        <v>Uždavinys: 
Sudaryti sąlygas darbo vietų kūrimui, kuriant ir atnaujinant viešąją ir ekoinžinerinę  infrastruktūrą,  gamtos, kultūros paveldo objektus ir kultūros įstaigas</v>
      </c>
      <c r="C7" s="2086"/>
      <c r="D7" s="2086"/>
      <c r="E7" s="2086"/>
      <c r="F7" s="2086"/>
      <c r="G7" s="2086"/>
      <c r="H7" s="2086"/>
      <c r="I7" s="2086"/>
      <c r="J7" s="2087"/>
      <c r="K7" s="1158">
        <f t="shared" ref="K7:P7" si="2">SUM(K8+K32+K38+K45+K49+K55+K57+K61+K66)</f>
        <v>39301952.947058812</v>
      </c>
      <c r="L7" s="1158">
        <f t="shared" si="2"/>
        <v>3730253.027058823</v>
      </c>
      <c r="M7" s="1158">
        <f t="shared" ca="1" si="2"/>
        <v>721975.68</v>
      </c>
      <c r="N7" s="1158">
        <f t="shared" si="2"/>
        <v>8046402.1500000004</v>
      </c>
      <c r="O7" s="1158">
        <f t="shared" si="2"/>
        <v>352400.82</v>
      </c>
      <c r="P7" s="1158">
        <f t="shared" si="2"/>
        <v>26450921.27</v>
      </c>
      <c r="Q7" s="1158">
        <f t="shared" ref="Q7" si="3">SUM(Q8+Q32+Q38+Q45+Q49+Q55+Q57+Q61+Q66)</f>
        <v>0</v>
      </c>
      <c r="R7" s="217" t="s">
        <v>679</v>
      </c>
      <c r="S7" s="365" t="s">
        <v>679</v>
      </c>
      <c r="T7" s="364" t="s">
        <v>679</v>
      </c>
      <c r="U7" s="1459"/>
    </row>
    <row r="8" spans="1:21" ht="45.75" customHeight="1" thickBot="1">
      <c r="A8" s="296" t="s">
        <v>67</v>
      </c>
      <c r="B8" s="2088" t="str">
        <f>CONCATENATE('3 pr-2'!B9)</f>
        <v>Priemonė:
Kaimo gyvenamųjų vietovių (turinčių iki 1 tūkst. gyventojų) atnaujinimas</v>
      </c>
      <c r="C8" s="2089"/>
      <c r="D8" s="2089"/>
      <c r="E8" s="2089"/>
      <c r="F8" s="2089"/>
      <c r="G8" s="2089"/>
      <c r="H8" s="2089"/>
      <c r="I8" s="2089"/>
      <c r="J8" s="2090"/>
      <c r="K8" s="1077">
        <f t="shared" ref="K8:P8" si="4">SUM(K9:K31)</f>
        <v>4298604.3499999996</v>
      </c>
      <c r="L8" s="1077">
        <f t="shared" si="4"/>
        <v>1157795.5499999998</v>
      </c>
      <c r="M8" s="1077">
        <f t="shared" ca="1" si="4"/>
        <v>0</v>
      </c>
      <c r="N8" s="1077">
        <f t="shared" si="4"/>
        <v>0</v>
      </c>
      <c r="O8" s="1077">
        <f t="shared" si="4"/>
        <v>0</v>
      </c>
      <c r="P8" s="1077">
        <f t="shared" si="4"/>
        <v>3140808.8</v>
      </c>
      <c r="Q8" s="1077">
        <f t="shared" ref="Q8" si="5">SUM(Q9:Q31)</f>
        <v>0</v>
      </c>
      <c r="R8" s="357"/>
      <c r="S8" s="358"/>
      <c r="T8" s="358"/>
      <c r="U8" s="1460"/>
    </row>
    <row r="9" spans="1:21" ht="48.75">
      <c r="A9" s="163" t="str">
        <f>CONCATENATE('3 pr-2'!A10)</f>
        <v>1.1.1.1.1</v>
      </c>
      <c r="B9" s="1123" t="str">
        <f>CONCATENATE('3 pr-2'!B10)</f>
        <v>R01-ZM72-120000-1101</v>
      </c>
      <c r="C9" s="227" t="str">
        <f>CONCATENATE('ketv. 2'!B9)</f>
        <v>20KI-KA-17-1-02616-PR001</v>
      </c>
      <c r="D9" s="164" t="str">
        <f>CONCATENATE('3 pr-2'!D10)</f>
        <v xml:space="preserve">Druskininkų savivaldybės Viečiūnų seniūnijos Ilgio ir Raigardo seniūnaitijų kelių būklės gerinimas  </v>
      </c>
      <c r="E9" s="164" t="str">
        <f>CONCATENATE('3 pr-2'!E10)</f>
        <v xml:space="preserve">Druskininkų savivaldybės administracija  </v>
      </c>
      <c r="F9" s="164" t="str">
        <f>CONCATENATE('3 pr-2'!F10)</f>
        <v>Lietuvos Respublikos žemės ūkio ministerija</v>
      </c>
      <c r="G9" s="164" t="str">
        <f>CONCATENATE('3 pr-2'!G10)</f>
        <v>Druskininkų sav.</v>
      </c>
      <c r="H9" s="164" t="str">
        <f>CONCATENATE('3 pr-2'!H10)</f>
        <v xml:space="preserve">Pagrindinės paslaugos ir kaimų atnaujinimas kaimo vietovėse </v>
      </c>
      <c r="I9" s="164" t="str">
        <f>CONCATENATE('3 pr-2'!I10)</f>
        <v>R</v>
      </c>
      <c r="J9" s="174" t="str">
        <f>CONCATENATE('3 pr-2'!J10)</f>
        <v>-</v>
      </c>
      <c r="K9" s="1080">
        <f>IF(LEN(S9)=5,'3 pr-2'!L10,0)</f>
        <v>250766</v>
      </c>
      <c r="L9" s="1080">
        <f>IF(LEN(S9)=5,'3 pr-2'!O10,0)</f>
        <v>91651</v>
      </c>
      <c r="M9" s="1080">
        <f ca="1">IF(LEN(S9)=5,'3 pr-2'!R10,0)</f>
        <v>0</v>
      </c>
      <c r="N9" s="1080">
        <f>IF(LEN(S9)=5,'3 pr-2'!U10,0)</f>
        <v>0</v>
      </c>
      <c r="O9" s="1080">
        <f>IF(LEN(S9)=5,'3 pr-2'!X10,0)</f>
        <v>0</v>
      </c>
      <c r="P9" s="1080">
        <f>IF(LEN(S9)=5,'3 pr-2'!AA10,0)</f>
        <v>159115</v>
      </c>
      <c r="Q9" s="1080">
        <f>IF(LEN(S9)=5,'3 pr-2'!AB10,0)</f>
        <v>0</v>
      </c>
      <c r="R9" s="1124">
        <f>SUM('3 pr-2'!AH10)</f>
        <v>43010</v>
      </c>
      <c r="S9" s="1125">
        <v>43010</v>
      </c>
      <c r="T9" s="173" t="str">
        <f t="shared" ref="T9:T31" si="6">IF(ISERROR(U9),"–",IF(U9&gt;0,"–",U9))</f>
        <v>–</v>
      </c>
      <c r="U9" s="1461" t="str">
        <f t="shared" ref="U9:U71" si="7">IF(R9-S9&lt;0,(R9-S9)/30.4166666666667,"–")</f>
        <v>–</v>
      </c>
    </row>
    <row r="10" spans="1:21" ht="48.75">
      <c r="A10" s="163" t="str">
        <f>CONCATENATE('3 pr-2'!A11)</f>
        <v>1.1.1.1.2</v>
      </c>
      <c r="B10" s="1123" t="str">
        <f>CONCATENATE('3 pr-2'!B11)</f>
        <v>R01-ZM72-120000-1102</v>
      </c>
      <c r="C10" s="227" t="str">
        <f>CONCATENATE('ketv. 2'!B10)</f>
        <v>20KI-KA-17-1-02617-PR001</v>
      </c>
      <c r="D10" s="164" t="str">
        <f>CONCATENATE('3 pr-2'!D11)</f>
        <v>Druskininkų savivaldybės Viečiūnų seniūnijos Ratnyčėlės seniūnaitijos kelių būklės gerinimas</v>
      </c>
      <c r="E10" s="164" t="str">
        <f>CONCATENATE('3 pr-2'!E11)</f>
        <v xml:space="preserve">Druskininkų savivaldybės administracija  </v>
      </c>
      <c r="F10" s="164" t="str">
        <f>CONCATENATE('3 pr-2'!F11)</f>
        <v>Lietuvos Respublikos žemės ūkio ministerija</v>
      </c>
      <c r="G10" s="164" t="str">
        <f>CONCATENATE('3 pr-2'!G11)</f>
        <v>Druskininkų sav.</v>
      </c>
      <c r="H10" s="164" t="str">
        <f>CONCATENATE('3 pr-2'!H11)</f>
        <v xml:space="preserve">Pagrindinės paslaugos ir kaimų atnaujinimas kaimo vietovėse </v>
      </c>
      <c r="I10" s="164" t="str">
        <f>CONCATENATE('3 pr-2'!I11)</f>
        <v>R</v>
      </c>
      <c r="J10" s="174" t="str">
        <f>CONCATENATE('3 pr-2'!J11)</f>
        <v>-</v>
      </c>
      <c r="K10" s="1080">
        <f>IF(LEN(S10)=5,'3 pr-2'!L11,0)</f>
        <v>188039</v>
      </c>
      <c r="L10" s="1080">
        <f>IF(LEN(S10)=5,'3 pr-2'!O11,0)</f>
        <v>66968</v>
      </c>
      <c r="M10" s="1080">
        <f ca="1">IF(LEN(S10)=5,'3 pr-2'!R11,0)</f>
        <v>0</v>
      </c>
      <c r="N10" s="1080">
        <f>IF(LEN(S10)=5,'3 pr-2'!U11,0)</f>
        <v>0</v>
      </c>
      <c r="O10" s="1080">
        <f>IF(LEN(S10)=5,'3 pr-2'!X11,0)</f>
        <v>0</v>
      </c>
      <c r="P10" s="1080">
        <f>IF(LEN(S10)=5,'3 pr-2'!AA11,0)</f>
        <v>121071</v>
      </c>
      <c r="Q10" s="1080">
        <f>IF(LEN(S10)=5,'3 pr-2'!AB11,0)</f>
        <v>0</v>
      </c>
      <c r="R10" s="1124">
        <f>SUM('3 pr-2'!AH11)</f>
        <v>43010</v>
      </c>
      <c r="S10" s="1125">
        <v>43010</v>
      </c>
      <c r="T10" s="173" t="str">
        <f t="shared" si="6"/>
        <v>–</v>
      </c>
      <c r="U10" s="1461" t="str">
        <f t="shared" si="7"/>
        <v>–</v>
      </c>
    </row>
    <row r="11" spans="1:21" ht="48.75">
      <c r="A11" s="163" t="str">
        <f>CONCATENATE('3 pr-2'!A12)</f>
        <v>1.1.1.1.3</v>
      </c>
      <c r="B11" s="1123" t="str">
        <f>CONCATENATE('3 pr-2'!B12)</f>
        <v>R01-ZM72-120000-1103</v>
      </c>
      <c r="C11" s="227" t="str">
        <f>CONCATENATE('ketv. 2'!B11)</f>
        <v>20KI-KA-17-1-02622-PR001</v>
      </c>
      <c r="D11" s="164" t="str">
        <f>CONCATENATE('3 pr-2'!D12)</f>
        <v>Druskininkų savivaldybės Leipalingio seniūnijos Klonio seniūnaitijos kelių būklės gerinimas</v>
      </c>
      <c r="E11" s="164" t="str">
        <f>CONCATENATE('3 pr-2'!E12)</f>
        <v xml:space="preserve">Druskininkų savivaldybės administracija  </v>
      </c>
      <c r="F11" s="164" t="str">
        <f>CONCATENATE('3 pr-2'!F12)</f>
        <v>Lietuvos Respublikos žemės ūkio ministerija</v>
      </c>
      <c r="G11" s="164" t="str">
        <f>CONCATENATE('3 pr-2'!G12)</f>
        <v>Druskininkų sav.</v>
      </c>
      <c r="H11" s="164" t="s">
        <v>1778</v>
      </c>
      <c r="I11" s="164" t="str">
        <f>CONCATENATE('3 pr-2'!I12)</f>
        <v>R</v>
      </c>
      <c r="J11" s="174" t="str">
        <f>CONCATENATE('3 pr-2'!J12)</f>
        <v>-</v>
      </c>
      <c r="K11" s="1080">
        <f>IF(LEN(S11)=5,'3 pr-2'!L12,0)</f>
        <v>222319</v>
      </c>
      <c r="L11" s="1080">
        <f>IF(LEN(S11)=5,'3 pr-2'!O12,0)</f>
        <v>67873</v>
      </c>
      <c r="M11" s="1080">
        <f ca="1">IF(LEN(S11)=5,'3 pr-2'!R12,0)</f>
        <v>0</v>
      </c>
      <c r="N11" s="1080">
        <f>IF(LEN(S11)=5,'3 pr-2'!U12,0)</f>
        <v>0</v>
      </c>
      <c r="O11" s="1080">
        <f>IF(LEN(S11)=5,'3 pr-2'!X12,0)</f>
        <v>0</v>
      </c>
      <c r="P11" s="1080">
        <f>IF(LEN(S11)=5,'3 pr-2'!AA12,0)</f>
        <v>154446</v>
      </c>
      <c r="Q11" s="1080">
        <f>IF(LEN(S11)=5,'3 pr-2'!AB12,0)</f>
        <v>0</v>
      </c>
      <c r="R11" s="1124">
        <f>SUM('3 pr-2'!AH12)</f>
        <v>43010</v>
      </c>
      <c r="S11" s="1125">
        <v>43010</v>
      </c>
      <c r="T11" s="173" t="str">
        <f t="shared" si="6"/>
        <v>–</v>
      </c>
      <c r="U11" s="1461" t="str">
        <f t="shared" si="7"/>
        <v>–</v>
      </c>
    </row>
    <row r="12" spans="1:21" ht="48.75">
      <c r="A12" s="163" t="str">
        <f>CONCATENATE('3 pr-2'!A13)</f>
        <v>1.1.1.1.4</v>
      </c>
      <c r="B12" s="1123" t="str">
        <f>CONCATENATE('3 pr-2'!B13)</f>
        <v>R01-ZM72-330200-1104</v>
      </c>
      <c r="C12" s="227" t="str">
        <f>CONCATENATE('ketv. 2'!B12)</f>
        <v>20KI-KA-17-1-02368-PR001</v>
      </c>
      <c r="D12" s="164" t="str">
        <f>CONCATENATE('3 pr-2'!D13)</f>
        <v>Rudaminos laisvalaikio salės pritaikymas bendruomenės poreikiams ir liaudies amatų plėtrai</v>
      </c>
      <c r="E12" s="164" t="str">
        <f>CONCATENATE('3 pr-2'!E13)</f>
        <v>Viešoji įstaiga Lazdijų kultūros centras</v>
      </c>
      <c r="F12" s="164" t="str">
        <f>CONCATENATE('3 pr-2'!F13)</f>
        <v>Lietuvos Respublikos žemės ūkio ministerija</v>
      </c>
      <c r="G12" s="164" t="str">
        <f>CONCATENATE('3 pr-2'!G13)</f>
        <v>Lazdijų r. sav.</v>
      </c>
      <c r="H12" s="164" t="str">
        <f>CONCATENATE('3 pr-2'!H13)</f>
        <v xml:space="preserve">Pagrindinės paslaugos ir kaimų atnaujinimas kaimo vietovėse </v>
      </c>
      <c r="I12" s="164" t="str">
        <f>CONCATENATE('3 pr-2'!I13)</f>
        <v>R</v>
      </c>
      <c r="J12" s="174" t="str">
        <f>CONCATENATE('3 pr-2'!J13)</f>
        <v>-</v>
      </c>
      <c r="K12" s="1080">
        <f>IF(LEN(S12)=5,'3 pr-2'!L13,0)</f>
        <v>123160</v>
      </c>
      <c r="L12" s="1080">
        <f>IF(LEN(S12)=5,'3 pr-2'!O13,0)</f>
        <v>24632</v>
      </c>
      <c r="M12" s="1080">
        <f ca="1">IF(LEN(S12)=5,'3 pr-2'!R13,0)</f>
        <v>0</v>
      </c>
      <c r="N12" s="1080">
        <f>IF(LEN(S12)=5,'3 pr-2'!U13,0)</f>
        <v>0</v>
      </c>
      <c r="O12" s="1080">
        <f>IF(LEN(S12)=5,'3 pr-2'!X13,0)</f>
        <v>0</v>
      </c>
      <c r="P12" s="1080">
        <f>IF(LEN(S12)=5,'3 pr-2'!AA13,0)</f>
        <v>98528</v>
      </c>
      <c r="Q12" s="1080">
        <f>IF(LEN(S12)=5,'3 pr-2'!AB13,0)</f>
        <v>0</v>
      </c>
      <c r="R12" s="1124">
        <f>SUM('3 pr-2'!AH13)</f>
        <v>43010</v>
      </c>
      <c r="S12" s="1125">
        <v>43010</v>
      </c>
      <c r="T12" s="173" t="str">
        <f t="shared" si="6"/>
        <v>–</v>
      </c>
      <c r="U12" s="1461" t="str">
        <f t="shared" si="7"/>
        <v>–</v>
      </c>
    </row>
    <row r="13" spans="1:21" ht="48.75">
      <c r="A13" s="163" t="str">
        <f>CONCATENATE('3 pr-2'!A14)</f>
        <v>1.1.1.1.5</v>
      </c>
      <c r="B13" s="1123" t="str">
        <f>CONCATENATE('3 pr-2'!B14)</f>
        <v>R01-ZM72-120000-1105</v>
      </c>
      <c r="C13" s="227" t="str">
        <f>CONCATENATE('ketv. 2'!B13)</f>
        <v>20KI-KA-17-1-02619-PR001</v>
      </c>
      <c r="D13" s="164" t="str">
        <f>CONCATENATE('3 pr-2'!D14)</f>
        <v>Druskininkų savivaldybės Leipalingio seniūnijos Bilso seniūnaitijos kelių būklės gerinimas</v>
      </c>
      <c r="E13" s="164" t="str">
        <f>CONCATENATE('3 pr-2'!E14)</f>
        <v xml:space="preserve">Druskininkų savivaldybės administracija  </v>
      </c>
      <c r="F13" s="164" t="str">
        <f>CONCATENATE('3 pr-2'!F14)</f>
        <v>Lietuvos Respublikos žemės ūkio ministerija</v>
      </c>
      <c r="G13" s="164" t="str">
        <f>CONCATENATE('3 pr-2'!G14)</f>
        <v>Druskininkų sav.</v>
      </c>
      <c r="H13" s="164" t="str">
        <f>CONCATENATE('3 pr-2'!H14)</f>
        <v xml:space="preserve">Pagrindinės paslaugos ir kaimų atnaujinimas kaimo vietovėse </v>
      </c>
      <c r="I13" s="164" t="str">
        <f>CONCATENATE('3 pr-2'!I14)</f>
        <v>R</v>
      </c>
      <c r="J13" s="174" t="str">
        <f>CONCATENATE('3 pr-2'!J14)</f>
        <v>-</v>
      </c>
      <c r="K13" s="1080">
        <f>IF(LEN(S13)=5,'3 pr-2'!L14,0)</f>
        <v>265076</v>
      </c>
      <c r="L13" s="1080">
        <f>IF(LEN(S13)=5,'3 pr-2'!O14,0)</f>
        <v>137032</v>
      </c>
      <c r="M13" s="1080">
        <f ca="1">IF(LEN(S13)=5,'3 pr-2'!R14,0)</f>
        <v>0</v>
      </c>
      <c r="N13" s="1080">
        <f>IF(LEN(S13)=5,'3 pr-2'!U14,0)</f>
        <v>0</v>
      </c>
      <c r="O13" s="1080">
        <f>IF(LEN(S13)=5,'3 pr-2'!X14,0)</f>
        <v>0</v>
      </c>
      <c r="P13" s="1080">
        <f>IF(LEN(S13)=5,'3 pr-2'!AA14,0)</f>
        <v>128044</v>
      </c>
      <c r="Q13" s="1080">
        <f>IF(LEN(S13)=5,'3 pr-2'!AB14,0)</f>
        <v>0</v>
      </c>
      <c r="R13" s="1124">
        <f>SUM('3 pr-2'!AH14)</f>
        <v>43010</v>
      </c>
      <c r="S13" s="1125">
        <v>43010</v>
      </c>
      <c r="T13" s="173" t="str">
        <f t="shared" si="6"/>
        <v>–</v>
      </c>
      <c r="U13" s="1461" t="str">
        <f t="shared" si="7"/>
        <v>–</v>
      </c>
    </row>
    <row r="14" spans="1:21" ht="60.75">
      <c r="A14" s="163" t="str">
        <f>CONCATENATE('3 pr-2'!A15)</f>
        <v>1.1.1.1.6</v>
      </c>
      <c r="B14" s="1123" t="str">
        <f>CONCATENATE('3 pr-2'!B15)</f>
        <v>R01-ZM72-330200-1106</v>
      </c>
      <c r="C14" s="227" t="str">
        <f>CONCATENATE('ketv. 2'!B14)</f>
        <v>20KI-KA-17-1-02374-PR001</v>
      </c>
      <c r="D14" s="164" t="str">
        <f>CONCATENATE('3 pr-2'!D15)</f>
        <v>Lazdijų rajono kaimų patrauklumo didinimas atnaujinant bibliotekas</v>
      </c>
      <c r="E14" s="164" t="str">
        <f>CONCATENATE('3 pr-2'!E15)</f>
        <v xml:space="preserve">Biudžetinė įstaiga Lazdijų rajono savivaldybės viešoji biblioteka </v>
      </c>
      <c r="F14" s="164" t="str">
        <f>CONCATENATE('3 pr-2'!F15)</f>
        <v>Lietuvos Respublikos žemės ūkio ministerija</v>
      </c>
      <c r="G14" s="164" t="str">
        <f>CONCATENATE('3 pr-2'!G15)</f>
        <v>Lazdijų r. sav.</v>
      </c>
      <c r="H14" s="164" t="str">
        <f>CONCATENATE('3 pr-2'!H15)</f>
        <v xml:space="preserve">Pagrindinės paslaugos ir kaimų atnaujinimas kaimo vietovėse </v>
      </c>
      <c r="I14" s="164" t="str">
        <f>CONCATENATE('3 pr-2'!I15)</f>
        <v>R</v>
      </c>
      <c r="J14" s="174" t="str">
        <f>CONCATENATE('3 pr-2'!J15)</f>
        <v>-</v>
      </c>
      <c r="K14" s="1080">
        <f>IF(LEN(S14)=5,'3 pr-2'!L15,0)</f>
        <v>200999</v>
      </c>
      <c r="L14" s="1080">
        <f>IF(LEN(S14)=5,'3 pr-2'!O15,0)</f>
        <v>41071</v>
      </c>
      <c r="M14" s="1080">
        <f ca="1">IF(LEN(S14)=5,'3 pr-2'!R15,0)</f>
        <v>0</v>
      </c>
      <c r="N14" s="1080">
        <f>IF(LEN(S14)=5,'3 pr-2'!U15,0)</f>
        <v>0</v>
      </c>
      <c r="O14" s="1080">
        <f>IF(LEN(S14)=5,'3 pr-2'!X15,0)</f>
        <v>0</v>
      </c>
      <c r="P14" s="1080">
        <f>IF(LEN(S14)=5,'3 pr-2'!AA15,0)</f>
        <v>159928</v>
      </c>
      <c r="Q14" s="1080">
        <f>IF(LEN(S14)=5,'3 pr-2'!AB15,0)</f>
        <v>0</v>
      </c>
      <c r="R14" s="1124">
        <f>SUM('3 pr-2'!AH15)</f>
        <v>43010</v>
      </c>
      <c r="S14" s="1125">
        <v>43010</v>
      </c>
      <c r="T14" s="173" t="str">
        <f t="shared" si="6"/>
        <v>–</v>
      </c>
      <c r="U14" s="1461" t="str">
        <f t="shared" si="7"/>
        <v>–</v>
      </c>
    </row>
    <row r="15" spans="1:21" ht="48.75">
      <c r="A15" s="163" t="str">
        <f>CONCATENATE('3 pr-2'!A16)</f>
        <v>1.1.1.1.7</v>
      </c>
      <c r="B15" s="1123" t="str">
        <f>CONCATENATE('3 pr-2'!B16)</f>
        <v>R01-ZM72-123200-1107</v>
      </c>
      <c r="C15" s="227" t="str">
        <f>CONCATENATE('ketv. 2'!B15)</f>
        <v>20KI-KA-17-1-02437-PR001</v>
      </c>
      <c r="D15" s="164" t="str">
        <f>CONCATENATE('3 pr-2'!D16)</f>
        <v>Alytaus rajono Miroslavo kaimo multifunkcinės sporto aikštės įrengimas ir gatvių bei šaligatvių rekonstrukcija</v>
      </c>
      <c r="E15" s="164" t="str">
        <f>CONCATENATE('3 pr-2'!E16)</f>
        <v>Alytaus rajono savivaldybės administracija</v>
      </c>
      <c r="F15" s="164" t="str">
        <f>CONCATENATE('3 pr-2'!F16)</f>
        <v>Lietuvos Respublikos žemės ūkio ministerija</v>
      </c>
      <c r="G15" s="164" t="str">
        <f>CONCATENATE('3 pr-2'!G16)</f>
        <v>Alytaus r. sav.</v>
      </c>
      <c r="H15" s="164" t="str">
        <f>CONCATENATE('3 pr-2'!H16)</f>
        <v xml:space="preserve">Pagrindinės paslaugos ir kaimų atnaujinimas kaimo vietovėse </v>
      </c>
      <c r="I15" s="164" t="str">
        <f>CONCATENATE('3 pr-2'!I16)</f>
        <v>R</v>
      </c>
      <c r="J15" s="174" t="str">
        <f>CONCATENATE('3 pr-2'!J16)</f>
        <v>-</v>
      </c>
      <c r="K15" s="1080">
        <f>IF(LEN(S15)=5,'3 pr-2'!L16,0)</f>
        <v>252211.6</v>
      </c>
      <c r="L15" s="1080">
        <f>IF(LEN(S15)=5,'3 pr-2'!O16,0)</f>
        <v>52211.6</v>
      </c>
      <c r="M15" s="1080">
        <f ca="1">IF(LEN(S15)=5,'3 pr-2'!R16,0)</f>
        <v>0</v>
      </c>
      <c r="N15" s="1080">
        <f>IF(LEN(S15)=5,'3 pr-2'!U16,0)</f>
        <v>0</v>
      </c>
      <c r="O15" s="1080">
        <f>IF(LEN(S15)=5,'3 pr-2'!X16,0)</f>
        <v>0</v>
      </c>
      <c r="P15" s="1080">
        <f>IF(LEN(S15)=5,'3 pr-2'!AA16,0)</f>
        <v>200000</v>
      </c>
      <c r="Q15" s="1080">
        <f>IF(LEN(S15)=5,'3 pr-2'!AB16,0)</f>
        <v>0</v>
      </c>
      <c r="R15" s="1124">
        <f>SUM('3 pr-2'!AH16)</f>
        <v>43010</v>
      </c>
      <c r="S15" s="1125">
        <v>43010</v>
      </c>
      <c r="T15" s="173" t="str">
        <f t="shared" si="6"/>
        <v>–</v>
      </c>
      <c r="U15" s="1461" t="str">
        <f t="shared" si="7"/>
        <v>–</v>
      </c>
    </row>
    <row r="16" spans="1:21" ht="48.75">
      <c r="A16" s="163" t="str">
        <f>CONCATENATE('3 pr-2'!A17)</f>
        <v>1.1.1.1.8</v>
      </c>
      <c r="B16" s="1123" t="str">
        <f>CONCATENATE('3 pr-2'!B17)</f>
        <v>R01-ZM72-123200-1108</v>
      </c>
      <c r="C16" s="227" t="str">
        <f>CONCATENATE('ketv. 2'!B16)</f>
        <v>20KI-KA-17-1-02242-PR001</v>
      </c>
      <c r="D16" s="164" t="str">
        <f>CONCATENATE('3 pr-2'!D17)</f>
        <v>Alytaus rajono Luksnėnų kaimo multifunkcinės sporto aikštės įrengimas ir gatvių rekonstrukcija</v>
      </c>
      <c r="E16" s="164" t="str">
        <f>CONCATENATE('3 pr-2'!E17)</f>
        <v>Alytaus rajono savivaldybės administracija</v>
      </c>
      <c r="F16" s="164" t="str">
        <f>CONCATENATE('3 pr-2'!F17)</f>
        <v>Lietuvos Respublikos žemės ūkio ministerija</v>
      </c>
      <c r="G16" s="164" t="str">
        <f>CONCATENATE('3 pr-2'!G17)</f>
        <v>Alytaus r. sav.</v>
      </c>
      <c r="H16" s="164" t="str">
        <f>CONCATENATE('3 pr-2'!H17)</f>
        <v xml:space="preserve">Pagrindinės paslaugos ir kaimų atnaujinimas kaimo vietovėse </v>
      </c>
      <c r="I16" s="164" t="str">
        <f>CONCATENATE('3 pr-2'!I17)</f>
        <v>R</v>
      </c>
      <c r="J16" s="174" t="str">
        <f>CONCATENATE('3 pr-2'!J17)</f>
        <v>-</v>
      </c>
      <c r="K16" s="1080">
        <f>IF(LEN(S16)=5,'3 pr-2'!L17,0)</f>
        <v>250309.29</v>
      </c>
      <c r="L16" s="1080">
        <f>IF(LEN(S16)=5,'3 pr-2'!O17,0)</f>
        <v>50309.29</v>
      </c>
      <c r="M16" s="1080">
        <f ca="1">IF(LEN(S16)=5,'3 pr-2'!R17,0)</f>
        <v>0</v>
      </c>
      <c r="N16" s="1080">
        <f>IF(LEN(S16)=5,'3 pr-2'!U17,0)</f>
        <v>0</v>
      </c>
      <c r="O16" s="1080">
        <f>IF(LEN(S16)=5,'3 pr-2'!X17,0)</f>
        <v>0</v>
      </c>
      <c r="P16" s="1080">
        <f>IF(LEN(S16)=5,'3 pr-2'!AA17,0)</f>
        <v>200000</v>
      </c>
      <c r="Q16" s="1080">
        <f>IF(LEN(S16)=5,'3 pr-2'!AB17,0)</f>
        <v>0</v>
      </c>
      <c r="R16" s="1124">
        <f>SUM('3 pr-2'!AH17)</f>
        <v>43010</v>
      </c>
      <c r="S16" s="1125">
        <v>43010</v>
      </c>
      <c r="T16" s="173" t="str">
        <f t="shared" si="6"/>
        <v>–</v>
      </c>
      <c r="U16" s="1461" t="str">
        <f t="shared" si="7"/>
        <v>–</v>
      </c>
    </row>
    <row r="17" spans="1:21" ht="48.75">
      <c r="A17" s="163" t="str">
        <f>CONCATENATE('3 pr-2'!A18)</f>
        <v>1.1.1.1.9</v>
      </c>
      <c r="B17" s="1123" t="str">
        <f>CONCATENATE('3 pr-2'!B18)</f>
        <v>R01-ZM72-340000-1109</v>
      </c>
      <c r="C17" s="227" t="str">
        <f>CONCATENATE('ketv. 2'!B17)</f>
        <v>20KI-KA-17-1-02372-PR001</v>
      </c>
      <c r="D17" s="164" t="str">
        <f>CONCATENATE('3 pr-2'!D18)</f>
        <v>Krikštonių laisvalaikio salės pritaikymas bendruomenės poreikiams</v>
      </c>
      <c r="E17" s="164" t="str">
        <f>CONCATENATE('3 pr-2'!E18)</f>
        <v xml:space="preserve">Viešoji įstaiga Lazdijų kultūros centras </v>
      </c>
      <c r="F17" s="164" t="str">
        <f>CONCATENATE('3 pr-2'!F18)</f>
        <v>Lietuvos Respublikos žemės ūkio ministerija</v>
      </c>
      <c r="G17" s="164" t="str">
        <f>CONCATENATE('3 pr-2'!G18)</f>
        <v>Lazdijų r. sav.</v>
      </c>
      <c r="H17" s="164" t="str">
        <f>CONCATENATE('3 pr-2'!H18)</f>
        <v xml:space="preserve">Pagrindinės paslaugos ir kaimų atnaujinimas kaimo vietovėse </v>
      </c>
      <c r="I17" s="164" t="str">
        <f>CONCATENATE('3 pr-2'!I18)</f>
        <v>R</v>
      </c>
      <c r="J17" s="174" t="str">
        <f>CONCATENATE('3 pr-2'!J18)</f>
        <v>-</v>
      </c>
      <c r="K17" s="1080">
        <f>IF(LEN(S17)=5,'3 pr-2'!L18,0)</f>
        <v>250000</v>
      </c>
      <c r="L17" s="1080">
        <f>IF(LEN(S17)=5,'3 pr-2'!O18,0)</f>
        <v>50000</v>
      </c>
      <c r="M17" s="1080">
        <f ca="1">IF(LEN(S17)=5,'3 pr-2'!R18,0)</f>
        <v>0</v>
      </c>
      <c r="N17" s="1080">
        <f>IF(LEN(S17)=5,'3 pr-2'!U18,0)</f>
        <v>0</v>
      </c>
      <c r="O17" s="1080">
        <f>IF(LEN(S17)=5,'3 pr-2'!X18,0)</f>
        <v>0</v>
      </c>
      <c r="P17" s="1080">
        <f>IF(LEN(S17)=5,'3 pr-2'!AA18,0)</f>
        <v>200000</v>
      </c>
      <c r="Q17" s="1080">
        <f>IF(LEN(S17)=5,'3 pr-2'!AB18,0)</f>
        <v>0</v>
      </c>
      <c r="R17" s="1124">
        <f>SUM('3 pr-2'!AH18)</f>
        <v>43010</v>
      </c>
      <c r="S17" s="1125">
        <v>43010</v>
      </c>
      <c r="T17" s="173" t="str">
        <f t="shared" si="6"/>
        <v>–</v>
      </c>
      <c r="U17" s="1461" t="str">
        <f t="shared" si="7"/>
        <v>–</v>
      </c>
    </row>
    <row r="18" spans="1:21" ht="48.75">
      <c r="A18" s="163" t="str">
        <f>CONCATENATE('3 pr-2'!A19)</f>
        <v>1.1.1.1.10</v>
      </c>
      <c r="B18" s="1123" t="str">
        <f>CONCATENATE('3 pr-2'!B19)</f>
        <v>R01-ZM72-340200-1110</v>
      </c>
      <c r="C18" s="227" t="str">
        <f>CONCATENATE('ketv. 2'!B18)</f>
        <v>20KI-KA-17-1-02370-PR001</v>
      </c>
      <c r="D18" s="164" t="str">
        <f>CONCATENATE('3 pr-2'!D19)</f>
        <v>Kučiūnų laisvalaikio salės pritaikymas bendruomenės poreikiams</v>
      </c>
      <c r="E18" s="164" t="str">
        <f>CONCATENATE('3 pr-2'!E19)</f>
        <v xml:space="preserve">Viešoji įstaiga Lazdijų kultūros centras </v>
      </c>
      <c r="F18" s="164" t="str">
        <f>CONCATENATE('3 pr-2'!F19)</f>
        <v>Lietuvos Respublikos žemės ūkio ministerija</v>
      </c>
      <c r="G18" s="164" t="str">
        <f>CONCATENATE('3 pr-2'!G19)</f>
        <v>Lazdijų r. sav.</v>
      </c>
      <c r="H18" s="164" t="str">
        <f>CONCATENATE('3 pr-2'!H19)</f>
        <v xml:space="preserve">Pagrindinės paslaugos ir kaimų atnaujinimas kaimo vietovėse </v>
      </c>
      <c r="I18" s="164" t="str">
        <f>CONCATENATE('3 pr-2'!I19)</f>
        <v>R</v>
      </c>
      <c r="J18" s="174" t="str">
        <f>CONCATENATE('3 pr-2'!J19)</f>
        <v>-</v>
      </c>
      <c r="K18" s="1080">
        <f>IF(LEN(S18)=5,'3 pr-2'!L19,0)</f>
        <v>250000</v>
      </c>
      <c r="L18" s="1080">
        <f>IF(LEN(S18)=5,'3 pr-2'!O19,0)</f>
        <v>62460</v>
      </c>
      <c r="M18" s="1080">
        <f ca="1">IF(LEN(S18)=5,'3 pr-2'!R19,0)</f>
        <v>0</v>
      </c>
      <c r="N18" s="1080">
        <f>IF(LEN(S18)=5,'3 pr-2'!U19,0)</f>
        <v>0</v>
      </c>
      <c r="O18" s="1080">
        <f>IF(LEN(S18)=5,'3 pr-2'!X19,0)</f>
        <v>0</v>
      </c>
      <c r="P18" s="1080">
        <f>IF(LEN(S18)=5,'3 pr-2'!AA19,0)</f>
        <v>187540</v>
      </c>
      <c r="Q18" s="1080">
        <f>IF(LEN(S18)=5,'3 pr-2'!AB19,0)</f>
        <v>0</v>
      </c>
      <c r="R18" s="1124">
        <f>SUM('3 pr-2'!AH19)</f>
        <v>43010</v>
      </c>
      <c r="S18" s="1125">
        <v>43010</v>
      </c>
      <c r="T18" s="173" t="str">
        <f t="shared" si="6"/>
        <v>–</v>
      </c>
      <c r="U18" s="1461" t="str">
        <f t="shared" si="7"/>
        <v>–</v>
      </c>
    </row>
    <row r="19" spans="1:21" ht="48.75">
      <c r="A19" s="163" t="str">
        <f>CONCATENATE('3 pr-2'!A20)</f>
        <v>1.1.1.1.11</v>
      </c>
      <c r="B19" s="1123" t="str">
        <f>CONCATENATE('3 pr-2'!B20)</f>
        <v>R01-ZM72-320000-1111</v>
      </c>
      <c r="C19" s="227" t="str">
        <f>CONCATENATE('ketv. 2'!B19)</f>
        <v>20KI-KA-17-1-02354-PR001</v>
      </c>
      <c r="D19" s="164" t="str">
        <f>CONCATENATE('3 pr-2'!D20)</f>
        <v>Laisvalaikio infrastruktūros sukūrimas Lazdijų rajono kaimo gyvenamosiose vietovėse</v>
      </c>
      <c r="E19" s="164" t="str">
        <f>CONCATENATE('3 pr-2'!E20)</f>
        <v>Lazdijų rajono savivaldybės administracija</v>
      </c>
      <c r="F19" s="164" t="str">
        <f>CONCATENATE('3 pr-2'!F20)</f>
        <v>Lietuvos Respublikos žemės ūkio ministerija</v>
      </c>
      <c r="G19" s="164" t="str">
        <f>CONCATENATE('3 pr-2'!G20)</f>
        <v>Lazdijų r. sav.</v>
      </c>
      <c r="H19" s="164" t="str">
        <f>CONCATENATE('3 pr-2'!H20)</f>
        <v xml:space="preserve">Pagrindinės paslaugos ir kaimų atnaujinimas kaimo vietovėse </v>
      </c>
      <c r="I19" s="164" t="str">
        <f>CONCATENATE('3 pr-2'!I20)</f>
        <v>R</v>
      </c>
      <c r="J19" s="174" t="str">
        <f>CONCATENATE('3 pr-2'!J20)</f>
        <v>-</v>
      </c>
      <c r="K19" s="1080">
        <f>IF(LEN(S19)=5,'3 pr-2'!L20,0)</f>
        <v>125000</v>
      </c>
      <c r="L19" s="1080">
        <f>IF(LEN(S19)=5,'3 pr-2'!O20,0)</f>
        <v>25000</v>
      </c>
      <c r="M19" s="1080">
        <f ca="1">IF(LEN(S19)=5,'3 pr-2'!R20,0)</f>
        <v>0</v>
      </c>
      <c r="N19" s="1080">
        <f>IF(LEN(S19)=5,'3 pr-2'!U20,0)</f>
        <v>0</v>
      </c>
      <c r="O19" s="1080">
        <f>IF(LEN(S19)=5,'3 pr-2'!X20,0)</f>
        <v>0</v>
      </c>
      <c r="P19" s="1080">
        <f>IF(LEN(S19)=5,'3 pr-2'!AA20,0)</f>
        <v>100000</v>
      </c>
      <c r="Q19" s="1080">
        <f>IF(LEN(S19)=5,'3 pr-2'!AB20,0)</f>
        <v>0</v>
      </c>
      <c r="R19" s="1124">
        <f>SUM('3 pr-2'!AH20)</f>
        <v>43010</v>
      </c>
      <c r="S19" s="1125">
        <v>43010</v>
      </c>
      <c r="T19" s="173" t="str">
        <f t="shared" si="6"/>
        <v>–</v>
      </c>
      <c r="U19" s="1461" t="str">
        <f t="shared" si="7"/>
        <v>–</v>
      </c>
    </row>
    <row r="20" spans="1:21" ht="48.75">
      <c r="A20" s="163" t="str">
        <f>CONCATENATE('3 pr-2'!A21)</f>
        <v>1.1.1.1.12</v>
      </c>
      <c r="B20" s="1123" t="str">
        <f>CONCATENATE('3 pr-2'!B21)</f>
        <v>R01-ZM72-120000-1112</v>
      </c>
      <c r="C20" s="227" t="str">
        <f>CONCATENATE('ketv. 2'!B20)</f>
        <v>20KI-KA-17-1-02470-PR001</v>
      </c>
      <c r="D20" s="164" t="str">
        <f>CONCATENATE('3 pr-2'!D21)</f>
        <v>Alytaus rajono Butrimonių miestelio šaligatvių kapitalinis remontas ir gyvenvietės apšvietimo įrengimas</v>
      </c>
      <c r="E20" s="164" t="str">
        <f>CONCATENATE('3 pr-2'!E21)</f>
        <v>Alytaus rajono savivaldybės administracija</v>
      </c>
      <c r="F20" s="164" t="str">
        <f>CONCATENATE('3 pr-2'!F21)</f>
        <v>Lietuvos Respublikos žemės ūkio ministerija</v>
      </c>
      <c r="G20" s="164" t="str">
        <f>CONCATENATE('3 pr-2'!G21)</f>
        <v>Alytaus r. sav.</v>
      </c>
      <c r="H20" s="164" t="str">
        <f>CONCATENATE('3 pr-2'!H21)</f>
        <v xml:space="preserve">Pagrindinės paslaugos ir kaimų atnaujinimas kaimo vietovėse </v>
      </c>
      <c r="I20" s="164" t="str">
        <f>CONCATENATE('3 pr-2'!I21)</f>
        <v>R</v>
      </c>
      <c r="J20" s="174" t="str">
        <f>CONCATENATE('3 pr-2'!J21)</f>
        <v>-</v>
      </c>
      <c r="K20" s="1080">
        <f>IF(LEN(S20)=5,'3 pr-2'!L21,0)</f>
        <v>190756</v>
      </c>
      <c r="L20" s="1080">
        <f>IF(LEN(S20)=5,'3 pr-2'!O21,0)</f>
        <v>67904</v>
      </c>
      <c r="M20" s="1080">
        <f ca="1">IF(LEN(S20)=5,'3 pr-2'!R21,0)</f>
        <v>0</v>
      </c>
      <c r="N20" s="1080">
        <f>IF(LEN(S20)=5,'3 pr-2'!U21,0)</f>
        <v>0</v>
      </c>
      <c r="O20" s="1080">
        <f>IF(LEN(S20)=5,'3 pr-2'!X21,0)</f>
        <v>0</v>
      </c>
      <c r="P20" s="1080">
        <f>IF(LEN(S20)=5,'3 pr-2'!AA21,0)</f>
        <v>122852</v>
      </c>
      <c r="Q20" s="1080">
        <f>IF(LEN(S20)=5,'3 pr-2'!AB21,0)</f>
        <v>0</v>
      </c>
      <c r="R20" s="1124">
        <f>SUM('3 pr-2'!AH21)</f>
        <v>43010</v>
      </c>
      <c r="S20" s="1125">
        <v>43010</v>
      </c>
      <c r="T20" s="173" t="str">
        <f t="shared" si="6"/>
        <v>–</v>
      </c>
      <c r="U20" s="1461" t="str">
        <f t="shared" si="7"/>
        <v>–</v>
      </c>
    </row>
    <row r="21" spans="1:21" ht="48.75">
      <c r="A21" s="163" t="str">
        <f>CONCATENATE('3 pr-2'!A22)</f>
        <v>1.1.1.1.13</v>
      </c>
      <c r="B21" s="1123" t="str">
        <f>CONCATENATE('3 pr-2'!B22)</f>
        <v>R01-ZM72-123200-1113</v>
      </c>
      <c r="C21" s="227" t="str">
        <f>CONCATENATE('ketv. 2'!B21)</f>
        <v>20KI-KA-17-1-02438-PR001</v>
      </c>
      <c r="D21" s="164" t="str">
        <f>CONCATENATE('3 pr-2'!D22)</f>
        <v>Alytaus rajono Genių kaimo sporto aikštės įrengimas ir gatvių rekonstrukcija</v>
      </c>
      <c r="E21" s="164" t="str">
        <f>CONCATENATE('3 pr-2'!E22)</f>
        <v>Alytaus rajono savivaldybės administracija</v>
      </c>
      <c r="F21" s="164" t="str">
        <f>CONCATENATE('3 pr-2'!F22)</f>
        <v>Lietuvos Respublikos žemės ūkio ministerija</v>
      </c>
      <c r="G21" s="164" t="str">
        <f>CONCATENATE('3 pr-2'!G22)</f>
        <v>Alytaus r. sav.</v>
      </c>
      <c r="H21" s="164" t="str">
        <f>CONCATENATE('3 pr-2'!H22)</f>
        <v xml:space="preserve">Pagrindinės paslaugos ir kaimų atnaujinimas kaimo vietovėse </v>
      </c>
      <c r="I21" s="164" t="str">
        <f>CONCATENATE('3 pr-2'!I22)</f>
        <v>R</v>
      </c>
      <c r="J21" s="174" t="str">
        <f>CONCATENATE('3 pr-2'!J22)</f>
        <v>-</v>
      </c>
      <c r="K21" s="1080">
        <f>IF(LEN(S21)=5,'3 pr-2'!L22,0)</f>
        <v>247392.46</v>
      </c>
      <c r="L21" s="1080">
        <f>IF(LEN(S21)=5,'3 pr-2'!O22,0)</f>
        <v>47392.46</v>
      </c>
      <c r="M21" s="1080">
        <f ca="1">IF(LEN(S21)=5,'3 pr-2'!R22,0)</f>
        <v>0</v>
      </c>
      <c r="N21" s="1080">
        <f>IF(LEN(S21)=5,'3 pr-2'!U22,0)</f>
        <v>0</v>
      </c>
      <c r="O21" s="1080">
        <f>IF(LEN(S21)=5,'3 pr-2'!X22,0)</f>
        <v>0</v>
      </c>
      <c r="P21" s="1080">
        <f>IF(LEN(S21)=5,'3 pr-2'!AA22,0)</f>
        <v>200000</v>
      </c>
      <c r="Q21" s="1080">
        <f>IF(LEN(S21)=5,'3 pr-2'!AB22,0)</f>
        <v>0</v>
      </c>
      <c r="R21" s="1124">
        <f>SUM('3 pr-2'!AH22)</f>
        <v>43010</v>
      </c>
      <c r="S21" s="1125">
        <v>43010</v>
      </c>
      <c r="T21" s="173" t="str">
        <f t="shared" si="6"/>
        <v>–</v>
      </c>
      <c r="U21" s="1461" t="str">
        <f t="shared" si="7"/>
        <v>–</v>
      </c>
    </row>
    <row r="22" spans="1:21" ht="48.75">
      <c r="A22" s="163" t="str">
        <f>CONCATENATE('3 pr-2'!A23)</f>
        <v>1.1.1.1.14</v>
      </c>
      <c r="B22" s="1123" t="str">
        <f>CONCATENATE('3 pr-2'!B23)</f>
        <v>R01-ZM72-122900-1114</v>
      </c>
      <c r="C22" s="227" t="str">
        <f>CONCATENATE('ketv. 2'!B22)</f>
        <v>20KI-KA-17-1-01647-PR001</v>
      </c>
      <c r="D22" s="164" t="str">
        <f>CONCATENATE('3 pr-2'!D23)</f>
        <v>Varėnos r. Dargužių kaimo Liepų gatvės ir viešosios erdvės įrengimas</v>
      </c>
      <c r="E22" s="164" t="str">
        <f>CONCATENATE('3 pr-2'!E23)</f>
        <v xml:space="preserve">Varėnos rajono savivaldybės administracija </v>
      </c>
      <c r="F22" s="164" t="str">
        <f>CONCATENATE('3 pr-2'!F23)</f>
        <v>Lietuvos Respublikos žemės ūkio ministerija</v>
      </c>
      <c r="G22" s="164" t="str">
        <f>CONCATENATE('3 pr-2'!G23)</f>
        <v>Varėnos r. sav.</v>
      </c>
      <c r="H22" s="164" t="str">
        <f>CONCATENATE('3 pr-2'!H23)</f>
        <v xml:space="preserve">Pagrindinės paslaugos ir kaimų atnaujinimas kaimo vietovėse </v>
      </c>
      <c r="I22" s="164" t="str">
        <f>CONCATENATE('3 pr-2'!I23)</f>
        <v>R</v>
      </c>
      <c r="J22" s="174" t="str">
        <f>CONCATENATE('3 pr-2'!J23)</f>
        <v>-</v>
      </c>
      <c r="K22" s="1080">
        <f>IF(LEN(S22)=5,'3 pr-2'!L23,0)</f>
        <v>215626</v>
      </c>
      <c r="L22" s="1080">
        <f>IF(LEN(S22)=5,'3 pr-2'!O23,0)</f>
        <v>43125.2</v>
      </c>
      <c r="M22" s="1080">
        <f ca="1">IF(LEN(S22)=5,'3 pr-2'!R23,0)</f>
        <v>0</v>
      </c>
      <c r="N22" s="1080">
        <f>IF(LEN(S22)=5,'3 pr-2'!U23,0)</f>
        <v>0</v>
      </c>
      <c r="O22" s="1080">
        <f>IF(LEN(S22)=5,'3 pr-2'!X23,0)</f>
        <v>0</v>
      </c>
      <c r="P22" s="1080">
        <f>IF(LEN(S22)=5,'3 pr-2'!AA23,0)</f>
        <v>172500.8</v>
      </c>
      <c r="Q22" s="1080">
        <f>IF(LEN(S22)=5,'3 pr-2'!AB23,0)</f>
        <v>0</v>
      </c>
      <c r="R22" s="1124">
        <f>SUM('3 pr-2'!AH23)</f>
        <v>43010</v>
      </c>
      <c r="S22" s="1125">
        <v>43010</v>
      </c>
      <c r="T22" s="173" t="str">
        <f t="shared" si="6"/>
        <v>–</v>
      </c>
      <c r="U22" s="1461" t="str">
        <f t="shared" si="7"/>
        <v>–</v>
      </c>
    </row>
    <row r="23" spans="1:21" ht="48.75">
      <c r="A23" s="163" t="str">
        <f>CONCATENATE('3 pr-2'!A24)</f>
        <v>1.1.1.1.15</v>
      </c>
      <c r="B23" s="1123" t="str">
        <f>CONCATENATE('3 pr-2'!B24)</f>
        <v>R01-ZM72-123200-1115</v>
      </c>
      <c r="C23" s="227" t="str">
        <f>CONCATENATE('ketv. 2'!B23)</f>
        <v>20KI-KA-17-1-02469-PR001</v>
      </c>
      <c r="D23" s="164" t="str">
        <f>CONCATENATE('3 pr-2'!D24)</f>
        <v>Alytaus rajono Vaisodžių kaimo sporto aikštės įrengimas ir gatvių apšvietimo atnaujinimas bei plėtra</v>
      </c>
      <c r="E23" s="164" t="str">
        <f>CONCATENATE('3 pr-2'!E24)</f>
        <v>Alytaus rajono savivaldybės administracija</v>
      </c>
      <c r="F23" s="164" t="str">
        <f>CONCATENATE('3 pr-2'!F24)</f>
        <v>Lietuvos Respublikos žemės ūkio ministerija</v>
      </c>
      <c r="G23" s="164" t="str">
        <f>CONCATENATE('3 pr-2'!G24)</f>
        <v>Alytaus r. sav.</v>
      </c>
      <c r="H23" s="164" t="str">
        <f>CONCATENATE('3 pr-2'!H24)</f>
        <v xml:space="preserve">Pagrindinės paslaugos ir kaimų atnaujinimas kaimo vietovėse </v>
      </c>
      <c r="I23" s="164" t="str">
        <f>CONCATENATE('3 pr-2'!I24)</f>
        <v>R</v>
      </c>
      <c r="J23" s="174" t="str">
        <f>CONCATENATE('3 pr-2'!J24)</f>
        <v>-</v>
      </c>
      <c r="K23" s="1080">
        <f>IF(LEN(S23)=5,'3 pr-2'!L24,0)</f>
        <v>75880</v>
      </c>
      <c r="L23" s="1080">
        <f>IF(LEN(S23)=5,'3 pr-2'!O24,0)</f>
        <v>15176</v>
      </c>
      <c r="M23" s="1080">
        <f ca="1">IF(LEN(S23)=5,'3 pr-2'!R24,0)</f>
        <v>0</v>
      </c>
      <c r="N23" s="1080">
        <f>IF(LEN(S23)=5,'3 pr-2'!U24,0)</f>
        <v>0</v>
      </c>
      <c r="O23" s="1080">
        <f>IF(LEN(S23)=5,'3 pr-2'!X24,0)</f>
        <v>0</v>
      </c>
      <c r="P23" s="1080">
        <f>IF(LEN(S23)=5,'3 pr-2'!AA24,0)</f>
        <v>60704</v>
      </c>
      <c r="Q23" s="1080">
        <f>IF(LEN(S23)=5,'3 pr-2'!AB24,0)</f>
        <v>0</v>
      </c>
      <c r="R23" s="1124">
        <f>SUM('3 pr-2'!AH24)</f>
        <v>43010</v>
      </c>
      <c r="S23" s="1125">
        <v>43010</v>
      </c>
      <c r="T23" s="173" t="str">
        <f t="shared" si="6"/>
        <v>–</v>
      </c>
      <c r="U23" s="1461" t="str">
        <f t="shared" si="7"/>
        <v>–</v>
      </c>
    </row>
    <row r="24" spans="1:21" ht="48.75">
      <c r="A24" s="163" t="str">
        <f>CONCATENATE('3 pr-2'!A25)</f>
        <v>1.1.1.1.16</v>
      </c>
      <c r="B24" s="1123" t="str">
        <f>CONCATENATE('3 pr-2'!B25)</f>
        <v>R01-ZM72-123200-1116</v>
      </c>
      <c r="C24" s="227" t="str">
        <f>CONCATENATE('ketv. 2'!B24)</f>
        <v>20KI-KA-17-1-02240-PR001</v>
      </c>
      <c r="D24" s="164" t="str">
        <f>CONCATENATE('3 pr-2'!D25)</f>
        <v>Alytaus rajono Talokių kaimo sporto aikštės įrengimas ir Plytinės gatvės apšvietimas</v>
      </c>
      <c r="E24" s="164" t="str">
        <f>CONCATENATE('3 pr-2'!E25)</f>
        <v>Alytaus rajono savivaldybės administracija</v>
      </c>
      <c r="F24" s="164" t="str">
        <f>CONCATENATE('3 pr-2'!F25)</f>
        <v>Lietuvos Respublikos žemės ūkio ministerija</v>
      </c>
      <c r="G24" s="164" t="str">
        <f>CONCATENATE('3 pr-2'!G25)</f>
        <v>Alytaus r. sav.</v>
      </c>
      <c r="H24" s="164" t="str">
        <f>CONCATENATE('3 pr-2'!H25)</f>
        <v xml:space="preserve">Pagrindinės paslaugos ir kaimų atnaujinimas kaimo vietovėse </v>
      </c>
      <c r="I24" s="164" t="str">
        <f>CONCATENATE('3 pr-2'!I25)</f>
        <v>R</v>
      </c>
      <c r="J24" s="174" t="str">
        <f>CONCATENATE('3 pr-2'!J25)</f>
        <v>-</v>
      </c>
      <c r="K24" s="1080">
        <f>IF(LEN(S24)=5,'3 pr-2'!L25,0)</f>
        <v>141312</v>
      </c>
      <c r="L24" s="1080">
        <f>IF(LEN(S24)=5,'3 pr-2'!O25,0)</f>
        <v>44913</v>
      </c>
      <c r="M24" s="1080">
        <f ca="1">IF(LEN(S24)=5,'3 pr-2'!R25,0)</f>
        <v>0</v>
      </c>
      <c r="N24" s="1080">
        <f>IF(LEN(S24)=5,'3 pr-2'!U25,0)</f>
        <v>0</v>
      </c>
      <c r="O24" s="1080">
        <f>IF(LEN(S24)=5,'3 pr-2'!X25,0)</f>
        <v>0</v>
      </c>
      <c r="P24" s="1080">
        <f>IF(LEN(S24)=5,'3 pr-2'!AA25,0)</f>
        <v>96399</v>
      </c>
      <c r="Q24" s="1080">
        <f>IF(LEN(S24)=5,'3 pr-2'!AB25,0)</f>
        <v>0</v>
      </c>
      <c r="R24" s="1124">
        <f>SUM('3 pr-2'!AH25)</f>
        <v>43010</v>
      </c>
      <c r="S24" s="1125">
        <v>43010</v>
      </c>
      <c r="T24" s="173" t="str">
        <f t="shared" si="6"/>
        <v>–</v>
      </c>
      <c r="U24" s="1461" t="str">
        <f t="shared" si="7"/>
        <v>–</v>
      </c>
    </row>
    <row r="25" spans="1:21" ht="48.75">
      <c r="A25" s="163" t="str">
        <f>CONCATENATE('3 pr-2'!A26)</f>
        <v>1.1.1.1.17</v>
      </c>
      <c r="B25" s="1123" t="str">
        <f>CONCATENATE('3 pr-2'!B26)</f>
        <v>R01-ZM72-120000-1117</v>
      </c>
      <c r="C25" s="227" t="str">
        <f>CONCATENATE('ketv. 2'!B25)</f>
        <v>20KI-KA-17-1-01639-PR001</v>
      </c>
      <c r="D25" s="164" t="str">
        <f>CONCATENATE('3 pr-2'!D26)</f>
        <v>Varėnos r. Rudnios kaimo Pušyno gatvės įrengimas</v>
      </c>
      <c r="E25" s="164" t="str">
        <f>CONCATENATE('3 pr-2'!E26)</f>
        <v xml:space="preserve">Varėnos rajono savivaldybės administracija </v>
      </c>
      <c r="F25" s="164" t="str">
        <f>CONCATENATE('3 pr-2'!F26)</f>
        <v>Lietuvos Respublikos žemės ūkio ministerija</v>
      </c>
      <c r="G25" s="164" t="str">
        <f>CONCATENATE('3 pr-2'!G26)</f>
        <v>Varėnos r. sav.</v>
      </c>
      <c r="H25" s="164" t="str">
        <f>CONCATENATE('3 pr-2'!H26)</f>
        <v xml:space="preserve">Pagrindinės paslaugos ir kaimų atnaujinimas kaimo vietovėse </v>
      </c>
      <c r="I25" s="164" t="str">
        <f>CONCATENATE('3 pr-2'!I26)</f>
        <v>R</v>
      </c>
      <c r="J25" s="174" t="str">
        <f>CONCATENATE('3 pr-2'!J26)</f>
        <v>-</v>
      </c>
      <c r="K25" s="1080">
        <f>IF(LEN(S25)=5,'3 pr-2'!L26,0)</f>
        <v>115624</v>
      </c>
      <c r="L25" s="1080">
        <f>IF(LEN(S25)=5,'3 pr-2'!O26,0)</f>
        <v>23125</v>
      </c>
      <c r="M25" s="1080">
        <f ca="1">IF(LEN(S25)=5,'3 pr-2'!R26,0)</f>
        <v>0</v>
      </c>
      <c r="N25" s="1080">
        <f>IF(LEN(S25)=5,'3 pr-2'!U26,0)</f>
        <v>0</v>
      </c>
      <c r="O25" s="1080">
        <f>IF(LEN(S25)=5,'3 pr-2'!X26,0)</f>
        <v>0</v>
      </c>
      <c r="P25" s="1080">
        <f>IF(LEN(S25)=5,'3 pr-2'!AA26,0)</f>
        <v>92499</v>
      </c>
      <c r="Q25" s="1080">
        <f>IF(LEN(S25)=5,'3 pr-2'!AB26,0)</f>
        <v>0</v>
      </c>
      <c r="R25" s="1124">
        <f>SUM('3 pr-2'!AH26)</f>
        <v>43010</v>
      </c>
      <c r="S25" s="1125">
        <v>42899</v>
      </c>
      <c r="T25" s="173" t="str">
        <f t="shared" si="6"/>
        <v>–</v>
      </c>
      <c r="U25" s="1461" t="str">
        <f t="shared" si="7"/>
        <v>–</v>
      </c>
    </row>
    <row r="26" spans="1:21" ht="48.75">
      <c r="A26" s="163" t="str">
        <f>CONCATENATE('3 pr-2'!A27)</f>
        <v>1.1.1.1.18</v>
      </c>
      <c r="B26" s="1123" t="str">
        <f>CONCATENATE('3 pr-2'!B27)</f>
        <v>R01-ZM72-340000-1118</v>
      </c>
      <c r="C26" s="227" t="str">
        <f>CONCATENATE('ketv. 2'!B26)</f>
        <v>20KI-KA-17-1-01666-PR001</v>
      </c>
      <c r="D26" s="164" t="str">
        <f>CONCATENATE('3 pr-2'!D27)</f>
        <v>Varėnos kultūros centro Žilinų filialo pastato atnaujinimas ir pritaikymas bendruomenės poreikiams</v>
      </c>
      <c r="E26" s="164" t="str">
        <f>CONCATENATE('3 pr-2'!E27)</f>
        <v xml:space="preserve">Varėnos rajono savivaldybės administracija </v>
      </c>
      <c r="F26" s="164" t="str">
        <f>CONCATENATE('3 pr-2'!F27)</f>
        <v>Lietuvos Respublikos žemės ūkio ministerija</v>
      </c>
      <c r="G26" s="164" t="str">
        <f>CONCATENATE('3 pr-2'!G27)</f>
        <v>Varėnos r. sav.</v>
      </c>
      <c r="H26" s="164" t="str">
        <f>CONCATENATE('3 pr-2'!H27)</f>
        <v xml:space="preserve">Pagrindinės paslaugos ir kaimų atnaujinimas kaimo vietovėse </v>
      </c>
      <c r="I26" s="164" t="str">
        <f>CONCATENATE('3 pr-2'!I27)</f>
        <v>R</v>
      </c>
      <c r="J26" s="174" t="str">
        <f>CONCATENATE('3 pr-2'!J27)</f>
        <v>-</v>
      </c>
      <c r="K26" s="1080">
        <f>IF(LEN(S26)=5,'3 pr-2'!L27,0)</f>
        <v>250000</v>
      </c>
      <c r="L26" s="1080">
        <f>IF(LEN(S26)=5,'3 pr-2'!O27,0)</f>
        <v>50000</v>
      </c>
      <c r="M26" s="1080">
        <f ca="1">IF(LEN(S26)=5,'3 pr-2'!R27,0)</f>
        <v>0</v>
      </c>
      <c r="N26" s="1080">
        <f>IF(LEN(S26)=5,'3 pr-2'!U27,0)</f>
        <v>0</v>
      </c>
      <c r="O26" s="1080">
        <f>IF(LEN(S26)=5,'3 pr-2'!X27,0)</f>
        <v>0</v>
      </c>
      <c r="P26" s="1080">
        <f>IF(LEN(S26)=5,'3 pr-2'!AA27,0)</f>
        <v>200000</v>
      </c>
      <c r="Q26" s="1080">
        <f>IF(LEN(S26)=5,'3 pr-2'!AB27,0)</f>
        <v>0</v>
      </c>
      <c r="R26" s="1124">
        <f>SUM('3 pr-2'!AH27)</f>
        <v>43010</v>
      </c>
      <c r="S26" s="1125">
        <v>43010</v>
      </c>
      <c r="T26" s="173" t="str">
        <f t="shared" si="6"/>
        <v>–</v>
      </c>
      <c r="U26" s="1461" t="str">
        <f t="shared" si="7"/>
        <v>–</v>
      </c>
    </row>
    <row r="27" spans="1:21" ht="48.75">
      <c r="A27" s="163" t="str">
        <f>CONCATENATE('3 pr-2'!A28)</f>
        <v>1.1.1.1.19</v>
      </c>
      <c r="B27" s="1123" t="str">
        <f>CONCATENATE('3 pr-2'!B28)</f>
        <v>R01-ZM72-120000-1119</v>
      </c>
      <c r="C27" s="227" t="str">
        <f>CONCATENATE('ketv. 2'!B27)</f>
        <v>20KI-KA-17-1-02648-PR001</v>
      </c>
      <c r="D27" s="164" t="str">
        <f>CONCATENATE('3 pr-2'!D28)</f>
        <v>Alytaus rajono Pivašiūnų kaimo šaligatvių, laiptų kapitalinis remontas ir gyvenvietės apšvietimo įrengimas</v>
      </c>
      <c r="E27" s="164" t="str">
        <f>CONCATENATE('3 pr-2'!E28)</f>
        <v>Alytaus rajono savivaldybės administracija</v>
      </c>
      <c r="F27" s="164" t="str">
        <f>CONCATENATE('3 pr-2'!F28)</f>
        <v>Lietuvos Respublikos žemės ūkio ministerija</v>
      </c>
      <c r="G27" s="164" t="str">
        <f>CONCATENATE('3 pr-2'!G28)</f>
        <v>Alytaus r. sav.</v>
      </c>
      <c r="H27" s="164" t="str">
        <f>CONCATENATE('3 pr-2'!H28)</f>
        <v xml:space="preserve">Pagrindinės paslaugos ir kaimų atnaujinimas kaimo vietovėse </v>
      </c>
      <c r="I27" s="164" t="str">
        <f>CONCATENATE('3 pr-2'!I28)</f>
        <v>R</v>
      </c>
      <c r="J27" s="174" t="str">
        <f>CONCATENATE('3 pr-2'!J28)</f>
        <v>-</v>
      </c>
      <c r="K27" s="1080">
        <f>IF(LEN(S27)=5,'3 pr-2'!L28,0)</f>
        <v>118362</v>
      </c>
      <c r="L27" s="1080">
        <f>IF(LEN(S27)=5,'3 pr-2'!O28,0)</f>
        <v>23973</v>
      </c>
      <c r="M27" s="1080">
        <f ca="1">IF(LEN(S27)=5,'3 pr-2'!R28,0)</f>
        <v>0</v>
      </c>
      <c r="N27" s="1080">
        <f>IF(LEN(S27)=5,'3 pr-2'!U28,0)</f>
        <v>0</v>
      </c>
      <c r="O27" s="1080">
        <f>IF(LEN(S27)=5,'3 pr-2'!X28,0)</f>
        <v>0</v>
      </c>
      <c r="P27" s="1080">
        <f>IF(LEN(S27)=5,'3 pr-2'!AA28,0)</f>
        <v>94389</v>
      </c>
      <c r="Q27" s="1080">
        <f>IF(LEN(S27)=5,'3 pr-2'!AB28,0)</f>
        <v>0</v>
      </c>
      <c r="R27" s="1124">
        <f>SUM('3 pr-2'!AH28)</f>
        <v>43010</v>
      </c>
      <c r="S27" s="1125">
        <v>43010</v>
      </c>
      <c r="T27" s="173" t="str">
        <f t="shared" si="6"/>
        <v>–</v>
      </c>
      <c r="U27" s="1461" t="str">
        <f t="shared" si="7"/>
        <v>–</v>
      </c>
    </row>
    <row r="28" spans="1:21" ht="48.75">
      <c r="A28" s="163" t="str">
        <f>CONCATENATE('3 pr-2'!A29)</f>
        <v>1.1.1.1.20</v>
      </c>
      <c r="B28" s="1123" t="str">
        <f>CONCATENATE('3 pr-2'!B29)</f>
        <v>R01-ZM72-340000-1120</v>
      </c>
      <c r="C28" s="227" t="str">
        <f>CONCATENATE('ketv. 2'!B28)</f>
        <v>20KI-KA-17-1-01736-PR001</v>
      </c>
      <c r="D28" s="164" t="str">
        <f>CONCATENATE('3 pr-2'!D29)</f>
        <v>Pastato, esančio Pušelės g. 11, Naujųjų Valkininkų k., Varėnos r., atnaujinimas ir pritaikymas bendruomenės poreikiams</v>
      </c>
      <c r="E28" s="164" t="str">
        <f>CONCATENATE('3 pr-2'!E29)</f>
        <v xml:space="preserve">Varėnos rajono savivaldybės administracija </v>
      </c>
      <c r="F28" s="164" t="str">
        <f>CONCATENATE('3 pr-2'!F29)</f>
        <v>Lietuvos Respublikos žemės ūkio ministerija</v>
      </c>
      <c r="G28" s="164" t="str">
        <f>CONCATENATE('3 pr-2'!G29)</f>
        <v>Varėnos r. sav.</v>
      </c>
      <c r="H28" s="164" t="str">
        <f>CONCATENATE('3 pr-2'!H29)</f>
        <v xml:space="preserve">Pagrindinės paslaugos ir kaimų atnaujinimas kaimo vietovėse </v>
      </c>
      <c r="I28" s="164" t="str">
        <f>CONCATENATE('3 pr-2'!I29)</f>
        <v>R</v>
      </c>
      <c r="J28" s="174" t="str">
        <f>CONCATENATE('3 pr-2'!J29)</f>
        <v>-</v>
      </c>
      <c r="K28" s="1080">
        <f>IF(LEN(S28)=5,'3 pr-2'!L29,0)</f>
        <v>250000</v>
      </c>
      <c r="L28" s="1080">
        <f>IF(LEN(S28)=5,'3 pr-2'!O29,0)</f>
        <v>50000</v>
      </c>
      <c r="M28" s="1080">
        <f ca="1">IF(LEN(S28)=5,'3 pr-2'!R29,0)</f>
        <v>0</v>
      </c>
      <c r="N28" s="1080">
        <f>IF(LEN(S28)=5,'3 pr-2'!U29,0)</f>
        <v>0</v>
      </c>
      <c r="O28" s="1080">
        <f>IF(LEN(S28)=5,'3 pr-2'!X29,0)</f>
        <v>0</v>
      </c>
      <c r="P28" s="1080">
        <f>IF(LEN(S28)=5,'3 pr-2'!AA29,0)</f>
        <v>200000</v>
      </c>
      <c r="Q28" s="1080">
        <f>IF(LEN(S28)=5,'3 pr-2'!AB29,0)</f>
        <v>0</v>
      </c>
      <c r="R28" s="1124">
        <f>SUM('3 pr-2'!AH29)</f>
        <v>43010</v>
      </c>
      <c r="S28" s="1125">
        <v>43010</v>
      </c>
      <c r="T28" s="173" t="str">
        <f t="shared" si="6"/>
        <v>–</v>
      </c>
      <c r="U28" s="1461" t="str">
        <f t="shared" si="7"/>
        <v>–</v>
      </c>
    </row>
    <row r="29" spans="1:21" ht="48.75">
      <c r="A29" s="163" t="str">
        <f>CONCATENATE('3 pr-2'!A30)</f>
        <v>1.1.1.1.21</v>
      </c>
      <c r="B29" s="1123" t="str">
        <f>CONCATENATE('3 pr-2'!B30)</f>
        <v>R01-ZM72-120000-1121</v>
      </c>
      <c r="C29" s="227" t="str">
        <f>CONCATENATE('ketv. 2'!B29)</f>
        <v>20KI-KA-17-1-02364-PR001</v>
      </c>
      <c r="D29" s="164" t="str">
        <f>CONCATENATE('3 pr-2'!D30)</f>
        <v>Kaimo gyvenamųjų vietovių Lazdijų rajono savivaldybėje patrauklumo gerinimas</v>
      </c>
      <c r="E29" s="164" t="str">
        <f>CONCATENATE('3 pr-2'!E30)</f>
        <v>Lazdijų rajono savivaldybės administracija</v>
      </c>
      <c r="F29" s="164" t="str">
        <f>CONCATENATE('3 pr-2'!F30)</f>
        <v>Lietuvos Respublikos žemės ūkio ministerija</v>
      </c>
      <c r="G29" s="164" t="str">
        <f>CONCATENATE('3 pr-2'!G30)</f>
        <v>Lazdijų r. sav.</v>
      </c>
      <c r="H29" s="164" t="str">
        <f>CONCATENATE('3 pr-2'!H30)</f>
        <v xml:space="preserve">Pagrindinės paslaugos ir kaimų atnaujinimas kaimo vietovėse </v>
      </c>
      <c r="I29" s="164" t="str">
        <f>CONCATENATE('3 pr-2'!I30)</f>
        <v>R</v>
      </c>
      <c r="J29" s="174" t="str">
        <f>CONCATENATE('3 pr-2'!J30)</f>
        <v>-</v>
      </c>
      <c r="K29" s="1080">
        <f>IF(LEN(S29)=5,'3 pr-2'!L30,0)</f>
        <v>170000</v>
      </c>
      <c r="L29" s="1080">
        <f>IF(LEN(S29)=5,'3 pr-2'!O30,0)</f>
        <v>34000</v>
      </c>
      <c r="M29" s="1080">
        <f ca="1">IF(LEN(S29)=5,'3 pr-2'!R30,0)</f>
        <v>0</v>
      </c>
      <c r="N29" s="1080">
        <f>IF(LEN(S29)=5,'3 pr-2'!U30,0)</f>
        <v>0</v>
      </c>
      <c r="O29" s="1080">
        <f>IF(LEN(S29)=5,'3 pr-2'!X30,0)</f>
        <v>0</v>
      </c>
      <c r="P29" s="1080">
        <f>IF(LEN(S29)=5,'3 pr-2'!AA30,0)</f>
        <v>136000</v>
      </c>
      <c r="Q29" s="1080">
        <f>IF(LEN(S29)=5,'3 pr-2'!AB30,0)</f>
        <v>0</v>
      </c>
      <c r="R29" s="1124">
        <f>SUM('3 pr-2'!AH30)</f>
        <v>43010</v>
      </c>
      <c r="S29" s="1125">
        <v>43010</v>
      </c>
      <c r="T29" s="173" t="str">
        <f t="shared" si="6"/>
        <v>–</v>
      </c>
      <c r="U29" s="1461" t="str">
        <f t="shared" si="7"/>
        <v>–</v>
      </c>
    </row>
    <row r="30" spans="1:21" ht="48.75">
      <c r="A30" s="163" t="str">
        <f>CONCATENATE('3 pr-2'!A31)</f>
        <v>1.1.1.1.22</v>
      </c>
      <c r="B30" s="1123" t="str">
        <f>CONCATENATE('3 pr-2'!B31)</f>
        <v>R01-ZM72-120000-1122</v>
      </c>
      <c r="C30" s="227" t="str">
        <f>CONCATENATE('ketv. 2'!B30)</f>
        <v>20KI-KA-17-1-02241-PR001</v>
      </c>
      <c r="D30" s="164" t="str">
        <f>CONCATENATE('3 pr-2'!D31)</f>
        <v>Alytaus rajono Makniūnų kaimo šaligatvių atnaujinimas ir plėtra</v>
      </c>
      <c r="E30" s="164" t="str">
        <f>CONCATENATE('3 pr-2'!E31)</f>
        <v>Alytaus rajono savivaldybės administracija</v>
      </c>
      <c r="F30" s="164" t="str">
        <f>CONCATENATE('3 pr-2'!F31)</f>
        <v>Lietuvos Respublikos žemės ūkio ministerija</v>
      </c>
      <c r="G30" s="164" t="str">
        <f>CONCATENATE('3 pr-2'!G31)</f>
        <v>Alytaus r. sav.</v>
      </c>
      <c r="H30" s="164" t="str">
        <f>CONCATENATE('3 pr-2'!H31)</f>
        <v xml:space="preserve">Pagrindinės paslaugos ir kaimų atnaujinimas kaimo vietovėse </v>
      </c>
      <c r="I30" s="164" t="str">
        <f>CONCATENATE('3 pr-2'!I31)</f>
        <v>R</v>
      </c>
      <c r="J30" s="174" t="str">
        <f>CONCATENATE('3 pr-2'!J31)</f>
        <v>-</v>
      </c>
      <c r="K30" s="1080">
        <f>IF(LEN(S30)=5,'3 pr-2'!L31,0)</f>
        <v>145772</v>
      </c>
      <c r="L30" s="1080">
        <f>IF(LEN(S30)=5,'3 pr-2'!O31,0)</f>
        <v>88979</v>
      </c>
      <c r="M30" s="1080">
        <f ca="1">IF(LEN(S30)=5,'3 pr-2'!R31,0)</f>
        <v>0</v>
      </c>
      <c r="N30" s="1080">
        <f>IF(LEN(S30)=5,'3 pr-2'!U31,0)</f>
        <v>0</v>
      </c>
      <c r="O30" s="1080">
        <f>IF(LEN(S30)=5,'3 pr-2'!X31,0)</f>
        <v>0</v>
      </c>
      <c r="P30" s="1080">
        <f>IF(LEN(S30)=5,'3 pr-2'!AA31,0)</f>
        <v>56793</v>
      </c>
      <c r="Q30" s="1080">
        <f>IF(LEN(S30)=5,'3 pr-2'!AB31,0)</f>
        <v>0</v>
      </c>
      <c r="R30" s="1124">
        <f>SUM('3 pr-2'!AH31)</f>
        <v>43010</v>
      </c>
      <c r="S30" s="1125">
        <v>43010</v>
      </c>
      <c r="T30" s="173" t="str">
        <f t="shared" si="6"/>
        <v>–</v>
      </c>
      <c r="U30" s="1461" t="str">
        <f t="shared" si="7"/>
        <v>–</v>
      </c>
    </row>
    <row r="31" spans="1:21" ht="49.5" thickBot="1">
      <c r="A31" s="235" t="str">
        <f>CONCATENATE('3 pr-2'!A32)</f>
        <v>1.1.1.1.23</v>
      </c>
      <c r="B31" s="1123" t="str">
        <f>CONCATENATE('3 pr-2'!B32)</f>
        <v>R01-ZM72-120000-1123</v>
      </c>
      <c r="C31" s="227" t="str">
        <f>CONCATENATE('ketv. 2'!B31)</f>
        <v>20KI-KA-17-1-</v>
      </c>
      <c r="D31" s="236" t="str">
        <f>CONCATENATE('3 pr-2'!D32)</f>
        <v>Varėnos r. Vazgirdonių kaimo Klevų gatvės įrengimas</v>
      </c>
      <c r="E31" s="236" t="str">
        <f>CONCATENATE('3 pr-2'!E32)</f>
        <v xml:space="preserve">Varėnos rajono savivaldybės administracija </v>
      </c>
      <c r="F31" s="236" t="str">
        <f>CONCATENATE('3 pr-2'!F32)</f>
        <v>Lietuvos Respublikos žemės ūkio ministerija</v>
      </c>
      <c r="G31" s="236" t="str">
        <f>CONCATENATE('3 pr-2'!G32)</f>
        <v>Varėnos r. sav.</v>
      </c>
      <c r="H31" s="236" t="str">
        <f>CONCATENATE('3 pr-2'!H32)</f>
        <v xml:space="preserve">Pagrindinės paslaugos ir kaimų atnaujinimas kaimo vietovėse </v>
      </c>
      <c r="I31" s="236" t="str">
        <f>CONCATENATE('3 pr-2'!I32)</f>
        <v>R</v>
      </c>
      <c r="J31" s="237" t="str">
        <f>CONCATENATE('3 pr-2'!J32)</f>
        <v>-</v>
      </c>
      <c r="K31" s="1080">
        <f>IF(LEN(S31)=5,'3 pr-2'!L32,0)</f>
        <v>0</v>
      </c>
      <c r="L31" s="1080">
        <f>IF(LEN(S31)=5,'3 pr-2'!O32,0)</f>
        <v>0</v>
      </c>
      <c r="M31" s="1080">
        <f>IF(LEN(S31)=5,'3 pr-2'!R32,0)</f>
        <v>0</v>
      </c>
      <c r="N31" s="1080">
        <f>IF(LEN(S31)=5,'3 pr-2'!U32,0)</f>
        <v>0</v>
      </c>
      <c r="O31" s="1080">
        <f>IF(LEN(S31)=5,'3 pr-2'!X32,0)</f>
        <v>0</v>
      </c>
      <c r="P31" s="1080">
        <f>IF(LEN(S31)=5,'3 pr-2'!AA32,0)</f>
        <v>0</v>
      </c>
      <c r="Q31" s="1080">
        <f>IF(LEN(S31)=5,'3 pr-2'!AB32,0)</f>
        <v>0</v>
      </c>
      <c r="R31" s="1126">
        <f>SUM('3 pr-2'!AH32)</f>
        <v>43010</v>
      </c>
      <c r="S31" s="1127"/>
      <c r="T31" s="173" t="str">
        <f t="shared" si="6"/>
        <v>–</v>
      </c>
      <c r="U31" s="1461" t="str">
        <f t="shared" si="7"/>
        <v>–</v>
      </c>
    </row>
    <row r="32" spans="1:21" ht="28.5" customHeight="1" thickBot="1">
      <c r="A32" s="296" t="str">
        <f>CONCATENATE('3 pr-2'!A33)</f>
        <v>1.1.1.2</v>
      </c>
      <c r="B32" s="2088" t="str">
        <f>CONCATENATE('3 pr-2'!B33)</f>
        <v>Priemonė:
Kaimo gyvenamųjų vietovių (turinčių 1-6 tūkst. gyventojų) atnaujinimas ir plėtra</v>
      </c>
      <c r="C32" s="2089"/>
      <c r="D32" s="2089"/>
      <c r="E32" s="2089"/>
      <c r="F32" s="2089"/>
      <c r="G32" s="2089"/>
      <c r="H32" s="2089"/>
      <c r="I32" s="2089"/>
      <c r="J32" s="2090"/>
      <c r="K32" s="1077">
        <f t="shared" ref="K32:Q32" si="8">SUM(K33:K37)</f>
        <v>3717325.8</v>
      </c>
      <c r="L32" s="1077">
        <f t="shared" si="8"/>
        <v>652364.41999999993</v>
      </c>
      <c r="M32" s="1077">
        <f t="shared" si="8"/>
        <v>248510.74</v>
      </c>
      <c r="N32" s="1077">
        <f t="shared" si="8"/>
        <v>0</v>
      </c>
      <c r="O32" s="1077">
        <f t="shared" si="8"/>
        <v>0</v>
      </c>
      <c r="P32" s="1077">
        <f t="shared" si="8"/>
        <v>2816450.64</v>
      </c>
      <c r="Q32" s="1077">
        <f t="shared" si="8"/>
        <v>0</v>
      </c>
      <c r="R32" s="1108" t="s">
        <v>679</v>
      </c>
      <c r="S32" s="1109" t="s">
        <v>679</v>
      </c>
      <c r="T32" s="358" t="s">
        <v>679</v>
      </c>
      <c r="U32" s="1460"/>
    </row>
    <row r="33" spans="1:24" ht="49.5" thickBot="1">
      <c r="A33" s="350" t="str">
        <f>CONCATENATE('3 pr-2'!A34)</f>
        <v>1.1.1.2.1</v>
      </c>
      <c r="B33" s="1123" t="str">
        <f>CONCATENATE('3 pr-2'!B34)</f>
        <v>R01-9908-293400-1121</v>
      </c>
      <c r="C33" s="227" t="str">
        <f>CONCATENATE('ketv. 2'!B33)</f>
        <v>08.2.1-CPVA-R-908-11-0002</v>
      </c>
      <c r="D33" s="351" t="str">
        <f>CONCATENATE('3 pr-2'!D34)</f>
        <v>Matuizų kaimo viešosios infrastruktūros atnaujinimas ir pritaikymas bendruomenės poreikiams</v>
      </c>
      <c r="E33" s="351" t="str">
        <f>CONCATENATE('3 pr-2'!E34)</f>
        <v>Varėnos rajono savivaldybės administracija</v>
      </c>
      <c r="F33" s="351" t="str">
        <f>CONCATENATE('3 pr-2'!F34)</f>
        <v>Lietuvos Respublikos vidaus reikalų ministerija</v>
      </c>
      <c r="G33" s="351" t="str">
        <f>CONCATENATE('3 pr-2'!G34)</f>
        <v>Varėnos r. sav.</v>
      </c>
      <c r="H33" s="351" t="str">
        <f>CONCATENATE('3 pr-2'!H34)</f>
        <v>8.2.1-CPVA-R-908</v>
      </c>
      <c r="I33" s="351" t="str">
        <f>CONCATENATE('3 pr-2'!I34)</f>
        <v>R</v>
      </c>
      <c r="J33" s="351" t="str">
        <f>CONCATENATE('3 pr-2'!J34)</f>
        <v>-</v>
      </c>
      <c r="K33" s="1080">
        <f>IF(LEN(S33)=5,'3 pr-2'!L34,0)</f>
        <v>815537.61</v>
      </c>
      <c r="L33" s="1080">
        <f>IF(LEN(S33)=5,'3 pr-2'!O34,0)</f>
        <v>285195.61</v>
      </c>
      <c r="M33" s="1080">
        <f>IF(LEN(S33)=5,'3 pr-2'!R34,0)</f>
        <v>43001</v>
      </c>
      <c r="N33" s="1080">
        <f>IF(LEN(S33)=5,'3 pr-2'!U34,0)</f>
        <v>0</v>
      </c>
      <c r="O33" s="1080">
        <f>IF(LEN(S33)=5,'3 pr-2'!X34,0)</f>
        <v>0</v>
      </c>
      <c r="P33" s="1080">
        <f>IF(LEN(S33)=5,'3 pr-2'!AA34,0)</f>
        <v>487341</v>
      </c>
      <c r="Q33" s="1080">
        <f>IF(LEN(S33)=5,'3 pr-2'!AB34,0)</f>
        <v>0</v>
      </c>
      <c r="R33" s="1128">
        <f>SUM('3 pr-2'!AH34)</f>
        <v>43189</v>
      </c>
      <c r="S33" s="1129">
        <f>IF(SUMIF(Paraiškos!A:A,'ketv. 3'!C33,Paraiškos!H:H)&gt;0,SUMIF(Paraiškos!A:A,'ketv. 3'!C33,Paraiškos!H:H),"–")</f>
        <v>43188</v>
      </c>
      <c r="T33" s="234" t="str">
        <f t="shared" ref="T33:T36" si="9">IF(ISERROR(U33),"–",IF(U33&gt;0,"–",U33))</f>
        <v>–</v>
      </c>
      <c r="U33" s="1461" t="str">
        <f t="shared" si="7"/>
        <v>–</v>
      </c>
    </row>
    <row r="34" spans="1:24" ht="49.5" thickBot="1">
      <c r="A34" s="352" t="str">
        <f>CONCATENATE('3 pr-2'!A35)</f>
        <v>1.1.1.2.2</v>
      </c>
      <c r="B34" s="1123" t="str">
        <f>CONCATENATE('3 pr-2'!B35)</f>
        <v>R01-9908-290000-1122</v>
      </c>
      <c r="C34" s="227" t="str">
        <f>CONCATENATE('ketv. 2'!B34)</f>
        <v>08.2.1-CPVA-R-908-11-0001</v>
      </c>
      <c r="D34" s="164" t="str">
        <f>CONCATENATE('3 pr-2'!D35)</f>
        <v>Senosios Varėnos kaimo viešosios infrastruktūros atnaujinimas ir pritaikymas bendruomenės poreikiams</v>
      </c>
      <c r="E34" s="164" t="str">
        <f>CONCATENATE('3 pr-2'!E35)</f>
        <v>Varėnos rajono savivaldybės administracija</v>
      </c>
      <c r="F34" s="164" t="str">
        <f>CONCATENATE('3 pr-2'!F35)</f>
        <v>Lietuvos Respublikos vidaus reikalų ministerija</v>
      </c>
      <c r="G34" s="164" t="str">
        <f>CONCATENATE('3 pr-2'!G35)</f>
        <v>Varėnos r. sav.</v>
      </c>
      <c r="H34" s="164" t="str">
        <f>CONCATENATE('3 pr-2'!H35)</f>
        <v>8.2.1-CPVA-R-908</v>
      </c>
      <c r="I34" s="164" t="str">
        <f>CONCATENATE('3 pr-2'!I35)</f>
        <v>R</v>
      </c>
      <c r="J34" s="164" t="str">
        <f>CONCATENATE('3 pr-2'!J35)</f>
        <v>-</v>
      </c>
      <c r="K34" s="1080">
        <f>IF(LEN(S34)=5,'3 pr-2'!L35,0)</f>
        <v>605024.19999999995</v>
      </c>
      <c r="L34" s="1080">
        <f>IF(LEN(S34)=5,'3 pr-2'!O35,0)</f>
        <v>45376.82</v>
      </c>
      <c r="M34" s="1080">
        <f>IF(LEN(S34)=5,'3 pr-2'!R35,0)</f>
        <v>45376.81</v>
      </c>
      <c r="N34" s="1080">
        <f>IF(LEN(S34)=5,'3 pr-2'!U35,0)</f>
        <v>0</v>
      </c>
      <c r="O34" s="1080">
        <f>IF(LEN(S34)=5,'3 pr-2'!X35,0)</f>
        <v>0</v>
      </c>
      <c r="P34" s="1080">
        <f>IF(LEN(S34)=5,'3 pr-2'!AA35,0)</f>
        <v>514270.57</v>
      </c>
      <c r="Q34" s="1080">
        <f>IF(LEN(S34)=5,'3 pr-2'!AB35,0)</f>
        <v>0</v>
      </c>
      <c r="R34" s="1104">
        <f>SUM('3 pr-2'!AH35)</f>
        <v>43039</v>
      </c>
      <c r="S34" s="1129">
        <f>IF(SUMIF(Paraiškos!A:A,'ketv. 3'!C34,Paraiškos!H:H)&gt;0,SUMIF(Paraiškos!A:A,'ketv. 3'!C34,Paraiškos!H:H),"–")</f>
        <v>43039</v>
      </c>
      <c r="T34" s="234" t="str">
        <f t="shared" si="9"/>
        <v>–</v>
      </c>
      <c r="U34" s="1461" t="str">
        <f t="shared" si="7"/>
        <v>–</v>
      </c>
    </row>
    <row r="35" spans="1:24" ht="49.5" thickBot="1">
      <c r="A35" s="352" t="str">
        <f>CONCATENATE('3 pr-2'!A36)</f>
        <v>1.1.1.2.3</v>
      </c>
      <c r="B35" s="1123" t="str">
        <f>CONCATENATE('3 pr-2'!B36)</f>
        <v>R01-9908-290000-1123</v>
      </c>
      <c r="C35" s="227" t="str">
        <f>CONCATENATE('ketv. 2'!B35)</f>
        <v>08.2.1-CPVA-R-908-11-0005</v>
      </c>
      <c r="D35" s="164" t="str">
        <f>CONCATENATE('3 pr-2'!D36)</f>
        <v>Kompleksinė Miklusėnų gyvenvietės plėtra</v>
      </c>
      <c r="E35" s="164" t="str">
        <f>CONCATENATE('3 pr-2'!E36)</f>
        <v>Alytaus rajono savivaldybės administracija</v>
      </c>
      <c r="F35" s="164" t="str">
        <f>CONCATENATE('3 pr-2'!F36)</f>
        <v>Lietuvos Respublikos vidaus reikalų ministerija</v>
      </c>
      <c r="G35" s="164" t="str">
        <f>CONCATENATE('3 pr-2'!G36)</f>
        <v>Alytaus r. sav.</v>
      </c>
      <c r="H35" s="164" t="str">
        <f>CONCATENATE('3 pr-2'!H36)</f>
        <v>8.2.1-CPVA-R-908</v>
      </c>
      <c r="I35" s="164" t="str">
        <f>CONCATENATE('3 pr-2'!I36)</f>
        <v>R</v>
      </c>
      <c r="J35" s="164" t="str">
        <f>CONCATENATE('3 pr-2'!J36)</f>
        <v>-</v>
      </c>
      <c r="K35" s="1080">
        <f>IF(LEN(S35)=5,'3 pr-2'!L36,0)</f>
        <v>1043467</v>
      </c>
      <c r="L35" s="1080">
        <f>IF(LEN(S35)=5,'3 pr-2'!O36,0)</f>
        <v>78261</v>
      </c>
      <c r="M35" s="1080">
        <f>IF(LEN(S35)=5,'3 pr-2'!R36,0)</f>
        <v>78260</v>
      </c>
      <c r="N35" s="1080">
        <f>IF(LEN(S35)=5,'3 pr-2'!U36,0)</f>
        <v>0</v>
      </c>
      <c r="O35" s="1080">
        <f>IF(LEN(S35)=5,'3 pr-2'!X36,0)</f>
        <v>0</v>
      </c>
      <c r="P35" s="1080">
        <f>IF(LEN(S35)=5,'3 pr-2'!AA36,0)</f>
        <v>886946</v>
      </c>
      <c r="Q35" s="1080">
        <f>IF(LEN(S35)=5,'3 pr-2'!AB36,0)</f>
        <v>0</v>
      </c>
      <c r="R35" s="1112">
        <f>SUM('3 pr-2'!AH36)</f>
        <v>43555</v>
      </c>
      <c r="S35" s="1129">
        <f>IF(SUMIF(Paraiškos!A:A,'ketv. 3'!C35,Paraiškos!H:H)&gt;0,SUMIF(Paraiškos!A:A,'ketv. 3'!C35,Paraiškos!H:H),"–")</f>
        <v>43549</v>
      </c>
      <c r="T35" s="234" t="str">
        <f t="shared" si="9"/>
        <v>–</v>
      </c>
      <c r="U35" s="1461" t="str">
        <f t="shared" si="7"/>
        <v>–</v>
      </c>
    </row>
    <row r="36" spans="1:24" ht="49.5" thickBot="1">
      <c r="A36" s="352" t="str">
        <f>CONCATENATE('3 pr-2'!A37)</f>
        <v>1.1.1.2.4</v>
      </c>
      <c r="B36" s="1123" t="str">
        <f>CONCATENATE('3 pr-2'!B37)</f>
        <v>R01-9908-290000-1124</v>
      </c>
      <c r="C36" s="227" t="str">
        <f>CONCATENATE('ketv. 2'!B36)</f>
        <v>08.2.1-CPVA-R-908-11-0003</v>
      </c>
      <c r="D36" s="164" t="str">
        <f>CONCATENATE('3 pr-2'!D37)</f>
        <v>Leipalingio viešosios erdvės pritaikymas bendruomenės poreikiams</v>
      </c>
      <c r="E36" s="164" t="str">
        <f>CONCATENATE('3 pr-2'!E37)</f>
        <v xml:space="preserve">Druskininkų savivaldybės administracija  </v>
      </c>
      <c r="F36" s="164" t="str">
        <f>CONCATENATE('3 pr-2'!F37)</f>
        <v>Lietuvos Respublikos vidaus reikalų ministerija</v>
      </c>
      <c r="G36" s="164" t="str">
        <f>CONCATENATE('3 pr-2'!G37)</f>
        <v>Druskininkų sav.</v>
      </c>
      <c r="H36" s="164" t="str">
        <f>CONCATENATE('3 pr-2'!H37)</f>
        <v>8.2.1-CPVA-R-908</v>
      </c>
      <c r="I36" s="164" t="str">
        <f>CONCATENATE('3 pr-2'!I37)</f>
        <v>R</v>
      </c>
      <c r="J36" s="164" t="str">
        <f>CONCATENATE('3 pr-2'!J37)</f>
        <v>-</v>
      </c>
      <c r="K36" s="1080">
        <f>IF(LEN(S36)=5,'3 pr-2'!L37,0)</f>
        <v>579418.99</v>
      </c>
      <c r="L36" s="1080">
        <f>IF(LEN(S36)=5,'3 pr-2'!O37,0)</f>
        <v>192989.99</v>
      </c>
      <c r="M36" s="1080">
        <f>IF(LEN(S36)=5,'3 pr-2'!R37,0)</f>
        <v>31332.09</v>
      </c>
      <c r="N36" s="1080">
        <f>IF(LEN(S36)=5,'3 pr-2'!U37,0)</f>
        <v>0</v>
      </c>
      <c r="O36" s="1080">
        <f>IF(LEN(S36)=5,'3 pr-2'!X37,0)</f>
        <v>0</v>
      </c>
      <c r="P36" s="1080">
        <f>IF(LEN(S36)=5,'3 pr-2'!AA37,0)</f>
        <v>355096.91</v>
      </c>
      <c r="Q36" s="1080">
        <f>IF(LEN(S36)=5,'3 pr-2'!AB37,0)</f>
        <v>0</v>
      </c>
      <c r="R36" s="1104">
        <f>SUM('3 pr-2'!AH37)</f>
        <v>43251</v>
      </c>
      <c r="S36" s="1129">
        <f>IF(SUMIF(Paraiškos!A:A,'ketv. 3'!C36,Paraiškos!H:H)&gt;0,SUMIF(Paraiškos!A:A,'ketv. 3'!C36,Paraiškos!H:H),"–")</f>
        <v>43251</v>
      </c>
      <c r="T36" s="234" t="str">
        <f t="shared" si="9"/>
        <v>–</v>
      </c>
      <c r="U36" s="1461" t="str">
        <f t="shared" si="7"/>
        <v>–</v>
      </c>
    </row>
    <row r="37" spans="1:24" ht="49.5" thickBot="1">
      <c r="A37" s="353" t="str">
        <f>CONCATENATE('3 pr-2'!A38)</f>
        <v>1.1.1.2.5</v>
      </c>
      <c r="B37" s="1123" t="str">
        <f>CONCATENATE('3 pr-2'!B38)</f>
        <v>R01-9908-290000-1125</v>
      </c>
      <c r="C37" s="227" t="str">
        <f>CONCATENATE('ketv. 2'!B37)</f>
        <v>08.2.1-CPVA-R-908-11-0004</v>
      </c>
      <c r="D37" s="354" t="str">
        <f>CONCATENATE('3 pr-2'!D38)</f>
        <v>Viečiūnų viešosios erdvės pritaikymas bendruomenės poreikiams</v>
      </c>
      <c r="E37" s="354" t="str">
        <f>CONCATENATE('3 pr-2'!E38)</f>
        <v xml:space="preserve">Druskininkų savivaldybės administracija  </v>
      </c>
      <c r="F37" s="354" t="str">
        <f>CONCATENATE('3 pr-2'!F38)</f>
        <v>Lietuvos Respublikos vidaus reikalų ministerija</v>
      </c>
      <c r="G37" s="354" t="str">
        <f>CONCATENATE('3 pr-2'!G38)</f>
        <v>Druskininkų sav.</v>
      </c>
      <c r="H37" s="354" t="str">
        <f>CONCATENATE('3 pr-2'!H38)</f>
        <v>8.2.1-CPVA-R-908</v>
      </c>
      <c r="I37" s="354" t="str">
        <f>CONCATENATE('3 pr-2'!I38)</f>
        <v>R</v>
      </c>
      <c r="J37" s="354" t="str">
        <f>CONCATENATE('3 pr-2'!J38)</f>
        <v>-</v>
      </c>
      <c r="K37" s="1080">
        <f>IF(LEN(S37)=5,'3 pr-2'!L38,0)</f>
        <v>673878</v>
      </c>
      <c r="L37" s="1080">
        <f>IF(LEN(S37)=5,'3 pr-2'!O38,0)</f>
        <v>50541</v>
      </c>
      <c r="M37" s="1080">
        <f>IF(LEN(S37)=5,'3 pr-2'!R38,0)</f>
        <v>50540.84</v>
      </c>
      <c r="N37" s="1080">
        <f>IF(LEN(S37)=5,'3 pr-2'!U38,0)</f>
        <v>0</v>
      </c>
      <c r="O37" s="1080">
        <f>IF(LEN(S37)=5,'3 pr-2'!X38,0)</f>
        <v>0</v>
      </c>
      <c r="P37" s="1080">
        <f>IF(LEN(S37)=5,'3 pr-2'!AA38,0)</f>
        <v>572796.16000000003</v>
      </c>
      <c r="Q37" s="1080">
        <f>IF(LEN(S37)=5,'3 pr-2'!AB38,0)</f>
        <v>0</v>
      </c>
      <c r="R37" s="1130">
        <f>SUM('3 pr-2'!AH38)</f>
        <v>43251</v>
      </c>
      <c r="S37" s="1129">
        <f>IF(SUMIF(Paraiškos!A:A,'ketv. 3'!C37,Paraiškos!H:H)&gt;0,SUMIF(Paraiškos!A:A,'ketv. 3'!C37,Paraiškos!H:H),"–")</f>
        <v>43252</v>
      </c>
      <c r="T37" s="234">
        <f>IF(ISERROR(U37),"–",IF(U37&gt;0,"–",U37))</f>
        <v>-3.2876712328767085E-2</v>
      </c>
      <c r="U37" s="1461">
        <f t="shared" si="7"/>
        <v>-3.2876712328767085E-2</v>
      </c>
    </row>
    <row r="38" spans="1:24" ht="30" customHeight="1" thickBot="1">
      <c r="A38" s="296" t="str">
        <f>CONCATENATE('3 pr-2'!A39)</f>
        <v>1.1.1.3</v>
      </c>
      <c r="B38" s="2088" t="str">
        <f>CONCATENATE('3 pr-2'!B39)</f>
        <v>Priemonė:
Varėnos miesto kompleksinė plėtra</v>
      </c>
      <c r="C38" s="2089"/>
      <c r="D38" s="2089"/>
      <c r="E38" s="2089"/>
      <c r="F38" s="2089"/>
      <c r="G38" s="2089"/>
      <c r="H38" s="2089"/>
      <c r="I38" s="2089"/>
      <c r="J38" s="2090"/>
      <c r="K38" s="1077">
        <f t="shared" ref="K38:Q38" si="10">SUM(K39:K44)</f>
        <v>4359732.13</v>
      </c>
      <c r="L38" s="1077">
        <f t="shared" si="10"/>
        <v>336200.36</v>
      </c>
      <c r="M38" s="1077">
        <f t="shared" si="10"/>
        <v>326232.31000000006</v>
      </c>
      <c r="N38" s="1077">
        <f t="shared" si="10"/>
        <v>0</v>
      </c>
      <c r="O38" s="1077">
        <f t="shared" si="10"/>
        <v>0</v>
      </c>
      <c r="P38" s="1077">
        <f t="shared" si="10"/>
        <v>3697299.46</v>
      </c>
      <c r="Q38" s="1077">
        <f t="shared" si="10"/>
        <v>0</v>
      </c>
      <c r="R38" s="1108" t="s">
        <v>679</v>
      </c>
      <c r="S38" s="1109" t="s">
        <v>679</v>
      </c>
      <c r="T38" s="358" t="s">
        <v>679</v>
      </c>
      <c r="U38" s="1460"/>
    </row>
    <row r="39" spans="1:24" ht="49.5" thickBot="1">
      <c r="A39" s="348" t="str">
        <f>CONCATENATE('3 pr-2'!A40)</f>
        <v>1.1.1.3.1</v>
      </c>
      <c r="B39" s="1123" t="str">
        <f>CONCATENATE('3 pr-2'!B40)</f>
        <v>R01-9905-290000-1131</v>
      </c>
      <c r="C39" s="279" t="str">
        <f>CONCATENATE('ketv. 2'!B39)</f>
        <v>07.1.1-CPVA-R-905-11-0001</v>
      </c>
      <c r="D39" s="221" t="str">
        <f>CONCATENATE('3 pr-2'!D40)</f>
        <v>Varėnos miesto centrinės dalies modernizavimas ir pritaikymas visuomenės poreikiams (I etapas)</v>
      </c>
      <c r="E39" s="221" t="str">
        <f>CONCATENATE('3 pr-2'!E40)</f>
        <v>Varėnos rajono savivaldybės administracija</v>
      </c>
      <c r="F39" s="221" t="str">
        <f>CONCATENATE('3 pr-2'!F40)</f>
        <v>Lietuvos Respublikos vidaus reikalų ministerija</v>
      </c>
      <c r="G39" s="221" t="str">
        <f>CONCATENATE('3 pr-2'!G40)</f>
        <v>Varėnos r. sav.</v>
      </c>
      <c r="H39" s="221" t="str">
        <f>CONCATENATE('3 pr-2'!H40)</f>
        <v xml:space="preserve">07.1.1-CPVA-R-905 </v>
      </c>
      <c r="I39" s="221" t="str">
        <f>CONCATENATE('3 pr-2'!I40)</f>
        <v>R</v>
      </c>
      <c r="J39" s="248" t="str">
        <f>CONCATENATE('3 pr-2'!J40)</f>
        <v>ITI</v>
      </c>
      <c r="K39" s="1080">
        <f>IF(LEN(S39)=5,'3 pr-2'!L40,0)</f>
        <v>1516825.67</v>
      </c>
      <c r="L39" s="1080">
        <f>IF(LEN(S39)=5,'3 pr-2'!O40,0)</f>
        <v>113761.94</v>
      </c>
      <c r="M39" s="1080">
        <f>IF(LEN(S39)=5,'3 pr-2'!R40,0)</f>
        <v>113761.92</v>
      </c>
      <c r="N39" s="1080">
        <f>IF(LEN(S39)=5,'3 pr-2'!U40,0)</f>
        <v>0</v>
      </c>
      <c r="O39" s="1080">
        <f>IF(LEN(S39)=5,'3 pr-2'!X40,0)</f>
        <v>0</v>
      </c>
      <c r="P39" s="1080">
        <f>IF(LEN(S39)=5,'3 pr-2'!AA40,0)</f>
        <v>1289301.81</v>
      </c>
      <c r="Q39" s="1080">
        <f>IF(LEN(S39)=5,'3 pr-2'!AB40,0)</f>
        <v>0</v>
      </c>
      <c r="R39" s="1131">
        <f>SUM('3 pr-2'!AH40)</f>
        <v>42566</v>
      </c>
      <c r="S39" s="1129">
        <f>IF(SUMIF(Paraiškos!A:A,'ketv. 3'!C39,Paraiškos!H:H)&gt;0,SUMIF(Paraiškos!A:A,'ketv. 3'!C39,Paraiškos!H:H),"–")</f>
        <v>42555</v>
      </c>
      <c r="T39" s="234" t="str">
        <f t="shared" ref="T39:T44" si="11">IF(ISERROR(U39),"–",IF(U39&gt;0,"–",U39))</f>
        <v>–</v>
      </c>
      <c r="U39" s="1462" t="str">
        <f t="shared" si="7"/>
        <v>–</v>
      </c>
    </row>
    <row r="40" spans="1:24" ht="49.5" thickBot="1">
      <c r="A40" s="163" t="str">
        <f>CONCATENATE('3 pr-2'!A41)</f>
        <v>1.1.1.3.2</v>
      </c>
      <c r="B40" s="1123" t="str">
        <f>CONCATENATE('3 pr-2'!B41)</f>
        <v>R01-9905-282900-1132</v>
      </c>
      <c r="C40" s="227" t="str">
        <f>CONCATENATE('ketv. 2'!B40)</f>
        <v>07.1.1-CPVA-R-905-11-0002</v>
      </c>
      <c r="D40" s="164" t="str">
        <f>CONCATENATE('3 pr-2'!D41)</f>
        <v>Varėnos miesto centrinės dalies modernizavimas ir pritaikymas visuomenės poreikiams (II etapas)</v>
      </c>
      <c r="E40" s="164" t="str">
        <f>CONCATENATE('3 pr-2'!E41)</f>
        <v>Varėnos rajono savivaldybės administracija</v>
      </c>
      <c r="F40" s="164" t="str">
        <f>CONCATENATE('3 pr-2'!F41)</f>
        <v>Lietuvos Respublikos vidaus reikalų ministerija</v>
      </c>
      <c r="G40" s="164" t="str">
        <f>CONCATENATE('3 pr-2'!G41)</f>
        <v>Varėnos r. sav.</v>
      </c>
      <c r="H40" s="164" t="str">
        <f>CONCATENATE('3 pr-2'!H41)</f>
        <v xml:space="preserve">07.1.1-CPVA-R-905 </v>
      </c>
      <c r="I40" s="164" t="str">
        <f>CONCATENATE('3 pr-2'!I41)</f>
        <v>R</v>
      </c>
      <c r="J40" s="174" t="str">
        <f>CONCATENATE('3 pr-2'!J41)</f>
        <v>ITI</v>
      </c>
      <c r="K40" s="1080">
        <f>IF(LEN(S40)=5,'3 pr-2'!L41,0)</f>
        <v>815103</v>
      </c>
      <c r="L40" s="1080">
        <f>IF(LEN(S40)=5,'3 pr-2'!O41,0)</f>
        <v>69259</v>
      </c>
      <c r="M40" s="1080">
        <f>IF(LEN(S40)=5,'3 pr-2'!R41,0)</f>
        <v>60474</v>
      </c>
      <c r="N40" s="1080">
        <f>IF(LEN(S40)=5,'3 pr-2'!U41,0)</f>
        <v>0</v>
      </c>
      <c r="O40" s="1080">
        <f>IF(LEN(S40)=5,'3 pr-2'!X41,0)</f>
        <v>0</v>
      </c>
      <c r="P40" s="1080">
        <f>IF(LEN(S40)=5,'3 pr-2'!AA41,0)</f>
        <v>685370</v>
      </c>
      <c r="Q40" s="1080">
        <f>IF(LEN(S40)=5,'3 pr-2'!AB41,0)</f>
        <v>0</v>
      </c>
      <c r="R40" s="1124">
        <f>SUM('3 pr-2'!AH41)</f>
        <v>42885</v>
      </c>
      <c r="S40" s="1129">
        <f>IF(SUMIF(Paraiškos!A:A,'ketv. 3'!C40,Paraiškos!H:H)&gt;0,SUMIF(Paraiškos!A:A,'ketv. 3'!C40,Paraiškos!H:H),"–")</f>
        <v>42863</v>
      </c>
      <c r="T40" s="234" t="str">
        <f t="shared" si="11"/>
        <v>–</v>
      </c>
      <c r="U40" s="1462" t="str">
        <f t="shared" si="7"/>
        <v>–</v>
      </c>
    </row>
    <row r="41" spans="1:24" ht="49.5" thickBot="1">
      <c r="A41" s="163" t="str">
        <f>CONCATENATE('3 pr-2'!A42)</f>
        <v>1.1.1.3.3</v>
      </c>
      <c r="B41" s="1123" t="str">
        <f>CONCATENATE('3 pr-2'!B42)</f>
        <v>R01-9905-292800-1133</v>
      </c>
      <c r="C41" s="227" t="str">
        <f>CONCATENATE('ketv. 2'!B41)</f>
        <v>07.1.1-CPVA-R-905-11-0004</v>
      </c>
      <c r="D41" s="164" t="str">
        <f>CONCATENATE('3 pr-2'!D42)</f>
        <v>Varėnos miesto Dainų slėnio infrastruktūros atnaujinimas ir pritaikymas visuomenės poreikiams</v>
      </c>
      <c r="E41" s="164" t="str">
        <f>CONCATENATE('3 pr-2'!E42)</f>
        <v>Varėnos rajono savivaldybės administracija</v>
      </c>
      <c r="F41" s="164" t="str">
        <f>CONCATENATE('3 pr-2'!F42)</f>
        <v>Lietuvos Respublikos vidaus reikalų ministerija</v>
      </c>
      <c r="G41" s="164" t="str">
        <f>CONCATENATE('3 pr-2'!G42)</f>
        <v>Varėnos r. sav.</v>
      </c>
      <c r="H41" s="164" t="str">
        <f>CONCATENATE('3 pr-2'!H42)</f>
        <v xml:space="preserve">07.1.1-CPVA-R-905 </v>
      </c>
      <c r="I41" s="164" t="str">
        <f>CONCATENATE('3 pr-2'!I42)</f>
        <v>R</v>
      </c>
      <c r="J41" s="174" t="str">
        <f>CONCATENATE('3 pr-2'!J42)</f>
        <v>ITI</v>
      </c>
      <c r="K41" s="1080">
        <f>IF(LEN(S41)=5,'3 pr-2'!L42,0)</f>
        <v>514646.41000000003</v>
      </c>
      <c r="L41" s="1080">
        <f>IF(LEN(S41)=5,'3 pr-2'!O42,0)</f>
        <v>38598.49</v>
      </c>
      <c r="M41" s="1080">
        <f>IF(LEN(S41)=5,'3 pr-2'!R42,0)</f>
        <v>38598.480000000003</v>
      </c>
      <c r="N41" s="1080">
        <f>IF(LEN(S41)=5,'3 pr-2'!U42,0)</f>
        <v>0</v>
      </c>
      <c r="O41" s="1080">
        <f>IF(LEN(S41)=5,'3 pr-2'!X42,0)</f>
        <v>0</v>
      </c>
      <c r="P41" s="1080">
        <f>IF(LEN(S41)=5,'3 pr-2'!AA42,0)</f>
        <v>437449.44</v>
      </c>
      <c r="Q41" s="1080">
        <f>IF(LEN(S41)=5,'3 pr-2'!AB42,0)</f>
        <v>0</v>
      </c>
      <c r="R41" s="1124">
        <f>SUM('3 pr-2'!AH42)</f>
        <v>43238</v>
      </c>
      <c r="S41" s="1129">
        <f>IF(SUMIF(Paraiškos!A:A,'ketv. 3'!C41,Paraiškos!H:H)&gt;0,SUMIF(Paraiškos!A:A,'ketv. 3'!C41,Paraiškos!H:H),"–")</f>
        <v>43238</v>
      </c>
      <c r="T41" s="234" t="str">
        <f t="shared" si="11"/>
        <v>–</v>
      </c>
      <c r="U41" s="1462" t="str">
        <f t="shared" si="7"/>
        <v>–</v>
      </c>
    </row>
    <row r="42" spans="1:24" ht="49.5" thickBot="1">
      <c r="A42" s="163" t="str">
        <f>CONCATENATE('3 pr-2'!A43)</f>
        <v>1.1.1.3.4</v>
      </c>
      <c r="B42" s="1123" t="str">
        <f>CONCATENATE('3 pr-2'!B43)</f>
        <v>R01-9905-280000-1134</v>
      </c>
      <c r="C42" s="227" t="str">
        <f>CONCATENATE('ketv. 2'!B42)</f>
        <v>07.1.1-CPVA-R-905-11-0003</v>
      </c>
      <c r="D42" s="164" t="str">
        <f>CONCATENATE('3 pr-2'!D43)</f>
        <v>Karloniškės ežero ir jo prieigų sutvarkymas ir pritaikymas aktyviam poilsiui</v>
      </c>
      <c r="E42" s="164" t="str">
        <f>CONCATENATE('3 pr-2'!E43)</f>
        <v>Varėnos rajono savivaldybės administracija</v>
      </c>
      <c r="F42" s="164" t="str">
        <f>CONCATENATE('3 pr-2'!F43)</f>
        <v>Lietuvos Respublikos vidaus reikalų ministerija</v>
      </c>
      <c r="G42" s="164" t="str">
        <f>CONCATENATE('3 pr-2'!G43)</f>
        <v>Varėnos r. sav.</v>
      </c>
      <c r="H42" s="164" t="str">
        <f>CONCATENATE('3 pr-2'!H43)</f>
        <v xml:space="preserve">07.1.1-CPVA-R-905 </v>
      </c>
      <c r="I42" s="164" t="str">
        <f>CONCATENATE('3 pr-2'!I43)</f>
        <v>R</v>
      </c>
      <c r="J42" s="174" t="str">
        <f>CONCATENATE('3 pr-2'!J43)</f>
        <v>ITI</v>
      </c>
      <c r="K42" s="1080">
        <f>IF(LEN(S42)=5,'3 pr-2'!L43,0)</f>
        <v>877516.65</v>
      </c>
      <c r="L42" s="1080">
        <f>IF(LEN(S42)=5,'3 pr-2'!O43,0)</f>
        <v>65813.75</v>
      </c>
      <c r="M42" s="1080">
        <f>IF(LEN(S42)=5,'3 pr-2'!R43,0)</f>
        <v>65813.75</v>
      </c>
      <c r="N42" s="1080">
        <f>IF(LEN(S42)=5,'3 pr-2'!U43,0)</f>
        <v>0</v>
      </c>
      <c r="O42" s="1080">
        <f>IF(LEN(S42)=5,'3 pr-2'!X43,0)</f>
        <v>0</v>
      </c>
      <c r="P42" s="1080">
        <f>IF(LEN(S42)=5,'3 pr-2'!AA43,0)</f>
        <v>745889.15</v>
      </c>
      <c r="Q42" s="1080">
        <f>IF(LEN(S42)=5,'3 pr-2'!AB43,0)</f>
        <v>0</v>
      </c>
      <c r="R42" s="1124">
        <f>SUM('3 pr-2'!AH43)</f>
        <v>43008</v>
      </c>
      <c r="S42" s="1129">
        <f>IF(SUMIF(Paraiškos!A:A,'ketv. 3'!C42,Paraiškos!H:H)&gt;0,SUMIF(Paraiškos!A:A,'ketv. 3'!C42,Paraiškos!H:H),"–")</f>
        <v>43007</v>
      </c>
      <c r="T42" s="234" t="str">
        <f t="shared" si="11"/>
        <v>–</v>
      </c>
      <c r="U42" s="1462" t="str">
        <f t="shared" si="7"/>
        <v>–</v>
      </c>
    </row>
    <row r="43" spans="1:24" ht="49.5" thickBot="1">
      <c r="A43" s="163" t="str">
        <f>CONCATENATE('3 pr-2'!A44)</f>
        <v>1.1.1.3.5</v>
      </c>
      <c r="B43" s="1123" t="str">
        <f>CONCATENATE('3 pr-2'!B44)</f>
        <v>R01-9905-362900-1135</v>
      </c>
      <c r="C43" s="227" t="str">
        <f>CONCATENATE('ketv. 2'!B43)</f>
        <v>07.1.1-CPVA-R-905-11-0005</v>
      </c>
      <c r="D43" s="164" t="str">
        <f>CONCATENATE('3 pr-2'!D44)</f>
        <v>Nenaudojamų teritorijų Varėnos mieste sutvarkymas ir pritaikymas verslui</v>
      </c>
      <c r="E43" s="164" t="str">
        <f>CONCATENATE('3 pr-2'!E44)</f>
        <v>Varėnos rajono savivaldybės administracija</v>
      </c>
      <c r="F43" s="164" t="str">
        <f>CONCATENATE('3 pr-2'!F44)</f>
        <v>Lietuvos Respublikos vidaus reikalų ministerija</v>
      </c>
      <c r="G43" s="164" t="str">
        <f>CONCATENATE('3 pr-2'!G44)</f>
        <v>Varėnos r. sav.</v>
      </c>
      <c r="H43" s="164" t="str">
        <f>CONCATENATE('3 pr-2'!H44)</f>
        <v xml:space="preserve">07.1.1-CPVA-R-905 </v>
      </c>
      <c r="I43" s="164" t="str">
        <f>CONCATENATE('3 pr-2'!I44)</f>
        <v>R</v>
      </c>
      <c r="J43" s="174" t="str">
        <f>CONCATENATE('3 pr-2'!J44)</f>
        <v>ITI</v>
      </c>
      <c r="K43" s="1080">
        <f>IF(LEN(S43)=5,'3 pr-2'!L44,0)</f>
        <v>150000</v>
      </c>
      <c r="L43" s="1080">
        <f>IF(LEN(S43)=5,'3 pr-2'!O44,0)</f>
        <v>11250</v>
      </c>
      <c r="M43" s="1080">
        <f>IF(LEN(S43)=5,'3 pr-2'!R44,0)</f>
        <v>11250</v>
      </c>
      <c r="N43" s="1080">
        <f>IF(LEN(S43)=5,'3 pr-2'!U44,0)</f>
        <v>0</v>
      </c>
      <c r="O43" s="1080">
        <f>IF(LEN(S43)=5,'3 pr-2'!X44,0)</f>
        <v>0</v>
      </c>
      <c r="P43" s="1080">
        <f>IF(LEN(S43)=5,'3 pr-2'!AA44,0)</f>
        <v>127500</v>
      </c>
      <c r="Q43" s="1080">
        <f>IF(LEN(S43)=5,'3 pr-2'!AB44,0)</f>
        <v>0</v>
      </c>
      <c r="R43" s="1124">
        <f>SUM('3 pr-2'!AH44)</f>
        <v>43373</v>
      </c>
      <c r="S43" s="1129">
        <f>IF(SUMIF(Paraiškos!A:A,'ketv. 3'!C43,Paraiškos!H:H)&gt;0,SUMIF(Paraiškos!A:A,'ketv. 3'!C43,Paraiškos!H:H),"–")</f>
        <v>43361</v>
      </c>
      <c r="T43" s="234" t="str">
        <f t="shared" si="11"/>
        <v>–</v>
      </c>
      <c r="U43" s="1462" t="str">
        <f t="shared" si="7"/>
        <v>–</v>
      </c>
    </row>
    <row r="44" spans="1:24" ht="49.5" thickBot="1">
      <c r="A44" s="163" t="str">
        <f>CONCATENATE('3 pr-2'!A45)</f>
        <v>1.1.1.3.6</v>
      </c>
      <c r="B44" s="1123" t="str">
        <f>CONCATENATE('3 pr-2'!B45)</f>
        <v>R01-9905-290000-1136</v>
      </c>
      <c r="C44" s="227" t="str">
        <f>CONCATENATE('ketv. 2'!B44)</f>
        <v>07.1.1-CPVA-R-905-11-0006</v>
      </c>
      <c r="D44" s="164" t="str">
        <f>CONCATENATE('3 pr-2'!D45)</f>
        <v>Teritorijų prie daugiabučių gyvenamųjų pastatų Varėnos mieste sutvarkymas ir pritaikymas visuomenės poreikiams</v>
      </c>
      <c r="E44" s="164" t="str">
        <f>CONCATENATE('3 pr-2'!E45)</f>
        <v>Varėnos rajono savivaldybės administracija</v>
      </c>
      <c r="F44" s="164" t="str">
        <f>CONCATENATE('3 pr-2'!F45)</f>
        <v>Lietuvos Respublikos vidaus reikalų ministerija</v>
      </c>
      <c r="G44" s="164" t="str">
        <f>CONCATENATE('3 pr-2'!G45)</f>
        <v>Varėnos r. sav.</v>
      </c>
      <c r="H44" s="164" t="str">
        <f>CONCATENATE('3 pr-2'!H45)</f>
        <v xml:space="preserve">07.1.1-CPVA-R-905 </v>
      </c>
      <c r="I44" s="164" t="str">
        <f>CONCATENATE('3 pr-2'!I45)</f>
        <v>R</v>
      </c>
      <c r="J44" s="174" t="str">
        <f>CONCATENATE('3 pr-2'!J45)</f>
        <v>ITI</v>
      </c>
      <c r="K44" s="1080">
        <f>IF(LEN(S44)=5,'3 pr-2'!L45,0)</f>
        <v>485640.4</v>
      </c>
      <c r="L44" s="1080">
        <f>IF(LEN(S44)=5,'3 pr-2'!O45,0)</f>
        <v>37517.18</v>
      </c>
      <c r="M44" s="1080">
        <f>IF(LEN(S44)=5,'3 pr-2'!R45,0)</f>
        <v>36334.160000000003</v>
      </c>
      <c r="N44" s="1080">
        <f>IF(LEN(S44)=5,'3 pr-2'!U45,0)</f>
        <v>0</v>
      </c>
      <c r="O44" s="1080">
        <f>IF(LEN(S44)=5,'3 pr-2'!X45,0)</f>
        <v>0</v>
      </c>
      <c r="P44" s="1080">
        <f>IF(LEN(S44)=5,'3 pr-2'!AA45,0)</f>
        <v>411789.06</v>
      </c>
      <c r="Q44" s="1080">
        <f>IF(LEN(S44)=5,'3 pr-2'!AB45,0)</f>
        <v>0</v>
      </c>
      <c r="R44" s="1124">
        <f>SUM('3 pr-2'!AH45)</f>
        <v>43373</v>
      </c>
      <c r="S44" s="1129">
        <f>IF(SUMIF(Paraiškos!A:A,'ketv. 3'!C44,Paraiškos!H:H)&gt;0,SUMIF(Paraiškos!A:A,'ketv. 3'!C44,Paraiškos!H:H),"–")</f>
        <v>43371</v>
      </c>
      <c r="T44" s="234" t="str">
        <f t="shared" si="11"/>
        <v>–</v>
      </c>
      <c r="U44" s="1462" t="str">
        <f t="shared" si="7"/>
        <v>–</v>
      </c>
    </row>
    <row r="45" spans="1:24" ht="36" customHeight="1" thickBot="1">
      <c r="A45" s="296" t="str">
        <f>CONCATENATE('3 pr-2'!A46)</f>
        <v>1.1.1.4</v>
      </c>
      <c r="B45" s="2088" t="str">
        <f>CONCATENATE('3 pr-2'!B46)</f>
        <v xml:space="preserve">Priemonė:
Alytaus, Druskininkų ir Lazdijų miestų kompleksinė plėtra
</v>
      </c>
      <c r="C45" s="2089"/>
      <c r="D45" s="2089"/>
      <c r="E45" s="2089"/>
      <c r="F45" s="2089"/>
      <c r="G45" s="2089"/>
      <c r="H45" s="2089"/>
      <c r="I45" s="2089"/>
      <c r="J45" s="2090"/>
      <c r="K45" s="1077">
        <f t="shared" ref="K45:Q45" si="12">SUM(K46:K48)</f>
        <v>2431517.75</v>
      </c>
      <c r="L45" s="1077">
        <f t="shared" si="12"/>
        <v>615648.60000000009</v>
      </c>
      <c r="M45" s="1077">
        <f t="shared" si="12"/>
        <v>147232.63000000003</v>
      </c>
      <c r="N45" s="1077">
        <f t="shared" si="12"/>
        <v>0</v>
      </c>
      <c r="O45" s="1077">
        <f t="shared" si="12"/>
        <v>0</v>
      </c>
      <c r="P45" s="1077">
        <f t="shared" si="12"/>
        <v>1668636.52</v>
      </c>
      <c r="Q45" s="1077">
        <f t="shared" si="12"/>
        <v>0</v>
      </c>
      <c r="R45" s="1108" t="s">
        <v>679</v>
      </c>
      <c r="S45" s="1109" t="s">
        <v>679</v>
      </c>
      <c r="T45" s="358" t="s">
        <v>679</v>
      </c>
      <c r="U45" s="1460"/>
    </row>
    <row r="46" spans="1:24" ht="49.5" thickBot="1">
      <c r="A46" s="163" t="str">
        <f>CONCATENATE('3 pr-2'!A47)</f>
        <v>1.1.1.4.1</v>
      </c>
      <c r="B46" s="1123" t="str">
        <f>CONCATENATE('3 pr-2'!B47)</f>
        <v>R01-9902-310000-1141</v>
      </c>
      <c r="C46" s="227" t="str">
        <f>CONCATENATE('ketv. 2'!B46)</f>
        <v>07.1.1-CPVA-V-902-01-0008</v>
      </c>
      <c r="D46" s="164" t="str">
        <f>CONCATENATE('3 pr-2'!D47)</f>
        <v>Buvusios pramoninės teritorijos Pramonės g. 1 Alytuje, pritaikymas verslo vystymui ir plėtrai.</v>
      </c>
      <c r="E46" s="164" t="str">
        <f>CONCATENATE('3 pr-2'!E47)</f>
        <v>Alytaus miesto savivaldybės administracija</v>
      </c>
      <c r="F46" s="164" t="str">
        <f>CONCATENATE('3 pr-2'!F47)</f>
        <v>Lietuvos Respublikos vidaus reikalų ministerija</v>
      </c>
      <c r="G46" s="164" t="str">
        <f>CONCATENATE('3 pr-2'!G47)</f>
        <v>Alytaus m. sav.</v>
      </c>
      <c r="H46" s="164" t="str">
        <f>CONCATENATE('3 pr-2'!H47)</f>
        <v>07.1.1-CPVA-V-902</v>
      </c>
      <c r="I46" s="164" t="str">
        <f>CONCATENATE('3 pr-2'!I47)</f>
        <v>V</v>
      </c>
      <c r="J46" s="174" t="str">
        <f>CONCATENATE('3 pr-2'!J47)</f>
        <v>ITI</v>
      </c>
      <c r="K46" s="1080">
        <f>IF(LEN(S46)=5,'3 pr-2'!L47,0)</f>
        <v>1286060.7500000002</v>
      </c>
      <c r="L46" s="1080">
        <f>IF(LEN(S46)=5,'3 pr-2'!O47,0)</f>
        <v>96454.570000000022</v>
      </c>
      <c r="M46" s="1080">
        <f>IF(LEN(S46)=5,'3 pr-2'!R47,0)</f>
        <v>96454.550000000032</v>
      </c>
      <c r="N46" s="1080">
        <f>IF(LEN(S46)=5,'3 pr-2'!U47,0)</f>
        <v>0</v>
      </c>
      <c r="O46" s="1080">
        <f>IF(LEN(S46)=5,'3 pr-2'!X47,0)</f>
        <v>0</v>
      </c>
      <c r="P46" s="1080">
        <f>IF(LEN(S46)=5,'3 pr-2'!AA47,0)</f>
        <v>1093151.6300000001</v>
      </c>
      <c r="Q46" s="1080">
        <f>IF(LEN(S46)=5,'3 pr-2'!AB47,0)</f>
        <v>0</v>
      </c>
      <c r="R46" s="1124">
        <f>SUM('3 pr-2'!AH47)</f>
        <v>42674</v>
      </c>
      <c r="S46" s="1129">
        <f>IF(SUMIF(Paraiškos!A:A,'ketv. 3'!C46,Paraiškos!H:H)&gt;0,SUMIF(Paraiškos!A:A,'ketv. 3'!C46,Paraiškos!H:H),"–")</f>
        <v>42699</v>
      </c>
      <c r="T46" s="234">
        <f t="shared" ref="T46:T48" si="13">IF(ISERROR(U46),"–",IF(U46&gt;0,"–",U46))</f>
        <v>-0.82191780821917715</v>
      </c>
      <c r="U46" s="1461">
        <f t="shared" si="7"/>
        <v>-0.82191780821917715</v>
      </c>
    </row>
    <row r="47" spans="1:24" ht="49.5" thickBot="1">
      <c r="A47" s="163" t="str">
        <f>CONCATENATE('3 pr-2'!A48)</f>
        <v>1.1.1.4.2</v>
      </c>
      <c r="B47" s="1123" t="str">
        <f>CONCATENATE('3 pr-2'!B48)</f>
        <v>R01-9903-290000-1142</v>
      </c>
      <c r="C47" s="227" t="str">
        <f>CONCATENATE('ketv. 2'!B47)</f>
        <v>07.1.1-CPVA-R-903-11-0001</v>
      </c>
      <c r="D47" s="164" t="str">
        <f>CONCATENATE('3 pr-2'!D48)</f>
        <v>Amatų centro „Menų kalvė“ Druskininkuose įkūrimas</v>
      </c>
      <c r="E47" s="164" t="str">
        <f>CONCATENATE('3 pr-2'!E48)</f>
        <v xml:space="preserve">Druskininkų savivaldybės administracija  </v>
      </c>
      <c r="F47" s="164" t="str">
        <f>CONCATENATE('3 pr-2'!F48)</f>
        <v>Lietuvos Respublikos vidaus reikalų ministerija</v>
      </c>
      <c r="G47" s="164" t="str">
        <f>CONCATENATE('3 pr-2'!G48)</f>
        <v>Druskininkų sav.</v>
      </c>
      <c r="H47" s="164" t="str">
        <f>CONCATENATE('3 pr-2'!H48)</f>
        <v>07.1.1-CPVA-R-903</v>
      </c>
      <c r="I47" s="164" t="str">
        <f>CONCATENATE('3 pr-2'!I48)</f>
        <v>R</v>
      </c>
      <c r="J47" s="174" t="str">
        <f>CONCATENATE('3 pr-2'!J48)</f>
        <v>ITI</v>
      </c>
      <c r="K47" s="1080">
        <f>IF(LEN(S47)=5,'3 pr-2'!L48,0)</f>
        <v>801950</v>
      </c>
      <c r="L47" s="1080">
        <f>IF(LEN(S47)=5,'3 pr-2'!O48,0)</f>
        <v>493431</v>
      </c>
      <c r="M47" s="1080">
        <f>IF(LEN(S47)=5,'3 pr-2'!R48,0)</f>
        <v>25015.06</v>
      </c>
      <c r="N47" s="1080">
        <f>IF(LEN(S47)=5,'3 pr-2'!U48,0)</f>
        <v>0</v>
      </c>
      <c r="O47" s="1080">
        <f>IF(LEN(S47)=5,'3 pr-2'!X48,0)</f>
        <v>0</v>
      </c>
      <c r="P47" s="1080">
        <f>IF(LEN(S47)=5,'3 pr-2'!AA48,0)</f>
        <v>283503.94</v>
      </c>
      <c r="Q47" s="1080">
        <f>IF(LEN(S47)=5,'3 pr-2'!AB48,0)</f>
        <v>0</v>
      </c>
      <c r="R47" s="1124">
        <f>SUM('3 pr-2'!AH48)</f>
        <v>42583</v>
      </c>
      <c r="S47" s="1129">
        <f>IF(SUMIF(Paraiškos!A:A,'ketv. 3'!C47,Paraiškos!H:H)&gt;0,SUMIF(Paraiškos!A:A,'ketv. 3'!C47,Paraiškos!H:H),"–")</f>
        <v>42583</v>
      </c>
      <c r="T47" s="234" t="str">
        <f t="shared" si="13"/>
        <v>–</v>
      </c>
      <c r="U47" s="1461" t="str">
        <f t="shared" si="7"/>
        <v>–</v>
      </c>
    </row>
    <row r="48" spans="1:24" ht="49.5" thickBot="1">
      <c r="A48" s="163" t="str">
        <f>CONCATENATE('3 pr-2'!A49)</f>
        <v>1.1.1.4.3</v>
      </c>
      <c r="B48" s="1123" t="str">
        <f>CONCATENATE('3 pr-2'!B49)</f>
        <v>R01-9903-290000-1143</v>
      </c>
      <c r="C48" s="227" t="str">
        <f>CONCATENATE('ketv. 2'!B48)</f>
        <v>07.1.1-CPVA-R-903-11-0002</v>
      </c>
      <c r="D48" s="164" t="str">
        <f>CONCATENATE('3 pr-2'!D49)</f>
        <v>Lazdijų miesto kompleksinė infrastruktūros plėtra, III etapas</v>
      </c>
      <c r="E48" s="164" t="str">
        <f>CONCATENATE('3 pr-2'!E49)</f>
        <v>Lazdijų rajono savivaldybės administracija</v>
      </c>
      <c r="F48" s="164" t="str">
        <f>CONCATENATE('3 pr-2'!F49)</f>
        <v>Lietuvos Respublikos vidaus reikalų ministerija</v>
      </c>
      <c r="G48" s="164" t="str">
        <f>CONCATENATE('3 pr-2'!G49)</f>
        <v>Lazdijų r. sav.</v>
      </c>
      <c r="H48" s="164" t="str">
        <f>CONCATENATE('3 pr-2'!H49)</f>
        <v>07.1.1-CPVA-R-903</v>
      </c>
      <c r="I48" s="164" t="str">
        <f>CONCATENATE('3 pr-2'!I49)</f>
        <v>R</v>
      </c>
      <c r="J48" s="174" t="str">
        <f>CONCATENATE('3 pr-2'!J49)</f>
        <v>ITI</v>
      </c>
      <c r="K48" s="1080">
        <f>IF(LEN(S48)=5,'3 pr-2'!L49,0)</f>
        <v>343507</v>
      </c>
      <c r="L48" s="1080">
        <f>IF(LEN(S48)=5,'3 pr-2'!O49,0)</f>
        <v>25763.03</v>
      </c>
      <c r="M48" s="1080">
        <f>IF(LEN(S48)=5,'3 pr-2'!R49,0)</f>
        <v>25763.02</v>
      </c>
      <c r="N48" s="1080">
        <f>IF(LEN(S48)=5,'3 pr-2'!U49,0)</f>
        <v>0</v>
      </c>
      <c r="O48" s="1080">
        <f>IF(LEN(S48)=5,'3 pr-2'!X49,0)</f>
        <v>0</v>
      </c>
      <c r="P48" s="1080">
        <f>IF(LEN(S48)=5,'3 pr-2'!AA49,0)</f>
        <v>291980.95</v>
      </c>
      <c r="Q48" s="1080">
        <f>IF(LEN(S48)=5,'3 pr-2'!AB49,0)</f>
        <v>0</v>
      </c>
      <c r="R48" s="1124">
        <f>SUM('3 pr-2'!AH49)</f>
        <v>42581</v>
      </c>
      <c r="S48" s="1129">
        <f>IF(SUMIF(Paraiškos!A:A,'ketv. 3'!C48,Paraiškos!H:H)&gt;0,SUMIF(Paraiškos!A:A,'ketv. 3'!C48,Paraiškos!H:H),"–")</f>
        <v>42580</v>
      </c>
      <c r="T48" s="234" t="str">
        <f t="shared" si="13"/>
        <v>–</v>
      </c>
      <c r="U48" s="1461" t="str">
        <f t="shared" si="7"/>
        <v>–</v>
      </c>
      <c r="W48" s="1319"/>
      <c r="X48" s="1319"/>
    </row>
    <row r="49" spans="1:21" ht="36" customHeight="1" thickBot="1">
      <c r="A49" s="296" t="str">
        <f>CONCATENATE('3 pr-2'!A50)</f>
        <v>1.1.1.5</v>
      </c>
      <c r="B49" s="2088" t="str">
        <f>CONCATENATE('3 pr-2'!B50)</f>
        <v xml:space="preserve">Priemonė:
Geriamojo vandens tiekimo ir nuotekų tvarkymo sistemų renovavimas ir plėtra, įmonių valdymo tobulinimas </v>
      </c>
      <c r="C49" s="2089"/>
      <c r="D49" s="2089"/>
      <c r="E49" s="2089"/>
      <c r="F49" s="2089"/>
      <c r="G49" s="2089"/>
      <c r="H49" s="2089"/>
      <c r="I49" s="2089"/>
      <c r="J49" s="2090"/>
      <c r="K49" s="1077">
        <f t="shared" ref="K49:Q49" si="14">SUM(K50:K54)</f>
        <v>16349723.129999999</v>
      </c>
      <c r="L49" s="1077">
        <f t="shared" si="14"/>
        <v>0</v>
      </c>
      <c r="M49" s="1077">
        <f t="shared" si="14"/>
        <v>0</v>
      </c>
      <c r="N49" s="1077">
        <f t="shared" si="14"/>
        <v>7447758.8300000001</v>
      </c>
      <c r="O49" s="1077">
        <f t="shared" si="14"/>
        <v>0</v>
      </c>
      <c r="P49" s="1077">
        <f t="shared" si="14"/>
        <v>8901964.3000000007</v>
      </c>
      <c r="Q49" s="1077">
        <f t="shared" si="14"/>
        <v>0</v>
      </c>
      <c r="R49" s="1108"/>
      <c r="S49" s="1109"/>
      <c r="T49" s="358"/>
      <c r="U49" s="1460"/>
    </row>
    <row r="50" spans="1:21" ht="49.5" thickBot="1">
      <c r="A50" s="163" t="str">
        <f>CONCATENATE('3 pr-2'!A51)</f>
        <v>1.1.1.5.1</v>
      </c>
      <c r="B50" s="1123" t="str">
        <f>CONCATENATE('3 pr-2'!B51)</f>
        <v>R01-0014-060700-1151</v>
      </c>
      <c r="C50" s="227" t="str">
        <f>CONCATENATE('ketv. 2'!B50)</f>
        <v>05.3.2-APVA-R-014-11-0001</v>
      </c>
      <c r="D50" s="164" t="str">
        <f>CONCATENATE('3 pr-2'!D51)</f>
        <v>Geriamojo vandens tiekimo ir nuotekų tvarkymo sistemų renovavimas ir plėtra Varėnos rajone</v>
      </c>
      <c r="E50" s="164" t="str">
        <f>CONCATENATE('3 pr-2'!E51)</f>
        <v>UAB „Varėnos vandenys“</v>
      </c>
      <c r="F50" s="164" t="str">
        <f>CONCATENATE('3 pr-2'!F51)</f>
        <v>Lietuvos Respublikos aplinkos ministerija</v>
      </c>
      <c r="G50" s="164" t="str">
        <f>CONCATENATE('3 pr-2'!G51)</f>
        <v>Varėnos r. sav.</v>
      </c>
      <c r="H50" s="164" t="str">
        <f>CONCATENATE('3 pr-2'!H51)</f>
        <v>05.3.2-APVA-R-014</v>
      </c>
      <c r="I50" s="164" t="str">
        <f>CONCATENATE('3 pr-2'!I51)</f>
        <v>R</v>
      </c>
      <c r="J50" s="174" t="str">
        <f>CONCATENATE('3 pr-2'!J51)</f>
        <v>ITI</v>
      </c>
      <c r="K50" s="1080">
        <f>IF(LEN(S50)=5,'3 pr-2'!L51,0)</f>
        <v>2474472.79</v>
      </c>
      <c r="L50" s="1080">
        <f>IF(LEN(S50)=5,'3 pr-2'!O51,0)</f>
        <v>0</v>
      </c>
      <c r="M50" s="1080">
        <f>IF(LEN(S50)=5,'3 pr-2'!R51,0)</f>
        <v>0</v>
      </c>
      <c r="N50" s="1080">
        <f>IF(LEN(S50)=5,'3 pr-2'!U51,0)</f>
        <v>860244.53</v>
      </c>
      <c r="O50" s="1080">
        <f>IF(LEN(S50)=5,'3 pr-2'!X51,0)</f>
        <v>0</v>
      </c>
      <c r="P50" s="1080">
        <f>IF(LEN(S50)=5,'3 pr-2'!AA51,0)</f>
        <v>1614228.26</v>
      </c>
      <c r="Q50" s="1080">
        <f>IF(LEN(S50)=5,'3 pr-2'!AB51,0)</f>
        <v>0</v>
      </c>
      <c r="R50" s="1124">
        <f>SUM('3 pr-2'!AH51)</f>
        <v>42674</v>
      </c>
      <c r="S50" s="1129">
        <f>IF(SUMIF(Paraiškos!A:A,'ketv. 3'!C50,Paraiškos!H:H)&gt;0,SUMIF(Paraiškos!A:A,'ketv. 3'!C50,Paraiškos!H:H),"–")</f>
        <v>42671</v>
      </c>
      <c r="T50" s="234" t="str">
        <f t="shared" ref="T50:T54" si="15">IF(ISERROR(U50),"–",IF(U50&gt;0,"–",U50))</f>
        <v>–</v>
      </c>
      <c r="U50" s="1462" t="str">
        <f t="shared" si="7"/>
        <v>–</v>
      </c>
    </row>
    <row r="51" spans="1:21" ht="49.5" thickBot="1">
      <c r="A51" s="163" t="str">
        <f>CONCATENATE('3 pr-2'!A52)</f>
        <v>1.1.1.5.2.</v>
      </c>
      <c r="B51" s="1123" t="str">
        <f>CONCATENATE('3 pr-2'!B52)</f>
        <v>R01-0014-060750-1152</v>
      </c>
      <c r="C51" s="227" t="str">
        <f>CONCATENATE('ketv. 2'!B51)</f>
        <v>05.3.2-APVA-R-014-11-0002</v>
      </c>
      <c r="D51" s="164" t="str">
        <f>CONCATENATE('3 pr-2'!D52)</f>
        <v>Geriamojo vandens ir nuotekų tvarkymo sistemų renovavimas Alytaus mieste</v>
      </c>
      <c r="E51" s="164" t="str">
        <f>CONCATENATE('3 pr-2'!E52)</f>
        <v>UAB “Dzūkijos vandenys“</v>
      </c>
      <c r="F51" s="164" t="str">
        <f>CONCATENATE('3 pr-2'!F52)</f>
        <v>Lietuvos Respublikos aplinkos ministerija</v>
      </c>
      <c r="G51" s="164" t="str">
        <f>CONCATENATE('3 pr-2'!G52)</f>
        <v>Alytaus m. sav.</v>
      </c>
      <c r="H51" s="164" t="str">
        <f>CONCATENATE('3 pr-2'!H52)</f>
        <v>05.3.2-APVA-R-014</v>
      </c>
      <c r="I51" s="164" t="str">
        <f>CONCATENATE('3 pr-2'!I52)</f>
        <v>R</v>
      </c>
      <c r="J51" s="174" t="str">
        <f>CONCATENATE('3 pr-2'!J52)</f>
        <v>ITI</v>
      </c>
      <c r="K51" s="1080">
        <f>IF(LEN(S51)=5,'3 pr-2'!L52,0)</f>
        <v>5706088</v>
      </c>
      <c r="L51" s="1080">
        <f>IF(LEN(S51)=5,'3 pr-2'!O52,0)</f>
        <v>0</v>
      </c>
      <c r="M51" s="1080">
        <f>IF(LEN(S51)=5,'3 pr-2'!R52,0)</f>
        <v>0</v>
      </c>
      <c r="N51" s="1080">
        <f>IF(LEN(S51)=5,'3 pr-2'!U52,0)</f>
        <v>3009103.69</v>
      </c>
      <c r="O51" s="1080">
        <f>IF(LEN(S51)=5,'3 pr-2'!X52,0)</f>
        <v>0</v>
      </c>
      <c r="P51" s="1080">
        <f>IF(LEN(S51)=5,'3 pr-2'!AA52,0)</f>
        <v>2696984.31</v>
      </c>
      <c r="Q51" s="1080">
        <f>IF(LEN(S51)=5,'3 pr-2'!AB52,0)</f>
        <v>0</v>
      </c>
      <c r="R51" s="1124">
        <f>SUM('3 pr-2'!AH52)</f>
        <v>42704</v>
      </c>
      <c r="S51" s="1129">
        <f>IF(SUMIF(Paraiškos!A:A,'ketv. 3'!C51,Paraiškos!H:H)&gt;0,SUMIF(Paraiškos!A:A,'ketv. 3'!C51,Paraiškos!H:H),"–")</f>
        <v>42674</v>
      </c>
      <c r="T51" s="234" t="str">
        <f t="shared" si="15"/>
        <v>–</v>
      </c>
      <c r="U51" s="1462" t="str">
        <f t="shared" si="7"/>
        <v>–</v>
      </c>
    </row>
    <row r="52" spans="1:21" ht="49.5" thickBot="1">
      <c r="A52" s="163" t="str">
        <f>CONCATENATE('3 pr-2'!A53)</f>
        <v>1.1.1.5.3</v>
      </c>
      <c r="B52" s="1123" t="str">
        <f>CONCATENATE('3 pr-2'!B53)</f>
        <v>R01-0014-070650-1153</v>
      </c>
      <c r="C52" s="227" t="str">
        <f>CONCATENATE('ketv. 2'!B52)</f>
        <v>05.3.2-APVA-R-014-11-0004</v>
      </c>
      <c r="D52" s="164" t="str">
        <f>CONCATENATE('3 pr-2'!D53)</f>
        <v>Geriamojo vandens tiekimo ir nuotekų tvarkymo sistemų renovavimas ir plėtra Lazdijų rajono savivaldybėje</v>
      </c>
      <c r="E52" s="164" t="str">
        <f>CONCATENATE('3 pr-2'!E53)</f>
        <v>UAB „Lazdijų vanduo“</v>
      </c>
      <c r="F52" s="164" t="str">
        <f>CONCATENATE('3 pr-2'!F53)</f>
        <v>Lietuvos Respublikos aplinkos ministerija</v>
      </c>
      <c r="G52" s="164" t="str">
        <f>CONCATENATE('3 pr-2'!G53)</f>
        <v>Lazdijų r. sav.</v>
      </c>
      <c r="H52" s="164" t="str">
        <f>CONCATENATE('3 pr-2'!H53)</f>
        <v>05.3.2-APVA-R-014</v>
      </c>
      <c r="I52" s="164" t="str">
        <f>CONCATENATE('3 pr-2'!I53)</f>
        <v>R</v>
      </c>
      <c r="J52" s="174" t="str">
        <f>CONCATENATE('3 pr-2'!J53)</f>
        <v>-</v>
      </c>
      <c r="K52" s="1080">
        <f>IF(LEN(S52)=5,'3 pr-2'!L53,0)</f>
        <v>1437425.74</v>
      </c>
      <c r="L52" s="1080">
        <f>IF(LEN(S52)=5,'3 pr-2'!O53,0)</f>
        <v>0</v>
      </c>
      <c r="M52" s="1080">
        <f>IF(LEN(S52)=5,'3 pr-2'!R53,0)</f>
        <v>0</v>
      </c>
      <c r="N52" s="1080">
        <f>IF(LEN(S52)=5,'3 pr-2'!U53,0)</f>
        <v>641323.74</v>
      </c>
      <c r="O52" s="1080">
        <f>IF(LEN(S52)=5,'3 pr-2'!X53,0)</f>
        <v>0</v>
      </c>
      <c r="P52" s="1080">
        <f>IF(LEN(S52)=5,'3 pr-2'!AA53,0)</f>
        <v>796102</v>
      </c>
      <c r="Q52" s="1080">
        <f>IF(LEN(S52)=5,'3 pr-2'!AB53,0)</f>
        <v>0</v>
      </c>
      <c r="R52" s="1124">
        <f>SUM('3 pr-2'!AH53)</f>
        <v>42734</v>
      </c>
      <c r="S52" s="1129">
        <f>IF(SUMIF(Paraiškos!A:A,'ketv. 3'!C52,Paraiškos!H:H)&gt;0,SUMIF(Paraiškos!A:A,'ketv. 3'!C52,Paraiškos!H:H),"–")</f>
        <v>42734</v>
      </c>
      <c r="T52" s="234" t="str">
        <f t="shared" si="15"/>
        <v>–</v>
      </c>
      <c r="U52" s="1462" t="str">
        <f t="shared" si="7"/>
        <v>–</v>
      </c>
    </row>
    <row r="53" spans="1:21" ht="49.5" thickBot="1">
      <c r="A53" s="163" t="str">
        <f>CONCATENATE('3 pr-2'!A54)</f>
        <v>1.1.1.5.4.</v>
      </c>
      <c r="B53" s="1123" t="str">
        <f>CONCATENATE('3 pr-2'!B54)</f>
        <v>R01-0014-060700-1154</v>
      </c>
      <c r="C53" s="227" t="str">
        <f>CONCATENATE('ketv. 2'!B53)</f>
        <v>05.3.2-APVA-R-014-11-0003</v>
      </c>
      <c r="D53" s="164" t="str">
        <f>CONCATENATE('3 pr-2'!D54)</f>
        <v>Vandens tiekimo ir nuotekų šalinimo infrastruktūros renovavimas ir plėtra Druskininkų savivaldybėje</v>
      </c>
      <c r="E53" s="164" t="str">
        <f>CONCATENATE('3 pr-2'!E54)</f>
        <v>UAB "Druskininkų vandenys"</v>
      </c>
      <c r="F53" s="164" t="str">
        <f>CONCATENATE('3 pr-2'!F54)</f>
        <v>Lietuvos Respublikos aplinkos ministerija</v>
      </c>
      <c r="G53" s="164" t="str">
        <f>CONCATENATE('3 pr-2'!G54)</f>
        <v>Druskininkų sav.</v>
      </c>
      <c r="H53" s="164" t="str">
        <f>CONCATENATE('3 pr-2'!H54)</f>
        <v>05.3.2-APVA-R-014</v>
      </c>
      <c r="I53" s="164" t="str">
        <f>CONCATENATE('3 pr-2'!I54)</f>
        <v>R</v>
      </c>
      <c r="J53" s="174" t="str">
        <f>CONCATENATE('3 pr-2'!J54)</f>
        <v>-</v>
      </c>
      <c r="K53" s="1080">
        <f>IF(LEN(S53)=5,'3 pr-2'!L54,0)</f>
        <v>5160736.5999999996</v>
      </c>
      <c r="L53" s="1080">
        <f>IF(LEN(S53)=5,'3 pr-2'!O54,0)</f>
        <v>0</v>
      </c>
      <c r="M53" s="1080">
        <f>IF(LEN(S53)=5,'3 pr-2'!R54,0)</f>
        <v>0</v>
      </c>
      <c r="N53" s="1080">
        <f>IF(LEN(S53)=5,'3 pr-2'!U54,0)</f>
        <v>2286561.87</v>
      </c>
      <c r="O53" s="1080">
        <f>IF(LEN(S53)=5,'3 pr-2'!X54,0)</f>
        <v>0</v>
      </c>
      <c r="P53" s="1080">
        <f>IF(LEN(S53)=5,'3 pr-2'!AA54,0)</f>
        <v>2874174.73</v>
      </c>
      <c r="Q53" s="1080">
        <f>IF(LEN(S53)=5,'3 pr-2'!AB54,0)</f>
        <v>0</v>
      </c>
      <c r="R53" s="1124">
        <f>SUM('3 pr-2'!AH54)</f>
        <v>42705</v>
      </c>
      <c r="S53" s="1129">
        <f>IF(SUMIF(Paraiškos!A:A,'ketv. 3'!C53,Paraiškos!H:H)&gt;0,SUMIF(Paraiškos!A:A,'ketv. 3'!C53,Paraiškos!H:H),"–")</f>
        <v>42682</v>
      </c>
      <c r="T53" s="234" t="str">
        <f t="shared" si="15"/>
        <v>–</v>
      </c>
      <c r="U53" s="1462" t="str">
        <f t="shared" si="7"/>
        <v>–</v>
      </c>
    </row>
    <row r="54" spans="1:21" ht="49.5" thickBot="1">
      <c r="A54" s="163" t="str">
        <f>CONCATENATE('3 pr-2'!A55)</f>
        <v>1.1.1.5.5.</v>
      </c>
      <c r="B54" s="1123" t="str">
        <f>CONCATENATE('3 pr-2'!B55)</f>
        <v>R01-0014-060750-1155</v>
      </c>
      <c r="C54" s="227" t="str">
        <f>CONCATENATE('ketv. 2'!B54)</f>
        <v>05.3.2-APVA-R-014-11-0005</v>
      </c>
      <c r="D54" s="164" t="str">
        <f>CONCATENATE('3 pr-2'!D55)</f>
        <v>Vandens tiekimo ir nuotekų tvarkymo infrastruktūros plėtra Alytaus rajone (Krokialaukyje)</v>
      </c>
      <c r="E54" s="164" t="str">
        <f>CONCATENATE('3 pr-2'!E55)</f>
        <v>SĮ „Simno komunalininkas“</v>
      </c>
      <c r="F54" s="164" t="str">
        <f>CONCATENATE('3 pr-2'!F55)</f>
        <v>Lietuvos Respublikos aplinkos ministerija</v>
      </c>
      <c r="G54" s="164" t="str">
        <f>CONCATENATE('3 pr-2'!G55)</f>
        <v>Alytaus r. sav.</v>
      </c>
      <c r="H54" s="164" t="str">
        <f>CONCATENATE('3 pr-2'!H55)</f>
        <v>05.3.2-APVA-R-014</v>
      </c>
      <c r="I54" s="164" t="str">
        <f>CONCATENATE('3 pr-2'!I55)</f>
        <v>R</v>
      </c>
      <c r="J54" s="174" t="str">
        <f>CONCATENATE('3 pr-2'!J55)</f>
        <v>-</v>
      </c>
      <c r="K54" s="1080">
        <f>IF(LEN(S54)=5,'3 pr-2'!L55,0)</f>
        <v>1571000</v>
      </c>
      <c r="L54" s="1080">
        <f>IF(LEN(S54)=5,'3 pr-2'!O55,0)</f>
        <v>0</v>
      </c>
      <c r="M54" s="1080">
        <f>IF(LEN(S54)=5,'3 pr-2'!R55,0)</f>
        <v>0</v>
      </c>
      <c r="N54" s="1080">
        <f>IF(LEN(S54)=5,'3 pr-2'!U55,0)</f>
        <v>650525</v>
      </c>
      <c r="O54" s="1080">
        <f>IF(LEN(S54)=5,'3 pr-2'!X55,0)</f>
        <v>0</v>
      </c>
      <c r="P54" s="1080">
        <f>IF(LEN(S54)=5,'3 pr-2'!AA55,0)</f>
        <v>920475</v>
      </c>
      <c r="Q54" s="1080">
        <f>IF(LEN(S54)=5,'3 pr-2'!AB55,0)</f>
        <v>0</v>
      </c>
      <c r="R54" s="1124">
        <f>SUM('3 pr-2'!AH55)</f>
        <v>42919</v>
      </c>
      <c r="S54" s="1129">
        <f>IF(SUMIF(Paraiškos!A:A,'ketv. 3'!C54,Paraiškos!H:H)&gt;0,SUMIF(Paraiškos!A:A,'ketv. 3'!C54,Paraiškos!H:H),"–")</f>
        <v>42919</v>
      </c>
      <c r="T54" s="234" t="str">
        <f t="shared" si="15"/>
        <v>–</v>
      </c>
      <c r="U54" s="1462" t="str">
        <f t="shared" si="7"/>
        <v>–</v>
      </c>
    </row>
    <row r="55" spans="1:21" ht="33.75" customHeight="1" thickBot="1">
      <c r="A55" s="296" t="str">
        <f>CONCATENATE('3 pr-2'!A56)</f>
        <v>1.1.1.6</v>
      </c>
      <c r="B55" s="2088" t="str">
        <f>CONCATENATE('3 pr-2'!B56)</f>
        <v>Priemonė:
Paviršinių nuotekų sistemų tvarkymas</v>
      </c>
      <c r="C55" s="2089"/>
      <c r="D55" s="2089"/>
      <c r="E55" s="2089"/>
      <c r="F55" s="2089"/>
      <c r="G55" s="2089"/>
      <c r="H55" s="2089"/>
      <c r="I55" s="2089"/>
      <c r="J55" s="2090"/>
      <c r="K55" s="1077">
        <f t="shared" ref="K55:Q55" si="16">SUM(K56)</f>
        <v>3990955.51</v>
      </c>
      <c r="L55" s="1077">
        <f t="shared" si="16"/>
        <v>0</v>
      </c>
      <c r="M55" s="1077">
        <f t="shared" si="16"/>
        <v>0</v>
      </c>
      <c r="N55" s="1077">
        <f t="shared" si="16"/>
        <v>598643.31999999995</v>
      </c>
      <c r="O55" s="1077">
        <f t="shared" si="16"/>
        <v>0</v>
      </c>
      <c r="P55" s="1077">
        <f t="shared" si="16"/>
        <v>3392312.19</v>
      </c>
      <c r="Q55" s="1077">
        <f t="shared" si="16"/>
        <v>0</v>
      </c>
      <c r="R55" s="1108"/>
      <c r="S55" s="1109"/>
      <c r="T55" s="358"/>
      <c r="U55" s="1460"/>
    </row>
    <row r="56" spans="1:21" ht="49.5" thickBot="1">
      <c r="A56" s="163" t="str">
        <f>CONCATENATE('3 pr-2'!A57)</f>
        <v>1.1.1.6.1</v>
      </c>
      <c r="B56" s="1123" t="str">
        <f>CONCATENATE('3 pr-2'!B57)</f>
        <v>R01-0007-080000-1161</v>
      </c>
      <c r="C56" s="227" t="str">
        <f>CONCATENATE('ketv. 2'!B56)</f>
        <v>05.1.1-APVA-R-007-11-0001</v>
      </c>
      <c r="D56" s="164" t="str">
        <f>CONCATENATE('3 pr-2'!D57)</f>
        <v>Paviršinių nuotekų sistemų tvarkymas Alytaus mieste</v>
      </c>
      <c r="E56" s="164" t="str">
        <f>CONCATENATE('3 pr-2'!E57)</f>
        <v>UAB “Dzūkijos vandenys“</v>
      </c>
      <c r="F56" s="164" t="str">
        <f>CONCATENATE('3 pr-2'!F57)</f>
        <v>Lietuvos Respublikos aplinkos ministerija</v>
      </c>
      <c r="G56" s="164" t="str">
        <f>CONCATENATE('3 pr-2'!G57)</f>
        <v>Alytaus m. sav.</v>
      </c>
      <c r="H56" s="164" t="str">
        <f>CONCATENATE('3 pr-2'!H57)</f>
        <v>05.1.1-APVA-R-007</v>
      </c>
      <c r="I56" s="164" t="str">
        <f>CONCATENATE('3 pr-2'!I57)</f>
        <v>R</v>
      </c>
      <c r="J56" s="174" t="str">
        <f>CONCATENATE('3 pr-2'!J57)</f>
        <v>-</v>
      </c>
      <c r="K56" s="1080">
        <f>IF(LEN(S56)=5,'3 pr-2'!L57,0)</f>
        <v>3990955.51</v>
      </c>
      <c r="L56" s="1080">
        <f>IF(LEN(S56)=5,'3 pr-2'!O57,0)</f>
        <v>0</v>
      </c>
      <c r="M56" s="1080">
        <f>IF(LEN(S56)=5,'3 pr-2'!R57,0)</f>
        <v>0</v>
      </c>
      <c r="N56" s="1080">
        <f>IF(LEN(S56)=5,'3 pr-2'!U57,0)</f>
        <v>598643.31999999995</v>
      </c>
      <c r="O56" s="1080">
        <f>IF(LEN(S56)=5,'3 pr-2'!X57,0)</f>
        <v>0</v>
      </c>
      <c r="P56" s="1080">
        <f>IF(LEN(S56)=5,'3 pr-2'!AA57,0)</f>
        <v>3392312.19</v>
      </c>
      <c r="Q56" s="1080">
        <f>IF(LEN(S56)=5,'3 pr-2'!AB57,0)</f>
        <v>0</v>
      </c>
      <c r="R56" s="1124">
        <f>SUM('3 pr-2'!AH57)</f>
        <v>42726</v>
      </c>
      <c r="S56" s="1129">
        <f>IF(SUMIF(Paraiškos!A:A,'ketv. 3'!C56,Paraiškos!H:H)&gt;0,SUMIF(Paraiškos!A:A,'ketv. 3'!C56,Paraiškos!H:H),"–")</f>
        <v>42726</v>
      </c>
      <c r="T56" s="234" t="str">
        <f>IF(ISERROR(U56),"–",IF(U56&gt;0,"–",U56))</f>
        <v>–</v>
      </c>
      <c r="U56" s="1462" t="str">
        <f t="shared" si="7"/>
        <v>–</v>
      </c>
    </row>
    <row r="57" spans="1:21" ht="35.25" customHeight="1" thickBot="1">
      <c r="A57" s="296" t="str">
        <f>CONCATENATE('3 pr-2'!A58)</f>
        <v>1.1.1.7</v>
      </c>
      <c r="B57" s="2088" t="str">
        <f>CONCATENATE('3 pr-2'!B58)</f>
        <v>Priemonė:
Savivaldybes jungiančių turizmo trasų ir turizmo maršrutų informacinės infrastruktūros plėtra</v>
      </c>
      <c r="C57" s="2089"/>
      <c r="D57" s="2089"/>
      <c r="E57" s="2089"/>
      <c r="F57" s="2089"/>
      <c r="G57" s="2089"/>
      <c r="H57" s="2089"/>
      <c r="I57" s="2089"/>
      <c r="J57" s="2090"/>
      <c r="K57" s="1077">
        <f t="shared" ref="K57:Q57" si="17">SUM(K58:K60)</f>
        <v>719317.64705882361</v>
      </c>
      <c r="L57" s="1077">
        <f t="shared" si="17"/>
        <v>107897.64705882352</v>
      </c>
      <c r="M57" s="1077">
        <f t="shared" si="17"/>
        <v>0</v>
      </c>
      <c r="N57" s="1077">
        <f t="shared" si="17"/>
        <v>0</v>
      </c>
      <c r="O57" s="1077">
        <f t="shared" si="17"/>
        <v>0</v>
      </c>
      <c r="P57" s="1077">
        <f t="shared" si="17"/>
        <v>611420</v>
      </c>
      <c r="Q57" s="1077">
        <f t="shared" si="17"/>
        <v>0</v>
      </c>
      <c r="R57" s="1108"/>
      <c r="S57" s="1109"/>
      <c r="T57" s="358"/>
      <c r="U57" s="1460"/>
    </row>
    <row r="58" spans="1:21" ht="37.5" thickBot="1">
      <c r="A58" s="163" t="str">
        <f>CONCATENATE('3 pr-2'!A59)</f>
        <v>1.1.1.7.1</v>
      </c>
      <c r="B58" s="1123" t="str">
        <f>CONCATENATE('3 pr-2'!B59)</f>
        <v>R01-8821-420000-1171</v>
      </c>
      <c r="C58" s="227" t="str">
        <f>CONCATENATE('ketv. 2'!B58)</f>
        <v>05.4.1-LVPA-R-821-11-0002</v>
      </c>
      <c r="D58" s="164" t="str">
        <f>CONCATENATE('3 pr-2'!D59)</f>
        <v>Alytaus regiono turizmo informacinės infrastruktūros plėtra</v>
      </c>
      <c r="E58" s="164" t="str">
        <f>CONCATENATE('3 pr-2'!E59)</f>
        <v>Alytaus miesto savivaldybės administracija</v>
      </c>
      <c r="F58" s="164" t="str">
        <f>CONCATENATE('3 pr-2'!F59)</f>
        <v>Lietuvos Respublikos ūkio ministerija</v>
      </c>
      <c r="G58" s="164" t="str">
        <f>CONCATENATE('3 pr-2'!G59)</f>
        <v>Alytaus regionas</v>
      </c>
      <c r="H58" s="164" t="str">
        <f>CONCATENATE('3 pr-2'!H59)</f>
        <v>05.4.1-LVPA-R-821</v>
      </c>
      <c r="I58" s="164" t="str">
        <f>CONCATENATE('3 pr-2'!I59)</f>
        <v>R</v>
      </c>
      <c r="J58" s="174" t="str">
        <f>CONCATENATE('3 pr-2'!J59)</f>
        <v>-</v>
      </c>
      <c r="K58" s="1080">
        <f>IF(LEN(S58)=5,'3 pr-2'!L59,0)</f>
        <v>208223.52941176473</v>
      </c>
      <c r="L58" s="1080">
        <f>IF(LEN(S58)=5,'3 pr-2'!O59,0)</f>
        <v>31233.529411764706</v>
      </c>
      <c r="M58" s="1080">
        <f>IF(LEN(S58)=5,'3 pr-2'!R59,0)</f>
        <v>0</v>
      </c>
      <c r="N58" s="1080">
        <f>IF(LEN(S58)=5,'3 pr-2'!U59,0)</f>
        <v>0</v>
      </c>
      <c r="O58" s="1080">
        <f>IF(LEN(S58)=5,'3 pr-2'!X59,0)</f>
        <v>0</v>
      </c>
      <c r="P58" s="1080">
        <f>IF(LEN(S58)=5,'3 pr-2'!AA59,0)</f>
        <v>176990</v>
      </c>
      <c r="Q58" s="1080">
        <f>IF(LEN(S58)=5,'3 pr-2'!AB59,0)</f>
        <v>0</v>
      </c>
      <c r="R58" s="1124">
        <f>SUM('3 pr-2'!AH59)</f>
        <v>42755</v>
      </c>
      <c r="S58" s="1129">
        <f>IF(SUMIF(Paraiškos!A:A,'ketv. 3'!C58,Paraiškos!H:H)&gt;0,SUMIF(Paraiškos!A:A,'ketv. 3'!C58,Paraiškos!H:H),"–")</f>
        <v>42755</v>
      </c>
      <c r="T58" s="234" t="str">
        <f t="shared" ref="T58:T60" si="18">IF(ISERROR(U58),"–",IF(U58&gt;0,"–",U58))</f>
        <v>–</v>
      </c>
      <c r="U58" s="1462" t="str">
        <f t="shared" si="7"/>
        <v>–</v>
      </c>
    </row>
    <row r="59" spans="1:21" ht="49.5" thickBot="1">
      <c r="A59" s="163" t="str">
        <f>CONCATENATE('3 pr-2'!A60)</f>
        <v>1.1.1.7.2</v>
      </c>
      <c r="B59" s="1123" t="str">
        <f>CONCATENATE('3 pr-2'!B60)</f>
        <v>R01-8821-420000-1172</v>
      </c>
      <c r="C59" s="227" t="str">
        <f>CONCATENATE('ketv. 2'!B59)</f>
        <v>05.4.1-LVPA-R-821-11-0001</v>
      </c>
      <c r="D59" s="164" t="str">
        <f>CONCATENATE('3 pr-2'!D60)</f>
        <v>Turizmo trasų ir maršrutų informacinės infrastruktūros plėtra Lazdijų, Varėnos rajonų ir Druskininkų savivaldybėse</v>
      </c>
      <c r="E59" s="164" t="str">
        <f>CONCATENATE('3 pr-2'!E60)</f>
        <v>Lazdijų rajono savivaldybės administracija</v>
      </c>
      <c r="F59" s="164" t="str">
        <f>CONCATENATE('3 pr-2'!F60)</f>
        <v>Lietuvos Respublikos ūkio ministerija</v>
      </c>
      <c r="G59" s="164" t="str">
        <f>CONCATENATE('3 pr-2'!G60)</f>
        <v xml:space="preserve">Lazdijų, Varėnos rajonų ir Druskininkų savivaldybės </v>
      </c>
      <c r="H59" s="164" t="str">
        <f>CONCATENATE('3 pr-2'!H60)</f>
        <v>05.4.1-LVPA-R-821</v>
      </c>
      <c r="I59" s="164" t="str">
        <f>CONCATENATE('3 pr-2'!I60)</f>
        <v>R</v>
      </c>
      <c r="J59" s="174" t="str">
        <f>CONCATENATE('3 pr-2'!J60)</f>
        <v>-</v>
      </c>
      <c r="K59" s="1080">
        <f>IF(LEN(S59)=5,'3 pr-2'!L60,0)</f>
        <v>288106</v>
      </c>
      <c r="L59" s="1080">
        <f>IF(LEN(S59)=5,'3 pr-2'!O60,0)</f>
        <v>43215.9</v>
      </c>
      <c r="M59" s="1080">
        <f>IF(LEN(S59)=5,'3 pr-2'!R60,0)</f>
        <v>0</v>
      </c>
      <c r="N59" s="1080">
        <f>IF(LEN(S59)=5,'3 pr-2'!U60,0)</f>
        <v>0</v>
      </c>
      <c r="O59" s="1080">
        <f>IF(LEN(S59)=5,'3 pr-2'!X60,0)</f>
        <v>0</v>
      </c>
      <c r="P59" s="1080">
        <f>IF(LEN(S59)=5,'3 pr-2'!AA60,0)</f>
        <v>244890.1</v>
      </c>
      <c r="Q59" s="1080">
        <f>IF(LEN(S59)=5,'3 pr-2'!AB60,0)</f>
        <v>0</v>
      </c>
      <c r="R59" s="1124">
        <f>SUM('3 pr-2'!AH60)</f>
        <v>42706</v>
      </c>
      <c r="S59" s="1129">
        <f>IF(SUMIF(Paraiškos!A:A,'ketv. 3'!C59,Paraiškos!H:H)&gt;0,SUMIF(Paraiškos!A:A,'ketv. 3'!C59,Paraiškos!H:H),"–")</f>
        <v>42706</v>
      </c>
      <c r="T59" s="234" t="str">
        <f t="shared" si="18"/>
        <v>–</v>
      </c>
      <c r="U59" s="1462" t="str">
        <f t="shared" si="7"/>
        <v>–</v>
      </c>
    </row>
    <row r="60" spans="1:21" ht="49.5" thickBot="1">
      <c r="A60" s="163" t="str">
        <f>CONCATENATE('3 pr-2'!A61)</f>
        <v>1.1.1.7.3</v>
      </c>
      <c r="B60" s="1123" t="str">
        <f>CONCATENATE('3 pr-2'!B61)</f>
        <v>R01-8821-420000-1173</v>
      </c>
      <c r="C60" s="227" t="str">
        <f>CONCATENATE('ketv. 2'!B60)</f>
        <v>05.4.1-LVPA-R-821-11-0003</v>
      </c>
      <c r="D60" s="164" t="str">
        <f>CONCATENATE('3 pr-2'!D61)</f>
        <v>Turizmo trasų ir maršrutų informacinės infrastruktūros plėtra Lazdijų, Varėnos rajonų ir Druskininkų savivaldybėse, II etapas</v>
      </c>
      <c r="E60" s="164" t="str">
        <f>CONCATENATE('3 pr-2'!E61)</f>
        <v>Lazdijų rajono savivaldybės administracija</v>
      </c>
      <c r="F60" s="164" t="str">
        <f>CONCATENATE('3 pr-2'!F61)</f>
        <v>Lietuvos Respublikos ūkio ministerija</v>
      </c>
      <c r="G60" s="164" t="str">
        <f>CONCATENATE('3 pr-2'!G61)</f>
        <v xml:space="preserve">Lazdijų, Varėnos rajonų ir Druskininkų savivaldybės </v>
      </c>
      <c r="H60" s="164" t="str">
        <f>CONCATENATE('3 pr-2'!H61)</f>
        <v>05.4.1-LVPA-R-821</v>
      </c>
      <c r="I60" s="164" t="str">
        <f>CONCATENATE('3 pr-2'!I61)</f>
        <v>R</v>
      </c>
      <c r="J60" s="174" t="str">
        <f>CONCATENATE('3 pr-2'!J61)</f>
        <v>-</v>
      </c>
      <c r="K60" s="1080">
        <f>IF(LEN(S60)=5,'3 pr-2'!L61,0)</f>
        <v>222988.11764705885</v>
      </c>
      <c r="L60" s="1080">
        <f>IF(LEN(S60)=5,'3 pr-2'!O61,0)</f>
        <v>33448.217647058824</v>
      </c>
      <c r="M60" s="1080">
        <f>IF(LEN(S60)=5,'3 pr-2'!R61,0)</f>
        <v>0</v>
      </c>
      <c r="N60" s="1080">
        <f>IF(LEN(S60)=5,'3 pr-2'!U61,0)</f>
        <v>0</v>
      </c>
      <c r="O60" s="1080">
        <f>IF(LEN(S60)=5,'3 pr-2'!X61,0)</f>
        <v>0</v>
      </c>
      <c r="P60" s="1080">
        <f>IF(LEN(S60)=5,'3 pr-2'!AA61,0)</f>
        <v>189539.9</v>
      </c>
      <c r="Q60" s="1080">
        <f>IF(LEN(S60)=5,'3 pr-2'!AB61,0)</f>
        <v>0</v>
      </c>
      <c r="R60" s="1124">
        <f>SUM('3 pr-2'!AH61)</f>
        <v>43553</v>
      </c>
      <c r="S60" s="1129">
        <f>IF(SUMIF(Paraiškos!A:A,'ketv. 3'!C60,Paraiškos!H:H)&gt;0,SUMIF(Paraiškos!A:A,'ketv. 3'!C60,Paraiškos!H:H),"–")</f>
        <v>43553</v>
      </c>
      <c r="T60" s="234" t="str">
        <f t="shared" si="18"/>
        <v>–</v>
      </c>
      <c r="U60" s="1462" t="str">
        <f t="shared" si="7"/>
        <v>–</v>
      </c>
    </row>
    <row r="61" spans="1:21" ht="29.25" customHeight="1" thickBot="1">
      <c r="A61" s="296" t="str">
        <f>CONCATENATE('3 pr-2'!A62)</f>
        <v>1.1.1.8</v>
      </c>
      <c r="B61" s="2088" t="str">
        <f>CONCATENATE('3 pr-2'!B62)</f>
        <v>Priemonė:
Modernizuoti savivaldybių kultūros infrastruktūrą</v>
      </c>
      <c r="C61" s="2089"/>
      <c r="D61" s="2089"/>
      <c r="E61" s="2089"/>
      <c r="F61" s="2089"/>
      <c r="G61" s="2089"/>
      <c r="H61" s="2089"/>
      <c r="I61" s="2089"/>
      <c r="J61" s="2090"/>
      <c r="K61" s="1077">
        <f t="shared" ref="K61:Q61" si="19">SUM(K62:K65)</f>
        <v>1972835.5100000002</v>
      </c>
      <c r="L61" s="1077">
        <f t="shared" si="19"/>
        <v>422270.99</v>
      </c>
      <c r="M61" s="1077">
        <f t="shared" si="19"/>
        <v>0</v>
      </c>
      <c r="N61" s="1077">
        <f t="shared" si="19"/>
        <v>0</v>
      </c>
      <c r="O61" s="1077">
        <f t="shared" si="19"/>
        <v>352400.82</v>
      </c>
      <c r="P61" s="1077">
        <f t="shared" si="19"/>
        <v>1198163.7</v>
      </c>
      <c r="Q61" s="1077">
        <f t="shared" si="19"/>
        <v>0</v>
      </c>
      <c r="R61" s="1108"/>
      <c r="S61" s="1109"/>
      <c r="T61" s="358"/>
      <c r="U61" s="1460"/>
    </row>
    <row r="62" spans="1:21" ht="49.5" thickBot="1">
      <c r="A62" s="163" t="str">
        <f>CONCATENATE('3 pr-2'!A63)</f>
        <v>1.1.1.8.1</v>
      </c>
      <c r="B62" s="1123" t="str">
        <f>CONCATENATE('3 pr-2'!B63)</f>
        <v>R01-3305-330000-1181</v>
      </c>
      <c r="C62" s="227" t="str">
        <f>CONCATENATE('ketv. 2'!B62)</f>
        <v>07.1.1-CPVA-R-305-11-0001</v>
      </c>
      <c r="D62" s="164" t="str">
        <f>CONCATENATE('3 pr-2'!D63)</f>
        <v>Kultūros įstaigų infrastruktūros modernizavimas Varėnos mieste</v>
      </c>
      <c r="E62" s="164" t="str">
        <f>CONCATENATE('3 pr-2'!E63)</f>
        <v>Varėnos rajono savivaldybės administracija</v>
      </c>
      <c r="F62" s="164" t="str">
        <f>CONCATENATE('3 pr-2'!F63)</f>
        <v>Lietuvos Respublikos kultūros ministerija</v>
      </c>
      <c r="G62" s="164" t="str">
        <f>CONCATENATE('3 pr-2'!G63)</f>
        <v>Varėnos r. sav.</v>
      </c>
      <c r="H62" s="164" t="str">
        <f>CONCATENATE('3 pr-2'!H63)</f>
        <v>07.1.1-CPVA-R-305</v>
      </c>
      <c r="I62" s="164" t="str">
        <f>CONCATENATE('3 pr-2'!I63)</f>
        <v>R</v>
      </c>
      <c r="J62" s="174" t="str">
        <f>CONCATENATE('3 pr-2'!J63)</f>
        <v>ITI</v>
      </c>
      <c r="K62" s="1080">
        <f>IF(LEN(S62)=5,'3 pr-2'!L63,0)</f>
        <v>352401</v>
      </c>
      <c r="L62" s="1080">
        <f>IF(LEN(S62)=5,'3 pr-2'!O63,0)</f>
        <v>52860.15</v>
      </c>
      <c r="M62" s="1080">
        <f>IF(LEN(S62)=5,'3 pr-2'!R63,0)</f>
        <v>0</v>
      </c>
      <c r="N62" s="1080">
        <f>IF(LEN(S62)=5,'3 pr-2'!U63,0)</f>
        <v>0</v>
      </c>
      <c r="O62" s="1080">
        <f>IF(LEN(S62)=5,'3 pr-2'!X63,0)</f>
        <v>0</v>
      </c>
      <c r="P62" s="1080">
        <f>IF(LEN(S62)=5,'3 pr-2'!AA63,0)</f>
        <v>299540.84999999998</v>
      </c>
      <c r="Q62" s="1080">
        <f>IF(LEN(S62)=5,'3 pr-2'!AB63,0)</f>
        <v>0</v>
      </c>
      <c r="R62" s="1124">
        <f>SUM('3 pr-2'!AH63)</f>
        <v>42767</v>
      </c>
      <c r="S62" s="1129">
        <f>IF(SUMIF(Paraiškos!A:A,'ketv. 3'!C62,Paraiškos!H:H)&gt;0,SUMIF(Paraiškos!A:A,'ketv. 3'!C62,Paraiškos!H:H),"–")</f>
        <v>42754</v>
      </c>
      <c r="T62" s="234" t="str">
        <f t="shared" ref="T62:T65" si="20">IF(ISERROR(U62),"–",IF(U62&gt;0,"–",U62))</f>
        <v>–</v>
      </c>
      <c r="U62" s="1462" t="str">
        <f t="shared" si="7"/>
        <v>–</v>
      </c>
    </row>
    <row r="63" spans="1:21" ht="49.5" thickBot="1">
      <c r="A63" s="163" t="str">
        <f>CONCATENATE('3 pr-2'!A64)</f>
        <v>1.1.1.8.2</v>
      </c>
      <c r="B63" s="1123" t="str">
        <f>CONCATENATE('3 pr-2'!B64)</f>
        <v>R01-3305-330000-1182</v>
      </c>
      <c r="C63" s="227" t="str">
        <f>CONCATENATE('ketv. 2'!B63)</f>
        <v>07.1.1-CPVA-R-305-11-0002</v>
      </c>
      <c r="D63" s="164" t="str">
        <f>CONCATENATE('3 pr-2'!D64)</f>
        <v>VšĮ Alytaus kultūros ir komunikacijos centro pastato Alytuje, Pramonės g. 1B, rekonstravimas</v>
      </c>
      <c r="E63" s="164" t="str">
        <f>CONCATENATE('3 pr-2'!E64)</f>
        <v>Alytaus miesto savivaldybės administracija</v>
      </c>
      <c r="F63" s="164" t="str">
        <f>CONCATENATE('3 pr-2'!F64)</f>
        <v>Lietuvos Respublikos kultūros ministerija</v>
      </c>
      <c r="G63" s="164" t="str">
        <f>CONCATENATE('3 pr-2'!G64)</f>
        <v>Alytaus m. sav.</v>
      </c>
      <c r="H63" s="164" t="str">
        <f>CONCATENATE('3 pr-2'!H64)</f>
        <v>07.1.1-CPVA-R-305</v>
      </c>
      <c r="I63" s="164" t="str">
        <f>CONCATENATE('3 pr-2'!I64)</f>
        <v>R</v>
      </c>
      <c r="J63" s="174" t="str">
        <f>CONCATENATE('3 pr-2'!J64)</f>
        <v>ITI</v>
      </c>
      <c r="K63" s="1080">
        <f>IF(LEN(S63)=5,'3 pr-2'!L64,0)</f>
        <v>783264.16</v>
      </c>
      <c r="L63" s="1080">
        <f>IF(LEN(S63)=5,'3 pr-2'!O64,0)</f>
        <v>131322.34</v>
      </c>
      <c r="M63" s="1080">
        <f>IF(LEN(S63)=5,'3 pr-2'!R64,0)</f>
        <v>0</v>
      </c>
      <c r="N63" s="1080">
        <f>IF(LEN(S63)=5,'3 pr-2'!U64,0)</f>
        <v>0</v>
      </c>
      <c r="O63" s="1080">
        <f>IF(LEN(S63)=5,'3 pr-2'!X64,0)</f>
        <v>352400.82</v>
      </c>
      <c r="P63" s="1080">
        <f>IF(LEN(S63)=5,'3 pr-2'!AA64,0)</f>
        <v>299541</v>
      </c>
      <c r="Q63" s="1080">
        <f>IF(LEN(S63)=5,'3 pr-2'!AB64,0)</f>
        <v>0</v>
      </c>
      <c r="R63" s="1124">
        <f>SUM('3 pr-2'!AH64)</f>
        <v>42762</v>
      </c>
      <c r="S63" s="1129">
        <f>IF(SUMIF(Paraiškos!A:A,'ketv. 3'!C63,Paraiškos!H:H)&gt;0,SUMIF(Paraiškos!A:A,'ketv. 3'!C63,Paraiškos!H:H),"–")</f>
        <v>42761</v>
      </c>
      <c r="T63" s="234" t="str">
        <f t="shared" si="20"/>
        <v>–</v>
      </c>
      <c r="U63" s="1462" t="str">
        <f t="shared" si="7"/>
        <v>–</v>
      </c>
    </row>
    <row r="64" spans="1:21" ht="49.5" thickBot="1">
      <c r="A64" s="163" t="str">
        <f>CONCATENATE('3 pr-2'!A65)</f>
        <v>1.1.1.8.3</v>
      </c>
      <c r="B64" s="1123" t="str">
        <f>CONCATENATE('3 pr-2'!B65)</f>
        <v>R01-3305-330000-1183</v>
      </c>
      <c r="C64" s="227" t="str">
        <f>CONCATENATE('ketv. 2'!B64)</f>
        <v>07.1.1-CPVA-R-305-11-0003</v>
      </c>
      <c r="D64" s="164" t="str">
        <f>CONCATENATE('3 pr-2'!D65)</f>
        <v>Druskininkų kultūros centro lauko scenos, Vilniaus al. 24, Druskininkai, modernizavimas ir pritaikymas kultūros poreikiams</v>
      </c>
      <c r="E64" s="164" t="str">
        <f>CONCATENATE('3 pr-2'!E65)</f>
        <v xml:space="preserve">Druskininkų savivaldybės administracija  </v>
      </c>
      <c r="F64" s="164" t="str">
        <f>CONCATENATE('3 pr-2'!F65)</f>
        <v>Lietuvos Respublikos kultūros ministerija</v>
      </c>
      <c r="G64" s="164" t="str">
        <f>CONCATENATE('3 pr-2'!G65)</f>
        <v>Druskininkų sav.</v>
      </c>
      <c r="H64" s="164" t="str">
        <f>CONCATENATE('3 pr-2'!H65)</f>
        <v>07.1.1-CPVA-R-305</v>
      </c>
      <c r="I64" s="164" t="str">
        <f>CONCATENATE('3 pr-2'!I65)</f>
        <v>R</v>
      </c>
      <c r="J64" s="174" t="str">
        <f>CONCATENATE('3 pr-2'!J65)</f>
        <v>ITI</v>
      </c>
      <c r="K64" s="1080">
        <f>IF(LEN(S64)=5,'3 pr-2'!L65,0)</f>
        <v>352401</v>
      </c>
      <c r="L64" s="1080">
        <f>IF(LEN(S64)=5,'3 pr-2'!O65,0)</f>
        <v>52860.15</v>
      </c>
      <c r="M64" s="1080">
        <f>IF(LEN(S64)=5,'3 pr-2'!R65,0)</f>
        <v>0</v>
      </c>
      <c r="N64" s="1080">
        <f>IF(LEN(S64)=5,'3 pr-2'!U65,0)</f>
        <v>0</v>
      </c>
      <c r="O64" s="1080">
        <f>IF(LEN(S64)=5,'3 pr-2'!X65,0)</f>
        <v>0</v>
      </c>
      <c r="P64" s="1080">
        <f>IF(LEN(S64)=5,'3 pr-2'!AA65,0)</f>
        <v>299540.84999999998</v>
      </c>
      <c r="Q64" s="1080">
        <f>IF(LEN(S64)=5,'3 pr-2'!AB65,0)</f>
        <v>0</v>
      </c>
      <c r="R64" s="1124">
        <f>SUM('3 pr-2'!AH65)</f>
        <v>42767</v>
      </c>
      <c r="S64" s="1129">
        <f>IF(SUMIF(Paraiškos!A:A,'ketv. 3'!C64,Paraiškos!H:H)&gt;0,SUMIF(Paraiškos!A:A,'ketv. 3'!C64,Paraiškos!H:H),"–")</f>
        <v>42762</v>
      </c>
      <c r="T64" s="234" t="str">
        <f t="shared" si="20"/>
        <v>–</v>
      </c>
      <c r="U64" s="1462" t="str">
        <f t="shared" si="7"/>
        <v>–</v>
      </c>
    </row>
    <row r="65" spans="1:22" ht="49.5" thickBot="1">
      <c r="A65" s="163" t="str">
        <f>CONCATENATE('3 pr-2'!A66)</f>
        <v>1.1.1.8.4</v>
      </c>
      <c r="B65" s="1123" t="str">
        <f>CONCATENATE('3 pr-2'!B66)</f>
        <v>R01-3305-330200-1184</v>
      </c>
      <c r="C65" s="227" t="str">
        <f>CONCATENATE('ketv. 2'!B65)</f>
        <v>07.1.1-CPVA-R-305-11-0004</v>
      </c>
      <c r="D65" s="164" t="str">
        <f>CONCATENATE('3 pr-2'!D66)</f>
        <v>Pastato rekonstrukcija ir pritaikymas kultūrinėms, muziejinėms ir edukacinėms reikmėms</v>
      </c>
      <c r="E65" s="164" t="str">
        <f>CONCATENATE('3 pr-2'!E66)</f>
        <v>Lazdijų rajono savivaldybės administracija</v>
      </c>
      <c r="F65" s="164" t="str">
        <f>CONCATENATE('3 pr-2'!F66)</f>
        <v>Lietuvos Respublikos kultūros ministerija</v>
      </c>
      <c r="G65" s="164" t="str">
        <f>CONCATENATE('3 pr-2'!G66)</f>
        <v>Lazdijų r. sav.</v>
      </c>
      <c r="H65" s="164" t="str">
        <f>CONCATENATE('3 pr-2'!H66)</f>
        <v>07.1.1-CPVA-R-305</v>
      </c>
      <c r="I65" s="164" t="str">
        <f>CONCATENATE('3 pr-2'!I66)</f>
        <v>R</v>
      </c>
      <c r="J65" s="174" t="str">
        <f>CONCATENATE('3 pr-2'!J66)</f>
        <v>ITI</v>
      </c>
      <c r="K65" s="1080">
        <f>IF(LEN(S65)=5,'3 pr-2'!L66,0)</f>
        <v>484769.35</v>
      </c>
      <c r="L65" s="1080">
        <f>IF(LEN(S65)=5,'3 pr-2'!O66,0)</f>
        <v>185228.35</v>
      </c>
      <c r="M65" s="1080">
        <f>IF(LEN(S65)=5,'3 pr-2'!R66,0)</f>
        <v>0</v>
      </c>
      <c r="N65" s="1080">
        <f>IF(LEN(S65)=5,'3 pr-2'!U66,0)</f>
        <v>0</v>
      </c>
      <c r="O65" s="1080">
        <f>IF(LEN(S65)=5,'3 pr-2'!X66,0)</f>
        <v>0</v>
      </c>
      <c r="P65" s="1080">
        <f>IF(LEN(S65)=5,'3 pr-2'!AA66,0)</f>
        <v>299541</v>
      </c>
      <c r="Q65" s="1080">
        <f>IF(LEN(S65)=5,'3 pr-2'!AB66,0)</f>
        <v>0</v>
      </c>
      <c r="R65" s="1124">
        <f>SUM('3 pr-2'!AH66)</f>
        <v>43097</v>
      </c>
      <c r="S65" s="1129">
        <f>IF(SUMIF(Paraiškos!A:A,'ketv. 3'!C65,Paraiškos!H:H)&gt;0,SUMIF(Paraiškos!A:A,'ketv. 3'!C65,Paraiškos!H:H),"–")</f>
        <v>43097</v>
      </c>
      <c r="T65" s="234" t="str">
        <f t="shared" si="20"/>
        <v>–</v>
      </c>
      <c r="U65" s="1462" t="str">
        <f t="shared" si="7"/>
        <v>–</v>
      </c>
    </row>
    <row r="66" spans="1:22" ht="34.5" customHeight="1" thickBot="1">
      <c r="A66" s="296" t="str">
        <f>CONCATENATE('3 pr-2'!A67)</f>
        <v>1.1.1.9</v>
      </c>
      <c r="B66" s="2088" t="str">
        <f>CONCATENATE('3 pr-2'!B67)</f>
        <v>Priemonė:
Aktualizuoti savivaldybių kultūros paveldo objektus</v>
      </c>
      <c r="C66" s="2089"/>
      <c r="D66" s="2089"/>
      <c r="E66" s="2089"/>
      <c r="F66" s="2089"/>
      <c r="G66" s="2089"/>
      <c r="H66" s="2089"/>
      <c r="I66" s="2089"/>
      <c r="J66" s="2090"/>
      <c r="K66" s="1077">
        <f t="shared" ref="K66:Q66" si="21">SUM(K67:K71)</f>
        <v>1461941.12</v>
      </c>
      <c r="L66" s="1077">
        <f t="shared" si="21"/>
        <v>438075.46</v>
      </c>
      <c r="M66" s="1077">
        <f t="shared" si="21"/>
        <v>0</v>
      </c>
      <c r="N66" s="1077">
        <f t="shared" si="21"/>
        <v>0</v>
      </c>
      <c r="O66" s="1077">
        <f t="shared" si="21"/>
        <v>0</v>
      </c>
      <c r="P66" s="1077">
        <f t="shared" si="21"/>
        <v>1023865.66</v>
      </c>
      <c r="Q66" s="1077">
        <f t="shared" si="21"/>
        <v>0</v>
      </c>
      <c r="R66" s="1108"/>
      <c r="S66" s="1109"/>
      <c r="T66" s="358"/>
      <c r="U66" s="1460"/>
    </row>
    <row r="67" spans="1:22" ht="49.5" thickBot="1">
      <c r="A67" s="221" t="str">
        <f>CONCATENATE('3 pr-2'!A68)</f>
        <v>1.1.1.9.1</v>
      </c>
      <c r="B67" s="1123" t="str">
        <f>CONCATENATE('3 pr-2'!B68)</f>
        <v>R01-3302-440000-1191</v>
      </c>
      <c r="C67" s="361" t="str">
        <f>CONCATENATE('ketv. 2'!B67)</f>
        <v>05.4.1-CPVA-R-302-11-0003</v>
      </c>
      <c r="D67" s="221" t="str">
        <f>CONCATENATE('3 pr-2'!D68)</f>
        <v>Buvusios sinagogos pastato Kauno g. 9A Alytuje rekonstravimas ir aplinkinės teritorijos sutvarkymas</v>
      </c>
      <c r="E67" s="221" t="str">
        <f>CONCATENATE('3 pr-2'!E68)</f>
        <v>Alytaus miesto savivaldybės administracija</v>
      </c>
      <c r="F67" s="221" t="str">
        <f>CONCATENATE('3 pr-2'!F68)</f>
        <v>Lietuvos Respublikos kultūros ministerija</v>
      </c>
      <c r="G67" s="221" t="str">
        <f>CONCATENATE('3 pr-2'!G68)</f>
        <v>Alytaus m. sav.</v>
      </c>
      <c r="H67" s="221" t="str">
        <f>CONCATENATE('3 pr-2'!H68)</f>
        <v>05.4.1-CPVA-R-302</v>
      </c>
      <c r="I67" s="221" t="str">
        <f>CONCATENATE('3 pr-2'!I68)</f>
        <v>R</v>
      </c>
      <c r="J67" s="221" t="str">
        <f>CONCATENATE('3 pr-2'!J68)</f>
        <v>ITI</v>
      </c>
      <c r="K67" s="1080">
        <f>IF(LEN(S67)=5,'3 pr-2'!L68,0)</f>
        <v>444560.16000000003</v>
      </c>
      <c r="L67" s="1080">
        <f>IF(LEN(S67)=5,'3 pr-2'!O68,0)</f>
        <v>238504.16</v>
      </c>
      <c r="M67" s="1080">
        <f>IF(LEN(S67)=5,'3 pr-2'!R68,0)</f>
        <v>0</v>
      </c>
      <c r="N67" s="1080">
        <f>IF(LEN(S67)=5,'3 pr-2'!U68,0)</f>
        <v>0</v>
      </c>
      <c r="O67" s="1080">
        <f>IF(LEN(S67)=5,'3 pr-2'!X68,0)</f>
        <v>0</v>
      </c>
      <c r="P67" s="1080">
        <f>IF(LEN(S67)=5,'3 pr-2'!AA68,0)</f>
        <v>206056</v>
      </c>
      <c r="Q67" s="1080">
        <f>IF(LEN(S67)=5,'3 pr-2'!AB68,0)</f>
        <v>0</v>
      </c>
      <c r="R67" s="1132">
        <f>SUM('3 pr-2'!AH68)</f>
        <v>43220</v>
      </c>
      <c r="S67" s="1129">
        <f>IF(SUMIF(Paraiškos!A:A,'ketv. 3'!C67,Paraiškos!H:H)&gt;0,SUMIF(Paraiškos!A:A,'ketv. 3'!C67,Paraiškos!H:H),"–")</f>
        <v>43189</v>
      </c>
      <c r="T67" s="234" t="str">
        <f t="shared" ref="T67:T71" si="22">IF(ISERROR(U67),"–",IF(U67&gt;0,"–",U67))</f>
        <v>–</v>
      </c>
      <c r="U67" s="1462" t="str">
        <f t="shared" si="7"/>
        <v>–</v>
      </c>
    </row>
    <row r="68" spans="1:22" ht="49.5" thickBot="1">
      <c r="A68" s="164" t="str">
        <f>CONCATENATE('3 pr-2'!A69)</f>
        <v>1.1.1.9.2</v>
      </c>
      <c r="B68" s="1123" t="str">
        <f>CONCATENATE('3 pr-2'!B69)</f>
        <v>R01-3302-440000-1192</v>
      </c>
      <c r="C68" s="281" t="str">
        <f>CONCATENATE('ketv. 2'!B68)</f>
        <v>05.4.1-CPVA-R-302-11-0002</v>
      </c>
      <c r="D68" s="164" t="str">
        <f>CONCATENATE('3 pr-2'!D69)</f>
        <v>Mažosios dailės galerijos, M.K.Čiurlionio g. 37, Druskininkai, modernizavimas ir pritaikymas kultūros poreikiams</v>
      </c>
      <c r="E68" s="164" t="str">
        <f>CONCATENATE('3 pr-2'!E69)</f>
        <v xml:space="preserve">Druskininkų savivaldybės administracija  </v>
      </c>
      <c r="F68" s="164" t="str">
        <f>CONCATENATE('3 pr-2'!F69)</f>
        <v>Lietuvos Respublikos kultūros ministerija</v>
      </c>
      <c r="G68" s="164" t="str">
        <f>CONCATENATE('3 pr-2'!G69)</f>
        <v>Druskininkų sav.</v>
      </c>
      <c r="H68" s="164" t="str">
        <f>CONCATENATE('3 pr-2'!H69)</f>
        <v>05.4.1-CPVA-R-302</v>
      </c>
      <c r="I68" s="164" t="str">
        <f>CONCATENATE('3 pr-2'!I69)</f>
        <v>R</v>
      </c>
      <c r="J68" s="164" t="str">
        <f>CONCATENATE('3 pr-2'!J69)</f>
        <v>-</v>
      </c>
      <c r="K68" s="1080">
        <f>IF(LEN(S68)=5,'3 pr-2'!L69,0)</f>
        <v>297670.41000000003</v>
      </c>
      <c r="L68" s="1080">
        <f>IF(LEN(S68)=5,'3 pr-2'!O69,0)</f>
        <v>91614.41</v>
      </c>
      <c r="M68" s="1080">
        <f>IF(LEN(S68)=5,'3 pr-2'!R69,0)</f>
        <v>0</v>
      </c>
      <c r="N68" s="1080">
        <f>IF(LEN(S68)=5,'3 pr-2'!U69,0)</f>
        <v>0</v>
      </c>
      <c r="O68" s="1080">
        <f>IF(LEN(S68)=5,'3 pr-2'!X69,0)</f>
        <v>0</v>
      </c>
      <c r="P68" s="1080">
        <f>IF(LEN(S68)=5,'3 pr-2'!AA69,0)</f>
        <v>206056</v>
      </c>
      <c r="Q68" s="1080">
        <f>IF(LEN(S68)=5,'3 pr-2'!AB69,0)</f>
        <v>0</v>
      </c>
      <c r="R68" s="1104">
        <f>SUM('3 pr-2'!AH69)</f>
        <v>43190</v>
      </c>
      <c r="S68" s="1129">
        <f>IF(SUMIF(Paraiškos!A:A,'ketv. 3'!C68,Paraiškos!H:H)&gt;0,SUMIF(Paraiškos!A:A,'ketv. 3'!C68,Paraiškos!H:H),"–")</f>
        <v>43189</v>
      </c>
      <c r="T68" s="234" t="str">
        <f t="shared" si="22"/>
        <v>–</v>
      </c>
      <c r="U68" s="1462" t="str">
        <f t="shared" si="7"/>
        <v>–</v>
      </c>
      <c r="V68" s="4"/>
    </row>
    <row r="69" spans="1:22" ht="49.5" thickBot="1">
      <c r="A69" s="164" t="str">
        <f>CONCATENATE('3 pr-2'!A70)</f>
        <v>1.1.1.9.3</v>
      </c>
      <c r="B69" s="1123" t="str">
        <f>CONCATENATE('3 pr-2'!B70)</f>
        <v>R01-3302-440200-1193</v>
      </c>
      <c r="C69" s="281" t="str">
        <f>CONCATENATE('ketv. 2'!B69)</f>
        <v>05.4.1-CPVA-R-302-11-0001</v>
      </c>
      <c r="D69" s="164" t="str">
        <f>CONCATENATE('3 pr-2'!D70)</f>
        <v>Motiejaus Gustaičio memorialinio namo kompleksinis sutvarkymas</v>
      </c>
      <c r="E69" s="164" t="str">
        <f>CONCATENATE('3 pr-2'!E70)</f>
        <v>Lazdijų rajono savivaldybės administracija</v>
      </c>
      <c r="F69" s="164" t="str">
        <f>CONCATENATE('3 pr-2'!F70)</f>
        <v>Lietuvos Respublikos kultūros ministerija</v>
      </c>
      <c r="G69" s="164" t="str">
        <f>CONCATENATE('3 pr-2'!G70)</f>
        <v>Lazdijų r. sav.</v>
      </c>
      <c r="H69" s="164" t="str">
        <f>CONCATENATE('3 pr-2'!H70)</f>
        <v>05.4.1-CPVA-R-302</v>
      </c>
      <c r="I69" s="164" t="str">
        <f>CONCATENATE('3 pr-2'!I70)</f>
        <v>R</v>
      </c>
      <c r="J69" s="164" t="str">
        <f>CONCATENATE('3 pr-2'!J70)</f>
        <v>ITI</v>
      </c>
      <c r="K69" s="1080">
        <f>IF(LEN(S69)=5,'3 pr-2'!L70,0)</f>
        <v>242419</v>
      </c>
      <c r="L69" s="1080">
        <f>IF(LEN(S69)=5,'3 pr-2'!O70,0)</f>
        <v>36363</v>
      </c>
      <c r="M69" s="1080">
        <f>IF(LEN(S69)=5,'3 pr-2'!R70,0)</f>
        <v>0</v>
      </c>
      <c r="N69" s="1080">
        <f>IF(LEN(S69)=5,'3 pr-2'!U70,0)</f>
        <v>0</v>
      </c>
      <c r="O69" s="1080">
        <f>IF(LEN(S69)=5,'3 pr-2'!X70,0)</f>
        <v>0</v>
      </c>
      <c r="P69" s="1080">
        <f>IF(LEN(S69)=5,'3 pr-2'!AA70,0)</f>
        <v>206056</v>
      </c>
      <c r="Q69" s="1080">
        <f>IF(LEN(S69)=5,'3 pr-2'!AB70,0)</f>
        <v>0</v>
      </c>
      <c r="R69" s="1104">
        <f>SUM('3 pr-2'!AH70)</f>
        <v>43179</v>
      </c>
      <c r="S69" s="1129">
        <f>IF(SUMIF(Paraiškos!A:A,'ketv. 3'!C69,Paraiškos!H:H)&gt;0,SUMIF(Paraiškos!A:A,'ketv. 3'!C69,Paraiškos!H:H),"–")</f>
        <v>43178</v>
      </c>
      <c r="T69" s="234" t="str">
        <f t="shared" si="22"/>
        <v>–</v>
      </c>
      <c r="U69" s="1462" t="str">
        <f t="shared" si="7"/>
        <v>–</v>
      </c>
    </row>
    <row r="70" spans="1:22" ht="49.5" thickBot="1">
      <c r="A70" s="164" t="str">
        <f>CONCATENATE('3 pr-2'!A71)</f>
        <v>1.1.1.9.4</v>
      </c>
      <c r="B70" s="1123" t="str">
        <f>CONCATENATE('3 pr-2'!B71)</f>
        <v>R01-3302-440000-1194</v>
      </c>
      <c r="C70" s="281" t="str">
        <f>CONCATENATE('ketv. 2'!B70)</f>
        <v>05.4.1-CPVA-R-302-11-0004</v>
      </c>
      <c r="D70" s="164" t="str">
        <f>CONCATENATE('3 pr-2'!D71)</f>
        <v>Kurnėnų Lauryno Radziukyno mokyklos pritaikymas kultūrinėms ir turistinėms reikmėms</v>
      </c>
      <c r="E70" s="164" t="str">
        <f>CONCATENATE('3 pr-2'!E71)</f>
        <v>Alytaus rajono savivaldybės administracija</v>
      </c>
      <c r="F70" s="164" t="str">
        <f>CONCATENATE('3 pr-2'!F71)</f>
        <v>Lietuvos Respublikos kultūros ministerija</v>
      </c>
      <c r="G70" s="164" t="str">
        <f>CONCATENATE('3 pr-2'!G71)</f>
        <v>Alytaus r. sav.</v>
      </c>
      <c r="H70" s="164" t="str">
        <f>CONCATENATE('3 pr-2'!H71)</f>
        <v>05.4.1-CPVA-R-302</v>
      </c>
      <c r="I70" s="164" t="str">
        <f>CONCATENATE('3 pr-2'!I71)</f>
        <v>R</v>
      </c>
      <c r="J70" s="164" t="str">
        <f>CONCATENATE('3 pr-2'!J71)</f>
        <v>-</v>
      </c>
      <c r="K70" s="1080">
        <f>IF(LEN(S70)=5,'3 pr-2'!L71,0)</f>
        <v>234872.55</v>
      </c>
      <c r="L70" s="1080">
        <f>IF(LEN(S70)=5,'3 pr-2'!O71,0)</f>
        <v>35230.89</v>
      </c>
      <c r="M70" s="1080">
        <f>IF(LEN(S70)=5,'3 pr-2'!R71,0)</f>
        <v>0</v>
      </c>
      <c r="N70" s="1080">
        <f>IF(LEN(S70)=5,'3 pr-2'!U71,0)</f>
        <v>0</v>
      </c>
      <c r="O70" s="1080">
        <f>IF(LEN(S70)=5,'3 pr-2'!X71,0)</f>
        <v>0</v>
      </c>
      <c r="P70" s="1080">
        <f>IF(LEN(S70)=5,'3 pr-2'!AA71,0)</f>
        <v>199641.66</v>
      </c>
      <c r="Q70" s="1080">
        <f>IF(LEN(S70)=5,'3 pr-2'!AB71,0)</f>
        <v>0</v>
      </c>
      <c r="R70" s="1104">
        <f>SUM('3 pr-2'!AH71)</f>
        <v>43190</v>
      </c>
      <c r="S70" s="1129">
        <f>IF(SUMIF(Paraiškos!A:A,'ketv. 3'!C70,Paraiškos!H:H)&gt;0,SUMIF(Paraiškos!A:A,'ketv. 3'!C70,Paraiškos!H:H),"–")</f>
        <v>43189</v>
      </c>
      <c r="T70" s="234" t="str">
        <f t="shared" si="22"/>
        <v>–</v>
      </c>
      <c r="U70" s="1462" t="str">
        <f t="shared" si="7"/>
        <v>–</v>
      </c>
    </row>
    <row r="71" spans="1:22" ht="49.5" thickBot="1">
      <c r="A71" s="236" t="str">
        <f>CONCATENATE('3 pr-2'!A72)</f>
        <v>1.1.1.9.5</v>
      </c>
      <c r="B71" s="1123" t="str">
        <f>CONCATENATE('3 pr-2'!B72)</f>
        <v>R01-3302-440000-1195</v>
      </c>
      <c r="C71" s="359" t="str">
        <f>CONCATENATE('ketv. 2'!B71)</f>
        <v>05.4.1-CPVA-R-302-11-0005</v>
      </c>
      <c r="D71" s="236" t="str">
        <f>CONCATENATE('3 pr-2'!D72)</f>
        <v>Vinco Krėvės-Mickevičiaus memorialinio muziejaus atnaujinimas</v>
      </c>
      <c r="E71" s="236" t="str">
        <f>CONCATENATE('3 pr-2'!E72)</f>
        <v>Varėnos rajono savivaldybės administracija</v>
      </c>
      <c r="F71" s="236" t="str">
        <f>CONCATENATE('3 pr-2'!F72)</f>
        <v>Lietuvos Respublikos kultūros ministerija</v>
      </c>
      <c r="G71" s="236" t="str">
        <f>CONCATENATE('3 pr-2'!G72)</f>
        <v>Varėnos r. sav.</v>
      </c>
      <c r="H71" s="236" t="str">
        <f>CONCATENATE('3 pr-2'!H72)</f>
        <v>05.4.1-CPVA-R-302</v>
      </c>
      <c r="I71" s="236" t="str">
        <f>CONCATENATE('3 pr-2'!I72)</f>
        <v>R</v>
      </c>
      <c r="J71" s="236" t="str">
        <f>CONCATENATE('3 pr-2'!J72)</f>
        <v>-</v>
      </c>
      <c r="K71" s="1080">
        <f>IF(LEN(S71)=5,'3 pr-2'!L72,0)</f>
        <v>242419</v>
      </c>
      <c r="L71" s="1080">
        <f>IF(LEN(S71)=5,'3 pr-2'!O72,0)</f>
        <v>36363</v>
      </c>
      <c r="M71" s="1080">
        <f>IF(LEN(S71)=5,'3 pr-2'!R72,0)</f>
        <v>0</v>
      </c>
      <c r="N71" s="1080">
        <f>IF(LEN(S71)=5,'3 pr-2'!U72,0)</f>
        <v>0</v>
      </c>
      <c r="O71" s="1080">
        <f>IF(LEN(S71)=5,'3 pr-2'!X72,0)</f>
        <v>0</v>
      </c>
      <c r="P71" s="1080">
        <f>IF(LEN(S71)=5,'3 pr-2'!AA72,0)</f>
        <v>206056</v>
      </c>
      <c r="Q71" s="1080">
        <f>IF(LEN(S71)=5,'3 pr-2'!AB72,0)</f>
        <v>0</v>
      </c>
      <c r="R71" s="1114">
        <f>SUM('3 pr-2'!AH72)</f>
        <v>43241</v>
      </c>
      <c r="S71" s="1129">
        <f>IF(SUMIF(Paraiškos!A:A,'ketv. 3'!C71,Paraiškos!H:H)&gt;0,SUMIF(Paraiškos!A:A,'ketv. 3'!C71,Paraiškos!H:H),"–")</f>
        <v>43214</v>
      </c>
      <c r="T71" s="234" t="str">
        <f t="shared" si="22"/>
        <v>–</v>
      </c>
      <c r="U71" s="1462" t="str">
        <f t="shared" si="7"/>
        <v>–</v>
      </c>
    </row>
    <row r="72" spans="1:22" ht="39.75" customHeight="1" thickBot="1">
      <c r="A72" s="238" t="str">
        <f>CONCATENATE('3 pr-2'!A73)</f>
        <v>1.1.2.</v>
      </c>
      <c r="B72" s="2085" t="str">
        <f>CONCATENATE('3 pr-2'!B73)</f>
        <v>Uždavinys:
Pagerinti darbo jėgos judėjimo galimybes gerinant susisiekimo sistemas</v>
      </c>
      <c r="C72" s="2086"/>
      <c r="D72" s="2086"/>
      <c r="E72" s="2086"/>
      <c r="F72" s="2086"/>
      <c r="G72" s="2086"/>
      <c r="H72" s="2086"/>
      <c r="I72" s="2086"/>
      <c r="J72" s="2087"/>
      <c r="K72" s="1158">
        <f t="shared" ref="K72:P72" si="23">SUM(K73+K78+K85+K91)</f>
        <v>5970413.8899999997</v>
      </c>
      <c r="L72" s="1158">
        <f t="shared" si="23"/>
        <v>1349980.12</v>
      </c>
      <c r="M72" s="1158">
        <f t="shared" si="23"/>
        <v>0</v>
      </c>
      <c r="N72" s="1158">
        <f t="shared" si="23"/>
        <v>422692</v>
      </c>
      <c r="O72" s="1158">
        <f t="shared" si="23"/>
        <v>62660</v>
      </c>
      <c r="P72" s="1158">
        <f t="shared" si="23"/>
        <v>4135081.7700000005</v>
      </c>
      <c r="Q72" s="1158">
        <f t="shared" ref="Q72" si="24">SUM(Q73+Q78+Q85+Q91)</f>
        <v>0</v>
      </c>
      <c r="R72" s="1106"/>
      <c r="S72" s="1107"/>
      <c r="T72" s="364"/>
      <c r="U72" s="1459"/>
    </row>
    <row r="73" spans="1:22" ht="37.5" customHeight="1" thickBot="1">
      <c r="A73" s="296" t="str">
        <f>CONCATENATE('3 pr-2'!A74)</f>
        <v>1.1.2.1</v>
      </c>
      <c r="B73" s="2088" t="str">
        <f>CONCATENATE('3 pr-2'!B74)</f>
        <v>Priemonė:
Vietinio susisiekimo viešojo transporto priemonių parko atnaujinimas</v>
      </c>
      <c r="C73" s="2089"/>
      <c r="D73" s="2089"/>
      <c r="E73" s="2089"/>
      <c r="F73" s="2089"/>
      <c r="G73" s="2089"/>
      <c r="H73" s="2089"/>
      <c r="I73" s="2089"/>
      <c r="J73" s="2090"/>
      <c r="K73" s="1077">
        <f t="shared" ref="K73:P73" si="25">SUM(K74:K77)</f>
        <v>1102944</v>
      </c>
      <c r="L73" s="1077">
        <f t="shared" si="25"/>
        <v>39406</v>
      </c>
      <c r="M73" s="1077">
        <f t="shared" si="25"/>
        <v>0</v>
      </c>
      <c r="N73" s="1077">
        <f t="shared" si="25"/>
        <v>422692</v>
      </c>
      <c r="O73" s="1077">
        <f t="shared" si="25"/>
        <v>0</v>
      </c>
      <c r="P73" s="1077">
        <f t="shared" si="25"/>
        <v>640846</v>
      </c>
      <c r="Q73" s="1077">
        <f t="shared" ref="Q73" si="26">SUM(Q74:Q77)</f>
        <v>0</v>
      </c>
      <c r="R73" s="1108"/>
      <c r="S73" s="1109"/>
      <c r="T73" s="358"/>
      <c r="U73" s="1460"/>
    </row>
    <row r="74" spans="1:22" ht="49.5" thickBot="1">
      <c r="A74" s="164" t="str">
        <f>CONCATENATE('3 pr-2'!A75)</f>
        <v>1.1.2.1.1</v>
      </c>
      <c r="B74" s="1123" t="str">
        <f>CONCATENATE('3 pr-2'!B75)</f>
        <v>R01-5518-100000-1211</v>
      </c>
      <c r="C74" s="281" t="str">
        <f>CONCATENATE('ketv. 2'!B74)</f>
        <v/>
      </c>
      <c r="D74" s="164" t="str">
        <f>CONCATENATE('3 pr-2'!D75)</f>
        <v>Nekenksmingų aplinkai viešojo transporto priemonių įsigijimas Alytaus mieste</v>
      </c>
      <c r="E74" s="164" t="str">
        <f>CONCATENATE('3 pr-2'!E75)</f>
        <v>Alytaus miesto savivaldybės administracija</v>
      </c>
      <c r="F74" s="164" t="str">
        <f>CONCATENATE('3 pr-2'!F75)</f>
        <v>Lietuvos Respublikos susisiekimo ministerija</v>
      </c>
      <c r="G74" s="164" t="str">
        <f>CONCATENATE('3 pr-2'!G75)</f>
        <v>Alytaus m. sav.</v>
      </c>
      <c r="H74" s="164" t="str">
        <f>CONCATENATE('3 pr-2'!H75)</f>
        <v>04.5.1-TID-R-518</v>
      </c>
      <c r="I74" s="164" t="str">
        <f>CONCATENATE('3 pr-2'!I75)</f>
        <v>R</v>
      </c>
      <c r="J74" s="164" t="str">
        <f>CONCATENATE('3 pr-2'!J75)</f>
        <v>ITI</v>
      </c>
      <c r="K74" s="1080">
        <f>IF(LEN(S74)=5,'3 pr-2'!L75,0)</f>
        <v>0</v>
      </c>
      <c r="L74" s="1080">
        <f>IF(LEN(S74)=5,'3 pr-2'!O75,0)</f>
        <v>0</v>
      </c>
      <c r="M74" s="1080">
        <f>IF(LEN(S74)=5,'3 pr-2'!R75,0)</f>
        <v>0</v>
      </c>
      <c r="N74" s="1080">
        <f>IF(LEN(S74)=5,'3 pr-2'!U75,0)</f>
        <v>0</v>
      </c>
      <c r="O74" s="1080">
        <f>IF(LEN(S74)=5,'3 pr-2'!X75,0)</f>
        <v>0</v>
      </c>
      <c r="P74" s="1080">
        <f>IF(LEN(S74)=5,'3 pr-2'!AA75,0)</f>
        <v>0</v>
      </c>
      <c r="Q74" s="1080">
        <f>IF(LEN(S74)=5,'3 pr-2'!AB75,0)</f>
        <v>0</v>
      </c>
      <c r="R74" s="1104">
        <f>SUM('3 pr-2'!AH75)</f>
        <v>43646</v>
      </c>
      <c r="S74" s="1129" t="str">
        <f>IF(SUMIF(Paraiškos!A:A,'ketv. 3'!C74,Paraiškos!H:H)&gt;0,SUMIF(Paraiškos!A:A,'ketv. 3'!C74,Paraiškos!H:H),"–")</f>
        <v>–</v>
      </c>
      <c r="T74" s="234" t="str">
        <f t="shared" ref="T74:T77" si="27">IF(ISERROR(U74),"–",IF(U74&gt;0,"–",U74))</f>
        <v>–</v>
      </c>
      <c r="U74" s="1462" t="e">
        <f t="shared" ref="U74:U76" si="28">IF(R74-S74&lt;0,(R74-S74)/30.4166666666667,"–")</f>
        <v>#VALUE!</v>
      </c>
    </row>
    <row r="75" spans="1:22" ht="49.5" thickBot="1">
      <c r="A75" s="164" t="str">
        <f>CONCATENATE('3 pr-2'!A76)</f>
        <v>1.1.2.1.2</v>
      </c>
      <c r="B75" s="1123" t="str">
        <f>CONCATENATE('3 pr-2'!B76)</f>
        <v>R01-5518-100000-1212</v>
      </c>
      <c r="C75" s="281" t="str">
        <f>CONCATENATE('ketv. 2'!B75)</f>
        <v/>
      </c>
      <c r="D75" s="164" t="str">
        <f>CONCATENATE('3 pr-2'!D76)</f>
        <v>Vietinio susisiekimo transporto priemonių įsigijimas</v>
      </c>
      <c r="E75" s="164" t="str">
        <f>CONCATENATE('3 pr-2'!E76)</f>
        <v>Alytaus rajono savivaldybės administracija</v>
      </c>
      <c r="F75" s="164" t="str">
        <f>CONCATENATE('3 pr-2'!F76)</f>
        <v>Lietuvos Respublikos susisiekimo ministerija</v>
      </c>
      <c r="G75" s="164" t="str">
        <f>CONCATENATE('3 pr-2'!G76)</f>
        <v>Alytaus r. sav.</v>
      </c>
      <c r="H75" s="164" t="str">
        <f>CONCATENATE('3 pr-2'!H76)</f>
        <v>04.5.1-TID-R-518</v>
      </c>
      <c r="I75" s="164" t="str">
        <f>CONCATENATE('3 pr-2'!I76)</f>
        <v>R</v>
      </c>
      <c r="J75" s="164" t="str">
        <f>CONCATENATE('3 pr-2'!J76)</f>
        <v>-</v>
      </c>
      <c r="K75" s="1080">
        <f>IF(LEN(S75)=5,'3 pr-2'!L76,0)</f>
        <v>0</v>
      </c>
      <c r="L75" s="1080">
        <f>IF(LEN(S75)=5,'3 pr-2'!O76,0)</f>
        <v>0</v>
      </c>
      <c r="M75" s="1080">
        <f>IF(LEN(S75)=5,'3 pr-2'!R76,0)</f>
        <v>0</v>
      </c>
      <c r="N75" s="1080">
        <f>IF(LEN(S75)=5,'3 pr-2'!U76,0)</f>
        <v>0</v>
      </c>
      <c r="O75" s="1080">
        <f>IF(LEN(S75)=5,'3 pr-2'!X76,0)</f>
        <v>0</v>
      </c>
      <c r="P75" s="1080">
        <f>IF(LEN(S75)=5,'3 pr-2'!AA76,0)</f>
        <v>0</v>
      </c>
      <c r="Q75" s="1080">
        <f>IF(LEN(S75)=5,'3 pr-2'!AB76,0)</f>
        <v>0</v>
      </c>
      <c r="R75" s="1104">
        <f>SUM('3 pr-2'!AH76)</f>
        <v>43633</v>
      </c>
      <c r="S75" s="1129" t="str">
        <f>IF(SUMIF(Paraiškos!A:A,'ketv. 3'!C75,Paraiškos!H:H)&gt;0,SUMIF(Paraiškos!A:A,'ketv. 3'!C75,Paraiškos!H:H),"–")</f>
        <v>–</v>
      </c>
      <c r="T75" s="234" t="str">
        <f t="shared" si="27"/>
        <v>–</v>
      </c>
      <c r="U75" s="1462" t="e">
        <f t="shared" si="28"/>
        <v>#VALUE!</v>
      </c>
    </row>
    <row r="76" spans="1:22" ht="49.5" thickBot="1">
      <c r="A76" s="164" t="str">
        <f>CONCATENATE('3 pr-2'!A77)</f>
        <v>1.1.2.1.3</v>
      </c>
      <c r="B76" s="1123" t="str">
        <f>CONCATENATE('3 pr-2'!B77)</f>
        <v>R01-5518-100000-1213</v>
      </c>
      <c r="C76" s="281" t="str">
        <f>CONCATENATE('ketv. 2'!B76)</f>
        <v>04.5.1-TID-R-518-11-0002</v>
      </c>
      <c r="D76" s="164" t="str">
        <f>CONCATENATE('3 pr-2'!D77)</f>
        <v>Ekologiškų transporto priemonių įsigijimas Druskininkų savivaldybėje</v>
      </c>
      <c r="E76" s="164" t="str">
        <f>CONCATENATE('3 pr-2'!E77)</f>
        <v xml:space="preserve">Druskininkų savivaldybės administracija  </v>
      </c>
      <c r="F76" s="164" t="str">
        <f>CONCATENATE('3 pr-2'!F77)</f>
        <v>Lietuvos Respublikos susisiekimo ministerija</v>
      </c>
      <c r="G76" s="164" t="str">
        <f>CONCATENATE('3 pr-2'!G77)</f>
        <v>Druskininkų sav.</v>
      </c>
      <c r="H76" s="164" t="str">
        <f>CONCATENATE('3 pr-2'!H77)</f>
        <v>04.5.1-TID-R-518</v>
      </c>
      <c r="I76" s="164" t="str">
        <f>CONCATENATE('3 pr-2'!I77)</f>
        <v>R</v>
      </c>
      <c r="J76" s="164" t="str">
        <f>CONCATENATE('3 pr-2'!J77)</f>
        <v>-</v>
      </c>
      <c r="K76" s="1080">
        <f>IF(LEN(S76)=5,'3 pr-2'!L77,0)</f>
        <v>840240</v>
      </c>
      <c r="L76" s="1080">
        <f>IF(LEN(S76)=5,'3 pr-2'!O77,0)</f>
        <v>0</v>
      </c>
      <c r="M76" s="1080">
        <f>IF(LEN(S76)=5,'3 pr-2'!R77,0)</f>
        <v>0</v>
      </c>
      <c r="N76" s="1080">
        <f>IF(LEN(S76)=5,'3 pr-2'!U77,0)</f>
        <v>422692</v>
      </c>
      <c r="O76" s="1080">
        <f>IF(LEN(S76)=5,'3 pr-2'!X77,0)</f>
        <v>0</v>
      </c>
      <c r="P76" s="1080">
        <f>IF(LEN(S76)=5,'3 pr-2'!AA77,0)</f>
        <v>417548</v>
      </c>
      <c r="Q76" s="1080">
        <f>IF(LEN(S76)=5,'3 pr-2'!AB77,0)</f>
        <v>0</v>
      </c>
      <c r="R76" s="1104">
        <f>SUM('3 pr-2'!AH77)</f>
        <v>43343</v>
      </c>
      <c r="S76" s="1129">
        <f>IF(SUMIF(Paraiškos!A:A,'ketv. 3'!C76,Paraiškos!H:H)&gt;0,SUMIF(Paraiškos!A:A,'ketv. 3'!C76,Paraiškos!H:H),"–")</f>
        <v>43343</v>
      </c>
      <c r="T76" s="234" t="str">
        <f t="shared" si="27"/>
        <v>–</v>
      </c>
      <c r="U76" s="1462" t="str">
        <f t="shared" si="28"/>
        <v>–</v>
      </c>
    </row>
    <row r="77" spans="1:22" ht="49.5" thickBot="1">
      <c r="A77" s="236" t="str">
        <f>CONCATENATE('3 pr-2'!A78)</f>
        <v>1.1.2.1.4</v>
      </c>
      <c r="B77" s="1123" t="str">
        <f>CONCATENATE('3 pr-2'!B78)</f>
        <v>R01-5518-100000-1214</v>
      </c>
      <c r="C77" s="359" t="str">
        <f>CONCATENATE('ketv. 2'!B77)</f>
        <v>04.5.1-TID-R-518-11-0001</v>
      </c>
      <c r="D77" s="236" t="str">
        <f>CONCATENATE('3 pr-2'!D78)</f>
        <v>Ekologiškų transporto priemonių įsigijimas Lazdijų rajono savivaldybėje</v>
      </c>
      <c r="E77" s="236" t="str">
        <f>CONCATENATE('3 pr-2'!E78)</f>
        <v>Lazdijų rajono savivaldybės administracija</v>
      </c>
      <c r="F77" s="236" t="str">
        <f>CONCATENATE('3 pr-2'!F78)</f>
        <v>Lietuvos Respublikos susisiekimo ministerija</v>
      </c>
      <c r="G77" s="236" t="str">
        <f>CONCATENATE('3 pr-2'!G78)</f>
        <v>Lazdijų r. sav.</v>
      </c>
      <c r="H77" s="236" t="str">
        <f>CONCATENATE('3 pr-2'!H78)</f>
        <v>04.5.1-TID-R-518</v>
      </c>
      <c r="I77" s="236" t="str">
        <f>CONCATENATE('3 pr-2'!I78)</f>
        <v>R</v>
      </c>
      <c r="J77" s="236" t="str">
        <f>CONCATENATE('3 pr-2'!J78)</f>
        <v>-</v>
      </c>
      <c r="K77" s="1080">
        <f>IF(LEN(S77)=5,'3 pr-2'!L78,0)</f>
        <v>262704</v>
      </c>
      <c r="L77" s="1080">
        <f>IF(LEN(S77)=5,'3 pr-2'!O78,0)</f>
        <v>39406</v>
      </c>
      <c r="M77" s="1080">
        <f>IF(LEN(S77)=5,'3 pr-2'!R78,0)</f>
        <v>0</v>
      </c>
      <c r="N77" s="1080">
        <f>IF(LEN(S77)=5,'3 pr-2'!U78,0)</f>
        <v>0</v>
      </c>
      <c r="O77" s="1080">
        <f>IF(LEN(S77)=5,'3 pr-2'!X78,0)</f>
        <v>0</v>
      </c>
      <c r="P77" s="1080">
        <f>IF(LEN(S77)=5,'3 pr-2'!AA78,0)</f>
        <v>223298</v>
      </c>
      <c r="Q77" s="1080">
        <f>IF(LEN(S77)=5,'3 pr-2'!AB78,0)</f>
        <v>0</v>
      </c>
      <c r="R77" s="1114">
        <f>SUM('3 pr-2'!AH78)</f>
        <v>43343</v>
      </c>
      <c r="S77" s="1129">
        <f>IF(SUMIF(Paraiškos!A:A,'ketv. 3'!C77,Paraiškos!H:H)&gt;0,SUMIF(Paraiškos!A:A,'ketv. 3'!C77,Paraiškos!H:H),"–")</f>
        <v>43342</v>
      </c>
      <c r="T77" s="234" t="str">
        <f t="shared" si="27"/>
        <v>–</v>
      </c>
      <c r="U77" s="1462" t="str">
        <f>IF(R77-S77&lt;0,(R77-S77)/30.4166666666667,"–")</f>
        <v>–</v>
      </c>
    </row>
    <row r="78" spans="1:22" ht="36" customHeight="1" thickBot="1">
      <c r="A78" s="296" t="str">
        <f>CONCATENATE('3 pr-2'!A79)</f>
        <v>1.1.2.2</v>
      </c>
      <c r="B78" s="2088" t="str">
        <f>CONCATENATE('3 pr-2'!B79)</f>
        <v>Priemonė:
Darnaus judumo priemonių diegimas</v>
      </c>
      <c r="C78" s="2089"/>
      <c r="D78" s="2089"/>
      <c r="E78" s="2089"/>
      <c r="F78" s="2089"/>
      <c r="G78" s="2089"/>
      <c r="H78" s="2089"/>
      <c r="I78" s="2089"/>
      <c r="J78" s="2090"/>
      <c r="K78" s="1077">
        <f t="shared" ref="K78:O78" si="29">SUM(K79:K84)</f>
        <v>50638</v>
      </c>
      <c r="L78" s="1077">
        <f t="shared" si="29"/>
        <v>7595.7</v>
      </c>
      <c r="M78" s="1077">
        <f t="shared" si="29"/>
        <v>0</v>
      </c>
      <c r="N78" s="1077">
        <f t="shared" si="29"/>
        <v>0</v>
      </c>
      <c r="O78" s="1077">
        <f t="shared" si="29"/>
        <v>0</v>
      </c>
      <c r="P78" s="1077">
        <f>SUM(P79:P84)</f>
        <v>43042.3</v>
      </c>
      <c r="Q78" s="1077">
        <f>SUM(Q79:Q84)</f>
        <v>0</v>
      </c>
      <c r="R78" s="1108"/>
      <c r="S78" s="1109"/>
      <c r="T78" s="358"/>
      <c r="U78" s="1460"/>
    </row>
    <row r="79" spans="1:22" ht="49.5" thickBot="1">
      <c r="A79" s="221" t="str">
        <f>CONCATENATE('3 pr-2'!A80)</f>
        <v>1.1.2.2.1</v>
      </c>
      <c r="B79" s="1123" t="str">
        <f>CONCATENATE('3 pr-2'!B80)</f>
        <v>R01-5514-190000-1221</v>
      </c>
      <c r="C79" s="361" t="str">
        <f>CONCATENATE('ketv. 2'!B79)</f>
        <v/>
      </c>
      <c r="D79" s="578" t="str">
        <f>CONCATENATE('3 pr-2'!D80)</f>
        <v>Darnaus judumo priemonių diegimas Alytaus mieste</v>
      </c>
      <c r="E79" s="578" t="str">
        <f>CONCATENATE('3 pr-2'!E80)</f>
        <v>Alytaus miesto savivaldybės administracija</v>
      </c>
      <c r="F79" s="578" t="str">
        <f>CONCATENATE('3 pr-2'!F80)</f>
        <v>Lietuvos Respublikos susisiekimo ministerija</v>
      </c>
      <c r="G79" s="578" t="str">
        <f>CONCATENATE('3 pr-2'!G80)</f>
        <v>Alytaus m. sav.</v>
      </c>
      <c r="H79" s="578" t="str">
        <f>CONCATENATE('3 pr-2'!H80)</f>
        <v>04.5.1.-TID-R-514</v>
      </c>
      <c r="I79" s="578" t="str">
        <f>CONCATENATE('3 pr-2'!I80)</f>
        <v>R</v>
      </c>
      <c r="J79" s="578" t="str">
        <f>CONCATENATE('3 pr-2'!J80)</f>
        <v>ITI</v>
      </c>
      <c r="K79" s="1080">
        <f>IF(LEN(S79)=5,'3 pr-2'!L80,0)</f>
        <v>0</v>
      </c>
      <c r="L79" s="1080">
        <f>IF(LEN(S79)=5,'3 pr-2'!O80,0)</f>
        <v>0</v>
      </c>
      <c r="M79" s="1080">
        <f>IF(LEN(S79)=5,'3 pr-2'!R80,0)</f>
        <v>0</v>
      </c>
      <c r="N79" s="1080">
        <f>IF(LEN(S79)=5,'3 pr-2'!U80,0)</f>
        <v>0</v>
      </c>
      <c r="O79" s="1080">
        <f>IF(LEN(S79)=5,'3 pr-2'!X80,0)</f>
        <v>0</v>
      </c>
      <c r="P79" s="1080">
        <f>IF(LEN(S79)=5,'3 pr-2'!AA80,0)</f>
        <v>0</v>
      </c>
      <c r="Q79" s="1080">
        <f>IF(LEN(S79)=5,'3 pr-2'!AB80,0)</f>
        <v>0</v>
      </c>
      <c r="R79" s="1133">
        <f>SUM('3 pr-2'!AH80)</f>
        <v>43616</v>
      </c>
      <c r="S79" s="1129" t="str">
        <f>IF(SUMIF(Paraiškos!A:A,'ketv. 3'!C79,Paraiškos!H:H)&gt;0,SUMIF(Paraiškos!A:A,'ketv. 3'!C79,Paraiškos!H:H),"–")</f>
        <v>–</v>
      </c>
      <c r="T79" s="234" t="str">
        <f t="shared" ref="T79:T84" si="30">IF(ISERROR(U79),"–",IF(U79&gt;0,"–",U79))</f>
        <v>–</v>
      </c>
      <c r="U79" s="1463" t="e">
        <f t="shared" ref="U79:U82" si="31">IF(R79-S79&lt;0,(R79-S79)/30.4166666666667,"–")</f>
        <v>#VALUE!</v>
      </c>
    </row>
    <row r="80" spans="1:22" ht="49.5" thickBot="1">
      <c r="A80" s="164" t="str">
        <f>CONCATENATE('3 pr-2'!A81)</f>
        <v>1.1.2.2.2</v>
      </c>
      <c r="B80" s="1123" t="str">
        <f>CONCATENATE('3 pr-2'!B81)</f>
        <v>R01-5514-190000-1222</v>
      </c>
      <c r="C80" s="281" t="str">
        <f>CONCATENATE('ketv. 2'!B80)</f>
        <v>04.5.1-TID-V-513-01-0015</v>
      </c>
      <c r="D80" s="375" t="str">
        <f>CONCATENATE('3 pr-2'!D81)</f>
        <v>Alytaus miesto darnaus judumo plano parengimas</v>
      </c>
      <c r="E80" s="375" t="str">
        <f>CONCATENATE('3 pr-2'!E81)</f>
        <v>Alytaus miesto savivaldybės administracija</v>
      </c>
      <c r="F80" s="375" t="str">
        <f>CONCATENATE('3 pr-2'!F81)</f>
        <v>Lietuvos Respublikos susisiekimo ministerija</v>
      </c>
      <c r="G80" s="375" t="str">
        <f>CONCATENATE('3 pr-2'!G81)</f>
        <v>Alytaus m. sav.</v>
      </c>
      <c r="H80" s="375" t="str">
        <f>CONCATENATE('3 pr-2'!H81)</f>
        <v>04.5.1-TID-V-513</v>
      </c>
      <c r="I80" s="375" t="str">
        <f>CONCATENATE('3 pr-2'!I81)</f>
        <v>V</v>
      </c>
      <c r="J80" s="375" t="str">
        <f>CONCATENATE('3 pr-2'!J81)</f>
        <v>ITI</v>
      </c>
      <c r="K80" s="1080">
        <f>IF(LEN(S80)=5,'3 pr-2'!L81,0)</f>
        <v>33638</v>
      </c>
      <c r="L80" s="1080">
        <f>IF(LEN(S80)=5,'3 pr-2'!O81,0)</f>
        <v>5045.7</v>
      </c>
      <c r="M80" s="1080">
        <f>IF(LEN(S80)=5,'3 pr-2'!R81,0)</f>
        <v>0</v>
      </c>
      <c r="N80" s="1080">
        <f>IF(LEN(S80)=5,'3 pr-2'!U81,0)</f>
        <v>0</v>
      </c>
      <c r="O80" s="1080">
        <f>IF(LEN(S80)=5,'3 pr-2'!X81,0)</f>
        <v>0</v>
      </c>
      <c r="P80" s="1080">
        <f>IF(LEN(S80)=5,'3 pr-2'!AA81,0)</f>
        <v>28592.3</v>
      </c>
      <c r="Q80" s="1080">
        <f>IF(LEN(S80)=5,'3 pr-2'!AB81,0)</f>
        <v>0</v>
      </c>
      <c r="R80" s="1112">
        <f>SUM('3 pr-2'!AH81)</f>
        <v>42855</v>
      </c>
      <c r="S80" s="1129">
        <f>IF(SUMIF(Paraiškos!A:A,'ketv. 3'!C80,Paraiškos!H:H)&gt;0,SUMIF(Paraiškos!A:A,'ketv. 3'!C80,Paraiškos!H:H),"–")</f>
        <v>42838</v>
      </c>
      <c r="T80" s="234" t="str">
        <f t="shared" si="30"/>
        <v>–</v>
      </c>
      <c r="U80" s="1463" t="str">
        <f t="shared" si="31"/>
        <v>–</v>
      </c>
    </row>
    <row r="81" spans="1:21" ht="49.5" thickBot="1">
      <c r="A81" s="164" t="str">
        <f>CONCATENATE('3 pr-2'!A82)</f>
        <v>1.1.2.2.3</v>
      </c>
      <c r="B81" s="1123" t="str">
        <f>CONCATENATE('3 pr-2'!B82)</f>
        <v>R01-5514-191800-1223</v>
      </c>
      <c r="C81" s="281" t="str">
        <f>CONCATENATE('ketv. 2'!B81)</f>
        <v/>
      </c>
      <c r="D81" s="375" t="str">
        <f>CONCATENATE('3 pr-2'!D82)</f>
        <v>Intelektinių transporto sistemų diegimas Druskininkuose</v>
      </c>
      <c r="E81" s="375" t="str">
        <f>CONCATENATE('3 pr-2'!E82)</f>
        <v>Druskininkų savivaldybės administracija</v>
      </c>
      <c r="F81" s="375" t="str">
        <f>CONCATENATE('3 pr-2'!F82)</f>
        <v>Lietuvos Respublikos susisiekimo ministerija</v>
      </c>
      <c r="G81" s="375" t="str">
        <f>CONCATENATE('3 pr-2'!G82)</f>
        <v>Druskininkų sav.</v>
      </c>
      <c r="H81" s="375" t="str">
        <f>CONCATENATE('3 pr-2'!H82)</f>
        <v>04.5.1.-TID-R-514</v>
      </c>
      <c r="I81" s="375" t="str">
        <f>CONCATENATE('3 pr-2'!I82)</f>
        <v>R</v>
      </c>
      <c r="J81" s="375" t="str">
        <f>CONCATENATE('3 pr-2'!J82)</f>
        <v>-</v>
      </c>
      <c r="K81" s="1080">
        <f>IF(LEN(S81)=5,'3 pr-2'!L82,0)</f>
        <v>0</v>
      </c>
      <c r="L81" s="1080">
        <f>IF(LEN(S81)=5,'3 pr-2'!O82,0)</f>
        <v>0</v>
      </c>
      <c r="M81" s="1080">
        <f>IF(LEN(S81)=5,'3 pr-2'!R82,0)</f>
        <v>0</v>
      </c>
      <c r="N81" s="1080">
        <f>IF(LEN(S81)=5,'3 pr-2'!U82,0)</f>
        <v>0</v>
      </c>
      <c r="O81" s="1080">
        <f>IF(LEN(S81)=5,'3 pr-2'!X82,0)</f>
        <v>0</v>
      </c>
      <c r="P81" s="1080">
        <f>IF(LEN(S81)=5,'3 pr-2'!AA82,0)</f>
        <v>0</v>
      </c>
      <c r="Q81" s="1080">
        <f>IF(LEN(S81)=5,'3 pr-2'!AB82,0)</f>
        <v>0</v>
      </c>
      <c r="R81" s="1112">
        <f>SUM('3 pr-2'!AH82)</f>
        <v>43630</v>
      </c>
      <c r="S81" s="1129" t="str">
        <f>IF(SUMIF(Paraiškos!A:A,'ketv. 3'!C81,Paraiškos!H:H)&gt;0,SUMIF(Paraiškos!A:A,'ketv. 3'!C81,Paraiškos!H:H),"–")</f>
        <v>–</v>
      </c>
      <c r="T81" s="234" t="str">
        <f t="shared" si="30"/>
        <v>–</v>
      </c>
      <c r="U81" s="1463" t="e">
        <f t="shared" si="31"/>
        <v>#VALUE!</v>
      </c>
    </row>
    <row r="82" spans="1:21" ht="49.5" thickBot="1">
      <c r="A82" s="164" t="str">
        <f>CONCATENATE('3 pr-2'!A83)</f>
        <v>1.1.2.2.4</v>
      </c>
      <c r="B82" s="1123" t="str">
        <f>CONCATENATE('3 pr-2'!B83)</f>
        <v>R01-5514-190000-1224</v>
      </c>
      <c r="C82" s="281" t="str">
        <f>CONCATENATE('ketv. 2'!B82)</f>
        <v>04.5.1-TID-V-513-01-0006</v>
      </c>
      <c r="D82" s="375" t="str">
        <f>CONCATENATE('3 pr-2'!D83)</f>
        <v>Darnaus judumo plano Druskininkuose parengimas</v>
      </c>
      <c r="E82" s="375" t="str">
        <f>CONCATENATE('3 pr-2'!E83)</f>
        <v>Druskininkų savivaldybės administracija</v>
      </c>
      <c r="F82" s="375" t="str">
        <f>CONCATENATE('3 pr-2'!F83)</f>
        <v>Lietuvos Respublikos susisiekimo ministerija</v>
      </c>
      <c r="G82" s="375" t="str">
        <f>CONCATENATE('3 pr-2'!G83)</f>
        <v>Druskininkų sav.</v>
      </c>
      <c r="H82" s="375" t="str">
        <f>CONCATENATE('3 pr-2'!H83)</f>
        <v>04.5.1-TID-V-513</v>
      </c>
      <c r="I82" s="375" t="str">
        <f>CONCATENATE('3 pr-2'!I83)</f>
        <v>V</v>
      </c>
      <c r="J82" s="375" t="str">
        <f>CONCATENATE('3 pr-2'!J83)</f>
        <v>ITI</v>
      </c>
      <c r="K82" s="1080">
        <f>IF(LEN(S82)=5,'3 pr-2'!L83,0)</f>
        <v>17000</v>
      </c>
      <c r="L82" s="1080">
        <f>IF(LEN(S82)=5,'3 pr-2'!O83,0)</f>
        <v>2550</v>
      </c>
      <c r="M82" s="1080">
        <f>IF(LEN(S82)=5,'3 pr-2'!R83,0)</f>
        <v>0</v>
      </c>
      <c r="N82" s="1080">
        <f>IF(LEN(S82)=5,'3 pr-2'!U83,0)</f>
        <v>0</v>
      </c>
      <c r="O82" s="1080">
        <f>IF(LEN(S82)=5,'3 pr-2'!X83,0)</f>
        <v>0</v>
      </c>
      <c r="P82" s="1080">
        <f>IF(LEN(S82)=5,'3 pr-2'!AA83,0)</f>
        <v>14450</v>
      </c>
      <c r="Q82" s="1080">
        <f>IF(LEN(S82)=5,'3 pr-2'!AB83,0)</f>
        <v>0</v>
      </c>
      <c r="R82" s="1112">
        <f>SUM('3 pr-2'!AH83)</f>
        <v>42735</v>
      </c>
      <c r="S82" s="1129">
        <f>IF(SUMIF(Paraiškos!A:A,'ketv. 3'!C82,Paraiškos!H:H)&gt;0,SUMIF(Paraiškos!A:A,'ketv. 3'!C82,Paraiškos!H:H),"–")</f>
        <v>42718</v>
      </c>
      <c r="T82" s="234" t="str">
        <f t="shared" si="30"/>
        <v>–</v>
      </c>
      <c r="U82" s="1463" t="str">
        <f t="shared" si="31"/>
        <v>–</v>
      </c>
    </row>
    <row r="83" spans="1:21" ht="49.5" thickBot="1">
      <c r="A83" s="375" t="str">
        <f>CONCATENATE('3 pr-2'!A84)</f>
        <v>1.1.2.2.5</v>
      </c>
      <c r="B83" s="1123" t="str">
        <f>CONCATENATE('3 pr-2'!B84)</f>
        <v>R01-5514-190000-1225</v>
      </c>
      <c r="C83" s="822" t="str">
        <f>CONCATENATE('ketv. 2'!B83)</f>
        <v/>
      </c>
      <c r="D83" s="375" t="str">
        <f>CONCATENATE('3 pr-2'!D84)</f>
        <v>Viešojo transporto organizavimo tobulinimas rekonstruojant Druskininkų miesto gatvių infrastruktūrą</v>
      </c>
      <c r="E83" s="375" t="str">
        <f>CONCATENATE('3 pr-2'!E84)</f>
        <v>Druskininkų savivaldybės administracija</v>
      </c>
      <c r="F83" s="375" t="str">
        <f>CONCATENATE('3 pr-2'!F84)</f>
        <v>Lietuvos Respublikos susisiekimo ministerija</v>
      </c>
      <c r="G83" s="375" t="str">
        <f>CONCATENATE('3 pr-2'!G84)</f>
        <v>Druskininkų sav.</v>
      </c>
      <c r="H83" s="375" t="str">
        <f>CONCATENATE('3 pr-2'!H84)</f>
        <v>04.5.1.-TID-R-514</v>
      </c>
      <c r="I83" s="375" t="str">
        <f>CONCATENATE('3 pr-2'!I84)</f>
        <v>R</v>
      </c>
      <c r="J83" s="375" t="str">
        <f>CONCATENATE('3 pr-2'!J84)</f>
        <v>-</v>
      </c>
      <c r="K83" s="1080">
        <f>IF(LEN(S83)=5,'3 pr-2'!L84,0)</f>
        <v>0</v>
      </c>
      <c r="L83" s="1080">
        <f>IF(LEN(S83)=5,'3 pr-2'!O84,0)</f>
        <v>0</v>
      </c>
      <c r="M83" s="1080">
        <f>IF(LEN(S83)=5,'3 pr-2'!R84,0)</f>
        <v>0</v>
      </c>
      <c r="N83" s="1080">
        <f>IF(LEN(S83)=5,'3 pr-2'!U84,0)</f>
        <v>0</v>
      </c>
      <c r="O83" s="1080">
        <f>IF(LEN(S83)=5,'3 pr-2'!X84,0)</f>
        <v>0</v>
      </c>
      <c r="P83" s="1080">
        <f>IF(LEN(S83)=5,'3 pr-2'!AA84,0)</f>
        <v>0</v>
      </c>
      <c r="Q83" s="1080">
        <f>IF(LEN(S83)=5,'3 pr-2'!AB84,0)</f>
        <v>0</v>
      </c>
      <c r="R83" s="1112">
        <f>SUM('3 pr-2'!AH84)</f>
        <v>43630</v>
      </c>
      <c r="S83" s="1129" t="str">
        <f>IF(SUMIF(Paraiškos!A:A,'ketv. 3'!C83,Paraiškos!H:H)&gt;0,SUMIF(Paraiškos!A:A,'ketv. 3'!C83,Paraiškos!H:H),"–")</f>
        <v>–</v>
      </c>
      <c r="T83" s="234" t="str">
        <f t="shared" si="30"/>
        <v>–</v>
      </c>
      <c r="U83" s="1463" t="e">
        <f t="shared" ref="U83:U84" si="32">IF(R83-S83&lt;0,(R83-S83)/30.4166666666667,"–")</f>
        <v>#VALUE!</v>
      </c>
    </row>
    <row r="84" spans="1:21" ht="49.5" thickBot="1">
      <c r="A84" s="375" t="str">
        <f>CONCATENATE('3 pr-2'!A85)</f>
        <v>1.1.2.2.6</v>
      </c>
      <c r="B84" s="1123" t="str">
        <f>CONCATENATE('3 pr-2'!B85)</f>
        <v>R01-5514-190000-1226</v>
      </c>
      <c r="C84" s="822" t="str">
        <f>CONCATENATE('ketv. 2'!B84)</f>
        <v/>
      </c>
      <c r="D84" s="375" t="str">
        <f>CONCATENATE('3 pr-2'!D85)</f>
        <v>Vandens transporto infrastruktūros įrengimas skatinant kitų rūšių transportą</v>
      </c>
      <c r="E84" s="375" t="str">
        <f>CONCATENATE('3 pr-2'!E85)</f>
        <v>Druskininkų savivaldybės administracija</v>
      </c>
      <c r="F84" s="375" t="str">
        <f>CONCATENATE('3 pr-2'!F85)</f>
        <v>Lietuvos Respublikos susisiekimo ministerija</v>
      </c>
      <c r="G84" s="375" t="str">
        <f>CONCATENATE('3 pr-2'!G85)</f>
        <v>Druskininkų sav.</v>
      </c>
      <c r="H84" s="375" t="str">
        <f>CONCATENATE('3 pr-2'!H85)</f>
        <v>04.5.1.-TID-R-514</v>
      </c>
      <c r="I84" s="375" t="str">
        <f>CONCATENATE('3 pr-2'!I85)</f>
        <v>R</v>
      </c>
      <c r="J84" s="375" t="str">
        <f>CONCATENATE('3 pr-2'!J85)</f>
        <v>-</v>
      </c>
      <c r="K84" s="1080">
        <f>IF(LEN(S84)=5,'3 pr-2'!L85,0)</f>
        <v>0</v>
      </c>
      <c r="L84" s="1080">
        <f>IF(LEN(S84)=5,'3 pr-2'!O85,0)</f>
        <v>0</v>
      </c>
      <c r="M84" s="1080">
        <f>IF(LEN(S84)=5,'3 pr-2'!R85,0)</f>
        <v>0</v>
      </c>
      <c r="N84" s="1080">
        <f>IF(LEN(S84)=5,'3 pr-2'!U85,0)</f>
        <v>0</v>
      </c>
      <c r="O84" s="1080">
        <f>IF(LEN(S84)=5,'3 pr-2'!X85,0)</f>
        <v>0</v>
      </c>
      <c r="P84" s="1080">
        <f>IF(LEN(S84)=5,'3 pr-2'!AA85,0)</f>
        <v>0</v>
      </c>
      <c r="Q84" s="1080">
        <f>IF(LEN(S84)=5,'3 pr-2'!AB85,0)</f>
        <v>0</v>
      </c>
      <c r="R84" s="1112">
        <f>SUM('3 pr-2'!AH85)</f>
        <v>43736</v>
      </c>
      <c r="S84" s="1129" t="str">
        <f>IF(SUMIF(Paraiškos!A:A,'ketv. 3'!C84,Paraiškos!H:H)&gt;0,SUMIF(Paraiškos!A:A,'ketv. 3'!C84,Paraiškos!H:H),"–")</f>
        <v>–</v>
      </c>
      <c r="T84" s="234" t="str">
        <f t="shared" si="30"/>
        <v>–</v>
      </c>
      <c r="U84" s="1463" t="e">
        <f t="shared" si="32"/>
        <v>#VALUE!</v>
      </c>
    </row>
    <row r="85" spans="1:21" ht="36.75" customHeight="1" thickBot="1">
      <c r="A85" s="296" t="str">
        <f>CONCATENATE('3 pr-2'!A86)</f>
        <v>1.1.2.3</v>
      </c>
      <c r="B85" s="2088" t="str">
        <f>CONCATENATE('3 pr-2'!B86)</f>
        <v>Priemonė:
Pėsčiųjų ir dviračių takų rekonstrukcija ir plėtra</v>
      </c>
      <c r="C85" s="2089"/>
      <c r="D85" s="2089"/>
      <c r="E85" s="2089"/>
      <c r="F85" s="2089"/>
      <c r="G85" s="2089"/>
      <c r="H85" s="2089"/>
      <c r="I85" s="2089"/>
      <c r="J85" s="2090"/>
      <c r="K85" s="1077">
        <f t="shared" ref="K85:Q85" si="33">SUM(K86:K90)</f>
        <v>500953.05</v>
      </c>
      <c r="L85" s="1077">
        <f t="shared" si="33"/>
        <v>85292.359999999986</v>
      </c>
      <c r="M85" s="1077">
        <f t="shared" si="33"/>
        <v>0</v>
      </c>
      <c r="N85" s="1077">
        <f t="shared" si="33"/>
        <v>0</v>
      </c>
      <c r="O85" s="1077">
        <f t="shared" si="33"/>
        <v>0</v>
      </c>
      <c r="P85" s="1077">
        <f t="shared" si="33"/>
        <v>415660.69</v>
      </c>
      <c r="Q85" s="1077">
        <f t="shared" si="33"/>
        <v>0</v>
      </c>
      <c r="R85" s="1108"/>
      <c r="S85" s="1109"/>
      <c r="T85" s="358"/>
      <c r="U85" s="1460"/>
    </row>
    <row r="86" spans="1:21" ht="49.5" thickBot="1">
      <c r="A86" s="164" t="str">
        <f>CONCATENATE('3 pr-2'!A87)</f>
        <v>1.1.2.3.1</v>
      </c>
      <c r="B86" s="1123" t="str">
        <f>CONCATENATE('3 pr-2'!B87)</f>
        <v>R01-5516-190000-1231</v>
      </c>
      <c r="C86" s="281" t="str">
        <f>CONCATENATE('ketv. 2'!B86)</f>
        <v>04.5.1-TID-R-516-11-0004</v>
      </c>
      <c r="D86" s="164" t="str">
        <f>CONCATENATE('3 pr-2'!D87)</f>
        <v>Dviračių ir pėsčiųjų takų įrengimas Varėnos miesto J. Basanavičiaus ir Žiedo gatvėse</v>
      </c>
      <c r="E86" s="164" t="str">
        <f>CONCATENATE('3 pr-2'!E87)</f>
        <v>Varėnos rajono savivaldybės administracija</v>
      </c>
      <c r="F86" s="164" t="str">
        <f>CONCATENATE('3 pr-2'!F87)</f>
        <v>Lietuvos Respublikos susisiekimo ministerija</v>
      </c>
      <c r="G86" s="164" t="str">
        <f>CONCATENATE('3 pr-2'!G87)</f>
        <v>Varėnos r. sav.</v>
      </c>
      <c r="H86" s="164" t="str">
        <f>CONCATENATE('3 pr-2'!H87)</f>
        <v>04.5.1-TID-R-516</v>
      </c>
      <c r="I86" s="164" t="str">
        <f>CONCATENATE('3 pr-2'!I87)</f>
        <v>R</v>
      </c>
      <c r="J86" s="164" t="str">
        <f>CONCATENATE('3 pr-2'!J87)</f>
        <v>ITI</v>
      </c>
      <c r="K86" s="1080">
        <f>IF(LEN(S86)=5,'3 pr-2'!L87,0)</f>
        <v>103306</v>
      </c>
      <c r="L86" s="1080">
        <f>IF(LEN(S86)=5,'3 pr-2'!O87,0)</f>
        <v>15496</v>
      </c>
      <c r="M86" s="1080">
        <f>IF(LEN(S86)=5,'3 pr-2'!R87,0)</f>
        <v>0</v>
      </c>
      <c r="N86" s="1080">
        <f>IF(LEN(S86)=5,'3 pr-2'!U87,0)</f>
        <v>0</v>
      </c>
      <c r="O86" s="1080">
        <f>IF(LEN(S86)=5,'3 pr-2'!X87,0)</f>
        <v>0</v>
      </c>
      <c r="P86" s="1080">
        <f>IF(LEN(S86)=5,'3 pr-2'!AA87,0)</f>
        <v>87810</v>
      </c>
      <c r="Q86" s="1080">
        <f>IF(LEN(S86)=5,'3 pr-2'!AB87,0)</f>
        <v>0</v>
      </c>
      <c r="R86" s="1104">
        <f>SUM('3 pr-2'!AH87)</f>
        <v>43100</v>
      </c>
      <c r="S86" s="1129">
        <f>IF(SUMIF(Paraiškos!A:A,'ketv. 3'!C86,Paraiškos!H:H)&gt;0,SUMIF(Paraiškos!A:A,'ketv. 3'!C86,Paraiškos!H:H),"–")</f>
        <v>43098</v>
      </c>
      <c r="T86" s="234" t="str">
        <f t="shared" ref="T86:T90" si="34">IF(ISERROR(U86),"–",IF(U86&gt;0,"–",U86))</f>
        <v>–</v>
      </c>
      <c r="U86" s="1462" t="str">
        <f t="shared" ref="U86:U90" si="35">IF(R86-S86&lt;0,(R86-S86)/30.4166666666667,"–")</f>
        <v>–</v>
      </c>
    </row>
    <row r="87" spans="1:21" ht="49.5" thickBot="1">
      <c r="A87" s="164" t="str">
        <f>CONCATENATE('3 pr-2'!A88)</f>
        <v>1.1.2.3.2</v>
      </c>
      <c r="B87" s="1123" t="str">
        <f>CONCATENATE('3 pr-2'!B88)</f>
        <v>R01-5516-190000-1232</v>
      </c>
      <c r="C87" s="281" t="str">
        <f>CONCATENATE('ketv. 2'!B87)</f>
        <v>04.5.1-TID-R-516-11-0001</v>
      </c>
      <c r="D87" s="164" t="str">
        <f>CONCATENATE('3 pr-2'!D88)</f>
        <v>Dviračių trasų infrastruktūros įrengimas nuo Putinų g. žiedo Pramonės gatvėje, Alytaus mieste</v>
      </c>
      <c r="E87" s="164" t="str">
        <f>CONCATENATE('3 pr-2'!E88)</f>
        <v>Alytaus miesto savivaldybės administracija</v>
      </c>
      <c r="F87" s="164" t="str">
        <f>CONCATENATE('3 pr-2'!F88)</f>
        <v>Lietuvos Respublikos susisiekimo ministerija</v>
      </c>
      <c r="G87" s="164" t="str">
        <f>CONCATENATE('3 pr-2'!G88)</f>
        <v>Alytaus m. sav.</v>
      </c>
      <c r="H87" s="164" t="str">
        <f>CONCATENATE('3 pr-2'!H88)</f>
        <v>04.5.1-TID-R-516</v>
      </c>
      <c r="I87" s="164" t="str">
        <f>CONCATENATE('3 pr-2'!I88)</f>
        <v>R</v>
      </c>
      <c r="J87" s="164" t="str">
        <f>CONCATENATE('3 pr-2'!J88)</f>
        <v>ITI</v>
      </c>
      <c r="K87" s="1080">
        <f>IF(LEN(S87)=5,'3 pr-2'!L88,0)</f>
        <v>133670.07</v>
      </c>
      <c r="L87" s="1080">
        <f>IF(LEN(S87)=5,'3 pr-2'!O88,0)</f>
        <v>20050.509999999998</v>
      </c>
      <c r="M87" s="1080">
        <f>IF(LEN(S87)=5,'3 pr-2'!R88,0)</f>
        <v>0</v>
      </c>
      <c r="N87" s="1080">
        <f>IF(LEN(S87)=5,'3 pr-2'!U88,0)</f>
        <v>0</v>
      </c>
      <c r="O87" s="1080">
        <f>IF(LEN(S87)=5,'3 pr-2'!X88,0)</f>
        <v>0</v>
      </c>
      <c r="P87" s="1080">
        <f>IF(LEN(S87)=5,'3 pr-2'!AA88,0)</f>
        <v>113619.56</v>
      </c>
      <c r="Q87" s="1080">
        <f>IF(LEN(S87)=5,'3 pr-2'!AB88,0)</f>
        <v>0</v>
      </c>
      <c r="R87" s="1104">
        <f>SUM('3 pr-2'!AH88)</f>
        <v>42916</v>
      </c>
      <c r="S87" s="1129">
        <f>IF(SUMIF(Paraiškos!A:A,'ketv. 3'!C87,Paraiškos!H:H)&gt;0,SUMIF(Paraiškos!A:A,'ketv. 3'!C87,Paraiškos!H:H),"–")</f>
        <v>42914</v>
      </c>
      <c r="T87" s="234" t="str">
        <f t="shared" si="34"/>
        <v>–</v>
      </c>
      <c r="U87" s="1462" t="str">
        <f t="shared" si="35"/>
        <v>–</v>
      </c>
    </row>
    <row r="88" spans="1:21" ht="49.5" thickBot="1">
      <c r="A88" s="164" t="str">
        <f>CONCATENATE('3 pr-2'!A89)</f>
        <v>1.1.2.3.3</v>
      </c>
      <c r="B88" s="1123" t="str">
        <f>CONCATENATE('3 pr-2'!B89)</f>
        <v>R01-5516-190000-1233</v>
      </c>
      <c r="C88" s="281" t="str">
        <f>CONCATENATE('ketv. 2'!B88)</f>
        <v>04.5.1-TID-R-516-11-0002</v>
      </c>
      <c r="D88" s="164" t="str">
        <f>CONCATENATE('3 pr-2'!D89)</f>
        <v>Dviračių ir pėsčiųjų takų plėtra Lazdijų miesto Turistų gatvėje iki sodų bendrijos „Baltasis“ Lazdijų seniūnijoje</v>
      </c>
      <c r="E88" s="164" t="str">
        <f>CONCATENATE('3 pr-2'!E89)</f>
        <v>Lazdijų rajono savivaldybės administracija</v>
      </c>
      <c r="F88" s="164" t="str">
        <f>CONCATENATE('3 pr-2'!F89)</f>
        <v>Lietuvos Respublikos susisiekimo ministerija</v>
      </c>
      <c r="G88" s="164" t="str">
        <f>CONCATENATE('3 pr-2'!G89)</f>
        <v>Lazdijų r. sav.</v>
      </c>
      <c r="H88" s="164" t="str">
        <f>CONCATENATE('3 pr-2'!H89)</f>
        <v>04.5.1-TID-R-516</v>
      </c>
      <c r="I88" s="164" t="str">
        <f>CONCATENATE('3 pr-2'!I89)</f>
        <v>R</v>
      </c>
      <c r="J88" s="164" t="str">
        <f>CONCATENATE('3 pr-2'!J89)</f>
        <v>ITI</v>
      </c>
      <c r="K88" s="1080">
        <f>IF(LEN(S88)=5,'3 pr-2'!L89,0)</f>
        <v>93938.42</v>
      </c>
      <c r="L88" s="1080">
        <f>IF(LEN(S88)=5,'3 pr-2'!O89,0)</f>
        <v>20437.419999999998</v>
      </c>
      <c r="M88" s="1080">
        <f>IF(LEN(S88)=5,'3 pr-2'!R89,0)</f>
        <v>0</v>
      </c>
      <c r="N88" s="1080">
        <f>IF(LEN(S88)=5,'3 pr-2'!U89,0)</f>
        <v>0</v>
      </c>
      <c r="O88" s="1080">
        <f>IF(LEN(S88)=5,'3 pr-2'!X89,0)</f>
        <v>0</v>
      </c>
      <c r="P88" s="1080">
        <f>IF(LEN(S88)=5,'3 pr-2'!AA89,0)</f>
        <v>73501</v>
      </c>
      <c r="Q88" s="1080">
        <f>IF(LEN(S88)=5,'3 pr-2'!AB89,0)</f>
        <v>0</v>
      </c>
      <c r="R88" s="1104">
        <f>SUM('3 pr-2'!AH89)</f>
        <v>43010</v>
      </c>
      <c r="S88" s="1129">
        <f>IF(SUMIF(Paraiškos!A:A,'ketv. 3'!C88,Paraiškos!H:H)&gt;0,SUMIF(Paraiškos!A:A,'ketv. 3'!C88,Paraiškos!H:H),"–")</f>
        <v>43007</v>
      </c>
      <c r="T88" s="234" t="str">
        <f t="shared" si="34"/>
        <v>–</v>
      </c>
      <c r="U88" s="1462" t="str">
        <f t="shared" si="35"/>
        <v>–</v>
      </c>
    </row>
    <row r="89" spans="1:21" ht="49.5" thickBot="1">
      <c r="A89" s="164" t="str">
        <f>CONCATENATE('3 pr-2'!A90)</f>
        <v>1.1.2.3.4</v>
      </c>
      <c r="B89" s="1123" t="str">
        <f>CONCATENATE('3 pr-2'!B90)</f>
        <v>R01-5516-190000-1234</v>
      </c>
      <c r="C89" s="281" t="str">
        <f>CONCATENATE('ketv. 2'!B89)</f>
        <v>04.5.1-TID-R-516-11-0005</v>
      </c>
      <c r="D89" s="164" t="str">
        <f>CONCATENATE('3 pr-2'!D90)</f>
        <v>Pėsčiųjų ir dviračių takų plėtra Simno seniūnijoje</v>
      </c>
      <c r="E89" s="164" t="str">
        <f>CONCATENATE('3 pr-2'!E90)</f>
        <v>Alytaus rajono savivaldybės administracija</v>
      </c>
      <c r="F89" s="164" t="str">
        <f>CONCATENATE('3 pr-2'!F90)</f>
        <v>Lietuvos Respublikos susisiekimo ministerija</v>
      </c>
      <c r="G89" s="164" t="str">
        <f>CONCATENATE('3 pr-2'!G90)</f>
        <v>Alytaus r. sav.</v>
      </c>
      <c r="H89" s="164" t="str">
        <f>CONCATENATE('3 pr-2'!H90)</f>
        <v>04.5.1-TID-R-516</v>
      </c>
      <c r="I89" s="164" t="str">
        <f>CONCATENATE('3 pr-2'!I90)</f>
        <v>R</v>
      </c>
      <c r="J89" s="164" t="str">
        <f>CONCATENATE('3 pr-2'!J90)</f>
        <v>-</v>
      </c>
      <c r="K89" s="1080">
        <f>IF(LEN(S89)=5,'3 pr-2'!L90,0)</f>
        <v>98949.56</v>
      </c>
      <c r="L89" s="1080">
        <f>IF(LEN(S89)=5,'3 pr-2'!O90,0)</f>
        <v>14842.43</v>
      </c>
      <c r="M89" s="1080">
        <f>IF(LEN(S89)=5,'3 pr-2'!R90,0)</f>
        <v>0</v>
      </c>
      <c r="N89" s="1080">
        <f>IF(LEN(S89)=5,'3 pr-2'!U90,0)</f>
        <v>0</v>
      </c>
      <c r="O89" s="1080">
        <f>IF(LEN(S89)=5,'3 pr-2'!X90,0)</f>
        <v>0</v>
      </c>
      <c r="P89" s="1080">
        <f>IF(LEN(S89)=5,'3 pr-2'!AA90,0)</f>
        <v>84107.13</v>
      </c>
      <c r="Q89" s="1080">
        <f>IF(LEN(S89)=5,'3 pr-2'!AB90,0)</f>
        <v>0</v>
      </c>
      <c r="R89" s="1104">
        <f>SUM('3 pr-2'!AH90)</f>
        <v>43131</v>
      </c>
      <c r="S89" s="1129">
        <f>IF(SUMIF(Paraiškos!A:A,'ketv. 3'!C89,Paraiškos!H:H)&gt;0,SUMIF(Paraiškos!A:A,'ketv. 3'!C89,Paraiškos!H:H),"–")</f>
        <v>43131</v>
      </c>
      <c r="T89" s="234" t="str">
        <f t="shared" si="34"/>
        <v>–</v>
      </c>
      <c r="U89" s="1462" t="str">
        <f t="shared" si="35"/>
        <v>–</v>
      </c>
    </row>
    <row r="90" spans="1:21" ht="49.5" thickBot="1">
      <c r="A90" s="164" t="str">
        <f>CONCATENATE('3 pr-2'!A91)</f>
        <v>1.1.2.3.5</v>
      </c>
      <c r="B90" s="1123" t="str">
        <f>CONCATENATE('3 pr-2'!B91)</f>
        <v>R01-5516-190000-1235</v>
      </c>
      <c r="C90" s="281" t="str">
        <f>CONCATENATE('ketv. 2'!B90)</f>
        <v>04.5.1-TID-R-516-11-0006</v>
      </c>
      <c r="D90" s="164" t="str">
        <f>CONCATENATE('3 pr-2'!D91)</f>
        <v>Dviračių ir pėsčiųjų tako, esančio šalia Ratnyčios upelio Druskininkų mieste, rekonstrukcija</v>
      </c>
      <c r="E90" s="164" t="str">
        <f>CONCATENATE('3 pr-2'!E91)</f>
        <v xml:space="preserve">Druskininkų savivaldybės administracija  </v>
      </c>
      <c r="F90" s="164" t="str">
        <f>CONCATENATE('3 pr-2'!F91)</f>
        <v>Lietuvos Respublikos susisiekimo ministerija</v>
      </c>
      <c r="G90" s="164" t="str">
        <f>CONCATENATE('3 pr-2'!G91)</f>
        <v>Druskininkų sav.</v>
      </c>
      <c r="H90" s="164" t="str">
        <f>CONCATENATE('3 pr-2'!H91)</f>
        <v>04.5.1-TID-R-516</v>
      </c>
      <c r="I90" s="164" t="str">
        <f>CONCATENATE('3 pr-2'!I91)</f>
        <v>R</v>
      </c>
      <c r="J90" s="164" t="str">
        <f>CONCATENATE('3 pr-2'!J91)</f>
        <v>-</v>
      </c>
      <c r="K90" s="1080">
        <f>IF(LEN(S90)=5,'3 pr-2'!L91,0)</f>
        <v>71089</v>
      </c>
      <c r="L90" s="1080">
        <f>IF(LEN(S90)=5,'3 pr-2'!O91,0)</f>
        <v>14466</v>
      </c>
      <c r="M90" s="1080">
        <f>IF(LEN(S90)=5,'3 pr-2'!R91,0)</f>
        <v>0</v>
      </c>
      <c r="N90" s="1080">
        <f>IF(LEN(S90)=5,'3 pr-2'!U91,0)</f>
        <v>0</v>
      </c>
      <c r="O90" s="1080">
        <f>IF(LEN(S90)=5,'3 pr-2'!X91,0)</f>
        <v>0</v>
      </c>
      <c r="P90" s="1080">
        <f>IF(LEN(S90)=5,'3 pr-2'!AA91,0)</f>
        <v>56623</v>
      </c>
      <c r="Q90" s="1080">
        <f>IF(LEN(S90)=5,'3 pr-2'!AB91,0)</f>
        <v>0</v>
      </c>
      <c r="R90" s="1104">
        <f>SUM('3 pr-2'!AH91)</f>
        <v>43510</v>
      </c>
      <c r="S90" s="1129">
        <f>IF(SUMIF(Paraiškos!A:A,'ketv. 3'!C90,Paraiškos!H:H)&gt;0,SUMIF(Paraiškos!A:A,'ketv. 3'!C90,Paraiškos!H:H),"–")</f>
        <v>43508</v>
      </c>
      <c r="T90" s="234" t="str">
        <f t="shared" si="34"/>
        <v>–</v>
      </c>
      <c r="U90" s="1462" t="str">
        <f t="shared" si="35"/>
        <v>–</v>
      </c>
    </row>
    <row r="91" spans="1:21" ht="42.75" customHeight="1" thickBot="1">
      <c r="A91" s="296" t="str">
        <f>CONCATENATE('3 pr-2'!A92)</f>
        <v>1.1.2.4</v>
      </c>
      <c r="B91" s="2088" t="str">
        <f>CONCATENATE('3 pr-2'!B92)</f>
        <v>Priemonė:
Vietinių kelių techninių parametrų ir eismo saugos gerinimas</v>
      </c>
      <c r="C91" s="2089"/>
      <c r="D91" s="2089"/>
      <c r="E91" s="2089"/>
      <c r="F91" s="2089"/>
      <c r="G91" s="2089"/>
      <c r="H91" s="2089"/>
      <c r="I91" s="2089"/>
      <c r="J91" s="2090"/>
      <c r="K91" s="1077">
        <f>SUM(K92:K98)</f>
        <v>4315878.84</v>
      </c>
      <c r="L91" s="1077">
        <f t="shared" ref="L91:Q91" si="36">SUM(L92:L98)</f>
        <v>1217686.06</v>
      </c>
      <c r="M91" s="1077">
        <f t="shared" si="36"/>
        <v>0</v>
      </c>
      <c r="N91" s="1077">
        <f t="shared" si="36"/>
        <v>0</v>
      </c>
      <c r="O91" s="1077">
        <f t="shared" si="36"/>
        <v>62660</v>
      </c>
      <c r="P91" s="1077">
        <f t="shared" si="36"/>
        <v>3035532.7800000003</v>
      </c>
      <c r="Q91" s="1077">
        <f t="shared" si="36"/>
        <v>0</v>
      </c>
      <c r="R91" s="1108"/>
      <c r="S91" s="1109"/>
      <c r="T91" s="358"/>
      <c r="U91" s="1460"/>
    </row>
    <row r="92" spans="1:21" ht="54" customHeight="1" thickBot="1">
      <c r="A92" s="164" t="str">
        <f>CONCATENATE('3 pr-2'!A93)</f>
        <v>1.1.2.4.1</v>
      </c>
      <c r="B92" s="1123" t="str">
        <f>CONCATENATE('3 pr-2'!B93)</f>
        <v>R01-5511-120000-1241</v>
      </c>
      <c r="C92" s="281" t="str">
        <f>CONCATENATE('ketv. 2'!B92)</f>
        <v>06.2.1-TID-R-511-11-0002</v>
      </c>
      <c r="D92" s="164" t="str">
        <f>CONCATENATE('3 pr-2'!D93)</f>
        <v>Varėnos miesto J. Basanavičiaus, Savanorių, M. K. Čiurlionio gatvių rekonstrukcija</v>
      </c>
      <c r="E92" s="164" t="str">
        <f>CONCATENATE('3 pr-2'!E93)</f>
        <v>Varėnos rajono savivaldybės administracija</v>
      </c>
      <c r="F92" s="164" t="str">
        <f>CONCATENATE('3 pr-2'!F93)</f>
        <v>Lietuvos Respublikos susisiekimo ministerija</v>
      </c>
      <c r="G92" s="164" t="str">
        <f>CONCATENATE('3 pr-2'!G93)</f>
        <v>Varėnos r. sav.</v>
      </c>
      <c r="H92" s="164" t="str">
        <f>CONCATENATE('3 pr-2'!H93)</f>
        <v>06.2.1-TID-R-511</v>
      </c>
      <c r="I92" s="164" t="str">
        <f>CONCATENATE('3 pr-2'!I93)</f>
        <v>R</v>
      </c>
      <c r="J92" s="164" t="str">
        <f>CONCATENATE('3 pr-2'!J93)</f>
        <v>ITI</v>
      </c>
      <c r="K92" s="1080">
        <f>IF(LEN(S92)=5,'3 pr-2'!L93,0)</f>
        <v>835464</v>
      </c>
      <c r="L92" s="1080">
        <f>IF(LEN(S92)=5,'3 pr-2'!O93,0)</f>
        <v>62660</v>
      </c>
      <c r="M92" s="1080">
        <f>IF(LEN(S92)=5,'3 pr-2'!R93,0)</f>
        <v>0</v>
      </c>
      <c r="N92" s="1080">
        <f>IF(LEN(S92)=5,'3 pr-2'!U93,0)</f>
        <v>0</v>
      </c>
      <c r="O92" s="1080">
        <f>IF(LEN(S92)=5,'3 pr-2'!X93,0)</f>
        <v>62660</v>
      </c>
      <c r="P92" s="1080">
        <f>IF(LEN(S92)=5,'3 pr-2'!AA93,0)</f>
        <v>710144</v>
      </c>
      <c r="Q92" s="1080">
        <f>IF(LEN(S92)=5,'3 pr-2'!AB93,0)</f>
        <v>0</v>
      </c>
      <c r="R92" s="1104">
        <f>SUM('3 pr-2'!AH93)</f>
        <v>42887</v>
      </c>
      <c r="S92" s="1129">
        <f>IF(SUMIF(Paraiškos!A:A,'ketv. 3'!C92,Paraiškos!H:H)&gt;0,SUMIF(Paraiškos!A:A,'ketv. 3'!C92,Paraiškos!H:H),"–")</f>
        <v>42887</v>
      </c>
      <c r="T92" s="234" t="str">
        <f t="shared" ref="T92:T98" si="37">IF(ISERROR(U92),"–",U92)</f>
        <v>–</v>
      </c>
      <c r="U92" s="1462" t="str">
        <f t="shared" ref="U92:U97" si="38">IF(R92-S92&lt;0,(R92-S92)/30.4166666666667,"–")</f>
        <v>–</v>
      </c>
    </row>
    <row r="93" spans="1:21" ht="54" customHeight="1" thickBot="1">
      <c r="A93" s="164" t="str">
        <f>CONCATENATE('3 pr-2'!A94)</f>
        <v>1.1.2.4.2</v>
      </c>
      <c r="B93" s="1123" t="str">
        <f>CONCATENATE('3 pr-2'!B94)</f>
        <v>R01-5511-110000-1242</v>
      </c>
      <c r="C93" s="281" t="str">
        <f>CONCATENATE('ketv. 2'!B93)</f>
        <v>06.2.1-TID-R-511-11-0001</v>
      </c>
      <c r="D93" s="164" t="str">
        <f>CONCATENATE('3 pr-2'!D94)</f>
        <v>Perspektyvinės gatvės nuo Pramonės g. iki Naujosios g. Alytuje įrengimas</v>
      </c>
      <c r="E93" s="164" t="str">
        <f>CONCATENATE('3 pr-2'!E94)</f>
        <v>Alytaus miesto savivaldybės administracija</v>
      </c>
      <c r="F93" s="164" t="str">
        <f>CONCATENATE('3 pr-2'!F94)</f>
        <v>Lietuvos Respublikos susisiekimo ministerija</v>
      </c>
      <c r="G93" s="164" t="str">
        <f>CONCATENATE('3 pr-2'!G94)</f>
        <v>Alytaus m. sav.</v>
      </c>
      <c r="H93" s="164" t="str">
        <f>CONCATENATE('3 pr-2'!H94)</f>
        <v>06.2.1-TID-R-511</v>
      </c>
      <c r="I93" s="164" t="str">
        <f>CONCATENATE('3 pr-2'!I94)</f>
        <v>R</v>
      </c>
      <c r="J93" s="164" t="str">
        <f>CONCATENATE('3 pr-2'!J94)</f>
        <v>ITI</v>
      </c>
      <c r="K93" s="1080">
        <f>IF(LEN(S93)=5,'3 pr-2'!L94,0)</f>
        <v>879927.06</v>
      </c>
      <c r="L93" s="1080">
        <f>IF(LEN(S93)=5,'3 pr-2'!O94,0)</f>
        <v>131989.06</v>
      </c>
      <c r="M93" s="1080">
        <f>IF(LEN(S93)=5,'3 pr-2'!R94,0)</f>
        <v>0</v>
      </c>
      <c r="N93" s="1080">
        <f>IF(LEN(S93)=5,'3 pr-2'!U94,0)</f>
        <v>0</v>
      </c>
      <c r="O93" s="1080">
        <f>IF(LEN(S93)=5,'3 pr-2'!X94,0)</f>
        <v>0</v>
      </c>
      <c r="P93" s="1080">
        <f>IF(LEN(S93)=5,'3 pr-2'!AA94,0)</f>
        <v>747938</v>
      </c>
      <c r="Q93" s="1080">
        <f>IF(LEN(S93)=5,'3 pr-2'!AB94,0)</f>
        <v>0</v>
      </c>
      <c r="R93" s="1104">
        <f>SUM('3 pr-2'!AH94)</f>
        <v>42855</v>
      </c>
      <c r="S93" s="1129">
        <f>IF(SUMIF(Paraiškos!A:A,'ketv. 3'!C93,Paraiškos!H:H)&gt;0,SUMIF(Paraiškos!A:A,'ketv. 3'!C93,Paraiškos!H:H),"–")</f>
        <v>42851</v>
      </c>
      <c r="T93" s="234" t="str">
        <f t="shared" ref="T93:T98" si="39">IF(ISERROR(U93),"–",IF(U93&gt;0,"–",U93))</f>
        <v>–</v>
      </c>
      <c r="U93" s="1462" t="str">
        <f t="shared" si="38"/>
        <v>–</v>
      </c>
    </row>
    <row r="94" spans="1:21" ht="54" customHeight="1" thickBot="1">
      <c r="A94" s="164" t="str">
        <f>CONCATENATE('3 pr-2'!A95)</f>
        <v>1.1.2.4.3.</v>
      </c>
      <c r="B94" s="1123" t="str">
        <f>CONCATENATE('3 pr-2'!B95)</f>
        <v>R01-5511-500000-1243</v>
      </c>
      <c r="C94" s="281" t="str">
        <f>CONCATENATE('ketv. 2'!B94)</f>
        <v>06.2.1-TID-R-511-11-0008</v>
      </c>
      <c r="D94" s="164" t="str">
        <f>CONCATENATE('3 pr-2'!D95)</f>
        <v>Saugaus eismo priemonių diegimas Alytaus mieste</v>
      </c>
      <c r="E94" s="164" t="str">
        <f>CONCATENATE('3 pr-2'!E95)</f>
        <v>Alytaus miesto savivaldybės administracija</v>
      </c>
      <c r="F94" s="164" t="str">
        <f>CONCATENATE('3 pr-2'!F95)</f>
        <v>Lietuvos Respublikos susisiekimo ministerija</v>
      </c>
      <c r="G94" s="164" t="str">
        <f>CONCATENATE('3 pr-2'!G95)</f>
        <v>Alytaus m. sav.</v>
      </c>
      <c r="H94" s="164" t="str">
        <f>CONCATENATE('3 pr-2'!H95)</f>
        <v>06.2.1-TID-R-511</v>
      </c>
      <c r="I94" s="164" t="str">
        <f>CONCATENATE('3 pr-2'!I95)</f>
        <v>R</v>
      </c>
      <c r="J94" s="164" t="str">
        <f>CONCATENATE('3 pr-2'!J95)</f>
        <v>-</v>
      </c>
      <c r="K94" s="1080">
        <f>IF(LEN(S94)=5,'3 pr-2'!L95,0)</f>
        <v>274146.8</v>
      </c>
      <c r="L94" s="1080">
        <f>IF(LEN(S94)=5,'3 pr-2'!O95,0)</f>
        <v>41122.019999999997</v>
      </c>
      <c r="M94" s="1080">
        <f>IF(LEN(S94)=5,'3 pr-2'!R95,0)</f>
        <v>0</v>
      </c>
      <c r="N94" s="1080">
        <f>IF(LEN(S94)=5,'3 pr-2'!U95,0)</f>
        <v>0</v>
      </c>
      <c r="O94" s="1080">
        <f>IF(LEN(S94)=5,'3 pr-2'!X95,0)</f>
        <v>0</v>
      </c>
      <c r="P94" s="1080">
        <f>IF(LEN(S94)=5,'3 pr-2'!AA95,0)</f>
        <v>233024.78</v>
      </c>
      <c r="Q94" s="1080">
        <f>IF(LEN(S94)=5,'3 pr-2'!AB95,0)</f>
        <v>0</v>
      </c>
      <c r="R94" s="1104">
        <f>SUM('3 pr-2'!AH95)</f>
        <v>43342</v>
      </c>
      <c r="S94" s="1129">
        <f>IF(SUMIF(Paraiškos!A:A,'ketv. 3'!C94,Paraiškos!H:H)&gt;0,SUMIF(Paraiškos!A:A,'ketv. 3'!C94,Paraiškos!H:H),"–")</f>
        <v>43342</v>
      </c>
      <c r="T94" s="234" t="str">
        <f t="shared" si="39"/>
        <v>–</v>
      </c>
      <c r="U94" s="1462" t="str">
        <f>IF(R94-S94&lt;0,(R94-S94)/30.4166666666667,"–")</f>
        <v>–</v>
      </c>
    </row>
    <row r="95" spans="1:21" ht="54" customHeight="1" thickBot="1">
      <c r="A95" s="164" t="str">
        <f>CONCATENATE('3 pr-2'!A96)</f>
        <v>1.1.2.4.4</v>
      </c>
      <c r="B95" s="1123" t="str">
        <f>CONCATENATE('3 pr-2'!B96)</f>
        <v>R01-5511-500000-1244</v>
      </c>
      <c r="C95" s="281" t="str">
        <f>CONCATENATE('ketv. 2'!B95)</f>
        <v>06.2.1-TID-R-511-11-0006</v>
      </c>
      <c r="D95" s="164" t="str">
        <f>CONCATENATE('3 pr-2'!D96)</f>
        <v>Eismo saugos priemonių diegimas Alytaus rajono savivaldybėje</v>
      </c>
      <c r="E95" s="164" t="str">
        <f>CONCATENATE('3 pr-2'!E96)</f>
        <v>Alytaus rajono savivaldybės administracija</v>
      </c>
      <c r="F95" s="164" t="str">
        <f>CONCATENATE('3 pr-2'!F96)</f>
        <v>Lietuvos Respublikos susisiekimo ministerija</v>
      </c>
      <c r="G95" s="164" t="str">
        <f>CONCATENATE('3 pr-2'!G96)</f>
        <v>Alytaus r. sav.</v>
      </c>
      <c r="H95" s="164" t="str">
        <f>CONCATENATE('3 pr-2'!H96)</f>
        <v>06.2.1-TID-R-511</v>
      </c>
      <c r="I95" s="164" t="str">
        <f>CONCATENATE('3 pr-2'!I96)</f>
        <v>R</v>
      </c>
      <c r="J95" s="164" t="str">
        <f>CONCATENATE('3 pr-2'!J96)</f>
        <v>-</v>
      </c>
      <c r="K95" s="1080">
        <f>IF(LEN(S95)=5,'3 pr-2'!L96,0)</f>
        <v>274817.98</v>
      </c>
      <c r="L95" s="1080">
        <f>IF(LEN(S95)=5,'3 pr-2'!O96,0)</f>
        <v>73973.98</v>
      </c>
      <c r="M95" s="1080">
        <f>IF(LEN(S95)=5,'3 pr-2'!R96,0)</f>
        <v>0</v>
      </c>
      <c r="N95" s="1080">
        <f>IF(LEN(S95)=5,'3 pr-2'!U96,0)</f>
        <v>0</v>
      </c>
      <c r="O95" s="1080">
        <f>IF(LEN(S95)=5,'3 pr-2'!X96,0)</f>
        <v>0</v>
      </c>
      <c r="P95" s="1080">
        <f>IF(LEN(S95)=5,'3 pr-2'!AA96,0)</f>
        <v>200844</v>
      </c>
      <c r="Q95" s="1080">
        <f>IF(LEN(S95)=5,'3 pr-2'!AB96,0)</f>
        <v>0</v>
      </c>
      <c r="R95" s="1104">
        <f>SUM('3 pr-2'!AH96)</f>
        <v>43281</v>
      </c>
      <c r="S95" s="1129">
        <f>IF(SUMIF(Paraiškos!A:A,'ketv. 3'!C95,Paraiškos!H:H)&gt;0,SUMIF(Paraiškos!A:A,'ketv. 3'!C95,Paraiškos!H:H),"–")</f>
        <v>43270</v>
      </c>
      <c r="T95" s="234" t="str">
        <f t="shared" si="39"/>
        <v>–</v>
      </c>
      <c r="U95" s="1462" t="str">
        <f t="shared" si="38"/>
        <v>–</v>
      </c>
    </row>
    <row r="96" spans="1:21" ht="54" customHeight="1" thickBot="1">
      <c r="A96" s="164" t="str">
        <f>CONCATENATE('3 pr-2'!A97)</f>
        <v>1.1.2.4.5</v>
      </c>
      <c r="B96" s="1123" t="str">
        <f>CONCATENATE('3 pr-2'!B97)</f>
        <v>R01-5511-120900-1245</v>
      </c>
      <c r="C96" s="281" t="str">
        <f>CONCATENATE('ketv. 2'!B96)</f>
        <v>06.2.1-TID-R-511-11-0007</v>
      </c>
      <c r="D96" s="164" t="str">
        <f>CONCATENATE('3 pr-2'!D97)</f>
        <v>M.K. Čiurlionio gatvės atkarpos Druskininkų m. rekonstrukcija</v>
      </c>
      <c r="E96" s="164" t="str">
        <f>CONCATENATE('3 pr-2'!E97)</f>
        <v xml:space="preserve">Druskininkų savivaldybės administracija  </v>
      </c>
      <c r="F96" s="164" t="str">
        <f>CONCATENATE('3 pr-2'!F97)</f>
        <v>Lietuvos Respublikos susisiekimo ministerija</v>
      </c>
      <c r="G96" s="164" t="str">
        <f>CONCATENATE('3 pr-2'!G97)</f>
        <v>Druskininkų sav.</v>
      </c>
      <c r="H96" s="164" t="str">
        <f>CONCATENATE('3 pr-2'!H97)</f>
        <v>06.2.1-TID-R-511</v>
      </c>
      <c r="I96" s="164" t="str">
        <f>CONCATENATE('3 pr-2'!I97)</f>
        <v>R</v>
      </c>
      <c r="J96" s="164" t="str">
        <f>CONCATENATE('3 pr-2'!J97)</f>
        <v>ITI</v>
      </c>
      <c r="K96" s="1080">
        <f>IF(LEN(S96)=5,'3 pr-2'!L97,0)</f>
        <v>1156237</v>
      </c>
      <c r="L96" s="1080">
        <f>IF(LEN(S96)=5,'3 pr-2'!O97,0)</f>
        <v>771588</v>
      </c>
      <c r="M96" s="1080">
        <f>IF(LEN(S96)=5,'3 pr-2'!R97,0)</f>
        <v>0</v>
      </c>
      <c r="N96" s="1080">
        <f>IF(LEN(S96)=5,'3 pr-2'!U97,0)</f>
        <v>0</v>
      </c>
      <c r="O96" s="1080">
        <f>IF(LEN(S96)=5,'3 pr-2'!X97,0)</f>
        <v>0</v>
      </c>
      <c r="P96" s="1080">
        <f>IF(LEN(S96)=5,'3 pr-2'!AA97,0)</f>
        <v>384649</v>
      </c>
      <c r="Q96" s="1080">
        <f>IF(LEN(S96)=5,'3 pr-2'!AB97,0)</f>
        <v>0</v>
      </c>
      <c r="R96" s="1104">
        <f>SUM('3 pr-2'!AH97)</f>
        <v>43326</v>
      </c>
      <c r="S96" s="1129">
        <f>IF(SUMIF(Paraiškos!A:A,'ketv. 3'!C96,Paraiškos!H:H)&gt;0,SUMIF(Paraiškos!A:A,'ketv. 3'!C96,Paraiškos!H:H),"–")</f>
        <v>43326</v>
      </c>
      <c r="T96" s="234" t="str">
        <f t="shared" si="39"/>
        <v>–</v>
      </c>
      <c r="U96" s="1462" t="str">
        <f t="shared" si="38"/>
        <v>–</v>
      </c>
    </row>
    <row r="97" spans="1:21" ht="54" customHeight="1" thickBot="1">
      <c r="A97" s="236" t="str">
        <f>CONCATENATE('3 pr-2'!A98)</f>
        <v>1.1.2.4.6</v>
      </c>
      <c r="B97" s="1123" t="str">
        <f>CONCATENATE('3 pr-2'!B98)</f>
        <v>R01-5511-120000-1246</v>
      </c>
      <c r="C97" s="359" t="str">
        <f>CONCATENATE('ketv. 2'!B97)</f>
        <v>06.2.1-TID-R-511-11-0004</v>
      </c>
      <c r="D97" s="236" t="str">
        <f>CONCATENATE('3 pr-2'!D98)</f>
        <v>Lazdijų miesto Seinų ir Lazdijos gatvių bei vietinės reikšmės kelio nuo Janonio gatvės iki Lazdijų hipodromo rekonstravimas</v>
      </c>
      <c r="E97" s="236" t="str">
        <f>CONCATENATE('3 pr-2'!E98)</f>
        <v>Lazdijų rajono savivaldybės administracija</v>
      </c>
      <c r="F97" s="236" t="str">
        <f>CONCATENATE('3 pr-2'!F98)</f>
        <v>Lietuvos Respublikos susisiekimo ministerija</v>
      </c>
      <c r="G97" s="236" t="str">
        <f>CONCATENATE('3 pr-2'!G98)</f>
        <v>Lazdijų r. sav.</v>
      </c>
      <c r="H97" s="236" t="str">
        <f>CONCATENATE('3 pr-2'!H98)</f>
        <v>06.2.1-TID-R-511</v>
      </c>
      <c r="I97" s="236" t="str">
        <f>CONCATENATE('3 pr-2'!I98)</f>
        <v>R</v>
      </c>
      <c r="J97" s="236" t="str">
        <f>CONCATENATE('3 pr-2'!J98)</f>
        <v>ITI</v>
      </c>
      <c r="K97" s="1080">
        <f>IF(LEN(S97)=5,'3 pr-2'!L98,0)</f>
        <v>759934</v>
      </c>
      <c r="L97" s="1080">
        <f>IF(LEN(S97)=5,'3 pr-2'!O98,0)</f>
        <v>113990</v>
      </c>
      <c r="M97" s="1080">
        <f>IF(LEN(S97)=5,'3 pr-2'!R98,0)</f>
        <v>0</v>
      </c>
      <c r="N97" s="1080">
        <f>IF(LEN(S97)=5,'3 pr-2'!U98,0)</f>
        <v>0</v>
      </c>
      <c r="O97" s="1080">
        <f>IF(LEN(S97)=5,'3 pr-2'!X98,0)</f>
        <v>0</v>
      </c>
      <c r="P97" s="1080">
        <f>IF(LEN(S97)=5,'3 pr-2'!AA98,0)</f>
        <v>645944</v>
      </c>
      <c r="Q97" s="1080">
        <f>IF(LEN(S97)=5,'3 pr-2'!AB98,0)</f>
        <v>0</v>
      </c>
      <c r="R97" s="1114">
        <f>SUM('3 pr-2'!AH98)</f>
        <v>43130</v>
      </c>
      <c r="S97" s="1129">
        <f>IF(SUMIF(Paraiškos!A:A,'ketv. 3'!C97,Paraiškos!H:H)&gt;0,SUMIF(Paraiškos!A:A,'ketv. 3'!C97,Paraiškos!H:H),"–")</f>
        <v>43130</v>
      </c>
      <c r="T97" s="234" t="str">
        <f t="shared" si="39"/>
        <v>–</v>
      </c>
      <c r="U97" s="1462" t="str">
        <f t="shared" si="38"/>
        <v>–</v>
      </c>
    </row>
    <row r="98" spans="1:21" ht="54" customHeight="1" thickBot="1">
      <c r="A98" s="236" t="str">
        <f>CONCATENATE('3 pr-2'!A99)</f>
        <v>1.1.2.4.7</v>
      </c>
      <c r="B98" s="1123" t="str">
        <f>CONCATENATE('3 pr-2'!B99)</f>
        <v>R01-5511-120000-1247</v>
      </c>
      <c r="C98" s="359" t="str">
        <f>CONCATENATE('ketv. 2'!B98)</f>
        <v>06.2.1-TID-R-511-11-0009</v>
      </c>
      <c r="D98" s="236" t="str">
        <f>CONCATENATE('3 pr-2'!D99)</f>
        <v>Eismo saugumo priemonių diegimas Druskininkų savivaldybėje</v>
      </c>
      <c r="E98" s="236" t="str">
        <f>CONCATENATE('3 pr-2'!E99)</f>
        <v xml:space="preserve">Druskininkų savivaldybės administracija  </v>
      </c>
      <c r="F98" s="236" t="str">
        <f>CONCATENATE('3 pr-2'!F99)</f>
        <v>Lietuvos Respublikos susisiekimo ministerija</v>
      </c>
      <c r="G98" s="236" t="str">
        <f>CONCATENATE('3 pr-2'!G99)</f>
        <v>Druskininkų sav.</v>
      </c>
      <c r="H98" s="236" t="str">
        <f>CONCATENATE('3 pr-2'!H99)</f>
        <v>06.2.1-TID-R-511</v>
      </c>
      <c r="I98" s="236" t="str">
        <f>CONCATENATE('3 pr-2'!I99)</f>
        <v>R</v>
      </c>
      <c r="J98" s="236" t="str">
        <f>CONCATENATE('3 pr-2'!J99)</f>
        <v>-</v>
      </c>
      <c r="K98" s="1080">
        <f>IF(LEN(S98)=5,'3 pr-2'!L99,0)</f>
        <v>135352</v>
      </c>
      <c r="L98" s="1080">
        <f>IF(LEN(S98)=5,'3 pr-2'!O99,0)</f>
        <v>22363</v>
      </c>
      <c r="M98" s="1080">
        <f>IF(LEN(S98)=5,'3 pr-2'!R99,0)</f>
        <v>0</v>
      </c>
      <c r="N98" s="1080">
        <f>IF(LEN(S98)=5,'3 pr-2'!U99,0)</f>
        <v>0</v>
      </c>
      <c r="O98" s="1080">
        <f>IF(LEN(S98)=5,'3 pr-2'!X99,0)</f>
        <v>0</v>
      </c>
      <c r="P98" s="1080">
        <f>IF(LEN(S98)=5,'3 pr-2'!AA99,0)</f>
        <v>112989</v>
      </c>
      <c r="Q98" s="1080">
        <f>IF(LEN(S98)=5,'3 pr-2'!AB99,0)</f>
        <v>0</v>
      </c>
      <c r="R98" s="1114">
        <f>SUM('3 pr-2'!AH99)</f>
        <v>43496</v>
      </c>
      <c r="S98" s="1129">
        <f>IF(SUMIF(Paraiškos!A:A,'ketv. 3'!C98,Paraiškos!H:H)&gt;0,SUMIF(Paraiškos!A:A,'ketv. 3'!C98,Paraiškos!H:H),"–")</f>
        <v>43486</v>
      </c>
      <c r="T98" s="234" t="str">
        <f t="shared" si="39"/>
        <v>–</v>
      </c>
      <c r="U98" s="1462" t="str">
        <f t="shared" ref="U98" si="40">IF(R98-S98&lt;0,(R98-S98)/30.4166666666667,"–")</f>
        <v>–</v>
      </c>
    </row>
    <row r="99" spans="1:21" ht="48" customHeight="1" thickBot="1">
      <c r="A99" s="366" t="str">
        <f>CONCATENATE('3 pr-2'!A100)</f>
        <v>2.1.</v>
      </c>
      <c r="B99" s="2092" t="str">
        <f>CONCATENATE('3 pr-2'!B100)</f>
        <v>Tikslas:
GERINTI VIEŠŲJŲ  PASLAUGŲ KOKYBĘ IR PRIEINAMUMĄ</v>
      </c>
      <c r="C99" s="2086"/>
      <c r="D99" s="2086"/>
      <c r="E99" s="2086"/>
      <c r="F99" s="2086"/>
      <c r="G99" s="2086"/>
      <c r="H99" s="2086"/>
      <c r="I99" s="2086"/>
      <c r="J99" s="2087"/>
      <c r="K99" s="1219">
        <f>SUM(K100+K119+K146+K159)</f>
        <v>11880625.58</v>
      </c>
      <c r="L99" s="1225">
        <f>SUM('3 pr-2'!O100)</f>
        <v>1894321.69</v>
      </c>
      <c r="M99" s="1225">
        <f>SUM('3 pr-2'!R100)</f>
        <v>411944.43</v>
      </c>
      <c r="N99" s="1225">
        <f>SUM('3 pr-2'!U100)</f>
        <v>40107.979999999996</v>
      </c>
      <c r="O99" s="1225">
        <f>SUM('3 pr-2'!X100)</f>
        <v>1299.95</v>
      </c>
      <c r="P99" s="1225">
        <f>SUM('3 pr-2'!AA100)</f>
        <v>10245289.709999999</v>
      </c>
      <c r="Q99" s="1225">
        <f>SUM('3 pr-2'!AB100)</f>
        <v>0</v>
      </c>
      <c r="R99" s="1115" t="s">
        <v>679</v>
      </c>
      <c r="S99" s="1115" t="s">
        <v>679</v>
      </c>
      <c r="T99" s="362" t="s">
        <v>679</v>
      </c>
      <c r="U99" s="1464"/>
    </row>
    <row r="100" spans="1:21" ht="59.25" customHeight="1" thickBot="1">
      <c r="A100" s="238" t="str">
        <f>CONCATENATE('3 pr-2'!A101)</f>
        <v>2.1.1.</v>
      </c>
      <c r="B100" s="2085" t="str">
        <f>CONCATENATE('3 pr-2'!B101)</f>
        <v xml:space="preserve">Uždavinys:
Bendrojo ugdymo ir neformaliojo švietimo įstaigų (ypač vykdančių ikimokyklinio ir priešmokyklinio ugdymo programas) tinklo veiklos efektyvumo didinimas </v>
      </c>
      <c r="C100" s="2086"/>
      <c r="D100" s="2086"/>
      <c r="E100" s="2086"/>
      <c r="F100" s="2086"/>
      <c r="G100" s="2086"/>
      <c r="H100" s="2086"/>
      <c r="I100" s="2086"/>
      <c r="J100" s="2087"/>
      <c r="K100" s="1158">
        <f t="shared" ref="K100:P100" si="41">SUM(K101+K107+K113)</f>
        <v>4776867.3599999994</v>
      </c>
      <c r="L100" s="1158">
        <f t="shared" si="41"/>
        <v>808633.36</v>
      </c>
      <c r="M100" s="1158">
        <f t="shared" si="41"/>
        <v>201262</v>
      </c>
      <c r="N100" s="1158">
        <f t="shared" si="41"/>
        <v>0</v>
      </c>
      <c r="O100" s="1158">
        <f t="shared" si="41"/>
        <v>0</v>
      </c>
      <c r="P100" s="1158">
        <f t="shared" si="41"/>
        <v>3766972</v>
      </c>
      <c r="Q100" s="1158">
        <f t="shared" ref="Q100" si="42">SUM(Q101+Q107+Q113)</f>
        <v>0</v>
      </c>
      <c r="R100" s="1106" t="s">
        <v>679</v>
      </c>
      <c r="S100" s="1107" t="s">
        <v>679</v>
      </c>
      <c r="T100" s="364" t="s">
        <v>679</v>
      </c>
      <c r="U100" s="1459"/>
    </row>
    <row r="101" spans="1:21" ht="37.5" customHeight="1" thickBot="1">
      <c r="A101" s="296" t="str">
        <f>CONCATENATE('3 pr-2'!A102)</f>
        <v>2.1.1.1</v>
      </c>
      <c r="B101" s="2088" t="str">
        <f>CONCATENATE('3 pr-2'!B102)</f>
        <v>Priemonė:
Mokyklų tinklo efektyvumo didinimas</v>
      </c>
      <c r="C101" s="2089"/>
      <c r="D101" s="2089"/>
      <c r="E101" s="2089"/>
      <c r="F101" s="2089"/>
      <c r="G101" s="2089"/>
      <c r="H101" s="2089"/>
      <c r="I101" s="2089"/>
      <c r="J101" s="2090"/>
      <c r="K101" s="1077">
        <f t="shared" ref="K101:P101" si="43">SUM(K102:K106)</f>
        <v>1343975.4100000001</v>
      </c>
      <c r="L101" s="1077">
        <f t="shared" si="43"/>
        <v>100799.41</v>
      </c>
      <c r="M101" s="1077">
        <f t="shared" si="43"/>
        <v>100799</v>
      </c>
      <c r="N101" s="1077">
        <f t="shared" si="43"/>
        <v>0</v>
      </c>
      <c r="O101" s="1077">
        <f t="shared" si="43"/>
        <v>0</v>
      </c>
      <c r="P101" s="1077">
        <f t="shared" si="43"/>
        <v>1142377</v>
      </c>
      <c r="Q101" s="1077">
        <f t="shared" ref="Q101" si="44">SUM(Q102:Q106)</f>
        <v>0</v>
      </c>
      <c r="R101" s="1108"/>
      <c r="S101" s="1109"/>
      <c r="T101" s="358"/>
      <c r="U101" s="1460"/>
    </row>
    <row r="102" spans="1:21" ht="61.5" thickBot="1">
      <c r="A102" s="164" t="str">
        <f>CONCATENATE('3 pr-2'!A103)</f>
        <v>2.1.1.1.1</v>
      </c>
      <c r="B102" s="1123" t="str">
        <f>CONCATENATE('3 pr-2'!B103)</f>
        <v>R01-7724-220000-2111</v>
      </c>
      <c r="C102" s="281" t="str">
        <f>CONCATENATE('ketv. 2'!B102)</f>
        <v>09.1.3-CPVA-R-724-11-0003</v>
      </c>
      <c r="D102" s="164" t="str">
        <f>CONCATENATE('3 pr-2'!D103)</f>
        <v>Varėnos r. Merkinės Vinco Krėvės gimnazijos laisvų patalpų pritaikymas ikimokyklinio ir priešmokyklinio ugdymo grupėms įrengti</v>
      </c>
      <c r="E102" s="164" t="str">
        <f>CONCATENATE('3 pr-2'!E103)</f>
        <v>Varėnos rajono savivaldybės administracija</v>
      </c>
      <c r="F102" s="164" t="str">
        <f>CONCATENATE('3 pr-2'!F103)</f>
        <v>Lietuvos Respublikos švietimo ir mokslo ministerija</v>
      </c>
      <c r="G102" s="164" t="str">
        <f>CONCATENATE('3 pr-2'!G103)</f>
        <v>Varėnos r. sav.</v>
      </c>
      <c r="H102" s="164" t="str">
        <f>CONCATENATE('3 pr-2'!H103)</f>
        <v>09.1.3-CPVA-R-724</v>
      </c>
      <c r="I102" s="164" t="str">
        <f>CONCATENATE('3 pr-2'!I103)</f>
        <v>R</v>
      </c>
      <c r="J102" s="164" t="str">
        <f>CONCATENATE('3 pr-2'!J103)</f>
        <v>-</v>
      </c>
      <c r="K102" s="1080">
        <f>IF(LEN(S102)=5,'3 pr-2'!L103,0)</f>
        <v>220453</v>
      </c>
      <c r="L102" s="1080">
        <f>IF(LEN(S102)=5,'3 pr-2'!O103,0)</f>
        <v>16534</v>
      </c>
      <c r="M102" s="1080">
        <f>IF(LEN(S102)=5,'3 pr-2'!R103,0)</f>
        <v>16534</v>
      </c>
      <c r="N102" s="1080">
        <f>IF(LEN(S102)=5,'3 pr-2'!U103,0)</f>
        <v>0</v>
      </c>
      <c r="O102" s="1080">
        <f>IF(LEN(S102)=5,'3 pr-2'!X103,0)</f>
        <v>0</v>
      </c>
      <c r="P102" s="1080">
        <f>IF(LEN(S102)=5,'3 pr-2'!AA103,0)</f>
        <v>187385</v>
      </c>
      <c r="Q102" s="1080">
        <f>IF(LEN(S102)=5,'3 pr-2'!AB103,0)</f>
        <v>0</v>
      </c>
      <c r="R102" s="1104">
        <f>SUM('3 pr-2'!AH103)</f>
        <v>42993</v>
      </c>
      <c r="S102" s="1129">
        <f>IF(SUMIF(Paraiškos!A:A,'ketv. 3'!C102,Paraiškos!H:H)&gt;0,SUMIF(Paraiškos!A:A,'ketv. 3'!C102,Paraiškos!H:H),"–")</f>
        <v>42993</v>
      </c>
      <c r="T102" s="234" t="str">
        <f t="shared" ref="T102:T105" si="45">IF(ISERROR(U102),"–",IF(U102&gt;0,"–",U102))</f>
        <v>–</v>
      </c>
      <c r="U102" s="1462" t="str">
        <f t="shared" ref="U102:U106" si="46">IF(R102-S102&lt;0,(R102-S102)/30.4166666666667,"–")</f>
        <v>–</v>
      </c>
    </row>
    <row r="103" spans="1:21" ht="61.5" thickBot="1">
      <c r="A103" s="164" t="str">
        <f>CONCATENATE('3 pr-2'!A104)</f>
        <v>2.1.1.1.2</v>
      </c>
      <c r="B103" s="1123" t="str">
        <f>CONCATENATE('3 pr-2'!B104)</f>
        <v>R01-7724-220000-2112</v>
      </c>
      <c r="C103" s="281" t="str">
        <f>CONCATENATE('ketv. 2'!B103)</f>
        <v>09.1.3-CPVA-R-724-11-0005</v>
      </c>
      <c r="D103" s="164" t="str">
        <f>CONCATENATE('3 pr-2'!D104)</f>
        <v>Alytaus rajono bendrojo ugdymo įstaigų aprūpinimas gamtos, technologijų, menų ir kitų mokslų laboratorijų įranga</v>
      </c>
      <c r="E103" s="164" t="str">
        <f>CONCATENATE('3 pr-2'!E104)</f>
        <v>Alytaus rajono savivaldybės administracija</v>
      </c>
      <c r="F103" s="164" t="str">
        <f>CONCATENATE('3 pr-2'!F104)</f>
        <v>Lietuvos Respublikos švietimo ir mokslo ministerija</v>
      </c>
      <c r="G103" s="164" t="str">
        <f>CONCATENATE('3 pr-2'!G104)</f>
        <v>Alytaus r. sav.</v>
      </c>
      <c r="H103" s="164" t="str">
        <f>CONCATENATE('3 pr-2'!H104)</f>
        <v>09.1.3-CPVA-R-724</v>
      </c>
      <c r="I103" s="164" t="str">
        <f>CONCATENATE('3 pr-2'!I104)</f>
        <v>R</v>
      </c>
      <c r="J103" s="164" t="str">
        <f>CONCATENATE('3 pr-2'!J104)</f>
        <v>-</v>
      </c>
      <c r="K103" s="1080">
        <f>IF(LEN(S103)=5,'3 pr-2'!L104,0)</f>
        <v>106845.41</v>
      </c>
      <c r="L103" s="1080">
        <f>IF(LEN(S103)=5,'3 pr-2'!O104,0)</f>
        <v>8013.41</v>
      </c>
      <c r="M103" s="1080">
        <f>IF(LEN(S103)=5,'3 pr-2'!R104,0)</f>
        <v>8014</v>
      </c>
      <c r="N103" s="1080">
        <f>IF(LEN(S103)=5,'3 pr-2'!U104,0)</f>
        <v>0</v>
      </c>
      <c r="O103" s="1080">
        <f>IF(LEN(S103)=5,'3 pr-2'!X104,0)</f>
        <v>0</v>
      </c>
      <c r="P103" s="1080">
        <f>IF(LEN(S103)=5,'3 pr-2'!AA104,0)</f>
        <v>90818</v>
      </c>
      <c r="Q103" s="1080">
        <f>IF(LEN(S103)=5,'3 pr-2'!AB104,0)</f>
        <v>0</v>
      </c>
      <c r="R103" s="1104">
        <f>SUM('3 pr-2'!AH104)</f>
        <v>42993</v>
      </c>
      <c r="S103" s="1129">
        <f>IF(SUMIF(Paraiškos!A:A,'ketv. 3'!C103,Paraiškos!H:H)&gt;0,SUMIF(Paraiškos!A:A,'ketv. 3'!C103,Paraiškos!H:H),"–")</f>
        <v>43003</v>
      </c>
      <c r="T103" s="234">
        <f t="shared" si="45"/>
        <v>-0.32876712328767088</v>
      </c>
      <c r="U103" s="1462">
        <f t="shared" si="46"/>
        <v>-0.32876712328767088</v>
      </c>
    </row>
    <row r="104" spans="1:21" ht="61.5" thickBot="1">
      <c r="A104" s="164" t="str">
        <f>CONCATENATE('3 pr-2'!A105)</f>
        <v>2.1.1.1.3</v>
      </c>
      <c r="B104" s="1123" t="str">
        <f>CONCATENATE('3 pr-2'!B105)</f>
        <v>R01-7724-220000-2113</v>
      </c>
      <c r="C104" s="281" t="str">
        <f>CONCATENATE('ketv. 2'!B104)</f>
        <v>09.1.3-CPVA-R-724-11-0002</v>
      </c>
      <c r="D104" s="164" t="str">
        <f>CONCATENATE('3 pr-2'!D105)</f>
        <v>Modernių ir saugių erdvių kūrimas Dzūkijos pagrindinėje mokykloje, Alytuje</v>
      </c>
      <c r="E104" s="164" t="str">
        <f>CONCATENATE('3 pr-2'!E105)</f>
        <v>Alytaus miesto savivaldybės administracija</v>
      </c>
      <c r="F104" s="164" t="str">
        <f>CONCATENATE('3 pr-2'!F105)</f>
        <v>Lietuvos Respublikos švietimo ir mokslo ministerija</v>
      </c>
      <c r="G104" s="164" t="str">
        <f>CONCATENATE('3 pr-2'!G105)</f>
        <v>Alytaus m. sav.</v>
      </c>
      <c r="H104" s="164" t="str">
        <f>CONCATENATE('3 pr-2'!H105)</f>
        <v>09.1.3-CPVA-R-724</v>
      </c>
      <c r="I104" s="164" t="str">
        <f>CONCATENATE('3 pr-2'!I105)</f>
        <v>R</v>
      </c>
      <c r="J104" s="164" t="str">
        <f>CONCATENATE('3 pr-2'!J105)</f>
        <v>-</v>
      </c>
      <c r="K104" s="1080">
        <f>IF(LEN(S104)=5,'3 pr-2'!L105,0)</f>
        <v>657021</v>
      </c>
      <c r="L104" s="1080">
        <f>IF(LEN(S104)=5,'3 pr-2'!O105,0)</f>
        <v>49277</v>
      </c>
      <c r="M104" s="1080">
        <f>IF(LEN(S104)=5,'3 pr-2'!R105,0)</f>
        <v>49277</v>
      </c>
      <c r="N104" s="1080">
        <f>IF(LEN(S104)=5,'3 pr-2'!U105,0)</f>
        <v>0</v>
      </c>
      <c r="O104" s="1080">
        <f>IF(LEN(S104)=5,'3 pr-2'!X105,0)</f>
        <v>0</v>
      </c>
      <c r="P104" s="1080">
        <f>IF(LEN(S104)=5,'3 pr-2'!AA105,0)</f>
        <v>558467</v>
      </c>
      <c r="Q104" s="1080">
        <f>IF(LEN(S104)=5,'3 pr-2'!AB105,0)</f>
        <v>0</v>
      </c>
      <c r="R104" s="1104">
        <f>SUM('3 pr-2'!AH105)</f>
        <v>42992</v>
      </c>
      <c r="S104" s="1129">
        <f>IF(SUMIF(Paraiškos!A:A,'ketv. 3'!C104,Paraiškos!H:H)&gt;0,SUMIF(Paraiškos!A:A,'ketv. 3'!C104,Paraiškos!H:H),"–")</f>
        <v>42991</v>
      </c>
      <c r="T104" s="234" t="str">
        <f t="shared" si="45"/>
        <v>–</v>
      </c>
      <c r="U104" s="1462" t="str">
        <f t="shared" si="46"/>
        <v>–</v>
      </c>
    </row>
    <row r="105" spans="1:21" ht="61.5" thickBot="1">
      <c r="A105" s="164" t="str">
        <f>CONCATENATE('3 pr-2'!A106)</f>
        <v>2.1.1.1.4</v>
      </c>
      <c r="B105" s="1123" t="str">
        <f>CONCATENATE('3 pr-2'!B106)</f>
        <v>R01-7724-220000-2114</v>
      </c>
      <c r="C105" s="281" t="str">
        <f>CONCATENATE('ketv. 2'!B105)</f>
        <v>09.1.3-CPVA-R-724-11-0004</v>
      </c>
      <c r="D105" s="164" t="str">
        <f>CONCATENATE('3 pr-2'!D106)</f>
        <v>Modernių ir saugių erdvių sukūrimas bendrojo ugdymo mokyklose Druskininkų sav.</v>
      </c>
      <c r="E105" s="164" t="str">
        <f>CONCATENATE('3 pr-2'!E106)</f>
        <v>Druskininkų savivaldybės administracija</v>
      </c>
      <c r="F105" s="164" t="str">
        <f>CONCATENATE('3 pr-2'!F106)</f>
        <v>Lietuvos Respublikos švietimo ir mokslo ministerija</v>
      </c>
      <c r="G105" s="164" t="str">
        <f>CONCATENATE('3 pr-2'!G106)</f>
        <v>Druskininkų sav.</v>
      </c>
      <c r="H105" s="164" t="str">
        <f>CONCATENATE('3 pr-2'!H106)</f>
        <v>09.1.3-CPVA-R-724</v>
      </c>
      <c r="I105" s="164" t="str">
        <f>CONCATENATE('3 pr-2'!I106)</f>
        <v>R</v>
      </c>
      <c r="J105" s="164" t="str">
        <f>CONCATENATE('3 pr-2'!J106)</f>
        <v>-</v>
      </c>
      <c r="K105" s="1080">
        <f>IF(LEN(S105)=5,'3 pr-2'!L106,0)</f>
        <v>163877</v>
      </c>
      <c r="L105" s="1080">
        <f>IF(LEN(S105)=5,'3 pr-2'!O106,0)</f>
        <v>12291</v>
      </c>
      <c r="M105" s="1080">
        <f>IF(LEN(S105)=5,'3 pr-2'!R106,0)</f>
        <v>12291</v>
      </c>
      <c r="N105" s="1080">
        <f>IF(LEN(S105)=5,'3 pr-2'!U106,0)</f>
        <v>0</v>
      </c>
      <c r="O105" s="1080">
        <f>IF(LEN(S105)=5,'3 pr-2'!X106,0)</f>
        <v>0</v>
      </c>
      <c r="P105" s="1080">
        <f>IF(LEN(S105)=5,'3 pr-2'!AA106,0)</f>
        <v>139295</v>
      </c>
      <c r="Q105" s="1080">
        <f>IF(LEN(S105)=5,'3 pr-2'!AB106,0)</f>
        <v>0</v>
      </c>
      <c r="R105" s="1104">
        <f>SUM('3 pr-2'!AH106)</f>
        <v>42993</v>
      </c>
      <c r="S105" s="1129">
        <f>IF(SUMIF(Paraiškos!A:A,'ketv. 3'!C105,Paraiškos!H:H)&gt;0,SUMIF(Paraiškos!A:A,'ketv. 3'!C105,Paraiškos!H:H),"–")</f>
        <v>42993</v>
      </c>
      <c r="T105" s="234" t="str">
        <f t="shared" si="45"/>
        <v>–</v>
      </c>
      <c r="U105" s="1462" t="str">
        <f t="shared" si="46"/>
        <v>–</v>
      </c>
    </row>
    <row r="106" spans="1:21" ht="61.5" thickBot="1">
      <c r="A106" s="164" t="str">
        <f>CONCATENATE('3 pr-2'!A107)</f>
        <v>2.1.1.1.5</v>
      </c>
      <c r="B106" s="1123" t="str">
        <f>CONCATENATE('3 pr-2'!B107)</f>
        <v>R01-7724-220000-2115</v>
      </c>
      <c r="C106" s="281" t="str">
        <f>CONCATENATE('ketv. 2'!B106)</f>
        <v>09.1.3-CPVA-R-724-11-0001</v>
      </c>
      <c r="D106" s="164" t="str">
        <f>CONCATENATE('3 pr-2'!D107)</f>
        <v>Modernių ir saugių erdvių sukūrimas bendrojo ugdymo įstaigose Lazdijų rajono savivaldybėje</v>
      </c>
      <c r="E106" s="164" t="str">
        <f>CONCATENATE('3 pr-2'!E107)</f>
        <v>Lazdijų rajono savivaldybės administracija</v>
      </c>
      <c r="F106" s="164" t="str">
        <f>CONCATENATE('3 pr-2'!F107)</f>
        <v>Lietuvos Respublikos švietimo ir mokslo ministerija</v>
      </c>
      <c r="G106" s="164" t="str">
        <f>CONCATENATE('3 pr-2'!G107)</f>
        <v>Lazdijų r. sav.</v>
      </c>
      <c r="H106" s="164" t="str">
        <f>CONCATENATE('3 pr-2'!H107)</f>
        <v>09.1.3-CPVA-R-724</v>
      </c>
      <c r="I106" s="164" t="str">
        <f>CONCATENATE('3 pr-2'!I107)</f>
        <v>R</v>
      </c>
      <c r="J106" s="164" t="str">
        <f>CONCATENATE('3 pr-2'!J107)</f>
        <v>-</v>
      </c>
      <c r="K106" s="1080">
        <f>IF(LEN(S106)=5,'3 pr-2'!L107,0)</f>
        <v>195779</v>
      </c>
      <c r="L106" s="1080">
        <f>IF(LEN(S106)=5,'3 pr-2'!O107,0)</f>
        <v>14684</v>
      </c>
      <c r="M106" s="1080">
        <f>IF(LEN(S106)=5,'3 pr-2'!R107,0)</f>
        <v>14683</v>
      </c>
      <c r="N106" s="1080">
        <f>IF(LEN(S106)=5,'3 pr-2'!U107,0)</f>
        <v>0</v>
      </c>
      <c r="O106" s="1080">
        <f>IF(LEN(S106)=5,'3 pr-2'!X107,0)</f>
        <v>0</v>
      </c>
      <c r="P106" s="1080">
        <f>IF(LEN(S106)=5,'3 pr-2'!AA107,0)</f>
        <v>166412</v>
      </c>
      <c r="Q106" s="1080">
        <f>IF(LEN(S106)=5,'3 pr-2'!AB107,0)</f>
        <v>0</v>
      </c>
      <c r="R106" s="1104">
        <f>SUM('3 pr-2'!AH107)</f>
        <v>42993</v>
      </c>
      <c r="S106" s="1129">
        <f>IF(SUMIF(Paraiškos!A:A,'ketv. 3'!C106,Paraiškos!H:H)&gt;0,SUMIF(Paraiškos!A:A,'ketv. 3'!C106,Paraiškos!H:H),"–")</f>
        <v>42991</v>
      </c>
      <c r="T106" s="234" t="str">
        <f>IF(ISERROR(U106),"–",IF(U106&gt;0,"–",U106))</f>
        <v>–</v>
      </c>
      <c r="U106" s="1462" t="str">
        <f t="shared" si="46"/>
        <v>–</v>
      </c>
    </row>
    <row r="107" spans="1:21" ht="39.75" customHeight="1" thickBot="1">
      <c r="A107" s="296" t="str">
        <f>CONCATENATE('3 pr-2'!A108)</f>
        <v>2.1.1.2</v>
      </c>
      <c r="B107" s="2088" t="str">
        <f>CONCATENATE('3 pr-2'!B108)</f>
        <v>Priemonė:
Neformaliojo švietimo infrastruktūros tobulinimas</v>
      </c>
      <c r="C107" s="2089"/>
      <c r="D107" s="2089"/>
      <c r="E107" s="2089"/>
      <c r="F107" s="2089"/>
      <c r="G107" s="2089"/>
      <c r="H107" s="2089"/>
      <c r="I107" s="2089"/>
      <c r="J107" s="2090"/>
      <c r="K107" s="1077">
        <f t="shared" ref="K107:Q107" si="47">SUM(K108:K112)</f>
        <v>1973870.18</v>
      </c>
      <c r="L107" s="1077">
        <f t="shared" si="47"/>
        <v>487863.18</v>
      </c>
      <c r="M107" s="1077">
        <f t="shared" si="47"/>
        <v>0</v>
      </c>
      <c r="N107" s="1077">
        <f t="shared" si="47"/>
        <v>0</v>
      </c>
      <c r="O107" s="1077">
        <f t="shared" si="47"/>
        <v>0</v>
      </c>
      <c r="P107" s="1077">
        <f t="shared" si="47"/>
        <v>1486007</v>
      </c>
      <c r="Q107" s="1077">
        <f t="shared" si="47"/>
        <v>0</v>
      </c>
      <c r="R107" s="1108"/>
      <c r="S107" s="1109"/>
      <c r="T107" s="358"/>
      <c r="U107" s="1460"/>
    </row>
    <row r="108" spans="1:21" ht="37.5" customHeight="1" thickBot="1">
      <c r="A108" s="221" t="str">
        <f>CONCATENATE('3 pr-2'!A109)</f>
        <v>2.1.1.2.1</v>
      </c>
      <c r="B108" s="1123" t="str">
        <f>CONCATENATE('3 pr-2'!B109)</f>
        <v>R01-7725-240000-2121</v>
      </c>
      <c r="C108" s="361" t="str">
        <f>CONCATENATE('ketv. 2'!B108)</f>
        <v>09.1.3-CPVA-R-725-11-0003</v>
      </c>
      <c r="D108" s="221" t="str">
        <f>CONCATENATE('3 pr-2'!D109)</f>
        <v>Varėnos moksleivių kūrybos centro pastato J.Basanavičiaus g. 38, Varėnoje, modernizavimas</v>
      </c>
      <c r="E108" s="221" t="str">
        <f>CONCATENATE('3 pr-2'!E109)</f>
        <v>Varėnos rajono savivaldybės administracija</v>
      </c>
      <c r="F108" s="221" t="str">
        <f>CONCATENATE('3 pr-2'!F109)</f>
        <v>Lietuvos Respublikos švietimo ir mokslo ministerija</v>
      </c>
      <c r="G108" s="221" t="str">
        <f>CONCATENATE('3 pr-2'!G109)</f>
        <v>Varėnos r. sav.</v>
      </c>
      <c r="H108" s="221" t="str">
        <f>CONCATENATE('3 pr-2'!H109)</f>
        <v>09.13.CPVA-R-725</v>
      </c>
      <c r="I108" s="221" t="str">
        <f>CONCATENATE('3 pr-2'!I109)</f>
        <v>R</v>
      </c>
      <c r="J108" s="221" t="str">
        <f>CONCATENATE('3 pr-2'!J109)</f>
        <v>-</v>
      </c>
      <c r="K108" s="1080">
        <f>IF(LEN(S108)=5,'3 pr-2'!L109,0)</f>
        <v>437551</v>
      </c>
      <c r="L108" s="1080">
        <f>IF(LEN(S108)=5,'3 pr-2'!O109,0)</f>
        <v>65633</v>
      </c>
      <c r="M108" s="1080">
        <f>IF(LEN(S108)=5,'3 pr-2'!R109,0)</f>
        <v>0</v>
      </c>
      <c r="N108" s="1080">
        <f>IF(LEN(S108)=5,'3 pr-2'!U109,0)</f>
        <v>0</v>
      </c>
      <c r="O108" s="1080">
        <f>IF(LEN(S108)=5,'3 pr-2'!X109,0)</f>
        <v>0</v>
      </c>
      <c r="P108" s="1080">
        <f>IF(LEN(S108)=5,'3 pr-2'!AA109,0)</f>
        <v>371918</v>
      </c>
      <c r="Q108" s="1080">
        <f>IF(LEN(S108)=5,'3 pr-2'!AB109,0)</f>
        <v>0</v>
      </c>
      <c r="R108" s="1132">
        <f>SUM('3 pr-2'!AH109)</f>
        <v>43007</v>
      </c>
      <c r="S108" s="1129">
        <f>IF(SUMIF(Paraiškos!A:A,'ketv. 3'!C108,Paraiškos!H:H)&gt;0,SUMIF(Paraiškos!A:A,'ketv. 3'!C108,Paraiškos!H:H),"–")</f>
        <v>43004</v>
      </c>
      <c r="T108" s="234" t="str">
        <f t="shared" ref="T108:T112" si="48">IF(ISERROR(U108),"–",IF(U108&gt;0,"–",U108))</f>
        <v>–</v>
      </c>
      <c r="U108" s="1462" t="str">
        <f t="shared" ref="U108:U112" si="49">IF(R108-S108&lt;0,(R108-S108)/30.4166666666667,"–")</f>
        <v>–</v>
      </c>
    </row>
    <row r="109" spans="1:21" ht="61.5" thickBot="1">
      <c r="A109" s="164" t="str">
        <f>CONCATENATE('3 pr-2'!A110)</f>
        <v>2.1.1.2.2</v>
      </c>
      <c r="B109" s="1123" t="str">
        <f>CONCATENATE('3 pr-2'!B110)</f>
        <v>R01-7725-240000-2122</v>
      </c>
      <c r="C109" s="281" t="str">
        <f>CONCATENATE('ketv. 2'!B109)</f>
        <v>09.1.3-CPVA-R-725-11-0005</v>
      </c>
      <c r="D109" s="164" t="str">
        <f>CONCATENATE('3 pr-2'!D110)</f>
        <v>Alytaus r. meno ir sporto mokyklos edukacinių erdvių įkūrimas ir atnaujinimas</v>
      </c>
      <c r="E109" s="164" t="str">
        <f>CONCATENATE('3 pr-2'!E110)</f>
        <v>Alytaus rajono savivaldybės administracija</v>
      </c>
      <c r="F109" s="164" t="str">
        <f>CONCATENATE('3 pr-2'!F110)</f>
        <v>Lietuvos Respublikos švietimo ir mokslo ministerija</v>
      </c>
      <c r="G109" s="164" t="str">
        <f>CONCATENATE('3 pr-2'!G110)</f>
        <v>Alytaus r. sav.</v>
      </c>
      <c r="H109" s="164" t="str">
        <f>CONCATENATE('3 pr-2'!H110)</f>
        <v>09.13.CPVA-R-725</v>
      </c>
      <c r="I109" s="164" t="str">
        <f>CONCATENATE('3 pr-2'!I110)</f>
        <v>R</v>
      </c>
      <c r="J109" s="164" t="str">
        <f>CONCATENATE('3 pr-2'!J110)</f>
        <v>-</v>
      </c>
      <c r="K109" s="1080">
        <f>IF(LEN(S109)=5,'3 pr-2'!L110,0)</f>
        <v>856424.88</v>
      </c>
      <c r="L109" s="1080">
        <f>IF(LEN(S109)=5,'3 pr-2'!O110,0)</f>
        <v>319813.88</v>
      </c>
      <c r="M109" s="1080">
        <f>IF(LEN(S109)=5,'3 pr-2'!R110,0)</f>
        <v>0</v>
      </c>
      <c r="N109" s="1080">
        <f>IF(LEN(S109)=5,'3 pr-2'!U110,0)</f>
        <v>0</v>
      </c>
      <c r="O109" s="1080">
        <f>IF(LEN(S109)=5,'3 pr-2'!X110,0)</f>
        <v>0</v>
      </c>
      <c r="P109" s="1080">
        <f>IF(LEN(S109)=5,'3 pr-2'!AA110,0)</f>
        <v>536611</v>
      </c>
      <c r="Q109" s="1080">
        <f>IF(LEN(S109)=5,'3 pr-2'!AB110,0)</f>
        <v>0</v>
      </c>
      <c r="R109" s="1104">
        <f>SUM('3 pr-2'!AH110)</f>
        <v>43008</v>
      </c>
      <c r="S109" s="1129">
        <f>IF(SUMIF(Paraiškos!A:A,'ketv. 3'!C109,Paraiškos!H:H)&gt;0,SUMIF(Paraiškos!A:A,'ketv. 3'!C109,Paraiškos!H:H),"–")</f>
        <v>43081</v>
      </c>
      <c r="T109" s="234">
        <f t="shared" si="48"/>
        <v>-2.3999999999999972</v>
      </c>
      <c r="U109" s="1462">
        <f t="shared" si="49"/>
        <v>-2.3999999999999972</v>
      </c>
    </row>
    <row r="110" spans="1:21" ht="61.5" thickBot="1">
      <c r="A110" s="164" t="str">
        <f>CONCATENATE('3 pr-2'!A111)</f>
        <v>2.1.1.2.3</v>
      </c>
      <c r="B110" s="1123" t="str">
        <f>CONCATENATE('3 pr-2'!B111)</f>
        <v>R01-7725-240000-2123</v>
      </c>
      <c r="C110" s="281" t="str">
        <f>CONCATENATE('ketv. 2'!B110)</f>
        <v>09.1.3-CPVA-R-725-11-0004</v>
      </c>
      <c r="D110" s="164" t="str">
        <f>CONCATENATE('3 pr-2'!D111)</f>
        <v>Alytaus muzikos mokyklos pastato modernizavimas ir ugdymo aplinkos gerinimas</v>
      </c>
      <c r="E110" s="164" t="str">
        <f>CONCATENATE('3 pr-2'!E111)</f>
        <v>Alytaus miesto savivaldybės administracija</v>
      </c>
      <c r="F110" s="164" t="str">
        <f>CONCATENATE('3 pr-2'!F111)</f>
        <v>Lietuvos Respublikos švietimo ir mokslo ministerija</v>
      </c>
      <c r="G110" s="164" t="str">
        <f>CONCATENATE('3 pr-2'!G111)</f>
        <v>Alytaus m. sav.</v>
      </c>
      <c r="H110" s="164" t="str">
        <f>CONCATENATE('3 pr-2'!H111)</f>
        <v>09.13.CPVA-R-725</v>
      </c>
      <c r="I110" s="164" t="str">
        <f>CONCATENATE('3 pr-2'!I111)</f>
        <v>R</v>
      </c>
      <c r="J110" s="164" t="str">
        <f>CONCATENATE('3 pr-2'!J111)</f>
        <v>-</v>
      </c>
      <c r="K110" s="1080">
        <f>IF(LEN(S110)=5,'3 pr-2'!L111,0)</f>
        <v>397378</v>
      </c>
      <c r="L110" s="1080">
        <f>IF(LEN(S110)=5,'3 pr-2'!O111,0)</f>
        <v>59607</v>
      </c>
      <c r="M110" s="1080">
        <f>IF(LEN(S110)=5,'3 pr-2'!R111,0)</f>
        <v>0</v>
      </c>
      <c r="N110" s="1080">
        <f>IF(LEN(S110)=5,'3 pr-2'!U111,0)</f>
        <v>0</v>
      </c>
      <c r="O110" s="1080">
        <f>IF(LEN(S110)=5,'3 pr-2'!X111,0)</f>
        <v>0</v>
      </c>
      <c r="P110" s="1080">
        <f>IF(LEN(S110)=5,'3 pr-2'!AA111,0)</f>
        <v>337771</v>
      </c>
      <c r="Q110" s="1080">
        <f>IF(LEN(S110)=5,'3 pr-2'!AB111,0)</f>
        <v>0</v>
      </c>
      <c r="R110" s="1104">
        <f>SUM('3 pr-2'!AH111)</f>
        <v>43007</v>
      </c>
      <c r="S110" s="1129">
        <f>IF(SUMIF(Paraiškos!A:A,'ketv. 3'!C110,Paraiškos!H:H)&gt;0,SUMIF(Paraiškos!A:A,'ketv. 3'!C110,Paraiškos!H:H),"–")</f>
        <v>43006</v>
      </c>
      <c r="T110" s="234" t="str">
        <f t="shared" si="48"/>
        <v>–</v>
      </c>
      <c r="U110" s="1462" t="str">
        <f t="shared" si="49"/>
        <v>–</v>
      </c>
    </row>
    <row r="111" spans="1:21" ht="61.5" thickBot="1">
      <c r="A111" s="164" t="str">
        <f>CONCATENATE('3 pr-2'!A112)</f>
        <v>2.1.1.2.4</v>
      </c>
      <c r="B111" s="1123" t="str">
        <f>CONCATENATE('3 pr-2'!B112)</f>
        <v>R01-7725-240000-2124</v>
      </c>
      <c r="C111" s="281" t="str">
        <f>CONCATENATE('ketv. 2'!B111)</f>
        <v>09.1.3-CPVA-R-725-11-0002</v>
      </c>
      <c r="D111" s="164" t="str">
        <f>CONCATENATE('3 pr-2'!D112)</f>
        <v>Druskininkų M. K. Čiurlionio meno mokyklos infrastruktūros tobulinimas</v>
      </c>
      <c r="E111" s="164" t="str">
        <f>CONCATENATE('3 pr-2'!E112)</f>
        <v xml:space="preserve">Druskininkų savivaldybės administracija  </v>
      </c>
      <c r="F111" s="164" t="str">
        <f>CONCATENATE('3 pr-2'!F112)</f>
        <v>Lietuvos Respublikos švietimo ir mokslo ministerija</v>
      </c>
      <c r="G111" s="164" t="str">
        <f>CONCATENATE('3 pr-2'!G112)</f>
        <v>Druskininkų sav.</v>
      </c>
      <c r="H111" s="164" t="str">
        <f>CONCATENATE('3 pr-2'!H112)</f>
        <v>09.13.CPVA-R-725</v>
      </c>
      <c r="I111" s="164" t="str">
        <f>CONCATENATE('3 pr-2'!I112)</f>
        <v>R</v>
      </c>
      <c r="J111" s="164" t="str">
        <f>CONCATENATE('3 pr-2'!J112)</f>
        <v>-</v>
      </c>
      <c r="K111" s="1080">
        <f>IF(LEN(S111)=5,'3 pr-2'!L112,0)</f>
        <v>146702.29999999999</v>
      </c>
      <c r="L111" s="1080">
        <f>IF(LEN(S111)=5,'3 pr-2'!O112,0)</f>
        <v>22436.3</v>
      </c>
      <c r="M111" s="1080">
        <f>IF(LEN(S111)=5,'3 pr-2'!R112,0)</f>
        <v>0</v>
      </c>
      <c r="N111" s="1080">
        <f>IF(LEN(S111)=5,'3 pr-2'!U112,0)</f>
        <v>0</v>
      </c>
      <c r="O111" s="1080">
        <f>IF(LEN(S111)=5,'3 pr-2'!X112,0)</f>
        <v>0</v>
      </c>
      <c r="P111" s="1080">
        <f>IF(LEN(S111)=5,'3 pr-2'!AA112,0)</f>
        <v>124266</v>
      </c>
      <c r="Q111" s="1080">
        <f>IF(LEN(S111)=5,'3 pr-2'!AB112,0)</f>
        <v>0</v>
      </c>
      <c r="R111" s="1104">
        <f>SUM('3 pr-2'!AH112)</f>
        <v>42993</v>
      </c>
      <c r="S111" s="1129">
        <f>IF(SUMIF(Paraiškos!A:A,'ketv. 3'!C111,Paraiškos!H:H)&gt;0,SUMIF(Paraiškos!A:A,'ketv. 3'!C111,Paraiškos!H:H),"–")</f>
        <v>42993</v>
      </c>
      <c r="T111" s="234" t="str">
        <f t="shared" si="48"/>
        <v>–</v>
      </c>
      <c r="U111" s="1462" t="str">
        <f t="shared" si="49"/>
        <v>–</v>
      </c>
    </row>
    <row r="112" spans="1:21" ht="61.5" thickBot="1">
      <c r="A112" s="236" t="str">
        <f>CONCATENATE('3 pr-2'!A113)</f>
        <v>2.1.1.2.5</v>
      </c>
      <c r="B112" s="1123" t="str">
        <f>CONCATENATE('3 pr-2'!B113)</f>
        <v>R01-7725-240000-2125</v>
      </c>
      <c r="C112" s="359" t="str">
        <f>CONCATENATE('ketv. 2'!B112)</f>
        <v>09.1.3-CPVA-R-725-11-0001</v>
      </c>
      <c r="D112" s="236" t="str">
        <f>CONCATENATE('3 pr-2'!D113)</f>
        <v>Neformaliojo švietimo įstaigų Lazdijų rajono savivaldybėje infrastruktūros tobulinimas</v>
      </c>
      <c r="E112" s="236" t="str">
        <f>CONCATENATE('3 pr-2'!E113)</f>
        <v>VšĮ „Lazdijų sporto centras“</v>
      </c>
      <c r="F112" s="236" t="str">
        <f>CONCATENATE('3 pr-2'!F113)</f>
        <v>Lietuvos Respublikos švietimo ir mokslo ministerija</v>
      </c>
      <c r="G112" s="236" t="str">
        <f>CONCATENATE('3 pr-2'!G113)</f>
        <v>Lazdijų r. sav.</v>
      </c>
      <c r="H112" s="236" t="str">
        <f>CONCATENATE('3 pr-2'!H113)</f>
        <v>09.13.CPVA-R-725</v>
      </c>
      <c r="I112" s="236" t="str">
        <f>CONCATENATE('3 pr-2'!I113)</f>
        <v>R</v>
      </c>
      <c r="J112" s="236" t="str">
        <f>CONCATENATE('3 pr-2'!J113)</f>
        <v>-</v>
      </c>
      <c r="K112" s="1080">
        <f>IF(LEN(S112)=5,'3 pr-2'!L113,0)</f>
        <v>135814</v>
      </c>
      <c r="L112" s="1080">
        <f>IF(LEN(S112)=5,'3 pr-2'!O113,0)</f>
        <v>20373</v>
      </c>
      <c r="M112" s="1080">
        <f>IF(LEN(S112)=5,'3 pr-2'!R113,0)</f>
        <v>0</v>
      </c>
      <c r="N112" s="1080">
        <f>IF(LEN(S112)=5,'3 pr-2'!U113,0)</f>
        <v>0</v>
      </c>
      <c r="O112" s="1080">
        <f>IF(LEN(S112)=5,'3 pr-2'!X113,0)</f>
        <v>0</v>
      </c>
      <c r="P112" s="1080">
        <f>IF(LEN(S112)=5,'3 pr-2'!AA113,0)</f>
        <v>115441</v>
      </c>
      <c r="Q112" s="1080">
        <f>IF(LEN(S112)=5,'3 pr-2'!AB113,0)</f>
        <v>0</v>
      </c>
      <c r="R112" s="1114">
        <f>SUM('3 pr-2'!AH113)</f>
        <v>42916</v>
      </c>
      <c r="S112" s="1129">
        <f>IF(SUMIF(Paraiškos!A:A,'ketv. 3'!C112,Paraiškos!H:H)&gt;0,SUMIF(Paraiškos!A:A,'ketv. 3'!C112,Paraiškos!H:H),"–")</f>
        <v>42915</v>
      </c>
      <c r="T112" s="234" t="str">
        <f t="shared" si="48"/>
        <v>–</v>
      </c>
      <c r="U112" s="1462" t="str">
        <f t="shared" si="49"/>
        <v>–</v>
      </c>
    </row>
    <row r="113" spans="1:22" ht="37.5" customHeight="1" thickBot="1">
      <c r="A113" s="296" t="str">
        <f>CONCATENATE('3 pr-2'!A114)</f>
        <v>2.1.1.3</v>
      </c>
      <c r="B113" s="2088" t="str">
        <f>CONCATENATE('3 pr-2'!B114)</f>
        <v>Priemonė:
Ikimokyklinio ir priešmokyklinio ugdymo prieinamumo didinimas</v>
      </c>
      <c r="C113" s="2089"/>
      <c r="D113" s="2089"/>
      <c r="E113" s="2089"/>
      <c r="F113" s="2089"/>
      <c r="G113" s="2089"/>
      <c r="H113" s="2089"/>
      <c r="I113" s="2089"/>
      <c r="J113" s="2090"/>
      <c r="K113" s="1077">
        <f t="shared" ref="K113:Q113" si="50">SUM(K114:K118)</f>
        <v>1459021.7699999998</v>
      </c>
      <c r="L113" s="1077">
        <f t="shared" si="50"/>
        <v>219970.77</v>
      </c>
      <c r="M113" s="1077">
        <f t="shared" si="50"/>
        <v>100463</v>
      </c>
      <c r="N113" s="1077">
        <f t="shared" si="50"/>
        <v>0</v>
      </c>
      <c r="O113" s="1077">
        <f t="shared" si="50"/>
        <v>0</v>
      </c>
      <c r="P113" s="1077">
        <f t="shared" si="50"/>
        <v>1138588</v>
      </c>
      <c r="Q113" s="1077">
        <f t="shared" si="50"/>
        <v>0</v>
      </c>
      <c r="R113" s="1108"/>
      <c r="S113" s="1109"/>
      <c r="T113" s="358"/>
      <c r="U113" s="1460"/>
    </row>
    <row r="114" spans="1:22" ht="61.5" thickBot="1">
      <c r="A114" s="221" t="str">
        <f>CONCATENATE('3 pr-2'!A115)</f>
        <v>2.1.1.3.1</v>
      </c>
      <c r="B114" s="1123" t="str">
        <f>CONCATENATE('3 pr-2'!B115)</f>
        <v>R01-7705-230000-2131</v>
      </c>
      <c r="C114" s="361" t="str">
        <f>CONCATENATE('ketv. 2'!B114)</f>
        <v>09.1.3-CPVA-R-705-11-0003</v>
      </c>
      <c r="D114" s="221" t="str">
        <f>CONCATENATE('3 pr-2'!D115)</f>
        <v>Varėnos "Pasakos" vaikų lopšelio-darželio pastato modernizavimas</v>
      </c>
      <c r="E114" s="221" t="str">
        <f>CONCATENATE('3 pr-2'!E115)</f>
        <v>Varėnos rajono savivaldybės administracija</v>
      </c>
      <c r="F114" s="221" t="str">
        <f>CONCATENATE('3 pr-2'!F115)</f>
        <v>Lietuvos Respublikos švietimo ir mokslo ministerija</v>
      </c>
      <c r="G114" s="221" t="str">
        <f>CONCATENATE('3 pr-2'!G115)</f>
        <v>Varėnos r. sav.</v>
      </c>
      <c r="H114" s="221" t="str">
        <f>CONCATENATE('3 pr-2'!H115)</f>
        <v>09.1.3-CPVA-R-705</v>
      </c>
      <c r="I114" s="221" t="str">
        <f>CONCATENATE('3 pr-2'!I115)</f>
        <v>R</v>
      </c>
      <c r="J114" s="221" t="str">
        <f>CONCATENATE('3 pr-2'!J115)</f>
        <v>-</v>
      </c>
      <c r="K114" s="1080">
        <f>IF(LEN(S114)=5,'3 pr-2'!L115,0)</f>
        <v>370000</v>
      </c>
      <c r="L114" s="1080">
        <f>IF(LEN(S114)=5,'3 pr-2'!O115,0)</f>
        <v>57342</v>
      </c>
      <c r="M114" s="1080">
        <f>IF(LEN(S114)=5,'3 pr-2'!R115,0)</f>
        <v>25351</v>
      </c>
      <c r="N114" s="1080">
        <f>IF(LEN(S114)=5,'3 pr-2'!U115,0)</f>
        <v>0</v>
      </c>
      <c r="O114" s="1080">
        <f>IF(LEN(S114)=5,'3 pr-2'!X115,0)</f>
        <v>0</v>
      </c>
      <c r="P114" s="1080">
        <f>IF(LEN(S114)=5,'3 pr-2'!AA115,0)</f>
        <v>287307</v>
      </c>
      <c r="Q114" s="1080">
        <f>IF(LEN(S114)=5,'3 pr-2'!AB115,0)</f>
        <v>0</v>
      </c>
      <c r="R114" s="1132">
        <f>SUM('3 pr-2'!AH115)</f>
        <v>43080</v>
      </c>
      <c r="S114" s="1129">
        <f>IF(SUMIF(Paraiškos!A:A,'ketv. 3'!C114,Paraiškos!H:H)&gt;0,SUMIF(Paraiškos!A:A,'ketv. 3'!C114,Paraiškos!H:H),"–")</f>
        <v>43080</v>
      </c>
      <c r="T114" s="234" t="str">
        <f t="shared" ref="T114:T118" si="51">IF(ISERROR(U114),"–",IF(U114&gt;0,"–",U114))</f>
        <v>–</v>
      </c>
      <c r="U114" s="1462" t="str">
        <f t="shared" ref="U114:U118" si="52">IF(R114-S114&lt;0,(R114-S114)/30.4166666666667,"–")</f>
        <v>–</v>
      </c>
      <c r="V114" s="4"/>
    </row>
    <row r="115" spans="1:22" ht="61.5" thickBot="1">
      <c r="A115" s="164" t="str">
        <f>CONCATENATE('3 pr-2'!A116)</f>
        <v>2.1.1.3.2</v>
      </c>
      <c r="B115" s="1123" t="str">
        <f>CONCATENATE('3 pr-2'!B116)</f>
        <v>R01-7705-230000-2132</v>
      </c>
      <c r="C115" s="281" t="str">
        <f>CONCATENATE('ketv. 2'!B115)</f>
        <v>09.1.3-CPVA-R-705-11-0004</v>
      </c>
      <c r="D115" s="164" t="str">
        <f>CONCATENATE('3 pr-2'!D116)</f>
        <v>Alytaus r. ikimokyklinio ir priešmokyklinio ugdymo prieinamumo didinimas įkuriant ir atnaujinant edukacines erdves</v>
      </c>
      <c r="E115" s="164" t="str">
        <f>CONCATENATE('3 pr-2'!E116)</f>
        <v>Alytaus rajono savivaldybės administracija</v>
      </c>
      <c r="F115" s="164" t="str">
        <f>CONCATENATE('3 pr-2'!F116)</f>
        <v>Lietuvos Respublikos švietimo ir mokslo ministerija</v>
      </c>
      <c r="G115" s="164" t="str">
        <f>CONCATENATE('3 pr-2'!G116)</f>
        <v>Alytaus r. sav.</v>
      </c>
      <c r="H115" s="164" t="str">
        <f>CONCATENATE('3 pr-2'!H116)</f>
        <v>09.1.3-CPVA-R-705</v>
      </c>
      <c r="I115" s="164" t="str">
        <f>CONCATENATE('3 pr-2'!I116)</f>
        <v>R</v>
      </c>
      <c r="J115" s="164" t="str">
        <f>CONCATENATE('3 pr-2'!J116)</f>
        <v/>
      </c>
      <c r="K115" s="1080">
        <f>IF(LEN(S115)=5,'3 pr-2'!L116,0)</f>
        <v>597456.88</v>
      </c>
      <c r="L115" s="1080">
        <f>IF(LEN(S115)=5,'3 pr-2'!O116,0)</f>
        <v>59861.88</v>
      </c>
      <c r="M115" s="1080">
        <f>IF(LEN(S115)=5,'3 pr-2'!R116,0)</f>
        <v>43588</v>
      </c>
      <c r="N115" s="1080">
        <f>IF(LEN(S115)=5,'3 pr-2'!U116,0)</f>
        <v>0</v>
      </c>
      <c r="O115" s="1080">
        <f>IF(LEN(S115)=5,'3 pr-2'!X116,0)</f>
        <v>0</v>
      </c>
      <c r="P115" s="1080">
        <f>IF(LEN(S115)=5,'3 pr-2'!AA116,0)</f>
        <v>494007</v>
      </c>
      <c r="Q115" s="1080">
        <f>IF(LEN(S115)=5,'3 pr-2'!AB116,0)</f>
        <v>0</v>
      </c>
      <c r="R115" s="1104">
        <f>SUM('3 pr-2'!AH116)</f>
        <v>43080</v>
      </c>
      <c r="S115" s="1129">
        <f>IF(SUMIF(Paraiškos!A:A,'ketv. 3'!C115,Paraiškos!H:H)&gt;0,SUMIF(Paraiškos!A:A,'ketv. 3'!C115,Paraiškos!H:H),"–")</f>
        <v>43080</v>
      </c>
      <c r="T115" s="234" t="str">
        <f t="shared" si="51"/>
        <v>–</v>
      </c>
      <c r="U115" s="1462" t="str">
        <f t="shared" si="52"/>
        <v>–</v>
      </c>
    </row>
    <row r="116" spans="1:22" ht="61.5" thickBot="1">
      <c r="A116" s="164" t="str">
        <f>CONCATENATE('3 pr-2'!A117)</f>
        <v>2.1.1.3.3</v>
      </c>
      <c r="B116" s="1123" t="str">
        <f>CONCATENATE('3 pr-2'!B117)</f>
        <v>R01-7705-230000-2133</v>
      </c>
      <c r="C116" s="281" t="str">
        <f>CONCATENATE('ketv. 2'!B116)</f>
        <v>09.1.3-CPVA-R-705-11-0001</v>
      </c>
      <c r="D116" s="164" t="str">
        <f>CONCATENATE('3 pr-2'!D117)</f>
        <v>Alytaus lopšelio-darželio „Girinukas“ ugdymo aplinkos modernizavimas</v>
      </c>
      <c r="E116" s="164" t="str">
        <f>CONCATENATE('3 pr-2'!E117)</f>
        <v>Alytaus miesto savivaldybės administracija</v>
      </c>
      <c r="F116" s="164" t="str">
        <f>CONCATENATE('3 pr-2'!F117)</f>
        <v>Lietuvos Respublikos švietimo ir mokslo ministerija</v>
      </c>
      <c r="G116" s="164" t="str">
        <f>CONCATENATE('3 pr-2'!G117)</f>
        <v>Alytaus m. sav.</v>
      </c>
      <c r="H116" s="164" t="str">
        <f>CONCATENATE('3 pr-2'!H117)</f>
        <v>09.1.3-CPVA-R-705</v>
      </c>
      <c r="I116" s="164" t="str">
        <f>CONCATENATE('3 pr-2'!I117)</f>
        <v>R</v>
      </c>
      <c r="J116" s="164" t="str">
        <f>CONCATENATE('3 pr-2'!J117)</f>
        <v>-</v>
      </c>
      <c r="K116" s="1080">
        <f>IF(LEN(S116)=5,'3 pr-2'!L117,0)</f>
        <v>181986</v>
      </c>
      <c r="L116" s="1080">
        <f>IF(LEN(S116)=5,'3 pr-2'!O117,0)</f>
        <v>13649</v>
      </c>
      <c r="M116" s="1080">
        <f>IF(LEN(S116)=5,'3 pr-2'!R117,0)</f>
        <v>13649</v>
      </c>
      <c r="N116" s="1080">
        <f>IF(LEN(S116)=5,'3 pr-2'!U117,0)</f>
        <v>0</v>
      </c>
      <c r="O116" s="1080">
        <f>IF(LEN(S116)=5,'3 pr-2'!X117,0)</f>
        <v>0</v>
      </c>
      <c r="P116" s="1080">
        <f>IF(LEN(S116)=5,'3 pr-2'!AA117,0)</f>
        <v>154688</v>
      </c>
      <c r="Q116" s="1080">
        <f>IF(LEN(S116)=5,'3 pr-2'!AB117,0)</f>
        <v>0</v>
      </c>
      <c r="R116" s="1104">
        <f>SUM('3 pr-2'!AH117)</f>
        <v>43080</v>
      </c>
      <c r="S116" s="1129">
        <f>IF(SUMIF(Paraiškos!A:A,'ketv. 3'!C116,Paraiškos!H:H)&gt;0,SUMIF(Paraiškos!A:A,'ketv. 3'!C116,Paraiškos!H:H),"–")</f>
        <v>43076</v>
      </c>
      <c r="T116" s="234" t="str">
        <f t="shared" si="51"/>
        <v>–</v>
      </c>
      <c r="U116" s="1462" t="str">
        <f t="shared" si="52"/>
        <v>–</v>
      </c>
    </row>
    <row r="117" spans="1:22" ht="61.5" thickBot="1">
      <c r="A117" s="164" t="str">
        <f>CONCATENATE('3 pr-2'!A118)</f>
        <v>2.1.1.3.4</v>
      </c>
      <c r="B117" s="1123" t="str">
        <f>CONCATENATE('3 pr-2'!B118)</f>
        <v>R01-7705-230000-2134</v>
      </c>
      <c r="C117" s="281" t="str">
        <f>CONCATENATE('ketv. 2'!B117)</f>
        <v>09.1.3-CPVA-R-705-11-0006</v>
      </c>
      <c r="D117" s="164" t="str">
        <f>CONCATENATE('3 pr-2'!D118)</f>
        <v>Druskininkų sav. Viečiūnų progimnazijos ikimokyklinio ugdymo skyriaus „Linelis“ ugdymo prieinamumo didinimas</v>
      </c>
      <c r="E117" s="164" t="str">
        <f>CONCATENATE('3 pr-2'!E118)</f>
        <v xml:space="preserve">Druskininkų savivaldybės administracija  </v>
      </c>
      <c r="F117" s="164" t="str">
        <f>CONCATENATE('3 pr-2'!F118)</f>
        <v>Lietuvos Respublikos švietimo ir mokslo ministerija</v>
      </c>
      <c r="G117" s="164" t="str">
        <f>CONCATENATE('3 pr-2'!G118)</f>
        <v>Druskininkų sav.</v>
      </c>
      <c r="H117" s="164" t="str">
        <f>CONCATENATE('3 pr-2'!H118)</f>
        <v>09.1.3-CPVA-R-705</v>
      </c>
      <c r="I117" s="164" t="str">
        <f>CONCATENATE('3 pr-2'!I118)</f>
        <v>R</v>
      </c>
      <c r="J117" s="164" t="str">
        <f>CONCATENATE('3 pr-2'!J118)</f>
        <v>-</v>
      </c>
      <c r="K117" s="1080">
        <f>IF(LEN(S117)=5,'3 pr-2'!L118,0)</f>
        <v>176024.68</v>
      </c>
      <c r="L117" s="1080">
        <f>IF(LEN(S117)=5,'3 pr-2'!O118,0)</f>
        <v>79091.679999999993</v>
      </c>
      <c r="M117" s="1080">
        <f>IF(LEN(S117)=5,'3 pr-2'!R118,0)</f>
        <v>7859</v>
      </c>
      <c r="N117" s="1080">
        <f>IF(LEN(S117)=5,'3 pr-2'!U118,0)</f>
        <v>0</v>
      </c>
      <c r="O117" s="1080">
        <f>IF(LEN(S117)=5,'3 pr-2'!X118,0)</f>
        <v>0</v>
      </c>
      <c r="P117" s="1080">
        <f>IF(LEN(S117)=5,'3 pr-2'!AA118,0)</f>
        <v>89074</v>
      </c>
      <c r="Q117" s="1080">
        <f>IF(LEN(S117)=5,'3 pr-2'!AB118,0)</f>
        <v>0</v>
      </c>
      <c r="R117" s="1104">
        <f>SUM('3 pr-2'!AH118)</f>
        <v>43160</v>
      </c>
      <c r="S117" s="1129">
        <f>IF(SUMIF(Paraiškos!A:A,'ketv. 3'!C117,Paraiškos!H:H)&gt;0,SUMIF(Paraiškos!A:A,'ketv. 3'!C117,Paraiškos!H:H),"–")</f>
        <v>43175</v>
      </c>
      <c r="T117" s="234">
        <f t="shared" si="51"/>
        <v>-0.49315068493150632</v>
      </c>
      <c r="U117" s="1462">
        <f t="shared" si="52"/>
        <v>-0.49315068493150632</v>
      </c>
    </row>
    <row r="118" spans="1:22" ht="61.5" thickBot="1">
      <c r="A118" s="236" t="str">
        <f>CONCATENATE('3 pr-2'!A119)</f>
        <v>2.1.1.3.5</v>
      </c>
      <c r="B118" s="1123" t="str">
        <f>CONCATENATE('3 pr-2'!B119)</f>
        <v>R01-7705-230000-2135</v>
      </c>
      <c r="C118" s="359" t="str">
        <f>CONCATENATE('ketv. 2'!B118)</f>
        <v>09.1.3-CPVA-R-705-11-0002</v>
      </c>
      <c r="D118" s="236" t="str">
        <f>CONCATENATE('3 pr-2'!D119)</f>
        <v>Ikimokyklinio ir priešmokyklinio ugdymo įstaigų Lazdijų rajono savivaldybėje modernizavimas</v>
      </c>
      <c r="E118" s="236" t="str">
        <f>CONCATENATE('3 pr-2'!E119)</f>
        <v>Lazdijų rajono savivaldybės administracija</v>
      </c>
      <c r="F118" s="236" t="str">
        <f>CONCATENATE('3 pr-2'!F119)</f>
        <v>Lietuvos Respublikos švietimo ir mokslo ministerija</v>
      </c>
      <c r="G118" s="236" t="str">
        <f>CONCATENATE('3 pr-2'!G119)</f>
        <v>Lazdijų r. sav.</v>
      </c>
      <c r="H118" s="236" t="str">
        <f>CONCATENATE('3 pr-2'!H119)</f>
        <v>09.1.3-CPVA-R-705</v>
      </c>
      <c r="I118" s="236" t="str">
        <f>CONCATENATE('3 pr-2'!I119)</f>
        <v>R</v>
      </c>
      <c r="J118" s="236" t="str">
        <f>CONCATENATE('3 pr-2'!J119)</f>
        <v>-</v>
      </c>
      <c r="K118" s="1080">
        <f>IF(LEN(S118)=5,'3 pr-2'!L119,0)</f>
        <v>133554.21</v>
      </c>
      <c r="L118" s="1080">
        <f>IF(LEN(S118)=5,'3 pr-2'!O119,0)</f>
        <v>10026.209999999999</v>
      </c>
      <c r="M118" s="1080">
        <f>IF(LEN(S118)=5,'3 pr-2'!R119,0)</f>
        <v>10016</v>
      </c>
      <c r="N118" s="1080">
        <f>IF(LEN(S118)=5,'3 pr-2'!U119,0)</f>
        <v>0</v>
      </c>
      <c r="O118" s="1080">
        <f>IF(LEN(S118)=5,'3 pr-2'!X119,0)</f>
        <v>0</v>
      </c>
      <c r="P118" s="1080">
        <f>IF(LEN(S118)=5,'3 pr-2'!AA119,0)</f>
        <v>113512</v>
      </c>
      <c r="Q118" s="1080">
        <f>IF(LEN(S118)=5,'3 pr-2'!AB119,0)</f>
        <v>0</v>
      </c>
      <c r="R118" s="1114">
        <f>SUM('3 pr-2'!AH119)</f>
        <v>43080</v>
      </c>
      <c r="S118" s="1129">
        <f>IF(SUMIF(Paraiškos!A:A,'ketv. 3'!C118,Paraiškos!H:H)&gt;0,SUMIF(Paraiškos!A:A,'ketv. 3'!C118,Paraiškos!H:H),"–")</f>
        <v>43080</v>
      </c>
      <c r="T118" s="234" t="str">
        <f t="shared" si="51"/>
        <v>–</v>
      </c>
      <c r="U118" s="1462" t="str">
        <f t="shared" si="52"/>
        <v>–</v>
      </c>
    </row>
    <row r="119" spans="1:22" ht="50.25" customHeight="1" thickBot="1">
      <c r="A119" s="238" t="str">
        <f>CONCATENATE('3 pr-2'!A120)</f>
        <v>2.1.2.</v>
      </c>
      <c r="B119" s="2085" t="str">
        <f>CONCATENATE('3 pr-2'!B120)</f>
        <v>Uždavinys:
Sveikatos netolygumų sumažinimas, gerinant sveikatos priežiūros kokybę ir prieinamumą tikslinėms gyventojų grupėms ir sveiko senėjimo skatinimas</v>
      </c>
      <c r="C119" s="2086"/>
      <c r="D119" s="2086"/>
      <c r="E119" s="2086"/>
      <c r="F119" s="2086"/>
      <c r="G119" s="2086"/>
      <c r="H119" s="2086"/>
      <c r="I119" s="2086"/>
      <c r="J119" s="2087"/>
      <c r="K119" s="1158">
        <f t="shared" ref="K119:P119" si="53">SUM(K120+K134)</f>
        <v>1995247.5699999998</v>
      </c>
      <c r="L119" s="1158">
        <f t="shared" si="53"/>
        <v>125638.07</v>
      </c>
      <c r="M119" s="1158">
        <f t="shared" si="53"/>
        <v>149643.59</v>
      </c>
      <c r="N119" s="1158">
        <f t="shared" si="53"/>
        <v>24006.98</v>
      </c>
      <c r="O119" s="1158">
        <f t="shared" si="53"/>
        <v>0</v>
      </c>
      <c r="P119" s="1158">
        <f t="shared" si="53"/>
        <v>1695958.93</v>
      </c>
      <c r="Q119" s="1158">
        <f t="shared" ref="Q119" si="54">SUM(Q120+Q134)</f>
        <v>0</v>
      </c>
      <c r="R119" s="1106"/>
      <c r="S119" s="1107"/>
      <c r="T119" s="364"/>
      <c r="U119" s="1459"/>
    </row>
    <row r="120" spans="1:22" ht="38.25" customHeight="1" thickBot="1">
      <c r="A120" s="296" t="str">
        <f>CONCATENATE('3 pr-2'!A121)</f>
        <v>2.1.2.1</v>
      </c>
      <c r="B120" s="2088" t="str">
        <f>CONCATENATE('3 pr-2'!B121)</f>
        <v>Priemonė:
Pirminės asmens ir visuomenės sveikatos priežiūros veiklos efektyvumo didinimas gerinant jų infrastruktūrą</v>
      </c>
      <c r="C120" s="2089"/>
      <c r="D120" s="2089"/>
      <c r="E120" s="2089"/>
      <c r="F120" s="2089"/>
      <c r="G120" s="2089"/>
      <c r="H120" s="2089"/>
      <c r="I120" s="2089"/>
      <c r="J120" s="2090"/>
      <c r="K120" s="1077">
        <f t="shared" ref="K120:P120" si="55">SUM(K121:K128)</f>
        <v>1000263.03</v>
      </c>
      <c r="L120" s="1077">
        <f t="shared" si="55"/>
        <v>51014</v>
      </c>
      <c r="M120" s="1077">
        <f t="shared" si="55"/>
        <v>75019.97</v>
      </c>
      <c r="N120" s="1077">
        <f t="shared" si="55"/>
        <v>24006.98</v>
      </c>
      <c r="O120" s="1077">
        <f t="shared" si="55"/>
        <v>0</v>
      </c>
      <c r="P120" s="1077">
        <f t="shared" si="55"/>
        <v>850222.07999999996</v>
      </c>
      <c r="Q120" s="1077">
        <f t="shared" ref="Q120" si="56">SUM(Q121:Q128)</f>
        <v>0</v>
      </c>
      <c r="R120" s="1108"/>
      <c r="S120" s="1109"/>
      <c r="T120" s="358"/>
      <c r="U120" s="1460">
        <f>IF((MONTH(R120)-MONTH(S120))=0,0,MONTH(R120)-MONTH(S120))</f>
        <v>0</v>
      </c>
    </row>
    <row r="121" spans="1:22" ht="61.5" thickBot="1">
      <c r="A121" s="163" t="str">
        <f>CONCATENATE('3 pr-2'!A122)</f>
        <v>2.1.2.1.1</v>
      </c>
      <c r="B121" s="1123" t="str">
        <f>CONCATENATE('3 pr-2'!B122)</f>
        <v>R01-6609-274710-2211</v>
      </c>
      <c r="C121" s="227" t="str">
        <f>CONCATENATE('ketv. 2'!B121)</f>
        <v>08.1.3-CPVA-R-609-11-0002</v>
      </c>
      <c r="D121" s="164" t="str">
        <f>CONCATENATE('3 pr-2'!D122)</f>
        <v>Alytaus poliklinikos teikiamų pirminės sveikatos priežiūros paslaugų prieinamumo didinimas ir kokybės gerinimas</v>
      </c>
      <c r="E121" s="164" t="str">
        <f>CONCATENATE('3 pr-2'!E122)</f>
        <v>VšĮ Alytaus poliklinika</v>
      </c>
      <c r="F121" s="164" t="str">
        <f>CONCATENATE('3 pr-2'!F122)</f>
        <v>Lietuvos Respublikos Sveikatos apsaugos ministerija</v>
      </c>
      <c r="G121" s="164" t="str">
        <f>CONCATENATE('3 pr-2'!G122)</f>
        <v>Alytaus m. sav.</v>
      </c>
      <c r="H121" s="164" t="str">
        <f>CONCATENATE('3 pr-2'!H122)</f>
        <v>08.1.3-CPVA-R-609</v>
      </c>
      <c r="I121" s="164" t="str">
        <f>CONCATENATE('3 pr-2'!I122)</f>
        <v>R</v>
      </c>
      <c r="J121" s="174" t="str">
        <f>CONCATENATE('3 pr-2'!J122)</f>
        <v>-</v>
      </c>
      <c r="K121" s="1080">
        <f>IF(LEN(S121)=5,'3 pr-2'!L122,0)</f>
        <v>458183</v>
      </c>
      <c r="L121" s="1080">
        <f>IF(LEN(S121)=5,'3 pr-2'!O122,0)</f>
        <v>34364</v>
      </c>
      <c r="M121" s="1080">
        <f>IF(LEN(S121)=5,'3 pr-2'!R122,0)</f>
        <v>34363</v>
      </c>
      <c r="N121" s="1080">
        <f>IF(LEN(S121)=5,'3 pr-2'!U122,0)</f>
        <v>0</v>
      </c>
      <c r="O121" s="1080">
        <f>IF(LEN(S121)=5,'3 pr-2'!X122,0)</f>
        <v>0</v>
      </c>
      <c r="P121" s="1080">
        <f>IF(LEN(S121)=5,'3 pr-2'!AA122,0)</f>
        <v>389456</v>
      </c>
      <c r="Q121" s="1080">
        <f>IF(LEN(S121)=5,'3 pr-2'!AB122,0)</f>
        <v>0</v>
      </c>
      <c r="R121" s="1124">
        <f>SUM('3 pr-2'!AH122)</f>
        <v>43363</v>
      </c>
      <c r="S121" s="1129">
        <f>IF(SUMIF(Paraiškos!A:A,'ketv. 3'!C121,Paraiškos!H:H)&gt;0,SUMIF(Paraiškos!A:A,'ketv. 3'!C121,Paraiškos!H:H),"–")</f>
        <v>43362</v>
      </c>
      <c r="T121" s="234" t="str">
        <f t="shared" ref="T121:T133" si="57">IF(ISERROR(U121),"–",IF(U121&gt;0,"–",U121))</f>
        <v>–</v>
      </c>
      <c r="U121" s="1462" t="str">
        <f t="shared" ref="U121:U128" si="58">IF(R121-S121&lt;0,(R121-S121)/30.4166666666667,"–")</f>
        <v>–</v>
      </c>
    </row>
    <row r="122" spans="1:22" ht="85.5" thickBot="1">
      <c r="A122" s="163" t="str">
        <f>CONCATENATE('3 pr-2'!A123)</f>
        <v>2.1.2.1.2</v>
      </c>
      <c r="B122" s="1123" t="str">
        <f>CONCATENATE('3 pr-2'!B123)</f>
        <v>R01-6609-274710-2212</v>
      </c>
      <c r="C122" s="227" t="str">
        <f>CONCATENATE('ketv. 2'!B122)</f>
        <v>08.1.3-CPVA-R-609-11-0004</v>
      </c>
      <c r="D122" s="164" t="str">
        <f>CONCATENATE('3 pr-2'!D123)</f>
        <v>Sveikatos priežiūros paslaugų modernizavimas bei optimizavimas pirminės sveikatos priežiūros centre</v>
      </c>
      <c r="E122" s="164" t="str">
        <f>CONCATENATE('3 pr-2'!E123)</f>
        <v xml:space="preserve">VšĮ Alytaus miesto savivaldybės pirminės sveikatos priežiūros centras </v>
      </c>
      <c r="F122" s="164" t="str">
        <f>CONCATENATE('3 pr-2'!F123)</f>
        <v>Lietuvos Respublikos Sveikatos apsaugos ministerija</v>
      </c>
      <c r="G122" s="164" t="str">
        <f>CONCATENATE('3 pr-2'!G123)</f>
        <v>Alytaus m. sav.</v>
      </c>
      <c r="H122" s="164" t="str">
        <f>CONCATENATE('3 pr-2'!H123)</f>
        <v>08.1.3-CPVA-R-609</v>
      </c>
      <c r="I122" s="164" t="str">
        <f>CONCATENATE('3 pr-2'!I123)</f>
        <v>R</v>
      </c>
      <c r="J122" s="174" t="str">
        <f>CONCATENATE('3 pr-2'!J123)</f>
        <v>-</v>
      </c>
      <c r="K122" s="1080">
        <f>IF(LEN(S122)=5,'3 pr-2'!L123,0)</f>
        <v>50356</v>
      </c>
      <c r="L122" s="1080">
        <f>IF(LEN(S122)=5,'3 pr-2'!O123,0)</f>
        <v>3777</v>
      </c>
      <c r="M122" s="1080">
        <f>IF(LEN(S122)=5,'3 pr-2'!R123,0)</f>
        <v>3777</v>
      </c>
      <c r="N122" s="1080">
        <f>IF(LEN(S122)=5,'3 pr-2'!U123,0)</f>
        <v>0</v>
      </c>
      <c r="O122" s="1080">
        <f>IF(LEN(S122)=5,'3 pr-2'!X123,0)</f>
        <v>0</v>
      </c>
      <c r="P122" s="1080">
        <f>IF(LEN(S122)=5,'3 pr-2'!AA123,0)</f>
        <v>42802</v>
      </c>
      <c r="Q122" s="1080">
        <f>IF(LEN(S122)=5,'3 pr-2'!AB123,0)</f>
        <v>0</v>
      </c>
      <c r="R122" s="1124">
        <f>SUM('3 pr-2'!AH123)</f>
        <v>43373</v>
      </c>
      <c r="S122" s="1129">
        <f>IF(SUMIF(Paraiškos!A:A,'ketv. 3'!C122,Paraiškos!H:H)&gt;0,SUMIF(Paraiškos!A:A,'ketv. 3'!C122,Paraiškos!H:H),"–")</f>
        <v>43371</v>
      </c>
      <c r="T122" s="234" t="str">
        <f t="shared" si="57"/>
        <v>–</v>
      </c>
      <c r="U122" s="1462" t="str">
        <f t="shared" si="58"/>
        <v>–</v>
      </c>
    </row>
    <row r="123" spans="1:22" ht="61.5" thickBot="1">
      <c r="A123" s="163" t="str">
        <f>CONCATENATE('3 pr-2'!A124)</f>
        <v>2.1.2.1.3</v>
      </c>
      <c r="B123" s="1123" t="str">
        <f>CONCATENATE('3 pr-2'!B124)</f>
        <v>R01-6609-274700-2213</v>
      </c>
      <c r="C123" s="227" t="str">
        <f>CONCATENATE('ketv. 2'!B123)</f>
        <v>08.1.3-CPVA-R-609-11-0003</v>
      </c>
      <c r="D123" s="164" t="str">
        <f>CONCATENATE('3 pr-2'!D124)</f>
        <v>UAB "MediCA klinika" teikiamų pirminės asmens sveikatos priežiūros paslaugų efektyvumo didinimas Alytaus miesto savivaldybėje</v>
      </c>
      <c r="E123" s="164" t="str">
        <f>CONCATENATE('3 pr-2'!E124)</f>
        <v>UAB „MediCA klinika“</v>
      </c>
      <c r="F123" s="164" t="str">
        <f>CONCATENATE('3 pr-2'!F124)</f>
        <v>Lietuvos Respublikos Sveikatos apsaugos ministerija</v>
      </c>
      <c r="G123" s="164" t="str">
        <f>CONCATENATE('3 pr-2'!G124)</f>
        <v>Alytaus m. sav.</v>
      </c>
      <c r="H123" s="164" t="str">
        <f>CONCATENATE('3 pr-2'!H124)</f>
        <v>08.1.3-CPVA-R-609</v>
      </c>
      <c r="I123" s="164" t="str">
        <f>CONCATENATE('3 pr-2'!I124)</f>
        <v>R</v>
      </c>
      <c r="J123" s="174" t="str">
        <f>CONCATENATE('3 pr-2'!J124)</f>
        <v>-</v>
      </c>
      <c r="K123" s="1080">
        <f>IF(LEN(S123)=5,'3 pr-2'!L124,0)</f>
        <v>83468</v>
      </c>
      <c r="L123" s="1080">
        <f>IF(LEN(S123)=5,'3 pr-2'!O124,0)</f>
        <v>0</v>
      </c>
      <c r="M123" s="1080">
        <f>IF(LEN(S123)=5,'3 pr-2'!R124,0)</f>
        <v>6260</v>
      </c>
      <c r="N123" s="1080">
        <f>IF(LEN(S123)=5,'3 pr-2'!U124,0)</f>
        <v>6260</v>
      </c>
      <c r="O123" s="1080">
        <f>IF(LEN(S123)=5,'3 pr-2'!X124,0)</f>
        <v>0</v>
      </c>
      <c r="P123" s="1080">
        <f>IF(LEN(S123)=5,'3 pr-2'!AA124,0)</f>
        <v>70948</v>
      </c>
      <c r="Q123" s="1080">
        <f>IF(LEN(S123)=5,'3 pr-2'!AB124,0)</f>
        <v>0</v>
      </c>
      <c r="R123" s="1124">
        <f>SUM('3 pr-2'!AH124)</f>
        <v>43373</v>
      </c>
      <c r="S123" s="1129">
        <f>IF(SUMIF(Paraiškos!A:A,'ketv. 3'!C123,Paraiškos!H:H)&gt;0,SUMIF(Paraiškos!A:A,'ketv. 3'!C123,Paraiškos!H:H),"–")</f>
        <v>43370</v>
      </c>
      <c r="T123" s="234" t="str">
        <f t="shared" si="57"/>
        <v>–</v>
      </c>
      <c r="U123" s="1462" t="str">
        <f t="shared" si="58"/>
        <v>–</v>
      </c>
    </row>
    <row r="124" spans="1:22" ht="61.5" thickBot="1">
      <c r="A124" s="163" t="str">
        <f>CONCATENATE('3 pr-2'!A125)</f>
        <v>2.1.2.1.4</v>
      </c>
      <c r="B124" s="1123" t="str">
        <f>CONCATENATE('3 pr-2'!B125)</f>
        <v>R01-6609-274710-2214</v>
      </c>
      <c r="C124" s="227" t="str">
        <f>CONCATENATE('ketv. 2'!B124)</f>
        <v>08.1.3-CPVA-R-609-11-0005</v>
      </c>
      <c r="D124" s="164" t="str">
        <f>CONCATENATE('3 pr-2'!D125)</f>
        <v>UAB "Pagalba ligoniui" teikiamų paslaugų efektyvumo didinimas</v>
      </c>
      <c r="E124" s="164" t="str">
        <f>CONCATENATE('3 pr-2'!E125)</f>
        <v>UAB „Pagalba ligoniui“, Alytaus filialas</v>
      </c>
      <c r="F124" s="164" t="str">
        <f>CONCATENATE('3 pr-2'!F125)</f>
        <v>Lietuvos Respublikos Sveikatos apsaugos ministerija</v>
      </c>
      <c r="G124" s="164" t="str">
        <f>CONCATENATE('3 pr-2'!G125)</f>
        <v>Alytaus m. sav.</v>
      </c>
      <c r="H124" s="164" t="str">
        <f>CONCATENATE('3 pr-2'!H125)</f>
        <v>08.1.3-CPVA-R-609</v>
      </c>
      <c r="I124" s="164" t="str">
        <f>CONCATENATE('3 pr-2'!I125)</f>
        <v>R</v>
      </c>
      <c r="J124" s="174" t="str">
        <f>CONCATENATE('3 pr-2'!J125)</f>
        <v>-</v>
      </c>
      <c r="K124" s="1080">
        <f>IF(LEN(S124)=5,'3 pr-2'!L125,0)</f>
        <v>43413.03</v>
      </c>
      <c r="L124" s="1080">
        <f>IF(LEN(S124)=5,'3 pr-2'!O125,0)</f>
        <v>0</v>
      </c>
      <c r="M124" s="1080">
        <f>IF(LEN(S124)=5,'3 pr-2'!R125,0)</f>
        <v>3255.97</v>
      </c>
      <c r="N124" s="1080">
        <f>IF(LEN(S124)=5,'3 pr-2'!U125,0)</f>
        <v>3255.98</v>
      </c>
      <c r="O124" s="1080">
        <f>IF(LEN(S124)=5,'3 pr-2'!X125,0)</f>
        <v>0</v>
      </c>
      <c r="P124" s="1080">
        <f>IF(LEN(S124)=5,'3 pr-2'!AA125,0)</f>
        <v>36901.08</v>
      </c>
      <c r="Q124" s="1080">
        <f>IF(LEN(S124)=5,'3 pr-2'!AB125,0)</f>
        <v>0</v>
      </c>
      <c r="R124" s="1124">
        <f>SUM('3 pr-2'!AH125)</f>
        <v>43373</v>
      </c>
      <c r="S124" s="1129">
        <f>IF(SUMIF(Paraiškos!A:A,'ketv. 3'!C124,Paraiškos!H:H)&gt;0,SUMIF(Paraiškos!A:A,'ketv. 3'!C124,Paraiškos!H:H),"–")</f>
        <v>43371</v>
      </c>
      <c r="T124" s="234" t="str">
        <f t="shared" si="57"/>
        <v>–</v>
      </c>
      <c r="U124" s="1462" t="str">
        <f t="shared" si="58"/>
        <v>–</v>
      </c>
    </row>
    <row r="125" spans="1:22" ht="85.5" thickBot="1">
      <c r="A125" s="163" t="str">
        <f>CONCATENATE('3 pr-2'!A126)</f>
        <v>2.1.2.1.5</v>
      </c>
      <c r="B125" s="1123" t="str">
        <f>CONCATENATE('3 pr-2'!B126)</f>
        <v>R01-6609-274710-2215</v>
      </c>
      <c r="C125" s="227" t="str">
        <f>CONCATENATE('ketv. 2'!B125)</f>
        <v>08.1.3-CPVA-R-609-11-0009</v>
      </c>
      <c r="D125" s="164" t="str">
        <f>CONCATENATE('3 pr-2'!D126)</f>
        <v>Pirminės asmens sveikatos priežiūros veiklos efektyvumo didinimas Alytaus rajono savivaldybėje</v>
      </c>
      <c r="E125" s="164" t="str">
        <f>CONCATENATE('3 pr-2'!E126)</f>
        <v>VšĮ Alytaus rajono savivaldybės pirminės sveikatos priežiūros centras</v>
      </c>
      <c r="F125" s="164" t="str">
        <f>CONCATENATE('3 pr-2'!F126)</f>
        <v>Lietuvos Respublikos Sveikatos apsaugos ministerija</v>
      </c>
      <c r="G125" s="164" t="str">
        <f>CONCATENATE('3 pr-2'!G126)</f>
        <v>Alytaus r. sav.</v>
      </c>
      <c r="H125" s="164" t="str">
        <f>CONCATENATE('3 pr-2'!H126)</f>
        <v>08.1.3-CPVA-R-609</v>
      </c>
      <c r="I125" s="164" t="str">
        <f>CONCATENATE('3 pr-2'!I126)</f>
        <v>R</v>
      </c>
      <c r="J125" s="174" t="str">
        <f>CONCATENATE('3 pr-2'!J126)</f>
        <v>-</v>
      </c>
      <c r="K125" s="1080">
        <f>IF(LEN(S125)=5,'3 pr-2'!L126,0)</f>
        <v>171636</v>
      </c>
      <c r="L125" s="1080">
        <f>IF(LEN(S125)=5,'3 pr-2'!O126,0)</f>
        <v>12873</v>
      </c>
      <c r="M125" s="1080">
        <f>IF(LEN(S125)=5,'3 pr-2'!R126,0)</f>
        <v>12873</v>
      </c>
      <c r="N125" s="1080">
        <f>IF(LEN(S125)=5,'3 pr-2'!U126,0)</f>
        <v>0</v>
      </c>
      <c r="O125" s="1080">
        <f>IF(LEN(S125)=5,'3 pr-2'!X126,0)</f>
        <v>0</v>
      </c>
      <c r="P125" s="1080">
        <f>IF(LEN(S125)=5,'3 pr-2'!AA126,0)</f>
        <v>145890</v>
      </c>
      <c r="Q125" s="1080">
        <f>IF(LEN(S125)=5,'3 pr-2'!AB126,0)</f>
        <v>0</v>
      </c>
      <c r="R125" s="1124">
        <f>SUM('3 pr-2'!AH126)</f>
        <v>43403</v>
      </c>
      <c r="S125" s="1129">
        <f>IF(SUMIF(Paraiškos!A:A,'ketv. 3'!C125,Paraiškos!H:H)&gt;0,SUMIF(Paraiškos!A:A,'ketv. 3'!C125,Paraiškos!H:H),"–")</f>
        <v>43403</v>
      </c>
      <c r="T125" s="234" t="str">
        <f t="shared" si="57"/>
        <v>–</v>
      </c>
      <c r="U125" s="1462" t="str">
        <f t="shared" si="58"/>
        <v>–</v>
      </c>
    </row>
    <row r="126" spans="1:22" ht="61.5" thickBot="1">
      <c r="A126" s="163" t="str">
        <f>CONCATENATE('3 pr-2'!A127)</f>
        <v>2.1.2.1.6</v>
      </c>
      <c r="B126" s="1123" t="str">
        <f>CONCATENATE('3 pr-2'!B127)</f>
        <v>R01-6609-471000-2216</v>
      </c>
      <c r="C126" s="227" t="str">
        <f>CONCATENATE('ketv. 2'!B126)</f>
        <v>08.1.3-CPVA-R-609-11-0011</v>
      </c>
      <c r="D126" s="164" t="str">
        <f>CONCATENATE('3 pr-2'!D127)</f>
        <v>Sveikatos priežiūros paslaugų gerinimas UAB „Disolis“</v>
      </c>
      <c r="E126" s="164" t="str">
        <f>CONCATENATE('3 pr-2'!E127)</f>
        <v>UAB „Disolis“</v>
      </c>
      <c r="F126" s="164" t="str">
        <f>CONCATENATE('3 pr-2'!F127)</f>
        <v>Lietuvos Respublikos Sveikatos apsaugos ministerija</v>
      </c>
      <c r="G126" s="164" t="str">
        <f>CONCATENATE('3 pr-2'!G127)</f>
        <v>Alytaus r. sav.</v>
      </c>
      <c r="H126" s="164" t="str">
        <f>CONCATENATE('3 pr-2'!H127)</f>
        <v>08.1.3-CPVA-R-609</v>
      </c>
      <c r="I126" s="164" t="str">
        <f>CONCATENATE('3 pr-2'!I127)</f>
        <v>R</v>
      </c>
      <c r="J126" s="174" t="str">
        <f>CONCATENATE('3 pr-2'!J127)</f>
        <v>-</v>
      </c>
      <c r="K126" s="1080">
        <f>IF(LEN(S126)=5,'3 pr-2'!L127,0)</f>
        <v>17386</v>
      </c>
      <c r="L126" s="1080">
        <f>IF(LEN(S126)=5,'3 pr-2'!O127,0)</f>
        <v>0</v>
      </c>
      <c r="M126" s="1080">
        <f>IF(LEN(S126)=5,'3 pr-2'!R127,0)</f>
        <v>1304</v>
      </c>
      <c r="N126" s="1080">
        <f>IF(LEN(S126)=5,'3 pr-2'!U127,0)</f>
        <v>1304</v>
      </c>
      <c r="O126" s="1080">
        <f>IF(LEN(S126)=5,'3 pr-2'!X127,0)</f>
        <v>0</v>
      </c>
      <c r="P126" s="1080">
        <f>IF(LEN(S126)=5,'3 pr-2'!AA127,0)</f>
        <v>14778</v>
      </c>
      <c r="Q126" s="1080">
        <f>IF(LEN(S126)=5,'3 pr-2'!AB127,0)</f>
        <v>0</v>
      </c>
      <c r="R126" s="1124">
        <f>SUM('3 pr-2'!AH127)</f>
        <v>43403</v>
      </c>
      <c r="S126" s="1129">
        <f>IF(SUMIF(Paraiškos!A:A,'ketv. 3'!C126,Paraiškos!H:H)&gt;0,SUMIF(Paraiškos!A:A,'ketv. 3'!C126,Paraiškos!H:H),"–")</f>
        <v>43404</v>
      </c>
      <c r="T126" s="234">
        <f t="shared" si="57"/>
        <v>-3.2876712328767085E-2</v>
      </c>
      <c r="U126" s="1462">
        <f t="shared" si="58"/>
        <v>-3.2876712328767085E-2</v>
      </c>
    </row>
    <row r="127" spans="1:22" ht="61.5" thickBot="1">
      <c r="A127" s="163" t="str">
        <f>CONCATENATE('3 pr-2'!A128)</f>
        <v>2.1.2.1.7</v>
      </c>
      <c r="B127" s="1123" t="str">
        <f>CONCATENATE('3 pr-2'!B128)</f>
        <v>R01-6609-274710-2217</v>
      </c>
      <c r="C127" s="227" t="str">
        <f>CONCATENATE('ketv. 2'!B127)</f>
        <v>08.1.3-CPVA-R-609-11-0007</v>
      </c>
      <c r="D127" s="164" t="str">
        <f>CONCATENATE('3 pr-2'!D128)</f>
        <v>Pirminės asmens sveikatos priežiūros kokybės ir prieinamumo gerinimas Druskininkų savivaldybėje</v>
      </c>
      <c r="E127" s="164" t="str">
        <f>CONCATENATE('3 pr-2'!E128)</f>
        <v>VšĮ Druskininkų pirminės sveikatos priežiūros centras</v>
      </c>
      <c r="F127" s="164" t="str">
        <f>CONCATENATE('3 pr-2'!F128)</f>
        <v>Lietuvos Respublikos Sveikatos apsaugos ministerija</v>
      </c>
      <c r="G127" s="164" t="str">
        <f>CONCATENATE('3 pr-2'!G128)</f>
        <v>Druskininkų sav.</v>
      </c>
      <c r="H127" s="164" t="str">
        <f>CONCATENATE('3 pr-2'!H128)</f>
        <v>08.1.3-CPVA-R-609</v>
      </c>
      <c r="I127" s="164" t="str">
        <f>CONCATENATE('3 pr-2'!I128)</f>
        <v>R</v>
      </c>
      <c r="J127" s="174" t="str">
        <f>CONCATENATE('3 pr-2'!J128)</f>
        <v>-</v>
      </c>
      <c r="K127" s="1080">
        <f>IF(LEN(S127)=5,'3 pr-2'!L128,0)</f>
        <v>163532</v>
      </c>
      <c r="L127" s="1080">
        <f>IF(LEN(S127)=5,'3 pr-2'!O128,0)</f>
        <v>0</v>
      </c>
      <c r="M127" s="1080">
        <f>IF(LEN(S127)=5,'3 pr-2'!R128,0)</f>
        <v>12265</v>
      </c>
      <c r="N127" s="1080">
        <f>IF(LEN(S127)=5,'3 pr-2'!U128,0)</f>
        <v>12265</v>
      </c>
      <c r="O127" s="1080">
        <f>IF(LEN(S127)=5,'3 pr-2'!X128,0)</f>
        <v>0</v>
      </c>
      <c r="P127" s="1080">
        <f>IF(LEN(S127)=5,'3 pr-2'!AA128,0)</f>
        <v>139002</v>
      </c>
      <c r="Q127" s="1080">
        <f>IF(LEN(S127)=5,'3 pr-2'!AB128,0)</f>
        <v>0</v>
      </c>
      <c r="R127" s="1124">
        <f>SUM('3 pr-2'!AH128)</f>
        <v>43403</v>
      </c>
      <c r="S127" s="1129">
        <f>IF(SUMIF(Paraiškos!A:A,'ketv. 3'!C127,Paraiškos!H:H)&gt;0,SUMIF(Paraiškos!A:A,'ketv. 3'!C127,Paraiškos!H:H),"–")</f>
        <v>43402</v>
      </c>
      <c r="T127" s="234" t="str">
        <f t="shared" si="57"/>
        <v>–</v>
      </c>
      <c r="U127" s="1462" t="str">
        <f t="shared" si="58"/>
        <v>–</v>
      </c>
    </row>
    <row r="128" spans="1:22" ht="61.5" thickBot="1">
      <c r="A128" s="163" t="str">
        <f>CONCATENATE('3 pr-2'!A129)</f>
        <v>2.1.2.1.8</v>
      </c>
      <c r="B128" s="1123" t="str">
        <f>CONCATENATE('3 pr-2'!B129)</f>
        <v>R01-6609-104700-2218</v>
      </c>
      <c r="C128" s="227" t="str">
        <f>CONCATENATE('ketv. 2'!B128)</f>
        <v>08.1.3-CPVA-R-609-11-0006</v>
      </c>
      <c r="D128" s="164" t="str">
        <f>CONCATENATE('3 pr-2'!D129)</f>
        <v>UAB "Druskininkų šeimos klinika" asmens sveikatos priežiūros paslaugų prieinamumo ir efektyvumo didinimas</v>
      </c>
      <c r="E128" s="164" t="str">
        <f>CONCATENATE('3 pr-2'!E129)</f>
        <v>UAB „Druskininkų šeimos klinika“</v>
      </c>
      <c r="F128" s="164" t="str">
        <f>CONCATENATE('3 pr-2'!F129)</f>
        <v>Lietuvos Respublikos Sveikatos apsaugos ministerija</v>
      </c>
      <c r="G128" s="164" t="str">
        <f>CONCATENATE('3 pr-2'!G129)</f>
        <v>Druskininkų sav.</v>
      </c>
      <c r="H128" s="164" t="str">
        <f>CONCATENATE('3 pr-2'!H129)</f>
        <v>08.1.3-CPVA-R-609</v>
      </c>
      <c r="I128" s="164" t="str">
        <f>CONCATENATE('3 pr-2'!I129)</f>
        <v>R</v>
      </c>
      <c r="J128" s="174" t="str">
        <f>CONCATENATE('3 pr-2'!J129)</f>
        <v>-</v>
      </c>
      <c r="K128" s="1080">
        <f>IF(LEN(S128)=5,'3 pr-2'!L129,0)</f>
        <v>12289</v>
      </c>
      <c r="L128" s="1080">
        <f>IF(LEN(S128)=5,'3 pr-2'!O129,0)</f>
        <v>0</v>
      </c>
      <c r="M128" s="1080">
        <f>IF(LEN(S128)=5,'3 pr-2'!R129,0)</f>
        <v>922</v>
      </c>
      <c r="N128" s="1080">
        <f>IF(LEN(S128)=5,'3 pr-2'!U129,0)</f>
        <v>922</v>
      </c>
      <c r="O128" s="1080">
        <f>IF(LEN(S128)=5,'3 pr-2'!X129,0)</f>
        <v>0</v>
      </c>
      <c r="P128" s="1080">
        <f>IF(LEN(S128)=5,'3 pr-2'!AA129,0)</f>
        <v>10445</v>
      </c>
      <c r="Q128" s="1080">
        <f>IF(LEN(S128)=5,'3 pr-2'!AB129,0)</f>
        <v>0</v>
      </c>
      <c r="R128" s="1124">
        <f>SUM('3 pr-2'!AH129)</f>
        <v>43403</v>
      </c>
      <c r="S128" s="1129">
        <f>IF(SUMIF(Paraiškos!A:A,'ketv. 3'!C128,Paraiškos!H:H)&gt;0,SUMIF(Paraiškos!A:A,'ketv. 3'!C128,Paraiškos!H:H),"–")</f>
        <v>43399</v>
      </c>
      <c r="T128" s="234" t="str">
        <f t="shared" si="57"/>
        <v>–</v>
      </c>
      <c r="U128" s="1462" t="str">
        <f t="shared" si="58"/>
        <v>–</v>
      </c>
    </row>
    <row r="129" spans="1:21" ht="61.5" thickBot="1">
      <c r="A129" s="163" t="str">
        <f>CONCATENATE('3 pr-2'!A130)</f>
        <v>2.1.2.1.9</v>
      </c>
      <c r="B129" s="1123" t="str">
        <f>CONCATENATE('3 pr-2'!B130)</f>
        <v>R01-6609-274710-2219</v>
      </c>
      <c r="C129" s="227" t="str">
        <f>CONCATENATE('ketv. 2'!B129)</f>
        <v>08.1.3-CPVA-R-609-11-0001</v>
      </c>
      <c r="D129" s="164" t="str">
        <f>CONCATENATE('3 pr-2'!D130)</f>
        <v>I. S. Kavaliauskienės įmonės teikiamų pirminės ambulatorinės asmens sveikatos priežiūros paslaugų kokybės ir prieinamumo gerinimas</v>
      </c>
      <c r="E129" s="164" t="str">
        <f>CONCATENATE('3 pr-2'!E130)</f>
        <v>Irenos Stanislavos Kavaliauskienės įmonė</v>
      </c>
      <c r="F129" s="164" t="str">
        <f>CONCATENATE('3 pr-2'!F130)</f>
        <v>Lietuvos Respublikos Sveikatos apsaugos ministerija</v>
      </c>
      <c r="G129" s="164" t="str">
        <f>CONCATENATE('3 pr-2'!G130)</f>
        <v>Druskininkų sav.</v>
      </c>
      <c r="H129" s="164" t="str">
        <f>CONCATENATE('3 pr-2'!H130)</f>
        <v>08.1.3-CPVA-R-609</v>
      </c>
      <c r="I129" s="164" t="str">
        <f>CONCATENATE('3 pr-2'!I130)</f>
        <v>R</v>
      </c>
      <c r="J129" s="174" t="str">
        <f>CONCATENATE('3 pr-2'!J130)</f>
        <v>-</v>
      </c>
      <c r="K129" s="1080">
        <f>IF(LEN(S129)=5,'3 pr-2'!L130,0)</f>
        <v>25517</v>
      </c>
      <c r="L129" s="1080">
        <f>IF(LEN(S129)=5,'3 pr-2'!O130,0)</f>
        <v>0</v>
      </c>
      <c r="M129" s="1080">
        <f>IF(LEN(S129)=5,'3 pr-2'!R130,0)</f>
        <v>1913.55</v>
      </c>
      <c r="N129" s="1080">
        <f>IF(LEN(S129)=5,'3 pr-2'!U130,0)</f>
        <v>1914</v>
      </c>
      <c r="O129" s="1080">
        <f>IF(LEN(S129)=5,'3 pr-2'!X130,0)</f>
        <v>0</v>
      </c>
      <c r="P129" s="1080">
        <f>IF(LEN(S129)=5,'3 pr-2'!AA130,0)</f>
        <v>21689.45</v>
      </c>
      <c r="Q129" s="1080">
        <f>IF(LEN(S129)=5,'3 pr-2'!AB130,0)</f>
        <v>0</v>
      </c>
      <c r="R129" s="1124">
        <f>SUM('3 pr-2'!AH130)</f>
        <v>43373</v>
      </c>
      <c r="S129" s="1129">
        <f>IF(SUMIF(Paraiškos!A:A,'ketv. 3'!C129,Paraiškos!H:H)&gt;0,SUMIF(Paraiškos!A:A,'ketv. 3'!C129,Paraiškos!H:H),"–")</f>
        <v>43360</v>
      </c>
      <c r="T129" s="234" t="str">
        <f t="shared" si="57"/>
        <v>–</v>
      </c>
      <c r="U129" s="1462" t="str">
        <f t="shared" ref="U129:U133" si="59">IF(R129-S129&lt;0,(R129-S129)/30.4166666666667,"–")</f>
        <v>–</v>
      </c>
    </row>
    <row r="130" spans="1:21" ht="61.5" thickBot="1">
      <c r="A130" s="163" t="str">
        <f>CONCATENATE('3 pr-2'!A131)</f>
        <v>2.1.2.1.10</v>
      </c>
      <c r="B130" s="1123" t="str">
        <f>CONCATENATE('3 pr-2'!B131)</f>
        <v>R01-6609-274710-2220</v>
      </c>
      <c r="C130" s="227" t="str">
        <f>CONCATENATE('ketv. 2'!B130)</f>
        <v>08.1.3-CPVA-R-609-11-0008</v>
      </c>
      <c r="D130" s="164" t="str">
        <f>CONCATENATE('3 pr-2'!D131)</f>
        <v>Pirminės ambulatorinės asmens sveikatos priežiūros efektyvumo didinimas R. Ambrazaitienės ir L. Puzinovienės šeimos gydytojų kabinetuose</v>
      </c>
      <c r="E130" s="164" t="str">
        <f>CONCATENATE('3 pr-2'!E131)</f>
        <v>UAB „Rasos Ambrazaitienės šeimos gydytojo kabinetas“</v>
      </c>
      <c r="F130" s="164" t="str">
        <f>CONCATENATE('3 pr-2'!F131)</f>
        <v>Lietuvos Respublikos Sveikatos apsaugos ministerija</v>
      </c>
      <c r="G130" s="164" t="str">
        <f>CONCATENATE('3 pr-2'!G131)</f>
        <v>Druskininkų sav.</v>
      </c>
      <c r="H130" s="164" t="str">
        <f>CONCATENATE('3 pr-2'!H131)</f>
        <v>08.1.3-CPVA-R-609</v>
      </c>
      <c r="I130" s="164" t="str">
        <f>CONCATENATE('3 pr-2'!I131)</f>
        <v>R</v>
      </c>
      <c r="J130" s="174" t="str">
        <f>CONCATENATE('3 pr-2'!J131)</f>
        <v>-</v>
      </c>
      <c r="K130" s="1080">
        <f>IF(LEN(S130)=5,'3 pr-2'!L131,0)</f>
        <v>27906</v>
      </c>
      <c r="L130" s="1080">
        <f>IF(LEN(S130)=5,'3 pr-2'!O131,0)</f>
        <v>0</v>
      </c>
      <c r="M130" s="1080">
        <f>IF(LEN(S130)=5,'3 pr-2'!R131,0)</f>
        <v>2093</v>
      </c>
      <c r="N130" s="1080">
        <f>IF(LEN(S130)=5,'3 pr-2'!U131,0)</f>
        <v>2093</v>
      </c>
      <c r="O130" s="1080">
        <f>IF(LEN(S130)=5,'3 pr-2'!X131,0)</f>
        <v>0</v>
      </c>
      <c r="P130" s="1080">
        <f>IF(LEN(S130)=5,'3 pr-2'!AA131,0)</f>
        <v>23720</v>
      </c>
      <c r="Q130" s="1080">
        <f>IF(LEN(S130)=5,'3 pr-2'!AB131,0)</f>
        <v>0</v>
      </c>
      <c r="R130" s="1124">
        <f>SUM('3 pr-2'!AH131)</f>
        <v>43403</v>
      </c>
      <c r="S130" s="1129">
        <f>IF(SUMIF(Paraiškos!A:A,'ketv. 3'!C130,Paraiškos!H:H)&gt;0,SUMIF(Paraiškos!A:A,'ketv. 3'!C130,Paraiškos!H:H),"–")</f>
        <v>43402</v>
      </c>
      <c r="T130" s="234" t="str">
        <f t="shared" si="57"/>
        <v>–</v>
      </c>
      <c r="U130" s="1462" t="str">
        <f t="shared" si="59"/>
        <v>–</v>
      </c>
    </row>
    <row r="131" spans="1:21" ht="61.5" thickBot="1">
      <c r="A131" s="163" t="str">
        <f>CONCATENATE('3 pr-2'!A132)</f>
        <v>2.1.2.1.11</v>
      </c>
      <c r="B131" s="1123" t="str">
        <f>CONCATENATE('3 pr-2'!B132)</f>
        <v>R01-6609-274700-2221</v>
      </c>
      <c r="C131" s="227" t="str">
        <f>CONCATENATE('ketv. 2'!B131)</f>
        <v>08.1.3-CPVA-R-609-11-0010</v>
      </c>
      <c r="D131" s="164" t="str">
        <f>CONCATENATE('3 pr-2'!D132)</f>
        <v>Pirminės asmens sveikatos priežiūros veiklos efektyvumo didinimas Lazdijų rajono savivaldybėje</v>
      </c>
      <c r="E131" s="164" t="str">
        <f>CONCATENATE('3 pr-2'!E132)</f>
        <v>Lazdijų rajono savivaldybės administracija</v>
      </c>
      <c r="F131" s="164" t="str">
        <f>CONCATENATE('3 pr-2'!F132)</f>
        <v>Lietuvos Respublikos Sveikatos apsaugos ministerija</v>
      </c>
      <c r="G131" s="164" t="str">
        <f>CONCATENATE('3 pr-2'!G132)</f>
        <v>Lazdijų r. sav.</v>
      </c>
      <c r="H131" s="164" t="str">
        <f>CONCATENATE('3 pr-2'!H132)</f>
        <v>08.1.3-CPVA-R-609</v>
      </c>
      <c r="I131" s="164" t="str">
        <f>CONCATENATE('3 pr-2'!I132)</f>
        <v>R</v>
      </c>
      <c r="J131" s="174" t="str">
        <f>CONCATENATE('3 pr-2'!J132)</f>
        <v>-</v>
      </c>
      <c r="K131" s="1080">
        <f>IF(LEN(S131)=5,'3 pr-2'!L132,0)</f>
        <v>192719</v>
      </c>
      <c r="L131" s="1080">
        <f>IF(LEN(S131)=5,'3 pr-2'!O132,0)</f>
        <v>2983</v>
      </c>
      <c r="M131" s="1080">
        <f>IF(LEN(S131)=5,'3 pr-2'!R132,0)</f>
        <v>14454</v>
      </c>
      <c r="N131" s="1080">
        <f>IF(LEN(S131)=5,'3 pr-2'!U132,0)</f>
        <v>11471</v>
      </c>
      <c r="O131" s="1080">
        <f>IF(LEN(S131)=5,'3 pr-2'!X132,0)</f>
        <v>0</v>
      </c>
      <c r="P131" s="1080">
        <f>IF(LEN(S131)=5,'3 pr-2'!AA132,0)</f>
        <v>163811</v>
      </c>
      <c r="Q131" s="1080">
        <f>IF(LEN(S131)=5,'3 pr-2'!AB132,0)</f>
        <v>0</v>
      </c>
      <c r="R131" s="1124">
        <f>SUM('3 pr-2'!AH132)</f>
        <v>43404</v>
      </c>
      <c r="S131" s="1129">
        <f>IF(SUMIF(Paraiškos!A:A,'ketv. 3'!C131,Paraiškos!H:H)&gt;0,SUMIF(Paraiškos!A:A,'ketv. 3'!C131,Paraiškos!H:H),"–")</f>
        <v>43403</v>
      </c>
      <c r="T131" s="234" t="str">
        <f t="shared" si="57"/>
        <v>–</v>
      </c>
      <c r="U131" s="1462" t="str">
        <f t="shared" si="59"/>
        <v>–</v>
      </c>
    </row>
    <row r="132" spans="1:21" ht="61.5" thickBot="1">
      <c r="A132" s="163" t="str">
        <f>CONCATENATE('3 pr-2'!A133)</f>
        <v>2.1.2.1.12</v>
      </c>
      <c r="B132" s="1123" t="str">
        <f>CONCATENATE('3 pr-2'!B133)</f>
        <v>R01-6609-274710-2222</v>
      </c>
      <c r="C132" s="227" t="str">
        <f>CONCATENATE('ketv. 2'!B132)</f>
        <v>08.1.3-CPVA-R-609-11-0012</v>
      </c>
      <c r="D132" s="164" t="str">
        <f>CONCATENATE('3 pr-2'!D133)</f>
        <v>Pirminės asmens sveikatos priežiūros veiklos efektyvumo didinimas Varėnos rajono savivaldybėje</v>
      </c>
      <c r="E132" s="164" t="str">
        <f>CONCATENATE('3 pr-2'!E133)</f>
        <v>VšĮ Varėnos pirminės sveikatos priežiūros centras</v>
      </c>
      <c r="F132" s="164" t="str">
        <f>CONCATENATE('3 pr-2'!F133)</f>
        <v>Lietuvos Respublikos Sveikatos apsaugos ministerija</v>
      </c>
      <c r="G132" s="164" t="str">
        <f>CONCATENATE('3 pr-2'!G133)</f>
        <v>Varėnos r. sav.</v>
      </c>
      <c r="H132" s="164" t="str">
        <f>CONCATENATE('3 pr-2'!H133)</f>
        <v>08.1.3-CPVA-R-609</v>
      </c>
      <c r="I132" s="164" t="str">
        <f>CONCATENATE('3 pr-2'!I133)</f>
        <v>R</v>
      </c>
      <c r="J132" s="174" t="str">
        <f>CONCATENATE('3 pr-2'!J133)</f>
        <v>-</v>
      </c>
      <c r="K132" s="1080">
        <f>IF(LEN(S132)=5,'3 pr-2'!L133,0)</f>
        <v>192678</v>
      </c>
      <c r="L132" s="1080">
        <f>IF(LEN(S132)=5,'3 pr-2'!O133,0)</f>
        <v>14451</v>
      </c>
      <c r="M132" s="1080">
        <f>IF(LEN(S132)=5,'3 pr-2'!R133,0)</f>
        <v>14451</v>
      </c>
      <c r="N132" s="1080">
        <f>IF(LEN(S132)=5,'3 pr-2'!U133,0)</f>
        <v>0</v>
      </c>
      <c r="O132" s="1080">
        <f>IF(LEN(S132)=5,'3 pr-2'!X133,0)</f>
        <v>0</v>
      </c>
      <c r="P132" s="1080">
        <f>IF(LEN(S132)=5,'3 pr-2'!AA133,0)</f>
        <v>163776</v>
      </c>
      <c r="Q132" s="1080">
        <f>IF(LEN(S132)=5,'3 pr-2'!AB133,0)</f>
        <v>0</v>
      </c>
      <c r="R132" s="1124">
        <f>SUM('3 pr-2'!AH133)</f>
        <v>43434</v>
      </c>
      <c r="S132" s="1129">
        <f>IF(SUMIF(Paraiškos!A:A,'ketv. 3'!C132,Paraiškos!H:H)&gt;0,SUMIF(Paraiškos!A:A,'ketv. 3'!C132,Paraiškos!H:H),"–")</f>
        <v>43404</v>
      </c>
      <c r="T132" s="234" t="str">
        <f t="shared" si="57"/>
        <v>–</v>
      </c>
      <c r="U132" s="1465" t="str">
        <f t="shared" si="59"/>
        <v>–</v>
      </c>
    </row>
    <row r="133" spans="1:21" ht="61.5" thickBot="1">
      <c r="A133" s="163" t="str">
        <f>CONCATENATE('3 pr-2'!A134)</f>
        <v>2.1.2.1.13</v>
      </c>
      <c r="B133" s="1123" t="str">
        <f>CONCATENATE('3 pr-2'!B134)</f>
        <v>R01-6609-470000-2223</v>
      </c>
      <c r="C133" s="227" t="str">
        <f>CONCATENATE('ketv. 2'!B133)</f>
        <v/>
      </c>
      <c r="D133" s="164" t="str">
        <f>CONCATENATE('3 pr-2'!D134)</f>
        <v>Pirminės asmens sveikatos priežiūros veiklos efektyvumo didinimas N. Jarašienės personalinėje įmonėje</v>
      </c>
      <c r="E133" s="164" t="str">
        <f>CONCATENATE('3 pr-2'!E134)</f>
        <v>N. Jarašienės personalinė įmonė</v>
      </c>
      <c r="F133" s="164" t="str">
        <f>CONCATENATE('3 pr-2'!F134)</f>
        <v>Lietuvos Respublikos Sveikatos apsaugos ministerija</v>
      </c>
      <c r="G133" s="164" t="str">
        <f>CONCATENATE('3 pr-2'!G134)</f>
        <v>Varėnos r. sav.</v>
      </c>
      <c r="H133" s="164" t="str">
        <f>CONCATENATE('3 pr-2'!H134)</f>
        <v>08.1.3-CPVA-R-609</v>
      </c>
      <c r="I133" s="164" t="str">
        <f>CONCATENATE('3 pr-2'!I134)</f>
        <v>R</v>
      </c>
      <c r="J133" s="174" t="str">
        <f>CONCATENATE('3 pr-2'!J134)</f>
        <v>-</v>
      </c>
      <c r="K133" s="1080">
        <f>IF(LEN(S133)=5,'3 pr-2'!L134,0)</f>
        <v>0</v>
      </c>
      <c r="L133" s="1080">
        <f>IF(LEN(S133)=5,'3 pr-2'!O134,0)</f>
        <v>0</v>
      </c>
      <c r="M133" s="1080">
        <f>IF(LEN(S133)=5,'3 pr-2'!R134,0)</f>
        <v>0</v>
      </c>
      <c r="N133" s="1080">
        <f>IF(LEN(S133)=5,'3 pr-2'!U134,0)</f>
        <v>0</v>
      </c>
      <c r="O133" s="1080">
        <f>IF(LEN(S133)=5,'3 pr-2'!X134,0)</f>
        <v>0</v>
      </c>
      <c r="P133" s="1080">
        <f>IF(LEN(S133)=5,'3 pr-2'!AA134,0)</f>
        <v>0</v>
      </c>
      <c r="Q133" s="1080">
        <f>IF(LEN(S133)=5,'3 pr-2'!AB134,0)</f>
        <v>0</v>
      </c>
      <c r="R133" s="1124">
        <f>SUM('3 pr-2'!AH134)</f>
        <v>43404</v>
      </c>
      <c r="S133" s="1129" t="str">
        <f>IF(SUMIF(Paraiškos!A:A,'ketv. 3'!C133,Paraiškos!H:H)&gt;0,SUMIF(Paraiškos!A:A,'ketv. 3'!C133,Paraiškos!H:H),"–")</f>
        <v>–</v>
      </c>
      <c r="T133" s="234" t="str">
        <f t="shared" si="57"/>
        <v>–</v>
      </c>
      <c r="U133" s="1465" t="e">
        <f t="shared" si="59"/>
        <v>#VALUE!</v>
      </c>
    </row>
    <row r="134" spans="1:21" ht="41.25" customHeight="1" thickBot="1">
      <c r="A134" s="296" t="str">
        <f>CONCATENATE('3 pr-2'!A135)</f>
        <v>2.1.2.2</v>
      </c>
      <c r="B134" s="2088" t="str">
        <f>CONCATENATE('3 pr-2'!B135)</f>
        <v>Priemonė:
Sveikos gyvensenos skatinimas regioniniu lygiu</v>
      </c>
      <c r="C134" s="2089"/>
      <c r="D134" s="2089"/>
      <c r="E134" s="2089"/>
      <c r="F134" s="2089"/>
      <c r="G134" s="2089"/>
      <c r="H134" s="2089"/>
      <c r="I134" s="2089"/>
      <c r="J134" s="2090"/>
      <c r="K134" s="1168">
        <f t="shared" ref="K134:Q134" si="60">SUM(K135:K139)</f>
        <v>994984.5399999998</v>
      </c>
      <c r="L134" s="1168">
        <f t="shared" si="60"/>
        <v>74624.070000000007</v>
      </c>
      <c r="M134" s="1168">
        <f t="shared" si="60"/>
        <v>74623.62</v>
      </c>
      <c r="N134" s="1168">
        <f t="shared" si="60"/>
        <v>0</v>
      </c>
      <c r="O134" s="1168">
        <f t="shared" si="60"/>
        <v>0</v>
      </c>
      <c r="P134" s="1168">
        <f t="shared" si="60"/>
        <v>845736.85</v>
      </c>
      <c r="Q134" s="1168">
        <f t="shared" si="60"/>
        <v>0</v>
      </c>
      <c r="R134" s="1116"/>
      <c r="S134" s="1117"/>
      <c r="T134" s="570"/>
      <c r="U134" s="1466"/>
    </row>
    <row r="135" spans="1:21" ht="61.5" thickBot="1">
      <c r="A135" s="571" t="str">
        <f>CONCATENATE('3 pr-2'!A136)</f>
        <v>2.1.2.2.1</v>
      </c>
      <c r="B135" s="1123" t="str">
        <f>CONCATENATE('3 pr-2'!B136)</f>
        <v>R01-6630-475000-2221</v>
      </c>
      <c r="C135" s="572" t="str">
        <f>CONCATENATE('ketv. 2'!B135)</f>
        <v>08.4.2-ESFA-R-630-11-0004</v>
      </c>
      <c r="D135" s="375" t="str">
        <f>CONCATENATE('3 pr-2'!D136)</f>
        <v>Sveikos gyvensenos skatinimas Alytaus rajone</v>
      </c>
      <c r="E135" s="375" t="str">
        <f>CONCATENATE('3 pr-2'!E136)</f>
        <v>Alytaus rajono savivaldybės visuomenės sveikatos biuras</v>
      </c>
      <c r="F135" s="375" t="str">
        <f>CONCATENATE('3 pr-2'!F136)</f>
        <v>Lietuvos Respublikos Sveikatos apsaugos ministerija</v>
      </c>
      <c r="G135" s="375" t="str">
        <f>CONCATENATE('3 pr-2'!G136)</f>
        <v>Alytaus r. sav.</v>
      </c>
      <c r="H135" s="375" t="str">
        <f>CONCATENATE('3 pr-2'!H136)</f>
        <v>08.4.2-ESFA-R-630</v>
      </c>
      <c r="I135" s="375" t="str">
        <f>CONCATENATE('3 pr-2'!I136)</f>
        <v>R</v>
      </c>
      <c r="J135" s="573" t="str">
        <f>CONCATENATE('3 pr-2'!J136)</f>
        <v>-</v>
      </c>
      <c r="K135" s="1080">
        <f>IF(LEN(S135)=5,'3 pr-2'!L136,0)</f>
        <v>198997.18</v>
      </c>
      <c r="L135" s="1080">
        <f>IF(LEN(S135)=5,'3 pr-2'!O136,0)</f>
        <v>14924.79</v>
      </c>
      <c r="M135" s="1080">
        <f>IF(LEN(S135)=5,'3 pr-2'!R136,0)</f>
        <v>14924.79</v>
      </c>
      <c r="N135" s="1080">
        <f>IF(LEN(S135)=5,'3 pr-2'!U136,0)</f>
        <v>0</v>
      </c>
      <c r="O135" s="1080">
        <f>IF(LEN(S135)=5,'3 pr-2'!X136,0)</f>
        <v>0</v>
      </c>
      <c r="P135" s="1080">
        <f>IF(LEN(S135)=5,'3 pr-2'!AA136,0)</f>
        <v>169147.6</v>
      </c>
      <c r="Q135" s="1080">
        <f>IF(LEN(S135)=5,'3 pr-2'!AB136,0)</f>
        <v>0</v>
      </c>
      <c r="R135" s="1134">
        <f>SUM('3 pr-2'!AH136)</f>
        <v>43220</v>
      </c>
      <c r="S135" s="1129">
        <f>IF(SUMIF(Paraiškos!A:A,'ketv. 3'!C135,Paraiškos!H:H)&gt;0,SUMIF(Paraiškos!A:A,'ketv. 3'!C135,Paraiškos!H:H),"–")</f>
        <v>43220</v>
      </c>
      <c r="T135" s="234" t="str">
        <f t="shared" ref="T135:T139" si="61">IF(ISERROR(U135),"–",IF(U135&gt;0,"–",U135))</f>
        <v>–</v>
      </c>
      <c r="U135" s="1462" t="str">
        <f t="shared" ref="U135:U139" si="62">IF(R135-S135&lt;0,(R135-S135)/30.4166666666667,"–")</f>
        <v>–</v>
      </c>
    </row>
    <row r="136" spans="1:21" ht="61.5" thickBot="1">
      <c r="A136" s="571" t="str">
        <f>CONCATENATE('3 pr-2'!A137)</f>
        <v>2.1.2.2.2</v>
      </c>
      <c r="B136" s="1123" t="str">
        <f>CONCATENATE('3 pr-2'!B137)</f>
        <v>R01-6630-470000-2222</v>
      </c>
      <c r="C136" s="572" t="str">
        <f>CONCATENATE('ketv. 2'!B136)</f>
        <v>08.4.2-ESFA-R-630-11-0001</v>
      </c>
      <c r="D136" s="375" t="str">
        <f>CONCATENATE('3 pr-2'!D137)</f>
        <v>Mažais žingsneliais – sveikos gyvensenos link</v>
      </c>
      <c r="E136" s="375" t="str">
        <f>CONCATENATE('3 pr-2'!E137)</f>
        <v>Alytaus miesto savivaldybės administracija</v>
      </c>
      <c r="F136" s="375" t="str">
        <f>CONCATENATE('3 pr-2'!F137)</f>
        <v>Lietuvos Respublikos Sveikatos apsaugos ministerija</v>
      </c>
      <c r="G136" s="375" t="str">
        <f>CONCATENATE('3 pr-2'!G137)</f>
        <v>Alytaus m. sav.</v>
      </c>
      <c r="H136" s="375" t="str">
        <f>CONCATENATE('3 pr-2'!H137)</f>
        <v>08.4.2-ESFA-R-630</v>
      </c>
      <c r="I136" s="375" t="str">
        <f>CONCATENATE('3 pr-2'!I137)</f>
        <v>R</v>
      </c>
      <c r="J136" s="573" t="str">
        <f>CONCATENATE('3 pr-2'!J137)</f>
        <v>-</v>
      </c>
      <c r="K136" s="1080">
        <f>IF(LEN(S136)=5,'3 pr-2'!L137,0)</f>
        <v>198996</v>
      </c>
      <c r="L136" s="1080">
        <f>IF(LEN(S136)=5,'3 pr-2'!O137,0)</f>
        <v>14924.7</v>
      </c>
      <c r="M136" s="1080">
        <f>IF(LEN(S136)=5,'3 pr-2'!R137,0)</f>
        <v>14924.7</v>
      </c>
      <c r="N136" s="1080">
        <f>IF(LEN(S136)=5,'3 pr-2'!U137,0)</f>
        <v>0</v>
      </c>
      <c r="O136" s="1080">
        <f>IF(LEN(S136)=5,'3 pr-2'!X137,0)</f>
        <v>0</v>
      </c>
      <c r="P136" s="1080">
        <f>IF(LEN(S136)=5,'3 pr-2'!AA137,0)</f>
        <v>169146.6</v>
      </c>
      <c r="Q136" s="1080">
        <f>IF(LEN(S136)=5,'3 pr-2'!AB137,0)</f>
        <v>0</v>
      </c>
      <c r="R136" s="1134">
        <f>SUM('3 pr-2'!AH137)</f>
        <v>43251</v>
      </c>
      <c r="S136" s="1129">
        <f>IF(SUMIF(Paraiškos!A:A,'ketv. 3'!C136,Paraiškos!H:H)&gt;0,SUMIF(Paraiškos!A:A,'ketv. 3'!C136,Paraiškos!H:H),"–")</f>
        <v>43217</v>
      </c>
      <c r="T136" s="234" t="str">
        <f t="shared" si="61"/>
        <v>–</v>
      </c>
      <c r="U136" s="1462" t="str">
        <f t="shared" si="62"/>
        <v>–</v>
      </c>
    </row>
    <row r="137" spans="1:21" ht="61.5" thickBot="1">
      <c r="A137" s="571" t="str">
        <f>CONCATENATE('3 pr-2'!A138)</f>
        <v>2.1.2.2.3</v>
      </c>
      <c r="B137" s="1123" t="str">
        <f>CONCATENATE('3 pr-2'!B138)</f>
        <v>R01-6630-470000-2223</v>
      </c>
      <c r="C137" s="572" t="str">
        <f>CONCATENATE('ketv. 2'!B137)</f>
        <v>08.4.2-ESFA-R-630-11-0005</v>
      </c>
      <c r="D137" s="375" t="str">
        <f>CONCATENATE('3 pr-2'!D138)</f>
        <v>Sveikos gyvensenos skatinimas Varėnos rajono savivaldybėje</v>
      </c>
      <c r="E137" s="375" t="str">
        <f>CONCATENATE('3 pr-2'!E138)</f>
        <v>Varėnos rajono savivaldybės visuomenės sveikatos biuras</v>
      </c>
      <c r="F137" s="375" t="str">
        <f>CONCATENATE('3 pr-2'!F138)</f>
        <v>Lietuvos Respublikos Sveikatos apsaugos ministerija</v>
      </c>
      <c r="G137" s="375" t="str">
        <f>CONCATENATE('3 pr-2'!G138)</f>
        <v>Varėnos r. sav.</v>
      </c>
      <c r="H137" s="375" t="str">
        <f>CONCATENATE('3 pr-2'!H138)</f>
        <v>08.4.2-ESFA-R-630</v>
      </c>
      <c r="I137" s="375" t="str">
        <f>CONCATENATE('3 pr-2'!I138)</f>
        <v>R</v>
      </c>
      <c r="J137" s="573" t="str">
        <f>CONCATENATE('3 pr-2'!J138)</f>
        <v>-</v>
      </c>
      <c r="K137" s="1080">
        <f>IF(LEN(S137)=5,'3 pr-2'!L138,0)</f>
        <v>198997</v>
      </c>
      <c r="L137" s="1080">
        <f>IF(LEN(S137)=5,'3 pr-2'!O138,0)</f>
        <v>14925</v>
      </c>
      <c r="M137" s="1080">
        <f>IF(LEN(S137)=5,'3 pr-2'!R138,0)</f>
        <v>14924.55</v>
      </c>
      <c r="N137" s="1080">
        <f>IF(LEN(S137)=5,'3 pr-2'!U138,0)</f>
        <v>0</v>
      </c>
      <c r="O137" s="1080">
        <f>IF(LEN(S137)=5,'3 pr-2'!X138,0)</f>
        <v>0</v>
      </c>
      <c r="P137" s="1080">
        <f>IF(LEN(S137)=5,'3 pr-2'!AA138,0)</f>
        <v>169147.45</v>
      </c>
      <c r="Q137" s="1080">
        <f>IF(LEN(S137)=5,'3 pr-2'!AB138,0)</f>
        <v>0</v>
      </c>
      <c r="R137" s="1134">
        <f>SUM('3 pr-2'!AH138)</f>
        <v>43250</v>
      </c>
      <c r="S137" s="1129">
        <f>IF(SUMIF(Paraiškos!A:A,'ketv. 3'!C137,Paraiškos!H:H)&gt;0,SUMIF(Paraiškos!A:A,'ketv. 3'!C137,Paraiškos!H:H),"–")</f>
        <v>43223</v>
      </c>
      <c r="T137" s="234" t="str">
        <f t="shared" si="61"/>
        <v>–</v>
      </c>
      <c r="U137" s="1462" t="str">
        <f t="shared" si="62"/>
        <v>–</v>
      </c>
    </row>
    <row r="138" spans="1:21" ht="61.5" thickBot="1">
      <c r="A138" s="571" t="str">
        <f>CONCATENATE('3 pr-2'!A139)</f>
        <v>2.1.2.2.4.</v>
      </c>
      <c r="B138" s="1123" t="str">
        <f>CONCATENATE('3 pr-2'!B139)</f>
        <v>R01-6630-470000-2224</v>
      </c>
      <c r="C138" s="572" t="str">
        <f>CONCATENATE('ketv. 2'!B138)</f>
        <v>08.4.2-ESFA-R-630-11-0003</v>
      </c>
      <c r="D138" s="375" t="str">
        <f>CONCATENATE('3 pr-2'!D139)</f>
        <v>Sveika bendruomenė – stipri visuomenė</v>
      </c>
      <c r="E138" s="375" t="str">
        <f>CONCATENATE('3 pr-2'!E139)</f>
        <v>Druskininkų savivaldybės visuomenės sveikatos biuras</v>
      </c>
      <c r="F138" s="375" t="str">
        <f>CONCATENATE('3 pr-2'!F139)</f>
        <v>Lietuvos Respublikos Sveikatos apsaugos ministerija</v>
      </c>
      <c r="G138" s="375" t="str">
        <f>CONCATENATE('3 pr-2'!G139)</f>
        <v>Druskininkų sav.</v>
      </c>
      <c r="H138" s="375" t="str">
        <f>CONCATENATE('3 pr-2'!H139)</f>
        <v>08.4.2-ESFA-R-630</v>
      </c>
      <c r="I138" s="375" t="str">
        <f>CONCATENATE('3 pr-2'!I139)</f>
        <v>R</v>
      </c>
      <c r="J138" s="573" t="str">
        <f>CONCATENATE('3 pr-2'!J139)</f>
        <v>-</v>
      </c>
      <c r="K138" s="1080">
        <f>IF(LEN(S138)=5,'3 pr-2'!L139,0)</f>
        <v>198997.18</v>
      </c>
      <c r="L138" s="1080">
        <f>IF(LEN(S138)=5,'3 pr-2'!O139,0)</f>
        <v>14924.79</v>
      </c>
      <c r="M138" s="1080">
        <f>IF(LEN(S138)=5,'3 pr-2'!R139,0)</f>
        <v>14924.79</v>
      </c>
      <c r="N138" s="1080">
        <f>IF(LEN(S138)=5,'3 pr-2'!U139,0)</f>
        <v>0</v>
      </c>
      <c r="O138" s="1080">
        <f>IF(LEN(S138)=5,'3 pr-2'!X139,0)</f>
        <v>0</v>
      </c>
      <c r="P138" s="1080">
        <f>IF(LEN(S138)=5,'3 pr-2'!AA139,0)</f>
        <v>169147.6</v>
      </c>
      <c r="Q138" s="1080">
        <f>IF(LEN(S138)=5,'3 pr-2'!AB139,0)</f>
        <v>0</v>
      </c>
      <c r="R138" s="1134">
        <f>SUM('3 pr-2'!AH139)</f>
        <v>43220</v>
      </c>
      <c r="S138" s="1129">
        <f>IF(SUMIF(Paraiškos!A:A,'ketv. 3'!C138,Paraiškos!H:H)&gt;0,SUMIF(Paraiškos!A:A,'ketv. 3'!C138,Paraiškos!H:H),"–")</f>
        <v>43217</v>
      </c>
      <c r="T138" s="234" t="str">
        <f t="shared" si="61"/>
        <v>–</v>
      </c>
      <c r="U138" s="1462" t="str">
        <f t="shared" si="62"/>
        <v>–</v>
      </c>
    </row>
    <row r="139" spans="1:21" ht="61.5" thickBot="1">
      <c r="A139" s="571" t="str">
        <f>CONCATENATE('3 pr-2'!A140)</f>
        <v>2.1.2.2.5</v>
      </c>
      <c r="B139" s="1123" t="str">
        <f>CONCATENATE('3 pr-2'!B140)</f>
        <v>R01-6630-470000-2225</v>
      </c>
      <c r="C139" s="572" t="str">
        <f>CONCATENATE('ketv. 2'!B139)</f>
        <v>08.4.2-ESFA-R-630-11-0002</v>
      </c>
      <c r="D139" s="375" t="str">
        <f>CONCATENATE('3 pr-2'!D140)</f>
        <v>Sveikos gyvensenos skatinimas Lazdijų rajono savivaldybėje</v>
      </c>
      <c r="E139" s="375" t="str">
        <f>CONCATENATE('3 pr-2'!E140)</f>
        <v>Lazdijų rajono savivaldybės visuomenės sveikatos biuras</v>
      </c>
      <c r="F139" s="375" t="str">
        <f>CONCATENATE('3 pr-2'!F140)</f>
        <v>Lietuvos Respublikos Sveikatos apsaugos ministerija</v>
      </c>
      <c r="G139" s="375" t="str">
        <f>CONCATENATE('3 pr-2'!G140)</f>
        <v>Lazdijų r. sav.</v>
      </c>
      <c r="H139" s="375" t="str">
        <f>CONCATENATE('3 pr-2'!H140)</f>
        <v>08.4.2-ESFA-R-630</v>
      </c>
      <c r="I139" s="375" t="str">
        <f>CONCATENATE('3 pr-2'!I140)</f>
        <v>R</v>
      </c>
      <c r="J139" s="573" t="str">
        <f>CONCATENATE('3 pr-2'!J140)</f>
        <v>-</v>
      </c>
      <c r="K139" s="1080">
        <f>IF(LEN(S139)=5,'3 pr-2'!L140,0)</f>
        <v>198997.18</v>
      </c>
      <c r="L139" s="1080">
        <f>IF(LEN(S139)=5,'3 pr-2'!O140,0)</f>
        <v>14924.79</v>
      </c>
      <c r="M139" s="1080">
        <f>IF(LEN(S139)=5,'3 pr-2'!R140,0)</f>
        <v>14924.79</v>
      </c>
      <c r="N139" s="1080">
        <f>IF(LEN(S139)=5,'3 pr-2'!U140,0)</f>
        <v>0</v>
      </c>
      <c r="O139" s="1080">
        <f>IF(LEN(S139)=5,'3 pr-2'!X140,0)</f>
        <v>0</v>
      </c>
      <c r="P139" s="1080">
        <f>IF(LEN(S139)=5,'3 pr-2'!AA140,0)</f>
        <v>169147.6</v>
      </c>
      <c r="Q139" s="1080">
        <f>IF(LEN(S139)=5,'3 pr-2'!AB140,0)</f>
        <v>0</v>
      </c>
      <c r="R139" s="1134">
        <f>SUM('3 pr-2'!AH140)</f>
        <v>43217</v>
      </c>
      <c r="S139" s="1129">
        <f>IF(SUMIF(Paraiškos!A:A,'ketv. 3'!C139,Paraiškos!H:H)&gt;0,SUMIF(Paraiškos!A:A,'ketv. 3'!C139,Paraiškos!H:H),"–")</f>
        <v>43217</v>
      </c>
      <c r="T139" s="234" t="str">
        <f t="shared" si="61"/>
        <v>–</v>
      </c>
      <c r="U139" s="1462" t="str">
        <f t="shared" si="62"/>
        <v>–</v>
      </c>
    </row>
    <row r="140" spans="1:21" ht="41.25" customHeight="1" thickBot="1">
      <c r="A140" s="296" t="str">
        <f>CONCATENATE('3 pr-2'!A141)</f>
        <v>2.1.2.3</v>
      </c>
      <c r="B140" s="2088" t="str">
        <f>CONCATENATE('3 pr-2'!B141)</f>
        <v>Priemonė:
Priemonių, gerinančių ambulatorinių sveikatos priežiūros paslaugų prieinamumą tuberkulioze sergantiems pacientams, įgyvendinimas</v>
      </c>
      <c r="C140" s="2089"/>
      <c r="D140" s="2089"/>
      <c r="E140" s="2089"/>
      <c r="F140" s="2089"/>
      <c r="G140" s="2089"/>
      <c r="H140" s="2089"/>
      <c r="I140" s="2089"/>
      <c r="J140" s="2090"/>
      <c r="K140" s="1168">
        <f t="shared" ref="K140:Q140" si="63">SUM(K141:K151)</f>
        <v>6591060.6999999993</v>
      </c>
      <c r="L140" s="1168">
        <f t="shared" si="63"/>
        <v>1431661.97</v>
      </c>
      <c r="M140" s="1168">
        <f t="shared" si="63"/>
        <v>49452.14</v>
      </c>
      <c r="N140" s="1168">
        <f t="shared" si="63"/>
        <v>0</v>
      </c>
      <c r="O140" s="1168">
        <f t="shared" si="63"/>
        <v>1299.95</v>
      </c>
      <c r="P140" s="1168">
        <f t="shared" si="63"/>
        <v>5108646.6399999997</v>
      </c>
      <c r="Q140" s="1168">
        <f t="shared" si="63"/>
        <v>0</v>
      </c>
      <c r="R140" s="1116"/>
      <c r="S140" s="1117"/>
      <c r="T140" s="570"/>
      <c r="U140" s="1466"/>
    </row>
    <row r="141" spans="1:21" ht="85.5" thickBot="1">
      <c r="A141" s="571" t="str">
        <f>CONCATENATE('3 pr-2'!A142)</f>
        <v>2.1.2.3.1</v>
      </c>
      <c r="B141" s="1123" t="str">
        <f>CONCATENATE('3 pr-2'!B142)</f>
        <v>R01-6615-475000-2231</v>
      </c>
      <c r="C141" s="572" t="str">
        <f>CONCATENATE('ketv. 2'!B141)</f>
        <v>08.4.2-ESFA-R-615-11-0004</v>
      </c>
      <c r="D141" s="375" t="str">
        <f>CONCATENATE('3 pr-2'!D142)</f>
        <v>Priemonių, gerinančių ambulatorinių sveikatos priežiūros paslaugų prieinamumą tuberkulioze sergantiems asmenims, Alytaus rajone, įgyvendinimas</v>
      </c>
      <c r="E141" s="375" t="str">
        <f>CONCATENATE('3 pr-2'!E142)</f>
        <v>VšĮ Alytaus rajono savivaldybės pirminės sveikatos priežiūros centras</v>
      </c>
      <c r="F141" s="375" t="str">
        <f>CONCATENATE('3 pr-2'!F142)</f>
        <v>Lietuvos Respublikos Sveikatos apsaugos ministerija</v>
      </c>
      <c r="G141" s="375" t="str">
        <f>CONCATENATE('3 pr-2'!G142)</f>
        <v>Alytaus r. sav.</v>
      </c>
      <c r="H141" s="375" t="str">
        <f>CONCATENATE('3 pr-2'!H142)</f>
        <v>08.4.2-ESFA-R-615</v>
      </c>
      <c r="I141" s="375" t="str">
        <f>CONCATENATE('3 pr-2'!I142)</f>
        <v>R</v>
      </c>
      <c r="J141" s="573" t="str">
        <f>CONCATENATE('3 pr-2'!J142)</f>
        <v>-</v>
      </c>
      <c r="K141" s="1080">
        <f>IF(LEN(S141)=5,'3 pr-2'!L142,0)</f>
        <v>10453</v>
      </c>
      <c r="L141" s="1080">
        <f>IF(LEN(S141)=5,'3 pr-2'!O142,0)</f>
        <v>0</v>
      </c>
      <c r="M141" s="1080">
        <f>IF(LEN(S141)=5,'3 pr-2'!R142,0)</f>
        <v>1449.64</v>
      </c>
      <c r="N141" s="1080">
        <f>IF(LEN(S141)=5,'3 pr-2'!U142,0)</f>
        <v>0</v>
      </c>
      <c r="O141" s="1080">
        <f>IF(LEN(S141)=5,'3 pr-2'!X142,0)</f>
        <v>788.75</v>
      </c>
      <c r="P141" s="1080">
        <f>IF(LEN(S141)=5,'3 pr-2'!AA142,0)</f>
        <v>8214.61</v>
      </c>
      <c r="Q141" s="1080">
        <f>IF(LEN(S141)=5,'3 pr-2'!AB142,0)</f>
        <v>0</v>
      </c>
      <c r="R141" s="1134">
        <f>SUM('3 pr-2'!AH142)</f>
        <v>43281</v>
      </c>
      <c r="S141" s="1129">
        <f>IF(SUMIF(Paraiškos!A:A,'ketv. 3'!C141,Paraiškos!H:H)&gt;0,SUMIF(Paraiškos!A:A,'ketv. 3'!C141,Paraiškos!H:H),"–")</f>
        <v>43280</v>
      </c>
      <c r="T141" s="234" t="str">
        <f t="shared" ref="T141:T145" si="64">IF(ISERROR(U141),"–",IF(U141&gt;0,"–",U141))</f>
        <v>–</v>
      </c>
      <c r="U141" s="1461" t="str">
        <f t="shared" ref="U141:U145" si="65">IF(R141-S141&lt;0,(R141-S141)/30.4166666666667,"–")</f>
        <v>–</v>
      </c>
    </row>
    <row r="142" spans="1:21" ht="61.5" thickBot="1">
      <c r="A142" s="571" t="str">
        <f>CONCATENATE('3 pr-2'!A143)</f>
        <v>2.1.2.3.2</v>
      </c>
      <c r="B142" s="1123" t="str">
        <f>CONCATENATE('3 pr-2'!B143)</f>
        <v>R01-6615-470000-2232</v>
      </c>
      <c r="C142" s="572" t="str">
        <f>CONCATENATE('ketv. 2'!B142)</f>
        <v>08.4.2-ESFA-R-615-11-0005</v>
      </c>
      <c r="D142" s="375" t="str">
        <f>CONCATENATE('3 pr-2'!D143)</f>
        <v>Ambulatorinių sveikatos priežiūros paslaugų gerinimas tuberkulioze sergantiems asmenims</v>
      </c>
      <c r="E142" s="375" t="str">
        <f>CONCATENATE('3 pr-2'!E143)</f>
        <v>Alytaus miesto savivaldybės administracija</v>
      </c>
      <c r="F142" s="375" t="str">
        <f>CONCATENATE('3 pr-2'!F143)</f>
        <v>Lietuvos Respublikos Sveikatos apsaugos ministerija</v>
      </c>
      <c r="G142" s="375" t="str">
        <f>CONCATENATE('3 pr-2'!G143)</f>
        <v>Alytaus m. sav.</v>
      </c>
      <c r="H142" s="375" t="str">
        <f>CONCATENATE('3 pr-2'!H143)</f>
        <v>08.4.2-ESFA-R-615</v>
      </c>
      <c r="I142" s="375" t="str">
        <f>CONCATENATE('3 pr-2'!I143)</f>
        <v>R</v>
      </c>
      <c r="J142" s="573" t="str">
        <f>CONCATENATE('3 pr-2'!J143)</f>
        <v>-</v>
      </c>
      <c r="K142" s="1080">
        <f>IF(LEN(S142)=5,'3 pr-2'!L143,0)</f>
        <v>17041.18</v>
      </c>
      <c r="L142" s="1080">
        <f>IF(LEN(S142)=5,'3 pr-2'!O143,0)</f>
        <v>1278.0899999999999</v>
      </c>
      <c r="M142" s="1080">
        <f>IF(LEN(S142)=5,'3 pr-2'!R143,0)</f>
        <v>1278</v>
      </c>
      <c r="N142" s="1080">
        <f>IF(LEN(S142)=5,'3 pr-2'!U143,0)</f>
        <v>0</v>
      </c>
      <c r="O142" s="1080">
        <f>IF(LEN(S142)=5,'3 pr-2'!X143,0)</f>
        <v>0</v>
      </c>
      <c r="P142" s="1080">
        <f>IF(LEN(S142)=5,'3 pr-2'!AA143,0)</f>
        <v>14485.09</v>
      </c>
      <c r="Q142" s="1080">
        <f>IF(LEN(S142)=5,'3 pr-2'!AB143,0)</f>
        <v>0</v>
      </c>
      <c r="R142" s="1134">
        <f>SUM('3 pr-2'!AH143)</f>
        <v>43281</v>
      </c>
      <c r="S142" s="1129">
        <f>IF(SUMIF(Paraiškos!A:A,'ketv. 3'!C142,Paraiškos!H:H)&gt;0,SUMIF(Paraiškos!A:A,'ketv. 3'!C142,Paraiškos!H:H),"–")</f>
        <v>43285</v>
      </c>
      <c r="T142" s="234">
        <f t="shared" si="64"/>
        <v>-0.13150684931506834</v>
      </c>
      <c r="U142" s="1461">
        <f t="shared" si="65"/>
        <v>-0.13150684931506834</v>
      </c>
    </row>
    <row r="143" spans="1:21" ht="61.5" thickBot="1">
      <c r="A143" s="571" t="str">
        <f>CONCATENATE('3 pr-2'!A144)</f>
        <v>2.1.2.3.3</v>
      </c>
      <c r="B143" s="1123" t="str">
        <f>CONCATENATE('3 pr-2'!B144)</f>
        <v>R01-6615-470000-2233</v>
      </c>
      <c r="C143" s="572" t="str">
        <f>CONCATENATE('ketv. 2'!B143)</f>
        <v>08.4.2-ESFA-R-615-11-0001</v>
      </c>
      <c r="D143" s="375" t="str">
        <f>CONCATENATE('3 pr-2'!D144)</f>
        <v>Paslaugų tuberkulioze sergantiems asmenims gerinimas Lazdijų rajono savivaldybėje</v>
      </c>
      <c r="E143" s="375" t="str">
        <f>CONCATENATE('3 pr-2'!E144)</f>
        <v>Lazdijų rajono savivaldybės administracija</v>
      </c>
      <c r="F143" s="375" t="str">
        <f>CONCATENATE('3 pr-2'!F144)</f>
        <v>Lietuvos Respublikos Sveikatos apsaugos ministerija</v>
      </c>
      <c r="G143" s="375" t="str">
        <f>CONCATENATE('3 pr-2'!G144)</f>
        <v>Lazdijų r. sav.</v>
      </c>
      <c r="H143" s="375" t="str">
        <f>CONCATENATE('3 pr-2'!H144)</f>
        <v>08.4.2-ESFA-R-615</v>
      </c>
      <c r="I143" s="375" t="str">
        <f>CONCATENATE('3 pr-2'!I144)</f>
        <v>R</v>
      </c>
      <c r="J143" s="573" t="str">
        <f>CONCATENATE('3 pr-2'!J144)</f>
        <v>-</v>
      </c>
      <c r="K143" s="1080">
        <f>IF(LEN(S143)=5,'3 pr-2'!L144,0)</f>
        <v>15224</v>
      </c>
      <c r="L143" s="1080">
        <f>IF(LEN(S143)=5,'3 pr-2'!O144,0)</f>
        <v>1142</v>
      </c>
      <c r="M143" s="1080">
        <f>IF(LEN(S143)=5,'3 pr-2'!R144,0)</f>
        <v>1141.5999999999999</v>
      </c>
      <c r="N143" s="1080">
        <f>IF(LEN(S143)=5,'3 pr-2'!U144,0)</f>
        <v>0</v>
      </c>
      <c r="O143" s="1080">
        <f>IF(LEN(S143)=5,'3 pr-2'!X144,0)</f>
        <v>0</v>
      </c>
      <c r="P143" s="1080">
        <f>IF(LEN(S143)=5,'3 pr-2'!AA144,0)</f>
        <v>12940.4</v>
      </c>
      <c r="Q143" s="1080">
        <f>IF(LEN(S143)=5,'3 pr-2'!AB144,0)</f>
        <v>0</v>
      </c>
      <c r="R143" s="1134">
        <f>SUM('3 pr-2'!AH144)</f>
        <v>43189</v>
      </c>
      <c r="S143" s="1129">
        <f>IF(SUMIF(Paraiškos!A:A,'ketv. 3'!C143,Paraiškos!H:H)&gt;0,SUMIF(Paraiškos!A:A,'ketv. 3'!C143,Paraiškos!H:H),"–")</f>
        <v>43188</v>
      </c>
      <c r="T143" s="234" t="str">
        <f t="shared" si="64"/>
        <v>–</v>
      </c>
      <c r="U143" s="1461" t="str">
        <f t="shared" si="65"/>
        <v>–</v>
      </c>
    </row>
    <row r="144" spans="1:21" ht="61.5" thickBot="1">
      <c r="A144" s="571" t="str">
        <f>CONCATENATE('3 pr-2'!A145)</f>
        <v>2.1.2.3.4</v>
      </c>
      <c r="B144" s="1123" t="str">
        <f>CONCATENATE('3 pr-2'!B145)</f>
        <v>R01-6615-470000-2234</v>
      </c>
      <c r="C144" s="572" t="str">
        <f>CONCATENATE('ketv. 2'!B144)</f>
        <v>08.4.2-ESFA-R-615-11-0002</v>
      </c>
      <c r="D144" s="375" t="str">
        <f>CONCATENATE('3 pr-2'!D145)</f>
        <v>Ambulatorinių sveikatos priežiūros paslaugų tuberkulioze sergantiems asmenims prieinamumo gerinimas Druskininkų savivaldybėje</v>
      </c>
      <c r="E144" s="375" t="str">
        <f>CONCATENATE('3 pr-2'!E145)</f>
        <v>Druskininkų pirminės sveikatos priežiūros centras</v>
      </c>
      <c r="F144" s="375" t="str">
        <f>CONCATENATE('3 pr-2'!F145)</f>
        <v>Lietuvos Respublikos Sveikatos apsaugos ministerija</v>
      </c>
      <c r="G144" s="375" t="str">
        <f>CONCATENATE('3 pr-2'!G145)</f>
        <v>Druskininkų sav.</v>
      </c>
      <c r="H144" s="375" t="str">
        <f>CONCATENATE('3 pr-2'!H145)</f>
        <v>08.4.2-ESFA-R-615</v>
      </c>
      <c r="I144" s="375" t="str">
        <f>CONCATENATE('3 pr-2'!I145)</f>
        <v>R</v>
      </c>
      <c r="J144" s="573" t="str">
        <f>CONCATENATE('3 pr-2'!J145)</f>
        <v>-</v>
      </c>
      <c r="K144" s="1080">
        <f>IF(LEN(S144)=5,'3 pr-2'!L145,0)</f>
        <v>6816</v>
      </c>
      <c r="L144" s="1080">
        <f>IF(LEN(S144)=5,'3 pr-2'!O145,0)</f>
        <v>0</v>
      </c>
      <c r="M144" s="1080">
        <f>IF(LEN(S144)=5,'3 pr-2'!R145,0)</f>
        <v>511.2</v>
      </c>
      <c r="N144" s="1080">
        <f>IF(LEN(S144)=5,'3 pr-2'!U145,0)</f>
        <v>0</v>
      </c>
      <c r="O144" s="1080">
        <f>IF(LEN(S144)=5,'3 pr-2'!X145,0)</f>
        <v>511.2</v>
      </c>
      <c r="P144" s="1080">
        <f>IF(LEN(S144)=5,'3 pr-2'!AA145,0)</f>
        <v>5793.6</v>
      </c>
      <c r="Q144" s="1080">
        <f>IF(LEN(S144)=5,'3 pr-2'!AB145,0)</f>
        <v>0</v>
      </c>
      <c r="R144" s="1134">
        <f>SUM('3 pr-2'!AH145)</f>
        <v>43255</v>
      </c>
      <c r="S144" s="1129">
        <f>IF(SUMIF(Paraiškos!A:A,'ketv. 3'!C144,Paraiškos!H:H)&gt;0,SUMIF(Paraiškos!A:A,'ketv. 3'!C144,Paraiškos!H:H),"–")</f>
        <v>43255</v>
      </c>
      <c r="T144" s="234" t="str">
        <f t="shared" si="64"/>
        <v>–</v>
      </c>
      <c r="U144" s="1461" t="str">
        <f t="shared" si="65"/>
        <v>–</v>
      </c>
    </row>
    <row r="145" spans="1:21" ht="61.5" thickBot="1">
      <c r="A145" s="571" t="str">
        <f>CONCATENATE('3 pr-2'!A146)</f>
        <v>2.1.2.3.5</v>
      </c>
      <c r="B145" s="1123" t="str">
        <f>CONCATENATE('3 pr-2'!B146)</f>
        <v>R01-6615-470000-2235</v>
      </c>
      <c r="C145" s="572" t="str">
        <f>CONCATENATE('ketv. 2'!B145)</f>
        <v>08.4.2-ESFA-R-615-11-0003</v>
      </c>
      <c r="D145" s="375" t="str">
        <f>CONCATENATE('3 pr-2'!D146)</f>
        <v>Ambulatorinių sveikatos priežiūros paslaugų prieinamumo gerinimas tuberkulioze sergantiems asmenims Varėnos rajono savivaldybėje</v>
      </c>
      <c r="E145" s="375" t="str">
        <f>CONCATENATE('3 pr-2'!E146)</f>
        <v>Varėnos rajono savivaldybės administracija</v>
      </c>
      <c r="F145" s="375" t="str">
        <f>CONCATENATE('3 pr-2'!F146)</f>
        <v>Lietuvos Respublikos Sveikatos apsaugos ministerija</v>
      </c>
      <c r="G145" s="375" t="str">
        <f>CONCATENATE('3 pr-2'!G146)</f>
        <v>Varėnos r. sav.</v>
      </c>
      <c r="H145" s="375" t="str">
        <f>CONCATENATE('3 pr-2'!H146)</f>
        <v>08.4.2-ESFA-R-615</v>
      </c>
      <c r="I145" s="375" t="str">
        <f>CONCATENATE('3 pr-2'!I146)</f>
        <v>R</v>
      </c>
      <c r="J145" s="573" t="str">
        <f>CONCATENATE('3 pr-2'!J146)</f>
        <v>-</v>
      </c>
      <c r="K145" s="1080">
        <f>IF(LEN(S145)=5,'3 pr-2'!L146,0)</f>
        <v>15679</v>
      </c>
      <c r="L145" s="1080">
        <f>IF(LEN(S145)=5,'3 pr-2'!O146,0)</f>
        <v>1176</v>
      </c>
      <c r="M145" s="1080">
        <f>IF(LEN(S145)=5,'3 pr-2'!R146,0)</f>
        <v>1176</v>
      </c>
      <c r="N145" s="1080">
        <f>IF(LEN(S145)=5,'3 pr-2'!U146,0)</f>
        <v>0</v>
      </c>
      <c r="O145" s="1080">
        <f>IF(LEN(S145)=5,'3 pr-2'!X146,0)</f>
        <v>0</v>
      </c>
      <c r="P145" s="1080">
        <f>IF(LEN(S145)=5,'3 pr-2'!AA146,0)</f>
        <v>13327</v>
      </c>
      <c r="Q145" s="1080">
        <f>IF(LEN(S145)=5,'3 pr-2'!AB146,0)</f>
        <v>0</v>
      </c>
      <c r="R145" s="1134">
        <f>SUM('3 pr-2'!AH146)</f>
        <v>43281</v>
      </c>
      <c r="S145" s="1129">
        <f>IF(SUMIF(Paraiškos!A:A,'ketv. 3'!C145,Paraiškos!H:H)&gt;0,SUMIF(Paraiškos!A:A,'ketv. 3'!C145,Paraiškos!H:H),"–")</f>
        <v>43278</v>
      </c>
      <c r="T145" s="234" t="str">
        <f t="shared" si="64"/>
        <v>–</v>
      </c>
      <c r="U145" s="1461" t="str">
        <f t="shared" si="65"/>
        <v>–</v>
      </c>
    </row>
    <row r="146" spans="1:21" ht="44.25" customHeight="1" thickBot="1">
      <c r="A146" s="238" t="str">
        <f>CONCATENATE('3 pr-2'!A147)</f>
        <v>2.1.3.</v>
      </c>
      <c r="B146" s="2085" t="str">
        <f>CONCATENATE('3 pr-2'!B147)</f>
        <v>Uždavinys:
Socialinio būsto ir socialinių paslaugų prieinamumo pažeidžiamiausioms gyventojų grupėms padidinimas</v>
      </c>
      <c r="C146" s="2086"/>
      <c r="D146" s="2086"/>
      <c r="E146" s="2086"/>
      <c r="F146" s="2086"/>
      <c r="G146" s="2086"/>
      <c r="H146" s="2086"/>
      <c r="I146" s="2086"/>
      <c r="J146" s="2087"/>
      <c r="K146" s="1158">
        <f t="shared" ref="K146:P146" si="66">SUM(K147+K153)</f>
        <v>4201522.92</v>
      </c>
      <c r="L146" s="1158">
        <f t="shared" si="66"/>
        <v>772840.28</v>
      </c>
      <c r="M146" s="1158">
        <f t="shared" si="66"/>
        <v>21947.85</v>
      </c>
      <c r="N146" s="1158">
        <f t="shared" si="66"/>
        <v>0</v>
      </c>
      <c r="O146" s="1158">
        <f t="shared" si="66"/>
        <v>0</v>
      </c>
      <c r="P146" s="1158">
        <f t="shared" si="66"/>
        <v>3406734.7899999996</v>
      </c>
      <c r="Q146" s="1158">
        <f t="shared" ref="Q146" si="67">SUM(Q147+Q153)</f>
        <v>0</v>
      </c>
      <c r="R146" s="1106" t="s">
        <v>679</v>
      </c>
      <c r="S146" s="1107" t="s">
        <v>679</v>
      </c>
      <c r="T146" s="364" t="s">
        <v>679</v>
      </c>
      <c r="U146" s="1459"/>
    </row>
    <row r="147" spans="1:21" ht="42.75" customHeight="1" thickBot="1">
      <c r="A147" s="296" t="str">
        <f>CONCATENATE('3 pr-2'!A148)</f>
        <v>2.1.3.1</v>
      </c>
      <c r="B147" s="2088" t="str">
        <f>CONCATENATE('3 pr-2'!B148)</f>
        <v>Priemonė:
Socialinių paslaugų infrastruktūros plėtra</v>
      </c>
      <c r="C147" s="2089"/>
      <c r="D147" s="2089"/>
      <c r="E147" s="2089"/>
      <c r="F147" s="2089"/>
      <c r="G147" s="2089"/>
      <c r="H147" s="2089"/>
      <c r="I147" s="2089"/>
      <c r="J147" s="2090"/>
      <c r="K147" s="1077">
        <f t="shared" ref="K147:P147" si="68">SUM(K148:K152)</f>
        <v>1235321.8</v>
      </c>
      <c r="L147" s="1077">
        <f t="shared" si="68"/>
        <v>327612.79999999999</v>
      </c>
      <c r="M147" s="1077">
        <f t="shared" si="68"/>
        <v>21947.85</v>
      </c>
      <c r="N147" s="1077">
        <f t="shared" si="68"/>
        <v>0</v>
      </c>
      <c r="O147" s="1077">
        <f t="shared" si="68"/>
        <v>0</v>
      </c>
      <c r="P147" s="1077">
        <f t="shared" si="68"/>
        <v>885761.15</v>
      </c>
      <c r="Q147" s="1077">
        <f t="shared" ref="Q147" si="69">SUM(Q148:Q152)</f>
        <v>0</v>
      </c>
      <c r="R147" s="1108"/>
      <c r="S147" s="1109"/>
      <c r="T147" s="357"/>
      <c r="U147" s="1460"/>
    </row>
    <row r="148" spans="1:21" ht="61.5" thickBot="1">
      <c r="A148" s="163" t="str">
        <f>CONCATENATE('3 pr-2'!A149)</f>
        <v>2.1.3.1.1</v>
      </c>
      <c r="B148" s="1123" t="str">
        <f>CONCATENATE('3 pr-2'!B149)</f>
        <v>R01-4407-270000-2311</v>
      </c>
      <c r="C148" s="227" t="str">
        <f>CONCATENATE('ketv. 2'!B148)</f>
        <v>08.1.1-CPVA-R-407-11-0002</v>
      </c>
      <c r="D148" s="164" t="str">
        <f>CONCATENATE('3 pr-2'!D149)</f>
        <v>Socialinių paslaugų infrastruktūros plėtra Varėnos rajono savivaldybėje</v>
      </c>
      <c r="E148" s="164" t="str">
        <f>CONCATENATE('3 pr-2'!E149)</f>
        <v>Varėnos rajono savivaldybės administracija</v>
      </c>
      <c r="F148" s="164" t="str">
        <f>CONCATENATE('3 pr-2'!F149)</f>
        <v>Lietuvos Respublikos socialinės apsaugos ir darbo ministerija</v>
      </c>
      <c r="G148" s="164" t="str">
        <f>CONCATENATE('3 pr-2'!G149)</f>
        <v>Varėnos r. sav.</v>
      </c>
      <c r="H148" s="164" t="str">
        <f>CONCATENATE('3 pr-2'!H149)</f>
        <v>08.1.1-CPVA-R-407</v>
      </c>
      <c r="I148" s="164" t="str">
        <f>CONCATENATE('3 pr-2'!I149)</f>
        <v>R</v>
      </c>
      <c r="J148" s="174" t="str">
        <f>CONCATENATE('3 pr-2'!J149)</f>
        <v>-</v>
      </c>
      <c r="K148" s="1080">
        <f>IF(LEN(S148)=5,'3 pr-2'!L149,0)</f>
        <v>148480</v>
      </c>
      <c r="L148" s="1080">
        <f>IF(LEN(S148)=5,'3 pr-2'!O149,0)</f>
        <v>22272</v>
      </c>
      <c r="M148" s="1080">
        <f>IF(LEN(S148)=5,'3 pr-2'!R149,0)</f>
        <v>0</v>
      </c>
      <c r="N148" s="1080">
        <f>IF(LEN(S148)=5,'3 pr-2'!U149,0)</f>
        <v>0</v>
      </c>
      <c r="O148" s="1080">
        <f>IF(LEN(S148)=5,'3 pr-2'!X149,0)</f>
        <v>0</v>
      </c>
      <c r="P148" s="1080">
        <f>IF(LEN(S148)=5,'3 pr-2'!AA149,0)</f>
        <v>126208</v>
      </c>
      <c r="Q148" s="1080">
        <f>IF(LEN(S148)=5,'3 pr-2'!AB149,0)</f>
        <v>0</v>
      </c>
      <c r="R148" s="1124">
        <f>SUM('3 pr-2'!AH149)</f>
        <v>42719</v>
      </c>
      <c r="S148" s="1129">
        <f>IF(SUMIF(Paraiškos!A:A,'ketv. 3'!C148,Paraiškos!H:H)&gt;0,SUMIF(Paraiškos!A:A,'ketv. 3'!C148,Paraiškos!H:H),"–")</f>
        <v>42734</v>
      </c>
      <c r="T148" s="234">
        <f t="shared" ref="T148:T152" si="70">IF(ISERROR(U148),"–",IF(U148&gt;0,"–",U148))</f>
        <v>-0.49315068493150632</v>
      </c>
      <c r="U148" s="1461">
        <f t="shared" ref="U148:U152" si="71">IF(R148-S148&lt;0,(R148-S148)/30.4166666666667,"–")</f>
        <v>-0.49315068493150632</v>
      </c>
    </row>
    <row r="149" spans="1:21" ht="61.5" thickBot="1">
      <c r="A149" s="163" t="str">
        <f>CONCATENATE('3 pr-2'!A150)</f>
        <v>2.1.3.1.2</v>
      </c>
      <c r="B149" s="1123" t="str">
        <f>CONCATENATE('3 pr-2'!B150)</f>
        <v>R01-4407-274800-2312</v>
      </c>
      <c r="C149" s="227" t="str">
        <f>CONCATENATE('ketv. 2'!B149)</f>
        <v>08.1.1-CPVA-R-407-11-0004</v>
      </c>
      <c r="D149" s="164" t="str">
        <f>CONCATENATE('3 pr-2'!D150)</f>
        <v>Psichosocialinės pagalbos centro įkūrimas</v>
      </c>
      <c r="E149" s="164" t="str">
        <f>CONCATENATE('3 pr-2'!E150)</f>
        <v>Alytaus rajono savivaldybės administracija</v>
      </c>
      <c r="F149" s="164" t="str">
        <f>CONCATENATE('3 pr-2'!F150)</f>
        <v>Lietuvos Respublikos socialinės apsaugos ir darbo ministerija</v>
      </c>
      <c r="G149" s="164" t="str">
        <f>CONCATENATE('3 pr-2'!G150)</f>
        <v>Alytaus r. sav.</v>
      </c>
      <c r="H149" s="164" t="str">
        <f>CONCATENATE('3 pr-2'!H150)</f>
        <v>08.1.1-CPVA-R-407</v>
      </c>
      <c r="I149" s="164" t="str">
        <f>CONCATENATE('3 pr-2'!I150)</f>
        <v>R</v>
      </c>
      <c r="J149" s="174" t="str">
        <f>CONCATENATE('3 pr-2'!J150)</f>
        <v/>
      </c>
      <c r="K149" s="1080">
        <f>IF(LEN(S149)=5,'3 pr-2'!L150,0)</f>
        <v>188353</v>
      </c>
      <c r="L149" s="1080">
        <f>IF(LEN(S149)=5,'3 pr-2'!O150,0)</f>
        <v>28253</v>
      </c>
      <c r="M149" s="1080">
        <f>IF(LEN(S149)=5,'3 pr-2'!R150,0)</f>
        <v>0</v>
      </c>
      <c r="N149" s="1080">
        <f>IF(LEN(S149)=5,'3 pr-2'!U150,0)</f>
        <v>0</v>
      </c>
      <c r="O149" s="1080">
        <f>IF(LEN(S149)=5,'3 pr-2'!X150,0)</f>
        <v>0</v>
      </c>
      <c r="P149" s="1080">
        <f>IF(LEN(S149)=5,'3 pr-2'!AA150,0)</f>
        <v>160100</v>
      </c>
      <c r="Q149" s="1080">
        <f>IF(LEN(S149)=5,'3 pr-2'!AB150,0)</f>
        <v>0</v>
      </c>
      <c r="R149" s="1124">
        <f>SUM('3 pr-2'!AH150)</f>
        <v>42738</v>
      </c>
      <c r="S149" s="1129">
        <f>IF(SUMIF(Paraiškos!A:A,'ketv. 3'!C149,Paraiškos!H:H)&gt;0,SUMIF(Paraiškos!A:A,'ketv. 3'!C149,Paraiškos!H:H),"–")</f>
        <v>42738</v>
      </c>
      <c r="T149" s="234" t="str">
        <f t="shared" si="70"/>
        <v>–</v>
      </c>
      <c r="U149" s="1461" t="str">
        <f t="shared" si="71"/>
        <v>–</v>
      </c>
    </row>
    <row r="150" spans="1:21" ht="61.5" thickBot="1">
      <c r="A150" s="163" t="str">
        <f>CONCATENATE('3 pr-2'!A151)</f>
        <v>2.1.3.1.3</v>
      </c>
      <c r="B150" s="1123" t="str">
        <f>CONCATENATE('3 pr-2'!B151)</f>
        <v>R01-4407-270000-2313</v>
      </c>
      <c r="C150" s="227" t="str">
        <f>CONCATENATE('ketv. 2'!B150)</f>
        <v>08.1.1-CPVA-R-407-11-0005</v>
      </c>
      <c r="D150" s="164" t="str">
        <f>CONCATENATE('3 pr-2'!D151)</f>
        <v>Socialinių paslaugų plėtra Alytaus mieste</v>
      </c>
      <c r="E150" s="164" t="str">
        <f>CONCATENATE('3 pr-2'!E151)</f>
        <v>Alytaus miesto savivaldybės administracija</v>
      </c>
      <c r="F150" s="164" t="str">
        <f>CONCATENATE('3 pr-2'!F151)</f>
        <v>Lietuvos Respublikos socialinės apsaugos ir darbo ministerija</v>
      </c>
      <c r="G150" s="164" t="str">
        <f>CONCATENATE('3 pr-2'!G151)</f>
        <v>Alytaus m. sav.</v>
      </c>
      <c r="H150" s="164" t="str">
        <f>CONCATENATE('3 pr-2'!H151)</f>
        <v>08.1.1-CPVA-R-407</v>
      </c>
      <c r="I150" s="164" t="str">
        <f>CONCATENATE('3 pr-2'!I151)</f>
        <v>R</v>
      </c>
      <c r="J150" s="174" t="str">
        <f>CONCATENATE('3 pr-2'!J151)</f>
        <v>-</v>
      </c>
      <c r="K150" s="1080">
        <f>IF(LEN(S150)=5,'3 pr-2'!L151,0)</f>
        <v>600732.80000000005</v>
      </c>
      <c r="L150" s="1080">
        <f>IF(LEN(S150)=5,'3 pr-2'!O151,0)</f>
        <v>254371.8</v>
      </c>
      <c r="M150" s="1080">
        <f>IF(LEN(S150)=5,'3 pr-2'!R151,0)</f>
        <v>0</v>
      </c>
      <c r="N150" s="1080">
        <f>IF(LEN(S150)=5,'3 pr-2'!U151,0)</f>
        <v>0</v>
      </c>
      <c r="O150" s="1080">
        <f>IF(LEN(S150)=5,'3 pr-2'!X151,0)</f>
        <v>0</v>
      </c>
      <c r="P150" s="1080">
        <f>IF(LEN(S150)=5,'3 pr-2'!AA151,0)</f>
        <v>346361</v>
      </c>
      <c r="Q150" s="1080">
        <f>IF(LEN(S150)=5,'3 pr-2'!AB151,0)</f>
        <v>0</v>
      </c>
      <c r="R150" s="1124">
        <f>SUM('3 pr-2'!AH151)</f>
        <v>42766</v>
      </c>
      <c r="S150" s="1129">
        <f>IF(SUMIF(Paraiškos!A:A,'ketv. 3'!C150,Paraiškos!H:H)&gt;0,SUMIF(Paraiškos!A:A,'ketv. 3'!C150,Paraiškos!H:H),"–")</f>
        <v>42766</v>
      </c>
      <c r="T150" s="234" t="str">
        <f t="shared" si="70"/>
        <v>–</v>
      </c>
      <c r="U150" s="1461" t="str">
        <f t="shared" si="71"/>
        <v>–</v>
      </c>
    </row>
    <row r="151" spans="1:21" ht="61.5" thickBot="1">
      <c r="A151" s="163" t="str">
        <f>CONCATENATE('3 pr-2'!A152)</f>
        <v>2.1.3.1.4</v>
      </c>
      <c r="B151" s="1123" t="str">
        <f>CONCATENATE('3 pr-2'!B152)</f>
        <v>R01-4407-270000-2314</v>
      </c>
      <c r="C151" s="227" t="str">
        <f>CONCATENATE('ketv. 2'!B151)</f>
        <v>08.1.1-CPVA-R-407-11-0001</v>
      </c>
      <c r="D151" s="164" t="str">
        <f>CONCATENATE('3 pr-2'!D152)</f>
        <v>Socialinių paslaugų infrastruktūros plėtra Druskininkų savivaldybėje</v>
      </c>
      <c r="E151" s="164" t="str">
        <f>CONCATENATE('3 pr-2'!E152)</f>
        <v>Druskininkų savivaldybės administracija</v>
      </c>
      <c r="F151" s="164" t="str">
        <f>CONCATENATE('3 pr-2'!F152)</f>
        <v>Lietuvos Respublikos socialinės apsaugos ir darbo ministerija</v>
      </c>
      <c r="G151" s="164" t="str">
        <f>CONCATENATE('3 pr-2'!G152)</f>
        <v>Druskininkų sav.</v>
      </c>
      <c r="H151" s="164" t="str">
        <f>CONCATENATE('3 pr-2'!H152)</f>
        <v>08.1.1-CPVA-R-407</v>
      </c>
      <c r="I151" s="164" t="str">
        <f>CONCATENATE('3 pr-2'!I152)</f>
        <v>R</v>
      </c>
      <c r="J151" s="174" t="str">
        <f>CONCATENATE('3 pr-2'!J152)</f>
        <v>-</v>
      </c>
      <c r="K151" s="1080">
        <f>IF(LEN(S151)=5,'3 pr-2'!L152,0)</f>
        <v>151437</v>
      </c>
      <c r="L151" s="1080">
        <f>IF(LEN(S151)=5,'3 pr-2'!O152,0)</f>
        <v>22716</v>
      </c>
      <c r="M151" s="1080">
        <f>IF(LEN(S151)=5,'3 pr-2'!R152,0)</f>
        <v>0</v>
      </c>
      <c r="N151" s="1080">
        <f>IF(LEN(S151)=5,'3 pr-2'!U152,0)</f>
        <v>0</v>
      </c>
      <c r="O151" s="1080">
        <f>IF(LEN(S151)=5,'3 pr-2'!X152,0)</f>
        <v>0</v>
      </c>
      <c r="P151" s="1080">
        <f>IF(LEN(S151)=5,'3 pr-2'!AA152,0)</f>
        <v>128721</v>
      </c>
      <c r="Q151" s="1080">
        <f>IF(LEN(S151)=5,'3 pr-2'!AB152,0)</f>
        <v>0</v>
      </c>
      <c r="R151" s="1124">
        <f>SUM('3 pr-2'!AH152)</f>
        <v>42735</v>
      </c>
      <c r="S151" s="1129">
        <f>IF(SUMIF(Paraiškos!A:A,'ketv. 3'!C151,Paraiškos!H:H)&gt;0,SUMIF(Paraiškos!A:A,'ketv. 3'!C151,Paraiškos!H:H),"–")</f>
        <v>42734</v>
      </c>
      <c r="T151" s="234" t="str">
        <f t="shared" si="70"/>
        <v>–</v>
      </c>
      <c r="U151" s="1461" t="str">
        <f t="shared" si="71"/>
        <v>–</v>
      </c>
    </row>
    <row r="152" spans="1:21" ht="61.5" thickBot="1">
      <c r="A152" s="163" t="str">
        <f>CONCATENATE('3 pr-2'!A153)</f>
        <v>2.1.3.1.5</v>
      </c>
      <c r="B152" s="1123" t="str">
        <f>CONCATENATE('3 pr-2'!B153)</f>
        <v>R01-4407-270000-2315</v>
      </c>
      <c r="C152" s="227" t="str">
        <f>CONCATENATE('ketv. 2'!B152)</f>
        <v>08.1.1-CPVA-R-407-11-0003</v>
      </c>
      <c r="D152" s="164" t="str">
        <f>CONCATENATE('3 pr-2'!D153)</f>
        <v>Socialinių paslaugų infrastruktūros modernizavimas ir plėtra VšĮ Kapčiamiesčio globos namuose</v>
      </c>
      <c r="E152" s="164" t="str">
        <f>CONCATENATE('3 pr-2'!E153)</f>
        <v>VšĮ Kapčiamiesčio globos namai</v>
      </c>
      <c r="F152" s="164" t="str">
        <f>CONCATENATE('3 pr-2'!F153)</f>
        <v>Lietuvos Respublikos socialinės apsaugos ir darbo ministerija</v>
      </c>
      <c r="G152" s="164" t="str">
        <f>CONCATENATE('3 pr-2'!G153)</f>
        <v>Lazdijų r. sav.</v>
      </c>
      <c r="H152" s="164" t="str">
        <f>CONCATENATE('3 pr-2'!H153)</f>
        <v>08.1.1-CPVA-R-407</v>
      </c>
      <c r="I152" s="164" t="str">
        <f>CONCATENATE('3 pr-2'!I153)</f>
        <v>R</v>
      </c>
      <c r="J152" s="174" t="str">
        <f>CONCATENATE('3 pr-2'!J153)</f>
        <v>-</v>
      </c>
      <c r="K152" s="1080">
        <f>IF(LEN(S152)=5,'3 pr-2'!L153,0)</f>
        <v>146319</v>
      </c>
      <c r="L152" s="1080">
        <f>IF(LEN(S152)=5,'3 pr-2'!O153,0)</f>
        <v>0</v>
      </c>
      <c r="M152" s="1080">
        <f>IF(LEN(S152)=5,'3 pr-2'!R153,0)</f>
        <v>21947.85</v>
      </c>
      <c r="N152" s="1080">
        <f>IF(LEN(S152)=5,'3 pr-2'!U153,0)</f>
        <v>0</v>
      </c>
      <c r="O152" s="1080">
        <f>IF(LEN(S152)=5,'3 pr-2'!X153,0)</f>
        <v>0</v>
      </c>
      <c r="P152" s="1080">
        <f>IF(LEN(S152)=5,'3 pr-2'!AA153,0)</f>
        <v>124371.15</v>
      </c>
      <c r="Q152" s="1080">
        <f>IF(LEN(S152)=5,'3 pr-2'!AB153,0)</f>
        <v>0</v>
      </c>
      <c r="R152" s="1124">
        <f>SUM('3 pr-2'!AH153)</f>
        <v>42737</v>
      </c>
      <c r="S152" s="1129">
        <f>IF(SUMIF(Paraiškos!A:A,'ketv. 3'!C152,Paraiškos!H:H)&gt;0,SUMIF(Paraiškos!A:A,'ketv. 3'!C152,Paraiškos!H:H),"–")</f>
        <v>42737</v>
      </c>
      <c r="T152" s="234" t="str">
        <f t="shared" si="70"/>
        <v>–</v>
      </c>
      <c r="U152" s="1461" t="str">
        <f t="shared" si="71"/>
        <v>–</v>
      </c>
    </row>
    <row r="153" spans="1:21" ht="25.5" customHeight="1" thickBot="1">
      <c r="A153" s="296" t="str">
        <f>CONCATENATE('3 pr-2'!A154)</f>
        <v>2.1.3.2</v>
      </c>
      <c r="B153" s="2088" t="str">
        <f>CONCATENATE('3 pr-2'!B154)</f>
        <v>Priemonė:
Socialinio būsto fondo plėtra</v>
      </c>
      <c r="C153" s="2089"/>
      <c r="D153" s="2089"/>
      <c r="E153" s="2089"/>
      <c r="F153" s="2089"/>
      <c r="G153" s="2089"/>
      <c r="H153" s="2089"/>
      <c r="I153" s="2089"/>
      <c r="J153" s="2090"/>
      <c r="K153" s="1077">
        <f t="shared" ref="K153:Q153" si="72">SUM(K154:K158)</f>
        <v>2966201.12</v>
      </c>
      <c r="L153" s="1077">
        <f t="shared" si="72"/>
        <v>445227.48000000004</v>
      </c>
      <c r="M153" s="1077">
        <f t="shared" si="72"/>
        <v>0</v>
      </c>
      <c r="N153" s="1077">
        <f t="shared" si="72"/>
        <v>0</v>
      </c>
      <c r="O153" s="1077">
        <f t="shared" si="72"/>
        <v>0</v>
      </c>
      <c r="P153" s="1077">
        <f t="shared" si="72"/>
        <v>2520973.6399999997</v>
      </c>
      <c r="Q153" s="1077">
        <f t="shared" si="72"/>
        <v>0</v>
      </c>
      <c r="R153" s="1108"/>
      <c r="S153" s="1109"/>
      <c r="T153" s="358"/>
      <c r="U153" s="1460"/>
    </row>
    <row r="154" spans="1:21" ht="61.5" thickBot="1">
      <c r="A154" s="163" t="str">
        <f>CONCATENATE('3 pr-2'!A155)</f>
        <v>2.1.3.2.1</v>
      </c>
      <c r="B154" s="1123" t="str">
        <f>CONCATENATE('3 pr-2'!B155)</f>
        <v>R01-4408-260000-2321</v>
      </c>
      <c r="C154" s="227" t="str">
        <f>CONCATENATE('ketv. 2'!B154)</f>
        <v>08.1.2-CPVA-R-408-11-0001</v>
      </c>
      <c r="D154" s="164" t="str">
        <f>CONCATENATE('3 pr-2'!D155)</f>
        <v>Socialinio būsto plėtra Varėnos rajone</v>
      </c>
      <c r="E154" s="164" t="str">
        <f>CONCATENATE('3 pr-2'!E155)</f>
        <v>Varėnos rajono savivaldybės administracija</v>
      </c>
      <c r="F154" s="164" t="str">
        <f>CONCATENATE('3 pr-2'!F155)</f>
        <v>Lietuvos Respublikos socialinės apsaugos ir darbo ministerija</v>
      </c>
      <c r="G154" s="164" t="str">
        <f>CONCATENATE('3 pr-2'!G155)</f>
        <v>Varėnos r. sav.</v>
      </c>
      <c r="H154" s="164" t="str">
        <f>CONCATENATE('3 pr-2'!H155)</f>
        <v>08.1.2-CPVA-R-408</v>
      </c>
      <c r="I154" s="164" t="str">
        <f>CONCATENATE('3 pr-2'!I155)</f>
        <v>R</v>
      </c>
      <c r="J154" s="174" t="str">
        <f>CONCATENATE('3 pr-2'!J155)</f>
        <v>-</v>
      </c>
      <c r="K154" s="1080">
        <f>IF(LEN(S154)=5,'3 pr-2'!L155,0)</f>
        <v>736499</v>
      </c>
      <c r="L154" s="1080">
        <f>IF(LEN(S154)=5,'3 pr-2'!O155,0)</f>
        <v>110475</v>
      </c>
      <c r="M154" s="1080">
        <f>IF(LEN(S154)=5,'3 pr-2'!R155,0)</f>
        <v>0</v>
      </c>
      <c r="N154" s="1080">
        <f>IF(LEN(S154)=5,'3 pr-2'!U155,0)</f>
        <v>0</v>
      </c>
      <c r="O154" s="1080">
        <f>IF(LEN(S154)=5,'3 pr-2'!X155,0)</f>
        <v>0</v>
      </c>
      <c r="P154" s="1080">
        <f>IF(LEN(S154)=5,'3 pr-2'!AA155,0)</f>
        <v>626024</v>
      </c>
      <c r="Q154" s="1080">
        <f>IF(LEN(S154)=5,'3 pr-2'!AB155,0)</f>
        <v>0</v>
      </c>
      <c r="R154" s="1124">
        <f>SUM('3 pr-2'!AH155)</f>
        <v>42674</v>
      </c>
      <c r="S154" s="1129">
        <f>IF(SUMIF(Paraiškos!A:A,'ketv. 3'!C154,Paraiškos!H:H)&gt;0,SUMIF(Paraiškos!A:A,'ketv. 3'!C154,Paraiškos!H:H),"–")</f>
        <v>42506</v>
      </c>
      <c r="T154" s="234" t="str">
        <f t="shared" ref="T154:T158" si="73">IF(ISERROR(U154),"–",IF(U154&gt;0,"–",U154))</f>
        <v>–</v>
      </c>
      <c r="U154" s="1462" t="str">
        <f t="shared" ref="U154:U158" si="74">IF(R154-S154&lt;0,(R154-S154)/30.4166666666667,"–")</f>
        <v>–</v>
      </c>
    </row>
    <row r="155" spans="1:21" ht="61.5" thickBot="1">
      <c r="A155" s="163" t="str">
        <f>CONCATENATE('3 pr-2'!A156)</f>
        <v>2.1.3.2.2</v>
      </c>
      <c r="B155" s="1123" t="str">
        <f>CONCATENATE('3 pr-2'!B156)</f>
        <v>R01-4408-250000-2322</v>
      </c>
      <c r="C155" s="227" t="str">
        <f>CONCATENATE('ketv. 2'!B155)</f>
        <v>08.1.2-CPVA-R-408-11-0005</v>
      </c>
      <c r="D155" s="164" t="str">
        <f>CONCATENATE('3 pr-2'!D156)</f>
        <v>Būsto prieinamumo pažeidžiamoms gyventojų grupėms didinimas Alytaus rajone</v>
      </c>
      <c r="E155" s="164" t="str">
        <f>CONCATENATE('3 pr-2'!E156)</f>
        <v>Alytaus rajono savivaldybės administracija</v>
      </c>
      <c r="F155" s="164" t="str">
        <f>CONCATENATE('3 pr-2'!F156)</f>
        <v>Lietuvos Respublikos socialinės apsaugos ir darbo ministerija</v>
      </c>
      <c r="G155" s="164" t="str">
        <f>CONCATENATE('3 pr-2'!G156)</f>
        <v>Alytaus r. sav.</v>
      </c>
      <c r="H155" s="164" t="str">
        <f>CONCATENATE('3 pr-2'!H156)</f>
        <v>08.1.2-CPVA-R-408</v>
      </c>
      <c r="I155" s="164" t="str">
        <f>CONCATENATE('3 pr-2'!I156)</f>
        <v>R</v>
      </c>
      <c r="J155" s="174" t="str">
        <f>CONCATENATE('3 pr-2'!J156)</f>
        <v>-</v>
      </c>
      <c r="K155" s="1080">
        <f>IF(LEN(S155)=5,'3 pr-2'!L156,0)</f>
        <v>241889</v>
      </c>
      <c r="L155" s="1080">
        <f>IF(LEN(S155)=5,'3 pr-2'!O156,0)</f>
        <v>36283.35</v>
      </c>
      <c r="M155" s="1080">
        <f>IF(LEN(S155)=5,'3 pr-2'!R156,0)</f>
        <v>0</v>
      </c>
      <c r="N155" s="1080">
        <f>IF(LEN(S155)=5,'3 pr-2'!U156,0)</f>
        <v>0</v>
      </c>
      <c r="O155" s="1080">
        <f>IF(LEN(S155)=5,'3 pr-2'!X156,0)</f>
        <v>0</v>
      </c>
      <c r="P155" s="1080">
        <f>IF(LEN(S155)=5,'3 pr-2'!AA156,0)</f>
        <v>205605.65</v>
      </c>
      <c r="Q155" s="1080">
        <f>IF(LEN(S155)=5,'3 pr-2'!AB156,0)</f>
        <v>0</v>
      </c>
      <c r="R155" s="1124">
        <f>SUM('3 pr-2'!AH156)</f>
        <v>42674</v>
      </c>
      <c r="S155" s="1129">
        <f>IF(SUMIF(Paraiškos!A:A,'ketv. 3'!C155,Paraiškos!H:H)&gt;0,SUMIF(Paraiškos!A:A,'ketv. 3'!C155,Paraiškos!H:H),"–")</f>
        <v>42523</v>
      </c>
      <c r="T155" s="234" t="str">
        <f t="shared" si="73"/>
        <v>–</v>
      </c>
      <c r="U155" s="1462" t="str">
        <f t="shared" si="74"/>
        <v>–</v>
      </c>
    </row>
    <row r="156" spans="1:21" ht="61.5" thickBot="1">
      <c r="A156" s="163" t="str">
        <f>CONCATENATE('3 pr-2'!A157)</f>
        <v>2.1.3.1.3</v>
      </c>
      <c r="B156" s="1123" t="str">
        <f>CONCATENATE('3 pr-2'!B157)</f>
        <v>R01-4408-260000-2323</v>
      </c>
      <c r="C156" s="227" t="str">
        <f>CONCATENATE('ketv. 2'!B156)</f>
        <v>08.1.2-CPVA-R-408-11-0002</v>
      </c>
      <c r="D156" s="164" t="str">
        <f>CONCATENATE('3 pr-2'!D157)</f>
        <v>Socialinio būsto plėtra Alytaus mieste</v>
      </c>
      <c r="E156" s="164" t="str">
        <f>CONCATENATE('3 pr-2'!E157)</f>
        <v>Alytaus miesto savivaldybės administracija</v>
      </c>
      <c r="F156" s="164" t="str">
        <f>CONCATENATE('3 pr-2'!F157)</f>
        <v>Lietuvos Respublikos socialinės apsaugos ir darbo ministerija</v>
      </c>
      <c r="G156" s="164" t="str">
        <f>CONCATENATE('3 pr-2'!G157)</f>
        <v>Alytaus m. sav.</v>
      </c>
      <c r="H156" s="164" t="str">
        <f>CONCATENATE('3 pr-2'!H157)</f>
        <v>08.1.2-CPVA-R-408</v>
      </c>
      <c r="I156" s="164" t="str">
        <f>CONCATENATE('3 pr-2'!I157)</f>
        <v>R</v>
      </c>
      <c r="J156" s="174" t="str">
        <f>CONCATENATE('3 pr-2'!J157)</f>
        <v>-</v>
      </c>
      <c r="K156" s="1080">
        <f>IF(LEN(S156)=5,'3 pr-2'!L157,0)</f>
        <v>891741.17999999993</v>
      </c>
      <c r="L156" s="1080">
        <f>IF(LEN(S156)=5,'3 pr-2'!O157,0)</f>
        <v>133761.18</v>
      </c>
      <c r="M156" s="1080">
        <f>IF(LEN(S156)=5,'3 pr-2'!R157,0)</f>
        <v>0</v>
      </c>
      <c r="N156" s="1080">
        <f>IF(LEN(S156)=5,'3 pr-2'!U157,0)</f>
        <v>0</v>
      </c>
      <c r="O156" s="1080">
        <f>IF(LEN(S156)=5,'3 pr-2'!X157,0)</f>
        <v>0</v>
      </c>
      <c r="P156" s="1080">
        <f>IF(LEN(S156)=5,'3 pr-2'!AA157,0)</f>
        <v>757980</v>
      </c>
      <c r="Q156" s="1080">
        <f>IF(LEN(S156)=5,'3 pr-2'!AB157,0)</f>
        <v>0</v>
      </c>
      <c r="R156" s="1124">
        <f>SUM('3 pr-2'!AH157)</f>
        <v>42563</v>
      </c>
      <c r="S156" s="1129">
        <f>IF(SUMIF(Paraiškos!A:A,'ketv. 3'!C156,Paraiškos!H:H)&gt;0,SUMIF(Paraiškos!A:A,'ketv. 3'!C156,Paraiškos!H:H),"–")</f>
        <v>42563</v>
      </c>
      <c r="T156" s="234" t="str">
        <f t="shared" si="73"/>
        <v>–</v>
      </c>
      <c r="U156" s="1462" t="str">
        <f t="shared" si="74"/>
        <v>–</v>
      </c>
    </row>
    <row r="157" spans="1:21" ht="61.5" thickBot="1">
      <c r="A157" s="163" t="str">
        <f>CONCATENATE('3 pr-2'!A158)</f>
        <v>2.1.3.2.4</v>
      </c>
      <c r="B157" s="1123" t="str">
        <f>CONCATENATE('3 pr-2'!B158)</f>
        <v>R01-4408-260000-2324</v>
      </c>
      <c r="C157" s="227" t="str">
        <f>CONCATENATE('ketv. 2'!B157)</f>
        <v>08.1.2-CPVA-R-408-11-0003</v>
      </c>
      <c r="D157" s="164" t="str">
        <f>CONCATENATE('3 pr-2'!D158)</f>
        <v>Socialinio būsto fondo plėtra Druskininkų savivaldybėje</v>
      </c>
      <c r="E157" s="164" t="str">
        <f>CONCATENATE('3 pr-2'!E158)</f>
        <v>Druskininkų savivaldybės administracija</v>
      </c>
      <c r="F157" s="164" t="str">
        <f>CONCATENATE('3 pr-2'!F158)</f>
        <v>Lietuvos Respublikos socialinės apsaugos ir darbo ministerija</v>
      </c>
      <c r="G157" s="164" t="str">
        <f>CONCATENATE('3 pr-2'!G158)</f>
        <v>Druskininkų sav.</v>
      </c>
      <c r="H157" s="164" t="str">
        <f>CONCATENATE('3 pr-2'!H158)</f>
        <v>08.1.2-CPVA-R-408</v>
      </c>
      <c r="I157" s="164" t="str">
        <f>CONCATENATE('3 pr-2'!I158)</f>
        <v>R</v>
      </c>
      <c r="J157" s="174" t="str">
        <f>CONCATENATE('3 pr-2'!J158)</f>
        <v>-</v>
      </c>
      <c r="K157" s="1080">
        <f>IF(LEN(S157)=5,'3 pr-2'!L158,0)</f>
        <v>727472.94</v>
      </c>
      <c r="L157" s="1080">
        <f>IF(LEN(S157)=5,'3 pr-2'!O158,0)</f>
        <v>109120.95</v>
      </c>
      <c r="M157" s="1080">
        <f>IF(LEN(S157)=5,'3 pr-2'!R158,0)</f>
        <v>0</v>
      </c>
      <c r="N157" s="1080">
        <f>IF(LEN(S157)=5,'3 pr-2'!U158,0)</f>
        <v>0</v>
      </c>
      <c r="O157" s="1080">
        <f>IF(LEN(S157)=5,'3 pr-2'!X158,0)</f>
        <v>0</v>
      </c>
      <c r="P157" s="1080">
        <f>IF(LEN(S157)=5,'3 pr-2'!AA158,0)</f>
        <v>618351.99</v>
      </c>
      <c r="Q157" s="1080">
        <f>IF(LEN(S157)=5,'3 pr-2'!AB158,0)</f>
        <v>0</v>
      </c>
      <c r="R157" s="1124">
        <f>SUM('3 pr-2'!AH158)</f>
        <v>42674</v>
      </c>
      <c r="S157" s="1129">
        <f>IF(SUMIF(Paraiškos!A:A,'ketv. 3'!C157,Paraiškos!H:H)&gt;0,SUMIF(Paraiškos!A:A,'ketv. 3'!C157,Paraiškos!H:H),"–")</f>
        <v>42515</v>
      </c>
      <c r="T157" s="234" t="str">
        <f t="shared" si="73"/>
        <v>–</v>
      </c>
      <c r="U157" s="1462" t="str">
        <f t="shared" si="74"/>
        <v>–</v>
      </c>
    </row>
    <row r="158" spans="1:21" ht="61.5" thickBot="1">
      <c r="A158" s="163" t="str">
        <f>CONCATENATE('3 pr-2'!A159)</f>
        <v>2.1.3.2.5</v>
      </c>
      <c r="B158" s="1123" t="str">
        <f>CONCATENATE('3 pr-2'!B159)</f>
        <v>R01-4408-252600-2325</v>
      </c>
      <c r="C158" s="227" t="str">
        <f>CONCATENATE('ketv. 2'!B158)</f>
        <v>08.1.2-CPVA-R-408-11-0004</v>
      </c>
      <c r="D158" s="164" t="str">
        <f>CONCATENATE('3 pr-2'!D159)</f>
        <v>Socialinio būsto fondo plėtra Lazdijų rajono savivaldybėje</v>
      </c>
      <c r="E158" s="164" t="str">
        <f>CONCATENATE('3 pr-2'!E159)</f>
        <v>Lazdijų rajono savivaldybės administracija</v>
      </c>
      <c r="F158" s="164" t="str">
        <f>CONCATENATE('3 pr-2'!F159)</f>
        <v>Lietuvos Respublikos socialinės apsaugos ir darbo ministerija</v>
      </c>
      <c r="G158" s="164" t="str">
        <f>CONCATENATE('3 pr-2'!G159)</f>
        <v>Lazdijų r. sav.</v>
      </c>
      <c r="H158" s="164" t="str">
        <f>CONCATENATE('3 pr-2'!H159)</f>
        <v>08.1.2-CPVA-R-408</v>
      </c>
      <c r="I158" s="164" t="str">
        <f>CONCATENATE('3 pr-2'!I159)</f>
        <v>R</v>
      </c>
      <c r="J158" s="174" t="str">
        <f>CONCATENATE('3 pr-2'!J159)</f>
        <v>-</v>
      </c>
      <c r="K158" s="1080">
        <f>IF(LEN(S158)=5,'3 pr-2'!L159,0)</f>
        <v>368599</v>
      </c>
      <c r="L158" s="1080">
        <f>IF(LEN(S158)=5,'3 pr-2'!O159,0)</f>
        <v>55587</v>
      </c>
      <c r="M158" s="1080">
        <f>IF(LEN(S158)=5,'3 pr-2'!R159,0)</f>
        <v>0</v>
      </c>
      <c r="N158" s="1080">
        <f>IF(LEN(S158)=5,'3 pr-2'!U159,0)</f>
        <v>0</v>
      </c>
      <c r="O158" s="1080">
        <f>IF(LEN(S158)=5,'3 pr-2'!X159,0)</f>
        <v>0</v>
      </c>
      <c r="P158" s="1080">
        <f>IF(LEN(S158)=5,'3 pr-2'!AA159,0)</f>
        <v>313012</v>
      </c>
      <c r="Q158" s="1080">
        <f>IF(LEN(S158)=5,'3 pr-2'!AB159,0)</f>
        <v>0</v>
      </c>
      <c r="R158" s="1124">
        <f>SUM('3 pr-2'!AH159)</f>
        <v>42674</v>
      </c>
      <c r="S158" s="1129">
        <f>IF(SUMIF(Paraiškos!A:A,'ketv. 3'!C158,Paraiškos!H:H)&gt;0,SUMIF(Paraiškos!A:A,'ketv. 3'!C158,Paraiškos!H:H),"–")</f>
        <v>42566</v>
      </c>
      <c r="T158" s="234" t="str">
        <f t="shared" si="73"/>
        <v>–</v>
      </c>
      <c r="U158" s="1462" t="str">
        <f t="shared" si="74"/>
        <v>–</v>
      </c>
    </row>
    <row r="159" spans="1:21" ht="40.5" customHeight="1" thickBot="1">
      <c r="A159" s="238" t="str">
        <f>CONCATENATE('3 pr-2'!A160)</f>
        <v>2.1.4.</v>
      </c>
      <c r="B159" s="2085" t="str">
        <f>CONCATENATE('3 pr-2'!B160)</f>
        <v>Uždavinys:
Visuomenei teikiamų paslaugų kokybės, didinant jų atitikimo visuomenės poreikiams pagerinimas</v>
      </c>
      <c r="C159" s="2086"/>
      <c r="D159" s="2086"/>
      <c r="E159" s="2086"/>
      <c r="F159" s="2086"/>
      <c r="G159" s="2086"/>
      <c r="H159" s="2086"/>
      <c r="I159" s="2086"/>
      <c r="J159" s="2087"/>
      <c r="K159" s="1158">
        <f t="shared" ref="K159:Q159" si="75">SUM(K160)</f>
        <v>906987.73</v>
      </c>
      <c r="L159" s="1158">
        <f t="shared" si="75"/>
        <v>136179.88999999998</v>
      </c>
      <c r="M159" s="1158">
        <f t="shared" si="75"/>
        <v>0</v>
      </c>
      <c r="N159" s="1158">
        <f t="shared" si="75"/>
        <v>0</v>
      </c>
      <c r="O159" s="1158">
        <f t="shared" si="75"/>
        <v>0</v>
      </c>
      <c r="P159" s="1158">
        <f t="shared" si="75"/>
        <v>770807.84000000008</v>
      </c>
      <c r="Q159" s="1158">
        <f t="shared" si="75"/>
        <v>0</v>
      </c>
      <c r="R159" s="1106" t="s">
        <v>679</v>
      </c>
      <c r="S159" s="1107" t="s">
        <v>679</v>
      </c>
      <c r="T159" s="364" t="s">
        <v>679</v>
      </c>
      <c r="U159" s="1459"/>
    </row>
    <row r="160" spans="1:21" ht="38.25" customHeight="1" thickBot="1">
      <c r="A160" s="296" t="str">
        <f>CONCATENATE('3 pr-2'!A161)</f>
        <v>2.1.4.1</v>
      </c>
      <c r="B160" s="2088" t="str">
        <f>CONCATENATE('3 pr-2'!B161)</f>
        <v>Priemonė:
Paslaugų teikimo ir asmenų aptarnavimo kokybės gerinimas savivaldybėse</v>
      </c>
      <c r="C160" s="2089"/>
      <c r="D160" s="2089"/>
      <c r="E160" s="2089"/>
      <c r="F160" s="2089"/>
      <c r="G160" s="2089"/>
      <c r="H160" s="2089"/>
      <c r="I160" s="2089"/>
      <c r="J160" s="2090"/>
      <c r="K160" s="1077">
        <f t="shared" ref="K160:P160" si="76">SUM(K161:K166)</f>
        <v>906987.73</v>
      </c>
      <c r="L160" s="1077">
        <f t="shared" si="76"/>
        <v>136179.88999999998</v>
      </c>
      <c r="M160" s="1077">
        <f t="shared" si="76"/>
        <v>0</v>
      </c>
      <c r="N160" s="1077">
        <f t="shared" si="76"/>
        <v>0</v>
      </c>
      <c r="O160" s="1077">
        <f t="shared" si="76"/>
        <v>0</v>
      </c>
      <c r="P160" s="1077">
        <f t="shared" si="76"/>
        <v>770807.84000000008</v>
      </c>
      <c r="Q160" s="1077">
        <f t="shared" ref="Q160" si="77">SUM(Q161:Q166)</f>
        <v>0</v>
      </c>
      <c r="R160" s="1108"/>
      <c r="S160" s="1109"/>
      <c r="T160" s="358"/>
      <c r="U160" s="1460"/>
    </row>
    <row r="161" spans="1:22" ht="49.5" thickBot="1">
      <c r="A161" s="163" t="str">
        <f>CONCATENATE('3 pr-2'!A162)</f>
        <v>2.1.4.1.1</v>
      </c>
      <c r="B161" s="1123" t="str">
        <f>CONCATENATE('3 pr-2'!B162)</f>
        <v>R01-9920-490000-2411</v>
      </c>
      <c r="C161" s="227" t="str">
        <f>CONCATENATE('ketv. 2'!B161)</f>
        <v>10.1.3-ESFA-R-920-11-0001</v>
      </c>
      <c r="D161" s="164" t="str">
        <f>CONCATENATE('3 pr-2'!D162)</f>
        <v>Paslaugų teikimo ir asmenų aptarnavimo kokybės gerinimas Varėnos rajono savivaldybėje</v>
      </c>
      <c r="E161" s="164" t="str">
        <f>CONCATENATE('3 pr-2'!E162)</f>
        <v>Varėnos rajono savivaldybės administracija</v>
      </c>
      <c r="F161" s="164" t="str">
        <f>CONCATENATE('3 pr-2'!F162)</f>
        <v>Lietuvos Respublikos vidaus reikalų ministerija</v>
      </c>
      <c r="G161" s="164" t="str">
        <f>CONCATENATE('3 pr-2'!G162)</f>
        <v>Varėnos r. sav.</v>
      </c>
      <c r="H161" s="164" t="str">
        <f>CONCATENATE('3 pr-2'!H162)</f>
        <v>10.1.3-ESFA-R-920</v>
      </c>
      <c r="I161" s="164" t="str">
        <f>CONCATENATE('3 pr-2'!I162)</f>
        <v>R</v>
      </c>
      <c r="J161" s="174" t="str">
        <f>CONCATENATE('3 pr-2'!J162)</f>
        <v>-</v>
      </c>
      <c r="K161" s="1080">
        <f>IF(LEN(S161)=5,'3 pr-2'!L162,0)</f>
        <v>172733.52</v>
      </c>
      <c r="L161" s="1080">
        <f>IF(LEN(S161)=5,'3 pr-2'!O162,0)</f>
        <v>25910.03</v>
      </c>
      <c r="M161" s="1080">
        <f>IF(LEN(S161)=5,'3 pr-2'!R162,0)</f>
        <v>0</v>
      </c>
      <c r="N161" s="1080">
        <f>IF(LEN(S161)=5,'3 pr-2'!U162,0)</f>
        <v>0</v>
      </c>
      <c r="O161" s="1080">
        <f>IF(LEN(S161)=5,'3 pr-2'!X162,0)</f>
        <v>0</v>
      </c>
      <c r="P161" s="1080">
        <f>IF(LEN(S161)=5,'3 pr-2'!AA162,0)</f>
        <v>146823.49</v>
      </c>
      <c r="Q161" s="1080">
        <f>IF(LEN(S161)=5,'3 pr-2'!AB162,0)</f>
        <v>0</v>
      </c>
      <c r="R161" s="1124">
        <f>SUM('3 pr-2'!AH162)</f>
        <v>43039</v>
      </c>
      <c r="S161" s="1129">
        <f>IF(SUMIF(Paraiškos!A:A,'ketv. 3'!C161,Paraiškos!H:H)&gt;0,SUMIF(Paraiškos!A:A,'ketv. 3'!C161,Paraiškos!H:H),"–")</f>
        <v>43039</v>
      </c>
      <c r="T161" s="234" t="str">
        <f t="shared" ref="T161:T166" si="78">IF(ISERROR(U161),"–",IF(U161&gt;0,"–",U161))</f>
        <v>–</v>
      </c>
      <c r="U161" s="1461" t="str">
        <f t="shared" ref="U161:U166" si="79">IF(R161-S161&lt;0,(R161-S161)/30.4166666666667,"–")</f>
        <v>–</v>
      </c>
      <c r="V161" s="4"/>
    </row>
    <row r="162" spans="1:22" ht="49.5" thickBot="1">
      <c r="A162" s="163" t="str">
        <f>CONCATENATE('3 pr-2'!A163)</f>
        <v>2.1.4.1.2</v>
      </c>
      <c r="B162" s="1123" t="str">
        <f>CONCATENATE('3 pr-2'!B163)</f>
        <v>R01-9920-490000-2412</v>
      </c>
      <c r="C162" s="227" t="str">
        <f>CONCATENATE('ketv. 2'!B162)</f>
        <v>10.1.3-ESFA-R-920-11-0005</v>
      </c>
      <c r="D162" s="164" t="str">
        <f>CONCATENATE('3 pr-2'!D163)</f>
        <v>Paslaugų ir asmenų aptarnavimo kokybės gerinimas Alytaus rajono savivaldybėje</v>
      </c>
      <c r="E162" s="164" t="str">
        <f>CONCATENATE('3 pr-2'!E163)</f>
        <v>Alytaus rajono savivaldybės administracija</v>
      </c>
      <c r="F162" s="164" t="str">
        <f>CONCATENATE('3 pr-2'!F163)</f>
        <v>Lietuvos Respublikos vidaus reikalų ministerija</v>
      </c>
      <c r="G162" s="164" t="str">
        <f>CONCATENATE('3 pr-2'!G163)</f>
        <v>Alytaus r. sav.</v>
      </c>
      <c r="H162" s="164" t="str">
        <f>CONCATENATE('3 pr-2'!H163)</f>
        <v>10.1.3-ESFA-R-920</v>
      </c>
      <c r="I162" s="164" t="str">
        <f>CONCATENATE('3 pr-2'!I163)</f>
        <v>R</v>
      </c>
      <c r="J162" s="174" t="str">
        <f>CONCATENATE('3 pr-2'!J163)</f>
        <v>-</v>
      </c>
      <c r="K162" s="1080">
        <f>IF(LEN(S162)=5,'3 pr-2'!L163,0)</f>
        <v>192832.21</v>
      </c>
      <c r="L162" s="1080">
        <f>IF(LEN(S162)=5,'3 pr-2'!O163,0)</f>
        <v>28924.84</v>
      </c>
      <c r="M162" s="1080">
        <f>IF(LEN(S162)=5,'3 pr-2'!R163,0)</f>
        <v>0</v>
      </c>
      <c r="N162" s="1080">
        <f>IF(LEN(S162)=5,'3 pr-2'!U163,0)</f>
        <v>0</v>
      </c>
      <c r="O162" s="1080">
        <f>IF(LEN(S162)=5,'3 pr-2'!X163,0)</f>
        <v>0</v>
      </c>
      <c r="P162" s="1080">
        <f>IF(LEN(S162)=5,'3 pr-2'!AA163,0)</f>
        <v>163907.37</v>
      </c>
      <c r="Q162" s="1080">
        <f>IF(LEN(S162)=5,'3 pr-2'!AB163,0)</f>
        <v>0</v>
      </c>
      <c r="R162" s="1124">
        <f>SUM('3 pr-2'!AH163)</f>
        <v>43131</v>
      </c>
      <c r="S162" s="1129">
        <f>IF(SUMIF(Paraiškos!A:A,'ketv. 3'!C162,Paraiškos!H:H)&gt;0,SUMIF(Paraiškos!A:A,'ketv. 3'!C162,Paraiškos!H:H),"–")</f>
        <v>43131</v>
      </c>
      <c r="T162" s="234" t="str">
        <f t="shared" si="78"/>
        <v>–</v>
      </c>
      <c r="U162" s="1461" t="str">
        <f t="shared" si="79"/>
        <v>–</v>
      </c>
    </row>
    <row r="163" spans="1:22" ht="49.5" thickBot="1">
      <c r="A163" s="163" t="str">
        <f>CONCATENATE('3 pr-2'!A164)</f>
        <v>2.1.4.1.3</v>
      </c>
      <c r="B163" s="1123" t="str">
        <f>CONCATENATE('3 pr-2'!B164)</f>
        <v>R01-9920-490000-2413</v>
      </c>
      <c r="C163" s="227" t="str">
        <f>CONCATENATE('ketv. 2'!B163)</f>
        <v>10.1.3-ESFA-R-920-11-0003</v>
      </c>
      <c r="D163" s="164" t="str">
        <f>CONCATENATE('3 pr-2'!D164)</f>
        <v>Lazdijų rajono savivaldybės administracijos ir jos viešojo valdymo institucijų teikiamų paslaugų procesų tobulinimas</v>
      </c>
      <c r="E163" s="164" t="str">
        <f>CONCATENATE('3 pr-2'!E164)</f>
        <v>Lazdijų rajono savivaldybės administracija</v>
      </c>
      <c r="F163" s="164" t="str">
        <f>CONCATENATE('3 pr-2'!F164)</f>
        <v>Lietuvos Respublikos vidaus reikalų ministerija</v>
      </c>
      <c r="G163" s="164" t="str">
        <f>CONCATENATE('3 pr-2'!G164)</f>
        <v>Lazdijų r. sav.</v>
      </c>
      <c r="H163" s="164" t="str">
        <f>CONCATENATE('3 pr-2'!H164)</f>
        <v>10.1.3-ESFA-R-920</v>
      </c>
      <c r="I163" s="164" t="str">
        <f>CONCATENATE('3 pr-2'!I164)</f>
        <v>R</v>
      </c>
      <c r="J163" s="174" t="str">
        <f>CONCATENATE('3 pr-2'!J164)</f>
        <v>-</v>
      </c>
      <c r="K163" s="1080">
        <f>IF(LEN(S163)=5,'3 pr-2'!L164,0)</f>
        <v>163986.88</v>
      </c>
      <c r="L163" s="1080">
        <f>IF(LEN(S163)=5,'3 pr-2'!O164,0)</f>
        <v>24598.880000000001</v>
      </c>
      <c r="M163" s="1080">
        <f>IF(LEN(S163)=5,'3 pr-2'!R164,0)</f>
        <v>0</v>
      </c>
      <c r="N163" s="1080">
        <f>IF(LEN(S163)=5,'3 pr-2'!U164,0)</f>
        <v>0</v>
      </c>
      <c r="O163" s="1080">
        <f>IF(LEN(S163)=5,'3 pr-2'!X164,0)</f>
        <v>0</v>
      </c>
      <c r="P163" s="1080">
        <f>IF(LEN(S163)=5,'3 pr-2'!AA164,0)</f>
        <v>139388</v>
      </c>
      <c r="Q163" s="1080">
        <f>IF(LEN(S163)=5,'3 pr-2'!AB164,0)</f>
        <v>0</v>
      </c>
      <c r="R163" s="1124">
        <f>SUM('3 pr-2'!AH164)</f>
        <v>43063</v>
      </c>
      <c r="S163" s="1129">
        <f>IF(SUMIF(Paraiškos!A:A,'ketv. 3'!C163,Paraiškos!H:H)&gt;0,SUMIF(Paraiškos!A:A,'ketv. 3'!C163,Paraiškos!H:H),"–")</f>
        <v>43061</v>
      </c>
      <c r="T163" s="234" t="str">
        <f t="shared" si="78"/>
        <v>–</v>
      </c>
      <c r="U163" s="1461" t="str">
        <f t="shared" si="79"/>
        <v>–</v>
      </c>
    </row>
    <row r="164" spans="1:22" ht="49.5" thickBot="1">
      <c r="A164" s="163" t="str">
        <f>CONCATENATE('3 pr-2'!A165)</f>
        <v>2.1.4.1.4</v>
      </c>
      <c r="B164" s="1123" t="str">
        <f>CONCATENATE('3 pr-2'!B165)</f>
        <v>R01-9920-490000-2414</v>
      </c>
      <c r="C164" s="227" t="str">
        <f>CONCATENATE('ketv. 2'!B164)</f>
        <v>10.1.3-ESFA-R-920-11-0007</v>
      </c>
      <c r="D164" s="164" t="str">
        <f>CONCATENATE('3 pr-2'!D165)</f>
        <v>Teikiamų paslaugų procesų tobulinimas ir asmenų aptarnavimo kokybės gerinimas Alytaus m. sav. administracijoje ir jai pavaldžiose įstaigose. I etapas</v>
      </c>
      <c r="E164" s="164" t="str">
        <f>CONCATENATE('3 pr-2'!E165)</f>
        <v>Alytaus miesto savivaldybės administracija</v>
      </c>
      <c r="F164" s="164" t="str">
        <f>CONCATENATE('3 pr-2'!F165)</f>
        <v>Lietuvos Respublikos vidaus reikalų ministerija</v>
      </c>
      <c r="G164" s="164" t="str">
        <f>CONCATENATE('3 pr-2'!G165)</f>
        <v>Alytaus m. sav.</v>
      </c>
      <c r="H164" s="164" t="str">
        <f>CONCATENATE('3 pr-2'!H165)</f>
        <v>10.1.3-ESFA-R-920</v>
      </c>
      <c r="I164" s="164" t="str">
        <f>CONCATENATE('3 pr-2'!I165)</f>
        <v>R</v>
      </c>
      <c r="J164" s="174" t="str">
        <f>CONCATENATE('3 pr-2'!J165)</f>
        <v>-</v>
      </c>
      <c r="K164" s="1080">
        <f>IF(LEN(S164)=5,'3 pr-2'!L165,0)</f>
        <v>215693.16</v>
      </c>
      <c r="L164" s="1080">
        <f>IF(LEN(S164)=5,'3 pr-2'!O165,0)</f>
        <v>32353.98</v>
      </c>
      <c r="M164" s="1080">
        <f>IF(LEN(S164)=5,'3 pr-2'!R165,0)</f>
        <v>0</v>
      </c>
      <c r="N164" s="1080">
        <f>IF(LEN(S164)=5,'3 pr-2'!U165,0)</f>
        <v>0</v>
      </c>
      <c r="O164" s="1080">
        <f>IF(LEN(S164)=5,'3 pr-2'!X165,0)</f>
        <v>0</v>
      </c>
      <c r="P164" s="1080">
        <f>IF(LEN(S164)=5,'3 pr-2'!AA165,0)</f>
        <v>183339.18</v>
      </c>
      <c r="Q164" s="1080">
        <f>IF(LEN(S164)=5,'3 pr-2'!AB165,0)</f>
        <v>0</v>
      </c>
      <c r="R164" s="1124">
        <f>SUM('3 pr-2'!AH165)</f>
        <v>43159</v>
      </c>
      <c r="S164" s="1129">
        <f>IF(SUMIF(Paraiškos!A:A,'ketv. 3'!C164,Paraiškos!H:H)&gt;0,SUMIF(Paraiškos!A:A,'ketv. 3'!C164,Paraiškos!H:H),"–")</f>
        <v>43159</v>
      </c>
      <c r="T164" s="234" t="str">
        <f t="shared" si="78"/>
        <v>–</v>
      </c>
      <c r="U164" s="1461" t="str">
        <f t="shared" si="79"/>
        <v>–</v>
      </c>
    </row>
    <row r="165" spans="1:22" ht="49.5" thickBot="1">
      <c r="A165" s="163" t="str">
        <f>CONCATENATE('3 pr-2'!A166)</f>
        <v>2.1.4.1.5</v>
      </c>
      <c r="B165" s="1123" t="str">
        <f>CONCATENATE('3 pr-2'!B166)</f>
        <v>R01-9920-490000-2415</v>
      </c>
      <c r="C165" s="227" t="str">
        <f>CONCATENATE('ketv. 2'!B165)</f>
        <v>10.1.3-ESFA-R-920-11-0006</v>
      </c>
      <c r="D165" s="164" t="str">
        <f>CONCATENATE('3 pr-2'!D166)</f>
        <v>Paslaugų teikimo ir asmenų aptarnavimo kokybės gerinimas Druskininkų savivaldybėje</v>
      </c>
      <c r="E165" s="164" t="str">
        <f>CONCATENATE('3 pr-2'!E166)</f>
        <v>Druskininkų savivaldybės administracija</v>
      </c>
      <c r="F165" s="164" t="str">
        <f>CONCATENATE('3 pr-2'!F166)</f>
        <v>Lietuvos Respublikos vidaus reikalų ministerija</v>
      </c>
      <c r="G165" s="164" t="str">
        <f>CONCATENATE('3 pr-2'!G166)</f>
        <v>Druskininkų sav.</v>
      </c>
      <c r="H165" s="164" t="str">
        <f>CONCATENATE('3 pr-2'!H166)</f>
        <v>10.1.3-ESFA-R-920</v>
      </c>
      <c r="I165" s="164" t="str">
        <f>CONCATENATE('3 pr-2'!I166)</f>
        <v>R</v>
      </c>
      <c r="J165" s="174" t="str">
        <f>CONCATENATE('3 pr-2'!J166)</f>
        <v>-</v>
      </c>
      <c r="K165" s="1080">
        <f>IF(LEN(S165)=5,'3 pr-2'!L166,0)</f>
        <v>161741.96</v>
      </c>
      <c r="L165" s="1080">
        <f>IF(LEN(S165)=5,'3 pr-2'!O166,0)</f>
        <v>24392.16</v>
      </c>
      <c r="M165" s="1080">
        <f>IF(LEN(S165)=5,'3 pr-2'!R166,0)</f>
        <v>0</v>
      </c>
      <c r="N165" s="1080">
        <f>IF(LEN(S165)=5,'3 pr-2'!U166,0)</f>
        <v>0</v>
      </c>
      <c r="O165" s="1080">
        <f>IF(LEN(S165)=5,'3 pr-2'!X166,0)</f>
        <v>0</v>
      </c>
      <c r="P165" s="1080">
        <f>IF(LEN(S165)=5,'3 pr-2'!AA166,0)</f>
        <v>137349.79999999999</v>
      </c>
      <c r="Q165" s="1080">
        <f>IF(LEN(S165)=5,'3 pr-2'!AB166,0)</f>
        <v>0</v>
      </c>
      <c r="R165" s="1124">
        <f>SUM('3 pr-2'!AH166)</f>
        <v>43146</v>
      </c>
      <c r="S165" s="1129">
        <f>IF(SUMIF(Paraiškos!A:A,'ketv. 3'!C165,Paraiškos!H:H)&gt;0,SUMIF(Paraiškos!A:A,'ketv. 3'!C165,Paraiškos!H:H),"–")</f>
        <v>43146</v>
      </c>
      <c r="T165" s="234" t="str">
        <f t="shared" si="78"/>
        <v>–</v>
      </c>
      <c r="U165" s="1461" t="str">
        <f t="shared" si="79"/>
        <v>–</v>
      </c>
    </row>
    <row r="166" spans="1:22" ht="49.5" thickBot="1">
      <c r="A166" s="163" t="str">
        <f>CONCATENATE('3 pr-2'!A167)</f>
        <v>2.1.4.1.6</v>
      </c>
      <c r="B166" s="1123" t="str">
        <f>CONCATENATE('3 pr-2'!B167)</f>
        <v>R01-9920-490000-2416</v>
      </c>
      <c r="C166" s="227" t="str">
        <f>CONCATENATE('ketv. 2'!B166)</f>
        <v/>
      </c>
      <c r="D166" s="164" t="str">
        <f>CONCATENATE('3 pr-2'!D167)</f>
        <v>Teikiamų paslaugų procesų tobulinimas ir asmenų aptarnavimo kokybės gerinimas Alytaus m. sav. administracijoje ir jai pavaldžiose įstaigose. II etapas</v>
      </c>
      <c r="E166" s="164" t="str">
        <f>CONCATENATE('3 pr-2'!E167)</f>
        <v>Alytaus miesto savivaldybės administracija</v>
      </c>
      <c r="F166" s="164" t="str">
        <f>CONCATENATE('3 pr-2'!F167)</f>
        <v>Lietuvos Respublikos vidaus reikalų ministerija</v>
      </c>
      <c r="G166" s="164" t="str">
        <f>CONCATENATE('3 pr-2'!G167)</f>
        <v>Alytaus m. sav.</v>
      </c>
      <c r="H166" s="164" t="str">
        <f>CONCATENATE('3 pr-2'!H167)</f>
        <v>10.1.3-ESFA-R-920</v>
      </c>
      <c r="I166" s="164" t="str">
        <f>CONCATENATE('3 pr-2'!I167)</f>
        <v>R</v>
      </c>
      <c r="J166" s="174" t="str">
        <f>CONCATENATE('3 pr-2'!J167)</f>
        <v>-</v>
      </c>
      <c r="K166" s="1080">
        <f>IF(LEN(S166)=5,'3 pr-2'!L167,0)</f>
        <v>0</v>
      </c>
      <c r="L166" s="1080">
        <f>IF(LEN(S166)=5,'3 pr-2'!O167,0)</f>
        <v>0</v>
      </c>
      <c r="M166" s="1080">
        <f>IF(LEN(S166)=5,'3 pr-2'!R167,0)</f>
        <v>0</v>
      </c>
      <c r="N166" s="1080">
        <f>IF(LEN(S166)=5,'3 pr-2'!U167,0)</f>
        <v>0</v>
      </c>
      <c r="O166" s="1080">
        <f>IF(LEN(S166)=5,'3 pr-2'!X167,0)</f>
        <v>0</v>
      </c>
      <c r="P166" s="1080">
        <f>IF(LEN(S166)=5,'3 pr-2'!AA167,0)</f>
        <v>0</v>
      </c>
      <c r="Q166" s="1080">
        <f>IF(LEN(S166)=5,'3 pr-2'!AB167,0)</f>
        <v>0</v>
      </c>
      <c r="R166" s="1124">
        <f>SUM('3 pr-2'!AH167)</f>
        <v>43524</v>
      </c>
      <c r="S166" s="1129" t="str">
        <f>IF(SUMIF(Paraiškos!A:A,'ketv. 3'!C166,Paraiškos!H:H)&gt;0,SUMIF(Paraiškos!A:A,'ketv. 3'!C166,Paraiškos!H:H),"–")</f>
        <v>–</v>
      </c>
      <c r="T166" s="234" t="str">
        <f t="shared" si="78"/>
        <v>–</v>
      </c>
      <c r="U166" s="1461" t="e">
        <f t="shared" si="79"/>
        <v>#VALUE!</v>
      </c>
    </row>
    <row r="167" spans="1:22" ht="42" customHeight="1" thickBot="1">
      <c r="A167" s="366" t="str">
        <f>CONCATENATE('3 pr-2'!A168)</f>
        <v>3.1.</v>
      </c>
      <c r="B167" s="2092" t="str">
        <f>CONCATENATE('3 pr-2'!B168)</f>
        <v>Tikslas: 
DARNIAI TVARKYTI IR VYSTYTI REGIONO TERITORIJĄ</v>
      </c>
      <c r="C167" s="2086"/>
      <c r="D167" s="2086"/>
      <c r="E167" s="2086"/>
      <c r="F167" s="2086"/>
      <c r="G167" s="2086"/>
      <c r="H167" s="2086"/>
      <c r="I167" s="2086"/>
      <c r="J167" s="2087"/>
      <c r="K167" s="1219">
        <f t="shared" ref="K167:P167" si="80">SUM(K168+K171)</f>
        <v>6549960.737058823</v>
      </c>
      <c r="L167" s="1219">
        <f t="shared" si="80"/>
        <v>362891.41705882351</v>
      </c>
      <c r="M167" s="1219">
        <f t="shared" si="80"/>
        <v>0</v>
      </c>
      <c r="N167" s="1219">
        <f t="shared" si="80"/>
        <v>777879.2799999998</v>
      </c>
      <c r="O167" s="1219">
        <f t="shared" si="80"/>
        <v>0</v>
      </c>
      <c r="P167" s="1219">
        <f t="shared" si="80"/>
        <v>5409190.04</v>
      </c>
      <c r="Q167" s="1219">
        <f t="shared" ref="Q167" si="81">SUM(Q168+Q171)</f>
        <v>0</v>
      </c>
      <c r="R167" s="1115" t="s">
        <v>679</v>
      </c>
      <c r="S167" s="1471" t="s">
        <v>679</v>
      </c>
      <c r="T167" s="1477" t="s">
        <v>679</v>
      </c>
      <c r="U167" s="1464"/>
    </row>
    <row r="168" spans="1:22" ht="32.25" customHeight="1" thickBot="1">
      <c r="A168" s="238" t="str">
        <f>CONCATENATE('3 pr-2'!A169)</f>
        <v>3.1.1.</v>
      </c>
      <c r="B168" s="2085" t="str">
        <f>CONCATENATE('3 pr-2'!B169)</f>
        <v>Uždavinys:
Sumažinti sąvartynuose šalinamų komunalinių atliekų kiekį</v>
      </c>
      <c r="C168" s="2086"/>
      <c r="D168" s="2086"/>
      <c r="E168" s="2086"/>
      <c r="F168" s="2086"/>
      <c r="G168" s="2086"/>
      <c r="H168" s="2086"/>
      <c r="I168" s="2086"/>
      <c r="J168" s="2087"/>
      <c r="K168" s="1158">
        <f t="shared" ref="K168:Q169" si="82">SUM(K169)</f>
        <v>4130687.05</v>
      </c>
      <c r="L168" s="1158">
        <f t="shared" si="82"/>
        <v>0</v>
      </c>
      <c r="M168" s="1158">
        <f t="shared" si="82"/>
        <v>0</v>
      </c>
      <c r="N168" s="1158">
        <f t="shared" si="82"/>
        <v>777879.2799999998</v>
      </c>
      <c r="O168" s="1158">
        <f t="shared" si="82"/>
        <v>0</v>
      </c>
      <c r="P168" s="1158">
        <f t="shared" si="82"/>
        <v>3352807.77</v>
      </c>
      <c r="Q168" s="1158">
        <f t="shared" si="82"/>
        <v>0</v>
      </c>
      <c r="R168" s="1106" t="s">
        <v>679</v>
      </c>
      <c r="S168" s="1106" t="s">
        <v>679</v>
      </c>
      <c r="T168" s="365" t="s">
        <v>679</v>
      </c>
      <c r="U168" s="1473"/>
    </row>
    <row r="169" spans="1:22" ht="33.75" customHeight="1" thickBot="1">
      <c r="A169" s="296" t="str">
        <f>CONCATENATE('3 pr-2'!A170)</f>
        <v>3.1.1.1</v>
      </c>
      <c r="B169" s="2088" t="str">
        <f>CONCATENATE('3 pr-2'!B170)</f>
        <v>Priemonė:
Komunalinių atliekų tvarkymo infrastruktūros plėtra</v>
      </c>
      <c r="C169" s="2089"/>
      <c r="D169" s="2089"/>
      <c r="E169" s="2089"/>
      <c r="F169" s="2089"/>
      <c r="G169" s="2089"/>
      <c r="H169" s="2089"/>
      <c r="I169" s="2089"/>
      <c r="J169" s="2090"/>
      <c r="K169" s="1077">
        <f t="shared" si="82"/>
        <v>4130687.05</v>
      </c>
      <c r="L169" s="1077">
        <f t="shared" si="82"/>
        <v>0</v>
      </c>
      <c r="M169" s="1077">
        <f t="shared" si="82"/>
        <v>0</v>
      </c>
      <c r="N169" s="1077">
        <f t="shared" si="82"/>
        <v>777879.2799999998</v>
      </c>
      <c r="O169" s="1077">
        <f t="shared" si="82"/>
        <v>0</v>
      </c>
      <c r="P169" s="1077">
        <f t="shared" si="82"/>
        <v>3352807.77</v>
      </c>
      <c r="Q169" s="1077">
        <f t="shared" si="82"/>
        <v>0</v>
      </c>
      <c r="R169" s="1108"/>
      <c r="S169" s="1472"/>
      <c r="T169" s="358"/>
      <c r="U169" s="1474"/>
    </row>
    <row r="170" spans="1:22" ht="49.5" thickBot="1">
      <c r="A170" s="163" t="str">
        <f>CONCATENATE('3 pr-2'!A171)</f>
        <v>3.1.1.1.1</v>
      </c>
      <c r="B170" s="1123" t="str">
        <f>CONCATENATE('3 pr-2'!B171)</f>
        <v>R01-0008-050000-3111</v>
      </c>
      <c r="C170" s="227" t="str">
        <f>CONCATENATE('ketv. 2'!B170)</f>
        <v>05.2.1-APVA-R-008-11-0001</v>
      </c>
      <c r="D170" s="164" t="str">
        <f>CONCATENATE('3 pr-2'!D171)</f>
        <v>Komunalinių atliekų tvarkymo infrastruktūros plėtra Alytaus regione</v>
      </c>
      <c r="E170" s="164" t="str">
        <f>CONCATENATE('3 pr-2'!E171)</f>
        <v>Alytaus regiono atliekų tvarkymo centras</v>
      </c>
      <c r="F170" s="164" t="str">
        <f>CONCATENATE('3 pr-2'!F171)</f>
        <v>Lietuvos Respublikos aplinkos ministerija</v>
      </c>
      <c r="G170" s="164" t="str">
        <f>CONCATENATE('3 pr-2'!G171)</f>
        <v>Alytaus regionas</v>
      </c>
      <c r="H170" s="164" t="str">
        <f>CONCATENATE('3 pr-2'!H171)</f>
        <v>05.2.1-APVA-R-008</v>
      </c>
      <c r="I170" s="164" t="str">
        <f>CONCATENATE('3 pr-2'!I171)</f>
        <v>R</v>
      </c>
      <c r="J170" s="174" t="str">
        <f>CONCATENATE('3 pr-2'!J171)</f>
        <v>-</v>
      </c>
      <c r="K170" s="1080">
        <f>IF(LEN(S170)=5,'3 pr-2'!L171,0)</f>
        <v>4130687.05</v>
      </c>
      <c r="L170" s="1080">
        <f>IF(LEN(S170)=5,'3 pr-2'!O171,0)</f>
        <v>0</v>
      </c>
      <c r="M170" s="1080">
        <f>IF(LEN(S170)=5,'3 pr-2'!R171,0)</f>
        <v>0</v>
      </c>
      <c r="N170" s="1080">
        <f>IF(LEN(S170)=5,'3 pr-2'!U171,0)</f>
        <v>777879.2799999998</v>
      </c>
      <c r="O170" s="1080">
        <f>IF(LEN(S170)=5,'3 pr-2'!X171,0)</f>
        <v>0</v>
      </c>
      <c r="P170" s="1080">
        <f>IF(LEN(S170)=5,'3 pr-2'!AA171,0)</f>
        <v>3352807.77</v>
      </c>
      <c r="Q170" s="1080">
        <f>IF(LEN(S170)=5,'3 pr-2'!AB171,0)</f>
        <v>0</v>
      </c>
      <c r="R170" s="1124">
        <f>SUM('3 pr-2'!AH171)</f>
        <v>42916</v>
      </c>
      <c r="S170" s="1129">
        <f>IF(SUMIF(Paraiškos!A:A,'ketv. 3'!C170,Paraiškos!H:H)&gt;0,SUMIF(Paraiškos!A:A,'ketv. 3'!C170,Paraiškos!H:H),"–")</f>
        <v>42832</v>
      </c>
      <c r="T170" s="1478" t="str">
        <f>IF(ISERROR(U170),"–",IF(U170&gt;0,"–",U170))</f>
        <v>–</v>
      </c>
      <c r="U170" s="1475" t="str">
        <f t="shared" ref="U170" si="83">IF(R170-S170&lt;0,(R170-S170)/30.4166666666667,"–")</f>
        <v>–</v>
      </c>
    </row>
    <row r="171" spans="1:22" ht="39.75" customHeight="1" thickBot="1">
      <c r="A171" s="238" t="str">
        <f>CONCATENATE('3 pr-2'!A172)</f>
        <v>3.1.2.</v>
      </c>
      <c r="B171" s="2085" t="str">
        <f>CONCATENATE('3 pr-2'!B172)</f>
        <v>Uždavinys:
Kraštovaizdžio apsauga, planavimas ir tvarkymas</v>
      </c>
      <c r="C171" s="2086"/>
      <c r="D171" s="2086"/>
      <c r="E171" s="2086"/>
      <c r="F171" s="2086"/>
      <c r="G171" s="2086"/>
      <c r="H171" s="2086"/>
      <c r="I171" s="2086"/>
      <c r="J171" s="2087"/>
      <c r="K171" s="1158">
        <f t="shared" ref="K171:Q171" si="84">SUM(K172)</f>
        <v>2419273.6870588232</v>
      </c>
      <c r="L171" s="1158">
        <f t="shared" si="84"/>
        <v>362891.41705882351</v>
      </c>
      <c r="M171" s="1158">
        <f t="shared" si="84"/>
        <v>0</v>
      </c>
      <c r="N171" s="1158">
        <f t="shared" si="84"/>
        <v>0</v>
      </c>
      <c r="O171" s="1158">
        <f t="shared" si="84"/>
        <v>0</v>
      </c>
      <c r="P171" s="1158">
        <f t="shared" si="84"/>
        <v>2056382.27</v>
      </c>
      <c r="Q171" s="1158">
        <f t="shared" si="84"/>
        <v>0</v>
      </c>
      <c r="R171" s="1106" t="s">
        <v>679</v>
      </c>
      <c r="S171" s="1106" t="s">
        <v>679</v>
      </c>
      <c r="T171" s="365" t="s">
        <v>679</v>
      </c>
      <c r="U171" s="1473"/>
    </row>
    <row r="172" spans="1:22" ht="33.75" customHeight="1" thickBot="1">
      <c r="A172" s="296" t="str">
        <f>CONCATENATE('3 pr-2'!A173)</f>
        <v>3.1.2.1</v>
      </c>
      <c r="B172" s="2088" t="str">
        <f>CONCATENATE('3 pr-2'!B173)</f>
        <v>Priemonė:
Kraštovaizdžio apsauga/plėtra</v>
      </c>
      <c r="C172" s="2089"/>
      <c r="D172" s="2089"/>
      <c r="E172" s="2089"/>
      <c r="F172" s="2089"/>
      <c r="G172" s="2089"/>
      <c r="H172" s="2089"/>
      <c r="I172" s="2089"/>
      <c r="J172" s="2090"/>
      <c r="K172" s="1077">
        <f t="shared" ref="K172:P172" si="85">SUM(K173:K180)</f>
        <v>2419273.6870588232</v>
      </c>
      <c r="L172" s="1077">
        <f t="shared" si="85"/>
        <v>362891.41705882351</v>
      </c>
      <c r="M172" s="1077">
        <f t="shared" si="85"/>
        <v>0</v>
      </c>
      <c r="N172" s="1077">
        <f t="shared" si="85"/>
        <v>0</v>
      </c>
      <c r="O172" s="1077">
        <f t="shared" si="85"/>
        <v>0</v>
      </c>
      <c r="P172" s="1077">
        <f t="shared" si="85"/>
        <v>2056382.27</v>
      </c>
      <c r="Q172" s="1077">
        <f t="shared" ref="Q172" si="86">SUM(Q173:Q180)</f>
        <v>0</v>
      </c>
      <c r="R172" s="1108"/>
      <c r="S172" s="1472"/>
      <c r="T172" s="358"/>
      <c r="U172" s="1474"/>
    </row>
    <row r="173" spans="1:22" ht="49.5" thickBot="1">
      <c r="A173" s="221" t="str">
        <f>CONCATENATE('3 pr-2'!A174)</f>
        <v>3.1.2.1.1</v>
      </c>
      <c r="B173" s="1123" t="str">
        <f>CONCATENATE('3 pr-2'!B174)</f>
        <v>R01-0019-380000-3211</v>
      </c>
      <c r="C173" s="361" t="str">
        <f>CONCATENATE('ketv. 2'!B173)</f>
        <v>05.5.1-APVA-R-019-11-0002</v>
      </c>
      <c r="D173" s="221" t="str">
        <f>CONCATENATE('3 pr-2'!D174)</f>
        <v>Kraštovaizdžio formavimas ir tvarkymas Varėnos r. savivaldybėje (I etapas)</v>
      </c>
      <c r="E173" s="221" t="str">
        <f>CONCATENATE('3 pr-2'!E174)</f>
        <v>Varėnos rajono savivaldybės administracija</v>
      </c>
      <c r="F173" s="221" t="str">
        <f>CONCATENATE('3 pr-2'!F174)</f>
        <v>Lietuvos Respublikos aplinkos ministerija</v>
      </c>
      <c r="G173" s="221" t="str">
        <f>CONCATENATE('3 pr-2'!G174)</f>
        <v>Varėnos r. sav.</v>
      </c>
      <c r="H173" s="221" t="str">
        <f>CONCATENATE('3 pr-2'!H174)</f>
        <v>05.5.1-APVA-R-019</v>
      </c>
      <c r="I173" s="221" t="str">
        <f>CONCATENATE('3 pr-2'!I174)</f>
        <v>R</v>
      </c>
      <c r="J173" s="221" t="str">
        <f>CONCATENATE('3 pr-2'!J174)</f>
        <v>-</v>
      </c>
      <c r="K173" s="1080">
        <f>IF(LEN(S173)=5,'3 pr-2'!L174,0)</f>
        <v>309522</v>
      </c>
      <c r="L173" s="1080">
        <f>IF(LEN(S173)=5,'3 pr-2'!O174,0)</f>
        <v>46428.3</v>
      </c>
      <c r="M173" s="1080">
        <f>IF(LEN(S173)=5,'3 pr-2'!R174,0)</f>
        <v>0</v>
      </c>
      <c r="N173" s="1080">
        <f>IF(LEN(S173)=5,'3 pr-2'!U174,0)</f>
        <v>0</v>
      </c>
      <c r="O173" s="1080">
        <f>IF(LEN(S173)=5,'3 pr-2'!X174,0)</f>
        <v>0</v>
      </c>
      <c r="P173" s="1080">
        <f>IF(LEN(S173)=5,'3 pr-2'!AA174,0)</f>
        <v>263093.7</v>
      </c>
      <c r="Q173" s="1080">
        <f>IF(LEN(S173)=5,'3 pr-2'!AB174,0)</f>
        <v>0</v>
      </c>
      <c r="R173" s="1132">
        <f>SUM('3 pr-2'!AH174)</f>
        <v>42795</v>
      </c>
      <c r="S173" s="1129">
        <f>IF(SUMIF(Paraiškos!A:A,'ketv. 3'!C173,Paraiškos!H:H)&gt;0,SUMIF(Paraiškos!A:A,'ketv. 3'!C173,Paraiškos!H:H),"–")</f>
        <v>42797</v>
      </c>
      <c r="T173" s="1478">
        <f t="shared" ref="T173:T180" si="87">IF(ISERROR(U173),"–",IF(U173&gt;0,"–",U173))</f>
        <v>-6.5753424657534171E-2</v>
      </c>
      <c r="U173" s="1476">
        <f t="shared" ref="U173:U180" si="88">IF(R173-S173&lt;0,(R173-S173)/30.4166666666667,"–")</f>
        <v>-6.5753424657534171E-2</v>
      </c>
    </row>
    <row r="174" spans="1:22" ht="49.5" thickBot="1">
      <c r="A174" s="164" t="str">
        <f>CONCATENATE('3 pr-2'!A175)</f>
        <v>3.1.2.1.2</v>
      </c>
      <c r="B174" s="1123" t="str">
        <f>CONCATENATE('3 pr-2'!B175)</f>
        <v>R01-0019-380000-3212</v>
      </c>
      <c r="C174" s="281" t="str">
        <f>CONCATENATE('ketv. 2'!B174)</f>
        <v>05.5.1-APVA-R-019-11-0007</v>
      </c>
      <c r="D174" s="164" t="str">
        <f>CONCATENATE('3 pr-2'!D175)</f>
        <v>Kraštovaizdžio formavimas ir tvarkymas Varėnos r. savivaldybėje (II etapas)</v>
      </c>
      <c r="E174" s="164" t="str">
        <f>CONCATENATE('3 pr-2'!E175)</f>
        <v>Varėnos rajono savivaldybės administracija</v>
      </c>
      <c r="F174" s="164" t="str">
        <f>CONCATENATE('3 pr-2'!F175)</f>
        <v>Lietuvos Respublikos aplinkos ministerija</v>
      </c>
      <c r="G174" s="164" t="str">
        <f>CONCATENATE('3 pr-2'!G175)</f>
        <v>Varėnos r. sav.</v>
      </c>
      <c r="H174" s="164" t="str">
        <f>CONCATENATE('3 pr-2'!H175)</f>
        <v>05.5.1-APVA-R-019</v>
      </c>
      <c r="I174" s="164" t="str">
        <f>CONCATENATE('3 pr-2'!I175)</f>
        <v>R</v>
      </c>
      <c r="J174" s="164" t="str">
        <f>CONCATENATE('3 pr-2'!J175)</f>
        <v>-</v>
      </c>
      <c r="K174" s="1080">
        <f>IF(LEN(S174)=5,'3 pr-2'!L175,0)</f>
        <v>554211</v>
      </c>
      <c r="L174" s="1080">
        <f>IF(LEN(S174)=5,'3 pr-2'!O175,0)</f>
        <v>83132</v>
      </c>
      <c r="M174" s="1080">
        <f>IF(LEN(S174)=5,'3 pr-2'!R175,0)</f>
        <v>0</v>
      </c>
      <c r="N174" s="1080">
        <f>IF(LEN(S174)=5,'3 pr-2'!U175,0)</f>
        <v>0</v>
      </c>
      <c r="O174" s="1080">
        <f>IF(LEN(S174)=5,'3 pr-2'!X175,0)</f>
        <v>0</v>
      </c>
      <c r="P174" s="1080">
        <f>IF(LEN(S174)=5,'3 pr-2'!AA175,0)</f>
        <v>471079</v>
      </c>
      <c r="Q174" s="1080">
        <f>IF(LEN(S174)=5,'3 pr-2'!AB175,0)</f>
        <v>0</v>
      </c>
      <c r="R174" s="1104">
        <f>SUM('3 pr-2'!AH175)</f>
        <v>43465</v>
      </c>
      <c r="S174" s="1129">
        <f>IF(SUMIF(Paraiškos!A:A,'ketv. 3'!C174,Paraiškos!H:H)&gt;0,SUMIF(Paraiškos!A:A,'ketv. 3'!C174,Paraiškos!H:H),"–")</f>
        <v>43465</v>
      </c>
      <c r="T174" s="1478" t="str">
        <f t="shared" si="87"/>
        <v>–</v>
      </c>
      <c r="U174" s="1476" t="str">
        <f t="shared" si="88"/>
        <v>–</v>
      </c>
    </row>
    <row r="175" spans="1:22" ht="49.5" thickBot="1">
      <c r="A175" s="164" t="str">
        <f>CONCATENATE('3 pr-2'!A176)</f>
        <v>3.1.2.1.3</v>
      </c>
      <c r="B175" s="1123" t="str">
        <f>CONCATENATE('3 pr-2'!B176)</f>
        <v>R01-0019-380000-3213</v>
      </c>
      <c r="C175" s="281" t="str">
        <f>CONCATENATE('ketv. 2'!B175)</f>
        <v>05.5.1-APVA-R-019-11-0001</v>
      </c>
      <c r="D175" s="164" t="str">
        <f>CONCATENATE('3 pr-2'!D176)</f>
        <v>Bešeimininkių apleistų pastatų ir įrenginių tvarkymas Alytaus rajono savivaldybėje</v>
      </c>
      <c r="E175" s="164" t="str">
        <f>CONCATENATE('3 pr-2'!E176)</f>
        <v>Alytaus rajono savivaldybės administracija</v>
      </c>
      <c r="F175" s="164" t="str">
        <f>CONCATENATE('3 pr-2'!F176)</f>
        <v>Lietuvos Respublikos aplinkos ministerija</v>
      </c>
      <c r="G175" s="164" t="str">
        <f>CONCATENATE('3 pr-2'!G176)</f>
        <v>Alytaus r. sav.</v>
      </c>
      <c r="H175" s="164" t="str">
        <f>CONCATENATE('3 pr-2'!H176)</f>
        <v>05.5.1-APVA-R-019</v>
      </c>
      <c r="I175" s="164" t="str">
        <f>CONCATENATE('3 pr-2'!I176)</f>
        <v>R</v>
      </c>
      <c r="J175" s="164" t="str">
        <f>CONCATENATE('3 pr-2'!J176)</f>
        <v/>
      </c>
      <c r="K175" s="1080">
        <f>IF(LEN(S175)=5,'3 pr-2'!L176,0)</f>
        <v>101765.7</v>
      </c>
      <c r="L175" s="1080">
        <f>IF(LEN(S175)=5,'3 pr-2'!O176,0)</f>
        <v>15264.9</v>
      </c>
      <c r="M175" s="1080">
        <f>IF(LEN(S175)=5,'3 pr-2'!R176,0)</f>
        <v>0</v>
      </c>
      <c r="N175" s="1080">
        <f>IF(LEN(S175)=5,'3 pr-2'!U176,0)</f>
        <v>0</v>
      </c>
      <c r="O175" s="1080">
        <f>IF(LEN(S175)=5,'3 pr-2'!X176,0)</f>
        <v>0</v>
      </c>
      <c r="P175" s="1080">
        <f>IF(LEN(S175)=5,'3 pr-2'!AA176,0)</f>
        <v>86500.800000000003</v>
      </c>
      <c r="Q175" s="1080">
        <f>IF(LEN(S175)=5,'3 pr-2'!AB176,0)</f>
        <v>0</v>
      </c>
      <c r="R175" s="1104">
        <f>SUM('3 pr-2'!AH176)</f>
        <v>42767</v>
      </c>
      <c r="S175" s="1129">
        <f>IF(SUMIF(Paraiškos!A:A,'ketv. 3'!C175,Paraiškos!H:H)&gt;0,SUMIF(Paraiškos!A:A,'ketv. 3'!C175,Paraiškos!H:H),"–")</f>
        <v>42769</v>
      </c>
      <c r="T175" s="1478">
        <f t="shared" si="87"/>
        <v>-6.5753424657534171E-2</v>
      </c>
      <c r="U175" s="1476">
        <f t="shared" si="88"/>
        <v>-6.5753424657534171E-2</v>
      </c>
    </row>
    <row r="176" spans="1:22" ht="49.5" thickBot="1">
      <c r="A176" s="164" t="str">
        <f>CONCATENATE('3 pr-2'!A177)</f>
        <v>3.1.2.1.4</v>
      </c>
      <c r="B176" s="1123" t="str">
        <f>CONCATENATE('3 pr-2'!B177)</f>
        <v>R01-0019-380000-3214</v>
      </c>
      <c r="C176" s="281" t="str">
        <f>CONCATENATE('ketv. 2'!B176)</f>
        <v>05.5.1-APVA-R-019-11-0004</v>
      </c>
      <c r="D176" s="164" t="str">
        <f>CONCATENATE('3 pr-2'!D177)</f>
        <v>Alytaus miesto bendrojo plano korektūra zonuojant kraštovaizdžio struktūrą, nustatant reglamentus ir principus</v>
      </c>
      <c r="E176" s="164" t="str">
        <f>CONCATENATE('3 pr-2'!E177)</f>
        <v>Alytaus miesto savivaldybės administracija</v>
      </c>
      <c r="F176" s="164" t="str">
        <f>CONCATENATE('3 pr-2'!F177)</f>
        <v>Lietuvos Respublikos aplinkos ministerija</v>
      </c>
      <c r="G176" s="164" t="str">
        <f>CONCATENATE('3 pr-2'!G177)</f>
        <v>Alytaus m. sav.</v>
      </c>
      <c r="H176" s="164" t="str">
        <f>CONCATENATE('3 pr-2'!H177)</f>
        <v>05.5.1-APVA-R-019</v>
      </c>
      <c r="I176" s="164" t="str">
        <f>CONCATENATE('3 pr-2'!I177)</f>
        <v>R</v>
      </c>
      <c r="J176" s="164" t="str">
        <f>CONCATENATE('3 pr-2'!J177)</f>
        <v/>
      </c>
      <c r="K176" s="1080">
        <f>IF(LEN(S176)=5,'3 pr-2'!L177,0)</f>
        <v>3993</v>
      </c>
      <c r="L176" s="1080">
        <f>IF(LEN(S176)=5,'3 pr-2'!O177,0)</f>
        <v>598.95000000000005</v>
      </c>
      <c r="M176" s="1080">
        <f>IF(LEN(S176)=5,'3 pr-2'!R177,0)</f>
        <v>0</v>
      </c>
      <c r="N176" s="1080">
        <f>IF(LEN(S176)=5,'3 pr-2'!U177,0)</f>
        <v>0</v>
      </c>
      <c r="O176" s="1080">
        <f>IF(LEN(S176)=5,'3 pr-2'!X177,0)</f>
        <v>0</v>
      </c>
      <c r="P176" s="1080">
        <f>IF(LEN(S176)=5,'3 pr-2'!AA177,0)</f>
        <v>3394.05</v>
      </c>
      <c r="Q176" s="1080">
        <f>IF(LEN(S176)=5,'3 pr-2'!AB177,0)</f>
        <v>0</v>
      </c>
      <c r="R176" s="1104">
        <f>SUM('3 pr-2'!AH177)</f>
        <v>42874</v>
      </c>
      <c r="S176" s="1129">
        <f>IF(SUMIF(Paraiškos!A:A,'ketv. 3'!C176,Paraiškos!H:H)&gt;0,SUMIF(Paraiškos!A:A,'ketv. 3'!C176,Paraiškos!H:H),"–")</f>
        <v>42867</v>
      </c>
      <c r="T176" s="1478" t="str">
        <f t="shared" si="87"/>
        <v>–</v>
      </c>
      <c r="U176" s="1476" t="str">
        <f t="shared" si="88"/>
        <v>–</v>
      </c>
    </row>
    <row r="177" spans="1:21" ht="49.5" thickBot="1">
      <c r="A177" s="164" t="str">
        <f>CONCATENATE('3 pr-2'!A178)</f>
        <v>3.1.2.1.5</v>
      </c>
      <c r="B177" s="1123" t="str">
        <f>CONCATENATE('3 pr-2'!B178)</f>
        <v>R01-0019-380000-3215</v>
      </c>
      <c r="C177" s="281" t="str">
        <f>CONCATENATE('ketv. 2'!B177)</f>
        <v>05.5.1-APVA-R-019-11-0005</v>
      </c>
      <c r="D177" s="164" t="str">
        <f>CONCATENATE('3 pr-2'!D178)</f>
        <v>Bešeimininkių apleistų pastatų Druskininkų savivaldybės teritorijoje likvidavimas</v>
      </c>
      <c r="E177" s="164" t="str">
        <f>CONCATENATE('3 pr-2'!E178)</f>
        <v>Druskininkų savivaldybės administracija</v>
      </c>
      <c r="F177" s="164" t="str">
        <f>CONCATENATE('3 pr-2'!F178)</f>
        <v>Lietuvos Respublikos aplinkos ministerija</v>
      </c>
      <c r="G177" s="164" t="str">
        <f>CONCATENATE('3 pr-2'!G178)</f>
        <v>Druskininkų sav.</v>
      </c>
      <c r="H177" s="164" t="str">
        <f>CONCATENATE('3 pr-2'!H178)</f>
        <v>05.5.1-APVA-R-019</v>
      </c>
      <c r="I177" s="164" t="str">
        <f>CONCATENATE('3 pr-2'!I178)</f>
        <v>R</v>
      </c>
      <c r="J177" s="164" t="str">
        <f>CONCATENATE('3 pr-2'!J178)</f>
        <v>-</v>
      </c>
      <c r="K177" s="1080">
        <f>IF(LEN(S177)=5,'3 pr-2'!L178,0)</f>
        <v>121153.53</v>
      </c>
      <c r="L177" s="1080">
        <f>IF(LEN(S177)=5,'3 pr-2'!O178,0)</f>
        <v>18173.009999999998</v>
      </c>
      <c r="M177" s="1080">
        <f>IF(LEN(S177)=5,'3 pr-2'!R178,0)</f>
        <v>0</v>
      </c>
      <c r="N177" s="1080">
        <f>IF(LEN(S177)=5,'3 pr-2'!U178,0)</f>
        <v>0</v>
      </c>
      <c r="O177" s="1080">
        <f>IF(LEN(S177)=5,'3 pr-2'!X178,0)</f>
        <v>0</v>
      </c>
      <c r="P177" s="1080">
        <f>IF(LEN(S177)=5,'3 pr-2'!AA178,0)</f>
        <v>102980.52</v>
      </c>
      <c r="Q177" s="1080">
        <f>IF(LEN(S177)=5,'3 pr-2'!AB178,0)</f>
        <v>0</v>
      </c>
      <c r="R177" s="1104">
        <f>SUM('3 pr-2'!AH178)</f>
        <v>42887</v>
      </c>
      <c r="S177" s="1129">
        <f>IF(SUMIF(Paraiškos!A:A,'ketv. 3'!C177,Paraiškos!H:H)&gt;0,SUMIF(Paraiškos!A:A,'ketv. 3'!C177,Paraiškos!H:H),"–")</f>
        <v>42887</v>
      </c>
      <c r="T177" s="1478" t="str">
        <f t="shared" si="87"/>
        <v>–</v>
      </c>
      <c r="U177" s="1476" t="str">
        <f t="shared" si="88"/>
        <v>–</v>
      </c>
    </row>
    <row r="178" spans="1:21" ht="49.5" thickBot="1">
      <c r="A178" s="164" t="str">
        <f>CONCATENATE('3 pr-2'!A179)</f>
        <v>3.1.2.1.6</v>
      </c>
      <c r="B178" s="1123" t="str">
        <f>CONCATENATE('3 pr-2'!B179)</f>
        <v>R01-0019-380000-3216</v>
      </c>
      <c r="C178" s="281" t="str">
        <f>CONCATENATE('ketv. 2'!B178)</f>
        <v>05.5.1-APVA-R-019-11-0003</v>
      </c>
      <c r="D178" s="164" t="str">
        <f>CONCATENATE('3 pr-2'!D179)</f>
        <v>Kraštovaizdžio formavimas Lazdijų rajono savivaldybėje</v>
      </c>
      <c r="E178" s="164" t="str">
        <f>CONCATENATE('3 pr-2'!E179)</f>
        <v>Lazdijų rajono savivaldybės administracija</v>
      </c>
      <c r="F178" s="164" t="str">
        <f>CONCATENATE('3 pr-2'!F179)</f>
        <v>Lietuvos Respublikos aplinkos ministerija</v>
      </c>
      <c r="G178" s="164" t="str">
        <f>CONCATENATE('3 pr-2'!G179)</f>
        <v>Lazdijų r. sav.</v>
      </c>
      <c r="H178" s="164" t="str">
        <f>CONCATENATE('3 pr-2'!H179)</f>
        <v>05.5.1-APVA-R-019</v>
      </c>
      <c r="I178" s="164" t="str">
        <f>CONCATENATE('3 pr-2'!I179)</f>
        <v>R</v>
      </c>
      <c r="J178" s="164" t="str">
        <f>CONCATENATE('3 pr-2'!J179)</f>
        <v>-</v>
      </c>
      <c r="K178" s="1080">
        <f>IF(LEN(S178)=5,'3 pr-2'!L179,0)</f>
        <v>442298.58999999997</v>
      </c>
      <c r="L178" s="1080">
        <f>IF(LEN(S178)=5,'3 pr-2'!O179,0)</f>
        <v>66344.78</v>
      </c>
      <c r="M178" s="1080">
        <f>IF(LEN(S178)=5,'3 pr-2'!R179,0)</f>
        <v>0</v>
      </c>
      <c r="N178" s="1080">
        <f>IF(LEN(S178)=5,'3 pr-2'!U179,0)</f>
        <v>0</v>
      </c>
      <c r="O178" s="1080">
        <f>IF(LEN(S178)=5,'3 pr-2'!X179,0)</f>
        <v>0</v>
      </c>
      <c r="P178" s="1080">
        <f>IF(LEN(S178)=5,'3 pr-2'!AA179,0)</f>
        <v>375953.81</v>
      </c>
      <c r="Q178" s="1080">
        <f>IF(LEN(S178)=5,'3 pr-2'!AB179,0)</f>
        <v>0</v>
      </c>
      <c r="R178" s="1104">
        <f>SUM('3 pr-2'!AH179)</f>
        <v>42825</v>
      </c>
      <c r="S178" s="1129">
        <f>IF(SUMIF(Paraiškos!A:A,'ketv. 3'!C178,Paraiškos!H:H)&gt;0,SUMIF(Paraiškos!A:A,'ketv. 3'!C178,Paraiškos!H:H),"–")</f>
        <v>42825</v>
      </c>
      <c r="T178" s="1478" t="str">
        <f t="shared" si="87"/>
        <v>–</v>
      </c>
      <c r="U178" s="1476" t="str">
        <f t="shared" si="88"/>
        <v>–</v>
      </c>
    </row>
    <row r="179" spans="1:21" ht="49.5" thickBot="1">
      <c r="A179" s="164" t="str">
        <f>CONCATENATE('3 pr-2'!A180)</f>
        <v>3.1.2.1.7</v>
      </c>
      <c r="B179" s="1123" t="str">
        <f>CONCATENATE('3 pr-2'!B180)</f>
        <v>R01-0019-283800-3217</v>
      </c>
      <c r="C179" s="281" t="str">
        <f>CONCATENATE('ketv. 2'!B179)</f>
        <v>05.5.1-APVA-R-019-11-0008</v>
      </c>
      <c r="D179" s="164" t="str">
        <f>CONCATENATE('3 pr-2'!D180)</f>
        <v>Kraštovaizdžio formavimas Lazdijų rajono savivaldybėje (II etapas)</v>
      </c>
      <c r="E179" s="164" t="str">
        <f>CONCATENATE('3 pr-2'!E180)</f>
        <v>Lazdijų rajono savivaldybės administracija</v>
      </c>
      <c r="F179" s="164" t="str">
        <f>CONCATENATE('3 pr-2'!F180)</f>
        <v>Lietuvos Respublikos aplinkos ministerija</v>
      </c>
      <c r="G179" s="164" t="str">
        <f>CONCATENATE('3 pr-2'!G180)</f>
        <v>Lazdijų r. sav.</v>
      </c>
      <c r="H179" s="164" t="str">
        <f>CONCATENATE('3 pr-2'!H180)</f>
        <v>05.5.1-APVA-R-019</v>
      </c>
      <c r="I179" s="164" t="str">
        <f>CONCATENATE('3 pr-2'!I180)</f>
        <v>R</v>
      </c>
      <c r="J179" s="164" t="str">
        <f>CONCATENATE('3 pr-2'!J180)</f>
        <v>-</v>
      </c>
      <c r="K179" s="1080">
        <f>IF(LEN(S179)=5,'3 pr-2'!L180,0)</f>
        <v>149792.22</v>
      </c>
      <c r="L179" s="1080">
        <f>IF(LEN(S179)=5,'3 pr-2'!O180,0)</f>
        <v>22468.83</v>
      </c>
      <c r="M179" s="1080">
        <f>IF(LEN(S179)=5,'3 pr-2'!R180,0)</f>
        <v>0</v>
      </c>
      <c r="N179" s="1080">
        <f>IF(LEN(S179)=5,'3 pr-2'!U180,0)</f>
        <v>0</v>
      </c>
      <c r="O179" s="1080">
        <f>IF(LEN(S179)=5,'3 pr-2'!X180,0)</f>
        <v>0</v>
      </c>
      <c r="P179" s="1080">
        <f>IF(LEN(S179)=5,'3 pr-2'!AA180,0)</f>
        <v>127323.39</v>
      </c>
      <c r="Q179" s="1080">
        <f>IF(LEN(S179)=5,'3 pr-2'!AB180,0)</f>
        <v>0</v>
      </c>
      <c r="R179" s="1104">
        <f>SUM('3 pr-2'!AH180)</f>
        <v>43495</v>
      </c>
      <c r="S179" s="1129">
        <f>IF(SUMIF(Paraiškos!A:A,'ketv. 3'!C179,Paraiškos!H:H)&gt;0,SUMIF(Paraiškos!A:A,'ketv. 3'!C179,Paraiškos!H:H),"–")</f>
        <v>43495</v>
      </c>
      <c r="T179" s="1478" t="str">
        <f t="shared" si="87"/>
        <v>–</v>
      </c>
      <c r="U179" s="1476" t="str">
        <f t="shared" si="88"/>
        <v>–</v>
      </c>
    </row>
    <row r="180" spans="1:21" ht="49.5" thickBot="1">
      <c r="A180" s="164" t="str">
        <f>CONCATENATE('3 pr-2'!A181)</f>
        <v>3.1.2.1.8</v>
      </c>
      <c r="B180" s="1123" t="str">
        <f>CONCATENATE('3 pr-2'!B181)</f>
        <v>R01-0019-380000-3218</v>
      </c>
      <c r="C180" s="281" t="str">
        <f>CONCATENATE('ketv. 2'!B180)</f>
        <v>05.5.1-APVA-R-019-11-0006</v>
      </c>
      <c r="D180" s="164" t="str">
        <f>CONCATENATE('3 pr-2'!D181)</f>
        <v>Bešeimininkių apleistų pastatų ir įrenginių tvarkymas Alytaus rajono savivaldybėje (II etapas)</v>
      </c>
      <c r="E180" s="164" t="str">
        <f>CONCATENATE('3 pr-2'!E181)</f>
        <v>Alytaus rajono savivaldybės administracija</v>
      </c>
      <c r="F180" s="164" t="str">
        <f>CONCATENATE('3 pr-2'!F181)</f>
        <v>Lietuvos Respublikos aplinkos ministerija</v>
      </c>
      <c r="G180" s="164" t="str">
        <f>CONCATENATE('3 pr-2'!G181)</f>
        <v>Alytaus r. sav.</v>
      </c>
      <c r="H180" s="164" t="str">
        <f>CONCATENATE('3 pr-2'!H181)</f>
        <v>05.5.1-APVA-R-019</v>
      </c>
      <c r="I180" s="164" t="str">
        <f>CONCATENATE('3 pr-2'!I181)</f>
        <v>R</v>
      </c>
      <c r="J180" s="164" t="str">
        <f>CONCATENATE('3 pr-2'!J181)</f>
        <v>-</v>
      </c>
      <c r="K180" s="1080">
        <f>IF(LEN(S180)=5,'3 pr-2'!L181,0)</f>
        <v>736537.6470588235</v>
      </c>
      <c r="L180" s="1080">
        <f>IF(LEN(S180)=5,'3 pr-2'!O181,0)</f>
        <v>110480.64705882352</v>
      </c>
      <c r="M180" s="1080">
        <f>IF(LEN(S180)=5,'3 pr-2'!R181,0)</f>
        <v>0</v>
      </c>
      <c r="N180" s="1080">
        <f>IF(LEN(S180)=5,'3 pr-2'!U181,0)</f>
        <v>0</v>
      </c>
      <c r="O180" s="1080">
        <f>IF(LEN(S180)=5,'3 pr-2'!X181,0)</f>
        <v>0</v>
      </c>
      <c r="P180" s="1080">
        <f>IF(LEN(S180)=5,'3 pr-2'!AA181,0)</f>
        <v>626057</v>
      </c>
      <c r="Q180" s="1080">
        <f>IF(LEN(S180)=5,'3 pr-2'!AB181,0)</f>
        <v>0</v>
      </c>
      <c r="R180" s="1104">
        <f>SUM('3 pr-2'!AH181)</f>
        <v>43222</v>
      </c>
      <c r="S180" s="1129">
        <f>IF(SUMIF(Paraiškos!A:A,'ketv. 3'!C180,Paraiškos!H:H)&gt;0,SUMIF(Paraiškos!A:A,'ketv. 3'!C180,Paraiškos!H:H),"–")</f>
        <v>43320</v>
      </c>
      <c r="T180" s="1479">
        <f t="shared" si="87"/>
        <v>-3.2219178082191746</v>
      </c>
      <c r="U180" s="1476">
        <f t="shared" si="88"/>
        <v>-3.2219178082191746</v>
      </c>
    </row>
    <row r="181" spans="1:21" hidden="1">
      <c r="K181" s="1258">
        <f>SUM(K6+K99+K167)</f>
        <v>63702953.154117636</v>
      </c>
      <c r="L181" s="1258">
        <f t="shared" ref="L181:Q181" si="89">SUM(L6+L99+L167)</f>
        <v>7337446.2541176472</v>
      </c>
      <c r="M181" s="1258">
        <f t="shared" ca="1" si="89"/>
        <v>1133920.1100000001</v>
      </c>
      <c r="N181" s="1258">
        <f t="shared" si="89"/>
        <v>9287081.4100000001</v>
      </c>
      <c r="O181" s="1258">
        <f t="shared" si="89"/>
        <v>416360.77</v>
      </c>
      <c r="P181" s="1258">
        <f t="shared" si="89"/>
        <v>46240482.789999999</v>
      </c>
      <c r="Q181" s="233">
        <f t="shared" si="89"/>
        <v>0</v>
      </c>
    </row>
    <row r="182" spans="1:21" ht="15.75">
      <c r="B182" s="1101" t="s">
        <v>1789</v>
      </c>
    </row>
    <row r="184" spans="1:21">
      <c r="M184" s="233"/>
    </row>
  </sheetData>
  <autoFilter ref="A5:U182" xr:uid="{00000000-0009-0000-0000-000017000000}"/>
  <mergeCells count="39">
    <mergeCell ref="B147:J147"/>
    <mergeCell ref="B153:J153"/>
    <mergeCell ref="B160:J160"/>
    <mergeCell ref="B169:J169"/>
    <mergeCell ref="B172:J172"/>
    <mergeCell ref="B167:J167"/>
    <mergeCell ref="B107:J107"/>
    <mergeCell ref="B113:J113"/>
    <mergeCell ref="B120:J120"/>
    <mergeCell ref="B134:J134"/>
    <mergeCell ref="B140:J140"/>
    <mergeCell ref="B119:J119"/>
    <mergeCell ref="B146:J146"/>
    <mergeCell ref="B159:J159"/>
    <mergeCell ref="B168:J168"/>
    <mergeCell ref="B171:J171"/>
    <mergeCell ref="B32:J32"/>
    <mergeCell ref="B38:J38"/>
    <mergeCell ref="B45:J45"/>
    <mergeCell ref="B49:J49"/>
    <mergeCell ref="B55:J55"/>
    <mergeCell ref="B57:J57"/>
    <mergeCell ref="B61:J61"/>
    <mergeCell ref="B66:J66"/>
    <mergeCell ref="B73:J73"/>
    <mergeCell ref="B78:J78"/>
    <mergeCell ref="B85:J85"/>
    <mergeCell ref="B91:J91"/>
    <mergeCell ref="B99:J99"/>
    <mergeCell ref="B100:J100"/>
    <mergeCell ref="B72:J72"/>
    <mergeCell ref="B101:J101"/>
    <mergeCell ref="R2:U2"/>
    <mergeCell ref="B8:J8"/>
    <mergeCell ref="A1:L1"/>
    <mergeCell ref="A2:J2"/>
    <mergeCell ref="K2:Q2"/>
    <mergeCell ref="B6:J6"/>
    <mergeCell ref="B7:J7"/>
  </mergeCells>
  <pageMargins left="0.23622047244094491" right="0.23622047244094491" top="0.74803149606299213" bottom="0.74803149606299213" header="0.31496062992125984" footer="0.31496062992125984"/>
  <pageSetup paperSize="8" scale="73" fitToHeight="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AD185"/>
  <sheetViews>
    <sheetView workbookViewId="0">
      <pane ySplit="3105" topLeftCell="A115" activePane="bottomLeft"/>
      <selection activeCell="C1" sqref="C1:C1048576"/>
      <selection pane="bottomLeft" activeCell="Y157" sqref="Y157"/>
    </sheetView>
  </sheetViews>
  <sheetFormatPr defaultRowHeight="15"/>
  <cols>
    <col min="1" max="1" width="7.42578125" customWidth="1"/>
    <col min="2" max="2" width="10.28515625" customWidth="1"/>
    <col min="3" max="3" width="13" hidden="1" customWidth="1"/>
    <col min="4" max="4" width="44.28515625" customWidth="1"/>
    <col min="5" max="5" width="13.140625" customWidth="1"/>
    <col min="6" max="6" width="13" customWidth="1"/>
    <col min="7" max="7" width="11.28515625" customWidth="1"/>
    <col min="8" max="8" width="27.140625" customWidth="1"/>
    <col min="9" max="9" width="5.42578125" customWidth="1"/>
    <col min="10" max="10" width="5.5703125" customWidth="1"/>
    <col min="11" max="11" width="18" bestFit="1" customWidth="1"/>
    <col min="12" max="14" width="16.42578125" bestFit="1" customWidth="1"/>
    <col min="15" max="15" width="14.28515625" bestFit="1" customWidth="1"/>
    <col min="16" max="16" width="18" bestFit="1" customWidth="1"/>
    <col min="17" max="17" width="11.42578125" hidden="1" customWidth="1"/>
    <col min="18" max="18" width="10.140625" hidden="1" customWidth="1"/>
    <col min="19" max="19" width="9.5703125" hidden="1" customWidth="1"/>
    <col min="20" max="20" width="12.28515625" hidden="1" customWidth="1"/>
    <col min="21" max="21" width="12.5703125" hidden="1" customWidth="1"/>
    <col min="22" max="22" width="9.42578125" customWidth="1"/>
    <col min="23" max="25" width="9" customWidth="1"/>
    <col min="26" max="26" width="9.5703125" hidden="1" customWidth="1"/>
    <col min="27" max="28" width="9.7109375" hidden="1" customWidth="1"/>
    <col min="29" max="30" width="10.42578125" bestFit="1" customWidth="1"/>
  </cols>
  <sheetData>
    <row r="1" spans="1:28" ht="15.75">
      <c r="C1" s="245"/>
    </row>
    <row r="2" spans="1:28" ht="16.5" thickBot="1">
      <c r="A2" s="2110" t="s">
        <v>1133</v>
      </c>
      <c r="B2" s="2110"/>
      <c r="C2" s="2110"/>
      <c r="D2" s="2110"/>
      <c r="E2" s="2110"/>
      <c r="F2" s="2110"/>
      <c r="G2" s="2110"/>
      <c r="H2" s="2110"/>
      <c r="I2" s="2110"/>
      <c r="J2" s="2110"/>
      <c r="K2" s="2110"/>
      <c r="L2" s="2110"/>
    </row>
    <row r="3" spans="1:28" ht="30" customHeight="1" thickBot="1">
      <c r="A3" s="2079" t="s">
        <v>46</v>
      </c>
      <c r="B3" s="2080"/>
      <c r="C3" s="2080"/>
      <c r="D3" s="2080"/>
      <c r="E3" s="2080"/>
      <c r="F3" s="2080"/>
      <c r="G3" s="2080"/>
      <c r="H3" s="2080"/>
      <c r="I3" s="2080"/>
      <c r="J3" s="2084"/>
      <c r="K3" s="2079" t="s">
        <v>47</v>
      </c>
      <c r="L3" s="2080"/>
      <c r="M3" s="2080"/>
      <c r="N3" s="2080"/>
      <c r="O3" s="2080"/>
      <c r="P3" s="2080"/>
      <c r="Q3" s="2080" t="s">
        <v>758</v>
      </c>
      <c r="R3" s="2080"/>
      <c r="S3" s="2080"/>
      <c r="T3" s="2080"/>
      <c r="U3" s="2091"/>
      <c r="V3" s="1136"/>
      <c r="W3" s="2079" t="s">
        <v>693</v>
      </c>
      <c r="X3" s="2080"/>
      <c r="Y3" s="2080"/>
      <c r="Z3" s="2091"/>
      <c r="AA3" s="2091"/>
      <c r="AB3" s="2081"/>
    </row>
    <row r="4" spans="1:28" ht="62.25" customHeight="1" thickBot="1">
      <c r="A4" s="229" t="s">
        <v>7</v>
      </c>
      <c r="B4" s="229" t="s">
        <v>1779</v>
      </c>
      <c r="C4" s="346" t="s">
        <v>690</v>
      </c>
      <c r="D4" s="229" t="s">
        <v>49</v>
      </c>
      <c r="E4" s="229" t="s">
        <v>1772</v>
      </c>
      <c r="F4" s="229" t="s">
        <v>51</v>
      </c>
      <c r="G4" s="229" t="s">
        <v>52</v>
      </c>
      <c r="H4" s="229" t="s">
        <v>676</v>
      </c>
      <c r="I4" s="347" t="s">
        <v>1783</v>
      </c>
      <c r="J4" s="345" t="s">
        <v>1784</v>
      </c>
      <c r="K4" s="183" t="s">
        <v>57</v>
      </c>
      <c r="L4" s="184" t="s">
        <v>58</v>
      </c>
      <c r="M4" s="184" t="s">
        <v>59</v>
      </c>
      <c r="N4" s="184" t="s">
        <v>60</v>
      </c>
      <c r="O4" s="184" t="s">
        <v>61</v>
      </c>
      <c r="P4" s="185" t="s">
        <v>10</v>
      </c>
      <c r="Q4" s="355"/>
      <c r="R4" s="355"/>
      <c r="S4" s="1137"/>
      <c r="T4" s="1138"/>
      <c r="U4" s="229"/>
      <c r="V4" s="229" t="s">
        <v>1781</v>
      </c>
      <c r="W4" s="369" t="s">
        <v>1777</v>
      </c>
      <c r="X4" s="229" t="s">
        <v>1776</v>
      </c>
      <c r="Y4" s="229" t="s">
        <v>4502</v>
      </c>
      <c r="Z4" s="1333" t="s">
        <v>1776</v>
      </c>
      <c r="AA4" s="1333" t="s">
        <v>686</v>
      </c>
      <c r="AB4" s="229" t="s">
        <v>1775</v>
      </c>
    </row>
    <row r="5" spans="1:28" ht="15.75" thickBot="1">
      <c r="A5" s="2079"/>
      <c r="B5" s="2080"/>
      <c r="C5" s="2080"/>
      <c r="D5" s="2080"/>
      <c r="E5" s="2080"/>
      <c r="F5" s="2080"/>
      <c r="G5" s="2080"/>
      <c r="H5" s="2080"/>
      <c r="I5" s="2080"/>
      <c r="J5" s="2084"/>
      <c r="K5" s="2079"/>
      <c r="L5" s="2080"/>
      <c r="M5" s="2080"/>
      <c r="N5" s="2080"/>
      <c r="O5" s="2080"/>
      <c r="P5" s="2084"/>
      <c r="Q5" s="2079">
        <v>2016</v>
      </c>
      <c r="R5" s="2080">
        <v>2017</v>
      </c>
      <c r="S5" s="2080">
        <v>2018</v>
      </c>
      <c r="T5" s="2084">
        <v>2019</v>
      </c>
      <c r="U5" s="229"/>
      <c r="V5" s="229"/>
      <c r="W5" s="229"/>
      <c r="X5" s="229"/>
      <c r="Y5" s="229"/>
      <c r="Z5" s="1333"/>
      <c r="AA5" s="1333"/>
      <c r="AB5" s="229"/>
    </row>
    <row r="6" spans="1:28" ht="12.75" customHeight="1" thickBot="1">
      <c r="A6" s="188"/>
      <c r="B6" s="1135"/>
      <c r="C6" s="224"/>
      <c r="D6" s="189"/>
      <c r="E6" s="189"/>
      <c r="F6" s="189"/>
      <c r="G6" s="189"/>
      <c r="H6" s="189"/>
      <c r="I6" s="189"/>
      <c r="J6" s="189"/>
      <c r="K6" s="167"/>
      <c r="L6" s="168"/>
      <c r="M6" s="168"/>
      <c r="N6" s="168"/>
      <c r="O6" s="168"/>
      <c r="P6" s="178"/>
      <c r="Q6" s="468">
        <v>2016</v>
      </c>
      <c r="R6" s="468">
        <v>2017</v>
      </c>
      <c r="S6" s="468">
        <v>2018</v>
      </c>
      <c r="T6" s="468">
        <v>2019</v>
      </c>
      <c r="U6" s="469">
        <v>2020</v>
      </c>
      <c r="V6" s="189"/>
      <c r="W6" s="190"/>
      <c r="X6" s="1327"/>
      <c r="Y6" s="1327"/>
      <c r="Z6" s="1334"/>
      <c r="AA6" s="1335"/>
      <c r="AB6" s="165"/>
    </row>
    <row r="7" spans="1:28" ht="38.25" customHeight="1" thickBot="1">
      <c r="A7" s="382" t="str">
        <f>CONCATENATE('3 pr-2'!A7)</f>
        <v>1.1.</v>
      </c>
      <c r="B7" s="2092" t="str">
        <f>CONCATENATE('3 pr-2'!B7)</f>
        <v>Tikslas: 
DIDINTI ŪKINĖS VEIKLOS ĮVAIROVĘ IR PAGERINTI SĄLYGAS INVESTICIJŲ PRITRAUKIMUI, MAŽINANT GEOGRAFINIŲ SĄLYGŲ IR DEMOGRAFINIŲ PROCESŲ SUKELIAMUS GYVENIMO KOKYBĖS NETOLYGUMUS</v>
      </c>
      <c r="C7" s="2086"/>
      <c r="D7" s="2086"/>
      <c r="E7" s="2086"/>
      <c r="F7" s="2086"/>
      <c r="G7" s="2086"/>
      <c r="H7" s="2086"/>
      <c r="I7" s="2086"/>
      <c r="J7" s="2087"/>
      <c r="K7" s="1189">
        <f>SUM(K8+K73)</f>
        <v>43934822.719411753</v>
      </c>
      <c r="L7" s="1189">
        <f t="shared" ref="L7:P7" si="0">SUM(L8+L73)</f>
        <v>4954057.9294117643</v>
      </c>
      <c r="M7" s="1189">
        <f t="shared" ca="1" si="0"/>
        <v>643715.68000000005</v>
      </c>
      <c r="N7" s="1189">
        <f t="shared" si="0"/>
        <v>8469094.1500000004</v>
      </c>
      <c r="O7" s="1189">
        <f t="shared" si="0"/>
        <v>415060.82</v>
      </c>
      <c r="P7" s="1189">
        <f t="shared" si="0"/>
        <v>29452894.140000001</v>
      </c>
      <c r="Q7" s="1202"/>
      <c r="R7" s="1202"/>
      <c r="S7" s="1202"/>
      <c r="T7" s="1202"/>
      <c r="U7" s="1203"/>
      <c r="V7" s="1189">
        <f t="shared" ref="V7" si="1">SUM(V8+V73)</f>
        <v>0</v>
      </c>
      <c r="W7" s="383" t="s">
        <v>679</v>
      </c>
      <c r="X7" s="383"/>
      <c r="Y7" s="383"/>
      <c r="Z7" s="1336" t="s">
        <v>679</v>
      </c>
      <c r="AA7" s="1336" t="s">
        <v>679</v>
      </c>
      <c r="AB7" s="383"/>
    </row>
    <row r="8" spans="1:28" ht="54" customHeight="1" thickBot="1">
      <c r="A8" s="238" t="s">
        <v>680</v>
      </c>
      <c r="B8" s="2085" t="str">
        <f>CONCATENATE('3 pr-2'!B8)</f>
        <v>Uždavinys: 
Sudaryti sąlygas darbo vietų kūrimui, kuriant ir atnaujinant viešąją ir ekoinžinerinę  infrastruktūrą,  gamtos, kultūros paveldo objektus ir kultūros įstaigas</v>
      </c>
      <c r="C8" s="2086"/>
      <c r="D8" s="2086"/>
      <c r="E8" s="2086"/>
      <c r="F8" s="2086"/>
      <c r="G8" s="2086"/>
      <c r="H8" s="2086"/>
      <c r="I8" s="2086"/>
      <c r="J8" s="2087"/>
      <c r="K8" s="1158">
        <f>SUM(K9+K33+K39+K46+K50+K56+K58+K62+K67)</f>
        <v>38035497.829411753</v>
      </c>
      <c r="L8" s="1158">
        <f t="shared" ref="L8:P8" si="2">SUM(L9+L33+L39+L46+L50+L56+L58+L62+L67)</f>
        <v>3618543.8094117641</v>
      </c>
      <c r="M8" s="1158">
        <f t="shared" ca="1" si="2"/>
        <v>643715.68000000005</v>
      </c>
      <c r="N8" s="1158">
        <f t="shared" si="2"/>
        <v>8046402.1500000004</v>
      </c>
      <c r="O8" s="1158">
        <f t="shared" si="2"/>
        <v>352400.82</v>
      </c>
      <c r="P8" s="1158">
        <f t="shared" si="2"/>
        <v>25374435.370000001</v>
      </c>
      <c r="Q8" s="1204"/>
      <c r="R8" s="1205"/>
      <c r="S8" s="1206"/>
      <c r="T8" s="1207"/>
      <c r="U8" s="1208"/>
      <c r="V8" s="1158">
        <f t="shared" ref="V8" si="3">SUM(V9+V33+V39+V46+V50+V56+V58+V62+V67)</f>
        <v>0</v>
      </c>
      <c r="W8" s="210" t="s">
        <v>679</v>
      </c>
      <c r="X8" s="210"/>
      <c r="Y8" s="210"/>
      <c r="Z8" s="1337" t="s">
        <v>679</v>
      </c>
      <c r="AA8" s="1337" t="s">
        <v>679</v>
      </c>
      <c r="AB8" s="244"/>
    </row>
    <row r="9" spans="1:28" ht="40.5" customHeight="1" thickBot="1">
      <c r="A9" s="296" t="s">
        <v>67</v>
      </c>
      <c r="B9" s="2088" t="str">
        <f>CONCATENATE('3 pr-2'!B9)</f>
        <v>Priemonė:
Kaimo gyvenamųjų vietovių (turinčių iki 1 tūkst. gyventojų) atnaujinimas</v>
      </c>
      <c r="C9" s="2089"/>
      <c r="D9" s="2089"/>
      <c r="E9" s="2089"/>
      <c r="F9" s="2089"/>
      <c r="G9" s="2089"/>
      <c r="H9" s="2089"/>
      <c r="I9" s="2089"/>
      <c r="J9" s="2090"/>
      <c r="K9" s="1077">
        <f>SUM(K10:K32)</f>
        <v>4298604.3499999996</v>
      </c>
      <c r="L9" s="1077">
        <f t="shared" ref="L9:P9" si="4">SUM(L10:L32)</f>
        <v>1157795.5499999998</v>
      </c>
      <c r="M9" s="1077">
        <f t="shared" ca="1" si="4"/>
        <v>0</v>
      </c>
      <c r="N9" s="1077">
        <f t="shared" si="4"/>
        <v>0</v>
      </c>
      <c r="O9" s="1077">
        <f t="shared" si="4"/>
        <v>0</v>
      </c>
      <c r="P9" s="1077">
        <f t="shared" si="4"/>
        <v>3140808.8</v>
      </c>
      <c r="Q9" s="1209">
        <f>SUM(Q10:Q32)</f>
        <v>0</v>
      </c>
      <c r="R9" s="1210">
        <f t="shared" ref="R9:V9" si="5">SUM(R10:R32)</f>
        <v>0</v>
      </c>
      <c r="S9" s="1209">
        <f t="shared" si="5"/>
        <v>3140808.8</v>
      </c>
      <c r="T9" s="1210">
        <f t="shared" si="5"/>
        <v>0</v>
      </c>
      <c r="U9" s="1211">
        <f t="shared" si="5"/>
        <v>0</v>
      </c>
      <c r="V9" s="1077">
        <f t="shared" si="5"/>
        <v>0</v>
      </c>
      <c r="W9" s="356"/>
      <c r="X9" s="356"/>
      <c r="Y9" s="356"/>
      <c r="Z9" s="1338"/>
      <c r="AA9" s="1338"/>
      <c r="AB9" s="356"/>
    </row>
    <row r="10" spans="1:28" ht="48.75">
      <c r="A10" s="221" t="str">
        <f>CONCATENATE('3 pr-2'!A10)</f>
        <v>1.1.1.1.1</v>
      </c>
      <c r="B10" s="221" t="str">
        <f>CONCATENATE('3 pr-2'!B10)</f>
        <v>R01-ZM72-120000-1101</v>
      </c>
      <c r="C10" s="361" t="str">
        <f>CONCATENATE('ketv. 2'!B9)</f>
        <v>20KI-KA-17-1-02616-PR001</v>
      </c>
      <c r="D10" s="221" t="str">
        <f>CONCATENATE('3 pr-2'!D10)</f>
        <v xml:space="preserve">Druskininkų savivaldybės Viečiūnų seniūnijos Ilgio ir Raigardo seniūnaitijų kelių būklės gerinimas  </v>
      </c>
      <c r="E10" s="221" t="str">
        <f>CONCATENATE('3 pr-2'!E10)</f>
        <v xml:space="preserve">Druskininkų savivaldybės administracija  </v>
      </c>
      <c r="F10" s="221" t="str">
        <f>CONCATENATE('3 pr-2'!F10)</f>
        <v>Lietuvos Respublikos žemės ūkio ministerija</v>
      </c>
      <c r="G10" s="221" t="str">
        <f>CONCATENATE('3 pr-2'!G10)</f>
        <v>Druskininkų sav.</v>
      </c>
      <c r="H10" s="221" t="str">
        <f>CONCATENATE('3 pr-2'!H10)</f>
        <v xml:space="preserve">Pagrindinės paslaugos ir kaimų atnaujinimas kaimo vietovėse </v>
      </c>
      <c r="I10" s="221" t="str">
        <f>CONCATENATE('3 pr-2'!I10)</f>
        <v>R</v>
      </c>
      <c r="J10" s="221" t="str">
        <f>CONCATENATE('3 pr-2'!J10)</f>
        <v>-</v>
      </c>
      <c r="K10" s="1164">
        <f>IF(Z10&gt;0,'3 pr-2'!L10,0)</f>
        <v>250766</v>
      </c>
      <c r="L10" s="1164">
        <f>IF(Z10&gt;0,'3 pr-2'!O10,0)</f>
        <v>91651</v>
      </c>
      <c r="M10" s="1164">
        <f ca="1">IF(Z10&gt;0,'3 pr-2'!R10,0)</f>
        <v>0</v>
      </c>
      <c r="N10" s="1164">
        <f>IF(Z10&gt;0,'3 pr-2'!U10,0)</f>
        <v>0</v>
      </c>
      <c r="O10" s="1164">
        <f>IF(Z10&gt;0,'3 pr-2'!X10,0)</f>
        <v>0</v>
      </c>
      <c r="P10" s="1164">
        <f>IF(Z10&gt;0,'3 pr-2'!AA10,0)</f>
        <v>159115</v>
      </c>
      <c r="Q10" s="1164">
        <f t="shared" ref="Q10:Q32" si="6">IF(YEAR(Z10)=2016,P10,0)</f>
        <v>0</v>
      </c>
      <c r="R10" s="1164">
        <f t="shared" ref="R10:R32" si="7">IF(YEAR(Z10)=2017,P10,0)</f>
        <v>0</v>
      </c>
      <c r="S10" s="1164">
        <f t="shared" ref="S10:S32" si="8">IF(YEAR(Z10)=2018,P10,0)</f>
        <v>159115</v>
      </c>
      <c r="T10" s="1164">
        <f t="shared" ref="T10:T32" si="9">IF(YEAR(Z10)=2019,P10,0)</f>
        <v>0</v>
      </c>
      <c r="U10" s="1164">
        <f t="shared" ref="U10:U32" si="10">IF(YEAR(Z10)=2020,P10,0)</f>
        <v>0</v>
      </c>
      <c r="V10" s="1164">
        <f>IF(Z10&gt;0,'3 pr-2'!$AB$10,0)</f>
        <v>0</v>
      </c>
      <c r="W10" s="1132">
        <f>SUM('3 pr-2'!AI10)</f>
        <v>43102</v>
      </c>
      <c r="X10" s="1132">
        <f>IF(Z10&gt;0,Z10,"–")</f>
        <v>43340</v>
      </c>
      <c r="Y10" s="992">
        <f>IF(ISTEXT(X10),"–",IF((W10-X10)/30&gt;0,"–",(W10-X10)/30))</f>
        <v>-7.9333333333333336</v>
      </c>
      <c r="Z10" s="1339">
        <v>43340</v>
      </c>
      <c r="AA10" s="1340">
        <f>SUM((W10-X10)/30)</f>
        <v>-7.9333333333333336</v>
      </c>
      <c r="AB10" s="384">
        <f>IF(W10-Z10&lt;0,(W10-Z10)/30.4166666666667,"–")</f>
        <v>-7.8246575342465672</v>
      </c>
    </row>
    <row r="11" spans="1:28" ht="48.75">
      <c r="A11" s="164" t="str">
        <f>CONCATENATE('3 pr-2'!A11)</f>
        <v>1.1.1.1.2</v>
      </c>
      <c r="B11" s="221" t="str">
        <f>CONCATENATE('3 pr-2'!B11)</f>
        <v>R01-ZM72-120000-1102</v>
      </c>
      <c r="C11" s="361" t="str">
        <f>CONCATENATE('ketv. 2'!B10)</f>
        <v>20KI-KA-17-1-02617-PR001</v>
      </c>
      <c r="D11" s="164" t="str">
        <f>CONCATENATE('3 pr-2'!D11)</f>
        <v>Druskininkų savivaldybės Viečiūnų seniūnijos Ratnyčėlės seniūnaitijos kelių būklės gerinimas</v>
      </c>
      <c r="E11" s="164" t="str">
        <f>CONCATENATE('3 pr-2'!E11)</f>
        <v xml:space="preserve">Druskininkų savivaldybės administracija  </v>
      </c>
      <c r="F11" s="164" t="str">
        <f>CONCATENATE('3 pr-2'!F11)</f>
        <v>Lietuvos Respublikos žemės ūkio ministerija</v>
      </c>
      <c r="G11" s="164" t="str">
        <f>CONCATENATE('3 pr-2'!G11)</f>
        <v>Druskininkų sav.</v>
      </c>
      <c r="H11" s="164" t="str">
        <f>CONCATENATE('3 pr-2'!H11)</f>
        <v xml:space="preserve">Pagrindinės paslaugos ir kaimų atnaujinimas kaimo vietovėse </v>
      </c>
      <c r="I11" s="164" t="str">
        <f>CONCATENATE('3 pr-2'!I11)</f>
        <v>R</v>
      </c>
      <c r="J11" s="164" t="str">
        <f>CONCATENATE('3 pr-2'!J11)</f>
        <v>-</v>
      </c>
      <c r="K11" s="1080">
        <f>IF(Z11&gt;0,'3 pr-2'!L11,0)</f>
        <v>188039</v>
      </c>
      <c r="L11" s="1080">
        <f>IF(Z11&gt;0,'3 pr-2'!O11,0)</f>
        <v>66968</v>
      </c>
      <c r="M11" s="1080">
        <f ca="1">IF(Z11&gt;0,'3 pr-2'!R11,0)</f>
        <v>0</v>
      </c>
      <c r="N11" s="1080">
        <f>IF(Z11&gt;0,'3 pr-2'!U11,0)</f>
        <v>0</v>
      </c>
      <c r="O11" s="1080">
        <f>IF(Z11&gt;0,'3 pr-2'!X11,0)</f>
        <v>0</v>
      </c>
      <c r="P11" s="1080">
        <f>IF(Z11&gt;0,'3 pr-2'!AA11,0)</f>
        <v>121071</v>
      </c>
      <c r="Q11" s="1080">
        <f t="shared" si="6"/>
        <v>0</v>
      </c>
      <c r="R11" s="1080">
        <f t="shared" si="7"/>
        <v>0</v>
      </c>
      <c r="S11" s="1080">
        <f t="shared" si="8"/>
        <v>121071</v>
      </c>
      <c r="T11" s="1080">
        <f t="shared" si="9"/>
        <v>0</v>
      </c>
      <c r="U11" s="1080">
        <f t="shared" si="10"/>
        <v>0</v>
      </c>
      <c r="V11" s="1164">
        <f>IF(Z11&gt;0,'3 pr-2'!$AB$10,0)</f>
        <v>0</v>
      </c>
      <c r="W11" s="1104">
        <f>SUM('3 pr-2'!AI11)</f>
        <v>43102</v>
      </c>
      <c r="X11" s="1104">
        <f t="shared" ref="X11:X74" si="11">IF(Z11&gt;0,Z11,"–")</f>
        <v>43340</v>
      </c>
      <c r="Y11" s="992">
        <f t="shared" ref="Y11:Y32" si="12">IF(ISTEXT(X11),"–",IF((W11-X11)/30&gt;0,"–",(W11-X11)/30))</f>
        <v>-7.9333333333333336</v>
      </c>
      <c r="Z11" s="1341">
        <v>43340</v>
      </c>
      <c r="AA11" s="1249">
        <f t="shared" ref="AA11:AA74" si="13">SUM((W11-X11)/30)</f>
        <v>-7.9333333333333336</v>
      </c>
      <c r="AB11" s="384">
        <f t="shared" ref="AB11:AB32" si="14">IF(W11-Z11&lt;0,(W11-Z11)/30.4166666666667,"–")</f>
        <v>-7.8246575342465672</v>
      </c>
    </row>
    <row r="12" spans="1:28" ht="48.75">
      <c r="A12" s="164" t="str">
        <f>CONCATENATE('3 pr-2'!A12)</f>
        <v>1.1.1.1.3</v>
      </c>
      <c r="B12" s="221" t="str">
        <f>CONCATENATE('3 pr-2'!B12)</f>
        <v>R01-ZM72-120000-1103</v>
      </c>
      <c r="C12" s="361" t="str">
        <f>CONCATENATE('ketv. 2'!B11)</f>
        <v>20KI-KA-17-1-02622-PR001</v>
      </c>
      <c r="D12" s="164" t="str">
        <f>CONCATENATE('3 pr-2'!D12)</f>
        <v>Druskininkų savivaldybės Leipalingio seniūnijos Klonio seniūnaitijos kelių būklės gerinimas</v>
      </c>
      <c r="E12" s="164" t="str">
        <f>CONCATENATE('3 pr-2'!E12)</f>
        <v xml:space="preserve">Druskininkų savivaldybės administracija  </v>
      </c>
      <c r="F12" s="164" t="str">
        <f>CONCATENATE('3 pr-2'!F12)</f>
        <v>Lietuvos Respublikos žemės ūkio ministerija</v>
      </c>
      <c r="G12" s="164" t="str">
        <f>CONCATENATE('3 pr-2'!G12)</f>
        <v>Druskininkų sav.</v>
      </c>
      <c r="H12" s="164" t="str">
        <f>CONCATENATE('3 pr-2'!H12)</f>
        <v xml:space="preserve">Pagrindinės paslaugos ir kaimų atnaujinimas kaimo vietovėse </v>
      </c>
      <c r="I12" s="164" t="str">
        <f>CONCATENATE('3 pr-2'!I12)</f>
        <v>R</v>
      </c>
      <c r="J12" s="164" t="str">
        <f>CONCATENATE('3 pr-2'!J12)</f>
        <v>-</v>
      </c>
      <c r="K12" s="1080">
        <f>IF(Z12&gt;0,'3 pr-2'!L12,0)</f>
        <v>222319</v>
      </c>
      <c r="L12" s="1080">
        <f>IF(Z12&gt;0,'3 pr-2'!O12,0)</f>
        <v>67873</v>
      </c>
      <c r="M12" s="1080">
        <f ca="1">IF(Z12&gt;0,'3 pr-2'!R12,0)</f>
        <v>0</v>
      </c>
      <c r="N12" s="1080">
        <f>IF(Z12&gt;0,'3 pr-2'!U12,0)</f>
        <v>0</v>
      </c>
      <c r="O12" s="1080">
        <f>IF(Z12&gt;0,'3 pr-2'!X12,0)</f>
        <v>0</v>
      </c>
      <c r="P12" s="1080">
        <f>IF(Z12&gt;0,'3 pr-2'!AA12,0)</f>
        <v>154446</v>
      </c>
      <c r="Q12" s="1080">
        <f t="shared" si="6"/>
        <v>0</v>
      </c>
      <c r="R12" s="1080">
        <f t="shared" si="7"/>
        <v>0</v>
      </c>
      <c r="S12" s="1080">
        <f t="shared" si="8"/>
        <v>154446</v>
      </c>
      <c r="T12" s="1080">
        <f t="shared" si="9"/>
        <v>0</v>
      </c>
      <c r="U12" s="1080">
        <f t="shared" si="10"/>
        <v>0</v>
      </c>
      <c r="V12" s="1164">
        <f>IF(Z12&gt;0,'3 pr-2'!$AB$10,0)</f>
        <v>0</v>
      </c>
      <c r="W12" s="1104">
        <f>SUM('3 pr-2'!AI12)</f>
        <v>43102</v>
      </c>
      <c r="X12" s="1104">
        <f t="shared" si="11"/>
        <v>43281</v>
      </c>
      <c r="Y12" s="992">
        <f t="shared" si="12"/>
        <v>-5.9666666666666668</v>
      </c>
      <c r="Z12" s="1341">
        <v>43281</v>
      </c>
      <c r="AA12" s="1249">
        <f t="shared" si="13"/>
        <v>-5.9666666666666668</v>
      </c>
      <c r="AB12" s="384">
        <f t="shared" si="14"/>
        <v>-5.8849315068493082</v>
      </c>
    </row>
    <row r="13" spans="1:28" ht="48.75">
      <c r="A13" s="164" t="str">
        <f>CONCATENATE('3 pr-2'!A13)</f>
        <v>1.1.1.1.4</v>
      </c>
      <c r="B13" s="221" t="str">
        <f>CONCATENATE('3 pr-2'!B13)</f>
        <v>R01-ZM72-330200-1104</v>
      </c>
      <c r="C13" s="361" t="str">
        <f>CONCATENATE('ketv. 2'!B12)</f>
        <v>20KI-KA-17-1-02368-PR001</v>
      </c>
      <c r="D13" s="164" t="str">
        <f>CONCATENATE('3 pr-2'!D13)</f>
        <v>Rudaminos laisvalaikio salės pritaikymas bendruomenės poreikiams ir liaudies amatų plėtrai</v>
      </c>
      <c r="E13" s="164" t="str">
        <f>CONCATENATE('3 pr-2'!E13)</f>
        <v>Viešoji įstaiga Lazdijų kultūros centras</v>
      </c>
      <c r="F13" s="164" t="str">
        <f>CONCATENATE('3 pr-2'!F13)</f>
        <v>Lietuvos Respublikos žemės ūkio ministerija</v>
      </c>
      <c r="G13" s="164" t="str">
        <f>CONCATENATE('3 pr-2'!G13)</f>
        <v>Lazdijų r. sav.</v>
      </c>
      <c r="H13" s="164" t="str">
        <f>CONCATENATE('3 pr-2'!H13)</f>
        <v xml:space="preserve">Pagrindinės paslaugos ir kaimų atnaujinimas kaimo vietovėse </v>
      </c>
      <c r="I13" s="164" t="str">
        <f>CONCATENATE('3 pr-2'!I13)</f>
        <v>R</v>
      </c>
      <c r="J13" s="164" t="str">
        <f>CONCATENATE('3 pr-2'!J13)</f>
        <v>-</v>
      </c>
      <c r="K13" s="1080">
        <f>IF(Z13&gt;0,'3 pr-2'!L13,0)</f>
        <v>123160</v>
      </c>
      <c r="L13" s="1080">
        <f>IF(Z13&gt;0,'3 pr-2'!O13,0)</f>
        <v>24632</v>
      </c>
      <c r="M13" s="1080">
        <f ca="1">IF(Z13&gt;0,'3 pr-2'!R13,0)</f>
        <v>0</v>
      </c>
      <c r="N13" s="1080">
        <f>IF(Z13&gt;0,'3 pr-2'!U13,0)</f>
        <v>0</v>
      </c>
      <c r="O13" s="1080">
        <f>IF(Z13&gt;0,'3 pr-2'!X13,0)</f>
        <v>0</v>
      </c>
      <c r="P13" s="1080">
        <f>IF(Z13&gt;0,'3 pr-2'!AA13,0)</f>
        <v>98528</v>
      </c>
      <c r="Q13" s="1080">
        <f t="shared" si="6"/>
        <v>0</v>
      </c>
      <c r="R13" s="1080">
        <f t="shared" si="7"/>
        <v>0</v>
      </c>
      <c r="S13" s="1080">
        <f t="shared" si="8"/>
        <v>98528</v>
      </c>
      <c r="T13" s="1080">
        <f t="shared" si="9"/>
        <v>0</v>
      </c>
      <c r="U13" s="1080">
        <f t="shared" si="10"/>
        <v>0</v>
      </c>
      <c r="V13" s="1164">
        <f>IF(Z13&gt;0,'3 pr-2'!$AB$10,0)</f>
        <v>0</v>
      </c>
      <c r="W13" s="1104">
        <f>SUM('3 pr-2'!AI13)</f>
        <v>43102</v>
      </c>
      <c r="X13" s="1104">
        <f t="shared" si="11"/>
        <v>43340</v>
      </c>
      <c r="Y13" s="992">
        <f t="shared" si="12"/>
        <v>-7.9333333333333336</v>
      </c>
      <c r="Z13" s="1341">
        <v>43340</v>
      </c>
      <c r="AA13" s="1249">
        <f t="shared" si="13"/>
        <v>-7.9333333333333336</v>
      </c>
      <c r="AB13" s="384">
        <f t="shared" si="14"/>
        <v>-7.8246575342465672</v>
      </c>
    </row>
    <row r="14" spans="1:28" ht="48.75">
      <c r="A14" s="164" t="str">
        <f>CONCATENATE('3 pr-2'!A14)</f>
        <v>1.1.1.1.5</v>
      </c>
      <c r="B14" s="221" t="str">
        <f>CONCATENATE('3 pr-2'!B14)</f>
        <v>R01-ZM72-120000-1105</v>
      </c>
      <c r="C14" s="361" t="str">
        <f>CONCATENATE('ketv. 2'!B13)</f>
        <v>20KI-KA-17-1-02619-PR001</v>
      </c>
      <c r="D14" s="164" t="str">
        <f>CONCATENATE('3 pr-2'!D14)</f>
        <v>Druskininkų savivaldybės Leipalingio seniūnijos Bilso seniūnaitijos kelių būklės gerinimas</v>
      </c>
      <c r="E14" s="164" t="str">
        <f>CONCATENATE('3 pr-2'!E14)</f>
        <v xml:space="preserve">Druskininkų savivaldybės administracija  </v>
      </c>
      <c r="F14" s="164" t="str">
        <f>CONCATENATE('3 pr-2'!F14)</f>
        <v>Lietuvos Respublikos žemės ūkio ministerija</v>
      </c>
      <c r="G14" s="164" t="str">
        <f>CONCATENATE('3 pr-2'!G14)</f>
        <v>Druskininkų sav.</v>
      </c>
      <c r="H14" s="164" t="str">
        <f>CONCATENATE('3 pr-2'!H14)</f>
        <v xml:space="preserve">Pagrindinės paslaugos ir kaimų atnaujinimas kaimo vietovėse </v>
      </c>
      <c r="I14" s="164" t="str">
        <f>CONCATENATE('3 pr-2'!I14)</f>
        <v>R</v>
      </c>
      <c r="J14" s="164" t="str">
        <f>CONCATENATE('3 pr-2'!J14)</f>
        <v>-</v>
      </c>
      <c r="K14" s="1080">
        <f>IF(Z14&gt;0,'3 pr-2'!L14,0)</f>
        <v>265076</v>
      </c>
      <c r="L14" s="1080">
        <f>IF(Z14&gt;0,'3 pr-2'!O14,0)</f>
        <v>137032</v>
      </c>
      <c r="M14" s="1080">
        <f ca="1">IF(Z14&gt;0,'3 pr-2'!R14,0)</f>
        <v>0</v>
      </c>
      <c r="N14" s="1080">
        <f>IF(Z14&gt;0,'3 pr-2'!U14,0)</f>
        <v>0</v>
      </c>
      <c r="O14" s="1080">
        <f>IF(Z14&gt;0,'3 pr-2'!X14,0)</f>
        <v>0</v>
      </c>
      <c r="P14" s="1080">
        <f>IF(Z14&gt;0,'3 pr-2'!AA14,0)</f>
        <v>128044</v>
      </c>
      <c r="Q14" s="1080">
        <f t="shared" si="6"/>
        <v>0</v>
      </c>
      <c r="R14" s="1080">
        <f t="shared" si="7"/>
        <v>0</v>
      </c>
      <c r="S14" s="1080">
        <f t="shared" si="8"/>
        <v>128044</v>
      </c>
      <c r="T14" s="1080">
        <f t="shared" si="9"/>
        <v>0</v>
      </c>
      <c r="U14" s="1080">
        <f t="shared" si="10"/>
        <v>0</v>
      </c>
      <c r="V14" s="1164">
        <f>IF(Z14&gt;0,'3 pr-2'!$AB$10,0)</f>
        <v>0</v>
      </c>
      <c r="W14" s="1104">
        <f>SUM('3 pr-2'!AI14)</f>
        <v>43102</v>
      </c>
      <c r="X14" s="1104">
        <f t="shared" si="11"/>
        <v>43340</v>
      </c>
      <c r="Y14" s="992">
        <f t="shared" si="12"/>
        <v>-7.9333333333333336</v>
      </c>
      <c r="Z14" s="1341">
        <v>43340</v>
      </c>
      <c r="AA14" s="1249">
        <f t="shared" si="13"/>
        <v>-7.9333333333333336</v>
      </c>
      <c r="AB14" s="384">
        <f t="shared" si="14"/>
        <v>-7.8246575342465672</v>
      </c>
    </row>
    <row r="15" spans="1:28" ht="60.75">
      <c r="A15" s="164" t="str">
        <f>CONCATENATE('3 pr-2'!A15)</f>
        <v>1.1.1.1.6</v>
      </c>
      <c r="B15" s="221" t="str">
        <f>CONCATENATE('3 pr-2'!B15)</f>
        <v>R01-ZM72-330200-1106</v>
      </c>
      <c r="C15" s="361" t="str">
        <f>CONCATENATE('ketv. 2'!B14)</f>
        <v>20KI-KA-17-1-02374-PR001</v>
      </c>
      <c r="D15" s="164" t="str">
        <f>CONCATENATE('3 pr-2'!D15)</f>
        <v>Lazdijų rajono kaimų patrauklumo didinimas atnaujinant bibliotekas</v>
      </c>
      <c r="E15" s="164" t="str">
        <f>CONCATENATE('3 pr-2'!E15)</f>
        <v xml:space="preserve">Biudžetinė įstaiga Lazdijų rajono savivaldybės viešoji biblioteka </v>
      </c>
      <c r="F15" s="164" t="str">
        <f>CONCATENATE('3 pr-2'!F15)</f>
        <v>Lietuvos Respublikos žemės ūkio ministerija</v>
      </c>
      <c r="G15" s="164" t="str">
        <f>CONCATENATE('3 pr-2'!G15)</f>
        <v>Lazdijų r. sav.</v>
      </c>
      <c r="H15" s="164" t="str">
        <f>CONCATENATE('3 pr-2'!H15)</f>
        <v xml:space="preserve">Pagrindinės paslaugos ir kaimų atnaujinimas kaimo vietovėse </v>
      </c>
      <c r="I15" s="164" t="str">
        <f>CONCATENATE('3 pr-2'!I15)</f>
        <v>R</v>
      </c>
      <c r="J15" s="164" t="str">
        <f>CONCATENATE('3 pr-2'!J15)</f>
        <v>-</v>
      </c>
      <c r="K15" s="1080">
        <f>IF(Z15&gt;0,'3 pr-2'!L15,0)</f>
        <v>200999</v>
      </c>
      <c r="L15" s="1080">
        <f>IF(Z15&gt;0,'3 pr-2'!O15,0)</f>
        <v>41071</v>
      </c>
      <c r="M15" s="1080">
        <f ca="1">IF(Z15&gt;0,'3 pr-2'!R15,0)</f>
        <v>0</v>
      </c>
      <c r="N15" s="1080">
        <f>IF(Z15&gt;0,'3 pr-2'!U15,0)</f>
        <v>0</v>
      </c>
      <c r="O15" s="1080">
        <f>IF(Z15&gt;0,'3 pr-2'!X15,0)</f>
        <v>0</v>
      </c>
      <c r="P15" s="1080">
        <f>IF(Z15&gt;0,'3 pr-2'!AA15,0)</f>
        <v>159928</v>
      </c>
      <c r="Q15" s="1080">
        <f t="shared" si="6"/>
        <v>0</v>
      </c>
      <c r="R15" s="1080">
        <f t="shared" si="7"/>
        <v>0</v>
      </c>
      <c r="S15" s="1080">
        <f t="shared" si="8"/>
        <v>159928</v>
      </c>
      <c r="T15" s="1080">
        <f t="shared" si="9"/>
        <v>0</v>
      </c>
      <c r="U15" s="1080">
        <f t="shared" si="10"/>
        <v>0</v>
      </c>
      <c r="V15" s="1164">
        <f>IF(Z15&gt;0,'3 pr-2'!$AB$10,0)</f>
        <v>0</v>
      </c>
      <c r="W15" s="1104">
        <f>SUM('3 pr-2'!AI15)</f>
        <v>43102</v>
      </c>
      <c r="X15" s="1104">
        <f t="shared" si="11"/>
        <v>43340</v>
      </c>
      <c r="Y15" s="992">
        <f t="shared" si="12"/>
        <v>-7.9333333333333336</v>
      </c>
      <c r="Z15" s="1341">
        <v>43340</v>
      </c>
      <c r="AA15" s="1249">
        <f t="shared" si="13"/>
        <v>-7.9333333333333336</v>
      </c>
      <c r="AB15" s="384">
        <f t="shared" si="14"/>
        <v>-7.8246575342465672</v>
      </c>
    </row>
    <row r="16" spans="1:28" ht="48.75">
      <c r="A16" s="164" t="str">
        <f>CONCATENATE('3 pr-2'!A16)</f>
        <v>1.1.1.1.7</v>
      </c>
      <c r="B16" s="221" t="str">
        <f>CONCATENATE('3 pr-2'!B16)</f>
        <v>R01-ZM72-123200-1107</v>
      </c>
      <c r="C16" s="361" t="str">
        <f>CONCATENATE('ketv. 2'!B15)</f>
        <v>20KI-KA-17-1-02437-PR001</v>
      </c>
      <c r="D16" s="164" t="str">
        <f>CONCATENATE('3 pr-2'!D16)</f>
        <v>Alytaus rajono Miroslavo kaimo multifunkcinės sporto aikštės įrengimas ir gatvių bei šaligatvių rekonstrukcija</v>
      </c>
      <c r="E16" s="164" t="str">
        <f>CONCATENATE('3 pr-2'!E16)</f>
        <v>Alytaus rajono savivaldybės administracija</v>
      </c>
      <c r="F16" s="164" t="str">
        <f>CONCATENATE('3 pr-2'!F16)</f>
        <v>Lietuvos Respublikos žemės ūkio ministerija</v>
      </c>
      <c r="G16" s="164" t="str">
        <f>CONCATENATE('3 pr-2'!G16)</f>
        <v>Alytaus r. sav.</v>
      </c>
      <c r="H16" s="164" t="str">
        <f>CONCATENATE('3 pr-2'!H16)</f>
        <v xml:space="preserve">Pagrindinės paslaugos ir kaimų atnaujinimas kaimo vietovėse </v>
      </c>
      <c r="I16" s="164" t="str">
        <f>CONCATENATE('3 pr-2'!I16)</f>
        <v>R</v>
      </c>
      <c r="J16" s="164" t="str">
        <f>CONCATENATE('3 pr-2'!J16)</f>
        <v>-</v>
      </c>
      <c r="K16" s="1080">
        <f>IF(Z16&gt;0,'3 pr-2'!L16,0)</f>
        <v>252211.6</v>
      </c>
      <c r="L16" s="1080">
        <f>IF(Z16&gt;0,'3 pr-2'!O16,0)</f>
        <v>52211.6</v>
      </c>
      <c r="M16" s="1080">
        <f ca="1">IF(Z16&gt;0,'3 pr-2'!R16,0)</f>
        <v>0</v>
      </c>
      <c r="N16" s="1080">
        <f>IF(Z16&gt;0,'3 pr-2'!U16,0)</f>
        <v>0</v>
      </c>
      <c r="O16" s="1080">
        <f>IF(Z16&gt;0,'3 pr-2'!X16,0)</f>
        <v>0</v>
      </c>
      <c r="P16" s="1080">
        <f>IF(Z16&gt;0,'3 pr-2'!AA16,0)</f>
        <v>200000</v>
      </c>
      <c r="Q16" s="1080">
        <f t="shared" si="6"/>
        <v>0</v>
      </c>
      <c r="R16" s="1080">
        <f t="shared" si="7"/>
        <v>0</v>
      </c>
      <c r="S16" s="1080">
        <f t="shared" si="8"/>
        <v>200000</v>
      </c>
      <c r="T16" s="1080">
        <f t="shared" si="9"/>
        <v>0</v>
      </c>
      <c r="U16" s="1080">
        <f t="shared" si="10"/>
        <v>0</v>
      </c>
      <c r="V16" s="1164">
        <f>IF(Z16&gt;0,'3 pr-2'!$AB$10,0)</f>
        <v>0</v>
      </c>
      <c r="W16" s="1104">
        <f>SUM('3 pr-2'!AI16)</f>
        <v>43102</v>
      </c>
      <c r="X16" s="1104">
        <f t="shared" si="11"/>
        <v>43388</v>
      </c>
      <c r="Y16" s="992">
        <f t="shared" si="12"/>
        <v>-9.5333333333333332</v>
      </c>
      <c r="Z16" s="1341">
        <v>43388</v>
      </c>
      <c r="AA16" s="1249">
        <f t="shared" si="13"/>
        <v>-9.5333333333333332</v>
      </c>
      <c r="AB16" s="384">
        <f t="shared" si="14"/>
        <v>-9.4027397260273862</v>
      </c>
    </row>
    <row r="17" spans="1:30" ht="48.75">
      <c r="A17" s="164" t="str">
        <f>CONCATENATE('3 pr-2'!A17)</f>
        <v>1.1.1.1.8</v>
      </c>
      <c r="B17" s="221" t="str">
        <f>CONCATENATE('3 pr-2'!B17)</f>
        <v>R01-ZM72-123200-1108</v>
      </c>
      <c r="C17" s="361" t="str">
        <f>CONCATENATE('ketv. 2'!B16)</f>
        <v>20KI-KA-17-1-02242-PR001</v>
      </c>
      <c r="D17" s="164" t="str">
        <f>CONCATENATE('3 pr-2'!D17)</f>
        <v>Alytaus rajono Luksnėnų kaimo multifunkcinės sporto aikštės įrengimas ir gatvių rekonstrukcija</v>
      </c>
      <c r="E17" s="164" t="str">
        <f>CONCATENATE('3 pr-2'!E17)</f>
        <v>Alytaus rajono savivaldybės administracija</v>
      </c>
      <c r="F17" s="164" t="str">
        <f>CONCATENATE('3 pr-2'!F17)</f>
        <v>Lietuvos Respublikos žemės ūkio ministerija</v>
      </c>
      <c r="G17" s="164" t="str">
        <f>CONCATENATE('3 pr-2'!G17)</f>
        <v>Alytaus r. sav.</v>
      </c>
      <c r="H17" s="164" t="str">
        <f>CONCATENATE('3 pr-2'!H17)</f>
        <v xml:space="preserve">Pagrindinės paslaugos ir kaimų atnaujinimas kaimo vietovėse </v>
      </c>
      <c r="I17" s="164" t="str">
        <f>CONCATENATE('3 pr-2'!I17)</f>
        <v>R</v>
      </c>
      <c r="J17" s="164" t="str">
        <f>CONCATENATE('3 pr-2'!J17)</f>
        <v>-</v>
      </c>
      <c r="K17" s="1080">
        <f>IF(Z17&gt;0,'3 pr-2'!L17,0)</f>
        <v>250309.29</v>
      </c>
      <c r="L17" s="1080">
        <f>IF(Z17&gt;0,'3 pr-2'!O17,0)</f>
        <v>50309.29</v>
      </c>
      <c r="M17" s="1080">
        <f ca="1">IF(Z17&gt;0,'3 pr-2'!R17,0)</f>
        <v>0</v>
      </c>
      <c r="N17" s="1080">
        <f>IF(Z17&gt;0,'3 pr-2'!U17,0)</f>
        <v>0</v>
      </c>
      <c r="O17" s="1080">
        <f>IF(Z17&gt;0,'3 pr-2'!X17,0)</f>
        <v>0</v>
      </c>
      <c r="P17" s="1080">
        <f>IF(Z17&gt;0,'3 pr-2'!AA17,0)</f>
        <v>200000</v>
      </c>
      <c r="Q17" s="1080">
        <f t="shared" si="6"/>
        <v>0</v>
      </c>
      <c r="R17" s="1080">
        <f t="shared" si="7"/>
        <v>0</v>
      </c>
      <c r="S17" s="1080">
        <f t="shared" si="8"/>
        <v>200000</v>
      </c>
      <c r="T17" s="1080">
        <f t="shared" si="9"/>
        <v>0</v>
      </c>
      <c r="U17" s="1080">
        <f t="shared" si="10"/>
        <v>0</v>
      </c>
      <c r="V17" s="1164">
        <f>IF(Z17&gt;0,'3 pr-2'!$AB$10,0)</f>
        <v>0</v>
      </c>
      <c r="W17" s="1104">
        <f>SUM('3 pr-2'!AI17)</f>
        <v>43102</v>
      </c>
      <c r="X17" s="1104">
        <f t="shared" si="11"/>
        <v>43189</v>
      </c>
      <c r="Y17" s="992">
        <f t="shared" si="12"/>
        <v>-2.9</v>
      </c>
      <c r="Z17" s="1341">
        <v>43189</v>
      </c>
      <c r="AA17" s="1249">
        <f t="shared" si="13"/>
        <v>-2.9</v>
      </c>
      <c r="AB17" s="384">
        <f t="shared" si="14"/>
        <v>-2.8602739726027364</v>
      </c>
    </row>
    <row r="18" spans="1:30" ht="48.75">
      <c r="A18" s="164" t="str">
        <f>CONCATENATE('3 pr-2'!A18)</f>
        <v>1.1.1.1.9</v>
      </c>
      <c r="B18" s="221" t="str">
        <f>CONCATENATE('3 pr-2'!B18)</f>
        <v>R01-ZM72-340000-1109</v>
      </c>
      <c r="C18" s="361" t="str">
        <f>CONCATENATE('ketv. 2'!B17)</f>
        <v>20KI-KA-17-1-02372-PR001</v>
      </c>
      <c r="D18" s="164" t="str">
        <f>CONCATENATE('3 pr-2'!D18)</f>
        <v>Krikštonių laisvalaikio salės pritaikymas bendruomenės poreikiams</v>
      </c>
      <c r="E18" s="164" t="str">
        <f>CONCATENATE('3 pr-2'!E18)</f>
        <v xml:space="preserve">Viešoji įstaiga Lazdijų kultūros centras </v>
      </c>
      <c r="F18" s="164" t="str">
        <f>CONCATENATE('3 pr-2'!F18)</f>
        <v>Lietuvos Respublikos žemės ūkio ministerija</v>
      </c>
      <c r="G18" s="164" t="str">
        <f>CONCATENATE('3 pr-2'!G18)</f>
        <v>Lazdijų r. sav.</v>
      </c>
      <c r="H18" s="164" t="str">
        <f>CONCATENATE('3 pr-2'!H18)</f>
        <v xml:space="preserve">Pagrindinės paslaugos ir kaimų atnaujinimas kaimo vietovėse </v>
      </c>
      <c r="I18" s="164" t="str">
        <f>CONCATENATE('3 pr-2'!I18)</f>
        <v>R</v>
      </c>
      <c r="J18" s="164" t="str">
        <f>CONCATENATE('3 pr-2'!J18)</f>
        <v>-</v>
      </c>
      <c r="K18" s="1080">
        <f>IF(Z18&gt;0,'3 pr-2'!L18,0)</f>
        <v>250000</v>
      </c>
      <c r="L18" s="1080">
        <f>IF(Z18&gt;0,'3 pr-2'!O18,0)</f>
        <v>50000</v>
      </c>
      <c r="M18" s="1080">
        <f ca="1">IF(Z18&gt;0,'3 pr-2'!R18,0)</f>
        <v>0</v>
      </c>
      <c r="N18" s="1080">
        <f>IF(Z18&gt;0,'3 pr-2'!U18,0)</f>
        <v>0</v>
      </c>
      <c r="O18" s="1080">
        <f>IF(Z18&gt;0,'3 pr-2'!X18,0)</f>
        <v>0</v>
      </c>
      <c r="P18" s="1080">
        <f>IF(Z18&gt;0,'3 pr-2'!AA18,0)</f>
        <v>200000</v>
      </c>
      <c r="Q18" s="1080">
        <f t="shared" si="6"/>
        <v>0</v>
      </c>
      <c r="R18" s="1080">
        <f t="shared" si="7"/>
        <v>0</v>
      </c>
      <c r="S18" s="1080">
        <f t="shared" si="8"/>
        <v>200000</v>
      </c>
      <c r="T18" s="1080">
        <f t="shared" si="9"/>
        <v>0</v>
      </c>
      <c r="U18" s="1080">
        <f t="shared" si="10"/>
        <v>0</v>
      </c>
      <c r="V18" s="1164">
        <f>IF(Z18&gt;0,'3 pr-2'!$AB$10,0)</f>
        <v>0</v>
      </c>
      <c r="W18" s="1104">
        <f>SUM('3 pr-2'!AI18)</f>
        <v>43102</v>
      </c>
      <c r="X18" s="1104">
        <f t="shared" si="11"/>
        <v>43361</v>
      </c>
      <c r="Y18" s="992">
        <f t="shared" si="12"/>
        <v>-8.6333333333333329</v>
      </c>
      <c r="Z18" s="1341">
        <v>43361</v>
      </c>
      <c r="AA18" s="1249">
        <f t="shared" si="13"/>
        <v>-8.6333333333333329</v>
      </c>
      <c r="AB18" s="384">
        <f t="shared" si="14"/>
        <v>-8.5150684931506753</v>
      </c>
    </row>
    <row r="19" spans="1:30" ht="48.75">
      <c r="A19" s="164" t="str">
        <f>CONCATENATE('3 pr-2'!A19)</f>
        <v>1.1.1.1.10</v>
      </c>
      <c r="B19" s="221" t="str">
        <f>CONCATENATE('3 pr-2'!B19)</f>
        <v>R01-ZM72-340200-1110</v>
      </c>
      <c r="C19" s="361" t="str">
        <f>CONCATENATE('ketv. 2'!B18)</f>
        <v>20KI-KA-17-1-02370-PR001</v>
      </c>
      <c r="D19" s="164" t="str">
        <f>CONCATENATE('3 pr-2'!D19)</f>
        <v>Kučiūnų laisvalaikio salės pritaikymas bendruomenės poreikiams</v>
      </c>
      <c r="E19" s="164" t="str">
        <f>CONCATENATE('3 pr-2'!E19)</f>
        <v xml:space="preserve">Viešoji įstaiga Lazdijų kultūros centras </v>
      </c>
      <c r="F19" s="164" t="str">
        <f>CONCATENATE('3 pr-2'!F19)</f>
        <v>Lietuvos Respublikos žemės ūkio ministerija</v>
      </c>
      <c r="G19" s="164" t="str">
        <f>CONCATENATE('3 pr-2'!G19)</f>
        <v>Lazdijų r. sav.</v>
      </c>
      <c r="H19" s="164" t="str">
        <f>CONCATENATE('3 pr-2'!H19)</f>
        <v xml:space="preserve">Pagrindinės paslaugos ir kaimų atnaujinimas kaimo vietovėse </v>
      </c>
      <c r="I19" s="164" t="str">
        <f>CONCATENATE('3 pr-2'!I19)</f>
        <v>R</v>
      </c>
      <c r="J19" s="164" t="str">
        <f>CONCATENATE('3 pr-2'!J19)</f>
        <v>-</v>
      </c>
      <c r="K19" s="1080">
        <f>IF(Z19&gt;0,'3 pr-2'!L19,0)</f>
        <v>250000</v>
      </c>
      <c r="L19" s="1080">
        <f>IF(Z19&gt;0,'3 pr-2'!O19,0)</f>
        <v>62460</v>
      </c>
      <c r="M19" s="1080">
        <f ca="1">IF(Z19&gt;0,'3 pr-2'!R19,0)</f>
        <v>0</v>
      </c>
      <c r="N19" s="1080">
        <f>IF(Z19&gt;0,'3 pr-2'!U19,0)</f>
        <v>0</v>
      </c>
      <c r="O19" s="1080">
        <f>IF(Z19&gt;0,'3 pr-2'!X19,0)</f>
        <v>0</v>
      </c>
      <c r="P19" s="1080">
        <f>IF(Z19&gt;0,'3 pr-2'!AA19,0)</f>
        <v>187540</v>
      </c>
      <c r="Q19" s="1080">
        <f t="shared" si="6"/>
        <v>0</v>
      </c>
      <c r="R19" s="1080">
        <f t="shared" si="7"/>
        <v>0</v>
      </c>
      <c r="S19" s="1080">
        <f t="shared" si="8"/>
        <v>187540</v>
      </c>
      <c r="T19" s="1080">
        <f t="shared" si="9"/>
        <v>0</v>
      </c>
      <c r="U19" s="1080">
        <f t="shared" si="10"/>
        <v>0</v>
      </c>
      <c r="V19" s="1164">
        <f>IF(Z19&gt;0,'3 pr-2'!$AB$10,0)</f>
        <v>0</v>
      </c>
      <c r="W19" s="1104">
        <f>SUM('3 pr-2'!AI19)</f>
        <v>43102</v>
      </c>
      <c r="X19" s="1104">
        <f t="shared" si="11"/>
        <v>43340</v>
      </c>
      <c r="Y19" s="992">
        <f t="shared" si="12"/>
        <v>-7.9333333333333336</v>
      </c>
      <c r="Z19" s="1341">
        <v>43340</v>
      </c>
      <c r="AA19" s="1249">
        <f t="shared" si="13"/>
        <v>-7.9333333333333336</v>
      </c>
      <c r="AB19" s="384">
        <f t="shared" si="14"/>
        <v>-7.8246575342465672</v>
      </c>
    </row>
    <row r="20" spans="1:30" ht="48.75">
      <c r="A20" s="164" t="str">
        <f>CONCATENATE('3 pr-2'!A20)</f>
        <v>1.1.1.1.11</v>
      </c>
      <c r="B20" s="221" t="str">
        <f>CONCATENATE('3 pr-2'!B20)</f>
        <v>R01-ZM72-320000-1111</v>
      </c>
      <c r="C20" s="361" t="str">
        <f>CONCATENATE('ketv. 2'!B19)</f>
        <v>20KI-KA-17-1-02354-PR001</v>
      </c>
      <c r="D20" s="164" t="str">
        <f>CONCATENATE('3 pr-2'!D20)</f>
        <v>Laisvalaikio infrastruktūros sukūrimas Lazdijų rajono kaimo gyvenamosiose vietovėse</v>
      </c>
      <c r="E20" s="164" t="str">
        <f>CONCATENATE('3 pr-2'!E20)</f>
        <v>Lazdijų rajono savivaldybės administracija</v>
      </c>
      <c r="F20" s="164" t="str">
        <f>CONCATENATE('3 pr-2'!F20)</f>
        <v>Lietuvos Respublikos žemės ūkio ministerija</v>
      </c>
      <c r="G20" s="164" t="str">
        <f>CONCATENATE('3 pr-2'!G20)</f>
        <v>Lazdijų r. sav.</v>
      </c>
      <c r="H20" s="164" t="str">
        <f>CONCATENATE('3 pr-2'!H20)</f>
        <v xml:space="preserve">Pagrindinės paslaugos ir kaimų atnaujinimas kaimo vietovėse </v>
      </c>
      <c r="I20" s="164" t="str">
        <f>CONCATENATE('3 pr-2'!I20)</f>
        <v>R</v>
      </c>
      <c r="J20" s="164" t="str">
        <f>CONCATENATE('3 pr-2'!J20)</f>
        <v>-</v>
      </c>
      <c r="K20" s="1080">
        <f>IF(Z20&gt;0,'3 pr-2'!L20,0)</f>
        <v>125000</v>
      </c>
      <c r="L20" s="1080">
        <f>IF(Z20&gt;0,'3 pr-2'!O20,0)</f>
        <v>25000</v>
      </c>
      <c r="M20" s="1080">
        <f ca="1">IF(Z20&gt;0,'3 pr-2'!R20,0)</f>
        <v>0</v>
      </c>
      <c r="N20" s="1080">
        <f>IF(Z20&gt;0,'3 pr-2'!U20,0)</f>
        <v>0</v>
      </c>
      <c r="O20" s="1080">
        <f>IF(Z20&gt;0,'3 pr-2'!X20,0)</f>
        <v>0</v>
      </c>
      <c r="P20" s="1080">
        <f>IF(Z20&gt;0,'3 pr-2'!AA20,0)</f>
        <v>100000</v>
      </c>
      <c r="Q20" s="1080">
        <f t="shared" si="6"/>
        <v>0</v>
      </c>
      <c r="R20" s="1080">
        <f t="shared" si="7"/>
        <v>0</v>
      </c>
      <c r="S20" s="1080">
        <f t="shared" si="8"/>
        <v>100000</v>
      </c>
      <c r="T20" s="1080">
        <f t="shared" si="9"/>
        <v>0</v>
      </c>
      <c r="U20" s="1080">
        <f t="shared" si="10"/>
        <v>0</v>
      </c>
      <c r="V20" s="1164">
        <f>IF(Z20&gt;0,'3 pr-2'!$AB$10,0)</f>
        <v>0</v>
      </c>
      <c r="W20" s="1104">
        <f>SUM('3 pr-2'!AI20)</f>
        <v>43102</v>
      </c>
      <c r="X20" s="1104">
        <f t="shared" si="11"/>
        <v>43340</v>
      </c>
      <c r="Y20" s="992">
        <f t="shared" si="12"/>
        <v>-7.9333333333333336</v>
      </c>
      <c r="Z20" s="1341">
        <v>43340</v>
      </c>
      <c r="AA20" s="1249">
        <f t="shared" si="13"/>
        <v>-7.9333333333333336</v>
      </c>
      <c r="AB20" s="384">
        <f t="shared" si="14"/>
        <v>-7.8246575342465672</v>
      </c>
    </row>
    <row r="21" spans="1:30" ht="48.75">
      <c r="A21" s="164" t="str">
        <f>CONCATENATE('3 pr-2'!A21)</f>
        <v>1.1.1.1.12</v>
      </c>
      <c r="B21" s="221" t="str">
        <f>CONCATENATE('3 pr-2'!B21)</f>
        <v>R01-ZM72-120000-1112</v>
      </c>
      <c r="C21" s="361" t="str">
        <f>CONCATENATE('ketv. 2'!B20)</f>
        <v>20KI-KA-17-1-02470-PR001</v>
      </c>
      <c r="D21" s="164" t="str">
        <f>CONCATENATE('3 pr-2'!D21)</f>
        <v>Alytaus rajono Butrimonių miestelio šaligatvių kapitalinis remontas ir gyvenvietės apšvietimo įrengimas</v>
      </c>
      <c r="E21" s="164" t="str">
        <f>CONCATENATE('3 pr-2'!E21)</f>
        <v>Alytaus rajono savivaldybės administracija</v>
      </c>
      <c r="F21" s="164" t="str">
        <f>CONCATENATE('3 pr-2'!F21)</f>
        <v>Lietuvos Respublikos žemės ūkio ministerija</v>
      </c>
      <c r="G21" s="164" t="str">
        <f>CONCATENATE('3 pr-2'!G21)</f>
        <v>Alytaus r. sav.</v>
      </c>
      <c r="H21" s="164" t="str">
        <f>CONCATENATE('3 pr-2'!H21)</f>
        <v xml:space="preserve">Pagrindinės paslaugos ir kaimų atnaujinimas kaimo vietovėse </v>
      </c>
      <c r="I21" s="164" t="str">
        <f>CONCATENATE('3 pr-2'!I21)</f>
        <v>R</v>
      </c>
      <c r="J21" s="164" t="str">
        <f>CONCATENATE('3 pr-2'!J21)</f>
        <v>-</v>
      </c>
      <c r="K21" s="1080">
        <f>IF(Z21&gt;0,'3 pr-2'!L21,0)</f>
        <v>190756</v>
      </c>
      <c r="L21" s="1080">
        <f>IF(Z21&gt;0,'3 pr-2'!O21,0)</f>
        <v>67904</v>
      </c>
      <c r="M21" s="1080">
        <f ca="1">IF(Z21&gt;0,'3 pr-2'!R21,0)</f>
        <v>0</v>
      </c>
      <c r="N21" s="1080">
        <f>IF(Z21&gt;0,'3 pr-2'!U21,0)</f>
        <v>0</v>
      </c>
      <c r="O21" s="1080">
        <f>IF(Z21&gt;0,'3 pr-2'!X21,0)</f>
        <v>0</v>
      </c>
      <c r="P21" s="1080">
        <f>IF(Z21&gt;0,'3 pr-2'!AA21,0)</f>
        <v>122852</v>
      </c>
      <c r="Q21" s="1080">
        <f t="shared" si="6"/>
        <v>0</v>
      </c>
      <c r="R21" s="1080">
        <f t="shared" si="7"/>
        <v>0</v>
      </c>
      <c r="S21" s="1080">
        <f t="shared" si="8"/>
        <v>122852</v>
      </c>
      <c r="T21" s="1080">
        <f t="shared" si="9"/>
        <v>0</v>
      </c>
      <c r="U21" s="1080">
        <f t="shared" si="10"/>
        <v>0</v>
      </c>
      <c r="V21" s="1164">
        <f>IF(Z21&gt;0,'3 pr-2'!$AB$10,0)</f>
        <v>0</v>
      </c>
      <c r="W21" s="1104">
        <f>SUM('3 pr-2'!AI21)</f>
        <v>43102</v>
      </c>
      <c r="X21" s="1104">
        <f t="shared" si="11"/>
        <v>43388</v>
      </c>
      <c r="Y21" s="992">
        <f t="shared" si="12"/>
        <v>-9.5333333333333332</v>
      </c>
      <c r="Z21" s="1341">
        <v>43388</v>
      </c>
      <c r="AA21" s="1249">
        <f t="shared" si="13"/>
        <v>-9.5333333333333332</v>
      </c>
      <c r="AB21" s="384">
        <f t="shared" si="14"/>
        <v>-9.4027397260273862</v>
      </c>
    </row>
    <row r="22" spans="1:30" ht="48.75">
      <c r="A22" s="164" t="str">
        <f>CONCATENATE('3 pr-2'!A22)</f>
        <v>1.1.1.1.13</v>
      </c>
      <c r="B22" s="221" t="str">
        <f>CONCATENATE('3 pr-2'!B22)</f>
        <v>R01-ZM72-123200-1113</v>
      </c>
      <c r="C22" s="361" t="str">
        <f>CONCATENATE('ketv. 2'!B21)</f>
        <v>20KI-KA-17-1-02438-PR001</v>
      </c>
      <c r="D22" s="164" t="str">
        <f>CONCATENATE('3 pr-2'!D22)</f>
        <v>Alytaus rajono Genių kaimo sporto aikštės įrengimas ir gatvių rekonstrukcija</v>
      </c>
      <c r="E22" s="164" t="str">
        <f>CONCATENATE('3 pr-2'!E22)</f>
        <v>Alytaus rajono savivaldybės administracija</v>
      </c>
      <c r="F22" s="164" t="str">
        <f>CONCATENATE('3 pr-2'!F22)</f>
        <v>Lietuvos Respublikos žemės ūkio ministerija</v>
      </c>
      <c r="G22" s="164" t="str">
        <f>CONCATENATE('3 pr-2'!G22)</f>
        <v>Alytaus r. sav.</v>
      </c>
      <c r="H22" s="164" t="str">
        <f>CONCATENATE('3 pr-2'!H22)</f>
        <v xml:space="preserve">Pagrindinės paslaugos ir kaimų atnaujinimas kaimo vietovėse </v>
      </c>
      <c r="I22" s="164" t="str">
        <f>CONCATENATE('3 pr-2'!I22)</f>
        <v>R</v>
      </c>
      <c r="J22" s="164" t="str">
        <f>CONCATENATE('3 pr-2'!J22)</f>
        <v>-</v>
      </c>
      <c r="K22" s="1080">
        <f>IF(Z22&gt;0,'3 pr-2'!L22,0)</f>
        <v>247392.46</v>
      </c>
      <c r="L22" s="1080">
        <f>IF(Z22&gt;0,'3 pr-2'!O22,0)</f>
        <v>47392.46</v>
      </c>
      <c r="M22" s="1080">
        <f ca="1">IF(Z22&gt;0,'3 pr-2'!R22,0)</f>
        <v>0</v>
      </c>
      <c r="N22" s="1080">
        <f>IF(Z22&gt;0,'3 pr-2'!U22,0)</f>
        <v>0</v>
      </c>
      <c r="O22" s="1080">
        <f>IF(Z22&gt;0,'3 pr-2'!X22,0)</f>
        <v>0</v>
      </c>
      <c r="P22" s="1080">
        <f>IF(Z22&gt;0,'3 pr-2'!AA22,0)</f>
        <v>200000</v>
      </c>
      <c r="Q22" s="1080">
        <f t="shared" si="6"/>
        <v>0</v>
      </c>
      <c r="R22" s="1080">
        <f t="shared" si="7"/>
        <v>0</v>
      </c>
      <c r="S22" s="1080">
        <f t="shared" si="8"/>
        <v>200000</v>
      </c>
      <c r="T22" s="1080">
        <f t="shared" si="9"/>
        <v>0</v>
      </c>
      <c r="U22" s="1080">
        <f t="shared" si="10"/>
        <v>0</v>
      </c>
      <c r="V22" s="1164">
        <f>IF(Z22&gt;0,'3 pr-2'!$AB$10,0)</f>
        <v>0</v>
      </c>
      <c r="W22" s="1104">
        <f>SUM('3 pr-2'!AI22)</f>
        <v>43102</v>
      </c>
      <c r="X22" s="1104">
        <f t="shared" si="11"/>
        <v>43340</v>
      </c>
      <c r="Y22" s="992">
        <f t="shared" si="12"/>
        <v>-7.9333333333333336</v>
      </c>
      <c r="Z22" s="1341">
        <v>43340</v>
      </c>
      <c r="AA22" s="1249">
        <f t="shared" si="13"/>
        <v>-7.9333333333333336</v>
      </c>
      <c r="AB22" s="384">
        <f t="shared" si="14"/>
        <v>-7.8246575342465672</v>
      </c>
    </row>
    <row r="23" spans="1:30" ht="48.75">
      <c r="A23" s="164" t="str">
        <f>CONCATENATE('3 pr-2'!A23)</f>
        <v>1.1.1.1.14</v>
      </c>
      <c r="B23" s="221" t="str">
        <f>CONCATENATE('3 pr-2'!B23)</f>
        <v>R01-ZM72-122900-1114</v>
      </c>
      <c r="C23" s="361" t="str">
        <f>CONCATENATE('ketv. 2'!B22)</f>
        <v>20KI-KA-17-1-01647-PR001</v>
      </c>
      <c r="D23" s="164" t="str">
        <f>CONCATENATE('3 pr-2'!D23)</f>
        <v>Varėnos r. Dargužių kaimo Liepų gatvės ir viešosios erdvės įrengimas</v>
      </c>
      <c r="E23" s="164" t="str">
        <f>CONCATENATE('3 pr-2'!E23)</f>
        <v xml:space="preserve">Varėnos rajono savivaldybės administracija </v>
      </c>
      <c r="F23" s="164" t="str">
        <f>CONCATENATE('3 pr-2'!F23)</f>
        <v>Lietuvos Respublikos žemės ūkio ministerija</v>
      </c>
      <c r="G23" s="164" t="str">
        <f>CONCATENATE('3 pr-2'!G23)</f>
        <v>Varėnos r. sav.</v>
      </c>
      <c r="H23" s="164" t="str">
        <f>CONCATENATE('3 pr-2'!H23)</f>
        <v xml:space="preserve">Pagrindinės paslaugos ir kaimų atnaujinimas kaimo vietovėse </v>
      </c>
      <c r="I23" s="164" t="str">
        <f>CONCATENATE('3 pr-2'!I23)</f>
        <v>R</v>
      </c>
      <c r="J23" s="164" t="str">
        <f>CONCATENATE('3 pr-2'!J23)</f>
        <v>-</v>
      </c>
      <c r="K23" s="1080">
        <f>IF(Z23&gt;0,'3 pr-2'!L23,0)</f>
        <v>215626</v>
      </c>
      <c r="L23" s="1080">
        <f>IF(Z23&gt;0,'3 pr-2'!O23,0)</f>
        <v>43125.2</v>
      </c>
      <c r="M23" s="1080">
        <f ca="1">IF(Z23&gt;0,'3 pr-2'!R23,0)</f>
        <v>0</v>
      </c>
      <c r="N23" s="1080">
        <f>IF(Z23&gt;0,'3 pr-2'!U23,0)</f>
        <v>0</v>
      </c>
      <c r="O23" s="1080">
        <f>IF(Z23&gt;0,'3 pr-2'!X23,0)</f>
        <v>0</v>
      </c>
      <c r="P23" s="1080">
        <f>IF(Z23&gt;0,'3 pr-2'!AA23,0)</f>
        <v>172500.8</v>
      </c>
      <c r="Q23" s="1080">
        <f t="shared" si="6"/>
        <v>0</v>
      </c>
      <c r="R23" s="1080">
        <f t="shared" si="7"/>
        <v>0</v>
      </c>
      <c r="S23" s="1080">
        <f t="shared" si="8"/>
        <v>172500.8</v>
      </c>
      <c r="T23" s="1080">
        <f t="shared" si="9"/>
        <v>0</v>
      </c>
      <c r="U23" s="1080">
        <f t="shared" si="10"/>
        <v>0</v>
      </c>
      <c r="V23" s="1164">
        <f>IF(Z23&gt;0,'3 pr-2'!$AB$10,0)</f>
        <v>0</v>
      </c>
      <c r="W23" s="1104">
        <f>SUM('3 pr-2'!AI23)</f>
        <v>43102</v>
      </c>
      <c r="X23" s="1104">
        <f t="shared" si="11"/>
        <v>43281</v>
      </c>
      <c r="Y23" s="992">
        <f t="shared" si="12"/>
        <v>-5.9666666666666668</v>
      </c>
      <c r="Z23" s="1341">
        <v>43281</v>
      </c>
      <c r="AA23" s="1249">
        <f t="shared" si="13"/>
        <v>-5.9666666666666668</v>
      </c>
      <c r="AB23" s="384">
        <f t="shared" si="14"/>
        <v>-5.8849315068493082</v>
      </c>
    </row>
    <row r="24" spans="1:30" ht="48.75">
      <c r="A24" s="164" t="str">
        <f>CONCATENATE('3 pr-2'!A24)</f>
        <v>1.1.1.1.15</v>
      </c>
      <c r="B24" s="221" t="str">
        <f>CONCATENATE('3 pr-2'!B24)</f>
        <v>R01-ZM72-123200-1115</v>
      </c>
      <c r="C24" s="361" t="str">
        <f>CONCATENATE('ketv. 2'!B23)</f>
        <v>20KI-KA-17-1-02469-PR001</v>
      </c>
      <c r="D24" s="164" t="str">
        <f>CONCATENATE('3 pr-2'!D24)</f>
        <v>Alytaus rajono Vaisodžių kaimo sporto aikštės įrengimas ir gatvių apšvietimo atnaujinimas bei plėtra</v>
      </c>
      <c r="E24" s="164" t="str">
        <f>CONCATENATE('3 pr-2'!E24)</f>
        <v>Alytaus rajono savivaldybės administracija</v>
      </c>
      <c r="F24" s="164" t="str">
        <f>CONCATENATE('3 pr-2'!F24)</f>
        <v>Lietuvos Respublikos žemės ūkio ministerija</v>
      </c>
      <c r="G24" s="164" t="str">
        <f>CONCATENATE('3 pr-2'!G24)</f>
        <v>Alytaus r. sav.</v>
      </c>
      <c r="H24" s="164" t="str">
        <f>CONCATENATE('3 pr-2'!H24)</f>
        <v xml:space="preserve">Pagrindinės paslaugos ir kaimų atnaujinimas kaimo vietovėse </v>
      </c>
      <c r="I24" s="164" t="str">
        <f>CONCATENATE('3 pr-2'!I24)</f>
        <v>R</v>
      </c>
      <c r="J24" s="164" t="str">
        <f>CONCATENATE('3 pr-2'!J24)</f>
        <v>-</v>
      </c>
      <c r="K24" s="1080">
        <f>IF(Z24&gt;0,'3 pr-2'!L24,0)</f>
        <v>75880</v>
      </c>
      <c r="L24" s="1080">
        <f>IF(Z24&gt;0,'3 pr-2'!O24,0)</f>
        <v>15176</v>
      </c>
      <c r="M24" s="1080">
        <f ca="1">IF(Z24&gt;0,'3 pr-2'!R24,0)</f>
        <v>0</v>
      </c>
      <c r="N24" s="1080">
        <f>IF(Z24&gt;0,'3 pr-2'!U24,0)</f>
        <v>0</v>
      </c>
      <c r="O24" s="1080">
        <f>IF(Z24&gt;0,'3 pr-2'!X24,0)</f>
        <v>0</v>
      </c>
      <c r="P24" s="1080">
        <f>IF(Z24&gt;0,'3 pr-2'!AA24,0)</f>
        <v>60704</v>
      </c>
      <c r="Q24" s="1080">
        <f t="shared" si="6"/>
        <v>0</v>
      </c>
      <c r="R24" s="1080">
        <f t="shared" si="7"/>
        <v>0</v>
      </c>
      <c r="S24" s="1080">
        <f t="shared" si="8"/>
        <v>60704</v>
      </c>
      <c r="T24" s="1080">
        <f t="shared" si="9"/>
        <v>0</v>
      </c>
      <c r="U24" s="1080">
        <f t="shared" si="10"/>
        <v>0</v>
      </c>
      <c r="V24" s="1164">
        <f>IF(Z24&gt;0,'3 pr-2'!$AB$10,0)</f>
        <v>0</v>
      </c>
      <c r="W24" s="1104">
        <f>SUM('3 pr-2'!AI24)</f>
        <v>43102</v>
      </c>
      <c r="X24" s="1104">
        <f t="shared" si="11"/>
        <v>43465</v>
      </c>
      <c r="Y24" s="992">
        <f t="shared" si="12"/>
        <v>-12.1</v>
      </c>
      <c r="Z24" s="1341">
        <v>43465</v>
      </c>
      <c r="AA24" s="1249">
        <f t="shared" si="13"/>
        <v>-12.1</v>
      </c>
      <c r="AB24" s="384">
        <f t="shared" si="14"/>
        <v>-11.934246575342453</v>
      </c>
    </row>
    <row r="25" spans="1:30" ht="48.75">
      <c r="A25" s="164" t="str">
        <f>CONCATENATE('3 pr-2'!A25)</f>
        <v>1.1.1.1.16</v>
      </c>
      <c r="B25" s="221" t="str">
        <f>CONCATENATE('3 pr-2'!B25)</f>
        <v>R01-ZM72-123200-1116</v>
      </c>
      <c r="C25" s="361" t="str">
        <f>CONCATENATE('ketv. 2'!B24)</f>
        <v>20KI-KA-17-1-02240-PR001</v>
      </c>
      <c r="D25" s="164" t="str">
        <f>CONCATENATE('3 pr-2'!D25)</f>
        <v>Alytaus rajono Talokių kaimo sporto aikštės įrengimas ir Plytinės gatvės apšvietimas</v>
      </c>
      <c r="E25" s="164" t="str">
        <f>CONCATENATE('3 pr-2'!E25)</f>
        <v>Alytaus rajono savivaldybės administracija</v>
      </c>
      <c r="F25" s="164" t="str">
        <f>CONCATENATE('3 pr-2'!F25)</f>
        <v>Lietuvos Respublikos žemės ūkio ministerija</v>
      </c>
      <c r="G25" s="164" t="str">
        <f>CONCATENATE('3 pr-2'!G25)</f>
        <v>Alytaus r. sav.</v>
      </c>
      <c r="H25" s="164" t="str">
        <f>CONCATENATE('3 pr-2'!H25)</f>
        <v xml:space="preserve">Pagrindinės paslaugos ir kaimų atnaujinimas kaimo vietovėse </v>
      </c>
      <c r="I25" s="164" t="str">
        <f>CONCATENATE('3 pr-2'!I25)</f>
        <v>R</v>
      </c>
      <c r="J25" s="164" t="str">
        <f>CONCATENATE('3 pr-2'!J25)</f>
        <v>-</v>
      </c>
      <c r="K25" s="1080">
        <f>IF(Z25&gt;0,'3 pr-2'!L25,0)</f>
        <v>141312</v>
      </c>
      <c r="L25" s="1080">
        <f>IF(Z25&gt;0,'3 pr-2'!O25,0)</f>
        <v>44913</v>
      </c>
      <c r="M25" s="1080">
        <f ca="1">IF(Z25&gt;0,'3 pr-2'!R25,0)</f>
        <v>0</v>
      </c>
      <c r="N25" s="1080">
        <f>IF(Z25&gt;0,'3 pr-2'!U25,0)</f>
        <v>0</v>
      </c>
      <c r="O25" s="1080">
        <f>IF(Z25&gt;0,'3 pr-2'!X25,0)</f>
        <v>0</v>
      </c>
      <c r="P25" s="1080">
        <f>IF(Z25&gt;0,'3 pr-2'!AA25,0)</f>
        <v>96399</v>
      </c>
      <c r="Q25" s="1080">
        <f t="shared" si="6"/>
        <v>0</v>
      </c>
      <c r="R25" s="1080">
        <f t="shared" si="7"/>
        <v>0</v>
      </c>
      <c r="S25" s="1080">
        <f t="shared" si="8"/>
        <v>96399</v>
      </c>
      <c r="T25" s="1080">
        <f t="shared" si="9"/>
        <v>0</v>
      </c>
      <c r="U25" s="1080">
        <f t="shared" si="10"/>
        <v>0</v>
      </c>
      <c r="V25" s="1164">
        <f>IF(Z25&gt;0,'3 pr-2'!$AB$10,0)</f>
        <v>0</v>
      </c>
      <c r="W25" s="1104">
        <f>SUM('3 pr-2'!AI25)</f>
        <v>43102</v>
      </c>
      <c r="X25" s="1104">
        <f t="shared" si="11"/>
        <v>43340</v>
      </c>
      <c r="Y25" s="992">
        <f t="shared" si="12"/>
        <v>-7.9333333333333336</v>
      </c>
      <c r="Z25" s="1341">
        <v>43340</v>
      </c>
      <c r="AA25" s="1249">
        <f t="shared" si="13"/>
        <v>-7.9333333333333336</v>
      </c>
      <c r="AB25" s="384">
        <f t="shared" si="14"/>
        <v>-7.8246575342465672</v>
      </c>
    </row>
    <row r="26" spans="1:30" ht="48.75">
      <c r="A26" s="164" t="str">
        <f>CONCATENATE('3 pr-2'!A26)</f>
        <v>1.1.1.1.17</v>
      </c>
      <c r="B26" s="221" t="str">
        <f>CONCATENATE('3 pr-2'!B26)</f>
        <v>R01-ZM72-120000-1117</v>
      </c>
      <c r="C26" s="361" t="str">
        <f>CONCATENATE('ketv. 2'!B25)</f>
        <v>20KI-KA-17-1-01639-PR001</v>
      </c>
      <c r="D26" s="164" t="str">
        <f>CONCATENATE('3 pr-2'!D26)</f>
        <v>Varėnos r. Rudnios kaimo Pušyno gatvės įrengimas</v>
      </c>
      <c r="E26" s="164" t="str">
        <f>CONCATENATE('3 pr-2'!E26)</f>
        <v xml:space="preserve">Varėnos rajono savivaldybės administracija </v>
      </c>
      <c r="F26" s="164" t="str">
        <f>CONCATENATE('3 pr-2'!F26)</f>
        <v>Lietuvos Respublikos žemės ūkio ministerija</v>
      </c>
      <c r="G26" s="164" t="str">
        <f>CONCATENATE('3 pr-2'!G26)</f>
        <v>Varėnos r. sav.</v>
      </c>
      <c r="H26" s="164" t="str">
        <f>CONCATENATE('3 pr-2'!H26)</f>
        <v xml:space="preserve">Pagrindinės paslaugos ir kaimų atnaujinimas kaimo vietovėse </v>
      </c>
      <c r="I26" s="164" t="str">
        <f>CONCATENATE('3 pr-2'!I26)</f>
        <v>R</v>
      </c>
      <c r="J26" s="164" t="str">
        <f>CONCATENATE('3 pr-2'!J26)</f>
        <v>-</v>
      </c>
      <c r="K26" s="1080">
        <f>IF(Z26&gt;0,'3 pr-2'!L26,0)</f>
        <v>115624</v>
      </c>
      <c r="L26" s="1080">
        <f>IF(Z26&gt;0,'3 pr-2'!O26,0)</f>
        <v>23125</v>
      </c>
      <c r="M26" s="1080">
        <f ca="1">IF(Z26&gt;0,'3 pr-2'!R26,0)</f>
        <v>0</v>
      </c>
      <c r="N26" s="1080">
        <f>IF(Z26&gt;0,'3 pr-2'!U26,0)</f>
        <v>0</v>
      </c>
      <c r="O26" s="1080">
        <f>IF(Z26&gt;0,'3 pr-2'!X26,0)</f>
        <v>0</v>
      </c>
      <c r="P26" s="1080">
        <f>IF(Z26&gt;0,'3 pr-2'!AA26,0)</f>
        <v>92499</v>
      </c>
      <c r="Q26" s="1080">
        <f t="shared" si="6"/>
        <v>0</v>
      </c>
      <c r="R26" s="1080">
        <f t="shared" si="7"/>
        <v>0</v>
      </c>
      <c r="S26" s="1080">
        <f t="shared" si="8"/>
        <v>92499</v>
      </c>
      <c r="T26" s="1080">
        <f t="shared" si="9"/>
        <v>0</v>
      </c>
      <c r="U26" s="1080">
        <f t="shared" si="10"/>
        <v>0</v>
      </c>
      <c r="V26" s="1164">
        <f>IF(Z26&gt;0,'3 pr-2'!$AB$10,0)</f>
        <v>0</v>
      </c>
      <c r="W26" s="1104">
        <f>SUM('3 pr-2'!AI26)</f>
        <v>43102</v>
      </c>
      <c r="X26" s="1104">
        <f t="shared" si="11"/>
        <v>43189</v>
      </c>
      <c r="Y26" s="992">
        <f t="shared" si="12"/>
        <v>-2.9</v>
      </c>
      <c r="Z26" s="1341">
        <v>43189</v>
      </c>
      <c r="AA26" s="1249">
        <f t="shared" si="13"/>
        <v>-2.9</v>
      </c>
      <c r="AB26" s="384">
        <f t="shared" si="14"/>
        <v>-2.8602739726027364</v>
      </c>
    </row>
    <row r="27" spans="1:30" ht="48.75">
      <c r="A27" s="164" t="str">
        <f>CONCATENATE('3 pr-2'!A27)</f>
        <v>1.1.1.1.18</v>
      </c>
      <c r="B27" s="221" t="str">
        <f>CONCATENATE('3 pr-2'!B27)</f>
        <v>R01-ZM72-340000-1118</v>
      </c>
      <c r="C27" s="361" t="str">
        <f>CONCATENATE('ketv. 2'!B26)</f>
        <v>20KI-KA-17-1-01666-PR001</v>
      </c>
      <c r="D27" s="164" t="str">
        <f>CONCATENATE('3 pr-2'!D27)</f>
        <v>Varėnos kultūros centro Žilinų filialo pastato atnaujinimas ir pritaikymas bendruomenės poreikiams</v>
      </c>
      <c r="E27" s="164" t="str">
        <f>CONCATENATE('3 pr-2'!E27)</f>
        <v xml:space="preserve">Varėnos rajono savivaldybės administracija </v>
      </c>
      <c r="F27" s="164" t="str">
        <f>CONCATENATE('3 pr-2'!F27)</f>
        <v>Lietuvos Respublikos žemės ūkio ministerija</v>
      </c>
      <c r="G27" s="164" t="str">
        <f>CONCATENATE('3 pr-2'!G27)</f>
        <v>Varėnos r. sav.</v>
      </c>
      <c r="H27" s="164" t="str">
        <f>CONCATENATE('3 pr-2'!H27)</f>
        <v xml:space="preserve">Pagrindinės paslaugos ir kaimų atnaujinimas kaimo vietovėse </v>
      </c>
      <c r="I27" s="164" t="str">
        <f>CONCATENATE('3 pr-2'!I27)</f>
        <v>R</v>
      </c>
      <c r="J27" s="164" t="str">
        <f>CONCATENATE('3 pr-2'!J27)</f>
        <v>-</v>
      </c>
      <c r="K27" s="1080">
        <f>IF(Z27&gt;0,'3 pr-2'!L27,0)</f>
        <v>250000</v>
      </c>
      <c r="L27" s="1080">
        <f>IF(Z27&gt;0,'3 pr-2'!O27,0)</f>
        <v>50000</v>
      </c>
      <c r="M27" s="1080">
        <f ca="1">IF(Z27&gt;0,'3 pr-2'!R27,0)</f>
        <v>0</v>
      </c>
      <c r="N27" s="1080">
        <f>IF(Z27&gt;0,'3 pr-2'!U27,0)</f>
        <v>0</v>
      </c>
      <c r="O27" s="1080">
        <f>IF(Z27&gt;0,'3 pr-2'!X27,0)</f>
        <v>0</v>
      </c>
      <c r="P27" s="1080">
        <f>IF(Z27&gt;0,'3 pr-2'!AA27,0)</f>
        <v>200000</v>
      </c>
      <c r="Q27" s="1080">
        <f t="shared" si="6"/>
        <v>0</v>
      </c>
      <c r="R27" s="1080">
        <f t="shared" si="7"/>
        <v>0</v>
      </c>
      <c r="S27" s="1080">
        <f t="shared" si="8"/>
        <v>200000</v>
      </c>
      <c r="T27" s="1080">
        <f t="shared" si="9"/>
        <v>0</v>
      </c>
      <c r="U27" s="1080">
        <f t="shared" si="10"/>
        <v>0</v>
      </c>
      <c r="V27" s="1164">
        <f>IF(Z27&gt;0,'3 pr-2'!$AB$10,0)</f>
        <v>0</v>
      </c>
      <c r="W27" s="1104">
        <f>SUM('3 pr-2'!AI27)</f>
        <v>43102</v>
      </c>
      <c r="X27" s="1104">
        <f t="shared" si="11"/>
        <v>43281</v>
      </c>
      <c r="Y27" s="992">
        <f t="shared" si="12"/>
        <v>-5.9666666666666668</v>
      </c>
      <c r="Z27" s="1341">
        <v>43281</v>
      </c>
      <c r="AA27" s="1249">
        <f t="shared" si="13"/>
        <v>-5.9666666666666668</v>
      </c>
      <c r="AB27" s="384">
        <f t="shared" si="14"/>
        <v>-5.8849315068493082</v>
      </c>
    </row>
    <row r="28" spans="1:30" ht="48.75">
      <c r="A28" s="164" t="str">
        <f>CONCATENATE('3 pr-2'!A28)</f>
        <v>1.1.1.1.19</v>
      </c>
      <c r="B28" s="221" t="str">
        <f>CONCATENATE('3 pr-2'!B28)</f>
        <v>R01-ZM72-120000-1119</v>
      </c>
      <c r="C28" s="361" t="str">
        <f>CONCATENATE('ketv. 2'!B27)</f>
        <v>20KI-KA-17-1-02648-PR001</v>
      </c>
      <c r="D28" s="164" t="str">
        <f>CONCATENATE('3 pr-2'!D28)</f>
        <v>Alytaus rajono Pivašiūnų kaimo šaligatvių, laiptų kapitalinis remontas ir gyvenvietės apšvietimo įrengimas</v>
      </c>
      <c r="E28" s="164" t="str">
        <f>CONCATENATE('3 pr-2'!E28)</f>
        <v>Alytaus rajono savivaldybės administracija</v>
      </c>
      <c r="F28" s="164" t="str">
        <f>CONCATENATE('3 pr-2'!F28)</f>
        <v>Lietuvos Respublikos žemės ūkio ministerija</v>
      </c>
      <c r="G28" s="164" t="str">
        <f>CONCATENATE('3 pr-2'!G28)</f>
        <v>Alytaus r. sav.</v>
      </c>
      <c r="H28" s="164" t="str">
        <f>CONCATENATE('3 pr-2'!H28)</f>
        <v xml:space="preserve">Pagrindinės paslaugos ir kaimų atnaujinimas kaimo vietovėse </v>
      </c>
      <c r="I28" s="164" t="str">
        <f>CONCATENATE('3 pr-2'!I28)</f>
        <v>R</v>
      </c>
      <c r="J28" s="164" t="str">
        <f>CONCATENATE('3 pr-2'!J28)</f>
        <v>-</v>
      </c>
      <c r="K28" s="1080">
        <f>IF(Z28&gt;0,'3 pr-2'!L28,0)</f>
        <v>118362</v>
      </c>
      <c r="L28" s="1080">
        <f>IF(Z28&gt;0,'3 pr-2'!O28,0)</f>
        <v>23973</v>
      </c>
      <c r="M28" s="1080">
        <f ca="1">IF(Z28&gt;0,'3 pr-2'!R28,0)</f>
        <v>0</v>
      </c>
      <c r="N28" s="1080">
        <f>IF(Z28&gt;0,'3 pr-2'!U28,0)</f>
        <v>0</v>
      </c>
      <c r="O28" s="1080">
        <f>IF(Z28&gt;0,'3 pr-2'!X28,0)</f>
        <v>0</v>
      </c>
      <c r="P28" s="1080">
        <f>IF(Z28&gt;0,'3 pr-2'!AA28,0)</f>
        <v>94389</v>
      </c>
      <c r="Q28" s="1080">
        <f t="shared" si="6"/>
        <v>0</v>
      </c>
      <c r="R28" s="1080">
        <f t="shared" si="7"/>
        <v>0</v>
      </c>
      <c r="S28" s="1080">
        <f t="shared" si="8"/>
        <v>94389</v>
      </c>
      <c r="T28" s="1080">
        <f t="shared" si="9"/>
        <v>0</v>
      </c>
      <c r="U28" s="1080">
        <f t="shared" si="10"/>
        <v>0</v>
      </c>
      <c r="V28" s="1164">
        <f>IF(Z28&gt;0,'3 pr-2'!$AB$10,0)</f>
        <v>0</v>
      </c>
      <c r="W28" s="1104">
        <f>SUM('3 pr-2'!AI28)</f>
        <v>43102</v>
      </c>
      <c r="X28" s="1104">
        <f t="shared" si="11"/>
        <v>43388</v>
      </c>
      <c r="Y28" s="992">
        <f t="shared" si="12"/>
        <v>-9.5333333333333332</v>
      </c>
      <c r="Z28" s="1341">
        <v>43388</v>
      </c>
      <c r="AA28" s="1249">
        <f t="shared" si="13"/>
        <v>-9.5333333333333332</v>
      </c>
      <c r="AB28" s="384">
        <f t="shared" si="14"/>
        <v>-9.4027397260273862</v>
      </c>
    </row>
    <row r="29" spans="1:30" ht="48.75">
      <c r="A29" s="164" t="str">
        <f>CONCATENATE('3 pr-2'!A29)</f>
        <v>1.1.1.1.20</v>
      </c>
      <c r="B29" s="221" t="str">
        <f>CONCATENATE('3 pr-2'!B29)</f>
        <v>R01-ZM72-340000-1120</v>
      </c>
      <c r="C29" s="361" t="str">
        <f>CONCATENATE('ketv. 2'!B28)</f>
        <v>20KI-KA-17-1-01736-PR001</v>
      </c>
      <c r="D29" s="164" t="str">
        <f>CONCATENATE('3 pr-2'!D29)</f>
        <v>Pastato, esančio Pušelės g. 11, Naujųjų Valkininkų k., Varėnos r., atnaujinimas ir pritaikymas bendruomenės poreikiams</v>
      </c>
      <c r="E29" s="164" t="str">
        <f>CONCATENATE('3 pr-2'!E29)</f>
        <v xml:space="preserve">Varėnos rajono savivaldybės administracija </v>
      </c>
      <c r="F29" s="164" t="str">
        <f>CONCATENATE('3 pr-2'!F29)</f>
        <v>Lietuvos Respublikos žemės ūkio ministerija</v>
      </c>
      <c r="G29" s="164" t="str">
        <f>CONCATENATE('3 pr-2'!G29)</f>
        <v>Varėnos r. sav.</v>
      </c>
      <c r="H29" s="164" t="str">
        <f>CONCATENATE('3 pr-2'!H29)</f>
        <v xml:space="preserve">Pagrindinės paslaugos ir kaimų atnaujinimas kaimo vietovėse </v>
      </c>
      <c r="I29" s="164" t="str">
        <f>CONCATENATE('3 pr-2'!I29)</f>
        <v>R</v>
      </c>
      <c r="J29" s="164" t="str">
        <f>CONCATENATE('3 pr-2'!J29)</f>
        <v>-</v>
      </c>
      <c r="K29" s="1080">
        <f>IF(Z29&gt;0,'3 pr-2'!L29,0)</f>
        <v>250000</v>
      </c>
      <c r="L29" s="1080">
        <f>IF(Z29&gt;0,'3 pr-2'!O29,0)</f>
        <v>50000</v>
      </c>
      <c r="M29" s="1080">
        <f ca="1">IF(Z29&gt;0,'3 pr-2'!R29,0)</f>
        <v>0</v>
      </c>
      <c r="N29" s="1080">
        <f>IF(Z29&gt;0,'3 pr-2'!U29,0)</f>
        <v>0</v>
      </c>
      <c r="O29" s="1080">
        <f>IF(Z29&gt;0,'3 pr-2'!X29,0)</f>
        <v>0</v>
      </c>
      <c r="P29" s="1080">
        <f>IF(Z29&gt;0,'3 pr-2'!AA29,0)</f>
        <v>200000</v>
      </c>
      <c r="Q29" s="1080">
        <f t="shared" si="6"/>
        <v>0</v>
      </c>
      <c r="R29" s="1080">
        <f t="shared" si="7"/>
        <v>0</v>
      </c>
      <c r="S29" s="1080">
        <f t="shared" si="8"/>
        <v>200000</v>
      </c>
      <c r="T29" s="1080">
        <f t="shared" si="9"/>
        <v>0</v>
      </c>
      <c r="U29" s="1080">
        <f t="shared" si="10"/>
        <v>0</v>
      </c>
      <c r="V29" s="1164">
        <f>IF(Z29&gt;0,'3 pr-2'!$AB$10,0)</f>
        <v>0</v>
      </c>
      <c r="W29" s="1104">
        <f>SUM('3 pr-2'!AI29)</f>
        <v>43102</v>
      </c>
      <c r="X29" s="1104">
        <f t="shared" si="11"/>
        <v>43281</v>
      </c>
      <c r="Y29" s="992">
        <f t="shared" si="12"/>
        <v>-5.9666666666666668</v>
      </c>
      <c r="Z29" s="1341">
        <v>43281</v>
      </c>
      <c r="AA29" s="1249">
        <f t="shared" si="13"/>
        <v>-5.9666666666666668</v>
      </c>
      <c r="AB29" s="384">
        <f t="shared" si="14"/>
        <v>-5.8849315068493082</v>
      </c>
    </row>
    <row r="30" spans="1:30" ht="48.75">
      <c r="A30" s="164" t="str">
        <f>CONCATENATE('3 pr-2'!A30)</f>
        <v>1.1.1.1.21</v>
      </c>
      <c r="B30" s="221" t="str">
        <f>CONCATENATE('3 pr-2'!B30)</f>
        <v>R01-ZM72-120000-1121</v>
      </c>
      <c r="C30" s="361" t="str">
        <f>CONCATENATE('ketv. 2'!B29)</f>
        <v>20KI-KA-17-1-02364-PR001</v>
      </c>
      <c r="D30" s="164" t="str">
        <f>CONCATENATE('3 pr-2'!D30)</f>
        <v>Kaimo gyvenamųjų vietovių Lazdijų rajono savivaldybėje patrauklumo gerinimas</v>
      </c>
      <c r="E30" s="164" t="str">
        <f>CONCATENATE('3 pr-2'!E30)</f>
        <v>Lazdijų rajono savivaldybės administracija</v>
      </c>
      <c r="F30" s="164" t="str">
        <f>CONCATENATE('3 pr-2'!F30)</f>
        <v>Lietuvos Respublikos žemės ūkio ministerija</v>
      </c>
      <c r="G30" s="164" t="str">
        <f>CONCATENATE('3 pr-2'!G30)</f>
        <v>Lazdijų r. sav.</v>
      </c>
      <c r="H30" s="164" t="str">
        <f>CONCATENATE('3 pr-2'!H30)</f>
        <v xml:space="preserve">Pagrindinės paslaugos ir kaimų atnaujinimas kaimo vietovėse </v>
      </c>
      <c r="I30" s="164" t="str">
        <f>CONCATENATE('3 pr-2'!I30)</f>
        <v>R</v>
      </c>
      <c r="J30" s="164" t="str">
        <f>CONCATENATE('3 pr-2'!J30)</f>
        <v>-</v>
      </c>
      <c r="K30" s="1080">
        <f>IF(Z30&gt;0,'3 pr-2'!L30,0)</f>
        <v>170000</v>
      </c>
      <c r="L30" s="1080">
        <f>IF(Z30&gt;0,'3 pr-2'!O30,0)</f>
        <v>34000</v>
      </c>
      <c r="M30" s="1080">
        <f ca="1">IF(Z30&gt;0,'3 pr-2'!R30,0)</f>
        <v>0</v>
      </c>
      <c r="N30" s="1080">
        <f>IF(Z30&gt;0,'3 pr-2'!U30,0)</f>
        <v>0</v>
      </c>
      <c r="O30" s="1080">
        <f>IF(Z30&gt;0,'3 pr-2'!X30,0)</f>
        <v>0</v>
      </c>
      <c r="P30" s="1080">
        <f>IF(Z30&gt;0,'3 pr-2'!AA30,0)</f>
        <v>136000</v>
      </c>
      <c r="Q30" s="1080">
        <f t="shared" si="6"/>
        <v>0</v>
      </c>
      <c r="R30" s="1080">
        <f t="shared" si="7"/>
        <v>0</v>
      </c>
      <c r="S30" s="1080">
        <f t="shared" si="8"/>
        <v>136000</v>
      </c>
      <c r="T30" s="1080">
        <f t="shared" si="9"/>
        <v>0</v>
      </c>
      <c r="U30" s="1080">
        <f t="shared" si="10"/>
        <v>0</v>
      </c>
      <c r="V30" s="1164">
        <f>IF(Z30&gt;0,'3 pr-2'!$AB$10,0)</f>
        <v>0</v>
      </c>
      <c r="W30" s="1104">
        <f>SUM('3 pr-2'!AI30)</f>
        <v>43102</v>
      </c>
      <c r="X30" s="1104">
        <f t="shared" si="11"/>
        <v>43189</v>
      </c>
      <c r="Y30" s="992">
        <f t="shared" si="12"/>
        <v>-2.9</v>
      </c>
      <c r="Z30" s="1341">
        <v>43189</v>
      </c>
      <c r="AA30" s="1249">
        <f t="shared" si="13"/>
        <v>-2.9</v>
      </c>
      <c r="AB30" s="384">
        <f t="shared" si="14"/>
        <v>-2.8602739726027364</v>
      </c>
    </row>
    <row r="31" spans="1:30" ht="48.75">
      <c r="A31" s="164" t="str">
        <f>CONCATENATE('3 pr-2'!A31)</f>
        <v>1.1.1.1.22</v>
      </c>
      <c r="B31" s="221" t="str">
        <f>CONCATENATE('3 pr-2'!B31)</f>
        <v>R01-ZM72-120000-1122</v>
      </c>
      <c r="C31" s="361" t="str">
        <f>CONCATENATE('ketv. 2'!B30)</f>
        <v>20KI-KA-17-1-02241-PR001</v>
      </c>
      <c r="D31" s="164" t="str">
        <f>CONCATENATE('3 pr-2'!D31)</f>
        <v>Alytaus rajono Makniūnų kaimo šaligatvių atnaujinimas ir plėtra</v>
      </c>
      <c r="E31" s="164" t="str">
        <f>CONCATENATE('3 pr-2'!E31)</f>
        <v>Alytaus rajono savivaldybės administracija</v>
      </c>
      <c r="F31" s="164" t="str">
        <f>CONCATENATE('3 pr-2'!F31)</f>
        <v>Lietuvos Respublikos žemės ūkio ministerija</v>
      </c>
      <c r="G31" s="164" t="str">
        <f>CONCATENATE('3 pr-2'!G31)</f>
        <v>Alytaus r. sav.</v>
      </c>
      <c r="H31" s="164" t="str">
        <f>CONCATENATE('3 pr-2'!H31)</f>
        <v xml:space="preserve">Pagrindinės paslaugos ir kaimų atnaujinimas kaimo vietovėse </v>
      </c>
      <c r="I31" s="164" t="str">
        <f>CONCATENATE('3 pr-2'!I31)</f>
        <v>R</v>
      </c>
      <c r="J31" s="164" t="str">
        <f>CONCATENATE('3 pr-2'!J31)</f>
        <v>-</v>
      </c>
      <c r="K31" s="1080">
        <f>IF(Z31&gt;0,'3 pr-2'!L31,0)</f>
        <v>145772</v>
      </c>
      <c r="L31" s="1080">
        <f>IF(Z31&gt;0,'3 pr-2'!O31,0)</f>
        <v>88979</v>
      </c>
      <c r="M31" s="1080">
        <f ca="1">IF(Z31&gt;0,'3 pr-2'!R31,0)</f>
        <v>0</v>
      </c>
      <c r="N31" s="1080">
        <f>IF(Z31&gt;0,'3 pr-2'!U31,0)</f>
        <v>0</v>
      </c>
      <c r="O31" s="1080">
        <f>IF(Z31&gt;0,'3 pr-2'!X31,0)</f>
        <v>0</v>
      </c>
      <c r="P31" s="1080">
        <f>IF(Z31&gt;0,'3 pr-2'!AA31,0)</f>
        <v>56793</v>
      </c>
      <c r="Q31" s="1080">
        <f t="shared" si="6"/>
        <v>0</v>
      </c>
      <c r="R31" s="1080">
        <f t="shared" si="7"/>
        <v>0</v>
      </c>
      <c r="S31" s="1080">
        <f t="shared" si="8"/>
        <v>56793</v>
      </c>
      <c r="T31" s="1080">
        <f t="shared" si="9"/>
        <v>0</v>
      </c>
      <c r="U31" s="1080">
        <f t="shared" si="10"/>
        <v>0</v>
      </c>
      <c r="V31" s="1164">
        <f>IF(Z31&gt;0,'3 pr-2'!$AB$10,0)</f>
        <v>0</v>
      </c>
      <c r="W31" s="1104">
        <f>SUM('3 pr-2'!AI31)</f>
        <v>43102</v>
      </c>
      <c r="X31" s="1104">
        <f t="shared" si="11"/>
        <v>43465</v>
      </c>
      <c r="Y31" s="992">
        <f t="shared" si="12"/>
        <v>-12.1</v>
      </c>
      <c r="Z31" s="1341">
        <v>43465</v>
      </c>
      <c r="AA31" s="1249">
        <f t="shared" si="13"/>
        <v>-12.1</v>
      </c>
      <c r="AB31" s="384">
        <f t="shared" si="14"/>
        <v>-11.934246575342453</v>
      </c>
      <c r="AD31" s="620"/>
    </row>
    <row r="32" spans="1:30" ht="49.5" thickBot="1">
      <c r="A32" s="236" t="str">
        <f>CONCATENATE('3 pr-2'!A32)</f>
        <v>1.1.1.1.23</v>
      </c>
      <c r="B32" s="221" t="str">
        <f>CONCATENATE('3 pr-2'!B32)</f>
        <v>R01-ZM72-120000-1123</v>
      </c>
      <c r="C32" s="361" t="str">
        <f>CONCATENATE('ketv. 2'!B31)</f>
        <v>20KI-KA-17-1-</v>
      </c>
      <c r="D32" s="236" t="str">
        <f>CONCATENATE('3 pr-2'!D32)</f>
        <v>Varėnos r. Vazgirdonių kaimo Klevų gatvės įrengimas</v>
      </c>
      <c r="E32" s="236" t="str">
        <f>CONCATENATE('3 pr-2'!E32)</f>
        <v xml:space="preserve">Varėnos rajono savivaldybės administracija </v>
      </c>
      <c r="F32" s="236" t="str">
        <f>CONCATENATE('3 pr-2'!F32)</f>
        <v>Lietuvos Respublikos žemės ūkio ministerija</v>
      </c>
      <c r="G32" s="236" t="str">
        <f>CONCATENATE('3 pr-2'!G32)</f>
        <v>Varėnos r. sav.</v>
      </c>
      <c r="H32" s="236" t="str">
        <f>CONCATENATE('3 pr-2'!H32)</f>
        <v xml:space="preserve">Pagrindinės paslaugos ir kaimų atnaujinimas kaimo vietovėse </v>
      </c>
      <c r="I32" s="236" t="str">
        <f>CONCATENATE('3 pr-2'!I32)</f>
        <v>R</v>
      </c>
      <c r="J32" s="236" t="str">
        <f>CONCATENATE('3 pr-2'!J32)</f>
        <v>-</v>
      </c>
      <c r="K32" s="1163">
        <f>IF(Z32&gt;0,'3 pr-2'!L32,0)</f>
        <v>0</v>
      </c>
      <c r="L32" s="1163">
        <f>IF(Z32&gt;0,'3 pr-2'!O32,0)</f>
        <v>0</v>
      </c>
      <c r="M32" s="1163">
        <f>IF(Z32&gt;0,'3 pr-2'!R32,0)</f>
        <v>0</v>
      </c>
      <c r="N32" s="1163">
        <f>IF(Z32&gt;0,'3 pr-2'!U32,0)</f>
        <v>0</v>
      </c>
      <c r="O32" s="1163">
        <f>IF(Z32&gt;0,'3 pr-2'!X32,0)</f>
        <v>0</v>
      </c>
      <c r="P32" s="1163">
        <f>IF(Z32&gt;0,'3 pr-2'!AA32,0)</f>
        <v>0</v>
      </c>
      <c r="Q32" s="1163">
        <f t="shared" si="6"/>
        <v>0</v>
      </c>
      <c r="R32" s="1163">
        <f t="shared" si="7"/>
        <v>0</v>
      </c>
      <c r="S32" s="1163">
        <f t="shared" si="8"/>
        <v>0</v>
      </c>
      <c r="T32" s="1163">
        <f t="shared" si="9"/>
        <v>0</v>
      </c>
      <c r="U32" s="1163">
        <f t="shared" si="10"/>
        <v>0</v>
      </c>
      <c r="V32" s="1164">
        <f>IF(Z32&gt;0,'3 pr-2'!$AB$10,0)</f>
        <v>0</v>
      </c>
      <c r="W32" s="1114">
        <f>SUM('3 pr-2'!AI32)</f>
        <v>43102</v>
      </c>
      <c r="X32" s="1114" t="str">
        <f t="shared" si="11"/>
        <v>–</v>
      </c>
      <c r="Y32" s="992" t="str">
        <f t="shared" si="12"/>
        <v>–</v>
      </c>
      <c r="Z32" s="1342"/>
      <c r="AA32" s="1343" t="e">
        <f t="shared" si="13"/>
        <v>#VALUE!</v>
      </c>
      <c r="AB32" s="384" t="str">
        <f t="shared" si="14"/>
        <v>–</v>
      </c>
    </row>
    <row r="33" spans="1:29" ht="39" customHeight="1" thickBot="1">
      <c r="A33" s="296" t="str">
        <f>CONCATENATE('3 pr-2'!A33)</f>
        <v>1.1.1.2</v>
      </c>
      <c r="B33" s="2088" t="str">
        <f>CONCATENATE('3 pr-2'!B33)</f>
        <v>Priemonė:
Kaimo gyvenamųjų vietovių (turinčių 1-6 tūkst. gyventojų) atnaujinimas ir plėtra</v>
      </c>
      <c r="C33" s="2089"/>
      <c r="D33" s="2089"/>
      <c r="E33" s="2089"/>
      <c r="F33" s="2089"/>
      <c r="G33" s="2089"/>
      <c r="H33" s="2089"/>
      <c r="I33" s="2089"/>
      <c r="J33" s="2090"/>
      <c r="K33" s="1077">
        <f>SUM(K34:K38)</f>
        <v>2673858.7999999998</v>
      </c>
      <c r="L33" s="1077">
        <f t="shared" ref="L33:P33" si="15">SUM(L34:L38)</f>
        <v>574103.41999999993</v>
      </c>
      <c r="M33" s="1077">
        <f t="shared" si="15"/>
        <v>170250.74</v>
      </c>
      <c r="N33" s="1077">
        <f t="shared" si="15"/>
        <v>0</v>
      </c>
      <c r="O33" s="1077">
        <f t="shared" si="15"/>
        <v>0</v>
      </c>
      <c r="P33" s="1077">
        <f t="shared" si="15"/>
        <v>1929504.6400000001</v>
      </c>
      <c r="Q33" s="1209">
        <f>SUM(Q34:Q38)</f>
        <v>0</v>
      </c>
      <c r="R33" s="1210">
        <f t="shared" ref="R33:V33" si="16">SUM(R34:R38)</f>
        <v>0</v>
      </c>
      <c r="S33" s="1209">
        <f t="shared" si="16"/>
        <v>1929504.6400000001</v>
      </c>
      <c r="T33" s="1210">
        <f t="shared" si="16"/>
        <v>0</v>
      </c>
      <c r="U33" s="1211">
        <f t="shared" si="16"/>
        <v>0</v>
      </c>
      <c r="V33" s="1077">
        <f t="shared" si="16"/>
        <v>0</v>
      </c>
      <c r="W33" s="1150" t="s">
        <v>679</v>
      </c>
      <c r="X33" s="1150" t="str">
        <f t="shared" si="11"/>
        <v> </v>
      </c>
      <c r="Y33" s="1150" t="str">
        <f t="shared" ref="Y33:Y46" si="17">IF(ISTEXT(Z33),"–",AA33)</f>
        <v>–</v>
      </c>
      <c r="Z33" s="1344" t="s">
        <v>679</v>
      </c>
      <c r="AA33" s="1338" t="e">
        <f t="shared" si="13"/>
        <v>#VALUE!</v>
      </c>
      <c r="AB33" s="356"/>
    </row>
    <row r="34" spans="1:29" ht="48.75">
      <c r="A34" s="221" t="str">
        <f>CONCATENATE('3 pr-2'!A34)</f>
        <v>1.1.1.2.1</v>
      </c>
      <c r="B34" s="221" t="str">
        <f>CONCATENATE('3 pr-2'!B34)</f>
        <v>R01-9908-293400-1121</v>
      </c>
      <c r="C34" s="361" t="str">
        <f>CONCATENATE('ketv. 2'!B33)</f>
        <v>08.2.1-CPVA-R-908-11-0002</v>
      </c>
      <c r="D34" s="221" t="str">
        <f>CONCATENATE('3 pr-2'!D34)</f>
        <v>Matuizų kaimo viešosios infrastruktūros atnaujinimas ir pritaikymas bendruomenės poreikiams</v>
      </c>
      <c r="E34" s="221" t="str">
        <f>CONCATENATE('3 pr-2'!E34)</f>
        <v>Varėnos rajono savivaldybės administracija</v>
      </c>
      <c r="F34" s="221" t="str">
        <f>CONCATENATE('3 pr-2'!F34)</f>
        <v>Lietuvos Respublikos vidaus reikalų ministerija</v>
      </c>
      <c r="G34" s="221" t="str">
        <f>CONCATENATE('3 pr-2'!G34)</f>
        <v>Varėnos r. sav.</v>
      </c>
      <c r="H34" s="221" t="str">
        <f>CONCATENATE('3 pr-2'!H34)</f>
        <v>8.2.1-CPVA-R-908</v>
      </c>
      <c r="I34" s="221" t="str">
        <f>CONCATENATE('3 pr-2'!I34)</f>
        <v>R</v>
      </c>
      <c r="J34" s="221" t="str">
        <f>CONCATENATE('3 pr-2'!J34)</f>
        <v>-</v>
      </c>
      <c r="K34" s="1164">
        <f>IF(Z34&gt;0,'3 pr-2'!L34,0)</f>
        <v>815537.61</v>
      </c>
      <c r="L34" s="1164">
        <f>IF(Z34&gt;0,'3 pr-2'!O34,0)</f>
        <v>285195.61</v>
      </c>
      <c r="M34" s="1164">
        <f>IF(Z34&gt;0,'3 pr-2'!R34,0)</f>
        <v>43001</v>
      </c>
      <c r="N34" s="1164">
        <f>IF(Z34&gt;0,'3 pr-2'!U34,0)</f>
        <v>0</v>
      </c>
      <c r="O34" s="1164">
        <f>IF(Z34&gt;0,'3 pr-2'!X34,0)</f>
        <v>0</v>
      </c>
      <c r="P34" s="1164">
        <f>IF(Z34&gt;0,'3 pr-2'!AA34,0)</f>
        <v>487341</v>
      </c>
      <c r="Q34" s="1164">
        <f>IF(YEAR(Z34)=2016,P34,0)</f>
        <v>0</v>
      </c>
      <c r="R34" s="1164">
        <f>IF(YEAR(Z34)=2017,P34,0)</f>
        <v>0</v>
      </c>
      <c r="S34" s="1164">
        <f>IF(YEAR(Z34)=2018,P34,0)</f>
        <v>487341</v>
      </c>
      <c r="T34" s="1164">
        <f>IF(YEAR(Z34)=2019,P34,0)</f>
        <v>0</v>
      </c>
      <c r="U34" s="1164">
        <f>IF(YEAR(Z34)=2020,P34,0)</f>
        <v>0</v>
      </c>
      <c r="V34" s="1164">
        <f>IF(Z34&gt;0,'3 pr-2'!$AB$10,0)</f>
        <v>0</v>
      </c>
      <c r="W34" s="1132">
        <f>SUM('3 pr-2'!AI34)</f>
        <v>43281</v>
      </c>
      <c r="X34" s="1132">
        <f t="shared" si="11"/>
        <v>43279</v>
      </c>
      <c r="Y34" s="992" t="str">
        <f t="shared" ref="Y34:Y38" si="18">IF(ISTEXT(X34),"–",IF((W34-X34)/30&gt;0,"–",(W34-X34)/30))</f>
        <v>–</v>
      </c>
      <c r="Z34" s="1339">
        <f>SUMIF(Projektu_sutarciu_ataskaita!$J$19:$J$600,C34,Projektu_sutarciu_ataskaita!$L$19:$L$600)</f>
        <v>43279</v>
      </c>
      <c r="AA34" s="1340">
        <f t="shared" si="13"/>
        <v>6.6666666666666666E-2</v>
      </c>
      <c r="AB34" s="384" t="str">
        <f t="shared" ref="AB34:AB38" si="19">IF(W34-Z34&lt;0,(W34-Z34)/30.4166666666667,"–")</f>
        <v>–</v>
      </c>
    </row>
    <row r="35" spans="1:29" ht="48.75">
      <c r="A35" s="164" t="str">
        <f>CONCATENATE('3 pr-2'!A35)</f>
        <v>1.1.1.2.2</v>
      </c>
      <c r="B35" s="221" t="str">
        <f>CONCATENATE('3 pr-2'!B35)</f>
        <v>R01-9908-290000-1122</v>
      </c>
      <c r="C35" s="361" t="str">
        <f>CONCATENATE('ketv. 2'!B34)</f>
        <v>08.2.1-CPVA-R-908-11-0001</v>
      </c>
      <c r="D35" s="164" t="str">
        <f>CONCATENATE('3 pr-2'!D35)</f>
        <v>Senosios Varėnos kaimo viešosios infrastruktūros atnaujinimas ir pritaikymas bendruomenės poreikiams</v>
      </c>
      <c r="E35" s="164" t="str">
        <f>CONCATENATE('3 pr-2'!E35)</f>
        <v>Varėnos rajono savivaldybės administracija</v>
      </c>
      <c r="F35" s="164" t="str">
        <f>CONCATENATE('3 pr-2'!F35)</f>
        <v>Lietuvos Respublikos vidaus reikalų ministerija</v>
      </c>
      <c r="G35" s="164" t="str">
        <f>CONCATENATE('3 pr-2'!G35)</f>
        <v>Varėnos r. sav.</v>
      </c>
      <c r="H35" s="164" t="str">
        <f>CONCATENATE('3 pr-2'!H35)</f>
        <v>8.2.1-CPVA-R-908</v>
      </c>
      <c r="I35" s="164" t="str">
        <f>CONCATENATE('3 pr-2'!I35)</f>
        <v>R</v>
      </c>
      <c r="J35" s="164" t="str">
        <f>CONCATENATE('3 pr-2'!J35)</f>
        <v>-</v>
      </c>
      <c r="K35" s="1080">
        <f>IF(Z35&gt;0,'3 pr-2'!L35,0)</f>
        <v>605024.19999999995</v>
      </c>
      <c r="L35" s="1080">
        <f>IF(Z35&gt;0,'3 pr-2'!O35,0)</f>
        <v>45376.82</v>
      </c>
      <c r="M35" s="1080">
        <f>IF(Z35&gt;0,'3 pr-2'!R35,0)</f>
        <v>45376.81</v>
      </c>
      <c r="N35" s="1080">
        <f>IF(Z35&gt;0,'3 pr-2'!U35,0)</f>
        <v>0</v>
      </c>
      <c r="O35" s="1080">
        <f>IF(Z35&gt;0,'3 pr-2'!X35,0)</f>
        <v>0</v>
      </c>
      <c r="P35" s="1080">
        <f>IF(Z35&gt;0,'3 pr-2'!AA35,0)</f>
        <v>514270.57</v>
      </c>
      <c r="Q35" s="1080">
        <f>IF(YEAR(Z35)=2016,P35,0)</f>
        <v>0</v>
      </c>
      <c r="R35" s="1080">
        <f>IF(YEAR(Z35)=2017,P35,0)</f>
        <v>0</v>
      </c>
      <c r="S35" s="1080">
        <f>IF(YEAR(Z35)=2018,P35,0)</f>
        <v>514270.57</v>
      </c>
      <c r="T35" s="1080">
        <f>IF(YEAR(Z35)=2019,P35,0)</f>
        <v>0</v>
      </c>
      <c r="U35" s="1080">
        <f>IF(YEAR(Z35)=2020,P35,0)</f>
        <v>0</v>
      </c>
      <c r="V35" s="1164">
        <f>IF(Z35&gt;0,'3 pr-2'!$AB$10,0)</f>
        <v>0</v>
      </c>
      <c r="W35" s="1104">
        <f>SUM('3 pr-2'!AI35)</f>
        <v>43131</v>
      </c>
      <c r="X35" s="1132">
        <f t="shared" si="11"/>
        <v>43125</v>
      </c>
      <c r="Y35" s="992" t="str">
        <f t="shared" si="18"/>
        <v>–</v>
      </c>
      <c r="Z35" s="1339">
        <f>SUMIF(Projektu_sutarciu_ataskaita!$J$19:$J$600,C35,Projektu_sutarciu_ataskaita!$L$19:$L$600)</f>
        <v>43125</v>
      </c>
      <c r="AA35" s="1249">
        <f t="shared" si="13"/>
        <v>0.2</v>
      </c>
      <c r="AB35" s="384" t="str">
        <f t="shared" si="19"/>
        <v>–</v>
      </c>
    </row>
    <row r="36" spans="1:29" ht="48.75">
      <c r="A36" s="164" t="str">
        <f>CONCATENATE('3 pr-2'!A36)</f>
        <v>1.1.1.2.3</v>
      </c>
      <c r="B36" s="221" t="str">
        <f>CONCATENATE('3 pr-2'!B36)</f>
        <v>R01-9908-290000-1123</v>
      </c>
      <c r="C36" s="361" t="str">
        <f>CONCATENATE('ketv. 2'!B35)</f>
        <v>08.2.1-CPVA-R-908-11-0005</v>
      </c>
      <c r="D36" s="164" t="str">
        <f>CONCATENATE('3 pr-2'!D36)</f>
        <v>Kompleksinė Miklusėnų gyvenvietės plėtra</v>
      </c>
      <c r="E36" s="164" t="str">
        <f>CONCATENATE('3 pr-2'!E36)</f>
        <v>Alytaus rajono savivaldybės administracija</v>
      </c>
      <c r="F36" s="164" t="str">
        <f>CONCATENATE('3 pr-2'!F36)</f>
        <v>Lietuvos Respublikos vidaus reikalų ministerija</v>
      </c>
      <c r="G36" s="164" t="str">
        <f>CONCATENATE('3 pr-2'!G36)</f>
        <v>Alytaus r. sav.</v>
      </c>
      <c r="H36" s="164" t="str">
        <f>CONCATENATE('3 pr-2'!H36)</f>
        <v>8.2.1-CPVA-R-908</v>
      </c>
      <c r="I36" s="164" t="str">
        <f>CONCATENATE('3 pr-2'!I36)</f>
        <v>R</v>
      </c>
      <c r="J36" s="164" t="str">
        <f>CONCATENATE('3 pr-2'!J36)</f>
        <v>-</v>
      </c>
      <c r="K36" s="1080">
        <f>IF(Z36&gt;0,'3 pr-2'!L36,0)</f>
        <v>0</v>
      </c>
      <c r="L36" s="1080">
        <f>IF(Z36&gt;0,'3 pr-2'!O36,0)</f>
        <v>0</v>
      </c>
      <c r="M36" s="1080">
        <f>IF(Z36&gt;0,'3 pr-2'!R36,0)</f>
        <v>0</v>
      </c>
      <c r="N36" s="1080">
        <f>IF(Z36&gt;0,'3 pr-2'!U36,0)</f>
        <v>0</v>
      </c>
      <c r="O36" s="1080">
        <f>IF(Z36&gt;0,'3 pr-2'!X36,0)</f>
        <v>0</v>
      </c>
      <c r="P36" s="1080">
        <f>IF(Z36&gt;0,'3 pr-2'!AA36,0)</f>
        <v>0</v>
      </c>
      <c r="Q36" s="1080">
        <f>IF(YEAR(Z36)=2016,P36,0)</f>
        <v>0</v>
      </c>
      <c r="R36" s="1080">
        <f>IF(YEAR(Z36)=2017,P36,0)</f>
        <v>0</v>
      </c>
      <c r="S36" s="1080">
        <f>IF(YEAR(Z36)=2018,P36,0)</f>
        <v>0</v>
      </c>
      <c r="T36" s="1080">
        <f>IF(YEAR(Z36)=2019,P36,0)</f>
        <v>0</v>
      </c>
      <c r="U36" s="1080">
        <f>IF(YEAR(Z36)=2020,P36,0)</f>
        <v>0</v>
      </c>
      <c r="V36" s="1164">
        <f>IF(Z36&gt;0,'3 pr-2'!$AB$10,0)</f>
        <v>0</v>
      </c>
      <c r="W36" s="1104">
        <f>SUM('3 pr-2'!AI36)</f>
        <v>43646</v>
      </c>
      <c r="X36" s="1132" t="str">
        <f t="shared" si="11"/>
        <v>–</v>
      </c>
      <c r="Y36" s="992" t="str">
        <f t="shared" si="18"/>
        <v>–</v>
      </c>
      <c r="Z36" s="1339">
        <f>SUMIF(Projektu_sutarciu_ataskaita!$J$19:$J$600,C36,Projektu_sutarciu_ataskaita!$L$19:$L$600)</f>
        <v>0</v>
      </c>
      <c r="AA36" s="1249" t="e">
        <f t="shared" si="13"/>
        <v>#VALUE!</v>
      </c>
      <c r="AB36" s="384" t="str">
        <f t="shared" si="19"/>
        <v>–</v>
      </c>
    </row>
    <row r="37" spans="1:29" ht="48.75">
      <c r="A37" s="164" t="str">
        <f>CONCATENATE('3 pr-2'!A37)</f>
        <v>1.1.1.2.4</v>
      </c>
      <c r="B37" s="221" t="str">
        <f>CONCATENATE('3 pr-2'!B37)</f>
        <v>R01-9908-290000-1124</v>
      </c>
      <c r="C37" s="361" t="str">
        <f>CONCATENATE('ketv. 2'!B36)</f>
        <v>08.2.1-CPVA-R-908-11-0003</v>
      </c>
      <c r="D37" s="164" t="str">
        <f>CONCATENATE('3 pr-2'!D37)</f>
        <v>Leipalingio viešosios erdvės pritaikymas bendruomenės poreikiams</v>
      </c>
      <c r="E37" s="164" t="str">
        <f>CONCATENATE('3 pr-2'!E37)</f>
        <v xml:space="preserve">Druskininkų savivaldybės administracija  </v>
      </c>
      <c r="F37" s="164" t="str">
        <f>CONCATENATE('3 pr-2'!F37)</f>
        <v>Lietuvos Respublikos vidaus reikalų ministerija</v>
      </c>
      <c r="G37" s="164" t="str">
        <f>CONCATENATE('3 pr-2'!G37)</f>
        <v>Druskininkų sav.</v>
      </c>
      <c r="H37" s="164" t="str">
        <f>CONCATENATE('3 pr-2'!H37)</f>
        <v>8.2.1-CPVA-R-908</v>
      </c>
      <c r="I37" s="164" t="str">
        <f>CONCATENATE('3 pr-2'!I37)</f>
        <v>R</v>
      </c>
      <c r="J37" s="164" t="str">
        <f>CONCATENATE('3 pr-2'!J37)</f>
        <v>-</v>
      </c>
      <c r="K37" s="1080">
        <f>IF(Z37&gt;0,'3 pr-2'!L37,0)</f>
        <v>579418.99</v>
      </c>
      <c r="L37" s="1080">
        <f>IF(Z37&gt;0,'3 pr-2'!O37,0)</f>
        <v>192989.99</v>
      </c>
      <c r="M37" s="1080">
        <f>IF(Z37&gt;0,'3 pr-2'!R37,0)</f>
        <v>31332.09</v>
      </c>
      <c r="N37" s="1080">
        <f>IF(Z37&gt;0,'3 pr-2'!U37,0)</f>
        <v>0</v>
      </c>
      <c r="O37" s="1080">
        <f>IF(Z37&gt;0,'3 pr-2'!X37,0)</f>
        <v>0</v>
      </c>
      <c r="P37" s="1080">
        <f>IF(Z37&gt;0,'3 pr-2'!AA37,0)</f>
        <v>355096.91</v>
      </c>
      <c r="Q37" s="1080">
        <f>IF(YEAR(Z37)=2016,P37,0)</f>
        <v>0</v>
      </c>
      <c r="R37" s="1080">
        <f>IF(YEAR(Z37)=2017,P37,0)</f>
        <v>0</v>
      </c>
      <c r="S37" s="1080">
        <f>IF(YEAR(Z37)=2018,P37,0)</f>
        <v>355096.91</v>
      </c>
      <c r="T37" s="1080">
        <f>IF(YEAR(Z37)=2019,P37,0)</f>
        <v>0</v>
      </c>
      <c r="U37" s="1080">
        <f>IF(YEAR(Z37)=2020,P37,0)</f>
        <v>0</v>
      </c>
      <c r="V37" s="1164">
        <f>IF(Z37&gt;0,'3 pr-2'!$AB$10,0)</f>
        <v>0</v>
      </c>
      <c r="W37" s="1104">
        <f>SUM('3 pr-2'!AI37)</f>
        <v>43327</v>
      </c>
      <c r="X37" s="1132">
        <f t="shared" si="11"/>
        <v>43328</v>
      </c>
      <c r="Y37" s="992">
        <f t="shared" si="18"/>
        <v>-3.3333333333333333E-2</v>
      </c>
      <c r="Z37" s="1339">
        <f>SUMIF(Projektu_sutarciu_ataskaita!$J$19:$J$600,C37,Projektu_sutarciu_ataskaita!$L$19:$L$600)</f>
        <v>43328</v>
      </c>
      <c r="AA37" s="1249">
        <f t="shared" si="13"/>
        <v>-3.3333333333333333E-2</v>
      </c>
      <c r="AB37" s="384">
        <f t="shared" si="19"/>
        <v>-3.2876712328767085E-2</v>
      </c>
    </row>
    <row r="38" spans="1:29" ht="49.5" thickBot="1">
      <c r="A38" s="236" t="str">
        <f>CONCATENATE('3 pr-2'!A38)</f>
        <v>1.1.1.2.5</v>
      </c>
      <c r="B38" s="221" t="str">
        <f>CONCATENATE('3 pr-2'!B38)</f>
        <v>R01-9908-290000-1125</v>
      </c>
      <c r="C38" s="361" t="str">
        <f>CONCATENATE('ketv. 2'!B37)</f>
        <v>08.2.1-CPVA-R-908-11-0004</v>
      </c>
      <c r="D38" s="236" t="str">
        <f>CONCATENATE('3 pr-2'!D38)</f>
        <v>Viečiūnų viešosios erdvės pritaikymas bendruomenės poreikiams</v>
      </c>
      <c r="E38" s="236" t="str">
        <f>CONCATENATE('3 pr-2'!E38)</f>
        <v xml:space="preserve">Druskininkų savivaldybės administracija  </v>
      </c>
      <c r="F38" s="236" t="str">
        <f>CONCATENATE('3 pr-2'!F38)</f>
        <v>Lietuvos Respublikos vidaus reikalų ministerija</v>
      </c>
      <c r="G38" s="236" t="str">
        <f>CONCATENATE('3 pr-2'!G38)</f>
        <v>Druskininkų sav.</v>
      </c>
      <c r="H38" s="236" t="str">
        <f>CONCATENATE('3 pr-2'!H38)</f>
        <v>8.2.1-CPVA-R-908</v>
      </c>
      <c r="I38" s="236" t="str">
        <f>CONCATENATE('3 pr-2'!I38)</f>
        <v>R</v>
      </c>
      <c r="J38" s="236" t="str">
        <f>CONCATENATE('3 pr-2'!J38)</f>
        <v>-</v>
      </c>
      <c r="K38" s="1163">
        <f>IF(Z38&gt;0,'3 pr-2'!L38,0)</f>
        <v>673878</v>
      </c>
      <c r="L38" s="1163">
        <f>IF(Z38&gt;0,'3 pr-2'!O38,0)</f>
        <v>50541</v>
      </c>
      <c r="M38" s="1163">
        <f>IF(Z38&gt;0,'3 pr-2'!R38,0)</f>
        <v>50540.84</v>
      </c>
      <c r="N38" s="1163">
        <f>IF(Z38&gt;0,'3 pr-2'!U38,0)</f>
        <v>0</v>
      </c>
      <c r="O38" s="1163">
        <f>IF(Z38&gt;0,'3 pr-2'!X38,0)</f>
        <v>0</v>
      </c>
      <c r="P38" s="1163">
        <f>IF(Z38&gt;0,'3 pr-2'!AA38,0)</f>
        <v>572796.16000000003</v>
      </c>
      <c r="Q38" s="1163">
        <f>IF(YEAR(Z38)=2016,P38,0)</f>
        <v>0</v>
      </c>
      <c r="R38" s="1163">
        <f>IF(YEAR(Z38)=2017,P38,0)</f>
        <v>0</v>
      </c>
      <c r="S38" s="1163">
        <f>IF(YEAR(Z38)=2018,P38,0)</f>
        <v>572796.16000000003</v>
      </c>
      <c r="T38" s="1163">
        <f>IF(YEAR(Z38)=2019,P38,0)</f>
        <v>0</v>
      </c>
      <c r="U38" s="1163">
        <f>IF(YEAR(Z38)=2020,P38,0)</f>
        <v>0</v>
      </c>
      <c r="V38" s="1164">
        <f>IF(Z38&gt;0,'3 pr-2'!$AB$10,0)</f>
        <v>0</v>
      </c>
      <c r="W38" s="1114">
        <f>SUM('3 pr-2'!AI38)</f>
        <v>43312</v>
      </c>
      <c r="X38" s="1328">
        <f t="shared" si="11"/>
        <v>43333</v>
      </c>
      <c r="Y38" s="992">
        <f t="shared" si="18"/>
        <v>-0.7</v>
      </c>
      <c r="Z38" s="1339">
        <f>SUMIF(Projektu_sutarciu_ataskaita!$J$19:$J$600,C38,Projektu_sutarciu_ataskaita!$L$19:$L$600)</f>
        <v>43333</v>
      </c>
      <c r="AA38" s="1343">
        <f t="shared" si="13"/>
        <v>-0.7</v>
      </c>
      <c r="AB38" s="384">
        <f t="shared" si="19"/>
        <v>-0.69041095890410886</v>
      </c>
      <c r="AC38" s="1319"/>
    </row>
    <row r="39" spans="1:29" ht="30.75" customHeight="1" thickBot="1">
      <c r="A39" s="296" t="str">
        <f>CONCATENATE('3 pr-2'!A39)</f>
        <v>1.1.1.3</v>
      </c>
      <c r="B39" s="2088" t="str">
        <f>CONCATENATE('3 pr-2'!B39)</f>
        <v>Priemonė:
Varėnos miesto kompleksinė plėtra</v>
      </c>
      <c r="C39" s="2089"/>
      <c r="D39" s="2089"/>
      <c r="E39" s="2089"/>
      <c r="F39" s="2089"/>
      <c r="G39" s="2089"/>
      <c r="H39" s="2089"/>
      <c r="I39" s="2089"/>
      <c r="J39" s="2090"/>
      <c r="K39" s="1077">
        <f>SUM(K40:K45)</f>
        <v>4359732.13</v>
      </c>
      <c r="L39" s="1077">
        <f t="shared" ref="L39:P39" si="20">SUM(L40:L45)</f>
        <v>336200.36</v>
      </c>
      <c r="M39" s="1077">
        <f t="shared" si="20"/>
        <v>326232.31000000006</v>
      </c>
      <c r="N39" s="1077">
        <f t="shared" si="20"/>
        <v>0</v>
      </c>
      <c r="O39" s="1077">
        <f t="shared" si="20"/>
        <v>0</v>
      </c>
      <c r="P39" s="1077">
        <f t="shared" si="20"/>
        <v>3697299.46</v>
      </c>
      <c r="Q39" s="1209">
        <f>SUM(Q40:Q44)</f>
        <v>1289301.81</v>
      </c>
      <c r="R39" s="1210">
        <f t="shared" ref="R39:U39" si="21">SUM(R40:R44)</f>
        <v>685370</v>
      </c>
      <c r="S39" s="1209">
        <f t="shared" si="21"/>
        <v>1310838.5900000001</v>
      </c>
      <c r="T39" s="1210">
        <f t="shared" si="21"/>
        <v>0</v>
      </c>
      <c r="U39" s="1211">
        <f t="shared" si="21"/>
        <v>0</v>
      </c>
      <c r="V39" s="1077">
        <f t="shared" ref="V39" si="22">SUM(V40:V45)</f>
        <v>0</v>
      </c>
      <c r="W39" s="1150" t="s">
        <v>679</v>
      </c>
      <c r="X39" s="1150" t="str">
        <f t="shared" si="11"/>
        <v> </v>
      </c>
      <c r="Y39" s="1150" t="str">
        <f t="shared" si="17"/>
        <v>–</v>
      </c>
      <c r="Z39" s="1344" t="s">
        <v>679</v>
      </c>
      <c r="AA39" s="1338" t="e">
        <f t="shared" si="13"/>
        <v>#VALUE!</v>
      </c>
      <c r="AB39" s="356"/>
    </row>
    <row r="40" spans="1:29" ht="48.75">
      <c r="A40" s="221" t="str">
        <f>CONCATENATE('3 pr-2'!A40)</f>
        <v>1.1.1.3.1</v>
      </c>
      <c r="B40" s="221" t="str">
        <f>CONCATENATE('3 pr-2'!B40)</f>
        <v>R01-9905-290000-1131</v>
      </c>
      <c r="C40" s="361" t="str">
        <f>CONCATENATE('ketv. 2'!B39)</f>
        <v>07.1.1-CPVA-R-905-11-0001</v>
      </c>
      <c r="D40" s="221" t="str">
        <f>CONCATENATE('3 pr-2'!D40)</f>
        <v>Varėnos miesto centrinės dalies modernizavimas ir pritaikymas visuomenės poreikiams (I etapas)</v>
      </c>
      <c r="E40" s="221" t="str">
        <f>CONCATENATE('3 pr-2'!E40)</f>
        <v>Varėnos rajono savivaldybės administracija</v>
      </c>
      <c r="F40" s="221" t="str">
        <f>CONCATENATE('3 pr-2'!F40)</f>
        <v>Lietuvos Respublikos vidaus reikalų ministerija</v>
      </c>
      <c r="G40" s="221" t="str">
        <f>CONCATENATE('3 pr-2'!G40)</f>
        <v>Varėnos r. sav.</v>
      </c>
      <c r="H40" s="221" t="str">
        <f>CONCATENATE('3 pr-2'!H40)</f>
        <v xml:space="preserve">07.1.1-CPVA-R-905 </v>
      </c>
      <c r="I40" s="221" t="str">
        <f>CONCATENATE('3 pr-2'!I40)</f>
        <v>R</v>
      </c>
      <c r="J40" s="221" t="str">
        <f>CONCATENATE('3 pr-2'!J40)</f>
        <v>ITI</v>
      </c>
      <c r="K40" s="1164">
        <f>IF(Z40&gt;0,'3 pr-2'!L40,0)</f>
        <v>1516825.67</v>
      </c>
      <c r="L40" s="1164">
        <f>IF(Z40&gt;0,'3 pr-2'!O40,0)</f>
        <v>113761.94</v>
      </c>
      <c r="M40" s="1164">
        <f>IF(Z40&gt;0,'3 pr-2'!R40,0)</f>
        <v>113761.92</v>
      </c>
      <c r="N40" s="1164">
        <f>IF(Z40&gt;0,'3 pr-2'!U40,0)</f>
        <v>0</v>
      </c>
      <c r="O40" s="1164">
        <f>IF(Z40&gt;0,'3 pr-2'!X40,0)</f>
        <v>0</v>
      </c>
      <c r="P40" s="1164">
        <f>IF(Z40&gt;0,'3 pr-2'!AA40,0)</f>
        <v>1289301.81</v>
      </c>
      <c r="Q40" s="1164">
        <f t="shared" ref="Q40:Q45" si="23">IF(YEAR(Z40)=2016,P40,0)</f>
        <v>1289301.81</v>
      </c>
      <c r="R40" s="1164">
        <f t="shared" ref="R40:R45" si="24">IF(YEAR(Z40)=2017,P40,0)</f>
        <v>0</v>
      </c>
      <c r="S40" s="1164">
        <f t="shared" ref="S40:S45" si="25">IF(YEAR(Z40)=2018,P40,0)</f>
        <v>0</v>
      </c>
      <c r="T40" s="1164">
        <f t="shared" ref="T40:T45" si="26">IF(YEAR(Z40)=2019,P40,0)</f>
        <v>0</v>
      </c>
      <c r="U40" s="1164">
        <f t="shared" ref="U40:U45" si="27">IF(YEAR(Z40)=2020,P40,0)</f>
        <v>0</v>
      </c>
      <c r="V40" s="1164">
        <f>IF(Z40&gt;0,'3 pr-2'!$AB$10,0)</f>
        <v>0</v>
      </c>
      <c r="W40" s="1132">
        <f>SUM('3 pr-2'!AI40)</f>
        <v>42735</v>
      </c>
      <c r="X40" s="1132">
        <f t="shared" si="11"/>
        <v>42733</v>
      </c>
      <c r="Y40" s="992" t="str">
        <f t="shared" ref="Y40:Y45" si="28">IF(ISTEXT(X40),"–",IF((W40-X40)/30&gt;0,"–",(W40-X40)/30))</f>
        <v>–</v>
      </c>
      <c r="Z40" s="1339">
        <f>SUMIF(Projektu_sutarciu_ataskaita!$J$19:$J$600,C40,Projektu_sutarciu_ataskaita!$L$19:$L$600)</f>
        <v>42733</v>
      </c>
      <c r="AA40" s="1340">
        <f t="shared" si="13"/>
        <v>6.6666666666666666E-2</v>
      </c>
      <c r="AB40" s="384" t="str">
        <f t="shared" ref="AB40:AB45" si="29">IF(W40-Z40&lt;0,(W40-Z40)/30.4166666666667,"–")</f>
        <v>–</v>
      </c>
      <c r="AC40" s="245"/>
    </row>
    <row r="41" spans="1:29" ht="48.75">
      <c r="A41" s="164" t="str">
        <f>CONCATENATE('3 pr-2'!A41)</f>
        <v>1.1.1.3.2</v>
      </c>
      <c r="B41" s="221" t="str">
        <f>CONCATENATE('3 pr-2'!B41)</f>
        <v>R01-9905-282900-1132</v>
      </c>
      <c r="C41" s="281" t="str">
        <f>CONCATENATE('ketv. 2'!B40)</f>
        <v>07.1.1-CPVA-R-905-11-0002</v>
      </c>
      <c r="D41" s="164" t="str">
        <f>CONCATENATE('3 pr-2'!D41)</f>
        <v>Varėnos miesto centrinės dalies modernizavimas ir pritaikymas visuomenės poreikiams (II etapas)</v>
      </c>
      <c r="E41" s="164" t="str">
        <f>CONCATENATE('3 pr-2'!E41)</f>
        <v>Varėnos rajono savivaldybės administracija</v>
      </c>
      <c r="F41" s="164" t="str">
        <f>CONCATENATE('3 pr-2'!F41)</f>
        <v>Lietuvos Respublikos vidaus reikalų ministerija</v>
      </c>
      <c r="G41" s="164" t="str">
        <f>CONCATENATE('3 pr-2'!G41)</f>
        <v>Varėnos r. sav.</v>
      </c>
      <c r="H41" s="164" t="str">
        <f>CONCATENATE('3 pr-2'!H41)</f>
        <v xml:space="preserve">07.1.1-CPVA-R-905 </v>
      </c>
      <c r="I41" s="164" t="str">
        <f>CONCATENATE('3 pr-2'!I41)</f>
        <v>R</v>
      </c>
      <c r="J41" s="164" t="str">
        <f>CONCATENATE('3 pr-2'!J41)</f>
        <v>ITI</v>
      </c>
      <c r="K41" s="1080">
        <f>IF(Z41&gt;0,'3 pr-2'!L41,0)</f>
        <v>815103</v>
      </c>
      <c r="L41" s="1080">
        <f>IF(Z41&gt;0,'3 pr-2'!O41,0)</f>
        <v>69259</v>
      </c>
      <c r="M41" s="1080">
        <f>IF(Z41&gt;0,'3 pr-2'!R41,0)</f>
        <v>60474</v>
      </c>
      <c r="N41" s="1080">
        <f>IF(Z41&gt;0,'3 pr-2'!U41,0)</f>
        <v>0</v>
      </c>
      <c r="O41" s="1080">
        <f>IF(Z41&gt;0,'3 pr-2'!X41,0)</f>
        <v>0</v>
      </c>
      <c r="P41" s="1080">
        <f>IF(Z41&gt;0,'3 pr-2'!AA41,0)</f>
        <v>685370</v>
      </c>
      <c r="Q41" s="1080">
        <f t="shared" si="23"/>
        <v>0</v>
      </c>
      <c r="R41" s="1080">
        <f t="shared" si="24"/>
        <v>685370</v>
      </c>
      <c r="S41" s="1080">
        <f t="shared" si="25"/>
        <v>0</v>
      </c>
      <c r="T41" s="1080">
        <f t="shared" si="26"/>
        <v>0</v>
      </c>
      <c r="U41" s="1080">
        <f t="shared" si="27"/>
        <v>0</v>
      </c>
      <c r="V41" s="1164">
        <f>IF(Z41&gt;0,'3 pr-2'!$AB$10,0)</f>
        <v>0</v>
      </c>
      <c r="W41" s="1104">
        <f>SUM('3 pr-2'!AI41)</f>
        <v>42978</v>
      </c>
      <c r="X41" s="1132">
        <f t="shared" si="11"/>
        <v>42984</v>
      </c>
      <c r="Y41" s="992">
        <f t="shared" si="28"/>
        <v>-0.2</v>
      </c>
      <c r="Z41" s="1339">
        <f>SUMIF(Projektu_sutarciu_ataskaita!$J$19:$J$600,C41,Projektu_sutarciu_ataskaita!$L$19:$L$600)</f>
        <v>42984</v>
      </c>
      <c r="AA41" s="1249">
        <f t="shared" si="13"/>
        <v>-0.2</v>
      </c>
      <c r="AB41" s="384">
        <f t="shared" si="29"/>
        <v>-0.19726027397260251</v>
      </c>
    </row>
    <row r="42" spans="1:29" ht="48.75">
      <c r="A42" s="164" t="str">
        <f>CONCATENATE('3 pr-2'!A42)</f>
        <v>1.1.1.3.3</v>
      </c>
      <c r="B42" s="221" t="str">
        <f>CONCATENATE('3 pr-2'!B42)</f>
        <v>R01-9905-292800-1133</v>
      </c>
      <c r="C42" s="281" t="str">
        <f>CONCATENATE('ketv. 2'!B41)</f>
        <v>07.1.1-CPVA-R-905-11-0004</v>
      </c>
      <c r="D42" s="164" t="str">
        <f>CONCATENATE('3 pr-2'!D42)</f>
        <v>Varėnos miesto Dainų slėnio infrastruktūros atnaujinimas ir pritaikymas visuomenės poreikiams</v>
      </c>
      <c r="E42" s="164" t="str">
        <f>CONCATENATE('3 pr-2'!E42)</f>
        <v>Varėnos rajono savivaldybės administracija</v>
      </c>
      <c r="F42" s="164" t="str">
        <f>CONCATENATE('3 pr-2'!F42)</f>
        <v>Lietuvos Respublikos vidaus reikalų ministerija</v>
      </c>
      <c r="G42" s="164" t="str">
        <f>CONCATENATE('3 pr-2'!G42)</f>
        <v>Varėnos r. sav.</v>
      </c>
      <c r="H42" s="164" t="str">
        <f>CONCATENATE('3 pr-2'!H42)</f>
        <v xml:space="preserve">07.1.1-CPVA-R-905 </v>
      </c>
      <c r="I42" s="164" t="str">
        <f>CONCATENATE('3 pr-2'!I42)</f>
        <v>R</v>
      </c>
      <c r="J42" s="164" t="str">
        <f>CONCATENATE('3 pr-2'!J42)</f>
        <v>ITI</v>
      </c>
      <c r="K42" s="1080">
        <f>IF(Z42&gt;0,'3 pr-2'!L42,0)</f>
        <v>514646.41000000003</v>
      </c>
      <c r="L42" s="1080">
        <f>IF(Z42&gt;0,'3 pr-2'!O42,0)</f>
        <v>38598.49</v>
      </c>
      <c r="M42" s="1080">
        <f>IF(Z42&gt;0,'3 pr-2'!R42,0)</f>
        <v>38598.480000000003</v>
      </c>
      <c r="N42" s="1080">
        <f>IF(Z42&gt;0,'3 pr-2'!U42,0)</f>
        <v>0</v>
      </c>
      <c r="O42" s="1080">
        <f>IF(Z42&gt;0,'3 pr-2'!X42,0)</f>
        <v>0</v>
      </c>
      <c r="P42" s="1080">
        <f>IF(Z42&gt;0,'3 pr-2'!AA42,0)</f>
        <v>437449.44</v>
      </c>
      <c r="Q42" s="1080">
        <f t="shared" si="23"/>
        <v>0</v>
      </c>
      <c r="R42" s="1080">
        <f t="shared" si="24"/>
        <v>0</v>
      </c>
      <c r="S42" s="1080">
        <f t="shared" si="25"/>
        <v>437449.44</v>
      </c>
      <c r="T42" s="1080">
        <f t="shared" si="26"/>
        <v>0</v>
      </c>
      <c r="U42" s="1080">
        <f t="shared" si="27"/>
        <v>0</v>
      </c>
      <c r="V42" s="1164">
        <f>IF(Z42&gt;0,'3 pr-2'!$AB$10,0)</f>
        <v>0</v>
      </c>
      <c r="W42" s="1104">
        <f>SUM('3 pr-2'!AI42)</f>
        <v>43321</v>
      </c>
      <c r="X42" s="1132">
        <f t="shared" si="11"/>
        <v>43321</v>
      </c>
      <c r="Y42" s="992">
        <f t="shared" si="28"/>
        <v>0</v>
      </c>
      <c r="Z42" s="1339">
        <f>SUMIF(Projektu_sutarciu_ataskaita!$J$19:$J$600,C42,Projektu_sutarciu_ataskaita!$L$19:$L$600)</f>
        <v>43321</v>
      </c>
      <c r="AA42" s="1249">
        <f t="shared" si="13"/>
        <v>0</v>
      </c>
      <c r="AB42" s="384" t="str">
        <f t="shared" si="29"/>
        <v>–</v>
      </c>
    </row>
    <row r="43" spans="1:29" ht="48.75">
      <c r="A43" s="164" t="str">
        <f>CONCATENATE('3 pr-2'!A43)</f>
        <v>1.1.1.3.4</v>
      </c>
      <c r="B43" s="221" t="str">
        <f>CONCATENATE('3 pr-2'!B43)</f>
        <v>R01-9905-280000-1134</v>
      </c>
      <c r="C43" s="281" t="str">
        <f>CONCATENATE('ketv. 2'!B42)</f>
        <v>07.1.1-CPVA-R-905-11-0003</v>
      </c>
      <c r="D43" s="164" t="str">
        <f>CONCATENATE('3 pr-2'!D43)</f>
        <v>Karloniškės ežero ir jo prieigų sutvarkymas ir pritaikymas aktyviam poilsiui</v>
      </c>
      <c r="E43" s="164" t="str">
        <f>CONCATENATE('3 pr-2'!E43)</f>
        <v>Varėnos rajono savivaldybės administracija</v>
      </c>
      <c r="F43" s="164" t="str">
        <f>CONCATENATE('3 pr-2'!F43)</f>
        <v>Lietuvos Respublikos vidaus reikalų ministerija</v>
      </c>
      <c r="G43" s="164" t="str">
        <f>CONCATENATE('3 pr-2'!G43)</f>
        <v>Varėnos r. sav.</v>
      </c>
      <c r="H43" s="164" t="str">
        <f>CONCATENATE('3 pr-2'!H43)</f>
        <v xml:space="preserve">07.1.1-CPVA-R-905 </v>
      </c>
      <c r="I43" s="164" t="str">
        <f>CONCATENATE('3 pr-2'!I43)</f>
        <v>R</v>
      </c>
      <c r="J43" s="164" t="str">
        <f>CONCATENATE('3 pr-2'!J43)</f>
        <v>ITI</v>
      </c>
      <c r="K43" s="1080">
        <f>IF(Z43&gt;0,'3 pr-2'!L43,0)</f>
        <v>877516.65</v>
      </c>
      <c r="L43" s="1080">
        <f>IF(Z43&gt;0,'3 pr-2'!O43,0)</f>
        <v>65813.75</v>
      </c>
      <c r="M43" s="1080">
        <f>IF(Z43&gt;0,'3 pr-2'!R43,0)</f>
        <v>65813.75</v>
      </c>
      <c r="N43" s="1080">
        <f>IF(Z43&gt;0,'3 pr-2'!U43,0)</f>
        <v>0</v>
      </c>
      <c r="O43" s="1080">
        <f>IF(Z43&gt;0,'3 pr-2'!X43,0)</f>
        <v>0</v>
      </c>
      <c r="P43" s="1080">
        <f>IF(Z43&gt;0,'3 pr-2'!AA43,0)</f>
        <v>745889.15</v>
      </c>
      <c r="Q43" s="1080">
        <f t="shared" si="23"/>
        <v>0</v>
      </c>
      <c r="R43" s="1080">
        <f t="shared" si="24"/>
        <v>0</v>
      </c>
      <c r="S43" s="1080">
        <f t="shared" si="25"/>
        <v>745889.15</v>
      </c>
      <c r="T43" s="1080">
        <f t="shared" si="26"/>
        <v>0</v>
      </c>
      <c r="U43" s="1080">
        <f t="shared" si="27"/>
        <v>0</v>
      </c>
      <c r="V43" s="1164">
        <f>IF(Z43&gt;0,'3 pr-2'!$AB$10,0)</f>
        <v>0</v>
      </c>
      <c r="W43" s="1104">
        <f>SUM('3 pr-2'!AI43)</f>
        <v>43105</v>
      </c>
      <c r="X43" s="1132">
        <f t="shared" si="11"/>
        <v>43105</v>
      </c>
      <c r="Y43" s="992">
        <f t="shared" si="28"/>
        <v>0</v>
      </c>
      <c r="Z43" s="1339">
        <f>SUMIF(Projektu_sutarciu_ataskaita!$J$19:$J$600,C43,Projektu_sutarciu_ataskaita!$L$19:$L$600)</f>
        <v>43105</v>
      </c>
      <c r="AA43" s="1249">
        <f t="shared" si="13"/>
        <v>0</v>
      </c>
      <c r="AB43" s="384" t="str">
        <f t="shared" si="29"/>
        <v>–</v>
      </c>
    </row>
    <row r="44" spans="1:29" ht="48.75">
      <c r="A44" s="164" t="str">
        <f>CONCATENATE('3 pr-2'!A44)</f>
        <v>1.1.1.3.5</v>
      </c>
      <c r="B44" s="221" t="str">
        <f>CONCATENATE('3 pr-2'!B44)</f>
        <v>R01-9905-362900-1135</v>
      </c>
      <c r="C44" s="281" t="str">
        <f>CONCATENATE('ketv. 2'!B43)</f>
        <v>07.1.1-CPVA-R-905-11-0005</v>
      </c>
      <c r="D44" s="164" t="str">
        <f>CONCATENATE('3 pr-2'!D44)</f>
        <v>Nenaudojamų teritorijų Varėnos mieste sutvarkymas ir pritaikymas verslui</v>
      </c>
      <c r="E44" s="164" t="str">
        <f>CONCATENATE('3 pr-2'!E44)</f>
        <v>Varėnos rajono savivaldybės administracija</v>
      </c>
      <c r="F44" s="164" t="str">
        <f>CONCATENATE('3 pr-2'!F44)</f>
        <v>Lietuvos Respublikos vidaus reikalų ministerija</v>
      </c>
      <c r="G44" s="164" t="str">
        <f>CONCATENATE('3 pr-2'!G44)</f>
        <v>Varėnos r. sav.</v>
      </c>
      <c r="H44" s="164" t="str">
        <f>CONCATENATE('3 pr-2'!H44)</f>
        <v xml:space="preserve">07.1.1-CPVA-R-905 </v>
      </c>
      <c r="I44" s="164" t="str">
        <f>CONCATENATE('3 pr-2'!I44)</f>
        <v>R</v>
      </c>
      <c r="J44" s="164" t="str">
        <f>CONCATENATE('3 pr-2'!J44)</f>
        <v>ITI</v>
      </c>
      <c r="K44" s="1080">
        <f>IF(Z44&gt;0,'3 pr-2'!L44,0)</f>
        <v>150000</v>
      </c>
      <c r="L44" s="1080">
        <f>IF(Z44&gt;0,'3 pr-2'!O44,0)</f>
        <v>11250</v>
      </c>
      <c r="M44" s="1080">
        <f>IF(Z44&gt;0,'3 pr-2'!R44,0)</f>
        <v>11250</v>
      </c>
      <c r="N44" s="1080">
        <f>IF(Z44&gt;0,'3 pr-2'!U44,0)</f>
        <v>0</v>
      </c>
      <c r="O44" s="1080">
        <f>IF(Z44&gt;0,'3 pr-2'!X44,0)</f>
        <v>0</v>
      </c>
      <c r="P44" s="1080">
        <f>IF(Z44&gt;0,'3 pr-2'!AA44,0)</f>
        <v>127500</v>
      </c>
      <c r="Q44" s="1080">
        <f t="shared" si="23"/>
        <v>0</v>
      </c>
      <c r="R44" s="1080">
        <f t="shared" si="24"/>
        <v>0</v>
      </c>
      <c r="S44" s="1080">
        <f t="shared" si="25"/>
        <v>127500</v>
      </c>
      <c r="T44" s="1080">
        <f t="shared" si="26"/>
        <v>0</v>
      </c>
      <c r="U44" s="1080">
        <f t="shared" si="27"/>
        <v>0</v>
      </c>
      <c r="V44" s="1164">
        <f>IF(Z44&gt;0,'3 pr-2'!$AB$10,0)</f>
        <v>0</v>
      </c>
      <c r="W44" s="1104">
        <f>SUM('3 pr-2'!AI44)</f>
        <v>43464</v>
      </c>
      <c r="X44" s="1132">
        <f t="shared" si="11"/>
        <v>43448</v>
      </c>
      <c r="Y44" s="992" t="str">
        <f t="shared" si="28"/>
        <v>–</v>
      </c>
      <c r="Z44" s="1339">
        <f>SUMIF(Projektu_sutarciu_ataskaita!$J$19:$J$600,C44,Projektu_sutarciu_ataskaita!$L$19:$L$600)</f>
        <v>43448</v>
      </c>
      <c r="AA44" s="1249">
        <f t="shared" si="13"/>
        <v>0.53333333333333333</v>
      </c>
      <c r="AB44" s="384" t="str">
        <f t="shared" si="29"/>
        <v>–</v>
      </c>
    </row>
    <row r="45" spans="1:29" ht="49.5" thickBot="1">
      <c r="A45" s="236" t="str">
        <f>CONCATENATE('3 pr-2'!A45)</f>
        <v>1.1.1.3.6</v>
      </c>
      <c r="B45" s="221" t="str">
        <f>CONCATENATE('3 pr-2'!B45)</f>
        <v>R01-9905-290000-1136</v>
      </c>
      <c r="C45" s="359" t="str">
        <f>CONCATENATE('ketv. 2'!B44)</f>
        <v>07.1.1-CPVA-R-905-11-0006</v>
      </c>
      <c r="D45" s="236" t="str">
        <f>CONCATENATE('3 pr-2'!D45)</f>
        <v>Teritorijų prie daugiabučių gyvenamųjų pastatų Varėnos mieste sutvarkymas ir pritaikymas visuomenės poreikiams</v>
      </c>
      <c r="E45" s="236" t="str">
        <f>CONCATENATE('3 pr-2'!E45)</f>
        <v>Varėnos rajono savivaldybės administracija</v>
      </c>
      <c r="F45" s="236" t="str">
        <f>CONCATENATE('3 pr-2'!F45)</f>
        <v>Lietuvos Respublikos vidaus reikalų ministerija</v>
      </c>
      <c r="G45" s="236" t="str">
        <f>CONCATENATE('3 pr-2'!G45)</f>
        <v>Varėnos r. sav.</v>
      </c>
      <c r="H45" s="236" t="str">
        <f>CONCATENATE('3 pr-2'!H45)</f>
        <v xml:space="preserve">07.1.1-CPVA-R-905 </v>
      </c>
      <c r="I45" s="236" t="str">
        <f>CONCATENATE('3 pr-2'!I45)</f>
        <v>R</v>
      </c>
      <c r="J45" s="236" t="str">
        <f>CONCATENATE('3 pr-2'!J45)</f>
        <v>ITI</v>
      </c>
      <c r="K45" s="1163">
        <f>IF(Z45&gt;0,'3 pr-2'!L45,0)</f>
        <v>485640.4</v>
      </c>
      <c r="L45" s="1163">
        <f>IF(Z45&gt;0,'3 pr-2'!O45,0)</f>
        <v>37517.18</v>
      </c>
      <c r="M45" s="1163">
        <f>IF(Z45&gt;0,'3 pr-2'!R45,0)</f>
        <v>36334.160000000003</v>
      </c>
      <c r="N45" s="1163">
        <f>IF(Z45&gt;0,'3 pr-2'!U45,0)</f>
        <v>0</v>
      </c>
      <c r="O45" s="1163">
        <f>IF(Z45&gt;0,'3 pr-2'!X45,0)</f>
        <v>0</v>
      </c>
      <c r="P45" s="1163">
        <f>IF(Z45&gt;0,'3 pr-2'!AA45,0)</f>
        <v>411789.06</v>
      </c>
      <c r="Q45" s="1163">
        <f t="shared" si="23"/>
        <v>0</v>
      </c>
      <c r="R45" s="1163">
        <f t="shared" si="24"/>
        <v>0</v>
      </c>
      <c r="S45" s="1163">
        <f t="shared" si="25"/>
        <v>0</v>
      </c>
      <c r="T45" s="1163">
        <f t="shared" si="26"/>
        <v>411789.06</v>
      </c>
      <c r="U45" s="1163">
        <f t="shared" si="27"/>
        <v>0</v>
      </c>
      <c r="V45" s="1164">
        <f>IF(Z45&gt;0,'3 pr-2'!$AB$10,0)</f>
        <v>0</v>
      </c>
      <c r="W45" s="1114">
        <f>SUM('3 pr-2'!AI45)</f>
        <v>43464</v>
      </c>
      <c r="X45" s="1328">
        <f t="shared" si="11"/>
        <v>43469</v>
      </c>
      <c r="Y45" s="992">
        <f t="shared" si="28"/>
        <v>-0.16666666666666666</v>
      </c>
      <c r="Z45" s="1339">
        <f>SUMIF(Projektu_sutarciu_ataskaita!$J$19:$J$600,C45,Projektu_sutarciu_ataskaita!$L$19:$L$600)</f>
        <v>43469</v>
      </c>
      <c r="AA45" s="1343">
        <f t="shared" si="13"/>
        <v>-0.16666666666666666</v>
      </c>
      <c r="AB45" s="384">
        <f t="shared" si="29"/>
        <v>-0.16438356164383544</v>
      </c>
    </row>
    <row r="46" spans="1:29" ht="39.75" customHeight="1" thickBot="1">
      <c r="A46" s="296" t="str">
        <f>CONCATENATE('3 pr-2'!A46)</f>
        <v>1.1.1.4</v>
      </c>
      <c r="B46" s="2088" t="str">
        <f>CONCATENATE('3 pr-2'!B46)</f>
        <v xml:space="preserve">Priemonė:
Alytaus, Druskininkų ir Lazdijų miestų kompleksinė plėtra
</v>
      </c>
      <c r="C46" s="2089"/>
      <c r="D46" s="2089"/>
      <c r="E46" s="2089"/>
      <c r="F46" s="2089"/>
      <c r="G46" s="2089"/>
      <c r="H46" s="2089"/>
      <c r="I46" s="2089"/>
      <c r="J46" s="2090"/>
      <c r="K46" s="1077">
        <f>SUM(K47:K49)</f>
        <v>2431517.75</v>
      </c>
      <c r="L46" s="1077">
        <f t="shared" ref="L46:P46" si="30">SUM(L47:L49)</f>
        <v>615648.60000000009</v>
      </c>
      <c r="M46" s="1077">
        <f t="shared" si="30"/>
        <v>147232.63000000003</v>
      </c>
      <c r="N46" s="1077">
        <f t="shared" si="30"/>
        <v>0</v>
      </c>
      <c r="O46" s="1077">
        <f t="shared" si="30"/>
        <v>0</v>
      </c>
      <c r="P46" s="1077">
        <f t="shared" si="30"/>
        <v>1668636.52</v>
      </c>
      <c r="Q46" s="1209">
        <f>SUM(Q47:Q49)</f>
        <v>575484.89</v>
      </c>
      <c r="R46" s="1210">
        <f t="shared" ref="R46:V46" si="31">SUM(R47:R49)</f>
        <v>1093151.6300000001</v>
      </c>
      <c r="S46" s="1209">
        <f t="shared" si="31"/>
        <v>0</v>
      </c>
      <c r="T46" s="1210">
        <f t="shared" si="31"/>
        <v>0</v>
      </c>
      <c r="U46" s="1211">
        <f t="shared" si="31"/>
        <v>0</v>
      </c>
      <c r="V46" s="1077">
        <f t="shared" si="31"/>
        <v>0</v>
      </c>
      <c r="W46" s="1150" t="s">
        <v>679</v>
      </c>
      <c r="X46" s="1150" t="str">
        <f t="shared" si="11"/>
        <v> </v>
      </c>
      <c r="Y46" s="1150" t="str">
        <f t="shared" si="17"/>
        <v>–</v>
      </c>
      <c r="Z46" s="1344" t="s">
        <v>679</v>
      </c>
      <c r="AA46" s="1338" t="e">
        <f t="shared" si="13"/>
        <v>#VALUE!</v>
      </c>
      <c r="AB46" s="356"/>
    </row>
    <row r="47" spans="1:29" ht="48.75">
      <c r="A47" s="371" t="str">
        <f>CONCATENATE('3 pr-2'!A47)</f>
        <v>1.1.1.4.1</v>
      </c>
      <c r="B47" s="221" t="str">
        <f>CONCATENATE('3 pr-2'!B47)</f>
        <v>R01-9902-310000-1141</v>
      </c>
      <c r="C47" s="361" t="str">
        <f>CONCATENATE('ketv. 2'!B46)</f>
        <v>07.1.1-CPVA-V-902-01-0008</v>
      </c>
      <c r="D47" s="371" t="str">
        <f>CONCATENATE('3 pr-2'!D47)</f>
        <v>Buvusios pramoninės teritorijos Pramonės g. 1 Alytuje, pritaikymas verslo vystymui ir plėtrai.</v>
      </c>
      <c r="E47" s="371" t="str">
        <f>CONCATENATE('3 pr-2'!E47)</f>
        <v>Alytaus miesto savivaldybės administracija</v>
      </c>
      <c r="F47" s="371" t="str">
        <f>CONCATENATE('3 pr-2'!F47)</f>
        <v>Lietuvos Respublikos vidaus reikalų ministerija</v>
      </c>
      <c r="G47" s="371" t="str">
        <f>CONCATENATE('3 pr-2'!G47)</f>
        <v>Alytaus m. sav.</v>
      </c>
      <c r="H47" s="371" t="str">
        <f>CONCATENATE('3 pr-2'!H47)</f>
        <v>07.1.1-CPVA-V-902</v>
      </c>
      <c r="I47" s="371" t="str">
        <f>CONCATENATE('3 pr-2'!I47)</f>
        <v>V</v>
      </c>
      <c r="J47" s="371" t="str">
        <f>CONCATENATE('3 pr-2'!J47)</f>
        <v>ITI</v>
      </c>
      <c r="K47" s="1164">
        <f>IF(Z47&gt;0,'3 pr-2'!L47,0)</f>
        <v>1286060.7500000002</v>
      </c>
      <c r="L47" s="1164">
        <f>IF(Z47&gt;0,'3 pr-2'!O47,0)</f>
        <v>96454.570000000022</v>
      </c>
      <c r="M47" s="1164">
        <f>IF(Z47&gt;0,'3 pr-2'!R47,0)</f>
        <v>96454.550000000032</v>
      </c>
      <c r="N47" s="1164">
        <f>IF(Z47&gt;0,'3 pr-2'!U47,0)</f>
        <v>0</v>
      </c>
      <c r="O47" s="1164">
        <f>IF(Z47&gt;0,'3 pr-2'!X47,0)</f>
        <v>0</v>
      </c>
      <c r="P47" s="1164">
        <f>IF(Z47&gt;0,'3 pr-2'!AA47,0)</f>
        <v>1093151.6300000001</v>
      </c>
      <c r="Q47" s="1212">
        <f>IF(YEAR(Z47)=2016,P47,0)</f>
        <v>0</v>
      </c>
      <c r="R47" s="1212">
        <f>IF(YEAR(Z47)=2017,P47,0)</f>
        <v>1093151.6300000001</v>
      </c>
      <c r="S47" s="1212">
        <f>IF(YEAR(Z47)=2018,P47,0)</f>
        <v>0</v>
      </c>
      <c r="T47" s="1212">
        <f>IF(YEAR(Z47)=2019,P47,0)</f>
        <v>0</v>
      </c>
      <c r="U47" s="1212">
        <f>IF(YEAR(Z47)=2020,P47,0)</f>
        <v>0</v>
      </c>
      <c r="V47" s="1164">
        <f>IF(Z47&gt;0,'3 pr-2'!$AB$10,0)</f>
        <v>0</v>
      </c>
      <c r="W47" s="1151">
        <f>SUM('3 pr-2'!AI47)</f>
        <v>42735</v>
      </c>
      <c r="X47" s="1151">
        <f t="shared" si="11"/>
        <v>42794</v>
      </c>
      <c r="Y47" s="992" t="str">
        <f>IF(ISTEXT(Y46),"–",IF((Y45-Y46)/30&gt;0,"–",(Y45-Y46)/30))</f>
        <v>–</v>
      </c>
      <c r="Z47" s="1339">
        <f>SUMIF(Projektu_sutarciu_ataskaita!$J$19:$J$600,C47,Projektu_sutarciu_ataskaita!$L$19:$L$600)</f>
        <v>42794</v>
      </c>
      <c r="AA47" s="1340">
        <f t="shared" si="13"/>
        <v>-1.9666666666666666</v>
      </c>
      <c r="AB47" s="992">
        <f t="shared" ref="AB47:AB49" si="32">IF(W47-Z47&lt;0,(W47-Z47)/30.4166666666667,"–")</f>
        <v>-1.9397260273972581</v>
      </c>
    </row>
    <row r="48" spans="1:29" ht="48.75">
      <c r="A48" s="370" t="str">
        <f>CONCATENATE('3 pr-2'!A48)</f>
        <v>1.1.1.4.2</v>
      </c>
      <c r="B48" s="221" t="str">
        <f>CONCATENATE('3 pr-2'!B48)</f>
        <v>R01-9903-290000-1142</v>
      </c>
      <c r="C48" s="281" t="str">
        <f>CONCATENATE('ketv. 2'!B47)</f>
        <v>07.1.1-CPVA-R-903-11-0001</v>
      </c>
      <c r="D48" s="370" t="str">
        <f>CONCATENATE('3 pr-2'!D48)</f>
        <v>Amatų centro „Menų kalvė“ Druskininkuose įkūrimas</v>
      </c>
      <c r="E48" s="370" t="str">
        <f>CONCATENATE('3 pr-2'!E48)</f>
        <v xml:space="preserve">Druskininkų savivaldybės administracija  </v>
      </c>
      <c r="F48" s="370" t="str">
        <f>CONCATENATE('3 pr-2'!F48)</f>
        <v>Lietuvos Respublikos vidaus reikalų ministerija</v>
      </c>
      <c r="G48" s="370" t="str">
        <f>CONCATENATE('3 pr-2'!G48)</f>
        <v>Druskininkų sav.</v>
      </c>
      <c r="H48" s="370" t="str">
        <f>CONCATENATE('3 pr-2'!H48)</f>
        <v>07.1.1-CPVA-R-903</v>
      </c>
      <c r="I48" s="370" t="str">
        <f>CONCATENATE('3 pr-2'!I48)</f>
        <v>R</v>
      </c>
      <c r="J48" s="370" t="str">
        <f>CONCATENATE('3 pr-2'!J48)</f>
        <v>ITI</v>
      </c>
      <c r="K48" s="1080">
        <f>IF(Z48&gt;0,'3 pr-2'!L48,0)</f>
        <v>801950</v>
      </c>
      <c r="L48" s="1080">
        <f>IF(Z48&gt;0,'3 pr-2'!O48,0)</f>
        <v>493431</v>
      </c>
      <c r="M48" s="1080">
        <f>IF(Z48&gt;0,'3 pr-2'!R48,0)</f>
        <v>25015.06</v>
      </c>
      <c r="N48" s="1080">
        <f>IF(Z48&gt;0,'3 pr-2'!U48,0)</f>
        <v>0</v>
      </c>
      <c r="O48" s="1080">
        <f>IF(Z48&gt;0,'3 pr-2'!X48,0)</f>
        <v>0</v>
      </c>
      <c r="P48" s="1080">
        <f>IF(Z48&gt;0,'3 pr-2'!AA48,0)</f>
        <v>283503.94</v>
      </c>
      <c r="Q48" s="1193">
        <f>IF(YEAR(Z48)=2016,P48,0)</f>
        <v>283503.94</v>
      </c>
      <c r="R48" s="1193">
        <f>IF(YEAR(Z48)=2017,P48,0)</f>
        <v>0</v>
      </c>
      <c r="S48" s="1193">
        <f>IF(YEAR(Z48)=2018,P48,0)</f>
        <v>0</v>
      </c>
      <c r="T48" s="1193">
        <f>IF(YEAR(Z48)=2019,P48,0)</f>
        <v>0</v>
      </c>
      <c r="U48" s="1193">
        <f>IF(YEAR(Z48)=2020,P48,0)</f>
        <v>0</v>
      </c>
      <c r="V48" s="1164">
        <f>IF(Z48&gt;0,'3 pr-2'!$AB$10,0)</f>
        <v>0</v>
      </c>
      <c r="W48" s="1110">
        <f>SUM('3 pr-2'!AI48)</f>
        <v>42689</v>
      </c>
      <c r="X48" s="1151">
        <f t="shared" si="11"/>
        <v>42699</v>
      </c>
      <c r="Y48" s="992" t="str">
        <f>IF(ISTEXT(Y47),"–",IF((Y46-Y47)/30&gt;0,"–",(Y46-Y47)/30))</f>
        <v>–</v>
      </c>
      <c r="Z48" s="1339">
        <f>SUMIF(Projektu_sutarciu_ataskaita!$J$19:$J$600,C48,Projektu_sutarciu_ataskaita!$L$19:$L$600)</f>
        <v>42699</v>
      </c>
      <c r="AA48" s="1249">
        <f t="shared" si="13"/>
        <v>-0.33333333333333331</v>
      </c>
      <c r="AB48" s="992">
        <f t="shared" si="32"/>
        <v>-0.32876712328767088</v>
      </c>
    </row>
    <row r="49" spans="1:28" ht="49.5" thickBot="1">
      <c r="A49" s="377" t="str">
        <f>CONCATENATE('3 pr-2'!A49)</f>
        <v>1.1.1.4.3</v>
      </c>
      <c r="B49" s="221" t="str">
        <f>CONCATENATE('3 pr-2'!B49)</f>
        <v>R01-9903-290000-1143</v>
      </c>
      <c r="C49" s="359" t="str">
        <f>CONCATENATE('ketv. 2'!B48)</f>
        <v>07.1.1-CPVA-R-903-11-0002</v>
      </c>
      <c r="D49" s="377" t="str">
        <f>CONCATENATE('3 pr-2'!D49)</f>
        <v>Lazdijų miesto kompleksinė infrastruktūros plėtra, III etapas</v>
      </c>
      <c r="E49" s="377" t="str">
        <f>CONCATENATE('3 pr-2'!E49)</f>
        <v>Lazdijų rajono savivaldybės administracija</v>
      </c>
      <c r="F49" s="377" t="str">
        <f>CONCATENATE('3 pr-2'!F49)</f>
        <v>Lietuvos Respublikos vidaus reikalų ministerija</v>
      </c>
      <c r="G49" s="377" t="str">
        <f>CONCATENATE('3 pr-2'!G49)</f>
        <v>Lazdijų r. sav.</v>
      </c>
      <c r="H49" s="377" t="str">
        <f>CONCATENATE('3 pr-2'!H49)</f>
        <v>07.1.1-CPVA-R-903</v>
      </c>
      <c r="I49" s="377" t="str">
        <f>CONCATENATE('3 pr-2'!I49)</f>
        <v>R</v>
      </c>
      <c r="J49" s="377" t="str">
        <f>CONCATENATE('3 pr-2'!J49)</f>
        <v>ITI</v>
      </c>
      <c r="K49" s="1163">
        <f>IF(Z49&gt;0,'3 pr-2'!L49,0)</f>
        <v>343507</v>
      </c>
      <c r="L49" s="1163">
        <f>IF(Z49&gt;0,'3 pr-2'!O49,0)</f>
        <v>25763.03</v>
      </c>
      <c r="M49" s="1163">
        <f>IF(Z49&gt;0,'3 pr-2'!R49,0)</f>
        <v>25763.02</v>
      </c>
      <c r="N49" s="1163">
        <f>IF(Z49&gt;0,'3 pr-2'!U49,0)</f>
        <v>0</v>
      </c>
      <c r="O49" s="1163">
        <f>IF(Z49&gt;0,'3 pr-2'!X49,0)</f>
        <v>0</v>
      </c>
      <c r="P49" s="1163">
        <f>IF(Z49&gt;0,'3 pr-2'!AA49,0)</f>
        <v>291980.95</v>
      </c>
      <c r="Q49" s="1213">
        <f>IF(YEAR(Z49)=2016,P49,0)</f>
        <v>291980.95</v>
      </c>
      <c r="R49" s="1213">
        <f>IF(YEAR(Z49)=2017,P49,0)</f>
        <v>0</v>
      </c>
      <c r="S49" s="1213">
        <f>IF(YEAR(Z49)=2018,P49,0)</f>
        <v>0</v>
      </c>
      <c r="T49" s="1213">
        <f>IF(YEAR(Z49)=2019,P49,0)</f>
        <v>0</v>
      </c>
      <c r="U49" s="1213">
        <f>IF(YEAR(Z49)=2020,P49,0)</f>
        <v>0</v>
      </c>
      <c r="V49" s="1164">
        <f>IF(Z49&gt;0,'3 pr-2'!$AB$10,0)</f>
        <v>0</v>
      </c>
      <c r="W49" s="1152">
        <f>SUM('3 pr-2'!AI49)</f>
        <v>42674</v>
      </c>
      <c r="X49" s="1329">
        <f t="shared" si="11"/>
        <v>42709</v>
      </c>
      <c r="Y49" s="992" t="str">
        <f>IF(ISTEXT(Y48),"–",IF((Y47-Y48)/30&gt;0,"–",(Y47-Y48)/30))</f>
        <v>–</v>
      </c>
      <c r="Z49" s="1339">
        <f>SUMIF(Projektu_sutarciu_ataskaita!$J$19:$J$600,C49,Projektu_sutarciu_ataskaita!$L$19:$L$600)</f>
        <v>42709</v>
      </c>
      <c r="AA49" s="1343">
        <f t="shared" si="13"/>
        <v>-1.1666666666666667</v>
      </c>
      <c r="AB49" s="992">
        <f t="shared" si="32"/>
        <v>-1.1506849315068481</v>
      </c>
    </row>
    <row r="50" spans="1:28" ht="33.75" customHeight="1" thickBot="1">
      <c r="A50" s="296" t="str">
        <f>CONCATENATE('3 pr-2'!A50)</f>
        <v>1.1.1.5</v>
      </c>
      <c r="B50" s="2088" t="str">
        <f>CONCATENATE('3 pr-2'!B50)</f>
        <v xml:space="preserve">Priemonė:
Geriamojo vandens tiekimo ir nuotekų tvarkymo sistemų renovavimas ir plėtra, įmonių valdymo tobulinimas </v>
      </c>
      <c r="C50" s="2089"/>
      <c r="D50" s="2089"/>
      <c r="E50" s="2089"/>
      <c r="F50" s="2089"/>
      <c r="G50" s="2089"/>
      <c r="H50" s="2089"/>
      <c r="I50" s="2089"/>
      <c r="J50" s="2090"/>
      <c r="K50" s="1077">
        <f>SUM(K51:K55)</f>
        <v>16349723.129999999</v>
      </c>
      <c r="L50" s="1077">
        <f t="shared" ref="L50:P50" si="33">SUM(L51:L55)</f>
        <v>0</v>
      </c>
      <c r="M50" s="1077">
        <f t="shared" si="33"/>
        <v>0</v>
      </c>
      <c r="N50" s="1077">
        <f t="shared" si="33"/>
        <v>7447758.8300000001</v>
      </c>
      <c r="O50" s="1077">
        <f t="shared" si="33"/>
        <v>0</v>
      </c>
      <c r="P50" s="1077">
        <f t="shared" si="33"/>
        <v>8901964.3000000007</v>
      </c>
      <c r="Q50" s="1209">
        <f>SUM(Q51:Q55)</f>
        <v>2696984.31</v>
      </c>
      <c r="R50" s="1210">
        <f t="shared" ref="R50:V50" si="34">SUM(R51:R55)</f>
        <v>5284504.99</v>
      </c>
      <c r="S50" s="1209">
        <f t="shared" si="34"/>
        <v>920475</v>
      </c>
      <c r="T50" s="1210">
        <f t="shared" si="34"/>
        <v>0</v>
      </c>
      <c r="U50" s="1211">
        <f t="shared" si="34"/>
        <v>0</v>
      </c>
      <c r="V50" s="1077">
        <f t="shared" si="34"/>
        <v>0</v>
      </c>
      <c r="W50" s="1150"/>
      <c r="X50" s="1150" t="str">
        <f t="shared" si="11"/>
        <v>–</v>
      </c>
      <c r="Y50" s="1150" t="str">
        <f t="shared" ref="Y11:Y74" si="35">IF(ISTEXT(X50),"–",(W50-X50)/30)</f>
        <v>–</v>
      </c>
      <c r="Z50" s="1344"/>
      <c r="AA50" s="1338" t="e">
        <f t="shared" si="13"/>
        <v>#VALUE!</v>
      </c>
      <c r="AB50" s="356"/>
    </row>
    <row r="51" spans="1:28" ht="48.75">
      <c r="A51" s="378" t="str">
        <f>CONCATENATE('3 pr-2'!A51)</f>
        <v>1.1.1.5.1</v>
      </c>
      <c r="B51" s="221" t="str">
        <f>CONCATENATE('3 pr-2'!B51)</f>
        <v>R01-0014-060700-1151</v>
      </c>
      <c r="C51" s="379" t="str">
        <f>CONCATENATE('ketv. 2'!B50)</f>
        <v>05.3.2-APVA-R-014-11-0001</v>
      </c>
      <c r="D51" s="378" t="str">
        <f>CONCATENATE('3 pr-2'!D51)</f>
        <v>Geriamojo vandens tiekimo ir nuotekų tvarkymo sistemų renovavimas ir plėtra Varėnos rajone</v>
      </c>
      <c r="E51" s="378" t="str">
        <f>CONCATENATE('3 pr-2'!E51)</f>
        <v>UAB „Varėnos vandenys“</v>
      </c>
      <c r="F51" s="378" t="str">
        <f>CONCATENATE('3 pr-2'!F51)</f>
        <v>Lietuvos Respublikos aplinkos ministerija</v>
      </c>
      <c r="G51" s="378" t="str">
        <f>CONCATENATE('3 pr-2'!G51)</f>
        <v>Varėnos r. sav.</v>
      </c>
      <c r="H51" s="378" t="str">
        <f>CONCATENATE('3 pr-2'!H51)</f>
        <v>05.3.2-APVA-R-014</v>
      </c>
      <c r="I51" s="378" t="str">
        <f>CONCATENATE('3 pr-2'!I51)</f>
        <v>R</v>
      </c>
      <c r="J51" s="378" t="str">
        <f>CONCATENATE('3 pr-2'!J51)</f>
        <v>ITI</v>
      </c>
      <c r="K51" s="1164">
        <f>IF(Z51&gt;0,'3 pr-2'!L51,0)</f>
        <v>2474472.79</v>
      </c>
      <c r="L51" s="1164">
        <f>IF(Z51&gt;0,'3 pr-2'!O51,0)</f>
        <v>0</v>
      </c>
      <c r="M51" s="1164">
        <f>IF(Z51&gt;0,'3 pr-2'!R51,0)</f>
        <v>0</v>
      </c>
      <c r="N51" s="1164">
        <f>IF(Z51&gt;0,'3 pr-2'!U51,0)</f>
        <v>860244.53</v>
      </c>
      <c r="O51" s="1164">
        <f>IF(Z51&gt;0,'3 pr-2'!X51,0)</f>
        <v>0</v>
      </c>
      <c r="P51" s="1164">
        <f>IF(Z51&gt;0,'3 pr-2'!AA51,0)</f>
        <v>1614228.26</v>
      </c>
      <c r="Q51" s="1214">
        <f>IF(YEAR(Z51)=2016,P51,0)</f>
        <v>0</v>
      </c>
      <c r="R51" s="1214">
        <f>IF(YEAR(Z51)=2017,P51,0)</f>
        <v>1614228.26</v>
      </c>
      <c r="S51" s="1214">
        <f>IF(YEAR(Z51)=2018,P51,0)</f>
        <v>0</v>
      </c>
      <c r="T51" s="1214">
        <f>IF(YEAR(Z51)=2019,P51,0)</f>
        <v>0</v>
      </c>
      <c r="U51" s="1214">
        <f>IF(YEAR(Z51)=2020,P51,0)</f>
        <v>0</v>
      </c>
      <c r="V51" s="1164">
        <f>IF(Z51&gt;0,'3 pr-2'!$AB$10,0)</f>
        <v>0</v>
      </c>
      <c r="W51" s="1153">
        <f>SUM('3 pr-2'!AI51)</f>
        <v>42766</v>
      </c>
      <c r="X51" s="1153">
        <f t="shared" si="11"/>
        <v>42766</v>
      </c>
      <c r="Y51" s="992">
        <f t="shared" ref="Y51:Y55" si="36">IF(ISTEXT(X51),"–",IF((W51-X51)/30&gt;0,"–",(W51-X51)/30))</f>
        <v>0</v>
      </c>
      <c r="Z51" s="1339">
        <f>SUMIF(Projektu_sutarciu_ataskaita!$J$19:$J$600,C51,Projektu_sutarciu_ataskaita!$L$19:$L$600)</f>
        <v>42766</v>
      </c>
      <c r="AA51" s="1345">
        <f t="shared" si="13"/>
        <v>0</v>
      </c>
      <c r="AB51" s="384" t="str">
        <f t="shared" ref="AB51:AB55" si="37">IF(W51-Z51&lt;0,(W51-Z51)/30.4166666666667,"–")</f>
        <v>–</v>
      </c>
    </row>
    <row r="52" spans="1:28" ht="48.75">
      <c r="A52" s="372" t="str">
        <f>CONCATENATE('3 pr-2'!A52)</f>
        <v>1.1.1.5.2.</v>
      </c>
      <c r="B52" s="221" t="str">
        <f>CONCATENATE('3 pr-2'!B52)</f>
        <v>R01-0014-060750-1152</v>
      </c>
      <c r="C52" s="373" t="str">
        <f>CONCATENATE('ketv. 2'!B51)</f>
        <v>05.3.2-APVA-R-014-11-0002</v>
      </c>
      <c r="D52" s="372" t="str">
        <f>CONCATENATE('3 pr-2'!D52)</f>
        <v>Geriamojo vandens ir nuotekų tvarkymo sistemų renovavimas Alytaus mieste</v>
      </c>
      <c r="E52" s="372" t="str">
        <f>CONCATENATE('3 pr-2'!E52)</f>
        <v>UAB “Dzūkijos vandenys“</v>
      </c>
      <c r="F52" s="372" t="str">
        <f>CONCATENATE('3 pr-2'!F52)</f>
        <v>Lietuvos Respublikos aplinkos ministerija</v>
      </c>
      <c r="G52" s="372" t="str">
        <f>CONCATENATE('3 pr-2'!G52)</f>
        <v>Alytaus m. sav.</v>
      </c>
      <c r="H52" s="372" t="str">
        <f>CONCATENATE('3 pr-2'!H52)</f>
        <v>05.3.2-APVA-R-014</v>
      </c>
      <c r="I52" s="372" t="str">
        <f>CONCATENATE('3 pr-2'!I52)</f>
        <v>R</v>
      </c>
      <c r="J52" s="372" t="str">
        <f>CONCATENATE('3 pr-2'!J52)</f>
        <v>ITI</v>
      </c>
      <c r="K52" s="1080">
        <f>IF(Z52&gt;0,'3 pr-2'!L52,0)</f>
        <v>5706088</v>
      </c>
      <c r="L52" s="1080">
        <f>IF(Z52&gt;0,'3 pr-2'!O52,0)</f>
        <v>0</v>
      </c>
      <c r="M52" s="1080">
        <f>IF(Z52&gt;0,'3 pr-2'!R52,0)</f>
        <v>0</v>
      </c>
      <c r="N52" s="1080">
        <f>IF(Z52&gt;0,'3 pr-2'!U52,0)</f>
        <v>3009103.69</v>
      </c>
      <c r="O52" s="1080">
        <f>IF(Z52&gt;0,'3 pr-2'!X52,0)</f>
        <v>0</v>
      </c>
      <c r="P52" s="1080">
        <f>IF(Z52&gt;0,'3 pr-2'!AA52,0)</f>
        <v>2696984.31</v>
      </c>
      <c r="Q52" s="1215">
        <f>IF(YEAR(Z52)=2016,P52,0)</f>
        <v>2696984.31</v>
      </c>
      <c r="R52" s="1215">
        <f>IF(YEAR(Z52)=2017,P52,0)</f>
        <v>0</v>
      </c>
      <c r="S52" s="1215">
        <f>IF(YEAR(Z52)=2018,P52,0)</f>
        <v>0</v>
      </c>
      <c r="T52" s="1215">
        <f>IF(YEAR(Z52)=2019,P52,0)</f>
        <v>0</v>
      </c>
      <c r="U52" s="1215">
        <f>IF(YEAR(Z52)=2020,P52,0)</f>
        <v>0</v>
      </c>
      <c r="V52" s="1164">
        <f>IF(Z52&gt;0,'3 pr-2'!$AB$10,0)</f>
        <v>0</v>
      </c>
      <c r="W52" s="1154">
        <f>SUM('3 pr-2'!AI52)</f>
        <v>42736</v>
      </c>
      <c r="X52" s="1153">
        <f t="shared" si="11"/>
        <v>42726</v>
      </c>
      <c r="Y52" s="992" t="str">
        <f t="shared" si="36"/>
        <v>–</v>
      </c>
      <c r="Z52" s="1339">
        <f>SUMIF(Projektu_sutarciu_ataskaita!$J$19:$J$600,C52,Projektu_sutarciu_ataskaita!$L$19:$L$600)</f>
        <v>42726</v>
      </c>
      <c r="AA52" s="1346">
        <f t="shared" si="13"/>
        <v>0.33333333333333331</v>
      </c>
      <c r="AB52" s="384" t="str">
        <f t="shared" si="37"/>
        <v>–</v>
      </c>
    </row>
    <row r="53" spans="1:28" ht="48.75">
      <c r="A53" s="372" t="str">
        <f>CONCATENATE('3 pr-2'!A53)</f>
        <v>1.1.1.5.3</v>
      </c>
      <c r="B53" s="221" t="str">
        <f>CONCATENATE('3 pr-2'!B53)</f>
        <v>R01-0014-070650-1153</v>
      </c>
      <c r="C53" s="373" t="str">
        <f>CONCATENATE('ketv. 2'!B52)</f>
        <v>05.3.2-APVA-R-014-11-0004</v>
      </c>
      <c r="D53" s="372" t="str">
        <f>CONCATENATE('3 pr-2'!D53)</f>
        <v>Geriamojo vandens tiekimo ir nuotekų tvarkymo sistemų renovavimas ir plėtra Lazdijų rajono savivaldybėje</v>
      </c>
      <c r="E53" s="372" t="str">
        <f>CONCATENATE('3 pr-2'!E53)</f>
        <v>UAB „Lazdijų vanduo“</v>
      </c>
      <c r="F53" s="372" t="str">
        <f>CONCATENATE('3 pr-2'!F53)</f>
        <v>Lietuvos Respublikos aplinkos ministerija</v>
      </c>
      <c r="G53" s="372" t="str">
        <f>CONCATENATE('3 pr-2'!G53)</f>
        <v>Lazdijų r. sav.</v>
      </c>
      <c r="H53" s="372" t="str">
        <f>CONCATENATE('3 pr-2'!H53)</f>
        <v>05.3.2-APVA-R-014</v>
      </c>
      <c r="I53" s="372" t="str">
        <f>CONCATENATE('3 pr-2'!I53)</f>
        <v>R</v>
      </c>
      <c r="J53" s="372" t="str">
        <f>CONCATENATE('3 pr-2'!J53)</f>
        <v>-</v>
      </c>
      <c r="K53" s="1080">
        <f>IF(Z53&gt;0,'3 pr-2'!L53,0)</f>
        <v>1437425.74</v>
      </c>
      <c r="L53" s="1080">
        <f>IF(Z53&gt;0,'3 pr-2'!O53,0)</f>
        <v>0</v>
      </c>
      <c r="M53" s="1080">
        <f>IF(Z53&gt;0,'3 pr-2'!R53,0)</f>
        <v>0</v>
      </c>
      <c r="N53" s="1080">
        <f>IF(Z53&gt;0,'3 pr-2'!U53,0)</f>
        <v>641323.74</v>
      </c>
      <c r="O53" s="1080">
        <f>IF(Z53&gt;0,'3 pr-2'!X53,0)</f>
        <v>0</v>
      </c>
      <c r="P53" s="1080">
        <f>IF(Z53&gt;0,'3 pr-2'!AA53,0)</f>
        <v>796102</v>
      </c>
      <c r="Q53" s="1215">
        <f>IF(YEAR(Z53)=2016,P53,0)</f>
        <v>0</v>
      </c>
      <c r="R53" s="1215">
        <f>IF(YEAR(Z53)=2017,P53,0)</f>
        <v>796102</v>
      </c>
      <c r="S53" s="1215">
        <f>IF(YEAR(Z53)=2018,P53,0)</f>
        <v>0</v>
      </c>
      <c r="T53" s="1215">
        <f>IF(YEAR(Z53)=2019,P53,0)</f>
        <v>0</v>
      </c>
      <c r="U53" s="1215">
        <f>IF(YEAR(Z53)=2020,P53,0)</f>
        <v>0</v>
      </c>
      <c r="V53" s="1164">
        <f>IF(Z53&gt;0,'3 pr-2'!$AB$10,0)</f>
        <v>0</v>
      </c>
      <c r="W53" s="1154">
        <f>SUM('3 pr-2'!AI53)</f>
        <v>42825</v>
      </c>
      <c r="X53" s="1153">
        <f t="shared" si="11"/>
        <v>42818</v>
      </c>
      <c r="Y53" s="992" t="str">
        <f t="shared" si="36"/>
        <v>–</v>
      </c>
      <c r="Z53" s="1339">
        <f>SUMIF(Projektu_sutarciu_ataskaita!$J$19:$J$600,C53,Projektu_sutarciu_ataskaita!$L$19:$L$600)</f>
        <v>42818</v>
      </c>
      <c r="AA53" s="1346">
        <f t="shared" si="13"/>
        <v>0.23333333333333334</v>
      </c>
      <c r="AB53" s="384" t="str">
        <f t="shared" si="37"/>
        <v>–</v>
      </c>
    </row>
    <row r="54" spans="1:28" ht="48.75">
      <c r="A54" s="372" t="str">
        <f>CONCATENATE('3 pr-2'!A54)</f>
        <v>1.1.1.5.4.</v>
      </c>
      <c r="B54" s="221" t="str">
        <f>CONCATENATE('3 pr-2'!B54)</f>
        <v>R01-0014-060700-1154</v>
      </c>
      <c r="C54" s="373" t="str">
        <f>CONCATENATE('ketv. 2'!B53)</f>
        <v>05.3.2-APVA-R-014-11-0003</v>
      </c>
      <c r="D54" s="372" t="str">
        <f>CONCATENATE('3 pr-2'!D54)</f>
        <v>Vandens tiekimo ir nuotekų šalinimo infrastruktūros renovavimas ir plėtra Druskininkų savivaldybėje</v>
      </c>
      <c r="E54" s="372" t="str">
        <f>CONCATENATE('3 pr-2'!E54)</f>
        <v>UAB "Druskininkų vandenys"</v>
      </c>
      <c r="F54" s="372" t="str">
        <f>CONCATENATE('3 pr-2'!F54)</f>
        <v>Lietuvos Respublikos aplinkos ministerija</v>
      </c>
      <c r="G54" s="372" t="str">
        <f>CONCATENATE('3 pr-2'!G54)</f>
        <v>Druskininkų sav.</v>
      </c>
      <c r="H54" s="372" t="str">
        <f>CONCATENATE('3 pr-2'!H54)</f>
        <v>05.3.2-APVA-R-014</v>
      </c>
      <c r="I54" s="372" t="str">
        <f>CONCATENATE('3 pr-2'!I54)</f>
        <v>R</v>
      </c>
      <c r="J54" s="372" t="str">
        <f>CONCATENATE('3 pr-2'!J54)</f>
        <v>-</v>
      </c>
      <c r="K54" s="1080">
        <f>IF(Z54&gt;0,'3 pr-2'!L54,0)</f>
        <v>5160736.5999999996</v>
      </c>
      <c r="L54" s="1080">
        <f>IF(Z54&gt;0,'3 pr-2'!O54,0)</f>
        <v>0</v>
      </c>
      <c r="M54" s="1080">
        <f>IF(Z54&gt;0,'3 pr-2'!R54,0)</f>
        <v>0</v>
      </c>
      <c r="N54" s="1080">
        <f>IF(Z54&gt;0,'3 pr-2'!U54,0)</f>
        <v>2286561.87</v>
      </c>
      <c r="O54" s="1080">
        <f>IF(Z54&gt;0,'3 pr-2'!X54,0)</f>
        <v>0</v>
      </c>
      <c r="P54" s="1080">
        <f>IF(Z54&gt;0,'3 pr-2'!AA54,0)</f>
        <v>2874174.73</v>
      </c>
      <c r="Q54" s="1215">
        <f>IF(YEAR(Z54)=2016,P54,0)</f>
        <v>0</v>
      </c>
      <c r="R54" s="1215">
        <f>IF(YEAR(Z54)=2017,P54,0)</f>
        <v>2874174.73</v>
      </c>
      <c r="S54" s="1215">
        <f>IF(YEAR(Z54)=2018,P54,0)</f>
        <v>0</v>
      </c>
      <c r="T54" s="1215">
        <f>IF(YEAR(Z54)=2019,P54,0)</f>
        <v>0</v>
      </c>
      <c r="U54" s="1215">
        <f>IF(YEAR(Z54)=2020,P54,0)</f>
        <v>0</v>
      </c>
      <c r="V54" s="1164">
        <f>IF(Z54&gt;0,'3 pr-2'!$AB$10,0)</f>
        <v>0</v>
      </c>
      <c r="W54" s="1154">
        <f>SUM('3 pr-2'!AI54)</f>
        <v>42824</v>
      </c>
      <c r="X54" s="1153">
        <f t="shared" si="11"/>
        <v>42810</v>
      </c>
      <c r="Y54" s="992" t="str">
        <f t="shared" si="36"/>
        <v>–</v>
      </c>
      <c r="Z54" s="1339">
        <f>SUMIF(Projektu_sutarciu_ataskaita!$J$19:$J$600,C54,Projektu_sutarciu_ataskaita!$L$19:$L$600)</f>
        <v>42810</v>
      </c>
      <c r="AA54" s="1346">
        <f t="shared" si="13"/>
        <v>0.46666666666666667</v>
      </c>
      <c r="AB54" s="384" t="str">
        <f t="shared" si="37"/>
        <v>–</v>
      </c>
    </row>
    <row r="55" spans="1:28" ht="49.5" thickBot="1">
      <c r="A55" s="380" t="str">
        <f>CONCATENATE('3 pr-2'!A55)</f>
        <v>1.1.1.5.5.</v>
      </c>
      <c r="B55" s="221" t="str">
        <f>CONCATENATE('3 pr-2'!B55)</f>
        <v>R01-0014-060750-1155</v>
      </c>
      <c r="C55" s="381" t="str">
        <f>CONCATENATE('ketv. 2'!B54)</f>
        <v>05.3.2-APVA-R-014-11-0005</v>
      </c>
      <c r="D55" s="380" t="str">
        <f>CONCATENATE('3 pr-2'!D55)</f>
        <v>Vandens tiekimo ir nuotekų tvarkymo infrastruktūros plėtra Alytaus rajone (Krokialaukyje)</v>
      </c>
      <c r="E55" s="380" t="str">
        <f>CONCATENATE('3 pr-2'!E55)</f>
        <v>SĮ „Simno komunalininkas“</v>
      </c>
      <c r="F55" s="380" t="str">
        <f>CONCATENATE('3 pr-2'!F55)</f>
        <v>Lietuvos Respublikos aplinkos ministerija</v>
      </c>
      <c r="G55" s="380" t="str">
        <f>CONCATENATE('3 pr-2'!G55)</f>
        <v>Alytaus r. sav.</v>
      </c>
      <c r="H55" s="380" t="str">
        <f>CONCATENATE('3 pr-2'!H55)</f>
        <v>05.3.2-APVA-R-014</v>
      </c>
      <c r="I55" s="380" t="str">
        <f>CONCATENATE('3 pr-2'!I55)</f>
        <v>R</v>
      </c>
      <c r="J55" s="380" t="str">
        <f>CONCATENATE('3 pr-2'!J55)</f>
        <v>-</v>
      </c>
      <c r="K55" s="1163">
        <f>IF(Z55&gt;0,'3 pr-2'!L55,0)</f>
        <v>1571000</v>
      </c>
      <c r="L55" s="1163">
        <f>IF(Z55&gt;0,'3 pr-2'!O55,0)</f>
        <v>0</v>
      </c>
      <c r="M55" s="1163">
        <f>IF(Z55&gt;0,'3 pr-2'!R55,0)</f>
        <v>0</v>
      </c>
      <c r="N55" s="1163">
        <f>IF(Z55&gt;0,'3 pr-2'!U55,0)</f>
        <v>650525</v>
      </c>
      <c r="O55" s="1163">
        <f>IF(Z55&gt;0,'3 pr-2'!X55,0)</f>
        <v>0</v>
      </c>
      <c r="P55" s="1163">
        <f>IF(Z55&gt;0,'3 pr-2'!AA55,0)</f>
        <v>920475</v>
      </c>
      <c r="Q55" s="1216">
        <f>IF(YEAR(Z55)=2016,P55,0)</f>
        <v>0</v>
      </c>
      <c r="R55" s="1216">
        <f>IF(YEAR(Z55)=2017,P55,0)</f>
        <v>0</v>
      </c>
      <c r="S55" s="1216">
        <f>IF(YEAR(Z55)=2018,P55,0)</f>
        <v>920475</v>
      </c>
      <c r="T55" s="1216">
        <f>IF(YEAR(Z55)=2019,P55,0)</f>
        <v>0</v>
      </c>
      <c r="U55" s="1216">
        <f>IF(YEAR(Z55)=2020,P55,0)</f>
        <v>0</v>
      </c>
      <c r="V55" s="1164">
        <f>IF(Z55&gt;0,'3 pr-2'!$AB$10,0)</f>
        <v>0</v>
      </c>
      <c r="W55" s="1155">
        <f>SUM('3 pr-2'!AI55)</f>
        <v>43146</v>
      </c>
      <c r="X55" s="1330">
        <f t="shared" si="11"/>
        <v>43146</v>
      </c>
      <c r="Y55" s="992">
        <f t="shared" si="36"/>
        <v>0</v>
      </c>
      <c r="Z55" s="1339">
        <f>SUMIF(Projektu_sutarciu_ataskaita!$J$19:$J$600,C55,Projektu_sutarciu_ataskaita!$L$19:$L$600)</f>
        <v>43146</v>
      </c>
      <c r="AA55" s="1347">
        <f t="shared" si="13"/>
        <v>0</v>
      </c>
      <c r="AB55" s="384" t="str">
        <f t="shared" si="37"/>
        <v>–</v>
      </c>
    </row>
    <row r="56" spans="1:28" ht="44.25" customHeight="1" thickBot="1">
      <c r="A56" s="296" t="str">
        <f>CONCATENATE('3 pr-2'!A56)</f>
        <v>1.1.1.6</v>
      </c>
      <c r="B56" s="2088" t="str">
        <f>CONCATENATE('3 pr-2'!B56)</f>
        <v>Priemonė:
Paviršinių nuotekų sistemų tvarkymas</v>
      </c>
      <c r="C56" s="2089"/>
      <c r="D56" s="2089"/>
      <c r="E56" s="2089"/>
      <c r="F56" s="2089"/>
      <c r="G56" s="2089"/>
      <c r="H56" s="2089"/>
      <c r="I56" s="2089"/>
      <c r="J56" s="2090"/>
      <c r="K56" s="1077">
        <f>SUM(K57)</f>
        <v>3990955.51</v>
      </c>
      <c r="L56" s="1077">
        <f t="shared" ref="L56:P56" si="38">SUM(L57)</f>
        <v>0</v>
      </c>
      <c r="M56" s="1077">
        <f t="shared" si="38"/>
        <v>0</v>
      </c>
      <c r="N56" s="1077">
        <f t="shared" si="38"/>
        <v>598643.31999999995</v>
      </c>
      <c r="O56" s="1077">
        <f t="shared" si="38"/>
        <v>0</v>
      </c>
      <c r="P56" s="1077">
        <f t="shared" si="38"/>
        <v>3392312.19</v>
      </c>
      <c r="Q56" s="1209">
        <f>SUM(Q57)</f>
        <v>0</v>
      </c>
      <c r="R56" s="1210">
        <f t="shared" ref="R56:V56" si="39">SUM(R57)</f>
        <v>3392312.19</v>
      </c>
      <c r="S56" s="1209">
        <f t="shared" si="39"/>
        <v>0</v>
      </c>
      <c r="T56" s="1210">
        <f t="shared" si="39"/>
        <v>0</v>
      </c>
      <c r="U56" s="1211">
        <f t="shared" si="39"/>
        <v>0</v>
      </c>
      <c r="V56" s="1077">
        <f t="shared" si="39"/>
        <v>0</v>
      </c>
      <c r="W56" s="1150"/>
      <c r="X56" s="1150" t="str">
        <f t="shared" si="11"/>
        <v>–</v>
      </c>
      <c r="Y56" s="1150" t="str">
        <f t="shared" si="35"/>
        <v>–</v>
      </c>
      <c r="Z56" s="1344"/>
      <c r="AA56" s="1338" t="e">
        <f t="shared" si="13"/>
        <v>#VALUE!</v>
      </c>
      <c r="AB56" s="356"/>
    </row>
    <row r="57" spans="1:28" ht="49.5" thickBot="1">
      <c r="A57" s="164" t="str">
        <f>CONCATENATE('3 pr-2'!A57)</f>
        <v>1.1.1.6.1</v>
      </c>
      <c r="B57" s="221" t="str">
        <f>CONCATENATE('3 pr-2'!B57)</f>
        <v>R01-0007-080000-1161</v>
      </c>
      <c r="C57" s="281" t="str">
        <f>CONCATENATE('ketv. 2'!B56)</f>
        <v>05.1.1-APVA-R-007-11-0001</v>
      </c>
      <c r="D57" s="164" t="str">
        <f>CONCATENATE('3 pr-2'!D57)</f>
        <v>Paviršinių nuotekų sistemų tvarkymas Alytaus mieste</v>
      </c>
      <c r="E57" s="164" t="str">
        <f>CONCATENATE('3 pr-2'!E57)</f>
        <v>UAB “Dzūkijos vandenys“</v>
      </c>
      <c r="F57" s="164" t="str">
        <f>CONCATENATE('3 pr-2'!F57)</f>
        <v>Lietuvos Respublikos aplinkos ministerija</v>
      </c>
      <c r="G57" s="164" t="str">
        <f>CONCATENATE('3 pr-2'!G57)</f>
        <v>Alytaus m. sav.</v>
      </c>
      <c r="H57" s="164" t="str">
        <f>CONCATENATE('3 pr-2'!H57)</f>
        <v>05.1.1-APVA-R-007</v>
      </c>
      <c r="I57" s="164" t="str">
        <f>CONCATENATE('3 pr-2'!I57)</f>
        <v>R</v>
      </c>
      <c r="J57" s="164" t="str">
        <f>CONCATENATE('3 pr-2'!J57)</f>
        <v>-</v>
      </c>
      <c r="K57" s="1080">
        <f>IF(Z57&gt;0,'3 pr-2'!L57,0)</f>
        <v>3990955.51</v>
      </c>
      <c r="L57" s="1080">
        <f>IF(Z57&gt;0,'3 pr-2'!O57,0)</f>
        <v>0</v>
      </c>
      <c r="M57" s="1080">
        <f>IF(Z57&gt;0,'3 pr-2'!R57,0)</f>
        <v>0</v>
      </c>
      <c r="N57" s="1080">
        <f>IF(Z57&gt;0,'3 pr-2'!U57,0)</f>
        <v>598643.31999999995</v>
      </c>
      <c r="O57" s="1080">
        <f>IF(Z57&gt;0,'3 pr-2'!X57,0)</f>
        <v>0</v>
      </c>
      <c r="P57" s="1080">
        <f>IF(Z57&gt;0,'3 pr-2'!AA57,0)</f>
        <v>3392312.19</v>
      </c>
      <c r="Q57" s="1080">
        <f>IF(YEAR(Z57)=2016,P57,0)</f>
        <v>0</v>
      </c>
      <c r="R57" s="1080">
        <f>IF(YEAR(Z57)=2017,P57,0)</f>
        <v>3392312.19</v>
      </c>
      <c r="S57" s="1080">
        <f>IF(YEAR(Z57)=2018,P57,0)</f>
        <v>0</v>
      </c>
      <c r="T57" s="1080">
        <f>IF(YEAR(Z57)=2019,P57,0)</f>
        <v>0</v>
      </c>
      <c r="U57" s="1080">
        <f>IF(YEAR(Z57)=2020,P57,0)</f>
        <v>0</v>
      </c>
      <c r="V57" s="1164">
        <f>IF(Z57&gt;0,'3 pr-2'!$AB$10,0)</f>
        <v>0</v>
      </c>
      <c r="W57" s="1104">
        <f>SUM('3 pr-2'!AI57)</f>
        <v>42825</v>
      </c>
      <c r="X57" s="1132">
        <f t="shared" si="11"/>
        <v>42815</v>
      </c>
      <c r="Y57" s="992" t="str">
        <f>IF(ISTEXT(X57),"–",IF((W57-X57)/30&gt;0,"–",(W57-X57)/30))</f>
        <v>–</v>
      </c>
      <c r="Z57" s="1339">
        <f>SUMIF(Projektu_sutarciu_ataskaita!$J$19:$J$600,C57,Projektu_sutarciu_ataskaita!$L$19:$L$600)</f>
        <v>42815</v>
      </c>
      <c r="AA57" s="1249">
        <f t="shared" si="13"/>
        <v>0.33333333333333331</v>
      </c>
      <c r="AB57" s="384" t="str">
        <f>IF(W57-Z57&lt;0,(W57-Z57)/30.4166666666667,"–")</f>
        <v>–</v>
      </c>
    </row>
    <row r="58" spans="1:28" ht="39" customHeight="1" thickBot="1">
      <c r="A58" s="296" t="str">
        <f>CONCATENATE('3 pr-2'!A58)</f>
        <v>1.1.1.7</v>
      </c>
      <c r="B58" s="2088" t="str">
        <f>CONCATENATE('3 pr-2'!B58)</f>
        <v>Priemonė:
Savivaldybes jungiančių turizmo trasų ir turizmo maršrutų informacinės infrastruktūros plėtra</v>
      </c>
      <c r="C58" s="2089"/>
      <c r="D58" s="2089"/>
      <c r="E58" s="2089"/>
      <c r="F58" s="2089"/>
      <c r="G58" s="2089"/>
      <c r="H58" s="2089"/>
      <c r="I58" s="2089"/>
      <c r="J58" s="2090"/>
      <c r="K58" s="1077">
        <f>SUM(K59:K61)</f>
        <v>496329.5294117647</v>
      </c>
      <c r="L58" s="1077">
        <f t="shared" ref="L58:P58" si="40">SUM(L59:L61)</f>
        <v>74449.429411764708</v>
      </c>
      <c r="M58" s="1077">
        <f t="shared" si="40"/>
        <v>0</v>
      </c>
      <c r="N58" s="1077">
        <f t="shared" si="40"/>
        <v>0</v>
      </c>
      <c r="O58" s="1077">
        <f t="shared" si="40"/>
        <v>0</v>
      </c>
      <c r="P58" s="1077">
        <f t="shared" si="40"/>
        <v>421880.1</v>
      </c>
      <c r="Q58" s="1209">
        <f>SUM(Q59:Q61)</f>
        <v>0</v>
      </c>
      <c r="R58" s="1210">
        <f t="shared" ref="R58:V58" si="41">SUM(R59:R61)</f>
        <v>421880.1</v>
      </c>
      <c r="S58" s="1209">
        <f t="shared" si="41"/>
        <v>0</v>
      </c>
      <c r="T58" s="1210">
        <f t="shared" si="41"/>
        <v>0</v>
      </c>
      <c r="U58" s="1211">
        <f t="shared" si="41"/>
        <v>0</v>
      </c>
      <c r="V58" s="1077">
        <f t="shared" si="41"/>
        <v>0</v>
      </c>
      <c r="W58" s="1150"/>
      <c r="X58" s="1150" t="str">
        <f t="shared" si="11"/>
        <v>–</v>
      </c>
      <c r="Y58" s="1150" t="str">
        <f t="shared" si="35"/>
        <v>–</v>
      </c>
      <c r="Z58" s="1344"/>
      <c r="AA58" s="1338" t="e">
        <f t="shared" si="13"/>
        <v>#VALUE!</v>
      </c>
      <c r="AB58" s="356"/>
    </row>
    <row r="59" spans="1:28" ht="36.75">
      <c r="A59" s="164" t="str">
        <f>CONCATENATE('3 pr-2'!A59)</f>
        <v>1.1.1.7.1</v>
      </c>
      <c r="B59" s="221" t="str">
        <f>CONCATENATE('3 pr-2'!B59)</f>
        <v>R01-8821-420000-1171</v>
      </c>
      <c r="C59" s="281" t="str">
        <f>CONCATENATE('ketv. 2'!B58)</f>
        <v>05.4.1-LVPA-R-821-11-0002</v>
      </c>
      <c r="D59" s="164" t="str">
        <f>CONCATENATE('3 pr-2'!D59)</f>
        <v>Alytaus regiono turizmo informacinės infrastruktūros plėtra</v>
      </c>
      <c r="E59" s="164" t="str">
        <f>CONCATENATE('3 pr-2'!E59)</f>
        <v>Alytaus miesto savivaldybės administracija</v>
      </c>
      <c r="F59" s="164" t="str">
        <f>CONCATENATE('3 pr-2'!F59)</f>
        <v>Lietuvos Respublikos ūkio ministerija</v>
      </c>
      <c r="G59" s="164" t="str">
        <f>CONCATENATE('3 pr-2'!G59)</f>
        <v>Alytaus regionas</v>
      </c>
      <c r="H59" s="164" t="str">
        <f>CONCATENATE('3 pr-2'!H59)</f>
        <v>05.4.1-LVPA-R-821</v>
      </c>
      <c r="I59" s="164" t="str">
        <f>CONCATENATE('3 pr-2'!I59)</f>
        <v>R</v>
      </c>
      <c r="J59" s="164" t="str">
        <f>CONCATENATE('3 pr-2'!J59)</f>
        <v>-</v>
      </c>
      <c r="K59" s="1080">
        <f>IF(Z59&gt;0,'3 pr-2'!L59,0)</f>
        <v>208223.52941176473</v>
      </c>
      <c r="L59" s="1080">
        <f>IF(Z59&gt;0,'3 pr-2'!O59,0)</f>
        <v>31233.529411764706</v>
      </c>
      <c r="M59" s="1080">
        <f>IF(Z59&gt;0,'3 pr-2'!R59,0)</f>
        <v>0</v>
      </c>
      <c r="N59" s="1080">
        <f>IF(Z59&gt;0,'3 pr-2'!U59,0)</f>
        <v>0</v>
      </c>
      <c r="O59" s="1080">
        <f>IF(Z59&gt;0,'3 pr-2'!X59,0)</f>
        <v>0</v>
      </c>
      <c r="P59" s="1080">
        <f>IF(Z59&gt;0,'3 pr-2'!AA59,0)</f>
        <v>176990</v>
      </c>
      <c r="Q59" s="1080">
        <f>IF(YEAR(Z59)=2016,P59,0)</f>
        <v>0</v>
      </c>
      <c r="R59" s="1080">
        <f>IF(YEAR(Z59)=2017,P59,0)</f>
        <v>176990</v>
      </c>
      <c r="S59" s="1080">
        <f>IF(YEAR(Z59)=2018,P59,0)</f>
        <v>0</v>
      </c>
      <c r="T59" s="1080">
        <f>IF(YEAR(Z59)=2019,P59,0)</f>
        <v>0</v>
      </c>
      <c r="U59" s="1080">
        <f>IF(YEAR(Z59)=2020,P59,0)</f>
        <v>0</v>
      </c>
      <c r="V59" s="1164">
        <f>IF(Z59&gt;0,'3 pr-2'!$AB$10,0)</f>
        <v>0</v>
      </c>
      <c r="W59" s="1104">
        <f>SUM('3 pr-2'!AI59)</f>
        <v>42840</v>
      </c>
      <c r="X59" s="1132">
        <f t="shared" si="11"/>
        <v>42835</v>
      </c>
      <c r="Y59" s="992" t="str">
        <f t="shared" ref="Y59:Y61" si="42">IF(ISTEXT(X59),"–",IF((W59-X59)/30&gt;0,"–",(W59-X59)/30))</f>
        <v>–</v>
      </c>
      <c r="Z59" s="1339">
        <f>SUMIF(Projektu_sutarciu_ataskaita!$J$19:$J$600,C59,Projektu_sutarciu_ataskaita!$L$19:$L$600)</f>
        <v>42835</v>
      </c>
      <c r="AA59" s="1249">
        <f t="shared" si="13"/>
        <v>0.16666666666666666</v>
      </c>
      <c r="AB59" s="384" t="str">
        <f t="shared" ref="AB59:AB61" si="43">IF(W59-Z59&lt;0,(W59-Z59)/30.4166666666667,"–")</f>
        <v>–</v>
      </c>
    </row>
    <row r="60" spans="1:28" ht="48.75">
      <c r="A60" s="164" t="str">
        <f>CONCATENATE('3 pr-2'!A60)</f>
        <v>1.1.1.7.2</v>
      </c>
      <c r="B60" s="221" t="str">
        <f>CONCATENATE('3 pr-2'!B60)</f>
        <v>R01-8821-420000-1172</v>
      </c>
      <c r="C60" s="281" t="str">
        <f>CONCATENATE('ketv. 2'!B59)</f>
        <v>05.4.1-LVPA-R-821-11-0001</v>
      </c>
      <c r="D60" s="164" t="str">
        <f>CONCATENATE('3 pr-2'!D60)</f>
        <v>Turizmo trasų ir maršrutų informacinės infrastruktūros plėtra Lazdijų, Varėnos rajonų ir Druskininkų savivaldybėse</v>
      </c>
      <c r="E60" s="164" t="str">
        <f>CONCATENATE('3 pr-2'!E60)</f>
        <v>Lazdijų rajono savivaldybės administracija</v>
      </c>
      <c r="F60" s="164" t="str">
        <f>CONCATENATE('3 pr-2'!F60)</f>
        <v>Lietuvos Respublikos ūkio ministerija</v>
      </c>
      <c r="G60" s="164" t="str">
        <f>CONCATENATE('3 pr-2'!G60)</f>
        <v xml:space="preserve">Lazdijų, Varėnos rajonų ir Druskininkų savivaldybės </v>
      </c>
      <c r="H60" s="164" t="str">
        <f>CONCATENATE('3 pr-2'!H60)</f>
        <v>05.4.1-LVPA-R-821</v>
      </c>
      <c r="I60" s="164" t="str">
        <f>CONCATENATE('3 pr-2'!I60)</f>
        <v>R</v>
      </c>
      <c r="J60" s="164" t="str">
        <f>CONCATENATE('3 pr-2'!J60)</f>
        <v>-</v>
      </c>
      <c r="K60" s="1080">
        <f>IF(Z60&gt;0,'3 pr-2'!L60,0)</f>
        <v>288106</v>
      </c>
      <c r="L60" s="1080">
        <f>IF(Z60&gt;0,'3 pr-2'!O60,0)</f>
        <v>43215.9</v>
      </c>
      <c r="M60" s="1080">
        <f>IF(Z60&gt;0,'3 pr-2'!R60,0)</f>
        <v>0</v>
      </c>
      <c r="N60" s="1080">
        <f>IF(Z60&gt;0,'3 pr-2'!U60,0)</f>
        <v>0</v>
      </c>
      <c r="O60" s="1080">
        <f>IF(Z60&gt;0,'3 pr-2'!X60,0)</f>
        <v>0</v>
      </c>
      <c r="P60" s="1080">
        <f>IF(Z60&gt;0,'3 pr-2'!AA60,0)</f>
        <v>244890.1</v>
      </c>
      <c r="Q60" s="1080">
        <f>IF(YEAR(Z60)=2016,P60,0)</f>
        <v>0</v>
      </c>
      <c r="R60" s="1080">
        <f>IF(YEAR(Z60)=2017,P60,0)</f>
        <v>244890.1</v>
      </c>
      <c r="S60" s="1080">
        <f>IF(YEAR(Z60)=2018,P60,0)</f>
        <v>0</v>
      </c>
      <c r="T60" s="1080">
        <f>IF(YEAR(Z60)=2019,P60,0)</f>
        <v>0</v>
      </c>
      <c r="U60" s="1080">
        <f>IF(YEAR(Z60)=2020,P60,0)</f>
        <v>0</v>
      </c>
      <c r="V60" s="1164">
        <f>IF(Z60&gt;0,'3 pr-2'!$AB$10,0)</f>
        <v>0</v>
      </c>
      <c r="W60" s="1104">
        <f>SUM('3 pr-2'!AI60)</f>
        <v>42825</v>
      </c>
      <c r="X60" s="1132">
        <f t="shared" si="11"/>
        <v>42811</v>
      </c>
      <c r="Y60" s="992" t="str">
        <f t="shared" si="42"/>
        <v>–</v>
      </c>
      <c r="Z60" s="1339">
        <f>SUMIF(Projektu_sutarciu_ataskaita!$J$19:$J$600,C60,Projektu_sutarciu_ataskaita!$L$19:$L$600)</f>
        <v>42811</v>
      </c>
      <c r="AA60" s="1249">
        <f t="shared" si="13"/>
        <v>0.46666666666666667</v>
      </c>
      <c r="AB60" s="384" t="str">
        <f t="shared" si="43"/>
        <v>–</v>
      </c>
    </row>
    <row r="61" spans="1:28" ht="49.5" thickBot="1">
      <c r="A61" s="164" t="str">
        <f>CONCATENATE('3 pr-2'!A61)</f>
        <v>1.1.1.7.3</v>
      </c>
      <c r="B61" s="221" t="str">
        <f>CONCATENATE('3 pr-2'!B61)</f>
        <v>R01-8821-420000-1173</v>
      </c>
      <c r="C61" s="281" t="str">
        <f>CONCATENATE('ketv. 2'!B60)</f>
        <v>05.4.1-LVPA-R-821-11-0003</v>
      </c>
      <c r="D61" s="164" t="str">
        <f>CONCATENATE('3 pr-2'!D61)</f>
        <v>Turizmo trasų ir maršrutų informacinės infrastruktūros plėtra Lazdijų, Varėnos rajonų ir Druskininkų savivaldybėse, II etapas</v>
      </c>
      <c r="E61" s="164" t="str">
        <f>CONCATENATE('3 pr-2'!E61)</f>
        <v>Lazdijų rajono savivaldybės administracija</v>
      </c>
      <c r="F61" s="164" t="str">
        <f>CONCATENATE('3 pr-2'!F61)</f>
        <v>Lietuvos Respublikos ūkio ministerija</v>
      </c>
      <c r="G61" s="164" t="str">
        <f>CONCATENATE('3 pr-2'!G61)</f>
        <v xml:space="preserve">Lazdijų, Varėnos rajonų ir Druskininkų savivaldybės </v>
      </c>
      <c r="H61" s="164" t="str">
        <f>CONCATENATE('3 pr-2'!H61)</f>
        <v>05.4.1-LVPA-R-821</v>
      </c>
      <c r="I61" s="164" t="str">
        <f>CONCATENATE('3 pr-2'!I61)</f>
        <v>R</v>
      </c>
      <c r="J61" s="164" t="str">
        <f>CONCATENATE('3 pr-2'!J61)</f>
        <v>-</v>
      </c>
      <c r="K61" s="1080">
        <f>IF(Z61&gt;0,'3 pr-2'!L61,0)</f>
        <v>0</v>
      </c>
      <c r="L61" s="1080">
        <f>IF(Z61&gt;0,'3 pr-2'!O61,0)</f>
        <v>0</v>
      </c>
      <c r="M61" s="1080">
        <f>IF(Z61&gt;0,'3 pr-2'!R61,0)</f>
        <v>0</v>
      </c>
      <c r="N61" s="1080">
        <f>IF(Z61&gt;0,'3 pr-2'!U61,0)</f>
        <v>0</v>
      </c>
      <c r="O61" s="1080">
        <f>IF(Z61&gt;0,'3 pr-2'!X61,0)</f>
        <v>0</v>
      </c>
      <c r="P61" s="1080">
        <f>IF(Z61&gt;0,'3 pr-2'!AA61,0)</f>
        <v>0</v>
      </c>
      <c r="Q61" s="1080">
        <f>IF(YEAR(Z61)=2016,P61,0)</f>
        <v>0</v>
      </c>
      <c r="R61" s="1080">
        <f>IF(YEAR(Z61)=2017,P61,0)</f>
        <v>0</v>
      </c>
      <c r="S61" s="1080">
        <f>IF(YEAR(Z61)=2018,P61,0)</f>
        <v>0</v>
      </c>
      <c r="T61" s="1080">
        <f>IF(YEAR(Z61)=2019,P61,0)</f>
        <v>0</v>
      </c>
      <c r="U61" s="1080">
        <f>IF(YEAR(Z61)=2020,P61,0)</f>
        <v>0</v>
      </c>
      <c r="V61" s="1164">
        <f>IF(Z61&gt;0,'3 pr-2'!$AB$10,0)</f>
        <v>0</v>
      </c>
      <c r="W61" s="1104">
        <f>SUM('3 pr-2'!AI61)</f>
        <v>43645</v>
      </c>
      <c r="X61" s="1132" t="str">
        <f t="shared" si="11"/>
        <v>–</v>
      </c>
      <c r="Y61" s="992" t="str">
        <f t="shared" si="42"/>
        <v>–</v>
      </c>
      <c r="Z61" s="1339">
        <f>SUMIF(Projektu_sutarciu_ataskaita!$J$19:$J$600,C61,Projektu_sutarciu_ataskaita!$L$19:$L$600)</f>
        <v>0</v>
      </c>
      <c r="AA61" s="1249" t="e">
        <f t="shared" si="13"/>
        <v>#VALUE!</v>
      </c>
      <c r="AB61" s="384" t="str">
        <f t="shared" si="43"/>
        <v>–</v>
      </c>
    </row>
    <row r="62" spans="1:28" ht="36.75" customHeight="1" thickBot="1">
      <c r="A62" s="296" t="str">
        <f>CONCATENATE('3 pr-2'!A62)</f>
        <v>1.1.1.8</v>
      </c>
      <c r="B62" s="2088" t="str">
        <f>CONCATENATE('3 pr-2'!B62)</f>
        <v>Priemonė:
Modernizuoti savivaldybių kultūros infrastruktūrą</v>
      </c>
      <c r="C62" s="2089"/>
      <c r="D62" s="2089"/>
      <c r="E62" s="2089"/>
      <c r="F62" s="2089"/>
      <c r="G62" s="2089"/>
      <c r="H62" s="2089"/>
      <c r="I62" s="2089"/>
      <c r="J62" s="2090"/>
      <c r="K62" s="1077">
        <f>SUM(K63:K66)</f>
        <v>1972835.5100000002</v>
      </c>
      <c r="L62" s="1077">
        <f t="shared" ref="L62:P62" si="44">SUM(L63:L66)</f>
        <v>422270.99</v>
      </c>
      <c r="M62" s="1077">
        <f t="shared" si="44"/>
        <v>0</v>
      </c>
      <c r="N62" s="1077">
        <f t="shared" si="44"/>
        <v>0</v>
      </c>
      <c r="O62" s="1077">
        <f t="shared" si="44"/>
        <v>352400.82</v>
      </c>
      <c r="P62" s="1077">
        <f t="shared" si="44"/>
        <v>1198163.7</v>
      </c>
      <c r="Q62" s="1209">
        <f>SUM(Q63:Q66)</f>
        <v>0</v>
      </c>
      <c r="R62" s="1210">
        <f t="shared" ref="R62:V62" si="45">SUM(R63:R66)</f>
        <v>898622.7</v>
      </c>
      <c r="S62" s="1209">
        <f t="shared" si="45"/>
        <v>299541</v>
      </c>
      <c r="T62" s="1210">
        <f t="shared" si="45"/>
        <v>0</v>
      </c>
      <c r="U62" s="1211">
        <f t="shared" si="45"/>
        <v>0</v>
      </c>
      <c r="V62" s="1077">
        <f t="shared" si="45"/>
        <v>0</v>
      </c>
      <c r="W62" s="1150"/>
      <c r="X62" s="1150" t="str">
        <f t="shared" si="11"/>
        <v>–</v>
      </c>
      <c r="Y62" s="1150" t="str">
        <f t="shared" si="35"/>
        <v>–</v>
      </c>
      <c r="Z62" s="1344"/>
      <c r="AA62" s="1338" t="e">
        <f t="shared" si="13"/>
        <v>#VALUE!</v>
      </c>
      <c r="AB62" s="356"/>
    </row>
    <row r="63" spans="1:28" ht="48.75">
      <c r="A63" s="164" t="str">
        <f>CONCATENATE('3 pr-2'!A63)</f>
        <v>1.1.1.8.1</v>
      </c>
      <c r="B63" s="221" t="str">
        <f>CONCATENATE('3 pr-2'!B63)</f>
        <v>R01-3305-330000-1181</v>
      </c>
      <c r="C63" s="281" t="str">
        <f>CONCATENATE('ketv. 2'!B62)</f>
        <v>07.1.1-CPVA-R-305-11-0001</v>
      </c>
      <c r="D63" s="164" t="str">
        <f>CONCATENATE('3 pr-2'!D63)</f>
        <v>Kultūros įstaigų infrastruktūros modernizavimas Varėnos mieste</v>
      </c>
      <c r="E63" s="164" t="str">
        <f>CONCATENATE('3 pr-2'!E63)</f>
        <v>Varėnos rajono savivaldybės administracija</v>
      </c>
      <c r="F63" s="164" t="str">
        <f>CONCATENATE('3 pr-2'!F63)</f>
        <v>Lietuvos Respublikos kultūros ministerija</v>
      </c>
      <c r="G63" s="164" t="str">
        <f>CONCATENATE('3 pr-2'!G63)</f>
        <v>Varėnos r. sav.</v>
      </c>
      <c r="H63" s="164" t="str">
        <f>CONCATENATE('3 pr-2'!H63)</f>
        <v>07.1.1-CPVA-R-305</v>
      </c>
      <c r="I63" s="164" t="str">
        <f>CONCATENATE('3 pr-2'!I63)</f>
        <v>R</v>
      </c>
      <c r="J63" s="164" t="str">
        <f>CONCATENATE('3 pr-2'!J63)</f>
        <v>ITI</v>
      </c>
      <c r="K63" s="1080">
        <f>IF(Z63&gt;0,'3 pr-2'!L63,0)</f>
        <v>352401</v>
      </c>
      <c r="L63" s="1080">
        <f>IF(Z63&gt;0,'3 pr-2'!O63,0)</f>
        <v>52860.15</v>
      </c>
      <c r="M63" s="1080">
        <f>IF(Z63&gt;0,'3 pr-2'!R63,0)</f>
        <v>0</v>
      </c>
      <c r="N63" s="1080">
        <f>IF(Z63&gt;0,'3 pr-2'!U63,0)</f>
        <v>0</v>
      </c>
      <c r="O63" s="1080">
        <f>IF(Z63&gt;0,'3 pr-2'!X63,0)</f>
        <v>0</v>
      </c>
      <c r="P63" s="1080">
        <f>IF(Z63&gt;0,'3 pr-2'!AA63,0)</f>
        <v>299540.84999999998</v>
      </c>
      <c r="Q63" s="1080">
        <f>IF(YEAR(Z63)=2016,P63,0)</f>
        <v>0</v>
      </c>
      <c r="R63" s="1080">
        <f>IF(YEAR(Z63)=2017,P63,0)</f>
        <v>299540.84999999998</v>
      </c>
      <c r="S63" s="1080">
        <f>IF(YEAR(Z63)=2018,P63,0)</f>
        <v>0</v>
      </c>
      <c r="T63" s="1080">
        <f>IF(YEAR(Z63)=2019,P63,0)</f>
        <v>0</v>
      </c>
      <c r="U63" s="1080">
        <f>IF(YEAR(Z63)=2020,P63,0)</f>
        <v>0</v>
      </c>
      <c r="V63" s="1164">
        <f>IF(Z63&gt;0,'3 pr-2'!$AB$10,0)</f>
        <v>0</v>
      </c>
      <c r="W63" s="1104">
        <f>SUM('3 pr-2'!AI63)</f>
        <v>42855</v>
      </c>
      <c r="X63" s="1132">
        <f t="shared" si="11"/>
        <v>42860</v>
      </c>
      <c r="Y63" s="992">
        <f t="shared" ref="Y63:Y66" si="46">IF(ISTEXT(X63),"–",IF((W63-X63)/30&gt;0,"–",(W63-X63)/30))</f>
        <v>-0.16666666666666666</v>
      </c>
      <c r="Z63" s="1339">
        <f>SUMIF(Projektu_sutarciu_ataskaita!$J$19:$J$600,C63,Projektu_sutarciu_ataskaita!$L$19:$L$600)</f>
        <v>42860</v>
      </c>
      <c r="AA63" s="1249">
        <f t="shared" si="13"/>
        <v>-0.16666666666666666</v>
      </c>
      <c r="AB63" s="384">
        <f t="shared" ref="AB63:AB66" si="47">IF(W63-Z63&lt;0,(W63-Z63)/30.4166666666667,"–")</f>
        <v>-0.16438356164383544</v>
      </c>
    </row>
    <row r="64" spans="1:28" ht="48.75">
      <c r="A64" s="164" t="str">
        <f>CONCATENATE('3 pr-2'!A64)</f>
        <v>1.1.1.8.2</v>
      </c>
      <c r="B64" s="221" t="str">
        <f>CONCATENATE('3 pr-2'!B64)</f>
        <v>R01-3305-330000-1182</v>
      </c>
      <c r="C64" s="281" t="str">
        <f>CONCATENATE('ketv. 2'!B63)</f>
        <v>07.1.1-CPVA-R-305-11-0002</v>
      </c>
      <c r="D64" s="164" t="str">
        <f>CONCATENATE('3 pr-2'!D64)</f>
        <v>VšĮ Alytaus kultūros ir komunikacijos centro pastato Alytuje, Pramonės g. 1B, rekonstravimas</v>
      </c>
      <c r="E64" s="164" t="str">
        <f>CONCATENATE('3 pr-2'!E64)</f>
        <v>Alytaus miesto savivaldybės administracija</v>
      </c>
      <c r="F64" s="164" t="str">
        <f>CONCATENATE('3 pr-2'!F64)</f>
        <v>Lietuvos Respublikos kultūros ministerija</v>
      </c>
      <c r="G64" s="164" t="str">
        <f>CONCATENATE('3 pr-2'!G64)</f>
        <v>Alytaus m. sav.</v>
      </c>
      <c r="H64" s="164" t="str">
        <f>CONCATENATE('3 pr-2'!H64)</f>
        <v>07.1.1-CPVA-R-305</v>
      </c>
      <c r="I64" s="164" t="str">
        <f>CONCATENATE('3 pr-2'!I64)</f>
        <v>R</v>
      </c>
      <c r="J64" s="164" t="str">
        <f>CONCATENATE('3 pr-2'!J64)</f>
        <v>ITI</v>
      </c>
      <c r="K64" s="1080">
        <f>IF(Z64&gt;0,'3 pr-2'!L64,0)</f>
        <v>783264.16</v>
      </c>
      <c r="L64" s="1080">
        <f>IF(Z64&gt;0,'3 pr-2'!O64,0)</f>
        <v>131322.34</v>
      </c>
      <c r="M64" s="1080">
        <f>IF(Z64&gt;0,'3 pr-2'!R64,0)</f>
        <v>0</v>
      </c>
      <c r="N64" s="1080">
        <f>IF(Z64&gt;0,'3 pr-2'!U64,0)</f>
        <v>0</v>
      </c>
      <c r="O64" s="1080">
        <f>IF(Z64&gt;0,'3 pr-2'!X64,0)</f>
        <v>352400.82</v>
      </c>
      <c r="P64" s="1080">
        <f>IF(Z64&gt;0,'3 pr-2'!AA64,0)</f>
        <v>299541</v>
      </c>
      <c r="Q64" s="1080">
        <f>IF(YEAR(Z64)=2016,P64,0)</f>
        <v>0</v>
      </c>
      <c r="R64" s="1080">
        <f>IF(YEAR(Z64)=2017,P64,0)</f>
        <v>299541</v>
      </c>
      <c r="S64" s="1080">
        <f>IF(YEAR(Z64)=2018,P64,0)</f>
        <v>0</v>
      </c>
      <c r="T64" s="1080">
        <f>IF(YEAR(Z64)=2019,P64,0)</f>
        <v>0</v>
      </c>
      <c r="U64" s="1080">
        <f>IF(YEAR(Z64)=2020,P64,0)</f>
        <v>0</v>
      </c>
      <c r="V64" s="1164">
        <f>IF(Z64&gt;0,'3 pr-2'!$AB$10,0)</f>
        <v>0</v>
      </c>
      <c r="W64" s="1104">
        <f>SUM('3 pr-2'!AI64)</f>
        <v>42855</v>
      </c>
      <c r="X64" s="1132">
        <f t="shared" si="11"/>
        <v>42886</v>
      </c>
      <c r="Y64" s="992">
        <f t="shared" si="46"/>
        <v>-1.0333333333333334</v>
      </c>
      <c r="Z64" s="1339">
        <f>SUMIF(Projektu_sutarciu_ataskaita!$J$19:$J$600,C64,Projektu_sutarciu_ataskaita!$L$19:$L$600)</f>
        <v>42886</v>
      </c>
      <c r="AA64" s="1249">
        <f t="shared" si="13"/>
        <v>-1.0333333333333334</v>
      </c>
      <c r="AB64" s="384">
        <f t="shared" si="47"/>
        <v>-1.0191780821917797</v>
      </c>
    </row>
    <row r="65" spans="1:28" ht="48.75">
      <c r="A65" s="164" t="str">
        <f>CONCATENATE('3 pr-2'!A65)</f>
        <v>1.1.1.8.3</v>
      </c>
      <c r="B65" s="221" t="str">
        <f>CONCATENATE('3 pr-2'!B65)</f>
        <v>R01-3305-330000-1183</v>
      </c>
      <c r="C65" s="281" t="str">
        <f>CONCATENATE('ketv. 2'!B64)</f>
        <v>07.1.1-CPVA-R-305-11-0003</v>
      </c>
      <c r="D65" s="164" t="str">
        <f>CONCATENATE('3 pr-2'!D65)</f>
        <v>Druskininkų kultūros centro lauko scenos, Vilniaus al. 24, Druskininkai, modernizavimas ir pritaikymas kultūros poreikiams</v>
      </c>
      <c r="E65" s="164" t="str">
        <f>CONCATENATE('3 pr-2'!E65)</f>
        <v xml:space="preserve">Druskininkų savivaldybės administracija  </v>
      </c>
      <c r="F65" s="164" t="str">
        <f>CONCATENATE('3 pr-2'!F65)</f>
        <v>Lietuvos Respublikos kultūros ministerija</v>
      </c>
      <c r="G65" s="164" t="str">
        <f>CONCATENATE('3 pr-2'!G65)</f>
        <v>Druskininkų sav.</v>
      </c>
      <c r="H65" s="164" t="str">
        <f>CONCATENATE('3 pr-2'!H65)</f>
        <v>07.1.1-CPVA-R-305</v>
      </c>
      <c r="I65" s="164" t="str">
        <f>CONCATENATE('3 pr-2'!I65)</f>
        <v>R</v>
      </c>
      <c r="J65" s="164" t="str">
        <f>CONCATENATE('3 pr-2'!J65)</f>
        <v>ITI</v>
      </c>
      <c r="K65" s="1080">
        <f>IF(Z65&gt;0,'3 pr-2'!L65,0)</f>
        <v>352401</v>
      </c>
      <c r="L65" s="1080">
        <f>IF(Z65&gt;0,'3 pr-2'!O65,0)</f>
        <v>52860.15</v>
      </c>
      <c r="M65" s="1080">
        <f>IF(Z65&gt;0,'3 pr-2'!R65,0)</f>
        <v>0</v>
      </c>
      <c r="N65" s="1080">
        <f>IF(Z65&gt;0,'3 pr-2'!U65,0)</f>
        <v>0</v>
      </c>
      <c r="O65" s="1080">
        <f>IF(Z65&gt;0,'3 pr-2'!X65,0)</f>
        <v>0</v>
      </c>
      <c r="P65" s="1080">
        <f>IF(Z65&gt;0,'3 pr-2'!AA65,0)</f>
        <v>299540.84999999998</v>
      </c>
      <c r="Q65" s="1080">
        <f>IF(YEAR(Z65)=2016,P65,0)</f>
        <v>0</v>
      </c>
      <c r="R65" s="1080">
        <f>IF(YEAR(Z65)=2017,P65,0)</f>
        <v>299540.84999999998</v>
      </c>
      <c r="S65" s="1080">
        <f>IF(YEAR(Z65)=2018,P65,0)</f>
        <v>0</v>
      </c>
      <c r="T65" s="1080">
        <f>IF(YEAR(Z65)=2019,P65,0)</f>
        <v>0</v>
      </c>
      <c r="U65" s="1080">
        <f>IF(YEAR(Z65)=2020,P65,0)</f>
        <v>0</v>
      </c>
      <c r="V65" s="1164">
        <f>IF(Z65&gt;0,'3 pr-2'!$AB$10,0)</f>
        <v>0</v>
      </c>
      <c r="W65" s="1104">
        <f>SUM('3 pr-2'!AI65)</f>
        <v>42870</v>
      </c>
      <c r="X65" s="1132">
        <f t="shared" si="11"/>
        <v>42857</v>
      </c>
      <c r="Y65" s="992" t="str">
        <f t="shared" si="46"/>
        <v>–</v>
      </c>
      <c r="Z65" s="1339">
        <f>SUMIF(Projektu_sutarciu_ataskaita!$J$19:$J$600,C65,Projektu_sutarciu_ataskaita!$L$19:$L$600)</f>
        <v>42857</v>
      </c>
      <c r="AA65" s="1249">
        <f t="shared" si="13"/>
        <v>0.43333333333333335</v>
      </c>
      <c r="AB65" s="384" t="str">
        <f t="shared" si="47"/>
        <v>–</v>
      </c>
    </row>
    <row r="66" spans="1:28" ht="49.5" thickBot="1">
      <c r="A66" s="164" t="str">
        <f>CONCATENATE('3 pr-2'!A66)</f>
        <v>1.1.1.8.4</v>
      </c>
      <c r="B66" s="221" t="str">
        <f>CONCATENATE('3 pr-2'!B66)</f>
        <v>R01-3305-330200-1184</v>
      </c>
      <c r="C66" s="281" t="str">
        <f>CONCATENATE('ketv. 2'!B65)</f>
        <v>07.1.1-CPVA-R-305-11-0004</v>
      </c>
      <c r="D66" s="164" t="str">
        <f>CONCATENATE('3 pr-2'!D66)</f>
        <v>Pastato rekonstrukcija ir pritaikymas kultūrinėms, muziejinėms ir edukacinėms reikmėms</v>
      </c>
      <c r="E66" s="164" t="str">
        <f>CONCATENATE('3 pr-2'!E66)</f>
        <v>Lazdijų rajono savivaldybės administracija</v>
      </c>
      <c r="F66" s="164" t="str">
        <f>CONCATENATE('3 pr-2'!F66)</f>
        <v>Lietuvos Respublikos kultūros ministerija</v>
      </c>
      <c r="G66" s="164" t="str">
        <f>CONCATENATE('3 pr-2'!G66)</f>
        <v>Lazdijų r. sav.</v>
      </c>
      <c r="H66" s="164" t="str">
        <f>CONCATENATE('3 pr-2'!H66)</f>
        <v>07.1.1-CPVA-R-305</v>
      </c>
      <c r="I66" s="164" t="str">
        <f>CONCATENATE('3 pr-2'!I66)</f>
        <v>R</v>
      </c>
      <c r="J66" s="164" t="str">
        <f>CONCATENATE('3 pr-2'!J66)</f>
        <v>ITI</v>
      </c>
      <c r="K66" s="1080">
        <f>IF(Z66&gt;0,'3 pr-2'!L66,0)</f>
        <v>484769.35</v>
      </c>
      <c r="L66" s="1080">
        <f>IF(Z66&gt;0,'3 pr-2'!O66,0)</f>
        <v>185228.35</v>
      </c>
      <c r="M66" s="1080">
        <f>IF(Z66&gt;0,'3 pr-2'!R66,0)</f>
        <v>0</v>
      </c>
      <c r="N66" s="1080">
        <f>IF(Z66&gt;0,'3 pr-2'!U66,0)</f>
        <v>0</v>
      </c>
      <c r="O66" s="1080">
        <f>IF(Z66&gt;0,'3 pr-2'!X66,0)</f>
        <v>0</v>
      </c>
      <c r="P66" s="1080">
        <f>IF(Z66&gt;0,'3 pr-2'!AA66,0)</f>
        <v>299541</v>
      </c>
      <c r="Q66" s="1080">
        <f>IF(YEAR(Z66)=2016,P66,0)</f>
        <v>0</v>
      </c>
      <c r="R66" s="1080">
        <f>IF(YEAR(Z66)=2017,P66,0)</f>
        <v>0</v>
      </c>
      <c r="S66" s="1080">
        <f>IF(YEAR(Z66)=2018,P66,0)</f>
        <v>299541</v>
      </c>
      <c r="T66" s="1080">
        <f>IF(YEAR(Z66)=2019,P66,0)</f>
        <v>0</v>
      </c>
      <c r="U66" s="1080">
        <f>IF(YEAR(Z66)=2020,P66,0)</f>
        <v>0</v>
      </c>
      <c r="V66" s="1164">
        <f>IF(Z66&gt;0,'3 pr-2'!$AB$10,0)</f>
        <v>0</v>
      </c>
      <c r="W66" s="1104">
        <f>SUM('3 pr-2'!AI66)</f>
        <v>43190</v>
      </c>
      <c r="X66" s="1132">
        <f t="shared" si="11"/>
        <v>43203</v>
      </c>
      <c r="Y66" s="992">
        <f t="shared" si="46"/>
        <v>-0.43333333333333335</v>
      </c>
      <c r="Z66" s="1339">
        <f>SUMIF(Projektu_sutarciu_ataskaita!$J$19:$J$600,C66,Projektu_sutarciu_ataskaita!$L$19:$L$600)</f>
        <v>43203</v>
      </c>
      <c r="AA66" s="1249">
        <f t="shared" si="13"/>
        <v>-0.43333333333333335</v>
      </c>
      <c r="AB66" s="384">
        <f t="shared" si="47"/>
        <v>-0.42739726027397212</v>
      </c>
    </row>
    <row r="67" spans="1:28" ht="39" customHeight="1" thickBot="1">
      <c r="A67" s="296" t="str">
        <f>CONCATENATE('3 pr-2'!A67)</f>
        <v>1.1.1.9</v>
      </c>
      <c r="B67" s="2088" t="str">
        <f>CONCATENATE('3 pr-2'!B67)</f>
        <v>Priemonė:
Aktualizuoti savivaldybių kultūros paveldo objektus</v>
      </c>
      <c r="C67" s="2089"/>
      <c r="D67" s="2089"/>
      <c r="E67" s="2089"/>
      <c r="F67" s="2089"/>
      <c r="G67" s="2089"/>
      <c r="H67" s="2089"/>
      <c r="I67" s="2089"/>
      <c r="J67" s="2090"/>
      <c r="K67" s="1077">
        <f>SUM(K68:K72)</f>
        <v>1461941.12</v>
      </c>
      <c r="L67" s="1077">
        <f t="shared" ref="L67:P67" si="48">SUM(L68:L72)</f>
        <v>438075.46</v>
      </c>
      <c r="M67" s="1077">
        <f t="shared" si="48"/>
        <v>0</v>
      </c>
      <c r="N67" s="1077">
        <f t="shared" si="48"/>
        <v>0</v>
      </c>
      <c r="O67" s="1077">
        <f t="shared" si="48"/>
        <v>0</v>
      </c>
      <c r="P67" s="1077">
        <f t="shared" si="48"/>
        <v>1023865.66</v>
      </c>
      <c r="Q67" s="1209">
        <f>SUM(Q68:Q72)</f>
        <v>0</v>
      </c>
      <c r="R67" s="1210">
        <f t="shared" ref="R67:V67" si="49">SUM(R68:R72)</f>
        <v>0</v>
      </c>
      <c r="S67" s="1209">
        <f t="shared" si="49"/>
        <v>1023865.66</v>
      </c>
      <c r="T67" s="1210">
        <f t="shared" si="49"/>
        <v>0</v>
      </c>
      <c r="U67" s="1211">
        <f t="shared" si="49"/>
        <v>0</v>
      </c>
      <c r="V67" s="1077">
        <f t="shared" si="49"/>
        <v>0</v>
      </c>
      <c r="W67" s="1150"/>
      <c r="X67" s="1150" t="str">
        <f t="shared" si="11"/>
        <v>–</v>
      </c>
      <c r="Y67" s="1150" t="str">
        <f t="shared" si="35"/>
        <v>–</v>
      </c>
      <c r="Z67" s="1344"/>
      <c r="AA67" s="1338" t="e">
        <f t="shared" si="13"/>
        <v>#VALUE!</v>
      </c>
      <c r="AB67" s="356"/>
    </row>
    <row r="68" spans="1:28" ht="48.75">
      <c r="A68" s="164" t="str">
        <f>CONCATENATE('3 pr-2'!A68)</f>
        <v>1.1.1.9.1</v>
      </c>
      <c r="B68" s="221" t="str">
        <f>CONCATENATE('3 pr-2'!B68)</f>
        <v>R01-3302-440000-1191</v>
      </c>
      <c r="C68" s="281" t="str">
        <f>CONCATENATE('ketv. 2'!B67)</f>
        <v>05.4.1-CPVA-R-302-11-0003</v>
      </c>
      <c r="D68" s="164" t="str">
        <f>CONCATENATE('3 pr-2'!D68)</f>
        <v>Buvusios sinagogos pastato Kauno g. 9A Alytuje rekonstravimas ir aplinkinės teritorijos sutvarkymas</v>
      </c>
      <c r="E68" s="164" t="str">
        <f>CONCATENATE('3 pr-2'!E68)</f>
        <v>Alytaus miesto savivaldybės administracija</v>
      </c>
      <c r="F68" s="164" t="str">
        <f>CONCATENATE('3 pr-2'!F68)</f>
        <v>Lietuvos Respublikos kultūros ministerija</v>
      </c>
      <c r="G68" s="164" t="str">
        <f>CONCATENATE('3 pr-2'!G68)</f>
        <v>Alytaus m. sav.</v>
      </c>
      <c r="H68" s="164" t="str">
        <f>CONCATENATE('3 pr-2'!H68)</f>
        <v>05.4.1-CPVA-R-302</v>
      </c>
      <c r="I68" s="164" t="str">
        <f>CONCATENATE('3 pr-2'!I68)</f>
        <v>R</v>
      </c>
      <c r="J68" s="164" t="str">
        <f>CONCATENATE('3 pr-2'!J68)</f>
        <v>ITI</v>
      </c>
      <c r="K68" s="1080">
        <f>IF(Z68&gt;0,'3 pr-2'!L68,0)</f>
        <v>444560.16000000003</v>
      </c>
      <c r="L68" s="1080">
        <f>IF(Z68&gt;0,'3 pr-2'!O68,0)</f>
        <v>238504.16</v>
      </c>
      <c r="M68" s="1080">
        <f>IF(Z68&gt;0,'3 pr-2'!R68,0)</f>
        <v>0</v>
      </c>
      <c r="N68" s="1080">
        <f>IF(Z68&gt;0,'3 pr-2'!U68,0)</f>
        <v>0</v>
      </c>
      <c r="O68" s="1080">
        <f>IF(Z68&gt;0,'3 pr-2'!X68,0)</f>
        <v>0</v>
      </c>
      <c r="P68" s="1080">
        <f>IF(Z68&gt;0,'3 pr-2'!AA68,0)</f>
        <v>206056</v>
      </c>
      <c r="Q68" s="1080">
        <f>IF(YEAR(Z68)=2016,P68,0)</f>
        <v>0</v>
      </c>
      <c r="R68" s="1080">
        <f>IF(YEAR(Z68)=2017,P68,0)</f>
        <v>0</v>
      </c>
      <c r="S68" s="1080">
        <f>IF(YEAR(Z68)=2018,P68,0)</f>
        <v>206056</v>
      </c>
      <c r="T68" s="1080">
        <f>IF(YEAR(Z68)=2019,P68,0)</f>
        <v>0</v>
      </c>
      <c r="U68" s="1080">
        <f>IF(YEAR(Z68)=2020,P68,0)</f>
        <v>0</v>
      </c>
      <c r="V68" s="1164">
        <f>IF(Z68&gt;0,'3 pr-2'!$AB$10,0)</f>
        <v>0</v>
      </c>
      <c r="W68" s="1104">
        <f>SUM('3 pr-2'!AI68)</f>
        <v>43281</v>
      </c>
      <c r="X68" s="1132">
        <f t="shared" si="11"/>
        <v>43276</v>
      </c>
      <c r="Y68" s="992" t="str">
        <f t="shared" ref="Y68:Y72" si="50">IF(ISTEXT(X68),"–",IF((W68-X68)/30&gt;0,"–",(W68-X68)/30))</f>
        <v>–</v>
      </c>
      <c r="Z68" s="1339">
        <f>SUMIF(Projektu_sutarciu_ataskaita!$J$19:$J$600,C68,Projektu_sutarciu_ataskaita!$L$19:$L$600)</f>
        <v>43276</v>
      </c>
      <c r="AA68" s="1249">
        <f t="shared" si="13"/>
        <v>0.16666666666666666</v>
      </c>
      <c r="AB68" s="384" t="str">
        <f t="shared" ref="AB68:AB72" si="51">IF(W68-Z68&lt;0,(W68-Z68)/30.4166666666667,"–")</f>
        <v>–</v>
      </c>
    </row>
    <row r="69" spans="1:28" ht="48.75">
      <c r="A69" s="164" t="str">
        <f>CONCATENATE('3 pr-2'!A69)</f>
        <v>1.1.1.9.2</v>
      </c>
      <c r="B69" s="221" t="str">
        <f>CONCATENATE('3 pr-2'!B69)</f>
        <v>R01-3302-440000-1192</v>
      </c>
      <c r="C69" s="281" t="str">
        <f>CONCATENATE('ketv. 2'!B68)</f>
        <v>05.4.1-CPVA-R-302-11-0002</v>
      </c>
      <c r="D69" s="164" t="str">
        <f>CONCATENATE('3 pr-2'!D69)</f>
        <v>Mažosios dailės galerijos, M.K.Čiurlionio g. 37, Druskininkai, modernizavimas ir pritaikymas kultūros poreikiams</v>
      </c>
      <c r="E69" s="164" t="str">
        <f>CONCATENATE('3 pr-2'!E69)</f>
        <v xml:space="preserve">Druskininkų savivaldybės administracija  </v>
      </c>
      <c r="F69" s="164" t="str">
        <f>CONCATENATE('3 pr-2'!F69)</f>
        <v>Lietuvos Respublikos kultūros ministerija</v>
      </c>
      <c r="G69" s="164" t="str">
        <f>CONCATENATE('3 pr-2'!G69)</f>
        <v>Druskininkų sav.</v>
      </c>
      <c r="H69" s="164" t="str">
        <f>CONCATENATE('3 pr-2'!H69)</f>
        <v>05.4.1-CPVA-R-302</v>
      </c>
      <c r="I69" s="164" t="str">
        <f>CONCATENATE('3 pr-2'!I69)</f>
        <v>R</v>
      </c>
      <c r="J69" s="164" t="str">
        <f>CONCATENATE('3 pr-2'!J69)</f>
        <v>-</v>
      </c>
      <c r="K69" s="1080">
        <f>IF(Z69&gt;0,'3 pr-2'!L69,0)</f>
        <v>297670.41000000003</v>
      </c>
      <c r="L69" s="1080">
        <f>IF(Z69&gt;0,'3 pr-2'!O69,0)</f>
        <v>91614.41</v>
      </c>
      <c r="M69" s="1080">
        <f>IF(Z69&gt;0,'3 pr-2'!R69,0)</f>
        <v>0</v>
      </c>
      <c r="N69" s="1080">
        <f>IF(Z69&gt;0,'3 pr-2'!U69,0)</f>
        <v>0</v>
      </c>
      <c r="O69" s="1080">
        <f>IF(Z69&gt;0,'3 pr-2'!X69,0)</f>
        <v>0</v>
      </c>
      <c r="P69" s="1080">
        <f>IF(Z69&gt;0,'3 pr-2'!AA69,0)</f>
        <v>206056</v>
      </c>
      <c r="Q69" s="1080">
        <f>IF(YEAR(Z69)=2016,P69,0)</f>
        <v>0</v>
      </c>
      <c r="R69" s="1080">
        <f>IF(YEAR(Z69)=2017,P69,0)</f>
        <v>0</v>
      </c>
      <c r="S69" s="1080">
        <f>IF(YEAR(Z69)=2018,P69,0)</f>
        <v>206056</v>
      </c>
      <c r="T69" s="1080">
        <f>IF(YEAR(Z69)=2019,P69,0)</f>
        <v>0</v>
      </c>
      <c r="U69" s="1080">
        <f>IF(YEAR(Z69)=2020,P69,0)</f>
        <v>0</v>
      </c>
      <c r="V69" s="1164">
        <f>IF(Z69&gt;0,'3 pr-2'!$AB$10,0)</f>
        <v>0</v>
      </c>
      <c r="W69" s="1104">
        <f>SUM('3 pr-2'!AI69)</f>
        <v>43281</v>
      </c>
      <c r="X69" s="1132">
        <f t="shared" si="11"/>
        <v>43285</v>
      </c>
      <c r="Y69" s="992">
        <f t="shared" si="50"/>
        <v>-0.13333333333333333</v>
      </c>
      <c r="Z69" s="1339">
        <f>SUMIF(Projektu_sutarciu_ataskaita!$J$19:$J$600,C69,Projektu_sutarciu_ataskaita!$L$19:$L$600)</f>
        <v>43285</v>
      </c>
      <c r="AA69" s="1249">
        <f t="shared" si="13"/>
        <v>-0.13333333333333333</v>
      </c>
      <c r="AB69" s="384">
        <f t="shared" si="51"/>
        <v>-0.13150684931506834</v>
      </c>
    </row>
    <row r="70" spans="1:28" ht="48.75">
      <c r="A70" s="164" t="str">
        <f>CONCATENATE('3 pr-2'!A70)</f>
        <v>1.1.1.9.3</v>
      </c>
      <c r="B70" s="221" t="str">
        <f>CONCATENATE('3 pr-2'!B70)</f>
        <v>R01-3302-440200-1193</v>
      </c>
      <c r="C70" s="281" t="str">
        <f>CONCATENATE('ketv. 2'!B69)</f>
        <v>05.4.1-CPVA-R-302-11-0001</v>
      </c>
      <c r="D70" s="164" t="str">
        <f>CONCATENATE('3 pr-2'!D70)</f>
        <v>Motiejaus Gustaičio memorialinio namo kompleksinis sutvarkymas</v>
      </c>
      <c r="E70" s="164" t="str">
        <f>CONCATENATE('3 pr-2'!E70)</f>
        <v>Lazdijų rajono savivaldybės administracija</v>
      </c>
      <c r="F70" s="164" t="str">
        <f>CONCATENATE('3 pr-2'!F70)</f>
        <v>Lietuvos Respublikos kultūros ministerija</v>
      </c>
      <c r="G70" s="164" t="str">
        <f>CONCATENATE('3 pr-2'!G70)</f>
        <v>Lazdijų r. sav.</v>
      </c>
      <c r="H70" s="164" t="str">
        <f>CONCATENATE('3 pr-2'!H70)</f>
        <v>05.4.1-CPVA-R-302</v>
      </c>
      <c r="I70" s="164" t="str">
        <f>CONCATENATE('3 pr-2'!I70)</f>
        <v>R</v>
      </c>
      <c r="J70" s="164" t="str">
        <f>CONCATENATE('3 pr-2'!J70)</f>
        <v>ITI</v>
      </c>
      <c r="K70" s="1080">
        <f>IF(Z70&gt;0,'3 pr-2'!L70,0)</f>
        <v>242419</v>
      </c>
      <c r="L70" s="1080">
        <f>IF(Z70&gt;0,'3 pr-2'!O70,0)</f>
        <v>36363</v>
      </c>
      <c r="M70" s="1080">
        <f>IF(Z70&gt;0,'3 pr-2'!R70,0)</f>
        <v>0</v>
      </c>
      <c r="N70" s="1080">
        <f>IF(Z70&gt;0,'3 pr-2'!U70,0)</f>
        <v>0</v>
      </c>
      <c r="O70" s="1080">
        <f>IF(Z70&gt;0,'3 pr-2'!X70,0)</f>
        <v>0</v>
      </c>
      <c r="P70" s="1080">
        <f>IF(Z70&gt;0,'3 pr-2'!AA70,0)</f>
        <v>206056</v>
      </c>
      <c r="Q70" s="1080">
        <f>IF(YEAR(Z70)=2016,P70,0)</f>
        <v>0</v>
      </c>
      <c r="R70" s="1080">
        <f>IF(YEAR(Z70)=2017,P70,0)</f>
        <v>0</v>
      </c>
      <c r="S70" s="1080">
        <f>IF(YEAR(Z70)=2018,P70,0)</f>
        <v>206056</v>
      </c>
      <c r="T70" s="1080">
        <f>IF(YEAR(Z70)=2019,P70,0)</f>
        <v>0</v>
      </c>
      <c r="U70" s="1080">
        <f>IF(YEAR(Z70)=2020,P70,0)</f>
        <v>0</v>
      </c>
      <c r="V70" s="1164">
        <f>IF(Z70&gt;0,'3 pr-2'!$AB$10,0)</f>
        <v>0</v>
      </c>
      <c r="W70" s="1104">
        <f>SUM('3 pr-2'!AI70)</f>
        <v>43249</v>
      </c>
      <c r="X70" s="1132">
        <f t="shared" si="11"/>
        <v>43335</v>
      </c>
      <c r="Y70" s="992">
        <f t="shared" si="50"/>
        <v>-2.8666666666666667</v>
      </c>
      <c r="Z70" s="1339">
        <f>SUMIF(Projektu_sutarciu_ataskaita!$J$19:$J$600,C70,Projektu_sutarciu_ataskaita!$L$19:$L$600)</f>
        <v>43335</v>
      </c>
      <c r="AA70" s="1249">
        <f t="shared" si="13"/>
        <v>-2.8666666666666667</v>
      </c>
      <c r="AB70" s="384">
        <f t="shared" si="51"/>
        <v>-2.8273972602739694</v>
      </c>
    </row>
    <row r="71" spans="1:28" ht="48.75">
      <c r="A71" s="164" t="str">
        <f>CONCATENATE('3 pr-2'!A71)</f>
        <v>1.1.1.9.4</v>
      </c>
      <c r="B71" s="221" t="str">
        <f>CONCATENATE('3 pr-2'!B71)</f>
        <v>R01-3302-440000-1194</v>
      </c>
      <c r="C71" s="281" t="str">
        <f>CONCATENATE('ketv. 2'!B70)</f>
        <v>05.4.1-CPVA-R-302-11-0004</v>
      </c>
      <c r="D71" s="164" t="str">
        <f>CONCATENATE('3 pr-2'!D71)</f>
        <v>Kurnėnų Lauryno Radziukyno mokyklos pritaikymas kultūrinėms ir turistinėms reikmėms</v>
      </c>
      <c r="E71" s="164" t="str">
        <f>CONCATENATE('3 pr-2'!E71)</f>
        <v>Alytaus rajono savivaldybės administracija</v>
      </c>
      <c r="F71" s="164" t="str">
        <f>CONCATENATE('3 pr-2'!F71)</f>
        <v>Lietuvos Respublikos kultūros ministerija</v>
      </c>
      <c r="G71" s="164" t="str">
        <f>CONCATENATE('3 pr-2'!G71)</f>
        <v>Alytaus r. sav.</v>
      </c>
      <c r="H71" s="164" t="str">
        <f>CONCATENATE('3 pr-2'!H71)</f>
        <v>05.4.1-CPVA-R-302</v>
      </c>
      <c r="I71" s="164" t="str">
        <f>CONCATENATE('3 pr-2'!I71)</f>
        <v>R</v>
      </c>
      <c r="J71" s="164" t="str">
        <f>CONCATENATE('3 pr-2'!J71)</f>
        <v>-</v>
      </c>
      <c r="K71" s="1080">
        <f>IF(Z71&gt;0,'3 pr-2'!L71,0)</f>
        <v>234872.55</v>
      </c>
      <c r="L71" s="1080">
        <f>IF(Z71&gt;0,'3 pr-2'!O71,0)</f>
        <v>35230.89</v>
      </c>
      <c r="M71" s="1080">
        <f>IF(Z71&gt;0,'3 pr-2'!R71,0)</f>
        <v>0</v>
      </c>
      <c r="N71" s="1080">
        <f>IF(Z71&gt;0,'3 pr-2'!U71,0)</f>
        <v>0</v>
      </c>
      <c r="O71" s="1080">
        <f>IF(Z71&gt;0,'3 pr-2'!X71,0)</f>
        <v>0</v>
      </c>
      <c r="P71" s="1080">
        <f>IF(Z71&gt;0,'3 pr-2'!AA71,0)</f>
        <v>199641.66</v>
      </c>
      <c r="Q71" s="1080">
        <f>IF(YEAR(Z71)=2016,P71,0)</f>
        <v>0</v>
      </c>
      <c r="R71" s="1080">
        <f>IF(YEAR(Z71)=2017,P71,0)</f>
        <v>0</v>
      </c>
      <c r="S71" s="1080">
        <f>IF(YEAR(Z71)=2018,P71,0)</f>
        <v>199641.66</v>
      </c>
      <c r="T71" s="1080">
        <f>IF(YEAR(Z71)=2019,P71,0)</f>
        <v>0</v>
      </c>
      <c r="U71" s="1080">
        <f>IF(YEAR(Z71)=2020,P71,0)</f>
        <v>0</v>
      </c>
      <c r="V71" s="1164">
        <f>IF(Z71&gt;0,'3 pr-2'!$AB$10,0)</f>
        <v>0</v>
      </c>
      <c r="W71" s="1104">
        <f>SUM('3 pr-2'!AI71)</f>
        <v>43281</v>
      </c>
      <c r="X71" s="1132">
        <f t="shared" si="11"/>
        <v>43427</v>
      </c>
      <c r="Y71" s="992">
        <f t="shared" si="50"/>
        <v>-4.8666666666666663</v>
      </c>
      <c r="Z71" s="1339">
        <f>SUMIF(Projektu_sutarciu_ataskaita!$J$19:$J$600,C71,Projektu_sutarciu_ataskaita!$L$19:$L$600)</f>
        <v>43427</v>
      </c>
      <c r="AA71" s="1249">
        <f t="shared" si="13"/>
        <v>-4.8666666666666663</v>
      </c>
      <c r="AB71" s="384">
        <f t="shared" si="51"/>
        <v>-4.7999999999999945</v>
      </c>
    </row>
    <row r="72" spans="1:28" ht="49.5" thickBot="1">
      <c r="A72" s="236" t="str">
        <f>CONCATENATE('3 pr-2'!A72)</f>
        <v>1.1.1.9.5</v>
      </c>
      <c r="B72" s="221" t="str">
        <f>CONCATENATE('3 pr-2'!B72)</f>
        <v>R01-3302-440000-1195</v>
      </c>
      <c r="C72" s="359" t="str">
        <f>CONCATENATE('ketv. 2'!B71)</f>
        <v>05.4.1-CPVA-R-302-11-0005</v>
      </c>
      <c r="D72" s="236" t="str">
        <f>CONCATENATE('3 pr-2'!D72)</f>
        <v>Vinco Krėvės-Mickevičiaus memorialinio muziejaus atnaujinimas</v>
      </c>
      <c r="E72" s="236" t="str">
        <f>CONCATENATE('3 pr-2'!E72)</f>
        <v>Varėnos rajono savivaldybės administracija</v>
      </c>
      <c r="F72" s="236" t="str">
        <f>CONCATENATE('3 pr-2'!F72)</f>
        <v>Lietuvos Respublikos kultūros ministerija</v>
      </c>
      <c r="G72" s="236" t="str">
        <f>CONCATENATE('3 pr-2'!G72)</f>
        <v>Varėnos r. sav.</v>
      </c>
      <c r="H72" s="236" t="str">
        <f>CONCATENATE('3 pr-2'!H72)</f>
        <v>05.4.1-CPVA-R-302</v>
      </c>
      <c r="I72" s="236" t="str">
        <f>CONCATENATE('3 pr-2'!I72)</f>
        <v>R</v>
      </c>
      <c r="J72" s="236" t="str">
        <f>CONCATENATE('3 pr-2'!J72)</f>
        <v>-</v>
      </c>
      <c r="K72" s="1163">
        <f>IF(Z72&gt;0,'3 pr-2'!L72,0)</f>
        <v>242419</v>
      </c>
      <c r="L72" s="1163">
        <f>IF(Z72&gt;0,'3 pr-2'!O72,0)</f>
        <v>36363</v>
      </c>
      <c r="M72" s="1163">
        <f>IF(Z72&gt;0,'3 pr-2'!R72,0)</f>
        <v>0</v>
      </c>
      <c r="N72" s="1163">
        <f>IF(Z72&gt;0,'3 pr-2'!U72,0)</f>
        <v>0</v>
      </c>
      <c r="O72" s="1163">
        <f>IF(Z72&gt;0,'3 pr-2'!X72,0)</f>
        <v>0</v>
      </c>
      <c r="P72" s="1163">
        <f>IF(Z72&gt;0,'3 pr-2'!AA72,0)</f>
        <v>206056</v>
      </c>
      <c r="Q72" s="1163">
        <f>IF(YEAR(Z72)=2016,P72,0)</f>
        <v>0</v>
      </c>
      <c r="R72" s="1163">
        <f>IF(YEAR(Z72)=2017,P72,0)</f>
        <v>0</v>
      </c>
      <c r="S72" s="1163">
        <f>IF(YEAR(Z72)=2018,P72,0)</f>
        <v>206056</v>
      </c>
      <c r="T72" s="1163">
        <f>IF(YEAR(Z72)=2019,P72,0)</f>
        <v>0</v>
      </c>
      <c r="U72" s="1163">
        <f>IF(YEAR(Z72)=2020,P72,0)</f>
        <v>0</v>
      </c>
      <c r="V72" s="1164">
        <f>IF(Z72&gt;0,'3 pr-2'!$AB$10,0)</f>
        <v>0</v>
      </c>
      <c r="W72" s="1114">
        <f>SUM('3 pr-2'!AI72)</f>
        <v>43342</v>
      </c>
      <c r="X72" s="1328">
        <f t="shared" si="11"/>
        <v>43307</v>
      </c>
      <c r="Y72" s="992" t="str">
        <f t="shared" si="50"/>
        <v>–</v>
      </c>
      <c r="Z72" s="1339">
        <f>SUMIF(Projektu_sutarciu_ataskaita!$J$19:$J$600,C72,Projektu_sutarciu_ataskaita!$L$19:$L$600)</f>
        <v>43307</v>
      </c>
      <c r="AA72" s="1343">
        <f t="shared" si="13"/>
        <v>1.1666666666666667</v>
      </c>
      <c r="AB72" s="384" t="str">
        <f t="shared" si="51"/>
        <v>–</v>
      </c>
    </row>
    <row r="73" spans="1:28" ht="33.75" customHeight="1" thickBot="1">
      <c r="A73" s="238" t="str">
        <f>CONCATENATE('3 pr-2'!A73)</f>
        <v>1.1.2.</v>
      </c>
      <c r="B73" s="2085" t="str">
        <f>CONCATENATE('3 pr-2'!B73)</f>
        <v>Uždavinys:
Pagerinti darbo jėgos judėjimo galimybes gerinant susisiekimo sistemas</v>
      </c>
      <c r="C73" s="2086"/>
      <c r="D73" s="2086"/>
      <c r="E73" s="2086"/>
      <c r="F73" s="2086"/>
      <c r="G73" s="2086"/>
      <c r="H73" s="2086"/>
      <c r="I73" s="2086"/>
      <c r="J73" s="2087"/>
      <c r="K73" s="1158">
        <f t="shared" ref="K73:P73" si="52">SUM(K74+K79+K86+K92)</f>
        <v>5899324.8899999997</v>
      </c>
      <c r="L73" s="1158">
        <f t="shared" si="52"/>
        <v>1335514.1200000001</v>
      </c>
      <c r="M73" s="1158">
        <f t="shared" si="52"/>
        <v>0</v>
      </c>
      <c r="N73" s="1158">
        <f t="shared" si="52"/>
        <v>422692</v>
      </c>
      <c r="O73" s="1158">
        <f t="shared" si="52"/>
        <v>62660</v>
      </c>
      <c r="P73" s="1158">
        <f t="shared" si="52"/>
        <v>4078458.7700000005</v>
      </c>
      <c r="Q73" s="1158"/>
      <c r="R73" s="1217"/>
      <c r="S73" s="1217"/>
      <c r="T73" s="1217"/>
      <c r="U73" s="1218"/>
      <c r="V73" s="1158">
        <f t="shared" ref="V73" si="53">SUM(V74+V79+V86+V92)</f>
        <v>0</v>
      </c>
      <c r="W73" s="1107"/>
      <c r="X73" s="1364" t="str">
        <f t="shared" si="11"/>
        <v>–</v>
      </c>
      <c r="Y73" s="1364" t="str">
        <f t="shared" si="35"/>
        <v>–</v>
      </c>
      <c r="Z73" s="1348"/>
      <c r="AA73" s="1349" t="e">
        <f t="shared" si="13"/>
        <v>#VALUE!</v>
      </c>
      <c r="AB73" s="220"/>
    </row>
    <row r="74" spans="1:28" ht="28.5" customHeight="1" thickBot="1">
      <c r="A74" s="296" t="str">
        <f>CONCATENATE('3 pr-2'!A74)</f>
        <v>1.1.2.1</v>
      </c>
      <c r="B74" s="2088" t="str">
        <f>CONCATENATE('3 pr-2'!B74)</f>
        <v>Priemonė:
Vietinio susisiekimo viešojo transporto priemonių parko atnaujinimas</v>
      </c>
      <c r="C74" s="2089"/>
      <c r="D74" s="2089"/>
      <c r="E74" s="2089"/>
      <c r="F74" s="2089"/>
      <c r="G74" s="2089"/>
      <c r="H74" s="2089"/>
      <c r="I74" s="2089"/>
      <c r="J74" s="2090"/>
      <c r="K74" s="1077">
        <f>SUM(K75:K78)</f>
        <v>1102944</v>
      </c>
      <c r="L74" s="1077">
        <f t="shared" ref="L74:P74" si="54">SUM(L75:L78)</f>
        <v>39406</v>
      </c>
      <c r="M74" s="1077">
        <f t="shared" si="54"/>
        <v>0</v>
      </c>
      <c r="N74" s="1077">
        <f t="shared" si="54"/>
        <v>422692</v>
      </c>
      <c r="O74" s="1077">
        <f t="shared" si="54"/>
        <v>0</v>
      </c>
      <c r="P74" s="1077">
        <f t="shared" si="54"/>
        <v>640846</v>
      </c>
      <c r="Q74" s="1209">
        <f>SUM(Q75:Q78)</f>
        <v>0</v>
      </c>
      <c r="R74" s="1210">
        <f>SUM(R75:R78)</f>
        <v>0</v>
      </c>
      <c r="S74" s="1209">
        <f>SUM(S75:S78)</f>
        <v>0</v>
      </c>
      <c r="T74" s="1210">
        <f>SUM(T75:T78)</f>
        <v>640846</v>
      </c>
      <c r="U74" s="1211">
        <f>SUM(U75:U78)</f>
        <v>0</v>
      </c>
      <c r="V74" s="1077">
        <f t="shared" ref="V74" si="55">SUM(V75:V78)</f>
        <v>0</v>
      </c>
      <c r="W74" s="1150"/>
      <c r="X74" s="1150" t="str">
        <f t="shared" si="11"/>
        <v>–</v>
      </c>
      <c r="Y74" s="1150" t="str">
        <f t="shared" si="35"/>
        <v>–</v>
      </c>
      <c r="Z74" s="1344"/>
      <c r="AA74" s="1338" t="e">
        <f t="shared" si="13"/>
        <v>#VALUE!</v>
      </c>
      <c r="AB74" s="356"/>
    </row>
    <row r="75" spans="1:28" ht="48.75">
      <c r="A75" s="164" t="str">
        <f>CONCATENATE('3 pr-2'!A75)</f>
        <v>1.1.2.1.1</v>
      </c>
      <c r="B75" s="221" t="str">
        <f>CONCATENATE('3 pr-2'!B75)</f>
        <v>R01-5518-100000-1211</v>
      </c>
      <c r="C75" s="281" t="str">
        <f>CONCATENATE('ketv. 2'!B74)</f>
        <v/>
      </c>
      <c r="D75" s="164" t="str">
        <f>CONCATENATE('3 pr-2'!D75)</f>
        <v>Nekenksmingų aplinkai viešojo transporto priemonių įsigijimas Alytaus mieste</v>
      </c>
      <c r="E75" s="164" t="str">
        <f>CONCATENATE('3 pr-2'!E75)</f>
        <v>Alytaus miesto savivaldybės administracija</v>
      </c>
      <c r="F75" s="164" t="str">
        <f>CONCATENATE('3 pr-2'!F75)</f>
        <v>Lietuvos Respublikos susisiekimo ministerija</v>
      </c>
      <c r="G75" s="164" t="str">
        <f>CONCATENATE('3 pr-2'!G75)</f>
        <v>Alytaus m. sav.</v>
      </c>
      <c r="H75" s="164" t="str">
        <f>CONCATENATE('3 pr-2'!H75)</f>
        <v>04.5.1-TID-R-518</v>
      </c>
      <c r="I75" s="164" t="str">
        <f>CONCATENATE('3 pr-2'!I75)</f>
        <v>R</v>
      </c>
      <c r="J75" s="164" t="str">
        <f>CONCATENATE('3 pr-2'!J75)</f>
        <v>ITI</v>
      </c>
      <c r="K75" s="1080">
        <f>IF(Z75&gt;0,'3 pr-2'!L75,0)</f>
        <v>0</v>
      </c>
      <c r="L75" s="1080">
        <f>IF(Z75&gt;0,'3 pr-2'!O75,0)</f>
        <v>0</v>
      </c>
      <c r="M75" s="1080">
        <f>IF(Z75&gt;0,'3 pr-2'!R75,0)</f>
        <v>0</v>
      </c>
      <c r="N75" s="1080">
        <f>IF(Z75&gt;0,'3 pr-2'!U75,0)</f>
        <v>0</v>
      </c>
      <c r="O75" s="1080">
        <f>IF(Z75&gt;0,'3 pr-2'!X75,0)</f>
        <v>0</v>
      </c>
      <c r="P75" s="1080">
        <f>IF(Z75&gt;0,'3 pr-2'!AA75,0)</f>
        <v>0</v>
      </c>
      <c r="Q75" s="1080">
        <f>IF(YEAR(Z75)=2016,P75,0)</f>
        <v>0</v>
      </c>
      <c r="R75" s="1080">
        <f>IF(YEAR(Z75)=2017,P75,0)</f>
        <v>0</v>
      </c>
      <c r="S75" s="1080">
        <f>IF(YEAR(Z75)=2018,P75,0)</f>
        <v>0</v>
      </c>
      <c r="T75" s="1080">
        <f>IF(YEAR(Z75)=2019,P75,0)</f>
        <v>0</v>
      </c>
      <c r="U75" s="1080">
        <f>IF(YEAR(Z75)=2020,P75,0)</f>
        <v>0</v>
      </c>
      <c r="V75" s="1164">
        <f>IF(Z75&gt;0,'3 pr-2'!$AB$10,0)</f>
        <v>0</v>
      </c>
      <c r="W75" s="1104">
        <f>SUM('3 pr-2'!AI75)</f>
        <v>43738</v>
      </c>
      <c r="X75" s="1132" t="str">
        <f t="shared" ref="X75:X138" si="56">IF(Z75&gt;0,Z75,"–")</f>
        <v>–</v>
      </c>
      <c r="Y75" s="992" t="str">
        <f t="shared" ref="Y75:Y78" si="57">IF(ISTEXT(X75),"–",IF((W75-X75)/30&gt;0,"–",(W75-X75)/30))</f>
        <v>–</v>
      </c>
      <c r="Z75" s="1339">
        <f>SUMIF(Projektu_sutarciu_ataskaita!$J$19:$J$600,C75,Projektu_sutarciu_ataskaita!$L$19:$L$600)</f>
        <v>0</v>
      </c>
      <c r="AA75" s="1350" t="e">
        <f t="shared" ref="AA75:AA138" si="58">SUM((W75-X75)/30)</f>
        <v>#VALUE!</v>
      </c>
      <c r="AB75" s="384" t="str">
        <f t="shared" ref="AB75:AB78" si="59">IF(W75-Z75&lt;0,(W75-Z75)/30.4166666666667,"–")</f>
        <v>–</v>
      </c>
    </row>
    <row r="76" spans="1:28" ht="48.75">
      <c r="A76" s="164" t="str">
        <f>CONCATENATE('3 pr-2'!A76)</f>
        <v>1.1.2.1.2</v>
      </c>
      <c r="B76" s="221" t="str">
        <f>CONCATENATE('3 pr-2'!B76)</f>
        <v>R01-5518-100000-1212</v>
      </c>
      <c r="C76" s="281" t="str">
        <f>CONCATENATE('ketv. 2'!B75)</f>
        <v/>
      </c>
      <c r="D76" s="164" t="str">
        <f>CONCATENATE('3 pr-2'!D76)</f>
        <v>Vietinio susisiekimo transporto priemonių įsigijimas</v>
      </c>
      <c r="E76" s="164" t="str">
        <f>CONCATENATE('3 pr-2'!E76)</f>
        <v>Alytaus rajono savivaldybės administracija</v>
      </c>
      <c r="F76" s="164" t="str">
        <f>CONCATENATE('3 pr-2'!F76)</f>
        <v>Lietuvos Respublikos susisiekimo ministerija</v>
      </c>
      <c r="G76" s="164" t="str">
        <f>CONCATENATE('3 pr-2'!G76)</f>
        <v>Alytaus r. sav.</v>
      </c>
      <c r="H76" s="164" t="str">
        <f>CONCATENATE('3 pr-2'!H76)</f>
        <v>04.5.1-TID-R-518</v>
      </c>
      <c r="I76" s="164" t="str">
        <f>CONCATENATE('3 pr-2'!I76)</f>
        <v>R</v>
      </c>
      <c r="J76" s="164" t="str">
        <f>CONCATENATE('3 pr-2'!J76)</f>
        <v>-</v>
      </c>
      <c r="K76" s="1080">
        <f>IF(Z76&gt;0,'3 pr-2'!L76,0)</f>
        <v>0</v>
      </c>
      <c r="L76" s="1080">
        <f>IF(Z76&gt;0,'3 pr-2'!O76,0)</f>
        <v>0</v>
      </c>
      <c r="M76" s="1080">
        <f>IF(Z76&gt;0,'3 pr-2'!R76,0)</f>
        <v>0</v>
      </c>
      <c r="N76" s="1080">
        <f>IF(Z76&gt;0,'3 pr-2'!U76,0)</f>
        <v>0</v>
      </c>
      <c r="O76" s="1080">
        <f>IF(Z76&gt;0,'3 pr-2'!X76,0)</f>
        <v>0</v>
      </c>
      <c r="P76" s="1080">
        <f>IF(Z76&gt;0,'3 pr-2'!AA76,0)</f>
        <v>0</v>
      </c>
      <c r="Q76" s="1080">
        <f>IF(YEAR(Z76)=2016,P76,0)</f>
        <v>0</v>
      </c>
      <c r="R76" s="1080">
        <f>IF(YEAR(Z76)=2017,P76,0)</f>
        <v>0</v>
      </c>
      <c r="S76" s="1080">
        <f>IF(YEAR(Z76)=2018,P76,0)</f>
        <v>0</v>
      </c>
      <c r="T76" s="1080">
        <f>IF(YEAR(Z76)=2019,P76,0)</f>
        <v>0</v>
      </c>
      <c r="U76" s="1080">
        <f>IF(YEAR(Z76)=2020,P76,0)</f>
        <v>0</v>
      </c>
      <c r="V76" s="1164">
        <f>IF(Z76&gt;0,'3 pr-2'!$AB$10,0)</f>
        <v>0</v>
      </c>
      <c r="W76" s="1104">
        <f>SUM('3 pr-2'!AI76)</f>
        <v>43738</v>
      </c>
      <c r="X76" s="1132" t="str">
        <f t="shared" si="56"/>
        <v>–</v>
      </c>
      <c r="Y76" s="992" t="str">
        <f t="shared" si="57"/>
        <v>–</v>
      </c>
      <c r="Z76" s="1339">
        <f>SUMIF(Projektu_sutarciu_ataskaita!$J$19:$J$600,C76,Projektu_sutarciu_ataskaita!$L$19:$L$600)</f>
        <v>0</v>
      </c>
      <c r="AA76" s="1350" t="e">
        <f t="shared" si="58"/>
        <v>#VALUE!</v>
      </c>
      <c r="AB76" s="384" t="str">
        <f t="shared" si="59"/>
        <v>–</v>
      </c>
    </row>
    <row r="77" spans="1:28" ht="48.75">
      <c r="A77" s="164" t="str">
        <f>CONCATENATE('3 pr-2'!A77)</f>
        <v>1.1.2.1.3</v>
      </c>
      <c r="B77" s="221" t="str">
        <f>CONCATENATE('3 pr-2'!B77)</f>
        <v>R01-5518-100000-1213</v>
      </c>
      <c r="C77" s="281" t="str">
        <f>CONCATENATE('ketv. 2'!B76)</f>
        <v>04.5.1-TID-R-518-11-0002</v>
      </c>
      <c r="D77" s="164" t="str">
        <f>CONCATENATE('3 pr-2'!D77)</f>
        <v>Ekologiškų transporto priemonių įsigijimas Druskininkų savivaldybėje</v>
      </c>
      <c r="E77" s="164" t="str">
        <f>CONCATENATE('3 pr-2'!E77)</f>
        <v xml:space="preserve">Druskininkų savivaldybės administracija  </v>
      </c>
      <c r="F77" s="164" t="str">
        <f>CONCATENATE('3 pr-2'!F77)</f>
        <v>Lietuvos Respublikos susisiekimo ministerija</v>
      </c>
      <c r="G77" s="164" t="str">
        <f>CONCATENATE('3 pr-2'!G77)</f>
        <v>Druskininkų sav.</v>
      </c>
      <c r="H77" s="164" t="str">
        <f>CONCATENATE('3 pr-2'!H77)</f>
        <v>04.5.1-TID-R-518</v>
      </c>
      <c r="I77" s="164" t="str">
        <f>CONCATENATE('3 pr-2'!I77)</f>
        <v>R</v>
      </c>
      <c r="J77" s="164" t="str">
        <f>CONCATENATE('3 pr-2'!J77)</f>
        <v>-</v>
      </c>
      <c r="K77" s="1080">
        <f>IF(Z77&gt;0,'3 pr-2'!L77,0)</f>
        <v>840240</v>
      </c>
      <c r="L77" s="1080">
        <f>IF(Z77&gt;0,'3 pr-2'!O77,0)</f>
        <v>0</v>
      </c>
      <c r="M77" s="1080">
        <f>IF(Z77&gt;0,'3 pr-2'!R77,0)</f>
        <v>0</v>
      </c>
      <c r="N77" s="1080">
        <f>IF(Z77&gt;0,'3 pr-2'!U77,0)</f>
        <v>422692</v>
      </c>
      <c r="O77" s="1080">
        <f>IF(Z77&gt;0,'3 pr-2'!X77,0)</f>
        <v>0</v>
      </c>
      <c r="P77" s="1080">
        <f>IF(Z77&gt;0,'3 pr-2'!AA77,0)</f>
        <v>417548</v>
      </c>
      <c r="Q77" s="1080">
        <f>IF(YEAR(Z77)=2016,P77,0)</f>
        <v>0</v>
      </c>
      <c r="R77" s="1080">
        <f>IF(YEAR(Z77)=2017,P77,0)</f>
        <v>0</v>
      </c>
      <c r="S77" s="1080">
        <f>IF(YEAR(Z77)=2018,P77,0)</f>
        <v>0</v>
      </c>
      <c r="T77" s="1080">
        <f>IF(YEAR(Z77)=2019,P77,0)</f>
        <v>417548</v>
      </c>
      <c r="U77" s="1080">
        <f>IF(YEAR(Z77)=2020,P77,0)</f>
        <v>0</v>
      </c>
      <c r="V77" s="1164">
        <f>IF(Z77&gt;0,'3 pr-2'!$AB$10,0)</f>
        <v>0</v>
      </c>
      <c r="W77" s="1104">
        <f>SUM('3 pr-2'!AI77)</f>
        <v>43434</v>
      </c>
      <c r="X77" s="1132">
        <f t="shared" si="56"/>
        <v>43514</v>
      </c>
      <c r="Y77" s="992">
        <f t="shared" si="57"/>
        <v>-2.6666666666666665</v>
      </c>
      <c r="Z77" s="1339">
        <f>SUMIF(Projektu_sutarciu_ataskaita!$J$19:$J$600,C77,Projektu_sutarciu_ataskaita!$L$19:$L$600)</f>
        <v>43514</v>
      </c>
      <c r="AA77" s="1350">
        <f t="shared" si="58"/>
        <v>-2.6666666666666665</v>
      </c>
      <c r="AB77" s="384">
        <f t="shared" si="59"/>
        <v>-2.6301369863013671</v>
      </c>
    </row>
    <row r="78" spans="1:28" ht="49.5" thickBot="1">
      <c r="A78" s="164" t="str">
        <f>CONCATENATE('3 pr-2'!A78)</f>
        <v>1.1.2.1.4</v>
      </c>
      <c r="B78" s="221" t="str">
        <f>CONCATENATE('3 pr-2'!B78)</f>
        <v>R01-5518-100000-1214</v>
      </c>
      <c r="C78" s="281" t="str">
        <f>CONCATENATE('ketv. 2'!B77)</f>
        <v>04.5.1-TID-R-518-11-0001</v>
      </c>
      <c r="D78" s="164" t="str">
        <f>CONCATENATE('3 pr-2'!D78)</f>
        <v>Ekologiškų transporto priemonių įsigijimas Lazdijų rajono savivaldybėje</v>
      </c>
      <c r="E78" s="164" t="str">
        <f>CONCATENATE('3 pr-2'!E78)</f>
        <v>Lazdijų rajono savivaldybės administracija</v>
      </c>
      <c r="F78" s="164" t="str">
        <f>CONCATENATE('3 pr-2'!F78)</f>
        <v>Lietuvos Respublikos susisiekimo ministerija</v>
      </c>
      <c r="G78" s="164" t="str">
        <f>CONCATENATE('3 pr-2'!G78)</f>
        <v>Lazdijų r. sav.</v>
      </c>
      <c r="H78" s="164" t="str">
        <f>CONCATENATE('3 pr-2'!H78)</f>
        <v>04.5.1-TID-R-518</v>
      </c>
      <c r="I78" s="164" t="str">
        <f>CONCATENATE('3 pr-2'!I78)</f>
        <v>R</v>
      </c>
      <c r="J78" s="164" t="str">
        <f>CONCATENATE('3 pr-2'!J78)</f>
        <v>-</v>
      </c>
      <c r="K78" s="1080">
        <f>IF(Z78&gt;0,'3 pr-2'!L78,0)</f>
        <v>262704</v>
      </c>
      <c r="L78" s="1080">
        <f>IF(Z78&gt;0,'3 pr-2'!O78,0)</f>
        <v>39406</v>
      </c>
      <c r="M78" s="1080">
        <f>IF(Z78&gt;0,'3 pr-2'!R78,0)</f>
        <v>0</v>
      </c>
      <c r="N78" s="1080">
        <f>IF(Z78&gt;0,'3 pr-2'!U78,0)</f>
        <v>0</v>
      </c>
      <c r="O78" s="1080">
        <f>IF(Z78&gt;0,'3 pr-2'!X78,0)</f>
        <v>0</v>
      </c>
      <c r="P78" s="1080">
        <f>IF(Z78&gt;0,'3 pr-2'!AA78,0)</f>
        <v>223298</v>
      </c>
      <c r="Q78" s="1080">
        <f>IF(YEAR(Z78)=2016,P78,0)</f>
        <v>0</v>
      </c>
      <c r="R78" s="1080">
        <f>IF(YEAR(Z78)=2017,P78,0)</f>
        <v>0</v>
      </c>
      <c r="S78" s="1080">
        <f>IF(YEAR(Z78)=2018,P78,0)</f>
        <v>0</v>
      </c>
      <c r="T78" s="1080">
        <f>IF(YEAR(Z78)=2019,P78,0)</f>
        <v>223298</v>
      </c>
      <c r="U78" s="1080">
        <f>IF(YEAR(Z78)=2020,P78,0)</f>
        <v>0</v>
      </c>
      <c r="V78" s="1164">
        <f>IF(Z78&gt;0,'3 pr-2'!$AB$10,0)</f>
        <v>0</v>
      </c>
      <c r="W78" s="1104">
        <f>SUM('3 pr-2'!AI78)</f>
        <v>43434</v>
      </c>
      <c r="X78" s="1132">
        <f t="shared" si="56"/>
        <v>43514</v>
      </c>
      <c r="Y78" s="992">
        <f t="shared" si="57"/>
        <v>-2.6666666666666665</v>
      </c>
      <c r="Z78" s="1339">
        <f>SUMIF(Projektu_sutarciu_ataskaita!$J$19:$J$600,C78,Projektu_sutarciu_ataskaita!$L$19:$L$600)</f>
        <v>43514</v>
      </c>
      <c r="AA78" s="1350">
        <f t="shared" si="58"/>
        <v>-2.6666666666666665</v>
      </c>
      <c r="AB78" s="384">
        <f t="shared" si="59"/>
        <v>-2.6301369863013671</v>
      </c>
    </row>
    <row r="79" spans="1:28" ht="35.25" customHeight="1" thickBot="1">
      <c r="A79" s="296" t="str">
        <f>CONCATENATE('3 pr-2'!A79)</f>
        <v>1.1.2.2</v>
      </c>
      <c r="B79" s="2088" t="str">
        <f>CONCATENATE('3 pr-2'!B79)</f>
        <v>Priemonė:
Darnaus judumo priemonių diegimas</v>
      </c>
      <c r="C79" s="2089"/>
      <c r="D79" s="2089"/>
      <c r="E79" s="2089"/>
      <c r="F79" s="2089"/>
      <c r="G79" s="2089"/>
      <c r="H79" s="2089"/>
      <c r="I79" s="2089"/>
      <c r="J79" s="2090"/>
      <c r="K79" s="1077">
        <f t="shared" ref="K79:O79" si="60">SUM(K80:K85)</f>
        <v>50638</v>
      </c>
      <c r="L79" s="1077">
        <f t="shared" si="60"/>
        <v>7595.7</v>
      </c>
      <c r="M79" s="1077">
        <f t="shared" si="60"/>
        <v>0</v>
      </c>
      <c r="N79" s="1077">
        <f t="shared" si="60"/>
        <v>0</v>
      </c>
      <c r="O79" s="1077">
        <f t="shared" si="60"/>
        <v>0</v>
      </c>
      <c r="P79" s="1077">
        <f>SUM(P80:P85)</f>
        <v>43042.3</v>
      </c>
      <c r="Q79" s="1209"/>
      <c r="R79" s="1210"/>
      <c r="S79" s="1209"/>
      <c r="T79" s="1210"/>
      <c r="U79" s="1211"/>
      <c r="V79" s="1077">
        <f>SUM(V80:V85)</f>
        <v>0</v>
      </c>
      <c r="W79" s="1150"/>
      <c r="X79" s="1150" t="str">
        <f t="shared" si="56"/>
        <v>–</v>
      </c>
      <c r="Y79" s="1150" t="str">
        <f t="shared" ref="Y75:Y138" si="61">IF(ISTEXT(X79),"–",(W79-X79)/30)</f>
        <v>–</v>
      </c>
      <c r="Z79" s="1344"/>
      <c r="AA79" s="1338" t="e">
        <f t="shared" si="58"/>
        <v>#VALUE!</v>
      </c>
      <c r="AB79" s="356"/>
    </row>
    <row r="80" spans="1:28" ht="48.75">
      <c r="A80" s="164" t="str">
        <f>CONCATENATE('3 pr-2'!A80)</f>
        <v>1.1.2.2.1</v>
      </c>
      <c r="B80" s="221" t="str">
        <f>CONCATENATE('3 pr-2'!B80)</f>
        <v>R01-5514-190000-1221</v>
      </c>
      <c r="C80" s="993" t="str">
        <f>CONCATENATE('ketv. 2'!B79)</f>
        <v/>
      </c>
      <c r="D80" s="164" t="str">
        <f>CONCATENATE('3 pr-2'!D80)</f>
        <v>Darnaus judumo priemonių diegimas Alytaus mieste</v>
      </c>
      <c r="E80" s="164" t="str">
        <f>CONCATENATE('3 pr-2'!E80)</f>
        <v>Alytaus miesto savivaldybės administracija</v>
      </c>
      <c r="F80" s="164" t="str">
        <f>CONCATENATE('3 pr-2'!F80)</f>
        <v>Lietuvos Respublikos susisiekimo ministerija</v>
      </c>
      <c r="G80" s="164" t="str">
        <f>CONCATENATE('3 pr-2'!G80)</f>
        <v>Alytaus m. sav.</v>
      </c>
      <c r="H80" s="164" t="str">
        <f>CONCATENATE('3 pr-2'!H80)</f>
        <v>04.5.1.-TID-R-514</v>
      </c>
      <c r="I80" s="164" t="str">
        <f>CONCATENATE('3 pr-2'!I80)</f>
        <v>R</v>
      </c>
      <c r="J80" s="164" t="str">
        <f>CONCATENATE('3 pr-2'!J80)</f>
        <v>ITI</v>
      </c>
      <c r="K80" s="1080">
        <f>IF(Z80&gt;0,'3 pr-2'!L80,0)</f>
        <v>0</v>
      </c>
      <c r="L80" s="1080">
        <f>IF(Z80&gt;0,'3 pr-2'!O80,0)</f>
        <v>0</v>
      </c>
      <c r="M80" s="1080">
        <f>IF(Z80&gt;0,'3 pr-2'!R80,0)</f>
        <v>0</v>
      </c>
      <c r="N80" s="1080">
        <f>IF(Z80&gt;0,'3 pr-2'!U80,0)</f>
        <v>0</v>
      </c>
      <c r="O80" s="1080">
        <f>IF(Z80&gt;0,'3 pr-2'!X80,0)</f>
        <v>0</v>
      </c>
      <c r="P80" s="1080">
        <f>IF(Z80&gt;0,'3 pr-2'!AA80,0)</f>
        <v>0</v>
      </c>
      <c r="Q80" s="1080">
        <f t="shared" ref="Q80:Q85" si="62">IF(YEAR(Z80)=2016,P80,0)</f>
        <v>0</v>
      </c>
      <c r="R80" s="1080">
        <f t="shared" ref="R80:R85" si="63">IF(YEAR(Z80)=2017,P80,0)</f>
        <v>0</v>
      </c>
      <c r="S80" s="1080">
        <f t="shared" ref="S80:S85" si="64">IF(YEAR(Z80)=2018,P80,0)</f>
        <v>0</v>
      </c>
      <c r="T80" s="1080">
        <f t="shared" ref="T80:T85" si="65">IF(YEAR(Z80)=2019,P80,0)</f>
        <v>0</v>
      </c>
      <c r="U80" s="1080">
        <f t="shared" ref="U80:U85" si="66">IF(YEAR(Z80)=2020,P80,0)</f>
        <v>0</v>
      </c>
      <c r="V80" s="1164">
        <f>IF(Z80&gt;0,'3 pr-2'!$AB$10,0)</f>
        <v>0</v>
      </c>
      <c r="W80" s="1104">
        <f>SUM('3 pr-2'!AI80)</f>
        <v>43738</v>
      </c>
      <c r="X80" s="1132" t="str">
        <f t="shared" si="56"/>
        <v>–</v>
      </c>
      <c r="Y80" s="992" t="str">
        <f t="shared" ref="Y80:Y85" si="67">IF(ISTEXT(X80),"–",IF((W80-X80)/30&gt;0,"–",(W80-X80)/30))</f>
        <v>–</v>
      </c>
      <c r="Z80" s="1339">
        <f>SUMIF(Projektu_sutarciu_ataskaita!$J$19:$J$600,C80,Projektu_sutarciu_ataskaita!$L$19:$L$600)</f>
        <v>0</v>
      </c>
      <c r="AA80" s="1351" t="e">
        <f t="shared" si="58"/>
        <v>#VALUE!</v>
      </c>
      <c r="AB80" s="384" t="str">
        <f t="shared" ref="AB80:AB83" si="68">IF(W80-Z80&lt;0,(W80-Z80)/30.4166666666667,"–")</f>
        <v>–</v>
      </c>
    </row>
    <row r="81" spans="1:28" ht="48.75">
      <c r="A81" s="164" t="str">
        <f>CONCATENATE('3 pr-2'!A81)</f>
        <v>1.1.2.2.2</v>
      </c>
      <c r="B81" s="221" t="str">
        <f>CONCATENATE('3 pr-2'!B81)</f>
        <v>R01-5514-190000-1222</v>
      </c>
      <c r="C81" s="993" t="str">
        <f>CONCATENATE('ketv. 2'!B80)</f>
        <v>04.5.1-TID-V-513-01-0015</v>
      </c>
      <c r="D81" s="164" t="str">
        <f>CONCATENATE('3 pr-2'!D81)</f>
        <v>Alytaus miesto darnaus judumo plano parengimas</v>
      </c>
      <c r="E81" s="164" t="str">
        <f>CONCATENATE('3 pr-2'!E81)</f>
        <v>Alytaus miesto savivaldybės administracija</v>
      </c>
      <c r="F81" s="164" t="str">
        <f>CONCATENATE('3 pr-2'!F81)</f>
        <v>Lietuvos Respublikos susisiekimo ministerija</v>
      </c>
      <c r="G81" s="164" t="str">
        <f>CONCATENATE('3 pr-2'!G81)</f>
        <v>Alytaus m. sav.</v>
      </c>
      <c r="H81" s="164" t="str">
        <f>CONCATENATE('3 pr-2'!H81)</f>
        <v>04.5.1-TID-V-513</v>
      </c>
      <c r="I81" s="164" t="str">
        <f>CONCATENATE('3 pr-2'!I81)</f>
        <v>V</v>
      </c>
      <c r="J81" s="164" t="str">
        <f>CONCATENATE('3 pr-2'!J81)</f>
        <v>ITI</v>
      </c>
      <c r="K81" s="1080">
        <f>IF(Z81&gt;0,'3 pr-2'!L81,0)</f>
        <v>33638</v>
      </c>
      <c r="L81" s="1080">
        <f>IF(Z81&gt;0,'3 pr-2'!O81,0)</f>
        <v>5045.7</v>
      </c>
      <c r="M81" s="1080">
        <f>IF(Z81&gt;0,'3 pr-2'!R81,0)</f>
        <v>0</v>
      </c>
      <c r="N81" s="1080">
        <f>IF(Z81&gt;0,'3 pr-2'!U81,0)</f>
        <v>0</v>
      </c>
      <c r="O81" s="1080">
        <f>IF(Z81&gt;0,'3 pr-2'!X81,0)</f>
        <v>0</v>
      </c>
      <c r="P81" s="1080">
        <f>IF(Z81&gt;0,'3 pr-2'!AA81,0)</f>
        <v>28592.3</v>
      </c>
      <c r="Q81" s="1080">
        <f t="shared" si="62"/>
        <v>0</v>
      </c>
      <c r="R81" s="1080">
        <f t="shared" si="63"/>
        <v>28592.3</v>
      </c>
      <c r="S81" s="1080">
        <f t="shared" si="64"/>
        <v>0</v>
      </c>
      <c r="T81" s="1080">
        <f t="shared" si="65"/>
        <v>0</v>
      </c>
      <c r="U81" s="1080">
        <f t="shared" si="66"/>
        <v>0</v>
      </c>
      <c r="V81" s="1164">
        <f>IF(Z81&gt;0,'3 pr-2'!$AB$10,0)</f>
        <v>0</v>
      </c>
      <c r="W81" s="1104">
        <f>SUM('3 pr-2'!AI81)</f>
        <v>42947</v>
      </c>
      <c r="X81" s="1104">
        <f t="shared" si="56"/>
        <v>42954</v>
      </c>
      <c r="Y81" s="992">
        <f t="shared" si="67"/>
        <v>-0.23333333333333334</v>
      </c>
      <c r="Z81" s="1339">
        <f>SUMIF(Projektu_sutarciu_ataskaita!$J$19:$J$600,C81,Projektu_sutarciu_ataskaita!$L$19:$L$600)</f>
        <v>42954</v>
      </c>
      <c r="AA81" s="1249">
        <f t="shared" si="58"/>
        <v>-0.23333333333333334</v>
      </c>
      <c r="AB81" s="384">
        <f t="shared" si="68"/>
        <v>-0.23013698630136961</v>
      </c>
    </row>
    <row r="82" spans="1:28" ht="48.75">
      <c r="A82" s="164" t="str">
        <f>CONCATENATE('3 pr-2'!A82)</f>
        <v>1.1.2.2.3</v>
      </c>
      <c r="B82" s="221" t="str">
        <f>CONCATENATE('3 pr-2'!B82)</f>
        <v>R01-5514-191800-1223</v>
      </c>
      <c r="C82" s="993" t="str">
        <f>CONCATENATE('ketv. 2'!B81)</f>
        <v/>
      </c>
      <c r="D82" s="164" t="str">
        <f>CONCATENATE('3 pr-2'!D82)</f>
        <v>Intelektinių transporto sistemų diegimas Druskininkuose</v>
      </c>
      <c r="E82" s="164" t="str">
        <f>CONCATENATE('3 pr-2'!E82)</f>
        <v>Druskininkų savivaldybės administracija</v>
      </c>
      <c r="F82" s="164" t="str">
        <f>CONCATENATE('3 pr-2'!F82)</f>
        <v>Lietuvos Respublikos susisiekimo ministerija</v>
      </c>
      <c r="G82" s="164" t="str">
        <f>CONCATENATE('3 pr-2'!G82)</f>
        <v>Druskininkų sav.</v>
      </c>
      <c r="H82" s="164" t="str">
        <f>CONCATENATE('3 pr-2'!H82)</f>
        <v>04.5.1.-TID-R-514</v>
      </c>
      <c r="I82" s="164" t="str">
        <f>CONCATENATE('3 pr-2'!I82)</f>
        <v>R</v>
      </c>
      <c r="J82" s="164" t="str">
        <f>CONCATENATE('3 pr-2'!J82)</f>
        <v>-</v>
      </c>
      <c r="K82" s="1080">
        <f>IF(Z82&gt;0,'3 pr-2'!L82,0)</f>
        <v>0</v>
      </c>
      <c r="L82" s="1080">
        <f>IF(Z82&gt;0,'3 pr-2'!O82,0)</f>
        <v>0</v>
      </c>
      <c r="M82" s="1080">
        <f>IF(Z82&gt;0,'3 pr-2'!R82,0)</f>
        <v>0</v>
      </c>
      <c r="N82" s="1080">
        <f>IF(Z82&gt;0,'3 pr-2'!U82,0)</f>
        <v>0</v>
      </c>
      <c r="O82" s="1080">
        <f>IF(Z82&gt;0,'3 pr-2'!X82,0)</f>
        <v>0</v>
      </c>
      <c r="P82" s="1080">
        <f>IF(Z82&gt;0,'3 pr-2'!AA82,0)</f>
        <v>0</v>
      </c>
      <c r="Q82" s="1080">
        <f t="shared" si="62"/>
        <v>0</v>
      </c>
      <c r="R82" s="1080">
        <f t="shared" si="63"/>
        <v>0</v>
      </c>
      <c r="S82" s="1080">
        <f t="shared" si="64"/>
        <v>0</v>
      </c>
      <c r="T82" s="1080">
        <f t="shared" si="65"/>
        <v>0</v>
      </c>
      <c r="U82" s="1080">
        <f t="shared" si="66"/>
        <v>0</v>
      </c>
      <c r="V82" s="1164">
        <f>IF(Z82&gt;0,'3 pr-2'!$AB$10,0)</f>
        <v>0</v>
      </c>
      <c r="W82" s="1104">
        <f>SUM('3 pr-2'!AI82)</f>
        <v>43691</v>
      </c>
      <c r="X82" s="1104" t="str">
        <f t="shared" si="56"/>
        <v>–</v>
      </c>
      <c r="Y82" s="992" t="str">
        <f t="shared" si="67"/>
        <v>–</v>
      </c>
      <c r="Z82" s="1339">
        <f>SUMIF(Projektu_sutarciu_ataskaita!$J$19:$J$600,C82,Projektu_sutarciu_ataskaita!$L$19:$L$600)</f>
        <v>0</v>
      </c>
      <c r="AA82" s="1351" t="e">
        <f t="shared" si="58"/>
        <v>#VALUE!</v>
      </c>
      <c r="AB82" s="384" t="str">
        <f t="shared" si="68"/>
        <v>–</v>
      </c>
    </row>
    <row r="83" spans="1:28" ht="48.75">
      <c r="A83" s="164" t="str">
        <f>CONCATENATE('3 pr-2'!A83)</f>
        <v>1.1.2.2.4</v>
      </c>
      <c r="B83" s="221" t="str">
        <f>CONCATENATE('3 pr-2'!B83)</f>
        <v>R01-5514-190000-1224</v>
      </c>
      <c r="C83" s="993" t="str">
        <f>CONCATENATE('ketv. 2'!B82)</f>
        <v>04.5.1-TID-V-513-01-0006</v>
      </c>
      <c r="D83" s="164" t="str">
        <f>CONCATENATE('3 pr-2'!D83)</f>
        <v>Darnaus judumo plano Druskininkuose parengimas</v>
      </c>
      <c r="E83" s="164" t="str">
        <f>CONCATENATE('3 pr-2'!E83)</f>
        <v>Druskininkų savivaldybės administracija</v>
      </c>
      <c r="F83" s="164" t="str">
        <f>CONCATENATE('3 pr-2'!F83)</f>
        <v>Lietuvos Respublikos susisiekimo ministerija</v>
      </c>
      <c r="G83" s="164" t="str">
        <f>CONCATENATE('3 pr-2'!G83)</f>
        <v>Druskininkų sav.</v>
      </c>
      <c r="H83" s="164" t="str">
        <f>CONCATENATE('3 pr-2'!H83)</f>
        <v>04.5.1-TID-V-513</v>
      </c>
      <c r="I83" s="164" t="str">
        <f>CONCATENATE('3 pr-2'!I83)</f>
        <v>V</v>
      </c>
      <c r="J83" s="164" t="str">
        <f>CONCATENATE('3 pr-2'!J83)</f>
        <v>ITI</v>
      </c>
      <c r="K83" s="1080">
        <f>IF(Z83&gt;0,'3 pr-2'!L83,0)</f>
        <v>17000</v>
      </c>
      <c r="L83" s="1080">
        <f>IF(Z83&gt;0,'3 pr-2'!O83,0)</f>
        <v>2550</v>
      </c>
      <c r="M83" s="1080">
        <f>IF(Z83&gt;0,'3 pr-2'!R83,0)</f>
        <v>0</v>
      </c>
      <c r="N83" s="1080">
        <f>IF(Z83&gt;0,'3 pr-2'!U83,0)</f>
        <v>0</v>
      </c>
      <c r="O83" s="1080">
        <f>IF(Z83&gt;0,'3 pr-2'!X83,0)</f>
        <v>0</v>
      </c>
      <c r="P83" s="1080">
        <f>IF(Z83&gt;0,'3 pr-2'!AA83,0)</f>
        <v>14450</v>
      </c>
      <c r="Q83" s="1080">
        <f t="shared" si="62"/>
        <v>0</v>
      </c>
      <c r="R83" s="1080">
        <f t="shared" si="63"/>
        <v>14450</v>
      </c>
      <c r="S83" s="1080">
        <f t="shared" si="64"/>
        <v>0</v>
      </c>
      <c r="T83" s="1080">
        <f t="shared" si="65"/>
        <v>0</v>
      </c>
      <c r="U83" s="1080">
        <f t="shared" si="66"/>
        <v>0</v>
      </c>
      <c r="V83" s="1164">
        <f>IF(Z83&gt;0,'3 pr-2'!$AB$10,0)</f>
        <v>0</v>
      </c>
      <c r="W83" s="1104">
        <f>SUM('3 pr-2'!AI83)</f>
        <v>42825</v>
      </c>
      <c r="X83" s="1104">
        <f t="shared" si="56"/>
        <v>42821</v>
      </c>
      <c r="Y83" s="992" t="str">
        <f t="shared" si="67"/>
        <v>–</v>
      </c>
      <c r="Z83" s="1339">
        <f>SUMIF(Projektu_sutarciu_ataskaita!$J$19:$J$600,C83,Projektu_sutarciu_ataskaita!$L$19:$L$600)</f>
        <v>42821</v>
      </c>
      <c r="AA83" s="1249">
        <f t="shared" si="58"/>
        <v>0.13333333333333333</v>
      </c>
      <c r="AB83" s="384" t="str">
        <f t="shared" si="68"/>
        <v>–</v>
      </c>
    </row>
    <row r="84" spans="1:28" ht="48.75">
      <c r="A84" s="164" t="str">
        <f>CONCATENATE('3 pr-2'!A84)</f>
        <v>1.1.2.2.5</v>
      </c>
      <c r="B84" s="221" t="str">
        <f>CONCATENATE('3 pr-2'!B84)</f>
        <v>R01-5514-190000-1225</v>
      </c>
      <c r="C84" s="993" t="str">
        <f>CONCATENATE('ketv. 2'!B83)</f>
        <v/>
      </c>
      <c r="D84" s="164" t="str">
        <f>CONCATENATE('3 pr-2'!D84)</f>
        <v>Viešojo transporto organizavimo tobulinimas rekonstruojant Druskininkų miesto gatvių infrastruktūrą</v>
      </c>
      <c r="E84" s="164" t="str">
        <f>CONCATENATE('3 pr-2'!E84)</f>
        <v>Druskininkų savivaldybės administracija</v>
      </c>
      <c r="F84" s="164" t="str">
        <f>CONCATENATE('3 pr-2'!F84)</f>
        <v>Lietuvos Respublikos susisiekimo ministerija</v>
      </c>
      <c r="G84" s="164" t="str">
        <f>CONCATENATE('3 pr-2'!G84)</f>
        <v>Druskininkų sav.</v>
      </c>
      <c r="H84" s="164" t="str">
        <f>CONCATENATE('3 pr-2'!H84)</f>
        <v>04.5.1.-TID-R-514</v>
      </c>
      <c r="I84" s="164" t="str">
        <f>CONCATENATE('3 pr-2'!I84)</f>
        <v>R</v>
      </c>
      <c r="J84" s="164" t="str">
        <f>CONCATENATE('3 pr-2'!J84)</f>
        <v>-</v>
      </c>
      <c r="K84" s="1080">
        <f>IF(Z84&gt;0,'3 pr-2'!L84,0)</f>
        <v>0</v>
      </c>
      <c r="L84" s="1080">
        <f>IF(Z84&gt;0,'3 pr-2'!O84,0)</f>
        <v>0</v>
      </c>
      <c r="M84" s="1080">
        <f>IF(Z84&gt;0,'3 pr-2'!R84,0)</f>
        <v>0</v>
      </c>
      <c r="N84" s="1080">
        <f>IF(Z84&gt;0,'3 pr-2'!U84,0)</f>
        <v>0</v>
      </c>
      <c r="O84" s="1080">
        <f>IF(Z84&gt;0,'3 pr-2'!X84,0)</f>
        <v>0</v>
      </c>
      <c r="P84" s="1080">
        <f>IF(Z84&gt;0,'3 pr-2'!AA84,0)</f>
        <v>0</v>
      </c>
      <c r="Q84" s="1080">
        <f t="shared" si="62"/>
        <v>0</v>
      </c>
      <c r="R84" s="1080">
        <f t="shared" si="63"/>
        <v>0</v>
      </c>
      <c r="S84" s="1080">
        <f t="shared" si="64"/>
        <v>0</v>
      </c>
      <c r="T84" s="1080">
        <f t="shared" si="65"/>
        <v>0</v>
      </c>
      <c r="U84" s="1080">
        <f t="shared" si="66"/>
        <v>0</v>
      </c>
      <c r="V84" s="1164">
        <f>IF(Z84&gt;0,'3 pr-2'!$AB$10,0)</f>
        <v>0</v>
      </c>
      <c r="W84" s="1104">
        <f>SUM('3 pr-2'!AI84)</f>
        <v>43706</v>
      </c>
      <c r="X84" s="1104" t="str">
        <f t="shared" si="56"/>
        <v>–</v>
      </c>
      <c r="Y84" s="992" t="str">
        <f t="shared" si="67"/>
        <v>–</v>
      </c>
      <c r="Z84" s="1339">
        <f>SUMIF(Projektu_sutarciu_ataskaita!$J$19:$J$600,C84,Projektu_sutarciu_ataskaita!$L$19:$L$600)</f>
        <v>0</v>
      </c>
      <c r="AA84" s="1249" t="e">
        <f t="shared" si="58"/>
        <v>#VALUE!</v>
      </c>
      <c r="AB84" s="384" t="str">
        <f t="shared" ref="AB84:AB85" si="69">IF(W84-Z84&lt;0,(W84-Z84)/30.4166666666667,"–")</f>
        <v>–</v>
      </c>
    </row>
    <row r="85" spans="1:28" ht="49.5" thickBot="1">
      <c r="A85" s="164" t="str">
        <f>CONCATENATE('3 pr-2'!A85)</f>
        <v>1.1.2.2.6</v>
      </c>
      <c r="B85" s="221" t="str">
        <f>CONCATENATE('3 pr-2'!B85)</f>
        <v>R01-5514-190000-1226</v>
      </c>
      <c r="C85" s="993" t="str">
        <f>CONCATENATE('ketv. 2'!B84)</f>
        <v/>
      </c>
      <c r="D85" s="164" t="str">
        <f>CONCATENATE('3 pr-2'!D85)</f>
        <v>Vandens transporto infrastruktūros įrengimas skatinant kitų rūšių transportą</v>
      </c>
      <c r="E85" s="164" t="str">
        <f>CONCATENATE('3 pr-2'!E85)</f>
        <v>Druskininkų savivaldybės administracija</v>
      </c>
      <c r="F85" s="164" t="str">
        <f>CONCATENATE('3 pr-2'!F85)</f>
        <v>Lietuvos Respublikos susisiekimo ministerija</v>
      </c>
      <c r="G85" s="164" t="str">
        <f>CONCATENATE('3 pr-2'!G85)</f>
        <v>Druskininkų sav.</v>
      </c>
      <c r="H85" s="164" t="str">
        <f>CONCATENATE('3 pr-2'!H85)</f>
        <v>04.5.1.-TID-R-514</v>
      </c>
      <c r="I85" s="164" t="str">
        <f>CONCATENATE('3 pr-2'!I85)</f>
        <v>R</v>
      </c>
      <c r="J85" s="164" t="str">
        <f>CONCATENATE('3 pr-2'!J85)</f>
        <v>-</v>
      </c>
      <c r="K85" s="1080">
        <f>IF(Z85&gt;0,'3 pr-2'!L85,0)</f>
        <v>0</v>
      </c>
      <c r="L85" s="1080">
        <f>IF(Z85&gt;0,'3 pr-2'!O85,0)</f>
        <v>0</v>
      </c>
      <c r="M85" s="1080">
        <f>IF(Z85&gt;0,'3 pr-2'!R85,0)</f>
        <v>0</v>
      </c>
      <c r="N85" s="1080">
        <f>IF(Z85&gt;0,'3 pr-2'!U85,0)</f>
        <v>0</v>
      </c>
      <c r="O85" s="1080">
        <f>IF(Z85&gt;0,'3 pr-2'!X85,0)</f>
        <v>0</v>
      </c>
      <c r="P85" s="1080">
        <f>IF(Z85&gt;0,'3 pr-2'!AA85,0)</f>
        <v>0</v>
      </c>
      <c r="Q85" s="1080">
        <f t="shared" si="62"/>
        <v>0</v>
      </c>
      <c r="R85" s="1080">
        <f t="shared" si="63"/>
        <v>0</v>
      </c>
      <c r="S85" s="1080">
        <f t="shared" si="64"/>
        <v>0</v>
      </c>
      <c r="T85" s="1080">
        <f t="shared" si="65"/>
        <v>0</v>
      </c>
      <c r="U85" s="1080">
        <f t="shared" si="66"/>
        <v>0</v>
      </c>
      <c r="V85" s="1164">
        <f>IF(Z85&gt;0,'3 pr-2'!$AB$10,0)</f>
        <v>0</v>
      </c>
      <c r="W85" s="1104">
        <f>SUM('3 pr-2'!AI85)</f>
        <v>43797</v>
      </c>
      <c r="X85" s="1104" t="str">
        <f t="shared" si="56"/>
        <v>–</v>
      </c>
      <c r="Y85" s="992" t="str">
        <f t="shared" si="67"/>
        <v>–</v>
      </c>
      <c r="Z85" s="1339">
        <f>SUMIF(Projektu_sutarciu_ataskaita!$J$19:$J$600,C85,Projektu_sutarciu_ataskaita!$L$19:$L$600)</f>
        <v>0</v>
      </c>
      <c r="AA85" s="1249" t="e">
        <f t="shared" si="58"/>
        <v>#VALUE!</v>
      </c>
      <c r="AB85" s="384" t="str">
        <f t="shared" si="69"/>
        <v>–</v>
      </c>
    </row>
    <row r="86" spans="1:28" ht="33.75" customHeight="1" thickBot="1">
      <c r="A86" s="296" t="str">
        <f>CONCATENATE('3 pr-2'!A86)</f>
        <v>1.1.2.3</v>
      </c>
      <c r="B86" s="2088" t="str">
        <f>CONCATENATE('3 pr-2'!B86)</f>
        <v>Priemonė:
Pėsčiųjų ir dviračių takų rekonstrukcija ir plėtra</v>
      </c>
      <c r="C86" s="2089"/>
      <c r="D86" s="2089"/>
      <c r="E86" s="2089"/>
      <c r="F86" s="2089"/>
      <c r="G86" s="2089"/>
      <c r="H86" s="2089"/>
      <c r="I86" s="2089"/>
      <c r="J86" s="2090"/>
      <c r="K86" s="1077">
        <f>SUM(K87:K91)</f>
        <v>429864.05</v>
      </c>
      <c r="L86" s="1077">
        <f t="shared" ref="L86:P86" si="70">SUM(L87:L91)</f>
        <v>70826.359999999986</v>
      </c>
      <c r="M86" s="1077">
        <f t="shared" si="70"/>
        <v>0</v>
      </c>
      <c r="N86" s="1077">
        <f t="shared" si="70"/>
        <v>0</v>
      </c>
      <c r="O86" s="1077">
        <f t="shared" si="70"/>
        <v>0</v>
      </c>
      <c r="P86" s="1077">
        <f t="shared" si="70"/>
        <v>359037.69</v>
      </c>
      <c r="Q86" s="1209">
        <f>SUM(Q87:Q91)</f>
        <v>0</v>
      </c>
      <c r="R86" s="1210">
        <f t="shared" ref="R86:V86" si="71">SUM(R87:R91)</f>
        <v>113619.56</v>
      </c>
      <c r="S86" s="1209">
        <f t="shared" si="71"/>
        <v>245418.13</v>
      </c>
      <c r="T86" s="1210">
        <f t="shared" si="71"/>
        <v>0</v>
      </c>
      <c r="U86" s="1211">
        <f t="shared" si="71"/>
        <v>0</v>
      </c>
      <c r="V86" s="1077">
        <f t="shared" si="71"/>
        <v>0</v>
      </c>
      <c r="W86" s="1150"/>
      <c r="X86" s="1150" t="str">
        <f t="shared" si="56"/>
        <v>–</v>
      </c>
      <c r="Y86" s="1150" t="str">
        <f t="shared" si="61"/>
        <v>–</v>
      </c>
      <c r="Z86" s="1344"/>
      <c r="AA86" s="1338" t="e">
        <f t="shared" si="58"/>
        <v>#VALUE!</v>
      </c>
      <c r="AB86" s="356"/>
    </row>
    <row r="87" spans="1:28" ht="48.75">
      <c r="A87" s="164" t="str">
        <f>CONCATENATE('3 pr-2'!A87)</f>
        <v>1.1.2.3.1</v>
      </c>
      <c r="B87" s="221" t="str">
        <f>CONCATENATE('3 pr-2'!B87)</f>
        <v>R01-5516-190000-1231</v>
      </c>
      <c r="C87" s="993" t="str">
        <f>CONCATENATE('ketv. 2'!B86)</f>
        <v>04.5.1-TID-R-516-11-0004</v>
      </c>
      <c r="D87" s="164" t="str">
        <f>CONCATENATE('3 pr-2'!D87)</f>
        <v>Dviračių ir pėsčiųjų takų įrengimas Varėnos miesto J. Basanavičiaus ir Žiedo gatvėse</v>
      </c>
      <c r="E87" s="164" t="str">
        <f>CONCATENATE('3 pr-2'!E87)</f>
        <v>Varėnos rajono savivaldybės administracija</v>
      </c>
      <c r="F87" s="164" t="str">
        <f>CONCATENATE('3 pr-2'!F87)</f>
        <v>Lietuvos Respublikos susisiekimo ministerija</v>
      </c>
      <c r="G87" s="164" t="str">
        <f>CONCATENATE('3 pr-2'!G87)</f>
        <v>Varėnos r. sav.</v>
      </c>
      <c r="H87" s="164" t="str">
        <f>CONCATENATE('3 pr-2'!H87)</f>
        <v>04.5.1-TID-R-516</v>
      </c>
      <c r="I87" s="164" t="str">
        <f>CONCATENATE('3 pr-2'!I87)</f>
        <v>R</v>
      </c>
      <c r="J87" s="164" t="str">
        <f>CONCATENATE('3 pr-2'!J87)</f>
        <v>ITI</v>
      </c>
      <c r="K87" s="1080">
        <f>IF(Z87&gt;0,'3 pr-2'!L87,0)</f>
        <v>103306</v>
      </c>
      <c r="L87" s="1080">
        <f>IF(Z87&gt;0,'3 pr-2'!O87,0)</f>
        <v>15496</v>
      </c>
      <c r="M87" s="1080">
        <f>IF(Z87&gt;0,'3 pr-2'!R87,0)</f>
        <v>0</v>
      </c>
      <c r="N87" s="1080">
        <f>IF(Z87&gt;0,'3 pr-2'!U87,0)</f>
        <v>0</v>
      </c>
      <c r="O87" s="1080">
        <f>IF(Z87&gt;0,'3 pr-2'!X87,0)</f>
        <v>0</v>
      </c>
      <c r="P87" s="1080">
        <f>IF(Z87&gt;0,'3 pr-2'!AA87,0)</f>
        <v>87810</v>
      </c>
      <c r="Q87" s="1080">
        <f>IF(YEAR(Z87)=2016,P87,0)</f>
        <v>0</v>
      </c>
      <c r="R87" s="1080">
        <f>IF(YEAR(Z87)=2017,P87,0)</f>
        <v>0</v>
      </c>
      <c r="S87" s="1080">
        <f>IF(YEAR(Z87)=2018,P87,0)</f>
        <v>87810</v>
      </c>
      <c r="T87" s="1080">
        <f>IF(YEAR(Z87)=2019,P87,0)</f>
        <v>0</v>
      </c>
      <c r="U87" s="1080">
        <f>IF(YEAR(Z87)=2020,P87,0)</f>
        <v>0</v>
      </c>
      <c r="V87" s="1164">
        <f>IF(Z87&gt;0,'3 pr-2'!$AB$10,0)</f>
        <v>0</v>
      </c>
      <c r="W87" s="1104">
        <f>SUM('3 pr-2'!AI87)</f>
        <v>43193</v>
      </c>
      <c r="X87" s="1132">
        <f t="shared" si="56"/>
        <v>43193</v>
      </c>
      <c r="Y87" s="992">
        <f t="shared" ref="Y87:Y91" si="72">IF(ISTEXT(X87),"–",IF((W87-X87)/30&gt;0,"–",(W87-X87)/30))</f>
        <v>0</v>
      </c>
      <c r="Z87" s="1339">
        <f>SUMIF(Projektu_sutarciu_ataskaita!$J$19:$J$600,C87,Projektu_sutarciu_ataskaita!$L$19:$L$600)</f>
        <v>43193</v>
      </c>
      <c r="AA87" s="1249">
        <f t="shared" si="58"/>
        <v>0</v>
      </c>
      <c r="AB87" s="384" t="str">
        <f t="shared" ref="AB87:AB91" si="73">IF(W87-Z87&lt;0,(W87-Z87)/30.4166666666667,"–")</f>
        <v>–</v>
      </c>
    </row>
    <row r="88" spans="1:28" ht="48.75">
      <c r="A88" s="164" t="str">
        <f>CONCATENATE('3 pr-2'!A88)</f>
        <v>1.1.2.3.2</v>
      </c>
      <c r="B88" s="221" t="str">
        <f>CONCATENATE('3 pr-2'!B88)</f>
        <v>R01-5516-190000-1232</v>
      </c>
      <c r="C88" s="993" t="str">
        <f>CONCATENATE('ketv. 2'!B87)</f>
        <v>04.5.1-TID-R-516-11-0001</v>
      </c>
      <c r="D88" s="164" t="str">
        <f>CONCATENATE('3 pr-2'!D88)</f>
        <v>Dviračių trasų infrastruktūros įrengimas nuo Putinų g. žiedo Pramonės gatvėje, Alytaus mieste</v>
      </c>
      <c r="E88" s="164" t="str">
        <f>CONCATENATE('3 pr-2'!E88)</f>
        <v>Alytaus miesto savivaldybės administracija</v>
      </c>
      <c r="F88" s="164" t="str">
        <f>CONCATENATE('3 pr-2'!F88)</f>
        <v>Lietuvos Respublikos susisiekimo ministerija</v>
      </c>
      <c r="G88" s="164" t="str">
        <f>CONCATENATE('3 pr-2'!G88)</f>
        <v>Alytaus m. sav.</v>
      </c>
      <c r="H88" s="164" t="str">
        <f>CONCATENATE('3 pr-2'!H88)</f>
        <v>04.5.1-TID-R-516</v>
      </c>
      <c r="I88" s="164" t="str">
        <f>CONCATENATE('3 pr-2'!I88)</f>
        <v>R</v>
      </c>
      <c r="J88" s="164" t="str">
        <f>CONCATENATE('3 pr-2'!J88)</f>
        <v>ITI</v>
      </c>
      <c r="K88" s="1080">
        <f>IF(Z88&gt;0,'3 pr-2'!L88,0)</f>
        <v>133670.07</v>
      </c>
      <c r="L88" s="1080">
        <f>IF(Z88&gt;0,'3 pr-2'!O88,0)</f>
        <v>20050.509999999998</v>
      </c>
      <c r="M88" s="1080">
        <f>IF(Z88&gt;0,'3 pr-2'!R88,0)</f>
        <v>0</v>
      </c>
      <c r="N88" s="1080">
        <f>IF(Z88&gt;0,'3 pr-2'!U88,0)</f>
        <v>0</v>
      </c>
      <c r="O88" s="1080">
        <f>IF(Z88&gt;0,'3 pr-2'!X88,0)</f>
        <v>0</v>
      </c>
      <c r="P88" s="1080">
        <f>IF(Z88&gt;0,'3 pr-2'!AA88,0)</f>
        <v>113619.56</v>
      </c>
      <c r="Q88" s="1080">
        <f>IF(YEAR(Z88)=2016,P88,0)</f>
        <v>0</v>
      </c>
      <c r="R88" s="1080">
        <f>IF(YEAR(Z88)=2017,P88,0)</f>
        <v>113619.56</v>
      </c>
      <c r="S88" s="1080">
        <f>IF(YEAR(Z88)=2018,P88,0)</f>
        <v>0</v>
      </c>
      <c r="T88" s="1080">
        <f>IF(YEAR(Z88)=2019,P88,0)</f>
        <v>0</v>
      </c>
      <c r="U88" s="1080">
        <f>IF(YEAR(Z88)=2020,P88,0)</f>
        <v>0</v>
      </c>
      <c r="V88" s="1164">
        <f>IF(Z88&gt;0,'3 pr-2'!$AB$10,0)</f>
        <v>0</v>
      </c>
      <c r="W88" s="1104">
        <f>SUM('3 pr-2'!AI88)</f>
        <v>42978</v>
      </c>
      <c r="X88" s="1132">
        <f t="shared" si="56"/>
        <v>42991</v>
      </c>
      <c r="Y88" s="992">
        <f t="shared" si="72"/>
        <v>-0.43333333333333335</v>
      </c>
      <c r="Z88" s="1339">
        <f>SUMIF(Projektu_sutarciu_ataskaita!$J$19:$J$600,C88,Projektu_sutarciu_ataskaita!$L$19:$L$600)</f>
        <v>42991</v>
      </c>
      <c r="AA88" s="1249">
        <f t="shared" si="58"/>
        <v>-0.43333333333333335</v>
      </c>
      <c r="AB88" s="384">
        <f t="shared" si="73"/>
        <v>-0.42739726027397212</v>
      </c>
    </row>
    <row r="89" spans="1:28" ht="48.75">
      <c r="A89" s="164" t="str">
        <f>CONCATENATE('3 pr-2'!A89)</f>
        <v>1.1.2.3.3</v>
      </c>
      <c r="B89" s="221" t="str">
        <f>CONCATENATE('3 pr-2'!B89)</f>
        <v>R01-5516-190000-1233</v>
      </c>
      <c r="C89" s="993" t="str">
        <f>CONCATENATE('ketv. 2'!B88)</f>
        <v>04.5.1-TID-R-516-11-0002</v>
      </c>
      <c r="D89" s="164" t="str">
        <f>CONCATENATE('3 pr-2'!D89)</f>
        <v>Dviračių ir pėsčiųjų takų plėtra Lazdijų miesto Turistų gatvėje iki sodų bendrijos „Baltasis“ Lazdijų seniūnijoje</v>
      </c>
      <c r="E89" s="164" t="str">
        <f>CONCATENATE('3 pr-2'!E89)</f>
        <v>Lazdijų rajono savivaldybės administracija</v>
      </c>
      <c r="F89" s="164" t="str">
        <f>CONCATENATE('3 pr-2'!F89)</f>
        <v>Lietuvos Respublikos susisiekimo ministerija</v>
      </c>
      <c r="G89" s="164" t="str">
        <f>CONCATENATE('3 pr-2'!G89)</f>
        <v>Lazdijų r. sav.</v>
      </c>
      <c r="H89" s="164" t="str">
        <f>CONCATENATE('3 pr-2'!H89)</f>
        <v>04.5.1-TID-R-516</v>
      </c>
      <c r="I89" s="164" t="str">
        <f>CONCATENATE('3 pr-2'!I89)</f>
        <v>R</v>
      </c>
      <c r="J89" s="164" t="str">
        <f>CONCATENATE('3 pr-2'!J89)</f>
        <v>ITI</v>
      </c>
      <c r="K89" s="1080">
        <f>IF(Z89&gt;0,'3 pr-2'!L89,0)</f>
        <v>93938.42</v>
      </c>
      <c r="L89" s="1080">
        <f>IF(Z89&gt;0,'3 pr-2'!O89,0)</f>
        <v>20437.419999999998</v>
      </c>
      <c r="M89" s="1080">
        <f>IF(Z89&gt;0,'3 pr-2'!R89,0)</f>
        <v>0</v>
      </c>
      <c r="N89" s="1080">
        <f>IF(Z89&gt;0,'3 pr-2'!U89,0)</f>
        <v>0</v>
      </c>
      <c r="O89" s="1080">
        <f>IF(Z89&gt;0,'3 pr-2'!X89,0)</f>
        <v>0</v>
      </c>
      <c r="P89" s="1080">
        <f>IF(Z89&gt;0,'3 pr-2'!AA89,0)</f>
        <v>73501</v>
      </c>
      <c r="Q89" s="1080">
        <f>IF(YEAR(Z89)=2016,P89,0)</f>
        <v>0</v>
      </c>
      <c r="R89" s="1080">
        <f>IF(YEAR(Z89)=2017,P89,0)</f>
        <v>0</v>
      </c>
      <c r="S89" s="1080">
        <f>IF(YEAR(Z89)=2018,P89,0)</f>
        <v>73501</v>
      </c>
      <c r="T89" s="1080">
        <f>IF(YEAR(Z89)=2019,P89,0)</f>
        <v>0</v>
      </c>
      <c r="U89" s="1080">
        <f>IF(YEAR(Z89)=2020,P89,0)</f>
        <v>0</v>
      </c>
      <c r="V89" s="1164">
        <f>IF(Z89&gt;0,'3 pr-2'!$AB$10,0)</f>
        <v>0</v>
      </c>
      <c r="W89" s="1104">
        <f>SUM('3 pr-2'!AI89)</f>
        <v>43100</v>
      </c>
      <c r="X89" s="1132">
        <f t="shared" si="56"/>
        <v>43119</v>
      </c>
      <c r="Y89" s="992">
        <f t="shared" si="72"/>
        <v>-0.6333333333333333</v>
      </c>
      <c r="Z89" s="1339">
        <f>SUMIF(Projektu_sutarciu_ataskaita!$J$19:$J$600,C89,Projektu_sutarciu_ataskaita!$L$19:$L$600)</f>
        <v>43119</v>
      </c>
      <c r="AA89" s="1249">
        <f t="shared" si="58"/>
        <v>-0.6333333333333333</v>
      </c>
      <c r="AB89" s="384">
        <f t="shared" si="73"/>
        <v>-0.62465753424657466</v>
      </c>
    </row>
    <row r="90" spans="1:28" ht="48.75">
      <c r="A90" s="164" t="str">
        <f>CONCATENATE('3 pr-2'!A90)</f>
        <v>1.1.2.3.4</v>
      </c>
      <c r="B90" s="221" t="str">
        <f>CONCATENATE('3 pr-2'!B90)</f>
        <v>R01-5516-190000-1234</v>
      </c>
      <c r="C90" s="993" t="str">
        <f>CONCATENATE('ketv. 2'!B89)</f>
        <v>04.5.1-TID-R-516-11-0005</v>
      </c>
      <c r="D90" s="164" t="str">
        <f>CONCATENATE('3 pr-2'!D90)</f>
        <v>Pėsčiųjų ir dviračių takų plėtra Simno seniūnijoje</v>
      </c>
      <c r="E90" s="164" t="str">
        <f>CONCATENATE('3 pr-2'!E90)</f>
        <v>Alytaus rajono savivaldybės administracija</v>
      </c>
      <c r="F90" s="164" t="str">
        <f>CONCATENATE('3 pr-2'!F90)</f>
        <v>Lietuvos Respublikos susisiekimo ministerija</v>
      </c>
      <c r="G90" s="164" t="str">
        <f>CONCATENATE('3 pr-2'!G90)</f>
        <v>Alytaus r. sav.</v>
      </c>
      <c r="H90" s="164" t="str">
        <f>CONCATENATE('3 pr-2'!H90)</f>
        <v>04.5.1-TID-R-516</v>
      </c>
      <c r="I90" s="164" t="str">
        <f>CONCATENATE('3 pr-2'!I90)</f>
        <v>R</v>
      </c>
      <c r="J90" s="164" t="str">
        <f>CONCATENATE('3 pr-2'!J90)</f>
        <v>-</v>
      </c>
      <c r="K90" s="1080">
        <f>IF(Z90&gt;0,'3 pr-2'!L90,0)</f>
        <v>98949.56</v>
      </c>
      <c r="L90" s="1080">
        <f>IF(Z90&gt;0,'3 pr-2'!O90,0)</f>
        <v>14842.43</v>
      </c>
      <c r="M90" s="1080">
        <f>IF(Z90&gt;0,'3 pr-2'!R90,0)</f>
        <v>0</v>
      </c>
      <c r="N90" s="1080">
        <f>IF(Z90&gt;0,'3 pr-2'!U90,0)</f>
        <v>0</v>
      </c>
      <c r="O90" s="1080">
        <f>IF(Z90&gt;0,'3 pr-2'!X90,0)</f>
        <v>0</v>
      </c>
      <c r="P90" s="1080">
        <f>IF(Z90&gt;0,'3 pr-2'!AA90,0)</f>
        <v>84107.13</v>
      </c>
      <c r="Q90" s="1080">
        <f>IF(YEAR(Z90)=2016,P90,0)</f>
        <v>0</v>
      </c>
      <c r="R90" s="1080">
        <f>IF(YEAR(Z90)=2017,P90,0)</f>
        <v>0</v>
      </c>
      <c r="S90" s="1080">
        <f>IF(YEAR(Z90)=2018,P90,0)</f>
        <v>84107.13</v>
      </c>
      <c r="T90" s="1080">
        <f>IF(YEAR(Z90)=2019,P90,0)</f>
        <v>0</v>
      </c>
      <c r="U90" s="1080">
        <f>IF(YEAR(Z90)=2020,P90,0)</f>
        <v>0</v>
      </c>
      <c r="V90" s="1164">
        <f>IF(Z90&gt;0,'3 pr-2'!$AB$10,0)</f>
        <v>0</v>
      </c>
      <c r="W90" s="1104">
        <f>SUM('3 pr-2'!AI90)</f>
        <v>43220</v>
      </c>
      <c r="X90" s="1132">
        <f t="shared" si="56"/>
        <v>43243</v>
      </c>
      <c r="Y90" s="992">
        <f t="shared" si="72"/>
        <v>-0.76666666666666672</v>
      </c>
      <c r="Z90" s="1339">
        <f>SUMIF(Projektu_sutarciu_ataskaita!$J$19:$J$600,C90,Projektu_sutarciu_ataskaita!$L$19:$L$600)</f>
        <v>43243</v>
      </c>
      <c r="AA90" s="1249">
        <f t="shared" si="58"/>
        <v>-0.76666666666666672</v>
      </c>
      <c r="AB90" s="384">
        <f t="shared" si="73"/>
        <v>-0.75616438356164306</v>
      </c>
    </row>
    <row r="91" spans="1:28" ht="49.5" thickBot="1">
      <c r="A91" s="164" t="str">
        <f>CONCATENATE('3 pr-2'!A91)</f>
        <v>1.1.2.3.5</v>
      </c>
      <c r="B91" s="221" t="str">
        <f>CONCATENATE('3 pr-2'!B91)</f>
        <v>R01-5516-190000-1235</v>
      </c>
      <c r="C91" s="993" t="str">
        <f>CONCATENATE('ketv. 2'!B90)</f>
        <v>04.5.1-TID-R-516-11-0006</v>
      </c>
      <c r="D91" s="164" t="str">
        <f>CONCATENATE('3 pr-2'!D91)</f>
        <v>Dviračių ir pėsčiųjų tako, esančio šalia Ratnyčios upelio Druskininkų mieste, rekonstrukcija</v>
      </c>
      <c r="E91" s="164" t="str">
        <f>CONCATENATE('3 pr-2'!E91)</f>
        <v xml:space="preserve">Druskininkų savivaldybės administracija  </v>
      </c>
      <c r="F91" s="164" t="str">
        <f>CONCATENATE('3 pr-2'!F91)</f>
        <v>Lietuvos Respublikos susisiekimo ministerija</v>
      </c>
      <c r="G91" s="164" t="str">
        <f>CONCATENATE('3 pr-2'!G91)</f>
        <v>Druskininkų sav.</v>
      </c>
      <c r="H91" s="164" t="str">
        <f>CONCATENATE('3 pr-2'!H91)</f>
        <v>04.5.1-TID-R-516</v>
      </c>
      <c r="I91" s="164" t="str">
        <f>CONCATENATE('3 pr-2'!I91)</f>
        <v>R</v>
      </c>
      <c r="J91" s="164" t="str">
        <f>CONCATENATE('3 pr-2'!J91)</f>
        <v>-</v>
      </c>
      <c r="K91" s="1080">
        <f>IF(Z91&gt;0,'3 pr-2'!L91,0)</f>
        <v>0</v>
      </c>
      <c r="L91" s="1080">
        <f>IF(Z91&gt;0,'3 pr-2'!O91,0)</f>
        <v>0</v>
      </c>
      <c r="M91" s="1080">
        <f>IF(Z91&gt;0,'3 pr-2'!R91,0)</f>
        <v>0</v>
      </c>
      <c r="N91" s="1080">
        <f>IF(Z91&gt;0,'3 pr-2'!U91,0)</f>
        <v>0</v>
      </c>
      <c r="O91" s="1080">
        <f>IF(Z91&gt;0,'3 pr-2'!X91,0)</f>
        <v>0</v>
      </c>
      <c r="P91" s="1080">
        <f>IF(Z91&gt;0,'3 pr-2'!AA91,0)</f>
        <v>0</v>
      </c>
      <c r="Q91" s="1080">
        <f>IF(YEAR(Z91)=2016,P91,0)</f>
        <v>0</v>
      </c>
      <c r="R91" s="1080">
        <f>IF(YEAR(Z91)=2017,P91,0)</f>
        <v>0</v>
      </c>
      <c r="S91" s="1080">
        <f>IF(YEAR(Z91)=2018,P91,0)</f>
        <v>0</v>
      </c>
      <c r="T91" s="1080">
        <f>IF(YEAR(Z91)=2019,P91,0)</f>
        <v>0</v>
      </c>
      <c r="U91" s="1080">
        <f>IF(YEAR(Z91)=2020,P91,0)</f>
        <v>0</v>
      </c>
      <c r="V91" s="1164">
        <f>IF(Z91&gt;0,'3 pr-2'!$AB$10,0)</f>
        <v>0</v>
      </c>
      <c r="W91" s="1104">
        <f>SUM('3 pr-2'!AI91)</f>
        <v>43599</v>
      </c>
      <c r="X91" s="1132" t="str">
        <f t="shared" si="56"/>
        <v>–</v>
      </c>
      <c r="Y91" s="992" t="str">
        <f t="shared" si="72"/>
        <v>–</v>
      </c>
      <c r="Z91" s="1339">
        <f>SUMIF(Projektu_sutarciu_ataskaita!$J$19:$J$600,C91,Projektu_sutarciu_ataskaita!$L$19:$L$600)</f>
        <v>0</v>
      </c>
      <c r="AA91" s="1249" t="e">
        <f t="shared" si="58"/>
        <v>#VALUE!</v>
      </c>
      <c r="AB91" s="384" t="str">
        <f t="shared" si="73"/>
        <v>–</v>
      </c>
    </row>
    <row r="92" spans="1:28" ht="29.25" customHeight="1" thickBot="1">
      <c r="A92" s="296" t="str">
        <f>CONCATENATE('3 pr-2'!A92)</f>
        <v>1.1.2.4</v>
      </c>
      <c r="B92" s="2088" t="str">
        <f>CONCATENATE('3 pr-2'!B92)</f>
        <v>Priemonė:
Vietinių kelių techninių parametrų ir eismo saugos gerinimas</v>
      </c>
      <c r="C92" s="2089"/>
      <c r="D92" s="2089"/>
      <c r="E92" s="2089"/>
      <c r="F92" s="2089"/>
      <c r="G92" s="2089"/>
      <c r="H92" s="2089"/>
      <c r="I92" s="2089"/>
      <c r="J92" s="2090"/>
      <c r="K92" s="1077">
        <f>SUM(K93:K99)</f>
        <v>4315878.84</v>
      </c>
      <c r="L92" s="1077">
        <f t="shared" ref="L92:P92" si="74">SUM(L93:L99)</f>
        <v>1217686.06</v>
      </c>
      <c r="M92" s="1077">
        <f t="shared" si="74"/>
        <v>0</v>
      </c>
      <c r="N92" s="1077">
        <f t="shared" si="74"/>
        <v>0</v>
      </c>
      <c r="O92" s="1077">
        <f t="shared" si="74"/>
        <v>62660</v>
      </c>
      <c r="P92" s="1077">
        <f t="shared" si="74"/>
        <v>3035532.7800000003</v>
      </c>
      <c r="Q92" s="1209">
        <f>SUM(Q93:Q98)</f>
        <v>0</v>
      </c>
      <c r="R92" s="1210">
        <f t="shared" ref="R92:U92" si="75">SUM(R93:R98)</f>
        <v>1458082</v>
      </c>
      <c r="S92" s="1209">
        <f t="shared" si="75"/>
        <v>1464461.78</v>
      </c>
      <c r="T92" s="1210">
        <f t="shared" si="75"/>
        <v>0</v>
      </c>
      <c r="U92" s="1211">
        <f t="shared" si="75"/>
        <v>0</v>
      </c>
      <c r="V92" s="1077">
        <f t="shared" ref="V92" si="76">SUM(V93:V99)</f>
        <v>0</v>
      </c>
      <c r="W92" s="1150"/>
      <c r="X92" s="1150" t="str">
        <f t="shared" si="56"/>
        <v>–</v>
      </c>
      <c r="Y92" s="1150" t="str">
        <f t="shared" si="61"/>
        <v>–</v>
      </c>
      <c r="Z92" s="1344"/>
      <c r="AA92" s="1338" t="e">
        <f t="shared" si="58"/>
        <v>#VALUE!</v>
      </c>
      <c r="AB92" s="356"/>
    </row>
    <row r="93" spans="1:28" ht="48.75">
      <c r="A93" s="164" t="str">
        <f>CONCATENATE('3 pr-2'!A93)</f>
        <v>1.1.2.4.1</v>
      </c>
      <c r="B93" s="221" t="str">
        <f>CONCATENATE('3 pr-2'!B93)</f>
        <v>R01-5511-120000-1241</v>
      </c>
      <c r="C93" s="993" t="str">
        <f>CONCATENATE('ketv. 2'!B92)</f>
        <v>06.2.1-TID-R-511-11-0002</v>
      </c>
      <c r="D93" s="164" t="str">
        <f>CONCATENATE('3 pr-2'!D93)</f>
        <v>Varėnos miesto J. Basanavičiaus, Savanorių, M. K. Čiurlionio gatvių rekonstrukcija</v>
      </c>
      <c r="E93" s="164" t="str">
        <f>CONCATENATE('3 pr-2'!E93)</f>
        <v>Varėnos rajono savivaldybės administracija</v>
      </c>
      <c r="F93" s="164" t="str">
        <f>CONCATENATE('3 pr-2'!F93)</f>
        <v>Lietuvos Respublikos susisiekimo ministerija</v>
      </c>
      <c r="G93" s="164" t="str">
        <f>CONCATENATE('3 pr-2'!G93)</f>
        <v>Varėnos r. sav.</v>
      </c>
      <c r="H93" s="164" t="str">
        <f>CONCATENATE('3 pr-2'!H93)</f>
        <v>06.2.1-TID-R-511</v>
      </c>
      <c r="I93" s="164" t="str">
        <f>CONCATENATE('3 pr-2'!I93)</f>
        <v>R</v>
      </c>
      <c r="J93" s="164" t="str">
        <f>CONCATENATE('3 pr-2'!J93)</f>
        <v>ITI</v>
      </c>
      <c r="K93" s="1080">
        <f>IF(Z93&gt;0,'3 pr-2'!L93,0)</f>
        <v>835464</v>
      </c>
      <c r="L93" s="1080">
        <f>IF(Z93&gt;0,'3 pr-2'!O93,0)</f>
        <v>62660</v>
      </c>
      <c r="M93" s="1080">
        <f>IF(Z93&gt;0,'3 pr-2'!R93,0)</f>
        <v>0</v>
      </c>
      <c r="N93" s="1080">
        <f>IF(Z93&gt;0,'3 pr-2'!U93,0)</f>
        <v>0</v>
      </c>
      <c r="O93" s="1080">
        <f>IF(Z93&gt;0,'3 pr-2'!X93,0)</f>
        <v>62660</v>
      </c>
      <c r="P93" s="1080">
        <f>IF(Z93&gt;0,'3 pr-2'!AA93,0)</f>
        <v>710144</v>
      </c>
      <c r="Q93" s="1080">
        <f t="shared" ref="Q93:Q99" si="77">IF(YEAR(Z93)=2016,P93,0)</f>
        <v>0</v>
      </c>
      <c r="R93" s="1080">
        <f t="shared" ref="R93:R99" si="78">IF(YEAR(Z93)=2017,P93,0)</f>
        <v>710144</v>
      </c>
      <c r="S93" s="1080">
        <f t="shared" ref="S93:S99" si="79">IF(YEAR(Z93)=2018,P93,0)</f>
        <v>0</v>
      </c>
      <c r="T93" s="1080">
        <f t="shared" ref="T93:T99" si="80">IF(YEAR(Z93)=2019,P93,0)</f>
        <v>0</v>
      </c>
      <c r="U93" s="1080">
        <f t="shared" ref="U93:U99" si="81">IF(YEAR(Z93)=2020,P93,0)</f>
        <v>0</v>
      </c>
      <c r="V93" s="1164">
        <f>IF(Z93&gt;0,'3 pr-2'!$AB$10,0)</f>
        <v>0</v>
      </c>
      <c r="W93" s="1104">
        <f>SUM('3 pr-2'!AI93)</f>
        <v>42993</v>
      </c>
      <c r="X93" s="1132">
        <f t="shared" si="56"/>
        <v>42992</v>
      </c>
      <c r="Y93" s="992" t="str">
        <f t="shared" ref="Y93:Y99" si="82">IF(ISTEXT(X93),"–",IF((W93-X93)/30&gt;0,"–",(W93-X93)/30))</f>
        <v>–</v>
      </c>
      <c r="Z93" s="1339">
        <f>SUMIF(Projektu_sutarciu_ataskaita!$J$19:$J$600,C93,Projektu_sutarciu_ataskaita!$L$19:$L$600)</f>
        <v>42992</v>
      </c>
      <c r="AA93" s="1249">
        <f t="shared" si="58"/>
        <v>3.3333333333333333E-2</v>
      </c>
      <c r="AB93" s="384" t="str">
        <f t="shared" ref="AB93:AB98" si="83">IF(W93-Z93&lt;0,(W93-Z93)/30.4166666666667,"–")</f>
        <v>–</v>
      </c>
    </row>
    <row r="94" spans="1:28" ht="48.75">
      <c r="A94" s="164" t="str">
        <f>CONCATENATE('3 pr-2'!A94)</f>
        <v>1.1.2.4.2</v>
      </c>
      <c r="B94" s="221" t="str">
        <f>CONCATENATE('3 pr-2'!B94)</f>
        <v>R01-5511-110000-1242</v>
      </c>
      <c r="C94" s="993" t="str">
        <f>CONCATENATE('ketv. 2'!B93)</f>
        <v>06.2.1-TID-R-511-11-0001</v>
      </c>
      <c r="D94" s="164" t="str">
        <f>CONCATENATE('3 pr-2'!D94)</f>
        <v>Perspektyvinės gatvės nuo Pramonės g. iki Naujosios g. Alytuje įrengimas</v>
      </c>
      <c r="E94" s="164" t="str">
        <f>CONCATENATE('3 pr-2'!E94)</f>
        <v>Alytaus miesto savivaldybės administracija</v>
      </c>
      <c r="F94" s="164" t="str">
        <f>CONCATENATE('3 pr-2'!F94)</f>
        <v>Lietuvos Respublikos susisiekimo ministerija</v>
      </c>
      <c r="G94" s="164" t="str">
        <f>CONCATENATE('3 pr-2'!G94)</f>
        <v>Alytaus m. sav.</v>
      </c>
      <c r="H94" s="164" t="str">
        <f>CONCATENATE('3 pr-2'!H94)</f>
        <v>06.2.1-TID-R-511</v>
      </c>
      <c r="I94" s="164" t="str">
        <f>CONCATENATE('3 pr-2'!I94)</f>
        <v>R</v>
      </c>
      <c r="J94" s="164" t="str">
        <f>CONCATENATE('3 pr-2'!J94)</f>
        <v>ITI</v>
      </c>
      <c r="K94" s="1080">
        <f>IF(Z94&gt;0,'3 pr-2'!L94,0)</f>
        <v>879927.06</v>
      </c>
      <c r="L94" s="1080">
        <f>IF(Z94&gt;0,'3 pr-2'!O94,0)</f>
        <v>131989.06</v>
      </c>
      <c r="M94" s="1080">
        <f>IF(Z94&gt;0,'3 pr-2'!R94,0)</f>
        <v>0</v>
      </c>
      <c r="N94" s="1080">
        <f>IF(Z94&gt;0,'3 pr-2'!U94,0)</f>
        <v>0</v>
      </c>
      <c r="O94" s="1080">
        <f>IF(Z94&gt;0,'3 pr-2'!X94,0)</f>
        <v>0</v>
      </c>
      <c r="P94" s="1080">
        <f>IF(Z94&gt;0,'3 pr-2'!AA94,0)</f>
        <v>747938</v>
      </c>
      <c r="Q94" s="1080">
        <f t="shared" si="77"/>
        <v>0</v>
      </c>
      <c r="R94" s="1080">
        <f t="shared" si="78"/>
        <v>747938</v>
      </c>
      <c r="S94" s="1080">
        <f t="shared" si="79"/>
        <v>0</v>
      </c>
      <c r="T94" s="1080">
        <f t="shared" si="80"/>
        <v>0</v>
      </c>
      <c r="U94" s="1080">
        <f t="shared" si="81"/>
        <v>0</v>
      </c>
      <c r="V94" s="1164">
        <f>IF(Z94&gt;0,'3 pr-2'!$AB$10,0)</f>
        <v>0</v>
      </c>
      <c r="W94" s="1104">
        <f>SUM('3 pr-2'!AI94)</f>
        <v>42931</v>
      </c>
      <c r="X94" s="1132">
        <f t="shared" si="56"/>
        <v>42920</v>
      </c>
      <c r="Y94" s="992" t="str">
        <f t="shared" si="82"/>
        <v>–</v>
      </c>
      <c r="Z94" s="1339">
        <f>SUMIF(Projektu_sutarciu_ataskaita!$J$19:$J$600,C94,Projektu_sutarciu_ataskaita!$L$19:$L$600)</f>
        <v>42920</v>
      </c>
      <c r="AA94" s="1249">
        <f t="shared" si="58"/>
        <v>0.36666666666666664</v>
      </c>
      <c r="AB94" s="384" t="str">
        <f t="shared" si="83"/>
        <v>–</v>
      </c>
    </row>
    <row r="95" spans="1:28" ht="48.75">
      <c r="A95" s="164" t="str">
        <f>CONCATENATE('3 pr-2'!A95)</f>
        <v>1.1.2.4.3.</v>
      </c>
      <c r="B95" s="221" t="str">
        <f>CONCATENATE('3 pr-2'!B95)</f>
        <v>R01-5511-500000-1243</v>
      </c>
      <c r="C95" s="993" t="str">
        <f>CONCATENATE('ketv. 2'!B94)</f>
        <v>06.2.1-TID-R-511-11-0008</v>
      </c>
      <c r="D95" s="164" t="str">
        <f>CONCATENATE('3 pr-2'!D95)</f>
        <v>Saugaus eismo priemonių diegimas Alytaus mieste</v>
      </c>
      <c r="E95" s="164" t="str">
        <f>CONCATENATE('3 pr-2'!E95)</f>
        <v>Alytaus miesto savivaldybės administracija</v>
      </c>
      <c r="F95" s="164" t="str">
        <f>CONCATENATE('3 pr-2'!F95)</f>
        <v>Lietuvos Respublikos susisiekimo ministerija</v>
      </c>
      <c r="G95" s="164" t="str">
        <f>CONCATENATE('3 pr-2'!G95)</f>
        <v>Alytaus m. sav.</v>
      </c>
      <c r="H95" s="164" t="str">
        <f>CONCATENATE('3 pr-2'!H95)</f>
        <v>06.2.1-TID-R-511</v>
      </c>
      <c r="I95" s="164" t="str">
        <f>CONCATENATE('3 pr-2'!I95)</f>
        <v>R</v>
      </c>
      <c r="J95" s="164" t="str">
        <f>CONCATENATE('3 pr-2'!J95)</f>
        <v>-</v>
      </c>
      <c r="K95" s="1080">
        <f>IF(Z95&gt;0,'3 pr-2'!L95,0)</f>
        <v>274146.8</v>
      </c>
      <c r="L95" s="1080">
        <f>IF(Z95&gt;0,'3 pr-2'!O95,0)</f>
        <v>41122.019999999997</v>
      </c>
      <c r="M95" s="1080">
        <f>IF(Z95&gt;0,'3 pr-2'!R95,0)</f>
        <v>0</v>
      </c>
      <c r="N95" s="1080">
        <f>IF(Z95&gt;0,'3 pr-2'!U95,0)</f>
        <v>0</v>
      </c>
      <c r="O95" s="1080">
        <f>IF(Z95&gt;0,'3 pr-2'!X95,0)</f>
        <v>0</v>
      </c>
      <c r="P95" s="1080">
        <f>IF(Z95&gt;0,'3 pr-2'!AA95,0)</f>
        <v>233024.78</v>
      </c>
      <c r="Q95" s="1080">
        <f t="shared" si="77"/>
        <v>0</v>
      </c>
      <c r="R95" s="1080">
        <f t="shared" si="78"/>
        <v>0</v>
      </c>
      <c r="S95" s="1080">
        <f t="shared" si="79"/>
        <v>233024.78</v>
      </c>
      <c r="T95" s="1080">
        <f t="shared" si="80"/>
        <v>0</v>
      </c>
      <c r="U95" s="1080">
        <f t="shared" si="81"/>
        <v>0</v>
      </c>
      <c r="V95" s="1164">
        <f>IF(Z95&gt;0,'3 pr-2'!$AB$10,0)</f>
        <v>0</v>
      </c>
      <c r="W95" s="1104">
        <f>SUM('3 pr-2'!AI95)</f>
        <v>43419</v>
      </c>
      <c r="X95" s="1132">
        <f t="shared" si="56"/>
        <v>43411</v>
      </c>
      <c r="Y95" s="992" t="str">
        <f t="shared" si="82"/>
        <v>–</v>
      </c>
      <c r="Z95" s="1339">
        <f>SUMIF(Projektu_sutarciu_ataskaita!$J$19:$J$600,C95,Projektu_sutarciu_ataskaita!$L$19:$L$600)</f>
        <v>43411</v>
      </c>
      <c r="AA95" s="1249">
        <f t="shared" si="58"/>
        <v>0.26666666666666666</v>
      </c>
      <c r="AB95" s="384" t="str">
        <f t="shared" si="83"/>
        <v>–</v>
      </c>
    </row>
    <row r="96" spans="1:28" ht="48.75">
      <c r="A96" s="164" t="str">
        <f>CONCATENATE('3 pr-2'!A96)</f>
        <v>1.1.2.4.4</v>
      </c>
      <c r="B96" s="221" t="str">
        <f>CONCATENATE('3 pr-2'!B96)</f>
        <v>R01-5511-500000-1244</v>
      </c>
      <c r="C96" s="993" t="str">
        <f>CONCATENATE('ketv. 2'!B95)</f>
        <v>06.2.1-TID-R-511-11-0006</v>
      </c>
      <c r="D96" s="164" t="str">
        <f>CONCATENATE('3 pr-2'!D96)</f>
        <v>Eismo saugos priemonių diegimas Alytaus rajono savivaldybėje</v>
      </c>
      <c r="E96" s="164" t="str">
        <f>CONCATENATE('3 pr-2'!E96)</f>
        <v>Alytaus rajono savivaldybės administracija</v>
      </c>
      <c r="F96" s="164" t="str">
        <f>CONCATENATE('3 pr-2'!F96)</f>
        <v>Lietuvos Respublikos susisiekimo ministerija</v>
      </c>
      <c r="G96" s="164" t="str">
        <f>CONCATENATE('3 pr-2'!G96)</f>
        <v>Alytaus r. sav.</v>
      </c>
      <c r="H96" s="164" t="str">
        <f>CONCATENATE('3 pr-2'!H96)</f>
        <v>06.2.1-TID-R-511</v>
      </c>
      <c r="I96" s="164" t="str">
        <f>CONCATENATE('3 pr-2'!I96)</f>
        <v>R</v>
      </c>
      <c r="J96" s="164" t="str">
        <f>CONCATENATE('3 pr-2'!J96)</f>
        <v>-</v>
      </c>
      <c r="K96" s="1080">
        <f>IF(Z96&gt;0,'3 pr-2'!L96,0)</f>
        <v>274817.98</v>
      </c>
      <c r="L96" s="1080">
        <f>IF(Z96&gt;0,'3 pr-2'!O96,0)</f>
        <v>73973.98</v>
      </c>
      <c r="M96" s="1080">
        <f>IF(Z96&gt;0,'3 pr-2'!R96,0)</f>
        <v>0</v>
      </c>
      <c r="N96" s="1080">
        <f>IF(Z96&gt;0,'3 pr-2'!U96,0)</f>
        <v>0</v>
      </c>
      <c r="O96" s="1080">
        <f>IF(Z96&gt;0,'3 pr-2'!X96,0)</f>
        <v>0</v>
      </c>
      <c r="P96" s="1080">
        <f>IF(Z96&gt;0,'3 pr-2'!AA96,0)</f>
        <v>200844</v>
      </c>
      <c r="Q96" s="1080">
        <f t="shared" si="77"/>
        <v>0</v>
      </c>
      <c r="R96" s="1080">
        <f t="shared" si="78"/>
        <v>0</v>
      </c>
      <c r="S96" s="1080">
        <f t="shared" si="79"/>
        <v>200844</v>
      </c>
      <c r="T96" s="1080">
        <f t="shared" si="80"/>
        <v>0</v>
      </c>
      <c r="U96" s="1080">
        <f t="shared" si="81"/>
        <v>0</v>
      </c>
      <c r="V96" s="1164">
        <f>IF(Z96&gt;0,'3 pr-2'!$AB$10,0)</f>
        <v>0</v>
      </c>
      <c r="W96" s="1104">
        <f>SUM('3 pr-2'!AI96)</f>
        <v>43373</v>
      </c>
      <c r="X96" s="1132">
        <f t="shared" si="56"/>
        <v>43367</v>
      </c>
      <c r="Y96" s="992" t="str">
        <f t="shared" si="82"/>
        <v>–</v>
      </c>
      <c r="Z96" s="1339">
        <f>SUMIF(Projektu_sutarciu_ataskaita!$J$19:$J$600,C96,Projektu_sutarciu_ataskaita!$L$19:$L$600)</f>
        <v>43367</v>
      </c>
      <c r="AA96" s="1249">
        <f t="shared" si="58"/>
        <v>0.2</v>
      </c>
      <c r="AB96" s="384" t="str">
        <f t="shared" si="83"/>
        <v>–</v>
      </c>
    </row>
    <row r="97" spans="1:29" ht="48.75">
      <c r="A97" s="164" t="str">
        <f>CONCATENATE('3 pr-2'!A97)</f>
        <v>1.1.2.4.5</v>
      </c>
      <c r="B97" s="221" t="str">
        <f>CONCATENATE('3 pr-2'!B97)</f>
        <v>R01-5511-120900-1245</v>
      </c>
      <c r="C97" s="993" t="str">
        <f>CONCATENATE('ketv. 2'!B96)</f>
        <v>06.2.1-TID-R-511-11-0007</v>
      </c>
      <c r="D97" s="164" t="str">
        <f>CONCATENATE('3 pr-2'!D97)</f>
        <v>M.K. Čiurlionio gatvės atkarpos Druskininkų m. rekonstrukcija</v>
      </c>
      <c r="E97" s="164" t="str">
        <f>CONCATENATE('3 pr-2'!E97)</f>
        <v xml:space="preserve">Druskininkų savivaldybės administracija  </v>
      </c>
      <c r="F97" s="164" t="str">
        <f>CONCATENATE('3 pr-2'!F97)</f>
        <v>Lietuvos Respublikos susisiekimo ministerija</v>
      </c>
      <c r="G97" s="164" t="str">
        <f>CONCATENATE('3 pr-2'!G97)</f>
        <v>Druskininkų sav.</v>
      </c>
      <c r="H97" s="164" t="str">
        <f>CONCATENATE('3 pr-2'!H97)</f>
        <v>06.2.1-TID-R-511</v>
      </c>
      <c r="I97" s="164" t="str">
        <f>CONCATENATE('3 pr-2'!I97)</f>
        <v>R</v>
      </c>
      <c r="J97" s="164" t="str">
        <f>CONCATENATE('3 pr-2'!J97)</f>
        <v>ITI</v>
      </c>
      <c r="K97" s="1080">
        <f>IF(Z97&gt;0,'3 pr-2'!L97,0)</f>
        <v>1156237</v>
      </c>
      <c r="L97" s="1080">
        <f>IF(Z97&gt;0,'3 pr-2'!O97,0)</f>
        <v>771588</v>
      </c>
      <c r="M97" s="1080">
        <f>IF(Z97&gt;0,'3 pr-2'!R97,0)</f>
        <v>0</v>
      </c>
      <c r="N97" s="1080">
        <f>IF(Z97&gt;0,'3 pr-2'!U97,0)</f>
        <v>0</v>
      </c>
      <c r="O97" s="1080">
        <f>IF(Z97&gt;0,'3 pr-2'!X97,0)</f>
        <v>0</v>
      </c>
      <c r="P97" s="1080">
        <f>IF(Z97&gt;0,'3 pr-2'!AA97,0)</f>
        <v>384649</v>
      </c>
      <c r="Q97" s="1080">
        <f t="shared" si="77"/>
        <v>0</v>
      </c>
      <c r="R97" s="1080">
        <f t="shared" si="78"/>
        <v>0</v>
      </c>
      <c r="S97" s="1080">
        <f t="shared" si="79"/>
        <v>384649</v>
      </c>
      <c r="T97" s="1080">
        <f t="shared" si="80"/>
        <v>0</v>
      </c>
      <c r="U97" s="1080">
        <f t="shared" si="81"/>
        <v>0</v>
      </c>
      <c r="V97" s="1164">
        <f>IF(Z97&gt;0,'3 pr-2'!$AB$10,0)</f>
        <v>0</v>
      </c>
      <c r="W97" s="1104">
        <f>SUM('3 pr-2'!AI97)</f>
        <v>43419</v>
      </c>
      <c r="X97" s="1132">
        <f t="shared" si="56"/>
        <v>43438</v>
      </c>
      <c r="Y97" s="992">
        <f t="shared" si="82"/>
        <v>-0.6333333333333333</v>
      </c>
      <c r="Z97" s="1339">
        <f>SUMIF(Projektu_sutarciu_ataskaita!$J$19:$J$600,C97,Projektu_sutarciu_ataskaita!$L$19:$L$600)</f>
        <v>43438</v>
      </c>
      <c r="AA97" s="1249">
        <f t="shared" si="58"/>
        <v>-0.6333333333333333</v>
      </c>
      <c r="AB97" s="384">
        <f t="shared" si="83"/>
        <v>-0.62465753424657466</v>
      </c>
    </row>
    <row r="98" spans="1:29" ht="48.75">
      <c r="A98" s="164" t="str">
        <f>CONCATENATE('3 pr-2'!A98)</f>
        <v>1.1.2.4.6</v>
      </c>
      <c r="B98" s="221" t="str">
        <f>CONCATENATE('3 pr-2'!B98)</f>
        <v>R01-5511-120000-1246</v>
      </c>
      <c r="C98" s="993" t="str">
        <f>CONCATENATE('ketv. 2'!B97)</f>
        <v>06.2.1-TID-R-511-11-0004</v>
      </c>
      <c r="D98" s="164" t="str">
        <f>CONCATENATE('3 pr-2'!D98)</f>
        <v>Lazdijų miesto Seinų ir Lazdijos gatvių bei vietinės reikšmės kelio nuo Janonio gatvės iki Lazdijų hipodromo rekonstravimas</v>
      </c>
      <c r="E98" s="164" t="str">
        <f>CONCATENATE('3 pr-2'!E98)</f>
        <v>Lazdijų rajono savivaldybės administracija</v>
      </c>
      <c r="F98" s="164" t="str">
        <f>CONCATENATE('3 pr-2'!F98)</f>
        <v>Lietuvos Respublikos susisiekimo ministerija</v>
      </c>
      <c r="G98" s="164" t="str">
        <f>CONCATENATE('3 pr-2'!G98)</f>
        <v>Lazdijų r. sav.</v>
      </c>
      <c r="H98" s="164" t="str">
        <f>CONCATENATE('3 pr-2'!H98)</f>
        <v>06.2.1-TID-R-511</v>
      </c>
      <c r="I98" s="164" t="str">
        <f>CONCATENATE('3 pr-2'!I98)</f>
        <v>R</v>
      </c>
      <c r="J98" s="164" t="str">
        <f>CONCATENATE('3 pr-2'!J98)</f>
        <v>ITI</v>
      </c>
      <c r="K98" s="1080">
        <f>IF(Z98&gt;0,'3 pr-2'!L98,0)</f>
        <v>759934</v>
      </c>
      <c r="L98" s="1080">
        <f>IF(Z98&gt;0,'3 pr-2'!O98,0)</f>
        <v>113990</v>
      </c>
      <c r="M98" s="1080">
        <f>IF(Z98&gt;0,'3 pr-2'!R98,0)</f>
        <v>0</v>
      </c>
      <c r="N98" s="1080">
        <f>IF(Z98&gt;0,'3 pr-2'!U98,0)</f>
        <v>0</v>
      </c>
      <c r="O98" s="1080">
        <f>IF(Z98&gt;0,'3 pr-2'!X98,0)</f>
        <v>0</v>
      </c>
      <c r="P98" s="1080">
        <f>IF(Z98&gt;0,'3 pr-2'!AA98,0)</f>
        <v>645944</v>
      </c>
      <c r="Q98" s="1080">
        <f t="shared" si="77"/>
        <v>0</v>
      </c>
      <c r="R98" s="1080">
        <f t="shared" si="78"/>
        <v>0</v>
      </c>
      <c r="S98" s="1080">
        <f t="shared" si="79"/>
        <v>645944</v>
      </c>
      <c r="T98" s="1080">
        <f t="shared" si="80"/>
        <v>0</v>
      </c>
      <c r="U98" s="1080">
        <f t="shared" si="81"/>
        <v>0</v>
      </c>
      <c r="V98" s="1164">
        <f>IF(Z98&gt;0,'3 pr-2'!$AB$10,0)</f>
        <v>0</v>
      </c>
      <c r="W98" s="1114">
        <f>SUM('3 pr-2'!AI98)</f>
        <v>43217</v>
      </c>
      <c r="X98" s="1328">
        <f t="shared" si="56"/>
        <v>43217</v>
      </c>
      <c r="Y98" s="992">
        <f t="shared" si="82"/>
        <v>0</v>
      </c>
      <c r="Z98" s="1339">
        <f>SUMIF(Projektu_sutarciu_ataskaita!$J$19:$J$600,C98,Projektu_sutarciu_ataskaita!$L$19:$L$600)</f>
        <v>43217</v>
      </c>
      <c r="AA98" s="1249">
        <f t="shared" si="58"/>
        <v>0</v>
      </c>
      <c r="AB98" s="384" t="str">
        <f t="shared" si="83"/>
        <v>–</v>
      </c>
    </row>
    <row r="99" spans="1:29" ht="49.5" thickBot="1">
      <c r="A99" s="164" t="str">
        <f>CONCATENATE('3 pr-2'!A99)</f>
        <v>1.1.2.4.7</v>
      </c>
      <c r="B99" s="221" t="str">
        <f>CONCATENATE('3 pr-2'!B99)</f>
        <v>R01-5511-120000-1247</v>
      </c>
      <c r="C99" s="993" t="str">
        <f>CONCATENATE('ketv. 2'!B98)</f>
        <v>06.2.1-TID-R-511-11-0009</v>
      </c>
      <c r="D99" s="164" t="str">
        <f>CONCATENATE('3 pr-2'!D99)</f>
        <v>Eismo saugumo priemonių diegimas Druskininkų savivaldybėje</v>
      </c>
      <c r="E99" s="164" t="str">
        <f>CONCATENATE('3 pr-2'!E99)</f>
        <v xml:space="preserve">Druskininkų savivaldybės administracija  </v>
      </c>
      <c r="F99" s="164" t="str">
        <f>CONCATENATE('3 pr-2'!F99)</f>
        <v>Lietuvos Respublikos susisiekimo ministerija</v>
      </c>
      <c r="G99" s="164" t="str">
        <f>CONCATENATE('3 pr-2'!G99)</f>
        <v>Druskininkų sav.</v>
      </c>
      <c r="H99" s="164" t="str">
        <f>CONCATENATE('3 pr-2'!H99)</f>
        <v>06.2.1-TID-R-511</v>
      </c>
      <c r="I99" s="164" t="str">
        <f>CONCATENATE('3 pr-2'!I99)</f>
        <v>R</v>
      </c>
      <c r="J99" s="164" t="str">
        <f>CONCATENATE('3 pr-2'!J99)</f>
        <v>-</v>
      </c>
      <c r="K99" s="1080">
        <f>IF(Z99&gt;0,'3 pr-2'!L99,0)</f>
        <v>135352</v>
      </c>
      <c r="L99" s="1080">
        <f>IF(Z99&gt;0,'3 pr-2'!O99,0)</f>
        <v>22363</v>
      </c>
      <c r="M99" s="1080">
        <f>IF(Z99&gt;0,'3 pr-2'!R99,0)</f>
        <v>0</v>
      </c>
      <c r="N99" s="1080">
        <f>IF(Z99&gt;0,'3 pr-2'!U99,0)</f>
        <v>0</v>
      </c>
      <c r="O99" s="1080">
        <f>IF(Z99&gt;0,'3 pr-2'!X99,0)</f>
        <v>0</v>
      </c>
      <c r="P99" s="1080">
        <f>IF(Z99&gt;0,'3 pr-2'!AA99,0)</f>
        <v>112989</v>
      </c>
      <c r="Q99" s="1080">
        <f t="shared" si="77"/>
        <v>0</v>
      </c>
      <c r="R99" s="1080">
        <f t="shared" si="78"/>
        <v>0</v>
      </c>
      <c r="S99" s="1080">
        <f t="shared" si="79"/>
        <v>0</v>
      </c>
      <c r="T99" s="1080">
        <f t="shared" si="80"/>
        <v>112989</v>
      </c>
      <c r="U99" s="1080">
        <f t="shared" si="81"/>
        <v>0</v>
      </c>
      <c r="V99" s="1164">
        <f>IF(Z99&gt;0,'3 pr-2'!$AB$10,0)</f>
        <v>0</v>
      </c>
      <c r="W99" s="1114">
        <f>SUM('3 pr-2'!AI99)</f>
        <v>43585</v>
      </c>
      <c r="X99" s="1114">
        <f t="shared" si="56"/>
        <v>43544</v>
      </c>
      <c r="Y99" s="992" t="str">
        <f t="shared" si="82"/>
        <v>–</v>
      </c>
      <c r="Z99" s="1339">
        <f>SUMIF(Projektu_sutarciu_ataskaita!$J$19:$J$600,C99,Projektu_sutarciu_ataskaita!$L$19:$L$600)</f>
        <v>43544</v>
      </c>
      <c r="AA99" s="1249">
        <f t="shared" si="58"/>
        <v>1.3666666666666667</v>
      </c>
      <c r="AB99" s="384" t="str">
        <f t="shared" ref="AB99" si="84">IF(W99-Z99&lt;0,(W99-Z99)/30.4166666666667,"–")</f>
        <v>–</v>
      </c>
    </row>
    <row r="100" spans="1:29" ht="42.75" customHeight="1" thickBot="1">
      <c r="A100" s="366" t="str">
        <f>CONCATENATE('3 pr-2'!A100)</f>
        <v>2.1.</v>
      </c>
      <c r="B100" s="2092" t="str">
        <f>CONCATENATE('3 pr-2'!B100)</f>
        <v>Tikslas:
GERINTI VIEŠŲJŲ  PASLAUGŲ KOKYBĘ IR PRIEINAMUMĄ</v>
      </c>
      <c r="C100" s="2086"/>
      <c r="D100" s="2086"/>
      <c r="E100" s="2086"/>
      <c r="F100" s="2086"/>
      <c r="G100" s="2086"/>
      <c r="H100" s="2086"/>
      <c r="I100" s="2086"/>
      <c r="J100" s="2087"/>
      <c r="K100" s="1219">
        <f t="shared" ref="K100:P100" si="85">SUM(K101+K120+K147+K160)</f>
        <v>11880625.58</v>
      </c>
      <c r="L100" s="1219">
        <f t="shared" si="85"/>
        <v>1843291.5999999999</v>
      </c>
      <c r="M100" s="1219">
        <f t="shared" si="85"/>
        <v>372853.43999999994</v>
      </c>
      <c r="N100" s="1219">
        <f t="shared" si="85"/>
        <v>24006.98</v>
      </c>
      <c r="O100" s="1219">
        <f t="shared" si="85"/>
        <v>0</v>
      </c>
      <c r="P100" s="1219">
        <f t="shared" si="85"/>
        <v>9640473.5599999987</v>
      </c>
      <c r="Q100" s="1220"/>
      <c r="R100" s="1220"/>
      <c r="S100" s="1220"/>
      <c r="T100" s="1220"/>
      <c r="U100" s="1221"/>
      <c r="V100" s="1219">
        <f t="shared" ref="V100" si="86">SUM(V101+V120+V147+V160)</f>
        <v>0</v>
      </c>
      <c r="W100" s="1156" t="s">
        <v>679</v>
      </c>
      <c r="X100" s="1156" t="str">
        <f t="shared" si="56"/>
        <v> </v>
      </c>
      <c r="Y100" s="1156" t="str">
        <f t="shared" si="61"/>
        <v>–</v>
      </c>
      <c r="Z100" s="1352" t="s">
        <v>679</v>
      </c>
      <c r="AA100" s="1353" t="e">
        <f t="shared" si="58"/>
        <v>#VALUE!</v>
      </c>
      <c r="AB100" s="368"/>
    </row>
    <row r="101" spans="1:29" ht="51.75" customHeight="1" thickBot="1">
      <c r="A101" s="138" t="str">
        <f>CONCATENATE('3 pr-2'!A101)</f>
        <v>2.1.1.</v>
      </c>
      <c r="B101" s="2085" t="str">
        <f>CONCATENATE('3 pr-2'!B101)</f>
        <v xml:space="preserve">Uždavinys:
Bendrojo ugdymo ir neformaliojo švietimo įstaigų (ypač vykdančių ikimokyklinio ir priešmokyklinio ugdymo programas) tinklo veiklos efektyvumo didinimas </v>
      </c>
      <c r="C101" s="2086"/>
      <c r="D101" s="2086"/>
      <c r="E101" s="2086"/>
      <c r="F101" s="2086"/>
      <c r="G101" s="2086"/>
      <c r="H101" s="2086"/>
      <c r="I101" s="2086"/>
      <c r="J101" s="2087"/>
      <c r="K101" s="1200">
        <f>SUM(K102+K108+K114)</f>
        <v>4776867.3599999994</v>
      </c>
      <c r="L101" s="1200">
        <f t="shared" ref="L101:P101" si="87">SUM(L102+L108+L114)</f>
        <v>808633.36</v>
      </c>
      <c r="M101" s="1200">
        <f t="shared" si="87"/>
        <v>201262</v>
      </c>
      <c r="N101" s="1200">
        <f t="shared" si="87"/>
        <v>0</v>
      </c>
      <c r="O101" s="1200">
        <f t="shared" si="87"/>
        <v>0</v>
      </c>
      <c r="P101" s="1200">
        <f t="shared" si="87"/>
        <v>3766972</v>
      </c>
      <c r="Q101" s="1200"/>
      <c r="R101" s="1200"/>
      <c r="S101" s="1200"/>
      <c r="T101" s="1200"/>
      <c r="U101" s="1200"/>
      <c r="V101" s="1200">
        <f t="shared" ref="V101" si="88">SUM(V102+V108+V114)</f>
        <v>0</v>
      </c>
      <c r="W101" s="1107" t="s">
        <v>679</v>
      </c>
      <c r="X101" s="1107" t="str">
        <f t="shared" si="56"/>
        <v> </v>
      </c>
      <c r="Y101" s="1364" t="str">
        <f t="shared" si="61"/>
        <v>–</v>
      </c>
      <c r="Z101" s="1354" t="s">
        <v>679</v>
      </c>
      <c r="AA101" s="1355" t="e">
        <f t="shared" si="58"/>
        <v>#VALUE!</v>
      </c>
      <c r="AB101" s="365"/>
    </row>
    <row r="102" spans="1:29" ht="37.5" customHeight="1" thickBot="1">
      <c r="A102" s="296" t="str">
        <f>CONCATENATE('3 pr-2'!A102)</f>
        <v>2.1.1.1</v>
      </c>
      <c r="B102" s="2088" t="str">
        <f>CONCATENATE('3 pr-2'!B102)</f>
        <v>Priemonė:
Mokyklų tinklo efektyvumo didinimas</v>
      </c>
      <c r="C102" s="2089"/>
      <c r="D102" s="2089"/>
      <c r="E102" s="2089"/>
      <c r="F102" s="2089"/>
      <c r="G102" s="2089"/>
      <c r="H102" s="2089"/>
      <c r="I102" s="2089"/>
      <c r="J102" s="2090"/>
      <c r="K102" s="1077">
        <f>SUM('3 pr-2'!L102)</f>
        <v>1343975.4100000001</v>
      </c>
      <c r="L102" s="1077">
        <f>SUM('3 pr-2'!O102)</f>
        <v>100799.41</v>
      </c>
      <c r="M102" s="1077">
        <f>SUM('3 pr-2'!R102)</f>
        <v>100799</v>
      </c>
      <c r="N102" s="1077">
        <f>SUM('3 pr-2'!U102)</f>
        <v>0</v>
      </c>
      <c r="O102" s="1077">
        <f>SUM('3 pr-2'!X102)</f>
        <v>0</v>
      </c>
      <c r="P102" s="1077">
        <f>SUM('3 pr-2'!AA102)</f>
        <v>1142377</v>
      </c>
      <c r="Q102" s="1209">
        <f>SUM(Q103:Q107)</f>
        <v>0</v>
      </c>
      <c r="R102" s="1210">
        <f t="shared" ref="R102:U102" si="89">SUM(R103:R107)</f>
        <v>139295</v>
      </c>
      <c r="S102" s="1209">
        <f t="shared" si="89"/>
        <v>1003082</v>
      </c>
      <c r="T102" s="1210">
        <f t="shared" si="89"/>
        <v>0</v>
      </c>
      <c r="U102" s="1211">
        <f t="shared" si="89"/>
        <v>0</v>
      </c>
      <c r="V102" s="1077">
        <f>SUM('3 pr-2'!AG102)</f>
        <v>0</v>
      </c>
      <c r="W102" s="1150"/>
      <c r="X102" s="1150" t="str">
        <f t="shared" si="56"/>
        <v>–</v>
      </c>
      <c r="Y102" s="1150" t="str">
        <f t="shared" si="61"/>
        <v>–</v>
      </c>
      <c r="Z102" s="1344"/>
      <c r="AA102" s="1338" t="e">
        <f t="shared" si="58"/>
        <v>#VALUE!</v>
      </c>
      <c r="AB102" s="356"/>
    </row>
    <row r="103" spans="1:29" ht="60.75">
      <c r="A103" s="164" t="str">
        <f>CONCATENATE('3 pr-2'!A103)</f>
        <v>2.1.1.1.1</v>
      </c>
      <c r="B103" s="221" t="str">
        <f>CONCATENATE('3 pr-2'!B103)</f>
        <v>R01-7724-220000-2111</v>
      </c>
      <c r="C103" s="281" t="str">
        <f>CONCATENATE('ketv. 2'!B102)</f>
        <v>09.1.3-CPVA-R-724-11-0003</v>
      </c>
      <c r="D103" s="164" t="str">
        <f>CONCATENATE('3 pr-2'!D103)</f>
        <v>Varėnos r. Merkinės Vinco Krėvės gimnazijos laisvų patalpų pritaikymas ikimokyklinio ir priešmokyklinio ugdymo grupėms įrengti</v>
      </c>
      <c r="E103" s="164" t="str">
        <f>CONCATENATE('3 pr-2'!E103)</f>
        <v>Varėnos rajono savivaldybės administracija</v>
      </c>
      <c r="F103" s="164" t="str">
        <f>CONCATENATE('3 pr-2'!F103)</f>
        <v>Lietuvos Respublikos švietimo ir mokslo ministerija</v>
      </c>
      <c r="G103" s="164" t="str">
        <f>CONCATENATE('3 pr-2'!G103)</f>
        <v>Varėnos r. sav.</v>
      </c>
      <c r="H103" s="164" t="str">
        <f>CONCATENATE('3 pr-2'!H103)</f>
        <v>09.1.3-CPVA-R-724</v>
      </c>
      <c r="I103" s="164" t="str">
        <f>CONCATENATE('3 pr-2'!I103)</f>
        <v>R</v>
      </c>
      <c r="J103" s="164" t="str">
        <f>CONCATENATE('3 pr-2'!J103)</f>
        <v>-</v>
      </c>
      <c r="K103" s="1080">
        <f>IF(Z103&gt;0,'3 pr-2'!L103,0)</f>
        <v>220453</v>
      </c>
      <c r="L103" s="1080">
        <f>IF(Z103&gt;0,'3 pr-2'!O103,0)</f>
        <v>16534</v>
      </c>
      <c r="M103" s="1080">
        <f>IF(Z103&gt;0,'3 pr-2'!R103,0)</f>
        <v>16534</v>
      </c>
      <c r="N103" s="1080">
        <f>IF(Z103&gt;0,'3 pr-2'!U103,0)</f>
        <v>0</v>
      </c>
      <c r="O103" s="1080">
        <f>IF(Z103&gt;0,'3 pr-2'!X103,0)</f>
        <v>0</v>
      </c>
      <c r="P103" s="1080">
        <f>IF(Z103&gt;0,'3 pr-2'!AA103,0)</f>
        <v>187385</v>
      </c>
      <c r="Q103" s="1080">
        <f>IF(YEAR(Z103)=2016,P103,0)</f>
        <v>0</v>
      </c>
      <c r="R103" s="1080">
        <f>IF(YEAR(Z103)=2017,P103,0)</f>
        <v>0</v>
      </c>
      <c r="S103" s="1080">
        <f>IF(YEAR(Z103)=2018,P103,0)</f>
        <v>187385</v>
      </c>
      <c r="T103" s="1080">
        <f>IF(YEAR(Z103)=2019,P103,0)</f>
        <v>0</v>
      </c>
      <c r="U103" s="1080">
        <f>IF(YEAR(Z103)=2020,P103,0)</f>
        <v>0</v>
      </c>
      <c r="V103" s="1164">
        <f>IF(Z103&gt;0,'3 pr-2'!$AB$10,0)</f>
        <v>0</v>
      </c>
      <c r="W103" s="1104">
        <f>SUM('3 pr-2'!AI103)</f>
        <v>43117</v>
      </c>
      <c r="X103" s="1132">
        <f t="shared" si="56"/>
        <v>43117</v>
      </c>
      <c r="Y103" s="992">
        <f t="shared" ref="Y103:Y107" si="90">IF(ISTEXT(X103),"–",IF((W103-X103)/30&gt;0,"–",(W103-X103)/30))</f>
        <v>0</v>
      </c>
      <c r="Z103" s="1339">
        <f>SUMIF(Projektu_sutarciu_ataskaita!J:J,C103,Projektu_sutarciu_ataskaita!L:L)</f>
        <v>43117</v>
      </c>
      <c r="AA103" s="1249">
        <f t="shared" si="58"/>
        <v>0</v>
      </c>
      <c r="AB103" s="384" t="str">
        <f t="shared" ref="AB103:AB107" si="91">IF(W103-Z103&lt;0,(W103-Z103)/30.4166666666667,"–")</f>
        <v>–</v>
      </c>
    </row>
    <row r="104" spans="1:29" ht="60.75">
      <c r="A104" s="164" t="str">
        <f>CONCATENATE('3 pr-2'!A104)</f>
        <v>2.1.1.1.2</v>
      </c>
      <c r="B104" s="221" t="str">
        <f>CONCATENATE('3 pr-2'!B104)</f>
        <v>R01-7724-220000-2112</v>
      </c>
      <c r="C104" s="281" t="str">
        <f>CONCATENATE('ketv. 2'!B103)</f>
        <v>09.1.3-CPVA-R-724-11-0005</v>
      </c>
      <c r="D104" s="164" t="str">
        <f>CONCATENATE('3 pr-2'!D104)</f>
        <v>Alytaus rajono bendrojo ugdymo įstaigų aprūpinimas gamtos, technologijų, menų ir kitų mokslų laboratorijų įranga</v>
      </c>
      <c r="E104" s="164" t="str">
        <f>CONCATENATE('3 pr-2'!E104)</f>
        <v>Alytaus rajono savivaldybės administracija</v>
      </c>
      <c r="F104" s="164" t="str">
        <f>CONCATENATE('3 pr-2'!F104)</f>
        <v>Lietuvos Respublikos švietimo ir mokslo ministerija</v>
      </c>
      <c r="G104" s="164" t="str">
        <f>CONCATENATE('3 pr-2'!G104)</f>
        <v>Alytaus r. sav.</v>
      </c>
      <c r="H104" s="164" t="str">
        <f>CONCATENATE('3 pr-2'!H104)</f>
        <v>09.1.3-CPVA-R-724</v>
      </c>
      <c r="I104" s="164" t="str">
        <f>CONCATENATE('3 pr-2'!I104)</f>
        <v>R</v>
      </c>
      <c r="J104" s="164" t="str">
        <f>CONCATENATE('3 pr-2'!J104)</f>
        <v>-</v>
      </c>
      <c r="K104" s="1080">
        <f>IF(Z104&gt;0,'3 pr-2'!L104,0)</f>
        <v>106845.41</v>
      </c>
      <c r="L104" s="1080">
        <f>IF(Z104&gt;0,'3 pr-2'!O104,0)</f>
        <v>8013.41</v>
      </c>
      <c r="M104" s="1080">
        <f>IF(Z104&gt;0,'3 pr-2'!R104,0)</f>
        <v>8014</v>
      </c>
      <c r="N104" s="1080">
        <f>IF(Z104&gt;0,'3 pr-2'!U104,0)</f>
        <v>0</v>
      </c>
      <c r="O104" s="1080">
        <f>IF(Z104&gt;0,'3 pr-2'!X104,0)</f>
        <v>0</v>
      </c>
      <c r="P104" s="1080">
        <f>IF(Z104&gt;0,'3 pr-2'!AA104,0)</f>
        <v>90818</v>
      </c>
      <c r="Q104" s="1080">
        <f>IF(YEAR(Z104)=2016,P104,0)</f>
        <v>0</v>
      </c>
      <c r="R104" s="1080">
        <f>IF(YEAR(Z104)=2017,P104,0)</f>
        <v>0</v>
      </c>
      <c r="S104" s="1080">
        <f>IF(YEAR(Z104)=2018,P104,0)</f>
        <v>90818</v>
      </c>
      <c r="T104" s="1080">
        <f>IF(YEAR(Z104)=2019,P104,0)</f>
        <v>0</v>
      </c>
      <c r="U104" s="1080">
        <f>IF(YEAR(Z104)=2020,P104,0)</f>
        <v>0</v>
      </c>
      <c r="V104" s="1164">
        <f>IF(Z104&gt;0,'3 pr-2'!$AB$10,0)</f>
        <v>0</v>
      </c>
      <c r="W104" s="1104">
        <f>SUM('3 pr-2'!AI104)</f>
        <v>43112</v>
      </c>
      <c r="X104" s="1132">
        <f t="shared" si="56"/>
        <v>43112</v>
      </c>
      <c r="Y104" s="992">
        <f t="shared" si="90"/>
        <v>0</v>
      </c>
      <c r="Z104" s="1339">
        <f>SUMIF(Projektu_sutarciu_ataskaita!$J$19:$J$600,C104,Projektu_sutarciu_ataskaita!$L$19:$L$600)</f>
        <v>43112</v>
      </c>
      <c r="AA104" s="1249">
        <f t="shared" si="58"/>
        <v>0</v>
      </c>
      <c r="AB104" s="384" t="str">
        <f t="shared" si="91"/>
        <v>–</v>
      </c>
    </row>
    <row r="105" spans="1:29" ht="60.75">
      <c r="A105" s="164" t="str">
        <f>CONCATENATE('3 pr-2'!A105)</f>
        <v>2.1.1.1.3</v>
      </c>
      <c r="B105" s="221" t="str">
        <f>CONCATENATE('3 pr-2'!B105)</f>
        <v>R01-7724-220000-2113</v>
      </c>
      <c r="C105" s="281" t="str">
        <f>CONCATENATE('ketv. 2'!B104)</f>
        <v>09.1.3-CPVA-R-724-11-0002</v>
      </c>
      <c r="D105" s="164" t="str">
        <f>CONCATENATE('3 pr-2'!D105)</f>
        <v>Modernių ir saugių erdvių kūrimas Dzūkijos pagrindinėje mokykloje, Alytuje</v>
      </c>
      <c r="E105" s="164" t="str">
        <f>CONCATENATE('3 pr-2'!E105)</f>
        <v>Alytaus miesto savivaldybės administracija</v>
      </c>
      <c r="F105" s="164" t="str">
        <f>CONCATENATE('3 pr-2'!F105)</f>
        <v>Lietuvos Respublikos švietimo ir mokslo ministerija</v>
      </c>
      <c r="G105" s="164" t="str">
        <f>CONCATENATE('3 pr-2'!G105)</f>
        <v>Alytaus m. sav.</v>
      </c>
      <c r="H105" s="164" t="str">
        <f>CONCATENATE('3 pr-2'!H105)</f>
        <v>09.1.3-CPVA-R-724</v>
      </c>
      <c r="I105" s="164" t="str">
        <f>CONCATENATE('3 pr-2'!I105)</f>
        <v>R</v>
      </c>
      <c r="J105" s="164" t="str">
        <f>CONCATENATE('3 pr-2'!J105)</f>
        <v>-</v>
      </c>
      <c r="K105" s="1080">
        <f>IF(Z105&gt;0,'3 pr-2'!L105,0)</f>
        <v>657021</v>
      </c>
      <c r="L105" s="1080">
        <f>IF(Z105&gt;0,'3 pr-2'!O105,0)</f>
        <v>49277</v>
      </c>
      <c r="M105" s="1080">
        <f>IF(Z105&gt;0,'3 pr-2'!R105,0)</f>
        <v>49277</v>
      </c>
      <c r="N105" s="1080">
        <f>IF(Z105&gt;0,'3 pr-2'!U105,0)</f>
        <v>0</v>
      </c>
      <c r="O105" s="1080">
        <f>IF(Z105&gt;0,'3 pr-2'!X105,0)</f>
        <v>0</v>
      </c>
      <c r="P105" s="1080">
        <f>IF(Z105&gt;0,'3 pr-2'!AA105,0)</f>
        <v>558467</v>
      </c>
      <c r="Q105" s="1080">
        <f>IF(YEAR(Z105)=2016,P105,0)</f>
        <v>0</v>
      </c>
      <c r="R105" s="1080">
        <f>IF(YEAR(Z105)=2017,P105,0)</f>
        <v>0</v>
      </c>
      <c r="S105" s="1080">
        <f>IF(YEAR(Z105)=2018,P105,0)</f>
        <v>558467</v>
      </c>
      <c r="T105" s="1080">
        <f>IF(YEAR(Z105)=2019,P105,0)</f>
        <v>0</v>
      </c>
      <c r="U105" s="1080">
        <f>IF(YEAR(Z105)=2020,P105,0)</f>
        <v>0</v>
      </c>
      <c r="V105" s="1164">
        <f>IF(Z105&gt;0,'3 pr-2'!$AB$10,0)</f>
        <v>0</v>
      </c>
      <c r="W105" s="1104">
        <f>SUM('3 pr-2'!AI105)</f>
        <v>43139</v>
      </c>
      <c r="X105" s="1132">
        <f t="shared" si="56"/>
        <v>43139</v>
      </c>
      <c r="Y105" s="992">
        <f t="shared" si="90"/>
        <v>0</v>
      </c>
      <c r="Z105" s="1339">
        <f>SUMIF(Projektu_sutarciu_ataskaita!$J$19:$J$600,C105,Projektu_sutarciu_ataskaita!$L$19:$L$600)</f>
        <v>43139</v>
      </c>
      <c r="AA105" s="1351">
        <f t="shared" si="58"/>
        <v>0</v>
      </c>
      <c r="AB105" s="384" t="str">
        <f t="shared" si="91"/>
        <v>–</v>
      </c>
    </row>
    <row r="106" spans="1:29" ht="60.75">
      <c r="A106" s="164" t="str">
        <f>CONCATENATE('3 pr-2'!A106)</f>
        <v>2.1.1.1.4</v>
      </c>
      <c r="B106" s="221" t="str">
        <f>CONCATENATE('3 pr-2'!B106)</f>
        <v>R01-7724-220000-2114</v>
      </c>
      <c r="C106" s="281" t="str">
        <f>CONCATENATE('ketv. 2'!B105)</f>
        <v>09.1.3-CPVA-R-724-11-0004</v>
      </c>
      <c r="D106" s="164" t="str">
        <f>CONCATENATE('3 pr-2'!D106)</f>
        <v>Modernių ir saugių erdvių sukūrimas bendrojo ugdymo mokyklose Druskininkų sav.</v>
      </c>
      <c r="E106" s="164" t="str">
        <f>CONCATENATE('3 pr-2'!E106)</f>
        <v>Druskininkų savivaldybės administracija</v>
      </c>
      <c r="F106" s="164" t="str">
        <f>CONCATENATE('3 pr-2'!F106)</f>
        <v>Lietuvos Respublikos švietimo ir mokslo ministerija</v>
      </c>
      <c r="G106" s="164" t="str">
        <f>CONCATENATE('3 pr-2'!G106)</f>
        <v>Druskininkų sav.</v>
      </c>
      <c r="H106" s="164" t="str">
        <f>CONCATENATE('3 pr-2'!H106)</f>
        <v>09.1.3-CPVA-R-724</v>
      </c>
      <c r="I106" s="164" t="str">
        <f>CONCATENATE('3 pr-2'!I106)</f>
        <v>R</v>
      </c>
      <c r="J106" s="164" t="str">
        <f>CONCATENATE('3 pr-2'!J106)</f>
        <v>-</v>
      </c>
      <c r="K106" s="1080">
        <f>IF(Z106&gt;0,'3 pr-2'!L106,0)</f>
        <v>163877</v>
      </c>
      <c r="L106" s="1080">
        <f>IF(Z106&gt;0,'3 pr-2'!O106,0)</f>
        <v>12291</v>
      </c>
      <c r="M106" s="1080">
        <f>IF(Z106&gt;0,'3 pr-2'!R106,0)</f>
        <v>12291</v>
      </c>
      <c r="N106" s="1080">
        <f>IF(Z106&gt;0,'3 pr-2'!U106,0)</f>
        <v>0</v>
      </c>
      <c r="O106" s="1080">
        <f>IF(Z106&gt;0,'3 pr-2'!X106,0)</f>
        <v>0</v>
      </c>
      <c r="P106" s="1080">
        <f>IF(Z106&gt;0,'3 pr-2'!AA106,0)</f>
        <v>139295</v>
      </c>
      <c r="Q106" s="1080">
        <f>IF(YEAR(Z106)=2016,P106,0)</f>
        <v>0</v>
      </c>
      <c r="R106" s="1080">
        <f>IF(YEAR(Z106)=2017,P106,0)</f>
        <v>139295</v>
      </c>
      <c r="S106" s="1080">
        <f>IF(YEAR(Z106)=2018,P106,0)</f>
        <v>0</v>
      </c>
      <c r="T106" s="1080">
        <f>IF(YEAR(Z106)=2019,P106,0)</f>
        <v>0</v>
      </c>
      <c r="U106" s="1080">
        <f>IF(YEAR(Z106)=2020,P106,0)</f>
        <v>0</v>
      </c>
      <c r="V106" s="1164">
        <f>IF(Z106&gt;0,'3 pr-2'!$AB$10,0)</f>
        <v>0</v>
      </c>
      <c r="W106" s="1104">
        <f>SUM('3 pr-2'!AI106)</f>
        <v>43100</v>
      </c>
      <c r="X106" s="1132">
        <f t="shared" si="56"/>
        <v>43098</v>
      </c>
      <c r="Y106" s="992" t="str">
        <f t="shared" si="90"/>
        <v>–</v>
      </c>
      <c r="Z106" s="1339">
        <f>SUMIF(Projektu_sutarciu_ataskaita!$J$19:$J$600,C106,Projektu_sutarciu_ataskaita!$L$19:$L$600)</f>
        <v>43098</v>
      </c>
      <c r="AA106" s="1249">
        <f t="shared" si="58"/>
        <v>6.6666666666666666E-2</v>
      </c>
      <c r="AB106" s="384" t="str">
        <f t="shared" si="91"/>
        <v>–</v>
      </c>
    </row>
    <row r="107" spans="1:29" ht="61.5" thickBot="1">
      <c r="A107" s="164" t="str">
        <f>CONCATENATE('3 pr-2'!A107)</f>
        <v>2.1.1.1.5</v>
      </c>
      <c r="B107" s="221" t="str">
        <f>CONCATENATE('3 pr-2'!B107)</f>
        <v>R01-7724-220000-2115</v>
      </c>
      <c r="C107" s="281" t="str">
        <f>CONCATENATE('ketv. 2'!B106)</f>
        <v>09.1.3-CPVA-R-724-11-0001</v>
      </c>
      <c r="D107" s="164" t="str">
        <f>CONCATENATE('3 pr-2'!D107)</f>
        <v>Modernių ir saugių erdvių sukūrimas bendrojo ugdymo įstaigose Lazdijų rajono savivaldybėje</v>
      </c>
      <c r="E107" s="164" t="str">
        <f>CONCATENATE('3 pr-2'!E107)</f>
        <v>Lazdijų rajono savivaldybės administracija</v>
      </c>
      <c r="F107" s="164" t="str">
        <f>CONCATENATE('3 pr-2'!F107)</f>
        <v>Lietuvos Respublikos švietimo ir mokslo ministerija</v>
      </c>
      <c r="G107" s="164" t="str">
        <f>CONCATENATE('3 pr-2'!G107)</f>
        <v>Lazdijų r. sav.</v>
      </c>
      <c r="H107" s="164" t="str">
        <f>CONCATENATE('3 pr-2'!H107)</f>
        <v>09.1.3-CPVA-R-724</v>
      </c>
      <c r="I107" s="164" t="str">
        <f>CONCATENATE('3 pr-2'!I107)</f>
        <v>R</v>
      </c>
      <c r="J107" s="164" t="str">
        <f>CONCATENATE('3 pr-2'!J107)</f>
        <v>-</v>
      </c>
      <c r="K107" s="1080">
        <f>IF(Z107&gt;0,'3 pr-2'!L107,0)</f>
        <v>195779</v>
      </c>
      <c r="L107" s="1080">
        <f>IF(Z107&gt;0,'3 pr-2'!O107,0)</f>
        <v>14684</v>
      </c>
      <c r="M107" s="1080">
        <f>IF(Z107&gt;0,'3 pr-2'!R107,0)</f>
        <v>14683</v>
      </c>
      <c r="N107" s="1080">
        <f>IF(Z107&gt;0,'3 pr-2'!U107,0)</f>
        <v>0</v>
      </c>
      <c r="O107" s="1080">
        <f>IF(Z107&gt;0,'3 pr-2'!X107,0)</f>
        <v>0</v>
      </c>
      <c r="P107" s="1080">
        <f>IF(Z107&gt;0,'3 pr-2'!AA107,0)</f>
        <v>166412</v>
      </c>
      <c r="Q107" s="1080">
        <f>IF(YEAR(Z107)=2016,P107,0)</f>
        <v>0</v>
      </c>
      <c r="R107" s="1080">
        <f>IF(YEAR(Z107)=2017,P107,0)</f>
        <v>0</v>
      </c>
      <c r="S107" s="1080">
        <f>IF(YEAR(Z107)=2018,P107,0)</f>
        <v>166412</v>
      </c>
      <c r="T107" s="1080">
        <f>IF(YEAR(Z107)=2019,P107,0)</f>
        <v>0</v>
      </c>
      <c r="U107" s="1080">
        <f>IF(YEAR(Z107)=2020,P107,0)</f>
        <v>0</v>
      </c>
      <c r="V107" s="1164">
        <f>IF(Z107&gt;0,'3 pr-2'!$AB$10,0)</f>
        <v>0</v>
      </c>
      <c r="W107" s="1104">
        <f>SUM('3 pr-2'!AI107)</f>
        <v>43150</v>
      </c>
      <c r="X107" s="1132">
        <f t="shared" si="56"/>
        <v>43150</v>
      </c>
      <c r="Y107" s="992">
        <f t="shared" si="90"/>
        <v>0</v>
      </c>
      <c r="Z107" s="1339">
        <f>SUMIF(Projektu_sutarciu_ataskaita!$J$19:$J$600,C107,Projektu_sutarciu_ataskaita!$L$19:$L$600)</f>
        <v>43150</v>
      </c>
      <c r="AA107" s="1249">
        <f t="shared" si="58"/>
        <v>0</v>
      </c>
      <c r="AB107" s="384" t="str">
        <f t="shared" si="91"/>
        <v>–</v>
      </c>
    </row>
    <row r="108" spans="1:29" ht="42.75" customHeight="1" thickBot="1">
      <c r="A108" s="296" t="str">
        <f>CONCATENATE('3 pr-2'!A108)</f>
        <v>2.1.1.2</v>
      </c>
      <c r="B108" s="2088" t="str">
        <f>CONCATENATE('3 pr-2'!B108)</f>
        <v>Priemonė:
Neformaliojo švietimo infrastruktūros tobulinimas</v>
      </c>
      <c r="C108" s="2089"/>
      <c r="D108" s="2089"/>
      <c r="E108" s="2089"/>
      <c r="F108" s="2089"/>
      <c r="G108" s="2089"/>
      <c r="H108" s="2089"/>
      <c r="I108" s="2089"/>
      <c r="J108" s="2090"/>
      <c r="K108" s="1077">
        <f>SUM(K109:K113)</f>
        <v>1973870.18</v>
      </c>
      <c r="L108" s="1077">
        <f t="shared" ref="L108:P108" si="92">SUM(L109:L113)</f>
        <v>487863.18</v>
      </c>
      <c r="M108" s="1077">
        <f t="shared" si="92"/>
        <v>0</v>
      </c>
      <c r="N108" s="1077">
        <f t="shared" si="92"/>
        <v>0</v>
      </c>
      <c r="O108" s="1077">
        <f t="shared" si="92"/>
        <v>0</v>
      </c>
      <c r="P108" s="1077">
        <f t="shared" si="92"/>
        <v>1486007</v>
      </c>
      <c r="Q108" s="1209">
        <f>SUM(Q109:Q113)</f>
        <v>0</v>
      </c>
      <c r="R108" s="1210">
        <f t="shared" ref="R108:V108" si="93">SUM(R109:R113)</f>
        <v>611625</v>
      </c>
      <c r="S108" s="1209">
        <f t="shared" si="93"/>
        <v>874382</v>
      </c>
      <c r="T108" s="1210">
        <f t="shared" si="93"/>
        <v>0</v>
      </c>
      <c r="U108" s="1211">
        <f t="shared" si="93"/>
        <v>0</v>
      </c>
      <c r="V108" s="1077">
        <f t="shared" si="93"/>
        <v>0</v>
      </c>
      <c r="W108" s="1150"/>
      <c r="X108" s="1150" t="str">
        <f t="shared" si="56"/>
        <v>–</v>
      </c>
      <c r="Y108" s="1150" t="str">
        <f t="shared" si="61"/>
        <v>–</v>
      </c>
      <c r="Z108" s="1344"/>
      <c r="AA108" s="1338" t="e">
        <f t="shared" si="58"/>
        <v>#VALUE!</v>
      </c>
      <c r="AB108" s="356"/>
    </row>
    <row r="109" spans="1:29" ht="60.75">
      <c r="A109" s="164" t="str">
        <f>CONCATENATE('3 pr-2'!A109)</f>
        <v>2.1.1.2.1</v>
      </c>
      <c r="B109" s="221" t="str">
        <f>CONCATENATE('3 pr-2'!B109)</f>
        <v>R01-7725-240000-2121</v>
      </c>
      <c r="C109" s="281" t="str">
        <f>CONCATENATE('ketv. 2'!B108)</f>
        <v>09.1.3-CPVA-R-725-11-0003</v>
      </c>
      <c r="D109" s="164" t="str">
        <f>CONCATENATE('3 pr-2'!D109)</f>
        <v>Varėnos moksleivių kūrybos centro pastato J.Basanavičiaus g. 38, Varėnoje, modernizavimas</v>
      </c>
      <c r="E109" s="164" t="str">
        <f>CONCATENATE('3 pr-2'!E109)</f>
        <v>Varėnos rajono savivaldybės administracija</v>
      </c>
      <c r="F109" s="164" t="str">
        <f>CONCATENATE('3 pr-2'!F109)</f>
        <v>Lietuvos Respublikos švietimo ir mokslo ministerija</v>
      </c>
      <c r="G109" s="164" t="str">
        <f>CONCATENATE('3 pr-2'!G109)</f>
        <v>Varėnos r. sav.</v>
      </c>
      <c r="H109" s="164" t="str">
        <f>CONCATENATE('3 pr-2'!H109)</f>
        <v>09.13.CPVA-R-725</v>
      </c>
      <c r="I109" s="164" t="str">
        <f>CONCATENATE('3 pr-2'!I109)</f>
        <v>R</v>
      </c>
      <c r="J109" s="164" t="str">
        <f>CONCATENATE('3 pr-2'!J109)</f>
        <v>-</v>
      </c>
      <c r="K109" s="1080">
        <f>IF(Z109&gt;0,'3 pr-2'!L109,0)</f>
        <v>437551</v>
      </c>
      <c r="L109" s="1080">
        <f>IF(Z109&gt;0,'3 pr-2'!O109,0)</f>
        <v>65633</v>
      </c>
      <c r="M109" s="1080">
        <f>IF(Z109&gt;0,'3 pr-2'!R109,0)</f>
        <v>0</v>
      </c>
      <c r="N109" s="1080">
        <f>IF(Z109&gt;0,'3 pr-2'!U109,0)</f>
        <v>0</v>
      </c>
      <c r="O109" s="1080">
        <f>IF(Z109&gt;0,'3 pr-2'!X109,0)</f>
        <v>0</v>
      </c>
      <c r="P109" s="1080">
        <f>IF(Z109&gt;0,'3 pr-2'!AA109,0)</f>
        <v>371918</v>
      </c>
      <c r="Q109" s="1080">
        <f>IF(YEAR(Z109)=2016,P109,0)</f>
        <v>0</v>
      </c>
      <c r="R109" s="1080">
        <f>IF(YEAR(Z109)=2017,P109,0)</f>
        <v>371918</v>
      </c>
      <c r="S109" s="1080">
        <f>IF(YEAR(Z109)=2018,P109,0)</f>
        <v>0</v>
      </c>
      <c r="T109" s="1080">
        <f>IF(YEAR(Z109)=2019,P109,0)</f>
        <v>0</v>
      </c>
      <c r="U109" s="1080">
        <f>IF(YEAR(Z109)=2020,P109,0)</f>
        <v>0</v>
      </c>
      <c r="V109" s="1164">
        <f>IF(Z109&gt;0,'3 pr-2'!$AB$10,0)</f>
        <v>0</v>
      </c>
      <c r="W109" s="1104">
        <f>SUM('3 pr-2'!AI109)</f>
        <v>43100</v>
      </c>
      <c r="X109" s="1132">
        <f t="shared" si="56"/>
        <v>43097</v>
      </c>
      <c r="Y109" s="992" t="str">
        <f t="shared" ref="Y109:Y113" si="94">IF(ISTEXT(X109),"–",IF((W109-X109)/30&gt;0,"–",(W109-X109)/30))</f>
        <v>–</v>
      </c>
      <c r="Z109" s="1339">
        <f>SUMIF(Projektu_sutarciu_ataskaita!$J$19:$J$600,C109,Projektu_sutarciu_ataskaita!$L$19:$L$600)</f>
        <v>43097</v>
      </c>
      <c r="AA109" s="1249">
        <f t="shared" si="58"/>
        <v>0.1</v>
      </c>
      <c r="AB109" s="384" t="str">
        <f t="shared" ref="AB109:AB113" si="95">IF(W109-Z109&lt;0,(W109-Z109)/30.4166666666667,"–")</f>
        <v>–</v>
      </c>
      <c r="AC109" s="4"/>
    </row>
    <row r="110" spans="1:29" ht="60.75">
      <c r="A110" s="164" t="str">
        <f>CONCATENATE('3 pr-2'!A110)</f>
        <v>2.1.1.2.2</v>
      </c>
      <c r="B110" s="221" t="str">
        <f>CONCATENATE('3 pr-2'!B110)</f>
        <v>R01-7725-240000-2122</v>
      </c>
      <c r="C110" s="281" t="str">
        <f>CONCATENATE('ketv. 2'!B109)</f>
        <v>09.1.3-CPVA-R-725-11-0005</v>
      </c>
      <c r="D110" s="164" t="str">
        <f>CONCATENATE('3 pr-2'!D110)</f>
        <v>Alytaus r. meno ir sporto mokyklos edukacinių erdvių įkūrimas ir atnaujinimas</v>
      </c>
      <c r="E110" s="164" t="str">
        <f>CONCATENATE('3 pr-2'!E110)</f>
        <v>Alytaus rajono savivaldybės administracija</v>
      </c>
      <c r="F110" s="164" t="str">
        <f>CONCATENATE('3 pr-2'!F110)</f>
        <v>Lietuvos Respublikos švietimo ir mokslo ministerija</v>
      </c>
      <c r="G110" s="164" t="str">
        <f>CONCATENATE('3 pr-2'!G110)</f>
        <v>Alytaus r. sav.</v>
      </c>
      <c r="H110" s="164" t="str">
        <f>CONCATENATE('3 pr-2'!H110)</f>
        <v>09.13.CPVA-R-725</v>
      </c>
      <c r="I110" s="164" t="str">
        <f>CONCATENATE('3 pr-2'!I110)</f>
        <v>R</v>
      </c>
      <c r="J110" s="164" t="str">
        <f>CONCATENATE('3 pr-2'!J110)</f>
        <v>-</v>
      </c>
      <c r="K110" s="1080">
        <f>IF(Z110&gt;0,'3 pr-2'!L110,0)</f>
        <v>856424.88</v>
      </c>
      <c r="L110" s="1080">
        <f>IF(Z110&gt;0,'3 pr-2'!O110,0)</f>
        <v>319813.88</v>
      </c>
      <c r="M110" s="1080">
        <f>IF(Z110&gt;0,'3 pr-2'!R110,0)</f>
        <v>0</v>
      </c>
      <c r="N110" s="1080">
        <f>IF(Z110&gt;0,'3 pr-2'!U110,0)</f>
        <v>0</v>
      </c>
      <c r="O110" s="1080">
        <f>IF(Z110&gt;0,'3 pr-2'!X110,0)</f>
        <v>0</v>
      </c>
      <c r="P110" s="1080">
        <f>IF(Z110&gt;0,'3 pr-2'!AA110,0)</f>
        <v>536611</v>
      </c>
      <c r="Q110" s="1080">
        <f>IF(YEAR(Z110)=2016,P110,0)</f>
        <v>0</v>
      </c>
      <c r="R110" s="1080">
        <f>IF(YEAR(Z110)=2017,P110,0)</f>
        <v>0</v>
      </c>
      <c r="S110" s="1080">
        <f>IF(YEAR(Z110)=2018,P110,0)</f>
        <v>536611</v>
      </c>
      <c r="T110" s="1080">
        <f>IF(YEAR(Z110)=2019,P110,0)</f>
        <v>0</v>
      </c>
      <c r="U110" s="1080">
        <f>IF(YEAR(Z110)=2020,P110,0)</f>
        <v>0</v>
      </c>
      <c r="V110" s="1164">
        <f>IF(Z110&gt;0,'3 pr-2'!$AB$10,0)</f>
        <v>0</v>
      </c>
      <c r="W110" s="1104">
        <f>SUM('3 pr-2'!AI110)</f>
        <v>43115</v>
      </c>
      <c r="X110" s="1132">
        <f t="shared" si="56"/>
        <v>43115</v>
      </c>
      <c r="Y110" s="992">
        <f t="shared" si="94"/>
        <v>0</v>
      </c>
      <c r="Z110" s="1339">
        <f>SUMIF(Projektu_sutarciu_ataskaita!$J$19:$J$600,C110,Projektu_sutarciu_ataskaita!$L$19:$L$600)</f>
        <v>43115</v>
      </c>
      <c r="AA110" s="1249">
        <f t="shared" si="58"/>
        <v>0</v>
      </c>
      <c r="AB110" s="384" t="str">
        <f t="shared" si="95"/>
        <v>–</v>
      </c>
    </row>
    <row r="111" spans="1:29" ht="60.75">
      <c r="A111" s="164" t="str">
        <f>CONCATENATE('3 pr-2'!A111)</f>
        <v>2.1.1.2.3</v>
      </c>
      <c r="B111" s="221" t="str">
        <f>CONCATENATE('3 pr-2'!B111)</f>
        <v>R01-7725-240000-2123</v>
      </c>
      <c r="C111" s="281" t="str">
        <f>CONCATENATE('ketv. 2'!B110)</f>
        <v>09.1.3-CPVA-R-725-11-0004</v>
      </c>
      <c r="D111" s="164" t="str">
        <f>CONCATENATE('3 pr-2'!D111)</f>
        <v>Alytaus muzikos mokyklos pastato modernizavimas ir ugdymo aplinkos gerinimas</v>
      </c>
      <c r="E111" s="164" t="str">
        <f>CONCATENATE('3 pr-2'!E111)</f>
        <v>Alytaus miesto savivaldybės administracija</v>
      </c>
      <c r="F111" s="164" t="str">
        <f>CONCATENATE('3 pr-2'!F111)</f>
        <v>Lietuvos Respublikos švietimo ir mokslo ministerija</v>
      </c>
      <c r="G111" s="164" t="str">
        <f>CONCATENATE('3 pr-2'!G111)</f>
        <v>Alytaus m. sav.</v>
      </c>
      <c r="H111" s="164" t="str">
        <f>CONCATENATE('3 pr-2'!H111)</f>
        <v>09.13.CPVA-R-725</v>
      </c>
      <c r="I111" s="164" t="str">
        <f>CONCATENATE('3 pr-2'!I111)</f>
        <v>R</v>
      </c>
      <c r="J111" s="164" t="str">
        <f>CONCATENATE('3 pr-2'!J111)</f>
        <v>-</v>
      </c>
      <c r="K111" s="1080">
        <f>IF(Z111&gt;0,'3 pr-2'!L111,0)</f>
        <v>397378</v>
      </c>
      <c r="L111" s="1080">
        <f>IF(Z111&gt;0,'3 pr-2'!O111,0)</f>
        <v>59607</v>
      </c>
      <c r="M111" s="1080">
        <f>IF(Z111&gt;0,'3 pr-2'!R111,0)</f>
        <v>0</v>
      </c>
      <c r="N111" s="1080">
        <f>IF(Z111&gt;0,'3 pr-2'!U111,0)</f>
        <v>0</v>
      </c>
      <c r="O111" s="1080">
        <f>IF(Z111&gt;0,'3 pr-2'!X111,0)</f>
        <v>0</v>
      </c>
      <c r="P111" s="1080">
        <f>IF(Z111&gt;0,'3 pr-2'!AA111,0)</f>
        <v>337771</v>
      </c>
      <c r="Q111" s="1080">
        <f>IF(YEAR(Z111)=2016,P111,0)</f>
        <v>0</v>
      </c>
      <c r="R111" s="1080">
        <f>IF(YEAR(Z111)=2017,P111,0)</f>
        <v>0</v>
      </c>
      <c r="S111" s="1080">
        <f>IF(YEAR(Z111)=2018,P111,0)</f>
        <v>337771</v>
      </c>
      <c r="T111" s="1080">
        <f>IF(YEAR(Z111)=2019,P111,0)</f>
        <v>0</v>
      </c>
      <c r="U111" s="1080">
        <f>IF(YEAR(Z111)=2020,P111,0)</f>
        <v>0</v>
      </c>
      <c r="V111" s="1164">
        <f>IF(Z111&gt;0,'3 pr-2'!$AB$10,0)</f>
        <v>0</v>
      </c>
      <c r="W111" s="1104">
        <f>SUM('3 pr-2'!AI111)</f>
        <v>43119</v>
      </c>
      <c r="X111" s="1132">
        <f t="shared" si="56"/>
        <v>43119</v>
      </c>
      <c r="Y111" s="992">
        <f t="shared" si="94"/>
        <v>0</v>
      </c>
      <c r="Z111" s="1339">
        <f>SUMIF(Projektu_sutarciu_ataskaita!$J$19:$J$600,C111,Projektu_sutarciu_ataskaita!$L$19:$L$600)</f>
        <v>43119</v>
      </c>
      <c r="AA111" s="1249">
        <f t="shared" si="58"/>
        <v>0</v>
      </c>
      <c r="AB111" s="384" t="str">
        <f t="shared" si="95"/>
        <v>–</v>
      </c>
    </row>
    <row r="112" spans="1:29" ht="60.75">
      <c r="A112" s="164" t="str">
        <f>CONCATENATE('3 pr-2'!A112)</f>
        <v>2.1.1.2.4</v>
      </c>
      <c r="B112" s="221" t="str">
        <f>CONCATENATE('3 pr-2'!B112)</f>
        <v>R01-7725-240000-2124</v>
      </c>
      <c r="C112" s="281" t="str">
        <f>CONCATENATE('ketv. 2'!B111)</f>
        <v>09.1.3-CPVA-R-725-11-0002</v>
      </c>
      <c r="D112" s="164" t="str">
        <f>CONCATENATE('3 pr-2'!D112)</f>
        <v>Druskininkų M. K. Čiurlionio meno mokyklos infrastruktūros tobulinimas</v>
      </c>
      <c r="E112" s="164" t="str">
        <f>CONCATENATE('3 pr-2'!E112)</f>
        <v xml:space="preserve">Druskininkų savivaldybės administracija  </v>
      </c>
      <c r="F112" s="164" t="str">
        <f>CONCATENATE('3 pr-2'!F112)</f>
        <v>Lietuvos Respublikos švietimo ir mokslo ministerija</v>
      </c>
      <c r="G112" s="164" t="str">
        <f>CONCATENATE('3 pr-2'!G112)</f>
        <v>Druskininkų sav.</v>
      </c>
      <c r="H112" s="164" t="str">
        <f>CONCATENATE('3 pr-2'!H112)</f>
        <v>09.13.CPVA-R-725</v>
      </c>
      <c r="I112" s="164" t="str">
        <f>CONCATENATE('3 pr-2'!I112)</f>
        <v>R</v>
      </c>
      <c r="J112" s="164" t="str">
        <f>CONCATENATE('3 pr-2'!J112)</f>
        <v>-</v>
      </c>
      <c r="K112" s="1080">
        <f>IF(Z112&gt;0,'3 pr-2'!L112,0)</f>
        <v>146702.29999999999</v>
      </c>
      <c r="L112" s="1080">
        <f>IF(Z112&gt;0,'3 pr-2'!O112,0)</f>
        <v>22436.3</v>
      </c>
      <c r="M112" s="1080">
        <f>IF(Z112&gt;0,'3 pr-2'!R112,0)</f>
        <v>0</v>
      </c>
      <c r="N112" s="1080">
        <f>IF(Z112&gt;0,'3 pr-2'!U112,0)</f>
        <v>0</v>
      </c>
      <c r="O112" s="1080">
        <f>IF(Z112&gt;0,'3 pr-2'!X112,0)</f>
        <v>0</v>
      </c>
      <c r="P112" s="1080">
        <f>IF(Z112&gt;0,'3 pr-2'!AA112,0)</f>
        <v>124266</v>
      </c>
      <c r="Q112" s="1080">
        <f>IF(YEAR(Z112)=2016,P112,0)</f>
        <v>0</v>
      </c>
      <c r="R112" s="1080">
        <f>IF(YEAR(Z112)=2017,P112,0)</f>
        <v>124266</v>
      </c>
      <c r="S112" s="1080">
        <f>IF(YEAR(Z112)=2018,P112,0)</f>
        <v>0</v>
      </c>
      <c r="T112" s="1080">
        <f>IF(YEAR(Z112)=2019,P112,0)</f>
        <v>0</v>
      </c>
      <c r="U112" s="1080">
        <f>IF(YEAR(Z112)=2020,P112,0)</f>
        <v>0</v>
      </c>
      <c r="V112" s="1164">
        <f>IF(Z112&gt;0,'3 pr-2'!$AB$10,0)</f>
        <v>0</v>
      </c>
      <c r="W112" s="1104">
        <f>SUM('3 pr-2'!AI112)</f>
        <v>43100</v>
      </c>
      <c r="X112" s="1132">
        <f t="shared" si="56"/>
        <v>43097</v>
      </c>
      <c r="Y112" s="992" t="str">
        <f t="shared" si="94"/>
        <v>–</v>
      </c>
      <c r="Z112" s="1339">
        <f>SUMIF(Projektu_sutarciu_ataskaita!$J$19:$J$600,C112,Projektu_sutarciu_ataskaita!$L$19:$L$600)</f>
        <v>43097</v>
      </c>
      <c r="AA112" s="1249">
        <f t="shared" si="58"/>
        <v>0.1</v>
      </c>
      <c r="AB112" s="384" t="str">
        <f t="shared" si="95"/>
        <v>–</v>
      </c>
    </row>
    <row r="113" spans="1:30" ht="61.5" thickBot="1">
      <c r="A113" s="164" t="str">
        <f>CONCATENATE('3 pr-2'!A113)</f>
        <v>2.1.1.2.5</v>
      </c>
      <c r="B113" s="221" t="str">
        <f>CONCATENATE('3 pr-2'!B113)</f>
        <v>R01-7725-240000-2125</v>
      </c>
      <c r="C113" s="281" t="str">
        <f>CONCATENATE('ketv. 2'!B112)</f>
        <v>09.1.3-CPVA-R-725-11-0001</v>
      </c>
      <c r="D113" s="164" t="str">
        <f>CONCATENATE('3 pr-2'!D113)</f>
        <v>Neformaliojo švietimo įstaigų Lazdijų rajono savivaldybėje infrastruktūros tobulinimas</v>
      </c>
      <c r="E113" s="164" t="str">
        <f>CONCATENATE('3 pr-2'!E113)</f>
        <v>VšĮ „Lazdijų sporto centras“</v>
      </c>
      <c r="F113" s="164" t="str">
        <f>CONCATENATE('3 pr-2'!F113)</f>
        <v>Lietuvos Respublikos švietimo ir mokslo ministerija</v>
      </c>
      <c r="G113" s="164" t="str">
        <f>CONCATENATE('3 pr-2'!G113)</f>
        <v>Lazdijų r. sav.</v>
      </c>
      <c r="H113" s="164" t="str">
        <f>CONCATENATE('3 pr-2'!H113)</f>
        <v>09.13.CPVA-R-725</v>
      </c>
      <c r="I113" s="164" t="str">
        <f>CONCATENATE('3 pr-2'!I113)</f>
        <v>R</v>
      </c>
      <c r="J113" s="164" t="str">
        <f>CONCATENATE('3 pr-2'!J113)</f>
        <v>-</v>
      </c>
      <c r="K113" s="1080">
        <f>IF(Z113&gt;0,'3 pr-2'!L113,0)</f>
        <v>135814</v>
      </c>
      <c r="L113" s="1080">
        <f>IF(Z113&gt;0,'3 pr-2'!O113,0)</f>
        <v>20373</v>
      </c>
      <c r="M113" s="1080">
        <f>IF(Z113&gt;0,'3 pr-2'!R113,0)</f>
        <v>0</v>
      </c>
      <c r="N113" s="1080">
        <f>IF(Z113&gt;0,'3 pr-2'!U113,0)</f>
        <v>0</v>
      </c>
      <c r="O113" s="1080">
        <f>IF(Z113&gt;0,'3 pr-2'!X113,0)</f>
        <v>0</v>
      </c>
      <c r="P113" s="1080">
        <f>IF(Z113&gt;0,'3 pr-2'!AA113,0)</f>
        <v>115441</v>
      </c>
      <c r="Q113" s="1080">
        <f>IF(YEAR(Z113)=2016,P113,0)</f>
        <v>0</v>
      </c>
      <c r="R113" s="1080">
        <f>IF(YEAR(Z113)=2017,P113,0)</f>
        <v>115441</v>
      </c>
      <c r="S113" s="1080">
        <f>IF(YEAR(Z113)=2018,P113,0)</f>
        <v>0</v>
      </c>
      <c r="T113" s="1080">
        <f>IF(YEAR(Z113)=2019,P113,0)</f>
        <v>0</v>
      </c>
      <c r="U113" s="1080">
        <f>IF(YEAR(Z113)=2020,P113,0)</f>
        <v>0</v>
      </c>
      <c r="V113" s="1164">
        <f>IF(Z113&gt;0,'3 pr-2'!$AB$10,0)</f>
        <v>0</v>
      </c>
      <c r="W113" s="1104">
        <f>SUM('3 pr-2'!AI113)</f>
        <v>43100</v>
      </c>
      <c r="X113" s="1132">
        <f t="shared" si="56"/>
        <v>43045</v>
      </c>
      <c r="Y113" s="992" t="str">
        <f t="shared" si="94"/>
        <v>–</v>
      </c>
      <c r="Z113" s="1339">
        <f>SUMIF(Projektu_sutarciu_ataskaita!$J$19:$J$600,C113,Projektu_sutarciu_ataskaita!$L$19:$L$600)</f>
        <v>43045</v>
      </c>
      <c r="AA113" s="1249">
        <f t="shared" si="58"/>
        <v>1.8333333333333333</v>
      </c>
      <c r="AB113" s="384" t="str">
        <f t="shared" si="95"/>
        <v>–</v>
      </c>
    </row>
    <row r="114" spans="1:30" ht="36" customHeight="1" thickBot="1">
      <c r="A114" s="296" t="str">
        <f>CONCATENATE('3 pr-2'!A114)</f>
        <v>2.1.1.3</v>
      </c>
      <c r="B114" s="2088" t="str">
        <f>CONCATENATE('3 pr-2'!B114)</f>
        <v>Priemonė:
Ikimokyklinio ir priešmokyklinio ugdymo prieinamumo didinimas</v>
      </c>
      <c r="C114" s="2089"/>
      <c r="D114" s="2089"/>
      <c r="E114" s="2089"/>
      <c r="F114" s="2089"/>
      <c r="G114" s="2089"/>
      <c r="H114" s="2089"/>
      <c r="I114" s="2089"/>
      <c r="J114" s="2090"/>
      <c r="K114" s="1077">
        <f>SUM(K115:K119)</f>
        <v>1459021.7699999998</v>
      </c>
      <c r="L114" s="1077">
        <f t="shared" ref="L114:P114" si="96">SUM(L115:L119)</f>
        <v>219970.77</v>
      </c>
      <c r="M114" s="1077">
        <f t="shared" si="96"/>
        <v>100463</v>
      </c>
      <c r="N114" s="1077">
        <f t="shared" si="96"/>
        <v>0</v>
      </c>
      <c r="O114" s="1077">
        <f t="shared" si="96"/>
        <v>0</v>
      </c>
      <c r="P114" s="1077">
        <f t="shared" si="96"/>
        <v>1138588</v>
      </c>
      <c r="Q114" s="1209">
        <f>SUM(Q115:Q119)</f>
        <v>0</v>
      </c>
      <c r="R114" s="1210">
        <f t="shared" ref="R114:V114" si="97">SUM(R115:R119)</f>
        <v>0</v>
      </c>
      <c r="S114" s="1209">
        <f t="shared" si="97"/>
        <v>1138588</v>
      </c>
      <c r="T114" s="1210">
        <f t="shared" si="97"/>
        <v>0</v>
      </c>
      <c r="U114" s="1211">
        <f t="shared" si="97"/>
        <v>0</v>
      </c>
      <c r="V114" s="1077">
        <f t="shared" si="97"/>
        <v>0</v>
      </c>
      <c r="W114" s="1150"/>
      <c r="X114" s="1150" t="str">
        <f t="shared" si="56"/>
        <v>–</v>
      </c>
      <c r="Y114" s="1150" t="str">
        <f t="shared" si="61"/>
        <v>–</v>
      </c>
      <c r="Z114" s="1344"/>
      <c r="AA114" s="1338" t="e">
        <f t="shared" si="58"/>
        <v>#VALUE!</v>
      </c>
      <c r="AB114" s="356"/>
    </row>
    <row r="115" spans="1:30" ht="60.75">
      <c r="A115" s="164" t="str">
        <f>CONCATENATE('3 pr-2'!A115)</f>
        <v>2.1.1.3.1</v>
      </c>
      <c r="B115" s="221" t="str">
        <f>CONCATENATE('3 pr-2'!B115)</f>
        <v>R01-7705-230000-2131</v>
      </c>
      <c r="C115" s="281" t="str">
        <f>CONCATENATE('ketv. 2'!B114)</f>
        <v>09.1.3-CPVA-R-705-11-0003</v>
      </c>
      <c r="D115" s="164" t="str">
        <f>CONCATENATE('3 pr-2'!D115)</f>
        <v>Varėnos "Pasakos" vaikų lopšelio-darželio pastato modernizavimas</v>
      </c>
      <c r="E115" s="164" t="str">
        <f>CONCATENATE('3 pr-2'!E115)</f>
        <v>Varėnos rajono savivaldybės administracija</v>
      </c>
      <c r="F115" s="164" t="str">
        <f>CONCATENATE('3 pr-2'!F115)</f>
        <v>Lietuvos Respublikos švietimo ir mokslo ministerija</v>
      </c>
      <c r="G115" s="164" t="str">
        <f>CONCATENATE('3 pr-2'!G115)</f>
        <v>Varėnos r. sav.</v>
      </c>
      <c r="H115" s="164" t="str">
        <f>CONCATENATE('3 pr-2'!H115)</f>
        <v>09.1.3-CPVA-R-705</v>
      </c>
      <c r="I115" s="164" t="str">
        <f>CONCATENATE('3 pr-2'!I115)</f>
        <v>R</v>
      </c>
      <c r="J115" s="164" t="str">
        <f>CONCATENATE('3 pr-2'!J115)</f>
        <v>-</v>
      </c>
      <c r="K115" s="1080">
        <f>IF(Z115&gt;0,'3 pr-2'!L115,0)</f>
        <v>370000</v>
      </c>
      <c r="L115" s="1080">
        <f>IF(Z115&gt;0,'3 pr-2'!O115,0)</f>
        <v>57342</v>
      </c>
      <c r="M115" s="1080">
        <f>IF(Z115&gt;0,'3 pr-2'!R115,0)</f>
        <v>25351</v>
      </c>
      <c r="N115" s="1080">
        <f>IF(Z115&gt;0,'3 pr-2'!U115,0)</f>
        <v>0</v>
      </c>
      <c r="O115" s="1080">
        <f>IF(Z115&gt;0,'3 pr-2'!X115,0)</f>
        <v>0</v>
      </c>
      <c r="P115" s="1080">
        <f>IF(Z115&gt;0,'3 pr-2'!AA115,0)</f>
        <v>287307</v>
      </c>
      <c r="Q115" s="1080">
        <f>IF(YEAR(Z115)=2016,P115,0)</f>
        <v>0</v>
      </c>
      <c r="R115" s="1080">
        <f>IF(YEAR(Z115)=2017,P115,0)</f>
        <v>0</v>
      </c>
      <c r="S115" s="1080">
        <f>IF(YEAR(Z115)=2018,P115,0)</f>
        <v>287307</v>
      </c>
      <c r="T115" s="1080">
        <f>IF(YEAR(Z115)=2019,P115,0)</f>
        <v>0</v>
      </c>
      <c r="U115" s="1080">
        <f>IF(YEAR(Z115)=2020,P115,0)</f>
        <v>0</v>
      </c>
      <c r="V115" s="1164">
        <f>IF(Z115&gt;0,'3 pr-2'!$AB$10,0)</f>
        <v>0</v>
      </c>
      <c r="W115" s="1104">
        <f>SUM('3 pr-2'!AI115)</f>
        <v>43179</v>
      </c>
      <c r="X115" s="1132">
        <f t="shared" si="56"/>
        <v>43179</v>
      </c>
      <c r="Y115" s="992">
        <f t="shared" ref="Y115:Y119" si="98">IF(ISTEXT(X115),"–",IF((W115-X115)/30&gt;0,"–",(W115-X115)/30))</f>
        <v>0</v>
      </c>
      <c r="Z115" s="1339">
        <f>SUMIF(Projektu_sutarciu_ataskaita!$J$19:$J$600,C115,Projektu_sutarciu_ataskaita!$L$19:$L$600)</f>
        <v>43179</v>
      </c>
      <c r="AA115" s="1350">
        <f t="shared" si="58"/>
        <v>0</v>
      </c>
      <c r="AB115" s="384" t="str">
        <f t="shared" ref="AB115:AB119" si="99">IF(W115-Z115&lt;0,(W115-Z115)/30.4166666666667,"–")</f>
        <v>–</v>
      </c>
    </row>
    <row r="116" spans="1:30" ht="60.75">
      <c r="A116" s="164" t="str">
        <f>CONCATENATE('3 pr-2'!A116)</f>
        <v>2.1.1.3.2</v>
      </c>
      <c r="B116" s="221" t="str">
        <f>CONCATENATE('3 pr-2'!B116)</f>
        <v>R01-7705-230000-2132</v>
      </c>
      <c r="C116" s="281" t="str">
        <f>CONCATENATE('ketv. 2'!B115)</f>
        <v>09.1.3-CPVA-R-705-11-0004</v>
      </c>
      <c r="D116" s="164" t="str">
        <f>CONCATENATE('3 pr-2'!D116)</f>
        <v>Alytaus r. ikimokyklinio ir priešmokyklinio ugdymo prieinamumo didinimas įkuriant ir atnaujinant edukacines erdves</v>
      </c>
      <c r="E116" s="164" t="str">
        <f>CONCATENATE('3 pr-2'!E116)</f>
        <v>Alytaus rajono savivaldybės administracija</v>
      </c>
      <c r="F116" s="164" t="str">
        <f>CONCATENATE('3 pr-2'!F116)</f>
        <v>Lietuvos Respublikos švietimo ir mokslo ministerija</v>
      </c>
      <c r="G116" s="164" t="str">
        <f>CONCATENATE('3 pr-2'!G116)</f>
        <v>Alytaus r. sav.</v>
      </c>
      <c r="H116" s="164" t="str">
        <f>CONCATENATE('3 pr-2'!H116)</f>
        <v>09.1.3-CPVA-R-705</v>
      </c>
      <c r="I116" s="164" t="str">
        <f>CONCATENATE('3 pr-2'!I116)</f>
        <v>R</v>
      </c>
      <c r="J116" s="164" t="str">
        <f>CONCATENATE('3 pr-2'!J116)</f>
        <v/>
      </c>
      <c r="K116" s="1080">
        <f>IF(Z116&gt;0,'3 pr-2'!L116,0)</f>
        <v>597456.88</v>
      </c>
      <c r="L116" s="1080">
        <f>IF(Z116&gt;0,'3 pr-2'!O116,0)</f>
        <v>59861.88</v>
      </c>
      <c r="M116" s="1080">
        <f>IF(Z116&gt;0,'3 pr-2'!R116,0)</f>
        <v>43588</v>
      </c>
      <c r="N116" s="1080">
        <f>IF(Z116&gt;0,'3 pr-2'!U116,0)</f>
        <v>0</v>
      </c>
      <c r="O116" s="1080">
        <f>IF(Z116&gt;0,'3 pr-2'!X116,0)</f>
        <v>0</v>
      </c>
      <c r="P116" s="1080">
        <f>IF(Z116&gt;0,'3 pr-2'!AA116,0)</f>
        <v>494007</v>
      </c>
      <c r="Q116" s="1080">
        <f>IF(YEAR(Z116)=2016,P116,0)</f>
        <v>0</v>
      </c>
      <c r="R116" s="1080">
        <f>IF(YEAR(Z116)=2017,P116,0)</f>
        <v>0</v>
      </c>
      <c r="S116" s="1080">
        <f>IF(YEAR(Z116)=2018,P116,0)</f>
        <v>494007</v>
      </c>
      <c r="T116" s="1080">
        <f>IF(YEAR(Z116)=2019,P116,0)</f>
        <v>0</v>
      </c>
      <c r="U116" s="1080">
        <f>IF(YEAR(Z116)=2020,P116,0)</f>
        <v>0</v>
      </c>
      <c r="V116" s="1164">
        <f>IF(Z116&gt;0,'3 pr-2'!$AB$10,0)</f>
        <v>0</v>
      </c>
      <c r="W116" s="1104">
        <f>SUM('3 pr-2'!AI116)</f>
        <v>43186</v>
      </c>
      <c r="X116" s="1132">
        <f t="shared" si="56"/>
        <v>43186</v>
      </c>
      <c r="Y116" s="992">
        <f t="shared" si="98"/>
        <v>0</v>
      </c>
      <c r="Z116" s="1339">
        <f>SUMIF(Projektu_sutarciu_ataskaita!$J$19:$J$600,C116,Projektu_sutarciu_ataskaita!$L$19:$L$600)</f>
        <v>43186</v>
      </c>
      <c r="AA116" s="1350">
        <f t="shared" si="58"/>
        <v>0</v>
      </c>
      <c r="AB116" s="384" t="str">
        <f t="shared" si="99"/>
        <v>–</v>
      </c>
    </row>
    <row r="117" spans="1:30" ht="60.75">
      <c r="A117" s="164" t="str">
        <f>CONCATENATE('3 pr-2'!A117)</f>
        <v>2.1.1.3.3</v>
      </c>
      <c r="B117" s="221" t="str">
        <f>CONCATENATE('3 pr-2'!B117)</f>
        <v>R01-7705-230000-2133</v>
      </c>
      <c r="C117" s="281" t="str">
        <f>CONCATENATE('ketv. 2'!B116)</f>
        <v>09.1.3-CPVA-R-705-11-0001</v>
      </c>
      <c r="D117" s="164" t="str">
        <f>CONCATENATE('3 pr-2'!D117)</f>
        <v>Alytaus lopšelio-darželio „Girinukas“ ugdymo aplinkos modernizavimas</v>
      </c>
      <c r="E117" s="164" t="str">
        <f>CONCATENATE('3 pr-2'!E117)</f>
        <v>Alytaus miesto savivaldybės administracija</v>
      </c>
      <c r="F117" s="164" t="str">
        <f>CONCATENATE('3 pr-2'!F117)</f>
        <v>Lietuvos Respublikos švietimo ir mokslo ministerija</v>
      </c>
      <c r="G117" s="164" t="str">
        <f>CONCATENATE('3 pr-2'!G117)</f>
        <v>Alytaus m. sav.</v>
      </c>
      <c r="H117" s="164" t="str">
        <f>CONCATENATE('3 pr-2'!H117)</f>
        <v>09.1.3-CPVA-R-705</v>
      </c>
      <c r="I117" s="164" t="str">
        <f>CONCATENATE('3 pr-2'!I117)</f>
        <v>R</v>
      </c>
      <c r="J117" s="164" t="str">
        <f>CONCATENATE('3 pr-2'!J117)</f>
        <v>-</v>
      </c>
      <c r="K117" s="1080">
        <f>IF(Z117&gt;0,'3 pr-2'!L117,0)</f>
        <v>181986</v>
      </c>
      <c r="L117" s="1080">
        <f>IF(Z117&gt;0,'3 pr-2'!O117,0)</f>
        <v>13649</v>
      </c>
      <c r="M117" s="1080">
        <f>IF(Z117&gt;0,'3 pr-2'!R117,0)</f>
        <v>13649</v>
      </c>
      <c r="N117" s="1080">
        <f>IF(Z117&gt;0,'3 pr-2'!U117,0)</f>
        <v>0</v>
      </c>
      <c r="O117" s="1080">
        <f>IF(Z117&gt;0,'3 pr-2'!X117,0)</f>
        <v>0</v>
      </c>
      <c r="P117" s="1080">
        <f>IF(Z117&gt;0,'3 pr-2'!AA117,0)</f>
        <v>154688</v>
      </c>
      <c r="Q117" s="1080">
        <f>IF(YEAR(Z117)=2016,P117,0)</f>
        <v>0</v>
      </c>
      <c r="R117" s="1080">
        <f>IF(YEAR(Z117)=2017,P117,0)</f>
        <v>0</v>
      </c>
      <c r="S117" s="1080">
        <f>IF(YEAR(Z117)=2018,P117,0)</f>
        <v>154688</v>
      </c>
      <c r="T117" s="1080">
        <f>IF(YEAR(Z117)=2019,P117,0)</f>
        <v>0</v>
      </c>
      <c r="U117" s="1080">
        <f>IF(YEAR(Z117)=2020,P117,0)</f>
        <v>0</v>
      </c>
      <c r="V117" s="1164">
        <f>IF(Z117&gt;0,'3 pr-2'!$AB$10,0)</f>
        <v>0</v>
      </c>
      <c r="W117" s="1104">
        <f>SUM('3 pr-2'!AI117)</f>
        <v>43164</v>
      </c>
      <c r="X117" s="1132">
        <f t="shared" si="56"/>
        <v>43164</v>
      </c>
      <c r="Y117" s="992">
        <f t="shared" si="98"/>
        <v>0</v>
      </c>
      <c r="Z117" s="1339">
        <f>SUMIF(Projektu_sutarciu_ataskaita!$J$19:$J$600,C117,Projektu_sutarciu_ataskaita!$L$19:$L$600)</f>
        <v>43164</v>
      </c>
      <c r="AA117" s="1350">
        <f t="shared" si="58"/>
        <v>0</v>
      </c>
      <c r="AB117" s="384" t="str">
        <f t="shared" si="99"/>
        <v>–</v>
      </c>
    </row>
    <row r="118" spans="1:30" ht="60.75">
      <c r="A118" s="164" t="str">
        <f>CONCATENATE('3 pr-2'!A118)</f>
        <v>2.1.1.3.4</v>
      </c>
      <c r="B118" s="221" t="str">
        <f>CONCATENATE('3 pr-2'!B118)</f>
        <v>R01-7705-230000-2134</v>
      </c>
      <c r="C118" s="281" t="str">
        <f>CONCATENATE('ketv. 2'!B117)</f>
        <v>09.1.3-CPVA-R-705-11-0006</v>
      </c>
      <c r="D118" s="164" t="str">
        <f>CONCATENATE('3 pr-2'!D118)</f>
        <v>Druskininkų sav. Viečiūnų progimnazijos ikimokyklinio ugdymo skyriaus „Linelis“ ugdymo prieinamumo didinimas</v>
      </c>
      <c r="E118" s="164" t="str">
        <f>CONCATENATE('3 pr-2'!E118)</f>
        <v xml:space="preserve">Druskininkų savivaldybės administracija  </v>
      </c>
      <c r="F118" s="164" t="str">
        <f>CONCATENATE('3 pr-2'!F118)</f>
        <v>Lietuvos Respublikos švietimo ir mokslo ministerija</v>
      </c>
      <c r="G118" s="164" t="str">
        <f>CONCATENATE('3 pr-2'!G118)</f>
        <v>Druskininkų sav.</v>
      </c>
      <c r="H118" s="164" t="str">
        <f>CONCATENATE('3 pr-2'!H118)</f>
        <v>09.1.3-CPVA-R-705</v>
      </c>
      <c r="I118" s="164" t="str">
        <f>CONCATENATE('3 pr-2'!I118)</f>
        <v>R</v>
      </c>
      <c r="J118" s="164" t="str">
        <f>CONCATENATE('3 pr-2'!J118)</f>
        <v>-</v>
      </c>
      <c r="K118" s="1080">
        <f>IF(Z118&gt;0,'3 pr-2'!L118,0)</f>
        <v>176024.68</v>
      </c>
      <c r="L118" s="1080">
        <f>IF(Z118&gt;0,'3 pr-2'!O118,0)</f>
        <v>79091.679999999993</v>
      </c>
      <c r="M118" s="1080">
        <f>IF(Z118&gt;0,'3 pr-2'!R118,0)</f>
        <v>7859</v>
      </c>
      <c r="N118" s="1080">
        <f>IF(Z118&gt;0,'3 pr-2'!U118,0)</f>
        <v>0</v>
      </c>
      <c r="O118" s="1080">
        <f>IF(Z118&gt;0,'3 pr-2'!X118,0)</f>
        <v>0</v>
      </c>
      <c r="P118" s="1080">
        <f>IF(Z118&gt;0,'3 pr-2'!AA118,0)</f>
        <v>89074</v>
      </c>
      <c r="Q118" s="1080">
        <f>IF(YEAR(Z118)=2016,P118,0)</f>
        <v>0</v>
      </c>
      <c r="R118" s="1080">
        <f>IF(YEAR(Z118)=2017,P118,0)</f>
        <v>0</v>
      </c>
      <c r="S118" s="1080">
        <f>IF(YEAR(Z118)=2018,P118,0)</f>
        <v>89074</v>
      </c>
      <c r="T118" s="1080">
        <f>IF(YEAR(Z118)=2019,P118,0)</f>
        <v>0</v>
      </c>
      <c r="U118" s="1080">
        <f>IF(YEAR(Z118)=2020,P118,0)</f>
        <v>0</v>
      </c>
      <c r="V118" s="1164">
        <f>IF(Z118&gt;0,'3 pr-2'!$AB$10,0)</f>
        <v>0</v>
      </c>
      <c r="W118" s="1104">
        <f>SUM('3 pr-2'!AI118)</f>
        <v>43252</v>
      </c>
      <c r="X118" s="1132">
        <f t="shared" si="56"/>
        <v>43265</v>
      </c>
      <c r="Y118" s="992">
        <f t="shared" si="98"/>
        <v>-0.43333333333333335</v>
      </c>
      <c r="Z118" s="1339">
        <f>SUMIF(Projektu_sutarciu_ataskaita!$J$19:$J$600,C118,Projektu_sutarciu_ataskaita!$L$19:$L$600)</f>
        <v>43265</v>
      </c>
      <c r="AA118" s="1350">
        <f t="shared" si="58"/>
        <v>-0.43333333333333335</v>
      </c>
      <c r="AB118" s="384">
        <f t="shared" si="99"/>
        <v>-0.42739726027397212</v>
      </c>
    </row>
    <row r="119" spans="1:30" ht="61.5" thickBot="1">
      <c r="A119" s="236" t="str">
        <f>CONCATENATE('3 pr-2'!A119)</f>
        <v>2.1.1.3.5</v>
      </c>
      <c r="B119" s="221" t="str">
        <f>CONCATENATE('3 pr-2'!B119)</f>
        <v>R01-7705-230000-2135</v>
      </c>
      <c r="C119" s="359" t="str">
        <f>CONCATENATE('ketv. 2'!B118)</f>
        <v>09.1.3-CPVA-R-705-11-0002</v>
      </c>
      <c r="D119" s="236" t="str">
        <f>CONCATENATE('3 pr-2'!D119)</f>
        <v>Ikimokyklinio ir priešmokyklinio ugdymo įstaigų Lazdijų rajono savivaldybėje modernizavimas</v>
      </c>
      <c r="E119" s="236" t="str">
        <f>CONCATENATE('3 pr-2'!E119)</f>
        <v>Lazdijų rajono savivaldybės administracija</v>
      </c>
      <c r="F119" s="236" t="str">
        <f>CONCATENATE('3 pr-2'!F119)</f>
        <v>Lietuvos Respublikos švietimo ir mokslo ministerija</v>
      </c>
      <c r="G119" s="236" t="str">
        <f>CONCATENATE('3 pr-2'!G119)</f>
        <v>Lazdijų r. sav.</v>
      </c>
      <c r="H119" s="236" t="str">
        <f>CONCATENATE('3 pr-2'!H119)</f>
        <v>09.1.3-CPVA-R-705</v>
      </c>
      <c r="I119" s="236" t="str">
        <f>CONCATENATE('3 pr-2'!I119)</f>
        <v>R</v>
      </c>
      <c r="J119" s="236" t="str">
        <f>CONCATENATE('3 pr-2'!J119)</f>
        <v>-</v>
      </c>
      <c r="K119" s="1080">
        <f>IF(Z119&gt;0,'3 pr-2'!L119,0)</f>
        <v>133554.21</v>
      </c>
      <c r="L119" s="1080">
        <f>IF(Z119&gt;0,'3 pr-2'!O119,0)</f>
        <v>10026.209999999999</v>
      </c>
      <c r="M119" s="1080">
        <f>IF(Z119&gt;0,'3 pr-2'!R119,0)</f>
        <v>10016</v>
      </c>
      <c r="N119" s="1080">
        <f>IF(Z119&gt;0,'3 pr-2'!U119,0)</f>
        <v>0</v>
      </c>
      <c r="O119" s="1080">
        <f>IF(Z119&gt;0,'3 pr-2'!X119,0)</f>
        <v>0</v>
      </c>
      <c r="P119" s="1080">
        <f>IF(Z119&gt;0,'3 pr-2'!AA119,0)</f>
        <v>113512</v>
      </c>
      <c r="Q119" s="1163">
        <f>IF(YEAR(Z119)=2016,P119,0)</f>
        <v>0</v>
      </c>
      <c r="R119" s="1163">
        <f>IF(YEAR(Z119)=2017,P119,0)</f>
        <v>0</v>
      </c>
      <c r="S119" s="1163">
        <f>IF(YEAR(Z119)=2018,P119,0)</f>
        <v>113512</v>
      </c>
      <c r="T119" s="1163">
        <f>IF(YEAR(Z119)=2019,P119,0)</f>
        <v>0</v>
      </c>
      <c r="U119" s="1163">
        <f>IF(YEAR(Z119)=2020,P119,0)</f>
        <v>0</v>
      </c>
      <c r="V119" s="1164">
        <f>IF(Z119&gt;0,'3 pr-2'!$AB$10,0)</f>
        <v>0</v>
      </c>
      <c r="W119" s="1114">
        <f>SUM('3 pr-2'!AI119)</f>
        <v>43159</v>
      </c>
      <c r="X119" s="1328">
        <f t="shared" si="56"/>
        <v>43193</v>
      </c>
      <c r="Y119" s="992">
        <f t="shared" si="98"/>
        <v>-1.1333333333333333</v>
      </c>
      <c r="Z119" s="1339">
        <f>SUMIF(Projektu_sutarciu_ataskaita!$J$19:$J$600,C119,Projektu_sutarciu_ataskaita!$L$19:$L$600)</f>
        <v>43193</v>
      </c>
      <c r="AA119" s="1356">
        <f t="shared" si="58"/>
        <v>-1.1333333333333333</v>
      </c>
      <c r="AB119" s="384">
        <f t="shared" si="99"/>
        <v>-1.1178082191780809</v>
      </c>
    </row>
    <row r="120" spans="1:30" ht="47.25" customHeight="1" thickBot="1">
      <c r="A120" s="238" t="str">
        <f>CONCATENATE('3 pr-2'!A120)</f>
        <v>2.1.2.</v>
      </c>
      <c r="B120" s="2085" t="str">
        <f>CONCATENATE('3 pr-2'!B120)</f>
        <v>Uždavinys:
Sveikatos netolygumų sumažinimas, gerinant sveikatos priežiūros kokybę ir prieinamumą tikslinėms gyventojų grupėms ir sveiko senėjimo skatinimas</v>
      </c>
      <c r="C120" s="2086"/>
      <c r="D120" s="2086"/>
      <c r="E120" s="2086"/>
      <c r="F120" s="2086"/>
      <c r="G120" s="2086"/>
      <c r="H120" s="2086"/>
      <c r="I120" s="2086"/>
      <c r="J120" s="2087"/>
      <c r="K120" s="1158">
        <f>SUM(K121+K135)</f>
        <v>1995247.5699999998</v>
      </c>
      <c r="L120" s="1158">
        <f t="shared" ref="L120:P120" si="100">SUM(L121+L135)</f>
        <v>125638.07</v>
      </c>
      <c r="M120" s="1158">
        <f t="shared" si="100"/>
        <v>149643.59</v>
      </c>
      <c r="N120" s="1158">
        <f t="shared" si="100"/>
        <v>24006.98</v>
      </c>
      <c r="O120" s="1158">
        <f t="shared" si="100"/>
        <v>0</v>
      </c>
      <c r="P120" s="1158">
        <f t="shared" si="100"/>
        <v>1695958.93</v>
      </c>
      <c r="Q120" s="1158"/>
      <c r="R120" s="1158"/>
      <c r="S120" s="1158"/>
      <c r="T120" s="1158"/>
      <c r="U120" s="1158"/>
      <c r="V120" s="1158">
        <f t="shared" ref="V120" si="101">SUM(V121+V135)</f>
        <v>0</v>
      </c>
      <c r="W120" s="1107"/>
      <c r="X120" s="1362" t="str">
        <f t="shared" si="56"/>
        <v>–</v>
      </c>
      <c r="Y120" s="1364" t="str">
        <f t="shared" si="61"/>
        <v>–</v>
      </c>
      <c r="Z120" s="1357"/>
      <c r="AA120" s="1358" t="e">
        <f t="shared" si="58"/>
        <v>#VALUE!</v>
      </c>
      <c r="AB120" s="365"/>
    </row>
    <row r="121" spans="1:30" ht="38.25" customHeight="1" thickBot="1">
      <c r="A121" s="296" t="str">
        <f>CONCATENATE('3 pr-2'!A121)</f>
        <v>2.1.2.1</v>
      </c>
      <c r="B121" s="2088" t="str">
        <f>CONCATENATE('3 pr-2'!B121)</f>
        <v>Priemonė:
Pirminės asmens ir visuomenės sveikatos priežiūros veiklos efektyvumo didinimas gerinant jų infrastruktūrą</v>
      </c>
      <c r="C121" s="2089"/>
      <c r="D121" s="2089"/>
      <c r="E121" s="2089"/>
      <c r="F121" s="2089"/>
      <c r="G121" s="2089"/>
      <c r="H121" s="2089"/>
      <c r="I121" s="2089"/>
      <c r="J121" s="2090"/>
      <c r="K121" s="1077">
        <f>SUM(K122:K129)</f>
        <v>1000263.03</v>
      </c>
      <c r="L121" s="1077">
        <f t="shared" ref="L121:P121" si="102">SUM(L122:L129)</f>
        <v>51014</v>
      </c>
      <c r="M121" s="1077">
        <f t="shared" si="102"/>
        <v>75019.97</v>
      </c>
      <c r="N121" s="1077">
        <f t="shared" si="102"/>
        <v>24006.98</v>
      </c>
      <c r="O121" s="1077">
        <f t="shared" si="102"/>
        <v>0</v>
      </c>
      <c r="P121" s="1077">
        <f t="shared" si="102"/>
        <v>850222.07999999996</v>
      </c>
      <c r="Q121" s="1209">
        <f>SUM(Q122:Q129)</f>
        <v>0</v>
      </c>
      <c r="R121" s="1210">
        <f t="shared" ref="R121:V121" si="103">SUM(R122:R129)</f>
        <v>0</v>
      </c>
      <c r="S121" s="1209">
        <f t="shared" si="103"/>
        <v>0</v>
      </c>
      <c r="T121" s="1210">
        <f t="shared" si="103"/>
        <v>850222.07999999996</v>
      </c>
      <c r="U121" s="1211">
        <f t="shared" si="103"/>
        <v>0</v>
      </c>
      <c r="V121" s="1077">
        <f t="shared" si="103"/>
        <v>0</v>
      </c>
      <c r="W121" s="1150"/>
      <c r="X121" s="1150" t="str">
        <f t="shared" si="56"/>
        <v>–</v>
      </c>
      <c r="Y121" s="1150" t="str">
        <f t="shared" si="61"/>
        <v>–</v>
      </c>
      <c r="Z121" s="1344"/>
      <c r="AA121" s="1338" t="e">
        <f t="shared" si="58"/>
        <v>#VALUE!</v>
      </c>
      <c r="AB121" s="356"/>
    </row>
    <row r="122" spans="1:30" ht="60.75">
      <c r="A122" s="164" t="str">
        <f>CONCATENATE('3 pr-2'!A122)</f>
        <v>2.1.2.1.1</v>
      </c>
      <c r="B122" s="221" t="str">
        <f>CONCATENATE('3 pr-2'!B122)</f>
        <v>R01-6609-274710-2211</v>
      </c>
      <c r="C122" s="281" t="str">
        <f>CONCATENATE('ketv. 2'!B121)</f>
        <v>08.1.3-CPVA-R-609-11-0002</v>
      </c>
      <c r="D122" s="164" t="str">
        <f>CONCATENATE('3 pr-2'!D122)</f>
        <v>Alytaus poliklinikos teikiamų pirminės sveikatos priežiūros paslaugų prieinamumo didinimas ir kokybės gerinimas</v>
      </c>
      <c r="E122" s="164" t="str">
        <f>CONCATENATE('3 pr-2'!E122)</f>
        <v>VšĮ Alytaus poliklinika</v>
      </c>
      <c r="F122" s="164" t="str">
        <f>CONCATENATE('3 pr-2'!F122)</f>
        <v>Lietuvos Respublikos Sveikatos apsaugos ministerija</v>
      </c>
      <c r="G122" s="164" t="str">
        <f>CONCATENATE('3 pr-2'!G122)</f>
        <v>Alytaus m. sav.</v>
      </c>
      <c r="H122" s="164" t="str">
        <f>CONCATENATE('3 pr-2'!H122)</f>
        <v>08.1.3-CPVA-R-609</v>
      </c>
      <c r="I122" s="164" t="str">
        <f>CONCATENATE('3 pr-2'!I122)</f>
        <v>R</v>
      </c>
      <c r="J122" s="164" t="str">
        <f>CONCATENATE('3 pr-2'!J122)</f>
        <v>-</v>
      </c>
      <c r="K122" s="1080">
        <f>IF(Z122&gt;0,'3 pr-2'!L122,0)</f>
        <v>458183</v>
      </c>
      <c r="L122" s="1080">
        <f>IF(Z122&gt;0,'3 pr-2'!O122,0)</f>
        <v>34364</v>
      </c>
      <c r="M122" s="1080">
        <f>IF(Z122&gt;0,'3 pr-2'!R122,0)</f>
        <v>34363</v>
      </c>
      <c r="N122" s="1080">
        <f>IF(Z122&gt;0,'3 pr-2'!U122,0)</f>
        <v>0</v>
      </c>
      <c r="O122" s="1080">
        <f>IF(Z122&gt;0,'3 pr-2'!X122,0)</f>
        <v>0</v>
      </c>
      <c r="P122" s="1080">
        <f>IF(Z122&gt;0,'3 pr-2'!AA122,0)</f>
        <v>389456</v>
      </c>
      <c r="Q122" s="1080">
        <f t="shared" ref="Q122:Q134" si="104">IF(YEAR(Z122)=2016,P122,0)</f>
        <v>0</v>
      </c>
      <c r="R122" s="1080">
        <f t="shared" ref="R122:R134" si="105">IF(YEAR(Z122)=2017,P122,0)</f>
        <v>0</v>
      </c>
      <c r="S122" s="1080">
        <f t="shared" ref="S122:S134" si="106">IF(YEAR(Z122)=2018,P122,0)</f>
        <v>0</v>
      </c>
      <c r="T122" s="1080">
        <f t="shared" ref="T122:T134" si="107">IF(YEAR(Z122)=2019,P122,0)</f>
        <v>389456</v>
      </c>
      <c r="U122" s="1080">
        <f t="shared" ref="U122:U134" si="108">IF(YEAR(Z122)=2020,P122,0)</f>
        <v>0</v>
      </c>
      <c r="V122" s="1164">
        <f>IF(Z122&gt;0,'3 pr-2'!$AB$10,0)</f>
        <v>0</v>
      </c>
      <c r="W122" s="1104">
        <f>SUM('3 pr-2'!AI122)</f>
        <v>43464</v>
      </c>
      <c r="X122" s="1132">
        <f t="shared" si="56"/>
        <v>43532</v>
      </c>
      <c r="Y122" s="992">
        <f t="shared" ref="Y122:Y134" si="109">IF(ISTEXT(X122),"–",IF((W122-X122)/30&gt;0,"–",(W122-X122)/30))</f>
        <v>-2.2666666666666666</v>
      </c>
      <c r="Z122" s="1339">
        <f>SUMIF(Projektu_sutarciu_ataskaita!$J$19:$J$600,C122,Projektu_sutarciu_ataskaita!$L$19:$L$600)</f>
        <v>43532</v>
      </c>
      <c r="AA122" s="1249">
        <f t="shared" si="58"/>
        <v>-2.2666666666666666</v>
      </c>
      <c r="AB122" s="384">
        <f t="shared" ref="AB122:AB129" si="110">IF(W122-Z122&lt;0,(W122-Z122)/30.4166666666667,"–")</f>
        <v>-2.2356164383561619</v>
      </c>
    </row>
    <row r="123" spans="1:30" ht="84.75">
      <c r="A123" s="164" t="str">
        <f>CONCATENATE('3 pr-2'!A123)</f>
        <v>2.1.2.1.2</v>
      </c>
      <c r="B123" s="221" t="str">
        <f>CONCATENATE('3 pr-2'!B123)</f>
        <v>R01-6609-274710-2212</v>
      </c>
      <c r="C123" s="281" t="str">
        <f>CONCATENATE('ketv. 2'!B122)</f>
        <v>08.1.3-CPVA-R-609-11-0004</v>
      </c>
      <c r="D123" s="164" t="str">
        <f>CONCATENATE('3 pr-2'!D123)</f>
        <v>Sveikatos priežiūros paslaugų modernizavimas bei optimizavimas pirminės sveikatos priežiūros centre</v>
      </c>
      <c r="E123" s="164" t="str">
        <f>CONCATENATE('3 pr-2'!E123)</f>
        <v xml:space="preserve">VšĮ Alytaus miesto savivaldybės pirminės sveikatos priežiūros centras </v>
      </c>
      <c r="F123" s="164" t="str">
        <f>CONCATENATE('3 pr-2'!F123)</f>
        <v>Lietuvos Respublikos Sveikatos apsaugos ministerija</v>
      </c>
      <c r="G123" s="164" t="str">
        <f>CONCATENATE('3 pr-2'!G123)</f>
        <v>Alytaus m. sav.</v>
      </c>
      <c r="H123" s="164" t="str">
        <f>CONCATENATE('3 pr-2'!H123)</f>
        <v>08.1.3-CPVA-R-609</v>
      </c>
      <c r="I123" s="164" t="str">
        <f>CONCATENATE('3 pr-2'!I123)</f>
        <v>R</v>
      </c>
      <c r="J123" s="164" t="str">
        <f>CONCATENATE('3 pr-2'!J123)</f>
        <v>-</v>
      </c>
      <c r="K123" s="1080">
        <f>IF(Z123&gt;0,'3 pr-2'!L123,0)</f>
        <v>50356</v>
      </c>
      <c r="L123" s="1080">
        <f>IF(Z123&gt;0,'3 pr-2'!O123,0)</f>
        <v>3777</v>
      </c>
      <c r="M123" s="1080">
        <f>IF(Z123&gt;0,'3 pr-2'!R123,0)</f>
        <v>3777</v>
      </c>
      <c r="N123" s="1080">
        <f>IF(Z123&gt;0,'3 pr-2'!U123,0)</f>
        <v>0</v>
      </c>
      <c r="O123" s="1080">
        <f>IF(Z123&gt;0,'3 pr-2'!X123,0)</f>
        <v>0</v>
      </c>
      <c r="P123" s="1080">
        <f>IF(Z123&gt;0,'3 pr-2'!AA123,0)</f>
        <v>42802</v>
      </c>
      <c r="Q123" s="1080">
        <f t="shared" si="104"/>
        <v>0</v>
      </c>
      <c r="R123" s="1080">
        <f t="shared" si="105"/>
        <v>0</v>
      </c>
      <c r="S123" s="1080">
        <f t="shared" si="106"/>
        <v>0</v>
      </c>
      <c r="T123" s="1080">
        <f t="shared" si="107"/>
        <v>42802</v>
      </c>
      <c r="U123" s="1080">
        <f t="shared" si="108"/>
        <v>0</v>
      </c>
      <c r="V123" s="1164">
        <f>IF(Z123&gt;0,'3 pr-2'!$AB$10,0)</f>
        <v>0</v>
      </c>
      <c r="W123" s="1104">
        <f>SUM('3 pr-2'!AI123)</f>
        <v>43465</v>
      </c>
      <c r="X123" s="1132">
        <f t="shared" si="56"/>
        <v>43488</v>
      </c>
      <c r="Y123" s="992">
        <f t="shared" si="109"/>
        <v>-0.76666666666666672</v>
      </c>
      <c r="Z123" s="1339">
        <f>SUMIF(Projektu_sutarciu_ataskaita!$J$19:$J$600,C123,Projektu_sutarciu_ataskaita!$L$19:$L$600)</f>
        <v>43488</v>
      </c>
      <c r="AA123" s="1249">
        <f t="shared" si="58"/>
        <v>-0.76666666666666672</v>
      </c>
      <c r="AB123" s="384">
        <f t="shared" si="110"/>
        <v>-0.75616438356164306</v>
      </c>
    </row>
    <row r="124" spans="1:30" ht="60.75">
      <c r="A124" s="164" t="str">
        <f>CONCATENATE('3 pr-2'!A124)</f>
        <v>2.1.2.1.3</v>
      </c>
      <c r="B124" s="221" t="str">
        <f>CONCATENATE('3 pr-2'!B124)</f>
        <v>R01-6609-274700-2213</v>
      </c>
      <c r="C124" s="281" t="str">
        <f>CONCATENATE('ketv. 2'!B123)</f>
        <v>08.1.3-CPVA-R-609-11-0003</v>
      </c>
      <c r="D124" s="164" t="str">
        <f>CONCATENATE('3 pr-2'!D124)</f>
        <v>UAB "MediCA klinika" teikiamų pirminės asmens sveikatos priežiūros paslaugų efektyvumo didinimas Alytaus miesto savivaldybėje</v>
      </c>
      <c r="E124" s="164" t="str">
        <f>CONCATENATE('3 pr-2'!E124)</f>
        <v>UAB „MediCA klinika“</v>
      </c>
      <c r="F124" s="164" t="str">
        <f>CONCATENATE('3 pr-2'!F124)</f>
        <v>Lietuvos Respublikos Sveikatos apsaugos ministerija</v>
      </c>
      <c r="G124" s="164" t="str">
        <f>CONCATENATE('3 pr-2'!G124)</f>
        <v>Alytaus m. sav.</v>
      </c>
      <c r="H124" s="164" t="str">
        <f>CONCATENATE('3 pr-2'!H124)</f>
        <v>08.1.3-CPVA-R-609</v>
      </c>
      <c r="I124" s="164" t="str">
        <f>CONCATENATE('3 pr-2'!I124)</f>
        <v>R</v>
      </c>
      <c r="J124" s="164" t="str">
        <f>CONCATENATE('3 pr-2'!J124)</f>
        <v>-</v>
      </c>
      <c r="K124" s="1080">
        <f>IF(Z124&gt;0,'3 pr-2'!L124,0)</f>
        <v>83468</v>
      </c>
      <c r="L124" s="1080">
        <f>IF(Z124&gt;0,'3 pr-2'!O124,0)</f>
        <v>0</v>
      </c>
      <c r="M124" s="1080">
        <f>IF(Z124&gt;0,'3 pr-2'!R124,0)</f>
        <v>6260</v>
      </c>
      <c r="N124" s="1080">
        <f>IF(Z124&gt;0,'3 pr-2'!U124,0)</f>
        <v>6260</v>
      </c>
      <c r="O124" s="1080">
        <f>IF(Z124&gt;0,'3 pr-2'!X124,0)</f>
        <v>0</v>
      </c>
      <c r="P124" s="1080">
        <f>IF(Z124&gt;0,'3 pr-2'!AA124,0)</f>
        <v>70948</v>
      </c>
      <c r="Q124" s="1080">
        <f t="shared" si="104"/>
        <v>0</v>
      </c>
      <c r="R124" s="1080">
        <f t="shared" si="105"/>
        <v>0</v>
      </c>
      <c r="S124" s="1080">
        <f t="shared" si="106"/>
        <v>0</v>
      </c>
      <c r="T124" s="1080">
        <f t="shared" si="107"/>
        <v>70948</v>
      </c>
      <c r="U124" s="1080">
        <f t="shared" si="108"/>
        <v>0</v>
      </c>
      <c r="V124" s="1164">
        <f>IF(Z124&gt;0,'3 pr-2'!$AB$10,0)</f>
        <v>0</v>
      </c>
      <c r="W124" s="1104">
        <f>SUM('3 pr-2'!AI124)</f>
        <v>43465</v>
      </c>
      <c r="X124" s="1132">
        <f t="shared" si="56"/>
        <v>43490</v>
      </c>
      <c r="Y124" s="992">
        <f t="shared" si="109"/>
        <v>-0.83333333333333337</v>
      </c>
      <c r="Z124" s="1339">
        <f>SUMIF(Projektu_sutarciu_ataskaita!$J$19:$J$600,C124,Projektu_sutarciu_ataskaita!$L$19:$L$600)</f>
        <v>43490</v>
      </c>
      <c r="AA124" s="1249">
        <f t="shared" si="58"/>
        <v>-0.83333333333333337</v>
      </c>
      <c r="AB124" s="384">
        <f t="shared" si="110"/>
        <v>-0.82191780821917715</v>
      </c>
    </row>
    <row r="125" spans="1:30" ht="60.75">
      <c r="A125" s="164" t="str">
        <f>CONCATENATE('3 pr-2'!A125)</f>
        <v>2.1.2.1.4</v>
      </c>
      <c r="B125" s="221" t="str">
        <f>CONCATENATE('3 pr-2'!B125)</f>
        <v>R01-6609-274710-2214</v>
      </c>
      <c r="C125" s="281" t="str">
        <f>CONCATENATE('ketv. 2'!B124)</f>
        <v>08.1.3-CPVA-R-609-11-0005</v>
      </c>
      <c r="D125" s="164" t="str">
        <f>CONCATENATE('3 pr-2'!D125)</f>
        <v>UAB "Pagalba ligoniui" teikiamų paslaugų efektyvumo didinimas</v>
      </c>
      <c r="E125" s="164" t="str">
        <f>CONCATENATE('3 pr-2'!E125)</f>
        <v>UAB „Pagalba ligoniui“, Alytaus filialas</v>
      </c>
      <c r="F125" s="164" t="str">
        <f>CONCATENATE('3 pr-2'!F125)</f>
        <v>Lietuvos Respublikos Sveikatos apsaugos ministerija</v>
      </c>
      <c r="G125" s="164" t="str">
        <f>CONCATENATE('3 pr-2'!G125)</f>
        <v>Alytaus m. sav.</v>
      </c>
      <c r="H125" s="164" t="str">
        <f>CONCATENATE('3 pr-2'!H125)</f>
        <v>08.1.3-CPVA-R-609</v>
      </c>
      <c r="I125" s="164" t="str">
        <f>CONCATENATE('3 pr-2'!I125)</f>
        <v>R</v>
      </c>
      <c r="J125" s="164" t="str">
        <f>CONCATENATE('3 pr-2'!J125)</f>
        <v>-</v>
      </c>
      <c r="K125" s="1080">
        <f>IF(Z125&gt;0,'3 pr-2'!L125,0)</f>
        <v>43413.03</v>
      </c>
      <c r="L125" s="1080">
        <f>IF(Z125&gt;0,'3 pr-2'!O125,0)</f>
        <v>0</v>
      </c>
      <c r="M125" s="1080">
        <f>IF(Z125&gt;0,'3 pr-2'!R125,0)</f>
        <v>3255.97</v>
      </c>
      <c r="N125" s="1080">
        <f>IF(Z125&gt;0,'3 pr-2'!U125,0)</f>
        <v>3255.98</v>
      </c>
      <c r="O125" s="1080">
        <f>IF(Z125&gt;0,'3 pr-2'!X125,0)</f>
        <v>0</v>
      </c>
      <c r="P125" s="1080">
        <f>IF(Z125&gt;0,'3 pr-2'!AA125,0)</f>
        <v>36901.08</v>
      </c>
      <c r="Q125" s="1080">
        <f t="shared" si="104"/>
        <v>0</v>
      </c>
      <c r="R125" s="1080">
        <f t="shared" si="105"/>
        <v>0</v>
      </c>
      <c r="S125" s="1080">
        <f t="shared" si="106"/>
        <v>0</v>
      </c>
      <c r="T125" s="1080">
        <f t="shared" si="107"/>
        <v>36901.08</v>
      </c>
      <c r="U125" s="1080">
        <f t="shared" si="108"/>
        <v>0</v>
      </c>
      <c r="V125" s="1164">
        <f>IF(Z125&gt;0,'3 pr-2'!$AB$10,0)</f>
        <v>0</v>
      </c>
      <c r="W125" s="1104">
        <f>SUM('3 pr-2'!AI125)</f>
        <v>43465</v>
      </c>
      <c r="X125" s="1132">
        <f t="shared" si="56"/>
        <v>43468</v>
      </c>
      <c r="Y125" s="992">
        <f t="shared" si="109"/>
        <v>-0.1</v>
      </c>
      <c r="Z125" s="1339">
        <f>SUMIF(Projektu_sutarciu_ataskaita!$J$19:$J$600,C125,Projektu_sutarciu_ataskaita!$L$19:$L$600)</f>
        <v>43468</v>
      </c>
      <c r="AA125" s="1249">
        <f t="shared" si="58"/>
        <v>-0.1</v>
      </c>
      <c r="AB125" s="384">
        <f t="shared" si="110"/>
        <v>-9.8630136986301256E-2</v>
      </c>
      <c r="AD125" s="1319"/>
    </row>
    <row r="126" spans="1:30" ht="84.75">
      <c r="A126" s="164" t="str">
        <f>CONCATENATE('3 pr-2'!A126)</f>
        <v>2.1.2.1.5</v>
      </c>
      <c r="B126" s="221" t="str">
        <f>CONCATENATE('3 pr-2'!B126)</f>
        <v>R01-6609-274710-2215</v>
      </c>
      <c r="C126" s="281" t="str">
        <f>CONCATENATE('ketv. 2'!B125)</f>
        <v>08.1.3-CPVA-R-609-11-0009</v>
      </c>
      <c r="D126" s="164" t="str">
        <f>CONCATENATE('3 pr-2'!D126)</f>
        <v>Pirminės asmens sveikatos priežiūros veiklos efektyvumo didinimas Alytaus rajono savivaldybėje</v>
      </c>
      <c r="E126" s="164" t="str">
        <f>CONCATENATE('3 pr-2'!E126)</f>
        <v>VšĮ Alytaus rajono savivaldybės pirminės sveikatos priežiūros centras</v>
      </c>
      <c r="F126" s="164" t="str">
        <f>CONCATENATE('3 pr-2'!F126)</f>
        <v>Lietuvos Respublikos Sveikatos apsaugos ministerija</v>
      </c>
      <c r="G126" s="164" t="str">
        <f>CONCATENATE('3 pr-2'!G126)</f>
        <v>Alytaus r. sav.</v>
      </c>
      <c r="H126" s="164" t="str">
        <f>CONCATENATE('3 pr-2'!H126)</f>
        <v>08.1.3-CPVA-R-609</v>
      </c>
      <c r="I126" s="164" t="str">
        <f>CONCATENATE('3 pr-2'!I126)</f>
        <v>R</v>
      </c>
      <c r="J126" s="164" t="str">
        <f>CONCATENATE('3 pr-2'!J126)</f>
        <v>-</v>
      </c>
      <c r="K126" s="1080">
        <f>IF(Z126&gt;0,'3 pr-2'!L126,0)</f>
        <v>171636</v>
      </c>
      <c r="L126" s="1080">
        <f>IF(Z126&gt;0,'3 pr-2'!O126,0)</f>
        <v>12873</v>
      </c>
      <c r="M126" s="1080">
        <f>IF(Z126&gt;0,'3 pr-2'!R126,0)</f>
        <v>12873</v>
      </c>
      <c r="N126" s="1080">
        <f>IF(Z126&gt;0,'3 pr-2'!U126,0)</f>
        <v>0</v>
      </c>
      <c r="O126" s="1080">
        <f>IF(Z126&gt;0,'3 pr-2'!X126,0)</f>
        <v>0</v>
      </c>
      <c r="P126" s="1080">
        <f>IF(Z126&gt;0,'3 pr-2'!AA126,0)</f>
        <v>145890</v>
      </c>
      <c r="Q126" s="1080">
        <f t="shared" si="104"/>
        <v>0</v>
      </c>
      <c r="R126" s="1080">
        <f t="shared" si="105"/>
        <v>0</v>
      </c>
      <c r="S126" s="1080">
        <f t="shared" si="106"/>
        <v>0</v>
      </c>
      <c r="T126" s="1080">
        <f t="shared" si="107"/>
        <v>145890</v>
      </c>
      <c r="U126" s="1080">
        <f t="shared" si="108"/>
        <v>0</v>
      </c>
      <c r="V126" s="1164">
        <f>IF(Z126&gt;0,'3 pr-2'!$AB$10,0)</f>
        <v>0</v>
      </c>
      <c r="W126" s="1104">
        <f>SUM('3 pr-2'!AI126)</f>
        <v>43496</v>
      </c>
      <c r="X126" s="1132">
        <f t="shared" si="56"/>
        <v>43518</v>
      </c>
      <c r="Y126" s="992">
        <f t="shared" si="109"/>
        <v>-0.73333333333333328</v>
      </c>
      <c r="Z126" s="1339">
        <f>SUMIF(Projektu_sutarciu_ataskaita!$J$19:$J$600,C126,Projektu_sutarciu_ataskaita!$L$19:$L$600)</f>
        <v>43518</v>
      </c>
      <c r="AA126" s="1249">
        <f t="shared" si="58"/>
        <v>-0.73333333333333328</v>
      </c>
      <c r="AB126" s="384">
        <f t="shared" si="110"/>
        <v>-0.72328767123287596</v>
      </c>
    </row>
    <row r="127" spans="1:30" ht="60.75">
      <c r="A127" s="164" t="str">
        <f>CONCATENATE('3 pr-2'!A127)</f>
        <v>2.1.2.1.6</v>
      </c>
      <c r="B127" s="221" t="str">
        <f>CONCATENATE('3 pr-2'!B127)</f>
        <v>R01-6609-471000-2216</v>
      </c>
      <c r="C127" s="281" t="str">
        <f>CONCATENATE('ketv. 2'!B126)</f>
        <v>08.1.3-CPVA-R-609-11-0011</v>
      </c>
      <c r="D127" s="164" t="str">
        <f>CONCATENATE('3 pr-2'!D127)</f>
        <v>Sveikatos priežiūros paslaugų gerinimas UAB „Disolis“</v>
      </c>
      <c r="E127" s="164" t="str">
        <f>CONCATENATE('3 pr-2'!E127)</f>
        <v>UAB „Disolis“</v>
      </c>
      <c r="F127" s="164" t="str">
        <f>CONCATENATE('3 pr-2'!F127)</f>
        <v>Lietuvos Respublikos Sveikatos apsaugos ministerija</v>
      </c>
      <c r="G127" s="164" t="str">
        <f>CONCATENATE('3 pr-2'!G127)</f>
        <v>Alytaus r. sav.</v>
      </c>
      <c r="H127" s="164" t="str">
        <f>CONCATENATE('3 pr-2'!H127)</f>
        <v>08.1.3-CPVA-R-609</v>
      </c>
      <c r="I127" s="164" t="str">
        <f>CONCATENATE('3 pr-2'!I127)</f>
        <v>R</v>
      </c>
      <c r="J127" s="164" t="str">
        <f>CONCATENATE('3 pr-2'!J127)</f>
        <v>-</v>
      </c>
      <c r="K127" s="1080">
        <f>IF(Z127&gt;0,'3 pr-2'!L127,0)</f>
        <v>17386</v>
      </c>
      <c r="L127" s="1080">
        <f>IF(Z127&gt;0,'3 pr-2'!O127,0)</f>
        <v>0</v>
      </c>
      <c r="M127" s="1080">
        <f>IF(Z127&gt;0,'3 pr-2'!R127,0)</f>
        <v>1304</v>
      </c>
      <c r="N127" s="1080">
        <f>IF(Z127&gt;0,'3 pr-2'!U127,0)</f>
        <v>1304</v>
      </c>
      <c r="O127" s="1080">
        <f>IF(Z127&gt;0,'3 pr-2'!X127,0)</f>
        <v>0</v>
      </c>
      <c r="P127" s="1080">
        <f>IF(Z127&gt;0,'3 pr-2'!AA127,0)</f>
        <v>14778</v>
      </c>
      <c r="Q127" s="1080">
        <f t="shared" si="104"/>
        <v>0</v>
      </c>
      <c r="R127" s="1080">
        <f t="shared" si="105"/>
        <v>0</v>
      </c>
      <c r="S127" s="1080">
        <f t="shared" si="106"/>
        <v>0</v>
      </c>
      <c r="T127" s="1080">
        <f t="shared" si="107"/>
        <v>14778</v>
      </c>
      <c r="U127" s="1080">
        <f t="shared" si="108"/>
        <v>0</v>
      </c>
      <c r="V127" s="1164">
        <f>IF(Z127&gt;0,'3 pr-2'!$AB$10,0)</f>
        <v>0</v>
      </c>
      <c r="W127" s="1104">
        <f>SUM('3 pr-2'!AI127)</f>
        <v>43495</v>
      </c>
      <c r="X127" s="1132">
        <f t="shared" si="56"/>
        <v>43490</v>
      </c>
      <c r="Y127" s="992" t="str">
        <f t="shared" si="109"/>
        <v>–</v>
      </c>
      <c r="Z127" s="1339">
        <f>SUMIF(Projektu_sutarciu_ataskaita!$J$19:$J$600,C127,Projektu_sutarciu_ataskaita!$L$19:$L$600)</f>
        <v>43490</v>
      </c>
      <c r="AA127" s="1249">
        <f t="shared" si="58"/>
        <v>0.16666666666666666</v>
      </c>
      <c r="AB127" s="384" t="str">
        <f t="shared" si="110"/>
        <v>–</v>
      </c>
    </row>
    <row r="128" spans="1:30" ht="60.75">
      <c r="A128" s="164" t="str">
        <f>CONCATENATE('3 pr-2'!A128)</f>
        <v>2.1.2.1.7</v>
      </c>
      <c r="B128" s="221" t="str">
        <f>CONCATENATE('3 pr-2'!B128)</f>
        <v>R01-6609-274710-2217</v>
      </c>
      <c r="C128" s="281" t="str">
        <f>CONCATENATE('ketv. 2'!B127)</f>
        <v>08.1.3-CPVA-R-609-11-0007</v>
      </c>
      <c r="D128" s="164" t="str">
        <f>CONCATENATE('3 pr-2'!D128)</f>
        <v>Pirminės asmens sveikatos priežiūros kokybės ir prieinamumo gerinimas Druskininkų savivaldybėje</v>
      </c>
      <c r="E128" s="164" t="str">
        <f>CONCATENATE('3 pr-2'!E128)</f>
        <v>VšĮ Druskininkų pirminės sveikatos priežiūros centras</v>
      </c>
      <c r="F128" s="164" t="str">
        <f>CONCATENATE('3 pr-2'!F128)</f>
        <v>Lietuvos Respublikos Sveikatos apsaugos ministerija</v>
      </c>
      <c r="G128" s="164" t="str">
        <f>CONCATENATE('3 pr-2'!G128)</f>
        <v>Druskininkų sav.</v>
      </c>
      <c r="H128" s="164" t="str">
        <f>CONCATENATE('3 pr-2'!H128)</f>
        <v>08.1.3-CPVA-R-609</v>
      </c>
      <c r="I128" s="164" t="str">
        <f>CONCATENATE('3 pr-2'!I128)</f>
        <v>R</v>
      </c>
      <c r="J128" s="164" t="str">
        <f>CONCATENATE('3 pr-2'!J128)</f>
        <v>-</v>
      </c>
      <c r="K128" s="1080">
        <f>IF(Z128&gt;0,'3 pr-2'!L128,0)</f>
        <v>163532</v>
      </c>
      <c r="L128" s="1080">
        <f>IF(Z128&gt;0,'3 pr-2'!O128,0)</f>
        <v>0</v>
      </c>
      <c r="M128" s="1080">
        <f>IF(Z128&gt;0,'3 pr-2'!R128,0)</f>
        <v>12265</v>
      </c>
      <c r="N128" s="1080">
        <f>IF(Z128&gt;0,'3 pr-2'!U128,0)</f>
        <v>12265</v>
      </c>
      <c r="O128" s="1080">
        <f>IF(Z128&gt;0,'3 pr-2'!X128,0)</f>
        <v>0</v>
      </c>
      <c r="P128" s="1080">
        <f>IF(Z128&gt;0,'3 pr-2'!AA128,0)</f>
        <v>139002</v>
      </c>
      <c r="Q128" s="1080">
        <f t="shared" si="104"/>
        <v>0</v>
      </c>
      <c r="R128" s="1080">
        <f t="shared" si="105"/>
        <v>0</v>
      </c>
      <c r="S128" s="1080">
        <f t="shared" si="106"/>
        <v>0</v>
      </c>
      <c r="T128" s="1080">
        <f t="shared" si="107"/>
        <v>139002</v>
      </c>
      <c r="U128" s="1080">
        <f t="shared" si="108"/>
        <v>0</v>
      </c>
      <c r="V128" s="1164">
        <f>IF(Z128&gt;0,'3 pr-2'!$AB$10,0)</f>
        <v>0</v>
      </c>
      <c r="W128" s="1104">
        <f>SUM('3 pr-2'!AI128)</f>
        <v>43465</v>
      </c>
      <c r="X128" s="1132">
        <f t="shared" si="56"/>
        <v>43525</v>
      </c>
      <c r="Y128" s="992">
        <f t="shared" si="109"/>
        <v>-2</v>
      </c>
      <c r="Z128" s="1339">
        <f>SUMIF(Projektu_sutarciu_ataskaita!$J$19:$J$600,C128,Projektu_sutarciu_ataskaita!$L$19:$L$600)</f>
        <v>43525</v>
      </c>
      <c r="AA128" s="1249">
        <f t="shared" si="58"/>
        <v>-2</v>
      </c>
      <c r="AB128" s="384">
        <f t="shared" si="110"/>
        <v>-1.9726027397260253</v>
      </c>
    </row>
    <row r="129" spans="1:30" ht="60.75">
      <c r="A129" s="164" t="str">
        <f>CONCATENATE('3 pr-2'!A129)</f>
        <v>2.1.2.1.8</v>
      </c>
      <c r="B129" s="221" t="str">
        <f>CONCATENATE('3 pr-2'!B129)</f>
        <v>R01-6609-104700-2218</v>
      </c>
      <c r="C129" s="281" t="str">
        <f>CONCATENATE('ketv. 2'!B128)</f>
        <v>08.1.3-CPVA-R-609-11-0006</v>
      </c>
      <c r="D129" s="164" t="str">
        <f>CONCATENATE('3 pr-2'!D129)</f>
        <v>UAB "Druskininkų šeimos klinika" asmens sveikatos priežiūros paslaugų prieinamumo ir efektyvumo didinimas</v>
      </c>
      <c r="E129" s="164" t="str">
        <f>CONCATENATE('3 pr-2'!E129)</f>
        <v>UAB „Druskininkų šeimos klinika“</v>
      </c>
      <c r="F129" s="164" t="str">
        <f>CONCATENATE('3 pr-2'!F129)</f>
        <v>Lietuvos Respublikos Sveikatos apsaugos ministerija</v>
      </c>
      <c r="G129" s="164" t="str">
        <f>CONCATENATE('3 pr-2'!G129)</f>
        <v>Druskininkų sav.</v>
      </c>
      <c r="H129" s="164" t="str">
        <f>CONCATENATE('3 pr-2'!H129)</f>
        <v>08.1.3-CPVA-R-609</v>
      </c>
      <c r="I129" s="164" t="str">
        <f>CONCATENATE('3 pr-2'!I129)</f>
        <v>R</v>
      </c>
      <c r="J129" s="164" t="str">
        <f>CONCATENATE('3 pr-2'!J129)</f>
        <v>-</v>
      </c>
      <c r="K129" s="1080">
        <f>IF(Z129&gt;0,'3 pr-2'!L129,0)</f>
        <v>12289</v>
      </c>
      <c r="L129" s="1080">
        <f>IF(Z129&gt;0,'3 pr-2'!O129,0)</f>
        <v>0</v>
      </c>
      <c r="M129" s="1080">
        <f>IF(Z129&gt;0,'3 pr-2'!R129,0)</f>
        <v>922</v>
      </c>
      <c r="N129" s="1080">
        <f>IF(Z129&gt;0,'3 pr-2'!U129,0)</f>
        <v>922</v>
      </c>
      <c r="O129" s="1080">
        <f>IF(Z129&gt;0,'3 pr-2'!X129,0)</f>
        <v>0</v>
      </c>
      <c r="P129" s="1080">
        <f>IF(Z129&gt;0,'3 pr-2'!AA129,0)</f>
        <v>10445</v>
      </c>
      <c r="Q129" s="1080">
        <f t="shared" si="104"/>
        <v>0</v>
      </c>
      <c r="R129" s="1080">
        <f t="shared" si="105"/>
        <v>0</v>
      </c>
      <c r="S129" s="1080">
        <f t="shared" si="106"/>
        <v>0</v>
      </c>
      <c r="T129" s="1080">
        <f t="shared" si="107"/>
        <v>10445</v>
      </c>
      <c r="U129" s="1080">
        <f t="shared" si="108"/>
        <v>0</v>
      </c>
      <c r="V129" s="1164">
        <f>IF(Z129&gt;0,'3 pr-2'!$AB$10,0)</f>
        <v>0</v>
      </c>
      <c r="W129" s="1104">
        <f>SUM('3 pr-2'!AI129)</f>
        <v>43495</v>
      </c>
      <c r="X129" s="1132">
        <f t="shared" si="56"/>
        <v>43509</v>
      </c>
      <c r="Y129" s="992">
        <f t="shared" si="109"/>
        <v>-0.46666666666666667</v>
      </c>
      <c r="Z129" s="1339">
        <f>SUMIF(Projektu_sutarciu_ataskaita!$J$19:$J$600,C129,Projektu_sutarciu_ataskaita!$L$19:$L$600)</f>
        <v>43509</v>
      </c>
      <c r="AA129" s="1249">
        <f t="shared" si="58"/>
        <v>-0.46666666666666667</v>
      </c>
      <c r="AB129" s="384">
        <f t="shared" si="110"/>
        <v>-0.46027397260273922</v>
      </c>
    </row>
    <row r="130" spans="1:30" ht="60.75">
      <c r="A130" s="164" t="str">
        <f>CONCATENATE('3 pr-2'!A130)</f>
        <v>2.1.2.1.9</v>
      </c>
      <c r="B130" s="221" t="str">
        <f>CONCATENATE('3 pr-2'!B130)</f>
        <v>R01-6609-274710-2219</v>
      </c>
      <c r="C130" s="281" t="str">
        <f>CONCATENATE('ketv. 2'!B129)</f>
        <v>08.1.3-CPVA-R-609-11-0001</v>
      </c>
      <c r="D130" s="164" t="str">
        <f>CONCATENATE('3 pr-2'!D130)</f>
        <v>I. S. Kavaliauskienės įmonės teikiamų pirminės ambulatorinės asmens sveikatos priežiūros paslaugų kokybės ir prieinamumo gerinimas</v>
      </c>
      <c r="E130" s="164" t="str">
        <f>CONCATENATE('3 pr-2'!E130)</f>
        <v>Irenos Stanislavos Kavaliauskienės įmonė</v>
      </c>
      <c r="F130" s="164" t="str">
        <f>CONCATENATE('3 pr-2'!F130)</f>
        <v>Lietuvos Respublikos Sveikatos apsaugos ministerija</v>
      </c>
      <c r="G130" s="164" t="str">
        <f>CONCATENATE('3 pr-2'!G130)</f>
        <v>Druskininkų sav.</v>
      </c>
      <c r="H130" s="164" t="str">
        <f>CONCATENATE('3 pr-2'!H130)</f>
        <v>08.1.3-CPVA-R-609</v>
      </c>
      <c r="I130" s="164" t="str">
        <f>CONCATENATE('3 pr-2'!I130)</f>
        <v>R</v>
      </c>
      <c r="J130" s="164" t="str">
        <f>CONCATENATE('3 pr-2'!J130)</f>
        <v>-</v>
      </c>
      <c r="K130" s="1080">
        <f>IF(Z130&gt;0,'3 pr-2'!L130,0)</f>
        <v>25517</v>
      </c>
      <c r="L130" s="1080">
        <f>IF(Z130&gt;0,'3 pr-2'!O130,0)</f>
        <v>0</v>
      </c>
      <c r="M130" s="1080">
        <f>IF(Z130&gt;0,'3 pr-2'!R130,0)</f>
        <v>1913.55</v>
      </c>
      <c r="N130" s="1080">
        <f>IF(Z130&gt;0,'3 pr-2'!U130,0)</f>
        <v>1914</v>
      </c>
      <c r="O130" s="1080">
        <f>IF(Z130&gt;0,'3 pr-2'!X130,0)</f>
        <v>0</v>
      </c>
      <c r="P130" s="1080">
        <f>IF(Z130&gt;0,'3 pr-2'!AA130,0)</f>
        <v>21689.45</v>
      </c>
      <c r="Q130" s="1080">
        <f t="shared" si="104"/>
        <v>0</v>
      </c>
      <c r="R130" s="1080">
        <f t="shared" si="105"/>
        <v>0</v>
      </c>
      <c r="S130" s="1080">
        <f t="shared" si="106"/>
        <v>21689.45</v>
      </c>
      <c r="T130" s="1080">
        <f t="shared" si="107"/>
        <v>0</v>
      </c>
      <c r="U130" s="1080">
        <f t="shared" si="108"/>
        <v>0</v>
      </c>
      <c r="V130" s="1164">
        <f>IF(Z130&gt;0,'3 pr-2'!$AB$10,0)</f>
        <v>0</v>
      </c>
      <c r="W130" s="1104">
        <f>SUM('3 pr-2'!AI130)</f>
        <v>43464</v>
      </c>
      <c r="X130" s="1132">
        <f t="shared" si="56"/>
        <v>43461</v>
      </c>
      <c r="Y130" s="992" t="str">
        <f t="shared" si="109"/>
        <v>–</v>
      </c>
      <c r="Z130" s="1339">
        <f>SUMIF(Projektu_sutarciu_ataskaita!$J$19:$J$600,C130,Projektu_sutarciu_ataskaita!$L$19:$L$600)</f>
        <v>43461</v>
      </c>
      <c r="AA130" s="1249">
        <f t="shared" si="58"/>
        <v>0.1</v>
      </c>
      <c r="AB130" s="384" t="str">
        <f t="shared" ref="AB130:AB133" si="111">IF(W130-Z130&lt;0,(W130-Z130)/30.4166666666667,"–")</f>
        <v>–</v>
      </c>
      <c r="AD130" s="1319"/>
    </row>
    <row r="131" spans="1:30" ht="60.75">
      <c r="A131" s="164" t="str">
        <f>CONCATENATE('3 pr-2'!A131)</f>
        <v>2.1.2.1.10</v>
      </c>
      <c r="B131" s="221" t="str">
        <f>CONCATENATE('3 pr-2'!B131)</f>
        <v>R01-6609-274710-2220</v>
      </c>
      <c r="C131" s="281" t="str">
        <f>CONCATENATE('ketv. 2'!B130)</f>
        <v>08.1.3-CPVA-R-609-11-0008</v>
      </c>
      <c r="D131" s="164" t="str">
        <f>CONCATENATE('3 pr-2'!D131)</f>
        <v>Pirminės ambulatorinės asmens sveikatos priežiūros efektyvumo didinimas R. Ambrazaitienės ir L. Puzinovienės šeimos gydytojų kabinetuose</v>
      </c>
      <c r="E131" s="164" t="str">
        <f>CONCATENATE('3 pr-2'!E131)</f>
        <v>UAB „Rasos Ambrazaitienės šeimos gydytojo kabinetas“</v>
      </c>
      <c r="F131" s="164" t="str">
        <f>CONCATENATE('3 pr-2'!F131)</f>
        <v>Lietuvos Respublikos Sveikatos apsaugos ministerija</v>
      </c>
      <c r="G131" s="164" t="str">
        <f>CONCATENATE('3 pr-2'!G131)</f>
        <v>Druskininkų sav.</v>
      </c>
      <c r="H131" s="164" t="str">
        <f>CONCATENATE('3 pr-2'!H131)</f>
        <v>08.1.3-CPVA-R-609</v>
      </c>
      <c r="I131" s="164" t="str">
        <f>CONCATENATE('3 pr-2'!I131)</f>
        <v>R</v>
      </c>
      <c r="J131" s="164" t="str">
        <f>CONCATENATE('3 pr-2'!J131)</f>
        <v>-</v>
      </c>
      <c r="K131" s="1080">
        <f>IF(Z131&gt;0,'3 pr-2'!L131,0)</f>
        <v>27906</v>
      </c>
      <c r="L131" s="1080">
        <f>IF(Z131&gt;0,'3 pr-2'!O131,0)</f>
        <v>0</v>
      </c>
      <c r="M131" s="1080">
        <f>IF(Z131&gt;0,'3 pr-2'!R131,0)</f>
        <v>2093</v>
      </c>
      <c r="N131" s="1080">
        <f>IF(Z131&gt;0,'3 pr-2'!U131,0)</f>
        <v>2093</v>
      </c>
      <c r="O131" s="1080">
        <f>IF(Z131&gt;0,'3 pr-2'!X131,0)</f>
        <v>0</v>
      </c>
      <c r="P131" s="1080">
        <f>IF(Z131&gt;0,'3 pr-2'!AA131,0)</f>
        <v>23720</v>
      </c>
      <c r="Q131" s="1080">
        <f t="shared" si="104"/>
        <v>0</v>
      </c>
      <c r="R131" s="1080">
        <f t="shared" si="105"/>
        <v>0</v>
      </c>
      <c r="S131" s="1080">
        <f t="shared" si="106"/>
        <v>0</v>
      </c>
      <c r="T131" s="1080">
        <f t="shared" si="107"/>
        <v>23720</v>
      </c>
      <c r="U131" s="1080">
        <f t="shared" si="108"/>
        <v>0</v>
      </c>
      <c r="V131" s="1164">
        <f>IF(Z131&gt;0,'3 pr-2'!$AB$10,0)</f>
        <v>0</v>
      </c>
      <c r="W131" s="1104">
        <f>SUM('3 pr-2'!AI131)</f>
        <v>43495</v>
      </c>
      <c r="X131" s="1132">
        <f t="shared" si="56"/>
        <v>43488</v>
      </c>
      <c r="Y131" s="992" t="str">
        <f t="shared" si="109"/>
        <v>–</v>
      </c>
      <c r="Z131" s="1339">
        <f>SUMIF(Projektu_sutarciu_ataskaita!$J$19:$J$600,C131,Projektu_sutarciu_ataskaita!$L$19:$L$600)</f>
        <v>43488</v>
      </c>
      <c r="AA131" s="1249">
        <f t="shared" si="58"/>
        <v>0.23333333333333334</v>
      </c>
      <c r="AB131" s="384" t="str">
        <f t="shared" si="111"/>
        <v>–</v>
      </c>
    </row>
    <row r="132" spans="1:30" ht="60.75">
      <c r="A132" s="164" t="str">
        <f>CONCATENATE('3 pr-2'!A132)</f>
        <v>2.1.2.1.11</v>
      </c>
      <c r="B132" s="221" t="str">
        <f>CONCATENATE('3 pr-2'!B132)</f>
        <v>R01-6609-274700-2221</v>
      </c>
      <c r="C132" s="281" t="str">
        <f>CONCATENATE('ketv. 2'!B131)</f>
        <v>08.1.3-CPVA-R-609-11-0010</v>
      </c>
      <c r="D132" s="164" t="str">
        <f>CONCATENATE('3 pr-2'!D132)</f>
        <v>Pirminės asmens sveikatos priežiūros veiklos efektyvumo didinimas Lazdijų rajono savivaldybėje</v>
      </c>
      <c r="E132" s="164" t="str">
        <f>CONCATENATE('3 pr-2'!E132)</f>
        <v>Lazdijų rajono savivaldybės administracija</v>
      </c>
      <c r="F132" s="164" t="str">
        <f>CONCATENATE('3 pr-2'!F132)</f>
        <v>Lietuvos Respublikos Sveikatos apsaugos ministerija</v>
      </c>
      <c r="G132" s="164" t="str">
        <f>CONCATENATE('3 pr-2'!G132)</f>
        <v>Lazdijų r. sav.</v>
      </c>
      <c r="H132" s="164" t="str">
        <f>CONCATENATE('3 pr-2'!H132)</f>
        <v>08.1.3-CPVA-R-609</v>
      </c>
      <c r="I132" s="164" t="str">
        <f>CONCATENATE('3 pr-2'!I132)</f>
        <v>R</v>
      </c>
      <c r="J132" s="164" t="str">
        <f>CONCATENATE('3 pr-2'!J132)</f>
        <v>-</v>
      </c>
      <c r="K132" s="1080">
        <f>IF(Z132&gt;0,'3 pr-2'!L132,0)</f>
        <v>192719</v>
      </c>
      <c r="L132" s="1080">
        <f>IF(Z132&gt;0,'3 pr-2'!O132,0)</f>
        <v>2983</v>
      </c>
      <c r="M132" s="1080">
        <f>IF(Z132&gt;0,'3 pr-2'!R132,0)</f>
        <v>14454</v>
      </c>
      <c r="N132" s="1080">
        <f>IF(Z132&gt;0,'3 pr-2'!U132,0)</f>
        <v>11471</v>
      </c>
      <c r="O132" s="1080">
        <f>IF(Z132&gt;0,'3 pr-2'!X132,0)</f>
        <v>0</v>
      </c>
      <c r="P132" s="1080">
        <f>IF(Z132&gt;0,'3 pr-2'!AA132,0)</f>
        <v>163811</v>
      </c>
      <c r="Q132" s="1080">
        <f t="shared" si="104"/>
        <v>0</v>
      </c>
      <c r="R132" s="1080">
        <f t="shared" si="105"/>
        <v>0</v>
      </c>
      <c r="S132" s="1080">
        <f t="shared" si="106"/>
        <v>0</v>
      </c>
      <c r="T132" s="1080">
        <f t="shared" si="107"/>
        <v>163811</v>
      </c>
      <c r="U132" s="1080">
        <f t="shared" si="108"/>
        <v>0</v>
      </c>
      <c r="V132" s="1164">
        <f>IF(Z132&gt;0,'3 pr-2'!$AB$10,0)</f>
        <v>0</v>
      </c>
      <c r="W132" s="1104">
        <f>SUM('3 pr-2'!AI132)</f>
        <v>43496</v>
      </c>
      <c r="X132" s="1132">
        <f t="shared" si="56"/>
        <v>43515</v>
      </c>
      <c r="Y132" s="992">
        <f t="shared" si="109"/>
        <v>-0.6333333333333333</v>
      </c>
      <c r="Z132" s="1339">
        <f>SUMIF(Projektu_sutarciu_ataskaita!$J$19:$J$600,C132,Projektu_sutarciu_ataskaita!$L$19:$L$600)</f>
        <v>43515</v>
      </c>
      <c r="AA132" s="1249">
        <f t="shared" si="58"/>
        <v>-0.6333333333333333</v>
      </c>
      <c r="AB132" s="384">
        <f t="shared" si="111"/>
        <v>-0.62465753424657466</v>
      </c>
    </row>
    <row r="133" spans="1:30" ht="60.75">
      <c r="A133" s="164" t="str">
        <f>CONCATENATE('3 pr-2'!A133)</f>
        <v>2.1.2.1.12</v>
      </c>
      <c r="B133" s="221" t="str">
        <f>CONCATENATE('3 pr-2'!B133)</f>
        <v>R01-6609-274710-2222</v>
      </c>
      <c r="C133" s="281" t="str">
        <f>CONCATENATE('ketv. 2'!B132)</f>
        <v>08.1.3-CPVA-R-609-11-0012</v>
      </c>
      <c r="D133" s="164" t="str">
        <f>CONCATENATE('3 pr-2'!D133)</f>
        <v>Pirminės asmens sveikatos priežiūros veiklos efektyvumo didinimas Varėnos rajono savivaldybėje</v>
      </c>
      <c r="E133" s="164" t="str">
        <f>CONCATENATE('3 pr-2'!E133)</f>
        <v>VšĮ Varėnos pirminės sveikatos priežiūros centras</v>
      </c>
      <c r="F133" s="164" t="str">
        <f>CONCATENATE('3 pr-2'!F133)</f>
        <v>Lietuvos Respublikos Sveikatos apsaugos ministerija</v>
      </c>
      <c r="G133" s="164" t="str">
        <f>CONCATENATE('3 pr-2'!G133)</f>
        <v>Varėnos r. sav.</v>
      </c>
      <c r="H133" s="164" t="str">
        <f>CONCATENATE('3 pr-2'!H133)</f>
        <v>08.1.3-CPVA-R-609</v>
      </c>
      <c r="I133" s="164" t="str">
        <f>CONCATENATE('3 pr-2'!I133)</f>
        <v>R</v>
      </c>
      <c r="J133" s="164" t="str">
        <f>CONCATENATE('3 pr-2'!J133)</f>
        <v>-</v>
      </c>
      <c r="K133" s="1080">
        <f>IF(Z133&gt;0,'3 pr-2'!L133,0)</f>
        <v>192678</v>
      </c>
      <c r="L133" s="1080">
        <f>IF(Z133&gt;0,'3 pr-2'!O133,0)</f>
        <v>14451</v>
      </c>
      <c r="M133" s="1080">
        <f>IF(Z133&gt;0,'3 pr-2'!R133,0)</f>
        <v>14451</v>
      </c>
      <c r="N133" s="1080">
        <f>IF(Z133&gt;0,'3 pr-2'!U133,0)</f>
        <v>0</v>
      </c>
      <c r="O133" s="1080">
        <f>IF(Z133&gt;0,'3 pr-2'!X133,0)</f>
        <v>0</v>
      </c>
      <c r="P133" s="1080">
        <f>IF(Z133&gt;0,'3 pr-2'!AA133,0)</f>
        <v>163776</v>
      </c>
      <c r="Q133" s="1080">
        <f t="shared" si="104"/>
        <v>0</v>
      </c>
      <c r="R133" s="1080">
        <f t="shared" si="105"/>
        <v>0</v>
      </c>
      <c r="S133" s="1080">
        <f t="shared" si="106"/>
        <v>0</v>
      </c>
      <c r="T133" s="1080">
        <f t="shared" si="107"/>
        <v>163776</v>
      </c>
      <c r="U133" s="1080">
        <f t="shared" si="108"/>
        <v>0</v>
      </c>
      <c r="V133" s="1164">
        <f>IF(Z133&gt;0,'3 pr-2'!$AB$10,0)</f>
        <v>0</v>
      </c>
      <c r="W133" s="1104">
        <f>SUM('3 pr-2'!AI133)</f>
        <v>43496</v>
      </c>
      <c r="X133" s="1132">
        <f t="shared" si="56"/>
        <v>43528</v>
      </c>
      <c r="Y133" s="992">
        <f t="shared" si="109"/>
        <v>-1.0666666666666667</v>
      </c>
      <c r="Z133" s="1339">
        <f>SUMIF(Projektu_sutarciu_ataskaita!$J$19:$J$600,C133,Projektu_sutarciu_ataskaita!$L$19:$L$600)</f>
        <v>43528</v>
      </c>
      <c r="AA133" s="1249">
        <f t="shared" si="58"/>
        <v>-1.0666666666666667</v>
      </c>
      <c r="AB133" s="384">
        <f t="shared" si="111"/>
        <v>-1.0520547945205467</v>
      </c>
    </row>
    <row r="134" spans="1:30" ht="61.5" thickBot="1">
      <c r="A134" s="164" t="str">
        <f>CONCATENATE('3 pr-2'!A134)</f>
        <v>2.1.2.1.13</v>
      </c>
      <c r="B134" s="221" t="str">
        <f>CONCATENATE('3 pr-2'!B134)</f>
        <v>R01-6609-470000-2223</v>
      </c>
      <c r="C134" s="281" t="str">
        <f>CONCATENATE('ketv. 2'!B133)</f>
        <v/>
      </c>
      <c r="D134" s="164" t="str">
        <f>CONCATENATE('3 pr-2'!D134)</f>
        <v>Pirminės asmens sveikatos priežiūros veiklos efektyvumo didinimas N. Jarašienės personalinėje įmonėje</v>
      </c>
      <c r="E134" s="164" t="str">
        <f>CONCATENATE('3 pr-2'!E134)</f>
        <v>N. Jarašienės personalinė įmonė</v>
      </c>
      <c r="F134" s="164" t="str">
        <f>CONCATENATE('3 pr-2'!F134)</f>
        <v>Lietuvos Respublikos Sveikatos apsaugos ministerija</v>
      </c>
      <c r="G134" s="164" t="str">
        <f>CONCATENATE('3 pr-2'!G134)</f>
        <v>Varėnos r. sav.</v>
      </c>
      <c r="H134" s="164" t="str">
        <f>CONCATENATE('3 pr-2'!H134)</f>
        <v>08.1.3-CPVA-R-609</v>
      </c>
      <c r="I134" s="164" t="str">
        <f>CONCATENATE('3 pr-2'!I134)</f>
        <v>R</v>
      </c>
      <c r="J134" s="164" t="str">
        <f>CONCATENATE('3 pr-2'!J134)</f>
        <v>-</v>
      </c>
      <c r="K134" s="1080">
        <f>IF(Z134&gt;0,'3 pr-2'!L134,0)</f>
        <v>0</v>
      </c>
      <c r="L134" s="1080">
        <f>IF(Z134&gt;0,'3 pr-2'!O134,0)</f>
        <v>0</v>
      </c>
      <c r="M134" s="1080">
        <f>IF(Z134&gt;0,'3 pr-2'!R134,0)</f>
        <v>0</v>
      </c>
      <c r="N134" s="1080">
        <f>IF(Z134&gt;0,'3 pr-2'!U134,0)</f>
        <v>0</v>
      </c>
      <c r="O134" s="1080">
        <f>IF(Z134&gt;0,'3 pr-2'!X134,0)</f>
        <v>0</v>
      </c>
      <c r="P134" s="1080">
        <f>IF(Z134&gt;0,'3 pr-2'!AA134,0)</f>
        <v>0</v>
      </c>
      <c r="Q134" s="1080">
        <f t="shared" si="104"/>
        <v>0</v>
      </c>
      <c r="R134" s="1080">
        <f t="shared" si="105"/>
        <v>0</v>
      </c>
      <c r="S134" s="1080">
        <f t="shared" si="106"/>
        <v>0</v>
      </c>
      <c r="T134" s="1080">
        <f t="shared" si="107"/>
        <v>0</v>
      </c>
      <c r="U134" s="1080">
        <f t="shared" si="108"/>
        <v>0</v>
      </c>
      <c r="V134" s="1164">
        <f>IF(Z134&gt;0,'3 pr-2'!$AB$10,0)</f>
        <v>0</v>
      </c>
      <c r="W134" s="1104">
        <f>SUM('3 pr-2'!AI134)</f>
        <v>43496</v>
      </c>
      <c r="X134" s="1132" t="str">
        <f t="shared" si="56"/>
        <v>–</v>
      </c>
      <c r="Y134" s="992" t="str">
        <f t="shared" si="109"/>
        <v>–</v>
      </c>
      <c r="Z134" s="1339">
        <f>SUMIF(Projektu_sutarciu_ataskaita!$J$19:$J$600,C134,Projektu_sutarciu_ataskaita!$L$19:$L$600)</f>
        <v>0</v>
      </c>
      <c r="AA134" s="1249" t="e">
        <f t="shared" si="58"/>
        <v>#VALUE!</v>
      </c>
      <c r="AB134" s="384" t="str">
        <f t="shared" ref="AB134" si="112">IF(W134-Z134&lt;0,(W134-Z134)/30.4166666666667,"–")</f>
        <v>–</v>
      </c>
    </row>
    <row r="135" spans="1:30" ht="42.75" customHeight="1" thickBot="1">
      <c r="A135" s="296" t="str">
        <f>CONCATENATE('3 pr-2'!A135)</f>
        <v>2.1.2.2</v>
      </c>
      <c r="B135" s="2088" t="str">
        <f>CONCATENATE('3 pr-2'!B135)</f>
        <v>Priemonė:
Sveikos gyvensenos skatinimas regioniniu lygiu</v>
      </c>
      <c r="C135" s="2089"/>
      <c r="D135" s="2089"/>
      <c r="E135" s="2089"/>
      <c r="F135" s="2089"/>
      <c r="G135" s="2089"/>
      <c r="H135" s="2089"/>
      <c r="I135" s="2089"/>
      <c r="J135" s="2090"/>
      <c r="K135" s="1168">
        <f t="shared" ref="K135:V135" si="113">SUM(K136:K140)</f>
        <v>994984.5399999998</v>
      </c>
      <c r="L135" s="1168">
        <f t="shared" si="113"/>
        <v>74624.070000000007</v>
      </c>
      <c r="M135" s="1168">
        <f t="shared" si="113"/>
        <v>74623.62</v>
      </c>
      <c r="N135" s="1168">
        <f t="shared" si="113"/>
        <v>0</v>
      </c>
      <c r="O135" s="1168">
        <f t="shared" si="113"/>
        <v>0</v>
      </c>
      <c r="P135" s="1168">
        <f t="shared" si="113"/>
        <v>845736.85</v>
      </c>
      <c r="Q135" s="1222">
        <f t="shared" si="113"/>
        <v>0</v>
      </c>
      <c r="R135" s="1223">
        <f t="shared" si="113"/>
        <v>0</v>
      </c>
      <c r="S135" s="1222">
        <f t="shared" si="113"/>
        <v>845736.85</v>
      </c>
      <c r="T135" s="1223">
        <f t="shared" si="113"/>
        <v>0</v>
      </c>
      <c r="U135" s="1224">
        <f t="shared" si="113"/>
        <v>0</v>
      </c>
      <c r="V135" s="1168">
        <f t="shared" si="113"/>
        <v>0</v>
      </c>
      <c r="W135" s="1157"/>
      <c r="X135" s="1157" t="str">
        <f t="shared" si="56"/>
        <v>–</v>
      </c>
      <c r="Y135" s="1157" t="str">
        <f t="shared" si="61"/>
        <v>–</v>
      </c>
      <c r="Z135" s="1359"/>
      <c r="AA135" s="1360" t="e">
        <f t="shared" si="58"/>
        <v>#VALUE!</v>
      </c>
      <c r="AB135" s="568"/>
    </row>
    <row r="136" spans="1:30" ht="60.75">
      <c r="A136" s="375" t="str">
        <f>CONCATENATE('3 pr-2'!A136)</f>
        <v>2.1.2.2.1</v>
      </c>
      <c r="B136" s="221" t="str">
        <f>CONCATENATE('3 pr-2'!B136)</f>
        <v>R01-6630-475000-2221</v>
      </c>
      <c r="C136" s="373" t="str">
        <f>CONCATENATE('ketv. 2'!B135)</f>
        <v>08.4.2-ESFA-R-630-11-0004</v>
      </c>
      <c r="D136" s="375" t="str">
        <f>CONCATENATE('3 pr-2'!D136)</f>
        <v>Sveikos gyvensenos skatinimas Alytaus rajone</v>
      </c>
      <c r="E136" s="375" t="str">
        <f>CONCATENATE('3 pr-2'!E136)</f>
        <v>Alytaus rajono savivaldybės visuomenės sveikatos biuras</v>
      </c>
      <c r="F136" s="375" t="str">
        <f>CONCATENATE('3 pr-2'!F136)</f>
        <v>Lietuvos Respublikos Sveikatos apsaugos ministerija</v>
      </c>
      <c r="G136" s="375" t="str">
        <f>CONCATENATE('3 pr-2'!G136)</f>
        <v>Alytaus r. sav.</v>
      </c>
      <c r="H136" s="375" t="str">
        <f>CONCATENATE('3 pr-2'!H136)</f>
        <v>08.4.2-ESFA-R-630</v>
      </c>
      <c r="I136" s="375" t="str">
        <f>CONCATENATE('3 pr-2'!I136)</f>
        <v>R</v>
      </c>
      <c r="J136" s="375" t="str">
        <f>CONCATENATE('3 pr-2'!J136)</f>
        <v>-</v>
      </c>
      <c r="K136" s="1173">
        <f>IF(Z136&gt;0,'3 pr-2'!L136,0)</f>
        <v>198997.18</v>
      </c>
      <c r="L136" s="1173">
        <f>IF(Z136&gt;0,'3 pr-2'!O136,0)</f>
        <v>14924.79</v>
      </c>
      <c r="M136" s="1173">
        <f>IF(Z136&gt;0,'3 pr-2'!R136,0)</f>
        <v>14924.79</v>
      </c>
      <c r="N136" s="1173">
        <f>IF(Z136&gt;0,'3 pr-2'!U136,0)</f>
        <v>0</v>
      </c>
      <c r="O136" s="1173">
        <f>IF(Z136&gt;0,'3 pr-2'!X136,0)</f>
        <v>0</v>
      </c>
      <c r="P136" s="1173">
        <f>IF(Z136&gt;0,'3 pr-2'!AA136,0)</f>
        <v>169147.6</v>
      </c>
      <c r="Q136" s="1173">
        <f>IF(YEAR(Z136)=2016,P136,0)</f>
        <v>0</v>
      </c>
      <c r="R136" s="1173">
        <f>IF(YEAR(Z136)=2017,P136,0)</f>
        <v>0</v>
      </c>
      <c r="S136" s="1173">
        <f>IF(YEAR(Z136)=2018,P136,0)</f>
        <v>169147.6</v>
      </c>
      <c r="T136" s="1173">
        <f>IF(YEAR(Z136)=2019,P136,0)</f>
        <v>0</v>
      </c>
      <c r="U136" s="1173">
        <f>IF(YEAR(Z136)=2020,P136,0)</f>
        <v>0</v>
      </c>
      <c r="V136" s="1164">
        <f>IF(Z136&gt;0,'3 pr-2'!$AB$10,0)</f>
        <v>0</v>
      </c>
      <c r="W136" s="1112">
        <f>SUM('3 pr-2'!AI136)</f>
        <v>43296</v>
      </c>
      <c r="X136" s="1133">
        <f t="shared" si="56"/>
        <v>43284</v>
      </c>
      <c r="Y136" s="992" t="str">
        <f t="shared" ref="Y136:Y140" si="114">IF(ISTEXT(X136),"–",IF((W136-X136)/30&gt;0,"–",(W136-X136)/30))</f>
        <v>–</v>
      </c>
      <c r="Z136" s="1339">
        <f>SUMIF(Projektu_sutarciu_ataskaita!$J$19:$J$600,C136,Projektu_sutarciu_ataskaita!$L$19:$L$600)</f>
        <v>43284</v>
      </c>
      <c r="AA136" s="1361">
        <f t="shared" si="58"/>
        <v>0.4</v>
      </c>
      <c r="AB136" s="384" t="str">
        <f t="shared" ref="AB136:AB140" si="115">IF(W136-Z136&lt;0,(W136-Z136)/30.4166666666667,"–")</f>
        <v>–</v>
      </c>
    </row>
    <row r="137" spans="1:30" ht="60.75">
      <c r="A137" s="375" t="str">
        <f>CONCATENATE('3 pr-2'!A137)</f>
        <v>2.1.2.2.2</v>
      </c>
      <c r="B137" s="221" t="str">
        <f>CONCATENATE('3 pr-2'!B137)</f>
        <v>R01-6630-470000-2222</v>
      </c>
      <c r="C137" s="373" t="str">
        <f>CONCATENATE('ketv. 2'!B136)</f>
        <v>08.4.2-ESFA-R-630-11-0001</v>
      </c>
      <c r="D137" s="375" t="str">
        <f>CONCATENATE('3 pr-2'!D137)</f>
        <v>Mažais žingsneliais – sveikos gyvensenos link</v>
      </c>
      <c r="E137" s="375" t="str">
        <f>CONCATENATE('3 pr-2'!E137)</f>
        <v>Alytaus miesto savivaldybės administracija</v>
      </c>
      <c r="F137" s="375" t="str">
        <f>CONCATENATE('3 pr-2'!F137)</f>
        <v>Lietuvos Respublikos Sveikatos apsaugos ministerija</v>
      </c>
      <c r="G137" s="375" t="str">
        <f>CONCATENATE('3 pr-2'!G137)</f>
        <v>Alytaus m. sav.</v>
      </c>
      <c r="H137" s="375" t="str">
        <f>CONCATENATE('3 pr-2'!H137)</f>
        <v>08.4.2-ESFA-R-630</v>
      </c>
      <c r="I137" s="375" t="str">
        <f>CONCATENATE('3 pr-2'!I137)</f>
        <v>R</v>
      </c>
      <c r="J137" s="375" t="str">
        <f>CONCATENATE('3 pr-2'!J137)</f>
        <v>-</v>
      </c>
      <c r="K137" s="1173">
        <f>IF(Z137&gt;0,'3 pr-2'!L137,0)</f>
        <v>198996</v>
      </c>
      <c r="L137" s="1173">
        <f>IF(Z137&gt;0,'3 pr-2'!O137,0)</f>
        <v>14924.7</v>
      </c>
      <c r="M137" s="1173">
        <f>IF(Z137&gt;0,'3 pr-2'!R137,0)</f>
        <v>14924.7</v>
      </c>
      <c r="N137" s="1173">
        <f>IF(Z137&gt;0,'3 pr-2'!U137,0)</f>
        <v>0</v>
      </c>
      <c r="O137" s="1173">
        <f>IF(Z137&gt;0,'3 pr-2'!X137,0)</f>
        <v>0</v>
      </c>
      <c r="P137" s="1173">
        <f>IF(Z137&gt;0,'3 pr-2'!AA137,0)</f>
        <v>169146.6</v>
      </c>
      <c r="Q137" s="1173">
        <f>IF(YEAR(Z137)=2016,P137,0)</f>
        <v>0</v>
      </c>
      <c r="R137" s="1173">
        <f>IF(YEAR(Z137)=2017,P137,0)</f>
        <v>0</v>
      </c>
      <c r="S137" s="1173">
        <f>IF(YEAR(Z137)=2018,P137,0)</f>
        <v>169146.6</v>
      </c>
      <c r="T137" s="1173">
        <f>IF(YEAR(Z137)=2019,P137,0)</f>
        <v>0</v>
      </c>
      <c r="U137" s="1173">
        <f>IF(YEAR(Z137)=2020,P137,0)</f>
        <v>0</v>
      </c>
      <c r="V137" s="1164">
        <f>IF(Z137&gt;0,'3 pr-2'!$AB$10,0)</f>
        <v>0</v>
      </c>
      <c r="W137" s="1112">
        <f>SUM('3 pr-2'!AI137)</f>
        <v>43343</v>
      </c>
      <c r="X137" s="1133">
        <f t="shared" si="56"/>
        <v>43284</v>
      </c>
      <c r="Y137" s="992" t="str">
        <f t="shared" si="114"/>
        <v>–</v>
      </c>
      <c r="Z137" s="1339">
        <f>SUMIF(Projektu_sutarciu_ataskaita!$J$19:$J$600,C137,Projektu_sutarciu_ataskaita!$L$19:$L$600)</f>
        <v>43284</v>
      </c>
      <c r="AA137" s="1361">
        <f t="shared" si="58"/>
        <v>1.9666666666666666</v>
      </c>
      <c r="AB137" s="384" t="str">
        <f t="shared" si="115"/>
        <v>–</v>
      </c>
      <c r="AD137" s="1319"/>
    </row>
    <row r="138" spans="1:30" ht="60.75">
      <c r="A138" s="375" t="str">
        <f>CONCATENATE('3 pr-2'!A138)</f>
        <v>2.1.2.2.3</v>
      </c>
      <c r="B138" s="221" t="str">
        <f>CONCATENATE('3 pr-2'!B138)</f>
        <v>R01-6630-470000-2223</v>
      </c>
      <c r="C138" s="373" t="str">
        <f>CONCATENATE('ketv. 2'!B137)</f>
        <v>08.4.2-ESFA-R-630-11-0005</v>
      </c>
      <c r="D138" s="375" t="str">
        <f>CONCATENATE('3 pr-2'!D138)</f>
        <v>Sveikos gyvensenos skatinimas Varėnos rajono savivaldybėje</v>
      </c>
      <c r="E138" s="375" t="str">
        <f>CONCATENATE('3 pr-2'!E138)</f>
        <v>Varėnos rajono savivaldybės visuomenės sveikatos biuras</v>
      </c>
      <c r="F138" s="375" t="str">
        <f>CONCATENATE('3 pr-2'!F138)</f>
        <v>Lietuvos Respublikos Sveikatos apsaugos ministerija</v>
      </c>
      <c r="G138" s="375" t="str">
        <f>CONCATENATE('3 pr-2'!G138)</f>
        <v>Varėnos r. sav.</v>
      </c>
      <c r="H138" s="375" t="str">
        <f>CONCATENATE('3 pr-2'!H138)</f>
        <v>08.4.2-ESFA-R-630</v>
      </c>
      <c r="I138" s="375" t="str">
        <f>CONCATENATE('3 pr-2'!I138)</f>
        <v>R</v>
      </c>
      <c r="J138" s="375" t="str">
        <f>CONCATENATE('3 pr-2'!J138)</f>
        <v>-</v>
      </c>
      <c r="K138" s="1173">
        <f>IF(Z138&gt;0,'3 pr-2'!L138,0)</f>
        <v>198997</v>
      </c>
      <c r="L138" s="1173">
        <f>IF(Z138&gt;0,'3 pr-2'!O138,0)</f>
        <v>14925</v>
      </c>
      <c r="M138" s="1173">
        <f>IF(Z138&gt;0,'3 pr-2'!R138,0)</f>
        <v>14924.55</v>
      </c>
      <c r="N138" s="1173">
        <f>IF(Z138&gt;0,'3 pr-2'!U138,0)</f>
        <v>0</v>
      </c>
      <c r="O138" s="1173">
        <f>IF(Z138&gt;0,'3 pr-2'!X138,0)</f>
        <v>0</v>
      </c>
      <c r="P138" s="1173">
        <f>IF(Z138&gt;0,'3 pr-2'!AA138,0)</f>
        <v>169147.45</v>
      </c>
      <c r="Q138" s="1173">
        <f>IF(YEAR(Z138)=2016,P138,0)</f>
        <v>0</v>
      </c>
      <c r="R138" s="1173">
        <f>IF(YEAR(Z138)=2017,P138,0)</f>
        <v>0</v>
      </c>
      <c r="S138" s="1173">
        <f>IF(YEAR(Z138)=2018,P138,0)</f>
        <v>169147.45</v>
      </c>
      <c r="T138" s="1173">
        <f>IF(YEAR(Z138)=2019,P138,0)</f>
        <v>0</v>
      </c>
      <c r="U138" s="1173">
        <f>IF(YEAR(Z138)=2020,P138,0)</f>
        <v>0</v>
      </c>
      <c r="V138" s="1164">
        <f>IF(Z138&gt;0,'3 pr-2'!$AB$10,0)</f>
        <v>0</v>
      </c>
      <c r="W138" s="1112">
        <f>SUM('3 pr-2'!AI138)</f>
        <v>43342</v>
      </c>
      <c r="X138" s="1133">
        <f t="shared" si="56"/>
        <v>43298</v>
      </c>
      <c r="Y138" s="992" t="str">
        <f t="shared" si="114"/>
        <v>–</v>
      </c>
      <c r="Z138" s="1339">
        <f>SUMIF(Projektu_sutarciu_ataskaita!$J$19:$J$600,C138,Projektu_sutarciu_ataskaita!$L$19:$L$600)</f>
        <v>43298</v>
      </c>
      <c r="AA138" s="1361">
        <f t="shared" si="58"/>
        <v>1.4666666666666666</v>
      </c>
      <c r="AB138" s="384" t="str">
        <f t="shared" si="115"/>
        <v>–</v>
      </c>
      <c r="AD138" s="1319"/>
    </row>
    <row r="139" spans="1:30" ht="60.75">
      <c r="A139" s="375" t="str">
        <f>CONCATENATE('3 pr-2'!A139)</f>
        <v>2.1.2.2.4.</v>
      </c>
      <c r="B139" s="221" t="str">
        <f>CONCATENATE('3 pr-2'!B139)</f>
        <v>R01-6630-470000-2224</v>
      </c>
      <c r="C139" s="373" t="str">
        <f>CONCATENATE('ketv. 2'!B138)</f>
        <v>08.4.2-ESFA-R-630-11-0003</v>
      </c>
      <c r="D139" s="375" t="str">
        <f>CONCATENATE('3 pr-2'!D139)</f>
        <v>Sveika bendruomenė – stipri visuomenė</v>
      </c>
      <c r="E139" s="375" t="str">
        <f>CONCATENATE('3 pr-2'!E139)</f>
        <v>Druskininkų savivaldybės visuomenės sveikatos biuras</v>
      </c>
      <c r="F139" s="375" t="str">
        <f>CONCATENATE('3 pr-2'!F139)</f>
        <v>Lietuvos Respublikos Sveikatos apsaugos ministerija</v>
      </c>
      <c r="G139" s="375" t="str">
        <f>CONCATENATE('3 pr-2'!G139)</f>
        <v>Druskininkų sav.</v>
      </c>
      <c r="H139" s="375" t="str">
        <f>CONCATENATE('3 pr-2'!H139)</f>
        <v>08.4.2-ESFA-R-630</v>
      </c>
      <c r="I139" s="375" t="str">
        <f>CONCATENATE('3 pr-2'!I139)</f>
        <v>R</v>
      </c>
      <c r="J139" s="375" t="str">
        <f>CONCATENATE('3 pr-2'!J139)</f>
        <v>-</v>
      </c>
      <c r="K139" s="1173">
        <f>IF(Z139&gt;0,'3 pr-2'!L139,0)</f>
        <v>198997.18</v>
      </c>
      <c r="L139" s="1173">
        <f>IF(Z139&gt;0,'3 pr-2'!O139,0)</f>
        <v>14924.79</v>
      </c>
      <c r="M139" s="1173">
        <f>IF(Z139&gt;0,'3 pr-2'!R139,0)</f>
        <v>14924.79</v>
      </c>
      <c r="N139" s="1173">
        <f>IF(Z139&gt;0,'3 pr-2'!U139,0)</f>
        <v>0</v>
      </c>
      <c r="O139" s="1173">
        <f>IF(Z139&gt;0,'3 pr-2'!X139,0)</f>
        <v>0</v>
      </c>
      <c r="P139" s="1173">
        <f>IF(Z139&gt;0,'3 pr-2'!AA139,0)</f>
        <v>169147.6</v>
      </c>
      <c r="Q139" s="1173">
        <f>IF(YEAR(Z139)=2016,P139,0)</f>
        <v>0</v>
      </c>
      <c r="R139" s="1173">
        <f>IF(YEAR(Z139)=2017,P139,0)</f>
        <v>0</v>
      </c>
      <c r="S139" s="1173">
        <f>IF(YEAR(Z139)=2018,P139,0)</f>
        <v>169147.6</v>
      </c>
      <c r="T139" s="1173">
        <f>IF(YEAR(Z139)=2019,P139,0)</f>
        <v>0</v>
      </c>
      <c r="U139" s="1173">
        <f>IF(YEAR(Z139)=2020,P139,0)</f>
        <v>0</v>
      </c>
      <c r="V139" s="1164">
        <f>IF(Z139&gt;0,'3 pr-2'!$AB$10,0)</f>
        <v>0</v>
      </c>
      <c r="W139" s="1112">
        <f>SUM('3 pr-2'!AI139)</f>
        <v>43296</v>
      </c>
      <c r="X139" s="1133">
        <f t="shared" ref="X139:X182" si="116">IF(Z139&gt;0,Z139,"–")</f>
        <v>43286</v>
      </c>
      <c r="Y139" s="992" t="str">
        <f t="shared" si="114"/>
        <v>–</v>
      </c>
      <c r="Z139" s="1339">
        <f>SUMIF(Projektu_sutarciu_ataskaita!$J$19:$J$600,C139,Projektu_sutarciu_ataskaita!$L$19:$L$600)</f>
        <v>43286</v>
      </c>
      <c r="AA139" s="1361">
        <f t="shared" ref="AA139:AA182" si="117">SUM((W139-X139)/30)</f>
        <v>0.33333333333333331</v>
      </c>
      <c r="AB139" s="384" t="str">
        <f t="shared" si="115"/>
        <v>–</v>
      </c>
    </row>
    <row r="140" spans="1:30" ht="61.5" thickBot="1">
      <c r="A140" s="375" t="str">
        <f>CONCATENATE('3 pr-2'!A140)</f>
        <v>2.1.2.2.5</v>
      </c>
      <c r="B140" s="221" t="str">
        <f>CONCATENATE('3 pr-2'!B140)</f>
        <v>R01-6630-470000-2225</v>
      </c>
      <c r="C140" s="373" t="str">
        <f>CONCATENATE('ketv. 2'!B139)</f>
        <v>08.4.2-ESFA-R-630-11-0002</v>
      </c>
      <c r="D140" s="375" t="str">
        <f>CONCATENATE('3 pr-2'!D140)</f>
        <v>Sveikos gyvensenos skatinimas Lazdijų rajono savivaldybėje</v>
      </c>
      <c r="E140" s="375" t="str">
        <f>CONCATENATE('3 pr-2'!E140)</f>
        <v>Lazdijų rajono savivaldybės visuomenės sveikatos biuras</v>
      </c>
      <c r="F140" s="375" t="str">
        <f>CONCATENATE('3 pr-2'!F140)</f>
        <v>Lietuvos Respublikos Sveikatos apsaugos ministerija</v>
      </c>
      <c r="G140" s="375" t="str">
        <f>CONCATENATE('3 pr-2'!G140)</f>
        <v>Lazdijų r. sav.</v>
      </c>
      <c r="H140" s="375" t="str">
        <f>CONCATENATE('3 pr-2'!H140)</f>
        <v>08.4.2-ESFA-R-630</v>
      </c>
      <c r="I140" s="375" t="str">
        <f>CONCATENATE('3 pr-2'!I140)</f>
        <v>R</v>
      </c>
      <c r="J140" s="375" t="str">
        <f>CONCATENATE('3 pr-2'!J140)</f>
        <v>-</v>
      </c>
      <c r="K140" s="1173">
        <f>IF(Z140&gt;0,'3 pr-2'!L140,0)</f>
        <v>198997.18</v>
      </c>
      <c r="L140" s="1173">
        <f>IF(Z140&gt;0,'3 pr-2'!O140,0)</f>
        <v>14924.79</v>
      </c>
      <c r="M140" s="1173">
        <f>IF(Z140&gt;0,'3 pr-2'!R140,0)</f>
        <v>14924.79</v>
      </c>
      <c r="N140" s="1173">
        <f>IF(Z140&gt;0,'3 pr-2'!U140,0)</f>
        <v>0</v>
      </c>
      <c r="O140" s="1173">
        <f>IF(Z140&gt;0,'3 pr-2'!X140,0)</f>
        <v>0</v>
      </c>
      <c r="P140" s="1173">
        <f>IF(Z140&gt;0,'3 pr-2'!AA140,0)</f>
        <v>169147.6</v>
      </c>
      <c r="Q140" s="1173">
        <f>IF(YEAR(Z140)=2016,P140,0)</f>
        <v>0</v>
      </c>
      <c r="R140" s="1173">
        <f>IF(YEAR(Z140)=2017,P140,0)</f>
        <v>0</v>
      </c>
      <c r="S140" s="1173">
        <f>IF(YEAR(Z140)=2018,P140,0)</f>
        <v>169147.6</v>
      </c>
      <c r="T140" s="1173">
        <f>IF(YEAR(Z140)=2019,P140,0)</f>
        <v>0</v>
      </c>
      <c r="U140" s="1173">
        <f>IF(YEAR(Z140)=2020,P140,0)</f>
        <v>0</v>
      </c>
      <c r="V140" s="1164">
        <f>IF(Z140&gt;0,'3 pr-2'!$AB$10,0)</f>
        <v>0</v>
      </c>
      <c r="W140" s="1112">
        <f>SUM('3 pr-2'!AI140)</f>
        <v>43278</v>
      </c>
      <c r="X140" s="1133">
        <f t="shared" si="116"/>
        <v>43284</v>
      </c>
      <c r="Y140" s="992">
        <f t="shared" si="114"/>
        <v>-0.2</v>
      </c>
      <c r="Z140" s="1339">
        <f>SUMIF(Projektu_sutarciu_ataskaita!$J$19:$J$600,C140,Projektu_sutarciu_ataskaita!$L$19:$L$600)</f>
        <v>43284</v>
      </c>
      <c r="AA140" s="1361">
        <f t="shared" si="117"/>
        <v>-0.2</v>
      </c>
      <c r="AB140" s="384">
        <f t="shared" si="115"/>
        <v>-0.19726027397260251</v>
      </c>
    </row>
    <row r="141" spans="1:30" ht="43.5" customHeight="1" thickBot="1">
      <c r="A141" s="296" t="str">
        <f>CONCATENATE('3 pr-2'!A141)</f>
        <v>2.1.2.3</v>
      </c>
      <c r="B141" s="2088" t="str">
        <f>CONCATENATE('3 pr-2'!B141)</f>
        <v>Priemonė:
Priemonių, gerinančių ambulatorinių sveikatos priežiūros paslaugų prieinamumą tuberkulioze sergantiems pacientams, įgyvendinimas</v>
      </c>
      <c r="C141" s="2089"/>
      <c r="D141" s="2089"/>
      <c r="E141" s="2089"/>
      <c r="F141" s="2089"/>
      <c r="G141" s="2089"/>
      <c r="H141" s="2089"/>
      <c r="I141" s="2089"/>
      <c r="J141" s="2090"/>
      <c r="K141" s="1168">
        <f>SUM(K142:K146)</f>
        <v>65213.18</v>
      </c>
      <c r="L141" s="1168">
        <f t="shared" ref="L141:P141" si="118">SUM(L142:L146)</f>
        <v>3596.09</v>
      </c>
      <c r="M141" s="1168">
        <f t="shared" si="118"/>
        <v>5556.4400000000005</v>
      </c>
      <c r="N141" s="1168">
        <f t="shared" si="118"/>
        <v>0</v>
      </c>
      <c r="O141" s="1168">
        <f t="shared" si="118"/>
        <v>1299.95</v>
      </c>
      <c r="P141" s="1168">
        <f t="shared" si="118"/>
        <v>54760.7</v>
      </c>
      <c r="Q141" s="1168">
        <f t="shared" ref="Q141" si="119">SUM(Q142:Q146)</f>
        <v>0</v>
      </c>
      <c r="R141" s="1168">
        <f t="shared" ref="R141" si="120">SUM(R142:R146)</f>
        <v>0</v>
      </c>
      <c r="S141" s="1168">
        <f t="shared" ref="S141" si="121">SUM(S142:S146)</f>
        <v>54760.7</v>
      </c>
      <c r="T141" s="1168">
        <f t="shared" ref="T141:V141" si="122">SUM(T142:T146)</f>
        <v>0</v>
      </c>
      <c r="U141" s="1168">
        <f t="shared" si="122"/>
        <v>0</v>
      </c>
      <c r="V141" s="1168">
        <f t="shared" si="122"/>
        <v>0</v>
      </c>
      <c r="W141" s="1157"/>
      <c r="X141" s="1157" t="str">
        <f t="shared" si="116"/>
        <v>–</v>
      </c>
      <c r="Y141" s="1157" t="str">
        <f t="shared" ref="Y139:Y182" si="123">IF(ISTEXT(X141),"–",(W141-X141)/30)</f>
        <v>–</v>
      </c>
      <c r="Z141" s="1359"/>
      <c r="AA141" s="1360" t="e">
        <f t="shared" si="117"/>
        <v>#VALUE!</v>
      </c>
      <c r="AB141" s="568"/>
    </row>
    <row r="142" spans="1:30" ht="84.75">
      <c r="A142" s="375" t="str">
        <f>CONCATENATE('3 pr-2'!A142)</f>
        <v>2.1.2.3.1</v>
      </c>
      <c r="B142" s="221" t="str">
        <f>CONCATENATE('3 pr-2'!B142)</f>
        <v>R01-6615-475000-2231</v>
      </c>
      <c r="C142" s="373" t="str">
        <f>CONCATENATE('ketv. 2'!B141)</f>
        <v>08.4.2-ESFA-R-615-11-0004</v>
      </c>
      <c r="D142" s="375" t="str">
        <f>CONCATENATE('3 pr-2'!D142)</f>
        <v>Priemonių, gerinančių ambulatorinių sveikatos priežiūros paslaugų prieinamumą tuberkulioze sergantiems asmenims, Alytaus rajone, įgyvendinimas</v>
      </c>
      <c r="E142" s="375" t="str">
        <f>CONCATENATE('3 pr-2'!E142)</f>
        <v>VšĮ Alytaus rajono savivaldybės pirminės sveikatos priežiūros centras</v>
      </c>
      <c r="F142" s="375" t="str">
        <f>CONCATENATE('3 pr-2'!F142)</f>
        <v>Lietuvos Respublikos Sveikatos apsaugos ministerija</v>
      </c>
      <c r="G142" s="375" t="str">
        <f>CONCATENATE('3 pr-2'!G142)</f>
        <v>Alytaus r. sav.</v>
      </c>
      <c r="H142" s="375" t="str">
        <f>CONCATENATE('3 pr-2'!H142)</f>
        <v>08.4.2-ESFA-R-615</v>
      </c>
      <c r="I142" s="375" t="str">
        <f>CONCATENATE('3 pr-2'!I142)</f>
        <v>R</v>
      </c>
      <c r="J142" s="375" t="str">
        <f>CONCATENATE('3 pr-2'!J142)</f>
        <v>-</v>
      </c>
      <c r="K142" s="1173">
        <f>IF(Z142&gt;0,'3 pr-2'!L142,0)</f>
        <v>10453</v>
      </c>
      <c r="L142" s="1173">
        <f>IF(Z142&gt;0,'3 pr-2'!O142,0)</f>
        <v>0</v>
      </c>
      <c r="M142" s="1173">
        <f>IF(Z142&gt;0,'3 pr-2'!R142,0)</f>
        <v>1449.64</v>
      </c>
      <c r="N142" s="1173">
        <f>IF(Z142&gt;0,'3 pr-2'!U142,0)</f>
        <v>0</v>
      </c>
      <c r="O142" s="1173">
        <f>IF(Z142&gt;0,'3 pr-2'!X142,0)</f>
        <v>788.75</v>
      </c>
      <c r="P142" s="1173">
        <f>IF(Z142&gt;0,'3 pr-2'!AA142,0)</f>
        <v>8214.61</v>
      </c>
      <c r="Q142" s="1173">
        <f>IF(YEAR(Z142)=2016,P142,0)</f>
        <v>0</v>
      </c>
      <c r="R142" s="1173">
        <f>IF(YEAR(Z142)=2017,P142,0)</f>
        <v>0</v>
      </c>
      <c r="S142" s="1173">
        <f>IF(YEAR(Z142)=2018,P142,0)</f>
        <v>8214.61</v>
      </c>
      <c r="T142" s="1173">
        <f>IF(YEAR(Z142)=2019,P142,0)</f>
        <v>0</v>
      </c>
      <c r="U142" s="1173">
        <f>IF(YEAR(Z142)=2020,P142,0)</f>
        <v>0</v>
      </c>
      <c r="V142" s="1164">
        <f>IF(Z142&gt;0,'3 pr-2'!$AB$10,0)</f>
        <v>0</v>
      </c>
      <c r="W142" s="1112">
        <f>SUM('3 pr-2'!AI142)</f>
        <v>43373</v>
      </c>
      <c r="X142" s="1133">
        <f t="shared" si="116"/>
        <v>43409</v>
      </c>
      <c r="Y142" s="992">
        <f t="shared" ref="Y142:Y146" si="124">IF(ISTEXT(X142),"–",IF((W142-X142)/30&gt;0,"–",(W142-X142)/30))</f>
        <v>-1.2</v>
      </c>
      <c r="Z142" s="1339">
        <f>SUMIF(Projektu_sutarciu_ataskaita!$J$19:$J$600,C142,Projektu_sutarciu_ataskaita!$L$19:$L$600)</f>
        <v>43409</v>
      </c>
      <c r="AA142" s="1361">
        <f t="shared" si="117"/>
        <v>-1.2</v>
      </c>
      <c r="AB142" s="384">
        <f t="shared" ref="AB142:AB146" si="125">IF(W142-Z142&lt;0,(W142-Z142)/30.4166666666667,"–")</f>
        <v>-1.1835616438356151</v>
      </c>
    </row>
    <row r="143" spans="1:30" ht="60.75">
      <c r="A143" s="375" t="str">
        <f>CONCATENATE('3 pr-2'!A143)</f>
        <v>2.1.2.3.2</v>
      </c>
      <c r="B143" s="221" t="str">
        <f>CONCATENATE('3 pr-2'!B143)</f>
        <v>R01-6615-470000-2232</v>
      </c>
      <c r="C143" s="373" t="str">
        <f>CONCATENATE('ketv. 2'!B142)</f>
        <v>08.4.2-ESFA-R-615-11-0005</v>
      </c>
      <c r="D143" s="375" t="str">
        <f>CONCATENATE('3 pr-2'!D143)</f>
        <v>Ambulatorinių sveikatos priežiūros paslaugų gerinimas tuberkulioze sergantiems asmenims</v>
      </c>
      <c r="E143" s="375" t="str">
        <f>CONCATENATE('3 pr-2'!E143)</f>
        <v>Alytaus miesto savivaldybės administracija</v>
      </c>
      <c r="F143" s="375" t="str">
        <f>CONCATENATE('3 pr-2'!F143)</f>
        <v>Lietuvos Respublikos Sveikatos apsaugos ministerija</v>
      </c>
      <c r="G143" s="375" t="str">
        <f>CONCATENATE('3 pr-2'!G143)</f>
        <v>Alytaus m. sav.</v>
      </c>
      <c r="H143" s="375" t="str">
        <f>CONCATENATE('3 pr-2'!H143)</f>
        <v>08.4.2-ESFA-R-615</v>
      </c>
      <c r="I143" s="375" t="str">
        <f>CONCATENATE('3 pr-2'!I143)</f>
        <v>R</v>
      </c>
      <c r="J143" s="375" t="str">
        <f>CONCATENATE('3 pr-2'!J143)</f>
        <v>-</v>
      </c>
      <c r="K143" s="1173">
        <f>IF(Z143&gt;0,'3 pr-2'!L143,0)</f>
        <v>17041.18</v>
      </c>
      <c r="L143" s="1173">
        <f>IF(Z143&gt;0,'3 pr-2'!O143,0)</f>
        <v>1278.0899999999999</v>
      </c>
      <c r="M143" s="1173">
        <f>IF(Z143&gt;0,'3 pr-2'!R143,0)</f>
        <v>1278</v>
      </c>
      <c r="N143" s="1173">
        <f>IF(Z143&gt;0,'3 pr-2'!U143,0)</f>
        <v>0</v>
      </c>
      <c r="O143" s="1173">
        <f>IF(Z143&gt;0,'3 pr-2'!X143,0)</f>
        <v>0</v>
      </c>
      <c r="P143" s="1173">
        <f>IF(Z143&gt;0,'3 pr-2'!AA143,0)</f>
        <v>14485.09</v>
      </c>
      <c r="Q143" s="1173">
        <f>IF(YEAR(Z143)=2016,P143,0)</f>
        <v>0</v>
      </c>
      <c r="R143" s="1173">
        <f>IF(YEAR(Z143)=2017,P143,0)</f>
        <v>0</v>
      </c>
      <c r="S143" s="1173">
        <f>IF(YEAR(Z143)=2018,P143,0)</f>
        <v>14485.09</v>
      </c>
      <c r="T143" s="1173">
        <f>IF(YEAR(Z143)=2019,P143,0)</f>
        <v>0</v>
      </c>
      <c r="U143" s="1173">
        <f>IF(YEAR(Z143)=2020,P143,0)</f>
        <v>0</v>
      </c>
      <c r="V143" s="1164">
        <f>IF(Z143&gt;0,'3 pr-2'!$AB$10,0)</f>
        <v>0</v>
      </c>
      <c r="W143" s="1112">
        <f>SUM('3 pr-2'!AI143)</f>
        <v>43358</v>
      </c>
      <c r="X143" s="1133">
        <f t="shared" si="116"/>
        <v>43353</v>
      </c>
      <c r="Y143" s="992" t="str">
        <f t="shared" si="124"/>
        <v>–</v>
      </c>
      <c r="Z143" s="1339">
        <f>SUMIF(Projektu_sutarciu_ataskaita!$J$19:$J$600,C143,Projektu_sutarciu_ataskaita!$L$19:$L$600)</f>
        <v>43353</v>
      </c>
      <c r="AA143" s="1361">
        <f t="shared" si="117"/>
        <v>0.16666666666666666</v>
      </c>
      <c r="AB143" s="384" t="str">
        <f t="shared" si="125"/>
        <v>–</v>
      </c>
    </row>
    <row r="144" spans="1:30" ht="60.75">
      <c r="A144" s="375" t="str">
        <f>CONCATENATE('3 pr-2'!A144)</f>
        <v>2.1.2.3.3</v>
      </c>
      <c r="B144" s="221" t="str">
        <f>CONCATENATE('3 pr-2'!B144)</f>
        <v>R01-6615-470000-2233</v>
      </c>
      <c r="C144" s="373" t="str">
        <f>CONCATENATE('ketv. 2'!B143)</f>
        <v>08.4.2-ESFA-R-615-11-0001</v>
      </c>
      <c r="D144" s="375" t="str">
        <f>CONCATENATE('3 pr-2'!D144)</f>
        <v>Paslaugų tuberkulioze sergantiems asmenims gerinimas Lazdijų rajono savivaldybėje</v>
      </c>
      <c r="E144" s="375" t="str">
        <f>CONCATENATE('3 pr-2'!E144)</f>
        <v>Lazdijų rajono savivaldybės administracija</v>
      </c>
      <c r="F144" s="375" t="str">
        <f>CONCATENATE('3 pr-2'!F144)</f>
        <v>Lietuvos Respublikos Sveikatos apsaugos ministerija</v>
      </c>
      <c r="G144" s="375" t="str">
        <f>CONCATENATE('3 pr-2'!G144)</f>
        <v>Lazdijų r. sav.</v>
      </c>
      <c r="H144" s="375" t="str">
        <f>CONCATENATE('3 pr-2'!H144)</f>
        <v>08.4.2-ESFA-R-615</v>
      </c>
      <c r="I144" s="375" t="str">
        <f>CONCATENATE('3 pr-2'!I144)</f>
        <v>R</v>
      </c>
      <c r="J144" s="375" t="str">
        <f>CONCATENATE('3 pr-2'!J144)</f>
        <v>-</v>
      </c>
      <c r="K144" s="1173">
        <f>IF(Z144&gt;0,'3 pr-2'!L144,0)</f>
        <v>15224</v>
      </c>
      <c r="L144" s="1173">
        <f>IF(Z144&gt;0,'3 pr-2'!O144,0)</f>
        <v>1142</v>
      </c>
      <c r="M144" s="1173">
        <f>IF(Z144&gt;0,'3 pr-2'!R144,0)</f>
        <v>1141.5999999999999</v>
      </c>
      <c r="N144" s="1173">
        <f>IF(Z144&gt;0,'3 pr-2'!U144,0)</f>
        <v>0</v>
      </c>
      <c r="O144" s="1173">
        <f>IF(Z144&gt;0,'3 pr-2'!X144,0)</f>
        <v>0</v>
      </c>
      <c r="P144" s="1173">
        <f>IF(Z144&gt;0,'3 pr-2'!AA144,0)</f>
        <v>12940.4</v>
      </c>
      <c r="Q144" s="1173">
        <f>IF(YEAR(Z144)=2016,P144,0)</f>
        <v>0</v>
      </c>
      <c r="R144" s="1173">
        <f>IF(YEAR(Z144)=2017,P144,0)</f>
        <v>0</v>
      </c>
      <c r="S144" s="1173">
        <f>IF(YEAR(Z144)=2018,P144,0)</f>
        <v>12940.4</v>
      </c>
      <c r="T144" s="1173">
        <f>IF(YEAR(Z144)=2019,P144,0)</f>
        <v>0</v>
      </c>
      <c r="U144" s="1173">
        <f>IF(YEAR(Z144)=2020,P144,0)</f>
        <v>0</v>
      </c>
      <c r="V144" s="1164">
        <f>IF(Z144&gt;0,'3 pr-2'!$AB$10,0)</f>
        <v>0</v>
      </c>
      <c r="W144" s="1112">
        <f>SUM('3 pr-2'!AI144)</f>
        <v>43235</v>
      </c>
      <c r="X144" s="1133">
        <f t="shared" si="116"/>
        <v>43235</v>
      </c>
      <c r="Y144" s="992">
        <f t="shared" si="124"/>
        <v>0</v>
      </c>
      <c r="Z144" s="1339">
        <f>SUMIF(Projektu_sutarciu_ataskaita!$J$19:$J$600,C144,Projektu_sutarciu_ataskaita!$L$19:$L$600)</f>
        <v>43235</v>
      </c>
      <c r="AA144" s="1361">
        <f t="shared" si="117"/>
        <v>0</v>
      </c>
      <c r="AB144" s="384" t="str">
        <f t="shared" si="125"/>
        <v>–</v>
      </c>
    </row>
    <row r="145" spans="1:28" ht="60.75">
      <c r="A145" s="375" t="str">
        <f>CONCATENATE('3 pr-2'!A145)</f>
        <v>2.1.2.3.4</v>
      </c>
      <c r="B145" s="221" t="str">
        <f>CONCATENATE('3 pr-2'!B145)</f>
        <v>R01-6615-470000-2234</v>
      </c>
      <c r="C145" s="373" t="str">
        <f>CONCATENATE('ketv. 2'!B144)</f>
        <v>08.4.2-ESFA-R-615-11-0002</v>
      </c>
      <c r="D145" s="375" t="str">
        <f>CONCATENATE('3 pr-2'!D145)</f>
        <v>Ambulatorinių sveikatos priežiūros paslaugų tuberkulioze sergantiems asmenims prieinamumo gerinimas Druskininkų savivaldybėje</v>
      </c>
      <c r="E145" s="375" t="str">
        <f>CONCATENATE('3 pr-2'!E145)</f>
        <v>Druskininkų pirminės sveikatos priežiūros centras</v>
      </c>
      <c r="F145" s="375" t="str">
        <f>CONCATENATE('3 pr-2'!F145)</f>
        <v>Lietuvos Respublikos Sveikatos apsaugos ministerija</v>
      </c>
      <c r="G145" s="375" t="str">
        <f>CONCATENATE('3 pr-2'!G145)</f>
        <v>Druskininkų sav.</v>
      </c>
      <c r="H145" s="375" t="str">
        <f>CONCATENATE('3 pr-2'!H145)</f>
        <v>08.4.2-ESFA-R-615</v>
      </c>
      <c r="I145" s="375" t="str">
        <f>CONCATENATE('3 pr-2'!I145)</f>
        <v>R</v>
      </c>
      <c r="J145" s="375" t="str">
        <f>CONCATENATE('3 pr-2'!J145)</f>
        <v>-</v>
      </c>
      <c r="K145" s="1173">
        <f>IF(Z145&gt;0,'3 pr-2'!L145,0)</f>
        <v>6816</v>
      </c>
      <c r="L145" s="1173">
        <f>IF(Z145&gt;0,'3 pr-2'!O145,0)</f>
        <v>0</v>
      </c>
      <c r="M145" s="1173">
        <f>IF(Z145&gt;0,'3 pr-2'!R145,0)</f>
        <v>511.2</v>
      </c>
      <c r="N145" s="1173">
        <f>IF(Z145&gt;0,'3 pr-2'!U145,0)</f>
        <v>0</v>
      </c>
      <c r="O145" s="1173">
        <f>IF(Z145&gt;0,'3 pr-2'!X145,0)</f>
        <v>511.2</v>
      </c>
      <c r="P145" s="1173">
        <f>IF(Z145&gt;0,'3 pr-2'!AA145,0)</f>
        <v>5793.6</v>
      </c>
      <c r="Q145" s="1173">
        <f>IF(YEAR(Z145)=2016,P145,0)</f>
        <v>0</v>
      </c>
      <c r="R145" s="1173">
        <f>IF(YEAR(Z145)=2017,P145,0)</f>
        <v>0</v>
      </c>
      <c r="S145" s="1173">
        <f>IF(YEAR(Z145)=2018,P145,0)</f>
        <v>5793.6</v>
      </c>
      <c r="T145" s="1173">
        <f>IF(YEAR(Z145)=2019,P145,0)</f>
        <v>0</v>
      </c>
      <c r="U145" s="1173">
        <f>IF(YEAR(Z145)=2020,P145,0)</f>
        <v>0</v>
      </c>
      <c r="V145" s="1164">
        <f>IF(Z145&gt;0,'3 pr-2'!$AB$10,0)</f>
        <v>0</v>
      </c>
      <c r="W145" s="1112">
        <f>SUM('3 pr-2'!AI145)</f>
        <v>43344</v>
      </c>
      <c r="X145" s="1133">
        <f t="shared" si="116"/>
        <v>43322</v>
      </c>
      <c r="Y145" s="992" t="str">
        <f t="shared" si="124"/>
        <v>–</v>
      </c>
      <c r="Z145" s="1339">
        <f>SUMIF(Projektu_sutarciu_ataskaita!$J$19:$J$600,C145,Projektu_sutarciu_ataskaita!$L$19:$L$600)</f>
        <v>43322</v>
      </c>
      <c r="AA145" s="1361">
        <f t="shared" si="117"/>
        <v>0.73333333333333328</v>
      </c>
      <c r="AB145" s="384" t="str">
        <f t="shared" si="125"/>
        <v>–</v>
      </c>
    </row>
    <row r="146" spans="1:28" ht="61.5" thickBot="1">
      <c r="A146" s="375" t="str">
        <f>CONCATENATE('3 pr-2'!A146)</f>
        <v>2.1.2.3.5</v>
      </c>
      <c r="B146" s="221" t="str">
        <f>CONCATENATE('3 pr-2'!B146)</f>
        <v>R01-6615-470000-2235</v>
      </c>
      <c r="C146" s="373" t="str">
        <f>CONCATENATE('ketv. 2'!B145)</f>
        <v>08.4.2-ESFA-R-615-11-0003</v>
      </c>
      <c r="D146" s="375" t="str">
        <f>CONCATENATE('3 pr-2'!D146)</f>
        <v>Ambulatorinių sveikatos priežiūros paslaugų prieinamumo gerinimas tuberkulioze sergantiems asmenims Varėnos rajono savivaldybėje</v>
      </c>
      <c r="E146" s="375" t="str">
        <f>CONCATENATE('3 pr-2'!E146)</f>
        <v>Varėnos rajono savivaldybės administracija</v>
      </c>
      <c r="F146" s="375" t="str">
        <f>CONCATENATE('3 pr-2'!F146)</f>
        <v>Lietuvos Respublikos Sveikatos apsaugos ministerija</v>
      </c>
      <c r="G146" s="375" t="str">
        <f>CONCATENATE('3 pr-2'!G146)</f>
        <v>Varėnos r. sav.</v>
      </c>
      <c r="H146" s="375" t="str">
        <f>CONCATENATE('3 pr-2'!H146)</f>
        <v>08.4.2-ESFA-R-615</v>
      </c>
      <c r="I146" s="375" t="str">
        <f>CONCATENATE('3 pr-2'!I146)</f>
        <v>R</v>
      </c>
      <c r="J146" s="375" t="str">
        <f>CONCATENATE('3 pr-2'!J146)</f>
        <v>-</v>
      </c>
      <c r="K146" s="1173">
        <f>IF(Z146&gt;0,'3 pr-2'!L146,0)</f>
        <v>15679</v>
      </c>
      <c r="L146" s="1173">
        <f>IF(Z146&gt;0,'3 pr-2'!O146,0)</f>
        <v>1176</v>
      </c>
      <c r="M146" s="1173">
        <f>IF(Z146&gt;0,'3 pr-2'!R146,0)</f>
        <v>1176</v>
      </c>
      <c r="N146" s="1173">
        <f>IF(Z146&gt;0,'3 pr-2'!U146,0)</f>
        <v>0</v>
      </c>
      <c r="O146" s="1173">
        <f>IF(Z146&gt;0,'3 pr-2'!X146,0)</f>
        <v>0</v>
      </c>
      <c r="P146" s="1173">
        <f>IF(Z146&gt;0,'3 pr-2'!AA146,0)</f>
        <v>13327</v>
      </c>
      <c r="Q146" s="1173">
        <f>IF(YEAR(Z146)=2016,P146,0)</f>
        <v>0</v>
      </c>
      <c r="R146" s="1173">
        <f>IF(YEAR(Z146)=2017,P146,0)</f>
        <v>0</v>
      </c>
      <c r="S146" s="1173">
        <f>IF(YEAR(Z146)=2018,P146,0)</f>
        <v>13327</v>
      </c>
      <c r="T146" s="1173">
        <f>IF(YEAR(Z146)=2019,P146,0)</f>
        <v>0</v>
      </c>
      <c r="U146" s="1173">
        <f>IF(YEAR(Z146)=2020,P146,0)</f>
        <v>0</v>
      </c>
      <c r="V146" s="1164">
        <f>IF(Z146&gt;0,'3 pr-2'!$AB$10,0)</f>
        <v>0</v>
      </c>
      <c r="W146" s="1112">
        <f>SUM('3 pr-2'!AI146)</f>
        <v>43358</v>
      </c>
      <c r="X146" s="1133">
        <f t="shared" si="116"/>
        <v>43349</v>
      </c>
      <c r="Y146" s="992" t="str">
        <f t="shared" si="124"/>
        <v>–</v>
      </c>
      <c r="Z146" s="1339">
        <f>SUMIF(Projektu_sutarciu_ataskaita!$J$19:$J$600,C146,Projektu_sutarciu_ataskaita!$L$19:$L$600)</f>
        <v>43349</v>
      </c>
      <c r="AA146" s="1361">
        <f t="shared" si="117"/>
        <v>0.3</v>
      </c>
      <c r="AB146" s="384" t="str">
        <f t="shared" si="125"/>
        <v>–</v>
      </c>
    </row>
    <row r="147" spans="1:28" ht="36.75" customHeight="1" thickBot="1">
      <c r="A147" s="238" t="str">
        <f>CONCATENATE('3 pr-2'!A147)</f>
        <v>2.1.3.</v>
      </c>
      <c r="B147" s="2085" t="str">
        <f>CONCATENATE('3 pr-2'!B147)</f>
        <v>Uždavinys:
Socialinio būsto ir socialinių paslaugų prieinamumo pažeidžiamiausioms gyventojų grupėms padidinimas</v>
      </c>
      <c r="C147" s="2086"/>
      <c r="D147" s="2086"/>
      <c r="E147" s="2086"/>
      <c r="F147" s="2086"/>
      <c r="G147" s="2086"/>
      <c r="H147" s="2086"/>
      <c r="I147" s="2086"/>
      <c r="J147" s="2087"/>
      <c r="K147" s="1158">
        <f>SUM(K148+K154)</f>
        <v>4201522.92</v>
      </c>
      <c r="L147" s="1158">
        <f t="shared" ref="L147:P147" si="126">SUM(L148+L154)</f>
        <v>772840.28</v>
      </c>
      <c r="M147" s="1158">
        <f t="shared" si="126"/>
        <v>21947.85</v>
      </c>
      <c r="N147" s="1158">
        <f t="shared" si="126"/>
        <v>0</v>
      </c>
      <c r="O147" s="1158">
        <f t="shared" si="126"/>
        <v>0</v>
      </c>
      <c r="P147" s="1158">
        <f t="shared" si="126"/>
        <v>3406734.7899999996</v>
      </c>
      <c r="Q147" s="1158"/>
      <c r="R147" s="1158"/>
      <c r="S147" s="1158"/>
      <c r="T147" s="1158"/>
      <c r="U147" s="1158"/>
      <c r="V147" s="1158">
        <f t="shared" ref="V147" si="127">SUM(V148+V154)</f>
        <v>0</v>
      </c>
      <c r="W147" s="1107" t="s">
        <v>679</v>
      </c>
      <c r="X147" s="1332" t="str">
        <f t="shared" si="116"/>
        <v> </v>
      </c>
      <c r="Y147" s="1364" t="str">
        <f t="shared" si="123"/>
        <v>–</v>
      </c>
      <c r="Z147" s="1357" t="s">
        <v>679</v>
      </c>
      <c r="AA147" s="1358" t="e">
        <f t="shared" si="117"/>
        <v>#VALUE!</v>
      </c>
      <c r="AB147" s="365"/>
    </row>
    <row r="148" spans="1:28" ht="36.75" customHeight="1" thickBot="1">
      <c r="A148" s="296" t="str">
        <f>CONCATENATE('3 pr-2'!A148)</f>
        <v>2.1.3.1</v>
      </c>
      <c r="B148" s="2088" t="str">
        <f>CONCATENATE('3 pr-2'!B148)</f>
        <v>Priemonė:
Socialinių paslaugų infrastruktūros plėtra</v>
      </c>
      <c r="C148" s="2089"/>
      <c r="D148" s="2089"/>
      <c r="E148" s="2089"/>
      <c r="F148" s="2089"/>
      <c r="G148" s="2089"/>
      <c r="H148" s="2089"/>
      <c r="I148" s="2089"/>
      <c r="J148" s="2090"/>
      <c r="K148" s="1077">
        <f>SUM(K149:K153)</f>
        <v>1235321.8</v>
      </c>
      <c r="L148" s="1077">
        <f t="shared" ref="L148:P148" si="128">SUM(L149:L153)</f>
        <v>327612.79999999999</v>
      </c>
      <c r="M148" s="1077">
        <f t="shared" si="128"/>
        <v>21947.85</v>
      </c>
      <c r="N148" s="1077">
        <f t="shared" si="128"/>
        <v>0</v>
      </c>
      <c r="O148" s="1077">
        <f t="shared" si="128"/>
        <v>0</v>
      </c>
      <c r="P148" s="1077">
        <f t="shared" si="128"/>
        <v>885761.15</v>
      </c>
      <c r="Q148" s="1209">
        <f>SUM(Q149:Q153)</f>
        <v>0</v>
      </c>
      <c r="R148" s="1210">
        <f t="shared" ref="R148:V148" si="129">SUM(R149:R153)</f>
        <v>885761.15</v>
      </c>
      <c r="S148" s="1209">
        <f t="shared" si="129"/>
        <v>0</v>
      </c>
      <c r="T148" s="1210">
        <f t="shared" si="129"/>
        <v>0</v>
      </c>
      <c r="U148" s="1211">
        <f t="shared" si="129"/>
        <v>0</v>
      </c>
      <c r="V148" s="1077">
        <f t="shared" si="129"/>
        <v>0</v>
      </c>
      <c r="W148" s="1150"/>
      <c r="X148" s="1150" t="str">
        <f t="shared" si="116"/>
        <v>–</v>
      </c>
      <c r="Y148" s="1150" t="str">
        <f t="shared" si="123"/>
        <v>–</v>
      </c>
      <c r="Z148" s="1344"/>
      <c r="AA148" s="1338" t="e">
        <f t="shared" si="117"/>
        <v>#VALUE!</v>
      </c>
      <c r="AB148" s="356"/>
    </row>
    <row r="149" spans="1:28" ht="60.75">
      <c r="A149" s="375" t="str">
        <f>CONCATENATE('3 pr-2'!A149)</f>
        <v>2.1.3.1.1</v>
      </c>
      <c r="B149" s="221" t="str">
        <f>CONCATENATE('3 pr-2'!B149)</f>
        <v>R01-4407-270000-2311</v>
      </c>
      <c r="C149" s="995" t="str">
        <f>CONCATENATE('ketv. 2'!B148)</f>
        <v>08.1.1-CPVA-R-407-11-0002</v>
      </c>
      <c r="D149" s="375" t="str">
        <f>CONCATENATE('3 pr-2'!D149)</f>
        <v>Socialinių paslaugų infrastruktūros plėtra Varėnos rajono savivaldybėje</v>
      </c>
      <c r="E149" s="375" t="str">
        <f>CONCATENATE('3 pr-2'!E149)</f>
        <v>Varėnos rajono savivaldybės administracija</v>
      </c>
      <c r="F149" s="375" t="str">
        <f>CONCATENATE('3 pr-2'!F149)</f>
        <v>Lietuvos Respublikos socialinės apsaugos ir darbo ministerija</v>
      </c>
      <c r="G149" s="375" t="str">
        <f>CONCATENATE('3 pr-2'!G149)</f>
        <v>Varėnos r. sav.</v>
      </c>
      <c r="H149" s="375" t="str">
        <f>CONCATENATE('3 pr-2'!H149)</f>
        <v>08.1.1-CPVA-R-407</v>
      </c>
      <c r="I149" s="375" t="str">
        <f>CONCATENATE('3 pr-2'!I149)</f>
        <v>R</v>
      </c>
      <c r="J149" s="375" t="str">
        <f>CONCATENATE('3 pr-2'!J149)</f>
        <v>-</v>
      </c>
      <c r="K149" s="1080">
        <f>IF(Z149&gt;0,'3 pr-2'!L149,0)</f>
        <v>148480</v>
      </c>
      <c r="L149" s="1080">
        <f>IF(Z149&gt;0,'3 pr-2'!O149,0)</f>
        <v>22272</v>
      </c>
      <c r="M149" s="1080">
        <f>IF(Z149&gt;0,'3 pr-2'!R149,0)</f>
        <v>0</v>
      </c>
      <c r="N149" s="1080">
        <f>IF(Z149&gt;0,'3 pr-2'!U149,0)</f>
        <v>0</v>
      </c>
      <c r="O149" s="1080">
        <f>IF(Z149&gt;0,'3 pr-2'!X149,0)</f>
        <v>0</v>
      </c>
      <c r="P149" s="1080">
        <f>IF(Z149&gt;0,'3 pr-2'!AA149,0)</f>
        <v>126208</v>
      </c>
      <c r="Q149" s="1173">
        <f>IF(YEAR(Z149)=2016,P149,0)</f>
        <v>0</v>
      </c>
      <c r="R149" s="1173">
        <f>IF(YEAR(Z149)=2017,P149,0)</f>
        <v>126208</v>
      </c>
      <c r="S149" s="1173">
        <f>IF(YEAR(Z149)=2018,P149,0)</f>
        <v>0</v>
      </c>
      <c r="T149" s="1173">
        <f>IF(YEAR(Z149)=2019,P149,0)</f>
        <v>0</v>
      </c>
      <c r="U149" s="1173">
        <f>IF(YEAR(Z149)=2020,P149,0)</f>
        <v>0</v>
      </c>
      <c r="V149" s="1164">
        <f>IF(Z149&gt;0,'3 pr-2'!$AB$10,0)</f>
        <v>0</v>
      </c>
      <c r="W149" s="1112">
        <f>SUM('3 pr-2'!AI149)</f>
        <v>42855</v>
      </c>
      <c r="X149" s="1133">
        <f t="shared" si="116"/>
        <v>42849</v>
      </c>
      <c r="Y149" s="992" t="str">
        <f t="shared" ref="Y149:Y153" si="130">IF(ISTEXT(X149),"–",IF((W149-X149)/30&gt;0,"–",(W149-X149)/30))</f>
        <v>–</v>
      </c>
      <c r="Z149" s="1339">
        <f>SUMIF(Projektu_sutarciu_ataskaita!$J$19:$J$600,C149,Projektu_sutarciu_ataskaita!$L$19:$L$600)</f>
        <v>42849</v>
      </c>
      <c r="AA149" s="1346">
        <f t="shared" si="117"/>
        <v>0.2</v>
      </c>
      <c r="AB149" s="384" t="str">
        <f t="shared" ref="AB149:AB153" si="131">IF(W149-Z149&lt;0,(W149-Z149)/30.4166666666667,"–")</f>
        <v>–</v>
      </c>
    </row>
    <row r="150" spans="1:28" ht="60.75">
      <c r="A150" s="375" t="str">
        <f>CONCATENATE('3 pr-2'!A150)</f>
        <v>2.1.3.1.2</v>
      </c>
      <c r="B150" s="221" t="str">
        <f>CONCATENATE('3 pr-2'!B150)</f>
        <v>R01-4407-274800-2312</v>
      </c>
      <c r="C150" s="995" t="str">
        <f>CONCATENATE('ketv. 2'!B149)</f>
        <v>08.1.1-CPVA-R-407-11-0004</v>
      </c>
      <c r="D150" s="375" t="str">
        <f>CONCATENATE('3 pr-2'!D150)</f>
        <v>Psichosocialinės pagalbos centro įkūrimas</v>
      </c>
      <c r="E150" s="375" t="str">
        <f>CONCATENATE('3 pr-2'!E150)</f>
        <v>Alytaus rajono savivaldybės administracija</v>
      </c>
      <c r="F150" s="375" t="str">
        <f>CONCATENATE('3 pr-2'!F150)</f>
        <v>Lietuvos Respublikos socialinės apsaugos ir darbo ministerija</v>
      </c>
      <c r="G150" s="375" t="str">
        <f>CONCATENATE('3 pr-2'!G150)</f>
        <v>Alytaus r. sav.</v>
      </c>
      <c r="H150" s="375" t="str">
        <f>CONCATENATE('3 pr-2'!H150)</f>
        <v>08.1.1-CPVA-R-407</v>
      </c>
      <c r="I150" s="375" t="str">
        <f>CONCATENATE('3 pr-2'!I150)</f>
        <v>R</v>
      </c>
      <c r="J150" s="375" t="str">
        <f>CONCATENATE('3 pr-2'!J150)</f>
        <v/>
      </c>
      <c r="K150" s="1080">
        <f>IF(Z150&gt;0,'3 pr-2'!L150,0)</f>
        <v>188353</v>
      </c>
      <c r="L150" s="1080">
        <f>IF(Z150&gt;0,'3 pr-2'!O150,0)</f>
        <v>28253</v>
      </c>
      <c r="M150" s="1080">
        <f>IF(Z150&gt;0,'3 pr-2'!R150,0)</f>
        <v>0</v>
      </c>
      <c r="N150" s="1080">
        <f>IF(Z150&gt;0,'3 pr-2'!U150,0)</f>
        <v>0</v>
      </c>
      <c r="O150" s="1080">
        <f>IF(Z150&gt;0,'3 pr-2'!X150,0)</f>
        <v>0</v>
      </c>
      <c r="P150" s="1080">
        <f>IF(Z150&gt;0,'3 pr-2'!AA150,0)</f>
        <v>160100</v>
      </c>
      <c r="Q150" s="1173">
        <f>IF(YEAR(Z150)=2016,P150,0)</f>
        <v>0</v>
      </c>
      <c r="R150" s="1173">
        <f>IF(YEAR(Z150)=2017,P150,0)</f>
        <v>160100</v>
      </c>
      <c r="S150" s="1173">
        <f>IF(YEAR(Z150)=2018,P150,0)</f>
        <v>0</v>
      </c>
      <c r="T150" s="1173">
        <f>IF(YEAR(Z150)=2019,P150,0)</f>
        <v>0</v>
      </c>
      <c r="U150" s="1173">
        <f>IF(YEAR(Z150)=2020,P150,0)</f>
        <v>0</v>
      </c>
      <c r="V150" s="1164">
        <f>IF(Z150&gt;0,'3 pr-2'!$AB$10,0)</f>
        <v>0</v>
      </c>
      <c r="W150" s="1112">
        <f>SUM('3 pr-2'!AI150)</f>
        <v>42888</v>
      </c>
      <c r="X150" s="1133">
        <f t="shared" si="116"/>
        <v>42888</v>
      </c>
      <c r="Y150" s="992">
        <f t="shared" si="130"/>
        <v>0</v>
      </c>
      <c r="Z150" s="1339">
        <f>SUMIF(Projektu_sutarciu_ataskaita!$J$19:$J$600,C150,Projektu_sutarciu_ataskaita!$L$19:$L$600)</f>
        <v>42888</v>
      </c>
      <c r="AA150" s="1346">
        <f t="shared" si="117"/>
        <v>0</v>
      </c>
      <c r="AB150" s="384" t="str">
        <f t="shared" si="131"/>
        <v>–</v>
      </c>
    </row>
    <row r="151" spans="1:28" ht="60.75">
      <c r="A151" s="375" t="str">
        <f>CONCATENATE('3 pr-2'!A151)</f>
        <v>2.1.3.1.3</v>
      </c>
      <c r="B151" s="221" t="str">
        <f>CONCATENATE('3 pr-2'!B151)</f>
        <v>R01-4407-270000-2313</v>
      </c>
      <c r="C151" s="995" t="str">
        <f>CONCATENATE('ketv. 2'!B150)</f>
        <v>08.1.1-CPVA-R-407-11-0005</v>
      </c>
      <c r="D151" s="375" t="str">
        <f>CONCATENATE('3 pr-2'!D151)</f>
        <v>Socialinių paslaugų plėtra Alytaus mieste</v>
      </c>
      <c r="E151" s="375" t="str">
        <f>CONCATENATE('3 pr-2'!E151)</f>
        <v>Alytaus miesto savivaldybės administracija</v>
      </c>
      <c r="F151" s="375" t="str">
        <f>CONCATENATE('3 pr-2'!F151)</f>
        <v>Lietuvos Respublikos socialinės apsaugos ir darbo ministerija</v>
      </c>
      <c r="G151" s="375" t="str">
        <f>CONCATENATE('3 pr-2'!G151)</f>
        <v>Alytaus m. sav.</v>
      </c>
      <c r="H151" s="375" t="str">
        <f>CONCATENATE('3 pr-2'!H151)</f>
        <v>08.1.1-CPVA-R-407</v>
      </c>
      <c r="I151" s="375" t="str">
        <f>CONCATENATE('3 pr-2'!I151)</f>
        <v>R</v>
      </c>
      <c r="J151" s="375" t="str">
        <f>CONCATENATE('3 pr-2'!J151)</f>
        <v>-</v>
      </c>
      <c r="K151" s="1080">
        <f>IF(Z151&gt;0,'3 pr-2'!L151,0)</f>
        <v>600732.80000000005</v>
      </c>
      <c r="L151" s="1080">
        <f>IF(Z151&gt;0,'3 pr-2'!O151,0)</f>
        <v>254371.8</v>
      </c>
      <c r="M151" s="1080">
        <f>IF(Z151&gt;0,'3 pr-2'!R151,0)</f>
        <v>0</v>
      </c>
      <c r="N151" s="1080">
        <f>IF(Z151&gt;0,'3 pr-2'!U151,0)</f>
        <v>0</v>
      </c>
      <c r="O151" s="1080">
        <f>IF(Z151&gt;0,'3 pr-2'!X151,0)</f>
        <v>0</v>
      </c>
      <c r="P151" s="1080">
        <f>IF(Z151&gt;0,'3 pr-2'!AA151,0)</f>
        <v>346361</v>
      </c>
      <c r="Q151" s="1173">
        <f>IF(YEAR(Z151)=2016,P151,0)</f>
        <v>0</v>
      </c>
      <c r="R151" s="1173">
        <f>IF(YEAR(Z151)=2017,P151,0)</f>
        <v>346361</v>
      </c>
      <c r="S151" s="1173">
        <f>IF(YEAR(Z151)=2018,P151,0)</f>
        <v>0</v>
      </c>
      <c r="T151" s="1173">
        <f>IF(YEAR(Z151)=2019,P151,0)</f>
        <v>0</v>
      </c>
      <c r="U151" s="1173">
        <f>IF(YEAR(Z151)=2020,P151,0)</f>
        <v>0</v>
      </c>
      <c r="V151" s="1164">
        <f>IF(Z151&gt;0,'3 pr-2'!$AB$10,0)</f>
        <v>0</v>
      </c>
      <c r="W151" s="1112">
        <f>SUM('3 pr-2'!AI151)</f>
        <v>42936</v>
      </c>
      <c r="X151" s="1133">
        <f t="shared" si="116"/>
        <v>42936</v>
      </c>
      <c r="Y151" s="992">
        <f t="shared" si="130"/>
        <v>0</v>
      </c>
      <c r="Z151" s="1339">
        <f>SUMIF(Projektu_sutarciu_ataskaita!$J$19:$J$600,C151,Projektu_sutarciu_ataskaita!$L$19:$L$600)</f>
        <v>42936</v>
      </c>
      <c r="AA151" s="1346">
        <f t="shared" si="117"/>
        <v>0</v>
      </c>
      <c r="AB151" s="384" t="str">
        <f t="shared" si="131"/>
        <v>–</v>
      </c>
    </row>
    <row r="152" spans="1:28" ht="60.75">
      <c r="A152" s="375" t="str">
        <f>CONCATENATE('3 pr-2'!A152)</f>
        <v>2.1.3.1.4</v>
      </c>
      <c r="B152" s="221" t="str">
        <f>CONCATENATE('3 pr-2'!B152)</f>
        <v>R01-4407-270000-2314</v>
      </c>
      <c r="C152" s="995" t="str">
        <f>CONCATENATE('ketv. 2'!B151)</f>
        <v>08.1.1-CPVA-R-407-11-0001</v>
      </c>
      <c r="D152" s="375" t="str">
        <f>CONCATENATE('3 pr-2'!D152)</f>
        <v>Socialinių paslaugų infrastruktūros plėtra Druskininkų savivaldybėje</v>
      </c>
      <c r="E152" s="375" t="str">
        <f>CONCATENATE('3 pr-2'!E152)</f>
        <v>Druskininkų savivaldybės administracija</v>
      </c>
      <c r="F152" s="375" t="str">
        <f>CONCATENATE('3 pr-2'!F152)</f>
        <v>Lietuvos Respublikos socialinės apsaugos ir darbo ministerija</v>
      </c>
      <c r="G152" s="375" t="str">
        <f>CONCATENATE('3 pr-2'!G152)</f>
        <v>Druskininkų sav.</v>
      </c>
      <c r="H152" s="375" t="str">
        <f>CONCATENATE('3 pr-2'!H152)</f>
        <v>08.1.1-CPVA-R-407</v>
      </c>
      <c r="I152" s="375" t="str">
        <f>CONCATENATE('3 pr-2'!I152)</f>
        <v>R</v>
      </c>
      <c r="J152" s="375" t="str">
        <f>CONCATENATE('3 pr-2'!J152)</f>
        <v>-</v>
      </c>
      <c r="K152" s="1080">
        <f>IF(Z152&gt;0,'3 pr-2'!L152,0)</f>
        <v>151437</v>
      </c>
      <c r="L152" s="1080">
        <f>IF(Z152&gt;0,'3 pr-2'!O152,0)</f>
        <v>22716</v>
      </c>
      <c r="M152" s="1080">
        <f>IF(Z152&gt;0,'3 pr-2'!R152,0)</f>
        <v>0</v>
      </c>
      <c r="N152" s="1080">
        <f>IF(Z152&gt;0,'3 pr-2'!U152,0)</f>
        <v>0</v>
      </c>
      <c r="O152" s="1080">
        <f>IF(Z152&gt;0,'3 pr-2'!X152,0)</f>
        <v>0</v>
      </c>
      <c r="P152" s="1080">
        <f>IF(Z152&gt;0,'3 pr-2'!AA152,0)</f>
        <v>128721</v>
      </c>
      <c r="Q152" s="1173">
        <f>IF(YEAR(Z152)=2016,P152,0)</f>
        <v>0</v>
      </c>
      <c r="R152" s="1173">
        <f>IF(YEAR(Z152)=2017,P152,0)</f>
        <v>128721</v>
      </c>
      <c r="S152" s="1173">
        <f>IF(YEAR(Z152)=2018,P152,0)</f>
        <v>0</v>
      </c>
      <c r="T152" s="1173">
        <f>IF(YEAR(Z152)=2019,P152,0)</f>
        <v>0</v>
      </c>
      <c r="U152" s="1173">
        <f>IF(YEAR(Z152)=2020,P152,0)</f>
        <v>0</v>
      </c>
      <c r="V152" s="1164">
        <f>IF(Z152&gt;0,'3 pr-2'!$AB$10,0)</f>
        <v>0</v>
      </c>
      <c r="W152" s="1112">
        <f>SUM('3 pr-2'!AI152)</f>
        <v>42855</v>
      </c>
      <c r="X152" s="1133">
        <f t="shared" si="116"/>
        <v>42851</v>
      </c>
      <c r="Y152" s="992" t="str">
        <f t="shared" si="130"/>
        <v>–</v>
      </c>
      <c r="Z152" s="1339">
        <f>SUMIF(Projektu_sutarciu_ataskaita!$J$19:$J$600,C152,Projektu_sutarciu_ataskaita!$L$19:$L$600)</f>
        <v>42851</v>
      </c>
      <c r="AA152" s="1346">
        <f t="shared" si="117"/>
        <v>0.13333333333333333</v>
      </c>
      <c r="AB152" s="384" t="str">
        <f t="shared" si="131"/>
        <v>–</v>
      </c>
    </row>
    <row r="153" spans="1:28" ht="61.5" thickBot="1">
      <c r="A153" s="375" t="str">
        <f>CONCATENATE('3 pr-2'!A153)</f>
        <v>2.1.3.1.5</v>
      </c>
      <c r="B153" s="221" t="str">
        <f>CONCATENATE('3 pr-2'!B153)</f>
        <v>R01-4407-270000-2315</v>
      </c>
      <c r="C153" s="995" t="str">
        <f>CONCATENATE('ketv. 2'!B152)</f>
        <v>08.1.1-CPVA-R-407-11-0003</v>
      </c>
      <c r="D153" s="375" t="str">
        <f>CONCATENATE('3 pr-2'!D153)</f>
        <v>Socialinių paslaugų infrastruktūros modernizavimas ir plėtra VšĮ Kapčiamiesčio globos namuose</v>
      </c>
      <c r="E153" s="375" t="str">
        <f>CONCATENATE('3 pr-2'!E153)</f>
        <v>VšĮ Kapčiamiesčio globos namai</v>
      </c>
      <c r="F153" s="375" t="str">
        <f>CONCATENATE('3 pr-2'!F153)</f>
        <v>Lietuvos Respublikos socialinės apsaugos ir darbo ministerija</v>
      </c>
      <c r="G153" s="375" t="str">
        <f>CONCATENATE('3 pr-2'!G153)</f>
        <v>Lazdijų r. sav.</v>
      </c>
      <c r="H153" s="375" t="str">
        <f>CONCATENATE('3 pr-2'!H153)</f>
        <v>08.1.1-CPVA-R-407</v>
      </c>
      <c r="I153" s="375" t="str">
        <f>CONCATENATE('3 pr-2'!I153)</f>
        <v>R</v>
      </c>
      <c r="J153" s="375" t="str">
        <f>CONCATENATE('3 pr-2'!J153)</f>
        <v>-</v>
      </c>
      <c r="K153" s="1080">
        <f>IF(Z153&gt;0,'3 pr-2'!L153,0)</f>
        <v>146319</v>
      </c>
      <c r="L153" s="1080">
        <f>IF(Z153&gt;0,'3 pr-2'!O153,0)</f>
        <v>0</v>
      </c>
      <c r="M153" s="1080">
        <f>IF(Z153&gt;0,'3 pr-2'!R153,0)</f>
        <v>21947.85</v>
      </c>
      <c r="N153" s="1080">
        <f>IF(Z153&gt;0,'3 pr-2'!U153,0)</f>
        <v>0</v>
      </c>
      <c r="O153" s="1080">
        <f>IF(Z153&gt;0,'3 pr-2'!X153,0)</f>
        <v>0</v>
      </c>
      <c r="P153" s="1080">
        <f>IF(Z153&gt;0,'3 pr-2'!AA153,0)</f>
        <v>124371.15</v>
      </c>
      <c r="Q153" s="1173">
        <f>IF(YEAR(Z153)=2016,P153,0)</f>
        <v>0</v>
      </c>
      <c r="R153" s="1173">
        <f>IF(YEAR(Z153)=2017,P153,0)</f>
        <v>124371.15</v>
      </c>
      <c r="S153" s="1173">
        <f>IF(YEAR(Z153)=2018,P153,0)</f>
        <v>0</v>
      </c>
      <c r="T153" s="1173">
        <f>IF(YEAR(Z153)=2019,P153,0)</f>
        <v>0</v>
      </c>
      <c r="U153" s="1173">
        <f>IF(YEAR(Z153)=2020,P153,0)</f>
        <v>0</v>
      </c>
      <c r="V153" s="1164">
        <f>IF(Z153&gt;0,'3 pr-2'!$AB$10,0)</f>
        <v>0</v>
      </c>
      <c r="W153" s="1112">
        <f>SUM('3 pr-2'!AI153)</f>
        <v>42855</v>
      </c>
      <c r="X153" s="1133">
        <f t="shared" si="116"/>
        <v>42825</v>
      </c>
      <c r="Y153" s="992" t="str">
        <f t="shared" si="130"/>
        <v>–</v>
      </c>
      <c r="Z153" s="1339">
        <f>SUMIF(Projektu_sutarciu_ataskaita!$J$19:$J$600,C153,Projektu_sutarciu_ataskaita!$L$19:$L$600)</f>
        <v>42825</v>
      </c>
      <c r="AA153" s="1346">
        <f t="shared" si="117"/>
        <v>1</v>
      </c>
      <c r="AB153" s="384" t="str">
        <f t="shared" si="131"/>
        <v>–</v>
      </c>
    </row>
    <row r="154" spans="1:28" ht="39" customHeight="1" thickBot="1">
      <c r="A154" s="296" t="str">
        <f>CONCATENATE('3 pr-2'!A154)</f>
        <v>2.1.3.2</v>
      </c>
      <c r="B154" s="2088" t="str">
        <f>CONCATENATE('3 pr-2'!B154)</f>
        <v>Priemonė:
Socialinio būsto fondo plėtra</v>
      </c>
      <c r="C154" s="2089"/>
      <c r="D154" s="2089"/>
      <c r="E154" s="2089"/>
      <c r="F154" s="2089"/>
      <c r="G154" s="2089"/>
      <c r="H154" s="2089"/>
      <c r="I154" s="2089"/>
      <c r="J154" s="2090"/>
      <c r="K154" s="1077">
        <f>SUM(K155:K159)</f>
        <v>2966201.12</v>
      </c>
      <c r="L154" s="1077">
        <f t="shared" ref="L154:P154" si="132">SUM(L155:L159)</f>
        <v>445227.48000000004</v>
      </c>
      <c r="M154" s="1077">
        <f t="shared" si="132"/>
        <v>0</v>
      </c>
      <c r="N154" s="1077">
        <f t="shared" si="132"/>
        <v>0</v>
      </c>
      <c r="O154" s="1077">
        <f t="shared" si="132"/>
        <v>0</v>
      </c>
      <c r="P154" s="1077">
        <f t="shared" si="132"/>
        <v>2520973.6399999997</v>
      </c>
      <c r="Q154" s="1209">
        <f>SUM(Q155:Q159)</f>
        <v>2520973.6399999997</v>
      </c>
      <c r="R154" s="1210">
        <f t="shared" ref="R154:V154" si="133">SUM(R155:R159)</f>
        <v>0</v>
      </c>
      <c r="S154" s="1209">
        <f t="shared" si="133"/>
        <v>0</v>
      </c>
      <c r="T154" s="1210">
        <f t="shared" si="133"/>
        <v>0</v>
      </c>
      <c r="U154" s="1211">
        <f t="shared" si="133"/>
        <v>0</v>
      </c>
      <c r="V154" s="1077">
        <f t="shared" si="133"/>
        <v>0</v>
      </c>
      <c r="W154" s="1150"/>
      <c r="X154" s="1150" t="str">
        <f t="shared" si="116"/>
        <v>–</v>
      </c>
      <c r="Y154" s="1150" t="str">
        <f t="shared" si="123"/>
        <v>–</v>
      </c>
      <c r="Z154" s="1344"/>
      <c r="AA154" s="1338" t="e">
        <f t="shared" si="117"/>
        <v>#VALUE!</v>
      </c>
      <c r="AB154" s="356"/>
    </row>
    <row r="155" spans="1:28" ht="60.75">
      <c r="A155" s="164" t="str">
        <f>CONCATENATE('3 pr-2'!A155)</f>
        <v>2.1.3.2.1</v>
      </c>
      <c r="B155" s="221" t="str">
        <f>CONCATENATE('3 pr-2'!B155)</f>
        <v>R01-4408-260000-2321</v>
      </c>
      <c r="C155" s="993" t="str">
        <f>CONCATENATE('ketv. 2'!B154)</f>
        <v>08.1.2-CPVA-R-408-11-0001</v>
      </c>
      <c r="D155" s="164" t="str">
        <f>CONCATENATE('3 pr-2'!D155)</f>
        <v>Socialinio būsto plėtra Varėnos rajone</v>
      </c>
      <c r="E155" s="164" t="str">
        <f>CONCATENATE('3 pr-2'!E155)</f>
        <v>Varėnos rajono savivaldybės administracija</v>
      </c>
      <c r="F155" s="164" t="str">
        <f>CONCATENATE('3 pr-2'!F155)</f>
        <v>Lietuvos Respublikos socialinės apsaugos ir darbo ministerija</v>
      </c>
      <c r="G155" s="164" t="str">
        <f>CONCATENATE('3 pr-2'!G155)</f>
        <v>Varėnos r. sav.</v>
      </c>
      <c r="H155" s="164" t="str">
        <f>CONCATENATE('3 pr-2'!H155)</f>
        <v>08.1.2-CPVA-R-408</v>
      </c>
      <c r="I155" s="164" t="str">
        <f>CONCATENATE('3 pr-2'!I155)</f>
        <v>R</v>
      </c>
      <c r="J155" s="164" t="str">
        <f>CONCATENATE('3 pr-2'!J155)</f>
        <v>-</v>
      </c>
      <c r="K155" s="1080">
        <f>IF(Z155&gt;0,'3 pr-2'!L155,0)</f>
        <v>736499</v>
      </c>
      <c r="L155" s="1080">
        <f>IF(Z155&gt;0,'3 pr-2'!O155,0)</f>
        <v>110475</v>
      </c>
      <c r="M155" s="1080">
        <f>IF(Z155&gt;0,'3 pr-2'!R155,0)</f>
        <v>0</v>
      </c>
      <c r="N155" s="1080">
        <f>IF(Z155&gt;0,'3 pr-2'!U155,0)</f>
        <v>0</v>
      </c>
      <c r="O155" s="1080">
        <f>IF(Z155&gt;0,'3 pr-2'!X155,0)</f>
        <v>0</v>
      </c>
      <c r="P155" s="1080">
        <f>IF(Z155&gt;0,'3 pr-2'!AA155,0)</f>
        <v>626024</v>
      </c>
      <c r="Q155" s="1080">
        <f>IF(YEAR(Z155)=2016,P155,0)</f>
        <v>626024</v>
      </c>
      <c r="R155" s="1080">
        <f>IF(YEAR(Z155)=2017,P155,0)</f>
        <v>0</v>
      </c>
      <c r="S155" s="1080">
        <f>IF(YEAR(Z155)=2018,P155,0)</f>
        <v>0</v>
      </c>
      <c r="T155" s="1080">
        <f>IF(YEAR(Z155)=2019,P155,0)</f>
        <v>0</v>
      </c>
      <c r="U155" s="1080">
        <f>IF(YEAR(Z155)=2020,P155,0)</f>
        <v>0</v>
      </c>
      <c r="V155" s="1164">
        <f>IF(Z155&gt;0,'3 pr-2'!$AB$10,0)</f>
        <v>0</v>
      </c>
      <c r="W155" s="1104">
        <f>SUM('3 pr-2'!AI155)</f>
        <v>42735</v>
      </c>
      <c r="X155" s="1132">
        <f t="shared" si="116"/>
        <v>42605</v>
      </c>
      <c r="Y155" s="992" t="str">
        <f t="shared" ref="Y155:Y159" si="134">IF(ISTEXT(X155),"–",IF((W155-X155)/30&gt;0,"–",(W155-X155)/30))</f>
        <v>–</v>
      </c>
      <c r="Z155" s="1339">
        <f>SUMIF(Projektu_sutarciu_ataskaita!$J$19:$J$600,C155,Projektu_sutarciu_ataskaita!$L$19:$L$600)</f>
        <v>42605</v>
      </c>
      <c r="AA155" s="1249">
        <f t="shared" si="117"/>
        <v>4.333333333333333</v>
      </c>
      <c r="AB155" s="384" t="str">
        <f t="shared" ref="AB155:AB159" si="135">IF(W155-Z155&lt;0,(W155-Z155)/30.4166666666667,"–")</f>
        <v>–</v>
      </c>
    </row>
    <row r="156" spans="1:28" ht="60.75">
      <c r="A156" s="164" t="str">
        <f>CONCATENATE('3 pr-2'!A156)</f>
        <v>2.1.3.2.2</v>
      </c>
      <c r="B156" s="221" t="str">
        <f>CONCATENATE('3 pr-2'!B156)</f>
        <v>R01-4408-250000-2322</v>
      </c>
      <c r="C156" s="993" t="str">
        <f>CONCATENATE('ketv. 2'!B155)</f>
        <v>08.1.2-CPVA-R-408-11-0005</v>
      </c>
      <c r="D156" s="164" t="str">
        <f>CONCATENATE('3 pr-2'!D156)</f>
        <v>Būsto prieinamumo pažeidžiamoms gyventojų grupėms didinimas Alytaus rajone</v>
      </c>
      <c r="E156" s="164" t="str">
        <f>CONCATENATE('3 pr-2'!E156)</f>
        <v>Alytaus rajono savivaldybės administracija</v>
      </c>
      <c r="F156" s="164" t="str">
        <f>CONCATENATE('3 pr-2'!F156)</f>
        <v>Lietuvos Respublikos socialinės apsaugos ir darbo ministerija</v>
      </c>
      <c r="G156" s="164" t="str">
        <f>CONCATENATE('3 pr-2'!G156)</f>
        <v>Alytaus r. sav.</v>
      </c>
      <c r="H156" s="164" t="str">
        <f>CONCATENATE('3 pr-2'!H156)</f>
        <v>08.1.2-CPVA-R-408</v>
      </c>
      <c r="I156" s="164" t="str">
        <f>CONCATENATE('3 pr-2'!I156)</f>
        <v>R</v>
      </c>
      <c r="J156" s="164" t="str">
        <f>CONCATENATE('3 pr-2'!J156)</f>
        <v>-</v>
      </c>
      <c r="K156" s="1080">
        <f>IF(Z156&gt;0,'3 pr-2'!L156,0)</f>
        <v>241889</v>
      </c>
      <c r="L156" s="1080">
        <f>IF(Z156&gt;0,'3 pr-2'!O156,0)</f>
        <v>36283.35</v>
      </c>
      <c r="M156" s="1080">
        <f>IF(Z156&gt;0,'3 pr-2'!R156,0)</f>
        <v>0</v>
      </c>
      <c r="N156" s="1080">
        <f>IF(Z156&gt;0,'3 pr-2'!U156,0)</f>
        <v>0</v>
      </c>
      <c r="O156" s="1080">
        <f>IF(Z156&gt;0,'3 pr-2'!X156,0)</f>
        <v>0</v>
      </c>
      <c r="P156" s="1080">
        <f>IF(Z156&gt;0,'3 pr-2'!AA156,0)</f>
        <v>205605.65</v>
      </c>
      <c r="Q156" s="1080">
        <f>IF(YEAR(Z156)=2016,P156,0)</f>
        <v>205605.65</v>
      </c>
      <c r="R156" s="1080">
        <f>IF(YEAR(Z156)=2017,P156,0)</f>
        <v>0</v>
      </c>
      <c r="S156" s="1080">
        <f>IF(YEAR(Z156)=2018,P156,0)</f>
        <v>0</v>
      </c>
      <c r="T156" s="1080">
        <f>IF(YEAR(Z156)=2019,P156,0)</f>
        <v>0</v>
      </c>
      <c r="U156" s="1080">
        <f>IF(YEAR(Z156)=2020,P156,0)</f>
        <v>0</v>
      </c>
      <c r="V156" s="1164">
        <f>IF(Z156&gt;0,'3 pr-2'!$AB$10,0)</f>
        <v>0</v>
      </c>
      <c r="W156" s="1104">
        <f>SUM('3 pr-2'!AI156)</f>
        <v>42735</v>
      </c>
      <c r="X156" s="1132">
        <f t="shared" si="116"/>
        <v>42626</v>
      </c>
      <c r="Y156" s="992" t="str">
        <f t="shared" si="134"/>
        <v>–</v>
      </c>
      <c r="Z156" s="1339">
        <f>SUMIF(Projektu_sutarciu_ataskaita!$J$19:$J$600,C156,Projektu_sutarciu_ataskaita!$L$19:$L$600)</f>
        <v>42626</v>
      </c>
      <c r="AA156" s="1249">
        <f t="shared" si="117"/>
        <v>3.6333333333333333</v>
      </c>
      <c r="AB156" s="384" t="str">
        <f t="shared" si="135"/>
        <v>–</v>
      </c>
    </row>
    <row r="157" spans="1:28" ht="60.75">
      <c r="A157" s="164" t="str">
        <f>CONCATENATE('3 pr-2'!A157)</f>
        <v>2.1.3.1.3</v>
      </c>
      <c r="B157" s="221" t="str">
        <f>CONCATENATE('3 pr-2'!B157)</f>
        <v>R01-4408-260000-2323</v>
      </c>
      <c r="C157" s="993" t="str">
        <f>CONCATENATE('ketv. 2'!B156)</f>
        <v>08.1.2-CPVA-R-408-11-0002</v>
      </c>
      <c r="D157" s="164" t="str">
        <f>CONCATENATE('3 pr-2'!D157)</f>
        <v>Socialinio būsto plėtra Alytaus mieste</v>
      </c>
      <c r="E157" s="164" t="str">
        <f>CONCATENATE('3 pr-2'!E157)</f>
        <v>Alytaus miesto savivaldybės administracija</v>
      </c>
      <c r="F157" s="164" t="str">
        <f>CONCATENATE('3 pr-2'!F157)</f>
        <v>Lietuvos Respublikos socialinės apsaugos ir darbo ministerija</v>
      </c>
      <c r="G157" s="164" t="str">
        <f>CONCATENATE('3 pr-2'!G157)</f>
        <v>Alytaus m. sav.</v>
      </c>
      <c r="H157" s="164" t="str">
        <f>CONCATENATE('3 pr-2'!H157)</f>
        <v>08.1.2-CPVA-R-408</v>
      </c>
      <c r="I157" s="164" t="str">
        <f>CONCATENATE('3 pr-2'!I157)</f>
        <v>R</v>
      </c>
      <c r="J157" s="164" t="str">
        <f>CONCATENATE('3 pr-2'!J157)</f>
        <v>-</v>
      </c>
      <c r="K157" s="1080">
        <f>IF(Z157&gt;0,'3 pr-2'!L157,0)</f>
        <v>891741.17999999993</v>
      </c>
      <c r="L157" s="1080">
        <f>IF(Z157&gt;0,'3 pr-2'!O157,0)</f>
        <v>133761.18</v>
      </c>
      <c r="M157" s="1080">
        <f>IF(Z157&gt;0,'3 pr-2'!R157,0)</f>
        <v>0</v>
      </c>
      <c r="N157" s="1080">
        <f>IF(Z157&gt;0,'3 pr-2'!U157,0)</f>
        <v>0</v>
      </c>
      <c r="O157" s="1080">
        <f>IF(Z157&gt;0,'3 pr-2'!X157,0)</f>
        <v>0</v>
      </c>
      <c r="P157" s="1080">
        <f>IF(Z157&gt;0,'3 pr-2'!AA157,0)</f>
        <v>757980</v>
      </c>
      <c r="Q157" s="1080">
        <f>IF(YEAR(Z157)=2016,P157,0)</f>
        <v>757980</v>
      </c>
      <c r="R157" s="1080">
        <f>IF(YEAR(Z157)=2017,P157,0)</f>
        <v>0</v>
      </c>
      <c r="S157" s="1080">
        <f>IF(YEAR(Z157)=2018,P157,0)</f>
        <v>0</v>
      </c>
      <c r="T157" s="1080">
        <f>IF(YEAR(Z157)=2019,P157,0)</f>
        <v>0</v>
      </c>
      <c r="U157" s="1080">
        <f>IF(YEAR(Z157)=2020,P157,0)</f>
        <v>0</v>
      </c>
      <c r="V157" s="1164">
        <f>IF(Z157&gt;0,'3 pr-2'!$AB$10,0)</f>
        <v>0</v>
      </c>
      <c r="W157" s="1104">
        <f>SUM('3 pr-2'!AI157)</f>
        <v>42599</v>
      </c>
      <c r="X157" s="1132">
        <f t="shared" si="116"/>
        <v>42599</v>
      </c>
      <c r="Y157" s="992">
        <f t="shared" si="134"/>
        <v>0</v>
      </c>
      <c r="Z157" s="1339">
        <f>SUMIF(Projektu_sutarciu_ataskaita!$J$19:$J$600,C157,Projektu_sutarciu_ataskaita!$L$19:$L$600)</f>
        <v>42599</v>
      </c>
      <c r="AA157" s="1249">
        <f t="shared" si="117"/>
        <v>0</v>
      </c>
      <c r="AB157" s="384" t="str">
        <f t="shared" si="135"/>
        <v>–</v>
      </c>
    </row>
    <row r="158" spans="1:28" ht="60.75">
      <c r="A158" s="164" t="str">
        <f>CONCATENATE('3 pr-2'!A158)</f>
        <v>2.1.3.2.4</v>
      </c>
      <c r="B158" s="221" t="str">
        <f>CONCATENATE('3 pr-2'!B158)</f>
        <v>R01-4408-260000-2324</v>
      </c>
      <c r="C158" s="993" t="str">
        <f>CONCATENATE('ketv. 2'!B157)</f>
        <v>08.1.2-CPVA-R-408-11-0003</v>
      </c>
      <c r="D158" s="164" t="str">
        <f>CONCATENATE('3 pr-2'!D158)</f>
        <v>Socialinio būsto fondo plėtra Druskininkų savivaldybėje</v>
      </c>
      <c r="E158" s="164" t="str">
        <f>CONCATENATE('3 pr-2'!E158)</f>
        <v>Druskininkų savivaldybės administracija</v>
      </c>
      <c r="F158" s="164" t="str">
        <f>CONCATENATE('3 pr-2'!F158)</f>
        <v>Lietuvos Respublikos socialinės apsaugos ir darbo ministerija</v>
      </c>
      <c r="G158" s="164" t="str">
        <f>CONCATENATE('3 pr-2'!G158)</f>
        <v>Druskininkų sav.</v>
      </c>
      <c r="H158" s="164" t="str">
        <f>CONCATENATE('3 pr-2'!H158)</f>
        <v>08.1.2-CPVA-R-408</v>
      </c>
      <c r="I158" s="164" t="str">
        <f>CONCATENATE('3 pr-2'!I158)</f>
        <v>R</v>
      </c>
      <c r="J158" s="164" t="str">
        <f>CONCATENATE('3 pr-2'!J158)</f>
        <v>-</v>
      </c>
      <c r="K158" s="1080">
        <f>IF(Z158&gt;0,'3 pr-2'!L158,0)</f>
        <v>727472.94</v>
      </c>
      <c r="L158" s="1080">
        <f>IF(Z158&gt;0,'3 pr-2'!O158,0)</f>
        <v>109120.95</v>
      </c>
      <c r="M158" s="1080">
        <f>IF(Z158&gt;0,'3 pr-2'!R158,0)</f>
        <v>0</v>
      </c>
      <c r="N158" s="1080">
        <f>IF(Z158&gt;0,'3 pr-2'!U158,0)</f>
        <v>0</v>
      </c>
      <c r="O158" s="1080">
        <f>IF(Z158&gt;0,'3 pr-2'!X158,0)</f>
        <v>0</v>
      </c>
      <c r="P158" s="1080">
        <f>IF(Z158&gt;0,'3 pr-2'!AA158,0)</f>
        <v>618351.99</v>
      </c>
      <c r="Q158" s="1080">
        <f>IF(YEAR(Z158)=2016,P158,0)</f>
        <v>618351.99</v>
      </c>
      <c r="R158" s="1080">
        <f>IF(YEAR(Z158)=2017,P158,0)</f>
        <v>0</v>
      </c>
      <c r="S158" s="1080">
        <f>IF(YEAR(Z158)=2018,P158,0)</f>
        <v>0</v>
      </c>
      <c r="T158" s="1080">
        <f>IF(YEAR(Z158)=2019,P158,0)</f>
        <v>0</v>
      </c>
      <c r="U158" s="1080">
        <f>IF(YEAR(Z158)=2020,P158,0)</f>
        <v>0</v>
      </c>
      <c r="V158" s="1164">
        <f>IF(Z158&gt;0,'3 pr-2'!$AB$10,0)</f>
        <v>0</v>
      </c>
      <c r="W158" s="1104">
        <f>SUM('3 pr-2'!AI158)</f>
        <v>42735</v>
      </c>
      <c r="X158" s="1132">
        <f t="shared" si="116"/>
        <v>42593</v>
      </c>
      <c r="Y158" s="992" t="str">
        <f t="shared" si="134"/>
        <v>–</v>
      </c>
      <c r="Z158" s="1339">
        <f>SUMIF(Projektu_sutarciu_ataskaita!$J$19:$J$600,C158,Projektu_sutarciu_ataskaita!$L$19:$L$600)</f>
        <v>42593</v>
      </c>
      <c r="AA158" s="1249">
        <f t="shared" si="117"/>
        <v>4.7333333333333334</v>
      </c>
      <c r="AB158" s="384" t="str">
        <f t="shared" si="135"/>
        <v>–</v>
      </c>
    </row>
    <row r="159" spans="1:28" ht="61.5" thickBot="1">
      <c r="A159" s="236" t="str">
        <f>CONCATENATE('3 pr-2'!A159)</f>
        <v>2.1.3.2.5</v>
      </c>
      <c r="B159" s="221" t="str">
        <f>CONCATENATE('3 pr-2'!B159)</f>
        <v>R01-4408-252600-2325</v>
      </c>
      <c r="C159" s="994" t="str">
        <f>CONCATENATE('ketv. 2'!B158)</f>
        <v>08.1.2-CPVA-R-408-11-0004</v>
      </c>
      <c r="D159" s="236" t="str">
        <f>CONCATENATE('3 pr-2'!D159)</f>
        <v>Socialinio būsto fondo plėtra Lazdijų rajono savivaldybėje</v>
      </c>
      <c r="E159" s="236" t="str">
        <f>CONCATENATE('3 pr-2'!E159)</f>
        <v>Lazdijų rajono savivaldybės administracija</v>
      </c>
      <c r="F159" s="236" t="str">
        <f>CONCATENATE('3 pr-2'!F159)</f>
        <v>Lietuvos Respublikos socialinės apsaugos ir darbo ministerija</v>
      </c>
      <c r="G159" s="236" t="str">
        <f>CONCATENATE('3 pr-2'!G159)</f>
        <v>Lazdijų r. sav.</v>
      </c>
      <c r="H159" s="236" t="str">
        <f>CONCATENATE('3 pr-2'!H159)</f>
        <v>08.1.2-CPVA-R-408</v>
      </c>
      <c r="I159" s="236" t="str">
        <f>CONCATENATE('3 pr-2'!I159)</f>
        <v>R</v>
      </c>
      <c r="J159" s="236" t="str">
        <f>CONCATENATE('3 pr-2'!J159)</f>
        <v>-</v>
      </c>
      <c r="K159" s="1163">
        <f>IF(Z159&gt;0,'3 pr-2'!L159,0)</f>
        <v>368599</v>
      </c>
      <c r="L159" s="1163">
        <f>IF(Z159&gt;0,'3 pr-2'!O159,0)</f>
        <v>55587</v>
      </c>
      <c r="M159" s="1163">
        <f>IF(Z159&gt;0,'3 pr-2'!R159,0)</f>
        <v>0</v>
      </c>
      <c r="N159" s="1163">
        <f>IF(Z159&gt;0,'3 pr-2'!U159,0)</f>
        <v>0</v>
      </c>
      <c r="O159" s="1163">
        <f>IF(Z159&gt;0,'3 pr-2'!X159,0)</f>
        <v>0</v>
      </c>
      <c r="P159" s="1163">
        <f>IF(Z159&gt;0,'3 pr-2'!AA159,0)</f>
        <v>313012</v>
      </c>
      <c r="Q159" s="1163">
        <f>IF(YEAR(Z159)=2016,P159,0)</f>
        <v>313012</v>
      </c>
      <c r="R159" s="1163">
        <f>IF(YEAR(Z159)=2017,P159,0)</f>
        <v>0</v>
      </c>
      <c r="S159" s="1163">
        <f>IF(YEAR(Z159)=2018,P159,0)</f>
        <v>0</v>
      </c>
      <c r="T159" s="1163">
        <f>IF(YEAR(Z159)=2019,P159,0)</f>
        <v>0</v>
      </c>
      <c r="U159" s="1163">
        <f>IF(YEAR(Z159)=2020,P159,0)</f>
        <v>0</v>
      </c>
      <c r="V159" s="1164">
        <f>IF(Z159&gt;0,'3 pr-2'!$AB$10,0)</f>
        <v>0</v>
      </c>
      <c r="W159" s="1114">
        <f>SUM('3 pr-2'!AI159)</f>
        <v>42735</v>
      </c>
      <c r="X159" s="1328">
        <f t="shared" si="116"/>
        <v>42613</v>
      </c>
      <c r="Y159" s="992" t="str">
        <f t="shared" si="134"/>
        <v>–</v>
      </c>
      <c r="Z159" s="1339">
        <f>SUMIF(Projektu_sutarciu_ataskaita!$J$19:$J$600,C159,Projektu_sutarciu_ataskaita!$L$19:$L$600)</f>
        <v>42613</v>
      </c>
      <c r="AA159" s="1343">
        <f t="shared" si="117"/>
        <v>4.0666666666666664</v>
      </c>
      <c r="AB159" s="384" t="str">
        <f t="shared" si="135"/>
        <v>–</v>
      </c>
    </row>
    <row r="160" spans="1:28" ht="43.5" customHeight="1" thickBot="1">
      <c r="A160" s="238" t="str">
        <f>CONCATENATE('3 pr-2'!A160)</f>
        <v>2.1.4.</v>
      </c>
      <c r="B160" s="2085" t="str">
        <f>CONCATENATE('3 pr-2'!B160)</f>
        <v>Uždavinys:
Visuomenei teikiamų paslaugų kokybės, didinant jų atitikimo visuomenės poreikiams pagerinimas</v>
      </c>
      <c r="C160" s="2086"/>
      <c r="D160" s="2086"/>
      <c r="E160" s="2086"/>
      <c r="F160" s="2086"/>
      <c r="G160" s="2086"/>
      <c r="H160" s="2086"/>
      <c r="I160" s="2086"/>
      <c r="J160" s="2087"/>
      <c r="K160" s="1158">
        <f>SUM(K161)</f>
        <v>906987.73</v>
      </c>
      <c r="L160" s="1158">
        <f t="shared" ref="L160:P160" si="136">SUM(L161)</f>
        <v>136179.88999999998</v>
      </c>
      <c r="M160" s="1158">
        <f t="shared" si="136"/>
        <v>0</v>
      </c>
      <c r="N160" s="1158">
        <f t="shared" si="136"/>
        <v>0</v>
      </c>
      <c r="O160" s="1158">
        <f t="shared" si="136"/>
        <v>0</v>
      </c>
      <c r="P160" s="1158">
        <f t="shared" si="136"/>
        <v>770807.84000000008</v>
      </c>
      <c r="Q160" s="1158"/>
      <c r="R160" s="1158"/>
      <c r="S160" s="1158"/>
      <c r="T160" s="1158"/>
      <c r="U160" s="1158"/>
      <c r="V160" s="1158">
        <f t="shared" ref="V160" si="137">SUM(V161)</f>
        <v>0</v>
      </c>
      <c r="W160" s="1107" t="s">
        <v>679</v>
      </c>
      <c r="X160" s="1107" t="str">
        <f t="shared" si="116"/>
        <v> </v>
      </c>
      <c r="Y160" s="1362" t="str">
        <f t="shared" si="123"/>
        <v>–</v>
      </c>
      <c r="Z160" s="1357" t="s">
        <v>679</v>
      </c>
      <c r="AA160" s="1358" t="e">
        <f t="shared" si="117"/>
        <v>#VALUE!</v>
      </c>
      <c r="AB160" s="365"/>
    </row>
    <row r="161" spans="1:28" ht="40.5" customHeight="1" thickBot="1">
      <c r="A161" s="296" t="str">
        <f>CONCATENATE('3 pr-2'!A161)</f>
        <v>2.1.4.1</v>
      </c>
      <c r="B161" s="2088" t="str">
        <f>CONCATENATE('3 pr-2'!B161)</f>
        <v>Priemonė:
Paslaugų teikimo ir asmenų aptarnavimo kokybės gerinimas savivaldybėse</v>
      </c>
      <c r="C161" s="2089"/>
      <c r="D161" s="2089"/>
      <c r="E161" s="2089"/>
      <c r="F161" s="2089"/>
      <c r="G161" s="2089"/>
      <c r="H161" s="2089"/>
      <c r="I161" s="2089"/>
      <c r="J161" s="2090"/>
      <c r="K161" s="1077">
        <f>SUM(K162:K167)</f>
        <v>906987.73</v>
      </c>
      <c r="L161" s="1077">
        <f t="shared" ref="L161:P161" si="138">SUM(L162:L167)</f>
        <v>136179.88999999998</v>
      </c>
      <c r="M161" s="1077">
        <f t="shared" si="138"/>
        <v>0</v>
      </c>
      <c r="N161" s="1077">
        <f t="shared" si="138"/>
        <v>0</v>
      </c>
      <c r="O161" s="1077">
        <f t="shared" si="138"/>
        <v>0</v>
      </c>
      <c r="P161" s="1077">
        <f t="shared" si="138"/>
        <v>770807.84000000008</v>
      </c>
      <c r="Q161" s="1209">
        <f>SUM(Q162:Q166)</f>
        <v>0</v>
      </c>
      <c r="R161" s="1210">
        <f t="shared" ref="R161:U161" si="139">SUM(R162:R166)</f>
        <v>0</v>
      </c>
      <c r="S161" s="1209">
        <f t="shared" si="139"/>
        <v>770807.84000000008</v>
      </c>
      <c r="T161" s="1210">
        <f t="shared" si="139"/>
        <v>0</v>
      </c>
      <c r="U161" s="1211">
        <f t="shared" si="139"/>
        <v>0</v>
      </c>
      <c r="V161" s="1077">
        <f t="shared" ref="V161" si="140">SUM(V162:V167)</f>
        <v>0</v>
      </c>
      <c r="W161" s="1150"/>
      <c r="X161" s="1150" t="str">
        <f t="shared" si="116"/>
        <v>–</v>
      </c>
      <c r="Y161" s="1150" t="str">
        <f t="shared" si="123"/>
        <v>–</v>
      </c>
      <c r="Z161" s="1344"/>
      <c r="AA161" s="1338" t="e">
        <f t="shared" si="117"/>
        <v>#VALUE!</v>
      </c>
      <c r="AB161" s="356"/>
    </row>
    <row r="162" spans="1:28" ht="48.75">
      <c r="A162" s="164" t="str">
        <f>CONCATENATE('3 pr-2'!A162)</f>
        <v>2.1.4.1.1</v>
      </c>
      <c r="B162" s="221" t="str">
        <f>CONCATENATE('3 pr-2'!B162)</f>
        <v>R01-9920-490000-2411</v>
      </c>
      <c r="C162" s="281" t="str">
        <f>CONCATENATE('ketv. 2'!B161)</f>
        <v>10.1.3-ESFA-R-920-11-0001</v>
      </c>
      <c r="D162" s="164" t="str">
        <f>CONCATENATE('3 pr-2'!D162)</f>
        <v>Paslaugų teikimo ir asmenų aptarnavimo kokybės gerinimas Varėnos rajono savivaldybėje</v>
      </c>
      <c r="E162" s="164" t="str">
        <f>CONCATENATE('3 pr-2'!E162)</f>
        <v>Varėnos rajono savivaldybės administracija</v>
      </c>
      <c r="F162" s="164" t="str">
        <f>CONCATENATE('3 pr-2'!F162)</f>
        <v>Lietuvos Respublikos vidaus reikalų ministerija</v>
      </c>
      <c r="G162" s="164" t="str">
        <f>CONCATENATE('3 pr-2'!G162)</f>
        <v>Varėnos r. sav.</v>
      </c>
      <c r="H162" s="164" t="str">
        <f>CONCATENATE('3 pr-2'!H162)</f>
        <v>10.1.3-ESFA-R-920</v>
      </c>
      <c r="I162" s="164" t="str">
        <f>CONCATENATE('3 pr-2'!I162)</f>
        <v>R</v>
      </c>
      <c r="J162" s="164" t="str">
        <f>CONCATENATE('3 pr-2'!J162)</f>
        <v>-</v>
      </c>
      <c r="K162" s="1163">
        <f>IF(Z162&gt;0,'3 pr-2'!L162,0)</f>
        <v>172733.52</v>
      </c>
      <c r="L162" s="1163">
        <f>IF(Z162&gt;0,'3 pr-2'!O162,0)</f>
        <v>25910.03</v>
      </c>
      <c r="M162" s="1163">
        <f>IF(Z162&gt;0,'3 pr-2'!R162,0)</f>
        <v>0</v>
      </c>
      <c r="N162" s="1163">
        <f>IF(Z162&gt;0,'3 pr-2'!U162,0)</f>
        <v>0</v>
      </c>
      <c r="O162" s="1163">
        <f>IF(Z162&gt;0,'3 pr-2'!X162,0)</f>
        <v>0</v>
      </c>
      <c r="P162" s="1163">
        <f>IF(Z162&gt;0,'3 pr-2'!AA162,0)</f>
        <v>146823.49</v>
      </c>
      <c r="Q162" s="1080">
        <f t="shared" ref="Q162:Q167" si="141">IF(YEAR(Z162)=2016,P162,0)</f>
        <v>0</v>
      </c>
      <c r="R162" s="1080">
        <f t="shared" ref="R162:R167" si="142">IF(YEAR(Z162)=2017,P162,0)</f>
        <v>0</v>
      </c>
      <c r="S162" s="1080">
        <f t="shared" ref="S162:S167" si="143">IF(YEAR(Z162)=2018,P162,0)</f>
        <v>146823.49</v>
      </c>
      <c r="T162" s="1080">
        <f t="shared" ref="T162:T167" si="144">IF(YEAR(Z162)=2019,P162,0)</f>
        <v>0</v>
      </c>
      <c r="U162" s="1080">
        <f t="shared" ref="U162:U167" si="145">IF(YEAR(Z162)=2020,P162,0)</f>
        <v>0</v>
      </c>
      <c r="V162" s="1164">
        <f>IF(Z162&gt;0,'3 pr-2'!$AB$10,0)</f>
        <v>0</v>
      </c>
      <c r="W162" s="1104">
        <f>SUM('3 pr-2'!AI162)</f>
        <v>43137</v>
      </c>
      <c r="X162" s="1132">
        <f t="shared" si="116"/>
        <v>43137</v>
      </c>
      <c r="Y162" s="992">
        <f t="shared" ref="Y162:Y167" si="146">IF(ISTEXT(X162),"–",IF((W162-X162)/30&gt;0,"–",(W162-X162)/30))</f>
        <v>0</v>
      </c>
      <c r="Z162" s="1339">
        <f>SUMIF(Projektu_sutarciu_ataskaita!$J$19:$J$600,C162,Projektu_sutarciu_ataskaita!$L$19:$L$600)</f>
        <v>43137</v>
      </c>
      <c r="AA162" s="1350">
        <f t="shared" si="117"/>
        <v>0</v>
      </c>
      <c r="AB162" s="384" t="str">
        <f t="shared" ref="AB162:AB167" si="147">IF(W162-Z162&lt;0,(W162-Z162)/30.4166666666667,"–")</f>
        <v>–</v>
      </c>
    </row>
    <row r="163" spans="1:28" ht="48.75">
      <c r="A163" s="164" t="str">
        <f>CONCATENATE('3 pr-2'!A163)</f>
        <v>2.1.4.1.2</v>
      </c>
      <c r="B163" s="221" t="str">
        <f>CONCATENATE('3 pr-2'!B163)</f>
        <v>R01-9920-490000-2412</v>
      </c>
      <c r="C163" s="281" t="str">
        <f>CONCATENATE('ketv. 2'!B162)</f>
        <v>10.1.3-ESFA-R-920-11-0005</v>
      </c>
      <c r="D163" s="164" t="str">
        <f>CONCATENATE('3 pr-2'!D163)</f>
        <v>Paslaugų ir asmenų aptarnavimo kokybės gerinimas Alytaus rajono savivaldybėje</v>
      </c>
      <c r="E163" s="164" t="str">
        <f>CONCATENATE('3 pr-2'!E163)</f>
        <v>Alytaus rajono savivaldybės administracija</v>
      </c>
      <c r="F163" s="164" t="str">
        <f>CONCATENATE('3 pr-2'!F163)</f>
        <v>Lietuvos Respublikos vidaus reikalų ministerija</v>
      </c>
      <c r="G163" s="164" t="str">
        <f>CONCATENATE('3 pr-2'!G163)</f>
        <v>Alytaus r. sav.</v>
      </c>
      <c r="H163" s="164" t="str">
        <f>CONCATENATE('3 pr-2'!H163)</f>
        <v>10.1.3-ESFA-R-920</v>
      </c>
      <c r="I163" s="164" t="str">
        <f>CONCATENATE('3 pr-2'!I163)</f>
        <v>R</v>
      </c>
      <c r="J163" s="164" t="str">
        <f>CONCATENATE('3 pr-2'!J163)</f>
        <v>-</v>
      </c>
      <c r="K163" s="1163">
        <f>IF(Z163&gt;0,'3 pr-2'!L163,0)</f>
        <v>192832.21</v>
      </c>
      <c r="L163" s="1163">
        <f>IF(Z163&gt;0,'3 pr-2'!O163,0)</f>
        <v>28924.84</v>
      </c>
      <c r="M163" s="1163">
        <f>IF(Z163&gt;0,'3 pr-2'!R163,0)</f>
        <v>0</v>
      </c>
      <c r="N163" s="1163">
        <f>IF(Z163&gt;0,'3 pr-2'!U163,0)</f>
        <v>0</v>
      </c>
      <c r="O163" s="1163">
        <f>IF(Z163&gt;0,'3 pr-2'!X163,0)</f>
        <v>0</v>
      </c>
      <c r="P163" s="1163">
        <f>IF(Z163&gt;0,'3 pr-2'!AA163,0)</f>
        <v>163907.37</v>
      </c>
      <c r="Q163" s="1080">
        <f t="shared" si="141"/>
        <v>0</v>
      </c>
      <c r="R163" s="1080">
        <f t="shared" si="142"/>
        <v>0</v>
      </c>
      <c r="S163" s="1080">
        <f t="shared" si="143"/>
        <v>163907.37</v>
      </c>
      <c r="T163" s="1080">
        <f t="shared" si="144"/>
        <v>0</v>
      </c>
      <c r="U163" s="1080">
        <f t="shared" si="145"/>
        <v>0</v>
      </c>
      <c r="V163" s="1164">
        <f>IF(Z163&gt;0,'3 pr-2'!$AB$10,0)</f>
        <v>0</v>
      </c>
      <c r="W163" s="1104">
        <f>SUM('3 pr-2'!AI163)</f>
        <v>43190</v>
      </c>
      <c r="X163" s="1132">
        <f t="shared" si="116"/>
        <v>43220</v>
      </c>
      <c r="Y163" s="992">
        <f t="shared" si="146"/>
        <v>-1</v>
      </c>
      <c r="Z163" s="1339">
        <f>SUMIF(Projektu_sutarciu_ataskaita!$J$19:$J$600,C163,Projektu_sutarciu_ataskaita!$L$19:$L$600)</f>
        <v>43220</v>
      </c>
      <c r="AA163" s="1350">
        <f t="shared" si="117"/>
        <v>-1</v>
      </c>
      <c r="AB163" s="384">
        <f t="shared" si="147"/>
        <v>-0.98630136986301264</v>
      </c>
    </row>
    <row r="164" spans="1:28" ht="48.75">
      <c r="A164" s="164" t="str">
        <f>CONCATENATE('3 pr-2'!A164)</f>
        <v>2.1.4.1.3</v>
      </c>
      <c r="B164" s="221" t="str">
        <f>CONCATENATE('3 pr-2'!B164)</f>
        <v>R01-9920-490000-2413</v>
      </c>
      <c r="C164" s="281" t="str">
        <f>CONCATENATE('ketv. 2'!B163)</f>
        <v>10.1.3-ESFA-R-920-11-0003</v>
      </c>
      <c r="D164" s="164" t="str">
        <f>CONCATENATE('3 pr-2'!D164)</f>
        <v>Lazdijų rajono savivaldybės administracijos ir jos viešojo valdymo institucijų teikiamų paslaugų procesų tobulinimas</v>
      </c>
      <c r="E164" s="164" t="str">
        <f>CONCATENATE('3 pr-2'!E164)</f>
        <v>Lazdijų rajono savivaldybės administracija</v>
      </c>
      <c r="F164" s="164" t="str">
        <f>CONCATENATE('3 pr-2'!F164)</f>
        <v>Lietuvos Respublikos vidaus reikalų ministerija</v>
      </c>
      <c r="G164" s="164" t="str">
        <f>CONCATENATE('3 pr-2'!G164)</f>
        <v>Lazdijų r. sav.</v>
      </c>
      <c r="H164" s="164" t="str">
        <f>CONCATENATE('3 pr-2'!H164)</f>
        <v>10.1.3-ESFA-R-920</v>
      </c>
      <c r="I164" s="164" t="str">
        <f>CONCATENATE('3 pr-2'!I164)</f>
        <v>R</v>
      </c>
      <c r="J164" s="164" t="str">
        <f>CONCATENATE('3 pr-2'!J164)</f>
        <v>-</v>
      </c>
      <c r="K164" s="1163">
        <f>IF(Z164&gt;0,'3 pr-2'!L164,0)</f>
        <v>163986.88</v>
      </c>
      <c r="L164" s="1163">
        <f>IF(Z164&gt;0,'3 pr-2'!O164,0)</f>
        <v>24598.880000000001</v>
      </c>
      <c r="M164" s="1163">
        <f>IF(Z164&gt;0,'3 pr-2'!R164,0)</f>
        <v>0</v>
      </c>
      <c r="N164" s="1163">
        <f>IF(Z164&gt;0,'3 pr-2'!U164,0)</f>
        <v>0</v>
      </c>
      <c r="O164" s="1163">
        <f>IF(Z164&gt;0,'3 pr-2'!X164,0)</f>
        <v>0</v>
      </c>
      <c r="P164" s="1163">
        <f>IF(Z164&gt;0,'3 pr-2'!AA164,0)</f>
        <v>139388</v>
      </c>
      <c r="Q164" s="1080">
        <f t="shared" si="141"/>
        <v>0</v>
      </c>
      <c r="R164" s="1080">
        <f t="shared" si="142"/>
        <v>0</v>
      </c>
      <c r="S164" s="1080">
        <f t="shared" si="143"/>
        <v>139388</v>
      </c>
      <c r="T164" s="1080">
        <f t="shared" si="144"/>
        <v>0</v>
      </c>
      <c r="U164" s="1080">
        <f t="shared" si="145"/>
        <v>0</v>
      </c>
      <c r="V164" s="1164">
        <f>IF(Z164&gt;0,'3 pr-2'!$AB$10,0)</f>
        <v>0</v>
      </c>
      <c r="W164" s="1104">
        <f>SUM('3 pr-2'!AI164)</f>
        <v>43144</v>
      </c>
      <c r="X164" s="1132">
        <f t="shared" si="116"/>
        <v>43144</v>
      </c>
      <c r="Y164" s="992">
        <f t="shared" si="146"/>
        <v>0</v>
      </c>
      <c r="Z164" s="1339">
        <f>SUMIF(Projektu_sutarciu_ataskaita!$J$19:$J$600,C164,Projektu_sutarciu_ataskaita!$L$19:$L$600)</f>
        <v>43144</v>
      </c>
      <c r="AA164" s="1350">
        <f t="shared" si="117"/>
        <v>0</v>
      </c>
      <c r="AB164" s="384" t="str">
        <f t="shared" si="147"/>
        <v>–</v>
      </c>
    </row>
    <row r="165" spans="1:28" ht="48.75">
      <c r="A165" s="164" t="str">
        <f>CONCATENATE('3 pr-2'!A165)</f>
        <v>2.1.4.1.4</v>
      </c>
      <c r="B165" s="221" t="str">
        <f>CONCATENATE('3 pr-2'!B165)</f>
        <v>R01-9920-490000-2414</v>
      </c>
      <c r="C165" s="281" t="str">
        <f>CONCATENATE('ketv. 2'!B164)</f>
        <v>10.1.3-ESFA-R-920-11-0007</v>
      </c>
      <c r="D165" s="164" t="str">
        <f>CONCATENATE('3 pr-2'!D165)</f>
        <v>Teikiamų paslaugų procesų tobulinimas ir asmenų aptarnavimo kokybės gerinimas Alytaus m. sav. administracijoje ir jai pavaldžiose įstaigose. I etapas</v>
      </c>
      <c r="E165" s="164" t="str">
        <f>CONCATENATE('3 pr-2'!E165)</f>
        <v>Alytaus miesto savivaldybės administracija</v>
      </c>
      <c r="F165" s="164" t="str">
        <f>CONCATENATE('3 pr-2'!F165)</f>
        <v>Lietuvos Respublikos vidaus reikalų ministerija</v>
      </c>
      <c r="G165" s="164" t="str">
        <f>CONCATENATE('3 pr-2'!G165)</f>
        <v>Alytaus m. sav.</v>
      </c>
      <c r="H165" s="164" t="str">
        <f>CONCATENATE('3 pr-2'!H165)</f>
        <v>10.1.3-ESFA-R-920</v>
      </c>
      <c r="I165" s="164" t="str">
        <f>CONCATENATE('3 pr-2'!I165)</f>
        <v>R</v>
      </c>
      <c r="J165" s="164" t="str">
        <f>CONCATENATE('3 pr-2'!J165)</f>
        <v>-</v>
      </c>
      <c r="K165" s="1163">
        <f>IF(Z165&gt;0,'3 pr-2'!L165,0)</f>
        <v>215693.16</v>
      </c>
      <c r="L165" s="1163">
        <f>IF(Z165&gt;0,'3 pr-2'!O165,0)</f>
        <v>32353.98</v>
      </c>
      <c r="M165" s="1163">
        <f>IF(Z165&gt;0,'3 pr-2'!R165,0)</f>
        <v>0</v>
      </c>
      <c r="N165" s="1163">
        <f>IF(Z165&gt;0,'3 pr-2'!U165,0)</f>
        <v>0</v>
      </c>
      <c r="O165" s="1163">
        <f>IF(Z165&gt;0,'3 pr-2'!X165,0)</f>
        <v>0</v>
      </c>
      <c r="P165" s="1163">
        <f>IF(Z165&gt;0,'3 pr-2'!AA165,0)</f>
        <v>183339.18</v>
      </c>
      <c r="Q165" s="1080">
        <f t="shared" si="141"/>
        <v>0</v>
      </c>
      <c r="R165" s="1080">
        <f t="shared" si="142"/>
        <v>0</v>
      </c>
      <c r="S165" s="1080">
        <f t="shared" si="143"/>
        <v>183339.18</v>
      </c>
      <c r="T165" s="1080">
        <f t="shared" si="144"/>
        <v>0</v>
      </c>
      <c r="U165" s="1080">
        <f t="shared" si="145"/>
        <v>0</v>
      </c>
      <c r="V165" s="1164">
        <f>IF(Z165&gt;0,'3 pr-2'!$AB$10,0)</f>
        <v>0</v>
      </c>
      <c r="W165" s="1104">
        <f>SUM('3 pr-2'!AI165)</f>
        <v>43220</v>
      </c>
      <c r="X165" s="1132">
        <f t="shared" si="116"/>
        <v>43237</v>
      </c>
      <c r="Y165" s="992">
        <f t="shared" si="146"/>
        <v>-0.56666666666666665</v>
      </c>
      <c r="Z165" s="1339">
        <f>SUMIF(Projektu_sutarciu_ataskaita!$J$19:$J$600,C165,Projektu_sutarciu_ataskaita!$L$19:$L$600)</f>
        <v>43237</v>
      </c>
      <c r="AA165" s="1350">
        <f t="shared" si="117"/>
        <v>-0.56666666666666665</v>
      </c>
      <c r="AB165" s="384">
        <f t="shared" si="147"/>
        <v>-0.55890410958904047</v>
      </c>
    </row>
    <row r="166" spans="1:28" ht="48.75">
      <c r="A166" s="164" t="str">
        <f>CONCATENATE('3 pr-2'!A166)</f>
        <v>2.1.4.1.5</v>
      </c>
      <c r="B166" s="221" t="str">
        <f>CONCATENATE('3 pr-2'!B166)</f>
        <v>R01-9920-490000-2415</v>
      </c>
      <c r="C166" s="281" t="str">
        <f>CONCATENATE('ketv. 2'!B165)</f>
        <v>10.1.3-ESFA-R-920-11-0006</v>
      </c>
      <c r="D166" s="164" t="str">
        <f>CONCATENATE('3 pr-2'!D166)</f>
        <v>Paslaugų teikimo ir asmenų aptarnavimo kokybės gerinimas Druskininkų savivaldybėje</v>
      </c>
      <c r="E166" s="164" t="str">
        <f>CONCATENATE('3 pr-2'!E166)</f>
        <v>Druskininkų savivaldybės administracija</v>
      </c>
      <c r="F166" s="164" t="str">
        <f>CONCATENATE('3 pr-2'!F166)</f>
        <v>Lietuvos Respublikos vidaus reikalų ministerija</v>
      </c>
      <c r="G166" s="164" t="str">
        <f>CONCATENATE('3 pr-2'!G166)</f>
        <v>Druskininkų sav.</v>
      </c>
      <c r="H166" s="164" t="str">
        <f>CONCATENATE('3 pr-2'!H166)</f>
        <v>10.1.3-ESFA-R-920</v>
      </c>
      <c r="I166" s="164" t="str">
        <f>CONCATENATE('3 pr-2'!I166)</f>
        <v>R</v>
      </c>
      <c r="J166" s="164" t="str">
        <f>CONCATENATE('3 pr-2'!J166)</f>
        <v>-</v>
      </c>
      <c r="K166" s="1163">
        <f>IF(Z166&gt;0,'3 pr-2'!L166,0)</f>
        <v>161741.96</v>
      </c>
      <c r="L166" s="1163">
        <f>IF(Z166&gt;0,'3 pr-2'!O166,0)</f>
        <v>24392.16</v>
      </c>
      <c r="M166" s="1163">
        <f>IF(Z166&gt;0,'3 pr-2'!R166,0)</f>
        <v>0</v>
      </c>
      <c r="N166" s="1163">
        <f>IF(Z166&gt;0,'3 pr-2'!U166,0)</f>
        <v>0</v>
      </c>
      <c r="O166" s="1163">
        <f>IF(Z166&gt;0,'3 pr-2'!X166,0)</f>
        <v>0</v>
      </c>
      <c r="P166" s="1163">
        <f>IF(Z166&gt;0,'3 pr-2'!AA166,0)</f>
        <v>137349.79999999999</v>
      </c>
      <c r="Q166" s="1080">
        <f t="shared" si="141"/>
        <v>0</v>
      </c>
      <c r="R166" s="1080">
        <f t="shared" si="142"/>
        <v>0</v>
      </c>
      <c r="S166" s="1080">
        <f t="shared" si="143"/>
        <v>137349.79999999999</v>
      </c>
      <c r="T166" s="1080">
        <f t="shared" si="144"/>
        <v>0</v>
      </c>
      <c r="U166" s="1080">
        <f t="shared" si="145"/>
        <v>0</v>
      </c>
      <c r="V166" s="1164">
        <f>IF(Z166&gt;0,'3 pr-2'!$AB$10,0)</f>
        <v>0</v>
      </c>
      <c r="W166" s="1104">
        <f>SUM('3 pr-2'!AI166)</f>
        <v>43235</v>
      </c>
      <c r="X166" s="1132">
        <f t="shared" si="116"/>
        <v>43238</v>
      </c>
      <c r="Y166" s="992">
        <f t="shared" si="146"/>
        <v>-0.1</v>
      </c>
      <c r="Z166" s="1339">
        <f>SUMIF(Projektu_sutarciu_ataskaita!$J$19:$J$600,C166,Projektu_sutarciu_ataskaita!$L$19:$L$600)</f>
        <v>43238</v>
      </c>
      <c r="AA166" s="1350">
        <f t="shared" si="117"/>
        <v>-0.1</v>
      </c>
      <c r="AB166" s="384">
        <f t="shared" si="147"/>
        <v>-9.8630136986301256E-2</v>
      </c>
    </row>
    <row r="167" spans="1:28" ht="49.5" thickBot="1">
      <c r="A167" s="164" t="str">
        <f>CONCATENATE('3 pr-2'!A167)</f>
        <v>2.1.4.1.6</v>
      </c>
      <c r="B167" s="221" t="str">
        <f>CONCATENATE('3 pr-2'!B167)</f>
        <v>R01-9920-490000-2416</v>
      </c>
      <c r="C167" s="281" t="str">
        <f>CONCATENATE('ketv. 2'!B166)</f>
        <v/>
      </c>
      <c r="D167" s="164" t="str">
        <f>CONCATENATE('3 pr-2'!D167)</f>
        <v>Teikiamų paslaugų procesų tobulinimas ir asmenų aptarnavimo kokybės gerinimas Alytaus m. sav. administracijoje ir jai pavaldžiose įstaigose. II etapas</v>
      </c>
      <c r="E167" s="164" t="str">
        <f>CONCATENATE('3 pr-2'!E167)</f>
        <v>Alytaus miesto savivaldybės administracija</v>
      </c>
      <c r="F167" s="164" t="str">
        <f>CONCATENATE('3 pr-2'!F167)</f>
        <v>Lietuvos Respublikos vidaus reikalų ministerija</v>
      </c>
      <c r="G167" s="164" t="str">
        <f>CONCATENATE('3 pr-2'!G167)</f>
        <v>Alytaus m. sav.</v>
      </c>
      <c r="H167" s="164" t="str">
        <f>CONCATENATE('3 pr-2'!H167)</f>
        <v>10.1.3-ESFA-R-920</v>
      </c>
      <c r="I167" s="164" t="str">
        <f>CONCATENATE('3 pr-2'!I167)</f>
        <v>R</v>
      </c>
      <c r="J167" s="164" t="str">
        <f>CONCATENATE('3 pr-2'!J167)</f>
        <v>-</v>
      </c>
      <c r="K167" s="1163">
        <f>IF(Z167&gt;0,'3 pr-2'!L167,0)</f>
        <v>0</v>
      </c>
      <c r="L167" s="1163">
        <f>IF(Z167&gt;0,'3 pr-2'!O167,0)</f>
        <v>0</v>
      </c>
      <c r="M167" s="1163">
        <f>IF(Z167&gt;0,'3 pr-2'!R167,0)</f>
        <v>0</v>
      </c>
      <c r="N167" s="1163">
        <f>IF(Z167&gt;0,'3 pr-2'!U167,0)</f>
        <v>0</v>
      </c>
      <c r="O167" s="1163">
        <f>IF(Z167&gt;0,'3 pr-2'!X167,0)</f>
        <v>0</v>
      </c>
      <c r="P167" s="1163">
        <f>IF(Z167&gt;0,'3 pr-2'!AA167,0)</f>
        <v>0</v>
      </c>
      <c r="Q167" s="1080">
        <f t="shared" si="141"/>
        <v>0</v>
      </c>
      <c r="R167" s="1080">
        <f t="shared" si="142"/>
        <v>0</v>
      </c>
      <c r="S167" s="1080">
        <f t="shared" si="143"/>
        <v>0</v>
      </c>
      <c r="T167" s="1080">
        <f t="shared" si="144"/>
        <v>0</v>
      </c>
      <c r="U167" s="1080">
        <f t="shared" si="145"/>
        <v>0</v>
      </c>
      <c r="V167" s="1164">
        <f>IF(Z167&gt;0,'3 pr-2'!$AB$10,0)</f>
        <v>0</v>
      </c>
      <c r="W167" s="1104">
        <f>SUM('3 pr-2'!AI167)</f>
        <v>43616</v>
      </c>
      <c r="X167" s="1132" t="str">
        <f t="shared" si="116"/>
        <v>–</v>
      </c>
      <c r="Y167" s="992" t="str">
        <f t="shared" si="146"/>
        <v>–</v>
      </c>
      <c r="Z167" s="1339">
        <f>SUMIF(Projektu_sutarciu_ataskaita!$J$19:$J$600,C167,Projektu_sutarciu_ataskaita!$L$19:$L$600)</f>
        <v>0</v>
      </c>
      <c r="AA167" s="1350" t="e">
        <f t="shared" si="117"/>
        <v>#VALUE!</v>
      </c>
      <c r="AB167" s="384" t="str">
        <f t="shared" si="147"/>
        <v>–</v>
      </c>
    </row>
    <row r="168" spans="1:28" ht="47.25" customHeight="1" thickBot="1">
      <c r="A168" s="366" t="str">
        <f>CONCATENATE('3 pr-2'!A168)</f>
        <v>3.1.</v>
      </c>
      <c r="B168" s="2092" t="str">
        <f>CONCATENATE('3 pr-2'!B168)</f>
        <v>Tikslas: 
DARNIAI TVARKYTI IR VYSTYTI REGIONO TERITORIJĄ</v>
      </c>
      <c r="C168" s="2086"/>
      <c r="D168" s="2086"/>
      <c r="E168" s="2086"/>
      <c r="F168" s="2086"/>
      <c r="G168" s="2086"/>
      <c r="H168" s="2086"/>
      <c r="I168" s="2086"/>
      <c r="J168" s="2087"/>
      <c r="K168" s="1219">
        <f>SUM(K169+K172)</f>
        <v>5845957.5170588233</v>
      </c>
      <c r="L168" s="1219">
        <f t="shared" ref="L168:P168" si="148">SUM(L169+L172)</f>
        <v>257290.58705882353</v>
      </c>
      <c r="M168" s="1219">
        <f t="shared" si="148"/>
        <v>0</v>
      </c>
      <c r="N168" s="1219">
        <f t="shared" si="148"/>
        <v>777879.2799999998</v>
      </c>
      <c r="O168" s="1219">
        <f t="shared" si="148"/>
        <v>0</v>
      </c>
      <c r="P168" s="1219">
        <f t="shared" si="148"/>
        <v>4810787.6500000004</v>
      </c>
      <c r="Q168" s="1220"/>
      <c r="R168" s="1220"/>
      <c r="S168" s="1220"/>
      <c r="T168" s="1220"/>
      <c r="U168" s="1221"/>
      <c r="V168" s="1219">
        <f t="shared" ref="V168" si="149">SUM(V169+V172)</f>
        <v>0</v>
      </c>
      <c r="W168" s="1156" t="s">
        <v>679</v>
      </c>
      <c r="X168" s="1156" t="str">
        <f t="shared" si="116"/>
        <v> </v>
      </c>
      <c r="Y168" s="1156" t="str">
        <f t="shared" si="123"/>
        <v>–</v>
      </c>
      <c r="Z168" s="1352" t="s">
        <v>679</v>
      </c>
      <c r="AA168" s="1353" t="e">
        <f t="shared" si="117"/>
        <v>#VALUE!</v>
      </c>
      <c r="AB168" s="368"/>
    </row>
    <row r="169" spans="1:28" ht="37.5" customHeight="1" thickBot="1">
      <c r="A169" s="138" t="str">
        <f>CONCATENATE('3 pr-2'!A169)</f>
        <v>3.1.1.</v>
      </c>
      <c r="B169" s="2085" t="str">
        <f>CONCATENATE('3 pr-2'!B169)</f>
        <v>Uždavinys:
Sumažinti sąvartynuose šalinamų komunalinių atliekų kiekį</v>
      </c>
      <c r="C169" s="2086"/>
      <c r="D169" s="2086"/>
      <c r="E169" s="2086"/>
      <c r="F169" s="2086"/>
      <c r="G169" s="2086"/>
      <c r="H169" s="2086"/>
      <c r="I169" s="2086"/>
      <c r="J169" s="2087"/>
      <c r="K169" s="1200">
        <f>SUM(K170)</f>
        <v>4130687.05</v>
      </c>
      <c r="L169" s="1200">
        <f t="shared" ref="L169:P169" si="150">SUM(L170)</f>
        <v>0</v>
      </c>
      <c r="M169" s="1200">
        <f t="shared" si="150"/>
        <v>0</v>
      </c>
      <c r="N169" s="1200">
        <f t="shared" si="150"/>
        <v>777879.2799999998</v>
      </c>
      <c r="O169" s="1200">
        <f t="shared" si="150"/>
        <v>0</v>
      </c>
      <c r="P169" s="1200">
        <f t="shared" si="150"/>
        <v>3352807.77</v>
      </c>
      <c r="Q169" s="1200"/>
      <c r="R169" s="1200"/>
      <c r="S169" s="1200"/>
      <c r="T169" s="1200"/>
      <c r="U169" s="1200"/>
      <c r="V169" s="1200">
        <f t="shared" ref="V169:V170" si="151">SUM(V170)</f>
        <v>0</v>
      </c>
      <c r="W169" s="1107" t="s">
        <v>679</v>
      </c>
      <c r="X169" s="1331" t="str">
        <f t="shared" si="116"/>
        <v> </v>
      </c>
      <c r="Y169" s="1363" t="str">
        <f t="shared" si="123"/>
        <v>–</v>
      </c>
      <c r="Z169" s="1354" t="s">
        <v>679</v>
      </c>
      <c r="AA169" s="1355" t="e">
        <f t="shared" si="117"/>
        <v>#VALUE!</v>
      </c>
      <c r="AB169" s="365"/>
    </row>
    <row r="170" spans="1:28" ht="41.25" customHeight="1" thickBot="1">
      <c r="A170" s="296" t="str">
        <f>CONCATENATE('3 pr-2'!A170)</f>
        <v>3.1.1.1</v>
      </c>
      <c r="B170" s="2088" t="str">
        <f>CONCATENATE('3 pr-2'!B170)</f>
        <v>Priemonė:
Komunalinių atliekų tvarkymo infrastruktūros plėtra</v>
      </c>
      <c r="C170" s="2089"/>
      <c r="D170" s="2089"/>
      <c r="E170" s="2089"/>
      <c r="F170" s="2089"/>
      <c r="G170" s="2089"/>
      <c r="H170" s="2089"/>
      <c r="I170" s="2089"/>
      <c r="J170" s="2090"/>
      <c r="K170" s="1077">
        <f>SUM(K171)</f>
        <v>4130687.05</v>
      </c>
      <c r="L170" s="1077">
        <f t="shared" ref="L170:P170" si="152">SUM(L171)</f>
        <v>0</v>
      </c>
      <c r="M170" s="1077">
        <f t="shared" si="152"/>
        <v>0</v>
      </c>
      <c r="N170" s="1077">
        <f t="shared" si="152"/>
        <v>777879.2799999998</v>
      </c>
      <c r="O170" s="1077">
        <f t="shared" si="152"/>
        <v>0</v>
      </c>
      <c r="P170" s="1077">
        <f t="shared" si="152"/>
        <v>3352807.77</v>
      </c>
      <c r="Q170" s="1209">
        <f>SUM(Q171)</f>
        <v>0</v>
      </c>
      <c r="R170" s="1210">
        <f t="shared" ref="R170:U170" si="153">SUM(R171)</f>
        <v>3352807.77</v>
      </c>
      <c r="S170" s="1209">
        <f t="shared" si="153"/>
        <v>0</v>
      </c>
      <c r="T170" s="1210">
        <f t="shared" si="153"/>
        <v>0</v>
      </c>
      <c r="U170" s="1211">
        <f t="shared" si="153"/>
        <v>0</v>
      </c>
      <c r="V170" s="1077">
        <f t="shared" si="151"/>
        <v>0</v>
      </c>
      <c r="W170" s="1150"/>
      <c r="X170" s="1150" t="str">
        <f t="shared" si="116"/>
        <v>–</v>
      </c>
      <c r="Y170" s="1150" t="str">
        <f t="shared" si="123"/>
        <v>–</v>
      </c>
      <c r="Z170" s="1344"/>
      <c r="AA170" s="1338" t="e">
        <f t="shared" si="117"/>
        <v>#VALUE!</v>
      </c>
      <c r="AB170" s="356"/>
    </row>
    <row r="171" spans="1:28" ht="49.5" thickBot="1">
      <c r="A171" s="236" t="str">
        <f>CONCATENATE('3 pr-2'!A171)</f>
        <v>3.1.1.1.1</v>
      </c>
      <c r="B171" s="221" t="str">
        <f>CONCATENATE('3 pr-2'!B171)</f>
        <v>R01-0008-050000-3111</v>
      </c>
      <c r="C171" s="359" t="str">
        <f>CONCATENATE('ketv. 2'!B170)</f>
        <v>05.2.1-APVA-R-008-11-0001</v>
      </c>
      <c r="D171" s="236" t="str">
        <f>CONCATENATE('3 pr-2'!D171)</f>
        <v>Komunalinių atliekų tvarkymo infrastruktūros plėtra Alytaus regione</v>
      </c>
      <c r="E171" s="236" t="str">
        <f>CONCATENATE('3 pr-2'!E171)</f>
        <v>Alytaus regiono atliekų tvarkymo centras</v>
      </c>
      <c r="F171" s="236" t="str">
        <f>CONCATENATE('3 pr-2'!F171)</f>
        <v>Lietuvos Respublikos aplinkos ministerija</v>
      </c>
      <c r="G171" s="236" t="str">
        <f>CONCATENATE('3 pr-2'!G171)</f>
        <v>Alytaus regionas</v>
      </c>
      <c r="H171" s="236" t="str">
        <f>CONCATENATE('3 pr-2'!H171)</f>
        <v>05.2.1-APVA-R-008</v>
      </c>
      <c r="I171" s="236" t="str">
        <f>CONCATENATE('3 pr-2'!I171)</f>
        <v>R</v>
      </c>
      <c r="J171" s="236" t="str">
        <f>CONCATENATE('3 pr-2'!J171)</f>
        <v>-</v>
      </c>
      <c r="K171" s="1163">
        <f>IF(Z171&gt;0,'3 pr-2'!L171,0)</f>
        <v>4130687.05</v>
      </c>
      <c r="L171" s="1163">
        <f>IF(Z171&gt;0,'3 pr-2'!O171,0)</f>
        <v>0</v>
      </c>
      <c r="M171" s="1163">
        <f>IF(Z171&gt;0,'3 pr-2'!R171,0)</f>
        <v>0</v>
      </c>
      <c r="N171" s="1163">
        <f>IF(Z171&gt;0,'3 pr-2'!U171,0)</f>
        <v>777879.2799999998</v>
      </c>
      <c r="O171" s="1163">
        <f>IF(Z171&gt;0,'3 pr-2'!X171,0)</f>
        <v>0</v>
      </c>
      <c r="P171" s="1163">
        <f>IF(Z171&gt;0,'3 pr-2'!AA171,0)</f>
        <v>3352807.77</v>
      </c>
      <c r="Q171" s="1163">
        <f>IF(YEAR(Z171)=2016,P171,0)</f>
        <v>0</v>
      </c>
      <c r="R171" s="1163">
        <f>IF(YEAR(Z171)=2017,P171,0)</f>
        <v>3352807.77</v>
      </c>
      <c r="S171" s="1163">
        <f>IF(YEAR(Z171)=2018,P171,0)</f>
        <v>0</v>
      </c>
      <c r="T171" s="1163">
        <f>IF(YEAR(Z171)=2019,P171,0)</f>
        <v>0</v>
      </c>
      <c r="U171" s="1163">
        <f>IF(YEAR(Z171)=2020,P171,0)</f>
        <v>0</v>
      </c>
      <c r="V171" s="1164">
        <f>IF(Z171&gt;0,'3 pr-2'!$AB$10,0)</f>
        <v>0</v>
      </c>
      <c r="W171" s="1114">
        <f>SUM('3 pr-2'!AI171)</f>
        <v>42993</v>
      </c>
      <c r="X171" s="1328">
        <f t="shared" si="116"/>
        <v>42957</v>
      </c>
      <c r="Y171" s="992" t="str">
        <f>IF(ISTEXT(X171),"–",IF((W171-X171)/30&gt;0,"–",(W171-X171)/30))</f>
        <v>–</v>
      </c>
      <c r="Z171" s="1339">
        <f>SUMIF(Projektu_sutarciu_ataskaita!$J$19:$J$600,C171,Projektu_sutarciu_ataskaita!$L$19:$L$600)</f>
        <v>42957</v>
      </c>
      <c r="AA171" s="1343">
        <f t="shared" si="117"/>
        <v>1.2</v>
      </c>
      <c r="AB171" s="384" t="str">
        <f>IF(W171-Z171&lt;0,(W171-Z171)/30.4166666666667,"–")</f>
        <v>–</v>
      </c>
    </row>
    <row r="172" spans="1:28" ht="38.25" customHeight="1" thickBot="1">
      <c r="A172" s="238" t="str">
        <f>CONCATENATE('3 pr-2'!A172)</f>
        <v>3.1.2.</v>
      </c>
      <c r="B172" s="2085" t="str">
        <f>CONCATENATE('3 pr-2'!B172)</f>
        <v>Uždavinys:
Kraštovaizdžio apsauga, planavimas ir tvarkymas</v>
      </c>
      <c r="C172" s="2086"/>
      <c r="D172" s="2086"/>
      <c r="E172" s="2086"/>
      <c r="F172" s="2086"/>
      <c r="G172" s="2086"/>
      <c r="H172" s="2086"/>
      <c r="I172" s="2086"/>
      <c r="J172" s="2087"/>
      <c r="K172" s="1158">
        <f>SUM(K173)</f>
        <v>1715270.4670588234</v>
      </c>
      <c r="L172" s="1158">
        <f t="shared" ref="L172:P172" si="154">SUM(L173)</f>
        <v>257290.58705882353</v>
      </c>
      <c r="M172" s="1158">
        <f t="shared" si="154"/>
        <v>0</v>
      </c>
      <c r="N172" s="1158">
        <f t="shared" si="154"/>
        <v>0</v>
      </c>
      <c r="O172" s="1158">
        <f t="shared" si="154"/>
        <v>0</v>
      </c>
      <c r="P172" s="1158">
        <f t="shared" si="154"/>
        <v>1457979.88</v>
      </c>
      <c r="Q172" s="1158"/>
      <c r="R172" s="1158"/>
      <c r="S172" s="1158"/>
      <c r="T172" s="1158"/>
      <c r="U172" s="1158"/>
      <c r="V172" s="1158">
        <f t="shared" ref="V172" si="155">SUM(V173)</f>
        <v>0</v>
      </c>
      <c r="W172" s="1107" t="s">
        <v>679</v>
      </c>
      <c r="X172" s="1107" t="str">
        <f t="shared" si="116"/>
        <v> </v>
      </c>
      <c r="Y172" s="1362" t="str">
        <f t="shared" si="123"/>
        <v>–</v>
      </c>
      <c r="Z172" s="1357" t="s">
        <v>679</v>
      </c>
      <c r="AA172" s="1358" t="e">
        <f t="shared" si="117"/>
        <v>#VALUE!</v>
      </c>
      <c r="AB172" s="365"/>
    </row>
    <row r="173" spans="1:28" ht="30.75" customHeight="1" thickBot="1">
      <c r="A173" s="296" t="str">
        <f>CONCATENATE('3 pr-2'!A173)</f>
        <v>3.1.2.1</v>
      </c>
      <c r="B173" s="2088" t="str">
        <f>CONCATENATE('3 pr-2'!B173)</f>
        <v>Priemonė:
Kraštovaizdžio apsauga/plėtra</v>
      </c>
      <c r="C173" s="2089"/>
      <c r="D173" s="2089"/>
      <c r="E173" s="2089"/>
      <c r="F173" s="2089"/>
      <c r="G173" s="2089"/>
      <c r="H173" s="2089"/>
      <c r="I173" s="2089"/>
      <c r="J173" s="2090"/>
      <c r="K173" s="1077">
        <f>SUM(K174:K181)</f>
        <v>1715270.4670588234</v>
      </c>
      <c r="L173" s="1077">
        <f t="shared" ref="L173:P173" si="156">SUM(L174:L181)</f>
        <v>257290.58705882353</v>
      </c>
      <c r="M173" s="1077">
        <f t="shared" si="156"/>
        <v>0</v>
      </c>
      <c r="N173" s="1077">
        <f t="shared" si="156"/>
        <v>0</v>
      </c>
      <c r="O173" s="1077">
        <f t="shared" si="156"/>
        <v>0</v>
      </c>
      <c r="P173" s="1077">
        <f t="shared" si="156"/>
        <v>1457979.88</v>
      </c>
      <c r="Q173" s="1209">
        <f>SUM(Q174:Q181)</f>
        <v>0</v>
      </c>
      <c r="R173" s="1210">
        <f t="shared" ref="R173:V173" si="157">SUM(R174:R181)</f>
        <v>831922.88</v>
      </c>
      <c r="S173" s="1209">
        <f t="shared" si="157"/>
        <v>626057</v>
      </c>
      <c r="T173" s="1210">
        <f t="shared" si="157"/>
        <v>0</v>
      </c>
      <c r="U173" s="1211">
        <f t="shared" si="157"/>
        <v>0</v>
      </c>
      <c r="V173" s="1077">
        <f t="shared" si="157"/>
        <v>0</v>
      </c>
      <c r="W173" s="1150"/>
      <c r="X173" s="1150" t="str">
        <f t="shared" si="116"/>
        <v>–</v>
      </c>
      <c r="Y173" s="1150" t="str">
        <f t="shared" si="123"/>
        <v>–</v>
      </c>
      <c r="Z173" s="1344"/>
      <c r="AA173" s="1338" t="e">
        <f t="shared" si="117"/>
        <v>#VALUE!</v>
      </c>
      <c r="AB173" s="356"/>
    </row>
    <row r="174" spans="1:28" ht="48.75">
      <c r="A174" s="375" t="str">
        <f>CONCATENATE('3 pr-2'!A174)</f>
        <v>3.1.2.1.1</v>
      </c>
      <c r="B174" s="221" t="str">
        <f>CONCATENATE('3 pr-2'!B174)</f>
        <v>R01-0019-380000-3211</v>
      </c>
      <c r="C174" s="373" t="str">
        <f>CONCATENATE('ketv. 2'!B173)</f>
        <v>05.5.1-APVA-R-019-11-0002</v>
      </c>
      <c r="D174" s="375" t="str">
        <f>CONCATENATE('3 pr-2'!D174)</f>
        <v>Kraštovaizdžio formavimas ir tvarkymas Varėnos r. savivaldybėje (I etapas)</v>
      </c>
      <c r="E174" s="375" t="str">
        <f>CONCATENATE('3 pr-2'!E174)</f>
        <v>Varėnos rajono savivaldybės administracija</v>
      </c>
      <c r="F174" s="375" t="str">
        <f>CONCATENATE('3 pr-2'!F174)</f>
        <v>Lietuvos Respublikos aplinkos ministerija</v>
      </c>
      <c r="G174" s="375" t="str">
        <f>CONCATENATE('3 pr-2'!G174)</f>
        <v>Varėnos r. sav.</v>
      </c>
      <c r="H174" s="375" t="str">
        <f>CONCATENATE('3 pr-2'!H174)</f>
        <v>05.5.1-APVA-R-019</v>
      </c>
      <c r="I174" s="375" t="str">
        <f>CONCATENATE('3 pr-2'!I174)</f>
        <v>R</v>
      </c>
      <c r="J174" s="375" t="str">
        <f>CONCATENATE('3 pr-2'!J174)</f>
        <v>-</v>
      </c>
      <c r="K174" s="1163">
        <f>IF(Z174&gt;0,'3 pr-2'!L174,0)</f>
        <v>309522</v>
      </c>
      <c r="L174" s="1163">
        <f>IF(Z174&gt;0,'3 pr-2'!O174,0)</f>
        <v>46428.3</v>
      </c>
      <c r="M174" s="1163">
        <f>IF(Z174&gt;0,'3 pr-2'!R174,0)</f>
        <v>0</v>
      </c>
      <c r="N174" s="1163">
        <f>IF(Z174&gt;0,'3 pr-2'!U174,0)</f>
        <v>0</v>
      </c>
      <c r="O174" s="1163">
        <f>IF(Z174&gt;0,'3 pr-2'!X174,0)</f>
        <v>0</v>
      </c>
      <c r="P174" s="1163">
        <f>IF(Z174&gt;0,'3 pr-2'!AA174,0)</f>
        <v>263093.7</v>
      </c>
      <c r="Q174" s="1173">
        <f t="shared" ref="Q174:Q182" si="158">IF(YEAR(Z174)=2016,P174,0)</f>
        <v>0</v>
      </c>
      <c r="R174" s="1173">
        <f t="shared" ref="R174:R182" si="159">IF(YEAR(Z174)=2017,P174,0)</f>
        <v>263093.7</v>
      </c>
      <c r="S174" s="1173">
        <f t="shared" ref="S174:S182" si="160">IF(YEAR(Z174)=2018,P174,0)</f>
        <v>0</v>
      </c>
      <c r="T174" s="1173">
        <f t="shared" ref="T174:T182" si="161">IF(YEAR(Z174)=2019,P174,0)</f>
        <v>0</v>
      </c>
      <c r="U174" s="1173">
        <f t="shared" ref="U174:U182" si="162">IF(YEAR(Z174)=2020,P174,0)</f>
        <v>0</v>
      </c>
      <c r="V174" s="1164">
        <f>IF(Z174&gt;0,'3 pr-2'!$AB$10,0)</f>
        <v>0</v>
      </c>
      <c r="W174" s="1112">
        <f>SUM('3 pr-2'!AI174)</f>
        <v>42901</v>
      </c>
      <c r="X174" s="1133">
        <f t="shared" si="116"/>
        <v>42901</v>
      </c>
      <c r="Y174" s="992">
        <f t="shared" ref="Y174:Y182" si="163">IF(ISTEXT(X174),"–",IF((W174-X174)/30&gt;0,"–",(W174-X174)/30))</f>
        <v>0</v>
      </c>
      <c r="Z174" s="1339">
        <f>SUMIF(Projektu_sutarciu_ataskaita!$J$19:$J$600,C174,Projektu_sutarciu_ataskaita!$L$19:$L$600)</f>
        <v>42901</v>
      </c>
      <c r="AA174" s="1346">
        <f t="shared" si="117"/>
        <v>0</v>
      </c>
      <c r="AB174" s="384" t="str">
        <f t="shared" ref="AB174:AB181" si="164">IF(W174-Z174&lt;0,(W174-Z174)/30.4166666666667,"–")</f>
        <v>–</v>
      </c>
    </row>
    <row r="175" spans="1:28" ht="48.75">
      <c r="A175" s="375" t="str">
        <f>CONCATENATE('3 pr-2'!A175)</f>
        <v>3.1.2.1.2</v>
      </c>
      <c r="B175" s="221" t="str">
        <f>CONCATENATE('3 pr-2'!B175)</f>
        <v>R01-0019-380000-3212</v>
      </c>
      <c r="C175" s="373" t="str">
        <f>CONCATENATE('ketv. 2'!B174)</f>
        <v>05.5.1-APVA-R-019-11-0007</v>
      </c>
      <c r="D175" s="375" t="str">
        <f>CONCATENATE('3 pr-2'!D175)</f>
        <v>Kraštovaizdžio formavimas ir tvarkymas Varėnos r. savivaldybėje (II etapas)</v>
      </c>
      <c r="E175" s="375" t="str">
        <f>CONCATENATE('3 pr-2'!E175)</f>
        <v>Varėnos rajono savivaldybės administracija</v>
      </c>
      <c r="F175" s="375" t="str">
        <f>CONCATENATE('3 pr-2'!F175)</f>
        <v>Lietuvos Respublikos aplinkos ministerija</v>
      </c>
      <c r="G175" s="375" t="str">
        <f>CONCATENATE('3 pr-2'!G175)</f>
        <v>Varėnos r. sav.</v>
      </c>
      <c r="H175" s="375" t="str">
        <f>CONCATENATE('3 pr-2'!H175)</f>
        <v>05.5.1-APVA-R-019</v>
      </c>
      <c r="I175" s="375" t="str">
        <f>CONCATENATE('3 pr-2'!I175)</f>
        <v>R</v>
      </c>
      <c r="J175" s="375" t="str">
        <f>CONCATENATE('3 pr-2'!J175)</f>
        <v>-</v>
      </c>
      <c r="K175" s="1163">
        <f>IF(Z175&gt;0,'3 pr-2'!L175,0)</f>
        <v>0</v>
      </c>
      <c r="L175" s="1163">
        <f>IF(Z175&gt;0,'3 pr-2'!O175,0)</f>
        <v>0</v>
      </c>
      <c r="M175" s="1163">
        <f>IF(Z175&gt;0,'3 pr-2'!R175,0)</f>
        <v>0</v>
      </c>
      <c r="N175" s="1163">
        <f>IF(Z175&gt;0,'3 pr-2'!U175,0)</f>
        <v>0</v>
      </c>
      <c r="O175" s="1163">
        <f>IF(Z175&gt;0,'3 pr-2'!X175,0)</f>
        <v>0</v>
      </c>
      <c r="P175" s="1163">
        <f>IF(Z175&gt;0,'3 pr-2'!AA175,0)</f>
        <v>0</v>
      </c>
      <c r="Q175" s="1173">
        <f t="shared" si="158"/>
        <v>0</v>
      </c>
      <c r="R175" s="1173">
        <f t="shared" si="159"/>
        <v>0</v>
      </c>
      <c r="S175" s="1173">
        <f t="shared" si="160"/>
        <v>0</v>
      </c>
      <c r="T175" s="1173">
        <f t="shared" si="161"/>
        <v>0</v>
      </c>
      <c r="U175" s="1173">
        <f t="shared" si="162"/>
        <v>0</v>
      </c>
      <c r="V175" s="1164">
        <f>IF(Z175&gt;0,'3 pr-2'!$AB$10,0)</f>
        <v>0</v>
      </c>
      <c r="W175" s="1112">
        <f>SUM('3 pr-2'!AI175)</f>
        <v>43555</v>
      </c>
      <c r="X175" s="1133" t="str">
        <f t="shared" si="116"/>
        <v>–</v>
      </c>
      <c r="Y175" s="992" t="str">
        <f t="shared" si="163"/>
        <v>–</v>
      </c>
      <c r="Z175" s="1339">
        <f>SUMIF(Projektu_sutarciu_ataskaita!$J$19:$J$600,C175,Projektu_sutarciu_ataskaita!$L$19:$L$600)</f>
        <v>0</v>
      </c>
      <c r="AA175" s="1346" t="e">
        <f t="shared" si="117"/>
        <v>#VALUE!</v>
      </c>
      <c r="AB175" s="384" t="str">
        <f t="shared" si="164"/>
        <v>–</v>
      </c>
    </row>
    <row r="176" spans="1:28" ht="48.75">
      <c r="A176" s="375" t="str">
        <f>CONCATENATE('3 pr-2'!A176)</f>
        <v>3.1.2.1.3</v>
      </c>
      <c r="B176" s="221" t="str">
        <f>CONCATENATE('3 pr-2'!B176)</f>
        <v>R01-0019-380000-3213</v>
      </c>
      <c r="C176" s="373" t="str">
        <f>CONCATENATE('ketv. 2'!B175)</f>
        <v>05.5.1-APVA-R-019-11-0001</v>
      </c>
      <c r="D176" s="375" t="str">
        <f>CONCATENATE('3 pr-2'!D176)</f>
        <v>Bešeimininkių apleistų pastatų ir įrenginių tvarkymas Alytaus rajono savivaldybėje</v>
      </c>
      <c r="E176" s="375" t="str">
        <f>CONCATENATE('3 pr-2'!E176)</f>
        <v>Alytaus rajono savivaldybės administracija</v>
      </c>
      <c r="F176" s="375" t="str">
        <f>CONCATENATE('3 pr-2'!F176)</f>
        <v>Lietuvos Respublikos aplinkos ministerija</v>
      </c>
      <c r="G176" s="375" t="str">
        <f>CONCATENATE('3 pr-2'!G176)</f>
        <v>Alytaus r. sav.</v>
      </c>
      <c r="H176" s="375" t="str">
        <f>CONCATENATE('3 pr-2'!H176)</f>
        <v>05.5.1-APVA-R-019</v>
      </c>
      <c r="I176" s="375" t="str">
        <f>CONCATENATE('3 pr-2'!I176)</f>
        <v>R</v>
      </c>
      <c r="J176" s="375" t="str">
        <f>CONCATENATE('3 pr-2'!J176)</f>
        <v/>
      </c>
      <c r="K176" s="1163">
        <f>IF(Z176&gt;0,'3 pr-2'!L176,0)</f>
        <v>101765.7</v>
      </c>
      <c r="L176" s="1163">
        <f>IF(Z176&gt;0,'3 pr-2'!O176,0)</f>
        <v>15264.9</v>
      </c>
      <c r="M176" s="1163">
        <f>IF(Z176&gt;0,'3 pr-2'!R176,0)</f>
        <v>0</v>
      </c>
      <c r="N176" s="1163">
        <f>IF(Z176&gt;0,'3 pr-2'!U176,0)</f>
        <v>0</v>
      </c>
      <c r="O176" s="1163">
        <f>IF(Z176&gt;0,'3 pr-2'!X176,0)</f>
        <v>0</v>
      </c>
      <c r="P176" s="1163">
        <f>IF(Z176&gt;0,'3 pr-2'!AA176,0)</f>
        <v>86500.800000000003</v>
      </c>
      <c r="Q176" s="1173">
        <f t="shared" si="158"/>
        <v>0</v>
      </c>
      <c r="R176" s="1173">
        <f t="shared" si="159"/>
        <v>86500.800000000003</v>
      </c>
      <c r="S176" s="1173">
        <f t="shared" si="160"/>
        <v>0</v>
      </c>
      <c r="T176" s="1173">
        <f t="shared" si="161"/>
        <v>0</v>
      </c>
      <c r="U176" s="1173">
        <f t="shared" si="162"/>
        <v>0</v>
      </c>
      <c r="V176" s="1164">
        <f>IF(Z176&gt;0,'3 pr-2'!$AB$10,0)</f>
        <v>0</v>
      </c>
      <c r="W176" s="1112">
        <f>SUM('3 pr-2'!AI176)</f>
        <v>42998</v>
      </c>
      <c r="X176" s="1133">
        <f t="shared" si="116"/>
        <v>43003</v>
      </c>
      <c r="Y176" s="992">
        <f t="shared" si="163"/>
        <v>-0.16666666666666666</v>
      </c>
      <c r="Z176" s="1339">
        <f>SUMIF(Projektu_sutarciu_ataskaita!$J$19:$J$600,C176,Projektu_sutarciu_ataskaita!$L$19:$L$600)</f>
        <v>43003</v>
      </c>
      <c r="AA176" s="1346">
        <f t="shared" si="117"/>
        <v>-0.16666666666666666</v>
      </c>
      <c r="AB176" s="384">
        <f t="shared" si="164"/>
        <v>-0.16438356164383544</v>
      </c>
    </row>
    <row r="177" spans="1:28" ht="48.75">
      <c r="A177" s="375" t="str">
        <f>CONCATENATE('3 pr-2'!A177)</f>
        <v>3.1.2.1.4</v>
      </c>
      <c r="B177" s="221" t="str">
        <f>CONCATENATE('3 pr-2'!B177)</f>
        <v>R01-0019-380000-3214</v>
      </c>
      <c r="C177" s="373" t="str">
        <f>CONCATENATE('ketv. 2'!B176)</f>
        <v>05.5.1-APVA-R-019-11-0004</v>
      </c>
      <c r="D177" s="375" t="str">
        <f>CONCATENATE('3 pr-2'!D177)</f>
        <v>Alytaus miesto bendrojo plano korektūra zonuojant kraštovaizdžio struktūrą, nustatant reglamentus ir principus</v>
      </c>
      <c r="E177" s="375" t="str">
        <f>CONCATENATE('3 pr-2'!E177)</f>
        <v>Alytaus miesto savivaldybės administracija</v>
      </c>
      <c r="F177" s="375" t="str">
        <f>CONCATENATE('3 pr-2'!F177)</f>
        <v>Lietuvos Respublikos aplinkos ministerija</v>
      </c>
      <c r="G177" s="375" t="str">
        <f>CONCATENATE('3 pr-2'!G177)</f>
        <v>Alytaus m. sav.</v>
      </c>
      <c r="H177" s="375" t="str">
        <f>CONCATENATE('3 pr-2'!H177)</f>
        <v>05.5.1-APVA-R-019</v>
      </c>
      <c r="I177" s="375" t="str">
        <f>CONCATENATE('3 pr-2'!I177)</f>
        <v>R</v>
      </c>
      <c r="J177" s="375" t="str">
        <f>CONCATENATE('3 pr-2'!J177)</f>
        <v/>
      </c>
      <c r="K177" s="1163">
        <f>IF(Z177&gt;0,'3 pr-2'!L177,0)</f>
        <v>3993</v>
      </c>
      <c r="L177" s="1163">
        <f>IF(Z177&gt;0,'3 pr-2'!O177,0)</f>
        <v>598.95000000000005</v>
      </c>
      <c r="M177" s="1163">
        <f>IF(Z177&gt;0,'3 pr-2'!R177,0)</f>
        <v>0</v>
      </c>
      <c r="N177" s="1163">
        <f>IF(Z177&gt;0,'3 pr-2'!U177,0)</f>
        <v>0</v>
      </c>
      <c r="O177" s="1163">
        <f>IF(Z177&gt;0,'3 pr-2'!X177,0)</f>
        <v>0</v>
      </c>
      <c r="P177" s="1163">
        <f>IF(Z177&gt;0,'3 pr-2'!AA177,0)</f>
        <v>3394.05</v>
      </c>
      <c r="Q177" s="1173">
        <f t="shared" si="158"/>
        <v>0</v>
      </c>
      <c r="R177" s="1173">
        <f t="shared" si="159"/>
        <v>3394.05</v>
      </c>
      <c r="S177" s="1173">
        <f t="shared" si="160"/>
        <v>0</v>
      </c>
      <c r="T177" s="1173">
        <f t="shared" si="161"/>
        <v>0</v>
      </c>
      <c r="U177" s="1173">
        <f t="shared" si="162"/>
        <v>0</v>
      </c>
      <c r="V177" s="1164">
        <f>IF(Z177&gt;0,'3 pr-2'!$AB$10,0)</f>
        <v>0</v>
      </c>
      <c r="W177" s="1112">
        <f>SUM('3 pr-2'!AI177)</f>
        <v>42965</v>
      </c>
      <c r="X177" s="1133">
        <f t="shared" si="116"/>
        <v>42965</v>
      </c>
      <c r="Y177" s="992">
        <f t="shared" si="163"/>
        <v>0</v>
      </c>
      <c r="Z177" s="1339">
        <f>SUMIF(Projektu_sutarciu_ataskaita!$J$19:$J$600,C177,Projektu_sutarciu_ataskaita!$L$19:$L$600)</f>
        <v>42965</v>
      </c>
      <c r="AA177" s="1346">
        <f t="shared" si="117"/>
        <v>0</v>
      </c>
      <c r="AB177" s="384" t="str">
        <f t="shared" si="164"/>
        <v>–</v>
      </c>
    </row>
    <row r="178" spans="1:28" ht="48.75">
      <c r="A178" s="375" t="str">
        <f>CONCATENATE('3 pr-2'!A178)</f>
        <v>3.1.2.1.5</v>
      </c>
      <c r="B178" s="221" t="str">
        <f>CONCATENATE('3 pr-2'!B178)</f>
        <v>R01-0019-380000-3215</v>
      </c>
      <c r="C178" s="373" t="str">
        <f>CONCATENATE('ketv. 2'!B177)</f>
        <v>05.5.1-APVA-R-019-11-0005</v>
      </c>
      <c r="D178" s="375" t="str">
        <f>CONCATENATE('3 pr-2'!D178)</f>
        <v>Bešeimininkių apleistų pastatų Druskininkų savivaldybės teritorijoje likvidavimas</v>
      </c>
      <c r="E178" s="375" t="str">
        <f>CONCATENATE('3 pr-2'!E178)</f>
        <v>Druskininkų savivaldybės administracija</v>
      </c>
      <c r="F178" s="375" t="str">
        <f>CONCATENATE('3 pr-2'!F178)</f>
        <v>Lietuvos Respublikos aplinkos ministerija</v>
      </c>
      <c r="G178" s="375" t="str">
        <f>CONCATENATE('3 pr-2'!G178)</f>
        <v>Druskininkų sav.</v>
      </c>
      <c r="H178" s="375" t="str">
        <f>CONCATENATE('3 pr-2'!H178)</f>
        <v>05.5.1-APVA-R-019</v>
      </c>
      <c r="I178" s="375" t="str">
        <f>CONCATENATE('3 pr-2'!I178)</f>
        <v>R</v>
      </c>
      <c r="J178" s="375" t="str">
        <f>CONCATENATE('3 pr-2'!J178)</f>
        <v>-</v>
      </c>
      <c r="K178" s="1163">
        <f>IF(Z178&gt;0,'3 pr-2'!L178,0)</f>
        <v>121153.53</v>
      </c>
      <c r="L178" s="1163">
        <f>IF(Z178&gt;0,'3 pr-2'!O178,0)</f>
        <v>18173.009999999998</v>
      </c>
      <c r="M178" s="1163">
        <f>IF(Z178&gt;0,'3 pr-2'!R178,0)</f>
        <v>0</v>
      </c>
      <c r="N178" s="1163">
        <f>IF(Z178&gt;0,'3 pr-2'!U178,0)</f>
        <v>0</v>
      </c>
      <c r="O178" s="1163">
        <f>IF(Z178&gt;0,'3 pr-2'!X178,0)</f>
        <v>0</v>
      </c>
      <c r="P178" s="1163">
        <f>IF(Z178&gt;0,'3 pr-2'!AA178,0)</f>
        <v>102980.52</v>
      </c>
      <c r="Q178" s="1173">
        <f t="shared" si="158"/>
        <v>0</v>
      </c>
      <c r="R178" s="1173">
        <f t="shared" si="159"/>
        <v>102980.52</v>
      </c>
      <c r="S178" s="1173">
        <f t="shared" si="160"/>
        <v>0</v>
      </c>
      <c r="T178" s="1173">
        <f t="shared" si="161"/>
        <v>0</v>
      </c>
      <c r="U178" s="1173">
        <f t="shared" si="162"/>
        <v>0</v>
      </c>
      <c r="V178" s="1164">
        <f>IF(Z178&gt;0,'3 pr-2'!$AB$10,0)</f>
        <v>0</v>
      </c>
      <c r="W178" s="1112">
        <f>SUM('3 pr-2'!AI178)</f>
        <v>42978</v>
      </c>
      <c r="X178" s="1133">
        <f t="shared" si="116"/>
        <v>42936</v>
      </c>
      <c r="Y178" s="992" t="str">
        <f t="shared" si="163"/>
        <v>–</v>
      </c>
      <c r="Z178" s="1339">
        <f>SUMIF(Projektu_sutarciu_ataskaita!$J$19:$J$600,C178,Projektu_sutarciu_ataskaita!$L$19:$L$600)</f>
        <v>42936</v>
      </c>
      <c r="AA178" s="1346">
        <f t="shared" si="117"/>
        <v>1.4</v>
      </c>
      <c r="AB178" s="384" t="str">
        <f t="shared" si="164"/>
        <v>–</v>
      </c>
    </row>
    <row r="179" spans="1:28" ht="48.75">
      <c r="A179" s="375" t="str">
        <f>CONCATENATE('3 pr-2'!A179)</f>
        <v>3.1.2.1.6</v>
      </c>
      <c r="B179" s="221" t="str">
        <f>CONCATENATE('3 pr-2'!B179)</f>
        <v>R01-0019-380000-3216</v>
      </c>
      <c r="C179" s="373" t="str">
        <f>CONCATENATE('ketv. 2'!B178)</f>
        <v>05.5.1-APVA-R-019-11-0003</v>
      </c>
      <c r="D179" s="375" t="str">
        <f>CONCATENATE('3 pr-2'!D179)</f>
        <v>Kraštovaizdžio formavimas Lazdijų rajono savivaldybėje</v>
      </c>
      <c r="E179" s="375" t="str">
        <f>CONCATENATE('3 pr-2'!E179)</f>
        <v>Lazdijų rajono savivaldybės administracija</v>
      </c>
      <c r="F179" s="375" t="str">
        <f>CONCATENATE('3 pr-2'!F179)</f>
        <v>Lietuvos Respublikos aplinkos ministerija</v>
      </c>
      <c r="G179" s="375" t="str">
        <f>CONCATENATE('3 pr-2'!G179)</f>
        <v>Lazdijų r. sav.</v>
      </c>
      <c r="H179" s="375" t="str">
        <f>CONCATENATE('3 pr-2'!H179)</f>
        <v>05.5.1-APVA-R-019</v>
      </c>
      <c r="I179" s="375" t="str">
        <f>CONCATENATE('3 pr-2'!I179)</f>
        <v>R</v>
      </c>
      <c r="J179" s="375" t="str">
        <f>CONCATENATE('3 pr-2'!J179)</f>
        <v>-</v>
      </c>
      <c r="K179" s="1163">
        <f>IF(Z179&gt;0,'3 pr-2'!L179,0)</f>
        <v>442298.58999999997</v>
      </c>
      <c r="L179" s="1163">
        <f>IF(Z179&gt;0,'3 pr-2'!O179,0)</f>
        <v>66344.78</v>
      </c>
      <c r="M179" s="1163">
        <f>IF(Z179&gt;0,'3 pr-2'!R179,0)</f>
        <v>0</v>
      </c>
      <c r="N179" s="1163">
        <f>IF(Z179&gt;0,'3 pr-2'!U179,0)</f>
        <v>0</v>
      </c>
      <c r="O179" s="1163">
        <f>IF(Z179&gt;0,'3 pr-2'!X179,0)</f>
        <v>0</v>
      </c>
      <c r="P179" s="1163">
        <f>IF(Z179&gt;0,'3 pr-2'!AA179,0)</f>
        <v>375953.81</v>
      </c>
      <c r="Q179" s="1173">
        <f t="shared" si="158"/>
        <v>0</v>
      </c>
      <c r="R179" s="1173">
        <f t="shared" si="159"/>
        <v>375953.81</v>
      </c>
      <c r="S179" s="1173">
        <f t="shared" si="160"/>
        <v>0</v>
      </c>
      <c r="T179" s="1173">
        <f t="shared" si="161"/>
        <v>0</v>
      </c>
      <c r="U179" s="1173">
        <f t="shared" si="162"/>
        <v>0</v>
      </c>
      <c r="V179" s="1164">
        <f>IF(Z179&gt;0,'3 pr-2'!$AB$10,0)</f>
        <v>0</v>
      </c>
      <c r="W179" s="1112">
        <f>SUM('3 pr-2'!AI179)</f>
        <v>42935</v>
      </c>
      <c r="X179" s="1133">
        <f t="shared" si="116"/>
        <v>42935</v>
      </c>
      <c r="Y179" s="992">
        <f t="shared" si="163"/>
        <v>0</v>
      </c>
      <c r="Z179" s="1339">
        <f>SUMIF(Projektu_sutarciu_ataskaita!$J$19:$J$600,C179,Projektu_sutarciu_ataskaita!$L$19:$L$600)</f>
        <v>42935</v>
      </c>
      <c r="AA179" s="1346">
        <f t="shared" si="117"/>
        <v>0</v>
      </c>
      <c r="AB179" s="384" t="str">
        <f t="shared" si="164"/>
        <v>–</v>
      </c>
    </row>
    <row r="180" spans="1:28" ht="48.75">
      <c r="A180" s="375" t="str">
        <f>CONCATENATE('3 pr-2'!A180)</f>
        <v>3.1.2.1.7</v>
      </c>
      <c r="B180" s="221" t="str">
        <f>CONCATENATE('3 pr-2'!B180)</f>
        <v>R01-0019-283800-3217</v>
      </c>
      <c r="C180" s="373" t="str">
        <f>CONCATENATE('ketv. 2'!B179)</f>
        <v>05.5.1-APVA-R-019-11-0008</v>
      </c>
      <c r="D180" s="375" t="str">
        <f>CONCATENATE('3 pr-2'!D180)</f>
        <v>Kraštovaizdžio formavimas Lazdijų rajono savivaldybėje (II etapas)</v>
      </c>
      <c r="E180" s="375" t="str">
        <f>CONCATENATE('3 pr-2'!E180)</f>
        <v>Lazdijų rajono savivaldybės administracija</v>
      </c>
      <c r="F180" s="375" t="str">
        <f>CONCATENATE('3 pr-2'!F180)</f>
        <v>Lietuvos Respublikos aplinkos ministerija</v>
      </c>
      <c r="G180" s="375" t="str">
        <f>CONCATENATE('3 pr-2'!G180)</f>
        <v>Lazdijų r. sav.</v>
      </c>
      <c r="H180" s="375" t="str">
        <f>CONCATENATE('3 pr-2'!H180)</f>
        <v>05.5.1-APVA-R-019</v>
      </c>
      <c r="I180" s="375" t="str">
        <f>CONCATENATE('3 pr-2'!I180)</f>
        <v>R</v>
      </c>
      <c r="J180" s="375" t="str">
        <f>CONCATENATE('3 pr-2'!J180)</f>
        <v>-</v>
      </c>
      <c r="K180" s="1163">
        <f>IF(Z180&gt;0,'3 pr-2'!L180,0)</f>
        <v>0</v>
      </c>
      <c r="L180" s="1163">
        <f>IF(Z180&gt;0,'3 pr-2'!O180,0)</f>
        <v>0</v>
      </c>
      <c r="M180" s="1163">
        <f>IF(Z180&gt;0,'3 pr-2'!R180,0)</f>
        <v>0</v>
      </c>
      <c r="N180" s="1163">
        <f>IF(Z180&gt;0,'3 pr-2'!U180,0)</f>
        <v>0</v>
      </c>
      <c r="O180" s="1163">
        <f>IF(Z180&gt;0,'3 pr-2'!X180,0)</f>
        <v>0</v>
      </c>
      <c r="P180" s="1163">
        <f>IF(Z180&gt;0,'3 pr-2'!AA180,0)</f>
        <v>0</v>
      </c>
      <c r="Q180" s="1173">
        <f t="shared" si="158"/>
        <v>0</v>
      </c>
      <c r="R180" s="1173">
        <f t="shared" si="159"/>
        <v>0</v>
      </c>
      <c r="S180" s="1173">
        <f t="shared" si="160"/>
        <v>0</v>
      </c>
      <c r="T180" s="1173">
        <f t="shared" si="161"/>
        <v>0</v>
      </c>
      <c r="U180" s="1173">
        <f t="shared" si="162"/>
        <v>0</v>
      </c>
      <c r="V180" s="1164">
        <f>IF(Z180&gt;0,'3 pr-2'!$AB$10,0)</f>
        <v>0</v>
      </c>
      <c r="W180" s="1112">
        <f>SUM('3 pr-2'!AI180)</f>
        <v>43554</v>
      </c>
      <c r="X180" s="1133" t="str">
        <f t="shared" si="116"/>
        <v>–</v>
      </c>
      <c r="Y180" s="992" t="str">
        <f t="shared" si="163"/>
        <v>–</v>
      </c>
      <c r="Z180" s="1339">
        <f>SUMIF(Projektu_sutarciu_ataskaita!$J$19:$J$600,C180,Projektu_sutarciu_ataskaita!$L$19:$L$600)</f>
        <v>0</v>
      </c>
      <c r="AA180" s="1346" t="e">
        <f t="shared" si="117"/>
        <v>#VALUE!</v>
      </c>
      <c r="AB180" s="384" t="str">
        <f t="shared" si="164"/>
        <v>–</v>
      </c>
    </row>
    <row r="181" spans="1:28" ht="48.75">
      <c r="A181" s="375" t="str">
        <f>CONCATENATE('3 pr-2'!A181)</f>
        <v>3.1.2.1.8</v>
      </c>
      <c r="B181" s="221" t="str">
        <f>CONCATENATE('3 pr-2'!B181)</f>
        <v>R01-0019-380000-3218</v>
      </c>
      <c r="C181" s="373" t="str">
        <f>CONCATENATE('ketv. 2'!B180)</f>
        <v>05.5.1-APVA-R-019-11-0006</v>
      </c>
      <c r="D181" s="375" t="str">
        <f>CONCATENATE('3 pr-2'!D181)</f>
        <v>Bešeimininkių apleistų pastatų ir įrenginių tvarkymas Alytaus rajono savivaldybėje (II etapas)</v>
      </c>
      <c r="E181" s="375" t="str">
        <f>CONCATENATE('3 pr-2'!E181)</f>
        <v>Alytaus rajono savivaldybės administracija</v>
      </c>
      <c r="F181" s="375" t="str">
        <f>CONCATENATE('3 pr-2'!F181)</f>
        <v>Lietuvos Respublikos aplinkos ministerija</v>
      </c>
      <c r="G181" s="375" t="str">
        <f>CONCATENATE('3 pr-2'!G181)</f>
        <v>Alytaus r. sav.</v>
      </c>
      <c r="H181" s="375" t="str">
        <f>CONCATENATE('3 pr-2'!H181)</f>
        <v>05.5.1-APVA-R-019</v>
      </c>
      <c r="I181" s="375" t="str">
        <f>CONCATENATE('3 pr-2'!I181)</f>
        <v>R</v>
      </c>
      <c r="J181" s="375" t="str">
        <f>CONCATENATE('3 pr-2'!J181)</f>
        <v>-</v>
      </c>
      <c r="K181" s="1080">
        <f>IF(Z181&gt;0,'3 pr-2'!L181,0)</f>
        <v>736537.6470588235</v>
      </c>
      <c r="L181" s="1080">
        <f>IF(Z181&gt;0,'3 pr-2'!O181,0)</f>
        <v>110480.64705882352</v>
      </c>
      <c r="M181" s="1080">
        <f>IF(Z181&gt;0,'3 pr-2'!R181,0)</f>
        <v>0</v>
      </c>
      <c r="N181" s="1080">
        <f>IF(Z181&gt;0,'3 pr-2'!U181,0)</f>
        <v>0</v>
      </c>
      <c r="O181" s="1080">
        <f>IF(Z181&gt;0,'3 pr-2'!X181,0)</f>
        <v>0</v>
      </c>
      <c r="P181" s="1080">
        <f>IF(Z181&gt;0,'3 pr-2'!AA181,0)</f>
        <v>626057</v>
      </c>
      <c r="Q181" s="1173">
        <f t="shared" si="158"/>
        <v>0</v>
      </c>
      <c r="R181" s="1173">
        <f t="shared" si="159"/>
        <v>0</v>
      </c>
      <c r="S181" s="1173">
        <f t="shared" si="160"/>
        <v>626057</v>
      </c>
      <c r="T181" s="1173">
        <f t="shared" si="161"/>
        <v>0</v>
      </c>
      <c r="U181" s="1173">
        <f t="shared" si="162"/>
        <v>0</v>
      </c>
      <c r="V181" s="1164">
        <f>IF(Z181&gt;0,'3 pr-2'!$AB$10,0)</f>
        <v>0</v>
      </c>
      <c r="W181" s="1112">
        <f>SUM('3 pr-2'!AI181)</f>
        <v>43342</v>
      </c>
      <c r="X181" s="1133">
        <f t="shared" si="116"/>
        <v>43370</v>
      </c>
      <c r="Y181" s="992">
        <f t="shared" si="163"/>
        <v>-0.93333333333333335</v>
      </c>
      <c r="Z181" s="1339">
        <f>SUMIF(Projektu_sutarciu_ataskaita!$J$19:$J$600,C181,Projektu_sutarciu_ataskaita!$L$19:$L$600)</f>
        <v>43370</v>
      </c>
      <c r="AA181" s="1346">
        <f t="shared" si="117"/>
        <v>-0.93333333333333335</v>
      </c>
      <c r="AB181" s="384">
        <f t="shared" si="164"/>
        <v>-0.92054794520547845</v>
      </c>
    </row>
    <row r="182" spans="1:28" ht="48.75">
      <c r="A182" s="375" t="str">
        <f>CONCATENATE('3 pr-2'!A182)</f>
        <v>3.1.2.1.9</v>
      </c>
      <c r="B182" s="221" t="str">
        <f>CONCATENATE('3 pr-2'!B182)</f>
        <v>R01-0019-380000-3219</v>
      </c>
      <c r="C182" s="373" t="str">
        <f>CONCATENATE('ketv. 2'!B181)</f>
        <v/>
      </c>
      <c r="D182" s="375" t="str">
        <f>CONCATENATE('3 pr-2'!D182)</f>
        <v>Etaloninio kraštovaizdžio formavimas Druskininkų savivaldybės pasienyje</v>
      </c>
      <c r="E182" s="375" t="str">
        <f>CONCATENATE('3 pr-2'!E182)</f>
        <v>Druskininkų savivaldybės administracija</v>
      </c>
      <c r="F182" s="375" t="str">
        <f>CONCATENATE('3 pr-2'!F182)</f>
        <v>Lietuvos Respublikos aplinkos ministerija</v>
      </c>
      <c r="G182" s="375" t="str">
        <f>CONCATENATE('3 pr-2'!G182)</f>
        <v>Druskininkų sav.</v>
      </c>
      <c r="H182" s="375" t="str">
        <f>CONCATENATE('3 pr-2'!H182)</f>
        <v>05.5.1-APVA-R-019</v>
      </c>
      <c r="I182" s="375" t="str">
        <f>CONCATENATE('3 pr-2'!I182)</f>
        <v>R</v>
      </c>
      <c r="J182" s="375" t="str">
        <f>CONCATENATE('3 pr-2'!J182)</f>
        <v>-</v>
      </c>
      <c r="K182" s="1080">
        <f>IF(Z182&gt;0,'3 pr-2'!L182,0)</f>
        <v>0</v>
      </c>
      <c r="L182" s="1080">
        <f>IF(Z182&gt;0,'3 pr-2'!O182,0)</f>
        <v>0</v>
      </c>
      <c r="M182" s="1080">
        <f>IF(Z182&gt;0,'3 pr-2'!R182,0)</f>
        <v>0</v>
      </c>
      <c r="N182" s="1080">
        <f>IF(Z182&gt;0,'3 pr-2'!U182,0)</f>
        <v>0</v>
      </c>
      <c r="O182" s="1080">
        <f>IF(Z182&gt;0,'3 pr-2'!X182,0)</f>
        <v>0</v>
      </c>
      <c r="P182" s="1080">
        <f>IF(Z182&gt;0,'3 pr-2'!AA182,0)</f>
        <v>0</v>
      </c>
      <c r="Q182" s="1173">
        <f t="shared" si="158"/>
        <v>0</v>
      </c>
      <c r="R182" s="1173">
        <f t="shared" si="159"/>
        <v>0</v>
      </c>
      <c r="S182" s="1173">
        <f t="shared" si="160"/>
        <v>0</v>
      </c>
      <c r="T182" s="1173">
        <f t="shared" si="161"/>
        <v>0</v>
      </c>
      <c r="U182" s="1173">
        <f t="shared" si="162"/>
        <v>0</v>
      </c>
      <c r="V182" s="1164">
        <f>IF(Z182&gt;0,'3 pr-2'!$AB$10,0)</f>
        <v>0</v>
      </c>
      <c r="W182" s="1112">
        <f>SUM('3 pr-2'!AI182)</f>
        <v>43647</v>
      </c>
      <c r="X182" s="1133" t="str">
        <f t="shared" si="116"/>
        <v>–</v>
      </c>
      <c r="Y182" s="992" t="str">
        <f t="shared" si="163"/>
        <v>–</v>
      </c>
      <c r="Z182" s="1339">
        <f>SUMIF(Projektu_sutarciu_ataskaita!$J$19:$J$600,C182,Projektu_sutarciu_ataskaita!$L$19:$L$600)</f>
        <v>0</v>
      </c>
      <c r="AA182" s="1346" t="e">
        <f t="shared" si="117"/>
        <v>#VALUE!</v>
      </c>
      <c r="AB182" s="384" t="str">
        <f t="shared" ref="AB182" si="165">IF(W182-Z182&lt;0,(W182-Z182)/30.4166666666667,"–")</f>
        <v>–</v>
      </c>
    </row>
    <row r="183" spans="1:28" hidden="1">
      <c r="A183" s="1252"/>
      <c r="B183" s="1253"/>
      <c r="C183" s="1254"/>
      <c r="D183" s="1252"/>
      <c r="E183" s="1252"/>
      <c r="F183" s="1252"/>
      <c r="G183" s="1252"/>
      <c r="H183" s="1252"/>
      <c r="I183" s="1252"/>
      <c r="J183" s="1252"/>
      <c r="K183" s="1257">
        <f>SUM(K7+K100+K168)</f>
        <v>61661405.816470578</v>
      </c>
      <c r="L183" s="1257">
        <f t="shared" ref="L183:V183" si="166">SUM(L7+L100+L168)</f>
        <v>7054640.1164705874</v>
      </c>
      <c r="M183" s="1257">
        <f t="shared" ca="1" si="166"/>
        <v>1016569.12</v>
      </c>
      <c r="N183" s="1257">
        <f t="shared" si="166"/>
        <v>9270980.4100000001</v>
      </c>
      <c r="O183" s="1257">
        <f t="shared" si="166"/>
        <v>415060.82</v>
      </c>
      <c r="P183" s="1257">
        <f t="shared" si="166"/>
        <v>43904155.350000001</v>
      </c>
      <c r="Q183" s="1255">
        <f t="shared" si="166"/>
        <v>0</v>
      </c>
      <c r="R183" s="1255">
        <f t="shared" si="166"/>
        <v>0</v>
      </c>
      <c r="S183" s="1255">
        <f t="shared" si="166"/>
        <v>0</v>
      </c>
      <c r="T183" s="1255">
        <f t="shared" si="166"/>
        <v>0</v>
      </c>
      <c r="U183" s="1255">
        <f t="shared" si="166"/>
        <v>0</v>
      </c>
      <c r="V183" s="1255">
        <f t="shared" si="166"/>
        <v>0</v>
      </c>
      <c r="W183" s="1256"/>
      <c r="X183" s="1256"/>
      <c r="Y183" s="1256"/>
      <c r="Z183" s="1256"/>
      <c r="AA183" s="322"/>
      <c r="AB183" s="620"/>
    </row>
    <row r="185" spans="1:28" ht="15.75">
      <c r="B185" s="1146" t="s">
        <v>1790</v>
      </c>
    </row>
  </sheetData>
  <autoFilter ref="A5:AB183" xr:uid="{00000000-0009-0000-0000-000018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10" showButton="0"/>
    <filterColumn colId="11" showButton="0"/>
    <filterColumn colId="12" showButton="0"/>
    <filterColumn colId="13" showButton="0"/>
    <filterColumn colId="14" showButton="0"/>
    <filterColumn colId="16" showButton="0"/>
    <filterColumn colId="17" showButton="0"/>
    <filterColumn colId="18" showButton="0"/>
  </autoFilter>
  <mergeCells count="43">
    <mergeCell ref="B170:J170"/>
    <mergeCell ref="B173:J173"/>
    <mergeCell ref="B169:J169"/>
    <mergeCell ref="B172:J172"/>
    <mergeCell ref="B33:J33"/>
    <mergeCell ref="B39:J39"/>
    <mergeCell ref="B46:J46"/>
    <mergeCell ref="B50:J50"/>
    <mergeCell ref="B56:J56"/>
    <mergeCell ref="B58:J58"/>
    <mergeCell ref="B62:J62"/>
    <mergeCell ref="B67:J67"/>
    <mergeCell ref="B74:J74"/>
    <mergeCell ref="B73:J73"/>
    <mergeCell ref="B79:J79"/>
    <mergeCell ref="B86:J86"/>
    <mergeCell ref="B102:J102"/>
    <mergeCell ref="B168:J168"/>
    <mergeCell ref="B101:J101"/>
    <mergeCell ref="B120:J120"/>
    <mergeCell ref="B147:J147"/>
    <mergeCell ref="B160:J160"/>
    <mergeCell ref="B108:J108"/>
    <mergeCell ref="B114:J114"/>
    <mergeCell ref="B121:J121"/>
    <mergeCell ref="B135:J135"/>
    <mergeCell ref="B141:J141"/>
    <mergeCell ref="B148:J148"/>
    <mergeCell ref="B154:J154"/>
    <mergeCell ref="B161:J161"/>
    <mergeCell ref="K3:P3"/>
    <mergeCell ref="W3:AB3"/>
    <mergeCell ref="Q3:U3"/>
    <mergeCell ref="A2:L2"/>
    <mergeCell ref="B100:J100"/>
    <mergeCell ref="A5:J5"/>
    <mergeCell ref="K5:P5"/>
    <mergeCell ref="Q5:T5"/>
    <mergeCell ref="A3:J3"/>
    <mergeCell ref="B7:J7"/>
    <mergeCell ref="B8:J8"/>
    <mergeCell ref="B9:J9"/>
    <mergeCell ref="B92:J92"/>
  </mergeCells>
  <pageMargins left="0.23622047244094491" right="0.23622047244094491" top="0.74803149606299213" bottom="0.74803149606299213" header="0.31496062992125984" footer="0.31496062992125984"/>
  <pageSetup paperSize="8" scale="74" fitToHeight="0"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X184"/>
  <sheetViews>
    <sheetView topLeftCell="A3" workbookViewId="0">
      <pane ySplit="2535" topLeftCell="A97" activePane="bottomLeft"/>
      <selection activeCell="V1" sqref="V1:Y1048576"/>
      <selection pane="bottomLeft" activeCell="B80" sqref="A80:XFD80"/>
    </sheetView>
  </sheetViews>
  <sheetFormatPr defaultRowHeight="15"/>
  <cols>
    <col min="1" max="1" width="7.85546875" customWidth="1"/>
    <col min="2" max="2" width="9" bestFit="1" customWidth="1"/>
    <col min="3" max="3" width="12.85546875" hidden="1" customWidth="1"/>
    <col min="4" max="4" width="43" customWidth="1"/>
    <col min="5" max="5" width="18.7109375" customWidth="1"/>
    <col min="6" max="6" width="20.140625" customWidth="1"/>
    <col min="7" max="7" width="11.28515625" customWidth="1"/>
    <col min="8" max="8" width="16.5703125" customWidth="1"/>
    <col min="9" max="9" width="5.42578125" customWidth="1"/>
    <col min="10" max="10" width="5.5703125" customWidth="1"/>
    <col min="11" max="11" width="16.42578125" bestFit="1" customWidth="1"/>
    <col min="12" max="13" width="14.28515625" bestFit="1" customWidth="1"/>
    <col min="14" max="14" width="12.7109375" customWidth="1"/>
    <col min="16" max="16" width="16.42578125" bestFit="1" customWidth="1"/>
    <col min="17" max="17" width="12.5703125" customWidth="1"/>
    <col min="18" max="18" width="11.28515625" customWidth="1"/>
    <col min="19" max="19" width="12.7109375" hidden="1" customWidth="1"/>
    <col min="20" max="20" width="8.42578125" style="1383" customWidth="1"/>
    <col min="21" max="21" width="9.85546875" hidden="1" customWidth="1"/>
    <col min="22" max="22" width="9.7109375" customWidth="1"/>
    <col min="23" max="24" width="9.7109375" hidden="1" customWidth="1"/>
  </cols>
  <sheetData>
    <row r="1" spans="1:24" ht="16.5" thickBot="1">
      <c r="A1" s="2082" t="s">
        <v>694</v>
      </c>
      <c r="B1" s="2082"/>
      <c r="C1" s="2082"/>
      <c r="D1" s="2083"/>
      <c r="E1" s="2083"/>
      <c r="F1" s="2083"/>
      <c r="G1" s="2083"/>
      <c r="H1" s="2083"/>
      <c r="I1" s="2083"/>
      <c r="J1" s="2083"/>
      <c r="K1" s="2083"/>
      <c r="L1" s="2083"/>
    </row>
    <row r="2" spans="1:24" ht="47.25" customHeight="1" thickTop="1" thickBot="1">
      <c r="A2" s="2122" t="s">
        <v>46</v>
      </c>
      <c r="B2" s="2123"/>
      <c r="C2" s="2123"/>
      <c r="D2" s="2123"/>
      <c r="E2" s="2123"/>
      <c r="F2" s="2123"/>
      <c r="G2" s="2123"/>
      <c r="H2" s="2123"/>
      <c r="I2" s="2123"/>
      <c r="J2" s="2123"/>
      <c r="K2" s="2104" t="s">
        <v>47</v>
      </c>
      <c r="L2" s="2105"/>
      <c r="M2" s="2105"/>
      <c r="N2" s="2105"/>
      <c r="O2" s="2105"/>
      <c r="P2" s="2105"/>
      <c r="Q2" s="2128"/>
      <c r="R2" s="2079" t="s">
        <v>695</v>
      </c>
      <c r="S2" s="2080"/>
      <c r="T2" s="2080"/>
      <c r="U2" s="2080"/>
      <c r="V2" s="2081"/>
      <c r="W2" s="1248"/>
      <c r="X2" s="1248"/>
    </row>
    <row r="3" spans="1:24">
      <c r="A3" s="2124" t="s">
        <v>7</v>
      </c>
      <c r="B3" s="2124" t="s">
        <v>1779</v>
      </c>
      <c r="C3" s="1140" t="s">
        <v>690</v>
      </c>
      <c r="D3" s="2126" t="s">
        <v>49</v>
      </c>
      <c r="E3" s="2126" t="s">
        <v>1772</v>
      </c>
      <c r="F3" s="2126" t="s">
        <v>51</v>
      </c>
      <c r="G3" s="2126" t="s">
        <v>52</v>
      </c>
      <c r="H3" s="2126" t="s">
        <v>676</v>
      </c>
      <c r="I3" s="2126" t="s">
        <v>1783</v>
      </c>
      <c r="J3" s="2113" t="s">
        <v>1784</v>
      </c>
      <c r="K3" s="2124" t="s">
        <v>57</v>
      </c>
      <c r="L3" s="2126" t="s">
        <v>58</v>
      </c>
      <c r="M3" s="2126" t="s">
        <v>59</v>
      </c>
      <c r="N3" s="2126" t="s">
        <v>60</v>
      </c>
      <c r="O3" s="2126" t="s">
        <v>61</v>
      </c>
      <c r="P3" s="2126" t="s">
        <v>10</v>
      </c>
      <c r="Q3" s="2113" t="s">
        <v>1781</v>
      </c>
      <c r="R3" s="2115" t="s">
        <v>1394</v>
      </c>
      <c r="S3" s="2118" t="s">
        <v>4195</v>
      </c>
      <c r="T3" s="2115" t="s">
        <v>1395</v>
      </c>
      <c r="U3" s="2111" t="s">
        <v>1395</v>
      </c>
      <c r="V3" s="2120" t="s">
        <v>4506</v>
      </c>
      <c r="W3" s="2111" t="s">
        <v>1793</v>
      </c>
      <c r="X3" s="2111" t="s">
        <v>4168</v>
      </c>
    </row>
    <row r="4" spans="1:24" ht="62.25" customHeight="1" thickBot="1">
      <c r="A4" s="2125"/>
      <c r="B4" s="2125"/>
      <c r="C4" s="1141"/>
      <c r="D4" s="2127"/>
      <c r="E4" s="2127"/>
      <c r="F4" s="2127"/>
      <c r="G4" s="2127"/>
      <c r="H4" s="2127"/>
      <c r="I4" s="2127"/>
      <c r="J4" s="2114"/>
      <c r="K4" s="2125"/>
      <c r="L4" s="2127"/>
      <c r="M4" s="2127"/>
      <c r="N4" s="2127"/>
      <c r="O4" s="2127"/>
      <c r="P4" s="2127"/>
      <c r="Q4" s="2114"/>
      <c r="R4" s="2116"/>
      <c r="S4" s="2119"/>
      <c r="T4" s="2117"/>
      <c r="U4" s="2112"/>
      <c r="V4" s="2121"/>
      <c r="W4" s="2112"/>
      <c r="X4" s="2112"/>
    </row>
    <row r="5" spans="1:24" ht="16.5" thickBot="1">
      <c r="A5" s="188"/>
      <c r="B5" s="1135"/>
      <c r="C5" s="224"/>
      <c r="D5" s="1135"/>
      <c r="E5" s="189"/>
      <c r="F5" s="1135"/>
      <c r="G5" s="1135"/>
      <c r="H5" s="189"/>
      <c r="I5" s="1135"/>
      <c r="J5" s="189"/>
      <c r="K5" s="266"/>
      <c r="L5" s="268"/>
      <c r="M5" s="268"/>
      <c r="N5" s="268"/>
      <c r="O5" s="268"/>
      <c r="P5" s="268"/>
      <c r="Q5" s="269"/>
      <c r="R5" s="179"/>
      <c r="S5" s="1596"/>
      <c r="T5" s="579"/>
      <c r="U5" s="1377"/>
      <c r="V5" s="1139"/>
      <c r="W5" s="1459"/>
      <c r="X5" s="1459"/>
    </row>
    <row r="6" spans="1:24" ht="86.25" customHeight="1" thickBot="1">
      <c r="A6" s="382" t="str">
        <f>CONCATENATE('3 pr-2'!A7)</f>
        <v>1.1.</v>
      </c>
      <c r="B6" s="2092" t="str">
        <f>CONCATENATE('3 pr-2'!B7)</f>
        <v>Tikslas: 
DIDINTI ŪKINĖS VEIKLOS ĮVAIROVĘ IR PAGERINTI SĄLYGAS INVESTICIJŲ PRITRAUKIMUI, MAŽINANT GEOGRAFINIŲ SĄLYGŲ IR DEMOGRAFINIŲ PROCESŲ SUKELIAMUS GYVENIMO KOKYBĖS NETOLYGUMUS</v>
      </c>
      <c r="C6" s="2086"/>
      <c r="D6" s="2086"/>
      <c r="E6" s="2086"/>
      <c r="F6" s="2086"/>
      <c r="G6" s="2086"/>
      <c r="H6" s="2086"/>
      <c r="I6" s="2086"/>
      <c r="J6" s="2087"/>
      <c r="K6" s="1196">
        <f>SUM(K7+K72)</f>
        <v>3867121.55</v>
      </c>
      <c r="L6" s="1196">
        <f t="shared" ref="L6:P6" si="0">SUM(L7+L72)</f>
        <v>369851.78</v>
      </c>
      <c r="M6" s="1196">
        <f t="shared" si="0"/>
        <v>210216.47000000003</v>
      </c>
      <c r="N6" s="1196">
        <f t="shared" si="0"/>
        <v>0</v>
      </c>
      <c r="O6" s="1196">
        <f t="shared" si="0"/>
        <v>0</v>
      </c>
      <c r="P6" s="1196">
        <f t="shared" si="0"/>
        <v>3287053.3000000003</v>
      </c>
      <c r="Q6" s="1196"/>
      <c r="R6" s="387" t="s">
        <v>679</v>
      </c>
      <c r="S6" s="1597"/>
      <c r="T6" s="387"/>
      <c r="U6" s="1378" t="s">
        <v>679</v>
      </c>
      <c r="V6" s="383"/>
      <c r="W6" s="1378"/>
      <c r="X6" s="1378"/>
    </row>
    <row r="7" spans="1:24" ht="57" customHeight="1" thickBot="1">
      <c r="A7" s="238" t="s">
        <v>680</v>
      </c>
      <c r="B7" s="2085" t="str">
        <f>CONCATENATE('3 pr-2'!B8)</f>
        <v>Uždavinys: 
Sudaryti sąlygas darbo vietų kūrimui, kuriant ir atnaujinant viešąją ir ekoinžinerinę  infrastruktūrą,  gamtos, kultūros paveldo objektus ir kultūros įstaigas</v>
      </c>
      <c r="C7" s="2086"/>
      <c r="D7" s="2086"/>
      <c r="E7" s="2086"/>
      <c r="F7" s="2086"/>
      <c r="G7" s="2086"/>
      <c r="H7" s="2086"/>
      <c r="I7" s="2086"/>
      <c r="J7" s="2087"/>
      <c r="K7" s="1158">
        <f>SUM(K8+K32+K38+K45+K49+K55+K57+K61+K66)</f>
        <v>2802886.42</v>
      </c>
      <c r="L7" s="1158">
        <f t="shared" ref="L7:P7" si="1">SUM(L8+L32+L38+L45+L49+L55+L57+L61+L66)</f>
        <v>210216.51</v>
      </c>
      <c r="M7" s="1158">
        <f t="shared" si="1"/>
        <v>210216.47000000003</v>
      </c>
      <c r="N7" s="1158">
        <f t="shared" si="1"/>
        <v>0</v>
      </c>
      <c r="O7" s="1158">
        <f t="shared" si="1"/>
        <v>0</v>
      </c>
      <c r="P7" s="1158">
        <f t="shared" si="1"/>
        <v>2382453.4400000004</v>
      </c>
      <c r="Q7" s="1158">
        <f t="shared" ref="Q7" si="2">SUM(Q8+Q32+Q38+Q45+Q49+Q55+Q57+Q61+Q66)</f>
        <v>0</v>
      </c>
      <c r="R7" s="210" t="s">
        <v>679</v>
      </c>
      <c r="S7" s="1598"/>
      <c r="T7" s="210"/>
      <c r="U7" s="1337" t="s">
        <v>679</v>
      </c>
      <c r="V7" s="210"/>
      <c r="W7" s="1337"/>
      <c r="X7" s="1337"/>
    </row>
    <row r="8" spans="1:24" ht="33.75" customHeight="1" thickBot="1">
      <c r="A8" s="296" t="s">
        <v>67</v>
      </c>
      <c r="B8" s="2088" t="str">
        <f>CONCATENATE('3 pr-2'!B9)</f>
        <v>Priemonė:
Kaimo gyvenamųjų vietovių (turinčių iki 1 tūkst. gyventojų) atnaujinimas</v>
      </c>
      <c r="C8" s="2089"/>
      <c r="D8" s="2089"/>
      <c r="E8" s="2089"/>
      <c r="F8" s="2089"/>
      <c r="G8" s="2089"/>
      <c r="H8" s="2089"/>
      <c r="I8" s="2089"/>
      <c r="J8" s="2090"/>
      <c r="K8" s="1077">
        <f>SUM(K9:K31)</f>
        <v>0</v>
      </c>
      <c r="L8" s="1077">
        <f t="shared" ref="L8:P8" si="3">SUM(L9:L31)</f>
        <v>0</v>
      </c>
      <c r="M8" s="1077">
        <f t="shared" si="3"/>
        <v>0</v>
      </c>
      <c r="N8" s="1077">
        <f t="shared" si="3"/>
        <v>0</v>
      </c>
      <c r="O8" s="1077">
        <f t="shared" si="3"/>
        <v>0</v>
      </c>
      <c r="P8" s="1077">
        <f t="shared" si="3"/>
        <v>0</v>
      </c>
      <c r="Q8" s="1077">
        <f t="shared" ref="Q8" si="4">SUM(Q9:Q31)</f>
        <v>0</v>
      </c>
      <c r="R8" s="356"/>
      <c r="S8" s="1599"/>
      <c r="T8" s="356"/>
      <c r="U8" s="1338"/>
      <c r="V8" s="356"/>
      <c r="W8" s="1338"/>
      <c r="X8" s="1338"/>
    </row>
    <row r="9" spans="1:24" ht="36.75">
      <c r="A9" s="221" t="str">
        <f>CONCATENATE('3 pr-2'!A10)</f>
        <v>1.1.1.1.1</v>
      </c>
      <c r="B9" s="221" t="str">
        <f>CONCATENATE('3 pr-2'!B10)</f>
        <v>R01-ZM72-120000-1101</v>
      </c>
      <c r="C9" s="281" t="str">
        <f>CONCATENATE('ketv. 2'!B9)</f>
        <v>20KI-KA-17-1-02616-PR001</v>
      </c>
      <c r="D9" s="221" t="str">
        <f>CONCATENATE('3 pr-2'!D10)</f>
        <v xml:space="preserve">Druskininkų savivaldybės Viečiūnų seniūnijos Ilgio ir Raigardo seniūnaitijų kelių būklės gerinimas  </v>
      </c>
      <c r="E9" s="221" t="str">
        <f>CONCATENATE('3 pr-2'!E10)</f>
        <v xml:space="preserve">Druskininkų savivaldybės administracija  </v>
      </c>
      <c r="F9" s="221" t="str">
        <f>CONCATENATE('3 pr-2'!F10)</f>
        <v>Lietuvos Respublikos žemės ūkio ministerija</v>
      </c>
      <c r="G9" s="221" t="str">
        <f>CONCATENATE('3 pr-2'!G10)</f>
        <v>Druskininkų sav.</v>
      </c>
      <c r="H9" s="221" t="str">
        <f>CONCATENATE('3 pr-2'!H10)</f>
        <v xml:space="preserve">Pagrindinės paslaugos ir kaimų atnaujinimas kaimo vietovėse </v>
      </c>
      <c r="I9" s="221" t="str">
        <f>CONCATENATE('3 pr-2'!I10)</f>
        <v>R</v>
      </c>
      <c r="J9" s="221" t="str">
        <f>CONCATENATE('3 pr-2'!J10)</f>
        <v>-</v>
      </c>
      <c r="K9" s="1080">
        <f>IF(U9&gt;0,'3 pr-2'!L10,0)</f>
        <v>0</v>
      </c>
      <c r="L9" s="1080">
        <f>IF(U9&gt;0,'3 pr-2'!O10,0)</f>
        <v>0</v>
      </c>
      <c r="M9" s="1080">
        <f>IF(U9&gt;0,'3 pr-2'!R10,0)</f>
        <v>0</v>
      </c>
      <c r="N9" s="1080">
        <f>IF(U9&gt;0,'3 pr-2'!U10,0)</f>
        <v>0</v>
      </c>
      <c r="O9" s="1080">
        <f>IF(U9&gt;0,'3 pr-2'!X10,0)</f>
        <v>0</v>
      </c>
      <c r="P9" s="1080">
        <f>IF(U9&gt;0,'3 pr-2'!AA10,0)</f>
        <v>0</v>
      </c>
      <c r="Q9" s="1164">
        <f>IF($Z$9&gt;0,'3 pr-2'!AB10,0)</f>
        <v>0</v>
      </c>
      <c r="R9" s="566">
        <f>SUM('3 pr-2'!AK10)</f>
        <v>43465</v>
      </c>
      <c r="S9" s="1612" t="str">
        <f>IF(SUMIF(Projektu_sutarciu_ataskaita!$J:$J,$C9,Projektu_sutarciu_ataskaita!$BW:$BW)&gt;0,SUMIF(Projektu_sutarciu_ataskaita!$J:$J,$C9,Projektu_sutarciu_ataskaita!$BW:$BW),"–")</f>
        <v>–</v>
      </c>
      <c r="T9" s="1132" t="str">
        <f>IF(U9&gt;0,U9,"–")</f>
        <v>–</v>
      </c>
      <c r="U9" s="247">
        <f>SUMIF(Projektu_sutarciu_ataskaita!$J:$J,$C9,Projektu_sutarciu_ataskaita!$BX:$BX)</f>
        <v>0</v>
      </c>
      <c r="V9" s="992" t="str">
        <f>IF(U9&gt;0,IF((R9-U9)/30&gt;0,"–",(R9-U9)/30),"–")</f>
        <v>–</v>
      </c>
      <c r="W9" s="1250">
        <f>IF(U9&gt;0,'IV-3'!K8,0)</f>
        <v>0</v>
      </c>
      <c r="X9" s="1249">
        <f>IF(U9&gt;0,1,0)</f>
        <v>0</v>
      </c>
    </row>
    <row r="10" spans="1:24" ht="36.75">
      <c r="A10" s="164" t="str">
        <f>CONCATENATE('3 pr-2'!A11)</f>
        <v>1.1.1.1.2</v>
      </c>
      <c r="B10" s="164" t="str">
        <f>CONCATENATE('3 pr-2'!B11)</f>
        <v>R01-ZM72-120000-1102</v>
      </c>
      <c r="C10" s="281" t="str">
        <f>CONCATENATE('ketv. 2'!B10)</f>
        <v>20KI-KA-17-1-02617-PR001</v>
      </c>
      <c r="D10" s="164" t="str">
        <f>CONCATENATE('3 pr-2'!D11)</f>
        <v>Druskininkų savivaldybės Viečiūnų seniūnijos Ratnyčėlės seniūnaitijos kelių būklės gerinimas</v>
      </c>
      <c r="E10" s="164" t="str">
        <f>CONCATENATE('3 pr-2'!E11)</f>
        <v xml:space="preserve">Druskininkų savivaldybės administracija  </v>
      </c>
      <c r="F10" s="164" t="str">
        <f>CONCATENATE('3 pr-2'!F11)</f>
        <v>Lietuvos Respublikos žemės ūkio ministerija</v>
      </c>
      <c r="G10" s="164" t="str">
        <f>CONCATENATE('3 pr-2'!G11)</f>
        <v>Druskininkų sav.</v>
      </c>
      <c r="H10" s="164" t="str">
        <f>CONCATENATE('3 pr-2'!H11)</f>
        <v xml:space="preserve">Pagrindinės paslaugos ir kaimų atnaujinimas kaimo vietovėse </v>
      </c>
      <c r="I10" s="164" t="str">
        <f>CONCATENATE('3 pr-2'!I11)</f>
        <v>R</v>
      </c>
      <c r="J10" s="164" t="str">
        <f>CONCATENATE('3 pr-2'!J11)</f>
        <v>-</v>
      </c>
      <c r="K10" s="1080">
        <f>IF(U10&gt;0,'3 pr-2'!L11,0)</f>
        <v>0</v>
      </c>
      <c r="L10" s="1080">
        <f>IF(U10&gt;0,'3 pr-2'!O11,0)</f>
        <v>0</v>
      </c>
      <c r="M10" s="1080">
        <f>IF(U10&gt;0,'3 pr-2'!R11,0)</f>
        <v>0</v>
      </c>
      <c r="N10" s="1080">
        <f>IF(U10&gt;0,'3 pr-2'!U11,0)</f>
        <v>0</v>
      </c>
      <c r="O10" s="1080">
        <f>IF(U10&gt;0,'3 pr-2'!X11,0)</f>
        <v>0</v>
      </c>
      <c r="P10" s="1080">
        <f>IF(U10&gt;0,'3 pr-2'!AA11,0)</f>
        <v>0</v>
      </c>
      <c r="Q10" s="1164">
        <f>IF($Z$9&gt;0,'3 pr-2'!AB11,0)</f>
        <v>0</v>
      </c>
      <c r="R10" s="566">
        <f>SUM('3 pr-2'!AK11)</f>
        <v>43465</v>
      </c>
      <c r="S10" s="1612" t="str">
        <f>IF(SUMIF(Projektu_sutarciu_ataskaita!$J:$J,$C10,Projektu_sutarciu_ataskaita!$BW:$BW)&gt;0,SUMIF(Projektu_sutarciu_ataskaita!$J:$J,$C10,Projektu_sutarciu_ataskaita!$BW:$BW),"–")</f>
        <v>–</v>
      </c>
      <c r="T10" s="1132" t="str">
        <f t="shared" ref="T10:T73" si="5">IF(U10&gt;0,U10,"–")</f>
        <v>–</v>
      </c>
      <c r="U10" s="247">
        <f>SUMIF(Projektu_sutarciu_ataskaita!$J:$J,$C10,Projektu_sutarciu_ataskaita!$BX:$BX)</f>
        <v>0</v>
      </c>
      <c r="V10" s="992" t="str">
        <f t="shared" ref="V10:V31" si="6">IF(U10&gt;0,IF((R10-U10)/30&gt;0,"–",(R10-U10)/30),"–")</f>
        <v>–</v>
      </c>
      <c r="W10" s="1251">
        <f>IF(U10&gt;0,'IV-3'!K9,0)</f>
        <v>0</v>
      </c>
      <c r="X10" s="1249">
        <f t="shared" ref="X10:X73" si="7">IF(U10&gt;0,1,0)</f>
        <v>0</v>
      </c>
    </row>
    <row r="11" spans="1:24" ht="36.75">
      <c r="A11" s="164" t="str">
        <f>CONCATENATE('3 pr-2'!A12)</f>
        <v>1.1.1.1.3</v>
      </c>
      <c r="B11" s="164" t="str">
        <f>CONCATENATE('3 pr-2'!B12)</f>
        <v>R01-ZM72-120000-1103</v>
      </c>
      <c r="C11" s="281" t="str">
        <f>CONCATENATE('ketv. 2'!B11)</f>
        <v>20KI-KA-17-1-02622-PR001</v>
      </c>
      <c r="D11" s="164" t="str">
        <f>CONCATENATE('3 pr-2'!D12)</f>
        <v>Druskininkų savivaldybės Leipalingio seniūnijos Klonio seniūnaitijos kelių būklės gerinimas</v>
      </c>
      <c r="E11" s="164" t="str">
        <f>CONCATENATE('3 pr-2'!E12)</f>
        <v xml:space="preserve">Druskininkų savivaldybės administracija  </v>
      </c>
      <c r="F11" s="164" t="str">
        <f>CONCATENATE('3 pr-2'!F12)</f>
        <v>Lietuvos Respublikos žemės ūkio ministerija</v>
      </c>
      <c r="G11" s="164" t="str">
        <f>CONCATENATE('3 pr-2'!G12)</f>
        <v>Druskininkų sav.</v>
      </c>
      <c r="H11" s="164" t="str">
        <f>CONCATENATE('3 pr-2'!H12)</f>
        <v xml:space="preserve">Pagrindinės paslaugos ir kaimų atnaujinimas kaimo vietovėse </v>
      </c>
      <c r="I11" s="164" t="str">
        <f>CONCATENATE('3 pr-2'!I12)</f>
        <v>R</v>
      </c>
      <c r="J11" s="164" t="str">
        <f>CONCATENATE('3 pr-2'!J12)</f>
        <v>-</v>
      </c>
      <c r="K11" s="1080">
        <f>IF(U11&gt;0,'3 pr-2'!L12,0)</f>
        <v>0</v>
      </c>
      <c r="L11" s="1080">
        <f>IF(U11&gt;0,'3 pr-2'!O12,0)</f>
        <v>0</v>
      </c>
      <c r="M11" s="1080">
        <f>IF(U11&gt;0,'3 pr-2'!R12,0)</f>
        <v>0</v>
      </c>
      <c r="N11" s="1080">
        <f>IF(U11&gt;0,'3 pr-2'!U12,0)</f>
        <v>0</v>
      </c>
      <c r="O11" s="1080">
        <f>IF(U11&gt;0,'3 pr-2'!X12,0)</f>
        <v>0</v>
      </c>
      <c r="P11" s="1080">
        <f>IF(U11&gt;0,'3 pr-2'!AA12,0)</f>
        <v>0</v>
      </c>
      <c r="Q11" s="1164">
        <f>IF($Z$9&gt;0,'3 pr-2'!AB12,0)</f>
        <v>0</v>
      </c>
      <c r="R11" s="566">
        <f>SUM('3 pr-2'!AK12)</f>
        <v>43465</v>
      </c>
      <c r="S11" s="1612" t="str">
        <f>IF(SUMIF(Projektu_sutarciu_ataskaita!$J:$J,$C11,Projektu_sutarciu_ataskaita!$BW:$BW)&gt;0,SUMIF(Projektu_sutarciu_ataskaita!$J:$J,$C11,Projektu_sutarciu_ataskaita!$BW:$BW),"–")</f>
        <v>–</v>
      </c>
      <c r="T11" s="1132" t="str">
        <f t="shared" si="5"/>
        <v>–</v>
      </c>
      <c r="U11" s="247">
        <f>SUMIF(Projektu_sutarciu_ataskaita!$J:$J,$C11,Projektu_sutarciu_ataskaita!$BX:$BX)</f>
        <v>0</v>
      </c>
      <c r="V11" s="992" t="str">
        <f t="shared" si="6"/>
        <v>–</v>
      </c>
      <c r="W11" s="1251">
        <f>IF(U11&gt;0,'IV-3'!K10,0)</f>
        <v>0</v>
      </c>
      <c r="X11" s="1249">
        <f t="shared" si="7"/>
        <v>0</v>
      </c>
    </row>
    <row r="12" spans="1:24" ht="36.75">
      <c r="A12" s="164" t="str">
        <f>CONCATENATE('3 pr-2'!A13)</f>
        <v>1.1.1.1.4</v>
      </c>
      <c r="B12" s="164" t="str">
        <f>CONCATENATE('3 pr-2'!B13)</f>
        <v>R01-ZM72-330200-1104</v>
      </c>
      <c r="C12" s="281" t="str">
        <f>CONCATENATE('ketv. 2'!B12)</f>
        <v>20KI-KA-17-1-02368-PR001</v>
      </c>
      <c r="D12" s="164" t="str">
        <f>CONCATENATE('3 pr-2'!D13)</f>
        <v>Rudaminos laisvalaikio salės pritaikymas bendruomenės poreikiams ir liaudies amatų plėtrai</v>
      </c>
      <c r="E12" s="164" t="str">
        <f>CONCATENATE('3 pr-2'!E13)</f>
        <v>Viešoji įstaiga Lazdijų kultūros centras</v>
      </c>
      <c r="F12" s="164" t="str">
        <f>CONCATENATE('3 pr-2'!F13)</f>
        <v>Lietuvos Respublikos žemės ūkio ministerija</v>
      </c>
      <c r="G12" s="164" t="str">
        <f>CONCATENATE('3 pr-2'!G13)</f>
        <v>Lazdijų r. sav.</v>
      </c>
      <c r="H12" s="164" t="str">
        <f>CONCATENATE('3 pr-2'!H13)</f>
        <v xml:space="preserve">Pagrindinės paslaugos ir kaimų atnaujinimas kaimo vietovėse </v>
      </c>
      <c r="I12" s="164" t="str">
        <f>CONCATENATE('3 pr-2'!I13)</f>
        <v>R</v>
      </c>
      <c r="J12" s="164" t="str">
        <f>CONCATENATE('3 pr-2'!J13)</f>
        <v>-</v>
      </c>
      <c r="K12" s="1080">
        <f>IF(U12&gt;0,'3 pr-2'!L13,0)</f>
        <v>0</v>
      </c>
      <c r="L12" s="1080">
        <f>IF(U12&gt;0,'3 pr-2'!O13,0)</f>
        <v>0</v>
      </c>
      <c r="M12" s="1080">
        <f>IF(U12&gt;0,'3 pr-2'!R13,0)</f>
        <v>0</v>
      </c>
      <c r="N12" s="1080">
        <f>IF(U12&gt;0,'3 pr-2'!U13,0)</f>
        <v>0</v>
      </c>
      <c r="O12" s="1080">
        <f>IF(U12&gt;0,'3 pr-2'!X13,0)</f>
        <v>0</v>
      </c>
      <c r="P12" s="1080">
        <f>IF(U12&gt;0,'3 pr-2'!AA13,0)</f>
        <v>0</v>
      </c>
      <c r="Q12" s="1164">
        <f>IF($Z$9&gt;0,'3 pr-2'!AB13,0)</f>
        <v>0</v>
      </c>
      <c r="R12" s="566">
        <f>SUM('3 pr-2'!AK13)</f>
        <v>43373</v>
      </c>
      <c r="S12" s="1612" t="str">
        <f>IF(SUMIF(Projektu_sutarciu_ataskaita!$J:$J,$C12,Projektu_sutarciu_ataskaita!$BW:$BW)&gt;0,SUMIF(Projektu_sutarciu_ataskaita!$J:$J,$C12,Projektu_sutarciu_ataskaita!$BW:$BW),"–")</f>
        <v>–</v>
      </c>
      <c r="T12" s="1132" t="str">
        <f t="shared" si="5"/>
        <v>–</v>
      </c>
      <c r="U12" s="247">
        <f>SUMIF(Projektu_sutarciu_ataskaita!$J:$J,$C12,Projektu_sutarciu_ataskaita!$BX:$BX)</f>
        <v>0</v>
      </c>
      <c r="V12" s="992" t="str">
        <f t="shared" si="6"/>
        <v>–</v>
      </c>
      <c r="W12" s="1251">
        <f>IF(U12&gt;0,'IV-3'!K11,0)</f>
        <v>0</v>
      </c>
      <c r="X12" s="1249">
        <f t="shared" si="7"/>
        <v>0</v>
      </c>
    </row>
    <row r="13" spans="1:24" ht="36.75">
      <c r="A13" s="164" t="str">
        <f>CONCATENATE('3 pr-2'!A14)</f>
        <v>1.1.1.1.5</v>
      </c>
      <c r="B13" s="164" t="str">
        <f>CONCATENATE('3 pr-2'!B14)</f>
        <v>R01-ZM72-120000-1105</v>
      </c>
      <c r="C13" s="281" t="str">
        <f>CONCATENATE('ketv. 2'!B13)</f>
        <v>20KI-KA-17-1-02619-PR001</v>
      </c>
      <c r="D13" s="164" t="str">
        <f>CONCATENATE('3 pr-2'!D14)</f>
        <v>Druskininkų savivaldybės Leipalingio seniūnijos Bilso seniūnaitijos kelių būklės gerinimas</v>
      </c>
      <c r="E13" s="164" t="str">
        <f>CONCATENATE('3 pr-2'!E14)</f>
        <v xml:space="preserve">Druskininkų savivaldybės administracija  </v>
      </c>
      <c r="F13" s="164" t="str">
        <f>CONCATENATE('3 pr-2'!F14)</f>
        <v>Lietuvos Respublikos žemės ūkio ministerija</v>
      </c>
      <c r="G13" s="164" t="str">
        <f>CONCATENATE('3 pr-2'!G14)</f>
        <v>Druskininkų sav.</v>
      </c>
      <c r="H13" s="164" t="str">
        <f>CONCATENATE('3 pr-2'!H14)</f>
        <v xml:space="preserve">Pagrindinės paslaugos ir kaimų atnaujinimas kaimo vietovėse </v>
      </c>
      <c r="I13" s="164" t="str">
        <f>CONCATENATE('3 pr-2'!I14)</f>
        <v>R</v>
      </c>
      <c r="J13" s="164" t="str">
        <f>CONCATENATE('3 pr-2'!J14)</f>
        <v>-</v>
      </c>
      <c r="K13" s="1080">
        <f>IF(U13&gt;0,'3 pr-2'!L14,0)</f>
        <v>0</v>
      </c>
      <c r="L13" s="1080">
        <f>IF(U13&gt;0,'3 pr-2'!O14,0)</f>
        <v>0</v>
      </c>
      <c r="M13" s="1080">
        <f>IF(U13&gt;0,'3 pr-2'!R14,0)</f>
        <v>0</v>
      </c>
      <c r="N13" s="1080">
        <f>IF(U13&gt;0,'3 pr-2'!U14,0)</f>
        <v>0</v>
      </c>
      <c r="O13" s="1080">
        <f>IF(U13&gt;0,'3 pr-2'!X14,0)</f>
        <v>0</v>
      </c>
      <c r="P13" s="1080">
        <f>IF(U13&gt;0,'3 pr-2'!AA14,0)</f>
        <v>0</v>
      </c>
      <c r="Q13" s="1164">
        <f>IF($Z$9&gt;0,'3 pr-2'!AB14,0)</f>
        <v>0</v>
      </c>
      <c r="R13" s="566">
        <f>SUM('3 pr-2'!AK14)</f>
        <v>43465</v>
      </c>
      <c r="S13" s="1612" t="str">
        <f>IF(SUMIF(Projektu_sutarciu_ataskaita!$J:$J,$C13,Projektu_sutarciu_ataskaita!$BW:$BW)&gt;0,SUMIF(Projektu_sutarciu_ataskaita!$J:$J,$C13,Projektu_sutarciu_ataskaita!$BW:$BW),"–")</f>
        <v>–</v>
      </c>
      <c r="T13" s="1132" t="str">
        <f t="shared" si="5"/>
        <v>–</v>
      </c>
      <c r="U13" s="247">
        <f>SUMIF(Projektu_sutarciu_ataskaita!$J:$J,$C13,Projektu_sutarciu_ataskaita!$BX:$BX)</f>
        <v>0</v>
      </c>
      <c r="V13" s="992" t="str">
        <f t="shared" si="6"/>
        <v>–</v>
      </c>
      <c r="W13" s="1251">
        <f>IF(U13&gt;0,'IV-3'!K12,0)</f>
        <v>0</v>
      </c>
      <c r="X13" s="1249">
        <f t="shared" si="7"/>
        <v>0</v>
      </c>
    </row>
    <row r="14" spans="1:24" ht="48.75">
      <c r="A14" s="164" t="str">
        <f>CONCATENATE('3 pr-2'!A15)</f>
        <v>1.1.1.1.6</v>
      </c>
      <c r="B14" s="164" t="str">
        <f>CONCATENATE('3 pr-2'!B15)</f>
        <v>R01-ZM72-330200-1106</v>
      </c>
      <c r="C14" s="281" t="str">
        <f>CONCATENATE('ketv. 2'!B14)</f>
        <v>20KI-KA-17-1-02374-PR001</v>
      </c>
      <c r="D14" s="164" t="str">
        <f>CONCATENATE('3 pr-2'!D15)</f>
        <v>Lazdijų rajono kaimų patrauklumo didinimas atnaujinant bibliotekas</v>
      </c>
      <c r="E14" s="164" t="str">
        <f>CONCATENATE('3 pr-2'!E15)</f>
        <v xml:space="preserve">Biudžetinė įstaiga Lazdijų rajono savivaldybės viešoji biblioteka </v>
      </c>
      <c r="F14" s="164" t="str">
        <f>CONCATENATE('3 pr-2'!F15)</f>
        <v>Lietuvos Respublikos žemės ūkio ministerija</v>
      </c>
      <c r="G14" s="164" t="str">
        <f>CONCATENATE('3 pr-2'!G15)</f>
        <v>Lazdijų r. sav.</v>
      </c>
      <c r="H14" s="164" t="str">
        <f>CONCATENATE('3 pr-2'!H15)</f>
        <v xml:space="preserve">Pagrindinės paslaugos ir kaimų atnaujinimas kaimo vietovėse </v>
      </c>
      <c r="I14" s="164" t="str">
        <f>CONCATENATE('3 pr-2'!I15)</f>
        <v>R</v>
      </c>
      <c r="J14" s="164" t="str">
        <f>CONCATENATE('3 pr-2'!J15)</f>
        <v>-</v>
      </c>
      <c r="K14" s="1080">
        <f>IF(U14&gt;0,'3 pr-2'!L15,0)</f>
        <v>0</v>
      </c>
      <c r="L14" s="1080">
        <f>IF(U14&gt;0,'3 pr-2'!O15,0)</f>
        <v>0</v>
      </c>
      <c r="M14" s="1080">
        <f>IF(U14&gt;0,'3 pr-2'!R15,0)</f>
        <v>0</v>
      </c>
      <c r="N14" s="1080">
        <f>IF(U14&gt;0,'3 pr-2'!U15,0)</f>
        <v>0</v>
      </c>
      <c r="O14" s="1080">
        <f>IF(U14&gt;0,'3 pr-2'!X15,0)</f>
        <v>0</v>
      </c>
      <c r="P14" s="1080">
        <f>IF(U14&gt;0,'3 pr-2'!AA15,0)</f>
        <v>0</v>
      </c>
      <c r="Q14" s="1164">
        <f>IF($Z$9&gt;0,'3 pr-2'!AB15,0)</f>
        <v>0</v>
      </c>
      <c r="R14" s="566">
        <f>SUM('3 pr-2'!AK15)</f>
        <v>43373</v>
      </c>
      <c r="S14" s="1612" t="str">
        <f>IF(SUMIF(Projektu_sutarciu_ataskaita!$J:$J,$C14,Projektu_sutarciu_ataskaita!$BW:$BW)&gt;0,SUMIF(Projektu_sutarciu_ataskaita!$J:$J,$C14,Projektu_sutarciu_ataskaita!$BW:$BW),"–")</f>
        <v>–</v>
      </c>
      <c r="T14" s="1132" t="str">
        <f t="shared" si="5"/>
        <v>–</v>
      </c>
      <c r="U14" s="247">
        <f>SUMIF(Projektu_sutarciu_ataskaita!$J:$J,$C14,Projektu_sutarciu_ataskaita!$BX:$BX)</f>
        <v>0</v>
      </c>
      <c r="V14" s="992" t="str">
        <f t="shared" si="6"/>
        <v>–</v>
      </c>
      <c r="W14" s="1251">
        <f>IF(U14&gt;0,'IV-3'!K13,0)</f>
        <v>0</v>
      </c>
      <c r="X14" s="1249">
        <f t="shared" si="7"/>
        <v>0</v>
      </c>
    </row>
    <row r="15" spans="1:24" ht="36.75">
      <c r="A15" s="164" t="str">
        <f>CONCATENATE('3 pr-2'!A16)</f>
        <v>1.1.1.1.7</v>
      </c>
      <c r="B15" s="164" t="str">
        <f>CONCATENATE('3 pr-2'!B16)</f>
        <v>R01-ZM72-123200-1107</v>
      </c>
      <c r="C15" s="281" t="str">
        <f>CONCATENATE('ketv. 2'!B15)</f>
        <v>20KI-KA-17-1-02437-PR001</v>
      </c>
      <c r="D15" s="164" t="str">
        <f>CONCATENATE('3 pr-2'!D16)</f>
        <v>Alytaus rajono Miroslavo kaimo multifunkcinės sporto aikštės įrengimas ir gatvių bei šaligatvių rekonstrukcija</v>
      </c>
      <c r="E15" s="164" t="str">
        <f>CONCATENATE('3 pr-2'!E16)</f>
        <v>Alytaus rajono savivaldybės administracija</v>
      </c>
      <c r="F15" s="164" t="str">
        <f>CONCATENATE('3 pr-2'!F16)</f>
        <v>Lietuvos Respublikos žemės ūkio ministerija</v>
      </c>
      <c r="G15" s="164" t="str">
        <f>CONCATENATE('3 pr-2'!G16)</f>
        <v>Alytaus r. sav.</v>
      </c>
      <c r="H15" s="164" t="str">
        <f>CONCATENATE('3 pr-2'!H16)</f>
        <v xml:space="preserve">Pagrindinės paslaugos ir kaimų atnaujinimas kaimo vietovėse </v>
      </c>
      <c r="I15" s="164" t="str">
        <f>CONCATENATE('3 pr-2'!I16)</f>
        <v>R</v>
      </c>
      <c r="J15" s="164" t="str">
        <f>CONCATENATE('3 pr-2'!J16)</f>
        <v>-</v>
      </c>
      <c r="K15" s="1080">
        <f>IF(U15&gt;0,'3 pr-2'!L16,0)</f>
        <v>0</v>
      </c>
      <c r="L15" s="1080">
        <f>IF(U15&gt;0,'3 pr-2'!O16,0)</f>
        <v>0</v>
      </c>
      <c r="M15" s="1080">
        <f>IF(U15&gt;0,'3 pr-2'!R16,0)</f>
        <v>0</v>
      </c>
      <c r="N15" s="1080">
        <f>IF(U15&gt;0,'3 pr-2'!U16,0)</f>
        <v>0</v>
      </c>
      <c r="O15" s="1080">
        <f>IF(U15&gt;0,'3 pr-2'!X16,0)</f>
        <v>0</v>
      </c>
      <c r="P15" s="1080">
        <f>IF(U15&gt;0,'3 pr-2'!AA16,0)</f>
        <v>0</v>
      </c>
      <c r="Q15" s="1164">
        <f>IF($Z$9&gt;0,'3 pr-2'!AB16,0)</f>
        <v>0</v>
      </c>
      <c r="R15" s="566">
        <f>SUM('3 pr-2'!AK16)</f>
        <v>43465</v>
      </c>
      <c r="S15" s="1612" t="str">
        <f>IF(SUMIF(Projektu_sutarciu_ataskaita!$J:$J,$C15,Projektu_sutarciu_ataskaita!$BW:$BW)&gt;0,SUMIF(Projektu_sutarciu_ataskaita!$J:$J,$C15,Projektu_sutarciu_ataskaita!$BW:$BW),"–")</f>
        <v>–</v>
      </c>
      <c r="T15" s="1132" t="str">
        <f t="shared" si="5"/>
        <v>–</v>
      </c>
      <c r="U15" s="247">
        <f>SUMIF(Projektu_sutarciu_ataskaita!$J:$J,$C15,Projektu_sutarciu_ataskaita!$BX:$BX)</f>
        <v>0</v>
      </c>
      <c r="V15" s="992" t="str">
        <f t="shared" si="6"/>
        <v>–</v>
      </c>
      <c r="W15" s="1251">
        <f>IF(U15&gt;0,'IV-3'!K14,0)</f>
        <v>0</v>
      </c>
      <c r="X15" s="1249">
        <f t="shared" si="7"/>
        <v>0</v>
      </c>
    </row>
    <row r="16" spans="1:24" ht="36.75">
      <c r="A16" s="164" t="str">
        <f>CONCATENATE('3 pr-2'!A17)</f>
        <v>1.1.1.1.8</v>
      </c>
      <c r="B16" s="164" t="str">
        <f>CONCATENATE('3 pr-2'!B17)</f>
        <v>R01-ZM72-123200-1108</v>
      </c>
      <c r="C16" s="281" t="str">
        <f>CONCATENATE('ketv. 2'!B16)</f>
        <v>20KI-KA-17-1-02242-PR001</v>
      </c>
      <c r="D16" s="164" t="str">
        <f>CONCATENATE('3 pr-2'!D17)</f>
        <v>Alytaus rajono Luksnėnų kaimo multifunkcinės sporto aikštės įrengimas ir gatvių rekonstrukcija</v>
      </c>
      <c r="E16" s="164" t="str">
        <f>CONCATENATE('3 pr-2'!E17)</f>
        <v>Alytaus rajono savivaldybės administracija</v>
      </c>
      <c r="F16" s="164" t="str">
        <f>CONCATENATE('3 pr-2'!F17)</f>
        <v>Lietuvos Respublikos žemės ūkio ministerija</v>
      </c>
      <c r="G16" s="164" t="str">
        <f>CONCATENATE('3 pr-2'!G17)</f>
        <v>Alytaus r. sav.</v>
      </c>
      <c r="H16" s="164" t="str">
        <f>CONCATENATE('3 pr-2'!H17)</f>
        <v xml:space="preserve">Pagrindinės paslaugos ir kaimų atnaujinimas kaimo vietovėse </v>
      </c>
      <c r="I16" s="164" t="str">
        <f>CONCATENATE('3 pr-2'!I17)</f>
        <v>R</v>
      </c>
      <c r="J16" s="164" t="str">
        <f>CONCATENATE('3 pr-2'!J17)</f>
        <v>-</v>
      </c>
      <c r="K16" s="1080">
        <f>IF(U16&gt;0,'3 pr-2'!L17,0)</f>
        <v>0</v>
      </c>
      <c r="L16" s="1080">
        <f>IF(U16&gt;0,'3 pr-2'!O17,0)</f>
        <v>0</v>
      </c>
      <c r="M16" s="1080">
        <f>IF(U16&gt;0,'3 pr-2'!R17,0)</f>
        <v>0</v>
      </c>
      <c r="N16" s="1080">
        <f>IF(U16&gt;0,'3 pr-2'!U17,0)</f>
        <v>0</v>
      </c>
      <c r="O16" s="1080">
        <f>IF(U16&gt;0,'3 pr-2'!X17,0)</f>
        <v>0</v>
      </c>
      <c r="P16" s="1080">
        <f>IF(U16&gt;0,'3 pr-2'!AA17,0)</f>
        <v>0</v>
      </c>
      <c r="Q16" s="1164">
        <f>IF($Z$9&gt;0,'3 pr-2'!AB17,0)</f>
        <v>0</v>
      </c>
      <c r="R16" s="566">
        <f>SUM('3 pr-2'!AK17)</f>
        <v>43465</v>
      </c>
      <c r="S16" s="1612" t="str">
        <f>IF(SUMIF(Projektu_sutarciu_ataskaita!$J:$J,$C16,Projektu_sutarciu_ataskaita!$BW:$BW)&gt;0,SUMIF(Projektu_sutarciu_ataskaita!$J:$J,$C16,Projektu_sutarciu_ataskaita!$BW:$BW),"–")</f>
        <v>–</v>
      </c>
      <c r="T16" s="1132" t="str">
        <f t="shared" si="5"/>
        <v>–</v>
      </c>
      <c r="U16" s="247">
        <f>SUMIF(Projektu_sutarciu_ataskaita!$J:$J,$C16,Projektu_sutarciu_ataskaita!$BX:$BX)</f>
        <v>0</v>
      </c>
      <c r="V16" s="992" t="str">
        <f t="shared" si="6"/>
        <v>–</v>
      </c>
      <c r="W16" s="1251">
        <f>IF(U16&gt;0,'IV-3'!K15,0)</f>
        <v>0</v>
      </c>
      <c r="X16" s="1249">
        <f t="shared" si="7"/>
        <v>0</v>
      </c>
    </row>
    <row r="17" spans="1:24" ht="36.75">
      <c r="A17" s="164" t="str">
        <f>CONCATENATE('3 pr-2'!A18)</f>
        <v>1.1.1.1.9</v>
      </c>
      <c r="B17" s="164" t="str">
        <f>CONCATENATE('3 pr-2'!B18)</f>
        <v>R01-ZM72-340000-1109</v>
      </c>
      <c r="C17" s="281" t="str">
        <f>CONCATENATE('ketv. 2'!B17)</f>
        <v>20KI-KA-17-1-02372-PR001</v>
      </c>
      <c r="D17" s="164" t="str">
        <f>CONCATENATE('3 pr-2'!D18)</f>
        <v>Krikštonių laisvalaikio salės pritaikymas bendruomenės poreikiams</v>
      </c>
      <c r="E17" s="164" t="str">
        <f>CONCATENATE('3 pr-2'!E18)</f>
        <v xml:space="preserve">Viešoji įstaiga Lazdijų kultūros centras </v>
      </c>
      <c r="F17" s="164" t="str">
        <f>CONCATENATE('3 pr-2'!F18)</f>
        <v>Lietuvos Respublikos žemės ūkio ministerija</v>
      </c>
      <c r="G17" s="164" t="str">
        <f>CONCATENATE('3 pr-2'!G18)</f>
        <v>Lazdijų r. sav.</v>
      </c>
      <c r="H17" s="164" t="str">
        <f>CONCATENATE('3 pr-2'!H18)</f>
        <v xml:space="preserve">Pagrindinės paslaugos ir kaimų atnaujinimas kaimo vietovėse </v>
      </c>
      <c r="I17" s="164" t="str">
        <f>CONCATENATE('3 pr-2'!I18)</f>
        <v>R</v>
      </c>
      <c r="J17" s="164" t="str">
        <f>CONCATENATE('3 pr-2'!J18)</f>
        <v>-</v>
      </c>
      <c r="K17" s="1080">
        <f>IF(U17&gt;0,'3 pr-2'!L18,0)</f>
        <v>0</v>
      </c>
      <c r="L17" s="1080">
        <f>IF(U17&gt;0,'3 pr-2'!O18,0)</f>
        <v>0</v>
      </c>
      <c r="M17" s="1080">
        <f>IF(U17&gt;0,'3 pr-2'!R18,0)</f>
        <v>0</v>
      </c>
      <c r="N17" s="1080">
        <f>IF(U17&gt;0,'3 pr-2'!U18,0)</f>
        <v>0</v>
      </c>
      <c r="O17" s="1080">
        <f>IF(U17&gt;0,'3 pr-2'!X18,0)</f>
        <v>0</v>
      </c>
      <c r="P17" s="1080">
        <f>IF(U17&gt;0,'3 pr-2'!AA18,0)</f>
        <v>0</v>
      </c>
      <c r="Q17" s="1164">
        <f>IF($Z$9&gt;0,'3 pr-2'!AB18,0)</f>
        <v>0</v>
      </c>
      <c r="R17" s="566">
        <f>SUM('3 pr-2'!AK18)</f>
        <v>43373</v>
      </c>
      <c r="S17" s="1612" t="str">
        <f>IF(SUMIF(Projektu_sutarciu_ataskaita!$J:$J,$C17,Projektu_sutarciu_ataskaita!$BW:$BW)&gt;0,SUMIF(Projektu_sutarciu_ataskaita!$J:$J,$C17,Projektu_sutarciu_ataskaita!$BW:$BW),"–")</f>
        <v>–</v>
      </c>
      <c r="T17" s="1132" t="str">
        <f t="shared" si="5"/>
        <v>–</v>
      </c>
      <c r="U17" s="247">
        <f>SUMIF(Projektu_sutarciu_ataskaita!$J:$J,$C17,Projektu_sutarciu_ataskaita!$BX:$BX)</f>
        <v>0</v>
      </c>
      <c r="V17" s="992" t="str">
        <f t="shared" si="6"/>
        <v>–</v>
      </c>
      <c r="W17" s="1251">
        <f>IF(U17&gt;0,'IV-3'!K16,0)</f>
        <v>0</v>
      </c>
      <c r="X17" s="1249">
        <f t="shared" si="7"/>
        <v>0</v>
      </c>
    </row>
    <row r="18" spans="1:24" ht="36.75">
      <c r="A18" s="164" t="str">
        <f>CONCATENATE('3 pr-2'!A19)</f>
        <v>1.1.1.1.10</v>
      </c>
      <c r="B18" s="164" t="str">
        <f>CONCATENATE('3 pr-2'!B19)</f>
        <v>R01-ZM72-340200-1110</v>
      </c>
      <c r="C18" s="281" t="str">
        <f>CONCATENATE('ketv. 2'!B18)</f>
        <v>20KI-KA-17-1-02370-PR001</v>
      </c>
      <c r="D18" s="164" t="str">
        <f>CONCATENATE('3 pr-2'!D19)</f>
        <v>Kučiūnų laisvalaikio salės pritaikymas bendruomenės poreikiams</v>
      </c>
      <c r="E18" s="164" t="str">
        <f>CONCATENATE('3 pr-2'!E19)</f>
        <v xml:space="preserve">Viešoji įstaiga Lazdijų kultūros centras </v>
      </c>
      <c r="F18" s="164" t="str">
        <f>CONCATENATE('3 pr-2'!F19)</f>
        <v>Lietuvos Respublikos žemės ūkio ministerija</v>
      </c>
      <c r="G18" s="164" t="str">
        <f>CONCATENATE('3 pr-2'!G19)</f>
        <v>Lazdijų r. sav.</v>
      </c>
      <c r="H18" s="164" t="str">
        <f>CONCATENATE('3 pr-2'!H19)</f>
        <v xml:space="preserve">Pagrindinės paslaugos ir kaimų atnaujinimas kaimo vietovėse </v>
      </c>
      <c r="I18" s="164" t="str">
        <f>CONCATENATE('3 pr-2'!I19)</f>
        <v>R</v>
      </c>
      <c r="J18" s="164" t="str">
        <f>CONCATENATE('3 pr-2'!J19)</f>
        <v>-</v>
      </c>
      <c r="K18" s="1080">
        <f>IF(U18&gt;0,'3 pr-2'!L19,0)</f>
        <v>0</v>
      </c>
      <c r="L18" s="1080">
        <f>IF(U18&gt;0,'3 pr-2'!O19,0)</f>
        <v>0</v>
      </c>
      <c r="M18" s="1080">
        <f>IF(U18&gt;0,'3 pr-2'!R19,0)</f>
        <v>0</v>
      </c>
      <c r="N18" s="1080">
        <f>IF(U18&gt;0,'3 pr-2'!U19,0)</f>
        <v>0</v>
      </c>
      <c r="O18" s="1080">
        <f>IF(U18&gt;0,'3 pr-2'!X19,0)</f>
        <v>0</v>
      </c>
      <c r="P18" s="1080">
        <f>IF(U18&gt;0,'3 pr-2'!AA19,0)</f>
        <v>0</v>
      </c>
      <c r="Q18" s="1164">
        <f>IF($Z$9&gt;0,'3 pr-2'!AB19,0)</f>
        <v>0</v>
      </c>
      <c r="R18" s="566">
        <f>SUM('3 pr-2'!AK19)</f>
        <v>43291</v>
      </c>
      <c r="S18" s="1612" t="str">
        <f>IF(SUMIF(Projektu_sutarciu_ataskaita!$J:$J,$C18,Projektu_sutarciu_ataskaita!$BW:$BW)&gt;0,SUMIF(Projektu_sutarciu_ataskaita!$J:$J,$C18,Projektu_sutarciu_ataskaita!$BW:$BW),"–")</f>
        <v>–</v>
      </c>
      <c r="T18" s="1132" t="str">
        <f t="shared" si="5"/>
        <v>–</v>
      </c>
      <c r="U18" s="247">
        <f>SUMIF(Projektu_sutarciu_ataskaita!$J:$J,$C18,Projektu_sutarciu_ataskaita!$BX:$BX)</f>
        <v>0</v>
      </c>
      <c r="V18" s="992" t="str">
        <f t="shared" si="6"/>
        <v>–</v>
      </c>
      <c r="W18" s="1251">
        <f>IF(U18&gt;0,'IV-3'!K17,0)</f>
        <v>0</v>
      </c>
      <c r="X18" s="1249">
        <f t="shared" si="7"/>
        <v>0</v>
      </c>
    </row>
    <row r="19" spans="1:24" ht="36.75">
      <c r="A19" s="164" t="str">
        <f>CONCATENATE('3 pr-2'!A20)</f>
        <v>1.1.1.1.11</v>
      </c>
      <c r="B19" s="164" t="str">
        <f>CONCATENATE('3 pr-2'!B20)</f>
        <v>R01-ZM72-320000-1111</v>
      </c>
      <c r="C19" s="281" t="str">
        <f>CONCATENATE('ketv. 2'!B19)</f>
        <v>20KI-KA-17-1-02354-PR001</v>
      </c>
      <c r="D19" s="164" t="str">
        <f>CONCATENATE('3 pr-2'!D20)</f>
        <v>Laisvalaikio infrastruktūros sukūrimas Lazdijų rajono kaimo gyvenamosiose vietovėse</v>
      </c>
      <c r="E19" s="164" t="str">
        <f>CONCATENATE('3 pr-2'!E20)</f>
        <v>Lazdijų rajono savivaldybės administracija</v>
      </c>
      <c r="F19" s="164" t="str">
        <f>CONCATENATE('3 pr-2'!F20)</f>
        <v>Lietuvos Respublikos žemės ūkio ministerija</v>
      </c>
      <c r="G19" s="164" t="str">
        <f>CONCATENATE('3 pr-2'!G20)</f>
        <v>Lazdijų r. sav.</v>
      </c>
      <c r="H19" s="164" t="str">
        <f>CONCATENATE('3 pr-2'!H20)</f>
        <v xml:space="preserve">Pagrindinės paslaugos ir kaimų atnaujinimas kaimo vietovėse </v>
      </c>
      <c r="I19" s="164" t="str">
        <f>CONCATENATE('3 pr-2'!I20)</f>
        <v>R</v>
      </c>
      <c r="J19" s="164" t="str">
        <f>CONCATENATE('3 pr-2'!J20)</f>
        <v>-</v>
      </c>
      <c r="K19" s="1080">
        <f>IF(U19&gt;0,'3 pr-2'!L20,0)</f>
        <v>0</v>
      </c>
      <c r="L19" s="1080">
        <f>IF(U19&gt;0,'3 pr-2'!O20,0)</f>
        <v>0</v>
      </c>
      <c r="M19" s="1080">
        <f>IF(U19&gt;0,'3 pr-2'!R20,0)</f>
        <v>0</v>
      </c>
      <c r="N19" s="1080">
        <f>IF(U19&gt;0,'3 pr-2'!U20,0)</f>
        <v>0</v>
      </c>
      <c r="O19" s="1080">
        <f>IF(U19&gt;0,'3 pr-2'!X20,0)</f>
        <v>0</v>
      </c>
      <c r="P19" s="1080">
        <f>IF(U19&gt;0,'3 pr-2'!AA20,0)</f>
        <v>0</v>
      </c>
      <c r="Q19" s="1164">
        <f>IF($Z$9&gt;0,'3 pr-2'!AB20,0)</f>
        <v>0</v>
      </c>
      <c r="R19" s="566">
        <f>SUM('3 pr-2'!AK20)</f>
        <v>43292</v>
      </c>
      <c r="S19" s="1612" t="str">
        <f>IF(SUMIF(Projektu_sutarciu_ataskaita!$J:$J,$C19,Projektu_sutarciu_ataskaita!$BW:$BW)&gt;0,SUMIF(Projektu_sutarciu_ataskaita!$J:$J,$C19,Projektu_sutarciu_ataskaita!$BW:$BW),"–")</f>
        <v>–</v>
      </c>
      <c r="T19" s="1132" t="str">
        <f t="shared" si="5"/>
        <v>–</v>
      </c>
      <c r="U19" s="247">
        <f>SUMIF(Projektu_sutarciu_ataskaita!$J:$J,$C19,Projektu_sutarciu_ataskaita!$BX:$BX)</f>
        <v>0</v>
      </c>
      <c r="V19" s="992" t="str">
        <f t="shared" si="6"/>
        <v>–</v>
      </c>
      <c r="W19" s="1251">
        <f>IF(U19&gt;0,'IV-3'!K18,0)</f>
        <v>0</v>
      </c>
      <c r="X19" s="1249">
        <f t="shared" si="7"/>
        <v>0</v>
      </c>
    </row>
    <row r="20" spans="1:24" ht="36.75">
      <c r="A20" s="164" t="str">
        <f>CONCATENATE('3 pr-2'!A21)</f>
        <v>1.1.1.1.12</v>
      </c>
      <c r="B20" s="164" t="str">
        <f>CONCATENATE('3 pr-2'!B21)</f>
        <v>R01-ZM72-120000-1112</v>
      </c>
      <c r="C20" s="281" t="str">
        <f>CONCATENATE('ketv. 2'!B20)</f>
        <v>20KI-KA-17-1-02470-PR001</v>
      </c>
      <c r="D20" s="164" t="str">
        <f>CONCATENATE('3 pr-2'!D21)</f>
        <v>Alytaus rajono Butrimonių miestelio šaligatvių kapitalinis remontas ir gyvenvietės apšvietimo įrengimas</v>
      </c>
      <c r="E20" s="164" t="str">
        <f>CONCATENATE('3 pr-2'!E21)</f>
        <v>Alytaus rajono savivaldybės administracija</v>
      </c>
      <c r="F20" s="164" t="str">
        <f>CONCATENATE('3 pr-2'!F21)</f>
        <v>Lietuvos Respublikos žemės ūkio ministerija</v>
      </c>
      <c r="G20" s="164" t="str">
        <f>CONCATENATE('3 pr-2'!G21)</f>
        <v>Alytaus r. sav.</v>
      </c>
      <c r="H20" s="164" t="str">
        <f>CONCATENATE('3 pr-2'!H21)</f>
        <v xml:space="preserve">Pagrindinės paslaugos ir kaimų atnaujinimas kaimo vietovėse </v>
      </c>
      <c r="I20" s="164" t="str">
        <f>CONCATENATE('3 pr-2'!I21)</f>
        <v>R</v>
      </c>
      <c r="J20" s="164" t="str">
        <f>CONCATENATE('3 pr-2'!J21)</f>
        <v>-</v>
      </c>
      <c r="K20" s="1080">
        <f>IF(U20&gt;0,'3 pr-2'!L21,0)</f>
        <v>0</v>
      </c>
      <c r="L20" s="1080">
        <f>IF(U20&gt;0,'3 pr-2'!O21,0)</f>
        <v>0</v>
      </c>
      <c r="M20" s="1080">
        <f>IF(U20&gt;0,'3 pr-2'!R21,0)</f>
        <v>0</v>
      </c>
      <c r="N20" s="1080">
        <f>IF(U20&gt;0,'3 pr-2'!U21,0)</f>
        <v>0</v>
      </c>
      <c r="O20" s="1080">
        <f>IF(U20&gt;0,'3 pr-2'!X21,0)</f>
        <v>0</v>
      </c>
      <c r="P20" s="1080">
        <f>IF(U20&gt;0,'3 pr-2'!AA21,0)</f>
        <v>0</v>
      </c>
      <c r="Q20" s="1164">
        <f>IF($Z$9&gt;0,'3 pr-2'!AB21,0)</f>
        <v>0</v>
      </c>
      <c r="R20" s="566">
        <f>SUM('3 pr-2'!AK21)</f>
        <v>43465</v>
      </c>
      <c r="S20" s="1612" t="str">
        <f>IF(SUMIF(Projektu_sutarciu_ataskaita!$J:$J,$C20,Projektu_sutarciu_ataskaita!$BW:$BW)&gt;0,SUMIF(Projektu_sutarciu_ataskaita!$J:$J,$C20,Projektu_sutarciu_ataskaita!$BW:$BW),"–")</f>
        <v>–</v>
      </c>
      <c r="T20" s="1132" t="str">
        <f t="shared" si="5"/>
        <v>–</v>
      </c>
      <c r="U20" s="247">
        <f>SUMIF(Projektu_sutarciu_ataskaita!$J:$J,$C20,Projektu_sutarciu_ataskaita!$BX:$BX)</f>
        <v>0</v>
      </c>
      <c r="V20" s="992" t="str">
        <f t="shared" si="6"/>
        <v>–</v>
      </c>
      <c r="W20" s="1251">
        <f>IF(U20&gt;0,'IV-3'!K19,0)</f>
        <v>0</v>
      </c>
      <c r="X20" s="1249">
        <f t="shared" si="7"/>
        <v>0</v>
      </c>
    </row>
    <row r="21" spans="1:24" ht="36.75">
      <c r="A21" s="164" t="str">
        <f>CONCATENATE('3 pr-2'!A22)</f>
        <v>1.1.1.1.13</v>
      </c>
      <c r="B21" s="164" t="str">
        <f>CONCATENATE('3 pr-2'!B22)</f>
        <v>R01-ZM72-123200-1113</v>
      </c>
      <c r="C21" s="281" t="str">
        <f>CONCATENATE('ketv. 2'!B21)</f>
        <v>20KI-KA-17-1-02438-PR001</v>
      </c>
      <c r="D21" s="164" t="str">
        <f>CONCATENATE('3 pr-2'!D22)</f>
        <v>Alytaus rajono Genių kaimo sporto aikštės įrengimas ir gatvių rekonstrukcija</v>
      </c>
      <c r="E21" s="164" t="str">
        <f>CONCATENATE('3 pr-2'!E22)</f>
        <v>Alytaus rajono savivaldybės administracija</v>
      </c>
      <c r="F21" s="164" t="str">
        <f>CONCATENATE('3 pr-2'!F22)</f>
        <v>Lietuvos Respublikos žemės ūkio ministerija</v>
      </c>
      <c r="G21" s="164" t="str">
        <f>CONCATENATE('3 pr-2'!G22)</f>
        <v>Alytaus r. sav.</v>
      </c>
      <c r="H21" s="164" t="str">
        <f>CONCATENATE('3 pr-2'!H22)</f>
        <v xml:space="preserve">Pagrindinės paslaugos ir kaimų atnaujinimas kaimo vietovėse </v>
      </c>
      <c r="I21" s="164" t="str">
        <f>CONCATENATE('3 pr-2'!I22)</f>
        <v>R</v>
      </c>
      <c r="J21" s="164" t="str">
        <f>CONCATENATE('3 pr-2'!J22)</f>
        <v>-</v>
      </c>
      <c r="K21" s="1080">
        <f>IF(U21&gt;0,'3 pr-2'!L22,0)</f>
        <v>0</v>
      </c>
      <c r="L21" s="1080">
        <f>IF(U21&gt;0,'3 pr-2'!O22,0)</f>
        <v>0</v>
      </c>
      <c r="M21" s="1080">
        <f>IF(U21&gt;0,'3 pr-2'!R22,0)</f>
        <v>0</v>
      </c>
      <c r="N21" s="1080">
        <f>IF(U21&gt;0,'3 pr-2'!U22,0)</f>
        <v>0</v>
      </c>
      <c r="O21" s="1080">
        <f>IF(U21&gt;0,'3 pr-2'!X22,0)</f>
        <v>0</v>
      </c>
      <c r="P21" s="1080">
        <f>IF(U21&gt;0,'3 pr-2'!AA22,0)</f>
        <v>0</v>
      </c>
      <c r="Q21" s="1164">
        <f>IF($Z$9&gt;0,'3 pr-2'!AB22,0)</f>
        <v>0</v>
      </c>
      <c r="R21" s="566">
        <f>SUM('3 pr-2'!AK22)</f>
        <v>43465</v>
      </c>
      <c r="S21" s="1612" t="str">
        <f>IF(SUMIF(Projektu_sutarciu_ataskaita!$J:$J,$C21,Projektu_sutarciu_ataskaita!$BW:$BW)&gt;0,SUMIF(Projektu_sutarciu_ataskaita!$J:$J,$C21,Projektu_sutarciu_ataskaita!$BW:$BW),"–")</f>
        <v>–</v>
      </c>
      <c r="T21" s="1132" t="str">
        <f t="shared" si="5"/>
        <v>–</v>
      </c>
      <c r="U21" s="247">
        <f>SUMIF(Projektu_sutarciu_ataskaita!$J:$J,$C21,Projektu_sutarciu_ataskaita!$BX:$BX)</f>
        <v>0</v>
      </c>
      <c r="V21" s="992" t="str">
        <f t="shared" si="6"/>
        <v>–</v>
      </c>
      <c r="W21" s="1251">
        <f>IF(U21&gt;0,'IV-3'!K20,0)</f>
        <v>0</v>
      </c>
      <c r="X21" s="1249">
        <f t="shared" si="7"/>
        <v>0</v>
      </c>
    </row>
    <row r="22" spans="1:24" ht="36.75">
      <c r="A22" s="164" t="str">
        <f>CONCATENATE('3 pr-2'!A23)</f>
        <v>1.1.1.1.14</v>
      </c>
      <c r="B22" s="164" t="str">
        <f>CONCATENATE('3 pr-2'!B23)</f>
        <v>R01-ZM72-122900-1114</v>
      </c>
      <c r="C22" s="281" t="str">
        <f>CONCATENATE('ketv. 2'!B22)</f>
        <v>20KI-KA-17-1-01647-PR001</v>
      </c>
      <c r="D22" s="164" t="str">
        <f>CONCATENATE('3 pr-2'!D23)</f>
        <v>Varėnos r. Dargužių kaimo Liepų gatvės ir viešosios erdvės įrengimas</v>
      </c>
      <c r="E22" s="164" t="str">
        <f>CONCATENATE('3 pr-2'!E23)</f>
        <v xml:space="preserve">Varėnos rajono savivaldybės administracija </v>
      </c>
      <c r="F22" s="164" t="str">
        <f>CONCATENATE('3 pr-2'!F23)</f>
        <v>Lietuvos Respublikos žemės ūkio ministerija</v>
      </c>
      <c r="G22" s="164" t="str">
        <f>CONCATENATE('3 pr-2'!G23)</f>
        <v>Varėnos r. sav.</v>
      </c>
      <c r="H22" s="164" t="str">
        <f>CONCATENATE('3 pr-2'!H23)</f>
        <v xml:space="preserve">Pagrindinės paslaugos ir kaimų atnaujinimas kaimo vietovėse </v>
      </c>
      <c r="I22" s="164" t="str">
        <f>CONCATENATE('3 pr-2'!I23)</f>
        <v>R</v>
      </c>
      <c r="J22" s="164" t="str">
        <f>CONCATENATE('3 pr-2'!J23)</f>
        <v>-</v>
      </c>
      <c r="K22" s="1080">
        <f>IF(U22&gt;0,'3 pr-2'!L23,0)</f>
        <v>0</v>
      </c>
      <c r="L22" s="1080">
        <f>IF(U22&gt;0,'3 pr-2'!O23,0)</f>
        <v>0</v>
      </c>
      <c r="M22" s="1080">
        <f>IF(U22&gt;0,'3 pr-2'!R23,0)</f>
        <v>0</v>
      </c>
      <c r="N22" s="1080">
        <f>IF(U22&gt;0,'3 pr-2'!U23,0)</f>
        <v>0</v>
      </c>
      <c r="O22" s="1080">
        <f>IF(U22&gt;0,'3 pr-2'!X23,0)</f>
        <v>0</v>
      </c>
      <c r="P22" s="1080">
        <f>IF(U22&gt;0,'3 pr-2'!AA23,0)</f>
        <v>0</v>
      </c>
      <c r="Q22" s="1164">
        <f>IF($Z$9&gt;0,'3 pr-2'!AB23,0)</f>
        <v>0</v>
      </c>
      <c r="R22" s="566">
        <f>SUM('3 pr-2'!AK23)</f>
        <v>43830</v>
      </c>
      <c r="S22" s="1612" t="str">
        <f>IF(SUMIF(Projektu_sutarciu_ataskaita!$J:$J,$C22,Projektu_sutarciu_ataskaita!$BW:$BW)&gt;0,SUMIF(Projektu_sutarciu_ataskaita!$J:$J,$C22,Projektu_sutarciu_ataskaita!$BW:$BW),"–")</f>
        <v>–</v>
      </c>
      <c r="T22" s="1132" t="str">
        <f t="shared" si="5"/>
        <v>–</v>
      </c>
      <c r="U22" s="247">
        <f>SUMIF(Projektu_sutarciu_ataskaita!$J:$J,$C22,Projektu_sutarciu_ataskaita!$BX:$BX)</f>
        <v>0</v>
      </c>
      <c r="V22" s="992" t="str">
        <f t="shared" si="6"/>
        <v>–</v>
      </c>
      <c r="W22" s="1251">
        <f>IF(U22&gt;0,'IV-3'!K21,0)</f>
        <v>0</v>
      </c>
      <c r="X22" s="1249">
        <f t="shared" si="7"/>
        <v>0</v>
      </c>
    </row>
    <row r="23" spans="1:24" ht="36.75">
      <c r="A23" s="164" t="str">
        <f>CONCATENATE('3 pr-2'!A24)</f>
        <v>1.1.1.1.15</v>
      </c>
      <c r="B23" s="164" t="str">
        <f>CONCATENATE('3 pr-2'!B24)</f>
        <v>R01-ZM72-123200-1115</v>
      </c>
      <c r="C23" s="281" t="str">
        <f>CONCATENATE('ketv. 2'!B23)</f>
        <v>20KI-KA-17-1-02469-PR001</v>
      </c>
      <c r="D23" s="164" t="str">
        <f>CONCATENATE('3 pr-2'!D24)</f>
        <v>Alytaus rajono Vaisodžių kaimo sporto aikštės įrengimas ir gatvių apšvietimo atnaujinimas bei plėtra</v>
      </c>
      <c r="E23" s="164" t="str">
        <f>CONCATENATE('3 pr-2'!E24)</f>
        <v>Alytaus rajono savivaldybės administracija</v>
      </c>
      <c r="F23" s="164" t="str">
        <f>CONCATENATE('3 pr-2'!F24)</f>
        <v>Lietuvos Respublikos žemės ūkio ministerija</v>
      </c>
      <c r="G23" s="164" t="str">
        <f>CONCATENATE('3 pr-2'!G24)</f>
        <v>Alytaus r. sav.</v>
      </c>
      <c r="H23" s="164" t="str">
        <f>CONCATENATE('3 pr-2'!H24)</f>
        <v xml:space="preserve">Pagrindinės paslaugos ir kaimų atnaujinimas kaimo vietovėse </v>
      </c>
      <c r="I23" s="164" t="str">
        <f>CONCATENATE('3 pr-2'!I24)</f>
        <v>R</v>
      </c>
      <c r="J23" s="164" t="str">
        <f>CONCATENATE('3 pr-2'!J24)</f>
        <v>-</v>
      </c>
      <c r="K23" s="1080">
        <f>IF(U23&gt;0,'3 pr-2'!L24,0)</f>
        <v>0</v>
      </c>
      <c r="L23" s="1080">
        <f>IF(U23&gt;0,'3 pr-2'!O24,0)</f>
        <v>0</v>
      </c>
      <c r="M23" s="1080">
        <f>IF(U23&gt;0,'3 pr-2'!R24,0)</f>
        <v>0</v>
      </c>
      <c r="N23" s="1080">
        <f>IF(U23&gt;0,'3 pr-2'!U24,0)</f>
        <v>0</v>
      </c>
      <c r="O23" s="1080">
        <f>IF(U23&gt;0,'3 pr-2'!X24,0)</f>
        <v>0</v>
      </c>
      <c r="P23" s="1080">
        <f>IF(U23&gt;0,'3 pr-2'!AA24,0)</f>
        <v>0</v>
      </c>
      <c r="Q23" s="1164">
        <f>IF($Z$9&gt;0,'3 pr-2'!AB24,0)</f>
        <v>0</v>
      </c>
      <c r="R23" s="566">
        <f>SUM('3 pr-2'!AK24)</f>
        <v>43465</v>
      </c>
      <c r="S23" s="1612" t="str">
        <f>IF(SUMIF(Projektu_sutarciu_ataskaita!$J:$J,$C23,Projektu_sutarciu_ataskaita!$BW:$BW)&gt;0,SUMIF(Projektu_sutarciu_ataskaita!$J:$J,$C23,Projektu_sutarciu_ataskaita!$BW:$BW),"–")</f>
        <v>–</v>
      </c>
      <c r="T23" s="1132" t="str">
        <f t="shared" si="5"/>
        <v>–</v>
      </c>
      <c r="U23" s="247">
        <f>SUMIF(Projektu_sutarciu_ataskaita!$J:$J,$C23,Projektu_sutarciu_ataskaita!$BX:$BX)</f>
        <v>0</v>
      </c>
      <c r="V23" s="992" t="str">
        <f t="shared" si="6"/>
        <v>–</v>
      </c>
      <c r="W23" s="1251">
        <f>IF(U23&gt;0,'IV-3'!K22,0)</f>
        <v>0</v>
      </c>
      <c r="X23" s="1249">
        <f t="shared" si="7"/>
        <v>0</v>
      </c>
    </row>
    <row r="24" spans="1:24" ht="36.75">
      <c r="A24" s="164" t="str">
        <f>CONCATENATE('3 pr-2'!A25)</f>
        <v>1.1.1.1.16</v>
      </c>
      <c r="B24" s="164" t="str">
        <f>CONCATENATE('3 pr-2'!B25)</f>
        <v>R01-ZM72-123200-1116</v>
      </c>
      <c r="C24" s="281" t="str">
        <f>CONCATENATE('ketv. 2'!B24)</f>
        <v>20KI-KA-17-1-02240-PR001</v>
      </c>
      <c r="D24" s="164" t="str">
        <f>CONCATENATE('3 pr-2'!D25)</f>
        <v>Alytaus rajono Talokių kaimo sporto aikštės įrengimas ir Plytinės gatvės apšvietimas</v>
      </c>
      <c r="E24" s="164" t="str">
        <f>CONCATENATE('3 pr-2'!E25)</f>
        <v>Alytaus rajono savivaldybės administracija</v>
      </c>
      <c r="F24" s="164" t="str">
        <f>CONCATENATE('3 pr-2'!F25)</f>
        <v>Lietuvos Respublikos žemės ūkio ministerija</v>
      </c>
      <c r="G24" s="164" t="str">
        <f>CONCATENATE('3 pr-2'!G25)</f>
        <v>Alytaus r. sav.</v>
      </c>
      <c r="H24" s="164" t="str">
        <f>CONCATENATE('3 pr-2'!H25)</f>
        <v xml:space="preserve">Pagrindinės paslaugos ir kaimų atnaujinimas kaimo vietovėse </v>
      </c>
      <c r="I24" s="164" t="str">
        <f>CONCATENATE('3 pr-2'!I25)</f>
        <v>R</v>
      </c>
      <c r="J24" s="164" t="str">
        <f>CONCATENATE('3 pr-2'!J25)</f>
        <v>-</v>
      </c>
      <c r="K24" s="1080">
        <f>IF(U24&gt;0,'3 pr-2'!L25,0)</f>
        <v>0</v>
      </c>
      <c r="L24" s="1080">
        <f>IF(U24&gt;0,'3 pr-2'!O25,0)</f>
        <v>0</v>
      </c>
      <c r="M24" s="1080">
        <f>IF(U24&gt;0,'3 pr-2'!R25,0)</f>
        <v>0</v>
      </c>
      <c r="N24" s="1080">
        <f>IF(U24&gt;0,'3 pr-2'!U25,0)</f>
        <v>0</v>
      </c>
      <c r="O24" s="1080">
        <f>IF(U24&gt;0,'3 pr-2'!X25,0)</f>
        <v>0</v>
      </c>
      <c r="P24" s="1080">
        <f>IF(U24&gt;0,'3 pr-2'!AA25,0)</f>
        <v>0</v>
      </c>
      <c r="Q24" s="1164">
        <f>IF($Z$9&gt;0,'3 pr-2'!AB25,0)</f>
        <v>0</v>
      </c>
      <c r="R24" s="566">
        <f>SUM('3 pr-2'!AK25)</f>
        <v>43465</v>
      </c>
      <c r="S24" s="1612" t="str">
        <f>IF(SUMIF(Projektu_sutarciu_ataskaita!$J:$J,$C24,Projektu_sutarciu_ataskaita!$BW:$BW)&gt;0,SUMIF(Projektu_sutarciu_ataskaita!$J:$J,$C24,Projektu_sutarciu_ataskaita!$BW:$BW),"–")</f>
        <v>–</v>
      </c>
      <c r="T24" s="1132" t="str">
        <f t="shared" si="5"/>
        <v>–</v>
      </c>
      <c r="U24" s="247">
        <f>SUMIF(Projektu_sutarciu_ataskaita!$J:$J,$C24,Projektu_sutarciu_ataskaita!$BX:$BX)</f>
        <v>0</v>
      </c>
      <c r="V24" s="992" t="str">
        <f t="shared" si="6"/>
        <v>–</v>
      </c>
      <c r="W24" s="1251">
        <f>IF(U24&gt;0,'IV-3'!K23,0)</f>
        <v>0</v>
      </c>
      <c r="X24" s="1249">
        <f t="shared" si="7"/>
        <v>0</v>
      </c>
    </row>
    <row r="25" spans="1:24" ht="36.75">
      <c r="A25" s="164" t="str">
        <f>CONCATENATE('3 pr-2'!A26)</f>
        <v>1.1.1.1.17</v>
      </c>
      <c r="B25" s="164" t="str">
        <f>CONCATENATE('3 pr-2'!B26)</f>
        <v>R01-ZM72-120000-1117</v>
      </c>
      <c r="C25" s="281" t="str">
        <f>CONCATENATE('ketv. 2'!B25)</f>
        <v>20KI-KA-17-1-01639-PR001</v>
      </c>
      <c r="D25" s="164" t="str">
        <f>CONCATENATE('3 pr-2'!D26)</f>
        <v>Varėnos r. Rudnios kaimo Pušyno gatvės įrengimas</v>
      </c>
      <c r="E25" s="164" t="str">
        <f>CONCATENATE('3 pr-2'!E26)</f>
        <v xml:space="preserve">Varėnos rajono savivaldybės administracija </v>
      </c>
      <c r="F25" s="164" t="str">
        <f>CONCATENATE('3 pr-2'!F26)</f>
        <v>Lietuvos Respublikos žemės ūkio ministerija</v>
      </c>
      <c r="G25" s="164" t="str">
        <f>CONCATENATE('3 pr-2'!G26)</f>
        <v>Varėnos r. sav.</v>
      </c>
      <c r="H25" s="164" t="str">
        <f>CONCATENATE('3 pr-2'!H26)</f>
        <v xml:space="preserve">Pagrindinės paslaugos ir kaimų atnaujinimas kaimo vietovėse </v>
      </c>
      <c r="I25" s="164" t="str">
        <f>CONCATENATE('3 pr-2'!I26)</f>
        <v>R</v>
      </c>
      <c r="J25" s="164" t="str">
        <f>CONCATENATE('3 pr-2'!J26)</f>
        <v>-</v>
      </c>
      <c r="K25" s="1080">
        <f>IF(U25&gt;0,'3 pr-2'!L26,0)</f>
        <v>0</v>
      </c>
      <c r="L25" s="1080">
        <f>IF(U25&gt;0,'3 pr-2'!O26,0)</f>
        <v>0</v>
      </c>
      <c r="M25" s="1080">
        <f>IF(U25&gt;0,'3 pr-2'!R26,0)</f>
        <v>0</v>
      </c>
      <c r="N25" s="1080">
        <f>IF(U25&gt;0,'3 pr-2'!U26,0)</f>
        <v>0</v>
      </c>
      <c r="O25" s="1080">
        <f>IF(U25&gt;0,'3 pr-2'!X26,0)</f>
        <v>0</v>
      </c>
      <c r="P25" s="1080">
        <f>IF(U25&gt;0,'3 pr-2'!AA26,0)</f>
        <v>0</v>
      </c>
      <c r="Q25" s="1164">
        <f>IF($Z$9&gt;0,'3 pr-2'!AB26,0)</f>
        <v>0</v>
      </c>
      <c r="R25" s="566">
        <f>SUM('3 pr-2'!AK26)</f>
        <v>43830</v>
      </c>
      <c r="S25" s="1612" t="str">
        <f>IF(SUMIF(Projektu_sutarciu_ataskaita!$J:$J,$C25,Projektu_sutarciu_ataskaita!$BW:$BW)&gt;0,SUMIF(Projektu_sutarciu_ataskaita!$J:$J,$C25,Projektu_sutarciu_ataskaita!$BW:$BW),"–")</f>
        <v>–</v>
      </c>
      <c r="T25" s="1132" t="str">
        <f t="shared" si="5"/>
        <v>–</v>
      </c>
      <c r="U25" s="247">
        <f>SUMIF(Projektu_sutarciu_ataskaita!$J:$J,$C25,Projektu_sutarciu_ataskaita!$BX:$BX)</f>
        <v>0</v>
      </c>
      <c r="V25" s="992" t="str">
        <f t="shared" si="6"/>
        <v>–</v>
      </c>
      <c r="W25" s="1251">
        <f>IF(U25&gt;0,'IV-3'!K24,0)</f>
        <v>0</v>
      </c>
      <c r="X25" s="1249">
        <f t="shared" si="7"/>
        <v>0</v>
      </c>
    </row>
    <row r="26" spans="1:24" ht="36.75">
      <c r="A26" s="164" t="str">
        <f>CONCATENATE('3 pr-2'!A27)</f>
        <v>1.1.1.1.18</v>
      </c>
      <c r="B26" s="164" t="str">
        <f>CONCATENATE('3 pr-2'!B27)</f>
        <v>R01-ZM72-340000-1118</v>
      </c>
      <c r="C26" s="281" t="str">
        <f>CONCATENATE('ketv. 2'!B26)</f>
        <v>20KI-KA-17-1-01666-PR001</v>
      </c>
      <c r="D26" s="164" t="str">
        <f>CONCATENATE('3 pr-2'!D27)</f>
        <v>Varėnos kultūros centro Žilinų filialo pastato atnaujinimas ir pritaikymas bendruomenės poreikiams</v>
      </c>
      <c r="E26" s="164" t="str">
        <f>CONCATENATE('3 pr-2'!E27)</f>
        <v xml:space="preserve">Varėnos rajono savivaldybės administracija </v>
      </c>
      <c r="F26" s="164" t="str">
        <f>CONCATENATE('3 pr-2'!F27)</f>
        <v>Lietuvos Respublikos žemės ūkio ministerija</v>
      </c>
      <c r="G26" s="164" t="str">
        <f>CONCATENATE('3 pr-2'!G27)</f>
        <v>Varėnos r. sav.</v>
      </c>
      <c r="H26" s="164" t="str">
        <f>CONCATENATE('3 pr-2'!H27)</f>
        <v xml:space="preserve">Pagrindinės paslaugos ir kaimų atnaujinimas kaimo vietovėse </v>
      </c>
      <c r="I26" s="164" t="str">
        <f>CONCATENATE('3 pr-2'!I27)</f>
        <v>R</v>
      </c>
      <c r="J26" s="164" t="str">
        <f>CONCATENATE('3 pr-2'!J27)</f>
        <v>-</v>
      </c>
      <c r="K26" s="1080">
        <f>IF(U26&gt;0,'3 pr-2'!L27,0)</f>
        <v>0</v>
      </c>
      <c r="L26" s="1080">
        <f>IF(U26&gt;0,'3 pr-2'!O27,0)</f>
        <v>0</v>
      </c>
      <c r="M26" s="1080">
        <f>IF(U26&gt;0,'3 pr-2'!R27,0)</f>
        <v>0</v>
      </c>
      <c r="N26" s="1080">
        <f>IF(U26&gt;0,'3 pr-2'!U27,0)</f>
        <v>0</v>
      </c>
      <c r="O26" s="1080">
        <f>IF(U26&gt;0,'3 pr-2'!X27,0)</f>
        <v>0</v>
      </c>
      <c r="P26" s="1080">
        <f>IF(U26&gt;0,'3 pr-2'!AA27,0)</f>
        <v>0</v>
      </c>
      <c r="Q26" s="1164">
        <f>IF($Z$9&gt;0,'3 pr-2'!AB27,0)</f>
        <v>0</v>
      </c>
      <c r="R26" s="566">
        <f>SUM('3 pr-2'!AK27)</f>
        <v>43830</v>
      </c>
      <c r="S26" s="1612" t="str">
        <f>IF(SUMIF(Projektu_sutarciu_ataskaita!$J:$J,$C26,Projektu_sutarciu_ataskaita!$BW:$BW)&gt;0,SUMIF(Projektu_sutarciu_ataskaita!$J:$J,$C26,Projektu_sutarciu_ataskaita!$BW:$BW),"–")</f>
        <v>–</v>
      </c>
      <c r="T26" s="1132" t="str">
        <f t="shared" si="5"/>
        <v>–</v>
      </c>
      <c r="U26" s="247">
        <f>SUMIF(Projektu_sutarciu_ataskaita!$J:$J,$C26,Projektu_sutarciu_ataskaita!$BX:$BX)</f>
        <v>0</v>
      </c>
      <c r="V26" s="992" t="str">
        <f t="shared" si="6"/>
        <v>–</v>
      </c>
      <c r="W26" s="1251">
        <f>IF(U26&gt;0,'IV-3'!K25,0)</f>
        <v>0</v>
      </c>
      <c r="X26" s="1249">
        <f t="shared" si="7"/>
        <v>0</v>
      </c>
    </row>
    <row r="27" spans="1:24" ht="36.75">
      <c r="A27" s="164" t="str">
        <f>CONCATENATE('3 pr-2'!A28)</f>
        <v>1.1.1.1.19</v>
      </c>
      <c r="B27" s="164" t="str">
        <f>CONCATENATE('3 pr-2'!B28)</f>
        <v>R01-ZM72-120000-1119</v>
      </c>
      <c r="C27" s="281" t="str">
        <f>CONCATENATE('ketv. 2'!B27)</f>
        <v>20KI-KA-17-1-02648-PR001</v>
      </c>
      <c r="D27" s="164" t="str">
        <f>CONCATENATE('3 pr-2'!D28)</f>
        <v>Alytaus rajono Pivašiūnų kaimo šaligatvių, laiptų kapitalinis remontas ir gyvenvietės apšvietimo įrengimas</v>
      </c>
      <c r="E27" s="164" t="str">
        <f>CONCATENATE('3 pr-2'!E28)</f>
        <v>Alytaus rajono savivaldybės administracija</v>
      </c>
      <c r="F27" s="164" t="str">
        <f>CONCATENATE('3 pr-2'!F28)</f>
        <v>Lietuvos Respublikos žemės ūkio ministerija</v>
      </c>
      <c r="G27" s="164" t="str">
        <f>CONCATENATE('3 pr-2'!G28)</f>
        <v>Alytaus r. sav.</v>
      </c>
      <c r="H27" s="164" t="str">
        <f>CONCATENATE('3 pr-2'!H28)</f>
        <v xml:space="preserve">Pagrindinės paslaugos ir kaimų atnaujinimas kaimo vietovėse </v>
      </c>
      <c r="I27" s="164" t="str">
        <f>CONCATENATE('3 pr-2'!I28)</f>
        <v>R</v>
      </c>
      <c r="J27" s="164" t="str">
        <f>CONCATENATE('3 pr-2'!J28)</f>
        <v>-</v>
      </c>
      <c r="K27" s="1080">
        <f>IF(U27&gt;0,'3 pr-2'!L28,0)</f>
        <v>0</v>
      </c>
      <c r="L27" s="1080">
        <f>IF(U27&gt;0,'3 pr-2'!O28,0)</f>
        <v>0</v>
      </c>
      <c r="M27" s="1080">
        <f>IF(U27&gt;0,'3 pr-2'!R28,0)</f>
        <v>0</v>
      </c>
      <c r="N27" s="1080">
        <f>IF(U27&gt;0,'3 pr-2'!U28,0)</f>
        <v>0</v>
      </c>
      <c r="O27" s="1080">
        <f>IF(U27&gt;0,'3 pr-2'!X28,0)</f>
        <v>0</v>
      </c>
      <c r="P27" s="1080">
        <f>IF(U27&gt;0,'3 pr-2'!AA28,0)</f>
        <v>0</v>
      </c>
      <c r="Q27" s="1164">
        <f>IF($Z$9&gt;0,'3 pr-2'!AB28,0)</f>
        <v>0</v>
      </c>
      <c r="R27" s="566">
        <f>SUM('3 pr-2'!AK28)</f>
        <v>43465</v>
      </c>
      <c r="S27" s="1612" t="str">
        <f>IF(SUMIF(Projektu_sutarciu_ataskaita!$J:$J,$C27,Projektu_sutarciu_ataskaita!$BW:$BW)&gt;0,SUMIF(Projektu_sutarciu_ataskaita!$J:$J,$C27,Projektu_sutarciu_ataskaita!$BW:$BW),"–")</f>
        <v>–</v>
      </c>
      <c r="T27" s="1132" t="str">
        <f t="shared" si="5"/>
        <v>–</v>
      </c>
      <c r="U27" s="247">
        <f>SUMIF(Projektu_sutarciu_ataskaita!$J:$J,$C27,Projektu_sutarciu_ataskaita!$BX:$BX)</f>
        <v>0</v>
      </c>
      <c r="V27" s="992" t="str">
        <f t="shared" si="6"/>
        <v>–</v>
      </c>
      <c r="W27" s="1251">
        <f>IF(U27&gt;0,'IV-3'!K26,0)</f>
        <v>0</v>
      </c>
      <c r="X27" s="1249">
        <f t="shared" si="7"/>
        <v>0</v>
      </c>
    </row>
    <row r="28" spans="1:24" ht="36.75">
      <c r="A28" s="164" t="str">
        <f>CONCATENATE('3 pr-2'!A29)</f>
        <v>1.1.1.1.20</v>
      </c>
      <c r="B28" s="164" t="str">
        <f>CONCATENATE('3 pr-2'!B29)</f>
        <v>R01-ZM72-340000-1120</v>
      </c>
      <c r="C28" s="281" t="str">
        <f>CONCATENATE('ketv. 2'!B28)</f>
        <v>20KI-KA-17-1-01736-PR001</v>
      </c>
      <c r="D28" s="164" t="str">
        <f>CONCATENATE('3 pr-2'!D29)</f>
        <v>Pastato, esančio Pušelės g. 11, Naujųjų Valkininkų k., Varėnos r., atnaujinimas ir pritaikymas bendruomenės poreikiams</v>
      </c>
      <c r="E28" s="164" t="str">
        <f>CONCATENATE('3 pr-2'!E29)</f>
        <v xml:space="preserve">Varėnos rajono savivaldybės administracija </v>
      </c>
      <c r="F28" s="164" t="str">
        <f>CONCATENATE('3 pr-2'!F29)</f>
        <v>Lietuvos Respublikos žemės ūkio ministerija</v>
      </c>
      <c r="G28" s="164" t="str">
        <f>CONCATENATE('3 pr-2'!G29)</f>
        <v>Varėnos r. sav.</v>
      </c>
      <c r="H28" s="164" t="str">
        <f>CONCATENATE('3 pr-2'!H29)</f>
        <v xml:space="preserve">Pagrindinės paslaugos ir kaimų atnaujinimas kaimo vietovėse </v>
      </c>
      <c r="I28" s="164" t="str">
        <f>CONCATENATE('3 pr-2'!I29)</f>
        <v>R</v>
      </c>
      <c r="J28" s="164" t="str">
        <f>CONCATENATE('3 pr-2'!J29)</f>
        <v>-</v>
      </c>
      <c r="K28" s="1080">
        <f>IF(U28&gt;0,'3 pr-2'!L29,0)</f>
        <v>0</v>
      </c>
      <c r="L28" s="1080">
        <f>IF(U28&gt;0,'3 pr-2'!O29,0)</f>
        <v>0</v>
      </c>
      <c r="M28" s="1080">
        <f>IF(U28&gt;0,'3 pr-2'!R29,0)</f>
        <v>0</v>
      </c>
      <c r="N28" s="1080">
        <f>IF(U28&gt;0,'3 pr-2'!U29,0)</f>
        <v>0</v>
      </c>
      <c r="O28" s="1080">
        <f>IF(U28&gt;0,'3 pr-2'!X29,0)</f>
        <v>0</v>
      </c>
      <c r="P28" s="1080">
        <f>IF(U28&gt;0,'3 pr-2'!AA29,0)</f>
        <v>0</v>
      </c>
      <c r="Q28" s="1164">
        <f>IF($Z$9&gt;0,'3 pr-2'!AB29,0)</f>
        <v>0</v>
      </c>
      <c r="R28" s="566">
        <f>SUM('3 pr-2'!AK29)</f>
        <v>43830</v>
      </c>
      <c r="S28" s="1612" t="str">
        <f>IF(SUMIF(Projektu_sutarciu_ataskaita!$J:$J,$C28,Projektu_sutarciu_ataskaita!$BW:$BW)&gt;0,SUMIF(Projektu_sutarciu_ataskaita!$J:$J,$C28,Projektu_sutarciu_ataskaita!$BW:$BW),"–")</f>
        <v>–</v>
      </c>
      <c r="T28" s="1132" t="str">
        <f t="shared" si="5"/>
        <v>–</v>
      </c>
      <c r="U28" s="247">
        <f>SUMIF(Projektu_sutarciu_ataskaita!$J:$J,$C28,Projektu_sutarciu_ataskaita!$BX:$BX)</f>
        <v>0</v>
      </c>
      <c r="V28" s="992" t="str">
        <f t="shared" si="6"/>
        <v>–</v>
      </c>
      <c r="W28" s="1251">
        <f>IF(U28&gt;0,'IV-3'!K27,0)</f>
        <v>0</v>
      </c>
      <c r="X28" s="1249">
        <f t="shared" si="7"/>
        <v>0</v>
      </c>
    </row>
    <row r="29" spans="1:24" ht="36.75">
      <c r="A29" s="164" t="str">
        <f>CONCATENATE('3 pr-2'!A30)</f>
        <v>1.1.1.1.21</v>
      </c>
      <c r="B29" s="164" t="str">
        <f>CONCATENATE('3 pr-2'!B30)</f>
        <v>R01-ZM72-120000-1121</v>
      </c>
      <c r="C29" s="281" t="str">
        <f>CONCATENATE('ketv. 2'!B29)</f>
        <v>20KI-KA-17-1-02364-PR001</v>
      </c>
      <c r="D29" s="164" t="str">
        <f>CONCATENATE('3 pr-2'!D30)</f>
        <v>Kaimo gyvenamųjų vietovių Lazdijų rajono savivaldybėje patrauklumo gerinimas</v>
      </c>
      <c r="E29" s="164" t="str">
        <f>CONCATENATE('3 pr-2'!E30)</f>
        <v>Lazdijų rajono savivaldybės administracija</v>
      </c>
      <c r="F29" s="164" t="str">
        <f>CONCATENATE('3 pr-2'!F30)</f>
        <v>Lietuvos Respublikos žemės ūkio ministerija</v>
      </c>
      <c r="G29" s="164" t="str">
        <f>CONCATENATE('3 pr-2'!G30)</f>
        <v>Lazdijų r. sav.</v>
      </c>
      <c r="H29" s="164" t="str">
        <f>CONCATENATE('3 pr-2'!H30)</f>
        <v xml:space="preserve">Pagrindinės paslaugos ir kaimų atnaujinimas kaimo vietovėse </v>
      </c>
      <c r="I29" s="164" t="str">
        <f>CONCATENATE('3 pr-2'!I30)</f>
        <v>R</v>
      </c>
      <c r="J29" s="164" t="str">
        <f>CONCATENATE('3 pr-2'!J30)</f>
        <v>-</v>
      </c>
      <c r="K29" s="1080">
        <f>IF(U29&gt;0,'3 pr-2'!L30,0)</f>
        <v>0</v>
      </c>
      <c r="L29" s="1080">
        <f>IF(U29&gt;0,'3 pr-2'!O30,0)</f>
        <v>0</v>
      </c>
      <c r="M29" s="1080">
        <f>IF(U29&gt;0,'3 pr-2'!R30,0)</f>
        <v>0</v>
      </c>
      <c r="N29" s="1080">
        <f>IF(U29&gt;0,'3 pr-2'!U30,0)</f>
        <v>0</v>
      </c>
      <c r="O29" s="1080">
        <f>IF(U29&gt;0,'3 pr-2'!X30,0)</f>
        <v>0</v>
      </c>
      <c r="P29" s="1080">
        <f>IF(U29&gt;0,'3 pr-2'!AA30,0)</f>
        <v>0</v>
      </c>
      <c r="Q29" s="1164">
        <f>IF($Z$9&gt;0,'3 pr-2'!AB30,0)</f>
        <v>0</v>
      </c>
      <c r="R29" s="566">
        <f>SUM('3 pr-2'!AK30)</f>
        <v>43291</v>
      </c>
      <c r="S29" s="1612" t="str">
        <f>IF(SUMIF(Projektu_sutarciu_ataskaita!$J:$J,$C29,Projektu_sutarciu_ataskaita!$BW:$BW)&gt;0,SUMIF(Projektu_sutarciu_ataskaita!$J:$J,$C29,Projektu_sutarciu_ataskaita!$BW:$BW),"–")</f>
        <v>–</v>
      </c>
      <c r="T29" s="1132" t="str">
        <f t="shared" si="5"/>
        <v>–</v>
      </c>
      <c r="U29" s="247">
        <f>SUMIF(Projektu_sutarciu_ataskaita!$J:$J,$C29,Projektu_sutarciu_ataskaita!$BX:$BX)</f>
        <v>0</v>
      </c>
      <c r="V29" s="992" t="str">
        <f t="shared" si="6"/>
        <v>–</v>
      </c>
      <c r="W29" s="1251">
        <f>IF(U29&gt;0,'IV-3'!K28,0)</f>
        <v>0</v>
      </c>
      <c r="X29" s="1249">
        <f t="shared" si="7"/>
        <v>0</v>
      </c>
    </row>
    <row r="30" spans="1:24" ht="36.75">
      <c r="A30" s="164" t="str">
        <f>CONCATENATE('3 pr-2'!A31)</f>
        <v>1.1.1.1.22</v>
      </c>
      <c r="B30" s="164" t="str">
        <f>CONCATENATE('3 pr-2'!B31)</f>
        <v>R01-ZM72-120000-1122</v>
      </c>
      <c r="C30" s="281" t="str">
        <f>CONCATENATE('ketv. 2'!B30)</f>
        <v>20KI-KA-17-1-02241-PR001</v>
      </c>
      <c r="D30" s="164" t="str">
        <f>CONCATENATE('3 pr-2'!D31)</f>
        <v>Alytaus rajono Makniūnų kaimo šaligatvių atnaujinimas ir plėtra</v>
      </c>
      <c r="E30" s="164" t="str">
        <f>CONCATENATE('3 pr-2'!E31)</f>
        <v>Alytaus rajono savivaldybės administracija</v>
      </c>
      <c r="F30" s="164" t="str">
        <f>CONCATENATE('3 pr-2'!F31)</f>
        <v>Lietuvos Respublikos žemės ūkio ministerija</v>
      </c>
      <c r="G30" s="164" t="str">
        <f>CONCATENATE('3 pr-2'!G31)</f>
        <v>Alytaus r. sav.</v>
      </c>
      <c r="H30" s="164" t="str">
        <f>CONCATENATE('3 pr-2'!H31)</f>
        <v xml:space="preserve">Pagrindinės paslaugos ir kaimų atnaujinimas kaimo vietovėse </v>
      </c>
      <c r="I30" s="164" t="str">
        <f>CONCATENATE('3 pr-2'!I31)</f>
        <v>R</v>
      </c>
      <c r="J30" s="164" t="str">
        <f>CONCATENATE('3 pr-2'!J31)</f>
        <v>-</v>
      </c>
      <c r="K30" s="1080">
        <f>IF(U30&gt;0,'3 pr-2'!L31,0)</f>
        <v>0</v>
      </c>
      <c r="L30" s="1080">
        <f>IF(U30&gt;0,'3 pr-2'!O31,0)</f>
        <v>0</v>
      </c>
      <c r="M30" s="1080">
        <f>IF(U30&gt;0,'3 pr-2'!R31,0)</f>
        <v>0</v>
      </c>
      <c r="N30" s="1080">
        <f>IF(U30&gt;0,'3 pr-2'!U31,0)</f>
        <v>0</v>
      </c>
      <c r="O30" s="1080">
        <f>IF(U30&gt;0,'3 pr-2'!X31,0)</f>
        <v>0</v>
      </c>
      <c r="P30" s="1080">
        <f>IF(U30&gt;0,'3 pr-2'!AA31,0)</f>
        <v>0</v>
      </c>
      <c r="Q30" s="1164">
        <f>IF($Z$9&gt;0,'3 pr-2'!AB31,0)</f>
        <v>0</v>
      </c>
      <c r="R30" s="566">
        <f>SUM('3 pr-2'!AK31)</f>
        <v>43465</v>
      </c>
      <c r="S30" s="1612" t="str">
        <f>IF(SUMIF(Projektu_sutarciu_ataskaita!$J:$J,$C30,Projektu_sutarciu_ataskaita!$BW:$BW)&gt;0,SUMIF(Projektu_sutarciu_ataskaita!$J:$J,$C30,Projektu_sutarciu_ataskaita!$BW:$BW),"–")</f>
        <v>–</v>
      </c>
      <c r="T30" s="1132" t="str">
        <f t="shared" si="5"/>
        <v>–</v>
      </c>
      <c r="U30" s="247">
        <f>SUMIF(Projektu_sutarciu_ataskaita!$J:$J,$C30,Projektu_sutarciu_ataskaita!$BX:$BX)</f>
        <v>0</v>
      </c>
      <c r="V30" s="992" t="str">
        <f t="shared" si="6"/>
        <v>–</v>
      </c>
      <c r="W30" s="1251">
        <f>IF(U30&gt;0,'IV-3'!K29,0)</f>
        <v>0</v>
      </c>
      <c r="X30" s="1249">
        <f t="shared" si="7"/>
        <v>0</v>
      </c>
    </row>
    <row r="31" spans="1:24" ht="37.5" thickBot="1">
      <c r="A31" s="164" t="str">
        <f>CONCATENATE('3 pr-2'!A32)</f>
        <v>1.1.1.1.23</v>
      </c>
      <c r="B31" s="164" t="str">
        <f>CONCATENATE('3 pr-2'!B32)</f>
        <v>R01-ZM72-120000-1123</v>
      </c>
      <c r="C31" s="281" t="str">
        <f>CONCATENATE('ketv. 2'!B31)</f>
        <v>20KI-KA-17-1-</v>
      </c>
      <c r="D31" s="164" t="str">
        <f>CONCATENATE('3 pr-2'!D32)</f>
        <v>Varėnos r. Vazgirdonių kaimo Klevų gatvės įrengimas</v>
      </c>
      <c r="E31" s="164" t="str">
        <f>CONCATENATE('3 pr-2'!E32)</f>
        <v xml:space="preserve">Varėnos rajono savivaldybės administracija </v>
      </c>
      <c r="F31" s="164" t="str">
        <f>CONCATENATE('3 pr-2'!F32)</f>
        <v>Lietuvos Respublikos žemės ūkio ministerija</v>
      </c>
      <c r="G31" s="164" t="str">
        <f>CONCATENATE('3 pr-2'!G32)</f>
        <v>Varėnos r. sav.</v>
      </c>
      <c r="H31" s="164" t="str">
        <f>CONCATENATE('3 pr-2'!H32)</f>
        <v xml:space="preserve">Pagrindinės paslaugos ir kaimų atnaujinimas kaimo vietovėse </v>
      </c>
      <c r="I31" s="164" t="str">
        <f>CONCATENATE('3 pr-2'!I32)</f>
        <v>R</v>
      </c>
      <c r="J31" s="164" t="str">
        <f>CONCATENATE('3 pr-2'!J32)</f>
        <v>-</v>
      </c>
      <c r="K31" s="1080">
        <f>IF(U31&gt;0,'3 pr-2'!L32,0)</f>
        <v>0</v>
      </c>
      <c r="L31" s="1080">
        <f>IF(U31&gt;0,'3 pr-2'!O32,0)</f>
        <v>0</v>
      </c>
      <c r="M31" s="1080">
        <f>IF(U31&gt;0,'3 pr-2'!R32,0)</f>
        <v>0</v>
      </c>
      <c r="N31" s="1080">
        <f>IF(U31&gt;0,'3 pr-2'!U32,0)</f>
        <v>0</v>
      </c>
      <c r="O31" s="1080">
        <f>IF(U31&gt;0,'3 pr-2'!X32,0)</f>
        <v>0</v>
      </c>
      <c r="P31" s="1080">
        <f>IF(U31&gt;0,'3 pr-2'!AA32,0)</f>
        <v>0</v>
      </c>
      <c r="Q31" s="1164">
        <f>IF($Z$9&gt;0,'3 pr-2'!AB32,0)</f>
        <v>0</v>
      </c>
      <c r="R31" s="996">
        <f>SUM('3 pr-2'!AK32)</f>
        <v>43830</v>
      </c>
      <c r="S31" s="1612" t="str">
        <f>IF(SUMIF(Projektu_sutarciu_ataskaita!$J:$J,$C31,Projektu_sutarciu_ataskaita!$BW:$BW)&gt;0,SUMIF(Projektu_sutarciu_ataskaita!$J:$J,$C31,Projektu_sutarciu_ataskaita!$BW:$BW),"–")</f>
        <v>–</v>
      </c>
      <c r="T31" s="1132" t="str">
        <f t="shared" si="5"/>
        <v>–</v>
      </c>
      <c r="U31" s="247">
        <f>SUMIF(Projektu_sutarciu_ataskaita!$J:$J,$C31,Projektu_sutarciu_ataskaita!$BX:$BX)</f>
        <v>0</v>
      </c>
      <c r="V31" s="992" t="str">
        <f t="shared" si="6"/>
        <v>–</v>
      </c>
      <c r="W31" s="1251">
        <f>IF(U31&gt;0,'IV-3'!K30,0)</f>
        <v>0</v>
      </c>
      <c r="X31" s="1249">
        <f t="shared" si="7"/>
        <v>0</v>
      </c>
    </row>
    <row r="32" spans="1:24" ht="28.5" customHeight="1" thickBot="1">
      <c r="A32" s="296" t="str">
        <f>CONCATENATE('3 pr-2'!A33)</f>
        <v>1.1.1.2</v>
      </c>
      <c r="B32" s="2088" t="str">
        <f>CONCATENATE('3 pr-2'!B33)</f>
        <v>Priemonė:
Kaimo gyvenamųjų vietovių (turinčių 1-6 tūkst. gyventojų) atnaujinimas ir plėtra</v>
      </c>
      <c r="C32" s="2089"/>
      <c r="D32" s="2089"/>
      <c r="E32" s="2089"/>
      <c r="F32" s="2089"/>
      <c r="G32" s="2089"/>
      <c r="H32" s="2089"/>
      <c r="I32" s="2089"/>
      <c r="J32" s="2090"/>
      <c r="K32" s="1077">
        <f>SUM(K33:K37)</f>
        <v>0</v>
      </c>
      <c r="L32" s="1077">
        <f t="shared" ref="L32:Q32" si="8">SUM(L33:L37)</f>
        <v>0</v>
      </c>
      <c r="M32" s="1077">
        <f t="shared" si="8"/>
        <v>0</v>
      </c>
      <c r="N32" s="1077">
        <f t="shared" si="8"/>
        <v>0</v>
      </c>
      <c r="O32" s="1077">
        <f t="shared" si="8"/>
        <v>0</v>
      </c>
      <c r="P32" s="1077">
        <f t="shared" si="8"/>
        <v>0</v>
      </c>
      <c r="Q32" s="1077">
        <f t="shared" si="8"/>
        <v>0</v>
      </c>
      <c r="R32" s="997" t="s">
        <v>679</v>
      </c>
      <c r="S32" s="1612" t="str">
        <f>IF(SUMIF(Projektu_sutarciu_ataskaita!$J:$J,$C32,Projektu_sutarciu_ataskaita!$BW:$BW)&gt;0,SUMIF(Projektu_sutarciu_ataskaita!$J:$J,$C32,Projektu_sutarciu_ataskaita!$BW:$BW),"–")</f>
        <v>–</v>
      </c>
      <c r="T32" s="997" t="str">
        <f t="shared" si="5"/>
        <v>–</v>
      </c>
      <c r="U32" s="1338">
        <f>IF(ISTEXT(#REF!),"–",SUMIF(Projektu_sutarciu_ataskaita!$J:$J,$C32,Projektu_sutarciu_ataskaita!$BX:$BX))</f>
        <v>0</v>
      </c>
      <c r="V32" s="356" t="str">
        <f t="shared" ref="V10:V73" si="9">IF(U32&gt;0,(R32-U32)/30,"–")</f>
        <v>–</v>
      </c>
      <c r="W32" s="1249"/>
      <c r="X32" s="1249">
        <f t="shared" si="7"/>
        <v>0</v>
      </c>
    </row>
    <row r="33" spans="1:24" ht="36.75">
      <c r="A33" s="164" t="str">
        <f>CONCATENATE('3 pr-2'!A34)</f>
        <v>1.1.1.2.1</v>
      </c>
      <c r="B33" s="164" t="str">
        <f>CONCATENATE('3 pr-2'!B34)</f>
        <v>R01-9908-293400-1121</v>
      </c>
      <c r="C33" s="281" t="str">
        <f>CONCATENATE('ketv. 2'!B33)</f>
        <v>08.2.1-CPVA-R-908-11-0002</v>
      </c>
      <c r="D33" s="164" t="str">
        <f>CONCATENATE('3 pr-2'!D34)</f>
        <v>Matuizų kaimo viešosios infrastruktūros atnaujinimas ir pritaikymas bendruomenės poreikiams</v>
      </c>
      <c r="E33" s="164" t="str">
        <f>CONCATENATE('3 pr-2'!E34)</f>
        <v>Varėnos rajono savivaldybės administracija</v>
      </c>
      <c r="F33" s="164" t="str">
        <f>CONCATENATE('3 pr-2'!F34)</f>
        <v>Lietuvos Respublikos vidaus reikalų ministerija</v>
      </c>
      <c r="G33" s="164" t="str">
        <f>CONCATENATE('3 pr-2'!G34)</f>
        <v>Varėnos r. sav.</v>
      </c>
      <c r="H33" s="164" t="str">
        <f>CONCATENATE('3 pr-2'!H34)</f>
        <v>8.2.1-CPVA-R-908</v>
      </c>
      <c r="I33" s="164" t="str">
        <f>CONCATENATE('3 pr-2'!I34)</f>
        <v>R</v>
      </c>
      <c r="J33" s="164" t="str">
        <f>CONCATENATE('3 pr-2'!J34)</f>
        <v>-</v>
      </c>
      <c r="K33" s="1080">
        <f>IF(U33&gt;0,'3 pr-2'!L34,0)</f>
        <v>0</v>
      </c>
      <c r="L33" s="1080">
        <f>IF(U33&gt;0,'3 pr-2'!O34,0)</f>
        <v>0</v>
      </c>
      <c r="M33" s="1080">
        <f>IF(U33&gt;0,'3 pr-2'!R34,0)</f>
        <v>0</v>
      </c>
      <c r="N33" s="1080">
        <f>IF(U33&gt;0,'3 pr-2'!U34,0)</f>
        <v>0</v>
      </c>
      <c r="O33" s="1080">
        <f>IF(U33&gt;0,'3 pr-2'!X34,0)</f>
        <v>0</v>
      </c>
      <c r="P33" s="1080">
        <f>IF(U33&gt;0,'3 pr-2'!AA34,0)</f>
        <v>0</v>
      </c>
      <c r="Q33" s="1164">
        <f>IF($Z$9&gt;0,'3 pr-2'!AB34,0)</f>
        <v>0</v>
      </c>
      <c r="R33" s="566">
        <f>SUM('3 pr-2'!AK34)</f>
        <v>44196</v>
      </c>
      <c r="S33" s="1612">
        <f>IF(SUMIF(Projektu_sutarciu_ataskaita!$J:$J,$C33,Projektu_sutarciu_ataskaita!$BW:$BW)&gt;0,SUMIF(Projektu_sutarciu_ataskaita!$J:$J,$C33,Projektu_sutarciu_ataskaita!$BW:$BW),"–")</f>
        <v>44226</v>
      </c>
      <c r="T33" s="1132" t="str">
        <f t="shared" si="5"/>
        <v>–</v>
      </c>
      <c r="U33" s="247">
        <f>SUMIF(Projektu_sutarciu_ataskaita!$J:$J,$C33,Projektu_sutarciu_ataskaita!$BX:$BX)</f>
        <v>0</v>
      </c>
      <c r="V33" s="992" t="str">
        <f t="shared" ref="V33:V37" si="10">IF(U33&gt;0,IF((R33-U33)/30&gt;0,"–",(R33-U33)/30),"–")</f>
        <v>–</v>
      </c>
      <c r="W33" s="1251">
        <f>IF(U33&gt;0,'IV-3'!K32,0)</f>
        <v>0</v>
      </c>
      <c r="X33" s="1249">
        <f t="shared" si="7"/>
        <v>0</v>
      </c>
    </row>
    <row r="34" spans="1:24" ht="36.75">
      <c r="A34" s="164" t="str">
        <f>CONCATENATE('3 pr-2'!A35)</f>
        <v>1.1.1.2.2</v>
      </c>
      <c r="B34" s="164" t="str">
        <f>CONCATENATE('3 pr-2'!B35)</f>
        <v>R01-9908-290000-1122</v>
      </c>
      <c r="C34" s="281" t="str">
        <f>CONCATENATE('ketv. 2'!B34)</f>
        <v>08.2.1-CPVA-R-908-11-0001</v>
      </c>
      <c r="D34" s="164" t="str">
        <f>CONCATENATE('3 pr-2'!D35)</f>
        <v>Senosios Varėnos kaimo viešosios infrastruktūros atnaujinimas ir pritaikymas bendruomenės poreikiams</v>
      </c>
      <c r="E34" s="164" t="str">
        <f>CONCATENATE('3 pr-2'!E35)</f>
        <v>Varėnos rajono savivaldybės administracija</v>
      </c>
      <c r="F34" s="164" t="str">
        <f>CONCATENATE('3 pr-2'!F35)</f>
        <v>Lietuvos Respublikos vidaus reikalų ministerija</v>
      </c>
      <c r="G34" s="164" t="str">
        <f>CONCATENATE('3 pr-2'!G35)</f>
        <v>Varėnos r. sav.</v>
      </c>
      <c r="H34" s="164" t="str">
        <f>CONCATENATE('3 pr-2'!H35)</f>
        <v>8.2.1-CPVA-R-908</v>
      </c>
      <c r="I34" s="164" t="str">
        <f>CONCATENATE('3 pr-2'!I35)</f>
        <v>R</v>
      </c>
      <c r="J34" s="164" t="str">
        <f>CONCATENATE('3 pr-2'!J35)</f>
        <v>-</v>
      </c>
      <c r="K34" s="1080">
        <f>IF(U34&gt;0,'3 pr-2'!L35,0)</f>
        <v>0</v>
      </c>
      <c r="L34" s="1080">
        <f>IF(U34&gt;0,'3 pr-2'!O35,0)</f>
        <v>0</v>
      </c>
      <c r="M34" s="1080">
        <f>IF(U34&gt;0,'3 pr-2'!R35,0)</f>
        <v>0</v>
      </c>
      <c r="N34" s="1080">
        <f>IF(U34&gt;0,'3 pr-2'!U35,0)</f>
        <v>0</v>
      </c>
      <c r="O34" s="1080">
        <f>IF(U34&gt;0,'3 pr-2'!X35,0)</f>
        <v>0</v>
      </c>
      <c r="P34" s="1080">
        <f>IF(U34&gt;0,'3 pr-2'!AA35,0)</f>
        <v>0</v>
      </c>
      <c r="Q34" s="1164">
        <f>IF($Z$9&gt;0,'3 pr-2'!AB35,0)</f>
        <v>0</v>
      </c>
      <c r="R34" s="566">
        <f>SUM('3 pr-2'!AK35)</f>
        <v>44196</v>
      </c>
      <c r="S34" s="1612">
        <f>IF(SUMIF(Projektu_sutarciu_ataskaita!$J:$J,$C34,Projektu_sutarciu_ataskaita!$BW:$BW)&gt;0,SUMIF(Projektu_sutarciu_ataskaita!$J:$J,$C34,Projektu_sutarciu_ataskaita!$BW:$BW),"–")</f>
        <v>43920</v>
      </c>
      <c r="T34" s="1132" t="str">
        <f t="shared" si="5"/>
        <v>–</v>
      </c>
      <c r="U34" s="247">
        <f>SUMIF(Projektu_sutarciu_ataskaita!$J:$J,$C34,Projektu_sutarciu_ataskaita!$BX:$BX)</f>
        <v>0</v>
      </c>
      <c r="V34" s="992" t="str">
        <f t="shared" si="10"/>
        <v>–</v>
      </c>
      <c r="W34" s="1251">
        <f>IF(U34&gt;0,'IV-3'!K33,0)</f>
        <v>0</v>
      </c>
      <c r="X34" s="1249">
        <f t="shared" si="7"/>
        <v>0</v>
      </c>
    </row>
    <row r="35" spans="1:24" ht="36.75">
      <c r="A35" s="164" t="str">
        <f>CONCATENATE('3 pr-2'!A36)</f>
        <v>1.1.1.2.3</v>
      </c>
      <c r="B35" s="164" t="str">
        <f>CONCATENATE('3 pr-2'!B36)</f>
        <v>R01-9908-290000-1123</v>
      </c>
      <c r="C35" s="281" t="str">
        <f>CONCATENATE('ketv. 2'!B35)</f>
        <v>08.2.1-CPVA-R-908-11-0005</v>
      </c>
      <c r="D35" s="164" t="str">
        <f>CONCATENATE('3 pr-2'!D36)</f>
        <v>Kompleksinė Miklusėnų gyvenvietės plėtra</v>
      </c>
      <c r="E35" s="164" t="str">
        <f>CONCATENATE('3 pr-2'!E36)</f>
        <v>Alytaus rajono savivaldybės administracija</v>
      </c>
      <c r="F35" s="164" t="str">
        <f>CONCATENATE('3 pr-2'!F36)</f>
        <v>Lietuvos Respublikos vidaus reikalų ministerija</v>
      </c>
      <c r="G35" s="164" t="str">
        <f>CONCATENATE('3 pr-2'!G36)</f>
        <v>Alytaus r. sav.</v>
      </c>
      <c r="H35" s="164" t="str">
        <f>CONCATENATE('3 pr-2'!H36)</f>
        <v>8.2.1-CPVA-R-908</v>
      </c>
      <c r="I35" s="164" t="str">
        <f>CONCATENATE('3 pr-2'!I36)</f>
        <v>R</v>
      </c>
      <c r="J35" s="164" t="str">
        <f>CONCATENATE('3 pr-2'!J36)</f>
        <v>-</v>
      </c>
      <c r="K35" s="1080">
        <f>IF(U35&gt;0,'3 pr-2'!L36,0)</f>
        <v>0</v>
      </c>
      <c r="L35" s="1080">
        <f>IF(U35&gt;0,'3 pr-2'!O36,0)</f>
        <v>0</v>
      </c>
      <c r="M35" s="1080">
        <f>IF(U35&gt;0,'3 pr-2'!R36,0)</f>
        <v>0</v>
      </c>
      <c r="N35" s="1080">
        <f>IF(U35&gt;0,'3 pr-2'!U36,0)</f>
        <v>0</v>
      </c>
      <c r="O35" s="1080">
        <f>IF(U35&gt;0,'3 pr-2'!X36,0)</f>
        <v>0</v>
      </c>
      <c r="P35" s="1080">
        <f>IF(U35&gt;0,'3 pr-2'!AA36,0)</f>
        <v>0</v>
      </c>
      <c r="Q35" s="1164">
        <f>IF($Z$9&gt;0,'3 pr-2'!AB36,0)</f>
        <v>0</v>
      </c>
      <c r="R35" s="566">
        <f>SUM('3 pr-2'!AK36)</f>
        <v>44377</v>
      </c>
      <c r="S35" s="1612" t="str">
        <f>IF(SUMIF(Projektu_sutarciu_ataskaita!$J:$J,$C35,Projektu_sutarciu_ataskaita!$BW:$BW)&gt;0,SUMIF(Projektu_sutarciu_ataskaita!$J:$J,$C35,Projektu_sutarciu_ataskaita!$BW:$BW),"–")</f>
        <v>–</v>
      </c>
      <c r="T35" s="1132" t="str">
        <f t="shared" si="5"/>
        <v>–</v>
      </c>
      <c r="U35" s="247">
        <f>SUMIF(Projektu_sutarciu_ataskaita!$J:$J,$C35,Projektu_sutarciu_ataskaita!$BX:$BX)</f>
        <v>0</v>
      </c>
      <c r="V35" s="992" t="str">
        <f t="shared" si="10"/>
        <v>–</v>
      </c>
      <c r="W35" s="1251">
        <f>IF(U35&gt;0,'IV-3'!K34,0)</f>
        <v>0</v>
      </c>
      <c r="X35" s="1249">
        <f t="shared" si="7"/>
        <v>0</v>
      </c>
    </row>
    <row r="36" spans="1:24" ht="36.75">
      <c r="A36" s="164" t="str">
        <f>CONCATENATE('3 pr-2'!A37)</f>
        <v>1.1.1.2.4</v>
      </c>
      <c r="B36" s="164" t="str">
        <f>CONCATENATE('3 pr-2'!B37)</f>
        <v>R01-9908-290000-1124</v>
      </c>
      <c r="C36" s="281" t="str">
        <f>CONCATENATE('ketv. 2'!B36)</f>
        <v>08.2.1-CPVA-R-908-11-0003</v>
      </c>
      <c r="D36" s="164" t="str">
        <f>CONCATENATE('3 pr-2'!D37)</f>
        <v>Leipalingio viešosios erdvės pritaikymas bendruomenės poreikiams</v>
      </c>
      <c r="E36" s="164" t="str">
        <f>CONCATENATE('3 pr-2'!E37)</f>
        <v xml:space="preserve">Druskininkų savivaldybės administracija  </v>
      </c>
      <c r="F36" s="164" t="str">
        <f>CONCATENATE('3 pr-2'!F37)</f>
        <v>Lietuvos Respublikos vidaus reikalų ministerija</v>
      </c>
      <c r="G36" s="164" t="str">
        <f>CONCATENATE('3 pr-2'!G37)</f>
        <v>Druskininkų sav.</v>
      </c>
      <c r="H36" s="164" t="str">
        <f>CONCATENATE('3 pr-2'!H37)</f>
        <v>8.2.1-CPVA-R-908</v>
      </c>
      <c r="I36" s="164" t="str">
        <f>CONCATENATE('3 pr-2'!I37)</f>
        <v>R</v>
      </c>
      <c r="J36" s="164" t="str">
        <f>CONCATENATE('3 pr-2'!J37)</f>
        <v>-</v>
      </c>
      <c r="K36" s="1080">
        <f>IF(U36&gt;0,'3 pr-2'!L37,0)</f>
        <v>0</v>
      </c>
      <c r="L36" s="1080">
        <f>IF(U36&gt;0,'3 pr-2'!O37,0)</f>
        <v>0</v>
      </c>
      <c r="M36" s="1080">
        <f>IF(U36&gt;0,'3 pr-2'!R37,0)</f>
        <v>0</v>
      </c>
      <c r="N36" s="1080">
        <f>IF(U36&gt;0,'3 pr-2'!U37,0)</f>
        <v>0</v>
      </c>
      <c r="O36" s="1080">
        <f>IF(U36&gt;0,'3 pr-2'!X37,0)</f>
        <v>0</v>
      </c>
      <c r="P36" s="1080">
        <f>IF(U36&gt;0,'3 pr-2'!AA37,0)</f>
        <v>0</v>
      </c>
      <c r="Q36" s="1164">
        <f>IF($Z$9&gt;0,'3 pr-2'!AB37,0)</f>
        <v>0</v>
      </c>
      <c r="R36" s="566">
        <f>SUM('3 pr-2'!AK37)</f>
        <v>43830</v>
      </c>
      <c r="S36" s="1612">
        <f>IF(SUMIF(Projektu_sutarciu_ataskaita!$J:$J,$C36,Projektu_sutarciu_ataskaita!$BW:$BW)&gt;0,SUMIF(Projektu_sutarciu_ataskaita!$J:$J,$C36,Projektu_sutarciu_ataskaita!$BW:$BW),"–")</f>
        <v>43738</v>
      </c>
      <c r="T36" s="1132" t="str">
        <f t="shared" si="5"/>
        <v>–</v>
      </c>
      <c r="U36" s="247">
        <f>SUMIF(Projektu_sutarciu_ataskaita!$J:$J,$C36,Projektu_sutarciu_ataskaita!$BX:$BX)</f>
        <v>0</v>
      </c>
      <c r="V36" s="992" t="str">
        <f t="shared" si="10"/>
        <v>–</v>
      </c>
      <c r="W36" s="1251">
        <f>IF(U36&gt;0,'IV-3'!K35,0)</f>
        <v>0</v>
      </c>
      <c r="X36" s="1249">
        <f t="shared" si="7"/>
        <v>0</v>
      </c>
    </row>
    <row r="37" spans="1:24" ht="37.5" thickBot="1">
      <c r="A37" s="164" t="str">
        <f>CONCATENATE('3 pr-2'!A38)</f>
        <v>1.1.1.2.5</v>
      </c>
      <c r="B37" s="164" t="str">
        <f>CONCATENATE('3 pr-2'!B38)</f>
        <v>R01-9908-290000-1125</v>
      </c>
      <c r="C37" s="281" t="str">
        <f>CONCATENATE('ketv. 2'!B37)</f>
        <v>08.2.1-CPVA-R-908-11-0004</v>
      </c>
      <c r="D37" s="164" t="str">
        <f>CONCATENATE('3 pr-2'!D38)</f>
        <v>Viečiūnų viešosios erdvės pritaikymas bendruomenės poreikiams</v>
      </c>
      <c r="E37" s="164" t="str">
        <f>CONCATENATE('3 pr-2'!E38)</f>
        <v xml:space="preserve">Druskininkų savivaldybės administracija  </v>
      </c>
      <c r="F37" s="164" t="str">
        <f>CONCATENATE('3 pr-2'!F38)</f>
        <v>Lietuvos Respublikos vidaus reikalų ministerija</v>
      </c>
      <c r="G37" s="164" t="str">
        <f>CONCATENATE('3 pr-2'!G38)</f>
        <v>Druskininkų sav.</v>
      </c>
      <c r="H37" s="164" t="str">
        <f>CONCATENATE('3 pr-2'!H38)</f>
        <v>8.2.1-CPVA-R-908</v>
      </c>
      <c r="I37" s="164" t="str">
        <f>CONCATENATE('3 pr-2'!I38)</f>
        <v>R</v>
      </c>
      <c r="J37" s="164" t="str">
        <f>CONCATENATE('3 pr-2'!J38)</f>
        <v>-</v>
      </c>
      <c r="K37" s="1080">
        <f>IF(U37&gt;0,'3 pr-2'!L38,0)</f>
        <v>0</v>
      </c>
      <c r="L37" s="1080">
        <f>IF(U37&gt;0,'3 pr-2'!O38,0)</f>
        <v>0</v>
      </c>
      <c r="M37" s="1080">
        <f>IF(U37&gt;0,'3 pr-2'!R38,0)</f>
        <v>0</v>
      </c>
      <c r="N37" s="1080">
        <f>IF(U37&gt;0,'3 pr-2'!U38,0)</f>
        <v>0</v>
      </c>
      <c r="O37" s="1080">
        <f>IF(U37&gt;0,'3 pr-2'!X38,0)</f>
        <v>0</v>
      </c>
      <c r="P37" s="1080">
        <f>IF(U37&gt;0,'3 pr-2'!AA38,0)</f>
        <v>0</v>
      </c>
      <c r="Q37" s="1164">
        <f>IF($Z$9&gt;0,'3 pr-2'!AB38,0)</f>
        <v>0</v>
      </c>
      <c r="R37" s="566">
        <f>SUM('3 pr-2'!AK38)</f>
        <v>43830</v>
      </c>
      <c r="S37" s="1612">
        <f>IF(SUMIF(Projektu_sutarciu_ataskaita!$J:$J,$C37,Projektu_sutarciu_ataskaita!$BW:$BW)&gt;0,SUMIF(Projektu_sutarciu_ataskaita!$J:$J,$C37,Projektu_sutarciu_ataskaita!$BW:$BW),"–")</f>
        <v>43860</v>
      </c>
      <c r="T37" s="1132" t="str">
        <f t="shared" si="5"/>
        <v>–</v>
      </c>
      <c r="U37" s="247">
        <f>SUMIF(Projektu_sutarciu_ataskaita!$J:$J,$C37,Projektu_sutarciu_ataskaita!$BX:$BX)</f>
        <v>0</v>
      </c>
      <c r="V37" s="992" t="str">
        <f t="shared" si="10"/>
        <v>–</v>
      </c>
      <c r="W37" s="1251">
        <f>IF(U37&gt;0,'IV-3'!K36,0)</f>
        <v>0</v>
      </c>
      <c r="X37" s="1249">
        <f t="shared" si="7"/>
        <v>0</v>
      </c>
    </row>
    <row r="38" spans="1:24" ht="30" customHeight="1" thickBot="1">
      <c r="A38" s="296" t="str">
        <f>CONCATENATE('3 pr-2'!A39)</f>
        <v>1.1.1.3</v>
      </c>
      <c r="B38" s="2088" t="str">
        <f>CONCATENATE('3 pr-2'!B39)</f>
        <v>Priemonė:
Varėnos miesto kompleksinė plėtra</v>
      </c>
      <c r="C38" s="2089"/>
      <c r="D38" s="2089"/>
      <c r="E38" s="2089"/>
      <c r="F38" s="2089"/>
      <c r="G38" s="2089"/>
      <c r="H38" s="2089"/>
      <c r="I38" s="2089"/>
      <c r="J38" s="2090"/>
      <c r="K38" s="1077">
        <f>SUM(K39:K44)</f>
        <v>1516825.67</v>
      </c>
      <c r="L38" s="1077">
        <f t="shared" ref="L38:Q38" si="11">SUM(L39:L44)</f>
        <v>113761.94</v>
      </c>
      <c r="M38" s="1077">
        <f t="shared" si="11"/>
        <v>113761.92</v>
      </c>
      <c r="N38" s="1077">
        <f t="shared" si="11"/>
        <v>0</v>
      </c>
      <c r="O38" s="1077">
        <f t="shared" si="11"/>
        <v>0</v>
      </c>
      <c r="P38" s="1077">
        <f t="shared" si="11"/>
        <v>1289301.81</v>
      </c>
      <c r="Q38" s="1077">
        <f t="shared" si="11"/>
        <v>0</v>
      </c>
      <c r="R38" s="356" t="s">
        <v>679</v>
      </c>
      <c r="S38" s="1612" t="str">
        <f>IF(SUMIF(Projektu_sutarciu_ataskaita!$J:$J,$C38,Projektu_sutarciu_ataskaita!$BW:$BW)&gt;0,SUMIF(Projektu_sutarciu_ataskaita!$J:$J,$C38,Projektu_sutarciu_ataskaita!$BW:$BW),"–")</f>
        <v>–</v>
      </c>
      <c r="T38" s="356" t="str">
        <f t="shared" si="5"/>
        <v>–</v>
      </c>
      <c r="U38" s="1338">
        <f>IF(ISTEXT(#REF!),"–",SUMIF(Projektu_sutarciu_ataskaita!$J:$J,$C38,Projektu_sutarciu_ataskaita!$BX:$BX))</f>
        <v>0</v>
      </c>
      <c r="V38" s="356" t="str">
        <f t="shared" si="9"/>
        <v>–</v>
      </c>
      <c r="W38" s="1249"/>
      <c r="X38" s="1249">
        <f t="shared" si="7"/>
        <v>0</v>
      </c>
    </row>
    <row r="39" spans="1:24" ht="36.75">
      <c r="A39" s="164" t="str">
        <f>CONCATENATE('3 pr-2'!A40)</f>
        <v>1.1.1.3.1</v>
      </c>
      <c r="B39" s="164" t="str">
        <f>CONCATENATE('3 pr-2'!B40)</f>
        <v>R01-9905-290000-1131</v>
      </c>
      <c r="C39" s="281" t="str">
        <f>CONCATENATE('ketv. 2'!B39)</f>
        <v>07.1.1-CPVA-R-905-11-0001</v>
      </c>
      <c r="D39" s="164" t="str">
        <f>CONCATENATE('3 pr-2'!D40)</f>
        <v>Varėnos miesto centrinės dalies modernizavimas ir pritaikymas visuomenės poreikiams (I etapas)</v>
      </c>
      <c r="E39" s="164" t="str">
        <f>CONCATENATE('3 pr-2'!E40)</f>
        <v>Varėnos rajono savivaldybės administracija</v>
      </c>
      <c r="F39" s="164" t="str">
        <f>CONCATENATE('3 pr-2'!F40)</f>
        <v>Lietuvos Respublikos vidaus reikalų ministerija</v>
      </c>
      <c r="G39" s="164" t="str">
        <f>CONCATENATE('3 pr-2'!G40)</f>
        <v>Varėnos r. sav.</v>
      </c>
      <c r="H39" s="164" t="str">
        <f>CONCATENATE('3 pr-2'!H40)</f>
        <v xml:space="preserve">07.1.1-CPVA-R-905 </v>
      </c>
      <c r="I39" s="164" t="str">
        <f>CONCATENATE('3 pr-2'!I40)</f>
        <v>R</v>
      </c>
      <c r="J39" s="164" t="str">
        <f>CONCATENATE('3 pr-2'!J40)</f>
        <v>ITI</v>
      </c>
      <c r="K39" s="1080">
        <f>IF(U39&gt;0,'3 pr-2'!L40,0)</f>
        <v>1516825.67</v>
      </c>
      <c r="L39" s="1080">
        <f>IF(U39&gt;0,'3 pr-2'!O40,0)</f>
        <v>113761.94</v>
      </c>
      <c r="M39" s="1080">
        <f>IF(U39&gt;0,'3 pr-2'!R40,0)</f>
        <v>113761.92</v>
      </c>
      <c r="N39" s="1080">
        <f>IF(U39&gt;0,'3 pr-2'!U40,0)</f>
        <v>0</v>
      </c>
      <c r="O39" s="1080">
        <f>IF(U39&gt;0,'3 pr-2'!X40,0)</f>
        <v>0</v>
      </c>
      <c r="P39" s="1080">
        <f>IF(U39&gt;0,'3 pr-2'!AA40,0)</f>
        <v>1289301.81</v>
      </c>
      <c r="Q39" s="1164">
        <f>IF($Z$9&gt;0,'3 pr-2'!AB40,0)</f>
        <v>0</v>
      </c>
      <c r="R39" s="566">
        <f>SUM('3 pr-2'!AK40)</f>
        <v>43465</v>
      </c>
      <c r="S39" s="1612">
        <f>IF(SUMIF(Projektu_sutarciu_ataskaita!$J:$J,$C39,Projektu_sutarciu_ataskaita!$BW:$BW)&gt;0,SUMIF(Projektu_sutarciu_ataskaita!$J:$J,$C39,Projektu_sutarciu_ataskaita!$BW:$BW),"–")</f>
        <v>43385</v>
      </c>
      <c r="T39" s="1132">
        <f t="shared" si="5"/>
        <v>43453</v>
      </c>
      <c r="U39" s="247">
        <f>SUMIF(Projektu_sutarciu_ataskaita!$J:$J,$C39,Projektu_sutarciu_ataskaita!$BX:$BX)</f>
        <v>43453</v>
      </c>
      <c r="V39" s="992" t="str">
        <f t="shared" ref="V39:V44" si="12">IF(U39&gt;0,IF((R39-U39)/30&gt;0,"–",(R39-U39)/30),"–")</f>
        <v>–</v>
      </c>
      <c r="W39" s="1251" t="str">
        <f>IF(U39&gt;0,'IV-3'!K38,0)</f>
        <v>29</v>
      </c>
      <c r="X39" s="1249">
        <f t="shared" si="7"/>
        <v>1</v>
      </c>
    </row>
    <row r="40" spans="1:24" ht="36.75">
      <c r="A40" s="164" t="str">
        <f>CONCATENATE('3 pr-2'!A41)</f>
        <v>1.1.1.3.2</v>
      </c>
      <c r="B40" s="164" t="str">
        <f>CONCATENATE('3 pr-2'!B41)</f>
        <v>R01-9905-282900-1132</v>
      </c>
      <c r="C40" s="281" t="str">
        <f>CONCATENATE('ketv. 2'!B40)</f>
        <v>07.1.1-CPVA-R-905-11-0002</v>
      </c>
      <c r="D40" s="164" t="str">
        <f>CONCATENATE('3 pr-2'!D41)</f>
        <v>Varėnos miesto centrinės dalies modernizavimas ir pritaikymas visuomenės poreikiams (II etapas)</v>
      </c>
      <c r="E40" s="164" t="str">
        <f>CONCATENATE('3 pr-2'!E41)</f>
        <v>Varėnos rajono savivaldybės administracija</v>
      </c>
      <c r="F40" s="164" t="str">
        <f>CONCATENATE('3 pr-2'!F41)</f>
        <v>Lietuvos Respublikos vidaus reikalų ministerija</v>
      </c>
      <c r="G40" s="164" t="str">
        <f>CONCATENATE('3 pr-2'!G41)</f>
        <v>Varėnos r. sav.</v>
      </c>
      <c r="H40" s="164" t="str">
        <f>CONCATENATE('3 pr-2'!H41)</f>
        <v xml:space="preserve">07.1.1-CPVA-R-905 </v>
      </c>
      <c r="I40" s="164" t="str">
        <f>CONCATENATE('3 pr-2'!I41)</f>
        <v>R</v>
      </c>
      <c r="J40" s="164" t="str">
        <f>CONCATENATE('3 pr-2'!J41)</f>
        <v>ITI</v>
      </c>
      <c r="K40" s="1080">
        <f>IF(U40&gt;0,'3 pr-2'!L41,0)</f>
        <v>0</v>
      </c>
      <c r="L40" s="1080">
        <f>IF(U40&gt;0,'3 pr-2'!O41,0)</f>
        <v>0</v>
      </c>
      <c r="M40" s="1080">
        <f>IF(U40&gt;0,'3 pr-2'!R41,0)</f>
        <v>0</v>
      </c>
      <c r="N40" s="1080">
        <f>IF(U40&gt;0,'3 pr-2'!U41,0)</f>
        <v>0</v>
      </c>
      <c r="O40" s="1080">
        <f>IF(U40&gt;0,'3 pr-2'!X41,0)</f>
        <v>0</v>
      </c>
      <c r="P40" s="1080">
        <f>IF(U40&gt;0,'3 pr-2'!AA41,0)</f>
        <v>0</v>
      </c>
      <c r="Q40" s="1164">
        <f>IF($Z$9&gt;0,'3 pr-2'!AB41,0)</f>
        <v>0</v>
      </c>
      <c r="R40" s="566">
        <f>SUM('3 pr-2'!AK41)</f>
        <v>43830</v>
      </c>
      <c r="S40" s="1612">
        <f>IF(SUMIF(Projektu_sutarciu_ataskaita!$J:$J,$C40,Projektu_sutarciu_ataskaita!$BW:$BW)&gt;0,SUMIF(Projektu_sutarciu_ataskaita!$J:$J,$C40,Projektu_sutarciu_ataskaita!$BW:$BW),"–")</f>
        <v>43768</v>
      </c>
      <c r="T40" s="1132" t="str">
        <f t="shared" si="5"/>
        <v>–</v>
      </c>
      <c r="U40" s="247">
        <f>SUMIF(Projektu_sutarciu_ataskaita!$J:$J,$C40,Projektu_sutarciu_ataskaita!$BX:$BX)</f>
        <v>0</v>
      </c>
      <c r="V40" s="992" t="str">
        <f t="shared" si="12"/>
        <v>–</v>
      </c>
      <c r="W40" s="1251">
        <f>IF(U40&gt;0,'IV-3'!K39,0)</f>
        <v>0</v>
      </c>
      <c r="X40" s="1249">
        <f t="shared" si="7"/>
        <v>0</v>
      </c>
    </row>
    <row r="41" spans="1:24" ht="36.75">
      <c r="A41" s="164" t="str">
        <f>CONCATENATE('3 pr-2'!A42)</f>
        <v>1.1.1.3.3</v>
      </c>
      <c r="B41" s="164" t="str">
        <f>CONCATENATE('3 pr-2'!B42)</f>
        <v>R01-9905-292800-1133</v>
      </c>
      <c r="C41" s="281" t="str">
        <f>CONCATENATE('ketv. 2'!B41)</f>
        <v>07.1.1-CPVA-R-905-11-0004</v>
      </c>
      <c r="D41" s="164" t="str">
        <f>CONCATENATE('3 pr-2'!D42)</f>
        <v>Varėnos miesto Dainų slėnio infrastruktūros atnaujinimas ir pritaikymas visuomenės poreikiams</v>
      </c>
      <c r="E41" s="164" t="str">
        <f>CONCATENATE('3 pr-2'!E42)</f>
        <v>Varėnos rajono savivaldybės administracija</v>
      </c>
      <c r="F41" s="164" t="str">
        <f>CONCATENATE('3 pr-2'!F42)</f>
        <v>Lietuvos Respublikos vidaus reikalų ministerija</v>
      </c>
      <c r="G41" s="164" t="str">
        <f>CONCATENATE('3 pr-2'!G42)</f>
        <v>Varėnos r. sav.</v>
      </c>
      <c r="H41" s="164" t="str">
        <f>CONCATENATE('3 pr-2'!H42)</f>
        <v xml:space="preserve">07.1.1-CPVA-R-905 </v>
      </c>
      <c r="I41" s="164" t="str">
        <f>CONCATENATE('3 pr-2'!I42)</f>
        <v>R</v>
      </c>
      <c r="J41" s="164" t="str">
        <f>CONCATENATE('3 pr-2'!J42)</f>
        <v>ITI</v>
      </c>
      <c r="K41" s="1080">
        <f>IF(U41&gt;0,'3 pr-2'!L42,0)</f>
        <v>0</v>
      </c>
      <c r="L41" s="1080">
        <f>IF(U41&gt;0,'3 pr-2'!O42,0)</f>
        <v>0</v>
      </c>
      <c r="M41" s="1080">
        <f>IF(U41&gt;0,'3 pr-2'!R42,0)</f>
        <v>0</v>
      </c>
      <c r="N41" s="1080">
        <f>IF(U41&gt;0,'3 pr-2'!U42,0)</f>
        <v>0</v>
      </c>
      <c r="O41" s="1080">
        <f>IF(U41&gt;0,'3 pr-2'!X42,0)</f>
        <v>0</v>
      </c>
      <c r="P41" s="1080">
        <f>IF(U41&gt;0,'3 pr-2'!AA42,0)</f>
        <v>0</v>
      </c>
      <c r="Q41" s="1164">
        <f>IF($Z$9&gt;0,'3 pr-2'!AB42,0)</f>
        <v>0</v>
      </c>
      <c r="R41" s="566">
        <f>SUM('3 pr-2'!AK42)</f>
        <v>44196</v>
      </c>
      <c r="S41" s="1612">
        <f>IF(SUMIF(Projektu_sutarciu_ataskaita!$J:$J,$C41,Projektu_sutarciu_ataskaita!$BW:$BW)&gt;0,SUMIF(Projektu_sutarciu_ataskaita!$J:$J,$C41,Projektu_sutarciu_ataskaita!$BW:$BW),"–")</f>
        <v>44012</v>
      </c>
      <c r="T41" s="1132" t="str">
        <f t="shared" si="5"/>
        <v>–</v>
      </c>
      <c r="U41" s="247">
        <f>SUMIF(Projektu_sutarciu_ataskaita!$J:$J,$C41,Projektu_sutarciu_ataskaita!$BX:$BX)</f>
        <v>0</v>
      </c>
      <c r="V41" s="992" t="str">
        <f t="shared" si="12"/>
        <v>–</v>
      </c>
      <c r="W41" s="1251">
        <f>IF(U41&gt;0,'IV-3'!K40,0)</f>
        <v>0</v>
      </c>
      <c r="X41" s="1249">
        <f t="shared" si="7"/>
        <v>0</v>
      </c>
    </row>
    <row r="42" spans="1:24" ht="36.75">
      <c r="A42" s="164" t="str">
        <f>CONCATENATE('3 pr-2'!A43)</f>
        <v>1.1.1.3.4</v>
      </c>
      <c r="B42" s="164" t="str">
        <f>CONCATENATE('3 pr-2'!B43)</f>
        <v>R01-9905-280000-1134</v>
      </c>
      <c r="C42" s="281" t="str">
        <f>CONCATENATE('ketv. 2'!B42)</f>
        <v>07.1.1-CPVA-R-905-11-0003</v>
      </c>
      <c r="D42" s="164" t="str">
        <f>CONCATENATE('3 pr-2'!D43)</f>
        <v>Karloniškės ežero ir jo prieigų sutvarkymas ir pritaikymas aktyviam poilsiui</v>
      </c>
      <c r="E42" s="164" t="str">
        <f>CONCATENATE('3 pr-2'!E43)</f>
        <v>Varėnos rajono savivaldybės administracija</v>
      </c>
      <c r="F42" s="164" t="str">
        <f>CONCATENATE('3 pr-2'!F43)</f>
        <v>Lietuvos Respublikos vidaus reikalų ministerija</v>
      </c>
      <c r="G42" s="164" t="str">
        <f>CONCATENATE('3 pr-2'!G43)</f>
        <v>Varėnos r. sav.</v>
      </c>
      <c r="H42" s="164" t="str">
        <f>CONCATENATE('3 pr-2'!H43)</f>
        <v xml:space="preserve">07.1.1-CPVA-R-905 </v>
      </c>
      <c r="I42" s="164" t="str">
        <f>CONCATENATE('3 pr-2'!I43)</f>
        <v>R</v>
      </c>
      <c r="J42" s="164" t="str">
        <f>CONCATENATE('3 pr-2'!J43)</f>
        <v>ITI</v>
      </c>
      <c r="K42" s="1080">
        <f>IF(U42&gt;0,'3 pr-2'!L43,0)</f>
        <v>0</v>
      </c>
      <c r="L42" s="1080">
        <f>IF(U42&gt;0,'3 pr-2'!O43,0)</f>
        <v>0</v>
      </c>
      <c r="M42" s="1080">
        <f>IF(U42&gt;0,'3 pr-2'!R43,0)</f>
        <v>0</v>
      </c>
      <c r="N42" s="1080">
        <f>IF(U42&gt;0,'3 pr-2'!U43,0)</f>
        <v>0</v>
      </c>
      <c r="O42" s="1080">
        <f>IF(U42&gt;0,'3 pr-2'!X43,0)</f>
        <v>0</v>
      </c>
      <c r="P42" s="1080">
        <f>IF(U42&gt;0,'3 pr-2'!AA43,0)</f>
        <v>0</v>
      </c>
      <c r="Q42" s="1164">
        <f>IF($Z$9&gt;0,'3 pr-2'!AB43,0)</f>
        <v>0</v>
      </c>
      <c r="R42" s="566">
        <f>SUM('3 pr-2'!AK43)</f>
        <v>43861</v>
      </c>
      <c r="S42" s="1612">
        <f>IF(SUMIF(Projektu_sutarciu_ataskaita!$J:$J,$C42,Projektu_sutarciu_ataskaita!$BW:$BW)&gt;0,SUMIF(Projektu_sutarciu_ataskaita!$J:$J,$C42,Projektu_sutarciu_ataskaita!$BW:$BW),"–")</f>
        <v>43799</v>
      </c>
      <c r="T42" s="1132" t="str">
        <f t="shared" si="5"/>
        <v>–</v>
      </c>
      <c r="U42" s="247">
        <f>SUMIF(Projektu_sutarciu_ataskaita!$J:$J,$C42,Projektu_sutarciu_ataskaita!$BX:$BX)</f>
        <v>0</v>
      </c>
      <c r="V42" s="992" t="str">
        <f t="shared" si="12"/>
        <v>–</v>
      </c>
      <c r="W42" s="1251">
        <f>IF(U42&gt;0,'IV-3'!K41,0)</f>
        <v>0</v>
      </c>
      <c r="X42" s="1249">
        <f t="shared" si="7"/>
        <v>0</v>
      </c>
    </row>
    <row r="43" spans="1:24" ht="36.75">
      <c r="A43" s="164" t="str">
        <f>CONCATENATE('3 pr-2'!A44)</f>
        <v>1.1.1.3.5</v>
      </c>
      <c r="B43" s="164" t="str">
        <f>CONCATENATE('3 pr-2'!B44)</f>
        <v>R01-9905-362900-1135</v>
      </c>
      <c r="C43" s="281" t="str">
        <f>CONCATENATE('ketv. 2'!B43)</f>
        <v>07.1.1-CPVA-R-905-11-0005</v>
      </c>
      <c r="D43" s="164" t="str">
        <f>CONCATENATE('3 pr-2'!D44)</f>
        <v>Nenaudojamų teritorijų Varėnos mieste sutvarkymas ir pritaikymas verslui</v>
      </c>
      <c r="E43" s="164" t="str">
        <f>CONCATENATE('3 pr-2'!E44)</f>
        <v>Varėnos rajono savivaldybės administracija</v>
      </c>
      <c r="F43" s="164" t="str">
        <f>CONCATENATE('3 pr-2'!F44)</f>
        <v>Lietuvos Respublikos vidaus reikalų ministerija</v>
      </c>
      <c r="G43" s="164" t="str">
        <f>CONCATENATE('3 pr-2'!G44)</f>
        <v>Varėnos r. sav.</v>
      </c>
      <c r="H43" s="164" t="str">
        <f>CONCATENATE('3 pr-2'!H44)</f>
        <v xml:space="preserve">07.1.1-CPVA-R-905 </v>
      </c>
      <c r="I43" s="164" t="str">
        <f>CONCATENATE('3 pr-2'!I44)</f>
        <v>R</v>
      </c>
      <c r="J43" s="164" t="str">
        <f>CONCATENATE('3 pr-2'!J44)</f>
        <v>ITI</v>
      </c>
      <c r="K43" s="1080">
        <f>IF(U43&gt;0,'3 pr-2'!L44,0)</f>
        <v>0</v>
      </c>
      <c r="L43" s="1080">
        <f>IF(U43&gt;0,'3 pr-2'!O44,0)</f>
        <v>0</v>
      </c>
      <c r="M43" s="1080">
        <f>IF(U43&gt;0,'3 pr-2'!R44,0)</f>
        <v>0</v>
      </c>
      <c r="N43" s="1080">
        <f>IF(U43&gt;0,'3 pr-2'!U44,0)</f>
        <v>0</v>
      </c>
      <c r="O43" s="1080">
        <f>IF(U43&gt;0,'3 pr-2'!X44,0)</f>
        <v>0</v>
      </c>
      <c r="P43" s="1080">
        <f>IF(U43&gt;0,'3 pr-2'!AA44,0)</f>
        <v>0</v>
      </c>
      <c r="Q43" s="1164">
        <f>IF($Z$9&gt;0,'3 pr-2'!AB44,0)</f>
        <v>0</v>
      </c>
      <c r="R43" s="566">
        <f>SUM('3 pr-2'!AK44)</f>
        <v>44165</v>
      </c>
      <c r="S43" s="1612">
        <f>IF(SUMIF(Projektu_sutarciu_ataskaita!$J:$J,$C43,Projektu_sutarciu_ataskaita!$BW:$BW)&gt;0,SUMIF(Projektu_sutarciu_ataskaita!$J:$J,$C43,Projektu_sutarciu_ataskaita!$BW:$BW),"–")</f>
        <v>44165</v>
      </c>
      <c r="T43" s="1132" t="str">
        <f t="shared" si="5"/>
        <v>–</v>
      </c>
      <c r="U43" s="247">
        <f>SUMIF(Projektu_sutarciu_ataskaita!$J:$J,$C43,Projektu_sutarciu_ataskaita!$BX:$BX)</f>
        <v>0</v>
      </c>
      <c r="V43" s="992" t="str">
        <f t="shared" si="12"/>
        <v>–</v>
      </c>
      <c r="W43" s="1251">
        <f>IF(U43&gt;0,'IV-3'!K42,0)</f>
        <v>0</v>
      </c>
      <c r="X43" s="1249">
        <f t="shared" si="7"/>
        <v>0</v>
      </c>
    </row>
    <row r="44" spans="1:24" ht="37.5" thickBot="1">
      <c r="A44" s="164" t="str">
        <f>CONCATENATE('3 pr-2'!A45)</f>
        <v>1.1.1.3.6</v>
      </c>
      <c r="B44" s="164" t="str">
        <f>CONCATENATE('3 pr-2'!B45)</f>
        <v>R01-9905-290000-1136</v>
      </c>
      <c r="C44" s="281" t="str">
        <f>CONCATENATE('ketv. 2'!B44)</f>
        <v>07.1.1-CPVA-R-905-11-0006</v>
      </c>
      <c r="D44" s="164" t="str">
        <f>CONCATENATE('3 pr-2'!D45)</f>
        <v>Teritorijų prie daugiabučių gyvenamųjų pastatų Varėnos mieste sutvarkymas ir pritaikymas visuomenės poreikiams</v>
      </c>
      <c r="E44" s="164" t="str">
        <f>CONCATENATE('3 pr-2'!E45)</f>
        <v>Varėnos rajono savivaldybės administracija</v>
      </c>
      <c r="F44" s="164" t="str">
        <f>CONCATENATE('3 pr-2'!F45)</f>
        <v>Lietuvos Respublikos vidaus reikalų ministerija</v>
      </c>
      <c r="G44" s="164" t="str">
        <f>CONCATENATE('3 pr-2'!G45)</f>
        <v>Varėnos r. sav.</v>
      </c>
      <c r="H44" s="164" t="str">
        <f>CONCATENATE('3 pr-2'!H45)</f>
        <v xml:space="preserve">07.1.1-CPVA-R-905 </v>
      </c>
      <c r="I44" s="164" t="str">
        <f>CONCATENATE('3 pr-2'!I45)</f>
        <v>R</v>
      </c>
      <c r="J44" s="164" t="str">
        <f>CONCATENATE('3 pr-2'!J45)</f>
        <v>ITI</v>
      </c>
      <c r="K44" s="1080">
        <f>IF(U44&gt;0,'3 pr-2'!L45,0)</f>
        <v>0</v>
      </c>
      <c r="L44" s="1080">
        <f>IF(U44&gt;0,'3 pr-2'!O45,0)</f>
        <v>0</v>
      </c>
      <c r="M44" s="1080">
        <f>IF(U44&gt;0,'3 pr-2'!R45,0)</f>
        <v>0</v>
      </c>
      <c r="N44" s="1080">
        <f>IF(U44&gt;0,'3 pr-2'!U45,0)</f>
        <v>0</v>
      </c>
      <c r="O44" s="1080">
        <f>IF(U44&gt;0,'3 pr-2'!X45,0)</f>
        <v>0</v>
      </c>
      <c r="P44" s="1080">
        <f>IF(U44&gt;0,'3 pr-2'!AA45,0)</f>
        <v>0</v>
      </c>
      <c r="Q44" s="1164">
        <f>IF($Z$9&gt;0,'3 pr-2'!AB45,0)</f>
        <v>0</v>
      </c>
      <c r="R44" s="566">
        <f>SUM('3 pr-2'!AK45)</f>
        <v>44165</v>
      </c>
      <c r="S44" s="1612">
        <f>IF(SUMIF(Projektu_sutarciu_ataskaita!$J:$J,$C44,Projektu_sutarciu_ataskaita!$BW:$BW)&gt;0,SUMIF(Projektu_sutarciu_ataskaita!$J:$J,$C44,Projektu_sutarciu_ataskaita!$BW:$BW),"–")</f>
        <v>44134</v>
      </c>
      <c r="T44" s="1132" t="str">
        <f t="shared" si="5"/>
        <v>–</v>
      </c>
      <c r="U44" s="247">
        <f>SUMIF(Projektu_sutarciu_ataskaita!$J:$J,$C44,Projektu_sutarciu_ataskaita!$BX:$BX)</f>
        <v>0</v>
      </c>
      <c r="V44" s="992" t="str">
        <f t="shared" si="12"/>
        <v>–</v>
      </c>
      <c r="W44" s="1251">
        <f>IF(U44&gt;0,'IV-3'!K43,0)</f>
        <v>0</v>
      </c>
      <c r="X44" s="1249">
        <f t="shared" si="7"/>
        <v>0</v>
      </c>
    </row>
    <row r="45" spans="1:24" ht="39" customHeight="1" thickBot="1">
      <c r="A45" s="296" t="str">
        <f>CONCATENATE('3 pr-2'!A46)</f>
        <v>1.1.1.4</v>
      </c>
      <c r="B45" s="2088" t="str">
        <f>CONCATENATE('3 pr-2'!B46)</f>
        <v xml:space="preserve">Priemonė:
Alytaus, Druskininkų ir Lazdijų miestų kompleksinė plėtra
</v>
      </c>
      <c r="C45" s="2089"/>
      <c r="D45" s="2089"/>
      <c r="E45" s="2089"/>
      <c r="F45" s="2089"/>
      <c r="G45" s="2089"/>
      <c r="H45" s="2089"/>
      <c r="I45" s="2089"/>
      <c r="J45" s="2090"/>
      <c r="K45" s="1077">
        <f>SUM(K46:K48)</f>
        <v>1286060.7500000002</v>
      </c>
      <c r="L45" s="1077">
        <f t="shared" ref="L45:Q45" si="13">SUM(L46:L48)</f>
        <v>96454.570000000022</v>
      </c>
      <c r="M45" s="1077">
        <f t="shared" si="13"/>
        <v>96454.550000000032</v>
      </c>
      <c r="N45" s="1077">
        <f t="shared" si="13"/>
        <v>0</v>
      </c>
      <c r="O45" s="1077">
        <f t="shared" si="13"/>
        <v>0</v>
      </c>
      <c r="P45" s="1077">
        <f t="shared" si="13"/>
        <v>1093151.6300000001</v>
      </c>
      <c r="Q45" s="1077">
        <f t="shared" si="13"/>
        <v>0</v>
      </c>
      <c r="R45" s="356" t="s">
        <v>679</v>
      </c>
      <c r="S45" s="1612" t="str">
        <f>IF(SUMIF(Projektu_sutarciu_ataskaita!$J:$J,$C45,Projektu_sutarciu_ataskaita!$BW:$BW)&gt;0,SUMIF(Projektu_sutarciu_ataskaita!$J:$J,$C45,Projektu_sutarciu_ataskaita!$BW:$BW),"–")</f>
        <v>–</v>
      </c>
      <c r="T45" s="356" t="str">
        <f t="shared" si="5"/>
        <v>–</v>
      </c>
      <c r="U45" s="1338">
        <f>IF(ISTEXT(#REF!),"–",SUMIF(Projektu_sutarciu_ataskaita!$J:$J,$C45,Projektu_sutarciu_ataskaita!$BX:$BX))</f>
        <v>0</v>
      </c>
      <c r="V45" s="356" t="str">
        <f t="shared" si="9"/>
        <v>–</v>
      </c>
      <c r="W45" s="1249"/>
      <c r="X45" s="1249">
        <f t="shared" si="7"/>
        <v>0</v>
      </c>
    </row>
    <row r="46" spans="1:24" ht="36.75">
      <c r="A46" s="163" t="str">
        <f>CONCATENATE('3 pr-2'!A47)</f>
        <v>1.1.1.4.1</v>
      </c>
      <c r="B46" s="1123" t="str">
        <f>CONCATENATE('3 pr-2'!B47)</f>
        <v>R01-9902-310000-1141</v>
      </c>
      <c r="C46" s="227" t="str">
        <f>CONCATENATE('ketv. 2'!B46)</f>
        <v>07.1.1-CPVA-V-902-01-0008</v>
      </c>
      <c r="D46" s="164" t="str">
        <f>CONCATENATE('3 pr-2'!D47)</f>
        <v>Buvusios pramoninės teritorijos Pramonės g. 1 Alytuje, pritaikymas verslo vystymui ir plėtrai.</v>
      </c>
      <c r="E46" s="164" t="str">
        <f>CONCATENATE('3 pr-2'!E47)</f>
        <v>Alytaus miesto savivaldybės administracija</v>
      </c>
      <c r="F46" s="164" t="str">
        <f>CONCATENATE('3 pr-2'!F47)</f>
        <v>Lietuvos Respublikos vidaus reikalų ministerija</v>
      </c>
      <c r="G46" s="164" t="str">
        <f>CONCATENATE('3 pr-2'!G47)</f>
        <v>Alytaus m. sav.</v>
      </c>
      <c r="H46" s="164" t="str">
        <f>CONCATENATE('3 pr-2'!H47)</f>
        <v>07.1.1-CPVA-V-902</v>
      </c>
      <c r="I46" s="164" t="str">
        <f>CONCATENATE('3 pr-2'!I47)</f>
        <v>V</v>
      </c>
      <c r="J46" s="174" t="str">
        <f>CONCATENATE('3 pr-2'!J47)</f>
        <v>ITI</v>
      </c>
      <c r="K46" s="1080">
        <f>IF(U46&gt;0,'3 pr-2'!L47,0)</f>
        <v>1286060.7500000002</v>
      </c>
      <c r="L46" s="1080">
        <f>IF(U46&gt;0,'3 pr-2'!O47,0)</f>
        <v>96454.570000000022</v>
      </c>
      <c r="M46" s="1080">
        <f>IF(U46&gt;0,'3 pr-2'!R47,0)</f>
        <v>96454.550000000032</v>
      </c>
      <c r="N46" s="1080">
        <f>IF(U46&gt;0,'3 pr-2'!U47,0)</f>
        <v>0</v>
      </c>
      <c r="O46" s="1080">
        <f>IF(U46&gt;0,'3 pr-2'!X47,0)</f>
        <v>0</v>
      </c>
      <c r="P46" s="1080">
        <f>IF(U46&gt;0,'3 pr-2'!AA47,0)</f>
        <v>1093151.6300000001</v>
      </c>
      <c r="Q46" s="1164">
        <f>IF($Z$9&gt;0,'3 pr-2'!AB47,0)</f>
        <v>0</v>
      </c>
      <c r="R46" s="566">
        <f>SUM('3 pr-2'!AK47)</f>
        <v>43281</v>
      </c>
      <c r="S46" s="1612">
        <f>IF(SUMIF(Projektu_sutarciu_ataskaita!$J:$J,$C46,Projektu_sutarciu_ataskaita!$BW:$BW)&gt;0,SUMIF(Projektu_sutarciu_ataskaita!$J:$J,$C46,Projektu_sutarciu_ataskaita!$BW:$BW),"–")</f>
        <v>43189</v>
      </c>
      <c r="T46" s="1132">
        <f t="shared" si="5"/>
        <v>43228</v>
      </c>
      <c r="U46" s="247">
        <f>SUMIF(Projektu_sutarciu_ataskaita!$J:$J,$C46,Projektu_sutarciu_ataskaita!$BX:$BX)</f>
        <v>43228</v>
      </c>
      <c r="V46" s="992" t="str">
        <f t="shared" ref="V46:V48" si="14">IF(U46&gt;0,IF((R46-U46)/30&gt;0,"–",(R46-U46)/30),"–")</f>
        <v>–</v>
      </c>
      <c r="W46" s="1251" t="str">
        <f>IF(U46&gt;0,'IV-3'!K45,0)</f>
        <v>31</v>
      </c>
      <c r="X46" s="1249">
        <f t="shared" si="7"/>
        <v>1</v>
      </c>
    </row>
    <row r="47" spans="1:24" ht="36.75">
      <c r="A47" s="163" t="str">
        <f>CONCATENATE('3 pr-2'!A48)</f>
        <v>1.1.1.4.2</v>
      </c>
      <c r="B47" s="1123" t="str">
        <f>CONCATENATE('3 pr-2'!B48)</f>
        <v>R01-9903-290000-1142</v>
      </c>
      <c r="C47" s="227" t="str">
        <f>CONCATENATE('ketv. 2'!B47)</f>
        <v>07.1.1-CPVA-R-903-11-0001</v>
      </c>
      <c r="D47" s="164" t="str">
        <f>CONCATENATE('3 pr-2'!D48)</f>
        <v>Amatų centro „Menų kalvė“ Druskininkuose įkūrimas</v>
      </c>
      <c r="E47" s="164" t="str">
        <f>CONCATENATE('3 pr-2'!E48)</f>
        <v xml:space="preserve">Druskininkų savivaldybės administracija  </v>
      </c>
      <c r="F47" s="164" t="str">
        <f>CONCATENATE('3 pr-2'!F48)</f>
        <v>Lietuvos Respublikos vidaus reikalų ministerija</v>
      </c>
      <c r="G47" s="164" t="str">
        <f>CONCATENATE('3 pr-2'!G48)</f>
        <v>Druskininkų sav.</v>
      </c>
      <c r="H47" s="164" t="str">
        <f>CONCATENATE('3 pr-2'!H48)</f>
        <v>07.1.1-CPVA-R-903</v>
      </c>
      <c r="I47" s="164" t="str">
        <f>CONCATENATE('3 pr-2'!I48)</f>
        <v>R</v>
      </c>
      <c r="J47" s="174" t="str">
        <f>CONCATENATE('3 pr-2'!J48)</f>
        <v>ITI</v>
      </c>
      <c r="K47" s="1080">
        <f>IF(U47&gt;0,'3 pr-2'!L48,0)</f>
        <v>0</v>
      </c>
      <c r="L47" s="1080">
        <f>IF(U47&gt;0,'3 pr-2'!O48,0)</f>
        <v>0</v>
      </c>
      <c r="M47" s="1080">
        <f>IF(U47&gt;0,'3 pr-2'!R48,0)</f>
        <v>0</v>
      </c>
      <c r="N47" s="1080">
        <f>IF(U47&gt;0,'3 pr-2'!U48,0)</f>
        <v>0</v>
      </c>
      <c r="O47" s="1080">
        <f>IF(U47&gt;0,'3 pr-2'!X48,0)</f>
        <v>0</v>
      </c>
      <c r="P47" s="1080">
        <f>IF(U47&gt;0,'3 pr-2'!AA48,0)</f>
        <v>0</v>
      </c>
      <c r="Q47" s="1164">
        <f>IF($Z$9&gt;0,'3 pr-2'!AB48,0)</f>
        <v>0</v>
      </c>
      <c r="R47" s="566">
        <f>SUM('3 pr-2'!AK48)</f>
        <v>43465</v>
      </c>
      <c r="S47" s="1612">
        <f>IF(SUMIF(Projektu_sutarciu_ataskaita!$J:$J,$C47,Projektu_sutarciu_ataskaita!$BW:$BW)&gt;0,SUMIF(Projektu_sutarciu_ataskaita!$J:$J,$C47,Projektu_sutarciu_ataskaita!$BW:$BW),"–")</f>
        <v>43646</v>
      </c>
      <c r="T47" s="1132" t="str">
        <f t="shared" si="5"/>
        <v>–</v>
      </c>
      <c r="U47" s="247">
        <f>SUMIF(Projektu_sutarciu_ataskaita!$J:$J,$C47,Projektu_sutarciu_ataskaita!$BX:$BX)</f>
        <v>0</v>
      </c>
      <c r="V47" s="992" t="str">
        <f t="shared" si="14"/>
        <v>–</v>
      </c>
      <c r="W47" s="1251">
        <f>IF(U47&gt;0,'IV-3'!K46,0)</f>
        <v>0</v>
      </c>
      <c r="X47" s="1249">
        <f t="shared" si="7"/>
        <v>0</v>
      </c>
    </row>
    <row r="48" spans="1:24" ht="37.5" thickBot="1">
      <c r="A48" s="163" t="str">
        <f>CONCATENATE('3 pr-2'!A49)</f>
        <v>1.1.1.4.3</v>
      </c>
      <c r="B48" s="1123" t="str">
        <f>CONCATENATE('3 pr-2'!B49)</f>
        <v>R01-9903-290000-1143</v>
      </c>
      <c r="C48" s="227" t="str">
        <f>CONCATENATE('ketv. 2'!B48)</f>
        <v>07.1.1-CPVA-R-903-11-0002</v>
      </c>
      <c r="D48" s="164" t="str">
        <f>CONCATENATE('3 pr-2'!D49)</f>
        <v>Lazdijų miesto kompleksinė infrastruktūros plėtra, III etapas</v>
      </c>
      <c r="E48" s="164" t="str">
        <f>CONCATENATE('3 pr-2'!E49)</f>
        <v>Lazdijų rajono savivaldybės administracija</v>
      </c>
      <c r="F48" s="164" t="str">
        <f>CONCATENATE('3 pr-2'!F49)</f>
        <v>Lietuvos Respublikos vidaus reikalų ministerija</v>
      </c>
      <c r="G48" s="164" t="str">
        <f>CONCATENATE('3 pr-2'!G49)</f>
        <v>Lazdijų r. sav.</v>
      </c>
      <c r="H48" s="164" t="str">
        <f>CONCATENATE('3 pr-2'!H49)</f>
        <v>07.1.1-CPVA-R-903</v>
      </c>
      <c r="I48" s="164" t="str">
        <f>CONCATENATE('3 pr-2'!I49)</f>
        <v>R</v>
      </c>
      <c r="J48" s="174" t="str">
        <f>CONCATENATE('3 pr-2'!J49)</f>
        <v>ITI</v>
      </c>
      <c r="K48" s="1080">
        <f>IF(U48&gt;0,'3 pr-2'!L49,0)</f>
        <v>0</v>
      </c>
      <c r="L48" s="1080">
        <f>IF(U48&gt;0,'3 pr-2'!O49,0)</f>
        <v>0</v>
      </c>
      <c r="M48" s="1080">
        <f>IF(U48&gt;0,'3 pr-2'!R49,0)</f>
        <v>0</v>
      </c>
      <c r="N48" s="1080">
        <f>IF(U48&gt;0,'3 pr-2'!U49,0)</f>
        <v>0</v>
      </c>
      <c r="O48" s="1080">
        <f>IF(U48&gt;0,'3 pr-2'!X49,0)</f>
        <v>0</v>
      </c>
      <c r="P48" s="1080">
        <f>IF(U48&gt;0,'3 pr-2'!AA49,0)</f>
        <v>0</v>
      </c>
      <c r="Q48" s="1164">
        <f>IF($Z$9&gt;0,'3 pr-2'!AB49,0)</f>
        <v>0</v>
      </c>
      <c r="R48" s="566">
        <f>SUM('3 pr-2'!AK49)</f>
        <v>43465</v>
      </c>
      <c r="S48" s="1612">
        <f>IF(SUMIF(Projektu_sutarciu_ataskaita!$J:$J,$C48,Projektu_sutarciu_ataskaita!$BW:$BW)&gt;0,SUMIF(Projektu_sutarciu_ataskaita!$J:$J,$C48,Projektu_sutarciu_ataskaita!$BW:$BW),"–")</f>
        <v>43583</v>
      </c>
      <c r="T48" s="1132" t="str">
        <f t="shared" si="5"/>
        <v>–</v>
      </c>
      <c r="U48" s="247">
        <f>SUMIF(Projektu_sutarciu_ataskaita!$J:$J,$C48,Projektu_sutarciu_ataskaita!$BX:$BX)</f>
        <v>0</v>
      </c>
      <c r="V48" s="992" t="str">
        <f t="shared" si="14"/>
        <v>–</v>
      </c>
      <c r="W48" s="1251">
        <f>IF(U48&gt;0,'IV-3'!K47,0)</f>
        <v>0</v>
      </c>
      <c r="X48" s="1249">
        <f t="shared" si="7"/>
        <v>0</v>
      </c>
    </row>
    <row r="49" spans="1:24" ht="36" customHeight="1" thickBot="1">
      <c r="A49" s="296" t="str">
        <f>CONCATENATE('3 pr-2'!A50)</f>
        <v>1.1.1.5</v>
      </c>
      <c r="B49" s="2088" t="str">
        <f>CONCATENATE('3 pr-2'!B50)</f>
        <v xml:space="preserve">Priemonė:
Geriamojo vandens tiekimo ir nuotekų tvarkymo sistemų renovavimas ir plėtra, įmonių valdymo tobulinimas </v>
      </c>
      <c r="C49" s="2089"/>
      <c r="D49" s="2089"/>
      <c r="E49" s="2089"/>
      <c r="F49" s="2089"/>
      <c r="G49" s="2089"/>
      <c r="H49" s="2089"/>
      <c r="I49" s="2089"/>
      <c r="J49" s="2090"/>
      <c r="K49" s="1077">
        <f>SUM(K50:K54)</f>
        <v>0</v>
      </c>
      <c r="L49" s="1077">
        <f t="shared" ref="L49:Q49" si="15">SUM(L50:L54)</f>
        <v>0</v>
      </c>
      <c r="M49" s="1077">
        <f t="shared" si="15"/>
        <v>0</v>
      </c>
      <c r="N49" s="1077">
        <f t="shared" si="15"/>
        <v>0</v>
      </c>
      <c r="O49" s="1077">
        <f t="shared" si="15"/>
        <v>0</v>
      </c>
      <c r="P49" s="1077">
        <f t="shared" si="15"/>
        <v>0</v>
      </c>
      <c r="Q49" s="1077">
        <f t="shared" si="15"/>
        <v>0</v>
      </c>
      <c r="R49" s="356"/>
      <c r="S49" s="1612" t="str">
        <f>IF(SUMIF(Projektu_sutarciu_ataskaita!$J:$J,$C49,Projektu_sutarciu_ataskaita!$BW:$BW)&gt;0,SUMIF(Projektu_sutarciu_ataskaita!$J:$J,$C49,Projektu_sutarciu_ataskaita!$BW:$BW),"–")</f>
        <v>–</v>
      </c>
      <c r="T49" s="356" t="str">
        <f t="shared" si="5"/>
        <v>–</v>
      </c>
      <c r="U49" s="1338">
        <f>IF(ISTEXT(#REF!),"–",SUMIF(Projektu_sutarciu_ataskaita!$J:$J,$C49,Projektu_sutarciu_ataskaita!$BX:$BX))</f>
        <v>0</v>
      </c>
      <c r="V49" s="356" t="str">
        <f t="shared" si="9"/>
        <v>–</v>
      </c>
      <c r="W49" s="1249"/>
      <c r="X49" s="1249">
        <f t="shared" si="7"/>
        <v>0</v>
      </c>
    </row>
    <row r="50" spans="1:24" ht="36.75">
      <c r="A50" s="164" t="str">
        <f>CONCATENATE('3 pr-2'!A51)</f>
        <v>1.1.1.5.1</v>
      </c>
      <c r="B50" s="164" t="str">
        <f>CONCATENATE('3 pr-2'!B51)</f>
        <v>R01-0014-060700-1151</v>
      </c>
      <c r="C50" s="281" t="str">
        <f>CONCATENATE('ketv. 2'!B50)</f>
        <v>05.3.2-APVA-R-014-11-0001</v>
      </c>
      <c r="D50" s="164" t="str">
        <f>CONCATENATE('3 pr-2'!D51)</f>
        <v>Geriamojo vandens tiekimo ir nuotekų tvarkymo sistemų renovavimas ir plėtra Varėnos rajone</v>
      </c>
      <c r="E50" s="164" t="str">
        <f>CONCATENATE('3 pr-2'!E51)</f>
        <v>UAB „Varėnos vandenys“</v>
      </c>
      <c r="F50" s="164" t="str">
        <f>CONCATENATE('3 pr-2'!F51)</f>
        <v>Lietuvos Respublikos aplinkos ministerija</v>
      </c>
      <c r="G50" s="164" t="str">
        <f>CONCATENATE('3 pr-2'!G51)</f>
        <v>Varėnos r. sav.</v>
      </c>
      <c r="H50" s="164" t="str">
        <f>CONCATENATE('3 pr-2'!H51)</f>
        <v>05.3.2-APVA-R-014</v>
      </c>
      <c r="I50" s="164" t="str">
        <f>CONCATENATE('3 pr-2'!I51)</f>
        <v>R</v>
      </c>
      <c r="J50" s="164" t="str">
        <f>CONCATENATE('3 pr-2'!J51)</f>
        <v>ITI</v>
      </c>
      <c r="K50" s="1080">
        <f>IF(U50&gt;0,'3 pr-2'!L51,0)</f>
        <v>0</v>
      </c>
      <c r="L50" s="1080">
        <f>IF(U50&gt;0,'3 pr-2'!O51,0)</f>
        <v>0</v>
      </c>
      <c r="M50" s="1080">
        <f>IF(U50&gt;0,'3 pr-2'!R51,0)</f>
        <v>0</v>
      </c>
      <c r="N50" s="1080">
        <f>IF(U50&gt;0,'3 pr-2'!U51,0)</f>
        <v>0</v>
      </c>
      <c r="O50" s="1080">
        <f>IF(U50&gt;0,'3 pr-2'!X51,0)</f>
        <v>0</v>
      </c>
      <c r="P50" s="1080">
        <f>IF(U50&gt;0,'3 pr-2'!AA51,0)</f>
        <v>0</v>
      </c>
      <c r="Q50" s="1164">
        <f>IF($Z$9&gt;0,'3 pr-2'!AB51,0)</f>
        <v>0</v>
      </c>
      <c r="R50" s="566">
        <f>SUM('3 pr-2'!AK51)</f>
        <v>44012</v>
      </c>
      <c r="S50" s="1612">
        <f>IF(SUMIF(Projektu_sutarciu_ataskaita!$J:$J,$C50,Projektu_sutarciu_ataskaita!$BW:$BW)&gt;0,SUMIF(Projektu_sutarciu_ataskaita!$J:$J,$C50,Projektu_sutarciu_ataskaita!$BW:$BW),"–")</f>
        <v>43892</v>
      </c>
      <c r="T50" s="1132" t="str">
        <f t="shared" si="5"/>
        <v>–</v>
      </c>
      <c r="U50" s="247">
        <f>SUMIF(Projektu_sutarciu_ataskaita!$J:$J,$C50,Projektu_sutarciu_ataskaita!$BX:$BX)</f>
        <v>0</v>
      </c>
      <c r="V50" s="992" t="str">
        <f t="shared" ref="V50:V54" si="16">IF(U50&gt;0,IF((R50-U50)/30&gt;0,"–",(R50-U50)/30),"–")</f>
        <v>–</v>
      </c>
      <c r="W50" s="1251">
        <f>IF(U50&gt;0,'IV-3'!K49,0)</f>
        <v>0</v>
      </c>
      <c r="X50" s="1249">
        <f t="shared" si="7"/>
        <v>0</v>
      </c>
    </row>
    <row r="51" spans="1:24" ht="36.75">
      <c r="A51" s="164" t="str">
        <f>CONCATENATE('3 pr-2'!A52)</f>
        <v>1.1.1.5.2.</v>
      </c>
      <c r="B51" s="164" t="str">
        <f>CONCATENATE('3 pr-2'!B52)</f>
        <v>R01-0014-060750-1152</v>
      </c>
      <c r="C51" s="281" t="str">
        <f>CONCATENATE('ketv. 2'!B51)</f>
        <v>05.3.2-APVA-R-014-11-0002</v>
      </c>
      <c r="D51" s="164" t="str">
        <f>CONCATENATE('3 pr-2'!D52)</f>
        <v>Geriamojo vandens ir nuotekų tvarkymo sistemų renovavimas Alytaus mieste</v>
      </c>
      <c r="E51" s="164" t="str">
        <f>CONCATENATE('3 pr-2'!E52)</f>
        <v>UAB “Dzūkijos vandenys“</v>
      </c>
      <c r="F51" s="164" t="str">
        <f>CONCATENATE('3 pr-2'!F52)</f>
        <v>Lietuvos Respublikos aplinkos ministerija</v>
      </c>
      <c r="G51" s="164" t="str">
        <f>CONCATENATE('3 pr-2'!G52)</f>
        <v>Alytaus m. sav.</v>
      </c>
      <c r="H51" s="164" t="str">
        <f>CONCATENATE('3 pr-2'!H52)</f>
        <v>05.3.2-APVA-R-014</v>
      </c>
      <c r="I51" s="164" t="str">
        <f>CONCATENATE('3 pr-2'!I52)</f>
        <v>R</v>
      </c>
      <c r="J51" s="164" t="str">
        <f>CONCATENATE('3 pr-2'!J52)</f>
        <v>ITI</v>
      </c>
      <c r="K51" s="1080">
        <f>IF(U51&gt;0,'3 pr-2'!L52,0)</f>
        <v>0</v>
      </c>
      <c r="L51" s="1080">
        <f>IF(U51&gt;0,'3 pr-2'!O52,0)</f>
        <v>0</v>
      </c>
      <c r="M51" s="1080">
        <f>IF(U51&gt;0,'3 pr-2'!R52,0)</f>
        <v>0</v>
      </c>
      <c r="N51" s="1080">
        <f>IF(U51&gt;0,'3 pr-2'!U52,0)</f>
        <v>0</v>
      </c>
      <c r="O51" s="1080">
        <f>IF(U51&gt;0,'3 pr-2'!X52,0)</f>
        <v>0</v>
      </c>
      <c r="P51" s="1080">
        <f>IF(U51&gt;0,'3 pr-2'!AA52,0)</f>
        <v>0</v>
      </c>
      <c r="Q51" s="1164">
        <f>IF($Z$9&gt;0,'3 pr-2'!AB52,0)</f>
        <v>0</v>
      </c>
      <c r="R51" s="566">
        <f>SUM('3 pr-2'!AK52)</f>
        <v>44195</v>
      </c>
      <c r="S51" s="1612">
        <f>IF(SUMIF(Projektu_sutarciu_ataskaita!$J:$J,$C51,Projektu_sutarciu_ataskaita!$BW:$BW)&gt;0,SUMIF(Projektu_sutarciu_ataskaita!$J:$J,$C51,Projektu_sutarciu_ataskaita!$BW:$BW),"–")</f>
        <v>43861</v>
      </c>
      <c r="T51" s="1132" t="str">
        <f t="shared" si="5"/>
        <v>–</v>
      </c>
      <c r="U51" s="247">
        <f>SUMIF(Projektu_sutarciu_ataskaita!$J:$J,$C51,Projektu_sutarciu_ataskaita!$BX:$BX)</f>
        <v>0</v>
      </c>
      <c r="V51" s="992" t="str">
        <f t="shared" si="16"/>
        <v>–</v>
      </c>
      <c r="W51" s="1251">
        <f>IF(U51&gt;0,'IV-3'!K50,0)</f>
        <v>0</v>
      </c>
      <c r="X51" s="1249">
        <f t="shared" si="7"/>
        <v>0</v>
      </c>
    </row>
    <row r="52" spans="1:24" ht="36.75">
      <c r="A52" s="164" t="str">
        <f>CONCATENATE('3 pr-2'!A53)</f>
        <v>1.1.1.5.3</v>
      </c>
      <c r="B52" s="164" t="str">
        <f>CONCATENATE('3 pr-2'!B53)</f>
        <v>R01-0014-070650-1153</v>
      </c>
      <c r="C52" s="281" t="str">
        <f>CONCATENATE('ketv. 2'!B52)</f>
        <v>05.3.2-APVA-R-014-11-0004</v>
      </c>
      <c r="D52" s="164" t="str">
        <f>CONCATENATE('3 pr-2'!D53)</f>
        <v>Geriamojo vandens tiekimo ir nuotekų tvarkymo sistemų renovavimas ir plėtra Lazdijų rajono savivaldybėje</v>
      </c>
      <c r="E52" s="164" t="str">
        <f>CONCATENATE('3 pr-2'!E53)</f>
        <v>UAB „Lazdijų vanduo“</v>
      </c>
      <c r="F52" s="164" t="str">
        <f>CONCATENATE('3 pr-2'!F53)</f>
        <v>Lietuvos Respublikos aplinkos ministerija</v>
      </c>
      <c r="G52" s="164" t="str">
        <f>CONCATENATE('3 pr-2'!G53)</f>
        <v>Lazdijų r. sav.</v>
      </c>
      <c r="H52" s="164" t="str">
        <f>CONCATENATE('3 pr-2'!H53)</f>
        <v>05.3.2-APVA-R-014</v>
      </c>
      <c r="I52" s="164" t="str">
        <f>CONCATENATE('3 pr-2'!I53)</f>
        <v>R</v>
      </c>
      <c r="J52" s="164" t="str">
        <f>CONCATENATE('3 pr-2'!J53)</f>
        <v>-</v>
      </c>
      <c r="K52" s="1080">
        <f>IF(U52&gt;0,'3 pr-2'!L53,0)</f>
        <v>0</v>
      </c>
      <c r="L52" s="1080">
        <f>IF(U52&gt;0,'3 pr-2'!O53,0)</f>
        <v>0</v>
      </c>
      <c r="M52" s="1080">
        <f>IF(U52&gt;0,'3 pr-2'!R53,0)</f>
        <v>0</v>
      </c>
      <c r="N52" s="1080">
        <f>IF(U52&gt;0,'3 pr-2'!U53,0)</f>
        <v>0</v>
      </c>
      <c r="O52" s="1080">
        <f>IF(U52&gt;0,'3 pr-2'!X53,0)</f>
        <v>0</v>
      </c>
      <c r="P52" s="1080">
        <f>IF(U52&gt;0,'3 pr-2'!AA53,0)</f>
        <v>0</v>
      </c>
      <c r="Q52" s="1164">
        <f>IF($Z$9&gt;0,'3 pr-2'!AB53,0)</f>
        <v>0</v>
      </c>
      <c r="R52" s="566">
        <f>SUM('3 pr-2'!AK53)</f>
        <v>43646</v>
      </c>
      <c r="S52" s="1612">
        <f>IF(SUMIF(Projektu_sutarciu_ataskaita!$J:$J,$C52,Projektu_sutarciu_ataskaita!$BW:$BW)&gt;0,SUMIF(Projektu_sutarciu_ataskaita!$J:$J,$C52,Projektu_sutarciu_ataskaita!$BW:$BW),"–")</f>
        <v>43738</v>
      </c>
      <c r="T52" s="1132" t="str">
        <f t="shared" si="5"/>
        <v>–</v>
      </c>
      <c r="U52" s="247">
        <f>SUMIF(Projektu_sutarciu_ataskaita!$J:$J,$C52,Projektu_sutarciu_ataskaita!$BX:$BX)</f>
        <v>0</v>
      </c>
      <c r="V52" s="992" t="str">
        <f t="shared" si="16"/>
        <v>–</v>
      </c>
      <c r="W52" s="1251">
        <f>IF(U52&gt;0,'IV-3'!K51,0)</f>
        <v>0</v>
      </c>
      <c r="X52" s="1249">
        <f t="shared" si="7"/>
        <v>0</v>
      </c>
    </row>
    <row r="53" spans="1:24" ht="36.75">
      <c r="A53" s="164" t="str">
        <f>CONCATENATE('3 pr-2'!A54)</f>
        <v>1.1.1.5.4.</v>
      </c>
      <c r="B53" s="164" t="str">
        <f>CONCATENATE('3 pr-2'!B54)</f>
        <v>R01-0014-060700-1154</v>
      </c>
      <c r="C53" s="281" t="str">
        <f>CONCATENATE('ketv. 2'!B53)</f>
        <v>05.3.2-APVA-R-014-11-0003</v>
      </c>
      <c r="D53" s="164" t="str">
        <f>CONCATENATE('3 pr-2'!D54)</f>
        <v>Vandens tiekimo ir nuotekų šalinimo infrastruktūros renovavimas ir plėtra Druskininkų savivaldybėje</v>
      </c>
      <c r="E53" s="164" t="str">
        <f>CONCATENATE('3 pr-2'!E54)</f>
        <v>UAB "Druskininkų vandenys"</v>
      </c>
      <c r="F53" s="164" t="str">
        <f>CONCATENATE('3 pr-2'!F54)</f>
        <v>Lietuvos Respublikos aplinkos ministerija</v>
      </c>
      <c r="G53" s="164" t="str">
        <f>CONCATENATE('3 pr-2'!G54)</f>
        <v>Druskininkų sav.</v>
      </c>
      <c r="H53" s="164" t="str">
        <f>CONCATENATE('3 pr-2'!H54)</f>
        <v>05.3.2-APVA-R-014</v>
      </c>
      <c r="I53" s="164" t="str">
        <f>CONCATENATE('3 pr-2'!I54)</f>
        <v>R</v>
      </c>
      <c r="J53" s="164" t="str">
        <f>CONCATENATE('3 pr-2'!J54)</f>
        <v>-</v>
      </c>
      <c r="K53" s="1080">
        <f>IF(U53&gt;0,'3 pr-2'!L54,0)</f>
        <v>0</v>
      </c>
      <c r="L53" s="1080">
        <f>IF(U53&gt;0,'3 pr-2'!O54,0)</f>
        <v>0</v>
      </c>
      <c r="M53" s="1080">
        <f>IF(U53&gt;0,'3 pr-2'!R54,0)</f>
        <v>0</v>
      </c>
      <c r="N53" s="1080">
        <f>IF(U53&gt;0,'3 pr-2'!U54,0)</f>
        <v>0</v>
      </c>
      <c r="O53" s="1080">
        <f>IF(U53&gt;0,'3 pr-2'!X54,0)</f>
        <v>0</v>
      </c>
      <c r="P53" s="1080">
        <f>IF(U53&gt;0,'3 pr-2'!AA54,0)</f>
        <v>0</v>
      </c>
      <c r="Q53" s="1164">
        <f>IF($Z$9&gt;0,'3 pr-2'!AB54,0)</f>
        <v>0</v>
      </c>
      <c r="R53" s="566">
        <f>SUM('3 pr-2'!AK54)</f>
        <v>44440</v>
      </c>
      <c r="S53" s="1612">
        <f>IF(SUMIF(Projektu_sutarciu_ataskaita!$J:$J,$C53,Projektu_sutarciu_ataskaita!$BW:$BW)&gt;0,SUMIF(Projektu_sutarciu_ataskaita!$J:$J,$C53,Projektu_sutarciu_ataskaita!$BW:$BW),"–")</f>
        <v>44226</v>
      </c>
      <c r="T53" s="1132" t="str">
        <f t="shared" si="5"/>
        <v>–</v>
      </c>
      <c r="U53" s="247">
        <f>SUMIF(Projektu_sutarciu_ataskaita!$J:$J,$C53,Projektu_sutarciu_ataskaita!$BX:$BX)</f>
        <v>0</v>
      </c>
      <c r="V53" s="992" t="str">
        <f t="shared" si="16"/>
        <v>–</v>
      </c>
      <c r="W53" s="1251">
        <f>IF(U53&gt;0,'IV-3'!K52,0)</f>
        <v>0</v>
      </c>
      <c r="X53" s="1249">
        <f t="shared" si="7"/>
        <v>0</v>
      </c>
    </row>
    <row r="54" spans="1:24" ht="37.5" thickBot="1">
      <c r="A54" s="164" t="str">
        <f>CONCATENATE('3 pr-2'!A55)</f>
        <v>1.1.1.5.5.</v>
      </c>
      <c r="B54" s="164" t="str">
        <f>CONCATENATE('3 pr-2'!B55)</f>
        <v>R01-0014-060750-1155</v>
      </c>
      <c r="C54" s="281" t="str">
        <f>CONCATENATE('ketv. 2'!B54)</f>
        <v>05.3.2-APVA-R-014-11-0005</v>
      </c>
      <c r="D54" s="164" t="str">
        <f>CONCATENATE('3 pr-2'!D55)</f>
        <v>Vandens tiekimo ir nuotekų tvarkymo infrastruktūros plėtra Alytaus rajone (Krokialaukyje)</v>
      </c>
      <c r="E54" s="164" t="str">
        <f>CONCATENATE('3 pr-2'!E55)</f>
        <v>SĮ „Simno komunalininkas“</v>
      </c>
      <c r="F54" s="164" t="str">
        <f>CONCATENATE('3 pr-2'!F55)</f>
        <v>Lietuvos Respublikos aplinkos ministerija</v>
      </c>
      <c r="G54" s="164" t="str">
        <f>CONCATENATE('3 pr-2'!G55)</f>
        <v>Alytaus r. sav.</v>
      </c>
      <c r="H54" s="164" t="str">
        <f>CONCATENATE('3 pr-2'!H55)</f>
        <v>05.3.2-APVA-R-014</v>
      </c>
      <c r="I54" s="164" t="str">
        <f>CONCATENATE('3 pr-2'!I55)</f>
        <v>R</v>
      </c>
      <c r="J54" s="164" t="str">
        <f>CONCATENATE('3 pr-2'!J55)</f>
        <v>-</v>
      </c>
      <c r="K54" s="1080">
        <f>IF(U54&gt;0,'3 pr-2'!L55,0)</f>
        <v>0</v>
      </c>
      <c r="L54" s="1080">
        <f>IF(U54&gt;0,'3 pr-2'!O55,0)</f>
        <v>0</v>
      </c>
      <c r="M54" s="1080">
        <f>IF(U54&gt;0,'3 pr-2'!R55,0)</f>
        <v>0</v>
      </c>
      <c r="N54" s="1080">
        <f>IF(U54&gt;0,'3 pr-2'!U55,0)</f>
        <v>0</v>
      </c>
      <c r="O54" s="1080">
        <f>IF(U54&gt;0,'3 pr-2'!X55,0)</f>
        <v>0</v>
      </c>
      <c r="P54" s="1080">
        <f>IF(U54&gt;0,'3 pr-2'!AA55,0)</f>
        <v>0</v>
      </c>
      <c r="Q54" s="1164">
        <f>IF($Z$9&gt;0,'3 pr-2'!AB55,0)</f>
        <v>0</v>
      </c>
      <c r="R54" s="566">
        <f>SUM('3 pr-2'!AK55)</f>
        <v>44196</v>
      </c>
      <c r="S54" s="1612">
        <f>IF(SUMIF(Projektu_sutarciu_ataskaita!$J:$J,$C54,Projektu_sutarciu_ataskaita!$BW:$BW)&gt;0,SUMIF(Projektu_sutarciu_ataskaita!$J:$J,$C54,Projektu_sutarciu_ataskaita!$BW:$BW),"–")</f>
        <v>44058</v>
      </c>
      <c r="T54" s="1132" t="str">
        <f t="shared" si="5"/>
        <v>–</v>
      </c>
      <c r="U54" s="247">
        <f>SUMIF(Projektu_sutarciu_ataskaita!$J:$J,$C54,Projektu_sutarciu_ataskaita!$BX:$BX)</f>
        <v>0</v>
      </c>
      <c r="V54" s="992" t="str">
        <f t="shared" si="16"/>
        <v>–</v>
      </c>
      <c r="W54" s="1251">
        <f>IF(U54&gt;0,'IV-3'!K53,0)</f>
        <v>0</v>
      </c>
      <c r="X54" s="1249">
        <f t="shared" si="7"/>
        <v>0</v>
      </c>
    </row>
    <row r="55" spans="1:24" ht="33.75" customHeight="1" thickBot="1">
      <c r="A55" s="296" t="str">
        <f>CONCATENATE('3 pr-2'!A56)</f>
        <v>1.1.1.6</v>
      </c>
      <c r="B55" s="2088" t="str">
        <f>CONCATENATE('3 pr-2'!B56)</f>
        <v>Priemonė:
Paviršinių nuotekų sistemų tvarkymas</v>
      </c>
      <c r="C55" s="2089"/>
      <c r="D55" s="2089"/>
      <c r="E55" s="2089"/>
      <c r="F55" s="2089"/>
      <c r="G55" s="2089"/>
      <c r="H55" s="2089"/>
      <c r="I55" s="2089"/>
      <c r="J55" s="2090"/>
      <c r="K55" s="1077">
        <f>SUM(K56)</f>
        <v>0</v>
      </c>
      <c r="L55" s="1077">
        <f t="shared" ref="L55:Q55" si="17">SUM(L56)</f>
        <v>0</v>
      </c>
      <c r="M55" s="1077">
        <f t="shared" si="17"/>
        <v>0</v>
      </c>
      <c r="N55" s="1077">
        <f t="shared" si="17"/>
        <v>0</v>
      </c>
      <c r="O55" s="1077">
        <f t="shared" si="17"/>
        <v>0</v>
      </c>
      <c r="P55" s="1077">
        <f t="shared" si="17"/>
        <v>0</v>
      </c>
      <c r="Q55" s="1077">
        <f t="shared" si="17"/>
        <v>0</v>
      </c>
      <c r="R55" s="356"/>
      <c r="S55" s="1612" t="str">
        <f>IF(SUMIF(Projektu_sutarciu_ataskaita!$J:$J,$C55,Projektu_sutarciu_ataskaita!$BW:$BW)&gt;0,SUMIF(Projektu_sutarciu_ataskaita!$J:$J,$C55,Projektu_sutarciu_ataskaita!$BW:$BW),"–")</f>
        <v>–</v>
      </c>
      <c r="T55" s="356" t="str">
        <f t="shared" si="5"/>
        <v>–</v>
      </c>
      <c r="U55" s="1338">
        <f>IF(ISTEXT(#REF!),"–",SUMIF(Projektu_sutarciu_ataskaita!$J:$J,$C55,Projektu_sutarciu_ataskaita!$BX:$BX))</f>
        <v>0</v>
      </c>
      <c r="V55" s="356" t="str">
        <f t="shared" si="9"/>
        <v>–</v>
      </c>
      <c r="W55" s="1249"/>
      <c r="X55" s="1249">
        <f t="shared" si="7"/>
        <v>0</v>
      </c>
    </row>
    <row r="56" spans="1:24" ht="37.5" thickBot="1">
      <c r="A56" s="163" t="str">
        <f>CONCATENATE('3 pr-2'!A57)</f>
        <v>1.1.1.6.1</v>
      </c>
      <c r="B56" s="1123" t="str">
        <f>CONCATENATE('3 pr-2'!B57)</f>
        <v>R01-0007-080000-1161</v>
      </c>
      <c r="C56" s="227" t="str">
        <f>CONCATENATE('ketv. 2'!B56)</f>
        <v>05.1.1-APVA-R-007-11-0001</v>
      </c>
      <c r="D56" s="164" t="str">
        <f>CONCATENATE('3 pr-2'!D57)</f>
        <v>Paviršinių nuotekų sistemų tvarkymas Alytaus mieste</v>
      </c>
      <c r="E56" s="164" t="str">
        <f>CONCATENATE('3 pr-2'!E57)</f>
        <v>UAB “Dzūkijos vandenys“</v>
      </c>
      <c r="F56" s="164" t="str">
        <f>CONCATENATE('3 pr-2'!F57)</f>
        <v>Lietuvos Respublikos aplinkos ministerija</v>
      </c>
      <c r="G56" s="164" t="str">
        <f>CONCATENATE('3 pr-2'!G57)</f>
        <v>Alytaus m. sav.</v>
      </c>
      <c r="H56" s="164" t="str">
        <f>CONCATENATE('3 pr-2'!H57)</f>
        <v>05.1.1-APVA-R-007</v>
      </c>
      <c r="I56" s="164" t="str">
        <f>CONCATENATE('3 pr-2'!I57)</f>
        <v>R</v>
      </c>
      <c r="J56" s="174" t="str">
        <f>CONCATENATE('3 pr-2'!J57)</f>
        <v>-</v>
      </c>
      <c r="K56" s="1080">
        <f>IF(U56&gt;0,'3 pr-2'!L57,0)</f>
        <v>0</v>
      </c>
      <c r="L56" s="1080">
        <f>IF(U56&gt;0,'3 pr-2'!O57,0)</f>
        <v>0</v>
      </c>
      <c r="M56" s="1080">
        <f>IF(U56&gt;0,'3 pr-2'!R57,0)</f>
        <v>0</v>
      </c>
      <c r="N56" s="1080">
        <f>IF(U56&gt;0,'3 pr-2'!U57,0)</f>
        <v>0</v>
      </c>
      <c r="O56" s="1080">
        <f>IF(U56&gt;0,'3 pr-2'!X57,0)</f>
        <v>0</v>
      </c>
      <c r="P56" s="1080">
        <f>IF(U56&gt;0,'3 pr-2'!AA57,0)</f>
        <v>0</v>
      </c>
      <c r="Q56" s="1164">
        <f>IF($Z$9&gt;0,'3 pr-2'!AB57,0)</f>
        <v>0</v>
      </c>
      <c r="R56" s="566">
        <f>SUM('3 pr-2'!AK57)</f>
        <v>44196</v>
      </c>
      <c r="S56" s="1612">
        <f>IF(SUMIF(Projektu_sutarciu_ataskaita!$J:$J,$C56,Projektu_sutarciu_ataskaita!$BW:$BW)&gt;0,SUMIF(Projektu_sutarciu_ataskaita!$J:$J,$C56,Projektu_sutarciu_ataskaita!$BW:$BW),"–")</f>
        <v>44316</v>
      </c>
      <c r="T56" s="1132" t="str">
        <f t="shared" si="5"/>
        <v>–</v>
      </c>
      <c r="U56" s="247">
        <f>SUMIF(Projektu_sutarciu_ataskaita!$J:$J,$C56,Projektu_sutarciu_ataskaita!$BX:$BX)</f>
        <v>0</v>
      </c>
      <c r="V56" s="992" t="str">
        <f>IF(U56&gt;0,IF((R56-U56)/30&gt;0,"–",(R56-U56)/30),"–")</f>
        <v>–</v>
      </c>
      <c r="W56" s="1251">
        <f>IF(U56&gt;0,'IV-3'!K55,0)</f>
        <v>0</v>
      </c>
      <c r="X56" s="1249">
        <f t="shared" si="7"/>
        <v>0</v>
      </c>
    </row>
    <row r="57" spans="1:24" ht="35.25" customHeight="1" thickBot="1">
      <c r="A57" s="296" t="str">
        <f>CONCATENATE('3 pr-2'!A58)</f>
        <v>1.1.1.7</v>
      </c>
      <c r="B57" s="2088" t="str">
        <f>CONCATENATE('3 pr-2'!B58)</f>
        <v>Priemonė:
Savivaldybes jungiančių turizmo trasų ir turizmo maršrutų informacinės infrastruktūros plėtra</v>
      </c>
      <c r="C57" s="2089"/>
      <c r="D57" s="2089"/>
      <c r="E57" s="2089"/>
      <c r="F57" s="2089"/>
      <c r="G57" s="2089"/>
      <c r="H57" s="2089"/>
      <c r="I57" s="2089"/>
      <c r="J57" s="2090"/>
      <c r="K57" s="1077">
        <f>SUM(K58:K60)</f>
        <v>0</v>
      </c>
      <c r="L57" s="1077">
        <f t="shared" ref="L57:Q57" si="18">SUM(L58:L60)</f>
        <v>0</v>
      </c>
      <c r="M57" s="1077">
        <f t="shared" si="18"/>
        <v>0</v>
      </c>
      <c r="N57" s="1077">
        <f t="shared" si="18"/>
        <v>0</v>
      </c>
      <c r="O57" s="1077">
        <f t="shared" si="18"/>
        <v>0</v>
      </c>
      <c r="P57" s="1077">
        <f t="shared" si="18"/>
        <v>0</v>
      </c>
      <c r="Q57" s="1077">
        <f t="shared" si="18"/>
        <v>0</v>
      </c>
      <c r="R57" s="356"/>
      <c r="S57" s="1612" t="str">
        <f>IF(SUMIF(Projektu_sutarciu_ataskaita!$J:$J,$C57,Projektu_sutarciu_ataskaita!$BW:$BW)&gt;0,SUMIF(Projektu_sutarciu_ataskaita!$J:$J,$C57,Projektu_sutarciu_ataskaita!$BW:$BW),"–")</f>
        <v>–</v>
      </c>
      <c r="T57" s="356" t="str">
        <f t="shared" si="5"/>
        <v>–</v>
      </c>
      <c r="U57" s="1338">
        <f>IF(ISTEXT(#REF!),"–",SUMIF(Projektu_sutarciu_ataskaita!$J:$J,$C57,Projektu_sutarciu_ataskaita!$BX:$BX))</f>
        <v>0</v>
      </c>
      <c r="V57" s="356" t="str">
        <f t="shared" si="9"/>
        <v>–</v>
      </c>
      <c r="W57" s="1249"/>
      <c r="X57" s="1249">
        <f t="shared" si="7"/>
        <v>0</v>
      </c>
    </row>
    <row r="58" spans="1:24" ht="36.75">
      <c r="A58" s="164" t="str">
        <f>CONCATENATE('3 pr-2'!A59)</f>
        <v>1.1.1.7.1</v>
      </c>
      <c r="B58" s="164" t="str">
        <f>CONCATENATE('3 pr-2'!B59)</f>
        <v>R01-8821-420000-1171</v>
      </c>
      <c r="C58" s="281" t="str">
        <f>CONCATENATE('ketv. 2'!B58)</f>
        <v>05.4.1-LVPA-R-821-11-0002</v>
      </c>
      <c r="D58" s="164" t="str">
        <f>CONCATENATE('3 pr-2'!D59)</f>
        <v>Alytaus regiono turizmo informacinės infrastruktūros plėtra</v>
      </c>
      <c r="E58" s="164" t="str">
        <f>CONCATENATE('3 pr-2'!E59)</f>
        <v>Alytaus miesto savivaldybės administracija</v>
      </c>
      <c r="F58" s="164" t="str">
        <f>CONCATENATE('3 pr-2'!F59)</f>
        <v>Lietuvos Respublikos ūkio ministerija</v>
      </c>
      <c r="G58" s="164" t="str">
        <f>CONCATENATE('3 pr-2'!G59)</f>
        <v>Alytaus regionas</v>
      </c>
      <c r="H58" s="164" t="str">
        <f>CONCATENATE('3 pr-2'!H59)</f>
        <v>05.4.1-LVPA-R-821</v>
      </c>
      <c r="I58" s="164" t="str">
        <f>CONCATENATE('3 pr-2'!I59)</f>
        <v>R</v>
      </c>
      <c r="J58" s="164" t="str">
        <f>CONCATENATE('3 pr-2'!J59)</f>
        <v>-</v>
      </c>
      <c r="K58" s="1080">
        <f>IF(U58&gt;0,'3 pr-2'!L59,0)</f>
        <v>0</v>
      </c>
      <c r="L58" s="1080">
        <f>IF(U58&gt;0,'3 pr-2'!O59,0)</f>
        <v>0</v>
      </c>
      <c r="M58" s="1080">
        <f>IF(U58&gt;0,'3 pr-2'!R59,0)</f>
        <v>0</v>
      </c>
      <c r="N58" s="1080">
        <f>IF(U58&gt;0,'3 pr-2'!U59,0)</f>
        <v>0</v>
      </c>
      <c r="O58" s="1080">
        <f>IF(U58&gt;0,'3 pr-2'!X59,0)</f>
        <v>0</v>
      </c>
      <c r="P58" s="1080">
        <f>IF(U58&gt;0,'3 pr-2'!AA59,0)</f>
        <v>0</v>
      </c>
      <c r="Q58" s="1164">
        <f>IF($Z$9&gt;0,'3 pr-2'!AB59,0)</f>
        <v>0</v>
      </c>
      <c r="R58" s="566">
        <f>SUM('3 pr-2'!AK59)</f>
        <v>43465</v>
      </c>
      <c r="S58" s="1612">
        <f>IF(SUMIF(Projektu_sutarciu_ataskaita!$J:$J,$C58,Projektu_sutarciu_ataskaita!$BW:$BW)&gt;0,SUMIF(Projektu_sutarciu_ataskaita!$J:$J,$C58,Projektu_sutarciu_ataskaita!$BW:$BW),"–")</f>
        <v>43677</v>
      </c>
      <c r="T58" s="1132" t="str">
        <f t="shared" si="5"/>
        <v>–</v>
      </c>
      <c r="U58" s="247">
        <f>SUMIF(Projektu_sutarciu_ataskaita!$J:$J,$C58,Projektu_sutarciu_ataskaita!$BX:$BX)</f>
        <v>0</v>
      </c>
      <c r="V58" s="992" t="str">
        <f t="shared" ref="V58:V60" si="19">IF(U58&gt;0,IF((R58-U58)/30&gt;0,"–",(R58-U58)/30),"–")</f>
        <v>–</v>
      </c>
      <c r="W58" s="1251">
        <f>IF(U58&gt;0,'IV-3'!K57,0)</f>
        <v>0</v>
      </c>
      <c r="X58" s="1249">
        <f t="shared" si="7"/>
        <v>0</v>
      </c>
    </row>
    <row r="59" spans="1:24" ht="48.75">
      <c r="A59" s="164" t="str">
        <f>CONCATENATE('3 pr-2'!A60)</f>
        <v>1.1.1.7.2</v>
      </c>
      <c r="B59" s="164" t="str">
        <f>CONCATENATE('3 pr-2'!B60)</f>
        <v>R01-8821-420000-1172</v>
      </c>
      <c r="C59" s="281" t="str">
        <f>CONCATENATE('ketv. 2'!B59)</f>
        <v>05.4.1-LVPA-R-821-11-0001</v>
      </c>
      <c r="D59" s="164" t="str">
        <f>CONCATENATE('3 pr-2'!D60)</f>
        <v>Turizmo trasų ir maršrutų informacinės infrastruktūros plėtra Lazdijų, Varėnos rajonų ir Druskininkų savivaldybėse</v>
      </c>
      <c r="E59" s="164" t="str">
        <f>CONCATENATE('3 pr-2'!E60)</f>
        <v>Lazdijų rajono savivaldybės administracija</v>
      </c>
      <c r="F59" s="164" t="str">
        <f>CONCATENATE('3 pr-2'!F60)</f>
        <v>Lietuvos Respublikos ūkio ministerija</v>
      </c>
      <c r="G59" s="164" t="str">
        <f>CONCATENATE('3 pr-2'!G60)</f>
        <v xml:space="preserve">Lazdijų, Varėnos rajonų ir Druskininkų savivaldybės </v>
      </c>
      <c r="H59" s="164" t="str">
        <f>CONCATENATE('3 pr-2'!H60)</f>
        <v>05.4.1-LVPA-R-821</v>
      </c>
      <c r="I59" s="164" t="str">
        <f>CONCATENATE('3 pr-2'!I60)</f>
        <v>R</v>
      </c>
      <c r="J59" s="164" t="str">
        <f>CONCATENATE('3 pr-2'!J60)</f>
        <v>-</v>
      </c>
      <c r="K59" s="1080">
        <f>IF(U59&gt;0,'3 pr-2'!L60,0)</f>
        <v>0</v>
      </c>
      <c r="L59" s="1080">
        <f>IF(U59&gt;0,'3 pr-2'!O60,0)</f>
        <v>0</v>
      </c>
      <c r="M59" s="1080">
        <f>IF(U59&gt;0,'3 pr-2'!R60,0)</f>
        <v>0</v>
      </c>
      <c r="N59" s="1080">
        <f>IF(U59&gt;0,'3 pr-2'!U60,0)</f>
        <v>0</v>
      </c>
      <c r="O59" s="1080">
        <f>IF(U59&gt;0,'3 pr-2'!X60,0)</f>
        <v>0</v>
      </c>
      <c r="P59" s="1080">
        <f>IF(U59&gt;0,'3 pr-2'!AA60,0)</f>
        <v>0</v>
      </c>
      <c r="Q59" s="1164">
        <f>IF($Z$9&gt;0,'3 pr-2'!AB60,0)</f>
        <v>0</v>
      </c>
      <c r="R59" s="566">
        <f>SUM('3 pr-2'!AK60)</f>
        <v>43585</v>
      </c>
      <c r="S59" s="1612">
        <f>IF(SUMIF(Projektu_sutarciu_ataskaita!$J:$J,$C59,Projektu_sutarciu_ataskaita!$BW:$BW)&gt;0,SUMIF(Projektu_sutarciu_ataskaita!$J:$J,$C59,Projektu_sutarciu_ataskaita!$BW:$BW),"–")</f>
        <v>43752</v>
      </c>
      <c r="T59" s="1132" t="str">
        <f t="shared" si="5"/>
        <v>–</v>
      </c>
      <c r="U59" s="247">
        <f>SUMIF(Projektu_sutarciu_ataskaita!$J:$J,$C59,Projektu_sutarciu_ataskaita!$BX:$BX)</f>
        <v>0</v>
      </c>
      <c r="V59" s="992" t="str">
        <f t="shared" si="19"/>
        <v>–</v>
      </c>
      <c r="W59" s="1251">
        <f>IF(U59&gt;0,'IV-3'!K58,0)</f>
        <v>0</v>
      </c>
      <c r="X59" s="1249">
        <f t="shared" si="7"/>
        <v>0</v>
      </c>
    </row>
    <row r="60" spans="1:24" ht="49.5" thickBot="1">
      <c r="A60" s="164" t="str">
        <f>CONCATENATE('3 pr-2'!A61)</f>
        <v>1.1.1.7.3</v>
      </c>
      <c r="B60" s="164" t="str">
        <f>CONCATENATE('3 pr-2'!B61)</f>
        <v>R01-8821-420000-1173</v>
      </c>
      <c r="C60" s="281" t="str">
        <f>CONCATENATE('ketv. 2'!B60)</f>
        <v>05.4.1-LVPA-R-821-11-0003</v>
      </c>
      <c r="D60" s="164" t="str">
        <f>CONCATENATE('3 pr-2'!D61)</f>
        <v>Turizmo trasų ir maršrutų informacinės infrastruktūros plėtra Lazdijų, Varėnos rajonų ir Druskininkų savivaldybėse, II etapas</v>
      </c>
      <c r="E60" s="164" t="str">
        <f>CONCATENATE('3 pr-2'!E61)</f>
        <v>Lazdijų rajono savivaldybės administracija</v>
      </c>
      <c r="F60" s="164" t="str">
        <f>CONCATENATE('3 pr-2'!F61)</f>
        <v>Lietuvos Respublikos ūkio ministerija</v>
      </c>
      <c r="G60" s="164" t="str">
        <f>CONCATENATE('3 pr-2'!G61)</f>
        <v xml:space="preserve">Lazdijų, Varėnos rajonų ir Druskininkų savivaldybės </v>
      </c>
      <c r="H60" s="164" t="str">
        <f>CONCATENATE('3 pr-2'!H61)</f>
        <v>05.4.1-LVPA-R-821</v>
      </c>
      <c r="I60" s="164" t="str">
        <f>CONCATENATE('3 pr-2'!I61)</f>
        <v>R</v>
      </c>
      <c r="J60" s="164" t="str">
        <f>CONCATENATE('3 pr-2'!J61)</f>
        <v>-</v>
      </c>
      <c r="K60" s="1080">
        <f>IF(U60&gt;0,'3 pr-2'!L61,0)</f>
        <v>0</v>
      </c>
      <c r="L60" s="1080">
        <f>IF(U60&gt;0,'3 pr-2'!O61,0)</f>
        <v>0</v>
      </c>
      <c r="M60" s="1080">
        <f>IF(U60&gt;0,'3 pr-2'!R61,0)</f>
        <v>0</v>
      </c>
      <c r="N60" s="1080">
        <f>IF(U60&gt;0,'3 pr-2'!U61,0)</f>
        <v>0</v>
      </c>
      <c r="O60" s="1080">
        <f>IF(U60&gt;0,'3 pr-2'!X61,0)</f>
        <v>0</v>
      </c>
      <c r="P60" s="1080">
        <f>IF(U60&gt;0,'3 pr-2'!AA61,0)</f>
        <v>0</v>
      </c>
      <c r="Q60" s="1164">
        <f>IF($Z$9&gt;0,'3 pr-2'!AB61,0)</f>
        <v>0</v>
      </c>
      <c r="R60" s="566">
        <f>SUM('3 pr-2'!AK61)</f>
        <v>44376</v>
      </c>
      <c r="S60" s="1612" t="str">
        <f>IF(SUMIF(Projektu_sutarciu_ataskaita!$J:$J,$C60,Projektu_sutarciu_ataskaita!$BW:$BW)&gt;0,SUMIF(Projektu_sutarciu_ataskaita!$J:$J,$C60,Projektu_sutarciu_ataskaita!$BW:$BW),"–")</f>
        <v>–</v>
      </c>
      <c r="T60" s="1132" t="str">
        <f t="shared" si="5"/>
        <v>–</v>
      </c>
      <c r="U60" s="247">
        <f>SUMIF(Projektu_sutarciu_ataskaita!$J:$J,$C60,Projektu_sutarciu_ataskaita!$BX:$BX)</f>
        <v>0</v>
      </c>
      <c r="V60" s="992" t="str">
        <f t="shared" si="19"/>
        <v>–</v>
      </c>
      <c r="W60" s="1251">
        <f>IF(U60&gt;0,'IV-3'!K59,0)</f>
        <v>0</v>
      </c>
      <c r="X60" s="1249">
        <f t="shared" si="7"/>
        <v>0</v>
      </c>
    </row>
    <row r="61" spans="1:24" ht="29.25" customHeight="1" thickBot="1">
      <c r="A61" s="296" t="str">
        <f>CONCATENATE('3 pr-2'!A62)</f>
        <v>1.1.1.8</v>
      </c>
      <c r="B61" s="2088" t="str">
        <f>CONCATENATE('3 pr-2'!B62)</f>
        <v>Priemonė:
Modernizuoti savivaldybių kultūros infrastruktūrą</v>
      </c>
      <c r="C61" s="2089"/>
      <c r="D61" s="2089"/>
      <c r="E61" s="2089"/>
      <c r="F61" s="2089"/>
      <c r="G61" s="2089"/>
      <c r="H61" s="2089"/>
      <c r="I61" s="2089"/>
      <c r="J61" s="2090"/>
      <c r="K61" s="1077">
        <f>SUM(K62:K65)</f>
        <v>0</v>
      </c>
      <c r="L61" s="1077">
        <f t="shared" ref="L61:Q61" si="20">SUM(L62:L65)</f>
        <v>0</v>
      </c>
      <c r="M61" s="1077">
        <f t="shared" si="20"/>
        <v>0</v>
      </c>
      <c r="N61" s="1077">
        <f t="shared" si="20"/>
        <v>0</v>
      </c>
      <c r="O61" s="1077">
        <f t="shared" si="20"/>
        <v>0</v>
      </c>
      <c r="P61" s="1077">
        <f t="shared" si="20"/>
        <v>0</v>
      </c>
      <c r="Q61" s="1077">
        <f t="shared" si="20"/>
        <v>0</v>
      </c>
      <c r="R61" s="356"/>
      <c r="S61" s="1612" t="str">
        <f>IF(SUMIF(Projektu_sutarciu_ataskaita!$J:$J,$C61,Projektu_sutarciu_ataskaita!$BW:$BW)&gt;0,SUMIF(Projektu_sutarciu_ataskaita!$J:$J,$C61,Projektu_sutarciu_ataskaita!$BW:$BW),"–")</f>
        <v>–</v>
      </c>
      <c r="T61" s="356" t="str">
        <f t="shared" si="5"/>
        <v>–</v>
      </c>
      <c r="U61" s="1338">
        <f>IF(ISTEXT(#REF!),"–",SUMIF(Projektu_sutarciu_ataskaita!$J:$J,$C61,Projektu_sutarciu_ataskaita!$BX:$BX))</f>
        <v>0</v>
      </c>
      <c r="V61" s="356" t="str">
        <f t="shared" si="9"/>
        <v>–</v>
      </c>
      <c r="W61" s="1249"/>
      <c r="X61" s="1249">
        <f t="shared" si="7"/>
        <v>0</v>
      </c>
    </row>
    <row r="62" spans="1:24" ht="36.75">
      <c r="A62" s="164" t="str">
        <f>CONCATENATE('3 pr-2'!A63)</f>
        <v>1.1.1.8.1</v>
      </c>
      <c r="B62" s="164" t="str">
        <f>CONCATENATE('3 pr-2'!B63)</f>
        <v>R01-3305-330000-1181</v>
      </c>
      <c r="C62" s="281" t="str">
        <f>CONCATENATE('ketv. 2'!B62)</f>
        <v>07.1.1-CPVA-R-305-11-0001</v>
      </c>
      <c r="D62" s="164" t="str">
        <f>CONCATENATE('3 pr-2'!D63)</f>
        <v>Kultūros įstaigų infrastruktūros modernizavimas Varėnos mieste</v>
      </c>
      <c r="E62" s="164" t="str">
        <f>CONCATENATE('3 pr-2'!E63)</f>
        <v>Varėnos rajono savivaldybės administracija</v>
      </c>
      <c r="F62" s="164" t="str">
        <f>CONCATENATE('3 pr-2'!F63)</f>
        <v>Lietuvos Respublikos kultūros ministerija</v>
      </c>
      <c r="G62" s="164" t="str">
        <f>CONCATENATE('3 pr-2'!G63)</f>
        <v>Varėnos r. sav.</v>
      </c>
      <c r="H62" s="164" t="str">
        <f>CONCATENATE('3 pr-2'!H63)</f>
        <v>07.1.1-CPVA-R-305</v>
      </c>
      <c r="I62" s="164" t="str">
        <f>CONCATENATE('3 pr-2'!I63)</f>
        <v>R</v>
      </c>
      <c r="J62" s="164" t="str">
        <f>CONCATENATE('3 pr-2'!J63)</f>
        <v>ITI</v>
      </c>
      <c r="K62" s="1080">
        <f>IF(U62&gt;0,'3 pr-2'!L63,0)</f>
        <v>0</v>
      </c>
      <c r="L62" s="1080">
        <f>IF(U62&gt;0,'3 pr-2'!O63,0)</f>
        <v>0</v>
      </c>
      <c r="M62" s="1080">
        <f>IF(U62&gt;0,'3 pr-2'!R63,0)</f>
        <v>0</v>
      </c>
      <c r="N62" s="1080">
        <f>IF(U62&gt;0,'3 pr-2'!U63,0)</f>
        <v>0</v>
      </c>
      <c r="O62" s="1080">
        <f>IF(U62&gt;0,'3 pr-2'!X63,0)</f>
        <v>0</v>
      </c>
      <c r="P62" s="1080">
        <f>IF(U62&gt;0,'3 pr-2'!AA63,0)</f>
        <v>0</v>
      </c>
      <c r="Q62" s="1164">
        <f>IF($Z$9&gt;0,'3 pr-2'!AB63,0)</f>
        <v>0</v>
      </c>
      <c r="R62" s="566">
        <f>SUM('3 pr-2'!AK63)</f>
        <v>43585</v>
      </c>
      <c r="S62" s="1612">
        <f>IF(SUMIF(Projektu_sutarciu_ataskaita!$J:$J,$C62,Projektu_sutarciu_ataskaita!$BW:$BW)&gt;0,SUMIF(Projektu_sutarciu_ataskaita!$J:$J,$C62,Projektu_sutarciu_ataskaita!$BW:$BW),"–")</f>
        <v>43615</v>
      </c>
      <c r="T62" s="1132" t="str">
        <f t="shared" si="5"/>
        <v>–</v>
      </c>
      <c r="U62" s="247">
        <f>SUMIF(Projektu_sutarciu_ataskaita!$J:$J,$C62,Projektu_sutarciu_ataskaita!$BX:$BX)</f>
        <v>0</v>
      </c>
      <c r="V62" s="992" t="str">
        <f t="shared" ref="V62:V65" si="21">IF(U62&gt;0,IF((R62-U62)/30&gt;0,"–",(R62-U62)/30),"–")</f>
        <v>–</v>
      </c>
      <c r="W62" s="1251">
        <f>IF(U62&gt;0,'IV-3'!K61,0)</f>
        <v>0</v>
      </c>
      <c r="X62" s="1249">
        <f t="shared" si="7"/>
        <v>0</v>
      </c>
    </row>
    <row r="63" spans="1:24" ht="36.75">
      <c r="A63" s="164" t="str">
        <f>CONCATENATE('3 pr-2'!A64)</f>
        <v>1.1.1.8.2</v>
      </c>
      <c r="B63" s="164" t="str">
        <f>CONCATENATE('3 pr-2'!B64)</f>
        <v>R01-3305-330000-1182</v>
      </c>
      <c r="C63" s="281" t="str">
        <f>CONCATENATE('ketv. 2'!B63)</f>
        <v>07.1.1-CPVA-R-305-11-0002</v>
      </c>
      <c r="D63" s="164" t="str">
        <f>CONCATENATE('3 pr-2'!D64)</f>
        <v>VšĮ Alytaus kultūros ir komunikacijos centro pastato Alytuje, Pramonės g. 1B, rekonstravimas</v>
      </c>
      <c r="E63" s="164" t="str">
        <f>CONCATENATE('3 pr-2'!E64)</f>
        <v>Alytaus miesto savivaldybės administracija</v>
      </c>
      <c r="F63" s="164" t="str">
        <f>CONCATENATE('3 pr-2'!F64)</f>
        <v>Lietuvos Respublikos kultūros ministerija</v>
      </c>
      <c r="G63" s="164" t="str">
        <f>CONCATENATE('3 pr-2'!G64)</f>
        <v>Alytaus m. sav.</v>
      </c>
      <c r="H63" s="164" t="str">
        <f>CONCATENATE('3 pr-2'!H64)</f>
        <v>07.1.1-CPVA-R-305</v>
      </c>
      <c r="I63" s="164" t="str">
        <f>CONCATENATE('3 pr-2'!I64)</f>
        <v>R</v>
      </c>
      <c r="J63" s="164" t="str">
        <f>CONCATENATE('3 pr-2'!J64)</f>
        <v>ITI</v>
      </c>
      <c r="K63" s="1080">
        <f>IF(U63&gt;0,'3 pr-2'!L64,0)</f>
        <v>0</v>
      </c>
      <c r="L63" s="1080">
        <f>IF(U63&gt;0,'3 pr-2'!O64,0)</f>
        <v>0</v>
      </c>
      <c r="M63" s="1080">
        <f>IF(U63&gt;0,'3 pr-2'!R64,0)</f>
        <v>0</v>
      </c>
      <c r="N63" s="1080">
        <f>IF(U63&gt;0,'3 pr-2'!U64,0)</f>
        <v>0</v>
      </c>
      <c r="O63" s="1080">
        <f>IF(U63&gt;0,'3 pr-2'!X64,0)</f>
        <v>0</v>
      </c>
      <c r="P63" s="1080">
        <f>IF(U63&gt;0,'3 pr-2'!AA64,0)</f>
        <v>0</v>
      </c>
      <c r="Q63" s="1164">
        <f>IF($Z$9&gt;0,'3 pr-2'!AB64,0)</f>
        <v>0</v>
      </c>
      <c r="R63" s="566">
        <f>SUM('3 pr-2'!AK64)</f>
        <v>43465</v>
      </c>
      <c r="S63" s="1612">
        <f>IF(SUMIF(Projektu_sutarciu_ataskaita!$J:$J,$C63,Projektu_sutarciu_ataskaita!$BW:$BW)&gt;0,SUMIF(Projektu_sutarciu_ataskaita!$J:$J,$C63,Projektu_sutarciu_ataskaita!$BW:$BW),"–")</f>
        <v>43465</v>
      </c>
      <c r="T63" s="1132" t="str">
        <f t="shared" si="5"/>
        <v>–</v>
      </c>
      <c r="U63" s="247">
        <f>SUMIF(Projektu_sutarciu_ataskaita!$J:$J,$C63,Projektu_sutarciu_ataskaita!$BX:$BX)</f>
        <v>0</v>
      </c>
      <c r="V63" s="992" t="str">
        <f t="shared" si="21"/>
        <v>–</v>
      </c>
      <c r="W63" s="1251">
        <f>IF(U63&gt;0,'IV-3'!K62,0)</f>
        <v>0</v>
      </c>
      <c r="X63" s="1249">
        <f t="shared" si="7"/>
        <v>0</v>
      </c>
    </row>
    <row r="64" spans="1:24" ht="36.75">
      <c r="A64" s="164" t="str">
        <f>CONCATENATE('3 pr-2'!A65)</f>
        <v>1.1.1.8.3</v>
      </c>
      <c r="B64" s="164" t="str">
        <f>CONCATENATE('3 pr-2'!B65)</f>
        <v>R01-3305-330000-1183</v>
      </c>
      <c r="C64" s="281" t="str">
        <f>CONCATENATE('ketv. 2'!B64)</f>
        <v>07.1.1-CPVA-R-305-11-0003</v>
      </c>
      <c r="D64" s="164" t="str">
        <f>CONCATENATE('3 pr-2'!D65)</f>
        <v>Druskininkų kultūros centro lauko scenos, Vilniaus al. 24, Druskininkai, modernizavimas ir pritaikymas kultūros poreikiams</v>
      </c>
      <c r="E64" s="164" t="str">
        <f>CONCATENATE('3 pr-2'!E65)</f>
        <v xml:space="preserve">Druskininkų savivaldybės administracija  </v>
      </c>
      <c r="F64" s="164" t="str">
        <f>CONCATENATE('3 pr-2'!F65)</f>
        <v>Lietuvos Respublikos kultūros ministerija</v>
      </c>
      <c r="G64" s="164" t="str">
        <f>CONCATENATE('3 pr-2'!G65)</f>
        <v>Druskininkų sav.</v>
      </c>
      <c r="H64" s="164" t="str">
        <f>CONCATENATE('3 pr-2'!H65)</f>
        <v>07.1.1-CPVA-R-305</v>
      </c>
      <c r="I64" s="164" t="str">
        <f>CONCATENATE('3 pr-2'!I65)</f>
        <v>R</v>
      </c>
      <c r="J64" s="164" t="str">
        <f>CONCATENATE('3 pr-2'!J65)</f>
        <v>ITI</v>
      </c>
      <c r="K64" s="1080">
        <f>IF(U64&gt;0,'3 pr-2'!L65,0)</f>
        <v>0</v>
      </c>
      <c r="L64" s="1080">
        <f>IF(U64&gt;0,'3 pr-2'!O65,0)</f>
        <v>0</v>
      </c>
      <c r="M64" s="1080">
        <f>IF(U64&gt;0,'3 pr-2'!R65,0)</f>
        <v>0</v>
      </c>
      <c r="N64" s="1080">
        <f>IF(U64&gt;0,'3 pr-2'!U65,0)</f>
        <v>0</v>
      </c>
      <c r="O64" s="1080">
        <f>IF(U64&gt;0,'3 pr-2'!X65,0)</f>
        <v>0</v>
      </c>
      <c r="P64" s="1080">
        <f>IF(U64&gt;0,'3 pr-2'!AA65,0)</f>
        <v>0</v>
      </c>
      <c r="Q64" s="1164">
        <f>IF($Z$9&gt;0,'3 pr-2'!AB65,0)</f>
        <v>0</v>
      </c>
      <c r="R64" s="566">
        <f>SUM('3 pr-2'!AK65)</f>
        <v>43830</v>
      </c>
      <c r="S64" s="1612">
        <f>IF(SUMIF(Projektu_sutarciu_ataskaita!$J:$J,$C64,Projektu_sutarciu_ataskaita!$BW:$BW)&gt;0,SUMIF(Projektu_sutarciu_ataskaita!$J:$J,$C64,Projektu_sutarciu_ataskaita!$BW:$BW),"–")</f>
        <v>43860</v>
      </c>
      <c r="T64" s="1132" t="str">
        <f t="shared" si="5"/>
        <v>–</v>
      </c>
      <c r="U64" s="247">
        <f>SUMIF(Projektu_sutarciu_ataskaita!$J:$J,$C64,Projektu_sutarciu_ataskaita!$BX:$BX)</f>
        <v>0</v>
      </c>
      <c r="V64" s="992" t="str">
        <f t="shared" si="21"/>
        <v>–</v>
      </c>
      <c r="W64" s="1251">
        <f>IF(U64&gt;0,'IV-3'!K63,0)</f>
        <v>0</v>
      </c>
      <c r="X64" s="1249">
        <f t="shared" si="7"/>
        <v>0</v>
      </c>
    </row>
    <row r="65" spans="1:24" ht="37.5" thickBot="1">
      <c r="A65" s="164" t="str">
        <f>CONCATENATE('3 pr-2'!A66)</f>
        <v>1.1.1.8.4</v>
      </c>
      <c r="B65" s="164" t="str">
        <f>CONCATENATE('3 pr-2'!B66)</f>
        <v>R01-3305-330200-1184</v>
      </c>
      <c r="C65" s="281" t="str">
        <f>CONCATENATE('ketv. 2'!B65)</f>
        <v>07.1.1-CPVA-R-305-11-0004</v>
      </c>
      <c r="D65" s="164" t="str">
        <f>CONCATENATE('3 pr-2'!D66)</f>
        <v>Pastato rekonstrukcija ir pritaikymas kultūrinėms, muziejinėms ir edukacinėms reikmėms</v>
      </c>
      <c r="E65" s="164" t="str">
        <f>CONCATENATE('3 pr-2'!E66)</f>
        <v>Lazdijų rajono savivaldybės administracija</v>
      </c>
      <c r="F65" s="164" t="str">
        <f>CONCATENATE('3 pr-2'!F66)</f>
        <v>Lietuvos Respublikos kultūros ministerija</v>
      </c>
      <c r="G65" s="164" t="str">
        <f>CONCATENATE('3 pr-2'!G66)</f>
        <v>Lazdijų r. sav.</v>
      </c>
      <c r="H65" s="164" t="str">
        <f>CONCATENATE('3 pr-2'!H66)</f>
        <v>07.1.1-CPVA-R-305</v>
      </c>
      <c r="I65" s="164" t="str">
        <f>CONCATENATE('3 pr-2'!I66)</f>
        <v>R</v>
      </c>
      <c r="J65" s="164" t="str">
        <f>CONCATENATE('3 pr-2'!J66)</f>
        <v>ITI</v>
      </c>
      <c r="K65" s="1080">
        <f>IF(U65&gt;0,'3 pr-2'!L66,0)</f>
        <v>0</v>
      </c>
      <c r="L65" s="1080">
        <f>IF(U65&gt;0,'3 pr-2'!O66,0)</f>
        <v>0</v>
      </c>
      <c r="M65" s="1080">
        <f>IF(U65&gt;0,'3 pr-2'!R66,0)</f>
        <v>0</v>
      </c>
      <c r="N65" s="1080">
        <f>IF(U65&gt;0,'3 pr-2'!U66,0)</f>
        <v>0</v>
      </c>
      <c r="O65" s="1080">
        <f>IF(U65&gt;0,'3 pr-2'!X66,0)</f>
        <v>0</v>
      </c>
      <c r="P65" s="1080">
        <f>IF(U65&gt;0,'3 pr-2'!AA66,0)</f>
        <v>0</v>
      </c>
      <c r="Q65" s="1164">
        <f>IF($Z$9&gt;0,'3 pr-2'!AB66,0)</f>
        <v>0</v>
      </c>
      <c r="R65" s="566">
        <f>SUM('3 pr-2'!AK66)</f>
        <v>43830</v>
      </c>
      <c r="S65" s="1612">
        <f>IF(SUMIF(Projektu_sutarciu_ataskaita!$J:$J,$C65,Projektu_sutarciu_ataskaita!$BW:$BW)&gt;0,SUMIF(Projektu_sutarciu_ataskaita!$J:$J,$C65,Projektu_sutarciu_ataskaita!$BW:$BW),"–")</f>
        <v>43860</v>
      </c>
      <c r="T65" s="1132" t="str">
        <f t="shared" si="5"/>
        <v>–</v>
      </c>
      <c r="U65" s="247">
        <f>SUMIF(Projektu_sutarciu_ataskaita!$J:$J,$C65,Projektu_sutarciu_ataskaita!$BX:$BX)</f>
        <v>0</v>
      </c>
      <c r="V65" s="992" t="str">
        <f t="shared" si="21"/>
        <v>–</v>
      </c>
      <c r="W65" s="1251">
        <f>IF(U65&gt;0,'IV-3'!K64,0)</f>
        <v>0</v>
      </c>
      <c r="X65" s="1249">
        <f t="shared" si="7"/>
        <v>0</v>
      </c>
    </row>
    <row r="66" spans="1:24" ht="34.5" customHeight="1" thickBot="1">
      <c r="A66" s="296" t="str">
        <f>CONCATENATE('3 pr-2'!A67)</f>
        <v>1.1.1.9</v>
      </c>
      <c r="B66" s="2088" t="str">
        <f>CONCATENATE('3 pr-2'!B67)</f>
        <v>Priemonė:
Aktualizuoti savivaldybių kultūros paveldo objektus</v>
      </c>
      <c r="C66" s="2089"/>
      <c r="D66" s="2089"/>
      <c r="E66" s="2089"/>
      <c r="F66" s="2089"/>
      <c r="G66" s="2089"/>
      <c r="H66" s="2089"/>
      <c r="I66" s="2089"/>
      <c r="J66" s="2090"/>
      <c r="K66" s="1077">
        <f>SUM(K67:K71)</f>
        <v>0</v>
      </c>
      <c r="L66" s="1077">
        <f t="shared" ref="L66:Q66" si="22">SUM(L67:L71)</f>
        <v>0</v>
      </c>
      <c r="M66" s="1077">
        <f t="shared" si="22"/>
        <v>0</v>
      </c>
      <c r="N66" s="1077">
        <f t="shared" si="22"/>
        <v>0</v>
      </c>
      <c r="O66" s="1077">
        <f t="shared" si="22"/>
        <v>0</v>
      </c>
      <c r="P66" s="1077">
        <f t="shared" si="22"/>
        <v>0</v>
      </c>
      <c r="Q66" s="1077">
        <f t="shared" si="22"/>
        <v>0</v>
      </c>
      <c r="R66" s="356"/>
      <c r="S66" s="1612" t="str">
        <f>IF(SUMIF(Projektu_sutarciu_ataskaita!$J:$J,$C66,Projektu_sutarciu_ataskaita!$BW:$BW)&gt;0,SUMIF(Projektu_sutarciu_ataskaita!$J:$J,$C66,Projektu_sutarciu_ataskaita!$BW:$BW),"–")</f>
        <v>–</v>
      </c>
      <c r="T66" s="356" t="str">
        <f t="shared" si="5"/>
        <v>–</v>
      </c>
      <c r="U66" s="1338">
        <f>IF(ISTEXT(#REF!),"–",SUMIF(Projektu_sutarciu_ataskaita!$J:$J,$C66,Projektu_sutarciu_ataskaita!$BX:$BX))</f>
        <v>0</v>
      </c>
      <c r="V66" s="356" t="str">
        <f t="shared" si="9"/>
        <v>–</v>
      </c>
      <c r="W66" s="1249"/>
      <c r="X66" s="1249">
        <f t="shared" si="7"/>
        <v>0</v>
      </c>
    </row>
    <row r="67" spans="1:24" ht="36.75">
      <c r="A67" s="164" t="str">
        <f>CONCATENATE('3 pr-2'!A68)</f>
        <v>1.1.1.9.1</v>
      </c>
      <c r="B67" s="164" t="str">
        <f>CONCATENATE('3 pr-2'!B68)</f>
        <v>R01-3302-440000-1191</v>
      </c>
      <c r="C67" s="281" t="str">
        <f>CONCATENATE('ketv. 2'!B67)</f>
        <v>05.4.1-CPVA-R-302-11-0003</v>
      </c>
      <c r="D67" s="164" t="str">
        <f>CONCATENATE('3 pr-2'!D68)</f>
        <v>Buvusios sinagogos pastato Kauno g. 9A Alytuje rekonstravimas ir aplinkinės teritorijos sutvarkymas</v>
      </c>
      <c r="E67" s="164" t="str">
        <f>CONCATENATE('3 pr-2'!E68)</f>
        <v>Alytaus miesto savivaldybės administracija</v>
      </c>
      <c r="F67" s="164" t="str">
        <f>CONCATENATE('3 pr-2'!F68)</f>
        <v>Lietuvos Respublikos kultūros ministerija</v>
      </c>
      <c r="G67" s="164" t="str">
        <f>CONCATENATE('3 pr-2'!G68)</f>
        <v>Alytaus m. sav.</v>
      </c>
      <c r="H67" s="164" t="str">
        <f>CONCATENATE('3 pr-2'!H68)</f>
        <v>05.4.1-CPVA-R-302</v>
      </c>
      <c r="I67" s="164" t="str">
        <f>CONCATENATE('3 pr-2'!I68)</f>
        <v>R</v>
      </c>
      <c r="J67" s="164" t="str">
        <f>CONCATENATE('3 pr-2'!J68)</f>
        <v>ITI</v>
      </c>
      <c r="K67" s="1080">
        <f>IF(U67&gt;0,'3 pr-2'!L68,0)</f>
        <v>0</v>
      </c>
      <c r="L67" s="1080">
        <f>IF(U67&gt;0,'3 pr-2'!O68,0)</f>
        <v>0</v>
      </c>
      <c r="M67" s="1080">
        <f>IF(U67&gt;0,'3 pr-2'!R68,0)</f>
        <v>0</v>
      </c>
      <c r="N67" s="1080">
        <f>IF(U67&gt;0,'3 pr-2'!U68,0)</f>
        <v>0</v>
      </c>
      <c r="O67" s="1080">
        <f>IF(U67&gt;0,'3 pr-2'!X68,0)</f>
        <v>0</v>
      </c>
      <c r="P67" s="1080">
        <f>IF(U67&gt;0,'3 pr-2'!AA68,0)</f>
        <v>0</v>
      </c>
      <c r="Q67" s="1164">
        <f>IF($Z$9&gt;0,'3 pr-2'!AB68,0)</f>
        <v>0</v>
      </c>
      <c r="R67" s="566">
        <f>SUM('3 pr-2'!AK68)</f>
        <v>44196</v>
      </c>
      <c r="S67" s="1612">
        <f>IF(SUMIF(Projektu_sutarciu_ataskaita!$J:$J,$C67,Projektu_sutarciu_ataskaita!$BW:$BW)&gt;0,SUMIF(Projektu_sutarciu_ataskaita!$J:$J,$C67,Projektu_sutarciu_ataskaita!$BW:$BW),"–")</f>
        <v>44042</v>
      </c>
      <c r="T67" s="1132" t="str">
        <f t="shared" si="5"/>
        <v>–</v>
      </c>
      <c r="U67" s="247">
        <f>SUMIF(Projektu_sutarciu_ataskaita!$J:$J,$C67,Projektu_sutarciu_ataskaita!$BX:$BX)</f>
        <v>0</v>
      </c>
      <c r="V67" s="992" t="str">
        <f t="shared" ref="V67:V71" si="23">IF(U67&gt;0,IF((R67-U67)/30&gt;0,"–",(R67-U67)/30),"–")</f>
        <v>–</v>
      </c>
      <c r="W67" s="1251">
        <f>IF(U67&gt;0,'IV-3'!K66,0)</f>
        <v>0</v>
      </c>
      <c r="X67" s="1249">
        <f t="shared" si="7"/>
        <v>0</v>
      </c>
    </row>
    <row r="68" spans="1:24" ht="36.75">
      <c r="A68" s="164" t="str">
        <f>CONCATENATE('3 pr-2'!A69)</f>
        <v>1.1.1.9.2</v>
      </c>
      <c r="B68" s="164" t="str">
        <f>CONCATENATE('3 pr-2'!B69)</f>
        <v>R01-3302-440000-1192</v>
      </c>
      <c r="C68" s="281" t="str">
        <f>CONCATENATE('ketv. 2'!B68)</f>
        <v>05.4.1-CPVA-R-302-11-0002</v>
      </c>
      <c r="D68" s="164" t="str">
        <f>CONCATENATE('3 pr-2'!D69)</f>
        <v>Mažosios dailės galerijos, M.K.Čiurlionio g. 37, Druskininkai, modernizavimas ir pritaikymas kultūros poreikiams</v>
      </c>
      <c r="E68" s="164" t="str">
        <f>CONCATENATE('3 pr-2'!E69)</f>
        <v xml:space="preserve">Druskininkų savivaldybės administracija  </v>
      </c>
      <c r="F68" s="164" t="str">
        <f>CONCATENATE('3 pr-2'!F69)</f>
        <v>Lietuvos Respublikos kultūros ministerija</v>
      </c>
      <c r="G68" s="164" t="str">
        <f>CONCATENATE('3 pr-2'!G69)</f>
        <v>Druskininkų sav.</v>
      </c>
      <c r="H68" s="164" t="str">
        <f>CONCATENATE('3 pr-2'!H69)</f>
        <v>05.4.1-CPVA-R-302</v>
      </c>
      <c r="I68" s="164" t="str">
        <f>CONCATENATE('3 pr-2'!I69)</f>
        <v>R</v>
      </c>
      <c r="J68" s="164" t="str">
        <f>CONCATENATE('3 pr-2'!J69)</f>
        <v>-</v>
      </c>
      <c r="K68" s="1080">
        <f>IF(U68&gt;0,'3 pr-2'!L69,0)</f>
        <v>0</v>
      </c>
      <c r="L68" s="1080">
        <f>IF(U68&gt;0,'3 pr-2'!O69,0)</f>
        <v>0</v>
      </c>
      <c r="M68" s="1080">
        <f>IF(U68&gt;0,'3 pr-2'!R69,0)</f>
        <v>0</v>
      </c>
      <c r="N68" s="1080">
        <f>IF(U68&gt;0,'3 pr-2'!U69,0)</f>
        <v>0</v>
      </c>
      <c r="O68" s="1080">
        <f>IF(U68&gt;0,'3 pr-2'!X69,0)</f>
        <v>0</v>
      </c>
      <c r="P68" s="1080">
        <f>IF(U68&gt;0,'3 pr-2'!AA69,0)</f>
        <v>0</v>
      </c>
      <c r="Q68" s="1164">
        <f>IF($Z$9&gt;0,'3 pr-2'!AB69,0)</f>
        <v>0</v>
      </c>
      <c r="R68" s="566">
        <f>SUM('3 pr-2'!AK69)</f>
        <v>43739</v>
      </c>
      <c r="S68" s="1612">
        <f>IF(SUMIF(Projektu_sutarciu_ataskaita!$J:$J,$C68,Projektu_sutarciu_ataskaita!$BW:$BW)&gt;0,SUMIF(Projektu_sutarciu_ataskaita!$J:$J,$C68,Projektu_sutarciu_ataskaita!$BW:$BW),"–")</f>
        <v>43768</v>
      </c>
      <c r="T68" s="1132" t="str">
        <f t="shared" si="5"/>
        <v>–</v>
      </c>
      <c r="U68" s="247">
        <f>SUMIF(Projektu_sutarciu_ataskaita!$J:$J,$C68,Projektu_sutarciu_ataskaita!$BX:$BX)</f>
        <v>0</v>
      </c>
      <c r="V68" s="992" t="str">
        <f t="shared" si="23"/>
        <v>–</v>
      </c>
      <c r="W68" s="1251">
        <f>IF(U68&gt;0,'IV-3'!K67,0)</f>
        <v>0</v>
      </c>
      <c r="X68" s="1249">
        <f t="shared" si="7"/>
        <v>0</v>
      </c>
    </row>
    <row r="69" spans="1:24" ht="36.75">
      <c r="A69" s="164" t="str">
        <f>CONCATENATE('3 pr-2'!A70)</f>
        <v>1.1.1.9.3</v>
      </c>
      <c r="B69" s="164" t="str">
        <f>CONCATENATE('3 pr-2'!B70)</f>
        <v>R01-3302-440200-1193</v>
      </c>
      <c r="C69" s="281" t="str">
        <f>CONCATENATE('ketv. 2'!B69)</f>
        <v>05.4.1-CPVA-R-302-11-0001</v>
      </c>
      <c r="D69" s="164" t="str">
        <f>CONCATENATE('3 pr-2'!D70)</f>
        <v>Motiejaus Gustaičio memorialinio namo kompleksinis sutvarkymas</v>
      </c>
      <c r="E69" s="164" t="str">
        <f>CONCATENATE('3 pr-2'!E70)</f>
        <v>Lazdijų rajono savivaldybės administracija</v>
      </c>
      <c r="F69" s="164" t="str">
        <f>CONCATENATE('3 pr-2'!F70)</f>
        <v>Lietuvos Respublikos kultūros ministerija</v>
      </c>
      <c r="G69" s="164" t="str">
        <f>CONCATENATE('3 pr-2'!G70)</f>
        <v>Lazdijų r. sav.</v>
      </c>
      <c r="H69" s="164" t="str">
        <f>CONCATENATE('3 pr-2'!H70)</f>
        <v>05.4.1-CPVA-R-302</v>
      </c>
      <c r="I69" s="164" t="str">
        <f>CONCATENATE('3 pr-2'!I70)</f>
        <v>R</v>
      </c>
      <c r="J69" s="164" t="str">
        <f>CONCATENATE('3 pr-2'!J70)</f>
        <v>ITI</v>
      </c>
      <c r="K69" s="1080">
        <f>IF(U69&gt;0,'3 pr-2'!L70,0)</f>
        <v>0</v>
      </c>
      <c r="L69" s="1080">
        <f>IF(U69&gt;0,'3 pr-2'!O70,0)</f>
        <v>0</v>
      </c>
      <c r="M69" s="1080">
        <f>IF(U69&gt;0,'3 pr-2'!R70,0)</f>
        <v>0</v>
      </c>
      <c r="N69" s="1080">
        <f>IF(U69&gt;0,'3 pr-2'!U70,0)</f>
        <v>0</v>
      </c>
      <c r="O69" s="1080">
        <f>IF(U69&gt;0,'3 pr-2'!X70,0)</f>
        <v>0</v>
      </c>
      <c r="P69" s="1080">
        <f>IF(U69&gt;0,'3 pr-2'!AA70,0)</f>
        <v>0</v>
      </c>
      <c r="Q69" s="1164">
        <f>IF($Z$9&gt;0,'3 pr-2'!AB70,0)</f>
        <v>0</v>
      </c>
      <c r="R69" s="566">
        <f>SUM('3 pr-2'!AK70)</f>
        <v>43830</v>
      </c>
      <c r="S69" s="1612">
        <f>IF(SUMIF(Projektu_sutarciu_ataskaita!$J:$J,$C69,Projektu_sutarciu_ataskaita!$BW:$BW)&gt;0,SUMIF(Projektu_sutarciu_ataskaita!$J:$J,$C69,Projektu_sutarciu_ataskaita!$BW:$BW),"–")</f>
        <v>43891</v>
      </c>
      <c r="T69" s="1132" t="str">
        <f t="shared" si="5"/>
        <v>–</v>
      </c>
      <c r="U69" s="247">
        <f>SUMIF(Projektu_sutarciu_ataskaita!$J:$J,$C69,Projektu_sutarciu_ataskaita!$BX:$BX)</f>
        <v>0</v>
      </c>
      <c r="V69" s="992" t="str">
        <f t="shared" si="23"/>
        <v>–</v>
      </c>
      <c r="W69" s="1251">
        <f>IF(U69&gt;0,'IV-3'!K68,0)</f>
        <v>0</v>
      </c>
      <c r="X69" s="1249">
        <f t="shared" si="7"/>
        <v>0</v>
      </c>
    </row>
    <row r="70" spans="1:24" ht="36.75">
      <c r="A70" s="164" t="str">
        <f>CONCATENATE('3 pr-2'!A71)</f>
        <v>1.1.1.9.4</v>
      </c>
      <c r="B70" s="164" t="str">
        <f>CONCATENATE('3 pr-2'!B71)</f>
        <v>R01-3302-440000-1194</v>
      </c>
      <c r="C70" s="281" t="str">
        <f>CONCATENATE('ketv. 2'!B70)</f>
        <v>05.4.1-CPVA-R-302-11-0004</v>
      </c>
      <c r="D70" s="164" t="str">
        <f>CONCATENATE('3 pr-2'!D71)</f>
        <v>Kurnėnų Lauryno Radziukyno mokyklos pritaikymas kultūrinėms ir turistinėms reikmėms</v>
      </c>
      <c r="E70" s="164" t="str">
        <f>CONCATENATE('3 pr-2'!E71)</f>
        <v>Alytaus rajono savivaldybės administracija</v>
      </c>
      <c r="F70" s="164" t="str">
        <f>CONCATENATE('3 pr-2'!F71)</f>
        <v>Lietuvos Respublikos kultūros ministerija</v>
      </c>
      <c r="G70" s="164" t="str">
        <f>CONCATENATE('3 pr-2'!G71)</f>
        <v>Alytaus r. sav.</v>
      </c>
      <c r="H70" s="164" t="str">
        <f>CONCATENATE('3 pr-2'!H71)</f>
        <v>05.4.1-CPVA-R-302</v>
      </c>
      <c r="I70" s="164" t="str">
        <f>CONCATENATE('3 pr-2'!I71)</f>
        <v>R</v>
      </c>
      <c r="J70" s="164" t="str">
        <f>CONCATENATE('3 pr-2'!J71)</f>
        <v>-</v>
      </c>
      <c r="K70" s="1080">
        <f>IF(U70&gt;0,'3 pr-2'!L71,0)</f>
        <v>0</v>
      </c>
      <c r="L70" s="1080">
        <f>IF(U70&gt;0,'3 pr-2'!O71,0)</f>
        <v>0</v>
      </c>
      <c r="M70" s="1080">
        <f>IF(U70&gt;0,'3 pr-2'!R71,0)</f>
        <v>0</v>
      </c>
      <c r="N70" s="1080">
        <f>IF(U70&gt;0,'3 pr-2'!U71,0)</f>
        <v>0</v>
      </c>
      <c r="O70" s="1080">
        <f>IF(U70&gt;0,'3 pr-2'!X71,0)</f>
        <v>0</v>
      </c>
      <c r="P70" s="1080">
        <f>IF(U70&gt;0,'3 pr-2'!AA71,0)</f>
        <v>0</v>
      </c>
      <c r="Q70" s="1164">
        <f>IF($Z$9&gt;0,'3 pr-2'!AB71,0)</f>
        <v>0</v>
      </c>
      <c r="R70" s="566">
        <f>SUM('3 pr-2'!AK71)</f>
        <v>44196</v>
      </c>
      <c r="S70" s="1612">
        <f>IF(SUMIF(Projektu_sutarciu_ataskaita!$J:$J,$C70,Projektu_sutarciu_ataskaita!$BW:$BW)&gt;0,SUMIF(Projektu_sutarciu_ataskaita!$J:$J,$C70,Projektu_sutarciu_ataskaita!$BW:$BW),"–")</f>
        <v>44012</v>
      </c>
      <c r="T70" s="1132" t="str">
        <f t="shared" si="5"/>
        <v>–</v>
      </c>
      <c r="U70" s="247">
        <f>SUMIF(Projektu_sutarciu_ataskaita!$J:$J,$C70,Projektu_sutarciu_ataskaita!$BX:$BX)</f>
        <v>0</v>
      </c>
      <c r="V70" s="992" t="str">
        <f t="shared" si="23"/>
        <v>–</v>
      </c>
      <c r="W70" s="1251">
        <f>IF(U70&gt;0,'IV-3'!K69,0)</f>
        <v>0</v>
      </c>
      <c r="X70" s="1249">
        <f t="shared" si="7"/>
        <v>0</v>
      </c>
    </row>
    <row r="71" spans="1:24" ht="37.5" thickBot="1">
      <c r="A71" s="164" t="str">
        <f>CONCATENATE('3 pr-2'!A72)</f>
        <v>1.1.1.9.5</v>
      </c>
      <c r="B71" s="164" t="str">
        <f>CONCATENATE('3 pr-2'!B72)</f>
        <v>R01-3302-440000-1195</v>
      </c>
      <c r="C71" s="281" t="str">
        <f>CONCATENATE('ketv. 2'!B71)</f>
        <v>05.4.1-CPVA-R-302-11-0005</v>
      </c>
      <c r="D71" s="164" t="str">
        <f>CONCATENATE('3 pr-2'!D72)</f>
        <v>Vinco Krėvės-Mickevičiaus memorialinio muziejaus atnaujinimas</v>
      </c>
      <c r="E71" s="164" t="str">
        <f>CONCATENATE('3 pr-2'!E72)</f>
        <v>Varėnos rajono savivaldybės administracija</v>
      </c>
      <c r="F71" s="164" t="str">
        <f>CONCATENATE('3 pr-2'!F72)</f>
        <v>Lietuvos Respublikos kultūros ministerija</v>
      </c>
      <c r="G71" s="164" t="str">
        <f>CONCATENATE('3 pr-2'!G72)</f>
        <v>Varėnos r. sav.</v>
      </c>
      <c r="H71" s="164" t="str">
        <f>CONCATENATE('3 pr-2'!H72)</f>
        <v>05.4.1-CPVA-R-302</v>
      </c>
      <c r="I71" s="164" t="str">
        <f>CONCATENATE('3 pr-2'!I72)</f>
        <v>R</v>
      </c>
      <c r="J71" s="164" t="str">
        <f>CONCATENATE('3 pr-2'!J72)</f>
        <v>-</v>
      </c>
      <c r="K71" s="1080">
        <f>IF(U71&gt;0,'3 pr-2'!L72,0)</f>
        <v>0</v>
      </c>
      <c r="L71" s="1080">
        <f>IF(U71&gt;0,'3 pr-2'!O72,0)</f>
        <v>0</v>
      </c>
      <c r="M71" s="1080">
        <f>IF(U71&gt;0,'3 pr-2'!R72,0)</f>
        <v>0</v>
      </c>
      <c r="N71" s="1080">
        <f>IF(U71&gt;0,'3 pr-2'!U72,0)</f>
        <v>0</v>
      </c>
      <c r="O71" s="1080">
        <f>IF(U71&gt;0,'3 pr-2'!X72,0)</f>
        <v>0</v>
      </c>
      <c r="P71" s="1080">
        <f>IF(U71&gt;0,'3 pr-2'!AA72,0)</f>
        <v>0</v>
      </c>
      <c r="Q71" s="1164">
        <f>IF($Z$9&gt;0,'3 pr-2'!AB72,0)</f>
        <v>0</v>
      </c>
      <c r="R71" s="566">
        <f>SUM('3 pr-2'!AK72)</f>
        <v>44196</v>
      </c>
      <c r="S71" s="1612">
        <f>IF(SUMIF(Projektu_sutarciu_ataskaita!$J:$J,$C71,Projektu_sutarciu_ataskaita!$BW:$BW)&gt;0,SUMIF(Projektu_sutarciu_ataskaita!$J:$J,$C71,Projektu_sutarciu_ataskaita!$BW:$BW),"–")</f>
        <v>43981</v>
      </c>
      <c r="T71" s="1132" t="str">
        <f>IF(U71&gt;0,U71,"–")</f>
        <v>–</v>
      </c>
      <c r="U71" s="247">
        <f>SUMIF(Projektu_sutarciu_ataskaita!$J:$J,$C71,Projektu_sutarciu_ataskaita!$BX:$BX)</f>
        <v>0</v>
      </c>
      <c r="V71" s="992" t="str">
        <f t="shared" si="23"/>
        <v>–</v>
      </c>
      <c r="W71" s="1251">
        <f>IF(U71&gt;0,'IV-3'!K70,0)</f>
        <v>0</v>
      </c>
      <c r="X71" s="1249">
        <f t="shared" si="7"/>
        <v>0</v>
      </c>
    </row>
    <row r="72" spans="1:24" ht="39.75" customHeight="1" thickBot="1">
      <c r="A72" s="138" t="str">
        <f>CONCATENATE('3 pr-2'!A73)</f>
        <v>1.1.2.</v>
      </c>
      <c r="B72" s="2085" t="str">
        <f>CONCATENATE('3 pr-2'!B73)</f>
        <v>Uždavinys:
Pagerinti darbo jėgos judėjimo galimybes gerinant susisiekimo sistemas</v>
      </c>
      <c r="C72" s="2086"/>
      <c r="D72" s="2086"/>
      <c r="E72" s="2086"/>
      <c r="F72" s="2086"/>
      <c r="G72" s="2086"/>
      <c r="H72" s="2086"/>
      <c r="I72" s="2086"/>
      <c r="J72" s="2087"/>
      <c r="K72" s="1195">
        <f t="shared" ref="K72:Q72" si="24">SUM(K73+K78+K85+K91)</f>
        <v>1064235.1300000001</v>
      </c>
      <c r="L72" s="1195">
        <f t="shared" si="24"/>
        <v>159635.26999999999</v>
      </c>
      <c r="M72" s="1195">
        <f t="shared" si="24"/>
        <v>0</v>
      </c>
      <c r="N72" s="1195">
        <f t="shared" si="24"/>
        <v>0</v>
      </c>
      <c r="O72" s="1195">
        <f t="shared" si="24"/>
        <v>0</v>
      </c>
      <c r="P72" s="1195">
        <f t="shared" si="24"/>
        <v>904599.86</v>
      </c>
      <c r="Q72" s="1195">
        <f t="shared" si="24"/>
        <v>0</v>
      </c>
      <c r="R72" s="374"/>
      <c r="S72" s="1612" t="str">
        <f>IF(SUMIF(Projektu_sutarciu_ataskaita!$J:$J,$C72,Projektu_sutarciu_ataskaita!$BW:$BW)&gt;0,SUMIF(Projektu_sutarciu_ataskaita!$J:$J,$C72,Projektu_sutarciu_ataskaita!$BW:$BW),"–")</f>
        <v>–</v>
      </c>
      <c r="T72" s="1372" t="str">
        <f t="shared" si="5"/>
        <v>–</v>
      </c>
      <c r="U72" s="1379">
        <f>IF(ISTEXT(#REF!),"–",SUMIF(Projektu_sutarciu_ataskaita!$J:$J,$C72,Projektu_sutarciu_ataskaita!$BX:$BX))</f>
        <v>0</v>
      </c>
      <c r="V72" s="1365" t="str">
        <f t="shared" si="9"/>
        <v>–</v>
      </c>
      <c r="W72" s="1249"/>
      <c r="X72" s="1249">
        <f t="shared" si="7"/>
        <v>0</v>
      </c>
    </row>
    <row r="73" spans="1:24" ht="37.5" customHeight="1" thickBot="1">
      <c r="A73" s="296" t="str">
        <f>CONCATENATE('3 pr-2'!A74)</f>
        <v>1.1.2.1</v>
      </c>
      <c r="B73" s="2088" t="str">
        <f>CONCATENATE('3 pr-2'!B74)</f>
        <v>Priemonė:
Vietinio susisiekimo viešojo transporto priemonių parko atnaujinimas</v>
      </c>
      <c r="C73" s="2089"/>
      <c r="D73" s="2089"/>
      <c r="E73" s="2089"/>
      <c r="F73" s="2089"/>
      <c r="G73" s="2089"/>
      <c r="H73" s="2089"/>
      <c r="I73" s="2089"/>
      <c r="J73" s="2090"/>
      <c r="K73" s="1077">
        <f>SUM(K74:K77)</f>
        <v>0</v>
      </c>
      <c r="L73" s="1077">
        <f t="shared" ref="L73:P73" si="25">SUM(L74:L77)</f>
        <v>0</v>
      </c>
      <c r="M73" s="1077">
        <f t="shared" si="25"/>
        <v>0</v>
      </c>
      <c r="N73" s="1077">
        <f t="shared" si="25"/>
        <v>0</v>
      </c>
      <c r="O73" s="1077">
        <f t="shared" si="25"/>
        <v>0</v>
      </c>
      <c r="P73" s="1077">
        <f t="shared" si="25"/>
        <v>0</v>
      </c>
      <c r="Q73" s="1077">
        <f t="shared" ref="Q73" si="26">SUM(Q74:Q77)</f>
        <v>0</v>
      </c>
      <c r="R73" s="356"/>
      <c r="S73" s="1612" t="str">
        <f>IF(SUMIF(Projektu_sutarciu_ataskaita!$J:$J,$C73,Projektu_sutarciu_ataskaita!$BW:$BW)&gt;0,SUMIF(Projektu_sutarciu_ataskaita!$J:$J,$C73,Projektu_sutarciu_ataskaita!$BW:$BW),"–")</f>
        <v>–</v>
      </c>
      <c r="T73" s="356" t="str">
        <f t="shared" si="5"/>
        <v>–</v>
      </c>
      <c r="U73" s="1338">
        <f>IF(ISTEXT(#REF!),"–",SUMIF(Projektu_sutarciu_ataskaita!$J:$J,$C73,Projektu_sutarciu_ataskaita!$BX:$BX))</f>
        <v>0</v>
      </c>
      <c r="V73" s="356" t="str">
        <f t="shared" si="9"/>
        <v>–</v>
      </c>
      <c r="W73" s="1249"/>
      <c r="X73" s="1249">
        <f t="shared" si="7"/>
        <v>0</v>
      </c>
    </row>
    <row r="74" spans="1:24" ht="36.75">
      <c r="A74" s="164" t="str">
        <f>CONCATENATE('3 pr-2'!A75)</f>
        <v>1.1.2.1.1</v>
      </c>
      <c r="B74" s="164" t="str">
        <f>CONCATENATE('3 pr-2'!B75)</f>
        <v>R01-5518-100000-1211</v>
      </c>
      <c r="C74" s="281" t="str">
        <f>CONCATENATE('ketv. 2'!B74)</f>
        <v/>
      </c>
      <c r="D74" s="164" t="str">
        <f>CONCATENATE('3 pr-2'!D75)</f>
        <v>Nekenksmingų aplinkai viešojo transporto priemonių įsigijimas Alytaus mieste</v>
      </c>
      <c r="E74" s="164" t="str">
        <f>CONCATENATE('3 pr-2'!E75)</f>
        <v>Alytaus miesto savivaldybės administracija</v>
      </c>
      <c r="F74" s="164" t="str">
        <f>CONCATENATE('3 pr-2'!F75)</f>
        <v>Lietuvos Respublikos susisiekimo ministerija</v>
      </c>
      <c r="G74" s="164" t="str">
        <f>CONCATENATE('3 pr-2'!G75)</f>
        <v>Alytaus m. sav.</v>
      </c>
      <c r="H74" s="164" t="str">
        <f>CONCATENATE('3 pr-2'!H75)</f>
        <v>04.5.1-TID-R-518</v>
      </c>
      <c r="I74" s="164" t="str">
        <f>CONCATENATE('3 pr-2'!I75)</f>
        <v>R</v>
      </c>
      <c r="J74" s="164" t="str">
        <f>CONCATENATE('3 pr-2'!J75)</f>
        <v>ITI</v>
      </c>
      <c r="K74" s="1080">
        <f>IF(U74&gt;0,'3 pr-2'!L76,0)</f>
        <v>0</v>
      </c>
      <c r="L74" s="1080">
        <f>IF(U74&gt;0,'3 pr-2'!O76,0)</f>
        <v>0</v>
      </c>
      <c r="M74" s="1080">
        <f>IF(U74&gt;0,'3 pr-2'!R76,0)</f>
        <v>0</v>
      </c>
      <c r="N74" s="1080">
        <f>IF(U74&gt;0,'3 pr-2'!U76,0)</f>
        <v>0</v>
      </c>
      <c r="O74" s="1080">
        <f>IF(U74&gt;0,'3 pr-2'!X76,0)</f>
        <v>0</v>
      </c>
      <c r="P74" s="1080">
        <f>IF(U74&gt;0,'3 pr-2'!AA76,0)</f>
        <v>0</v>
      </c>
      <c r="Q74" s="1164">
        <f>IF($Z$9&gt;0,'3 pr-2'!AB76,0)</f>
        <v>0</v>
      </c>
      <c r="R74" s="566">
        <f>SUM('3 pr-2'!AK75)</f>
        <v>44377</v>
      </c>
      <c r="S74" s="1612" t="str">
        <f>IF(SUMIF(Projektu_sutarciu_ataskaita!$J:$J,$C74,Projektu_sutarciu_ataskaita!$BW:$BW)&gt;0,SUMIF(Projektu_sutarciu_ataskaita!$J:$J,$C74,Projektu_sutarciu_ataskaita!$BW:$BW),"–")</f>
        <v>–</v>
      </c>
      <c r="T74" s="1132" t="str">
        <f t="shared" ref="T74:T137" si="27">IF(U74&gt;0,U74,"–")</f>
        <v>–</v>
      </c>
      <c r="U74" s="247">
        <f>SUMIF(Projektu_sutarciu_ataskaita!$J:$J,$C74,Projektu_sutarciu_ataskaita!$BX:$BX)</f>
        <v>0</v>
      </c>
      <c r="V74" s="992" t="str">
        <f t="shared" ref="V74:V77" si="28">IF(U74&gt;0,IF((R74-U74)/30&gt;0,"–",(R74-U74)/30),"–")</f>
        <v>–</v>
      </c>
      <c r="W74" s="1251">
        <f>IF(U74&gt;0,'IV-3'!K73,0)</f>
        <v>0</v>
      </c>
      <c r="X74" s="1249">
        <f t="shared" ref="X74:X136" si="29">IF(U74&gt;0,1,0)</f>
        <v>0</v>
      </c>
    </row>
    <row r="75" spans="1:24" ht="36.75">
      <c r="A75" s="164" t="str">
        <f>CONCATENATE('3 pr-2'!A76)</f>
        <v>1.1.2.1.2</v>
      </c>
      <c r="B75" s="164" t="str">
        <f>CONCATENATE('3 pr-2'!B76)</f>
        <v>R01-5518-100000-1212</v>
      </c>
      <c r="C75" s="281" t="str">
        <f>CONCATENATE('ketv. 2'!B75)</f>
        <v/>
      </c>
      <c r="D75" s="164" t="str">
        <f>CONCATENATE('3 pr-2'!D76)</f>
        <v>Vietinio susisiekimo transporto priemonių įsigijimas</v>
      </c>
      <c r="E75" s="164" t="str">
        <f>CONCATENATE('3 pr-2'!E76)</f>
        <v>Alytaus rajono savivaldybės administracija</v>
      </c>
      <c r="F75" s="164" t="str">
        <f>CONCATENATE('3 pr-2'!F76)</f>
        <v>Lietuvos Respublikos susisiekimo ministerija</v>
      </c>
      <c r="G75" s="164" t="str">
        <f>CONCATENATE('3 pr-2'!G76)</f>
        <v>Alytaus r. sav.</v>
      </c>
      <c r="H75" s="164" t="str">
        <f>CONCATENATE('3 pr-2'!H76)</f>
        <v>04.5.1-TID-R-518</v>
      </c>
      <c r="I75" s="164" t="str">
        <f>CONCATENATE('3 pr-2'!I76)</f>
        <v>R</v>
      </c>
      <c r="J75" s="164" t="str">
        <f>CONCATENATE('3 pr-2'!J76)</f>
        <v>-</v>
      </c>
      <c r="K75" s="1080">
        <f>IF(U75&gt;0,'3 pr-2'!L77,0)</f>
        <v>0</v>
      </c>
      <c r="L75" s="1080">
        <f>IF(U75&gt;0,'3 pr-2'!O77,0)</f>
        <v>0</v>
      </c>
      <c r="M75" s="1080">
        <f>IF(U75&gt;0,'3 pr-2'!R77,0)</f>
        <v>0</v>
      </c>
      <c r="N75" s="1080">
        <f>IF(U75&gt;0,'3 pr-2'!U77,0)</f>
        <v>0</v>
      </c>
      <c r="O75" s="1080">
        <f>IF(U75&gt;0,'3 pr-2'!X77,0)</f>
        <v>0</v>
      </c>
      <c r="P75" s="1080">
        <f>IF(U75&gt;0,'3 pr-2'!AA77,0)</f>
        <v>0</v>
      </c>
      <c r="Q75" s="1164">
        <f>IF($Z$9&gt;0,'3 pr-2'!AB77,0)</f>
        <v>0</v>
      </c>
      <c r="R75" s="566">
        <f>SUM('3 pr-2'!AK76)</f>
        <v>44285</v>
      </c>
      <c r="S75" s="1612" t="str">
        <f>IF(SUMIF(Projektu_sutarciu_ataskaita!$J:$J,$C75,Projektu_sutarciu_ataskaita!$BW:$BW)&gt;0,SUMIF(Projektu_sutarciu_ataskaita!$J:$J,$C75,Projektu_sutarciu_ataskaita!$BW:$BW),"–")</f>
        <v>–</v>
      </c>
      <c r="T75" s="1132" t="str">
        <f t="shared" si="27"/>
        <v>–</v>
      </c>
      <c r="U75" s="247">
        <f>SUMIF(Projektu_sutarciu_ataskaita!$J:$J,$C75,Projektu_sutarciu_ataskaita!$BX:$BX)</f>
        <v>0</v>
      </c>
      <c r="V75" s="992" t="str">
        <f t="shared" si="28"/>
        <v>–</v>
      </c>
      <c r="W75" s="1251">
        <f>IF(U75&gt;0,'IV-3'!K74,0)</f>
        <v>0</v>
      </c>
      <c r="X75" s="1249">
        <f t="shared" si="29"/>
        <v>0</v>
      </c>
    </row>
    <row r="76" spans="1:24" ht="36.75">
      <c r="A76" s="164" t="str">
        <f>CONCATENATE('3 pr-2'!A77)</f>
        <v>1.1.2.1.3</v>
      </c>
      <c r="B76" s="164" t="str">
        <f>CONCATENATE('3 pr-2'!B77)</f>
        <v>R01-5518-100000-1213</v>
      </c>
      <c r="C76" s="281" t="str">
        <f>CONCATENATE('ketv. 2'!B76)</f>
        <v>04.5.1-TID-R-518-11-0002</v>
      </c>
      <c r="D76" s="164" t="str">
        <f>CONCATENATE('3 pr-2'!D77)</f>
        <v>Ekologiškų transporto priemonių įsigijimas Druskininkų savivaldybėje</v>
      </c>
      <c r="E76" s="164" t="str">
        <f>CONCATENATE('3 pr-2'!E77)</f>
        <v xml:space="preserve">Druskininkų savivaldybės administracija  </v>
      </c>
      <c r="F76" s="164" t="str">
        <f>CONCATENATE('3 pr-2'!F77)</f>
        <v>Lietuvos Respublikos susisiekimo ministerija</v>
      </c>
      <c r="G76" s="164" t="str">
        <f>CONCATENATE('3 pr-2'!G77)</f>
        <v>Druskininkų sav.</v>
      </c>
      <c r="H76" s="164" t="str">
        <f>CONCATENATE('3 pr-2'!H77)</f>
        <v>04.5.1-TID-R-518</v>
      </c>
      <c r="I76" s="164" t="str">
        <f>CONCATENATE('3 pr-2'!I77)</f>
        <v>R</v>
      </c>
      <c r="J76" s="164" t="str">
        <f>CONCATENATE('3 pr-2'!J77)</f>
        <v>-</v>
      </c>
      <c r="K76" s="1080">
        <f>IF(U76&gt;0,'3 pr-2'!L78,0)</f>
        <v>0</v>
      </c>
      <c r="L76" s="1080">
        <f>IF(U76&gt;0,'3 pr-2'!O78,0)</f>
        <v>0</v>
      </c>
      <c r="M76" s="1080">
        <f>IF(U76&gt;0,'3 pr-2'!R78,0)</f>
        <v>0</v>
      </c>
      <c r="N76" s="1080">
        <f>IF(U76&gt;0,'3 pr-2'!U78,0)</f>
        <v>0</v>
      </c>
      <c r="O76" s="1080">
        <f>IF(U76&gt;0,'3 pr-2'!X78,0)</f>
        <v>0</v>
      </c>
      <c r="P76" s="1080">
        <f>IF(U76&gt;0,'3 pr-2'!AA78,0)</f>
        <v>0</v>
      </c>
      <c r="Q76" s="1164">
        <f>IF($Z$9&gt;0,'3 pr-2'!AB78,0)</f>
        <v>0</v>
      </c>
      <c r="R76" s="566">
        <f>SUM('3 pr-2'!AK77)</f>
        <v>43830</v>
      </c>
      <c r="S76" s="1612">
        <f>IF(SUMIF(Projektu_sutarciu_ataskaita!$J:$J,$C76,Projektu_sutarciu_ataskaita!$BW:$BW)&gt;0,SUMIF(Projektu_sutarciu_ataskaita!$J:$J,$C76,Projektu_sutarciu_ataskaita!$BW:$BW),"–")</f>
        <v>44285</v>
      </c>
      <c r="T76" s="1132" t="str">
        <f t="shared" si="27"/>
        <v>–</v>
      </c>
      <c r="U76" s="247">
        <f>SUMIF(Projektu_sutarciu_ataskaita!$J:$J,$C76,Projektu_sutarciu_ataskaita!$BX:$BX)</f>
        <v>0</v>
      </c>
      <c r="V76" s="992" t="str">
        <f t="shared" si="28"/>
        <v>–</v>
      </c>
      <c r="W76" s="1251">
        <f>IF(U76&gt;0,'IV-3'!K75,0)</f>
        <v>0</v>
      </c>
      <c r="X76" s="1249">
        <f t="shared" si="29"/>
        <v>0</v>
      </c>
    </row>
    <row r="77" spans="1:24" ht="37.5" thickBot="1">
      <c r="A77" s="164" t="str">
        <f>CONCATENATE('3 pr-2'!A78)</f>
        <v>1.1.2.1.4</v>
      </c>
      <c r="B77" s="164" t="str">
        <f>CONCATENATE('3 pr-2'!B78)</f>
        <v>R01-5518-100000-1214</v>
      </c>
      <c r="C77" s="281" t="str">
        <f>CONCATENATE('ketv. 2'!B77)</f>
        <v>04.5.1-TID-R-518-11-0001</v>
      </c>
      <c r="D77" s="164" t="str">
        <f>CONCATENATE('3 pr-2'!D78)</f>
        <v>Ekologiškų transporto priemonių įsigijimas Lazdijų rajono savivaldybėje</v>
      </c>
      <c r="E77" s="164" t="str">
        <f>CONCATENATE('3 pr-2'!E78)</f>
        <v>Lazdijų rajono savivaldybės administracija</v>
      </c>
      <c r="F77" s="164" t="str">
        <f>CONCATENATE('3 pr-2'!F78)</f>
        <v>Lietuvos Respublikos susisiekimo ministerija</v>
      </c>
      <c r="G77" s="164" t="str">
        <f>CONCATENATE('3 pr-2'!G78)</f>
        <v>Lazdijų r. sav.</v>
      </c>
      <c r="H77" s="164" t="str">
        <f>CONCATENATE('3 pr-2'!H78)</f>
        <v>04.5.1-TID-R-518</v>
      </c>
      <c r="I77" s="164" t="str">
        <f>CONCATENATE('3 pr-2'!I78)</f>
        <v>R</v>
      </c>
      <c r="J77" s="164" t="str">
        <f>CONCATENATE('3 pr-2'!J78)</f>
        <v>-</v>
      </c>
      <c r="K77" s="1080">
        <f>IF(U77&gt;0,'3 pr-2'!L79,0)</f>
        <v>0</v>
      </c>
      <c r="L77" s="1080">
        <f>IF(U77&gt;0,'3 pr-2'!O79,0)</f>
        <v>0</v>
      </c>
      <c r="M77" s="1080">
        <f>IF(U77&gt;0,'3 pr-2'!R79,0)</f>
        <v>0</v>
      </c>
      <c r="N77" s="1080">
        <f>IF(U77&gt;0,'3 pr-2'!U79,0)</f>
        <v>0</v>
      </c>
      <c r="O77" s="1080">
        <f>IF(U77&gt;0,'3 pr-2'!X79,0)</f>
        <v>0</v>
      </c>
      <c r="P77" s="1080">
        <f>IF(U77&gt;0,'3 pr-2'!AA79,0)</f>
        <v>0</v>
      </c>
      <c r="Q77" s="1164">
        <f>IF($Z$9&gt;0,'3 pr-2'!AB79,0)</f>
        <v>0</v>
      </c>
      <c r="R77" s="566">
        <f>SUM('3 pr-2'!AK78)</f>
        <v>44165</v>
      </c>
      <c r="S77" s="1612">
        <f>IF(SUMIF(Projektu_sutarciu_ataskaita!$J:$J,$C77,Projektu_sutarciu_ataskaita!$BW:$BW)&gt;0,SUMIF(Projektu_sutarciu_ataskaita!$J:$J,$C77,Projektu_sutarciu_ataskaita!$BW:$BW),"–")</f>
        <v>44165</v>
      </c>
      <c r="T77" s="1132" t="str">
        <f t="shared" si="27"/>
        <v>–</v>
      </c>
      <c r="U77" s="247">
        <f>SUMIF(Projektu_sutarciu_ataskaita!$J:$J,$C77,Projektu_sutarciu_ataskaita!$BX:$BX)</f>
        <v>0</v>
      </c>
      <c r="V77" s="992" t="str">
        <f t="shared" si="28"/>
        <v>–</v>
      </c>
      <c r="W77" s="1251">
        <f>IF(U77&gt;0,'IV-3'!K76,0)</f>
        <v>0</v>
      </c>
      <c r="X77" s="1249">
        <f t="shared" si="29"/>
        <v>0</v>
      </c>
    </row>
    <row r="78" spans="1:24" ht="36" customHeight="1" thickBot="1">
      <c r="A78" s="296" t="str">
        <f>CONCATENATE('3 pr-2'!A79)</f>
        <v>1.1.2.2</v>
      </c>
      <c r="B78" s="2088" t="str">
        <f>CONCATENATE('3 pr-2'!B79)</f>
        <v>Priemonė:
Darnaus judumo priemonių diegimas</v>
      </c>
      <c r="C78" s="2089"/>
      <c r="D78" s="2089"/>
      <c r="E78" s="2089"/>
      <c r="F78" s="2089"/>
      <c r="G78" s="2089"/>
      <c r="H78" s="2089"/>
      <c r="I78" s="2089"/>
      <c r="J78" s="2090"/>
      <c r="K78" s="1077">
        <f t="shared" ref="K78:O78" si="30">SUM(K79:K84)</f>
        <v>50638</v>
      </c>
      <c r="L78" s="1077">
        <f t="shared" si="30"/>
        <v>7595.7</v>
      </c>
      <c r="M78" s="1077">
        <f t="shared" si="30"/>
        <v>0</v>
      </c>
      <c r="N78" s="1077">
        <f t="shared" si="30"/>
        <v>0</v>
      </c>
      <c r="O78" s="1077">
        <f t="shared" si="30"/>
        <v>0</v>
      </c>
      <c r="P78" s="1077">
        <f>SUM(P79:P84)</f>
        <v>43042.3</v>
      </c>
      <c r="Q78" s="1077">
        <f>SUM(Q79:Q84)</f>
        <v>0</v>
      </c>
      <c r="R78" s="356"/>
      <c r="S78" s="1612" t="str">
        <f>IF(SUMIF(Projektu_sutarciu_ataskaita!$J:$J,$C78,Projektu_sutarciu_ataskaita!$BW:$BW)&gt;0,SUMIF(Projektu_sutarciu_ataskaita!$J:$J,$C78,Projektu_sutarciu_ataskaita!$BW:$BW),"–")</f>
        <v>–</v>
      </c>
      <c r="T78" s="356" t="str">
        <f t="shared" si="27"/>
        <v>–</v>
      </c>
      <c r="U78" s="1338">
        <f>IF(ISTEXT(#REF!),"–",SUMIF(Projektu_sutarciu_ataskaita!$J:$J,$C78,Projektu_sutarciu_ataskaita!$BX:$BX))</f>
        <v>0</v>
      </c>
      <c r="V78" s="356" t="str">
        <f t="shared" ref="V74:V137" si="31">IF(U78&gt;0,(R78-U78)/30,"–")</f>
        <v>–</v>
      </c>
      <c r="W78" s="1249"/>
      <c r="X78" s="1249">
        <f t="shared" si="29"/>
        <v>0</v>
      </c>
    </row>
    <row r="79" spans="1:24" ht="36.75">
      <c r="A79" s="164" t="str">
        <f>CONCATENATE('3 pr-2'!A80)</f>
        <v>1.1.2.2.1</v>
      </c>
      <c r="B79" s="164" t="str">
        <f>CONCATENATE('3 pr-2'!B80)</f>
        <v>R01-5514-190000-1221</v>
      </c>
      <c r="C79" s="281" t="str">
        <f>CONCATENATE('ketv. 2'!B79)</f>
        <v/>
      </c>
      <c r="D79" s="164" t="str">
        <f>CONCATENATE('3 pr-2'!D80)</f>
        <v>Darnaus judumo priemonių diegimas Alytaus mieste</v>
      </c>
      <c r="E79" s="164" t="str">
        <f>CONCATENATE('3 pr-2'!E80)</f>
        <v>Alytaus miesto savivaldybės administracija</v>
      </c>
      <c r="F79" s="164" t="str">
        <f>CONCATENATE('3 pr-2'!F80)</f>
        <v>Lietuvos Respublikos susisiekimo ministerija</v>
      </c>
      <c r="G79" s="164" t="str">
        <f>CONCATENATE('3 pr-2'!G80)</f>
        <v>Alytaus m. sav.</v>
      </c>
      <c r="H79" s="164" t="str">
        <f>CONCATENATE('3 pr-2'!H80)</f>
        <v>04.5.1.-TID-R-514</v>
      </c>
      <c r="I79" s="164" t="str">
        <f>CONCATENATE('3 pr-2'!I80)</f>
        <v>R</v>
      </c>
      <c r="J79" s="164" t="str">
        <f>CONCATENATE('3 pr-2'!J80)</f>
        <v>ITI</v>
      </c>
      <c r="K79" s="1080">
        <f>IF(U79&gt;0,'3 pr-2'!L80,0)</f>
        <v>0</v>
      </c>
      <c r="L79" s="1080">
        <f>IF(U79&gt;0,'3 pr-2'!O80,0)</f>
        <v>0</v>
      </c>
      <c r="M79" s="1080">
        <f>IF(U79&gt;0,'3 pr-2'!R80,0)</f>
        <v>0</v>
      </c>
      <c r="N79" s="1080">
        <f>IF(U79&gt;0,'3 pr-2'!U80,0)</f>
        <v>0</v>
      </c>
      <c r="O79" s="1080">
        <f>IF(U79&gt;0,'3 pr-2'!X80,0)</f>
        <v>0</v>
      </c>
      <c r="P79" s="1080">
        <f>IF(U79&gt;0,'3 pr-2'!AA80,0)</f>
        <v>0</v>
      </c>
      <c r="Q79" s="1164">
        <f>IF($Z$9&gt;0,'3 pr-2'!AB80,0)</f>
        <v>0</v>
      </c>
      <c r="R79" s="566">
        <f>SUM('3 pr-2'!AK80)</f>
        <v>44346</v>
      </c>
      <c r="S79" s="1612" t="str">
        <f>IF(SUMIF(Projektu_sutarciu_ataskaita!$J:$J,$C79,Projektu_sutarciu_ataskaita!$BW:$BW)&gt;0,SUMIF(Projektu_sutarciu_ataskaita!$J:$J,$C79,Projektu_sutarciu_ataskaita!$BW:$BW),"–")</f>
        <v>–</v>
      </c>
      <c r="T79" s="1132" t="str">
        <f t="shared" si="27"/>
        <v>–</v>
      </c>
      <c r="U79" s="247">
        <f>SUMIF(Projektu_sutarciu_ataskaita!$J:$J,$C79,Projektu_sutarciu_ataskaita!$BX:$BX)</f>
        <v>0</v>
      </c>
      <c r="V79" s="992" t="str">
        <f t="shared" ref="V79:V84" si="32">IF(U79&gt;0,IF((R79-U79)/30&gt;0,"–",(R79-U79)/30),"–")</f>
        <v>–</v>
      </c>
      <c r="W79" s="1251">
        <f>IF(U79&gt;0,'IV-3'!K78,0)</f>
        <v>0</v>
      </c>
      <c r="X79" s="1249">
        <f t="shared" si="29"/>
        <v>0</v>
      </c>
    </row>
    <row r="80" spans="1:24" ht="36.75">
      <c r="A80" s="164" t="str">
        <f>CONCATENATE('3 pr-2'!A81)</f>
        <v>1.1.2.2.2</v>
      </c>
      <c r="B80" s="164" t="str">
        <f>CONCATENATE('3 pr-2'!B81)</f>
        <v>R01-5514-190000-1222</v>
      </c>
      <c r="C80" s="281" t="str">
        <f>CONCATENATE('ketv. 2'!B80)</f>
        <v>04.5.1-TID-V-513-01-0015</v>
      </c>
      <c r="D80" s="164" t="str">
        <f>CONCATENATE('3 pr-2'!D81)</f>
        <v>Alytaus miesto darnaus judumo plano parengimas</v>
      </c>
      <c r="E80" s="164" t="str">
        <f>CONCATENATE('3 pr-2'!E81)</f>
        <v>Alytaus miesto savivaldybės administracija</v>
      </c>
      <c r="F80" s="164" t="str">
        <f>CONCATENATE('3 pr-2'!F81)</f>
        <v>Lietuvos Respublikos susisiekimo ministerija</v>
      </c>
      <c r="G80" s="164" t="str">
        <f>CONCATENATE('3 pr-2'!G81)</f>
        <v>Alytaus m. sav.</v>
      </c>
      <c r="H80" s="164" t="str">
        <f>CONCATENATE('3 pr-2'!H81)</f>
        <v>04.5.1-TID-V-513</v>
      </c>
      <c r="I80" s="164" t="str">
        <f>CONCATENATE('3 pr-2'!I81)</f>
        <v>V</v>
      </c>
      <c r="J80" s="164" t="str">
        <f>CONCATENATE('3 pr-2'!J81)</f>
        <v>ITI</v>
      </c>
      <c r="K80" s="1080">
        <f>IF(U80&gt;0,'3 pr-2'!L81,0)</f>
        <v>33638</v>
      </c>
      <c r="L80" s="1080">
        <f>IF(U80&gt;0,'3 pr-2'!O81,0)</f>
        <v>5045.7</v>
      </c>
      <c r="M80" s="1080">
        <f>IF(U80&gt;0,'3 pr-2'!R81,0)</f>
        <v>0</v>
      </c>
      <c r="N80" s="1080">
        <f>IF(U80&gt;0,'3 pr-2'!U81,0)</f>
        <v>0</v>
      </c>
      <c r="O80" s="1080">
        <f>IF(U80&gt;0,'3 pr-2'!X81,0)</f>
        <v>0</v>
      </c>
      <c r="P80" s="1080">
        <f>IF(U80&gt;0,'3 pr-2'!AA81,0)</f>
        <v>28592.3</v>
      </c>
      <c r="Q80" s="1164">
        <f>IF($Z$9&gt;0,'3 pr-2'!AB81,0)</f>
        <v>0</v>
      </c>
      <c r="R80" s="566">
        <f>SUM('3 pr-2'!AK81)</f>
        <v>43464</v>
      </c>
      <c r="S80" s="1612">
        <f>IF(SUMIF(Projektu_sutarciu_ataskaita!$J:$J,$C80,Projektu_sutarciu_ataskaita!$BW:$BW)&gt;0,SUMIF(Projektu_sutarciu_ataskaita!$J:$J,$C80,Projektu_sutarciu_ataskaita!$BW:$BW),"–")</f>
        <v>43311</v>
      </c>
      <c r="T80" s="1132">
        <f t="shared" si="27"/>
        <v>43396</v>
      </c>
      <c r="U80" s="247">
        <f>SUMIF(Projektu_sutarciu_ataskaita!$J:$J,$C80,Projektu_sutarciu_ataskaita!$BX:$BX)</f>
        <v>43396</v>
      </c>
      <c r="V80" s="992" t="str">
        <f t="shared" si="32"/>
        <v>–</v>
      </c>
      <c r="W80" s="1251" t="str">
        <f>IF(U80&gt;0,'IV-3'!K79,0)</f>
        <v>19</v>
      </c>
      <c r="X80" s="1249">
        <f t="shared" si="29"/>
        <v>1</v>
      </c>
    </row>
    <row r="81" spans="1:24" ht="36.75">
      <c r="A81" s="164" t="str">
        <f>CONCATENATE('3 pr-2'!A82)</f>
        <v>1.1.2.2.3</v>
      </c>
      <c r="B81" s="164" t="str">
        <f>CONCATENATE('3 pr-2'!B82)</f>
        <v>R01-5514-191800-1223</v>
      </c>
      <c r="C81" s="281" t="str">
        <f>CONCATENATE('ketv. 2'!B81)</f>
        <v/>
      </c>
      <c r="D81" s="164" t="str">
        <f>CONCATENATE('3 pr-2'!D82)</f>
        <v>Intelektinių transporto sistemų diegimas Druskininkuose</v>
      </c>
      <c r="E81" s="164" t="str">
        <f>CONCATENATE('3 pr-2'!E82)</f>
        <v>Druskininkų savivaldybės administracija</v>
      </c>
      <c r="F81" s="164" t="str">
        <f>CONCATENATE('3 pr-2'!F82)</f>
        <v>Lietuvos Respublikos susisiekimo ministerija</v>
      </c>
      <c r="G81" s="164" t="str">
        <f>CONCATENATE('3 pr-2'!G82)</f>
        <v>Druskininkų sav.</v>
      </c>
      <c r="H81" s="164" t="str">
        <f>CONCATENATE('3 pr-2'!H82)</f>
        <v>04.5.1.-TID-R-514</v>
      </c>
      <c r="I81" s="164" t="str">
        <f>CONCATENATE('3 pr-2'!I82)</f>
        <v>R</v>
      </c>
      <c r="J81" s="164" t="str">
        <f>CONCATENATE('3 pr-2'!J82)</f>
        <v>-</v>
      </c>
      <c r="K81" s="1080">
        <f>IF(U81&gt;0,'3 pr-2'!L82,0)</f>
        <v>0</v>
      </c>
      <c r="L81" s="1080">
        <f>IF(U81&gt;0,'3 pr-2'!O82,0)</f>
        <v>0</v>
      </c>
      <c r="M81" s="1080">
        <f>IF(U81&gt;0,'3 pr-2'!R82,0)</f>
        <v>0</v>
      </c>
      <c r="N81" s="1080">
        <f>IF(U81&gt;0,'3 pr-2'!U82,0)</f>
        <v>0</v>
      </c>
      <c r="O81" s="1080">
        <f>IF(U81&gt;0,'3 pr-2'!X82,0)</f>
        <v>0</v>
      </c>
      <c r="P81" s="1080">
        <f>IF(U81&gt;0,'3 pr-2'!AA82,0)</f>
        <v>0</v>
      </c>
      <c r="Q81" s="1164">
        <f>IF($Z$9&gt;0,'3 pr-2'!AB82,0)</f>
        <v>0</v>
      </c>
      <c r="R81" s="566">
        <f>SUM('3 pr-2'!AK82)</f>
        <v>44003</v>
      </c>
      <c r="S81" s="1612" t="str">
        <f>IF(SUMIF(Projektu_sutarciu_ataskaita!$J:$J,$C81,Projektu_sutarciu_ataskaita!$BW:$BW)&gt;0,SUMIF(Projektu_sutarciu_ataskaita!$J:$J,$C81,Projektu_sutarciu_ataskaita!$BW:$BW),"–")</f>
        <v>–</v>
      </c>
      <c r="T81" s="1132" t="str">
        <f t="shared" si="27"/>
        <v>–</v>
      </c>
      <c r="U81" s="247">
        <f>SUMIF(Projektu_sutarciu_ataskaita!$J:$J,$C81,Projektu_sutarciu_ataskaita!$BX:$BX)</f>
        <v>0</v>
      </c>
      <c r="V81" s="992" t="str">
        <f t="shared" si="32"/>
        <v>–</v>
      </c>
      <c r="W81" s="1251">
        <f>IF(U81&gt;0,'IV-3'!K80,0)</f>
        <v>0</v>
      </c>
      <c r="X81" s="1249">
        <f t="shared" si="29"/>
        <v>0</v>
      </c>
    </row>
    <row r="82" spans="1:24" ht="36.75">
      <c r="A82" s="164" t="str">
        <f>CONCATENATE('3 pr-2'!A83)</f>
        <v>1.1.2.2.4</v>
      </c>
      <c r="B82" s="164" t="str">
        <f>CONCATENATE('3 pr-2'!B83)</f>
        <v>R01-5514-190000-1224</v>
      </c>
      <c r="C82" s="281" t="str">
        <f>CONCATENATE('ketv. 2'!B82)</f>
        <v>04.5.1-TID-V-513-01-0006</v>
      </c>
      <c r="D82" s="164" t="str">
        <f>CONCATENATE('3 pr-2'!D83)</f>
        <v>Darnaus judumo plano Druskininkuose parengimas</v>
      </c>
      <c r="E82" s="164" t="str">
        <f>CONCATENATE('3 pr-2'!E83)</f>
        <v>Druskininkų savivaldybės administracija</v>
      </c>
      <c r="F82" s="164" t="str">
        <f>CONCATENATE('3 pr-2'!F83)</f>
        <v>Lietuvos Respublikos susisiekimo ministerija</v>
      </c>
      <c r="G82" s="164" t="str">
        <f>CONCATENATE('3 pr-2'!G83)</f>
        <v>Druskininkų sav.</v>
      </c>
      <c r="H82" s="164" t="str">
        <f>CONCATENATE('3 pr-2'!H83)</f>
        <v>04.5.1-TID-V-513</v>
      </c>
      <c r="I82" s="164" t="str">
        <f>CONCATENATE('3 pr-2'!I83)</f>
        <v>V</v>
      </c>
      <c r="J82" s="164" t="str">
        <f>CONCATENATE('3 pr-2'!J83)</f>
        <v>ITI</v>
      </c>
      <c r="K82" s="1080">
        <f>IF(U82&gt;0,'3 pr-2'!L83,0)</f>
        <v>17000</v>
      </c>
      <c r="L82" s="1080">
        <f>IF(U82&gt;0,'3 pr-2'!O83,0)</f>
        <v>2550</v>
      </c>
      <c r="M82" s="1080">
        <f>IF(U82&gt;0,'3 pr-2'!R83,0)</f>
        <v>0</v>
      </c>
      <c r="N82" s="1080">
        <f>IF(U82&gt;0,'3 pr-2'!U83,0)</f>
        <v>0</v>
      </c>
      <c r="O82" s="1080">
        <f>IF(U82&gt;0,'3 pr-2'!X83,0)</f>
        <v>0</v>
      </c>
      <c r="P82" s="1080">
        <f>IF(U82&gt;0,'3 pr-2'!AA83,0)</f>
        <v>14450</v>
      </c>
      <c r="Q82" s="1164">
        <f>IF($Z$9&gt;0,'3 pr-2'!AB83,0)</f>
        <v>0</v>
      </c>
      <c r="R82" s="566">
        <f>SUM('3 pr-2'!AK83)</f>
        <v>43100</v>
      </c>
      <c r="S82" s="1612">
        <f>IF(SUMIF(Projektu_sutarciu_ataskaita!$J:$J,$C82,Projektu_sutarciu_ataskaita!$BW:$BW)&gt;0,SUMIF(Projektu_sutarciu_ataskaita!$J:$J,$C82,Projektu_sutarciu_ataskaita!$BW:$BW),"–")</f>
        <v>42978</v>
      </c>
      <c r="T82" s="1132">
        <f t="shared" si="27"/>
        <v>43004</v>
      </c>
      <c r="U82" s="247">
        <f>SUMIF(Projektu_sutarciu_ataskaita!$J:$J,$C82,Projektu_sutarciu_ataskaita!$BX:$BX)</f>
        <v>43004</v>
      </c>
      <c r="V82" s="992" t="str">
        <f t="shared" si="32"/>
        <v>–</v>
      </c>
      <c r="W82" s="1251" t="str">
        <f>IF(U82&gt;0,'IV-3'!K81,0)</f>
        <v>19</v>
      </c>
      <c r="X82" s="1249">
        <f t="shared" si="29"/>
        <v>1</v>
      </c>
    </row>
    <row r="83" spans="1:24" ht="36.75">
      <c r="A83" s="164" t="str">
        <f>CONCATENATE('3 pr-2'!A84)</f>
        <v>1.1.2.2.5</v>
      </c>
      <c r="B83" s="164" t="str">
        <f>CONCATENATE('3 pr-2'!B84)</f>
        <v>R01-5514-190000-1225</v>
      </c>
      <c r="C83" s="281" t="str">
        <f>CONCATENATE('ketv. 2'!B83)</f>
        <v/>
      </c>
      <c r="D83" s="164" t="str">
        <f>CONCATENATE('3 pr-2'!D84)</f>
        <v>Viešojo transporto organizavimo tobulinimas rekonstruojant Druskininkų miesto gatvių infrastruktūrą</v>
      </c>
      <c r="E83" s="164" t="str">
        <f>CONCATENATE('3 pr-2'!E84)</f>
        <v>Druskininkų savivaldybės administracija</v>
      </c>
      <c r="F83" s="164" t="str">
        <f>CONCATENATE('3 pr-2'!F84)</f>
        <v>Lietuvos Respublikos susisiekimo ministerija</v>
      </c>
      <c r="G83" s="164" t="str">
        <f>CONCATENATE('3 pr-2'!G84)</f>
        <v>Druskininkų sav.</v>
      </c>
      <c r="H83" s="164" t="str">
        <f>CONCATENATE('3 pr-2'!H84)</f>
        <v>04.5.1.-TID-R-514</v>
      </c>
      <c r="I83" s="164" t="str">
        <f>CONCATENATE('3 pr-2'!I84)</f>
        <v>R</v>
      </c>
      <c r="J83" s="164" t="str">
        <f>CONCATENATE('3 pr-2'!J84)</f>
        <v>-</v>
      </c>
      <c r="K83" s="1080">
        <f>IF(U83&gt;0,'3 pr-2'!L84,0)</f>
        <v>0</v>
      </c>
      <c r="L83" s="1080">
        <f>IF(U83&gt;0,'3 pr-2'!O84,0)</f>
        <v>0</v>
      </c>
      <c r="M83" s="1080">
        <f>IF(U83&gt;0,'3 pr-2'!R84,0)</f>
        <v>0</v>
      </c>
      <c r="N83" s="1080">
        <f>IF(U83&gt;0,'3 pr-2'!U84,0)</f>
        <v>0</v>
      </c>
      <c r="O83" s="1080">
        <f>IF(U83&gt;0,'3 pr-2'!X84,0)</f>
        <v>0</v>
      </c>
      <c r="P83" s="1080">
        <f>IF(U83&gt;0,'3 pr-2'!AA84,0)</f>
        <v>0</v>
      </c>
      <c r="Q83" s="1164">
        <f>IF($Z$9&gt;0,'3 pr-2'!AB84,0)</f>
        <v>0</v>
      </c>
      <c r="R83" s="566">
        <f>SUM('3 pr-2'!AK84)</f>
        <v>44003</v>
      </c>
      <c r="S83" s="1612" t="str">
        <f>IF(SUMIF(Projektu_sutarciu_ataskaita!$J:$J,$C83,Projektu_sutarciu_ataskaita!$BW:$BW)&gt;0,SUMIF(Projektu_sutarciu_ataskaita!$J:$J,$C83,Projektu_sutarciu_ataskaita!$BW:$BW),"–")</f>
        <v>–</v>
      </c>
      <c r="T83" s="1132" t="str">
        <f t="shared" si="27"/>
        <v>–</v>
      </c>
      <c r="U83" s="247">
        <f>SUMIF(Projektu_sutarciu_ataskaita!$J:$J,$C83,Projektu_sutarciu_ataskaita!$BX:$BX)</f>
        <v>0</v>
      </c>
      <c r="V83" s="992" t="str">
        <f t="shared" si="32"/>
        <v>–</v>
      </c>
      <c r="W83" s="1251">
        <f>IF(U83&gt;0,'IV-3'!K82,0)</f>
        <v>0</v>
      </c>
      <c r="X83" s="1249">
        <f t="shared" si="29"/>
        <v>0</v>
      </c>
    </row>
    <row r="84" spans="1:24" ht="37.5" thickBot="1">
      <c r="A84" s="164" t="str">
        <f>CONCATENATE('3 pr-2'!A85)</f>
        <v>1.1.2.2.6</v>
      </c>
      <c r="B84" s="164" t="str">
        <f>CONCATENATE('3 pr-2'!B85)</f>
        <v>R01-5514-190000-1226</v>
      </c>
      <c r="C84" s="281" t="str">
        <f>CONCATENATE('ketv. 2'!B84)</f>
        <v/>
      </c>
      <c r="D84" s="164" t="str">
        <f>CONCATENATE('3 pr-2'!D85)</f>
        <v>Vandens transporto infrastruktūros įrengimas skatinant kitų rūšių transportą</v>
      </c>
      <c r="E84" s="164" t="str">
        <f>CONCATENATE('3 pr-2'!E85)</f>
        <v>Druskininkų savivaldybės administracija</v>
      </c>
      <c r="F84" s="164" t="str">
        <f>CONCATENATE('3 pr-2'!F85)</f>
        <v>Lietuvos Respublikos susisiekimo ministerija</v>
      </c>
      <c r="G84" s="164" t="str">
        <f>CONCATENATE('3 pr-2'!G85)</f>
        <v>Druskininkų sav.</v>
      </c>
      <c r="H84" s="164" t="str">
        <f>CONCATENATE('3 pr-2'!H85)</f>
        <v>04.5.1.-TID-R-514</v>
      </c>
      <c r="I84" s="164" t="str">
        <f>CONCATENATE('3 pr-2'!I85)</f>
        <v>R</v>
      </c>
      <c r="J84" s="164" t="str">
        <f>CONCATENATE('3 pr-2'!J85)</f>
        <v>-</v>
      </c>
      <c r="K84" s="1080">
        <f>IF(U84&gt;0,'3 pr-2'!L85,0)</f>
        <v>0</v>
      </c>
      <c r="L84" s="1080">
        <f>IF(U84&gt;0,'3 pr-2'!O85,0)</f>
        <v>0</v>
      </c>
      <c r="M84" s="1080">
        <f>IF(U84&gt;0,'3 pr-2'!R85,0)</f>
        <v>0</v>
      </c>
      <c r="N84" s="1080">
        <f>IF(U84&gt;0,'3 pr-2'!U85,0)</f>
        <v>0</v>
      </c>
      <c r="O84" s="1080">
        <f>IF(U84&gt;0,'3 pr-2'!X85,0)</f>
        <v>0</v>
      </c>
      <c r="P84" s="1080">
        <f>IF(U84&gt;0,'3 pr-2'!AA85,0)</f>
        <v>0</v>
      </c>
      <c r="Q84" s="1164">
        <f>IF($Z$9&gt;0,'3 pr-2'!AB85,0)</f>
        <v>0</v>
      </c>
      <c r="R84" s="566">
        <f>SUM('3 pr-2'!AK85)</f>
        <v>44501</v>
      </c>
      <c r="S84" s="1612" t="str">
        <f>IF(SUMIF(Projektu_sutarciu_ataskaita!$J:$J,$C84,Projektu_sutarciu_ataskaita!$BW:$BW)&gt;0,SUMIF(Projektu_sutarciu_ataskaita!$J:$J,$C84,Projektu_sutarciu_ataskaita!$BW:$BW),"–")</f>
        <v>–</v>
      </c>
      <c r="T84" s="1132" t="str">
        <f t="shared" si="27"/>
        <v>–</v>
      </c>
      <c r="U84" s="247">
        <f>SUMIF(Projektu_sutarciu_ataskaita!$J:$J,$C84,Projektu_sutarciu_ataskaita!$BX:$BX)</f>
        <v>0</v>
      </c>
      <c r="V84" s="992" t="str">
        <f t="shared" si="32"/>
        <v>–</v>
      </c>
      <c r="W84" s="1251">
        <f>IF(U84&gt;0,'IV-3'!K83,0)</f>
        <v>0</v>
      </c>
      <c r="X84" s="1249">
        <f t="shared" si="29"/>
        <v>0</v>
      </c>
    </row>
    <row r="85" spans="1:24" ht="36.75" customHeight="1" thickBot="1">
      <c r="A85" s="296" t="str">
        <f>CONCATENATE('3 pr-2'!A86)</f>
        <v>1.1.2.3</v>
      </c>
      <c r="B85" s="2088" t="str">
        <f>CONCATENATE('3 pr-2'!B86)</f>
        <v>Priemonė:
Pėsčiųjų ir dviračių takų rekonstrukcija ir plėtra</v>
      </c>
      <c r="C85" s="2089"/>
      <c r="D85" s="2089"/>
      <c r="E85" s="2089"/>
      <c r="F85" s="2089"/>
      <c r="G85" s="2089"/>
      <c r="H85" s="2089"/>
      <c r="I85" s="2089"/>
      <c r="J85" s="2090"/>
      <c r="K85" s="1077">
        <f>SUM(K86:K90)</f>
        <v>133670.07</v>
      </c>
      <c r="L85" s="1077">
        <f t="shared" ref="L85:Q85" si="33">SUM(L86:L90)</f>
        <v>20050.509999999998</v>
      </c>
      <c r="M85" s="1077">
        <f t="shared" si="33"/>
        <v>0</v>
      </c>
      <c r="N85" s="1077">
        <f t="shared" si="33"/>
        <v>0</v>
      </c>
      <c r="O85" s="1077">
        <f t="shared" si="33"/>
        <v>0</v>
      </c>
      <c r="P85" s="1077">
        <f t="shared" si="33"/>
        <v>113619.56</v>
      </c>
      <c r="Q85" s="1077">
        <f t="shared" si="33"/>
        <v>0</v>
      </c>
      <c r="R85" s="356"/>
      <c r="S85" s="1612" t="str">
        <f>IF(SUMIF(Projektu_sutarciu_ataskaita!$J:$J,$C85,Projektu_sutarciu_ataskaita!$BW:$BW)&gt;0,SUMIF(Projektu_sutarciu_ataskaita!$J:$J,$C85,Projektu_sutarciu_ataskaita!$BW:$BW),"–")</f>
        <v>–</v>
      </c>
      <c r="T85" s="356" t="str">
        <f t="shared" si="27"/>
        <v>–</v>
      </c>
      <c r="U85" s="1338">
        <f>IF(ISTEXT(#REF!),"–",SUMIF(Projektu_sutarciu_ataskaita!$J:$J,$C85,Projektu_sutarciu_ataskaita!$BX:$BX))</f>
        <v>0</v>
      </c>
      <c r="V85" s="356" t="str">
        <f t="shared" si="31"/>
        <v>–</v>
      </c>
      <c r="W85" s="1249"/>
      <c r="X85" s="1249">
        <f t="shared" si="29"/>
        <v>0</v>
      </c>
    </row>
    <row r="86" spans="1:24" ht="36.75">
      <c r="A86" s="164" t="str">
        <f>CONCATENATE('3 pr-2'!A87)</f>
        <v>1.1.2.3.1</v>
      </c>
      <c r="B86" s="164" t="str">
        <f>CONCATENATE('3 pr-2'!B87)</f>
        <v>R01-5516-190000-1231</v>
      </c>
      <c r="C86" s="281" t="str">
        <f>CONCATENATE('ketv. 2'!B86)</f>
        <v>04.5.1-TID-R-516-11-0004</v>
      </c>
      <c r="D86" s="164" t="str">
        <f>CONCATENATE('3 pr-2'!D87)</f>
        <v>Dviračių ir pėsčiųjų takų įrengimas Varėnos miesto J. Basanavičiaus ir Žiedo gatvėse</v>
      </c>
      <c r="E86" s="164" t="str">
        <f>CONCATENATE('3 pr-2'!E87)</f>
        <v>Varėnos rajono savivaldybės administracija</v>
      </c>
      <c r="F86" s="164" t="str">
        <f>CONCATENATE('3 pr-2'!F87)</f>
        <v>Lietuvos Respublikos susisiekimo ministerija</v>
      </c>
      <c r="G86" s="164" t="str">
        <f>CONCATENATE('3 pr-2'!G87)</f>
        <v>Varėnos r. sav.</v>
      </c>
      <c r="H86" s="164" t="str">
        <f>CONCATENATE('3 pr-2'!H87)</f>
        <v>04.5.1-TID-R-516</v>
      </c>
      <c r="I86" s="164" t="str">
        <f>CONCATENATE('3 pr-2'!I87)</f>
        <v>R</v>
      </c>
      <c r="J86" s="164" t="str">
        <f>CONCATENATE('3 pr-2'!J87)</f>
        <v>ITI</v>
      </c>
      <c r="K86" s="1080">
        <f>IF(U86&gt;0,'3 pr-2'!L87,0)</f>
        <v>0</v>
      </c>
      <c r="L86" s="1080">
        <f>IF(U86&gt;0,'3 pr-2'!O87,0)</f>
        <v>0</v>
      </c>
      <c r="M86" s="1080">
        <f>IF(U86&gt;0,'3 pr-2'!R87,0)</f>
        <v>0</v>
      </c>
      <c r="N86" s="1080">
        <f>IF(U86&gt;0,'3 pr-2'!U87,0)</f>
        <v>0</v>
      </c>
      <c r="O86" s="1080">
        <f>IF(U86&gt;0,'3 pr-2'!X87,0)</f>
        <v>0</v>
      </c>
      <c r="P86" s="1080">
        <f>IF(U86&gt;0,'3 pr-2'!AA87,0)</f>
        <v>0</v>
      </c>
      <c r="Q86" s="1164">
        <f>IF($Z$9&gt;0,'3 pr-2'!AB87,0)</f>
        <v>0</v>
      </c>
      <c r="R86" s="566">
        <f>SUM('3 pr-2'!AK87)</f>
        <v>44104</v>
      </c>
      <c r="S86" s="1612">
        <f>IF(SUMIF(Projektu_sutarciu_ataskaita!$J:$J,$C86,Projektu_sutarciu_ataskaita!$BW:$BW)&gt;0,SUMIF(Projektu_sutarciu_ataskaita!$J:$J,$C86,Projektu_sutarciu_ataskaita!$BW:$BW),"–")</f>
        <v>44134</v>
      </c>
      <c r="T86" s="1132" t="str">
        <f t="shared" si="27"/>
        <v>–</v>
      </c>
      <c r="U86" s="247">
        <f>SUMIF(Projektu_sutarciu_ataskaita!$J:$J,$C86,Projektu_sutarciu_ataskaita!$BX:$BX)</f>
        <v>0</v>
      </c>
      <c r="V86" s="992" t="str">
        <f t="shared" ref="V86:V90" si="34">IF(U86&gt;0,IF((R86-U86)/30&gt;0,"–",(R86-U86)/30),"–")</f>
        <v>–</v>
      </c>
      <c r="W86" s="1251">
        <f>IF(U86&gt;0,'IV-3'!K85,0)</f>
        <v>0</v>
      </c>
      <c r="X86" s="1249">
        <f t="shared" si="29"/>
        <v>0</v>
      </c>
    </row>
    <row r="87" spans="1:24" ht="36.75">
      <c r="A87" s="164" t="str">
        <f>CONCATENATE('3 pr-2'!A88)</f>
        <v>1.1.2.3.2</v>
      </c>
      <c r="B87" s="164" t="str">
        <f>CONCATENATE('3 pr-2'!B88)</f>
        <v>R01-5516-190000-1232</v>
      </c>
      <c r="C87" s="281" t="str">
        <f>CONCATENATE('ketv. 2'!B87)</f>
        <v>04.5.1-TID-R-516-11-0001</v>
      </c>
      <c r="D87" s="164" t="str">
        <f>CONCATENATE('3 pr-2'!D88)</f>
        <v>Dviračių trasų infrastruktūros įrengimas nuo Putinų g. žiedo Pramonės gatvėje, Alytaus mieste</v>
      </c>
      <c r="E87" s="164" t="str">
        <f>CONCATENATE('3 pr-2'!E88)</f>
        <v>Alytaus miesto savivaldybės administracija</v>
      </c>
      <c r="F87" s="164" t="str">
        <f>CONCATENATE('3 pr-2'!F88)</f>
        <v>Lietuvos Respublikos susisiekimo ministerija</v>
      </c>
      <c r="G87" s="164" t="str">
        <f>CONCATENATE('3 pr-2'!G88)</f>
        <v>Alytaus m. sav.</v>
      </c>
      <c r="H87" s="164" t="str">
        <f>CONCATENATE('3 pr-2'!H88)</f>
        <v>04.5.1-TID-R-516</v>
      </c>
      <c r="I87" s="164" t="str">
        <f>CONCATENATE('3 pr-2'!I88)</f>
        <v>R</v>
      </c>
      <c r="J87" s="164" t="str">
        <f>CONCATENATE('3 pr-2'!J88)</f>
        <v>ITI</v>
      </c>
      <c r="K87" s="1080">
        <f>IF(U87&gt;0,'3 pr-2'!L88,0)</f>
        <v>133670.07</v>
      </c>
      <c r="L87" s="1080">
        <f>IF(U87&gt;0,'3 pr-2'!O88,0)</f>
        <v>20050.509999999998</v>
      </c>
      <c r="M87" s="1080">
        <f>IF(U87&gt;0,'3 pr-2'!R88,0)</f>
        <v>0</v>
      </c>
      <c r="N87" s="1080">
        <f>IF(U87&gt;0,'3 pr-2'!U88,0)</f>
        <v>0</v>
      </c>
      <c r="O87" s="1080">
        <f>IF(U87&gt;0,'3 pr-2'!X88,0)</f>
        <v>0</v>
      </c>
      <c r="P87" s="1080">
        <f>IF(U87&gt;0,'3 pr-2'!AA88,0)</f>
        <v>113619.56</v>
      </c>
      <c r="Q87" s="1164">
        <f>IF($Z$9&gt;0,'3 pr-2'!AB88,0)</f>
        <v>0</v>
      </c>
      <c r="R87" s="566">
        <f>SUM('3 pr-2'!AK88)</f>
        <v>43465</v>
      </c>
      <c r="S87" s="1612">
        <f>IF(SUMIF(Projektu_sutarciu_ataskaita!$J:$J,$C87,Projektu_sutarciu_ataskaita!$BW:$BW)&gt;0,SUMIF(Projektu_sutarciu_ataskaita!$J:$J,$C87,Projektu_sutarciu_ataskaita!$BW:$BW),"–")</f>
        <v>43374</v>
      </c>
      <c r="T87" s="1132">
        <f t="shared" si="27"/>
        <v>43410</v>
      </c>
      <c r="U87" s="247">
        <f>SUMIF(Projektu_sutarciu_ataskaita!$J:$J,$C87,Projektu_sutarciu_ataskaita!$BX:$BX)</f>
        <v>43410</v>
      </c>
      <c r="V87" s="992" t="str">
        <f t="shared" si="34"/>
        <v>–</v>
      </c>
      <c r="W87" s="1251" t="str">
        <f>IF(U87&gt;0,'IV-3'!K86,0)</f>
        <v>19</v>
      </c>
      <c r="X87" s="1249">
        <f t="shared" si="29"/>
        <v>1</v>
      </c>
    </row>
    <row r="88" spans="1:24" ht="36.75">
      <c r="A88" s="164" t="str">
        <f>CONCATENATE('3 pr-2'!A89)</f>
        <v>1.1.2.3.3</v>
      </c>
      <c r="B88" s="164" t="str">
        <f>CONCATENATE('3 pr-2'!B89)</f>
        <v>R01-5516-190000-1233</v>
      </c>
      <c r="C88" s="281" t="str">
        <f>CONCATENATE('ketv. 2'!B88)</f>
        <v>04.5.1-TID-R-516-11-0002</v>
      </c>
      <c r="D88" s="164" t="str">
        <f>CONCATENATE('3 pr-2'!D89)</f>
        <v>Dviračių ir pėsčiųjų takų plėtra Lazdijų miesto Turistų gatvėje iki sodų bendrijos „Baltasis“ Lazdijų seniūnijoje</v>
      </c>
      <c r="E88" s="164" t="str">
        <f>CONCATENATE('3 pr-2'!E89)</f>
        <v>Lazdijų rajono savivaldybės administracija</v>
      </c>
      <c r="F88" s="164" t="str">
        <f>CONCATENATE('3 pr-2'!F89)</f>
        <v>Lietuvos Respublikos susisiekimo ministerija</v>
      </c>
      <c r="G88" s="164" t="str">
        <f>CONCATENATE('3 pr-2'!G89)</f>
        <v>Lazdijų r. sav.</v>
      </c>
      <c r="H88" s="164" t="str">
        <f>CONCATENATE('3 pr-2'!H89)</f>
        <v>04.5.1-TID-R-516</v>
      </c>
      <c r="I88" s="164" t="str">
        <f>CONCATENATE('3 pr-2'!I89)</f>
        <v>R</v>
      </c>
      <c r="J88" s="164" t="str">
        <f>CONCATENATE('3 pr-2'!J89)</f>
        <v>ITI</v>
      </c>
      <c r="K88" s="1080">
        <f>IF(U88&gt;0,'3 pr-2'!L89,0)</f>
        <v>0</v>
      </c>
      <c r="L88" s="1080">
        <f>IF(U88&gt;0,'3 pr-2'!O89,0)</f>
        <v>0</v>
      </c>
      <c r="M88" s="1080">
        <f>IF(U88&gt;0,'3 pr-2'!R89,0)</f>
        <v>0</v>
      </c>
      <c r="N88" s="1080">
        <f>IF(U88&gt;0,'3 pr-2'!U89,0)</f>
        <v>0</v>
      </c>
      <c r="O88" s="1080">
        <f>IF(U88&gt;0,'3 pr-2'!X89,0)</f>
        <v>0</v>
      </c>
      <c r="P88" s="1080">
        <f>IF(U88&gt;0,'3 pr-2'!AA89,0)</f>
        <v>0</v>
      </c>
      <c r="Q88" s="1164">
        <f>IF($Z$9&gt;0,'3 pr-2'!AB89,0)</f>
        <v>0</v>
      </c>
      <c r="R88" s="566">
        <f>SUM('3 pr-2'!AK89)</f>
        <v>43830</v>
      </c>
      <c r="S88" s="1612">
        <f>IF(SUMIF(Projektu_sutarciu_ataskaita!$J:$J,$C88,Projektu_sutarciu_ataskaita!$BW:$BW)&gt;0,SUMIF(Projektu_sutarciu_ataskaita!$J:$J,$C88,Projektu_sutarciu_ataskaita!$BW:$BW),"–")</f>
        <v>43496</v>
      </c>
      <c r="T88" s="1132" t="str">
        <f t="shared" si="27"/>
        <v>–</v>
      </c>
      <c r="U88" s="247">
        <f>SUMIF(Projektu_sutarciu_ataskaita!$J:$J,$C88,Projektu_sutarciu_ataskaita!$BX:$BX)</f>
        <v>0</v>
      </c>
      <c r="V88" s="992" t="str">
        <f t="shared" si="34"/>
        <v>–</v>
      </c>
      <c r="W88" s="1251">
        <f>IF(U88&gt;0,'IV-3'!K87,0)</f>
        <v>0</v>
      </c>
      <c r="X88" s="1249">
        <f t="shared" si="29"/>
        <v>0</v>
      </c>
    </row>
    <row r="89" spans="1:24" ht="36.75">
      <c r="A89" s="164" t="str">
        <f>CONCATENATE('3 pr-2'!A90)</f>
        <v>1.1.2.3.4</v>
      </c>
      <c r="B89" s="164" t="str">
        <f>CONCATENATE('3 pr-2'!B90)</f>
        <v>R01-5516-190000-1234</v>
      </c>
      <c r="C89" s="281" t="str">
        <f>CONCATENATE('ketv. 2'!B89)</f>
        <v>04.5.1-TID-R-516-11-0005</v>
      </c>
      <c r="D89" s="164" t="str">
        <f>CONCATENATE('3 pr-2'!D90)</f>
        <v>Pėsčiųjų ir dviračių takų plėtra Simno seniūnijoje</v>
      </c>
      <c r="E89" s="164" t="str">
        <f>CONCATENATE('3 pr-2'!E90)</f>
        <v>Alytaus rajono savivaldybės administracija</v>
      </c>
      <c r="F89" s="164" t="str">
        <f>CONCATENATE('3 pr-2'!F90)</f>
        <v>Lietuvos Respublikos susisiekimo ministerija</v>
      </c>
      <c r="G89" s="164" t="str">
        <f>CONCATENATE('3 pr-2'!G90)</f>
        <v>Alytaus r. sav.</v>
      </c>
      <c r="H89" s="164" t="str">
        <f>CONCATENATE('3 pr-2'!H90)</f>
        <v>04.5.1-TID-R-516</v>
      </c>
      <c r="I89" s="164" t="str">
        <f>CONCATENATE('3 pr-2'!I90)</f>
        <v>R</v>
      </c>
      <c r="J89" s="164" t="str">
        <f>CONCATENATE('3 pr-2'!J90)</f>
        <v>-</v>
      </c>
      <c r="K89" s="1080">
        <f>IF(U89&gt;0,'3 pr-2'!L90,0)</f>
        <v>0</v>
      </c>
      <c r="L89" s="1080">
        <f>IF(U89&gt;0,'3 pr-2'!O90,0)</f>
        <v>0</v>
      </c>
      <c r="M89" s="1080">
        <f>IF(U89&gt;0,'3 pr-2'!R90,0)</f>
        <v>0</v>
      </c>
      <c r="N89" s="1080">
        <f>IF(U89&gt;0,'3 pr-2'!U90,0)</f>
        <v>0</v>
      </c>
      <c r="O89" s="1080">
        <f>IF(U89&gt;0,'3 pr-2'!X90,0)</f>
        <v>0</v>
      </c>
      <c r="P89" s="1080">
        <f>IF(U89&gt;0,'3 pr-2'!AA90,0)</f>
        <v>0</v>
      </c>
      <c r="Q89" s="1164">
        <f>IF($Z$9&gt;0,'3 pr-2'!AB90,0)</f>
        <v>0</v>
      </c>
      <c r="R89" s="566">
        <f>SUM('3 pr-2'!AK90)</f>
        <v>43830</v>
      </c>
      <c r="S89" s="1612">
        <f>IF(SUMIF(Projektu_sutarciu_ataskaita!$J:$J,$C89,Projektu_sutarciu_ataskaita!$BW:$BW)&gt;0,SUMIF(Projektu_sutarciu_ataskaita!$J:$J,$C89,Projektu_sutarciu_ataskaita!$BW:$BW),"–")</f>
        <v>43615</v>
      </c>
      <c r="T89" s="1132" t="str">
        <f t="shared" si="27"/>
        <v>–</v>
      </c>
      <c r="U89" s="247">
        <f>SUMIF(Projektu_sutarciu_ataskaita!$J:$J,$C89,Projektu_sutarciu_ataskaita!$BX:$BX)</f>
        <v>0</v>
      </c>
      <c r="V89" s="992" t="str">
        <f t="shared" si="34"/>
        <v>–</v>
      </c>
      <c r="W89" s="1251">
        <f>IF(U89&gt;0,'IV-3'!K88,0)</f>
        <v>0</v>
      </c>
      <c r="X89" s="1249">
        <f t="shared" si="29"/>
        <v>0</v>
      </c>
    </row>
    <row r="90" spans="1:24" ht="37.5" thickBot="1">
      <c r="A90" s="164" t="str">
        <f>CONCATENATE('3 pr-2'!A91)</f>
        <v>1.1.2.3.5</v>
      </c>
      <c r="B90" s="164" t="str">
        <f>CONCATENATE('3 pr-2'!B91)</f>
        <v>R01-5516-190000-1235</v>
      </c>
      <c r="C90" s="281" t="str">
        <f>CONCATENATE('ketv. 2'!B90)</f>
        <v>04.5.1-TID-R-516-11-0006</v>
      </c>
      <c r="D90" s="164" t="str">
        <f>CONCATENATE('3 pr-2'!D91)</f>
        <v>Dviračių ir pėsčiųjų tako, esančio šalia Ratnyčios upelio Druskininkų mieste, rekonstrukcija</v>
      </c>
      <c r="E90" s="164" t="str">
        <f>CONCATENATE('3 pr-2'!E91)</f>
        <v xml:space="preserve">Druskininkų savivaldybės administracija  </v>
      </c>
      <c r="F90" s="164" t="str">
        <f>CONCATENATE('3 pr-2'!F91)</f>
        <v>Lietuvos Respublikos susisiekimo ministerija</v>
      </c>
      <c r="G90" s="164" t="str">
        <f>CONCATENATE('3 pr-2'!G91)</f>
        <v>Druskininkų sav.</v>
      </c>
      <c r="H90" s="164" t="str">
        <f>CONCATENATE('3 pr-2'!H91)</f>
        <v>04.5.1-TID-R-516</v>
      </c>
      <c r="I90" s="164" t="str">
        <f>CONCATENATE('3 pr-2'!I91)</f>
        <v>R</v>
      </c>
      <c r="J90" s="164" t="str">
        <f>CONCATENATE('3 pr-2'!J91)</f>
        <v>-</v>
      </c>
      <c r="K90" s="1080">
        <f>IF(U90&gt;0,'3 pr-2'!L91,0)</f>
        <v>0</v>
      </c>
      <c r="L90" s="1080">
        <f>IF(U90&gt;0,'3 pr-2'!O91,0)</f>
        <v>0</v>
      </c>
      <c r="M90" s="1080">
        <f>IF(U90&gt;0,'3 pr-2'!R91,0)</f>
        <v>0</v>
      </c>
      <c r="N90" s="1080">
        <f>IF(U90&gt;0,'3 pr-2'!U91,0)</f>
        <v>0</v>
      </c>
      <c r="O90" s="1080">
        <f>IF(U90&gt;0,'3 pr-2'!X91,0)</f>
        <v>0</v>
      </c>
      <c r="P90" s="1080">
        <f>IF(U90&gt;0,'3 pr-2'!AA91,0)</f>
        <v>0</v>
      </c>
      <c r="Q90" s="1164">
        <f>IF($Z$9&gt;0,'3 pr-2'!AB91,0)</f>
        <v>0</v>
      </c>
      <c r="R90" s="566">
        <f>SUM('3 pr-2'!AK91)</f>
        <v>43997</v>
      </c>
      <c r="S90" s="1612" t="str">
        <f>IF(SUMIF(Projektu_sutarciu_ataskaita!$J:$J,$C90,Projektu_sutarciu_ataskaita!$BW:$BW)&gt;0,SUMIF(Projektu_sutarciu_ataskaita!$J:$J,$C90,Projektu_sutarciu_ataskaita!$BW:$BW),"–")</f>
        <v>–</v>
      </c>
      <c r="T90" s="1132" t="str">
        <f t="shared" si="27"/>
        <v>–</v>
      </c>
      <c r="U90" s="247">
        <f>SUMIF(Projektu_sutarciu_ataskaita!$J:$J,$C90,Projektu_sutarciu_ataskaita!$BX:$BX)</f>
        <v>0</v>
      </c>
      <c r="V90" s="992" t="str">
        <f t="shared" si="34"/>
        <v>–</v>
      </c>
      <c r="W90" s="1251">
        <f>IF(U90&gt;0,'IV-3'!K89,0)</f>
        <v>0</v>
      </c>
      <c r="X90" s="1249">
        <f t="shared" si="29"/>
        <v>0</v>
      </c>
    </row>
    <row r="91" spans="1:24" ht="42.75" customHeight="1" thickBot="1">
      <c r="A91" s="296" t="str">
        <f>CONCATENATE('3 pr-2'!A92)</f>
        <v>1.1.2.4</v>
      </c>
      <c r="B91" s="2088" t="str">
        <f>CONCATENATE('3 pr-2'!B92)</f>
        <v>Priemonė:
Vietinių kelių techninių parametrų ir eismo saugos gerinimas</v>
      </c>
      <c r="C91" s="2089"/>
      <c r="D91" s="2089"/>
      <c r="E91" s="2089"/>
      <c r="F91" s="2089"/>
      <c r="G91" s="2089"/>
      <c r="H91" s="2089"/>
      <c r="I91" s="2089"/>
      <c r="J91" s="2090"/>
      <c r="K91" s="1077">
        <f>SUM(K92:K98)</f>
        <v>879927.06</v>
      </c>
      <c r="L91" s="1077">
        <f t="shared" ref="L91:Q91" si="35">SUM(L92:L98)</f>
        <v>131989.06</v>
      </c>
      <c r="M91" s="1077">
        <f t="shared" si="35"/>
        <v>0</v>
      </c>
      <c r="N91" s="1077">
        <f t="shared" si="35"/>
        <v>0</v>
      </c>
      <c r="O91" s="1077">
        <f t="shared" si="35"/>
        <v>0</v>
      </c>
      <c r="P91" s="1077">
        <f t="shared" si="35"/>
        <v>747938</v>
      </c>
      <c r="Q91" s="1077">
        <f t="shared" si="35"/>
        <v>0</v>
      </c>
      <c r="R91" s="356"/>
      <c r="S91" s="1612" t="str">
        <f>IF(SUMIF(Projektu_sutarciu_ataskaita!$J:$J,$C91,Projektu_sutarciu_ataskaita!$BW:$BW)&gt;0,SUMIF(Projektu_sutarciu_ataskaita!$J:$J,$C91,Projektu_sutarciu_ataskaita!$BW:$BW),"–")</f>
        <v>–</v>
      </c>
      <c r="T91" s="356" t="str">
        <f t="shared" si="27"/>
        <v>–</v>
      </c>
      <c r="U91" s="1338">
        <f>IF(ISTEXT(#REF!),"–",SUMIF(Projektu_sutarciu_ataskaita!$J:$J,$C91,Projektu_sutarciu_ataskaita!$BX:$BX))</f>
        <v>0</v>
      </c>
      <c r="V91" s="356" t="str">
        <f t="shared" si="31"/>
        <v>–</v>
      </c>
      <c r="W91" s="1249"/>
      <c r="X91" s="1249">
        <f t="shared" si="29"/>
        <v>0</v>
      </c>
    </row>
    <row r="92" spans="1:24" ht="36.75">
      <c r="A92" s="164" t="str">
        <f>CONCATENATE('3 pr-2'!A93)</f>
        <v>1.1.2.4.1</v>
      </c>
      <c r="B92" s="164" t="str">
        <f>CONCATENATE('3 pr-2'!B93)</f>
        <v>R01-5511-120000-1241</v>
      </c>
      <c r="C92" s="281" t="str">
        <f>CONCATENATE('ketv. 2'!B92)</f>
        <v>06.2.1-TID-R-511-11-0002</v>
      </c>
      <c r="D92" s="164" t="str">
        <f>CONCATENATE('3 pr-2'!D93)</f>
        <v>Varėnos miesto J. Basanavičiaus, Savanorių, M. K. Čiurlionio gatvių rekonstrukcija</v>
      </c>
      <c r="E92" s="164" t="str">
        <f>CONCATENATE('3 pr-2'!E93)</f>
        <v>Varėnos rajono savivaldybės administracija</v>
      </c>
      <c r="F92" s="164" t="str">
        <f>CONCATENATE('3 pr-2'!F93)</f>
        <v>Lietuvos Respublikos susisiekimo ministerija</v>
      </c>
      <c r="G92" s="164" t="str">
        <f>CONCATENATE('3 pr-2'!G93)</f>
        <v>Varėnos r. sav.</v>
      </c>
      <c r="H92" s="164" t="str">
        <f>CONCATENATE('3 pr-2'!H93)</f>
        <v>06.2.1-TID-R-511</v>
      </c>
      <c r="I92" s="164" t="str">
        <f>CONCATENATE('3 pr-2'!I93)</f>
        <v>R</v>
      </c>
      <c r="J92" s="164" t="str">
        <f>CONCATENATE('3 pr-2'!J93)</f>
        <v>ITI</v>
      </c>
      <c r="K92" s="1080">
        <f>IF(U92&gt;0,'3 pr-2'!L93,0)</f>
        <v>0</v>
      </c>
      <c r="L92" s="1080">
        <f>IF(U92&gt;0,'3 pr-2'!O93,0)</f>
        <v>0</v>
      </c>
      <c r="M92" s="1080">
        <f>IF(U92&gt;0,'3 pr-2'!R93,0)</f>
        <v>0</v>
      </c>
      <c r="N92" s="1080">
        <f>IF(U92&gt;0,'3 pr-2'!U93,0)</f>
        <v>0</v>
      </c>
      <c r="O92" s="1080">
        <f>IF(U92&gt;0,'3 pr-2'!X93,0)</f>
        <v>0</v>
      </c>
      <c r="P92" s="1080">
        <f>IF(U92&gt;0,'3 pr-2'!AA93,0)</f>
        <v>0</v>
      </c>
      <c r="Q92" s="1164">
        <f>IF($Z$9&gt;0,'3 pr-2'!AB93,0)</f>
        <v>0</v>
      </c>
      <c r="R92" s="478">
        <f>SUM('3 pr-2'!AK93)</f>
        <v>44196</v>
      </c>
      <c r="S92" s="1612">
        <f>IF(SUMIF(Projektu_sutarciu_ataskaita!$J:$J,$C92,Projektu_sutarciu_ataskaita!$BW:$BW)&gt;0,SUMIF(Projektu_sutarciu_ataskaita!$J:$J,$C92,Projektu_sutarciu_ataskaita!$BW:$BW),"–")</f>
        <v>44104</v>
      </c>
      <c r="T92" s="1132" t="str">
        <f t="shared" si="27"/>
        <v>–</v>
      </c>
      <c r="U92" s="247">
        <f>SUMIF(Projektu_sutarciu_ataskaita!$J:$J,$C92,Projektu_sutarciu_ataskaita!$BX:$BX)</f>
        <v>0</v>
      </c>
      <c r="V92" s="992" t="str">
        <f t="shared" ref="V92:V98" si="36">IF(U92&gt;0,IF((R92-U92)/30&gt;0,"–",(R92-U92)/30),"–")</f>
        <v>–</v>
      </c>
      <c r="W92" s="1251">
        <f>IF(U92&gt;0,'IV-3'!K91,0)</f>
        <v>0</v>
      </c>
      <c r="X92" s="1249">
        <f t="shared" si="29"/>
        <v>0</v>
      </c>
    </row>
    <row r="93" spans="1:24" ht="36.75">
      <c r="A93" s="164" t="str">
        <f>CONCATENATE('3 pr-2'!A94)</f>
        <v>1.1.2.4.2</v>
      </c>
      <c r="B93" s="164" t="str">
        <f>CONCATENATE('3 pr-2'!B94)</f>
        <v>R01-5511-110000-1242</v>
      </c>
      <c r="C93" s="281" t="str">
        <f>CONCATENATE('ketv. 2'!B93)</f>
        <v>06.2.1-TID-R-511-11-0001</v>
      </c>
      <c r="D93" s="164" t="str">
        <f>CONCATENATE('3 pr-2'!D94)</f>
        <v>Perspektyvinės gatvės nuo Pramonės g. iki Naujosios g. Alytuje įrengimas</v>
      </c>
      <c r="E93" s="164" t="str">
        <f>CONCATENATE('3 pr-2'!E94)</f>
        <v>Alytaus miesto savivaldybės administracija</v>
      </c>
      <c r="F93" s="164" t="str">
        <f>CONCATENATE('3 pr-2'!F94)</f>
        <v>Lietuvos Respublikos susisiekimo ministerija</v>
      </c>
      <c r="G93" s="164" t="str">
        <f>CONCATENATE('3 pr-2'!G94)</f>
        <v>Alytaus m. sav.</v>
      </c>
      <c r="H93" s="164" t="str">
        <f>CONCATENATE('3 pr-2'!H94)</f>
        <v>06.2.1-TID-R-511</v>
      </c>
      <c r="I93" s="164" t="str">
        <f>CONCATENATE('3 pr-2'!I94)</f>
        <v>R</v>
      </c>
      <c r="J93" s="164" t="str">
        <f>CONCATENATE('3 pr-2'!J94)</f>
        <v>ITI</v>
      </c>
      <c r="K93" s="1080">
        <f>IF(U93&gt;0,'3 pr-2'!L94,0)</f>
        <v>879927.06</v>
      </c>
      <c r="L93" s="1080">
        <f>IF(U93&gt;0,'3 pr-2'!O94,0)</f>
        <v>131989.06</v>
      </c>
      <c r="M93" s="1080">
        <f>IF(U93&gt;0,'3 pr-2'!R94,0)</f>
        <v>0</v>
      </c>
      <c r="N93" s="1080">
        <f>IF(U93&gt;0,'3 pr-2'!U94,0)</f>
        <v>0</v>
      </c>
      <c r="O93" s="1080">
        <f>IF(U93&gt;0,'3 pr-2'!X94,0)</f>
        <v>0</v>
      </c>
      <c r="P93" s="1080">
        <f>IF(U93&gt;0,'3 pr-2'!AA94,0)</f>
        <v>747938</v>
      </c>
      <c r="Q93" s="1164">
        <f>IF($Z$9&gt;0,'3 pr-2'!AB94,0)</f>
        <v>0</v>
      </c>
      <c r="R93" s="478">
        <f>SUM('3 pr-2'!AK94)</f>
        <v>43465</v>
      </c>
      <c r="S93" s="1612">
        <f>IF(SUMIF(Projektu_sutarciu_ataskaita!$J:$J,$C93,Projektu_sutarciu_ataskaita!$BW:$BW)&gt;0,SUMIF(Projektu_sutarciu_ataskaita!$J:$J,$C93,Projektu_sutarciu_ataskaita!$BW:$BW),"–")</f>
        <v>43403</v>
      </c>
      <c r="T93" s="1132">
        <f t="shared" si="27"/>
        <v>43447</v>
      </c>
      <c r="U93" s="247">
        <f>SUMIF(Projektu_sutarciu_ataskaita!$J:$J,$C93,Projektu_sutarciu_ataskaita!$BX:$BX)</f>
        <v>43447</v>
      </c>
      <c r="V93" s="992" t="str">
        <f t="shared" si="36"/>
        <v>–</v>
      </c>
      <c r="W93" s="1251" t="str">
        <f>IF(U93&gt;0,'IV-3'!K92,0)</f>
        <v>11</v>
      </c>
      <c r="X93" s="1249">
        <f t="shared" si="29"/>
        <v>1</v>
      </c>
    </row>
    <row r="94" spans="1:24" ht="36.75">
      <c r="A94" s="164" t="str">
        <f>CONCATENATE('3 pr-2'!A95)</f>
        <v>1.1.2.4.3.</v>
      </c>
      <c r="B94" s="164" t="str">
        <f>CONCATENATE('3 pr-2'!B95)</f>
        <v>R01-5511-500000-1243</v>
      </c>
      <c r="C94" s="281" t="str">
        <f>CONCATENATE('ketv. 2'!B94)</f>
        <v>06.2.1-TID-R-511-11-0008</v>
      </c>
      <c r="D94" s="164" t="str">
        <f>CONCATENATE('3 pr-2'!D95)</f>
        <v>Saugaus eismo priemonių diegimas Alytaus mieste</v>
      </c>
      <c r="E94" s="164" t="str">
        <f>CONCATENATE('3 pr-2'!E95)</f>
        <v>Alytaus miesto savivaldybės administracija</v>
      </c>
      <c r="F94" s="164" t="str">
        <f>CONCATENATE('3 pr-2'!F95)</f>
        <v>Lietuvos Respublikos susisiekimo ministerija</v>
      </c>
      <c r="G94" s="164" t="str">
        <f>CONCATENATE('3 pr-2'!G95)</f>
        <v>Alytaus m. sav.</v>
      </c>
      <c r="H94" s="164" t="str">
        <f>CONCATENATE('3 pr-2'!H95)</f>
        <v>06.2.1-TID-R-511</v>
      </c>
      <c r="I94" s="164" t="str">
        <f>CONCATENATE('3 pr-2'!I95)</f>
        <v>R</v>
      </c>
      <c r="J94" s="164" t="str">
        <f>CONCATENATE('3 pr-2'!J95)</f>
        <v>-</v>
      </c>
      <c r="K94" s="1080">
        <f>IF(U94&gt;0,'3 pr-2'!L95,0)</f>
        <v>0</v>
      </c>
      <c r="L94" s="1080">
        <f>IF(U94&gt;0,'3 pr-2'!O95,0)</f>
        <v>0</v>
      </c>
      <c r="M94" s="1080">
        <f>IF(U94&gt;0,'3 pr-2'!R95,0)</f>
        <v>0</v>
      </c>
      <c r="N94" s="1080">
        <f>IF(U94&gt;0,'3 pr-2'!U95,0)</f>
        <v>0</v>
      </c>
      <c r="O94" s="1080">
        <f>IF(U94&gt;0,'3 pr-2'!X95,0)</f>
        <v>0</v>
      </c>
      <c r="P94" s="1080">
        <f>IF(U94&gt;0,'3 pr-2'!AA95,0)</f>
        <v>0</v>
      </c>
      <c r="Q94" s="1164">
        <f>IF($Z$9&gt;0,'3 pr-2'!AB95,0)</f>
        <v>0</v>
      </c>
      <c r="R94" s="478">
        <f>SUM('3 pr-2'!AK95)</f>
        <v>43829</v>
      </c>
      <c r="S94" s="1612">
        <f>IF(SUMIF(Projektu_sutarciu_ataskaita!$J:$J,$C94,Projektu_sutarciu_ataskaita!$BW:$BW)&gt;0,SUMIF(Projektu_sutarciu_ataskaita!$J:$J,$C94,Projektu_sutarciu_ataskaita!$BW:$BW),"–")</f>
        <v>43860</v>
      </c>
      <c r="T94" s="1132" t="str">
        <f t="shared" si="27"/>
        <v>–</v>
      </c>
      <c r="U94" s="247">
        <f>SUMIF(Projektu_sutarciu_ataskaita!$J:$J,$C94,Projektu_sutarciu_ataskaita!$BX:$BX)</f>
        <v>0</v>
      </c>
      <c r="V94" s="992" t="str">
        <f t="shared" si="36"/>
        <v>–</v>
      </c>
      <c r="W94" s="1251">
        <f>IF(U94&gt;0,'IV-3'!K93,0)</f>
        <v>0</v>
      </c>
      <c r="X94" s="1249">
        <f t="shared" si="29"/>
        <v>0</v>
      </c>
    </row>
    <row r="95" spans="1:24" ht="36.75">
      <c r="A95" s="164" t="str">
        <f>CONCATENATE('3 pr-2'!A96)</f>
        <v>1.1.2.4.4</v>
      </c>
      <c r="B95" s="164" t="str">
        <f>CONCATENATE('3 pr-2'!B96)</f>
        <v>R01-5511-500000-1244</v>
      </c>
      <c r="C95" s="281" t="str">
        <f>CONCATENATE('ketv. 2'!B95)</f>
        <v>06.2.1-TID-R-511-11-0006</v>
      </c>
      <c r="D95" s="164" t="str">
        <f>CONCATENATE('3 pr-2'!D96)</f>
        <v>Eismo saugos priemonių diegimas Alytaus rajono savivaldybėje</v>
      </c>
      <c r="E95" s="164" t="str">
        <f>CONCATENATE('3 pr-2'!E96)</f>
        <v>Alytaus rajono savivaldybės administracija</v>
      </c>
      <c r="F95" s="164" t="str">
        <f>CONCATENATE('3 pr-2'!F96)</f>
        <v>Lietuvos Respublikos susisiekimo ministerija</v>
      </c>
      <c r="G95" s="164" t="str">
        <f>CONCATENATE('3 pr-2'!G96)</f>
        <v>Alytaus r. sav.</v>
      </c>
      <c r="H95" s="164" t="str">
        <f>CONCATENATE('3 pr-2'!H96)</f>
        <v>06.2.1-TID-R-511</v>
      </c>
      <c r="I95" s="164" t="str">
        <f>CONCATENATE('3 pr-2'!I96)</f>
        <v>R</v>
      </c>
      <c r="J95" s="164" t="str">
        <f>CONCATENATE('3 pr-2'!J96)</f>
        <v>-</v>
      </c>
      <c r="K95" s="1080">
        <f>IF(U95&gt;0,'3 pr-2'!L96,0)</f>
        <v>0</v>
      </c>
      <c r="L95" s="1080">
        <f>IF(U95&gt;0,'3 pr-2'!O96,0)</f>
        <v>0</v>
      </c>
      <c r="M95" s="1080">
        <f>IF(U95&gt;0,'3 pr-2'!R96,0)</f>
        <v>0</v>
      </c>
      <c r="N95" s="1080">
        <f>IF(U95&gt;0,'3 pr-2'!U96,0)</f>
        <v>0</v>
      </c>
      <c r="O95" s="1080">
        <f>IF(U95&gt;0,'3 pr-2'!X96,0)</f>
        <v>0</v>
      </c>
      <c r="P95" s="1080">
        <f>IF(U95&gt;0,'3 pr-2'!AA96,0)</f>
        <v>0</v>
      </c>
      <c r="Q95" s="1164">
        <f>IF($Z$9&gt;0,'3 pr-2'!AB96,0)</f>
        <v>0</v>
      </c>
      <c r="R95" s="478">
        <f>SUM('3 pr-2'!AK96)</f>
        <v>43738</v>
      </c>
      <c r="S95" s="1612">
        <f>IF(SUMIF(Projektu_sutarciu_ataskaita!$J:$J,$C95,Projektu_sutarciu_ataskaita!$BW:$BW)&gt;0,SUMIF(Projektu_sutarciu_ataskaita!$J:$J,$C95,Projektu_sutarciu_ataskaita!$BW:$BW),"–")</f>
        <v>43768</v>
      </c>
      <c r="T95" s="1132" t="str">
        <f t="shared" si="27"/>
        <v>–</v>
      </c>
      <c r="U95" s="247">
        <f>SUMIF(Projektu_sutarciu_ataskaita!$J:$J,$C95,Projektu_sutarciu_ataskaita!$BX:$BX)</f>
        <v>0</v>
      </c>
      <c r="V95" s="992" t="str">
        <f t="shared" si="36"/>
        <v>–</v>
      </c>
      <c r="W95" s="1251">
        <f>IF(U95&gt;0,'IV-3'!K94,0)</f>
        <v>0</v>
      </c>
      <c r="X95" s="1249">
        <f t="shared" si="29"/>
        <v>0</v>
      </c>
    </row>
    <row r="96" spans="1:24" ht="36.75">
      <c r="A96" s="164" t="str">
        <f>CONCATENATE('3 pr-2'!A97)</f>
        <v>1.1.2.4.5</v>
      </c>
      <c r="B96" s="164" t="str">
        <f>CONCATENATE('3 pr-2'!B97)</f>
        <v>R01-5511-120900-1245</v>
      </c>
      <c r="C96" s="281" t="str">
        <f>CONCATENATE('ketv. 2'!B96)</f>
        <v>06.2.1-TID-R-511-11-0007</v>
      </c>
      <c r="D96" s="164" t="str">
        <f>CONCATENATE('3 pr-2'!D97)</f>
        <v>M.K. Čiurlionio gatvės atkarpos Druskininkų m. rekonstrukcija</v>
      </c>
      <c r="E96" s="164" t="str">
        <f>CONCATENATE('3 pr-2'!E97)</f>
        <v xml:space="preserve">Druskininkų savivaldybės administracija  </v>
      </c>
      <c r="F96" s="164" t="str">
        <f>CONCATENATE('3 pr-2'!F97)</f>
        <v>Lietuvos Respublikos susisiekimo ministerija</v>
      </c>
      <c r="G96" s="164" t="str">
        <f>CONCATENATE('3 pr-2'!G97)</f>
        <v>Druskininkų sav.</v>
      </c>
      <c r="H96" s="164" t="str">
        <f>CONCATENATE('3 pr-2'!H97)</f>
        <v>06.2.1-TID-R-511</v>
      </c>
      <c r="I96" s="164" t="str">
        <f>CONCATENATE('3 pr-2'!I97)</f>
        <v>R</v>
      </c>
      <c r="J96" s="164" t="str">
        <f>CONCATENATE('3 pr-2'!J97)</f>
        <v>ITI</v>
      </c>
      <c r="K96" s="1080">
        <f>IF(U96&gt;0,'3 pr-2'!L97,0)</f>
        <v>0</v>
      </c>
      <c r="L96" s="1080">
        <f>IF(U96&gt;0,'3 pr-2'!O97,0)</f>
        <v>0</v>
      </c>
      <c r="M96" s="1080">
        <f>IF(U96&gt;0,'3 pr-2'!R97,0)</f>
        <v>0</v>
      </c>
      <c r="N96" s="1080">
        <f>IF(U96&gt;0,'3 pr-2'!U97,0)</f>
        <v>0</v>
      </c>
      <c r="O96" s="1080">
        <f>IF(U96&gt;0,'3 pr-2'!X97,0)</f>
        <v>0</v>
      </c>
      <c r="P96" s="1080">
        <f>IF(U96&gt;0,'3 pr-2'!AA97,0)</f>
        <v>0</v>
      </c>
      <c r="Q96" s="1164">
        <f>IF($Z$9&gt;0,'3 pr-2'!AB97,0)</f>
        <v>0</v>
      </c>
      <c r="R96" s="478">
        <f>SUM('3 pr-2'!AK97)</f>
        <v>43830</v>
      </c>
      <c r="S96" s="1612">
        <f>IF(SUMIF(Projektu_sutarciu_ataskaita!$J:$J,$C96,Projektu_sutarciu_ataskaita!$BW:$BW)&gt;0,SUMIF(Projektu_sutarciu_ataskaita!$J:$J,$C96,Projektu_sutarciu_ataskaita!$BW:$BW),"–")</f>
        <v>44195</v>
      </c>
      <c r="T96" s="1132" t="str">
        <f t="shared" si="27"/>
        <v>–</v>
      </c>
      <c r="U96" s="247">
        <f>SUMIF(Projektu_sutarciu_ataskaita!$J:$J,$C96,Projektu_sutarciu_ataskaita!$BX:$BX)</f>
        <v>0</v>
      </c>
      <c r="V96" s="992" t="str">
        <f t="shared" si="36"/>
        <v>–</v>
      </c>
      <c r="W96" s="1251">
        <f>IF(U96&gt;0,'IV-3'!K95,0)</f>
        <v>0</v>
      </c>
      <c r="X96" s="1249">
        <f t="shared" si="29"/>
        <v>0</v>
      </c>
    </row>
    <row r="97" spans="1:24" ht="36.75">
      <c r="A97" s="164" t="str">
        <f>CONCATENATE('3 pr-2'!A98)</f>
        <v>1.1.2.4.6</v>
      </c>
      <c r="B97" s="164" t="str">
        <f>CONCATENATE('3 pr-2'!B98)</f>
        <v>R01-5511-120000-1246</v>
      </c>
      <c r="C97" s="281" t="str">
        <f>CONCATENATE('ketv. 2'!B97)</f>
        <v>06.2.1-TID-R-511-11-0004</v>
      </c>
      <c r="D97" s="164" t="str">
        <f>CONCATENATE('3 pr-2'!D98)</f>
        <v>Lazdijų miesto Seinų ir Lazdijos gatvių bei vietinės reikšmės kelio nuo Janonio gatvės iki Lazdijų hipodromo rekonstravimas</v>
      </c>
      <c r="E97" s="164" t="str">
        <f>CONCATENATE('3 pr-2'!E98)</f>
        <v>Lazdijų rajono savivaldybės administracija</v>
      </c>
      <c r="F97" s="164" t="str">
        <f>CONCATENATE('3 pr-2'!F98)</f>
        <v>Lietuvos Respublikos susisiekimo ministerija</v>
      </c>
      <c r="G97" s="164" t="str">
        <f>CONCATENATE('3 pr-2'!G98)</f>
        <v>Lazdijų r. sav.</v>
      </c>
      <c r="H97" s="164" t="str">
        <f>CONCATENATE('3 pr-2'!H98)</f>
        <v>06.2.1-TID-R-511</v>
      </c>
      <c r="I97" s="164" t="str">
        <f>CONCATENATE('3 pr-2'!I98)</f>
        <v>R</v>
      </c>
      <c r="J97" s="164" t="str">
        <f>CONCATENATE('3 pr-2'!J98)</f>
        <v>ITI</v>
      </c>
      <c r="K97" s="1080">
        <f>IF(U97&gt;0,'3 pr-2'!L98,0)</f>
        <v>0</v>
      </c>
      <c r="L97" s="1080">
        <f>IF(U97&gt;0,'3 pr-2'!O98,0)</f>
        <v>0</v>
      </c>
      <c r="M97" s="1080">
        <f>IF(U97&gt;0,'3 pr-2'!R98,0)</f>
        <v>0</v>
      </c>
      <c r="N97" s="1080">
        <f>IF(U97&gt;0,'3 pr-2'!U98,0)</f>
        <v>0</v>
      </c>
      <c r="O97" s="1080">
        <f>IF(U97&gt;0,'3 pr-2'!X98,0)</f>
        <v>0</v>
      </c>
      <c r="P97" s="1080">
        <f>IF(U97&gt;0,'3 pr-2'!AA98,0)</f>
        <v>0</v>
      </c>
      <c r="Q97" s="1164">
        <f>IF($Z$9&gt;0,'3 pr-2'!AB98,0)</f>
        <v>0</v>
      </c>
      <c r="R97" s="478">
        <f>SUM('3 pr-2'!AK98)</f>
        <v>43830</v>
      </c>
      <c r="S97" s="1612">
        <f>IF(SUMIF(Projektu_sutarciu_ataskaita!$J:$J,$C97,Projektu_sutarciu_ataskaita!$BW:$BW)&gt;0,SUMIF(Projektu_sutarciu_ataskaita!$J:$J,$C97,Projektu_sutarciu_ataskaita!$BW:$BW),"–")</f>
        <v>43768</v>
      </c>
      <c r="T97" s="1132" t="str">
        <f t="shared" si="27"/>
        <v>–</v>
      </c>
      <c r="U97" s="247">
        <f>SUMIF(Projektu_sutarciu_ataskaita!$J:$J,$C97,Projektu_sutarciu_ataskaita!$BX:$BX)</f>
        <v>0</v>
      </c>
      <c r="V97" s="992" t="str">
        <f t="shared" si="36"/>
        <v>–</v>
      </c>
      <c r="W97" s="1251">
        <f>IF(U97&gt;0,'IV-3'!K96,0)</f>
        <v>0</v>
      </c>
      <c r="X97" s="1249">
        <f t="shared" si="29"/>
        <v>0</v>
      </c>
    </row>
    <row r="98" spans="1:24" ht="37.5" thickBot="1">
      <c r="A98" s="164" t="str">
        <f>CONCATENATE('3 pr-2'!A99)</f>
        <v>1.1.2.4.7</v>
      </c>
      <c r="B98" s="236" t="str">
        <f>CONCATENATE('3 pr-2'!B99)</f>
        <v>R01-5511-120000-1247</v>
      </c>
      <c r="C98" s="281" t="str">
        <f>CONCATENATE('ketv. 2'!B98)</f>
        <v>06.2.1-TID-R-511-11-0009</v>
      </c>
      <c r="D98" s="164" t="str">
        <f>CONCATENATE('3 pr-2'!D99)</f>
        <v>Eismo saugumo priemonių diegimas Druskininkų savivaldybėje</v>
      </c>
      <c r="E98" s="164" t="str">
        <f>CONCATENATE('3 pr-2'!E99)</f>
        <v xml:space="preserve">Druskininkų savivaldybės administracija  </v>
      </c>
      <c r="F98" s="164" t="str">
        <f>CONCATENATE('3 pr-2'!F99)</f>
        <v>Lietuvos Respublikos susisiekimo ministerija</v>
      </c>
      <c r="G98" s="164" t="str">
        <f>CONCATENATE('3 pr-2'!G99)</f>
        <v>Druskininkų sav.</v>
      </c>
      <c r="H98" s="164" t="str">
        <f>CONCATENATE('3 pr-2'!H99)</f>
        <v>06.2.1-TID-R-511</v>
      </c>
      <c r="I98" s="164" t="str">
        <f>CONCATENATE('3 pr-2'!I99)</f>
        <v>R</v>
      </c>
      <c r="J98" s="164" t="str">
        <f>CONCATENATE('3 pr-2'!J99)</f>
        <v>-</v>
      </c>
      <c r="K98" s="1080">
        <f>IF(U98&gt;0,'3 pr-2'!L99,0)</f>
        <v>0</v>
      </c>
      <c r="L98" s="1080">
        <f>IF(U98&gt;0,'3 pr-2'!O99,0)</f>
        <v>0</v>
      </c>
      <c r="M98" s="1080">
        <f>IF(U98&gt;0,'3 pr-2'!R99,0)</f>
        <v>0</v>
      </c>
      <c r="N98" s="1080">
        <f>IF(U98&gt;0,'3 pr-2'!U99,0)</f>
        <v>0</v>
      </c>
      <c r="O98" s="1080">
        <f>IF(U98&gt;0,'3 pr-2'!X99,0)</f>
        <v>0</v>
      </c>
      <c r="P98" s="1080">
        <f>IF(U98&gt;0,'3 pr-2'!AA99,0)</f>
        <v>0</v>
      </c>
      <c r="Q98" s="1164">
        <f>IF($Z$9&gt;0,'3 pr-2'!AB99,0)</f>
        <v>0</v>
      </c>
      <c r="R98" s="1366">
        <f>SUM('3 pr-2'!AK99)</f>
        <v>43830</v>
      </c>
      <c r="S98" s="1612">
        <f>IF(SUMIF(Projektu_sutarciu_ataskaita!$J:$J,$C98,Projektu_sutarciu_ataskaita!$BW:$BW)&gt;0,SUMIF(Projektu_sutarciu_ataskaita!$J:$J,$C98,Projektu_sutarciu_ataskaita!$BW:$BW),"–")</f>
        <v>44134</v>
      </c>
      <c r="T98" s="1132" t="str">
        <f t="shared" si="27"/>
        <v>–</v>
      </c>
      <c r="U98" s="247">
        <f>SUMIF(Projektu_sutarciu_ataskaita!$J:$J,$C98,Projektu_sutarciu_ataskaita!$BX:$BX)</f>
        <v>0</v>
      </c>
      <c r="V98" s="992" t="str">
        <f t="shared" si="36"/>
        <v>–</v>
      </c>
      <c r="W98" s="1251">
        <f>IF(U98&gt;0,'IV-3'!K97,0)</f>
        <v>0</v>
      </c>
      <c r="X98" s="1249">
        <f t="shared" si="29"/>
        <v>0</v>
      </c>
    </row>
    <row r="99" spans="1:24" ht="48" customHeight="1" thickBot="1">
      <c r="A99" s="139" t="str">
        <f>CONCATENATE('3 pr-2'!A100)</f>
        <v>2.1.</v>
      </c>
      <c r="B99" s="2092" t="str">
        <f>CONCATENATE('3 pr-2'!B100)</f>
        <v>Tikslas:
GERINTI VIEŠŲJŲ  PASLAUGŲ KOKYBĘ IR PRIEINAMUMĄ</v>
      </c>
      <c r="C99" s="2086"/>
      <c r="D99" s="2086"/>
      <c r="E99" s="2086"/>
      <c r="F99" s="2086"/>
      <c r="G99" s="2086"/>
      <c r="H99" s="2086"/>
      <c r="I99" s="2086"/>
      <c r="J99" s="2087"/>
      <c r="K99" s="1199">
        <f t="shared" ref="K99:P99" si="37">SUM(K100+K119+K146+K159)</f>
        <v>988940.80000000005</v>
      </c>
      <c r="L99" s="1199">
        <f t="shared" si="37"/>
        <v>290655.14999999997</v>
      </c>
      <c r="M99" s="1199">
        <f t="shared" si="37"/>
        <v>21947.85</v>
      </c>
      <c r="N99" s="1199">
        <f t="shared" si="37"/>
        <v>0</v>
      </c>
      <c r="O99" s="1199">
        <f t="shared" si="37"/>
        <v>0</v>
      </c>
      <c r="P99" s="1199">
        <f t="shared" si="37"/>
        <v>676337.8</v>
      </c>
      <c r="Q99" s="1199">
        <f t="shared" ref="Q99" si="38">SUM(Q100+Q119+Q146+Q159)</f>
        <v>0</v>
      </c>
      <c r="R99" s="1367" t="s">
        <v>679</v>
      </c>
      <c r="S99" s="1612" t="str">
        <f>IF(SUMIF(Projektu_sutarciu_ataskaita!$J:$J,$C99,Projektu_sutarciu_ataskaita!$BW:$BW)&gt;0,SUMIF(Projektu_sutarciu_ataskaita!$J:$J,$C99,Projektu_sutarciu_ataskaita!$BW:$BW),"–")</f>
        <v>–</v>
      </c>
      <c r="T99" s="1371" t="str">
        <f t="shared" si="27"/>
        <v>–</v>
      </c>
      <c r="U99" s="1380">
        <f>IF(ISTEXT(#REF!),"–",SUMIF(Projektu_sutarciu_ataskaita!$J:$J,$C99,Projektu_sutarciu_ataskaita!$BX:$BX))</f>
        <v>0</v>
      </c>
      <c r="V99" s="1368" t="str">
        <f t="shared" si="31"/>
        <v>–</v>
      </c>
      <c r="W99" s="1249"/>
      <c r="X99" s="1249">
        <f t="shared" si="29"/>
        <v>0</v>
      </c>
    </row>
    <row r="100" spans="1:24" ht="59.25" customHeight="1" thickBot="1">
      <c r="A100" s="138" t="str">
        <f>CONCATENATE('3 pr-2'!A101)</f>
        <v>2.1.1.</v>
      </c>
      <c r="B100" s="2085" t="str">
        <f>CONCATENATE('3 pr-2'!B101)</f>
        <v xml:space="preserve">Uždavinys:
Bendrojo ugdymo ir neformaliojo švietimo įstaigų (ypač vykdančių ikimokyklinio ir priešmokyklinio ugdymo programas) tinklo veiklos efektyvumo didinimas </v>
      </c>
      <c r="C100" s="2086"/>
      <c r="D100" s="2086"/>
      <c r="E100" s="2086"/>
      <c r="F100" s="2086"/>
      <c r="G100" s="2086"/>
      <c r="H100" s="2086"/>
      <c r="I100" s="2086"/>
      <c r="J100" s="2087"/>
      <c r="K100" s="1200">
        <f>SUM(K101+K107+K113)</f>
        <v>0</v>
      </c>
      <c r="L100" s="1200">
        <f t="shared" ref="L100:P100" si="39">SUM(L101+L107+L113)</f>
        <v>0</v>
      </c>
      <c r="M100" s="1200">
        <f t="shared" si="39"/>
        <v>0</v>
      </c>
      <c r="N100" s="1200">
        <f t="shared" si="39"/>
        <v>0</v>
      </c>
      <c r="O100" s="1200">
        <f t="shared" si="39"/>
        <v>0</v>
      </c>
      <c r="P100" s="1200">
        <f t="shared" si="39"/>
        <v>0</v>
      </c>
      <c r="Q100" s="1200">
        <f t="shared" ref="Q100" si="40">SUM(Q101+Q107+Q113)</f>
        <v>0</v>
      </c>
      <c r="R100" s="365" t="s">
        <v>679</v>
      </c>
      <c r="S100" s="1612" t="str">
        <f>IF(SUMIF(Projektu_sutarciu_ataskaita!$J:$J,$C100,Projektu_sutarciu_ataskaita!$BW:$BW)&gt;0,SUMIF(Projektu_sutarciu_ataskaita!$J:$J,$C100,Projektu_sutarciu_ataskaita!$BW:$BW),"–")</f>
        <v>–</v>
      </c>
      <c r="T100" s="1370" t="str">
        <f t="shared" si="27"/>
        <v>–</v>
      </c>
      <c r="U100" s="1380">
        <f>IF(ISTEXT(#REF!),"–",SUMIF(Projektu_sutarciu_ataskaita!$J:$J,$C100,Projektu_sutarciu_ataskaita!$BX:$BX))</f>
        <v>0</v>
      </c>
      <c r="V100" s="1369" t="str">
        <f t="shared" si="31"/>
        <v>–</v>
      </c>
      <c r="W100" s="1249"/>
      <c r="X100" s="1249">
        <f t="shared" si="29"/>
        <v>0</v>
      </c>
    </row>
    <row r="101" spans="1:24" ht="37.5" customHeight="1" thickBot="1">
      <c r="A101" s="296" t="str">
        <f>CONCATENATE('3 pr-2'!A102)</f>
        <v>2.1.1.1</v>
      </c>
      <c r="B101" s="2088" t="str">
        <f>CONCATENATE('3 pr-2'!B102)</f>
        <v>Priemonė:
Mokyklų tinklo efektyvumo didinimas</v>
      </c>
      <c r="C101" s="2089"/>
      <c r="D101" s="2089"/>
      <c r="E101" s="2089"/>
      <c r="F101" s="2089"/>
      <c r="G101" s="2089"/>
      <c r="H101" s="2089"/>
      <c r="I101" s="2089"/>
      <c r="J101" s="2090"/>
      <c r="K101" s="1077">
        <f>SUM(K102:K106)</f>
        <v>0</v>
      </c>
      <c r="L101" s="1077">
        <f t="shared" ref="L101:P101" si="41">SUM(L102:L106)</f>
        <v>0</v>
      </c>
      <c r="M101" s="1077">
        <f t="shared" si="41"/>
        <v>0</v>
      </c>
      <c r="N101" s="1077">
        <f t="shared" si="41"/>
        <v>0</v>
      </c>
      <c r="O101" s="1077">
        <f t="shared" si="41"/>
        <v>0</v>
      </c>
      <c r="P101" s="1077">
        <f t="shared" si="41"/>
        <v>0</v>
      </c>
      <c r="Q101" s="1077">
        <f t="shared" ref="Q101" si="42">SUM(Q102:Q106)</f>
        <v>0</v>
      </c>
      <c r="R101" s="356"/>
      <c r="S101" s="1612" t="str">
        <f>IF(SUMIF(Projektu_sutarciu_ataskaita!$J:$J,$C101,Projektu_sutarciu_ataskaita!$BW:$BW)&gt;0,SUMIF(Projektu_sutarciu_ataskaita!$J:$J,$C101,Projektu_sutarciu_ataskaita!$BW:$BW),"–")</f>
        <v>–</v>
      </c>
      <c r="T101" s="356" t="str">
        <f t="shared" si="27"/>
        <v>–</v>
      </c>
      <c r="U101" s="1338">
        <f>IF(ISTEXT(#REF!),"–",SUMIF(Projektu_sutarciu_ataskaita!$J:$J,$C101,Projektu_sutarciu_ataskaita!$BX:$BX))</f>
        <v>0</v>
      </c>
      <c r="V101" s="356" t="str">
        <f t="shared" si="31"/>
        <v>–</v>
      </c>
      <c r="W101" s="1249"/>
      <c r="X101" s="1249">
        <f t="shared" si="29"/>
        <v>0</v>
      </c>
    </row>
    <row r="102" spans="1:24" ht="36.75">
      <c r="A102" s="164" t="str">
        <f>CONCATENATE('3 pr-2'!A103)</f>
        <v>2.1.1.1.1</v>
      </c>
      <c r="B102" s="236" t="str">
        <f>CONCATENATE('3 pr-2'!B103)</f>
        <v>R01-7724-220000-2111</v>
      </c>
      <c r="C102" s="281" t="str">
        <f>CONCATENATE('ketv. 2'!B102)</f>
        <v>09.1.3-CPVA-R-724-11-0003</v>
      </c>
      <c r="D102" s="164" t="str">
        <f>CONCATENATE('3 pr-2'!D103)</f>
        <v>Varėnos r. Merkinės Vinco Krėvės gimnazijos laisvų patalpų pritaikymas ikimokyklinio ir priešmokyklinio ugdymo grupėms įrengti</v>
      </c>
      <c r="E102" s="164" t="str">
        <f>CONCATENATE('3 pr-2'!E103)</f>
        <v>Varėnos rajono savivaldybės administracija</v>
      </c>
      <c r="F102" s="164" t="str">
        <f>CONCATENATE('3 pr-2'!F103)</f>
        <v>Lietuvos Respublikos švietimo ir mokslo ministerija</v>
      </c>
      <c r="G102" s="164" t="str">
        <f>CONCATENATE('3 pr-2'!G103)</f>
        <v>Varėnos r. sav.</v>
      </c>
      <c r="H102" s="164" t="str">
        <f>CONCATENATE('3 pr-2'!H103)</f>
        <v>09.1.3-CPVA-R-724</v>
      </c>
      <c r="I102" s="164" t="str">
        <f>CONCATENATE('3 pr-2'!I103)</f>
        <v>R</v>
      </c>
      <c r="J102" s="164" t="str">
        <f>CONCATENATE('3 pr-2'!J103)</f>
        <v>-</v>
      </c>
      <c r="K102" s="1080">
        <f>IF(U102&gt;0,'3 pr-2'!L103,0)</f>
        <v>0</v>
      </c>
      <c r="L102" s="1080">
        <f>IF(U102&gt;0,'3 pr-2'!O103,0)</f>
        <v>0</v>
      </c>
      <c r="M102" s="1080">
        <f>IF(U102&gt;0,'3 pr-2'!R103,0)</f>
        <v>0</v>
      </c>
      <c r="N102" s="1080">
        <f>IF(U102&gt;0,'3 pr-2'!U103,0)</f>
        <v>0</v>
      </c>
      <c r="O102" s="1080">
        <f>IF(U102&gt;0,'3 pr-2'!X103,0)</f>
        <v>0</v>
      </c>
      <c r="P102" s="1080">
        <f>IF(U102&gt;0,'3 pr-2'!AA103,0)</f>
        <v>0</v>
      </c>
      <c r="Q102" s="1164">
        <f>IF($Z$9&gt;0,'3 pr-2'!AB103,0)</f>
        <v>0</v>
      </c>
      <c r="R102" s="478">
        <f>SUM('3 pr-2'!AK103)</f>
        <v>43830</v>
      </c>
      <c r="S102" s="1612">
        <f>IF(SUMIF(Projektu_sutarciu_ataskaita!$J:$J,$C102,Projektu_sutarciu_ataskaita!$BW:$BW)&gt;0,SUMIF(Projektu_sutarciu_ataskaita!$J:$J,$C102,Projektu_sutarciu_ataskaita!$BW:$BW),"–")</f>
        <v>43768</v>
      </c>
      <c r="T102" s="1132" t="str">
        <f t="shared" si="27"/>
        <v>–</v>
      </c>
      <c r="U102" s="247">
        <f>SUMIF(Projektu_sutarciu_ataskaita!$J:$J,$C102,Projektu_sutarciu_ataskaita!$BX:$BX)</f>
        <v>0</v>
      </c>
      <c r="V102" s="992" t="str">
        <f t="shared" ref="V102:V106" si="43">IF(U102&gt;0,IF((R102-U102)/30&gt;0,"–",(R102-U102)/30),"–")</f>
        <v>–</v>
      </c>
      <c r="W102" s="1251">
        <f>IF(U102&gt;0,'IV-3'!K101,0)</f>
        <v>0</v>
      </c>
      <c r="X102" s="1249">
        <f t="shared" si="29"/>
        <v>0</v>
      </c>
    </row>
    <row r="103" spans="1:24" ht="36.75">
      <c r="A103" s="164" t="str">
        <f>CONCATENATE('3 pr-2'!A104)</f>
        <v>2.1.1.1.2</v>
      </c>
      <c r="B103" s="236" t="str">
        <f>CONCATENATE('3 pr-2'!B104)</f>
        <v>R01-7724-220000-2112</v>
      </c>
      <c r="C103" s="281" t="str">
        <f>CONCATENATE('ketv. 2'!B103)</f>
        <v>09.1.3-CPVA-R-724-11-0005</v>
      </c>
      <c r="D103" s="164" t="str">
        <f>CONCATENATE('3 pr-2'!D104)</f>
        <v>Alytaus rajono bendrojo ugdymo įstaigų aprūpinimas gamtos, technologijų, menų ir kitų mokslų laboratorijų įranga</v>
      </c>
      <c r="E103" s="164" t="str">
        <f>CONCATENATE('3 pr-2'!E104)</f>
        <v>Alytaus rajono savivaldybės administracija</v>
      </c>
      <c r="F103" s="164" t="str">
        <f>CONCATENATE('3 pr-2'!F104)</f>
        <v>Lietuvos Respublikos švietimo ir mokslo ministerija</v>
      </c>
      <c r="G103" s="164" t="str">
        <f>CONCATENATE('3 pr-2'!G104)</f>
        <v>Alytaus r. sav.</v>
      </c>
      <c r="H103" s="164" t="str">
        <f>CONCATENATE('3 pr-2'!H104)</f>
        <v>09.1.3-CPVA-R-724</v>
      </c>
      <c r="I103" s="164" t="str">
        <f>CONCATENATE('3 pr-2'!I104)</f>
        <v>R</v>
      </c>
      <c r="J103" s="164" t="str">
        <f>CONCATENATE('3 pr-2'!J104)</f>
        <v>-</v>
      </c>
      <c r="K103" s="1080">
        <f>IF(U103&gt;0,'3 pr-2'!L104,0)</f>
        <v>0</v>
      </c>
      <c r="L103" s="1080">
        <f>IF(U103&gt;0,'3 pr-2'!O104,0)</f>
        <v>0</v>
      </c>
      <c r="M103" s="1080">
        <f>IF(U103&gt;0,'3 pr-2'!R104,0)</f>
        <v>0</v>
      </c>
      <c r="N103" s="1080">
        <f>IF(U103&gt;0,'3 pr-2'!U104,0)</f>
        <v>0</v>
      </c>
      <c r="O103" s="1080">
        <f>IF(U103&gt;0,'3 pr-2'!X104,0)</f>
        <v>0</v>
      </c>
      <c r="P103" s="1080">
        <f>IF(U103&gt;0,'3 pr-2'!AA104,0)</f>
        <v>0</v>
      </c>
      <c r="Q103" s="1164">
        <f>IF($Z$9&gt;0,'3 pr-2'!AB104,0)</f>
        <v>0</v>
      </c>
      <c r="R103" s="478">
        <f>SUM('3 pr-2'!AK104)</f>
        <v>43526</v>
      </c>
      <c r="S103" s="1612">
        <f>IF(SUMIF(Projektu_sutarciu_ataskaita!$J:$J,$C103,Projektu_sutarciu_ataskaita!$BW:$BW)&gt;0,SUMIF(Projektu_sutarciu_ataskaita!$J:$J,$C103,Projektu_sutarciu_ataskaita!$BW:$BW),"–")</f>
        <v>43615</v>
      </c>
      <c r="T103" s="1132" t="str">
        <f t="shared" si="27"/>
        <v>–</v>
      </c>
      <c r="U103" s="247">
        <f>SUMIF(Projektu_sutarciu_ataskaita!$J:$J,$C103,Projektu_sutarciu_ataskaita!$BX:$BX)</f>
        <v>0</v>
      </c>
      <c r="V103" s="992" t="str">
        <f t="shared" si="43"/>
        <v>–</v>
      </c>
      <c r="W103" s="1251">
        <f>IF(U103&gt;0,'IV-3'!K102,0)</f>
        <v>0</v>
      </c>
      <c r="X103" s="1249">
        <f t="shared" si="29"/>
        <v>0</v>
      </c>
    </row>
    <row r="104" spans="1:24" ht="36.75">
      <c r="A104" s="164" t="str">
        <f>CONCATENATE('3 pr-2'!A105)</f>
        <v>2.1.1.1.3</v>
      </c>
      <c r="B104" s="236" t="str">
        <f>CONCATENATE('3 pr-2'!B105)</f>
        <v>R01-7724-220000-2113</v>
      </c>
      <c r="C104" s="281" t="str">
        <f>CONCATENATE('ketv. 2'!B104)</f>
        <v>09.1.3-CPVA-R-724-11-0002</v>
      </c>
      <c r="D104" s="164" t="str">
        <f>CONCATENATE('3 pr-2'!D105)</f>
        <v>Modernių ir saugių erdvių kūrimas Dzūkijos pagrindinėje mokykloje, Alytuje</v>
      </c>
      <c r="E104" s="164" t="str">
        <f>CONCATENATE('3 pr-2'!E105)</f>
        <v>Alytaus miesto savivaldybės administracija</v>
      </c>
      <c r="F104" s="164" t="str">
        <f>CONCATENATE('3 pr-2'!F105)</f>
        <v>Lietuvos Respublikos švietimo ir mokslo ministerija</v>
      </c>
      <c r="G104" s="164" t="str">
        <f>CONCATENATE('3 pr-2'!G105)</f>
        <v>Alytaus m. sav.</v>
      </c>
      <c r="H104" s="164" t="str">
        <f>CONCATENATE('3 pr-2'!H105)</f>
        <v>09.1.3-CPVA-R-724</v>
      </c>
      <c r="I104" s="164" t="str">
        <f>CONCATENATE('3 pr-2'!I105)</f>
        <v>R</v>
      </c>
      <c r="J104" s="164" t="str">
        <f>CONCATENATE('3 pr-2'!J105)</f>
        <v>-</v>
      </c>
      <c r="K104" s="1080">
        <f>IF(U104&gt;0,'3 pr-2'!L105,0)</f>
        <v>0</v>
      </c>
      <c r="L104" s="1080">
        <f>IF(U104&gt;0,'3 pr-2'!O105,0)</f>
        <v>0</v>
      </c>
      <c r="M104" s="1080">
        <f>IF(U104&gt;0,'3 pr-2'!R105,0)</f>
        <v>0</v>
      </c>
      <c r="N104" s="1080">
        <f>IF(U104&gt;0,'3 pr-2'!U105,0)</f>
        <v>0</v>
      </c>
      <c r="O104" s="1080">
        <f>IF(U104&gt;0,'3 pr-2'!X105,0)</f>
        <v>0</v>
      </c>
      <c r="P104" s="1080">
        <f>IF(U104&gt;0,'3 pr-2'!AA105,0)</f>
        <v>0</v>
      </c>
      <c r="Q104" s="1164">
        <f>IF($Z$9&gt;0,'3 pr-2'!AB105,0)</f>
        <v>0</v>
      </c>
      <c r="R104" s="478">
        <f>SUM('3 pr-2'!AK105)</f>
        <v>43830</v>
      </c>
      <c r="S104" s="1612">
        <f>IF(SUMIF(Projektu_sutarciu_ataskaita!$J:$J,$C104,Projektu_sutarciu_ataskaita!$BW:$BW)&gt;0,SUMIF(Projektu_sutarciu_ataskaita!$J:$J,$C104,Projektu_sutarciu_ataskaita!$BW:$BW),"–")</f>
        <v>43676</v>
      </c>
      <c r="T104" s="1132" t="str">
        <f t="shared" si="27"/>
        <v>–</v>
      </c>
      <c r="U104" s="247">
        <f>SUMIF(Projektu_sutarciu_ataskaita!$J:$J,$C104,Projektu_sutarciu_ataskaita!$BX:$BX)</f>
        <v>0</v>
      </c>
      <c r="V104" s="992" t="str">
        <f t="shared" si="43"/>
        <v>–</v>
      </c>
      <c r="W104" s="1251">
        <f>IF(U104&gt;0,'IV-3'!K103,0)</f>
        <v>0</v>
      </c>
      <c r="X104" s="1249">
        <f t="shared" si="29"/>
        <v>0</v>
      </c>
    </row>
    <row r="105" spans="1:24" ht="36.75">
      <c r="A105" s="164" t="str">
        <f>CONCATENATE('3 pr-2'!A106)</f>
        <v>2.1.1.1.4</v>
      </c>
      <c r="B105" s="236" t="str">
        <f>CONCATENATE('3 pr-2'!B106)</f>
        <v>R01-7724-220000-2114</v>
      </c>
      <c r="C105" s="281" t="str">
        <f>CONCATENATE('ketv. 2'!B105)</f>
        <v>09.1.3-CPVA-R-724-11-0004</v>
      </c>
      <c r="D105" s="164" t="str">
        <f>CONCATENATE('3 pr-2'!D106)</f>
        <v>Modernių ir saugių erdvių sukūrimas bendrojo ugdymo mokyklose Druskininkų sav.</v>
      </c>
      <c r="E105" s="164" t="str">
        <f>CONCATENATE('3 pr-2'!E106)</f>
        <v>Druskininkų savivaldybės administracija</v>
      </c>
      <c r="F105" s="164" t="str">
        <f>CONCATENATE('3 pr-2'!F106)</f>
        <v>Lietuvos Respublikos švietimo ir mokslo ministerija</v>
      </c>
      <c r="G105" s="164" t="str">
        <f>CONCATENATE('3 pr-2'!G106)</f>
        <v>Druskininkų sav.</v>
      </c>
      <c r="H105" s="164" t="str">
        <f>CONCATENATE('3 pr-2'!H106)</f>
        <v>09.1.3-CPVA-R-724</v>
      </c>
      <c r="I105" s="164" t="str">
        <f>CONCATENATE('3 pr-2'!I106)</f>
        <v>R</v>
      </c>
      <c r="J105" s="164" t="str">
        <f>CONCATENATE('3 pr-2'!J106)</f>
        <v>-</v>
      </c>
      <c r="K105" s="1080">
        <f>IF(U105&gt;0,'3 pr-2'!L106,0)</f>
        <v>0</v>
      </c>
      <c r="L105" s="1080">
        <f>IF(U105&gt;0,'3 pr-2'!O106,0)</f>
        <v>0</v>
      </c>
      <c r="M105" s="1080">
        <f>IF(U105&gt;0,'3 pr-2'!R106,0)</f>
        <v>0</v>
      </c>
      <c r="N105" s="1080">
        <f>IF(U105&gt;0,'3 pr-2'!U106,0)</f>
        <v>0</v>
      </c>
      <c r="O105" s="1080">
        <f>IF(U105&gt;0,'3 pr-2'!X106,0)</f>
        <v>0</v>
      </c>
      <c r="P105" s="1080">
        <f>IF(U105&gt;0,'3 pr-2'!AA106,0)</f>
        <v>0</v>
      </c>
      <c r="Q105" s="1164">
        <f>IF($Z$9&gt;0,'3 pr-2'!AB106,0)</f>
        <v>0</v>
      </c>
      <c r="R105" s="478">
        <f>SUM('3 pr-2'!AK106)</f>
        <v>43830</v>
      </c>
      <c r="S105" s="1612">
        <f>IF(SUMIF(Projektu_sutarciu_ataskaita!$J:$J,$C105,Projektu_sutarciu_ataskaita!$BW:$BW)&gt;0,SUMIF(Projektu_sutarciu_ataskaita!$J:$J,$C105,Projektu_sutarciu_ataskaita!$BW:$BW),"–")</f>
        <v>43585</v>
      </c>
      <c r="T105" s="1132" t="str">
        <f t="shared" si="27"/>
        <v>–</v>
      </c>
      <c r="U105" s="247">
        <f>SUMIF(Projektu_sutarciu_ataskaita!$J:$J,$C105,Projektu_sutarciu_ataskaita!$BX:$BX)</f>
        <v>0</v>
      </c>
      <c r="V105" s="992" t="str">
        <f t="shared" si="43"/>
        <v>–</v>
      </c>
      <c r="W105" s="1251">
        <f>IF(U105&gt;0,'IV-3'!K104,0)</f>
        <v>0</v>
      </c>
      <c r="X105" s="1249">
        <f t="shared" si="29"/>
        <v>0</v>
      </c>
    </row>
    <row r="106" spans="1:24" ht="37.5" thickBot="1">
      <c r="A106" s="164" t="str">
        <f>CONCATENATE('3 pr-2'!A107)</f>
        <v>2.1.1.1.5</v>
      </c>
      <c r="B106" s="236" t="str">
        <f>CONCATENATE('3 pr-2'!B107)</f>
        <v>R01-7724-220000-2115</v>
      </c>
      <c r="C106" s="281" t="str">
        <f>CONCATENATE('ketv. 2'!B106)</f>
        <v>09.1.3-CPVA-R-724-11-0001</v>
      </c>
      <c r="D106" s="164" t="str">
        <f>CONCATENATE('3 pr-2'!D107)</f>
        <v>Modernių ir saugių erdvių sukūrimas bendrojo ugdymo įstaigose Lazdijų rajono savivaldybėje</v>
      </c>
      <c r="E106" s="164" t="str">
        <f>CONCATENATE('3 pr-2'!E107)</f>
        <v>Lazdijų rajono savivaldybės administracija</v>
      </c>
      <c r="F106" s="164" t="str">
        <f>CONCATENATE('3 pr-2'!F107)</f>
        <v>Lietuvos Respublikos švietimo ir mokslo ministerija</v>
      </c>
      <c r="G106" s="164" t="str">
        <f>CONCATENATE('3 pr-2'!G107)</f>
        <v>Lazdijų r. sav.</v>
      </c>
      <c r="H106" s="164" t="str">
        <f>CONCATENATE('3 pr-2'!H107)</f>
        <v>09.1.3-CPVA-R-724</v>
      </c>
      <c r="I106" s="164" t="str">
        <f>CONCATENATE('3 pr-2'!I107)</f>
        <v>R</v>
      </c>
      <c r="J106" s="164" t="str">
        <f>CONCATENATE('3 pr-2'!J107)</f>
        <v>-</v>
      </c>
      <c r="K106" s="1080">
        <f>IF(U106&gt;0,'3 pr-2'!L107,0)</f>
        <v>0</v>
      </c>
      <c r="L106" s="1080">
        <f>IF(U106&gt;0,'3 pr-2'!O107,0)</f>
        <v>0</v>
      </c>
      <c r="M106" s="1080">
        <f>IF(U106&gt;0,'3 pr-2'!R107,0)</f>
        <v>0</v>
      </c>
      <c r="N106" s="1080">
        <f>IF(U106&gt;0,'3 pr-2'!U107,0)</f>
        <v>0</v>
      </c>
      <c r="O106" s="1080">
        <f>IF(U106&gt;0,'3 pr-2'!X107,0)</f>
        <v>0</v>
      </c>
      <c r="P106" s="1080">
        <f>IF(U106&gt;0,'3 pr-2'!AA107,0)</f>
        <v>0</v>
      </c>
      <c r="Q106" s="1164">
        <f>IF($Z$9&gt;0,'3 pr-2'!AB107,0)</f>
        <v>0</v>
      </c>
      <c r="R106" s="478">
        <f>SUM('3 pr-2'!AK107)</f>
        <v>43709</v>
      </c>
      <c r="S106" s="1612">
        <f>IF(SUMIF(Projektu_sutarciu_ataskaita!$J:$J,$C106,Projektu_sutarciu_ataskaita!$BW:$BW)&gt;0,SUMIF(Projektu_sutarciu_ataskaita!$J:$J,$C106,Projektu_sutarciu_ataskaita!$BW:$BW),"–")</f>
        <v>43676</v>
      </c>
      <c r="T106" s="1132" t="str">
        <f t="shared" si="27"/>
        <v>–</v>
      </c>
      <c r="U106" s="247">
        <f>SUMIF(Projektu_sutarciu_ataskaita!$J:$J,$C106,Projektu_sutarciu_ataskaita!$BX:$BX)</f>
        <v>0</v>
      </c>
      <c r="V106" s="992" t="str">
        <f t="shared" si="43"/>
        <v>–</v>
      </c>
      <c r="W106" s="1251">
        <f>IF(U106&gt;0,'IV-3'!K105,0)</f>
        <v>0</v>
      </c>
      <c r="X106" s="1249">
        <f t="shared" si="29"/>
        <v>0</v>
      </c>
    </row>
    <row r="107" spans="1:24" ht="39.75" customHeight="1" thickBot="1">
      <c r="A107" s="296" t="str">
        <f>CONCATENATE('3 pr-2'!A108)</f>
        <v>2.1.1.2</v>
      </c>
      <c r="B107" s="2088" t="str">
        <f>CONCATENATE('3 pr-2'!B108)</f>
        <v>Priemonė:
Neformaliojo švietimo infrastruktūros tobulinimas</v>
      </c>
      <c r="C107" s="2089"/>
      <c r="D107" s="2089"/>
      <c r="E107" s="2089"/>
      <c r="F107" s="2089"/>
      <c r="G107" s="2089"/>
      <c r="H107" s="2089"/>
      <c r="I107" s="2089"/>
      <c r="J107" s="2090"/>
      <c r="K107" s="1077">
        <f>SUM(K108:K112)</f>
        <v>0</v>
      </c>
      <c r="L107" s="1077">
        <f t="shared" ref="L107:Q107" si="44">SUM(L108:L112)</f>
        <v>0</v>
      </c>
      <c r="M107" s="1077">
        <f t="shared" si="44"/>
        <v>0</v>
      </c>
      <c r="N107" s="1077">
        <f t="shared" si="44"/>
        <v>0</v>
      </c>
      <c r="O107" s="1077">
        <f t="shared" si="44"/>
        <v>0</v>
      </c>
      <c r="P107" s="1077">
        <f t="shared" si="44"/>
        <v>0</v>
      </c>
      <c r="Q107" s="1077">
        <f t="shared" si="44"/>
        <v>0</v>
      </c>
      <c r="R107" s="356"/>
      <c r="S107" s="1612" t="str">
        <f>IF(SUMIF(Projektu_sutarciu_ataskaita!$J:$J,$C107,Projektu_sutarciu_ataskaita!$BW:$BW)&gt;0,SUMIF(Projektu_sutarciu_ataskaita!$J:$J,$C107,Projektu_sutarciu_ataskaita!$BW:$BW),"–")</f>
        <v>–</v>
      </c>
      <c r="T107" s="356" t="str">
        <f t="shared" si="27"/>
        <v>–</v>
      </c>
      <c r="U107" s="1338">
        <f>IF(ISTEXT(#REF!),"–",SUMIF(Projektu_sutarciu_ataskaita!$J:$J,$C107,Projektu_sutarciu_ataskaita!$BX:$BX))</f>
        <v>0</v>
      </c>
      <c r="V107" s="356" t="str">
        <f t="shared" si="31"/>
        <v>–</v>
      </c>
      <c r="W107" s="1249"/>
      <c r="X107" s="1249">
        <f t="shared" si="29"/>
        <v>0</v>
      </c>
    </row>
    <row r="108" spans="1:24" ht="36.75">
      <c r="A108" s="164" t="str">
        <f>CONCATENATE('3 pr-2'!A109)</f>
        <v>2.1.1.2.1</v>
      </c>
      <c r="B108" s="236" t="str">
        <f>CONCATENATE('3 pr-2'!B109)</f>
        <v>R01-7725-240000-2121</v>
      </c>
      <c r="C108" s="281" t="str">
        <f>CONCATENATE('ketv. 2'!B108)</f>
        <v>09.1.3-CPVA-R-725-11-0003</v>
      </c>
      <c r="D108" s="164" t="str">
        <f>CONCATENATE('3 pr-2'!D109)</f>
        <v>Varėnos moksleivių kūrybos centro pastato J.Basanavičiaus g. 38, Varėnoje, modernizavimas</v>
      </c>
      <c r="E108" s="164" t="str">
        <f>CONCATENATE('3 pr-2'!E109)</f>
        <v>Varėnos rajono savivaldybės administracija</v>
      </c>
      <c r="F108" s="164" t="str">
        <f>CONCATENATE('3 pr-2'!F109)</f>
        <v>Lietuvos Respublikos švietimo ir mokslo ministerija</v>
      </c>
      <c r="G108" s="164" t="str">
        <f>CONCATENATE('3 pr-2'!G109)</f>
        <v>Varėnos r. sav.</v>
      </c>
      <c r="H108" s="164" t="str">
        <f>CONCATENATE('3 pr-2'!H109)</f>
        <v>09.13.CPVA-R-725</v>
      </c>
      <c r="I108" s="164" t="str">
        <f>CONCATENATE('3 pr-2'!I109)</f>
        <v>R</v>
      </c>
      <c r="J108" s="164" t="str">
        <f>CONCATENATE('3 pr-2'!J109)</f>
        <v>-</v>
      </c>
      <c r="K108" s="1080">
        <f>IF(U108&gt;0,'3 pr-2'!L109,0)</f>
        <v>0</v>
      </c>
      <c r="L108" s="1080">
        <f>IF(U108&gt;0,'3 pr-2'!O109,0)</f>
        <v>0</v>
      </c>
      <c r="M108" s="1080">
        <f>IF(U108&gt;0,'3 pr-2'!R109,0)</f>
        <v>0</v>
      </c>
      <c r="N108" s="1080">
        <f>IF(U108&gt;0,'3 pr-2'!U109,0)</f>
        <v>0</v>
      </c>
      <c r="O108" s="1080">
        <f>IF(U108&gt;0,'3 pr-2'!X109,0)</f>
        <v>0</v>
      </c>
      <c r="P108" s="1080">
        <f>IF(U108&gt;0,'3 pr-2'!AA109,0)</f>
        <v>0</v>
      </c>
      <c r="Q108" s="1164">
        <f>IF($Z$9&gt;0,'3 pr-2'!AB109,0)</f>
        <v>0</v>
      </c>
      <c r="R108" s="478">
        <f>SUM('3 pr-2'!AK109)</f>
        <v>43830</v>
      </c>
      <c r="S108" s="1612">
        <f>IF(SUMIF(Projektu_sutarciu_ataskaita!$J:$J,$C108,Projektu_sutarciu_ataskaita!$BW:$BW)&gt;0,SUMIF(Projektu_sutarciu_ataskaita!$J:$J,$C108,Projektu_sutarciu_ataskaita!$BW:$BW),"–")</f>
        <v>43860</v>
      </c>
      <c r="T108" s="1132" t="str">
        <f t="shared" si="27"/>
        <v>–</v>
      </c>
      <c r="U108" s="247">
        <f>SUMIF(Projektu_sutarciu_ataskaita!$J:$J,$C108,Projektu_sutarciu_ataskaita!$BX:$BX)</f>
        <v>0</v>
      </c>
      <c r="V108" s="992" t="str">
        <f t="shared" ref="V108:V112" si="45">IF(U108&gt;0,IF((R108-U108)/30&gt;0,"–",(R108-U108)/30),"–")</f>
        <v>–</v>
      </c>
      <c r="W108" s="1251">
        <f>IF(U108&gt;0,'IV-3'!K107,0)</f>
        <v>0</v>
      </c>
      <c r="X108" s="1249">
        <f t="shared" si="29"/>
        <v>0</v>
      </c>
    </row>
    <row r="109" spans="1:24" ht="36.75">
      <c r="A109" s="164" t="str">
        <f>CONCATENATE('3 pr-2'!A110)</f>
        <v>2.1.1.2.2</v>
      </c>
      <c r="B109" s="236" t="str">
        <f>CONCATENATE('3 pr-2'!B110)</f>
        <v>R01-7725-240000-2122</v>
      </c>
      <c r="C109" s="281" t="str">
        <f>CONCATENATE('ketv. 2'!B109)</f>
        <v>09.1.3-CPVA-R-725-11-0005</v>
      </c>
      <c r="D109" s="164" t="str">
        <f>CONCATENATE('3 pr-2'!D110)</f>
        <v>Alytaus r. meno ir sporto mokyklos edukacinių erdvių įkūrimas ir atnaujinimas</v>
      </c>
      <c r="E109" s="164" t="str">
        <f>CONCATENATE('3 pr-2'!E110)</f>
        <v>Alytaus rajono savivaldybės administracija</v>
      </c>
      <c r="F109" s="164" t="str">
        <f>CONCATENATE('3 pr-2'!F110)</f>
        <v>Lietuvos Respublikos švietimo ir mokslo ministerija</v>
      </c>
      <c r="G109" s="164" t="str">
        <f>CONCATENATE('3 pr-2'!G110)</f>
        <v>Alytaus r. sav.</v>
      </c>
      <c r="H109" s="164" t="str">
        <f>CONCATENATE('3 pr-2'!H110)</f>
        <v>09.13.CPVA-R-725</v>
      </c>
      <c r="I109" s="164" t="str">
        <f>CONCATENATE('3 pr-2'!I110)</f>
        <v>R</v>
      </c>
      <c r="J109" s="164" t="str">
        <f>CONCATENATE('3 pr-2'!J110)</f>
        <v>-</v>
      </c>
      <c r="K109" s="1080">
        <f>IF(U109&gt;0,'3 pr-2'!L110,0)</f>
        <v>0</v>
      </c>
      <c r="L109" s="1080">
        <f>IF(U109&gt;0,'3 pr-2'!O110,0)</f>
        <v>0</v>
      </c>
      <c r="M109" s="1080">
        <f>IF(U109&gt;0,'3 pr-2'!R110,0)</f>
        <v>0</v>
      </c>
      <c r="N109" s="1080">
        <f>IF(U109&gt;0,'3 pr-2'!U110,0)</f>
        <v>0</v>
      </c>
      <c r="O109" s="1080">
        <f>IF(U109&gt;0,'3 pr-2'!X110,0)</f>
        <v>0</v>
      </c>
      <c r="P109" s="1080">
        <f>IF(U109&gt;0,'3 pr-2'!AA110,0)</f>
        <v>0</v>
      </c>
      <c r="Q109" s="1164">
        <f>IF($Z$9&gt;0,'3 pr-2'!AB110,0)</f>
        <v>0</v>
      </c>
      <c r="R109" s="478">
        <f>SUM('3 pr-2'!AK110)</f>
        <v>43832</v>
      </c>
      <c r="S109" s="1612">
        <f>IF(SUMIF(Projektu_sutarciu_ataskaita!$J:$J,$C109,Projektu_sutarciu_ataskaita!$BW:$BW)&gt;0,SUMIF(Projektu_sutarciu_ataskaita!$J:$J,$C109,Projektu_sutarciu_ataskaita!$BW:$BW),"–")</f>
        <v>43891</v>
      </c>
      <c r="T109" s="1132" t="str">
        <f t="shared" si="27"/>
        <v>–</v>
      </c>
      <c r="U109" s="247">
        <f>SUMIF(Projektu_sutarciu_ataskaita!$J:$J,$C109,Projektu_sutarciu_ataskaita!$BX:$BX)</f>
        <v>0</v>
      </c>
      <c r="V109" s="992" t="str">
        <f t="shared" si="45"/>
        <v>–</v>
      </c>
      <c r="W109" s="1251">
        <f>IF(U109&gt;0,'IV-3'!K108,0)</f>
        <v>0</v>
      </c>
      <c r="X109" s="1249">
        <f t="shared" si="29"/>
        <v>0</v>
      </c>
    </row>
    <row r="110" spans="1:24" ht="36.75">
      <c r="A110" s="164" t="str">
        <f>CONCATENATE('3 pr-2'!A111)</f>
        <v>2.1.1.2.3</v>
      </c>
      <c r="B110" s="236" t="str">
        <f>CONCATENATE('3 pr-2'!B111)</f>
        <v>R01-7725-240000-2123</v>
      </c>
      <c r="C110" s="281" t="str">
        <f>CONCATENATE('ketv. 2'!B110)</f>
        <v>09.1.3-CPVA-R-725-11-0004</v>
      </c>
      <c r="D110" s="164" t="str">
        <f>CONCATENATE('3 pr-2'!D111)</f>
        <v>Alytaus muzikos mokyklos pastato modernizavimas ir ugdymo aplinkos gerinimas</v>
      </c>
      <c r="E110" s="164" t="str">
        <f>CONCATENATE('3 pr-2'!E111)</f>
        <v>Alytaus miesto savivaldybės administracija</v>
      </c>
      <c r="F110" s="164" t="str">
        <f>CONCATENATE('3 pr-2'!F111)</f>
        <v>Lietuvos Respublikos švietimo ir mokslo ministerija</v>
      </c>
      <c r="G110" s="164" t="str">
        <f>CONCATENATE('3 pr-2'!G111)</f>
        <v>Alytaus m. sav.</v>
      </c>
      <c r="H110" s="164" t="str">
        <f>CONCATENATE('3 pr-2'!H111)</f>
        <v>09.13.CPVA-R-725</v>
      </c>
      <c r="I110" s="164" t="str">
        <f>CONCATENATE('3 pr-2'!I111)</f>
        <v>R</v>
      </c>
      <c r="J110" s="164" t="str">
        <f>CONCATENATE('3 pr-2'!J111)</f>
        <v>-</v>
      </c>
      <c r="K110" s="1080">
        <f>IF(U110&gt;0,'3 pr-2'!L111,0)</f>
        <v>0</v>
      </c>
      <c r="L110" s="1080">
        <f>IF(U110&gt;0,'3 pr-2'!O111,0)</f>
        <v>0</v>
      </c>
      <c r="M110" s="1080">
        <f>IF(U110&gt;0,'3 pr-2'!R111,0)</f>
        <v>0</v>
      </c>
      <c r="N110" s="1080">
        <f>IF(U110&gt;0,'3 pr-2'!U111,0)</f>
        <v>0</v>
      </c>
      <c r="O110" s="1080">
        <f>IF(U110&gt;0,'3 pr-2'!X111,0)</f>
        <v>0</v>
      </c>
      <c r="P110" s="1080">
        <f>IF(U110&gt;0,'3 pr-2'!AA111,0)</f>
        <v>0</v>
      </c>
      <c r="Q110" s="1164">
        <f>IF($Z$9&gt;0,'3 pr-2'!AB111,0)</f>
        <v>0</v>
      </c>
      <c r="R110" s="478">
        <f>SUM('3 pr-2'!AK111)</f>
        <v>43830</v>
      </c>
      <c r="S110" s="1612">
        <f>IF(SUMIF(Projektu_sutarciu_ataskaita!$J:$J,$C110,Projektu_sutarciu_ataskaita!$BW:$BW)&gt;0,SUMIF(Projektu_sutarciu_ataskaita!$J:$J,$C110,Projektu_sutarciu_ataskaita!$BW:$BW),"–")</f>
        <v>43707</v>
      </c>
      <c r="T110" s="1132" t="str">
        <f t="shared" si="27"/>
        <v>–</v>
      </c>
      <c r="U110" s="247">
        <f>SUMIF(Projektu_sutarciu_ataskaita!$J:$J,$C110,Projektu_sutarciu_ataskaita!$BX:$BX)</f>
        <v>0</v>
      </c>
      <c r="V110" s="992" t="str">
        <f t="shared" si="45"/>
        <v>–</v>
      </c>
      <c r="W110" s="1251">
        <f>IF(U110&gt;0,'IV-3'!K109,0)</f>
        <v>0</v>
      </c>
      <c r="X110" s="1249">
        <f t="shared" si="29"/>
        <v>0</v>
      </c>
    </row>
    <row r="111" spans="1:24" ht="36.75">
      <c r="A111" s="164" t="str">
        <f>CONCATENATE('3 pr-2'!A112)</f>
        <v>2.1.1.2.4</v>
      </c>
      <c r="B111" s="236" t="str">
        <f>CONCATENATE('3 pr-2'!B112)</f>
        <v>R01-7725-240000-2124</v>
      </c>
      <c r="C111" s="281" t="str">
        <f>CONCATENATE('ketv. 2'!B111)</f>
        <v>09.1.3-CPVA-R-725-11-0002</v>
      </c>
      <c r="D111" s="164" t="str">
        <f>CONCATENATE('3 pr-2'!D112)</f>
        <v>Druskininkų M. K. Čiurlionio meno mokyklos infrastruktūros tobulinimas</v>
      </c>
      <c r="E111" s="164" t="str">
        <f>CONCATENATE('3 pr-2'!E112)</f>
        <v xml:space="preserve">Druskininkų savivaldybės administracija  </v>
      </c>
      <c r="F111" s="164" t="str">
        <f>CONCATENATE('3 pr-2'!F112)</f>
        <v>Lietuvos Respublikos švietimo ir mokslo ministerija</v>
      </c>
      <c r="G111" s="164" t="str">
        <f>CONCATENATE('3 pr-2'!G112)</f>
        <v>Druskininkų sav.</v>
      </c>
      <c r="H111" s="164" t="str">
        <f>CONCATENATE('3 pr-2'!H112)</f>
        <v>09.13.CPVA-R-725</v>
      </c>
      <c r="I111" s="164" t="str">
        <f>CONCATENATE('3 pr-2'!I112)</f>
        <v>R</v>
      </c>
      <c r="J111" s="164" t="str">
        <f>CONCATENATE('3 pr-2'!J112)</f>
        <v>-</v>
      </c>
      <c r="K111" s="1080">
        <f>IF(U111&gt;0,'3 pr-2'!L112,0)</f>
        <v>0</v>
      </c>
      <c r="L111" s="1080">
        <f>IF(U111&gt;0,'3 pr-2'!O112,0)</f>
        <v>0</v>
      </c>
      <c r="M111" s="1080">
        <f>IF(U111&gt;0,'3 pr-2'!R112,0)</f>
        <v>0</v>
      </c>
      <c r="N111" s="1080">
        <f>IF(U111&gt;0,'3 pr-2'!U112,0)</f>
        <v>0</v>
      </c>
      <c r="O111" s="1080">
        <f>IF(U111&gt;0,'3 pr-2'!X112,0)</f>
        <v>0</v>
      </c>
      <c r="P111" s="1080">
        <f>IF(U111&gt;0,'3 pr-2'!AA112,0)</f>
        <v>0</v>
      </c>
      <c r="Q111" s="1164">
        <f>IF($Z$9&gt;0,'3 pr-2'!AB112,0)</f>
        <v>0</v>
      </c>
      <c r="R111" s="478">
        <f>SUM('3 pr-2'!AK112)</f>
        <v>43449</v>
      </c>
      <c r="S111" s="1612">
        <f>IF(SUMIF(Projektu_sutarciu_ataskaita!$J:$J,$C111,Projektu_sutarciu_ataskaita!$BW:$BW)&gt;0,SUMIF(Projektu_sutarciu_ataskaita!$J:$J,$C111,Projektu_sutarciu_ataskaita!$BW:$BW),"–")</f>
        <v>43615</v>
      </c>
      <c r="T111" s="1132" t="str">
        <f t="shared" si="27"/>
        <v>–</v>
      </c>
      <c r="U111" s="247">
        <f>SUMIF(Projektu_sutarciu_ataskaita!$J:$J,$C111,Projektu_sutarciu_ataskaita!$BX:$BX)</f>
        <v>0</v>
      </c>
      <c r="V111" s="992" t="str">
        <f t="shared" si="45"/>
        <v>–</v>
      </c>
      <c r="W111" s="1251">
        <f>IF(U111&gt;0,'IV-3'!K110,0)</f>
        <v>0</v>
      </c>
      <c r="X111" s="1249">
        <f t="shared" si="29"/>
        <v>0</v>
      </c>
    </row>
    <row r="112" spans="1:24" ht="37.5" thickBot="1">
      <c r="A112" s="164" t="str">
        <f>CONCATENATE('3 pr-2'!A113)</f>
        <v>2.1.1.2.5</v>
      </c>
      <c r="B112" s="236" t="str">
        <f>CONCATENATE('3 pr-2'!B113)</f>
        <v>R01-7725-240000-2125</v>
      </c>
      <c r="C112" s="281" t="str">
        <f>CONCATENATE('ketv. 2'!B112)</f>
        <v>09.1.3-CPVA-R-725-11-0001</v>
      </c>
      <c r="D112" s="164" t="str">
        <f>CONCATENATE('3 pr-2'!D113)</f>
        <v>Neformaliojo švietimo įstaigų Lazdijų rajono savivaldybėje infrastruktūros tobulinimas</v>
      </c>
      <c r="E112" s="164" t="str">
        <f>CONCATENATE('3 pr-2'!E113)</f>
        <v>VšĮ „Lazdijų sporto centras“</v>
      </c>
      <c r="F112" s="164" t="str">
        <f>CONCATENATE('3 pr-2'!F113)</f>
        <v>Lietuvos Respublikos švietimo ir mokslo ministerija</v>
      </c>
      <c r="G112" s="164" t="str">
        <f>CONCATENATE('3 pr-2'!G113)</f>
        <v>Lazdijų r. sav.</v>
      </c>
      <c r="H112" s="164" t="str">
        <f>CONCATENATE('3 pr-2'!H113)</f>
        <v>09.13.CPVA-R-725</v>
      </c>
      <c r="I112" s="164" t="str">
        <f>CONCATENATE('3 pr-2'!I113)</f>
        <v>R</v>
      </c>
      <c r="J112" s="164" t="str">
        <f>CONCATENATE('3 pr-2'!J113)</f>
        <v>-</v>
      </c>
      <c r="K112" s="1080">
        <f>IF(U112&gt;0,'3 pr-2'!L113,0)</f>
        <v>0</v>
      </c>
      <c r="L112" s="1080">
        <f>IF(U112&gt;0,'3 pr-2'!O113,0)</f>
        <v>0</v>
      </c>
      <c r="M112" s="1080">
        <f>IF(U112&gt;0,'3 pr-2'!R113,0)</f>
        <v>0</v>
      </c>
      <c r="N112" s="1080">
        <f>IF(U112&gt;0,'3 pr-2'!U113,0)</f>
        <v>0</v>
      </c>
      <c r="O112" s="1080">
        <f>IF(U112&gt;0,'3 pr-2'!X113,0)</f>
        <v>0</v>
      </c>
      <c r="P112" s="1080">
        <f>IF(U112&gt;0,'3 pr-2'!AA113,0)</f>
        <v>0</v>
      </c>
      <c r="Q112" s="1164">
        <f>IF($Z$9&gt;0,'3 pr-2'!AB113,0)</f>
        <v>0</v>
      </c>
      <c r="R112" s="478">
        <f>SUM('3 pr-2'!AK113)</f>
        <v>43739</v>
      </c>
      <c r="S112" s="1612">
        <f>IF(SUMIF(Projektu_sutarciu_ataskaita!$J:$J,$C112,Projektu_sutarciu_ataskaita!$BW:$BW)&gt;0,SUMIF(Projektu_sutarciu_ataskaita!$J:$J,$C112,Projektu_sutarciu_ataskaita!$BW:$BW),"–")</f>
        <v>43580</v>
      </c>
      <c r="T112" s="1132" t="str">
        <f t="shared" si="27"/>
        <v>–</v>
      </c>
      <c r="U112" s="247">
        <f>SUMIF(Projektu_sutarciu_ataskaita!$J:$J,$C112,Projektu_sutarciu_ataskaita!$BX:$BX)</f>
        <v>0</v>
      </c>
      <c r="V112" s="992" t="str">
        <f t="shared" si="45"/>
        <v>–</v>
      </c>
      <c r="W112" s="1251">
        <f>IF(U112&gt;0,'IV-3'!K111,0)</f>
        <v>0</v>
      </c>
      <c r="X112" s="1249">
        <f t="shared" si="29"/>
        <v>0</v>
      </c>
    </row>
    <row r="113" spans="1:24" ht="37.5" customHeight="1" thickBot="1">
      <c r="A113" s="296" t="str">
        <f>CONCATENATE('3 pr-2'!A114)</f>
        <v>2.1.1.3</v>
      </c>
      <c r="B113" s="2088" t="str">
        <f>CONCATENATE('3 pr-2'!B114)</f>
        <v>Priemonė:
Ikimokyklinio ir priešmokyklinio ugdymo prieinamumo didinimas</v>
      </c>
      <c r="C113" s="2089"/>
      <c r="D113" s="2089"/>
      <c r="E113" s="2089"/>
      <c r="F113" s="2089"/>
      <c r="G113" s="2089"/>
      <c r="H113" s="2089"/>
      <c r="I113" s="2089"/>
      <c r="J113" s="2090"/>
      <c r="K113" s="1077">
        <f>SUM(K114:K118)</f>
        <v>0</v>
      </c>
      <c r="L113" s="1077">
        <f t="shared" ref="L113:Q113" si="46">SUM(L114:L118)</f>
        <v>0</v>
      </c>
      <c r="M113" s="1077">
        <f t="shared" si="46"/>
        <v>0</v>
      </c>
      <c r="N113" s="1077">
        <f t="shared" si="46"/>
        <v>0</v>
      </c>
      <c r="O113" s="1077">
        <f t="shared" si="46"/>
        <v>0</v>
      </c>
      <c r="P113" s="1077">
        <f t="shared" si="46"/>
        <v>0</v>
      </c>
      <c r="Q113" s="1077">
        <f t="shared" si="46"/>
        <v>0</v>
      </c>
      <c r="R113" s="356"/>
      <c r="S113" s="1612" t="str">
        <f>IF(SUMIF(Projektu_sutarciu_ataskaita!$J:$J,$C113,Projektu_sutarciu_ataskaita!$BW:$BW)&gt;0,SUMIF(Projektu_sutarciu_ataskaita!$J:$J,$C113,Projektu_sutarciu_ataskaita!$BW:$BW),"–")</f>
        <v>–</v>
      </c>
      <c r="T113" s="356" t="str">
        <f t="shared" si="27"/>
        <v>–</v>
      </c>
      <c r="U113" s="1338">
        <f>IF(ISTEXT(#REF!),"–",SUMIF(Projektu_sutarciu_ataskaita!$J:$J,$C113,Projektu_sutarciu_ataskaita!$BX:$BX))</f>
        <v>0</v>
      </c>
      <c r="V113" s="356" t="str">
        <f t="shared" si="31"/>
        <v>–</v>
      </c>
      <c r="W113" s="1249"/>
      <c r="X113" s="1249">
        <f t="shared" si="29"/>
        <v>0</v>
      </c>
    </row>
    <row r="114" spans="1:24" ht="36.75">
      <c r="A114" s="164" t="str">
        <f>CONCATENATE('3 pr-2'!A115)</f>
        <v>2.1.1.3.1</v>
      </c>
      <c r="B114" s="236" t="str">
        <f>CONCATENATE('3 pr-2'!B115)</f>
        <v>R01-7705-230000-2131</v>
      </c>
      <c r="C114" s="281" t="str">
        <f>CONCATENATE('ketv. 2'!B114)</f>
        <v>09.1.3-CPVA-R-705-11-0003</v>
      </c>
      <c r="D114" s="164" t="str">
        <f>CONCATENATE('3 pr-2'!D115)</f>
        <v>Varėnos "Pasakos" vaikų lopšelio-darželio pastato modernizavimas</v>
      </c>
      <c r="E114" s="164" t="str">
        <f>CONCATENATE('3 pr-2'!E115)</f>
        <v>Varėnos rajono savivaldybės administracija</v>
      </c>
      <c r="F114" s="164" t="str">
        <f>CONCATENATE('3 pr-2'!F115)</f>
        <v>Lietuvos Respublikos švietimo ir mokslo ministerija</v>
      </c>
      <c r="G114" s="164" t="str">
        <f>CONCATENATE('3 pr-2'!G115)</f>
        <v>Varėnos r. sav.</v>
      </c>
      <c r="H114" s="164" t="str">
        <f>CONCATENATE('3 pr-2'!H115)</f>
        <v>09.1.3-CPVA-R-705</v>
      </c>
      <c r="I114" s="164" t="str">
        <f>CONCATENATE('3 pr-2'!I115)</f>
        <v>R</v>
      </c>
      <c r="J114" s="164" t="str">
        <f>CONCATENATE('3 pr-2'!J115)</f>
        <v>-</v>
      </c>
      <c r="K114" s="1080">
        <f>IF(U114&gt;0,'3 pr-2'!L115,0)</f>
        <v>0</v>
      </c>
      <c r="L114" s="1080">
        <f>IF(U114&gt;0,'3 pr-2'!O115,0)</f>
        <v>0</v>
      </c>
      <c r="M114" s="1080">
        <f>IF(U114&gt;0,'3 pr-2'!R115,0)</f>
        <v>0</v>
      </c>
      <c r="N114" s="1080">
        <f>IF(U114&gt;0,'3 pr-2'!U115,0)</f>
        <v>0</v>
      </c>
      <c r="O114" s="1080">
        <f>IF(U114&gt;0,'3 pr-2'!X115,0)</f>
        <v>0</v>
      </c>
      <c r="P114" s="1080">
        <f>IF(U114&gt;0,'3 pr-2'!AA115,0)</f>
        <v>0</v>
      </c>
      <c r="Q114" s="1164">
        <f>IF($Z$9&gt;0,'3 pr-2'!AB115,0)</f>
        <v>0</v>
      </c>
      <c r="R114" s="478">
        <f>SUM('3 pr-2'!AK115)</f>
        <v>43679</v>
      </c>
      <c r="S114" s="1612">
        <f>IF(SUMIF(Projektu_sutarciu_ataskaita!$J:$J,$C114,Projektu_sutarciu_ataskaita!$BW:$BW)&gt;0,SUMIF(Projektu_sutarciu_ataskaita!$J:$J,$C114,Projektu_sutarciu_ataskaita!$BW:$BW),"–")</f>
        <v>43829</v>
      </c>
      <c r="T114" s="1132" t="str">
        <f t="shared" si="27"/>
        <v>–</v>
      </c>
      <c r="U114" s="247">
        <f>SUMIF(Projektu_sutarciu_ataskaita!$J:$J,$C114,Projektu_sutarciu_ataskaita!$BX:$BX)</f>
        <v>0</v>
      </c>
      <c r="V114" s="992" t="str">
        <f t="shared" ref="V114:V118" si="47">IF(U114&gt;0,IF((R114-U114)/30&gt;0,"–",(R114-U114)/30),"–")</f>
        <v>–</v>
      </c>
      <c r="W114" s="1251">
        <f>IF(U114&gt;0,'IV-3'!K113,0)</f>
        <v>0</v>
      </c>
      <c r="X114" s="1249">
        <f t="shared" si="29"/>
        <v>0</v>
      </c>
    </row>
    <row r="115" spans="1:24" ht="36.75">
      <c r="A115" s="164" t="str">
        <f>CONCATENATE('3 pr-2'!A116)</f>
        <v>2.1.1.3.2</v>
      </c>
      <c r="B115" s="236" t="str">
        <f>CONCATENATE('3 pr-2'!B116)</f>
        <v>R01-7705-230000-2132</v>
      </c>
      <c r="C115" s="281" t="str">
        <f>CONCATENATE('ketv. 2'!B115)</f>
        <v>09.1.3-CPVA-R-705-11-0004</v>
      </c>
      <c r="D115" s="164" t="str">
        <f>CONCATENATE('3 pr-2'!D116)</f>
        <v>Alytaus r. ikimokyklinio ir priešmokyklinio ugdymo prieinamumo didinimas įkuriant ir atnaujinant edukacines erdves</v>
      </c>
      <c r="E115" s="164" t="str">
        <f>CONCATENATE('3 pr-2'!E116)</f>
        <v>Alytaus rajono savivaldybės administracija</v>
      </c>
      <c r="F115" s="164" t="str">
        <f>CONCATENATE('3 pr-2'!F116)</f>
        <v>Lietuvos Respublikos švietimo ir mokslo ministerija</v>
      </c>
      <c r="G115" s="164" t="str">
        <f>CONCATENATE('3 pr-2'!G116)</f>
        <v>Alytaus r. sav.</v>
      </c>
      <c r="H115" s="164" t="str">
        <f>CONCATENATE('3 pr-2'!H116)</f>
        <v>09.1.3-CPVA-R-705</v>
      </c>
      <c r="I115" s="164" t="str">
        <f>CONCATENATE('3 pr-2'!I116)</f>
        <v>R</v>
      </c>
      <c r="J115" s="164" t="str">
        <f>CONCATENATE('3 pr-2'!J116)</f>
        <v/>
      </c>
      <c r="K115" s="1080">
        <f>IF(U115&gt;0,'3 pr-2'!L116,0)</f>
        <v>0</v>
      </c>
      <c r="L115" s="1080">
        <f>IF(U115&gt;0,'3 pr-2'!O116,0)</f>
        <v>0</v>
      </c>
      <c r="M115" s="1080">
        <f>IF(U115&gt;0,'3 pr-2'!R116,0)</f>
        <v>0</v>
      </c>
      <c r="N115" s="1080">
        <f>IF(U115&gt;0,'3 pr-2'!U116,0)</f>
        <v>0</v>
      </c>
      <c r="O115" s="1080">
        <f>IF(U115&gt;0,'3 pr-2'!X116,0)</f>
        <v>0</v>
      </c>
      <c r="P115" s="1080">
        <f>IF(U115&gt;0,'3 pr-2'!AA116,0)</f>
        <v>0</v>
      </c>
      <c r="Q115" s="1164">
        <f>IF($Z$9&gt;0,'3 pr-2'!AB116,0)</f>
        <v>0</v>
      </c>
      <c r="R115" s="478">
        <f>SUM('3 pr-2'!AK116)</f>
        <v>43845</v>
      </c>
      <c r="S115" s="1612">
        <f>IF(SUMIF(Projektu_sutarciu_ataskaita!$J:$J,$C115,Projektu_sutarciu_ataskaita!$BW:$BW)&gt;0,SUMIF(Projektu_sutarciu_ataskaita!$J:$J,$C115,Projektu_sutarciu_ataskaita!$BW:$BW),"–")</f>
        <v>43951</v>
      </c>
      <c r="T115" s="1132" t="str">
        <f t="shared" si="27"/>
        <v>–</v>
      </c>
      <c r="U115" s="247">
        <f>SUMIF(Projektu_sutarciu_ataskaita!$J:$J,$C115,Projektu_sutarciu_ataskaita!$BX:$BX)</f>
        <v>0</v>
      </c>
      <c r="V115" s="992" t="str">
        <f t="shared" si="47"/>
        <v>–</v>
      </c>
      <c r="W115" s="1251">
        <f>IF(U115&gt;0,'IV-3'!K114,0)</f>
        <v>0</v>
      </c>
      <c r="X115" s="1249">
        <f t="shared" si="29"/>
        <v>0</v>
      </c>
    </row>
    <row r="116" spans="1:24" ht="36.75">
      <c r="A116" s="164" t="str">
        <f>CONCATENATE('3 pr-2'!A117)</f>
        <v>2.1.1.3.3</v>
      </c>
      <c r="B116" s="236" t="str">
        <f>CONCATENATE('3 pr-2'!B117)</f>
        <v>R01-7705-230000-2133</v>
      </c>
      <c r="C116" s="281" t="str">
        <f>CONCATENATE('ketv. 2'!B116)</f>
        <v>09.1.3-CPVA-R-705-11-0001</v>
      </c>
      <c r="D116" s="164" t="str">
        <f>CONCATENATE('3 pr-2'!D117)</f>
        <v>Alytaus lopšelio-darželio „Girinukas“ ugdymo aplinkos modernizavimas</v>
      </c>
      <c r="E116" s="164" t="str">
        <f>CONCATENATE('3 pr-2'!E117)</f>
        <v>Alytaus miesto savivaldybės administracija</v>
      </c>
      <c r="F116" s="164" t="str">
        <f>CONCATENATE('3 pr-2'!F117)</f>
        <v>Lietuvos Respublikos švietimo ir mokslo ministerija</v>
      </c>
      <c r="G116" s="164" t="str">
        <f>CONCATENATE('3 pr-2'!G117)</f>
        <v>Alytaus m. sav.</v>
      </c>
      <c r="H116" s="164" t="str">
        <f>CONCATENATE('3 pr-2'!H117)</f>
        <v>09.1.3-CPVA-R-705</v>
      </c>
      <c r="I116" s="164" t="str">
        <f>CONCATENATE('3 pr-2'!I117)</f>
        <v>R</v>
      </c>
      <c r="J116" s="164" t="str">
        <f>CONCATENATE('3 pr-2'!J117)</f>
        <v>-</v>
      </c>
      <c r="K116" s="1080">
        <f>IF(U116&gt;0,'3 pr-2'!L117,0)</f>
        <v>0</v>
      </c>
      <c r="L116" s="1080">
        <f>IF(U116&gt;0,'3 pr-2'!O117,0)</f>
        <v>0</v>
      </c>
      <c r="M116" s="1080">
        <f>IF(U116&gt;0,'3 pr-2'!R117,0)</f>
        <v>0</v>
      </c>
      <c r="N116" s="1080">
        <f>IF(U116&gt;0,'3 pr-2'!U117,0)</f>
        <v>0</v>
      </c>
      <c r="O116" s="1080">
        <f>IF(U116&gt;0,'3 pr-2'!X117,0)</f>
        <v>0</v>
      </c>
      <c r="P116" s="1080">
        <f>IF(U116&gt;0,'3 pr-2'!AA117,0)</f>
        <v>0</v>
      </c>
      <c r="Q116" s="1164">
        <f>IF($Z$9&gt;0,'3 pr-2'!AB117,0)</f>
        <v>0</v>
      </c>
      <c r="R116" s="478">
        <f>SUM('3 pr-2'!AK117)</f>
        <v>43739.5</v>
      </c>
      <c r="S116" s="1612">
        <f>IF(SUMIF(Projektu_sutarciu_ataskaita!$J:$J,$C116,Projektu_sutarciu_ataskaita!$BW:$BW)&gt;0,SUMIF(Projektu_sutarciu_ataskaita!$J:$J,$C116,Projektu_sutarciu_ataskaita!$BW:$BW),"–")</f>
        <v>43676</v>
      </c>
      <c r="T116" s="1132" t="str">
        <f t="shared" si="27"/>
        <v>–</v>
      </c>
      <c r="U116" s="247">
        <f>SUMIF(Projektu_sutarciu_ataskaita!$J:$J,$C116,Projektu_sutarciu_ataskaita!$BX:$BX)</f>
        <v>0</v>
      </c>
      <c r="V116" s="992" t="str">
        <f t="shared" si="47"/>
        <v>–</v>
      </c>
      <c r="W116" s="1251">
        <f>IF(U116&gt;0,'IV-3'!K115,0)</f>
        <v>0</v>
      </c>
      <c r="X116" s="1249">
        <f t="shared" si="29"/>
        <v>0</v>
      </c>
    </row>
    <row r="117" spans="1:24" ht="36.75">
      <c r="A117" s="164" t="str">
        <f>CONCATENATE('3 pr-2'!A118)</f>
        <v>2.1.1.3.4</v>
      </c>
      <c r="B117" s="236" t="str">
        <f>CONCATENATE('3 pr-2'!B118)</f>
        <v>R01-7705-230000-2134</v>
      </c>
      <c r="C117" s="281" t="str">
        <f>CONCATENATE('ketv. 2'!B117)</f>
        <v>09.1.3-CPVA-R-705-11-0006</v>
      </c>
      <c r="D117" s="164" t="str">
        <f>CONCATENATE('3 pr-2'!D118)</f>
        <v>Druskininkų sav. Viečiūnų progimnazijos ikimokyklinio ugdymo skyriaus „Linelis“ ugdymo prieinamumo didinimas</v>
      </c>
      <c r="E117" s="164" t="str">
        <f>CONCATENATE('3 pr-2'!E118)</f>
        <v xml:space="preserve">Druskininkų savivaldybės administracija  </v>
      </c>
      <c r="F117" s="164" t="str">
        <f>CONCATENATE('3 pr-2'!F118)</f>
        <v>Lietuvos Respublikos švietimo ir mokslo ministerija</v>
      </c>
      <c r="G117" s="164" t="str">
        <f>CONCATENATE('3 pr-2'!G118)</f>
        <v>Druskininkų sav.</v>
      </c>
      <c r="H117" s="164" t="str">
        <f>CONCATENATE('3 pr-2'!H118)</f>
        <v>09.1.3-CPVA-R-705</v>
      </c>
      <c r="I117" s="164" t="str">
        <f>CONCATENATE('3 pr-2'!I118)</f>
        <v>R</v>
      </c>
      <c r="J117" s="164" t="str">
        <f>CONCATENATE('3 pr-2'!J118)</f>
        <v>-</v>
      </c>
      <c r="K117" s="1080">
        <f>IF(U117&gt;0,'3 pr-2'!L118,0)</f>
        <v>0</v>
      </c>
      <c r="L117" s="1080">
        <f>IF(U117&gt;0,'3 pr-2'!O118,0)</f>
        <v>0</v>
      </c>
      <c r="M117" s="1080">
        <f>IF(U117&gt;0,'3 pr-2'!R118,0)</f>
        <v>0</v>
      </c>
      <c r="N117" s="1080">
        <f>IF(U117&gt;0,'3 pr-2'!U118,0)</f>
        <v>0</v>
      </c>
      <c r="O117" s="1080">
        <f>IF(U117&gt;0,'3 pr-2'!X118,0)</f>
        <v>0</v>
      </c>
      <c r="P117" s="1080">
        <f>IF(U117&gt;0,'3 pr-2'!AA118,0)</f>
        <v>0</v>
      </c>
      <c r="Q117" s="1164">
        <f>IF($Z$9&gt;0,'3 pr-2'!AB118,0)</f>
        <v>0</v>
      </c>
      <c r="R117" s="478">
        <f>SUM('3 pr-2'!AK118)</f>
        <v>43707</v>
      </c>
      <c r="S117" s="1612">
        <f>IF(SUMIF(Projektu_sutarciu_ataskaita!$J:$J,$C117,Projektu_sutarciu_ataskaita!$BW:$BW)&gt;0,SUMIF(Projektu_sutarciu_ataskaita!$J:$J,$C117,Projektu_sutarciu_ataskaita!$BW:$BW),"–")</f>
        <v>43860</v>
      </c>
      <c r="T117" s="1132" t="str">
        <f t="shared" si="27"/>
        <v>–</v>
      </c>
      <c r="U117" s="247">
        <f>SUMIF(Projektu_sutarciu_ataskaita!$J:$J,$C117,Projektu_sutarciu_ataskaita!$BX:$BX)</f>
        <v>0</v>
      </c>
      <c r="V117" s="992" t="str">
        <f t="shared" si="47"/>
        <v>–</v>
      </c>
      <c r="W117" s="1251">
        <f>IF(U117&gt;0,'IV-3'!K116,0)</f>
        <v>0</v>
      </c>
      <c r="X117" s="1249">
        <f t="shared" si="29"/>
        <v>0</v>
      </c>
    </row>
    <row r="118" spans="1:24" ht="37.5" thickBot="1">
      <c r="A118" s="164" t="str">
        <f>CONCATENATE('3 pr-2'!A119)</f>
        <v>2.1.1.3.5</v>
      </c>
      <c r="B118" s="236" t="str">
        <f>CONCATENATE('3 pr-2'!B119)</f>
        <v>R01-7705-230000-2135</v>
      </c>
      <c r="C118" s="281" t="str">
        <f>CONCATENATE('ketv. 2'!B118)</f>
        <v>09.1.3-CPVA-R-705-11-0002</v>
      </c>
      <c r="D118" s="164" t="str">
        <f>CONCATENATE('3 pr-2'!D119)</f>
        <v>Ikimokyklinio ir priešmokyklinio ugdymo įstaigų Lazdijų rajono savivaldybėje modernizavimas</v>
      </c>
      <c r="E118" s="164" t="str">
        <f>CONCATENATE('3 pr-2'!E119)</f>
        <v>Lazdijų rajono savivaldybės administracija</v>
      </c>
      <c r="F118" s="164" t="str">
        <f>CONCATENATE('3 pr-2'!F119)</f>
        <v>Lietuvos Respublikos švietimo ir mokslo ministerija</v>
      </c>
      <c r="G118" s="164" t="str">
        <f>CONCATENATE('3 pr-2'!G119)</f>
        <v>Lazdijų r. sav.</v>
      </c>
      <c r="H118" s="164" t="str">
        <f>CONCATENATE('3 pr-2'!H119)</f>
        <v>09.1.3-CPVA-R-705</v>
      </c>
      <c r="I118" s="164" t="str">
        <f>CONCATENATE('3 pr-2'!I119)</f>
        <v>R</v>
      </c>
      <c r="J118" s="164" t="str">
        <f>CONCATENATE('3 pr-2'!J119)</f>
        <v>-</v>
      </c>
      <c r="K118" s="1080">
        <f>IF(U118&gt;0,'3 pr-2'!L119,0)</f>
        <v>0</v>
      </c>
      <c r="L118" s="1080">
        <f>IF(U118&gt;0,'3 pr-2'!O119,0)</f>
        <v>0</v>
      </c>
      <c r="M118" s="1080">
        <f>IF(U118&gt;0,'3 pr-2'!R119,0)</f>
        <v>0</v>
      </c>
      <c r="N118" s="1080">
        <f>IF(U118&gt;0,'3 pr-2'!U119,0)</f>
        <v>0</v>
      </c>
      <c r="O118" s="1080">
        <f>IF(U118&gt;0,'3 pr-2'!X119,0)</f>
        <v>0</v>
      </c>
      <c r="P118" s="1080">
        <f>IF(U118&gt;0,'3 pr-2'!AA119,0)</f>
        <v>0</v>
      </c>
      <c r="Q118" s="1164">
        <f>IF($Z$9&gt;0,'3 pr-2'!AB119,0)</f>
        <v>0</v>
      </c>
      <c r="R118" s="478">
        <f>SUM('3 pr-2'!AK119)</f>
        <v>43739</v>
      </c>
      <c r="S118" s="1612">
        <f>IF(SUMIF(Projektu_sutarciu_ataskaita!$J:$J,$C118,Projektu_sutarciu_ataskaita!$BW:$BW)&gt;0,SUMIF(Projektu_sutarciu_ataskaita!$J:$J,$C118,Projektu_sutarciu_ataskaita!$BW:$BW),"–")</f>
        <v>43799</v>
      </c>
      <c r="T118" s="1132" t="str">
        <f t="shared" si="27"/>
        <v>–</v>
      </c>
      <c r="U118" s="247">
        <f>SUMIF(Projektu_sutarciu_ataskaita!$J:$J,$C118,Projektu_sutarciu_ataskaita!$BX:$BX)</f>
        <v>0</v>
      </c>
      <c r="V118" s="992" t="str">
        <f t="shared" si="47"/>
        <v>–</v>
      </c>
      <c r="W118" s="1251">
        <f>IF(U118&gt;0,'IV-3'!K117,0)</f>
        <v>0</v>
      </c>
      <c r="X118" s="1249">
        <f t="shared" si="29"/>
        <v>0</v>
      </c>
    </row>
    <row r="119" spans="1:24" ht="53.25" customHeight="1" thickBot="1">
      <c r="A119" s="138" t="str">
        <f>CONCATENATE('3 pr-2'!A120)</f>
        <v>2.1.2.</v>
      </c>
      <c r="B119" s="2085" t="str">
        <f>CONCATENATE('3 pr-2'!B120)</f>
        <v>Uždavinys:
Sveikatos netolygumų sumažinimas, gerinant sveikatos priežiūros kokybę ir prieinamumą tikslinėms gyventojų grupėms ir sveiko senėjimo skatinimas</v>
      </c>
      <c r="C119" s="2086"/>
      <c r="D119" s="2086"/>
      <c r="E119" s="2086"/>
      <c r="F119" s="2086"/>
      <c r="G119" s="2086"/>
      <c r="H119" s="2086"/>
      <c r="I119" s="2086"/>
      <c r="J119" s="2087"/>
      <c r="K119" s="1201">
        <f t="shared" ref="K119:P119" si="48">SUM(K120+K134+K140)</f>
        <v>0</v>
      </c>
      <c r="L119" s="1201">
        <f t="shared" si="48"/>
        <v>0</v>
      </c>
      <c r="M119" s="1201">
        <f t="shared" si="48"/>
        <v>0</v>
      </c>
      <c r="N119" s="1201">
        <f t="shared" si="48"/>
        <v>0</v>
      </c>
      <c r="O119" s="1201">
        <f t="shared" si="48"/>
        <v>0</v>
      </c>
      <c r="P119" s="1201">
        <f t="shared" si="48"/>
        <v>0</v>
      </c>
      <c r="Q119" s="1201">
        <f t="shared" ref="Q119" si="49">SUM(Q120+Q134+Q140)</f>
        <v>0</v>
      </c>
      <c r="R119" s="276"/>
      <c r="S119" s="1612" t="str">
        <f>IF(SUMIF(Projektu_sutarciu_ataskaita!$J:$J,$C119,Projektu_sutarciu_ataskaita!$BW:$BW)&gt;0,SUMIF(Projektu_sutarciu_ataskaita!$J:$J,$C119,Projektu_sutarciu_ataskaita!$BW:$BW),"–")</f>
        <v>–</v>
      </c>
      <c r="T119" s="1370" t="str">
        <f t="shared" si="27"/>
        <v>–</v>
      </c>
      <c r="U119" s="1381">
        <f>IF(ISTEXT(#REF!),"–",SUMIF(Projektu_sutarciu_ataskaita!$J:$J,$C119,Projektu_sutarciu_ataskaita!$BX:$BX))</f>
        <v>0</v>
      </c>
      <c r="V119" s="1372" t="str">
        <f t="shared" si="31"/>
        <v>–</v>
      </c>
      <c r="W119" s="1249"/>
      <c r="X119" s="1249">
        <f t="shared" si="29"/>
        <v>0</v>
      </c>
    </row>
    <row r="120" spans="1:24" ht="30" customHeight="1" thickBot="1">
      <c r="A120" s="296" t="str">
        <f>CONCATENATE('3 pr-2'!A121)</f>
        <v>2.1.2.1</v>
      </c>
      <c r="B120" s="2088" t="str">
        <f>CONCATENATE('3 pr-2'!B121)</f>
        <v>Priemonė:
Pirminės asmens ir visuomenės sveikatos priežiūros veiklos efektyvumo didinimas gerinant jų infrastruktūrą</v>
      </c>
      <c r="C120" s="2089"/>
      <c r="D120" s="2089"/>
      <c r="E120" s="2089"/>
      <c r="F120" s="2089"/>
      <c r="G120" s="2089"/>
      <c r="H120" s="2089"/>
      <c r="I120" s="2089"/>
      <c r="J120" s="2090"/>
      <c r="K120" s="1077">
        <f>SUM(K121:K128)</f>
        <v>0</v>
      </c>
      <c r="L120" s="1077">
        <f t="shared" ref="L120:P120" si="50">SUM(L121:L128)</f>
        <v>0</v>
      </c>
      <c r="M120" s="1077">
        <f t="shared" si="50"/>
        <v>0</v>
      </c>
      <c r="N120" s="1077">
        <f t="shared" si="50"/>
        <v>0</v>
      </c>
      <c r="O120" s="1077">
        <f t="shared" si="50"/>
        <v>0</v>
      </c>
      <c r="P120" s="1077">
        <f t="shared" si="50"/>
        <v>0</v>
      </c>
      <c r="Q120" s="1077">
        <f t="shared" ref="Q120" si="51">SUM(Q121:Q128)</f>
        <v>0</v>
      </c>
      <c r="R120" s="356">
        <f>SUM('3 pr-2'!AK121)</f>
        <v>0</v>
      </c>
      <c r="S120" s="1612" t="str">
        <f>IF(SUMIF(Projektu_sutarciu_ataskaita!$J:$J,$C120,Projektu_sutarciu_ataskaita!$BW:$BW)&gt;0,SUMIF(Projektu_sutarciu_ataskaita!$J:$J,$C120,Projektu_sutarciu_ataskaita!$BW:$BW),"–")</f>
        <v>–</v>
      </c>
      <c r="T120" s="356" t="str">
        <f t="shared" si="27"/>
        <v>–</v>
      </c>
      <c r="U120" s="1338">
        <f>IF(ISTEXT(#REF!),"–",SUMIF(Projektu_sutarciu_ataskaita!$J:$J,$C120,Projektu_sutarciu_ataskaita!$BX:$BX))</f>
        <v>0</v>
      </c>
      <c r="V120" s="356" t="str">
        <f t="shared" si="31"/>
        <v>–</v>
      </c>
      <c r="W120" s="1249"/>
      <c r="X120" s="1249">
        <f t="shared" si="29"/>
        <v>0</v>
      </c>
    </row>
    <row r="121" spans="1:24" ht="36.75">
      <c r="A121" s="164" t="str">
        <f>CONCATENATE('3 pr-2'!A122)</f>
        <v>2.1.2.1.1</v>
      </c>
      <c r="B121" s="236" t="str">
        <f>CONCATENATE('3 pr-2'!B122)</f>
        <v>R01-6609-274710-2211</v>
      </c>
      <c r="C121" s="281" t="str">
        <f>CONCATENATE('ketv. 2'!B121)</f>
        <v>08.1.3-CPVA-R-609-11-0002</v>
      </c>
      <c r="D121" s="164" t="str">
        <f>CONCATENATE('3 pr-2'!D122)</f>
        <v>Alytaus poliklinikos teikiamų pirminės sveikatos priežiūros paslaugų prieinamumo didinimas ir kokybės gerinimas</v>
      </c>
      <c r="E121" s="164" t="str">
        <f>CONCATENATE('3 pr-2'!E122)</f>
        <v>VšĮ Alytaus poliklinika</v>
      </c>
      <c r="F121" s="164" t="str">
        <f>CONCATENATE('3 pr-2'!F122)</f>
        <v>Lietuvos Respublikos Sveikatos apsaugos ministerija</v>
      </c>
      <c r="G121" s="164" t="str">
        <f>CONCATENATE('3 pr-2'!G122)</f>
        <v>Alytaus m. sav.</v>
      </c>
      <c r="H121" s="164" t="str">
        <f>CONCATENATE('3 pr-2'!H122)</f>
        <v>08.1.3-CPVA-R-609</v>
      </c>
      <c r="I121" s="164" t="str">
        <f>CONCATENATE('3 pr-2'!I122)</f>
        <v>R</v>
      </c>
      <c r="J121" s="164" t="str">
        <f>CONCATENATE('3 pr-2'!J122)</f>
        <v>-</v>
      </c>
      <c r="K121" s="1080">
        <f>IF(U121&gt;0,'3 pr-2'!L122,0)</f>
        <v>0</v>
      </c>
      <c r="L121" s="1080">
        <f>IF(U121&gt;0,'3 pr-2'!O122,0)</f>
        <v>0</v>
      </c>
      <c r="M121" s="1080">
        <f>IF(U121&gt;0,'3 pr-2'!R122,0)</f>
        <v>0</v>
      </c>
      <c r="N121" s="1080">
        <f>IF(U121&gt;0,'3 pr-2'!U122,0)</f>
        <v>0</v>
      </c>
      <c r="O121" s="1080">
        <f>IF(U121&gt;0,'3 pr-2'!X122,0)</f>
        <v>0</v>
      </c>
      <c r="P121" s="1080">
        <f>IF(U121&gt;0,'3 pr-2'!AA122,0)</f>
        <v>0</v>
      </c>
      <c r="Q121" s="1164">
        <f>IF($Z$9&gt;0,'3 pr-2'!AB122,0)</f>
        <v>0</v>
      </c>
      <c r="R121" s="478">
        <f>SUM('3 pr-2'!AK122)</f>
        <v>44367</v>
      </c>
      <c r="S121" s="1612">
        <f>IF(SUMIF(Projektu_sutarciu_ataskaita!$J:$J,$C121,Projektu_sutarciu_ataskaita!$BW:$BW)&gt;0,SUMIF(Projektu_sutarciu_ataskaita!$J:$J,$C121,Projektu_sutarciu_ataskaita!$BW:$BW),"–")</f>
        <v>43920</v>
      </c>
      <c r="T121" s="1132" t="str">
        <f t="shared" si="27"/>
        <v>–</v>
      </c>
      <c r="U121" s="247">
        <f>SUMIF(Projektu_sutarciu_ataskaita!$J:$J,$C121,Projektu_sutarciu_ataskaita!$BX:$BX)</f>
        <v>0</v>
      </c>
      <c r="V121" s="992" t="str">
        <f t="shared" ref="V121:V133" si="52">IF(U121&gt;0,IF((R121-U121)/30&gt;0,"–",(R121-U121)/30),"–")</f>
        <v>–</v>
      </c>
      <c r="W121" s="1251">
        <f>IF(U121&gt;0,'IV-3'!K120,0)</f>
        <v>0</v>
      </c>
      <c r="X121" s="1249">
        <f t="shared" si="29"/>
        <v>0</v>
      </c>
    </row>
    <row r="122" spans="1:24" ht="48.75">
      <c r="A122" s="164" t="str">
        <f>CONCATENATE('3 pr-2'!A123)</f>
        <v>2.1.2.1.2</v>
      </c>
      <c r="B122" s="236" t="str">
        <f>CONCATENATE('3 pr-2'!B123)</f>
        <v>R01-6609-274710-2212</v>
      </c>
      <c r="C122" s="281" t="str">
        <f>CONCATENATE('ketv. 2'!B122)</f>
        <v>08.1.3-CPVA-R-609-11-0004</v>
      </c>
      <c r="D122" s="164" t="str">
        <f>CONCATENATE('3 pr-2'!D123)</f>
        <v>Sveikatos priežiūros paslaugų modernizavimas bei optimizavimas pirminės sveikatos priežiūros centre</v>
      </c>
      <c r="E122" s="164" t="str">
        <f>CONCATENATE('3 pr-2'!E123)</f>
        <v xml:space="preserve">VšĮ Alytaus miesto savivaldybės pirminės sveikatos priežiūros centras </v>
      </c>
      <c r="F122" s="164" t="str">
        <f>CONCATENATE('3 pr-2'!F123)</f>
        <v>Lietuvos Respublikos Sveikatos apsaugos ministerija</v>
      </c>
      <c r="G122" s="164" t="str">
        <f>CONCATENATE('3 pr-2'!G123)</f>
        <v>Alytaus m. sav.</v>
      </c>
      <c r="H122" s="164" t="str">
        <f>CONCATENATE('3 pr-2'!H123)</f>
        <v>08.1.3-CPVA-R-609</v>
      </c>
      <c r="I122" s="164" t="str">
        <f>CONCATENATE('3 pr-2'!I123)</f>
        <v>R</v>
      </c>
      <c r="J122" s="164" t="str">
        <f>CONCATENATE('3 pr-2'!J123)</f>
        <v>-</v>
      </c>
      <c r="K122" s="1080">
        <f>IF(U122&gt;0,'3 pr-2'!L123,0)</f>
        <v>0</v>
      </c>
      <c r="L122" s="1080">
        <f>IF(U122&gt;0,'3 pr-2'!O123,0)</f>
        <v>0</v>
      </c>
      <c r="M122" s="1080">
        <f>IF(U122&gt;0,'3 pr-2'!R123,0)</f>
        <v>0</v>
      </c>
      <c r="N122" s="1080">
        <f>IF(U122&gt;0,'3 pr-2'!U123,0)</f>
        <v>0</v>
      </c>
      <c r="O122" s="1080">
        <f>IF(U122&gt;0,'3 pr-2'!X123,0)</f>
        <v>0</v>
      </c>
      <c r="P122" s="1080">
        <f>IF(U122&gt;0,'3 pr-2'!AA123,0)</f>
        <v>0</v>
      </c>
      <c r="Q122" s="1164">
        <f>IF($Z$9&gt;0,'3 pr-2'!AB123,0)</f>
        <v>0</v>
      </c>
      <c r="R122" s="478">
        <f>SUM('3 pr-2'!AK123)</f>
        <v>44196</v>
      </c>
      <c r="S122" s="1612">
        <f>IF(SUMIF(Projektu_sutarciu_ataskaita!$J:$J,$C122,Projektu_sutarciu_ataskaita!$BW:$BW)&gt;0,SUMIF(Projektu_sutarciu_ataskaita!$J:$J,$C122,Projektu_sutarciu_ataskaita!$BW:$BW),"–")</f>
        <v>43768</v>
      </c>
      <c r="T122" s="1132" t="str">
        <f t="shared" si="27"/>
        <v>–</v>
      </c>
      <c r="U122" s="247">
        <f>SUMIF(Projektu_sutarciu_ataskaita!$J:$J,$C122,Projektu_sutarciu_ataskaita!$BX:$BX)</f>
        <v>0</v>
      </c>
      <c r="V122" s="992" t="str">
        <f t="shared" si="52"/>
        <v>–</v>
      </c>
      <c r="W122" s="1251">
        <f>IF(U122&gt;0,'IV-3'!K121,0)</f>
        <v>0</v>
      </c>
      <c r="X122" s="1249">
        <f t="shared" si="29"/>
        <v>0</v>
      </c>
    </row>
    <row r="123" spans="1:24" ht="36.75">
      <c r="A123" s="164" t="str">
        <f>CONCATENATE('3 pr-2'!A124)</f>
        <v>2.1.2.1.3</v>
      </c>
      <c r="B123" s="236" t="str">
        <f>CONCATENATE('3 pr-2'!B124)</f>
        <v>R01-6609-274700-2213</v>
      </c>
      <c r="C123" s="281" t="str">
        <f>CONCATENATE('ketv. 2'!B123)</f>
        <v>08.1.3-CPVA-R-609-11-0003</v>
      </c>
      <c r="D123" s="164" t="str">
        <f>CONCATENATE('3 pr-2'!D124)</f>
        <v>UAB "MediCA klinika" teikiamų pirminės asmens sveikatos priežiūros paslaugų efektyvumo didinimas Alytaus miesto savivaldybėje</v>
      </c>
      <c r="E123" s="164" t="str">
        <f>CONCATENATE('3 pr-2'!E124)</f>
        <v>UAB „MediCA klinika“</v>
      </c>
      <c r="F123" s="164" t="str">
        <f>CONCATENATE('3 pr-2'!F124)</f>
        <v>Lietuvos Respublikos Sveikatos apsaugos ministerija</v>
      </c>
      <c r="G123" s="164" t="str">
        <f>CONCATENATE('3 pr-2'!G124)</f>
        <v>Alytaus m. sav.</v>
      </c>
      <c r="H123" s="164" t="str">
        <f>CONCATENATE('3 pr-2'!H124)</f>
        <v>08.1.3-CPVA-R-609</v>
      </c>
      <c r="I123" s="164" t="str">
        <f>CONCATENATE('3 pr-2'!I124)</f>
        <v>R</v>
      </c>
      <c r="J123" s="164" t="str">
        <f>CONCATENATE('3 pr-2'!J124)</f>
        <v>-</v>
      </c>
      <c r="K123" s="1080">
        <f>IF(U123&gt;0,'3 pr-2'!L124,0)</f>
        <v>0</v>
      </c>
      <c r="L123" s="1080">
        <f>IF(U123&gt;0,'3 pr-2'!O124,0)</f>
        <v>0</v>
      </c>
      <c r="M123" s="1080">
        <f>IF(U123&gt;0,'3 pr-2'!R124,0)</f>
        <v>0</v>
      </c>
      <c r="N123" s="1080">
        <f>IF(U123&gt;0,'3 pr-2'!U124,0)</f>
        <v>0</v>
      </c>
      <c r="O123" s="1080">
        <f>IF(U123&gt;0,'3 pr-2'!X124,0)</f>
        <v>0</v>
      </c>
      <c r="P123" s="1080">
        <f>IF(U123&gt;0,'3 pr-2'!AA124,0)</f>
        <v>0</v>
      </c>
      <c r="Q123" s="1164">
        <f>IF($Z$9&gt;0,'3 pr-2'!AB124,0)</f>
        <v>0</v>
      </c>
      <c r="R123" s="478">
        <f>SUM('3 pr-2'!AK124)</f>
        <v>44196</v>
      </c>
      <c r="S123" s="1612">
        <f>IF(SUMIF(Projektu_sutarciu_ataskaita!$J:$J,$C123,Projektu_sutarciu_ataskaita!$BW:$BW)&gt;0,SUMIF(Projektu_sutarciu_ataskaita!$J:$J,$C123,Projektu_sutarciu_ataskaita!$BW:$BW),"–")</f>
        <v>43799</v>
      </c>
      <c r="T123" s="1132" t="str">
        <f t="shared" si="27"/>
        <v>–</v>
      </c>
      <c r="U123" s="247">
        <f>SUMIF(Projektu_sutarciu_ataskaita!$J:$J,$C123,Projektu_sutarciu_ataskaita!$BX:$BX)</f>
        <v>0</v>
      </c>
      <c r="V123" s="992" t="str">
        <f t="shared" si="52"/>
        <v>–</v>
      </c>
      <c r="W123" s="1251">
        <f>IF(U123&gt;0,'IV-3'!K122,0)</f>
        <v>0</v>
      </c>
      <c r="X123" s="1249">
        <f t="shared" si="29"/>
        <v>0</v>
      </c>
    </row>
    <row r="124" spans="1:24" ht="36.75">
      <c r="A124" s="164" t="str">
        <f>CONCATENATE('3 pr-2'!A125)</f>
        <v>2.1.2.1.4</v>
      </c>
      <c r="B124" s="236" t="str">
        <f>CONCATENATE('3 pr-2'!B125)</f>
        <v>R01-6609-274710-2214</v>
      </c>
      <c r="C124" s="281" t="str">
        <f>CONCATENATE('ketv. 2'!B124)</f>
        <v>08.1.3-CPVA-R-609-11-0005</v>
      </c>
      <c r="D124" s="164" t="str">
        <f>CONCATENATE('3 pr-2'!D125)</f>
        <v>UAB "Pagalba ligoniui" teikiamų paslaugų efektyvumo didinimas</v>
      </c>
      <c r="E124" s="164" t="str">
        <f>CONCATENATE('3 pr-2'!E125)</f>
        <v>UAB „Pagalba ligoniui“, Alytaus filialas</v>
      </c>
      <c r="F124" s="164" t="str">
        <f>CONCATENATE('3 pr-2'!F125)</f>
        <v>Lietuvos Respublikos Sveikatos apsaugos ministerija</v>
      </c>
      <c r="G124" s="164" t="str">
        <f>CONCATENATE('3 pr-2'!G125)</f>
        <v>Alytaus m. sav.</v>
      </c>
      <c r="H124" s="164" t="str">
        <f>CONCATENATE('3 pr-2'!H125)</f>
        <v>08.1.3-CPVA-R-609</v>
      </c>
      <c r="I124" s="164" t="str">
        <f>CONCATENATE('3 pr-2'!I125)</f>
        <v>R</v>
      </c>
      <c r="J124" s="164" t="str">
        <f>CONCATENATE('3 pr-2'!J125)</f>
        <v>-</v>
      </c>
      <c r="K124" s="1080">
        <f>IF(U124&gt;0,'3 pr-2'!L125,0)</f>
        <v>0</v>
      </c>
      <c r="L124" s="1080">
        <f>IF(U124&gt;0,'3 pr-2'!O125,0)</f>
        <v>0</v>
      </c>
      <c r="M124" s="1080">
        <f>IF(U124&gt;0,'3 pr-2'!R125,0)</f>
        <v>0</v>
      </c>
      <c r="N124" s="1080">
        <f>IF(U124&gt;0,'3 pr-2'!U125,0)</f>
        <v>0</v>
      </c>
      <c r="O124" s="1080">
        <f>IF(U124&gt;0,'3 pr-2'!X125,0)</f>
        <v>0</v>
      </c>
      <c r="P124" s="1080">
        <f>IF(U124&gt;0,'3 pr-2'!AA125,0)</f>
        <v>0</v>
      </c>
      <c r="Q124" s="1164">
        <f>IF($Z$9&gt;0,'3 pr-2'!AB125,0)</f>
        <v>0</v>
      </c>
      <c r="R124" s="478">
        <f>SUM('3 pr-2'!AK125)</f>
        <v>44561</v>
      </c>
      <c r="S124" s="1612">
        <f>IF(SUMIF(Projektu_sutarciu_ataskaita!$J:$J,$C124,Projektu_sutarciu_ataskaita!$BW:$BW)&gt;0,SUMIF(Projektu_sutarciu_ataskaita!$J:$J,$C124,Projektu_sutarciu_ataskaita!$BW:$BW),"–")</f>
        <v>43860</v>
      </c>
      <c r="T124" s="1132" t="str">
        <f t="shared" si="27"/>
        <v>–</v>
      </c>
      <c r="U124" s="247">
        <f>SUMIF(Projektu_sutarciu_ataskaita!$J:$J,$C124,Projektu_sutarciu_ataskaita!$BX:$BX)</f>
        <v>0</v>
      </c>
      <c r="V124" s="992" t="str">
        <f t="shared" si="52"/>
        <v>–</v>
      </c>
      <c r="W124" s="1251">
        <f>IF(U124&gt;0,'IV-3'!K123,0)</f>
        <v>0</v>
      </c>
      <c r="X124" s="1249">
        <f t="shared" si="29"/>
        <v>0</v>
      </c>
    </row>
    <row r="125" spans="1:24" ht="48.75">
      <c r="A125" s="164" t="str">
        <f>CONCATENATE('3 pr-2'!A126)</f>
        <v>2.1.2.1.5</v>
      </c>
      <c r="B125" s="236" t="str">
        <f>CONCATENATE('3 pr-2'!B126)</f>
        <v>R01-6609-274710-2215</v>
      </c>
      <c r="C125" s="281" t="str">
        <f>CONCATENATE('ketv. 2'!B125)</f>
        <v>08.1.3-CPVA-R-609-11-0009</v>
      </c>
      <c r="D125" s="164" t="str">
        <f>CONCATENATE('3 pr-2'!D126)</f>
        <v>Pirminės asmens sveikatos priežiūros veiklos efektyvumo didinimas Alytaus rajono savivaldybėje</v>
      </c>
      <c r="E125" s="164" t="str">
        <f>CONCATENATE('3 pr-2'!E126)</f>
        <v>VšĮ Alytaus rajono savivaldybės pirminės sveikatos priežiūros centras</v>
      </c>
      <c r="F125" s="164" t="str">
        <f>CONCATENATE('3 pr-2'!F126)</f>
        <v>Lietuvos Respublikos Sveikatos apsaugos ministerija</v>
      </c>
      <c r="G125" s="164" t="str">
        <f>CONCATENATE('3 pr-2'!G126)</f>
        <v>Alytaus r. sav.</v>
      </c>
      <c r="H125" s="164" t="str">
        <f>CONCATENATE('3 pr-2'!H126)</f>
        <v>08.1.3-CPVA-R-609</v>
      </c>
      <c r="I125" s="164" t="str">
        <f>CONCATENATE('3 pr-2'!I126)</f>
        <v>R</v>
      </c>
      <c r="J125" s="164" t="str">
        <f>CONCATENATE('3 pr-2'!J126)</f>
        <v>-</v>
      </c>
      <c r="K125" s="1080">
        <f>IF(U125&gt;0,'3 pr-2'!L126,0)</f>
        <v>0</v>
      </c>
      <c r="L125" s="1080">
        <f>IF(U125&gt;0,'3 pr-2'!O126,0)</f>
        <v>0</v>
      </c>
      <c r="M125" s="1080">
        <f>IF(U125&gt;0,'3 pr-2'!R126,0)</f>
        <v>0</v>
      </c>
      <c r="N125" s="1080">
        <f>IF(U125&gt;0,'3 pr-2'!U126,0)</f>
        <v>0</v>
      </c>
      <c r="O125" s="1080">
        <f>IF(U125&gt;0,'3 pr-2'!X126,0)</f>
        <v>0</v>
      </c>
      <c r="P125" s="1080">
        <f>IF(U125&gt;0,'3 pr-2'!AA126,0)</f>
        <v>0</v>
      </c>
      <c r="Q125" s="1164">
        <f>IF($Z$9&gt;0,'3 pr-2'!AB126,0)</f>
        <v>0</v>
      </c>
      <c r="R125" s="478">
        <f>SUM('3 pr-2'!AK126)</f>
        <v>44134</v>
      </c>
      <c r="S125" s="1612">
        <f>IF(SUMIF(Projektu_sutarciu_ataskaita!$J:$J,$C125,Projektu_sutarciu_ataskaita!$BW:$BW)&gt;0,SUMIF(Projektu_sutarciu_ataskaita!$J:$J,$C125,Projektu_sutarciu_ataskaita!$BW:$BW),"–")</f>
        <v>44104</v>
      </c>
      <c r="T125" s="1132" t="str">
        <f t="shared" si="27"/>
        <v>–</v>
      </c>
      <c r="U125" s="247">
        <f>SUMIF(Projektu_sutarciu_ataskaita!$J:$J,$C125,Projektu_sutarciu_ataskaita!$BX:$BX)</f>
        <v>0</v>
      </c>
      <c r="V125" s="992" t="str">
        <f t="shared" si="52"/>
        <v>–</v>
      </c>
      <c r="W125" s="1251">
        <f>IF(U125&gt;0,'IV-3'!K124,0)</f>
        <v>0</v>
      </c>
      <c r="X125" s="1249">
        <f t="shared" si="29"/>
        <v>0</v>
      </c>
    </row>
    <row r="126" spans="1:24" ht="36.75">
      <c r="A126" s="164" t="str">
        <f>CONCATENATE('3 pr-2'!A127)</f>
        <v>2.1.2.1.6</v>
      </c>
      <c r="B126" s="236" t="str">
        <f>CONCATENATE('3 pr-2'!B127)</f>
        <v>R01-6609-471000-2216</v>
      </c>
      <c r="C126" s="281" t="str">
        <f>CONCATENATE('ketv. 2'!B126)</f>
        <v>08.1.3-CPVA-R-609-11-0011</v>
      </c>
      <c r="D126" s="164" t="str">
        <f>CONCATENATE('3 pr-2'!D127)</f>
        <v>Sveikatos priežiūros paslaugų gerinimas UAB „Disolis“</v>
      </c>
      <c r="E126" s="164" t="str">
        <f>CONCATENATE('3 pr-2'!E127)</f>
        <v>UAB „Disolis“</v>
      </c>
      <c r="F126" s="164" t="str">
        <f>CONCATENATE('3 pr-2'!F127)</f>
        <v>Lietuvos Respublikos Sveikatos apsaugos ministerija</v>
      </c>
      <c r="G126" s="164" t="str">
        <f>CONCATENATE('3 pr-2'!G127)</f>
        <v>Alytaus r. sav.</v>
      </c>
      <c r="H126" s="164" t="str">
        <f>CONCATENATE('3 pr-2'!H127)</f>
        <v>08.1.3-CPVA-R-609</v>
      </c>
      <c r="I126" s="164" t="str">
        <f>CONCATENATE('3 pr-2'!I127)</f>
        <v>R</v>
      </c>
      <c r="J126" s="164" t="str">
        <f>CONCATENATE('3 pr-2'!J127)</f>
        <v>-</v>
      </c>
      <c r="K126" s="1080">
        <f>IF(U126&gt;0,'3 pr-2'!L127,0)</f>
        <v>0</v>
      </c>
      <c r="L126" s="1080">
        <f>IF(U126&gt;0,'3 pr-2'!O127,0)</f>
        <v>0</v>
      </c>
      <c r="M126" s="1080">
        <f>IF(U126&gt;0,'3 pr-2'!R127,0)</f>
        <v>0</v>
      </c>
      <c r="N126" s="1080">
        <f>IF(U126&gt;0,'3 pr-2'!U127,0)</f>
        <v>0</v>
      </c>
      <c r="O126" s="1080">
        <f>IF(U126&gt;0,'3 pr-2'!X127,0)</f>
        <v>0</v>
      </c>
      <c r="P126" s="1080">
        <f>IF(U126&gt;0,'3 pr-2'!AA127,0)</f>
        <v>0</v>
      </c>
      <c r="Q126" s="1164">
        <f>IF($Z$9&gt;0,'3 pr-2'!AB127,0)</f>
        <v>0</v>
      </c>
      <c r="R126" s="478">
        <f>SUM('3 pr-2'!AK127)</f>
        <v>43830</v>
      </c>
      <c r="S126" s="1612">
        <f>IF(SUMIF(Projektu_sutarciu_ataskaita!$J:$J,$C126,Projektu_sutarciu_ataskaita!$BW:$BW)&gt;0,SUMIF(Projektu_sutarciu_ataskaita!$J:$J,$C126,Projektu_sutarciu_ataskaita!$BW:$BW),"–")</f>
        <v>43676</v>
      </c>
      <c r="T126" s="1132" t="str">
        <f t="shared" si="27"/>
        <v>–</v>
      </c>
      <c r="U126" s="247">
        <f>SUMIF(Projektu_sutarciu_ataskaita!$J:$J,$C126,Projektu_sutarciu_ataskaita!$BX:$BX)</f>
        <v>0</v>
      </c>
      <c r="V126" s="992" t="str">
        <f t="shared" si="52"/>
        <v>–</v>
      </c>
      <c r="W126" s="1251">
        <f>IF(U126&gt;0,'IV-3'!K125,0)</f>
        <v>0</v>
      </c>
      <c r="X126" s="1249">
        <f t="shared" si="29"/>
        <v>0</v>
      </c>
    </row>
    <row r="127" spans="1:24" ht="36.75">
      <c r="A127" s="164" t="str">
        <f>CONCATENATE('3 pr-2'!A128)</f>
        <v>2.1.2.1.7</v>
      </c>
      <c r="B127" s="236" t="str">
        <f>CONCATENATE('3 pr-2'!B128)</f>
        <v>R01-6609-274710-2217</v>
      </c>
      <c r="C127" s="281" t="str">
        <f>CONCATENATE('ketv. 2'!B127)</f>
        <v>08.1.3-CPVA-R-609-11-0007</v>
      </c>
      <c r="D127" s="164" t="str">
        <f>CONCATENATE('3 pr-2'!D128)</f>
        <v>Pirminės asmens sveikatos priežiūros kokybės ir prieinamumo gerinimas Druskininkų savivaldybėje</v>
      </c>
      <c r="E127" s="164" t="str">
        <f>CONCATENATE('3 pr-2'!E128)</f>
        <v>VšĮ Druskininkų pirminės sveikatos priežiūros centras</v>
      </c>
      <c r="F127" s="164" t="str">
        <f>CONCATENATE('3 pr-2'!F128)</f>
        <v>Lietuvos Respublikos Sveikatos apsaugos ministerija</v>
      </c>
      <c r="G127" s="164" t="str">
        <f>CONCATENATE('3 pr-2'!G128)</f>
        <v>Druskininkų sav.</v>
      </c>
      <c r="H127" s="164" t="str">
        <f>CONCATENATE('3 pr-2'!H128)</f>
        <v>08.1.3-CPVA-R-609</v>
      </c>
      <c r="I127" s="164" t="str">
        <f>CONCATENATE('3 pr-2'!I128)</f>
        <v>R</v>
      </c>
      <c r="J127" s="164" t="str">
        <f>CONCATENATE('3 pr-2'!J128)</f>
        <v>-</v>
      </c>
      <c r="K127" s="1080">
        <f>IF(U127&gt;0,'3 pr-2'!L128,0)</f>
        <v>0</v>
      </c>
      <c r="L127" s="1080">
        <f>IF(U127&gt;0,'3 pr-2'!O128,0)</f>
        <v>0</v>
      </c>
      <c r="M127" s="1080">
        <f>IF(U127&gt;0,'3 pr-2'!R128,0)</f>
        <v>0</v>
      </c>
      <c r="N127" s="1080">
        <f>IF(U127&gt;0,'3 pr-2'!U128,0)</f>
        <v>0</v>
      </c>
      <c r="O127" s="1080">
        <f>IF(U127&gt;0,'3 pr-2'!X128,0)</f>
        <v>0</v>
      </c>
      <c r="P127" s="1080">
        <f>IF(U127&gt;0,'3 pr-2'!AA128,0)</f>
        <v>0</v>
      </c>
      <c r="Q127" s="1164">
        <f>IF($Z$9&gt;0,'3 pr-2'!AB128,0)</f>
        <v>0</v>
      </c>
      <c r="R127" s="478">
        <f>SUM('3 pr-2'!AK128)</f>
        <v>44196</v>
      </c>
      <c r="S127" s="1612">
        <f>IF(SUMIF(Projektu_sutarciu_ataskaita!$J:$J,$C127,Projektu_sutarciu_ataskaita!$BW:$BW)&gt;0,SUMIF(Projektu_sutarciu_ataskaita!$J:$J,$C127,Projektu_sutarciu_ataskaita!$BW:$BW),"–")</f>
        <v>44073</v>
      </c>
      <c r="T127" s="1132" t="str">
        <f t="shared" si="27"/>
        <v>–</v>
      </c>
      <c r="U127" s="247">
        <f>SUMIF(Projektu_sutarciu_ataskaita!$J:$J,$C127,Projektu_sutarciu_ataskaita!$BX:$BX)</f>
        <v>0</v>
      </c>
      <c r="V127" s="992" t="str">
        <f t="shared" si="52"/>
        <v>–</v>
      </c>
      <c r="W127" s="1251">
        <f>IF(U127&gt;0,'IV-3'!K126,0)</f>
        <v>0</v>
      </c>
      <c r="X127" s="1249">
        <f t="shared" si="29"/>
        <v>0</v>
      </c>
    </row>
    <row r="128" spans="1:24" ht="36.75">
      <c r="A128" s="164" t="str">
        <f>CONCATENATE('3 pr-2'!A129)</f>
        <v>2.1.2.1.8</v>
      </c>
      <c r="B128" s="236" t="str">
        <f>CONCATENATE('3 pr-2'!B129)</f>
        <v>R01-6609-104700-2218</v>
      </c>
      <c r="C128" s="281" t="str">
        <f>CONCATENATE('ketv. 2'!B128)</f>
        <v>08.1.3-CPVA-R-609-11-0006</v>
      </c>
      <c r="D128" s="164" t="str">
        <f>CONCATENATE('3 pr-2'!D129)</f>
        <v>UAB "Druskininkų šeimos klinika" asmens sveikatos priežiūros paslaugų prieinamumo ir efektyvumo didinimas</v>
      </c>
      <c r="E128" s="164" t="str">
        <f>CONCATENATE('3 pr-2'!E129)</f>
        <v>UAB „Druskininkų šeimos klinika“</v>
      </c>
      <c r="F128" s="164" t="str">
        <f>CONCATENATE('3 pr-2'!F129)</f>
        <v>Lietuvos Respublikos Sveikatos apsaugos ministerija</v>
      </c>
      <c r="G128" s="164" t="str">
        <f>CONCATENATE('3 pr-2'!G129)</f>
        <v>Druskininkų sav.</v>
      </c>
      <c r="H128" s="164" t="str">
        <f>CONCATENATE('3 pr-2'!H129)</f>
        <v>08.1.3-CPVA-R-609</v>
      </c>
      <c r="I128" s="164" t="str">
        <f>CONCATENATE('3 pr-2'!I129)</f>
        <v>R</v>
      </c>
      <c r="J128" s="164" t="str">
        <f>CONCATENATE('3 pr-2'!J129)</f>
        <v>-</v>
      </c>
      <c r="K128" s="1080">
        <f>IF(U128&gt;0,'3 pr-2'!L129,0)</f>
        <v>0</v>
      </c>
      <c r="L128" s="1080">
        <f>IF(U128&gt;0,'3 pr-2'!O129,0)</f>
        <v>0</v>
      </c>
      <c r="M128" s="1080">
        <f>IF(U128&gt;0,'3 pr-2'!R129,0)</f>
        <v>0</v>
      </c>
      <c r="N128" s="1080">
        <f>IF(U128&gt;0,'3 pr-2'!U129,0)</f>
        <v>0</v>
      </c>
      <c r="O128" s="1080">
        <f>IF(U128&gt;0,'3 pr-2'!X129,0)</f>
        <v>0</v>
      </c>
      <c r="P128" s="1080">
        <f>IF(U128&gt;0,'3 pr-2'!AA129,0)</f>
        <v>0</v>
      </c>
      <c r="Q128" s="1164">
        <f>IF($Z$9&gt;0,'3 pr-2'!AB129,0)</f>
        <v>0</v>
      </c>
      <c r="R128" s="478">
        <f>SUM('3 pr-2'!AK129)</f>
        <v>43922</v>
      </c>
      <c r="S128" s="1612">
        <f>IF(SUMIF(Projektu_sutarciu_ataskaita!$J:$J,$C128,Projektu_sutarciu_ataskaita!$BW:$BW)&gt;0,SUMIF(Projektu_sutarciu_ataskaita!$J:$J,$C128,Projektu_sutarciu_ataskaita!$BW:$BW),"–")</f>
        <v>43707</v>
      </c>
      <c r="T128" s="1132" t="str">
        <f t="shared" si="27"/>
        <v>–</v>
      </c>
      <c r="U128" s="247">
        <f>SUMIF(Projektu_sutarciu_ataskaita!$J:$J,$C128,Projektu_sutarciu_ataskaita!$BX:$BX)</f>
        <v>0</v>
      </c>
      <c r="V128" s="992" t="str">
        <f t="shared" si="52"/>
        <v>–</v>
      </c>
      <c r="W128" s="1251">
        <f>IF(U128&gt;0,'IV-3'!K127,0)</f>
        <v>0</v>
      </c>
      <c r="X128" s="1249">
        <f t="shared" si="29"/>
        <v>0</v>
      </c>
    </row>
    <row r="129" spans="1:24" ht="36.75">
      <c r="A129" s="164" t="str">
        <f>CONCATENATE('3 pr-2'!A130)</f>
        <v>2.1.2.1.9</v>
      </c>
      <c r="B129" s="236" t="str">
        <f>CONCATENATE('3 pr-2'!B130)</f>
        <v>R01-6609-274710-2219</v>
      </c>
      <c r="C129" s="281" t="str">
        <f>CONCATENATE('ketv. 2'!B129)</f>
        <v>08.1.3-CPVA-R-609-11-0001</v>
      </c>
      <c r="D129" s="164" t="str">
        <f>CONCATENATE('3 pr-2'!D130)</f>
        <v>I. S. Kavaliauskienės įmonės teikiamų pirminės ambulatorinės asmens sveikatos priežiūros paslaugų kokybės ir prieinamumo gerinimas</v>
      </c>
      <c r="E129" s="164" t="str">
        <f>CONCATENATE('3 pr-2'!E130)</f>
        <v>Irenos Stanislavos Kavaliauskienės įmonė</v>
      </c>
      <c r="F129" s="164" t="str">
        <f>CONCATENATE('3 pr-2'!F130)</f>
        <v>Lietuvos Respublikos Sveikatos apsaugos ministerija</v>
      </c>
      <c r="G129" s="164" t="str">
        <f>CONCATENATE('3 pr-2'!G130)</f>
        <v>Druskininkų sav.</v>
      </c>
      <c r="H129" s="164" t="str">
        <f>CONCATENATE('3 pr-2'!H130)</f>
        <v>08.1.3-CPVA-R-609</v>
      </c>
      <c r="I129" s="164" t="str">
        <f>CONCATENATE('3 pr-2'!I130)</f>
        <v>R</v>
      </c>
      <c r="J129" s="164" t="str">
        <f>CONCATENATE('3 pr-2'!J130)</f>
        <v>-</v>
      </c>
      <c r="K129" s="1080">
        <f>IF(U129&gt;0,'3 pr-2'!L130,0)</f>
        <v>0</v>
      </c>
      <c r="L129" s="1080">
        <f>IF(U129&gt;0,'3 pr-2'!O130,0)</f>
        <v>0</v>
      </c>
      <c r="M129" s="1080">
        <f>IF(U129&gt;0,'3 pr-2'!R130,0)</f>
        <v>0</v>
      </c>
      <c r="N129" s="1080">
        <f>IF(U129&gt;0,'3 pr-2'!U130,0)</f>
        <v>0</v>
      </c>
      <c r="O129" s="1080">
        <f>IF(U129&gt;0,'3 pr-2'!X130,0)</f>
        <v>0</v>
      </c>
      <c r="P129" s="1080">
        <f>IF(U129&gt;0,'3 pr-2'!AA130,0)</f>
        <v>0</v>
      </c>
      <c r="Q129" s="1164">
        <f>IF($Z$9&gt;0,'3 pr-2'!AB130,0)</f>
        <v>0</v>
      </c>
      <c r="R129" s="478">
        <f>SUM('3 pr-2'!AK130)</f>
        <v>43830</v>
      </c>
      <c r="S129" s="1612">
        <f>IF(SUMIF(Projektu_sutarciu_ataskaita!$J:$J,$C129,Projektu_sutarciu_ataskaita!$BW:$BW)&gt;0,SUMIF(Projektu_sutarciu_ataskaita!$J:$J,$C129,Projektu_sutarciu_ataskaita!$BW:$BW),"–")</f>
        <v>43768</v>
      </c>
      <c r="T129" s="1132" t="str">
        <f t="shared" si="27"/>
        <v>–</v>
      </c>
      <c r="U129" s="247">
        <f>SUMIF(Projektu_sutarciu_ataskaita!$J:$J,$C129,Projektu_sutarciu_ataskaita!$BX:$BX)</f>
        <v>0</v>
      </c>
      <c r="V129" s="992" t="str">
        <f t="shared" si="52"/>
        <v>–</v>
      </c>
      <c r="W129" s="1251">
        <f>IF(U129&gt;0,'IV-3'!K128,0)</f>
        <v>0</v>
      </c>
      <c r="X129" s="1249">
        <f t="shared" si="29"/>
        <v>0</v>
      </c>
    </row>
    <row r="130" spans="1:24" ht="36.75">
      <c r="A130" s="164" t="str">
        <f>CONCATENATE('3 pr-2'!A131)</f>
        <v>2.1.2.1.10</v>
      </c>
      <c r="B130" s="236" t="str">
        <f>CONCATENATE('3 pr-2'!B131)</f>
        <v>R01-6609-274710-2220</v>
      </c>
      <c r="C130" s="281" t="str">
        <f>CONCATENATE('ketv. 2'!B130)</f>
        <v>08.1.3-CPVA-R-609-11-0008</v>
      </c>
      <c r="D130" s="164" t="str">
        <f>CONCATENATE('3 pr-2'!D131)</f>
        <v>Pirminės ambulatorinės asmens sveikatos priežiūros efektyvumo didinimas R. Ambrazaitienės ir L. Puzinovienės šeimos gydytojų kabinetuose</v>
      </c>
      <c r="E130" s="164" t="str">
        <f>CONCATENATE('3 pr-2'!E131)</f>
        <v>UAB „Rasos Ambrazaitienės šeimos gydytojo kabinetas“</v>
      </c>
      <c r="F130" s="164" t="str">
        <f>CONCATENATE('3 pr-2'!F131)</f>
        <v>Lietuvos Respublikos Sveikatos apsaugos ministerija</v>
      </c>
      <c r="G130" s="164" t="str">
        <f>CONCATENATE('3 pr-2'!G131)</f>
        <v>Druskininkų sav.</v>
      </c>
      <c r="H130" s="164" t="str">
        <f>CONCATENATE('3 pr-2'!H131)</f>
        <v>08.1.3-CPVA-R-609</v>
      </c>
      <c r="I130" s="164" t="str">
        <f>CONCATENATE('3 pr-2'!I131)</f>
        <v>R</v>
      </c>
      <c r="J130" s="164" t="str">
        <f>CONCATENATE('3 pr-2'!J131)</f>
        <v>-</v>
      </c>
      <c r="K130" s="1080">
        <f>IF(U130&gt;0,'3 pr-2'!L131,0)</f>
        <v>0</v>
      </c>
      <c r="L130" s="1080">
        <f>IF(U130&gt;0,'3 pr-2'!O131,0)</f>
        <v>0</v>
      </c>
      <c r="M130" s="1080">
        <f>IF(U130&gt;0,'3 pr-2'!R131,0)</f>
        <v>0</v>
      </c>
      <c r="N130" s="1080">
        <f>IF(U130&gt;0,'3 pr-2'!U131,0)</f>
        <v>0</v>
      </c>
      <c r="O130" s="1080">
        <f>IF(U130&gt;0,'3 pr-2'!X131,0)</f>
        <v>0</v>
      </c>
      <c r="P130" s="1080">
        <f>IF(U130&gt;0,'3 pr-2'!AA131,0)</f>
        <v>0</v>
      </c>
      <c r="Q130" s="1164">
        <f>IF($Z$9&gt;0,'3 pr-2'!AB131,0)</f>
        <v>0</v>
      </c>
      <c r="R130" s="478">
        <f>SUM('3 pr-2'!AK131)</f>
        <v>44196</v>
      </c>
      <c r="S130" s="1612">
        <f>IF(SUMIF(Projektu_sutarciu_ataskaita!$J:$J,$C130,Projektu_sutarciu_ataskaita!$BW:$BW)&gt;0,SUMIF(Projektu_sutarciu_ataskaita!$J:$J,$C130,Projektu_sutarciu_ataskaita!$BW:$BW),"–")</f>
        <v>43768</v>
      </c>
      <c r="T130" s="1132" t="str">
        <f t="shared" si="27"/>
        <v>–</v>
      </c>
      <c r="U130" s="247">
        <f>SUMIF(Projektu_sutarciu_ataskaita!$J:$J,$C130,Projektu_sutarciu_ataskaita!$BX:$BX)</f>
        <v>0</v>
      </c>
      <c r="V130" s="992" t="str">
        <f t="shared" si="52"/>
        <v>–</v>
      </c>
      <c r="W130" s="1251">
        <f>IF(U130&gt;0,'IV-3'!K129,0)</f>
        <v>0</v>
      </c>
      <c r="X130" s="1249">
        <f t="shared" si="29"/>
        <v>0</v>
      </c>
    </row>
    <row r="131" spans="1:24" ht="36.75">
      <c r="A131" s="164" t="str">
        <f>CONCATENATE('3 pr-2'!A132)</f>
        <v>2.1.2.1.11</v>
      </c>
      <c r="B131" s="236" t="str">
        <f>CONCATENATE('3 pr-2'!B132)</f>
        <v>R01-6609-274700-2221</v>
      </c>
      <c r="C131" s="281" t="str">
        <f>CONCATENATE('ketv. 2'!B131)</f>
        <v>08.1.3-CPVA-R-609-11-0010</v>
      </c>
      <c r="D131" s="164" t="str">
        <f>CONCATENATE('3 pr-2'!D132)</f>
        <v>Pirminės asmens sveikatos priežiūros veiklos efektyvumo didinimas Lazdijų rajono savivaldybėje</v>
      </c>
      <c r="E131" s="164" t="str">
        <f>CONCATENATE('3 pr-2'!E132)</f>
        <v>Lazdijų rajono savivaldybės administracija</v>
      </c>
      <c r="F131" s="164" t="str">
        <f>CONCATENATE('3 pr-2'!F132)</f>
        <v>Lietuvos Respublikos Sveikatos apsaugos ministerija</v>
      </c>
      <c r="G131" s="164" t="str">
        <f>CONCATENATE('3 pr-2'!G132)</f>
        <v>Lazdijų r. sav.</v>
      </c>
      <c r="H131" s="164" t="str">
        <f>CONCATENATE('3 pr-2'!H132)</f>
        <v>08.1.3-CPVA-R-609</v>
      </c>
      <c r="I131" s="164" t="str">
        <f>CONCATENATE('3 pr-2'!I132)</f>
        <v>R</v>
      </c>
      <c r="J131" s="164" t="str">
        <f>CONCATENATE('3 pr-2'!J132)</f>
        <v>-</v>
      </c>
      <c r="K131" s="1080">
        <f>IF(U131&gt;0,'3 pr-2'!L132,0)</f>
        <v>0</v>
      </c>
      <c r="L131" s="1080">
        <f>IF(U131&gt;0,'3 pr-2'!O132,0)</f>
        <v>0</v>
      </c>
      <c r="M131" s="1080">
        <f>IF(U131&gt;0,'3 pr-2'!R132,0)</f>
        <v>0</v>
      </c>
      <c r="N131" s="1080">
        <f>IF(U131&gt;0,'3 pr-2'!U132,0)</f>
        <v>0</v>
      </c>
      <c r="O131" s="1080">
        <f>IF(U131&gt;0,'3 pr-2'!X132,0)</f>
        <v>0</v>
      </c>
      <c r="P131" s="1080">
        <f>IF(U131&gt;0,'3 pr-2'!AA132,0)</f>
        <v>0</v>
      </c>
      <c r="Q131" s="1164">
        <f>IF($Z$9&gt;0,'3 pr-2'!AB132,0)</f>
        <v>0</v>
      </c>
      <c r="R131" s="478">
        <f>SUM('3 pr-2'!AK132)</f>
        <v>44531</v>
      </c>
      <c r="S131" s="1612">
        <f>IF(SUMIF(Projektu_sutarciu_ataskaita!$J:$J,$C131,Projektu_sutarciu_ataskaita!$BW:$BW)&gt;0,SUMIF(Projektu_sutarciu_ataskaita!$J:$J,$C131,Projektu_sutarciu_ataskaita!$BW:$BW),"–")</f>
        <v>43951</v>
      </c>
      <c r="T131" s="1132" t="str">
        <f t="shared" si="27"/>
        <v>–</v>
      </c>
      <c r="U131" s="247">
        <f>SUMIF(Projektu_sutarciu_ataskaita!$J:$J,$C131,Projektu_sutarciu_ataskaita!$BX:$BX)</f>
        <v>0</v>
      </c>
      <c r="V131" s="992" t="str">
        <f t="shared" si="52"/>
        <v>–</v>
      </c>
      <c r="W131" s="1251">
        <f>IF(U131&gt;0,'IV-3'!K130,0)</f>
        <v>0</v>
      </c>
      <c r="X131" s="1249">
        <f t="shared" si="29"/>
        <v>0</v>
      </c>
    </row>
    <row r="132" spans="1:24" ht="36.75">
      <c r="A132" s="164" t="str">
        <f>CONCATENATE('3 pr-2'!A133)</f>
        <v>2.1.2.1.12</v>
      </c>
      <c r="B132" s="236" t="str">
        <f>CONCATENATE('3 pr-2'!B133)</f>
        <v>R01-6609-274710-2222</v>
      </c>
      <c r="C132" s="281" t="str">
        <f>CONCATENATE('ketv. 2'!B132)</f>
        <v>08.1.3-CPVA-R-609-11-0012</v>
      </c>
      <c r="D132" s="164" t="str">
        <f>CONCATENATE('3 pr-2'!D133)</f>
        <v>Pirminės asmens sveikatos priežiūros veiklos efektyvumo didinimas Varėnos rajono savivaldybėje</v>
      </c>
      <c r="E132" s="164" t="str">
        <f>CONCATENATE('3 pr-2'!E133)</f>
        <v>VšĮ Varėnos pirminės sveikatos priežiūros centras</v>
      </c>
      <c r="F132" s="164" t="str">
        <f>CONCATENATE('3 pr-2'!F133)</f>
        <v>Lietuvos Respublikos Sveikatos apsaugos ministerija</v>
      </c>
      <c r="G132" s="164" t="str">
        <f>CONCATENATE('3 pr-2'!G133)</f>
        <v>Varėnos r. sav.</v>
      </c>
      <c r="H132" s="164" t="str">
        <f>CONCATENATE('3 pr-2'!H133)</f>
        <v>08.1.3-CPVA-R-609</v>
      </c>
      <c r="I132" s="164" t="str">
        <f>CONCATENATE('3 pr-2'!I133)</f>
        <v>R</v>
      </c>
      <c r="J132" s="164" t="str">
        <f>CONCATENATE('3 pr-2'!J133)</f>
        <v>-</v>
      </c>
      <c r="K132" s="1080">
        <f>IF(U132&gt;0,'3 pr-2'!L133,0)</f>
        <v>0</v>
      </c>
      <c r="L132" s="1080">
        <f>IF(U132&gt;0,'3 pr-2'!O133,0)</f>
        <v>0</v>
      </c>
      <c r="M132" s="1080">
        <f>IF(U132&gt;0,'3 pr-2'!R133,0)</f>
        <v>0</v>
      </c>
      <c r="N132" s="1080">
        <f>IF(U132&gt;0,'3 pr-2'!U133,0)</f>
        <v>0</v>
      </c>
      <c r="O132" s="1080">
        <f>IF(U132&gt;0,'3 pr-2'!X133,0)</f>
        <v>0</v>
      </c>
      <c r="P132" s="1080">
        <f>IF(U132&gt;0,'3 pr-2'!AA133,0)</f>
        <v>0</v>
      </c>
      <c r="Q132" s="1164">
        <f>IF($Z$9&gt;0,'3 pr-2'!AB133,0)</f>
        <v>0</v>
      </c>
      <c r="R132" s="478">
        <f>SUM('3 pr-2'!AK133)</f>
        <v>44227</v>
      </c>
      <c r="S132" s="1612">
        <f>IF(SUMIF(Projektu_sutarciu_ataskaita!$J:$J,$C132,Projektu_sutarciu_ataskaita!$BW:$BW)&gt;0,SUMIF(Projektu_sutarciu_ataskaita!$J:$J,$C132,Projektu_sutarciu_ataskaita!$BW:$BW),"–")</f>
        <v>44042</v>
      </c>
      <c r="T132" s="1132" t="str">
        <f t="shared" si="27"/>
        <v>–</v>
      </c>
      <c r="U132" s="247">
        <f>SUMIF(Projektu_sutarciu_ataskaita!$J:$J,$C132,Projektu_sutarciu_ataskaita!$BX:$BX)</f>
        <v>0</v>
      </c>
      <c r="V132" s="992" t="str">
        <f t="shared" si="52"/>
        <v>–</v>
      </c>
      <c r="W132" s="1251">
        <f>IF(U132&gt;0,'IV-3'!K131,0)</f>
        <v>0</v>
      </c>
      <c r="X132" s="1249">
        <f t="shared" si="29"/>
        <v>0</v>
      </c>
    </row>
    <row r="133" spans="1:24" ht="37.5" thickBot="1">
      <c r="A133" s="164" t="str">
        <f>CONCATENATE('3 pr-2'!A134)</f>
        <v>2.1.2.1.13</v>
      </c>
      <c r="B133" s="236" t="str">
        <f>CONCATENATE('3 pr-2'!B134)</f>
        <v>R01-6609-470000-2223</v>
      </c>
      <c r="C133" s="281" t="str">
        <f>CONCATENATE('ketv. 2'!B133)</f>
        <v/>
      </c>
      <c r="D133" s="164" t="str">
        <f>CONCATENATE('3 pr-2'!D134)</f>
        <v>Pirminės asmens sveikatos priežiūros veiklos efektyvumo didinimas N. Jarašienės personalinėje įmonėje</v>
      </c>
      <c r="E133" s="164" t="str">
        <f>CONCATENATE('3 pr-2'!E134)</f>
        <v>N. Jarašienės personalinė įmonė</v>
      </c>
      <c r="F133" s="164" t="str">
        <f>CONCATENATE('3 pr-2'!F134)</f>
        <v>Lietuvos Respublikos Sveikatos apsaugos ministerija</v>
      </c>
      <c r="G133" s="164" t="str">
        <f>CONCATENATE('3 pr-2'!G134)</f>
        <v>Varėnos r. sav.</v>
      </c>
      <c r="H133" s="164" t="str">
        <f>CONCATENATE('3 pr-2'!H134)</f>
        <v>08.1.3-CPVA-R-609</v>
      </c>
      <c r="I133" s="164" t="str">
        <f>CONCATENATE('3 pr-2'!I134)</f>
        <v>R</v>
      </c>
      <c r="J133" s="164" t="str">
        <f>CONCATENATE('3 pr-2'!J134)</f>
        <v>-</v>
      </c>
      <c r="K133" s="1080">
        <f>IF(U133&gt;0,'3 pr-2'!L134,0)</f>
        <v>0</v>
      </c>
      <c r="L133" s="1080">
        <f>IF(U133&gt;0,'3 pr-2'!O134,0)</f>
        <v>0</v>
      </c>
      <c r="M133" s="1080">
        <f>IF(U133&gt;0,'3 pr-2'!R134,0)</f>
        <v>0</v>
      </c>
      <c r="N133" s="1080">
        <f>IF(U133&gt;0,'3 pr-2'!U134,0)</f>
        <v>0</v>
      </c>
      <c r="O133" s="1080">
        <f>IF(U133&gt;0,'3 pr-2'!X134,0)</f>
        <v>0</v>
      </c>
      <c r="P133" s="1080">
        <f>IF(U133&gt;0,'3 pr-2'!AA134,0)</f>
        <v>0</v>
      </c>
      <c r="Q133" s="1164">
        <f>IF($Z$9&gt;0,'3 pr-2'!AB134,0)</f>
        <v>0</v>
      </c>
      <c r="R133" s="478">
        <f>SUM('3 pr-2'!AK134)</f>
        <v>43830</v>
      </c>
      <c r="S133" s="1612" t="str">
        <f>IF(SUMIF(Projektu_sutarciu_ataskaita!$J:$J,$C133,Projektu_sutarciu_ataskaita!$BW:$BW)&gt;0,SUMIF(Projektu_sutarciu_ataskaita!$J:$J,$C133,Projektu_sutarciu_ataskaita!$BW:$BW),"–")</f>
        <v>–</v>
      </c>
      <c r="T133" s="1132" t="str">
        <f t="shared" si="27"/>
        <v>–</v>
      </c>
      <c r="U133" s="247">
        <f>SUMIF(Projektu_sutarciu_ataskaita!$J:$J,$C133,Projektu_sutarciu_ataskaita!$BX:$BX)</f>
        <v>0</v>
      </c>
      <c r="V133" s="992" t="str">
        <f t="shared" si="52"/>
        <v>–</v>
      </c>
      <c r="W133" s="1251">
        <f>IF(U133&gt;0,'IV-3'!K132,0)</f>
        <v>0</v>
      </c>
      <c r="X133" s="1249">
        <f t="shared" si="29"/>
        <v>0</v>
      </c>
    </row>
    <row r="134" spans="1:24" ht="41.25" customHeight="1" thickBot="1">
      <c r="A134" s="296" t="str">
        <f>CONCATENATE('3 pr-2'!A135)</f>
        <v>2.1.2.2</v>
      </c>
      <c r="B134" s="2088" t="str">
        <f>CONCATENATE('3 pr-2'!B135)</f>
        <v>Priemonė:
Sveikos gyvensenos skatinimas regioniniu lygiu</v>
      </c>
      <c r="C134" s="2089"/>
      <c r="D134" s="2089"/>
      <c r="E134" s="2089"/>
      <c r="F134" s="2089"/>
      <c r="G134" s="2089"/>
      <c r="H134" s="2089"/>
      <c r="I134" s="2089"/>
      <c r="J134" s="2090"/>
      <c r="K134" s="1168">
        <f t="shared" ref="K134:Q134" si="53">SUM(K135:K139)</f>
        <v>0</v>
      </c>
      <c r="L134" s="1168">
        <f t="shared" si="53"/>
        <v>0</v>
      </c>
      <c r="M134" s="1168">
        <f t="shared" si="53"/>
        <v>0</v>
      </c>
      <c r="N134" s="1168">
        <f t="shared" si="53"/>
        <v>0</v>
      </c>
      <c r="O134" s="1168">
        <f t="shared" si="53"/>
        <v>0</v>
      </c>
      <c r="P134" s="1168">
        <f t="shared" si="53"/>
        <v>0</v>
      </c>
      <c r="Q134" s="1168">
        <f t="shared" si="53"/>
        <v>0</v>
      </c>
      <c r="R134" s="568"/>
      <c r="S134" s="1612" t="str">
        <f>IF(SUMIF(Projektu_sutarciu_ataskaita!$J:$J,$C134,Projektu_sutarciu_ataskaita!$BW:$BW)&gt;0,SUMIF(Projektu_sutarciu_ataskaita!$J:$J,$C134,Projektu_sutarciu_ataskaita!$BW:$BW),"–")</f>
        <v>–</v>
      </c>
      <c r="T134" s="568" t="str">
        <f t="shared" si="27"/>
        <v>–</v>
      </c>
      <c r="U134" s="1360">
        <f>IF(ISTEXT(#REF!),"–",SUMIF(Projektu_sutarciu_ataskaita!$J:$J,$C134,Projektu_sutarciu_ataskaita!$BX:$BX))</f>
        <v>0</v>
      </c>
      <c r="V134" s="568" t="str">
        <f t="shared" si="31"/>
        <v>–</v>
      </c>
      <c r="W134" s="1249"/>
      <c r="X134" s="1249">
        <f t="shared" si="29"/>
        <v>0</v>
      </c>
    </row>
    <row r="135" spans="1:24" ht="36.75">
      <c r="A135" s="375" t="str">
        <f>CONCATENATE('3 pr-2'!A136)</f>
        <v>2.1.2.2.1</v>
      </c>
      <c r="B135" s="236" t="str">
        <f>CONCATENATE('3 pr-2'!B136)</f>
        <v>R01-6630-475000-2221</v>
      </c>
      <c r="C135" s="373" t="str">
        <f>CONCATENATE('ketv. 2'!B135)</f>
        <v>08.4.2-ESFA-R-630-11-0004</v>
      </c>
      <c r="D135" s="375" t="str">
        <f>CONCATENATE('3 pr-2'!D136)</f>
        <v>Sveikos gyvensenos skatinimas Alytaus rajone</v>
      </c>
      <c r="E135" s="375" t="str">
        <f>CONCATENATE('3 pr-2'!E136)</f>
        <v>Alytaus rajono savivaldybės visuomenės sveikatos biuras</v>
      </c>
      <c r="F135" s="375" t="str">
        <f>CONCATENATE('3 pr-2'!F136)</f>
        <v>Lietuvos Respublikos Sveikatos apsaugos ministerija</v>
      </c>
      <c r="G135" s="375" t="str">
        <f>CONCATENATE('3 pr-2'!G136)</f>
        <v>Alytaus r. sav.</v>
      </c>
      <c r="H135" s="375" t="str">
        <f>CONCATENATE('3 pr-2'!H136)</f>
        <v>08.4.2-ESFA-R-630</v>
      </c>
      <c r="I135" s="375" t="str">
        <f>CONCATENATE('3 pr-2'!I136)</f>
        <v>R</v>
      </c>
      <c r="J135" s="375" t="str">
        <f>CONCATENATE('3 pr-2'!J136)</f>
        <v>-</v>
      </c>
      <c r="K135" s="1080">
        <f>IF(U135&gt;0,'3 pr-2'!L136,0)</f>
        <v>0</v>
      </c>
      <c r="L135" s="1080">
        <f>IF(U135&gt;0,'3 pr-2'!O136,0)</f>
        <v>0</v>
      </c>
      <c r="M135" s="1080">
        <f>IF(U135&gt;0,'3 pr-2'!R136,0)</f>
        <v>0</v>
      </c>
      <c r="N135" s="1080">
        <f>IF(U135&gt;0,'3 pr-2'!U136,0)</f>
        <v>0</v>
      </c>
      <c r="O135" s="1080">
        <f>IF(U135&gt;0,'3 pr-2'!X136,0)</f>
        <v>0</v>
      </c>
      <c r="P135" s="1080">
        <f>IF(U135&gt;0,'3 pr-2'!AA136,0)</f>
        <v>0</v>
      </c>
      <c r="Q135" s="1164">
        <f>IF($Z$9&gt;0,'3 pr-2'!AB136,0)</f>
        <v>0</v>
      </c>
      <c r="R135" s="574">
        <f>SUM('3 pr-2'!AK136)</f>
        <v>44380</v>
      </c>
      <c r="S135" s="1612">
        <f>IF(SUMIF(Projektu_sutarciu_ataskaita!$J:$J,$C135,Projektu_sutarciu_ataskaita!$BW:$BW)&gt;0,SUMIF(Projektu_sutarciu_ataskaita!$J:$J,$C135,Projektu_sutarciu_ataskaita!$BW:$BW),"–")</f>
        <v>44440</v>
      </c>
      <c r="T135" s="1132" t="str">
        <f t="shared" si="27"/>
        <v>–</v>
      </c>
      <c r="U135" s="247">
        <f>SUMIF(Projektu_sutarciu_ataskaita!$J:$J,$C135,Projektu_sutarciu_ataskaita!$BX:$BX)</f>
        <v>0</v>
      </c>
      <c r="V135" s="992" t="str">
        <f t="shared" ref="V135:V139" si="54">IF(U135&gt;0,IF((R135-U135)/30&gt;0,"–",(R135-U135)/30),"–")</f>
        <v>–</v>
      </c>
      <c r="W135" s="1251">
        <f>IF(U135&gt;0,'IV-3'!K134,0)</f>
        <v>0</v>
      </c>
      <c r="X135" s="1249">
        <f t="shared" si="29"/>
        <v>0</v>
      </c>
    </row>
    <row r="136" spans="1:24" ht="36.75">
      <c r="A136" s="375" t="str">
        <f>CONCATENATE('3 pr-2'!A137)</f>
        <v>2.1.2.2.2</v>
      </c>
      <c r="B136" s="236" t="str">
        <f>CONCATENATE('3 pr-2'!B137)</f>
        <v>R01-6630-470000-2222</v>
      </c>
      <c r="C136" s="373" t="str">
        <f>CONCATENATE('ketv. 2'!B136)</f>
        <v>08.4.2-ESFA-R-630-11-0001</v>
      </c>
      <c r="D136" s="375" t="str">
        <f>CONCATENATE('3 pr-2'!D137)</f>
        <v>Mažais žingsneliais – sveikos gyvensenos link</v>
      </c>
      <c r="E136" s="375" t="str">
        <f>CONCATENATE('3 pr-2'!E137)</f>
        <v>Alytaus miesto savivaldybės administracija</v>
      </c>
      <c r="F136" s="375" t="str">
        <f>CONCATENATE('3 pr-2'!F137)</f>
        <v>Lietuvos Respublikos Sveikatos apsaugos ministerija</v>
      </c>
      <c r="G136" s="375" t="str">
        <f>CONCATENATE('3 pr-2'!G137)</f>
        <v>Alytaus m. sav.</v>
      </c>
      <c r="H136" s="375" t="str">
        <f>CONCATENATE('3 pr-2'!H137)</f>
        <v>08.4.2-ESFA-R-630</v>
      </c>
      <c r="I136" s="375" t="str">
        <f>CONCATENATE('3 pr-2'!I137)</f>
        <v>R</v>
      </c>
      <c r="J136" s="375" t="str">
        <f>CONCATENATE('3 pr-2'!J137)</f>
        <v>-</v>
      </c>
      <c r="K136" s="1080">
        <f>IF(U136&gt;0,'3 pr-2'!L137,0)</f>
        <v>0</v>
      </c>
      <c r="L136" s="1080">
        <f>IF(U136&gt;0,'3 pr-2'!O137,0)</f>
        <v>0</v>
      </c>
      <c r="M136" s="1080">
        <f>IF(U136&gt;0,'3 pr-2'!R137,0)</f>
        <v>0</v>
      </c>
      <c r="N136" s="1080">
        <f>IF(U136&gt;0,'3 pr-2'!U137,0)</f>
        <v>0</v>
      </c>
      <c r="O136" s="1080">
        <f>IF(U136&gt;0,'3 pr-2'!X137,0)</f>
        <v>0</v>
      </c>
      <c r="P136" s="1080">
        <f>IF(U136&gt;0,'3 pr-2'!AA137,0)</f>
        <v>0</v>
      </c>
      <c r="Q136" s="1164">
        <f>IF($Z$9&gt;0,'3 pr-2'!AB137,0)</f>
        <v>0</v>
      </c>
      <c r="R136" s="574">
        <f>SUM('3 pr-2'!AK137)</f>
        <v>44380</v>
      </c>
      <c r="S136" s="1612">
        <f>IF(SUMIF(Projektu_sutarciu_ataskaita!$J:$J,$C136,Projektu_sutarciu_ataskaita!$BW:$BW)&gt;0,SUMIF(Projektu_sutarciu_ataskaita!$J:$J,$C136,Projektu_sutarciu_ataskaita!$BW:$BW),"–")</f>
        <v>44440</v>
      </c>
      <c r="T136" s="1132" t="str">
        <f t="shared" si="27"/>
        <v>–</v>
      </c>
      <c r="U136" s="247">
        <f>SUMIF(Projektu_sutarciu_ataskaita!$J:$J,$C136,Projektu_sutarciu_ataskaita!$BX:$BX)</f>
        <v>0</v>
      </c>
      <c r="V136" s="992" t="str">
        <f t="shared" si="54"/>
        <v>–</v>
      </c>
      <c r="W136" s="1251">
        <f>IF(U136&gt;0,'IV-3'!K135,0)</f>
        <v>0</v>
      </c>
      <c r="X136" s="1249">
        <f t="shared" si="29"/>
        <v>0</v>
      </c>
    </row>
    <row r="137" spans="1:24" ht="36.75">
      <c r="A137" s="375" t="str">
        <f>CONCATENATE('3 pr-2'!A138)</f>
        <v>2.1.2.2.3</v>
      </c>
      <c r="B137" s="236" t="str">
        <f>CONCATENATE('3 pr-2'!B138)</f>
        <v>R01-6630-470000-2223</v>
      </c>
      <c r="C137" s="373" t="str">
        <f>CONCATENATE('ketv. 2'!B137)</f>
        <v>08.4.2-ESFA-R-630-11-0005</v>
      </c>
      <c r="D137" s="375" t="str">
        <f>CONCATENATE('3 pr-2'!D138)</f>
        <v>Sveikos gyvensenos skatinimas Varėnos rajono savivaldybėje</v>
      </c>
      <c r="E137" s="375" t="str">
        <f>CONCATENATE('3 pr-2'!E138)</f>
        <v>Varėnos rajono savivaldybės visuomenės sveikatos biuras</v>
      </c>
      <c r="F137" s="375" t="str">
        <f>CONCATENATE('3 pr-2'!F138)</f>
        <v>Lietuvos Respublikos Sveikatos apsaugos ministerija</v>
      </c>
      <c r="G137" s="375" t="str">
        <f>CONCATENATE('3 pr-2'!G138)</f>
        <v>Varėnos r. sav.</v>
      </c>
      <c r="H137" s="375" t="str">
        <f>CONCATENATE('3 pr-2'!H138)</f>
        <v>08.4.2-ESFA-R-630</v>
      </c>
      <c r="I137" s="375" t="str">
        <f>CONCATENATE('3 pr-2'!I138)</f>
        <v>R</v>
      </c>
      <c r="J137" s="375" t="str">
        <f>CONCATENATE('3 pr-2'!J138)</f>
        <v>-</v>
      </c>
      <c r="K137" s="1080">
        <f>IF(U137&gt;0,'3 pr-2'!L138,0)</f>
        <v>0</v>
      </c>
      <c r="L137" s="1080">
        <f>IF(U137&gt;0,'3 pr-2'!O138,0)</f>
        <v>0</v>
      </c>
      <c r="M137" s="1080">
        <f>IF(U137&gt;0,'3 pr-2'!R138,0)</f>
        <v>0</v>
      </c>
      <c r="N137" s="1080">
        <f>IF(U137&gt;0,'3 pr-2'!U138,0)</f>
        <v>0</v>
      </c>
      <c r="O137" s="1080">
        <f>IF(U137&gt;0,'3 pr-2'!X138,0)</f>
        <v>0</v>
      </c>
      <c r="P137" s="1080">
        <f>IF(U137&gt;0,'3 pr-2'!AA138,0)</f>
        <v>0</v>
      </c>
      <c r="Q137" s="1164">
        <f>IF($Z$9&gt;0,'3 pr-2'!AB138,0)</f>
        <v>0</v>
      </c>
      <c r="R137" s="574">
        <f>SUM('3 pr-2'!AK138)</f>
        <v>44561</v>
      </c>
      <c r="S137" s="1612">
        <f>IF(SUMIF(Projektu_sutarciu_ataskaita!$J:$J,$C137,Projektu_sutarciu_ataskaita!$BW:$BW)&gt;0,SUMIF(Projektu_sutarciu_ataskaita!$J:$J,$C137,Projektu_sutarciu_ataskaita!$BW:$BW),"–")</f>
        <v>44454</v>
      </c>
      <c r="T137" s="1132" t="str">
        <f t="shared" si="27"/>
        <v>–</v>
      </c>
      <c r="U137" s="247">
        <f>SUMIF(Projektu_sutarciu_ataskaita!$J:$J,$C137,Projektu_sutarciu_ataskaita!$BX:$BX)</f>
        <v>0</v>
      </c>
      <c r="V137" s="992" t="str">
        <f t="shared" si="54"/>
        <v>–</v>
      </c>
      <c r="W137" s="1251">
        <f>IF(U137&gt;0,'IV-3'!K136,0)</f>
        <v>0</v>
      </c>
      <c r="X137" s="1249">
        <f t="shared" ref="X137:X181" si="55">IF(U137&gt;0,1,0)</f>
        <v>0</v>
      </c>
    </row>
    <row r="138" spans="1:24" ht="36.75">
      <c r="A138" s="375" t="str">
        <f>CONCATENATE('3 pr-2'!A139)</f>
        <v>2.1.2.2.4.</v>
      </c>
      <c r="B138" s="236" t="str">
        <f>CONCATENATE('3 pr-2'!B139)</f>
        <v>R01-6630-470000-2224</v>
      </c>
      <c r="C138" s="373" t="str">
        <f>CONCATENATE('ketv. 2'!B138)</f>
        <v>08.4.2-ESFA-R-630-11-0003</v>
      </c>
      <c r="D138" s="375" t="str">
        <f>CONCATENATE('3 pr-2'!D139)</f>
        <v>Sveika bendruomenė – stipri visuomenė</v>
      </c>
      <c r="E138" s="375" t="str">
        <f>CONCATENATE('3 pr-2'!E139)</f>
        <v>Druskininkų savivaldybės visuomenės sveikatos biuras</v>
      </c>
      <c r="F138" s="375" t="str">
        <f>CONCATENATE('3 pr-2'!F139)</f>
        <v>Lietuvos Respublikos Sveikatos apsaugos ministerija</v>
      </c>
      <c r="G138" s="375" t="str">
        <f>CONCATENATE('3 pr-2'!G139)</f>
        <v>Druskininkų sav.</v>
      </c>
      <c r="H138" s="375" t="str">
        <f>CONCATENATE('3 pr-2'!H139)</f>
        <v>08.4.2-ESFA-R-630</v>
      </c>
      <c r="I138" s="375" t="str">
        <f>CONCATENATE('3 pr-2'!I139)</f>
        <v>R</v>
      </c>
      <c r="J138" s="375" t="str">
        <f>CONCATENATE('3 pr-2'!J139)</f>
        <v>-</v>
      </c>
      <c r="K138" s="1080">
        <f>IF(U138&gt;0,'3 pr-2'!L139,0)</f>
        <v>0</v>
      </c>
      <c r="L138" s="1080">
        <f>IF(U138&gt;0,'3 pr-2'!O139,0)</f>
        <v>0</v>
      </c>
      <c r="M138" s="1080">
        <f>IF(U138&gt;0,'3 pr-2'!R139,0)</f>
        <v>0</v>
      </c>
      <c r="N138" s="1080">
        <f>IF(U138&gt;0,'3 pr-2'!U139,0)</f>
        <v>0</v>
      </c>
      <c r="O138" s="1080">
        <f>IF(U138&gt;0,'3 pr-2'!X139,0)</f>
        <v>0</v>
      </c>
      <c r="P138" s="1080">
        <f>IF(U138&gt;0,'3 pr-2'!AA139,0)</f>
        <v>0</v>
      </c>
      <c r="Q138" s="1164">
        <f>IF($Z$9&gt;0,'3 pr-2'!AB139,0)</f>
        <v>0</v>
      </c>
      <c r="R138" s="574">
        <f>SUM('3 pr-2'!AK139)</f>
        <v>44561</v>
      </c>
      <c r="S138" s="1612">
        <f>IF(SUMIF(Projektu_sutarciu_ataskaita!$J:$J,$C138,Projektu_sutarciu_ataskaita!$BW:$BW)&gt;0,SUMIF(Projektu_sutarciu_ataskaita!$J:$J,$C138,Projektu_sutarciu_ataskaita!$BW:$BW),"–")</f>
        <v>44442</v>
      </c>
      <c r="T138" s="1132" t="str">
        <f t="shared" ref="T138:T181" si="56">IF(U138&gt;0,U138,"–")</f>
        <v>–</v>
      </c>
      <c r="U138" s="247">
        <f>SUMIF(Projektu_sutarciu_ataskaita!$J:$J,$C138,Projektu_sutarciu_ataskaita!$BX:$BX)</f>
        <v>0</v>
      </c>
      <c r="V138" s="992" t="str">
        <f t="shared" si="54"/>
        <v>–</v>
      </c>
      <c r="W138" s="1251">
        <f>IF(U138&gt;0,'IV-3'!K137,0)</f>
        <v>0</v>
      </c>
      <c r="X138" s="1249">
        <f t="shared" si="55"/>
        <v>0</v>
      </c>
    </row>
    <row r="139" spans="1:24" ht="37.5" thickBot="1">
      <c r="A139" s="375" t="str">
        <f>CONCATENATE('3 pr-2'!A140)</f>
        <v>2.1.2.2.5</v>
      </c>
      <c r="B139" s="236" t="str">
        <f>CONCATENATE('3 pr-2'!B140)</f>
        <v>R01-6630-470000-2225</v>
      </c>
      <c r="C139" s="373" t="str">
        <f>CONCATENATE('ketv. 2'!B139)</f>
        <v>08.4.2-ESFA-R-630-11-0002</v>
      </c>
      <c r="D139" s="375" t="str">
        <f>CONCATENATE('3 pr-2'!D140)</f>
        <v>Sveikos gyvensenos skatinimas Lazdijų rajono savivaldybėje</v>
      </c>
      <c r="E139" s="375" t="str">
        <f>CONCATENATE('3 pr-2'!E140)</f>
        <v>Lazdijų rajono savivaldybės visuomenės sveikatos biuras</v>
      </c>
      <c r="F139" s="375" t="str">
        <f>CONCATENATE('3 pr-2'!F140)</f>
        <v>Lietuvos Respublikos Sveikatos apsaugos ministerija</v>
      </c>
      <c r="G139" s="375" t="str">
        <f>CONCATENATE('3 pr-2'!G140)</f>
        <v>Lazdijų r. sav.</v>
      </c>
      <c r="H139" s="375" t="str">
        <f>CONCATENATE('3 pr-2'!H140)</f>
        <v>08.4.2-ESFA-R-630</v>
      </c>
      <c r="I139" s="375" t="str">
        <f>CONCATENATE('3 pr-2'!I140)</f>
        <v>R</v>
      </c>
      <c r="J139" s="375" t="str">
        <f>CONCATENATE('3 pr-2'!J140)</f>
        <v>-</v>
      </c>
      <c r="K139" s="1080">
        <f>IF(U139&gt;0,'3 pr-2'!L140,0)</f>
        <v>0</v>
      </c>
      <c r="L139" s="1080">
        <f>IF(U139&gt;0,'3 pr-2'!O140,0)</f>
        <v>0</v>
      </c>
      <c r="M139" s="1080">
        <f>IF(U139&gt;0,'3 pr-2'!R140,0)</f>
        <v>0</v>
      </c>
      <c r="N139" s="1080">
        <f>IF(U139&gt;0,'3 pr-2'!U140,0)</f>
        <v>0</v>
      </c>
      <c r="O139" s="1080">
        <f>IF(U139&gt;0,'3 pr-2'!X140,0)</f>
        <v>0</v>
      </c>
      <c r="P139" s="1080">
        <f>IF(U139&gt;0,'3 pr-2'!AA140,0)</f>
        <v>0</v>
      </c>
      <c r="Q139" s="1164">
        <f>IF($Z$9&gt;0,'3 pr-2'!AB140,0)</f>
        <v>0</v>
      </c>
      <c r="R139" s="574">
        <f>SUM('3 pr-2'!AK140)</f>
        <v>44561</v>
      </c>
      <c r="S139" s="1612">
        <f>IF(SUMIF(Projektu_sutarciu_ataskaita!$J:$J,$C139,Projektu_sutarciu_ataskaita!$BW:$BW)&gt;0,SUMIF(Projektu_sutarciu_ataskaita!$J:$J,$C139,Projektu_sutarciu_ataskaita!$BW:$BW),"–")</f>
        <v>44440</v>
      </c>
      <c r="T139" s="1132" t="str">
        <f t="shared" si="56"/>
        <v>–</v>
      </c>
      <c r="U139" s="247">
        <f>SUMIF(Projektu_sutarciu_ataskaita!$J:$J,$C139,Projektu_sutarciu_ataskaita!$BX:$BX)</f>
        <v>0</v>
      </c>
      <c r="V139" s="992" t="str">
        <f t="shared" si="54"/>
        <v>–</v>
      </c>
      <c r="W139" s="1251">
        <f>IF(U139&gt;0,'IV-3'!K138,0)</f>
        <v>0</v>
      </c>
      <c r="X139" s="1249">
        <f t="shared" si="55"/>
        <v>0</v>
      </c>
    </row>
    <row r="140" spans="1:24" ht="41.25" customHeight="1" thickBot="1">
      <c r="A140" s="296" t="str">
        <f>CONCATENATE('3 pr-2'!A141)</f>
        <v>2.1.2.3</v>
      </c>
      <c r="B140" s="2088" t="str">
        <f>CONCATENATE('3 pr-2'!B141)</f>
        <v>Priemonė:
Priemonių, gerinančių ambulatorinių sveikatos priežiūros paslaugų prieinamumą tuberkulioze sergantiems pacientams, įgyvendinimas</v>
      </c>
      <c r="C140" s="2089"/>
      <c r="D140" s="2089"/>
      <c r="E140" s="2089"/>
      <c r="F140" s="2089"/>
      <c r="G140" s="2089"/>
      <c r="H140" s="2089"/>
      <c r="I140" s="2089"/>
      <c r="J140" s="2090"/>
      <c r="K140" s="1168">
        <f>SUM(K141:K145)</f>
        <v>0</v>
      </c>
      <c r="L140" s="1168">
        <f t="shared" ref="L140:Q140" si="57">SUM(L141:L145)</f>
        <v>0</v>
      </c>
      <c r="M140" s="1168">
        <f t="shared" si="57"/>
        <v>0</v>
      </c>
      <c r="N140" s="1168">
        <f t="shared" si="57"/>
        <v>0</v>
      </c>
      <c r="O140" s="1168">
        <f t="shared" si="57"/>
        <v>0</v>
      </c>
      <c r="P140" s="1168">
        <f t="shared" si="57"/>
        <v>0</v>
      </c>
      <c r="Q140" s="1168">
        <f t="shared" si="57"/>
        <v>0</v>
      </c>
      <c r="R140" s="568"/>
      <c r="S140" s="1612" t="str">
        <f>IF(SUMIF(Projektu_sutarciu_ataskaita!$J:$J,$C140,Projektu_sutarciu_ataskaita!$BW:$BW)&gt;0,SUMIF(Projektu_sutarciu_ataskaita!$J:$J,$C140,Projektu_sutarciu_ataskaita!$BW:$BW),"–")</f>
        <v>–</v>
      </c>
      <c r="T140" s="568" t="str">
        <f t="shared" si="56"/>
        <v>–</v>
      </c>
      <c r="U140" s="1360">
        <f>IF(ISTEXT(#REF!),"–",SUMIF(Projektu_sutarciu_ataskaita!$J:$J,$C140,Projektu_sutarciu_ataskaita!$BX:$BX))</f>
        <v>0</v>
      </c>
      <c r="V140" s="568" t="str">
        <f t="shared" ref="V138:V181" si="58">IF(U140&gt;0,(R140-U140)/30,"–")</f>
        <v>–</v>
      </c>
      <c r="W140" s="1249"/>
      <c r="X140" s="1249">
        <f t="shared" si="55"/>
        <v>0</v>
      </c>
    </row>
    <row r="141" spans="1:24" ht="48.75">
      <c r="A141" s="375" t="str">
        <f>CONCATENATE('3 pr-2'!A142)</f>
        <v>2.1.2.3.1</v>
      </c>
      <c r="B141" s="236" t="str">
        <f>CONCATENATE('3 pr-2'!B142)</f>
        <v>R01-6615-475000-2231</v>
      </c>
      <c r="C141" s="373" t="str">
        <f>CONCATENATE('ketv. 2'!B141)</f>
        <v>08.4.2-ESFA-R-615-11-0004</v>
      </c>
      <c r="D141" s="375" t="str">
        <f>CONCATENATE('3 pr-2'!D142)</f>
        <v>Priemonių, gerinančių ambulatorinių sveikatos priežiūros paslaugų prieinamumą tuberkulioze sergantiems asmenims, Alytaus rajone, įgyvendinimas</v>
      </c>
      <c r="E141" s="375" t="str">
        <f>CONCATENATE('3 pr-2'!E142)</f>
        <v>VšĮ Alytaus rajono savivaldybės pirminės sveikatos priežiūros centras</v>
      </c>
      <c r="F141" s="375" t="str">
        <f>CONCATENATE('3 pr-2'!F142)</f>
        <v>Lietuvos Respublikos Sveikatos apsaugos ministerija</v>
      </c>
      <c r="G141" s="375" t="str">
        <f>CONCATENATE('3 pr-2'!G142)</f>
        <v>Alytaus r. sav.</v>
      </c>
      <c r="H141" s="376" t="str">
        <f>CONCATENATE('3 pr-2'!H142)</f>
        <v>08.4.2-ESFA-R-615</v>
      </c>
      <c r="I141" s="376" t="str">
        <f>CONCATENATE('3 pr-2'!I142)</f>
        <v>R</v>
      </c>
      <c r="J141" s="376" t="str">
        <f>CONCATENATE('3 pr-2'!J142)</f>
        <v>-</v>
      </c>
      <c r="K141" s="1080">
        <f>IF(U141&gt;0,'3 pr-2'!L142,0)</f>
        <v>0</v>
      </c>
      <c r="L141" s="1080">
        <f>IF(U141&gt;0,'3 pr-2'!O142,0)</f>
        <v>0</v>
      </c>
      <c r="M141" s="1080">
        <f>IF(U141&gt;0,'3 pr-2'!R142,0)</f>
        <v>0</v>
      </c>
      <c r="N141" s="1080">
        <f>IF(U141&gt;0,'3 pr-2'!U142,0)</f>
        <v>0</v>
      </c>
      <c r="O141" s="1080">
        <f>IF(U141&gt;0,'3 pr-2'!X142,0)</f>
        <v>0</v>
      </c>
      <c r="P141" s="1080">
        <f>IF(U141&gt;0,'3 pr-2'!AA142,0)</f>
        <v>0</v>
      </c>
      <c r="Q141" s="1164">
        <f>IF($Z$9&gt;0,'3 pr-2'!AB142,0)</f>
        <v>0</v>
      </c>
      <c r="R141" s="574">
        <f>SUM('3 pr-2'!AK142)</f>
        <v>44686</v>
      </c>
      <c r="S141" s="1612">
        <f>IF(SUMIF(Projektu_sutarciu_ataskaita!$J:$J,$C141,Projektu_sutarciu_ataskaita!$BW:$BW)&gt;0,SUMIF(Projektu_sutarciu_ataskaita!$J:$J,$C141,Projektu_sutarciu_ataskaita!$BW:$BW),"–")</f>
        <v>44746</v>
      </c>
      <c r="T141" s="1132" t="str">
        <f t="shared" si="56"/>
        <v>–</v>
      </c>
      <c r="U141" s="247">
        <f>SUMIF(Projektu_sutarciu_ataskaita!$J:$J,$C141,Projektu_sutarciu_ataskaita!$BX:$BX)</f>
        <v>0</v>
      </c>
      <c r="V141" s="992" t="str">
        <f t="shared" ref="V141:V145" si="59">IF(U141&gt;0,IF((R141-U141)/30&gt;0,"–",(R141-U141)/30),"–")</f>
        <v>–</v>
      </c>
      <c r="W141" s="1251">
        <f>IF(U141&gt;0,'IV-3'!K140,0)</f>
        <v>0</v>
      </c>
      <c r="X141" s="1249">
        <f t="shared" si="55"/>
        <v>0</v>
      </c>
    </row>
    <row r="142" spans="1:24" ht="36.75">
      <c r="A142" s="375" t="str">
        <f>CONCATENATE('3 pr-2'!A143)</f>
        <v>2.1.2.3.2</v>
      </c>
      <c r="B142" s="236" t="str">
        <f>CONCATENATE('3 pr-2'!B143)</f>
        <v>R01-6615-470000-2232</v>
      </c>
      <c r="C142" s="373" t="str">
        <f>CONCATENATE('ketv. 2'!B142)</f>
        <v>08.4.2-ESFA-R-615-11-0005</v>
      </c>
      <c r="D142" s="375" t="str">
        <f>CONCATENATE('3 pr-2'!D143)</f>
        <v>Ambulatorinių sveikatos priežiūros paslaugų gerinimas tuberkulioze sergantiems asmenims</v>
      </c>
      <c r="E142" s="375" t="str">
        <f>CONCATENATE('3 pr-2'!E143)</f>
        <v>Alytaus miesto savivaldybės administracija</v>
      </c>
      <c r="F142" s="375" t="str">
        <f>CONCATENATE('3 pr-2'!F143)</f>
        <v>Lietuvos Respublikos Sveikatos apsaugos ministerija</v>
      </c>
      <c r="G142" s="375" t="str">
        <f>CONCATENATE('3 pr-2'!G143)</f>
        <v>Alytaus m. sav.</v>
      </c>
      <c r="H142" s="376" t="str">
        <f>CONCATENATE('3 pr-2'!H143)</f>
        <v>08.4.2-ESFA-R-615</v>
      </c>
      <c r="I142" s="376" t="str">
        <f>CONCATENATE('3 pr-2'!I143)</f>
        <v>R</v>
      </c>
      <c r="J142" s="376" t="str">
        <f>CONCATENATE('3 pr-2'!J143)</f>
        <v>-</v>
      </c>
      <c r="K142" s="1080">
        <f>IF(U142&gt;0,'3 pr-2'!L143,0)</f>
        <v>0</v>
      </c>
      <c r="L142" s="1080">
        <f>IF(U142&gt;0,'3 pr-2'!O143,0)</f>
        <v>0</v>
      </c>
      <c r="M142" s="1080">
        <f>IF(U142&gt;0,'3 pr-2'!R143,0)</f>
        <v>0</v>
      </c>
      <c r="N142" s="1080">
        <f>IF(U142&gt;0,'3 pr-2'!U143,0)</f>
        <v>0</v>
      </c>
      <c r="O142" s="1080">
        <f>IF(U142&gt;0,'3 pr-2'!X143,0)</f>
        <v>0</v>
      </c>
      <c r="P142" s="1080">
        <f>IF(U142&gt;0,'3 pr-2'!AA143,0)</f>
        <v>0</v>
      </c>
      <c r="Q142" s="1164">
        <f>IF($Z$9&gt;0,'3 pr-2'!AB143,0)</f>
        <v>0</v>
      </c>
      <c r="R142" s="574">
        <f>SUM('3 pr-2'!AK143)</f>
        <v>44449</v>
      </c>
      <c r="S142" s="1612">
        <f>IF(SUMIF(Projektu_sutarciu_ataskaita!$J:$J,$C142,Projektu_sutarciu_ataskaita!$BW:$BW)&gt;0,SUMIF(Projektu_sutarciu_ataskaita!$J:$J,$C142,Projektu_sutarciu_ataskaita!$BW:$BW),"–")</f>
        <v>44509</v>
      </c>
      <c r="T142" s="1132" t="str">
        <f t="shared" si="56"/>
        <v>–</v>
      </c>
      <c r="U142" s="247">
        <f>SUMIF(Projektu_sutarciu_ataskaita!$J:$J,$C142,Projektu_sutarciu_ataskaita!$BX:$BX)</f>
        <v>0</v>
      </c>
      <c r="V142" s="992" t="str">
        <f t="shared" si="59"/>
        <v>–</v>
      </c>
      <c r="W142" s="1251">
        <f>IF(U142&gt;0,'IV-3'!K141,0)</f>
        <v>0</v>
      </c>
      <c r="X142" s="1249">
        <f t="shared" si="55"/>
        <v>0</v>
      </c>
    </row>
    <row r="143" spans="1:24" ht="36.75">
      <c r="A143" s="375" t="str">
        <f>CONCATENATE('3 pr-2'!A144)</f>
        <v>2.1.2.3.3</v>
      </c>
      <c r="B143" s="236" t="str">
        <f>CONCATENATE('3 pr-2'!B144)</f>
        <v>R01-6615-470000-2233</v>
      </c>
      <c r="C143" s="373" t="str">
        <f>CONCATENATE('ketv. 2'!B143)</f>
        <v>08.4.2-ESFA-R-615-11-0001</v>
      </c>
      <c r="D143" s="375" t="str">
        <f>CONCATENATE('3 pr-2'!D144)</f>
        <v>Paslaugų tuberkulioze sergantiems asmenims gerinimas Lazdijų rajono savivaldybėje</v>
      </c>
      <c r="E143" s="375" t="str">
        <f>CONCATENATE('3 pr-2'!E144)</f>
        <v>Lazdijų rajono savivaldybės administracija</v>
      </c>
      <c r="F143" s="375" t="str">
        <f>CONCATENATE('3 pr-2'!F144)</f>
        <v>Lietuvos Respublikos Sveikatos apsaugos ministerija</v>
      </c>
      <c r="G143" s="375" t="str">
        <f>CONCATENATE('3 pr-2'!G144)</f>
        <v>Lazdijų r. sav.</v>
      </c>
      <c r="H143" s="376" t="str">
        <f>CONCATENATE('3 pr-2'!H144)</f>
        <v>08.4.2-ESFA-R-615</v>
      </c>
      <c r="I143" s="376" t="str">
        <f>CONCATENATE('3 pr-2'!I144)</f>
        <v>R</v>
      </c>
      <c r="J143" s="376" t="str">
        <f>CONCATENATE('3 pr-2'!J144)</f>
        <v>-</v>
      </c>
      <c r="K143" s="1080">
        <f>IF(U143&gt;0,'3 pr-2'!L144,0)</f>
        <v>0</v>
      </c>
      <c r="L143" s="1080">
        <f>IF(U143&gt;0,'3 pr-2'!O144,0)</f>
        <v>0</v>
      </c>
      <c r="M143" s="1080">
        <f>IF(U143&gt;0,'3 pr-2'!R144,0)</f>
        <v>0</v>
      </c>
      <c r="N143" s="1080">
        <f>IF(U143&gt;0,'3 pr-2'!U144,0)</f>
        <v>0</v>
      </c>
      <c r="O143" s="1080">
        <f>IF(U143&gt;0,'3 pr-2'!X144,0)</f>
        <v>0</v>
      </c>
      <c r="P143" s="1080">
        <f>IF(U143&gt;0,'3 pr-2'!AA144,0)</f>
        <v>0</v>
      </c>
      <c r="Q143" s="1164">
        <f>IF($Z$9&gt;0,'3 pr-2'!AB144,0)</f>
        <v>0</v>
      </c>
      <c r="R143" s="574">
        <f>SUM('3 pr-2'!AK144)</f>
        <v>44561</v>
      </c>
      <c r="S143" s="1612">
        <f>IF(SUMIF(Projektu_sutarciu_ataskaita!$J:$J,$C143,Projektu_sutarciu_ataskaita!$BW:$BW)&gt;0,SUMIF(Projektu_sutarciu_ataskaita!$J:$J,$C143,Projektu_sutarciu_ataskaita!$BW:$BW),"–")</f>
        <v>44590</v>
      </c>
      <c r="T143" s="1132" t="str">
        <f t="shared" si="56"/>
        <v>–</v>
      </c>
      <c r="U143" s="247">
        <f>SUMIF(Projektu_sutarciu_ataskaita!$J:$J,$C143,Projektu_sutarciu_ataskaita!$BX:$BX)</f>
        <v>0</v>
      </c>
      <c r="V143" s="992" t="str">
        <f t="shared" si="59"/>
        <v>–</v>
      </c>
      <c r="W143" s="1251">
        <f>IF(U143&gt;0,'IV-3'!K142,0)</f>
        <v>0</v>
      </c>
      <c r="X143" s="1249">
        <f t="shared" si="55"/>
        <v>0</v>
      </c>
    </row>
    <row r="144" spans="1:24" ht="36.75">
      <c r="A144" s="375" t="str">
        <f>CONCATENATE('3 pr-2'!A145)</f>
        <v>2.1.2.3.4</v>
      </c>
      <c r="B144" s="236" t="str">
        <f>CONCATENATE('3 pr-2'!B145)</f>
        <v>R01-6615-470000-2234</v>
      </c>
      <c r="C144" s="373" t="str">
        <f>CONCATENATE('ketv. 2'!B144)</f>
        <v>08.4.2-ESFA-R-615-11-0002</v>
      </c>
      <c r="D144" s="375" t="str">
        <f>CONCATENATE('3 pr-2'!D145)</f>
        <v>Ambulatorinių sveikatos priežiūros paslaugų tuberkulioze sergantiems asmenims prieinamumo gerinimas Druskininkų savivaldybėje</v>
      </c>
      <c r="E144" s="375" t="str">
        <f>CONCATENATE('3 pr-2'!E145)</f>
        <v>Druskininkų pirminės sveikatos priežiūros centras</v>
      </c>
      <c r="F144" s="375" t="str">
        <f>CONCATENATE('3 pr-2'!F145)</f>
        <v>Lietuvos Respublikos Sveikatos apsaugos ministerija</v>
      </c>
      <c r="G144" s="375" t="str">
        <f>CONCATENATE('3 pr-2'!G145)</f>
        <v>Druskininkų sav.</v>
      </c>
      <c r="H144" s="376" t="str">
        <f>CONCATENATE('3 pr-2'!H145)</f>
        <v>08.4.2-ESFA-R-615</v>
      </c>
      <c r="I144" s="376" t="str">
        <f>CONCATENATE('3 pr-2'!I145)</f>
        <v>R</v>
      </c>
      <c r="J144" s="376" t="str">
        <f>CONCATENATE('3 pr-2'!J145)</f>
        <v>-</v>
      </c>
      <c r="K144" s="1080">
        <f>IF(U144&gt;0,'3 pr-2'!L145,0)</f>
        <v>0</v>
      </c>
      <c r="L144" s="1080">
        <f>IF(U144&gt;0,'3 pr-2'!O145,0)</f>
        <v>0</v>
      </c>
      <c r="M144" s="1080">
        <f>IF(U144&gt;0,'3 pr-2'!R145,0)</f>
        <v>0</v>
      </c>
      <c r="N144" s="1080">
        <f>IF(U144&gt;0,'3 pr-2'!U145,0)</f>
        <v>0</v>
      </c>
      <c r="O144" s="1080">
        <f>IF(U144&gt;0,'3 pr-2'!X145,0)</f>
        <v>0</v>
      </c>
      <c r="P144" s="1080">
        <f>IF(U144&gt;0,'3 pr-2'!AA145,0)</f>
        <v>0</v>
      </c>
      <c r="Q144" s="1164">
        <f>IF($Z$9&gt;0,'3 pr-2'!AB145,0)</f>
        <v>0</v>
      </c>
      <c r="R144" s="574">
        <f>SUM('3 pr-2'!AK145)</f>
        <v>44440</v>
      </c>
      <c r="S144" s="1612">
        <f>IF(SUMIF(Projektu_sutarciu_ataskaita!$J:$J,$C144,Projektu_sutarciu_ataskaita!$BW:$BW)&gt;0,SUMIF(Projektu_sutarciu_ataskaita!$J:$J,$C144,Projektu_sutarciu_ataskaita!$BW:$BW),"–")</f>
        <v>44478</v>
      </c>
      <c r="T144" s="1132" t="str">
        <f t="shared" si="56"/>
        <v>–</v>
      </c>
      <c r="U144" s="247">
        <f>SUMIF(Projektu_sutarciu_ataskaita!$J:$J,$C144,Projektu_sutarciu_ataskaita!$BX:$BX)</f>
        <v>0</v>
      </c>
      <c r="V144" s="992" t="str">
        <f t="shared" si="59"/>
        <v>–</v>
      </c>
      <c r="W144" s="1251">
        <f>IF(U144&gt;0,'IV-3'!K143,0)</f>
        <v>0</v>
      </c>
      <c r="X144" s="1249">
        <f t="shared" si="55"/>
        <v>0</v>
      </c>
    </row>
    <row r="145" spans="1:24" ht="37.5" thickBot="1">
      <c r="A145" s="375" t="str">
        <f>CONCATENATE('3 pr-2'!A146)</f>
        <v>2.1.2.3.5</v>
      </c>
      <c r="B145" s="236" t="str">
        <f>CONCATENATE('3 pr-2'!B146)</f>
        <v>R01-6615-470000-2235</v>
      </c>
      <c r="C145" s="373" t="str">
        <f>CONCATENATE('ketv. 2'!B145)</f>
        <v>08.4.2-ESFA-R-615-11-0003</v>
      </c>
      <c r="D145" s="375" t="str">
        <f>CONCATENATE('3 pr-2'!D146)</f>
        <v>Ambulatorinių sveikatos priežiūros paslaugų prieinamumo gerinimas tuberkulioze sergantiems asmenims Varėnos rajono savivaldybėje</v>
      </c>
      <c r="E145" s="375" t="str">
        <f>CONCATENATE('3 pr-2'!E146)</f>
        <v>Varėnos rajono savivaldybės administracija</v>
      </c>
      <c r="F145" s="375" t="str">
        <f>CONCATENATE('3 pr-2'!F146)</f>
        <v>Lietuvos Respublikos Sveikatos apsaugos ministerija</v>
      </c>
      <c r="G145" s="375" t="str">
        <f>CONCATENATE('3 pr-2'!G146)</f>
        <v>Varėnos r. sav.</v>
      </c>
      <c r="H145" s="376" t="str">
        <f>CONCATENATE('3 pr-2'!H146)</f>
        <v>08.4.2-ESFA-R-615</v>
      </c>
      <c r="I145" s="376" t="str">
        <f>CONCATENATE('3 pr-2'!I146)</f>
        <v>R</v>
      </c>
      <c r="J145" s="376" t="str">
        <f>CONCATENATE('3 pr-2'!J146)</f>
        <v>-</v>
      </c>
      <c r="K145" s="1080">
        <f>IF(U145&gt;0,'3 pr-2'!L146,0)</f>
        <v>0</v>
      </c>
      <c r="L145" s="1080">
        <f>IF(U145&gt;0,'3 pr-2'!O146,0)</f>
        <v>0</v>
      </c>
      <c r="M145" s="1080">
        <f>IF(U145&gt;0,'3 pr-2'!R146,0)</f>
        <v>0</v>
      </c>
      <c r="N145" s="1080">
        <f>IF(U145&gt;0,'3 pr-2'!U146,0)</f>
        <v>0</v>
      </c>
      <c r="O145" s="1080">
        <f>IF(U145&gt;0,'3 pr-2'!X146,0)</f>
        <v>0</v>
      </c>
      <c r="P145" s="1080">
        <f>IF(U145&gt;0,'3 pr-2'!AA146,0)</f>
        <v>0</v>
      </c>
      <c r="Q145" s="1164">
        <f>IF($Z$9&gt;0,'3 pr-2'!AB146,0)</f>
        <v>0</v>
      </c>
      <c r="R145" s="1373">
        <f>SUM('3 pr-2'!AK146)</f>
        <v>44561</v>
      </c>
      <c r="S145" s="1612">
        <f>IF(SUMIF(Projektu_sutarciu_ataskaita!$J:$J,$C145,Projektu_sutarciu_ataskaita!$BW:$BW)&gt;0,SUMIF(Projektu_sutarciu_ataskaita!$J:$J,$C145,Projektu_sutarciu_ataskaita!$BW:$BW),"–")</f>
        <v>44505</v>
      </c>
      <c r="T145" s="1132" t="str">
        <f t="shared" si="56"/>
        <v>–</v>
      </c>
      <c r="U145" s="247">
        <f>SUMIF(Projektu_sutarciu_ataskaita!$J:$J,$C145,Projektu_sutarciu_ataskaita!$BX:$BX)</f>
        <v>0</v>
      </c>
      <c r="V145" s="1375" t="str">
        <f t="shared" si="59"/>
        <v>–</v>
      </c>
      <c r="W145" s="1251">
        <f>IF(U145&gt;0,'IV-3'!K144,0)</f>
        <v>0</v>
      </c>
      <c r="X145" s="1249">
        <f t="shared" si="55"/>
        <v>0</v>
      </c>
    </row>
    <row r="146" spans="1:24" ht="44.25" customHeight="1" thickBot="1">
      <c r="A146" s="138" t="str">
        <f>CONCATENATE('3 pr-2'!A147)</f>
        <v>2.1.3.</v>
      </c>
      <c r="B146" s="2085" t="str">
        <f>CONCATENATE('3 pr-2'!B147)</f>
        <v>Uždavinys:
Socialinio būsto ir socialinių paslaugų prieinamumo pažeidžiamiausioms gyventojų grupėms padidinimas</v>
      </c>
      <c r="C146" s="2086"/>
      <c r="D146" s="2086"/>
      <c r="E146" s="2086"/>
      <c r="F146" s="2086"/>
      <c r="G146" s="2086"/>
      <c r="H146" s="2086"/>
      <c r="I146" s="2086"/>
      <c r="J146" s="2087"/>
      <c r="K146" s="1201">
        <f>SUM(K147+K153)</f>
        <v>988940.80000000005</v>
      </c>
      <c r="L146" s="1201">
        <f t="shared" ref="L146:P146" si="60">SUM(L147+L153)</f>
        <v>290655.14999999997</v>
      </c>
      <c r="M146" s="1201">
        <f t="shared" si="60"/>
        <v>21947.85</v>
      </c>
      <c r="N146" s="1201">
        <f t="shared" si="60"/>
        <v>0</v>
      </c>
      <c r="O146" s="1201">
        <f t="shared" si="60"/>
        <v>0</v>
      </c>
      <c r="P146" s="1201">
        <f t="shared" si="60"/>
        <v>676337.8</v>
      </c>
      <c r="Q146" s="1201">
        <f t="shared" ref="Q146" si="61">SUM(Q147+Q153)</f>
        <v>0</v>
      </c>
      <c r="R146" s="365" t="s">
        <v>679</v>
      </c>
      <c r="S146" s="1612" t="str">
        <f>IF(SUMIF(Projektu_sutarciu_ataskaita!$J:$J,$C146,Projektu_sutarciu_ataskaita!$BW:$BW)&gt;0,SUMIF(Projektu_sutarciu_ataskaita!$J:$J,$C146,Projektu_sutarciu_ataskaita!$BW:$BW),"–")</f>
        <v>–</v>
      </c>
      <c r="T146" s="1370" t="str">
        <f t="shared" si="56"/>
        <v>–</v>
      </c>
      <c r="U146" s="1380">
        <f>IF(ISTEXT(#REF!),"–",SUMIF(Projektu_sutarciu_ataskaita!$J:$J,$C146,Projektu_sutarciu_ataskaita!$BX:$BX))</f>
        <v>0</v>
      </c>
      <c r="V146" s="1370" t="str">
        <f t="shared" si="58"/>
        <v>–</v>
      </c>
      <c r="W146" s="1374"/>
      <c r="X146" s="1249">
        <f t="shared" si="55"/>
        <v>0</v>
      </c>
    </row>
    <row r="147" spans="1:24" ht="42.75" customHeight="1" thickBot="1">
      <c r="A147" s="296" t="str">
        <f>CONCATENATE('3 pr-2'!A148)</f>
        <v>2.1.3.1</v>
      </c>
      <c r="B147" s="2088" t="str">
        <f>CONCATENATE('3 pr-2'!B148)</f>
        <v>Priemonė:
Socialinių paslaugų infrastruktūros plėtra</v>
      </c>
      <c r="C147" s="2089"/>
      <c r="D147" s="2089"/>
      <c r="E147" s="2089"/>
      <c r="F147" s="2089"/>
      <c r="G147" s="2089"/>
      <c r="H147" s="2089"/>
      <c r="I147" s="2089"/>
      <c r="J147" s="2090"/>
      <c r="K147" s="1077">
        <f>SUM(K148:K152)</f>
        <v>747051.8</v>
      </c>
      <c r="L147" s="1077">
        <f t="shared" ref="L147:P147" si="62">SUM(L148:L152)</f>
        <v>254371.8</v>
      </c>
      <c r="M147" s="1077">
        <f t="shared" si="62"/>
        <v>21947.85</v>
      </c>
      <c r="N147" s="1077">
        <f t="shared" si="62"/>
        <v>0</v>
      </c>
      <c r="O147" s="1077">
        <f t="shared" si="62"/>
        <v>0</v>
      </c>
      <c r="P147" s="1077">
        <f t="shared" si="62"/>
        <v>470732.15</v>
      </c>
      <c r="Q147" s="1077">
        <f t="shared" ref="Q147" si="63">SUM(Q148:Q152)</f>
        <v>0</v>
      </c>
      <c r="R147" s="356"/>
      <c r="S147" s="1612" t="str">
        <f>IF(SUMIF(Projektu_sutarciu_ataskaita!$J:$J,$C147,Projektu_sutarciu_ataskaita!$BW:$BW)&gt;0,SUMIF(Projektu_sutarciu_ataskaita!$J:$J,$C147,Projektu_sutarciu_ataskaita!$BW:$BW),"–")</f>
        <v>–</v>
      </c>
      <c r="T147" s="356" t="str">
        <f t="shared" si="56"/>
        <v>–</v>
      </c>
      <c r="U147" s="1338">
        <f>IF(ISTEXT(#REF!),"–",SUMIF(Projektu_sutarciu_ataskaita!$J:$J,$C147,Projektu_sutarciu_ataskaita!$BX:$BX))</f>
        <v>0</v>
      </c>
      <c r="V147" s="356" t="str">
        <f t="shared" si="58"/>
        <v>–</v>
      </c>
      <c r="W147" s="1249"/>
      <c r="X147" s="1249">
        <f t="shared" si="55"/>
        <v>0</v>
      </c>
    </row>
    <row r="148" spans="1:24" ht="36.75">
      <c r="A148" s="164" t="str">
        <f>CONCATENATE('3 pr-2'!A149)</f>
        <v>2.1.3.1.1</v>
      </c>
      <c r="B148" s="236" t="str">
        <f>CONCATENATE('3 pr-2'!B149)</f>
        <v>R01-4407-270000-2311</v>
      </c>
      <c r="C148" s="281" t="str">
        <f>CONCATENATE('ketv. 2'!B148)</f>
        <v>08.1.1-CPVA-R-407-11-0002</v>
      </c>
      <c r="D148" s="164" t="str">
        <f>CONCATENATE('3 pr-2'!D149)</f>
        <v>Socialinių paslaugų infrastruktūros plėtra Varėnos rajono savivaldybėje</v>
      </c>
      <c r="E148" s="164" t="str">
        <f>CONCATENATE('3 pr-2'!E149)</f>
        <v>Varėnos rajono savivaldybės administracija</v>
      </c>
      <c r="F148" s="164" t="str">
        <f>CONCATENATE('3 pr-2'!F149)</f>
        <v>Lietuvos Respublikos socialinės apsaugos ir darbo ministerija</v>
      </c>
      <c r="G148" s="164" t="str">
        <f>CONCATENATE('3 pr-2'!G149)</f>
        <v>Varėnos r. sav.</v>
      </c>
      <c r="H148" s="164" t="str">
        <f>CONCATENATE('3 pr-2'!H149)</f>
        <v>08.1.1-CPVA-R-407</v>
      </c>
      <c r="I148" s="164" t="str">
        <f>CONCATENATE('3 pr-2'!I149)</f>
        <v>R</v>
      </c>
      <c r="J148" s="164" t="str">
        <f>CONCATENATE('3 pr-2'!J149)</f>
        <v>-</v>
      </c>
      <c r="K148" s="1080">
        <f>IF(U148&gt;0,'3 pr-2'!L149,0)</f>
        <v>0</v>
      </c>
      <c r="L148" s="1080">
        <f>IF(U148&gt;0,'3 pr-2'!O149,0)</f>
        <v>0</v>
      </c>
      <c r="M148" s="1080">
        <f>IF(U148&gt;0,'3 pr-2'!R149,0)</f>
        <v>0</v>
      </c>
      <c r="N148" s="1080">
        <f>IF(U148&gt;0,'3 pr-2'!U149,0)</f>
        <v>0</v>
      </c>
      <c r="O148" s="1080">
        <f>IF(U148&gt;0,'3 pr-2'!X149,0)</f>
        <v>0</v>
      </c>
      <c r="P148" s="1080">
        <f>IF(U148&gt;0,'3 pr-2'!AA149,0)</f>
        <v>0</v>
      </c>
      <c r="Q148" s="1164">
        <f>IF($Z$9&gt;0,'3 pr-2'!AB149,0)</f>
        <v>0</v>
      </c>
      <c r="R148" s="478">
        <f>SUM('3 pr-2'!AK149)</f>
        <v>43465</v>
      </c>
      <c r="S148" s="1612">
        <f>IF(SUMIF(Projektu_sutarciu_ataskaita!$J:$J,$C148,Projektu_sutarciu_ataskaita!$BW:$BW)&gt;0,SUMIF(Projektu_sutarciu_ataskaita!$J:$J,$C148,Projektu_sutarciu_ataskaita!$BW:$BW),"–")</f>
        <v>43738</v>
      </c>
      <c r="T148" s="1132" t="str">
        <f t="shared" si="56"/>
        <v>–</v>
      </c>
      <c r="U148" s="247">
        <f>SUMIF(Projektu_sutarciu_ataskaita!$J:$J,$C148,Projektu_sutarciu_ataskaita!$BX:$BX)</f>
        <v>0</v>
      </c>
      <c r="V148" s="992" t="str">
        <f t="shared" ref="V148:V151" si="64">IF(U148&gt;0,IF((R148-U148)/30&gt;0,"–",(R148-U148)/30),"–")</f>
        <v>–</v>
      </c>
      <c r="W148" s="1251">
        <f>IF(U148&gt;0,'IV-3'!K147,0)</f>
        <v>0</v>
      </c>
      <c r="X148" s="1249">
        <f t="shared" si="55"/>
        <v>0</v>
      </c>
    </row>
    <row r="149" spans="1:24" ht="36.75">
      <c r="A149" s="164" t="str">
        <f>CONCATENATE('3 pr-2'!A150)</f>
        <v>2.1.3.1.2</v>
      </c>
      <c r="B149" s="236" t="str">
        <f>CONCATENATE('3 pr-2'!B150)</f>
        <v>R01-4407-274800-2312</v>
      </c>
      <c r="C149" s="281" t="str">
        <f>CONCATENATE('ketv. 2'!B149)</f>
        <v>08.1.1-CPVA-R-407-11-0004</v>
      </c>
      <c r="D149" s="164" t="str">
        <f>CONCATENATE('3 pr-2'!D150)</f>
        <v>Psichosocialinės pagalbos centro įkūrimas</v>
      </c>
      <c r="E149" s="164" t="str">
        <f>CONCATENATE('3 pr-2'!E150)</f>
        <v>Alytaus rajono savivaldybės administracija</v>
      </c>
      <c r="F149" s="164" t="str">
        <f>CONCATENATE('3 pr-2'!F150)</f>
        <v>Lietuvos Respublikos socialinės apsaugos ir darbo ministerija</v>
      </c>
      <c r="G149" s="164" t="str">
        <f>CONCATENATE('3 pr-2'!G150)</f>
        <v>Alytaus r. sav.</v>
      </c>
      <c r="H149" s="164" t="str">
        <f>CONCATENATE('3 pr-2'!H150)</f>
        <v>08.1.1-CPVA-R-407</v>
      </c>
      <c r="I149" s="164" t="str">
        <f>CONCATENATE('3 pr-2'!I150)</f>
        <v>R</v>
      </c>
      <c r="J149" s="164" t="str">
        <f>CONCATENATE('3 pr-2'!J150)</f>
        <v/>
      </c>
      <c r="K149" s="1080">
        <f>IF(U149&gt;0,'3 pr-2'!L150,0)</f>
        <v>0</v>
      </c>
      <c r="L149" s="1080">
        <f>IF(U149&gt;0,'3 pr-2'!O150,0)</f>
        <v>0</v>
      </c>
      <c r="M149" s="1080">
        <f>IF(U149&gt;0,'3 pr-2'!R150,0)</f>
        <v>0</v>
      </c>
      <c r="N149" s="1080">
        <f>IF(U149&gt;0,'3 pr-2'!U150,0)</f>
        <v>0</v>
      </c>
      <c r="O149" s="1080">
        <f>IF(U149&gt;0,'3 pr-2'!X150,0)</f>
        <v>0</v>
      </c>
      <c r="P149" s="1080">
        <f>IF(U149&gt;0,'3 pr-2'!AA150,0)</f>
        <v>0</v>
      </c>
      <c r="Q149" s="1164">
        <f>IF($Z$9&gt;0,'3 pr-2'!AB150,0)</f>
        <v>0</v>
      </c>
      <c r="R149" s="478">
        <f>SUM('3 pr-2'!AK150)</f>
        <v>43646</v>
      </c>
      <c r="S149" s="1612">
        <f>IF(SUMIF(Projektu_sutarciu_ataskaita!$J:$J,$C149,Projektu_sutarciu_ataskaita!$BW:$BW)&gt;0,SUMIF(Projektu_sutarciu_ataskaita!$J:$J,$C149,Projektu_sutarciu_ataskaita!$BW:$BW),"–")</f>
        <v>43646</v>
      </c>
      <c r="T149" s="1132" t="str">
        <f t="shared" si="56"/>
        <v>–</v>
      </c>
      <c r="U149" s="247">
        <f>SUMIF(Projektu_sutarciu_ataskaita!$J:$J,$C149,Projektu_sutarciu_ataskaita!$BX:$BX)</f>
        <v>0</v>
      </c>
      <c r="V149" s="992" t="str">
        <f t="shared" si="64"/>
        <v>–</v>
      </c>
      <c r="W149" s="1251">
        <f>IF(U149&gt;0,'IV-3'!K148,0)</f>
        <v>0</v>
      </c>
      <c r="X149" s="1249">
        <f t="shared" si="55"/>
        <v>0</v>
      </c>
    </row>
    <row r="150" spans="1:24" ht="36.75">
      <c r="A150" s="164" t="str">
        <f>CONCATENATE('3 pr-2'!A151)</f>
        <v>2.1.3.1.3</v>
      </c>
      <c r="B150" s="236" t="str">
        <f>CONCATENATE('3 pr-2'!B151)</f>
        <v>R01-4407-270000-2313</v>
      </c>
      <c r="C150" s="281" t="str">
        <f>CONCATENATE('ketv. 2'!B150)</f>
        <v>08.1.1-CPVA-R-407-11-0005</v>
      </c>
      <c r="D150" s="164" t="str">
        <f>CONCATENATE('3 pr-2'!D151)</f>
        <v>Socialinių paslaugų plėtra Alytaus mieste</v>
      </c>
      <c r="E150" s="164" t="str">
        <f>CONCATENATE('3 pr-2'!E151)</f>
        <v>Alytaus miesto savivaldybės administracija</v>
      </c>
      <c r="F150" s="164" t="str">
        <f>CONCATENATE('3 pr-2'!F151)</f>
        <v>Lietuvos Respublikos socialinės apsaugos ir darbo ministerija</v>
      </c>
      <c r="G150" s="164" t="str">
        <f>CONCATENATE('3 pr-2'!G151)</f>
        <v>Alytaus m. sav.</v>
      </c>
      <c r="H150" s="164" t="str">
        <f>CONCATENATE('3 pr-2'!H151)</f>
        <v>08.1.1-CPVA-R-407</v>
      </c>
      <c r="I150" s="164" t="str">
        <f>CONCATENATE('3 pr-2'!I151)</f>
        <v>R</v>
      </c>
      <c r="J150" s="164" t="str">
        <f>CONCATENATE('3 pr-2'!J151)</f>
        <v>-</v>
      </c>
      <c r="K150" s="1080">
        <f>IF(U150&gt;0,'3 pr-2'!L151,0)</f>
        <v>600732.80000000005</v>
      </c>
      <c r="L150" s="1080">
        <f>IF(U150&gt;0,'3 pr-2'!O151,0)</f>
        <v>254371.8</v>
      </c>
      <c r="M150" s="1080">
        <f>IF(U150&gt;0,'3 pr-2'!R151,0)</f>
        <v>0</v>
      </c>
      <c r="N150" s="1080">
        <f>IF(U150&gt;0,'3 pr-2'!U151,0)</f>
        <v>0</v>
      </c>
      <c r="O150" s="1080">
        <f>IF(U150&gt;0,'3 pr-2'!X151,0)</f>
        <v>0</v>
      </c>
      <c r="P150" s="1080">
        <f>IF(U150&gt;0,'3 pr-2'!AA151,0)</f>
        <v>346361</v>
      </c>
      <c r="Q150" s="1164">
        <f>IF($Z$9&gt;0,'3 pr-2'!AB151,0)</f>
        <v>0</v>
      </c>
      <c r="R150" s="478">
        <f>SUM('3 pr-2'!AK151)</f>
        <v>43646</v>
      </c>
      <c r="S150" s="1612">
        <f>IF(SUMIF(Projektu_sutarciu_ataskaita!$J:$J,$C150,Projektu_sutarciu_ataskaita!$BW:$BW)&gt;0,SUMIF(Projektu_sutarciu_ataskaita!$J:$J,$C150,Projektu_sutarciu_ataskaita!$BW:$BW),"–")</f>
        <v>43646</v>
      </c>
      <c r="T150" s="1132">
        <f t="shared" si="56"/>
        <v>43444</v>
      </c>
      <c r="U150" s="247">
        <f>SUMIF(Projektu_sutarciu_ataskaita!$J:$J,$C150,Projektu_sutarciu_ataskaita!$BX:$BX)</f>
        <v>43444</v>
      </c>
      <c r="V150" s="992" t="str">
        <f t="shared" si="64"/>
        <v>–</v>
      </c>
      <c r="W150" s="1251" t="str">
        <f>IF(U150&gt;0,'IV-3'!K149,0)</f>
        <v>27</v>
      </c>
      <c r="X150" s="1249">
        <f t="shared" si="55"/>
        <v>1</v>
      </c>
    </row>
    <row r="151" spans="1:24" ht="36.75">
      <c r="A151" s="164" t="str">
        <f>CONCATENATE('3 pr-2'!A152)</f>
        <v>2.1.3.1.4</v>
      </c>
      <c r="B151" s="236" t="str">
        <f>CONCATENATE('3 pr-2'!B152)</f>
        <v>R01-4407-270000-2314</v>
      </c>
      <c r="C151" s="281" t="str">
        <f>CONCATENATE('ketv. 2'!B151)</f>
        <v>08.1.1-CPVA-R-407-11-0001</v>
      </c>
      <c r="D151" s="164" t="str">
        <f>CONCATENATE('3 pr-2'!D152)</f>
        <v>Socialinių paslaugų infrastruktūros plėtra Druskininkų savivaldybėje</v>
      </c>
      <c r="E151" s="164" t="str">
        <f>CONCATENATE('3 pr-2'!E152)</f>
        <v>Druskininkų savivaldybės administracija</v>
      </c>
      <c r="F151" s="164" t="str">
        <f>CONCATENATE('3 pr-2'!F152)</f>
        <v>Lietuvos Respublikos socialinės apsaugos ir darbo ministerija</v>
      </c>
      <c r="G151" s="164" t="str">
        <f>CONCATENATE('3 pr-2'!G152)</f>
        <v>Druskininkų sav.</v>
      </c>
      <c r="H151" s="164" t="str">
        <f>CONCATENATE('3 pr-2'!H152)</f>
        <v>08.1.1-CPVA-R-407</v>
      </c>
      <c r="I151" s="164" t="str">
        <f>CONCATENATE('3 pr-2'!I152)</f>
        <v>R</v>
      </c>
      <c r="J151" s="164" t="str">
        <f>CONCATENATE('3 pr-2'!J152)</f>
        <v>-</v>
      </c>
      <c r="K151" s="1080">
        <f>IF(U151&gt;0,'3 pr-2'!L152,0)</f>
        <v>0</v>
      </c>
      <c r="L151" s="1080">
        <f>IF(U151&gt;0,'3 pr-2'!O152,0)</f>
        <v>0</v>
      </c>
      <c r="M151" s="1080">
        <f>IF(U151&gt;0,'3 pr-2'!R152,0)</f>
        <v>0</v>
      </c>
      <c r="N151" s="1080">
        <f>IF(U151&gt;0,'3 pr-2'!U152,0)</f>
        <v>0</v>
      </c>
      <c r="O151" s="1080">
        <f>IF(U151&gt;0,'3 pr-2'!X152,0)</f>
        <v>0</v>
      </c>
      <c r="P151" s="1080">
        <f>IF(U151&gt;0,'3 pr-2'!AA152,0)</f>
        <v>0</v>
      </c>
      <c r="Q151" s="1164">
        <f>IF($Z$9&gt;0,'3 pr-2'!AB152,0)</f>
        <v>0</v>
      </c>
      <c r="R151" s="478">
        <f>SUM('3 pr-2'!AK152)</f>
        <v>43738</v>
      </c>
      <c r="S151" s="1612">
        <f>IF(SUMIF(Projektu_sutarciu_ataskaita!$J:$J,$C151,Projektu_sutarciu_ataskaita!$BW:$BW)&gt;0,SUMIF(Projektu_sutarciu_ataskaita!$J:$J,$C151,Projektu_sutarciu_ataskaita!$BW:$BW),"–")</f>
        <v>43738</v>
      </c>
      <c r="T151" s="1132" t="str">
        <f t="shared" si="56"/>
        <v>–</v>
      </c>
      <c r="U151" s="247">
        <f>SUMIF(Projektu_sutarciu_ataskaita!$J:$J,$C151,Projektu_sutarciu_ataskaita!$BX:$BX)</f>
        <v>0</v>
      </c>
      <c r="V151" s="992" t="str">
        <f t="shared" si="64"/>
        <v>–</v>
      </c>
      <c r="W151" s="1251">
        <f>IF(U151&gt;0,'IV-3'!K150,0)</f>
        <v>0</v>
      </c>
      <c r="X151" s="1249">
        <f t="shared" si="55"/>
        <v>0</v>
      </c>
    </row>
    <row r="152" spans="1:24" ht="37.5" thickBot="1">
      <c r="A152" s="164" t="str">
        <f>CONCATENATE('3 pr-2'!A153)</f>
        <v>2.1.3.1.5</v>
      </c>
      <c r="B152" s="236" t="str">
        <f>CONCATENATE('3 pr-2'!B153)</f>
        <v>R01-4407-270000-2315</v>
      </c>
      <c r="C152" s="281" t="str">
        <f>CONCATENATE('ketv. 2'!B152)</f>
        <v>08.1.1-CPVA-R-407-11-0003</v>
      </c>
      <c r="D152" s="164" t="str">
        <f>CONCATENATE('3 pr-2'!D153)</f>
        <v>Socialinių paslaugų infrastruktūros modernizavimas ir plėtra VšĮ Kapčiamiesčio globos namuose</v>
      </c>
      <c r="E152" s="164" t="str">
        <f>CONCATENATE('3 pr-2'!E153)</f>
        <v>VšĮ Kapčiamiesčio globos namai</v>
      </c>
      <c r="F152" s="164" t="str">
        <f>CONCATENATE('3 pr-2'!F153)</f>
        <v>Lietuvos Respublikos socialinės apsaugos ir darbo ministerija</v>
      </c>
      <c r="G152" s="164" t="str">
        <f>CONCATENATE('3 pr-2'!G153)</f>
        <v>Lazdijų r. sav.</v>
      </c>
      <c r="H152" s="164" t="str">
        <f>CONCATENATE('3 pr-2'!H153)</f>
        <v>08.1.1-CPVA-R-407</v>
      </c>
      <c r="I152" s="164" t="str">
        <f>CONCATENATE('3 pr-2'!I153)</f>
        <v>R</v>
      </c>
      <c r="J152" s="164" t="str">
        <f>CONCATENATE('3 pr-2'!J153)</f>
        <v>-</v>
      </c>
      <c r="K152" s="1080">
        <f>IF(U152&gt;0,'3 pr-2'!L153,0)</f>
        <v>146319</v>
      </c>
      <c r="L152" s="1080">
        <f>IF(U152&gt;0,'3 pr-2'!O153,0)</f>
        <v>0</v>
      </c>
      <c r="M152" s="1080">
        <f>IF(U152&gt;0,'3 pr-2'!R153,0)</f>
        <v>21947.85</v>
      </c>
      <c r="N152" s="1080">
        <f>IF(U152&gt;0,'3 pr-2'!U153,0)</f>
        <v>0</v>
      </c>
      <c r="O152" s="1080">
        <f>IF(U152&gt;0,'3 pr-2'!X153,0)</f>
        <v>0</v>
      </c>
      <c r="P152" s="1080">
        <f>IF(U152&gt;0,'3 pr-2'!AA153,0)</f>
        <v>124371.15</v>
      </c>
      <c r="Q152" s="1164">
        <f>IF($Z$9&gt;0,'3 pr-2'!AB153,0)</f>
        <v>0</v>
      </c>
      <c r="R152" s="478">
        <f>SUM('3 pr-2'!AK153)</f>
        <v>43615</v>
      </c>
      <c r="S152" s="1612">
        <f>IF(SUMIF(Projektu_sutarciu_ataskaita!$J:$J,$C152,Projektu_sutarciu_ataskaita!$BW:$BW)&gt;0,SUMIF(Projektu_sutarciu_ataskaita!$J:$J,$C152,Projektu_sutarciu_ataskaita!$BW:$BW),"–")</f>
        <v>43615</v>
      </c>
      <c r="T152" s="1132">
        <f t="shared" si="56"/>
        <v>43488</v>
      </c>
      <c r="U152" s="247">
        <f>SUMIF(Projektu_sutarciu_ataskaita!$J:$J,$C152,Projektu_sutarciu_ataskaita!$BX:$BX)</f>
        <v>43488</v>
      </c>
      <c r="V152" s="992" t="str">
        <f>IF(U152&gt;0,IF((R152-U152)/30&gt;0,"–",(R152-U152)/30),"–")</f>
        <v>–</v>
      </c>
      <c r="W152" s="1251" t="str">
        <f>IF(U152&gt;0,'IV-3'!K151,0)</f>
        <v>27</v>
      </c>
      <c r="X152" s="1249">
        <f t="shared" si="55"/>
        <v>1</v>
      </c>
    </row>
    <row r="153" spans="1:24" ht="42" customHeight="1" thickBot="1">
      <c r="A153" s="296" t="str">
        <f>CONCATENATE('3 pr-2'!A154)</f>
        <v>2.1.3.2</v>
      </c>
      <c r="B153" s="2088" t="str">
        <f>CONCATENATE('3 pr-2'!B154)</f>
        <v>Priemonė:
Socialinio būsto fondo plėtra</v>
      </c>
      <c r="C153" s="2089"/>
      <c r="D153" s="2089"/>
      <c r="E153" s="2089"/>
      <c r="F153" s="2089"/>
      <c r="G153" s="2089"/>
      <c r="H153" s="2089"/>
      <c r="I153" s="2089"/>
      <c r="J153" s="2090"/>
      <c r="K153" s="1077">
        <f>SUM(K154:K158)</f>
        <v>241889</v>
      </c>
      <c r="L153" s="1077">
        <f t="shared" ref="L153:Q153" si="65">SUM(L154:L158)</f>
        <v>36283.35</v>
      </c>
      <c r="M153" s="1077">
        <f t="shared" si="65"/>
        <v>0</v>
      </c>
      <c r="N153" s="1077">
        <f t="shared" si="65"/>
        <v>0</v>
      </c>
      <c r="O153" s="1077">
        <f t="shared" si="65"/>
        <v>0</v>
      </c>
      <c r="P153" s="1077">
        <f t="shared" si="65"/>
        <v>205605.65</v>
      </c>
      <c r="Q153" s="1077">
        <f t="shared" si="65"/>
        <v>0</v>
      </c>
      <c r="R153" s="356"/>
      <c r="S153" s="1612" t="str">
        <f>IF(SUMIF(Projektu_sutarciu_ataskaita!$J:$J,$C153,Projektu_sutarciu_ataskaita!$BW:$BW)&gt;0,SUMIF(Projektu_sutarciu_ataskaita!$J:$J,$C153,Projektu_sutarciu_ataskaita!$BW:$BW),"–")</f>
        <v>–</v>
      </c>
      <c r="T153" s="356" t="str">
        <f t="shared" si="56"/>
        <v>–</v>
      </c>
      <c r="U153" s="1338">
        <f>IF(ISTEXT(#REF!),"–",SUMIF(Projektu_sutarciu_ataskaita!$J:$J,$C153,Projektu_sutarciu_ataskaita!$BX:$BX))</f>
        <v>0</v>
      </c>
      <c r="V153" s="356" t="str">
        <f t="shared" si="58"/>
        <v>–</v>
      </c>
      <c r="W153" s="1249"/>
      <c r="X153" s="1249">
        <f t="shared" si="55"/>
        <v>0</v>
      </c>
    </row>
    <row r="154" spans="1:24" ht="36.75">
      <c r="A154" s="164" t="str">
        <f>CONCATENATE('3 pr-2'!A155)</f>
        <v>2.1.3.2.1</v>
      </c>
      <c r="B154" s="236" t="str">
        <f>CONCATENATE('3 pr-2'!B155)</f>
        <v>R01-4408-260000-2321</v>
      </c>
      <c r="C154" s="281" t="str">
        <f>CONCATENATE('ketv. 2'!B154)</f>
        <v>08.1.2-CPVA-R-408-11-0001</v>
      </c>
      <c r="D154" s="164" t="str">
        <f>CONCATENATE('3 pr-2'!D155)</f>
        <v>Socialinio būsto plėtra Varėnos rajone</v>
      </c>
      <c r="E154" s="164" t="str">
        <f>CONCATENATE('3 pr-2'!E155)</f>
        <v>Varėnos rajono savivaldybės administracija</v>
      </c>
      <c r="F154" s="164" t="str">
        <f>CONCATENATE('3 pr-2'!F155)</f>
        <v>Lietuvos Respublikos socialinės apsaugos ir darbo ministerija</v>
      </c>
      <c r="G154" s="164" t="str">
        <f>CONCATENATE('3 pr-2'!G155)</f>
        <v>Varėnos r. sav.</v>
      </c>
      <c r="H154" s="164" t="str">
        <f>CONCATENATE('3 pr-2'!H155)</f>
        <v>08.1.2-CPVA-R-408</v>
      </c>
      <c r="I154" s="164" t="str">
        <f>CONCATENATE('3 pr-2'!I155)</f>
        <v>R</v>
      </c>
      <c r="J154" s="164" t="str">
        <f>CONCATENATE('3 pr-2'!J155)</f>
        <v>-</v>
      </c>
      <c r="K154" s="1080">
        <f>IF(U154&gt;0,'3 pr-2'!L155,0)</f>
        <v>0</v>
      </c>
      <c r="L154" s="1080">
        <f>IF(U154&gt;0,'3 pr-2'!O155,0)</f>
        <v>0</v>
      </c>
      <c r="M154" s="1080">
        <f>IF(U154&gt;0,'3 pr-2'!R155,0)</f>
        <v>0</v>
      </c>
      <c r="N154" s="1080">
        <f>IF(U154&gt;0,'3 pr-2'!U155,0)</f>
        <v>0</v>
      </c>
      <c r="O154" s="1080">
        <f>IF(U154&gt;0,'3 pr-2'!X155,0)</f>
        <v>0</v>
      </c>
      <c r="P154" s="1080">
        <f>IF(U154&gt;0,'3 pr-2'!AA155,0)</f>
        <v>0</v>
      </c>
      <c r="Q154" s="1164">
        <f>IF($Z$9&gt;0,'3 pr-2'!AB155,0)</f>
        <v>0</v>
      </c>
      <c r="R154" s="478">
        <f>SUM('3 pr-2'!AK155)</f>
        <v>43738</v>
      </c>
      <c r="S154" s="1612">
        <f>IF(SUMIF(Projektu_sutarciu_ataskaita!$J:$J,$C154,Projektu_sutarciu_ataskaita!$BW:$BW)&gt;0,SUMIF(Projektu_sutarciu_ataskaita!$J:$J,$C154,Projektu_sutarciu_ataskaita!$BW:$BW),"–")</f>
        <v>43738</v>
      </c>
      <c r="T154" s="1132" t="str">
        <f t="shared" si="56"/>
        <v>–</v>
      </c>
      <c r="U154" s="247">
        <f>SUMIF(Projektu_sutarciu_ataskaita!$J:$J,$C154,Projektu_sutarciu_ataskaita!$BX:$BX)</f>
        <v>0</v>
      </c>
      <c r="V154" s="992" t="str">
        <f t="shared" ref="V154:V158" si="66">IF(U154&gt;0,IF((R154-U154)/30&gt;0,"–",(R154-U154)/30),"–")</f>
        <v>–</v>
      </c>
      <c r="W154" s="1251">
        <f>IF(U154&gt;0,'IV-3'!K153,0)</f>
        <v>0</v>
      </c>
      <c r="X154" s="1249">
        <f t="shared" si="55"/>
        <v>0</v>
      </c>
    </row>
    <row r="155" spans="1:24" ht="36.75">
      <c r="A155" s="164" t="str">
        <f>CONCATENATE('3 pr-2'!A156)</f>
        <v>2.1.3.2.2</v>
      </c>
      <c r="B155" s="236" t="str">
        <f>CONCATENATE('3 pr-2'!B156)</f>
        <v>R01-4408-250000-2322</v>
      </c>
      <c r="C155" s="281" t="str">
        <f>CONCATENATE('ketv. 2'!B155)</f>
        <v>08.1.2-CPVA-R-408-11-0005</v>
      </c>
      <c r="D155" s="164" t="str">
        <f>CONCATENATE('3 pr-2'!D156)</f>
        <v>Būsto prieinamumo pažeidžiamoms gyventojų grupėms didinimas Alytaus rajone</v>
      </c>
      <c r="E155" s="164" t="str">
        <f>CONCATENATE('3 pr-2'!E156)</f>
        <v>Alytaus rajono savivaldybės administracija</v>
      </c>
      <c r="F155" s="164" t="str">
        <f>CONCATENATE('3 pr-2'!F156)</f>
        <v>Lietuvos Respublikos socialinės apsaugos ir darbo ministerija</v>
      </c>
      <c r="G155" s="164" t="str">
        <f>CONCATENATE('3 pr-2'!G156)</f>
        <v>Alytaus r. sav.</v>
      </c>
      <c r="H155" s="164" t="str">
        <f>CONCATENATE('3 pr-2'!H156)</f>
        <v>08.1.2-CPVA-R-408</v>
      </c>
      <c r="I155" s="164" t="str">
        <f>CONCATENATE('3 pr-2'!I156)</f>
        <v>R</v>
      </c>
      <c r="J155" s="164" t="str">
        <f>CONCATENATE('3 pr-2'!J156)</f>
        <v>-</v>
      </c>
      <c r="K155" s="1080">
        <f>IF(U155&gt;0,'3 pr-2'!L156,0)</f>
        <v>241889</v>
      </c>
      <c r="L155" s="1080">
        <f>IF(U155&gt;0,'3 pr-2'!O156,0)</f>
        <v>36283.35</v>
      </c>
      <c r="M155" s="1080">
        <f>IF(U155&gt;0,'3 pr-2'!R156,0)</f>
        <v>0</v>
      </c>
      <c r="N155" s="1080">
        <f>IF(U155&gt;0,'3 pr-2'!U156,0)</f>
        <v>0</v>
      </c>
      <c r="O155" s="1080">
        <f>IF(U155&gt;0,'3 pr-2'!X156,0)</f>
        <v>0</v>
      </c>
      <c r="P155" s="1080">
        <f>IF(U155&gt;0,'3 pr-2'!AA156,0)</f>
        <v>205605.65</v>
      </c>
      <c r="Q155" s="1164">
        <f>IF($Z$9&gt;0,'3 pr-2'!AB156,0)</f>
        <v>0</v>
      </c>
      <c r="R155" s="478">
        <f>SUM('3 pr-2'!AK156)</f>
        <v>43464</v>
      </c>
      <c r="S155" s="1612">
        <f>IF(SUMIF(Projektu_sutarciu_ataskaita!$J:$J,$C155,Projektu_sutarciu_ataskaita!$BW:$BW)&gt;0,SUMIF(Projektu_sutarciu_ataskaita!$J:$J,$C155,Projektu_sutarciu_ataskaita!$BW:$BW),"–")</f>
        <v>43434</v>
      </c>
      <c r="T155" s="1132">
        <f t="shared" si="56"/>
        <v>43488</v>
      </c>
      <c r="U155" s="247">
        <f>SUMIF(Projektu_sutarciu_ataskaita!$J:$J,$C155,Projektu_sutarciu_ataskaita!$BX:$BX)</f>
        <v>43488</v>
      </c>
      <c r="V155" s="992">
        <f t="shared" si="66"/>
        <v>-0.8</v>
      </c>
      <c r="W155" s="1251" t="str">
        <f>IF(U155&gt;0,'IV-3'!K154,0)</f>
        <v>25</v>
      </c>
      <c r="X155" s="1249">
        <f t="shared" si="55"/>
        <v>1</v>
      </c>
    </row>
    <row r="156" spans="1:24" ht="36.75">
      <c r="A156" s="164" t="str">
        <f>CONCATENATE('3 pr-2'!A157)</f>
        <v>2.1.3.1.3</v>
      </c>
      <c r="B156" s="236" t="str">
        <f>CONCATENATE('3 pr-2'!B157)</f>
        <v>R01-4408-260000-2323</v>
      </c>
      <c r="C156" s="281" t="str">
        <f>CONCATENATE('ketv. 2'!B156)</f>
        <v>08.1.2-CPVA-R-408-11-0002</v>
      </c>
      <c r="D156" s="164" t="str">
        <f>CONCATENATE('3 pr-2'!D157)</f>
        <v>Socialinio būsto plėtra Alytaus mieste</v>
      </c>
      <c r="E156" s="164" t="str">
        <f>CONCATENATE('3 pr-2'!E157)</f>
        <v>Alytaus miesto savivaldybės administracija</v>
      </c>
      <c r="F156" s="164" t="str">
        <f>CONCATENATE('3 pr-2'!F157)</f>
        <v>Lietuvos Respublikos socialinės apsaugos ir darbo ministerija</v>
      </c>
      <c r="G156" s="164" t="str">
        <f>CONCATENATE('3 pr-2'!G157)</f>
        <v>Alytaus m. sav.</v>
      </c>
      <c r="H156" s="164" t="str">
        <f>CONCATENATE('3 pr-2'!H157)</f>
        <v>08.1.2-CPVA-R-408</v>
      </c>
      <c r="I156" s="164" t="str">
        <f>CONCATENATE('3 pr-2'!I157)</f>
        <v>R</v>
      </c>
      <c r="J156" s="164" t="str">
        <f>CONCATENATE('3 pr-2'!J157)</f>
        <v>-</v>
      </c>
      <c r="K156" s="1080">
        <f>IF(U156&gt;0,'3 pr-2'!L157,0)</f>
        <v>0</v>
      </c>
      <c r="L156" s="1080">
        <f>IF(U156&gt;0,'3 pr-2'!O157,0)</f>
        <v>0</v>
      </c>
      <c r="M156" s="1080">
        <f>IF(U156&gt;0,'3 pr-2'!R157,0)</f>
        <v>0</v>
      </c>
      <c r="N156" s="1080">
        <f>IF(U156&gt;0,'3 pr-2'!U157,0)</f>
        <v>0</v>
      </c>
      <c r="O156" s="1080">
        <f>IF(U156&gt;0,'3 pr-2'!X157,0)</f>
        <v>0</v>
      </c>
      <c r="P156" s="1080">
        <f>IF(U156&gt;0,'3 pr-2'!AA157,0)</f>
        <v>0</v>
      </c>
      <c r="Q156" s="1164">
        <f>IF($Z$9&gt;0,'3 pr-2'!AB157,0)</f>
        <v>0</v>
      </c>
      <c r="R156" s="478">
        <f>SUM('3 pr-2'!AK157)</f>
        <v>43707</v>
      </c>
      <c r="S156" s="1612">
        <f>IF(SUMIF(Projektu_sutarciu_ataskaita!$J:$J,$C156,Projektu_sutarciu_ataskaita!$BW:$BW)&gt;0,SUMIF(Projektu_sutarciu_ataskaita!$J:$J,$C156,Projektu_sutarciu_ataskaita!$BW:$BW),"–")</f>
        <v>43737</v>
      </c>
      <c r="T156" s="1132" t="str">
        <f t="shared" si="56"/>
        <v>–</v>
      </c>
      <c r="U156" s="247">
        <f>SUMIF(Projektu_sutarciu_ataskaita!$J:$J,$C156,Projektu_sutarciu_ataskaita!$BX:$BX)</f>
        <v>0</v>
      </c>
      <c r="V156" s="992" t="str">
        <f t="shared" si="66"/>
        <v>–</v>
      </c>
      <c r="W156" s="1251">
        <f>IF(U156&gt;0,'IV-3'!K155,0)</f>
        <v>0</v>
      </c>
      <c r="X156" s="1249">
        <f t="shared" si="55"/>
        <v>0</v>
      </c>
    </row>
    <row r="157" spans="1:24" ht="36.75">
      <c r="A157" s="164" t="str">
        <f>CONCATENATE('3 pr-2'!A158)</f>
        <v>2.1.3.2.4</v>
      </c>
      <c r="B157" s="236" t="str">
        <f>CONCATENATE('3 pr-2'!B158)</f>
        <v>R01-4408-260000-2324</v>
      </c>
      <c r="C157" s="281" t="str">
        <f>CONCATENATE('ketv. 2'!B157)</f>
        <v>08.1.2-CPVA-R-408-11-0003</v>
      </c>
      <c r="D157" s="164" t="str">
        <f>CONCATENATE('3 pr-2'!D158)</f>
        <v>Socialinio būsto fondo plėtra Druskininkų savivaldybėje</v>
      </c>
      <c r="E157" s="164" t="str">
        <f>CONCATENATE('3 pr-2'!E158)</f>
        <v>Druskininkų savivaldybės administracija</v>
      </c>
      <c r="F157" s="164" t="str">
        <f>CONCATENATE('3 pr-2'!F158)</f>
        <v>Lietuvos Respublikos socialinės apsaugos ir darbo ministerija</v>
      </c>
      <c r="G157" s="164" t="str">
        <f>CONCATENATE('3 pr-2'!G158)</f>
        <v>Druskininkų sav.</v>
      </c>
      <c r="H157" s="164" t="str">
        <f>CONCATENATE('3 pr-2'!H158)</f>
        <v>08.1.2-CPVA-R-408</v>
      </c>
      <c r="I157" s="164" t="str">
        <f>CONCATENATE('3 pr-2'!I158)</f>
        <v>R</v>
      </c>
      <c r="J157" s="164" t="str">
        <f>CONCATENATE('3 pr-2'!J158)</f>
        <v>-</v>
      </c>
      <c r="K157" s="1080">
        <f>IF(U157&gt;0,'3 pr-2'!L158,0)</f>
        <v>0</v>
      </c>
      <c r="L157" s="1080">
        <f>IF(U157&gt;0,'3 pr-2'!O158,0)</f>
        <v>0</v>
      </c>
      <c r="M157" s="1080">
        <f>IF(U157&gt;0,'3 pr-2'!R158,0)</f>
        <v>0</v>
      </c>
      <c r="N157" s="1080">
        <f>IF(U157&gt;0,'3 pr-2'!U158,0)</f>
        <v>0</v>
      </c>
      <c r="O157" s="1080">
        <f>IF(U157&gt;0,'3 pr-2'!X158,0)</f>
        <v>0</v>
      </c>
      <c r="P157" s="1080">
        <f>IF(U157&gt;0,'3 pr-2'!AA158,0)</f>
        <v>0</v>
      </c>
      <c r="Q157" s="1164">
        <f>IF($Z$9&gt;0,'3 pr-2'!AB158,0)</f>
        <v>0</v>
      </c>
      <c r="R157" s="478">
        <f>SUM('3 pr-2'!AK158)</f>
        <v>43585</v>
      </c>
      <c r="S157" s="1612">
        <f>IF(SUMIF(Projektu_sutarciu_ataskaita!$J:$J,$C157,Projektu_sutarciu_ataskaita!$BW:$BW)&gt;0,SUMIF(Projektu_sutarciu_ataskaita!$J:$J,$C157,Projektu_sutarciu_ataskaita!$BW:$BW),"–")</f>
        <v>43615</v>
      </c>
      <c r="T157" s="1132" t="str">
        <f t="shared" si="56"/>
        <v>–</v>
      </c>
      <c r="U157" s="247">
        <f>SUMIF(Projektu_sutarciu_ataskaita!$J:$J,$C157,Projektu_sutarciu_ataskaita!$BX:$BX)</f>
        <v>0</v>
      </c>
      <c r="V157" s="992" t="str">
        <f t="shared" si="66"/>
        <v>–</v>
      </c>
      <c r="W157" s="1251">
        <f>IF(U157&gt;0,'IV-3'!K156,0)</f>
        <v>0</v>
      </c>
      <c r="X157" s="1249">
        <f t="shared" si="55"/>
        <v>0</v>
      </c>
    </row>
    <row r="158" spans="1:24" ht="37.5" thickBot="1">
      <c r="A158" s="164" t="str">
        <f>CONCATENATE('3 pr-2'!A159)</f>
        <v>2.1.3.2.5</v>
      </c>
      <c r="B158" s="236" t="str">
        <f>CONCATENATE('3 pr-2'!B159)</f>
        <v>R01-4408-252600-2325</v>
      </c>
      <c r="C158" s="281" t="str">
        <f>CONCATENATE('ketv. 2'!B158)</f>
        <v>08.1.2-CPVA-R-408-11-0004</v>
      </c>
      <c r="D158" s="164" t="str">
        <f>CONCATENATE('3 pr-2'!D159)</f>
        <v>Socialinio būsto fondo plėtra Lazdijų rajono savivaldybėje</v>
      </c>
      <c r="E158" s="164" t="str">
        <f>CONCATENATE('3 pr-2'!E159)</f>
        <v>Lazdijų rajono savivaldybės administracija</v>
      </c>
      <c r="F158" s="164" t="str">
        <f>CONCATENATE('3 pr-2'!F159)</f>
        <v>Lietuvos Respublikos socialinės apsaugos ir darbo ministerija</v>
      </c>
      <c r="G158" s="164" t="str">
        <f>CONCATENATE('3 pr-2'!G159)</f>
        <v>Lazdijų r. sav.</v>
      </c>
      <c r="H158" s="164" t="str">
        <f>CONCATENATE('3 pr-2'!H159)</f>
        <v>08.1.2-CPVA-R-408</v>
      </c>
      <c r="I158" s="164" t="str">
        <f>CONCATENATE('3 pr-2'!I159)</f>
        <v>R</v>
      </c>
      <c r="J158" s="164" t="str">
        <f>CONCATENATE('3 pr-2'!J159)</f>
        <v>-</v>
      </c>
      <c r="K158" s="1163">
        <f>IF(U158&gt;0,'3 pr-2'!L159,0)</f>
        <v>0</v>
      </c>
      <c r="L158" s="1163">
        <f>IF(U158&gt;0,'3 pr-2'!O159,0)</f>
        <v>0</v>
      </c>
      <c r="M158" s="1163">
        <f>IF(U158&gt;0,'3 pr-2'!R159,0)</f>
        <v>0</v>
      </c>
      <c r="N158" s="1163">
        <f>IF(U158&gt;0,'3 pr-2'!U159,0)</f>
        <v>0</v>
      </c>
      <c r="O158" s="1163">
        <f>IF(U158&gt;0,'3 pr-2'!X159,0)</f>
        <v>0</v>
      </c>
      <c r="P158" s="1163">
        <f>IF(U158&gt;0,'3 pr-2'!AA159,0)</f>
        <v>0</v>
      </c>
      <c r="Q158" s="1384">
        <f>IF($Z$9&gt;0,'3 pr-2'!AB159,0)</f>
        <v>0</v>
      </c>
      <c r="R158" s="1366">
        <f>SUM('3 pr-2'!AK159)</f>
        <v>43554</v>
      </c>
      <c r="S158" s="1612">
        <f>IF(SUMIF(Projektu_sutarciu_ataskaita!$J:$J,$C158,Projektu_sutarciu_ataskaita!$BW:$BW)&gt;0,SUMIF(Projektu_sutarciu_ataskaita!$J:$J,$C158,Projektu_sutarciu_ataskaita!$BW:$BW),"–")</f>
        <v>43768</v>
      </c>
      <c r="T158" s="1132" t="str">
        <f t="shared" si="56"/>
        <v>–</v>
      </c>
      <c r="U158" s="247">
        <f>SUMIF(Projektu_sutarciu_ataskaita!$J:$J,$C158,Projektu_sutarciu_ataskaita!$BX:$BX)</f>
        <v>0</v>
      </c>
      <c r="V158" s="1375" t="str">
        <f t="shared" si="66"/>
        <v>–</v>
      </c>
      <c r="W158" s="1251">
        <f>IF(U158&gt;0,'IV-3'!K157,0)</f>
        <v>0</v>
      </c>
      <c r="X158" s="1249">
        <f t="shared" si="55"/>
        <v>0</v>
      </c>
    </row>
    <row r="159" spans="1:24" ht="40.5" customHeight="1" thickBot="1">
      <c r="A159" s="138" t="str">
        <f>CONCATENATE('3 pr-2'!A160)</f>
        <v>2.1.4.</v>
      </c>
      <c r="B159" s="2085" t="str">
        <f>CONCATENATE('3 pr-2'!B160)</f>
        <v>Uždavinys:
Visuomenei teikiamų paslaugų kokybės, didinant jų atitikimo visuomenės poreikiams pagerinimas</v>
      </c>
      <c r="C159" s="2086"/>
      <c r="D159" s="2086"/>
      <c r="E159" s="2086"/>
      <c r="F159" s="2086"/>
      <c r="G159" s="2086"/>
      <c r="H159" s="2086"/>
      <c r="I159" s="2086"/>
      <c r="J159" s="2087"/>
      <c r="K159" s="1158">
        <f>SUM(K160)</f>
        <v>0</v>
      </c>
      <c r="L159" s="1158">
        <f t="shared" ref="L159:Q159" si="67">SUM(L160)</f>
        <v>0</v>
      </c>
      <c r="M159" s="1158">
        <f t="shared" si="67"/>
        <v>0</v>
      </c>
      <c r="N159" s="1158">
        <f t="shared" si="67"/>
        <v>0</v>
      </c>
      <c r="O159" s="1158">
        <f t="shared" si="67"/>
        <v>0</v>
      </c>
      <c r="P159" s="1158">
        <f t="shared" si="67"/>
        <v>0</v>
      </c>
      <c r="Q159" s="1158">
        <f t="shared" si="67"/>
        <v>0</v>
      </c>
      <c r="R159" s="365" t="s">
        <v>679</v>
      </c>
      <c r="S159" s="1612" t="str">
        <f>IF(SUMIF(Projektu_sutarciu_ataskaita!$J:$J,$C159,Projektu_sutarciu_ataskaita!$BW:$BW)&gt;0,SUMIF(Projektu_sutarciu_ataskaita!$J:$J,$C159,Projektu_sutarciu_ataskaita!$BW:$BW),"–")</f>
        <v>–</v>
      </c>
      <c r="T159" s="1370" t="str">
        <f t="shared" si="56"/>
        <v>–</v>
      </c>
      <c r="U159" s="1392">
        <f>IF(ISTEXT(#REF!),"–",SUMIF(Projektu_sutarciu_ataskaita!$J:$J,$C159,Projektu_sutarciu_ataskaita!$BX:$BX))</f>
        <v>0</v>
      </c>
      <c r="V159" s="1393" t="str">
        <f t="shared" si="58"/>
        <v>–</v>
      </c>
      <c r="W159" s="1374"/>
      <c r="X159" s="1249">
        <f t="shared" si="55"/>
        <v>0</v>
      </c>
    </row>
    <row r="160" spans="1:24" ht="38.25" customHeight="1" thickBot="1">
      <c r="A160" s="296" t="str">
        <f>CONCATENATE('3 pr-2'!A161)</f>
        <v>2.1.4.1</v>
      </c>
      <c r="B160" s="2088" t="str">
        <f>CONCATENATE('3 pr-2'!B161)</f>
        <v>Priemonė:
Paslaugų teikimo ir asmenų aptarnavimo kokybės gerinimas savivaldybėse</v>
      </c>
      <c r="C160" s="2089"/>
      <c r="D160" s="2089"/>
      <c r="E160" s="2089"/>
      <c r="F160" s="2089"/>
      <c r="G160" s="2089"/>
      <c r="H160" s="2089"/>
      <c r="I160" s="2089"/>
      <c r="J160" s="2090"/>
      <c r="K160" s="1077">
        <f>SUM(K161:K166)</f>
        <v>0</v>
      </c>
      <c r="L160" s="1077">
        <f t="shared" ref="L160:P160" si="68">SUM(L161:L166)</f>
        <v>0</v>
      </c>
      <c r="M160" s="1077">
        <f t="shared" si="68"/>
        <v>0</v>
      </c>
      <c r="N160" s="1077">
        <f t="shared" si="68"/>
        <v>0</v>
      </c>
      <c r="O160" s="1077">
        <f t="shared" si="68"/>
        <v>0</v>
      </c>
      <c r="P160" s="1077">
        <f t="shared" si="68"/>
        <v>0</v>
      </c>
      <c r="Q160" s="1077">
        <f t="shared" ref="Q160" si="69">SUM(Q161:Q166)</f>
        <v>0</v>
      </c>
      <c r="R160" s="356"/>
      <c r="S160" s="1612" t="str">
        <f>IF(SUMIF(Projektu_sutarciu_ataskaita!$J:$J,$C160,Projektu_sutarciu_ataskaita!$BW:$BW)&gt;0,SUMIF(Projektu_sutarciu_ataskaita!$J:$J,$C160,Projektu_sutarciu_ataskaita!$BW:$BW),"–")</f>
        <v>–</v>
      </c>
      <c r="T160" s="356" t="str">
        <f t="shared" si="56"/>
        <v>–</v>
      </c>
      <c r="U160" s="1338">
        <f>IF(ISTEXT(#REF!),"–",SUMIF(Projektu_sutarciu_ataskaita!$J:$J,$C160,Projektu_sutarciu_ataskaita!$BX:$BX))</f>
        <v>0</v>
      </c>
      <c r="V160" s="356" t="str">
        <f t="shared" si="58"/>
        <v>–</v>
      </c>
      <c r="W160" s="1249"/>
      <c r="X160" s="1249">
        <f t="shared" si="55"/>
        <v>0</v>
      </c>
    </row>
    <row r="161" spans="1:24" ht="36.75">
      <c r="A161" s="164" t="str">
        <f>CONCATENATE('3 pr-2'!A162)</f>
        <v>2.1.4.1.1</v>
      </c>
      <c r="B161" s="236" t="str">
        <f>CONCATENATE('3 pr-2'!B162)</f>
        <v>R01-9920-490000-2411</v>
      </c>
      <c r="C161" s="281" t="str">
        <f>CONCATENATE('ketv. 2'!B161)</f>
        <v>10.1.3-ESFA-R-920-11-0001</v>
      </c>
      <c r="D161" s="164" t="str">
        <f>CONCATENATE('3 pr-2'!D162)</f>
        <v>Paslaugų teikimo ir asmenų aptarnavimo kokybės gerinimas Varėnos rajono savivaldybėje</v>
      </c>
      <c r="E161" s="164" t="str">
        <f>CONCATENATE('3 pr-2'!E162)</f>
        <v>Varėnos rajono savivaldybės administracija</v>
      </c>
      <c r="F161" s="164" t="str">
        <f>CONCATENATE('3 pr-2'!F162)</f>
        <v>Lietuvos Respublikos vidaus reikalų ministerija</v>
      </c>
      <c r="G161" s="164" t="str">
        <f>CONCATENATE('3 pr-2'!G162)</f>
        <v>Varėnos r. sav.</v>
      </c>
      <c r="H161" s="164" t="str">
        <f>CONCATENATE('3 pr-2'!H162)</f>
        <v>10.1.3-ESFA-R-920</v>
      </c>
      <c r="I161" s="164" t="str">
        <f>CONCATENATE('3 pr-2'!I162)</f>
        <v>R</v>
      </c>
      <c r="J161" s="164" t="str">
        <f>CONCATENATE('3 pr-2'!J162)</f>
        <v>-</v>
      </c>
      <c r="K161" s="1080">
        <f>IF(U161&gt;0,'3 pr-2'!L162,0)</f>
        <v>0</v>
      </c>
      <c r="L161" s="1080">
        <f>IF(U161&gt;0,'3 pr-2'!O162,0)</f>
        <v>0</v>
      </c>
      <c r="M161" s="1080">
        <f>IF(U161&gt;0,'3 pr-2'!R162,0)</f>
        <v>0</v>
      </c>
      <c r="N161" s="1080">
        <f>IF(U161&gt;0,'3 pr-2'!U162,0)</f>
        <v>0</v>
      </c>
      <c r="O161" s="1080">
        <f>IF(U161&gt;0,'3 pr-2'!X162,0)</f>
        <v>0</v>
      </c>
      <c r="P161" s="1080">
        <f>IF(U161&gt;0,'3 pr-2'!AA162,0)</f>
        <v>0</v>
      </c>
      <c r="Q161" s="1164">
        <f>IF($Z$9&gt;0,'3 pr-2'!AB162,0)</f>
        <v>0</v>
      </c>
      <c r="R161" s="566">
        <f>SUM('3 pr-2'!AK162)</f>
        <v>43830</v>
      </c>
      <c r="S161" s="1612">
        <f>IF(SUMIF(Projektu_sutarciu_ataskaita!$J:$J,$C161,Projektu_sutarciu_ataskaita!$BW:$BW)&gt;0,SUMIF(Projektu_sutarciu_ataskaita!$J:$J,$C161,Projektu_sutarciu_ataskaita!$BW:$BW),"–")</f>
        <v>43743</v>
      </c>
      <c r="T161" s="1132" t="str">
        <f t="shared" si="56"/>
        <v>–</v>
      </c>
      <c r="U161" s="247">
        <f>SUMIF(Projektu_sutarciu_ataskaita!$J:$J,$C161,Projektu_sutarciu_ataskaita!$BX:$BX)</f>
        <v>0</v>
      </c>
      <c r="V161" s="992" t="str">
        <f t="shared" ref="V161:V166" si="70">IF(U161&gt;0,IF((R161-U161)/30&gt;0,"–",(R161-U161)/30),"–")</f>
        <v>–</v>
      </c>
      <c r="W161" s="1251">
        <f>IF(U161&gt;0,'IV-3'!K160,0)</f>
        <v>0</v>
      </c>
      <c r="X161" s="1249">
        <f t="shared" si="55"/>
        <v>0</v>
      </c>
    </row>
    <row r="162" spans="1:24" ht="36.75">
      <c r="A162" s="164" t="str">
        <f>CONCATENATE('3 pr-2'!A163)</f>
        <v>2.1.4.1.2</v>
      </c>
      <c r="B162" s="236" t="str">
        <f>CONCATENATE('3 pr-2'!B163)</f>
        <v>R01-9920-490000-2412</v>
      </c>
      <c r="C162" s="281" t="str">
        <f>CONCATENATE('ketv. 2'!B162)</f>
        <v>10.1.3-ESFA-R-920-11-0005</v>
      </c>
      <c r="D162" s="164" t="str">
        <f>CONCATENATE('3 pr-2'!D163)</f>
        <v>Paslaugų ir asmenų aptarnavimo kokybės gerinimas Alytaus rajono savivaldybėje</v>
      </c>
      <c r="E162" s="164" t="str">
        <f>CONCATENATE('3 pr-2'!E163)</f>
        <v>Alytaus rajono savivaldybės administracija</v>
      </c>
      <c r="F162" s="164" t="str">
        <f>CONCATENATE('3 pr-2'!F163)</f>
        <v>Lietuvos Respublikos vidaus reikalų ministerija</v>
      </c>
      <c r="G162" s="164" t="str">
        <f>CONCATENATE('3 pr-2'!G163)</f>
        <v>Alytaus r. sav.</v>
      </c>
      <c r="H162" s="164" t="str">
        <f>CONCATENATE('3 pr-2'!H163)</f>
        <v>10.1.3-ESFA-R-920</v>
      </c>
      <c r="I162" s="164" t="str">
        <f>CONCATENATE('3 pr-2'!I163)</f>
        <v>R</v>
      </c>
      <c r="J162" s="164" t="str">
        <f>CONCATENATE('3 pr-2'!J163)</f>
        <v>-</v>
      </c>
      <c r="K162" s="1080">
        <f>IF(U162&gt;0,'3 pr-2'!L163,0)</f>
        <v>0</v>
      </c>
      <c r="L162" s="1080">
        <f>IF(U162&gt;0,'3 pr-2'!O163,0)</f>
        <v>0</v>
      </c>
      <c r="M162" s="1080">
        <f>IF(U162&gt;0,'3 pr-2'!R163,0)</f>
        <v>0</v>
      </c>
      <c r="N162" s="1080">
        <f>IF(U162&gt;0,'3 pr-2'!U163,0)</f>
        <v>0</v>
      </c>
      <c r="O162" s="1080">
        <f>IF(U162&gt;0,'3 pr-2'!X163,0)</f>
        <v>0</v>
      </c>
      <c r="P162" s="1080">
        <f>IF(U162&gt;0,'3 pr-2'!AA163,0)</f>
        <v>0</v>
      </c>
      <c r="Q162" s="1164">
        <f>IF($Z$9&gt;0,'3 pr-2'!AB163,0)</f>
        <v>0</v>
      </c>
      <c r="R162" s="566">
        <f>SUM('3 pr-2'!AK163)</f>
        <v>44196</v>
      </c>
      <c r="S162" s="1612">
        <f>IF(SUMIF(Projektu_sutarciu_ataskaita!$J:$J,$C162,Projektu_sutarciu_ataskaita!$BW:$BW)&gt;0,SUMIF(Projektu_sutarciu_ataskaita!$J:$J,$C162,Projektu_sutarciu_ataskaita!$BW:$BW),"–")</f>
        <v>44011</v>
      </c>
      <c r="T162" s="1132" t="str">
        <f t="shared" si="56"/>
        <v>–</v>
      </c>
      <c r="U162" s="247">
        <f>SUMIF(Projektu_sutarciu_ataskaita!$J:$J,$C162,Projektu_sutarciu_ataskaita!$BX:$BX)</f>
        <v>0</v>
      </c>
      <c r="V162" s="992" t="str">
        <f t="shared" si="70"/>
        <v>–</v>
      </c>
      <c r="W162" s="1251">
        <f>IF(U162&gt;0,'IV-3'!K161,0)</f>
        <v>0</v>
      </c>
      <c r="X162" s="1249">
        <f t="shared" si="55"/>
        <v>0</v>
      </c>
    </row>
    <row r="163" spans="1:24" ht="36.75">
      <c r="A163" s="164" t="str">
        <f>CONCATENATE('3 pr-2'!A164)</f>
        <v>2.1.4.1.3</v>
      </c>
      <c r="B163" s="236" t="str">
        <f>CONCATENATE('3 pr-2'!B164)</f>
        <v>R01-9920-490000-2413</v>
      </c>
      <c r="C163" s="281" t="str">
        <f>CONCATENATE('ketv. 2'!B163)</f>
        <v>10.1.3-ESFA-R-920-11-0003</v>
      </c>
      <c r="D163" s="164" t="str">
        <f>CONCATENATE('3 pr-2'!D164)</f>
        <v>Lazdijų rajono savivaldybės administracijos ir jos viešojo valdymo institucijų teikiamų paslaugų procesų tobulinimas</v>
      </c>
      <c r="E163" s="164" t="str">
        <f>CONCATENATE('3 pr-2'!E164)</f>
        <v>Lazdijų rajono savivaldybės administracija</v>
      </c>
      <c r="F163" s="164" t="str">
        <f>CONCATENATE('3 pr-2'!F164)</f>
        <v>Lietuvos Respublikos vidaus reikalų ministerija</v>
      </c>
      <c r="G163" s="164" t="str">
        <f>CONCATENATE('3 pr-2'!G164)</f>
        <v>Lazdijų r. sav.</v>
      </c>
      <c r="H163" s="164" t="str">
        <f>CONCATENATE('3 pr-2'!H164)</f>
        <v>10.1.3-ESFA-R-920</v>
      </c>
      <c r="I163" s="164" t="str">
        <f>CONCATENATE('3 pr-2'!I164)</f>
        <v>R</v>
      </c>
      <c r="J163" s="164" t="str">
        <f>CONCATENATE('3 pr-2'!J164)</f>
        <v>-</v>
      </c>
      <c r="K163" s="1080">
        <f>IF(U163&gt;0,'3 pr-2'!L164,0)</f>
        <v>0</v>
      </c>
      <c r="L163" s="1080">
        <f>IF(U163&gt;0,'3 pr-2'!O164,0)</f>
        <v>0</v>
      </c>
      <c r="M163" s="1080">
        <f>IF(U163&gt;0,'3 pr-2'!R164,0)</f>
        <v>0</v>
      </c>
      <c r="N163" s="1080">
        <f>IF(U163&gt;0,'3 pr-2'!U164,0)</f>
        <v>0</v>
      </c>
      <c r="O163" s="1080">
        <f>IF(U163&gt;0,'3 pr-2'!X164,0)</f>
        <v>0</v>
      </c>
      <c r="P163" s="1080">
        <f>IF(U163&gt;0,'3 pr-2'!AA164,0)</f>
        <v>0</v>
      </c>
      <c r="Q163" s="1164">
        <f>IF($Z$9&gt;0,'3 pr-2'!AB164,0)</f>
        <v>0</v>
      </c>
      <c r="R163" s="566">
        <f>SUM('3 pr-2'!AK164)</f>
        <v>44196</v>
      </c>
      <c r="S163" s="1612">
        <f>IF(SUMIF(Projektu_sutarciu_ataskaita!$J:$J,$C163,Projektu_sutarciu_ataskaita!$BW:$BW)&gt;0,SUMIF(Projektu_sutarciu_ataskaita!$J:$J,$C163,Projektu_sutarciu_ataskaita!$BW:$BW),"–")</f>
        <v>43934</v>
      </c>
      <c r="T163" s="1132" t="str">
        <f t="shared" si="56"/>
        <v>–</v>
      </c>
      <c r="U163" s="247">
        <f>SUMIF(Projektu_sutarciu_ataskaita!$J:$J,$C163,Projektu_sutarciu_ataskaita!$BX:$BX)</f>
        <v>0</v>
      </c>
      <c r="V163" s="992" t="str">
        <f t="shared" si="70"/>
        <v>–</v>
      </c>
      <c r="W163" s="1251">
        <f>IF(U163&gt;0,'IV-3'!K162,0)</f>
        <v>0</v>
      </c>
      <c r="X163" s="1249">
        <f t="shared" si="55"/>
        <v>0</v>
      </c>
    </row>
    <row r="164" spans="1:24" ht="36.75">
      <c r="A164" s="164" t="str">
        <f>CONCATENATE('3 pr-2'!A165)</f>
        <v>2.1.4.1.4</v>
      </c>
      <c r="B164" s="236" t="str">
        <f>CONCATENATE('3 pr-2'!B165)</f>
        <v>R01-9920-490000-2414</v>
      </c>
      <c r="C164" s="281" t="str">
        <f>CONCATENATE('ketv. 2'!B164)</f>
        <v>10.1.3-ESFA-R-920-11-0007</v>
      </c>
      <c r="D164" s="164" t="str">
        <f>CONCATENATE('3 pr-2'!D165)</f>
        <v>Teikiamų paslaugų procesų tobulinimas ir asmenų aptarnavimo kokybės gerinimas Alytaus m. sav. administracijoje ir jai pavaldžiose įstaigose. I etapas</v>
      </c>
      <c r="E164" s="164" t="str">
        <f>CONCATENATE('3 pr-2'!E165)</f>
        <v>Alytaus miesto savivaldybės administracija</v>
      </c>
      <c r="F164" s="164" t="str">
        <f>CONCATENATE('3 pr-2'!F165)</f>
        <v>Lietuvos Respublikos vidaus reikalų ministerija</v>
      </c>
      <c r="G164" s="164" t="str">
        <f>CONCATENATE('3 pr-2'!G165)</f>
        <v>Alytaus m. sav.</v>
      </c>
      <c r="H164" s="164" t="str">
        <f>CONCATENATE('3 pr-2'!H165)</f>
        <v>10.1.3-ESFA-R-920</v>
      </c>
      <c r="I164" s="164" t="str">
        <f>CONCATENATE('3 pr-2'!I165)</f>
        <v>R</v>
      </c>
      <c r="J164" s="164" t="str">
        <f>CONCATENATE('3 pr-2'!J165)</f>
        <v>-</v>
      </c>
      <c r="K164" s="1080">
        <f>IF(U164&gt;0,'3 pr-2'!L165,0)</f>
        <v>0</v>
      </c>
      <c r="L164" s="1080">
        <f>IF(U164&gt;0,'3 pr-2'!O165,0)</f>
        <v>0</v>
      </c>
      <c r="M164" s="1080">
        <f>IF(U164&gt;0,'3 pr-2'!R165,0)</f>
        <v>0</v>
      </c>
      <c r="N164" s="1080">
        <f>IF(U164&gt;0,'3 pr-2'!U165,0)</f>
        <v>0</v>
      </c>
      <c r="O164" s="1080">
        <f>IF(U164&gt;0,'3 pr-2'!X165,0)</f>
        <v>0</v>
      </c>
      <c r="P164" s="1080">
        <f>IF(U164&gt;0,'3 pr-2'!AA165,0)</f>
        <v>0</v>
      </c>
      <c r="Q164" s="1164">
        <f>IF($Z$9&gt;0,'3 pr-2'!AB165,0)</f>
        <v>0</v>
      </c>
      <c r="R164" s="566">
        <f>SUM('3 pr-2'!AK165)</f>
        <v>44152</v>
      </c>
      <c r="S164" s="1612">
        <f>IF(SUMIF(Projektu_sutarciu_ataskaita!$J:$J,$C164,Projektu_sutarciu_ataskaita!$BW:$BW)&gt;0,SUMIF(Projektu_sutarciu_ataskaita!$J:$J,$C164,Projektu_sutarciu_ataskaita!$BW:$BW),"–")</f>
        <v>44213</v>
      </c>
      <c r="T164" s="1132" t="str">
        <f t="shared" si="56"/>
        <v>–</v>
      </c>
      <c r="U164" s="247">
        <f>SUMIF(Projektu_sutarciu_ataskaita!$J:$J,$C164,Projektu_sutarciu_ataskaita!$BX:$BX)</f>
        <v>0</v>
      </c>
      <c r="V164" s="992" t="str">
        <f t="shared" si="70"/>
        <v>–</v>
      </c>
      <c r="W164" s="1251">
        <f>IF(U164&gt;0,'IV-3'!K163,0)</f>
        <v>0</v>
      </c>
      <c r="X164" s="1249">
        <f t="shared" si="55"/>
        <v>0</v>
      </c>
    </row>
    <row r="165" spans="1:24" ht="36.75">
      <c r="A165" s="164" t="str">
        <f>CONCATENATE('3 pr-2'!A166)</f>
        <v>2.1.4.1.5</v>
      </c>
      <c r="B165" s="236" t="str">
        <f>CONCATENATE('3 pr-2'!B166)</f>
        <v>R01-9920-490000-2415</v>
      </c>
      <c r="C165" s="281" t="str">
        <f>CONCATENATE('ketv. 2'!B165)</f>
        <v>10.1.3-ESFA-R-920-11-0006</v>
      </c>
      <c r="D165" s="164" t="str">
        <f>CONCATENATE('3 pr-2'!D166)</f>
        <v>Paslaugų teikimo ir asmenų aptarnavimo kokybės gerinimas Druskininkų savivaldybėje</v>
      </c>
      <c r="E165" s="164" t="str">
        <f>CONCATENATE('3 pr-2'!E166)</f>
        <v>Druskininkų savivaldybės administracija</v>
      </c>
      <c r="F165" s="164" t="str">
        <f>CONCATENATE('3 pr-2'!F166)</f>
        <v>Lietuvos Respublikos vidaus reikalų ministerija</v>
      </c>
      <c r="G165" s="164" t="str">
        <f>CONCATENATE('3 pr-2'!G166)</f>
        <v>Druskininkų sav.</v>
      </c>
      <c r="H165" s="164" t="str">
        <f>CONCATENATE('3 pr-2'!H166)</f>
        <v>10.1.3-ESFA-R-920</v>
      </c>
      <c r="I165" s="164" t="str">
        <f>CONCATENATE('3 pr-2'!I166)</f>
        <v>R</v>
      </c>
      <c r="J165" s="164" t="str">
        <f>CONCATENATE('3 pr-2'!J166)</f>
        <v>-</v>
      </c>
      <c r="K165" s="1080">
        <f>IF(U165&gt;0,'3 pr-2'!L166,0)</f>
        <v>0</v>
      </c>
      <c r="L165" s="1080">
        <f>IF(U165&gt;0,'3 pr-2'!O166,0)</f>
        <v>0</v>
      </c>
      <c r="M165" s="1080">
        <f>IF(U165&gt;0,'3 pr-2'!R166,0)</f>
        <v>0</v>
      </c>
      <c r="N165" s="1080">
        <f>IF(U165&gt;0,'3 pr-2'!U166,0)</f>
        <v>0</v>
      </c>
      <c r="O165" s="1080">
        <f>IF(U165&gt;0,'3 pr-2'!X166,0)</f>
        <v>0</v>
      </c>
      <c r="P165" s="1080">
        <f>IF(U165&gt;0,'3 pr-2'!AA166,0)</f>
        <v>0</v>
      </c>
      <c r="Q165" s="1164">
        <f>IF($Z$9&gt;0,'3 pr-2'!AB166,0)</f>
        <v>0</v>
      </c>
      <c r="R165" s="566">
        <f>SUM('3 pr-2'!AK166)</f>
        <v>44103.5</v>
      </c>
      <c r="S165" s="1612">
        <f>IF(SUMIF(Projektu_sutarciu_ataskaita!$J:$J,$C165,Projektu_sutarciu_ataskaita!$BW:$BW)&gt;0,SUMIF(Projektu_sutarciu_ataskaita!$J:$J,$C165,Projektu_sutarciu_ataskaita!$BW:$BW),"–")</f>
        <v>44214</v>
      </c>
      <c r="T165" s="1132" t="str">
        <f t="shared" si="56"/>
        <v>–</v>
      </c>
      <c r="U165" s="247">
        <f>SUMIF(Projektu_sutarciu_ataskaita!$J:$J,$C165,Projektu_sutarciu_ataskaita!$BX:$BX)</f>
        <v>0</v>
      </c>
      <c r="V165" s="992" t="str">
        <f t="shared" si="70"/>
        <v>–</v>
      </c>
      <c r="W165" s="1251">
        <f>IF(U165&gt;0,'IV-3'!K164,0)</f>
        <v>0</v>
      </c>
      <c r="X165" s="1249">
        <f t="shared" si="55"/>
        <v>0</v>
      </c>
    </row>
    <row r="166" spans="1:24" ht="37.5" thickBot="1">
      <c r="A166" s="164" t="str">
        <f>CONCATENATE('3 pr-2'!A167)</f>
        <v>2.1.4.1.6</v>
      </c>
      <c r="B166" s="236" t="str">
        <f>CONCATENATE('3 pr-2'!B167)</f>
        <v>R01-9920-490000-2416</v>
      </c>
      <c r="C166" s="281" t="str">
        <f>CONCATENATE('ketv. 2'!B166)</f>
        <v/>
      </c>
      <c r="D166" s="164" t="str">
        <f>CONCATENATE('3 pr-2'!D167)</f>
        <v>Teikiamų paslaugų procesų tobulinimas ir asmenų aptarnavimo kokybės gerinimas Alytaus m. sav. administracijoje ir jai pavaldžiose įstaigose. II etapas</v>
      </c>
      <c r="E166" s="164" t="str">
        <f>CONCATENATE('3 pr-2'!E167)</f>
        <v>Alytaus miesto savivaldybės administracija</v>
      </c>
      <c r="F166" s="164" t="str">
        <f>CONCATENATE('3 pr-2'!F167)</f>
        <v>Lietuvos Respublikos vidaus reikalų ministerija</v>
      </c>
      <c r="G166" s="164" t="str">
        <f>CONCATENATE('3 pr-2'!G167)</f>
        <v>Alytaus m. sav.</v>
      </c>
      <c r="H166" s="164" t="str">
        <f>CONCATENATE('3 pr-2'!H167)</f>
        <v>10.1.3-ESFA-R-920</v>
      </c>
      <c r="I166" s="164" t="str">
        <f>CONCATENATE('3 pr-2'!I167)</f>
        <v>R</v>
      </c>
      <c r="J166" s="164" t="str">
        <f>CONCATENATE('3 pr-2'!J167)</f>
        <v>-</v>
      </c>
      <c r="K166" s="1163">
        <f>IF(U166&gt;0,'3 pr-2'!L167,0)</f>
        <v>0</v>
      </c>
      <c r="L166" s="1163">
        <f>IF(U166&gt;0,'3 pr-2'!O167,0)</f>
        <v>0</v>
      </c>
      <c r="M166" s="1163">
        <f>IF(U166&gt;0,'3 pr-2'!R167,0)</f>
        <v>0</v>
      </c>
      <c r="N166" s="1163">
        <f>IF(U166&gt;0,'3 pr-2'!U167,0)</f>
        <v>0</v>
      </c>
      <c r="O166" s="1163">
        <f>IF(U166&gt;0,'3 pr-2'!X167,0)</f>
        <v>0</v>
      </c>
      <c r="P166" s="1163">
        <f>IF(U166&gt;0,'3 pr-2'!AA167,0)</f>
        <v>0</v>
      </c>
      <c r="Q166" s="1384">
        <f>IF($Z$9&gt;0,'3 pr-2'!AB167,0)</f>
        <v>0</v>
      </c>
      <c r="R166" s="996">
        <f>SUM('3 pr-2'!AK167)</f>
        <v>44196</v>
      </c>
      <c r="S166" s="1612" t="str">
        <f>IF(SUMIF(Projektu_sutarciu_ataskaita!$J:$J,$C166,Projektu_sutarciu_ataskaita!$BW:$BW)&gt;0,SUMIF(Projektu_sutarciu_ataskaita!$J:$J,$C166,Projektu_sutarciu_ataskaita!$BW:$BW),"–")</f>
        <v>–</v>
      </c>
      <c r="T166" s="1132" t="str">
        <f t="shared" si="56"/>
        <v>–</v>
      </c>
      <c r="U166" s="247">
        <f>SUMIF(Projektu_sutarciu_ataskaita!$J:$J,$C166,Projektu_sutarciu_ataskaita!$BX:$BX)</f>
        <v>0</v>
      </c>
      <c r="V166" s="1375" t="str">
        <f t="shared" si="70"/>
        <v>–</v>
      </c>
      <c r="W166" s="1251">
        <f>IF(U166&gt;0,'IV-3'!K165,0)</f>
        <v>0</v>
      </c>
      <c r="X166" s="1249">
        <f t="shared" si="55"/>
        <v>0</v>
      </c>
    </row>
    <row r="167" spans="1:24" ht="42" customHeight="1" thickBot="1">
      <c r="A167" s="139" t="str">
        <f>CONCATENATE('3 pr-2'!A168)</f>
        <v>3.1.</v>
      </c>
      <c r="B167" s="2092" t="str">
        <f>CONCATENATE('3 pr-2'!B168)</f>
        <v>Tikslas: 
DARNIAI TVARKYTI IR VYSTYTI REGIONO TERITORIJĄ</v>
      </c>
      <c r="C167" s="2086"/>
      <c r="D167" s="2086"/>
      <c r="E167" s="2086"/>
      <c r="F167" s="2086"/>
      <c r="G167" s="2086"/>
      <c r="H167" s="2086"/>
      <c r="I167" s="2086"/>
      <c r="J167" s="2087"/>
      <c r="K167" s="1390">
        <f>SUM(K168+K171)</f>
        <v>222919.22999999998</v>
      </c>
      <c r="L167" s="1390">
        <f t="shared" ref="L167:P167" si="71">SUM(L168+L171)</f>
        <v>33437.909999999996</v>
      </c>
      <c r="M167" s="1390">
        <f t="shared" si="71"/>
        <v>0</v>
      </c>
      <c r="N167" s="1390">
        <f t="shared" si="71"/>
        <v>0</v>
      </c>
      <c r="O167" s="1390">
        <f t="shared" si="71"/>
        <v>0</v>
      </c>
      <c r="P167" s="1390">
        <f t="shared" si="71"/>
        <v>189481.32</v>
      </c>
      <c r="Q167" s="1390">
        <f t="shared" ref="Q167" si="72">SUM(Q168+Q171)</f>
        <v>0</v>
      </c>
      <c r="R167" s="1367" t="s">
        <v>679</v>
      </c>
      <c r="S167" s="1612" t="str">
        <f>IF(SUMIF(Projektu_sutarciu_ataskaita!$J:$J,$C167,Projektu_sutarciu_ataskaita!$BW:$BW)&gt;0,SUMIF(Projektu_sutarciu_ataskaita!$J:$J,$C167,Projektu_sutarciu_ataskaita!$BW:$BW),"–")</f>
        <v>–</v>
      </c>
      <c r="T167" s="1371" t="str">
        <f t="shared" si="56"/>
        <v>–</v>
      </c>
      <c r="U167" s="1382">
        <f>IF(ISTEXT(#REF!),"–",SUMIF(Projektu_sutarciu_ataskaita!$J:$J,$C167,Projektu_sutarciu_ataskaita!$BX:$BX))</f>
        <v>0</v>
      </c>
      <c r="V167" s="1391" t="str">
        <f t="shared" si="58"/>
        <v>–</v>
      </c>
      <c r="W167" s="1374"/>
      <c r="X167" s="1249">
        <f t="shared" si="55"/>
        <v>0</v>
      </c>
    </row>
    <row r="168" spans="1:24" ht="32.25" customHeight="1" thickBot="1">
      <c r="A168" s="138" t="str">
        <f>CONCATENATE('3 pr-2'!A169)</f>
        <v>3.1.1.</v>
      </c>
      <c r="B168" s="2085" t="str">
        <f>CONCATENATE('3 pr-2'!B169)</f>
        <v>Uždavinys:
Sumažinti sąvartynuose šalinamų komunalinių atliekų kiekį</v>
      </c>
      <c r="C168" s="2086"/>
      <c r="D168" s="2086"/>
      <c r="E168" s="2086"/>
      <c r="F168" s="2086"/>
      <c r="G168" s="2086"/>
      <c r="H168" s="2086"/>
      <c r="I168" s="2086"/>
      <c r="J168" s="2087"/>
      <c r="K168" s="1201">
        <f>SUM(K169)</f>
        <v>0</v>
      </c>
      <c r="L168" s="1201">
        <f t="shared" ref="L168:Q168" si="73">SUM(L169)</f>
        <v>0</v>
      </c>
      <c r="M168" s="1201">
        <f t="shared" si="73"/>
        <v>0</v>
      </c>
      <c r="N168" s="1201">
        <f t="shared" si="73"/>
        <v>0</v>
      </c>
      <c r="O168" s="1201">
        <f t="shared" si="73"/>
        <v>0</v>
      </c>
      <c r="P168" s="1201">
        <f t="shared" si="73"/>
        <v>0</v>
      </c>
      <c r="Q168" s="1201">
        <f t="shared" si="73"/>
        <v>0</v>
      </c>
      <c r="R168" s="1376" t="s">
        <v>679</v>
      </c>
      <c r="S168" s="1612" t="str">
        <f>IF(SUMIF(Projektu_sutarciu_ataskaita!$J:$J,$C168,Projektu_sutarciu_ataskaita!$BW:$BW)&gt;0,SUMIF(Projektu_sutarciu_ataskaita!$J:$J,$C168,Projektu_sutarciu_ataskaita!$BW:$BW),"–")</f>
        <v>–</v>
      </c>
      <c r="T168" s="1388" t="str">
        <f t="shared" si="56"/>
        <v>–</v>
      </c>
      <c r="U168" s="1389">
        <f>IF(ISTEXT(#REF!),"–",SUMIF(Projektu_sutarciu_ataskaita!$J:$J,$C168,Projektu_sutarciu_ataskaita!$BX:$BX))</f>
        <v>0</v>
      </c>
      <c r="V168" s="1372" t="str">
        <f t="shared" si="58"/>
        <v>–</v>
      </c>
      <c r="W168" s="1249"/>
      <c r="X168" s="1249">
        <f t="shared" si="55"/>
        <v>0</v>
      </c>
    </row>
    <row r="169" spans="1:24" ht="33.75" customHeight="1" thickBot="1">
      <c r="A169" s="296" t="str">
        <f>CONCATENATE('3 pr-2'!A170)</f>
        <v>3.1.1.1</v>
      </c>
      <c r="B169" s="2088" t="str">
        <f>CONCATENATE('3 pr-2'!B170)</f>
        <v>Priemonė:
Komunalinių atliekų tvarkymo infrastruktūros plėtra</v>
      </c>
      <c r="C169" s="2089"/>
      <c r="D169" s="2089"/>
      <c r="E169" s="2089"/>
      <c r="F169" s="2089"/>
      <c r="G169" s="2089"/>
      <c r="H169" s="2089"/>
      <c r="I169" s="2089"/>
      <c r="J169" s="2090"/>
      <c r="K169" s="1077">
        <f>SUM(K170)</f>
        <v>0</v>
      </c>
      <c r="L169" s="1077">
        <f t="shared" ref="L169:Q169" si="74">SUM(L170)</f>
        <v>0</v>
      </c>
      <c r="M169" s="1077">
        <f t="shared" si="74"/>
        <v>0</v>
      </c>
      <c r="N169" s="1077">
        <f t="shared" si="74"/>
        <v>0</v>
      </c>
      <c r="O169" s="1077">
        <f t="shared" si="74"/>
        <v>0</v>
      </c>
      <c r="P169" s="1077">
        <f t="shared" si="74"/>
        <v>0</v>
      </c>
      <c r="Q169" s="1077">
        <f t="shared" si="74"/>
        <v>0</v>
      </c>
      <c r="R169" s="356"/>
      <c r="S169" s="1612" t="str">
        <f>IF(SUMIF(Projektu_sutarciu_ataskaita!$J:$J,$C169,Projektu_sutarciu_ataskaita!$BW:$BW)&gt;0,SUMIF(Projektu_sutarciu_ataskaita!$J:$J,$C169,Projektu_sutarciu_ataskaita!$BW:$BW),"–")</f>
        <v>–</v>
      </c>
      <c r="T169" s="356" t="str">
        <f t="shared" si="56"/>
        <v>–</v>
      </c>
      <c r="U169" s="1338">
        <f>IF(ISTEXT(#REF!),"–",SUMIF(Projektu_sutarciu_ataskaita!$J:$J,$C169,Projektu_sutarciu_ataskaita!$BX:$BX))</f>
        <v>0</v>
      </c>
      <c r="V169" s="356" t="str">
        <f t="shared" si="58"/>
        <v>–</v>
      </c>
      <c r="W169" s="1249"/>
      <c r="X169" s="1249">
        <f t="shared" si="55"/>
        <v>0</v>
      </c>
    </row>
    <row r="170" spans="1:24" ht="37.5" thickBot="1">
      <c r="A170" s="164" t="str">
        <f>CONCATENATE('3 pr-2'!A171)</f>
        <v>3.1.1.1.1</v>
      </c>
      <c r="B170" s="236" t="str">
        <f>CONCATENATE('3 pr-2'!B171)</f>
        <v>R01-0008-050000-3111</v>
      </c>
      <c r="C170" s="281" t="str">
        <f>CONCATENATE('ketv. 2'!B170)</f>
        <v>05.2.1-APVA-R-008-11-0001</v>
      </c>
      <c r="D170" s="164" t="str">
        <f>CONCATENATE('3 pr-2'!D171)</f>
        <v>Komunalinių atliekų tvarkymo infrastruktūros plėtra Alytaus regione</v>
      </c>
      <c r="E170" s="164" t="str">
        <f>CONCATENATE('3 pr-2'!E171)</f>
        <v>Alytaus regiono atliekų tvarkymo centras</v>
      </c>
      <c r="F170" s="164" t="str">
        <f>CONCATENATE('3 pr-2'!F171)</f>
        <v>Lietuvos Respublikos aplinkos ministerija</v>
      </c>
      <c r="G170" s="164" t="str">
        <f>CONCATENATE('3 pr-2'!G171)</f>
        <v>Alytaus regionas</v>
      </c>
      <c r="H170" s="164" t="str">
        <f>CONCATENATE('3 pr-2'!H171)</f>
        <v>05.2.1-APVA-R-008</v>
      </c>
      <c r="I170" s="164" t="str">
        <f>CONCATENATE('3 pr-2'!I171)</f>
        <v>R</v>
      </c>
      <c r="J170" s="164" t="str">
        <f>CONCATENATE('3 pr-2'!J171)</f>
        <v>-</v>
      </c>
      <c r="K170" s="1163">
        <f>IF(U170&gt;0,'3 pr-2'!L171,0)</f>
        <v>0</v>
      </c>
      <c r="L170" s="1163">
        <f>IF(U170&gt;0,'3 pr-2'!O171,0)</f>
        <v>0</v>
      </c>
      <c r="M170" s="1163">
        <f>IF(U170&gt;0,'3 pr-2'!R171,0)</f>
        <v>0</v>
      </c>
      <c r="N170" s="1163">
        <f>IF(U170&gt;0,'3 pr-2'!U171,0)</f>
        <v>0</v>
      </c>
      <c r="O170" s="1163">
        <f>IF(U170&gt;0,'3 pr-2'!X171,0)</f>
        <v>0</v>
      </c>
      <c r="P170" s="1163">
        <f>IF(U170&gt;0,'3 pr-2'!AA171,0)</f>
        <v>0</v>
      </c>
      <c r="Q170" s="1384">
        <f>IF($Z$9&gt;0,'3 pr-2'!AB171,0)</f>
        <v>0</v>
      </c>
      <c r="R170" s="996">
        <f>SUM('3 pr-2'!AK171)</f>
        <v>43830</v>
      </c>
      <c r="S170" s="1612">
        <f>IF(SUMIF(Projektu_sutarciu_ataskaita!$J:$J,$C170,Projektu_sutarciu_ataskaita!$BW:$BW)&gt;0,SUMIF(Projektu_sutarciu_ataskaita!$J:$J,$C170,Projektu_sutarciu_ataskaita!$BW:$BW),"–")</f>
        <v>43595</v>
      </c>
      <c r="T170" s="1132" t="str">
        <f t="shared" si="56"/>
        <v>–</v>
      </c>
      <c r="U170" s="247">
        <f>SUMIF(Projektu_sutarciu_ataskaita!$J:$J,$C170,Projektu_sutarciu_ataskaita!$BX:$BX)</f>
        <v>0</v>
      </c>
      <c r="V170" s="1375" t="str">
        <f>IF(U170&gt;0,IF((R170-U170)/30&gt;0,"–",(R170-U170)/30),"–")</f>
        <v>–</v>
      </c>
      <c r="W170" s="1251">
        <f>IF(U170&gt;0,'IV-3'!K169,0)</f>
        <v>0</v>
      </c>
      <c r="X170" s="1249">
        <f t="shared" si="55"/>
        <v>0</v>
      </c>
    </row>
    <row r="171" spans="1:24" ht="39.75" customHeight="1" thickBot="1">
      <c r="A171" s="138" t="str">
        <f>CONCATENATE('3 pr-2'!A172)</f>
        <v>3.1.2.</v>
      </c>
      <c r="B171" s="2085" t="str">
        <f>CONCATENATE('3 pr-2'!B172)</f>
        <v>Uždavinys:
Kraštovaizdžio apsauga, planavimas ir tvarkymas</v>
      </c>
      <c r="C171" s="2086"/>
      <c r="D171" s="2086"/>
      <c r="E171" s="2086"/>
      <c r="F171" s="2086"/>
      <c r="G171" s="2086"/>
      <c r="H171" s="2086"/>
      <c r="I171" s="2086"/>
      <c r="J171" s="2087"/>
      <c r="K171" s="1158">
        <f>SUM(K172)</f>
        <v>222919.22999999998</v>
      </c>
      <c r="L171" s="1158">
        <f t="shared" ref="L171:Q171" si="75">SUM(L172)</f>
        <v>33437.909999999996</v>
      </c>
      <c r="M171" s="1158">
        <f t="shared" si="75"/>
        <v>0</v>
      </c>
      <c r="N171" s="1158">
        <f t="shared" si="75"/>
        <v>0</v>
      </c>
      <c r="O171" s="1158">
        <f t="shared" si="75"/>
        <v>0</v>
      </c>
      <c r="P171" s="1158">
        <f t="shared" si="75"/>
        <v>189481.32</v>
      </c>
      <c r="Q171" s="1158">
        <f t="shared" si="75"/>
        <v>0</v>
      </c>
      <c r="R171" s="365" t="s">
        <v>679</v>
      </c>
      <c r="S171" s="1612" t="str">
        <f>IF(SUMIF(Projektu_sutarciu_ataskaita!$J:$J,$C171,Projektu_sutarciu_ataskaita!$BW:$BW)&gt;0,SUMIF(Projektu_sutarciu_ataskaita!$J:$J,$C171,Projektu_sutarciu_ataskaita!$BW:$BW),"–")</f>
        <v>–</v>
      </c>
      <c r="T171" s="1385" t="str">
        <f t="shared" si="56"/>
        <v>–</v>
      </c>
      <c r="U171" s="1386">
        <f>IF(ISTEXT(#REF!),"–",SUMIF(Projektu_sutarciu_ataskaita!$J:$J,$C171,Projektu_sutarciu_ataskaita!$BX:$BX))</f>
        <v>0</v>
      </c>
      <c r="V171" s="1387" t="str">
        <f t="shared" si="58"/>
        <v>–</v>
      </c>
      <c r="W171" s="1374"/>
      <c r="X171" s="1249">
        <f t="shared" si="55"/>
        <v>0</v>
      </c>
    </row>
    <row r="172" spans="1:24" ht="33.75" customHeight="1" thickBot="1">
      <c r="A172" s="296" t="str">
        <f>CONCATENATE('3 pr-2'!A173)</f>
        <v>3.1.2.1</v>
      </c>
      <c r="B172" s="2088" t="str">
        <f>CONCATENATE('3 pr-2'!B173)</f>
        <v>Priemonė:
Kraštovaizdžio apsauga/plėtra</v>
      </c>
      <c r="C172" s="2089"/>
      <c r="D172" s="2089"/>
      <c r="E172" s="2089"/>
      <c r="F172" s="2089"/>
      <c r="G172" s="2089"/>
      <c r="H172" s="2089"/>
      <c r="I172" s="2089"/>
      <c r="J172" s="2090"/>
      <c r="K172" s="1077">
        <f>SUM(K173:K180)</f>
        <v>222919.22999999998</v>
      </c>
      <c r="L172" s="1077">
        <f t="shared" ref="L172:P172" si="76">SUM(L173:L180)</f>
        <v>33437.909999999996</v>
      </c>
      <c r="M172" s="1077">
        <f t="shared" si="76"/>
        <v>0</v>
      </c>
      <c r="N172" s="1077">
        <f t="shared" si="76"/>
        <v>0</v>
      </c>
      <c r="O172" s="1077">
        <f t="shared" si="76"/>
        <v>0</v>
      </c>
      <c r="P172" s="1077">
        <f t="shared" si="76"/>
        <v>189481.32</v>
      </c>
      <c r="Q172" s="1077">
        <f t="shared" ref="Q172" si="77">SUM(Q173:Q180)</f>
        <v>0</v>
      </c>
      <c r="R172" s="356"/>
      <c r="S172" s="1612" t="str">
        <f>IF(SUMIF(Projektu_sutarciu_ataskaita!$J:$J,$C172,Projektu_sutarciu_ataskaita!$BW:$BW)&gt;0,SUMIF(Projektu_sutarciu_ataskaita!$J:$J,$C172,Projektu_sutarciu_ataskaita!$BW:$BW),"–")</f>
        <v>–</v>
      </c>
      <c r="T172" s="356" t="str">
        <f t="shared" si="56"/>
        <v>–</v>
      </c>
      <c r="U172" s="1338">
        <f>IF(ISTEXT(#REF!),"–",SUMIF(Projektu_sutarciu_ataskaita!$J:$J,$C172,Projektu_sutarciu_ataskaita!$BX:$BX))</f>
        <v>0</v>
      </c>
      <c r="V172" s="356" t="str">
        <f t="shared" si="58"/>
        <v>–</v>
      </c>
      <c r="W172" s="1249"/>
      <c r="X172" s="1249">
        <f t="shared" si="55"/>
        <v>0</v>
      </c>
    </row>
    <row r="173" spans="1:24" ht="36.75">
      <c r="A173" s="164" t="str">
        <f>CONCATENATE('3 pr-2'!A174)</f>
        <v>3.1.2.1.1</v>
      </c>
      <c r="B173" s="236" t="str">
        <f>CONCATENATE('3 pr-2'!B174)</f>
        <v>R01-0019-380000-3211</v>
      </c>
      <c r="C173" s="281" t="str">
        <f>CONCATENATE('ketv. 2'!B173)</f>
        <v>05.5.1-APVA-R-019-11-0002</v>
      </c>
      <c r="D173" s="164" t="str">
        <f>CONCATENATE('3 pr-2'!D174)</f>
        <v>Kraštovaizdžio formavimas ir tvarkymas Varėnos r. savivaldybėje (I etapas)</v>
      </c>
      <c r="E173" s="164" t="str">
        <f>CONCATENATE('3 pr-2'!E174)</f>
        <v>Varėnos rajono savivaldybės administracija</v>
      </c>
      <c r="F173" s="164" t="str">
        <f>CONCATENATE('3 pr-2'!F174)</f>
        <v>Lietuvos Respublikos aplinkos ministerija</v>
      </c>
      <c r="G173" s="164" t="str">
        <f>CONCATENATE('3 pr-2'!G174)</f>
        <v>Varėnos r. sav.</v>
      </c>
      <c r="H173" s="164" t="str">
        <f>CONCATENATE('3 pr-2'!H174)</f>
        <v>05.5.1-APVA-R-019</v>
      </c>
      <c r="I173" s="164" t="str">
        <f>CONCATENATE('3 pr-2'!I174)</f>
        <v>R</v>
      </c>
      <c r="J173" s="164" t="str">
        <f>CONCATENATE('3 pr-2'!J174)</f>
        <v>-</v>
      </c>
      <c r="K173" s="1080">
        <f>IF(U173&gt;0,'3 pr-2'!L174,0)</f>
        <v>0</v>
      </c>
      <c r="L173" s="1080">
        <f>IF(U173&gt;0,'3 pr-2'!O174,0)</f>
        <v>0</v>
      </c>
      <c r="M173" s="1080">
        <f>IF(U173&gt;0,'3 pr-2'!R174,0)</f>
        <v>0</v>
      </c>
      <c r="N173" s="1080">
        <f>IF(U173&gt;0,'3 pr-2'!U174,0)</f>
        <v>0</v>
      </c>
      <c r="O173" s="1080">
        <f>IF(U173&gt;0,'3 pr-2'!X174,0)</f>
        <v>0</v>
      </c>
      <c r="P173" s="1080">
        <f>IF(U173&gt;0,'3 pr-2'!AA174,0)</f>
        <v>0</v>
      </c>
      <c r="Q173" s="1164">
        <f>IF($Z$9&gt;0,'3 pr-2'!AB174,0)</f>
        <v>0</v>
      </c>
      <c r="R173" s="566">
        <f>SUM('3 pr-2'!AK174)</f>
        <v>43465</v>
      </c>
      <c r="S173" s="1612">
        <f>IF(SUMIF(Projektu_sutarciu_ataskaita!$J:$J,$C173,Projektu_sutarciu_ataskaita!$BW:$BW)&gt;0,SUMIF(Projektu_sutarciu_ataskaita!$J:$J,$C173,Projektu_sutarciu_ataskaita!$BW:$BW),"–")</f>
        <v>43600</v>
      </c>
      <c r="T173" s="1132" t="str">
        <f t="shared" si="56"/>
        <v>–</v>
      </c>
      <c r="U173" s="247">
        <f>SUMIF(Projektu_sutarciu_ataskaita!$J:$J,$C173,Projektu_sutarciu_ataskaita!$BX:$BX)</f>
        <v>0</v>
      </c>
      <c r="V173" s="992" t="str">
        <f t="shared" ref="V173:V181" si="78">IF(U173&gt;0,IF((R173-U173)/30&gt;0,"–",(R173-U173)/30),"–")</f>
        <v>–</v>
      </c>
      <c r="W173" s="1251">
        <f>IF(U173&gt;0,'IV-3'!K172,0)</f>
        <v>0</v>
      </c>
      <c r="X173" s="1249">
        <f t="shared" si="55"/>
        <v>0</v>
      </c>
    </row>
    <row r="174" spans="1:24" ht="36.75">
      <c r="A174" s="164" t="str">
        <f>CONCATENATE('3 pr-2'!A175)</f>
        <v>3.1.2.1.2</v>
      </c>
      <c r="B174" s="236" t="str">
        <f>CONCATENATE('3 pr-2'!B175)</f>
        <v>R01-0019-380000-3212</v>
      </c>
      <c r="C174" s="281" t="str">
        <f>CONCATENATE('ketv. 2'!B174)</f>
        <v>05.5.1-APVA-R-019-11-0007</v>
      </c>
      <c r="D174" s="164" t="str">
        <f>CONCATENATE('3 pr-2'!D175)</f>
        <v>Kraštovaizdžio formavimas ir tvarkymas Varėnos r. savivaldybėje (II etapas)</v>
      </c>
      <c r="E174" s="164" t="str">
        <f>CONCATENATE('3 pr-2'!E175)</f>
        <v>Varėnos rajono savivaldybės administracija</v>
      </c>
      <c r="F174" s="164" t="str">
        <f>CONCATENATE('3 pr-2'!F175)</f>
        <v>Lietuvos Respublikos aplinkos ministerija</v>
      </c>
      <c r="G174" s="164" t="str">
        <f>CONCATENATE('3 pr-2'!G175)</f>
        <v>Varėnos r. sav.</v>
      </c>
      <c r="H174" s="164" t="str">
        <f>CONCATENATE('3 pr-2'!H175)</f>
        <v>05.5.1-APVA-R-019</v>
      </c>
      <c r="I174" s="164" t="str">
        <f>CONCATENATE('3 pr-2'!I175)</f>
        <v>R</v>
      </c>
      <c r="J174" s="164" t="str">
        <f>CONCATENATE('3 pr-2'!J175)</f>
        <v>-</v>
      </c>
      <c r="K174" s="1080">
        <f>IF(U174&gt;0,'3 pr-2'!L175,0)</f>
        <v>0</v>
      </c>
      <c r="L174" s="1080">
        <f>IF(U174&gt;0,'3 pr-2'!O175,0)</f>
        <v>0</v>
      </c>
      <c r="M174" s="1080">
        <f>IF(U174&gt;0,'3 pr-2'!R175,0)</f>
        <v>0</v>
      </c>
      <c r="N174" s="1080">
        <f>IF(U174&gt;0,'3 pr-2'!U175,0)</f>
        <v>0</v>
      </c>
      <c r="O174" s="1080">
        <f>IF(U174&gt;0,'3 pr-2'!X175,0)</f>
        <v>0</v>
      </c>
      <c r="P174" s="1080">
        <f>IF(U174&gt;0,'3 pr-2'!AA175,0)</f>
        <v>0</v>
      </c>
      <c r="Q174" s="1164">
        <f>IF($Z$9&gt;0,'3 pr-2'!AB175,0)</f>
        <v>0</v>
      </c>
      <c r="R174" s="566">
        <f>SUM('3 pr-2'!AK175)</f>
        <v>44651</v>
      </c>
      <c r="S174" s="1612" t="str">
        <f>IF(SUMIF(Projektu_sutarciu_ataskaita!$J:$J,$C174,Projektu_sutarciu_ataskaita!$BW:$BW)&gt;0,SUMIF(Projektu_sutarciu_ataskaita!$J:$J,$C174,Projektu_sutarciu_ataskaita!$BW:$BW),"–")</f>
        <v>–</v>
      </c>
      <c r="T174" s="1132" t="str">
        <f t="shared" si="56"/>
        <v>–</v>
      </c>
      <c r="U174" s="247">
        <f>SUMIF(Projektu_sutarciu_ataskaita!$J:$J,$C174,Projektu_sutarciu_ataskaita!$BX:$BX)</f>
        <v>0</v>
      </c>
      <c r="V174" s="992" t="str">
        <f t="shared" si="78"/>
        <v>–</v>
      </c>
      <c r="W174" s="1251">
        <f>IF(U174&gt;0,'IV-3'!K173,0)</f>
        <v>0</v>
      </c>
      <c r="X174" s="1249">
        <f t="shared" si="55"/>
        <v>0</v>
      </c>
    </row>
    <row r="175" spans="1:24" ht="36.75">
      <c r="A175" s="164" t="str">
        <f>CONCATENATE('3 pr-2'!A176)</f>
        <v>3.1.2.1.3</v>
      </c>
      <c r="B175" s="236" t="str">
        <f>CONCATENATE('3 pr-2'!B176)</f>
        <v>R01-0019-380000-3213</v>
      </c>
      <c r="C175" s="281" t="str">
        <f>CONCATENATE('ketv. 2'!B175)</f>
        <v>05.5.1-APVA-R-019-11-0001</v>
      </c>
      <c r="D175" s="164" t="str">
        <f>CONCATENATE('3 pr-2'!D176)</f>
        <v>Bešeimininkių apleistų pastatų ir įrenginių tvarkymas Alytaus rajono savivaldybėje</v>
      </c>
      <c r="E175" s="164" t="str">
        <f>CONCATENATE('3 pr-2'!E176)</f>
        <v>Alytaus rajono savivaldybės administracija</v>
      </c>
      <c r="F175" s="164" t="str">
        <f>CONCATENATE('3 pr-2'!F176)</f>
        <v>Lietuvos Respublikos aplinkos ministerija</v>
      </c>
      <c r="G175" s="164" t="str">
        <f>CONCATENATE('3 pr-2'!G176)</f>
        <v>Alytaus r. sav.</v>
      </c>
      <c r="H175" s="164" t="str">
        <f>CONCATENATE('3 pr-2'!H176)</f>
        <v>05.5.1-APVA-R-019</v>
      </c>
      <c r="I175" s="164" t="str">
        <f>CONCATENATE('3 pr-2'!I176)</f>
        <v>R</v>
      </c>
      <c r="J175" s="164" t="str">
        <f>CONCATENATE('3 pr-2'!J176)</f>
        <v/>
      </c>
      <c r="K175" s="1080">
        <f>IF(U175&gt;0,'3 pr-2'!L176,0)</f>
        <v>101765.7</v>
      </c>
      <c r="L175" s="1080">
        <f>IF(U175&gt;0,'3 pr-2'!O176,0)</f>
        <v>15264.9</v>
      </c>
      <c r="M175" s="1080">
        <f>IF(U175&gt;0,'3 pr-2'!R176,0)</f>
        <v>0</v>
      </c>
      <c r="N175" s="1080">
        <f>IF(U175&gt;0,'3 pr-2'!U176,0)</f>
        <v>0</v>
      </c>
      <c r="O175" s="1080">
        <f>IF(U175&gt;0,'3 pr-2'!X176,0)</f>
        <v>0</v>
      </c>
      <c r="P175" s="1080">
        <f>IF(U175&gt;0,'3 pr-2'!AA176,0)</f>
        <v>86500.800000000003</v>
      </c>
      <c r="Q175" s="1164">
        <f>IF($Z$9&gt;0,'3 pr-2'!AB176,0)</f>
        <v>0</v>
      </c>
      <c r="R175" s="566">
        <f>SUM('3 pr-2'!AK176)</f>
        <v>43465</v>
      </c>
      <c r="S175" s="1612">
        <f>IF(SUMIF(Projektu_sutarciu_ataskaita!$J:$J,$C175,Projektu_sutarciu_ataskaita!$BW:$BW)&gt;0,SUMIF(Projektu_sutarciu_ataskaita!$J:$J,$C175,Projektu_sutarciu_ataskaita!$BW:$BW),"–")</f>
        <v>43403</v>
      </c>
      <c r="T175" s="1132">
        <f t="shared" si="56"/>
        <v>43452</v>
      </c>
      <c r="U175" s="247">
        <f>SUMIF(Projektu_sutarciu_ataskaita!$J:$J,$C175,Projektu_sutarciu_ataskaita!$BX:$BX)</f>
        <v>43452</v>
      </c>
      <c r="V175" s="992" t="str">
        <f t="shared" si="78"/>
        <v>–</v>
      </c>
      <c r="W175" s="1251" t="str">
        <f>IF(U175&gt;0,'IV-3'!K174,0)</f>
        <v>38</v>
      </c>
      <c r="X175" s="1249">
        <f t="shared" si="55"/>
        <v>1</v>
      </c>
    </row>
    <row r="176" spans="1:24" ht="36.75">
      <c r="A176" s="164" t="str">
        <f>CONCATENATE('3 pr-2'!A177)</f>
        <v>3.1.2.1.4</v>
      </c>
      <c r="B176" s="236" t="str">
        <f>CONCATENATE('3 pr-2'!B177)</f>
        <v>R01-0019-380000-3214</v>
      </c>
      <c r="C176" s="281" t="str">
        <f>CONCATENATE('ketv. 2'!B176)</f>
        <v>05.5.1-APVA-R-019-11-0004</v>
      </c>
      <c r="D176" s="164" t="str">
        <f>CONCATENATE('3 pr-2'!D177)</f>
        <v>Alytaus miesto bendrojo plano korektūra zonuojant kraštovaizdžio struktūrą, nustatant reglamentus ir principus</v>
      </c>
      <c r="E176" s="164" t="str">
        <f>CONCATENATE('3 pr-2'!E177)</f>
        <v>Alytaus miesto savivaldybės administracija</v>
      </c>
      <c r="F176" s="164" t="str">
        <f>CONCATENATE('3 pr-2'!F177)</f>
        <v>Lietuvos Respublikos aplinkos ministerija</v>
      </c>
      <c r="G176" s="164" t="str">
        <f>CONCATENATE('3 pr-2'!G177)</f>
        <v>Alytaus m. sav.</v>
      </c>
      <c r="H176" s="164" t="str">
        <f>CONCATENATE('3 pr-2'!H177)</f>
        <v>05.5.1-APVA-R-019</v>
      </c>
      <c r="I176" s="164" t="str">
        <f>CONCATENATE('3 pr-2'!I177)</f>
        <v>R</v>
      </c>
      <c r="J176" s="164" t="str">
        <f>CONCATENATE('3 pr-2'!J177)</f>
        <v/>
      </c>
      <c r="K176" s="1080">
        <f>IF(U176&gt;0,'3 pr-2'!L177,0)</f>
        <v>0</v>
      </c>
      <c r="L176" s="1080">
        <f>IF(U176&gt;0,'3 pr-2'!O177,0)</f>
        <v>0</v>
      </c>
      <c r="M176" s="1080">
        <f>IF(U176&gt;0,'3 pr-2'!R177,0)</f>
        <v>0</v>
      </c>
      <c r="N176" s="1080">
        <f>IF(U176&gt;0,'3 pr-2'!U177,0)</f>
        <v>0</v>
      </c>
      <c r="O176" s="1080">
        <f>IF(U176&gt;0,'3 pr-2'!X177,0)</f>
        <v>0</v>
      </c>
      <c r="P176" s="1080">
        <f>IF(U176&gt;0,'3 pr-2'!AA177,0)</f>
        <v>0</v>
      </c>
      <c r="Q176" s="1164">
        <f>IF($Z$9&gt;0,'3 pr-2'!AB177,0)</f>
        <v>0</v>
      </c>
      <c r="R176" s="566">
        <f>SUM('3 pr-2'!AK177)</f>
        <v>43465</v>
      </c>
      <c r="S176" s="1612">
        <f>IF(SUMIF(Projektu_sutarciu_ataskaita!$J:$J,$C176,Projektu_sutarciu_ataskaita!$BW:$BW)&gt;0,SUMIF(Projektu_sutarciu_ataskaita!$J:$J,$C176,Projektu_sutarciu_ataskaita!$BW:$BW),"–")</f>
        <v>43646</v>
      </c>
      <c r="T176" s="1132" t="str">
        <f t="shared" si="56"/>
        <v>–</v>
      </c>
      <c r="U176" s="247">
        <f>SUMIF(Projektu_sutarciu_ataskaita!$J:$J,$C176,Projektu_sutarciu_ataskaita!$BX:$BX)</f>
        <v>0</v>
      </c>
      <c r="V176" s="992" t="str">
        <f t="shared" si="78"/>
        <v>–</v>
      </c>
      <c r="W176" s="1251">
        <f>IF(U176&gt;0,'IV-3'!K175,0)</f>
        <v>0</v>
      </c>
      <c r="X176" s="1249">
        <f t="shared" si="55"/>
        <v>0</v>
      </c>
    </row>
    <row r="177" spans="1:24" ht="36.75">
      <c r="A177" s="164" t="str">
        <f>CONCATENATE('3 pr-2'!A178)</f>
        <v>3.1.2.1.5</v>
      </c>
      <c r="B177" s="164" t="str">
        <f>CONCATENATE('3 pr-2'!B178)</f>
        <v>R01-0019-380000-3215</v>
      </c>
      <c r="C177" s="281" t="str">
        <f>CONCATENATE('ketv. 2'!B177)</f>
        <v>05.5.1-APVA-R-019-11-0005</v>
      </c>
      <c r="D177" s="164" t="str">
        <f>CONCATENATE('3 pr-2'!D178)</f>
        <v>Bešeimininkių apleistų pastatų Druskininkų savivaldybės teritorijoje likvidavimas</v>
      </c>
      <c r="E177" s="164" t="str">
        <f>CONCATENATE('3 pr-2'!E178)</f>
        <v>Druskininkų savivaldybės administracija</v>
      </c>
      <c r="F177" s="164" t="str">
        <f>CONCATENATE('3 pr-2'!F178)</f>
        <v>Lietuvos Respublikos aplinkos ministerija</v>
      </c>
      <c r="G177" s="164" t="str">
        <f>CONCATENATE('3 pr-2'!G178)</f>
        <v>Druskininkų sav.</v>
      </c>
      <c r="H177" s="164" t="str">
        <f>CONCATENATE('3 pr-2'!H178)</f>
        <v>05.5.1-APVA-R-019</v>
      </c>
      <c r="I177" s="164" t="str">
        <f>CONCATENATE('3 pr-2'!I178)</f>
        <v>R</v>
      </c>
      <c r="J177" s="164" t="str">
        <f>CONCATENATE('3 pr-2'!J178)</f>
        <v>-</v>
      </c>
      <c r="K177" s="1080">
        <f>IF(U177&gt;0,'3 pr-2'!L178,0)</f>
        <v>121153.53</v>
      </c>
      <c r="L177" s="1080">
        <f>IF(U177&gt;0,'3 pr-2'!O178,0)</f>
        <v>18173.009999999998</v>
      </c>
      <c r="M177" s="1080">
        <f>IF(U177&gt;0,'3 pr-2'!R178,0)</f>
        <v>0</v>
      </c>
      <c r="N177" s="1080">
        <f>IF(U177&gt;0,'3 pr-2'!U178,0)</f>
        <v>0</v>
      </c>
      <c r="O177" s="1080">
        <f>IF(U177&gt;0,'3 pr-2'!X178,0)</f>
        <v>0</v>
      </c>
      <c r="P177" s="1080">
        <f>IF(U177&gt;0,'3 pr-2'!AA178,0)</f>
        <v>102980.52</v>
      </c>
      <c r="Q177" s="1164">
        <f>IF($Z$9&gt;0,'3 pr-2'!AB178,0)</f>
        <v>0</v>
      </c>
      <c r="R177" s="566">
        <f>SUM('3 pr-2'!AK178)</f>
        <v>43465</v>
      </c>
      <c r="S177" s="1612">
        <f>IF(SUMIF(Projektu_sutarciu_ataskaita!$J:$J,$C177,Projektu_sutarciu_ataskaita!$BW:$BW)&gt;0,SUMIF(Projektu_sutarciu_ataskaita!$J:$J,$C177,Projektu_sutarciu_ataskaita!$BW:$BW),"–")</f>
        <v>43343</v>
      </c>
      <c r="T177" s="1132">
        <f t="shared" si="56"/>
        <v>43355</v>
      </c>
      <c r="U177" s="247">
        <f>SUMIF(Projektu_sutarciu_ataskaita!$J:$J,$C177,Projektu_sutarciu_ataskaita!$BX:$BX)</f>
        <v>43355</v>
      </c>
      <c r="V177" s="992" t="str">
        <f t="shared" si="78"/>
        <v>–</v>
      </c>
      <c r="W177" s="1251" t="str">
        <f>IF(U177&gt;0,'IV-3'!K176,0)</f>
        <v>38</v>
      </c>
      <c r="X177" s="1249">
        <f t="shared" si="55"/>
        <v>1</v>
      </c>
    </row>
    <row r="178" spans="1:24" ht="36.75">
      <c r="A178" s="164" t="str">
        <f>CONCATENATE('3 pr-2'!A179)</f>
        <v>3.1.2.1.6</v>
      </c>
      <c r="B178" s="236" t="str">
        <f>CONCATENATE('3 pr-2'!B179)</f>
        <v>R01-0019-380000-3216</v>
      </c>
      <c r="C178" s="281" t="str">
        <f>CONCATENATE('ketv. 2'!B178)</f>
        <v>05.5.1-APVA-R-019-11-0003</v>
      </c>
      <c r="D178" s="164" t="str">
        <f>CONCATENATE('3 pr-2'!D179)</f>
        <v>Kraštovaizdžio formavimas Lazdijų rajono savivaldybėje</v>
      </c>
      <c r="E178" s="164" t="str">
        <f>CONCATENATE('3 pr-2'!E179)</f>
        <v>Lazdijų rajono savivaldybės administracija</v>
      </c>
      <c r="F178" s="164" t="str">
        <f>CONCATENATE('3 pr-2'!F179)</f>
        <v>Lietuvos Respublikos aplinkos ministerija</v>
      </c>
      <c r="G178" s="164" t="str">
        <f>CONCATENATE('3 pr-2'!G179)</f>
        <v>Lazdijų r. sav.</v>
      </c>
      <c r="H178" s="164" t="str">
        <f>CONCATENATE('3 pr-2'!H179)</f>
        <v>05.5.1-APVA-R-019</v>
      </c>
      <c r="I178" s="164" t="str">
        <f>CONCATENATE('3 pr-2'!I179)</f>
        <v>R</v>
      </c>
      <c r="J178" s="164" t="str">
        <f>CONCATENATE('3 pr-2'!J179)</f>
        <v>-</v>
      </c>
      <c r="K178" s="1080">
        <f>IF(U178&gt;0,'3 pr-2'!L179,0)</f>
        <v>0</v>
      </c>
      <c r="L178" s="1080">
        <f>IF(U178&gt;0,'3 pr-2'!O179,0)</f>
        <v>0</v>
      </c>
      <c r="M178" s="1080">
        <f>IF(U178&gt;0,'3 pr-2'!R179,0)</f>
        <v>0</v>
      </c>
      <c r="N178" s="1080">
        <f>IF(U178&gt;0,'3 pr-2'!U179,0)</f>
        <v>0</v>
      </c>
      <c r="O178" s="1080">
        <f>IF(U178&gt;0,'3 pr-2'!X179,0)</f>
        <v>0</v>
      </c>
      <c r="P178" s="1080">
        <f>IF(U178&gt;0,'3 pr-2'!AA179,0)</f>
        <v>0</v>
      </c>
      <c r="Q178" s="1164">
        <f>IF($Z$9&gt;0,'3 pr-2'!AB179,0)</f>
        <v>0</v>
      </c>
      <c r="R178" s="566">
        <f>SUM('3 pr-2'!AK179)</f>
        <v>43465</v>
      </c>
      <c r="S178" s="1612">
        <f>IF(SUMIF(Projektu_sutarciu_ataskaita!$J:$J,$C178,Projektu_sutarciu_ataskaita!$BW:$BW)&gt;0,SUMIF(Projektu_sutarciu_ataskaita!$J:$J,$C178,Projektu_sutarciu_ataskaita!$BW:$BW),"–")</f>
        <v>43861</v>
      </c>
      <c r="T178" s="1132" t="str">
        <f t="shared" si="56"/>
        <v>–</v>
      </c>
      <c r="U178" s="247">
        <f>SUMIF(Projektu_sutarciu_ataskaita!$J:$J,$C178,Projektu_sutarciu_ataskaita!$BX:$BX)</f>
        <v>0</v>
      </c>
      <c r="V178" s="992" t="str">
        <f t="shared" si="78"/>
        <v>–</v>
      </c>
      <c r="W178" s="1251">
        <f>IF(U178&gt;0,'IV-3'!K177,0)</f>
        <v>0</v>
      </c>
      <c r="X178" s="1249">
        <f t="shared" si="55"/>
        <v>0</v>
      </c>
    </row>
    <row r="179" spans="1:24" ht="36.75">
      <c r="A179" s="164" t="str">
        <f>CONCATENATE('3 pr-2'!A180)</f>
        <v>3.1.2.1.7</v>
      </c>
      <c r="B179" s="236" t="str">
        <f>CONCATENATE('3 pr-2'!B180)</f>
        <v>R01-0019-283800-3217</v>
      </c>
      <c r="C179" s="281" t="str">
        <f>CONCATENATE('ketv. 2'!B179)</f>
        <v>05.5.1-APVA-R-019-11-0008</v>
      </c>
      <c r="D179" s="164" t="str">
        <f>CONCATENATE('3 pr-2'!D180)</f>
        <v>Kraštovaizdžio formavimas Lazdijų rajono savivaldybėje (II etapas)</v>
      </c>
      <c r="E179" s="164" t="str">
        <f>CONCATENATE('3 pr-2'!E180)</f>
        <v>Lazdijų rajono savivaldybės administracija</v>
      </c>
      <c r="F179" s="164" t="str">
        <f>CONCATENATE('3 pr-2'!F180)</f>
        <v>Lietuvos Respublikos aplinkos ministerija</v>
      </c>
      <c r="G179" s="164" t="str">
        <f>CONCATENATE('3 pr-2'!G180)</f>
        <v>Lazdijų r. sav.</v>
      </c>
      <c r="H179" s="164" t="str">
        <f>CONCATENATE('3 pr-2'!H180)</f>
        <v>05.5.1-APVA-R-019</v>
      </c>
      <c r="I179" s="164" t="str">
        <f>CONCATENATE('3 pr-2'!I180)</f>
        <v>R</v>
      </c>
      <c r="J179" s="164" t="str">
        <f>CONCATENATE('3 pr-2'!J180)</f>
        <v>-</v>
      </c>
      <c r="K179" s="1080">
        <f>IF(U179&gt;0,'3 pr-2'!L180,0)</f>
        <v>0</v>
      </c>
      <c r="L179" s="1080">
        <f>IF(U179&gt;0,'3 pr-2'!O180,0)</f>
        <v>0</v>
      </c>
      <c r="M179" s="1080">
        <f>IF(U179&gt;0,'3 pr-2'!R180,0)</f>
        <v>0</v>
      </c>
      <c r="N179" s="1080">
        <f>IF(U179&gt;0,'3 pr-2'!U180,0)</f>
        <v>0</v>
      </c>
      <c r="O179" s="1080">
        <f>IF(U179&gt;0,'3 pr-2'!X180,0)</f>
        <v>0</v>
      </c>
      <c r="P179" s="1080">
        <f>IF(U179&gt;0,'3 pr-2'!AA180,0)</f>
        <v>0</v>
      </c>
      <c r="Q179" s="1164">
        <f>IF($Z$9&gt;0,'3 pr-2'!AB180,0)</f>
        <v>0</v>
      </c>
      <c r="R179" s="566">
        <f>SUM('3 pr-2'!AK180)</f>
        <v>44469</v>
      </c>
      <c r="S179" s="1612" t="str">
        <f>IF(SUMIF(Projektu_sutarciu_ataskaita!$J:$J,$C179,Projektu_sutarciu_ataskaita!$BW:$BW)&gt;0,SUMIF(Projektu_sutarciu_ataskaita!$J:$J,$C179,Projektu_sutarciu_ataskaita!$BW:$BW),"–")</f>
        <v>–</v>
      </c>
      <c r="T179" s="1132" t="str">
        <f t="shared" si="56"/>
        <v>–</v>
      </c>
      <c r="U179" s="247">
        <f>SUMIF(Projektu_sutarciu_ataskaita!$J:$J,$C179,Projektu_sutarciu_ataskaita!$BX:$BX)</f>
        <v>0</v>
      </c>
      <c r="V179" s="992" t="str">
        <f t="shared" si="78"/>
        <v>–</v>
      </c>
      <c r="W179" s="1251">
        <f>IF(U179&gt;0,'IV-3'!K178,0)</f>
        <v>0</v>
      </c>
      <c r="X179" s="1249">
        <f t="shared" si="55"/>
        <v>0</v>
      </c>
    </row>
    <row r="180" spans="1:24" ht="36.75">
      <c r="A180" s="164" t="str">
        <f>CONCATENATE('3 pr-2'!A181)</f>
        <v>3.1.2.1.8</v>
      </c>
      <c r="B180" s="236" t="str">
        <f>CONCATENATE('3 pr-2'!B181)</f>
        <v>R01-0019-380000-3218</v>
      </c>
      <c r="C180" s="281" t="str">
        <f>CONCATENATE('ketv. 2'!B180)</f>
        <v>05.5.1-APVA-R-019-11-0006</v>
      </c>
      <c r="D180" s="164" t="str">
        <f>CONCATENATE('3 pr-2'!D181)</f>
        <v>Bešeimininkių apleistų pastatų ir įrenginių tvarkymas Alytaus rajono savivaldybėje (II etapas)</v>
      </c>
      <c r="E180" s="164" t="str">
        <f>CONCATENATE('3 pr-2'!E181)</f>
        <v>Alytaus rajono savivaldybės administracija</v>
      </c>
      <c r="F180" s="164" t="str">
        <f>CONCATENATE('3 pr-2'!F181)</f>
        <v>Lietuvos Respublikos aplinkos ministerija</v>
      </c>
      <c r="G180" s="164" t="str">
        <f>CONCATENATE('3 pr-2'!G181)</f>
        <v>Alytaus r. sav.</v>
      </c>
      <c r="H180" s="164" t="str">
        <f>CONCATENATE('3 pr-2'!H181)</f>
        <v>05.5.1-APVA-R-019</v>
      </c>
      <c r="I180" s="164" t="str">
        <f>CONCATENATE('3 pr-2'!I181)</f>
        <v>R</v>
      </c>
      <c r="J180" s="164" t="str">
        <f>CONCATENATE('3 pr-2'!J181)</f>
        <v>-</v>
      </c>
      <c r="K180" s="1080">
        <f>IF(U180&gt;0,'3 pr-2'!L181,0)</f>
        <v>0</v>
      </c>
      <c r="L180" s="1080">
        <f>IF(U180&gt;0,'3 pr-2'!O181,0)</f>
        <v>0</v>
      </c>
      <c r="M180" s="1080">
        <f>IF(U180&gt;0,'3 pr-2'!R181,0)</f>
        <v>0</v>
      </c>
      <c r="N180" s="1080">
        <f>IF(U180&gt;0,'3 pr-2'!U181,0)</f>
        <v>0</v>
      </c>
      <c r="O180" s="1080">
        <f>IF(U180&gt;0,'3 pr-2'!X181,0)</f>
        <v>0</v>
      </c>
      <c r="P180" s="1080">
        <f>IF(U180&gt;0,'3 pr-2'!AA181,0)</f>
        <v>0</v>
      </c>
      <c r="Q180" s="1164">
        <f>IF($Z$9&gt;0,'3 pr-2'!AB181,0)</f>
        <v>0</v>
      </c>
      <c r="R180" s="566">
        <f>SUM('3 pr-2'!AK181)</f>
        <v>43830</v>
      </c>
      <c r="S180" s="1612">
        <f>IF(SUMIF(Projektu_sutarciu_ataskaita!$J:$J,$C180,Projektu_sutarciu_ataskaita!$BW:$BW)&gt;0,SUMIF(Projektu_sutarciu_ataskaita!$J:$J,$C180,Projektu_sutarciu_ataskaita!$BW:$BW),"–")</f>
        <v>43758</v>
      </c>
      <c r="T180" s="1132" t="str">
        <f t="shared" si="56"/>
        <v>–</v>
      </c>
      <c r="U180" s="247">
        <f>SUMIF(Projektu_sutarciu_ataskaita!$J:$J,$C180,Projektu_sutarciu_ataskaita!$BX:$BX)</f>
        <v>0</v>
      </c>
      <c r="V180" s="992" t="str">
        <f t="shared" si="78"/>
        <v>–</v>
      </c>
      <c r="W180" s="1251">
        <f>IF(U180&gt;0,'IV-3'!K179,0)</f>
        <v>0</v>
      </c>
      <c r="X180" s="1249">
        <f t="shared" si="55"/>
        <v>0</v>
      </c>
    </row>
    <row r="181" spans="1:24" ht="36.75">
      <c r="A181" s="164" t="str">
        <f>CONCATENATE('3 pr-2'!A182)</f>
        <v>3.1.2.1.9</v>
      </c>
      <c r="B181" s="164" t="str">
        <f>CONCATENATE('3 pr-2'!B182)</f>
        <v>R01-0019-380000-3219</v>
      </c>
      <c r="C181" s="281" t="str">
        <f>CONCATENATE('ketv. 2'!B181)</f>
        <v/>
      </c>
      <c r="D181" s="164" t="str">
        <f>CONCATENATE('3 pr-2'!D182)</f>
        <v>Etaloninio kraštovaizdžio formavimas Druskininkų savivaldybės pasienyje</v>
      </c>
      <c r="E181" s="164" t="str">
        <f>CONCATENATE('3 pr-2'!E182)</f>
        <v>Druskininkų savivaldybės administracija</v>
      </c>
      <c r="F181" s="164" t="str">
        <f>CONCATENATE('3 pr-2'!F182)</f>
        <v>Lietuvos Respublikos aplinkos ministerija</v>
      </c>
      <c r="G181" s="164" t="str">
        <f>CONCATENATE('3 pr-2'!G182)</f>
        <v>Druskininkų sav.</v>
      </c>
      <c r="H181" s="164" t="str">
        <f>CONCATENATE('3 pr-2'!H182)</f>
        <v>05.5.1-APVA-R-019</v>
      </c>
      <c r="I181" s="164" t="str">
        <f>CONCATENATE('3 pr-2'!I182)</f>
        <v>R</v>
      </c>
      <c r="J181" s="164" t="str">
        <f>CONCATENATE('3 pr-2'!J182)</f>
        <v>-</v>
      </c>
      <c r="K181" s="1080">
        <f>IF(U181&gt;0,'3 pr-2'!L182,0)</f>
        <v>0</v>
      </c>
      <c r="L181" s="1080">
        <f>IF(U181&gt;0,'3 pr-2'!O182,0)</f>
        <v>0</v>
      </c>
      <c r="M181" s="1080">
        <f>IF(U181&gt;0,'3 pr-2'!R182,0)</f>
        <v>0</v>
      </c>
      <c r="N181" s="1080">
        <f>IF(U181&gt;0,'3 pr-2'!U182,0)</f>
        <v>0</v>
      </c>
      <c r="O181" s="1080">
        <f>IF(U181&gt;0,'3 pr-2'!X182,0)</f>
        <v>0</v>
      </c>
      <c r="P181" s="1080">
        <f>IF(U181&gt;0,'3 pr-2'!AA182,0)</f>
        <v>0</v>
      </c>
      <c r="Q181" s="1164">
        <f>IF($Z$9&gt;0,'3 pr-2'!AB182,0)</f>
        <v>0</v>
      </c>
      <c r="R181" s="566">
        <f>SUM('3 pr-2'!AK182)</f>
        <v>44196</v>
      </c>
      <c r="S181" s="1612" t="str">
        <f>IF(SUMIF(Projektu_sutarciu_ataskaita!$J:$J,$C181,Projektu_sutarciu_ataskaita!$BW:$BW)&gt;0,SUMIF(Projektu_sutarciu_ataskaita!$J:$J,$C181,Projektu_sutarciu_ataskaita!$BW:$BW),"–")</f>
        <v>–</v>
      </c>
      <c r="T181" s="1132" t="str">
        <f t="shared" si="56"/>
        <v>–</v>
      </c>
      <c r="U181" s="247">
        <f>SUMIF(Projektu_sutarciu_ataskaita!$J:$J,$C181,Projektu_sutarciu_ataskaita!$BX:$BX)</f>
        <v>0</v>
      </c>
      <c r="V181" s="992" t="str">
        <f t="shared" si="78"/>
        <v>–</v>
      </c>
      <c r="W181" s="1251">
        <f>IF(U181&gt;0,'IV-3'!K180,0)</f>
        <v>0</v>
      </c>
      <c r="X181" s="1249">
        <f t="shared" si="55"/>
        <v>0</v>
      </c>
    </row>
    <row r="183" spans="1:24">
      <c r="D183" s="1058" t="s">
        <v>1782</v>
      </c>
      <c r="K183" s="233"/>
    </row>
    <row r="184" spans="1:24">
      <c r="P184" s="233"/>
    </row>
  </sheetData>
  <autoFilter ref="A5:V181" xr:uid="{00000000-0009-0000-0000-000019000000}"/>
  <mergeCells count="62">
    <mergeCell ref="B160:J160"/>
    <mergeCell ref="B169:J169"/>
    <mergeCell ref="B159:J159"/>
    <mergeCell ref="B32:J32"/>
    <mergeCell ref="B38:J38"/>
    <mergeCell ref="B45:J45"/>
    <mergeCell ref="B49:J49"/>
    <mergeCell ref="B55:J55"/>
    <mergeCell ref="B57:J57"/>
    <mergeCell ref="B61:J61"/>
    <mergeCell ref="B66:J66"/>
    <mergeCell ref="B73:J73"/>
    <mergeCell ref="B78:J78"/>
    <mergeCell ref="B85:J85"/>
    <mergeCell ref="B140:J140"/>
    <mergeCell ref="B147:J147"/>
    <mergeCell ref="B8:J8"/>
    <mergeCell ref="B72:J72"/>
    <mergeCell ref="B100:J100"/>
    <mergeCell ref="B119:J119"/>
    <mergeCell ref="B146:J146"/>
    <mergeCell ref="B134:J134"/>
    <mergeCell ref="B168:J168"/>
    <mergeCell ref="B171:J171"/>
    <mergeCell ref="B172:J172"/>
    <mergeCell ref="K2:Q2"/>
    <mergeCell ref="E3:E4"/>
    <mergeCell ref="D3:D4"/>
    <mergeCell ref="B91:J91"/>
    <mergeCell ref="B101:J101"/>
    <mergeCell ref="B107:J107"/>
    <mergeCell ref="B113:J113"/>
    <mergeCell ref="B120:J120"/>
    <mergeCell ref="B6:J6"/>
    <mergeCell ref="B99:J99"/>
    <mergeCell ref="B167:J167"/>
    <mergeCell ref="B7:J7"/>
    <mergeCell ref="B153:J153"/>
    <mergeCell ref="A1:L1"/>
    <mergeCell ref="A2:J2"/>
    <mergeCell ref="A3:A4"/>
    <mergeCell ref="B3:B4"/>
    <mergeCell ref="R2:V2"/>
    <mergeCell ref="K3:K4"/>
    <mergeCell ref="L3:L4"/>
    <mergeCell ref="M3:M4"/>
    <mergeCell ref="N3:N4"/>
    <mergeCell ref="O3:O4"/>
    <mergeCell ref="P3:P4"/>
    <mergeCell ref="J3:J4"/>
    <mergeCell ref="I3:I4"/>
    <mergeCell ref="H3:H4"/>
    <mergeCell ref="G3:G4"/>
    <mergeCell ref="F3:F4"/>
    <mergeCell ref="W3:W4"/>
    <mergeCell ref="X3:X4"/>
    <mergeCell ref="Q3:Q4"/>
    <mergeCell ref="R3:R4"/>
    <mergeCell ref="U3:U4"/>
    <mergeCell ref="T3:T4"/>
    <mergeCell ref="S3:S4"/>
    <mergeCell ref="V3:V4"/>
  </mergeCells>
  <pageMargins left="0.23622047244094491" right="0.23622047244094491" top="0.74803149606299213" bottom="0.74803149606299213" header="0.31496062992125984" footer="0.31496062992125984"/>
  <pageSetup paperSize="8" scale="77" fitToHeight="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Lapas1">
    <pageSetUpPr fitToPage="1"/>
  </sheetPr>
  <dimension ref="A2:AR185"/>
  <sheetViews>
    <sheetView workbookViewId="0">
      <pane ySplit="2385" topLeftCell="A83" activePane="bottomLeft"/>
      <selection activeCell="M5" sqref="M1:N1048576"/>
      <selection pane="bottomLeft" activeCell="H86" sqref="H86"/>
    </sheetView>
  </sheetViews>
  <sheetFormatPr defaultColWidth="9.140625" defaultRowHeight="15"/>
  <cols>
    <col min="1" max="1" width="7.85546875" style="21" customWidth="1"/>
    <col min="2" max="2" width="12.7109375" style="21" customWidth="1"/>
    <col min="3" max="3" width="15" style="21" hidden="1" customWidth="1"/>
    <col min="4" max="4" width="36.140625" style="21" customWidth="1"/>
    <col min="5" max="5" width="15.140625" style="21" customWidth="1"/>
    <col min="6" max="6" width="16.7109375" style="21" customWidth="1"/>
    <col min="7" max="7" width="13.140625" style="21" customWidth="1"/>
    <col min="8" max="8" width="16.28515625" style="21" customWidth="1"/>
    <col min="9" max="9" width="4.5703125" style="21" bestFit="1" customWidth="1"/>
    <col min="10" max="10" width="5" style="21" bestFit="1" customWidth="1"/>
    <col min="11" max="11" width="14.28515625" style="21" bestFit="1" customWidth="1"/>
    <col min="12" max="12" width="14.5703125" style="21" customWidth="1"/>
    <col min="13" max="13" width="17.28515625" style="1534" hidden="1" customWidth="1"/>
    <col min="14" max="14" width="16.42578125" style="21" hidden="1" customWidth="1"/>
    <col min="15" max="15" width="13.140625" style="21" bestFit="1" customWidth="1"/>
    <col min="16" max="16" width="14.28515625" style="21" bestFit="1" customWidth="1"/>
    <col min="17" max="17" width="12.7109375" style="1534" hidden="1" customWidth="1"/>
    <col min="18" max="18" width="12.42578125" style="21" hidden="1" customWidth="1"/>
    <col min="19" max="19" width="13.140625" style="21" bestFit="1" customWidth="1"/>
    <col min="20" max="20" width="14.28515625" style="21" bestFit="1" customWidth="1"/>
    <col min="21" max="21" width="14.28515625" style="1534" hidden="1" customWidth="1"/>
    <col min="22" max="22" width="12.42578125" style="21" hidden="1" customWidth="1"/>
    <col min="23" max="24" width="13.140625" style="21" bestFit="1" customWidth="1"/>
    <col min="25" max="25" width="12.7109375" style="1534" hidden="1" customWidth="1"/>
    <col min="26" max="26" width="12.42578125" style="21" hidden="1" customWidth="1"/>
    <col min="27" max="27" width="11.28515625" style="21" bestFit="1" customWidth="1"/>
    <col min="28" max="28" width="12.7109375" style="21" bestFit="1" customWidth="1"/>
    <col min="29" max="29" width="9.140625" style="1534" hidden="1" customWidth="1"/>
    <col min="30" max="30" width="12.42578125" style="21" hidden="1" customWidth="1"/>
    <col min="31" max="31" width="16" style="21" customWidth="1"/>
    <col min="32" max="32" width="16.42578125" style="21" bestFit="1" customWidth="1"/>
    <col min="33" max="33" width="17.28515625" style="1534" hidden="1" customWidth="1"/>
    <col min="34" max="34" width="19.5703125" style="21" hidden="1" customWidth="1"/>
    <col min="35" max="35" width="8.85546875" style="21" customWidth="1"/>
    <col min="36" max="36" width="9.28515625" style="21" customWidth="1"/>
    <col min="37" max="37" width="11.42578125" style="21" hidden="1" customWidth="1"/>
    <col min="38" max="38" width="10.5703125" style="21" hidden="1" customWidth="1"/>
    <col min="39" max="39" width="11.5703125" style="21" hidden="1" customWidth="1"/>
    <col min="40" max="40" width="9.140625" style="21" hidden="1" customWidth="1"/>
    <col min="41" max="41" width="11.5703125" style="21" hidden="1" customWidth="1"/>
    <col min="42" max="42" width="9.140625" style="21" hidden="1" customWidth="1"/>
    <col min="43" max="43" width="0" style="21" hidden="1" customWidth="1"/>
    <col min="44" max="44" width="8" style="21" hidden="1" customWidth="1"/>
    <col min="45" max="16384" width="9.140625" style="21"/>
  </cols>
  <sheetData>
    <row r="2" spans="1:42" ht="16.5" thickBot="1">
      <c r="A2" s="437" t="s">
        <v>696</v>
      </c>
      <c r="B2" s="437"/>
      <c r="C2" s="1533"/>
      <c r="F2" s="1533"/>
    </row>
    <row r="3" spans="1:42" ht="15.75" thickBot="1">
      <c r="A3" s="2133" t="s">
        <v>46</v>
      </c>
      <c r="B3" s="2134"/>
      <c r="C3" s="2134"/>
      <c r="D3" s="2134"/>
      <c r="E3" s="2134"/>
      <c r="F3" s="2134"/>
      <c r="G3" s="2134"/>
      <c r="H3" s="2134"/>
      <c r="I3" s="2134"/>
      <c r="J3" s="2139"/>
      <c r="K3" s="2133" t="s">
        <v>47</v>
      </c>
      <c r="L3" s="2134"/>
      <c r="M3" s="2134"/>
      <c r="N3" s="2134"/>
      <c r="O3" s="2134"/>
      <c r="P3" s="2134"/>
      <c r="Q3" s="2134"/>
      <c r="R3" s="2134"/>
      <c r="S3" s="2134"/>
      <c r="T3" s="2134"/>
      <c r="U3" s="2134"/>
      <c r="V3" s="2134"/>
      <c r="W3" s="2134"/>
      <c r="X3" s="2134"/>
      <c r="Y3" s="2134"/>
      <c r="Z3" s="2134"/>
      <c r="AA3" s="2134"/>
      <c r="AB3" s="2134"/>
      <c r="AC3" s="2134"/>
      <c r="AD3" s="2134"/>
      <c r="AE3" s="2134"/>
      <c r="AF3" s="2134"/>
      <c r="AG3" s="2134"/>
      <c r="AH3" s="2135"/>
      <c r="AI3" s="2135"/>
      <c r="AJ3" s="2136"/>
    </row>
    <row r="4" spans="1:42" ht="57.75" customHeight="1" thickBot="1">
      <c r="A4" s="585" t="s">
        <v>7</v>
      </c>
      <c r="B4" s="1144" t="s">
        <v>1779</v>
      </c>
      <c r="C4" s="1144" t="s">
        <v>690</v>
      </c>
      <c r="D4" s="775" t="s">
        <v>49</v>
      </c>
      <c r="E4" s="775" t="s">
        <v>1772</v>
      </c>
      <c r="F4" s="775" t="s">
        <v>51</v>
      </c>
      <c r="G4" s="775" t="s">
        <v>52</v>
      </c>
      <c r="H4" s="775" t="s">
        <v>676</v>
      </c>
      <c r="I4" s="775" t="s">
        <v>1783</v>
      </c>
      <c r="J4" s="1535" t="s">
        <v>1784</v>
      </c>
      <c r="K4" s="2131" t="s">
        <v>57</v>
      </c>
      <c r="L4" s="2137"/>
      <c r="M4" s="2137"/>
      <c r="N4" s="2138"/>
      <c r="O4" s="2131" t="s">
        <v>58</v>
      </c>
      <c r="P4" s="2137"/>
      <c r="Q4" s="2137"/>
      <c r="R4" s="2138"/>
      <c r="S4" s="2131" t="s">
        <v>59</v>
      </c>
      <c r="T4" s="2137"/>
      <c r="U4" s="2137"/>
      <c r="V4" s="2138"/>
      <c r="W4" s="2131" t="s">
        <v>60</v>
      </c>
      <c r="X4" s="2137"/>
      <c r="Y4" s="2137"/>
      <c r="Z4" s="2138"/>
      <c r="AA4" s="2131" t="s">
        <v>61</v>
      </c>
      <c r="AB4" s="2137"/>
      <c r="AC4" s="2137"/>
      <c r="AD4" s="2138"/>
      <c r="AE4" s="2131" t="s">
        <v>10</v>
      </c>
      <c r="AF4" s="2137"/>
      <c r="AG4" s="2137"/>
      <c r="AH4" s="2136"/>
      <c r="AI4" s="2131" t="s">
        <v>1781</v>
      </c>
      <c r="AJ4" s="2132"/>
    </row>
    <row r="5" spans="1:42" ht="23.25" customHeight="1" thickBot="1">
      <c r="A5" s="1536"/>
      <c r="B5" s="1537"/>
      <c r="C5" s="1537"/>
      <c r="D5" s="1538"/>
      <c r="E5" s="1538"/>
      <c r="F5" s="1538"/>
      <c r="G5" s="1538"/>
      <c r="H5" s="1538"/>
      <c r="I5" s="1538"/>
      <c r="J5" s="1539"/>
      <c r="K5" s="1540" t="s">
        <v>697</v>
      </c>
      <c r="L5" s="1541" t="s">
        <v>698</v>
      </c>
      <c r="M5" s="1542" t="s">
        <v>372</v>
      </c>
      <c r="N5" s="1543" t="s">
        <v>785</v>
      </c>
      <c r="O5" s="1544" t="s">
        <v>697</v>
      </c>
      <c r="P5" s="1545" t="s">
        <v>698</v>
      </c>
      <c r="Q5" s="1542" t="s">
        <v>372</v>
      </c>
      <c r="R5" s="1543" t="s">
        <v>785</v>
      </c>
      <c r="S5" s="1544" t="s">
        <v>697</v>
      </c>
      <c r="T5" s="1545" t="s">
        <v>698</v>
      </c>
      <c r="U5" s="1542" t="s">
        <v>372</v>
      </c>
      <c r="V5" s="1543" t="s">
        <v>785</v>
      </c>
      <c r="W5" s="1544" t="s">
        <v>697</v>
      </c>
      <c r="X5" s="1545" t="s">
        <v>698</v>
      </c>
      <c r="Y5" s="1542" t="s">
        <v>372</v>
      </c>
      <c r="Z5" s="1543" t="s">
        <v>785</v>
      </c>
      <c r="AA5" s="1544" t="s">
        <v>697</v>
      </c>
      <c r="AB5" s="1545" t="s">
        <v>698</v>
      </c>
      <c r="AC5" s="1542" t="s">
        <v>372</v>
      </c>
      <c r="AD5" s="1543" t="s">
        <v>785</v>
      </c>
      <c r="AE5" s="1544" t="s">
        <v>697</v>
      </c>
      <c r="AF5" s="1545" t="s">
        <v>698</v>
      </c>
      <c r="AG5" s="1546" t="s">
        <v>786</v>
      </c>
      <c r="AH5" s="1543" t="s">
        <v>785</v>
      </c>
      <c r="AI5" s="1544" t="s">
        <v>697</v>
      </c>
      <c r="AJ5" s="1545" t="s">
        <v>698</v>
      </c>
    </row>
    <row r="6" spans="1:42" ht="71.25" customHeight="1" thickBot="1">
      <c r="A6" s="382" t="str">
        <f>CONCATENATE('3 pr-2'!A7)</f>
        <v>1.1.</v>
      </c>
      <c r="B6" s="2140" t="str">
        <f>CONCATENATE('3 pr-2'!B7)</f>
        <v>Tikslas: 
DIDINTI ŪKINĖS VEIKLOS ĮVAIROVĘ IR PAGERINTI SĄLYGAS INVESTICIJŲ PRITRAUKIMUI, MAŽINANT GEOGRAFINIŲ SĄLYGŲ IR DEMOGRAFINIŲ PROCESŲ SUKELIAMUS GYVENIMO KOKYBĖS NETOLYGUMUS</v>
      </c>
      <c r="C6" s="1878"/>
      <c r="D6" s="1878"/>
      <c r="E6" s="1878"/>
      <c r="F6" s="1878"/>
      <c r="G6" s="1878"/>
      <c r="H6" s="1878"/>
      <c r="I6" s="1878"/>
      <c r="J6" s="1879"/>
      <c r="K6" s="1547">
        <f>SUM('3 pr-2'!L7)</f>
        <v>48179758.077058807</v>
      </c>
      <c r="L6" s="1548">
        <f>SUM(L7+L72)</f>
        <v>42509378.499999993</v>
      </c>
      <c r="M6" s="1549">
        <f>SUM(M7+M72)</f>
        <v>5370058.6670588236</v>
      </c>
      <c r="N6" s="1550">
        <f>SUM(N7+N72)</f>
        <v>1125123.3094117644</v>
      </c>
      <c r="O6" s="1547">
        <f>SUM('3 pr-2'!O7)</f>
        <v>5588818.8870588243</v>
      </c>
      <c r="P6" s="1547">
        <f>SUM(P7+P72)</f>
        <v>4685979.88</v>
      </c>
      <c r="Q6" s="1547">
        <f>SUM(Q7+Q72)</f>
        <v>1050641.3170588235</v>
      </c>
      <c r="R6" s="1547">
        <f>SUM(R7+R72)</f>
        <v>415880.35941176472</v>
      </c>
      <c r="S6" s="1547">
        <f ca="1">SUM('3 pr-2'!R7)</f>
        <v>721975.68</v>
      </c>
      <c r="T6" s="1547">
        <f>SUM(T7+T72)</f>
        <v>624638.27</v>
      </c>
      <c r="U6" s="1547" t="e">
        <f ca="1">SUM(U7+U72)</f>
        <v>#REF!</v>
      </c>
      <c r="V6" s="1547" t="e">
        <f>SUM(V7+V72)</f>
        <v>#REF!</v>
      </c>
      <c r="W6" s="1547">
        <f>SUM('3 pr-2'!U7)</f>
        <v>8555217.6500000004</v>
      </c>
      <c r="X6" s="1547">
        <f>SUM(X7+X72)</f>
        <v>8090289.2200000007</v>
      </c>
      <c r="Y6" s="1547">
        <f>SUM(Y7+Y72)</f>
        <v>464928.42999999993</v>
      </c>
      <c r="Z6" s="1547">
        <f>SUM(Z7+Z72)</f>
        <v>378804.92999999993</v>
      </c>
      <c r="AA6" s="1547">
        <f>SUM('3 pr-2'!X7)</f>
        <v>415060.82</v>
      </c>
      <c r="AB6" s="1547">
        <f>SUM(AB7+AB72)</f>
        <v>415060.82</v>
      </c>
      <c r="AC6" s="1547">
        <f>SUM(AC7+AC72)</f>
        <v>0</v>
      </c>
      <c r="AD6" s="1547">
        <f>SUM(AD7+AD72)</f>
        <v>0</v>
      </c>
      <c r="AE6" s="1547">
        <f>SUM('3 pr-2'!AA7)</f>
        <v>32898685.040000003</v>
      </c>
      <c r="AF6" s="1547">
        <f>SUM(AF7+AF72)</f>
        <v>28580421.310000002</v>
      </c>
      <c r="AG6" s="1551">
        <f>SUM(AG7+AG72)</f>
        <v>3334485.67</v>
      </c>
      <c r="AH6" s="1552">
        <f>SUM(AH7+AH72)</f>
        <v>347694.7699999999</v>
      </c>
      <c r="AI6" s="1547">
        <f>SUM('3 pr-2'!AE7)</f>
        <v>0</v>
      </c>
      <c r="AJ6" s="1547">
        <f>SUM(AJ7+AJ72)</f>
        <v>0</v>
      </c>
    </row>
    <row r="7" spans="1:42" ht="57.75" customHeight="1" thickBot="1">
      <c r="A7" s="238" t="str">
        <f>CONCATENATE('3 pr-2'!A8)</f>
        <v>1.1.1.</v>
      </c>
      <c r="B7" s="1948" t="str">
        <f>CONCATENATE('3 pr-2'!B8)</f>
        <v>Uždavinys: 
Sudaryti sąlygas darbo vietų kūrimui, kuriant ir atnaujinant viešąją ir ekoinžinerinę  infrastruktūrą,  gamtos, kultūros paveldo objektus ir kultūros įstaigas</v>
      </c>
      <c r="C7" s="1878"/>
      <c r="D7" s="1878"/>
      <c r="E7" s="1878"/>
      <c r="F7" s="1878"/>
      <c r="G7" s="1878"/>
      <c r="H7" s="1878"/>
      <c r="I7" s="1878"/>
      <c r="J7" s="1879"/>
      <c r="K7" s="1553">
        <f>SUM('3 pr-2'!L8)</f>
        <v>39462000.947058812</v>
      </c>
      <c r="L7" s="1553">
        <f>SUM(L8+L32+L38+L45+L49+L55+L57+L61+L66)</f>
        <v>36863169.639999993</v>
      </c>
      <c r="M7" s="1551">
        <f>SUM(M8+M32+M38+M45+M49+M55+M57+M61+M66)</f>
        <v>2113190.9070588234</v>
      </c>
      <c r="N7" s="1552">
        <f>SUM(N8+N32+N38+N45+N49+N55+N57+N61+N66)</f>
        <v>686687.78941176436</v>
      </c>
      <c r="O7" s="1553">
        <f>SUM('3 pr-2'!O8)</f>
        <v>3767704.8270588238</v>
      </c>
      <c r="P7" s="1553">
        <f>SUM(P8+P32+P38+P45+P49+P55+P57+P61+P66)</f>
        <v>3374259.8899999997</v>
      </c>
      <c r="Q7" s="1553">
        <f>SUM(Q8+Q32+Q38+Q45+Q49+Q55+Q57+Q61+Q66)</f>
        <v>355927.75705882354</v>
      </c>
      <c r="R7" s="1553">
        <f>SUM(R8+R32+R38+R45+R49+R55+R57+R61+R66)</f>
        <v>206766.73941176472</v>
      </c>
      <c r="S7" s="1553">
        <f ca="1">SUM('3 pr-2'!R8)</f>
        <v>721975.68</v>
      </c>
      <c r="T7" s="1553">
        <f>SUM(T8+T32+T38+T45+T49+T55+T57+T61+T66)</f>
        <v>624638.27</v>
      </c>
      <c r="U7" s="1553" t="e">
        <f ca="1">SUM(U8+U32+U38+U45+U49+U55+U57+U61+U66)</f>
        <v>#REF!</v>
      </c>
      <c r="V7" s="1553" t="e">
        <f>SUM(V8+V32+V38+V45+V49+V55+V57+V61+V66)</f>
        <v>#REF!</v>
      </c>
      <c r="W7" s="1553">
        <f>SUM('3 pr-2'!U8)</f>
        <v>8046402.1500000004</v>
      </c>
      <c r="X7" s="1553">
        <f>SUM(X8+X32+X38+X45+X49+X55+X57+X61+X66)</f>
        <v>7813592.2200000007</v>
      </c>
      <c r="Y7" s="1553">
        <f>SUM(Y8+Y32+Y38+Y45+Y49+Y55+Y57+Y61+Y66)</f>
        <v>232809.92999999993</v>
      </c>
      <c r="Z7" s="1553">
        <f>SUM(Z8+Z32+Z38+Z45+Z49+Z55+Z57+Z61+Z66)</f>
        <v>232809.92999999993</v>
      </c>
      <c r="AA7" s="1553">
        <f>SUM('3 pr-2'!X8)</f>
        <v>352400.82</v>
      </c>
      <c r="AB7" s="1553">
        <f>SUM(AB8+AB32+AB38+AB45+AB49+AB55+AB57+AB61+AB66)</f>
        <v>352400.82</v>
      </c>
      <c r="AC7" s="1553">
        <f>SUM(AC8+AC32+AC38+AC45+AC49+AC55+AC57+AC61+AC66)</f>
        <v>0</v>
      </c>
      <c r="AD7" s="1553">
        <f>SUM(AD8+AD32+AD38+AD45+AD49+AD55+AD57+AD61+AD66)</f>
        <v>0</v>
      </c>
      <c r="AE7" s="1553">
        <f>SUM('3 pr-2'!AA8)</f>
        <v>26573517.470000003</v>
      </c>
      <c r="AF7" s="1553">
        <f>SUM(AF8+AF32+AF38+AF45+AF49+AF55+AF57+AF61+AF66)</f>
        <v>24698278.440000001</v>
      </c>
      <c r="AG7" s="1551">
        <f>SUM(AG8+AG32+AG38+AG45+AG49+AG55+AG57+AG61+AG66)</f>
        <v>1463449.9699999997</v>
      </c>
      <c r="AH7" s="1552">
        <f>SUM(AH8+AH32+AH38+AH45+AH49+AH55+AH57+AH61+AH66)</f>
        <v>264367.86999999988</v>
      </c>
      <c r="AI7" s="1553">
        <f>SUM('3 pr-2'!AE8)</f>
        <v>0</v>
      </c>
      <c r="AJ7" s="1553">
        <f>SUM(AJ8+AJ32+AJ38+AJ45+AJ49+AJ55+AJ57+AJ61+AJ66)</f>
        <v>0</v>
      </c>
      <c r="AL7" s="1540" t="s">
        <v>3462</v>
      </c>
      <c r="AM7" s="1540" t="s">
        <v>3463</v>
      </c>
      <c r="AN7" s="1540" t="s">
        <v>3465</v>
      </c>
      <c r="AO7" s="1540" t="s">
        <v>3464</v>
      </c>
      <c r="AP7" s="1540" t="s">
        <v>3466</v>
      </c>
    </row>
    <row r="8" spans="1:42" s="1556" customFormat="1" ht="36" customHeight="1" thickBot="1">
      <c r="A8" s="296" t="str">
        <f>CONCATENATE('3 pr-2'!A9)</f>
        <v>1.1.1.1</v>
      </c>
      <c r="B8" s="1936" t="str">
        <f>CONCATENATE('3 pr-2'!B9)</f>
        <v>Priemonė:
Kaimo gyvenamųjų vietovių (turinčių iki 1 tūkst. gyventojų) atnaujinimas</v>
      </c>
      <c r="C8" s="1924"/>
      <c r="D8" s="1924"/>
      <c r="E8" s="1924"/>
      <c r="F8" s="1924"/>
      <c r="G8" s="1924"/>
      <c r="H8" s="1924"/>
      <c r="I8" s="1924"/>
      <c r="J8" s="1925"/>
      <c r="K8" s="1168">
        <f>SUM('3 pr-2'!L9)</f>
        <v>4458652.3499999996</v>
      </c>
      <c r="L8" s="1168">
        <f>SUM(L9:L31)</f>
        <v>4298604.3499999996</v>
      </c>
      <c r="M8" s="1169">
        <f>SUM(M9:M31)</f>
        <v>160048</v>
      </c>
      <c r="N8" s="1170">
        <f>SUM(N9:N31)</f>
        <v>0</v>
      </c>
      <c r="O8" s="1168">
        <f>SUM('3 pr-2'!O9)</f>
        <v>1195247.3499999999</v>
      </c>
      <c r="P8" s="1168">
        <f>SUM(P9:P31)</f>
        <v>1157795.5499999998</v>
      </c>
      <c r="Q8" s="1168">
        <f>SUM(Q9:Q31)</f>
        <v>37451.800000000003</v>
      </c>
      <c r="R8" s="1168">
        <f>SUM(R9:R31)</f>
        <v>0</v>
      </c>
      <c r="S8" s="1168">
        <f ca="1">SUM('3 pr-2'!R9)</f>
        <v>0</v>
      </c>
      <c r="T8" s="1168">
        <f>SUM(T9:T31)</f>
        <v>0</v>
      </c>
      <c r="U8" s="1168" t="e">
        <f ca="1">SUM(U9:U31)</f>
        <v>#REF!</v>
      </c>
      <c r="V8" s="1168" t="e">
        <f>SUM(V9:V31)</f>
        <v>#REF!</v>
      </c>
      <c r="W8" s="1168">
        <f>SUM('3 pr-2'!AA9)</f>
        <v>3263405</v>
      </c>
      <c r="X8" s="1168">
        <f>SUM(X9:X31)</f>
        <v>0</v>
      </c>
      <c r="Y8" s="1168">
        <f>SUM(Y9:Y31)</f>
        <v>0</v>
      </c>
      <c r="Z8" s="1168">
        <f>SUM(Z9:Z31)</f>
        <v>0</v>
      </c>
      <c r="AA8" s="1168">
        <f>SUM('3 pr-2'!X9)</f>
        <v>0</v>
      </c>
      <c r="AB8" s="1168">
        <f>SUM(AB9:AB31)</f>
        <v>0</v>
      </c>
      <c r="AC8" s="1168">
        <f>SUM(AC9:AC31)</f>
        <v>0</v>
      </c>
      <c r="AD8" s="1168">
        <f>SUM(AD9:AD31)</f>
        <v>0</v>
      </c>
      <c r="AE8" s="1168">
        <f>SUM('3 pr-2'!AA9)</f>
        <v>3263405</v>
      </c>
      <c r="AF8" s="1168">
        <f>SUM(AF9:AF31)</f>
        <v>3140808.8</v>
      </c>
      <c r="AG8" s="1554">
        <f>SUM(AG9:AG31)</f>
        <v>122596.20000000001</v>
      </c>
      <c r="AH8" s="1555">
        <f>SUM(AH9:AH31)</f>
        <v>0</v>
      </c>
      <c r="AI8" s="1168">
        <f>SUM('3 pr-2'!AB9)</f>
        <v>0</v>
      </c>
      <c r="AJ8" s="1168">
        <f>SUM(AJ9:AJ31)</f>
        <v>0</v>
      </c>
      <c r="AL8" s="1557"/>
      <c r="AM8" s="1557">
        <v>100</v>
      </c>
      <c r="AN8" s="1557">
        <v>15</v>
      </c>
      <c r="AO8" s="1557">
        <v>85</v>
      </c>
      <c r="AP8" s="1557"/>
    </row>
    <row r="9" spans="1:42" ht="36.75">
      <c r="A9" s="375" t="str">
        <f>CONCATENATE('3 pr-2'!A10)</f>
        <v>1.1.1.1.1</v>
      </c>
      <c r="B9" s="375" t="str">
        <f>CONCATENATE('3 pr-2'!B10)</f>
        <v>R01-ZM72-120000-1101</v>
      </c>
      <c r="C9" s="1558" t="str">
        <f>IF('ketv. 4 '!Z10&gt;0,'ketv. 4 '!C10,"-")</f>
        <v>20KI-KA-17-1-02616-PR001</v>
      </c>
      <c r="D9" s="375" t="str">
        <f>CONCATENATE('3 pr-2'!D10)</f>
        <v xml:space="preserve">Druskininkų savivaldybės Viečiūnų seniūnijos Ilgio ir Raigardo seniūnaitijų kelių būklės gerinimas  </v>
      </c>
      <c r="E9" s="375" t="str">
        <f>CONCATENATE('3 pr-2'!E10)</f>
        <v xml:space="preserve">Druskininkų savivaldybės administracija  </v>
      </c>
      <c r="F9" s="375" t="str">
        <f>CONCATENATE('3 pr-2'!F10)</f>
        <v>Lietuvos Respublikos žemės ūkio ministerija</v>
      </c>
      <c r="G9" s="375" t="str">
        <f>CONCATENATE('3 pr-2'!G10)</f>
        <v>Druskininkų sav.</v>
      </c>
      <c r="H9" s="375" t="str">
        <f>CONCATENATE('3 pr-2'!H10)</f>
        <v xml:space="preserve">Pagrindinės paslaugos ir kaimų atnaujinimas kaimo vietovėse </v>
      </c>
      <c r="I9" s="375" t="str">
        <f>CONCATENATE('3 pr-2'!I10)</f>
        <v>R</v>
      </c>
      <c r="J9" s="375" t="str">
        <f>CONCATENATE('3 pr-2'!J10)</f>
        <v>-</v>
      </c>
      <c r="K9" s="1173">
        <f>SUM('3 pr-2'!L10)</f>
        <v>250766</v>
      </c>
      <c r="L9" s="1162">
        <f t="shared" ref="L9:L31" si="0">SUM(P9+T9+X9+AB9+AF9+AJ9)</f>
        <v>250766</v>
      </c>
      <c r="M9" s="1174">
        <f t="shared" ref="M9:M71" si="1">SUM(K9-L9)</f>
        <v>0</v>
      </c>
      <c r="N9" s="1175">
        <f t="shared" ref="N9:N31" si="2">IF(L9&gt;0,K9-L9,0)</f>
        <v>0</v>
      </c>
      <c r="O9" s="1173">
        <f>SUM('3 pr-2'!O10)</f>
        <v>91651</v>
      </c>
      <c r="P9" s="1162">
        <f>SUMIF(KPP!C7:C700,C9,KPP!P7:P700)</f>
        <v>91651</v>
      </c>
      <c r="Q9" s="1174">
        <f t="shared" ref="Q9:Q71" si="3">SUM(O9-P9)</f>
        <v>0</v>
      </c>
      <c r="R9" s="1175">
        <f t="shared" ref="R9:R31" si="4">IF(P9&gt;0,O9-P9,0)</f>
        <v>0</v>
      </c>
      <c r="S9" s="1173">
        <f ca="1">SUM('3 pr-2'!R10)</f>
        <v>0</v>
      </c>
      <c r="T9" s="1162">
        <f>SUMIF(KPP!C7,C9,KPP!R7:R700)</f>
        <v>0</v>
      </c>
      <c r="U9" s="1174">
        <f t="shared" ref="U9:U31" ca="1" si="5">SUM(S9-T9)</f>
        <v>0</v>
      </c>
      <c r="V9" s="1175">
        <f t="shared" ref="V9:V31" si="6">IF(T9&gt;0,S9-T9,0)</f>
        <v>0</v>
      </c>
      <c r="W9" s="1173">
        <f>SUM('3 pr-2'!U10)</f>
        <v>0</v>
      </c>
      <c r="X9" s="1173">
        <v>0</v>
      </c>
      <c r="Y9" s="1174">
        <f t="shared" ref="Y9" si="7">SUM(W9-X9)</f>
        <v>0</v>
      </c>
      <c r="Z9" s="1175">
        <f t="shared" ref="Z9:Z31" si="8">IF(X9&gt;0,W9-X9,0)</f>
        <v>0</v>
      </c>
      <c r="AA9" s="1173">
        <f>SUM('3 pr-2'!X10)</f>
        <v>0</v>
      </c>
      <c r="AB9" s="1173">
        <v>0</v>
      </c>
      <c r="AC9" s="1174">
        <f t="shared" ref="AC9:AC31" si="9">SUM(AA9-AB9)</f>
        <v>0</v>
      </c>
      <c r="AD9" s="1175">
        <f t="shared" ref="AD9:AD31" si="10">IF(AB9&gt;0,AA9-AB9,0)</f>
        <v>0</v>
      </c>
      <c r="AE9" s="1173">
        <f>SUM('3 pr-2'!AA10)</f>
        <v>159115</v>
      </c>
      <c r="AF9" s="1162">
        <f>SUMIF(KPP!C7:C700,C9,KPP!N7:N700)</f>
        <v>159115</v>
      </c>
      <c r="AG9" s="1559">
        <f t="shared" ref="AG9:AG31" si="11">SUM(AE9-AF9)</f>
        <v>0</v>
      </c>
      <c r="AH9" s="1177">
        <f t="shared" ref="AH9:AH31" si="12">IF(AF9&gt;0,AE9-AF9,0)</f>
        <v>0</v>
      </c>
      <c r="AI9" s="1173">
        <f>SUM('3 pr-2'!AB10)</f>
        <v>0</v>
      </c>
      <c r="AJ9" s="1162">
        <v>0</v>
      </c>
      <c r="AL9" s="1531">
        <f t="shared" ref="AL9:AL19" ca="1" si="13">SUM(S9+AE9)</f>
        <v>159115</v>
      </c>
      <c r="AM9" s="19">
        <v>159115</v>
      </c>
      <c r="AN9" s="19">
        <f t="shared" ref="AN9:AN23" si="14">SUM(AM9*$AN$8/$AM$8)</f>
        <v>23867.25</v>
      </c>
      <c r="AO9" s="19">
        <f t="shared" ref="AO9:AO23" si="15">SUM(AM9*$AO$8/$AM$8)</f>
        <v>135247.75</v>
      </c>
      <c r="AP9" s="19">
        <f t="shared" ref="AP9:AP23" si="16">SUM(K9*AF9/AE9)</f>
        <v>250766</v>
      </c>
    </row>
    <row r="10" spans="1:42" ht="36.75">
      <c r="A10" s="375" t="str">
        <f>CONCATENATE('3 pr-2'!A11)</f>
        <v>1.1.1.1.2</v>
      </c>
      <c r="B10" s="375" t="str">
        <f>CONCATENATE('3 pr-2'!B11)</f>
        <v>R01-ZM72-120000-1102</v>
      </c>
      <c r="C10" s="1558" t="str">
        <f>IF('ketv. 4 '!Z11&gt;0,'ketv. 4 '!C11,"-")</f>
        <v>20KI-KA-17-1-02617-PR001</v>
      </c>
      <c r="D10" s="375" t="str">
        <f>CONCATENATE('3 pr-2'!D11)</f>
        <v>Druskininkų savivaldybės Viečiūnų seniūnijos Ratnyčėlės seniūnaitijos kelių būklės gerinimas</v>
      </c>
      <c r="E10" s="375" t="str">
        <f>CONCATENATE('3 pr-2'!E11)</f>
        <v xml:space="preserve">Druskininkų savivaldybės administracija  </v>
      </c>
      <c r="F10" s="375" t="str">
        <f>CONCATENATE('3 pr-2'!F11)</f>
        <v>Lietuvos Respublikos žemės ūkio ministerija</v>
      </c>
      <c r="G10" s="375" t="str">
        <f>CONCATENATE('3 pr-2'!G11)</f>
        <v>Druskininkų sav.</v>
      </c>
      <c r="H10" s="375" t="str">
        <f>CONCATENATE('3 pr-2'!H11)</f>
        <v xml:space="preserve">Pagrindinės paslaugos ir kaimų atnaujinimas kaimo vietovėse </v>
      </c>
      <c r="I10" s="375" t="str">
        <f>CONCATENATE('3 pr-2'!I11)</f>
        <v>R</v>
      </c>
      <c r="J10" s="375" t="str">
        <f>CONCATENATE('3 pr-2'!J11)</f>
        <v>-</v>
      </c>
      <c r="K10" s="1173">
        <f>SUM('3 pr-2'!L11)</f>
        <v>188039</v>
      </c>
      <c r="L10" s="1162">
        <f t="shared" si="0"/>
        <v>188039</v>
      </c>
      <c r="M10" s="1174">
        <f t="shared" si="1"/>
        <v>0</v>
      </c>
      <c r="N10" s="1175">
        <f t="shared" si="2"/>
        <v>0</v>
      </c>
      <c r="O10" s="1173">
        <f>SUM('3 pr-2'!O11)</f>
        <v>66968</v>
      </c>
      <c r="P10" s="1162">
        <f>SUMIF(KPP!C8:C701,C10,KPP!P8:P701)</f>
        <v>66968</v>
      </c>
      <c r="Q10" s="1174">
        <f t="shared" si="3"/>
        <v>0</v>
      </c>
      <c r="R10" s="1175">
        <f t="shared" si="4"/>
        <v>0</v>
      </c>
      <c r="S10" s="1173">
        <f ca="1">SUM('3 pr-2'!R11)</f>
        <v>0</v>
      </c>
      <c r="T10" s="1162">
        <f>SUMIF(KPP!C8,C10,KPP!R8:R701)</f>
        <v>0</v>
      </c>
      <c r="U10" s="1174">
        <f t="shared" ca="1" si="5"/>
        <v>0</v>
      </c>
      <c r="V10" s="1175">
        <f t="shared" si="6"/>
        <v>0</v>
      </c>
      <c r="W10" s="1173">
        <f>SUM('3 pr-2'!U11)</f>
        <v>0</v>
      </c>
      <c r="X10" s="1173">
        <v>0</v>
      </c>
      <c r="Y10" s="1174">
        <f t="shared" ref="Y10:Y31" si="17">SUM(W10-X10)</f>
        <v>0</v>
      </c>
      <c r="Z10" s="1175">
        <f t="shared" si="8"/>
        <v>0</v>
      </c>
      <c r="AA10" s="1173">
        <f>SUM('3 pr-2'!X11)</f>
        <v>0</v>
      </c>
      <c r="AB10" s="1173">
        <v>0</v>
      </c>
      <c r="AC10" s="1174">
        <f t="shared" si="9"/>
        <v>0</v>
      </c>
      <c r="AD10" s="1175">
        <f t="shared" si="10"/>
        <v>0</v>
      </c>
      <c r="AE10" s="1173">
        <f>SUM('3 pr-2'!AA11)</f>
        <v>121071</v>
      </c>
      <c r="AF10" s="1162">
        <f>SUMIF(KPP!C8:C701,C10,KPP!N8:N701)</f>
        <v>121071</v>
      </c>
      <c r="AG10" s="1559">
        <f t="shared" si="11"/>
        <v>0</v>
      </c>
      <c r="AH10" s="1177">
        <f t="shared" si="12"/>
        <v>0</v>
      </c>
      <c r="AI10" s="1173">
        <f>SUM('3 pr-2'!AB11)</f>
        <v>0</v>
      </c>
      <c r="AJ10" s="1162">
        <v>0</v>
      </c>
      <c r="AL10" s="1531">
        <f t="shared" ca="1" si="13"/>
        <v>121071</v>
      </c>
      <c r="AM10" s="19">
        <v>121071</v>
      </c>
      <c r="AN10" s="19">
        <f t="shared" si="14"/>
        <v>18160.650000000001</v>
      </c>
      <c r="AO10" s="19">
        <f t="shared" si="15"/>
        <v>102910.35</v>
      </c>
      <c r="AP10" s="19">
        <f t="shared" si="16"/>
        <v>188039</v>
      </c>
    </row>
    <row r="11" spans="1:42" ht="36.75">
      <c r="A11" s="375" t="str">
        <f>CONCATENATE('3 pr-2'!A12)</f>
        <v>1.1.1.1.3</v>
      </c>
      <c r="B11" s="375" t="str">
        <f>CONCATENATE('3 pr-2'!B12)</f>
        <v>R01-ZM72-120000-1103</v>
      </c>
      <c r="C11" s="1558" t="str">
        <f>IF('ketv. 4 '!Z12&gt;0,'ketv. 4 '!C12,"-")</f>
        <v>20KI-KA-17-1-02622-PR001</v>
      </c>
      <c r="D11" s="375" t="str">
        <f>CONCATENATE('3 pr-2'!D12)</f>
        <v>Druskininkų savivaldybės Leipalingio seniūnijos Klonio seniūnaitijos kelių būklės gerinimas</v>
      </c>
      <c r="E11" s="375" t="str">
        <f>CONCATENATE('3 pr-2'!E12)</f>
        <v xml:space="preserve">Druskininkų savivaldybės administracija  </v>
      </c>
      <c r="F11" s="375" t="str">
        <f>CONCATENATE('3 pr-2'!F12)</f>
        <v>Lietuvos Respublikos žemės ūkio ministerija</v>
      </c>
      <c r="G11" s="375" t="str">
        <f>CONCATENATE('3 pr-2'!G12)</f>
        <v>Druskininkų sav.</v>
      </c>
      <c r="H11" s="375" t="str">
        <f>CONCATENATE('3 pr-2'!H12)</f>
        <v xml:space="preserve">Pagrindinės paslaugos ir kaimų atnaujinimas kaimo vietovėse </v>
      </c>
      <c r="I11" s="375" t="str">
        <f>CONCATENATE('3 pr-2'!I12)</f>
        <v>R</v>
      </c>
      <c r="J11" s="375" t="str">
        <f>CONCATENATE('3 pr-2'!J12)</f>
        <v>-</v>
      </c>
      <c r="K11" s="1173">
        <f>SUM('3 pr-2'!L12)</f>
        <v>222319</v>
      </c>
      <c r="L11" s="1162">
        <f t="shared" si="0"/>
        <v>222319</v>
      </c>
      <c r="M11" s="1174">
        <f t="shared" si="1"/>
        <v>0</v>
      </c>
      <c r="N11" s="1175">
        <f t="shared" si="2"/>
        <v>0</v>
      </c>
      <c r="O11" s="1173">
        <f>SUM('3 pr-2'!O12)</f>
        <v>67873</v>
      </c>
      <c r="P11" s="1162">
        <f>SUMIF(KPP!C9:C702,C11,KPP!P9:P702)</f>
        <v>67873</v>
      </c>
      <c r="Q11" s="1174">
        <f t="shared" si="3"/>
        <v>0</v>
      </c>
      <c r="R11" s="1175">
        <f t="shared" si="4"/>
        <v>0</v>
      </c>
      <c r="S11" s="1173">
        <f ca="1">SUM('3 pr-2'!R12)</f>
        <v>0</v>
      </c>
      <c r="T11" s="1162">
        <f>SUMIF(KPP!C9,C11,KPP!R9:R702)</f>
        <v>0</v>
      </c>
      <c r="U11" s="1174">
        <f t="shared" ca="1" si="5"/>
        <v>0</v>
      </c>
      <c r="V11" s="1175">
        <f t="shared" si="6"/>
        <v>0</v>
      </c>
      <c r="W11" s="1173">
        <f>SUM('3 pr-2'!U12)</f>
        <v>0</v>
      </c>
      <c r="X11" s="1173">
        <v>0</v>
      </c>
      <c r="Y11" s="1174">
        <f t="shared" si="17"/>
        <v>0</v>
      </c>
      <c r="Z11" s="1175">
        <f t="shared" si="8"/>
        <v>0</v>
      </c>
      <c r="AA11" s="1173">
        <f>SUM('3 pr-2'!X12)</f>
        <v>0</v>
      </c>
      <c r="AB11" s="1173">
        <v>0</v>
      </c>
      <c r="AC11" s="1174">
        <f t="shared" si="9"/>
        <v>0</v>
      </c>
      <c r="AD11" s="1175">
        <f t="shared" si="10"/>
        <v>0</v>
      </c>
      <c r="AE11" s="1173">
        <f>SUM('3 pr-2'!AA12)</f>
        <v>154446</v>
      </c>
      <c r="AF11" s="1162">
        <f>SUMIF(KPP!C9:C702,C11,KPP!N9:N702)</f>
        <v>154446</v>
      </c>
      <c r="AG11" s="1559">
        <f t="shared" si="11"/>
        <v>0</v>
      </c>
      <c r="AH11" s="1177">
        <f t="shared" si="12"/>
        <v>0</v>
      </c>
      <c r="AI11" s="1173">
        <f>SUM('3 pr-2'!AB12)</f>
        <v>0</v>
      </c>
      <c r="AJ11" s="1162">
        <v>0</v>
      </c>
      <c r="AL11" s="1531">
        <f t="shared" ca="1" si="13"/>
        <v>154446</v>
      </c>
      <c r="AM11" s="19">
        <v>154446</v>
      </c>
      <c r="AN11" s="19">
        <f t="shared" si="14"/>
        <v>23166.9</v>
      </c>
      <c r="AO11" s="19">
        <f t="shared" si="15"/>
        <v>131279.1</v>
      </c>
      <c r="AP11" s="19">
        <f t="shared" si="16"/>
        <v>222319</v>
      </c>
    </row>
    <row r="12" spans="1:42" ht="36.75">
      <c r="A12" s="375" t="str">
        <f>CONCATENATE('3 pr-2'!A13)</f>
        <v>1.1.1.1.4</v>
      </c>
      <c r="B12" s="375" t="str">
        <f>CONCATENATE('3 pr-2'!B13)</f>
        <v>R01-ZM72-330200-1104</v>
      </c>
      <c r="C12" s="1558" t="str">
        <f>IF('ketv. 4 '!Z13&gt;0,'ketv. 4 '!C13,"-")</f>
        <v>20KI-KA-17-1-02368-PR001</v>
      </c>
      <c r="D12" s="375" t="str">
        <f>CONCATENATE('3 pr-2'!D13)</f>
        <v>Rudaminos laisvalaikio salės pritaikymas bendruomenės poreikiams ir liaudies amatų plėtrai</v>
      </c>
      <c r="E12" s="375" t="str">
        <f>CONCATENATE('3 pr-2'!E13)</f>
        <v>Viešoji įstaiga Lazdijų kultūros centras</v>
      </c>
      <c r="F12" s="375" t="str">
        <f>CONCATENATE('3 pr-2'!F13)</f>
        <v>Lietuvos Respublikos žemės ūkio ministerija</v>
      </c>
      <c r="G12" s="375" t="str">
        <f>CONCATENATE('3 pr-2'!G13)</f>
        <v>Lazdijų r. sav.</v>
      </c>
      <c r="H12" s="375" t="str">
        <f>CONCATENATE('3 pr-2'!H13)</f>
        <v xml:space="preserve">Pagrindinės paslaugos ir kaimų atnaujinimas kaimo vietovėse </v>
      </c>
      <c r="I12" s="375" t="str">
        <f>CONCATENATE('3 pr-2'!I13)</f>
        <v>R</v>
      </c>
      <c r="J12" s="375" t="str">
        <f>CONCATENATE('3 pr-2'!J13)</f>
        <v>-</v>
      </c>
      <c r="K12" s="1173">
        <f>SUM('3 pr-2'!L13)</f>
        <v>123160</v>
      </c>
      <c r="L12" s="1162">
        <f t="shared" si="0"/>
        <v>123160</v>
      </c>
      <c r="M12" s="1174">
        <f t="shared" si="1"/>
        <v>0</v>
      </c>
      <c r="N12" s="1175">
        <f t="shared" si="2"/>
        <v>0</v>
      </c>
      <c r="O12" s="1173">
        <f>SUM('3 pr-2'!O13)</f>
        <v>24632</v>
      </c>
      <c r="P12" s="1162">
        <f>SUMIF(KPP!C10:C703,C12,KPP!P10:P703)</f>
        <v>24632</v>
      </c>
      <c r="Q12" s="1174">
        <f t="shared" si="3"/>
        <v>0</v>
      </c>
      <c r="R12" s="1175">
        <f t="shared" si="4"/>
        <v>0</v>
      </c>
      <c r="S12" s="1173">
        <f ca="1">SUM('3 pr-2'!R13)</f>
        <v>0</v>
      </c>
      <c r="T12" s="1162">
        <f>SUMIF(KPP!C10,C12,KPP!R10:R703)</f>
        <v>0</v>
      </c>
      <c r="U12" s="1174">
        <f t="shared" ca="1" si="5"/>
        <v>0</v>
      </c>
      <c r="V12" s="1175">
        <f t="shared" si="6"/>
        <v>0</v>
      </c>
      <c r="W12" s="1173">
        <f>SUM('3 pr-2'!U13)</f>
        <v>0</v>
      </c>
      <c r="X12" s="1173">
        <v>0</v>
      </c>
      <c r="Y12" s="1174">
        <f t="shared" si="17"/>
        <v>0</v>
      </c>
      <c r="Z12" s="1175">
        <f t="shared" si="8"/>
        <v>0</v>
      </c>
      <c r="AA12" s="1173">
        <f>SUM('3 pr-2'!X13)</f>
        <v>0</v>
      </c>
      <c r="AB12" s="1173">
        <v>0</v>
      </c>
      <c r="AC12" s="1174">
        <f t="shared" si="9"/>
        <v>0</v>
      </c>
      <c r="AD12" s="1175">
        <f t="shared" si="10"/>
        <v>0</v>
      </c>
      <c r="AE12" s="1173">
        <f>SUM('3 pr-2'!AA13)</f>
        <v>98528</v>
      </c>
      <c r="AF12" s="1162">
        <f>SUMIF(KPP!C10:C703,C12,KPP!N10:N703)</f>
        <v>98528</v>
      </c>
      <c r="AG12" s="1559">
        <f t="shared" si="11"/>
        <v>0</v>
      </c>
      <c r="AH12" s="1177">
        <f t="shared" si="12"/>
        <v>0</v>
      </c>
      <c r="AI12" s="1173">
        <f>SUM('3 pr-2'!AB13)</f>
        <v>0</v>
      </c>
      <c r="AJ12" s="1162">
        <v>0</v>
      </c>
      <c r="AL12" s="1531">
        <f t="shared" ca="1" si="13"/>
        <v>98528</v>
      </c>
      <c r="AM12" s="863">
        <v>98528</v>
      </c>
      <c r="AN12" s="19">
        <f t="shared" si="14"/>
        <v>14779.2</v>
      </c>
      <c r="AO12" s="19">
        <f t="shared" si="15"/>
        <v>83748.800000000003</v>
      </c>
      <c r="AP12" s="19">
        <f t="shared" si="16"/>
        <v>123160</v>
      </c>
    </row>
    <row r="13" spans="1:42" ht="36.75">
      <c r="A13" s="375" t="str">
        <f>CONCATENATE('3 pr-2'!A14)</f>
        <v>1.1.1.1.5</v>
      </c>
      <c r="B13" s="375" t="str">
        <f>CONCATENATE('3 pr-2'!B14)</f>
        <v>R01-ZM72-120000-1105</v>
      </c>
      <c r="C13" s="1558" t="str">
        <f>IF('ketv. 4 '!Z14&gt;0,'ketv. 4 '!C14,"-")</f>
        <v>20KI-KA-17-1-02619-PR001</v>
      </c>
      <c r="D13" s="375" t="str">
        <f>CONCATENATE('3 pr-2'!D14)</f>
        <v>Druskininkų savivaldybės Leipalingio seniūnijos Bilso seniūnaitijos kelių būklės gerinimas</v>
      </c>
      <c r="E13" s="375" t="str">
        <f>CONCATENATE('3 pr-2'!E14)</f>
        <v xml:space="preserve">Druskininkų savivaldybės administracija  </v>
      </c>
      <c r="F13" s="375" t="str">
        <f>CONCATENATE('3 pr-2'!F14)</f>
        <v>Lietuvos Respublikos žemės ūkio ministerija</v>
      </c>
      <c r="G13" s="375" t="str">
        <f>CONCATENATE('3 pr-2'!G14)</f>
        <v>Druskininkų sav.</v>
      </c>
      <c r="H13" s="375" t="str">
        <f>CONCATENATE('3 pr-2'!H14)</f>
        <v xml:space="preserve">Pagrindinės paslaugos ir kaimų atnaujinimas kaimo vietovėse </v>
      </c>
      <c r="I13" s="375" t="str">
        <f>CONCATENATE('3 pr-2'!I14)</f>
        <v>R</v>
      </c>
      <c r="J13" s="375" t="str">
        <f>CONCATENATE('3 pr-2'!J14)</f>
        <v>-</v>
      </c>
      <c r="K13" s="1173">
        <f>SUM('3 pr-2'!L14)</f>
        <v>265076</v>
      </c>
      <c r="L13" s="1162">
        <f t="shared" si="0"/>
        <v>265076</v>
      </c>
      <c r="M13" s="1174">
        <f t="shared" si="1"/>
        <v>0</v>
      </c>
      <c r="N13" s="1175">
        <f t="shared" si="2"/>
        <v>0</v>
      </c>
      <c r="O13" s="1173">
        <f>SUM('3 pr-2'!O14)</f>
        <v>137032</v>
      </c>
      <c r="P13" s="1162">
        <f>SUMIF(KPP!C11:C704,C13,KPP!P11:P704)</f>
        <v>137032</v>
      </c>
      <c r="Q13" s="1174">
        <f t="shared" si="3"/>
        <v>0</v>
      </c>
      <c r="R13" s="1175">
        <f t="shared" si="4"/>
        <v>0</v>
      </c>
      <c r="S13" s="1173">
        <f ca="1">SUM('3 pr-2'!R14)</f>
        <v>0</v>
      </c>
      <c r="T13" s="1162">
        <f>SUMIF(KPP!C11,C13,KPP!R11:R704)</f>
        <v>0</v>
      </c>
      <c r="U13" s="1174">
        <f t="shared" ca="1" si="5"/>
        <v>0</v>
      </c>
      <c r="V13" s="1175">
        <f t="shared" si="6"/>
        <v>0</v>
      </c>
      <c r="W13" s="1173">
        <f>SUM('3 pr-2'!U14)</f>
        <v>0</v>
      </c>
      <c r="X13" s="1173">
        <v>0</v>
      </c>
      <c r="Y13" s="1174">
        <f t="shared" si="17"/>
        <v>0</v>
      </c>
      <c r="Z13" s="1175">
        <f t="shared" si="8"/>
        <v>0</v>
      </c>
      <c r="AA13" s="1173">
        <f>SUM('3 pr-2'!X14)</f>
        <v>0</v>
      </c>
      <c r="AB13" s="1173">
        <v>0</v>
      </c>
      <c r="AC13" s="1174">
        <f t="shared" si="9"/>
        <v>0</v>
      </c>
      <c r="AD13" s="1175">
        <f t="shared" si="10"/>
        <v>0</v>
      </c>
      <c r="AE13" s="1173">
        <f>SUM('3 pr-2'!AA14)</f>
        <v>128044</v>
      </c>
      <c r="AF13" s="1162">
        <f>SUMIF(KPP!C11:C704,C13,KPP!N11:N704)</f>
        <v>128044</v>
      </c>
      <c r="AG13" s="1559">
        <f t="shared" si="11"/>
        <v>0</v>
      </c>
      <c r="AH13" s="1177">
        <f t="shared" si="12"/>
        <v>0</v>
      </c>
      <c r="AI13" s="1173">
        <f>SUM('3 pr-2'!AB14)</f>
        <v>0</v>
      </c>
      <c r="AJ13" s="1162">
        <v>0</v>
      </c>
      <c r="AL13" s="1531">
        <f t="shared" ca="1" si="13"/>
        <v>128044</v>
      </c>
      <c r="AM13" s="863">
        <v>128044</v>
      </c>
      <c r="AN13" s="19">
        <f t="shared" si="14"/>
        <v>19206.599999999999</v>
      </c>
      <c r="AO13" s="19">
        <f t="shared" si="15"/>
        <v>108837.4</v>
      </c>
      <c r="AP13" s="19">
        <f t="shared" si="16"/>
        <v>265076</v>
      </c>
    </row>
    <row r="14" spans="1:42" ht="48.75">
      <c r="A14" s="375" t="str">
        <f>CONCATENATE('3 pr-2'!A15)</f>
        <v>1.1.1.1.6</v>
      </c>
      <c r="B14" s="375" t="str">
        <f>CONCATENATE('3 pr-2'!B15)</f>
        <v>R01-ZM72-330200-1106</v>
      </c>
      <c r="C14" s="1558" t="str">
        <f>IF('ketv. 4 '!Z15&gt;0,'ketv. 4 '!C15,"-")</f>
        <v>20KI-KA-17-1-02374-PR001</v>
      </c>
      <c r="D14" s="375" t="str">
        <f>CONCATENATE('3 pr-2'!D15)</f>
        <v>Lazdijų rajono kaimų patrauklumo didinimas atnaujinant bibliotekas</v>
      </c>
      <c r="E14" s="375" t="str">
        <f>CONCATENATE('3 pr-2'!E15)</f>
        <v xml:space="preserve">Biudžetinė įstaiga Lazdijų rajono savivaldybės viešoji biblioteka </v>
      </c>
      <c r="F14" s="375" t="str">
        <f>CONCATENATE('3 pr-2'!F15)</f>
        <v>Lietuvos Respublikos žemės ūkio ministerija</v>
      </c>
      <c r="G14" s="375" t="str">
        <f>CONCATENATE('3 pr-2'!G15)</f>
        <v>Lazdijų r. sav.</v>
      </c>
      <c r="H14" s="375" t="str">
        <f>CONCATENATE('3 pr-2'!H15)</f>
        <v xml:space="preserve">Pagrindinės paslaugos ir kaimų atnaujinimas kaimo vietovėse </v>
      </c>
      <c r="I14" s="375" t="str">
        <f>CONCATENATE('3 pr-2'!I15)</f>
        <v>R</v>
      </c>
      <c r="J14" s="375" t="str">
        <f>CONCATENATE('3 pr-2'!J15)</f>
        <v>-</v>
      </c>
      <c r="K14" s="1173">
        <f>SUM('3 pr-2'!L15)</f>
        <v>200999</v>
      </c>
      <c r="L14" s="1162">
        <f t="shared" si="0"/>
        <v>200999</v>
      </c>
      <c r="M14" s="1174">
        <f t="shared" si="1"/>
        <v>0</v>
      </c>
      <c r="N14" s="1175">
        <f t="shared" si="2"/>
        <v>0</v>
      </c>
      <c r="O14" s="1173">
        <f>SUM('3 pr-2'!O15)</f>
        <v>41071</v>
      </c>
      <c r="P14" s="1162">
        <f>SUMIF(KPP!C12:C705,C14,KPP!P12:P705)</f>
        <v>41071</v>
      </c>
      <c r="Q14" s="1174">
        <f t="shared" si="3"/>
        <v>0</v>
      </c>
      <c r="R14" s="1175">
        <f t="shared" si="4"/>
        <v>0</v>
      </c>
      <c r="S14" s="1173">
        <f ca="1">SUM('3 pr-2'!R15)</f>
        <v>0</v>
      </c>
      <c r="T14" s="1162">
        <f>SUMIF(KPP!C12,C14,KPP!R12:R705)</f>
        <v>0</v>
      </c>
      <c r="U14" s="1174">
        <f t="shared" ca="1" si="5"/>
        <v>0</v>
      </c>
      <c r="V14" s="1175">
        <f t="shared" si="6"/>
        <v>0</v>
      </c>
      <c r="W14" s="1173">
        <f>SUM('3 pr-2'!U15)</f>
        <v>0</v>
      </c>
      <c r="X14" s="1173">
        <v>0</v>
      </c>
      <c r="Y14" s="1174">
        <f t="shared" si="17"/>
        <v>0</v>
      </c>
      <c r="Z14" s="1175">
        <f t="shared" si="8"/>
        <v>0</v>
      </c>
      <c r="AA14" s="1173">
        <f>SUM('3 pr-2'!X15)</f>
        <v>0</v>
      </c>
      <c r="AB14" s="1173">
        <v>0</v>
      </c>
      <c r="AC14" s="1174">
        <f t="shared" si="9"/>
        <v>0</v>
      </c>
      <c r="AD14" s="1175">
        <f t="shared" si="10"/>
        <v>0</v>
      </c>
      <c r="AE14" s="1173">
        <f>SUM('3 pr-2'!AA15)</f>
        <v>159928</v>
      </c>
      <c r="AF14" s="1162">
        <f>SUMIF(KPP!C12:C705,C14,KPP!N12:N705)</f>
        <v>159928</v>
      </c>
      <c r="AG14" s="1559">
        <f t="shared" si="11"/>
        <v>0</v>
      </c>
      <c r="AH14" s="1177">
        <f t="shared" si="12"/>
        <v>0</v>
      </c>
      <c r="AI14" s="1173">
        <f>SUM('3 pr-2'!AB15)</f>
        <v>0</v>
      </c>
      <c r="AJ14" s="1162">
        <v>0</v>
      </c>
      <c r="AL14" s="1531">
        <f t="shared" ca="1" si="13"/>
        <v>159928</v>
      </c>
      <c r="AM14" s="19">
        <v>159928</v>
      </c>
      <c r="AN14" s="19">
        <f t="shared" si="14"/>
        <v>23989.200000000001</v>
      </c>
      <c r="AO14" s="19">
        <f t="shared" si="15"/>
        <v>135938.79999999999</v>
      </c>
      <c r="AP14" s="19">
        <f t="shared" si="16"/>
        <v>200999</v>
      </c>
    </row>
    <row r="15" spans="1:42" ht="36.75">
      <c r="A15" s="375" t="str">
        <f>CONCATENATE('3 pr-2'!A16)</f>
        <v>1.1.1.1.7</v>
      </c>
      <c r="B15" s="375" t="str">
        <f>CONCATENATE('3 pr-2'!B16)</f>
        <v>R01-ZM72-123200-1107</v>
      </c>
      <c r="C15" s="1558" t="str">
        <f>IF('ketv. 4 '!Z16&gt;0,'ketv. 4 '!C16,"-")</f>
        <v>20KI-KA-17-1-02437-PR001</v>
      </c>
      <c r="D15" s="375" t="str">
        <f>CONCATENATE('3 pr-2'!D16)</f>
        <v>Alytaus rajono Miroslavo kaimo multifunkcinės sporto aikštės įrengimas ir gatvių bei šaligatvių rekonstrukcija</v>
      </c>
      <c r="E15" s="375" t="str">
        <f>CONCATENATE('3 pr-2'!E16)</f>
        <v>Alytaus rajono savivaldybės administracija</v>
      </c>
      <c r="F15" s="375" t="str">
        <f>CONCATENATE('3 pr-2'!F16)</f>
        <v>Lietuvos Respublikos žemės ūkio ministerija</v>
      </c>
      <c r="G15" s="375" t="str">
        <f>CONCATENATE('3 pr-2'!G16)</f>
        <v>Alytaus r. sav.</v>
      </c>
      <c r="H15" s="375" t="str">
        <f>CONCATENATE('3 pr-2'!H16)</f>
        <v xml:space="preserve">Pagrindinės paslaugos ir kaimų atnaujinimas kaimo vietovėse </v>
      </c>
      <c r="I15" s="375" t="str">
        <f>CONCATENATE('3 pr-2'!I16)</f>
        <v>R</v>
      </c>
      <c r="J15" s="375" t="str">
        <f>CONCATENATE('3 pr-2'!J16)</f>
        <v>-</v>
      </c>
      <c r="K15" s="1173">
        <f>SUM('3 pr-2'!L16)</f>
        <v>252211.6</v>
      </c>
      <c r="L15" s="1162">
        <f t="shared" si="0"/>
        <v>252211.6</v>
      </c>
      <c r="M15" s="1174">
        <f t="shared" si="1"/>
        <v>0</v>
      </c>
      <c r="N15" s="1175">
        <f t="shared" si="2"/>
        <v>0</v>
      </c>
      <c r="O15" s="1173">
        <f>SUM('3 pr-2'!O16)</f>
        <v>52211.6</v>
      </c>
      <c r="P15" s="1162">
        <f>SUMIF(KPP!C13:C706,C15,KPP!P13:P706)</f>
        <v>52211.6</v>
      </c>
      <c r="Q15" s="1174">
        <f t="shared" si="3"/>
        <v>0</v>
      </c>
      <c r="R15" s="1175">
        <f t="shared" si="4"/>
        <v>0</v>
      </c>
      <c r="S15" s="1173">
        <f ca="1">SUM('3 pr-2'!R16)</f>
        <v>0</v>
      </c>
      <c r="T15" s="1162">
        <f>SUMIF(KPP!C13,C15,KPP!R13:R706)</f>
        <v>0</v>
      </c>
      <c r="U15" s="1174" t="e">
        <f ca="1">SUM(S15-#REF!)</f>
        <v>#REF!</v>
      </c>
      <c r="V15" s="1175" t="e">
        <f>IF(#REF!&gt;0,S15-#REF!,0)</f>
        <v>#REF!</v>
      </c>
      <c r="W15" s="1173">
        <f>SUM('3 pr-2'!U16)</f>
        <v>0</v>
      </c>
      <c r="X15" s="1173">
        <v>0</v>
      </c>
      <c r="Y15" s="1174">
        <f t="shared" si="17"/>
        <v>0</v>
      </c>
      <c r="Z15" s="1175">
        <f t="shared" si="8"/>
        <v>0</v>
      </c>
      <c r="AA15" s="1173">
        <f>SUM('3 pr-2'!X16)</f>
        <v>0</v>
      </c>
      <c r="AB15" s="1173">
        <v>0</v>
      </c>
      <c r="AC15" s="1174">
        <f t="shared" si="9"/>
        <v>0</v>
      </c>
      <c r="AD15" s="1175">
        <f t="shared" si="10"/>
        <v>0</v>
      </c>
      <c r="AE15" s="1173">
        <f>SUM('3 pr-2'!AA16)</f>
        <v>200000</v>
      </c>
      <c r="AF15" s="1162">
        <f>SUMIF(KPP!C13:C706,C15,KPP!N13:N706)</f>
        <v>200000</v>
      </c>
      <c r="AG15" s="1559">
        <f t="shared" si="11"/>
        <v>0</v>
      </c>
      <c r="AH15" s="1177">
        <f t="shared" si="12"/>
        <v>0</v>
      </c>
      <c r="AI15" s="1173">
        <f>SUM('3 pr-2'!AB16)</f>
        <v>0</v>
      </c>
      <c r="AJ15" s="1162">
        <v>0</v>
      </c>
      <c r="AL15" s="1531">
        <f t="shared" ca="1" si="13"/>
        <v>200000</v>
      </c>
      <c r="AM15" s="19">
        <v>200000</v>
      </c>
      <c r="AN15" s="19">
        <f t="shared" si="14"/>
        <v>30000</v>
      </c>
      <c r="AO15" s="19">
        <f t="shared" si="15"/>
        <v>170000</v>
      </c>
      <c r="AP15" s="19">
        <f t="shared" si="16"/>
        <v>252211.6</v>
      </c>
    </row>
    <row r="16" spans="1:42" ht="36.75">
      <c r="A16" s="375" t="str">
        <f>CONCATENATE('3 pr-2'!A17)</f>
        <v>1.1.1.1.8</v>
      </c>
      <c r="B16" s="375" t="str">
        <f>CONCATENATE('3 pr-2'!B17)</f>
        <v>R01-ZM72-123200-1108</v>
      </c>
      <c r="C16" s="1558" t="str">
        <f>IF('ketv. 4 '!Z17&gt;0,'ketv. 4 '!C17,"-")</f>
        <v>20KI-KA-17-1-02242-PR001</v>
      </c>
      <c r="D16" s="375" t="str">
        <f>CONCATENATE('3 pr-2'!D17)</f>
        <v>Alytaus rajono Luksnėnų kaimo multifunkcinės sporto aikštės įrengimas ir gatvių rekonstrukcija</v>
      </c>
      <c r="E16" s="375" t="str">
        <f>CONCATENATE('3 pr-2'!E17)</f>
        <v>Alytaus rajono savivaldybės administracija</v>
      </c>
      <c r="F16" s="375" t="str">
        <f>CONCATENATE('3 pr-2'!F17)</f>
        <v>Lietuvos Respublikos žemės ūkio ministerija</v>
      </c>
      <c r="G16" s="375" t="str">
        <f>CONCATENATE('3 pr-2'!G17)</f>
        <v>Alytaus r. sav.</v>
      </c>
      <c r="H16" s="375" t="str">
        <f>CONCATENATE('3 pr-2'!H17)</f>
        <v xml:space="preserve">Pagrindinės paslaugos ir kaimų atnaujinimas kaimo vietovėse </v>
      </c>
      <c r="I16" s="375" t="str">
        <f>CONCATENATE('3 pr-2'!I17)</f>
        <v>R</v>
      </c>
      <c r="J16" s="375" t="str">
        <f>CONCATENATE('3 pr-2'!J17)</f>
        <v>-</v>
      </c>
      <c r="K16" s="1173">
        <f>SUM('3 pr-2'!L17)</f>
        <v>250309.29</v>
      </c>
      <c r="L16" s="1162">
        <f t="shared" si="0"/>
        <v>250309.29</v>
      </c>
      <c r="M16" s="1174">
        <f t="shared" si="1"/>
        <v>0</v>
      </c>
      <c r="N16" s="1175">
        <f t="shared" si="2"/>
        <v>0</v>
      </c>
      <c r="O16" s="1173">
        <f>SUM('3 pr-2'!O17)</f>
        <v>50309.29</v>
      </c>
      <c r="P16" s="1162">
        <f>SUMIF(KPP!C14:C707,C16,KPP!P14:P707)</f>
        <v>50309.29</v>
      </c>
      <c r="Q16" s="1174">
        <f t="shared" si="3"/>
        <v>0</v>
      </c>
      <c r="R16" s="1175">
        <f t="shared" si="4"/>
        <v>0</v>
      </c>
      <c r="S16" s="1173">
        <f ca="1">SUM('3 pr-2'!R17)</f>
        <v>0</v>
      </c>
      <c r="T16" s="1162">
        <f>SUMIF(KPP!C14,C16,KPP!R14:R707)</f>
        <v>0</v>
      </c>
      <c r="U16" s="1174">
        <f t="shared" ca="1" si="5"/>
        <v>0</v>
      </c>
      <c r="V16" s="1175">
        <f t="shared" si="6"/>
        <v>0</v>
      </c>
      <c r="W16" s="1173">
        <f>SUM('3 pr-2'!U17)</f>
        <v>0</v>
      </c>
      <c r="X16" s="1173">
        <v>0</v>
      </c>
      <c r="Y16" s="1174">
        <f t="shared" si="17"/>
        <v>0</v>
      </c>
      <c r="Z16" s="1175">
        <f t="shared" si="8"/>
        <v>0</v>
      </c>
      <c r="AA16" s="1173">
        <f>SUM('3 pr-2'!X17)</f>
        <v>0</v>
      </c>
      <c r="AB16" s="1173">
        <v>0</v>
      </c>
      <c r="AC16" s="1174">
        <f t="shared" si="9"/>
        <v>0</v>
      </c>
      <c r="AD16" s="1175">
        <f t="shared" si="10"/>
        <v>0</v>
      </c>
      <c r="AE16" s="1173">
        <f>SUM('3 pr-2'!AA17)</f>
        <v>200000</v>
      </c>
      <c r="AF16" s="1162">
        <f>SUMIF(KPP!C14:C707,C16,KPP!N14:N707)</f>
        <v>200000</v>
      </c>
      <c r="AG16" s="1559">
        <f t="shared" si="11"/>
        <v>0</v>
      </c>
      <c r="AH16" s="1177">
        <f t="shared" si="12"/>
        <v>0</v>
      </c>
      <c r="AI16" s="1173">
        <f>SUM('3 pr-2'!AB17)</f>
        <v>0</v>
      </c>
      <c r="AJ16" s="1162">
        <v>0</v>
      </c>
      <c r="AL16" s="1531">
        <f t="shared" ca="1" si="13"/>
        <v>200000</v>
      </c>
      <c r="AM16" s="19">
        <v>200000</v>
      </c>
      <c r="AN16" s="19">
        <f t="shared" si="14"/>
        <v>30000</v>
      </c>
      <c r="AO16" s="19">
        <f t="shared" si="15"/>
        <v>170000</v>
      </c>
      <c r="AP16" s="19">
        <f t="shared" si="16"/>
        <v>250309.29</v>
      </c>
    </row>
    <row r="17" spans="1:44" ht="36.75">
      <c r="A17" s="375" t="str">
        <f>CONCATENATE('3 pr-2'!A18)</f>
        <v>1.1.1.1.9</v>
      </c>
      <c r="B17" s="375" t="str">
        <f>CONCATENATE('3 pr-2'!B18)</f>
        <v>R01-ZM72-340000-1109</v>
      </c>
      <c r="C17" s="1558" t="str">
        <f>IF('ketv. 4 '!Z18&gt;0,'ketv. 4 '!C18,"-")</f>
        <v>20KI-KA-17-1-02372-PR001</v>
      </c>
      <c r="D17" s="375" t="str">
        <f>CONCATENATE('3 pr-2'!D18)</f>
        <v>Krikštonių laisvalaikio salės pritaikymas bendruomenės poreikiams</v>
      </c>
      <c r="E17" s="375" t="str">
        <f>CONCATENATE('3 pr-2'!E18)</f>
        <v xml:space="preserve">Viešoji įstaiga Lazdijų kultūros centras </v>
      </c>
      <c r="F17" s="375" t="str">
        <f>CONCATENATE('3 pr-2'!F18)</f>
        <v>Lietuvos Respublikos žemės ūkio ministerija</v>
      </c>
      <c r="G17" s="375" t="str">
        <f>CONCATENATE('3 pr-2'!G18)</f>
        <v>Lazdijų r. sav.</v>
      </c>
      <c r="H17" s="375" t="str">
        <f>CONCATENATE('3 pr-2'!H18)</f>
        <v xml:space="preserve">Pagrindinės paslaugos ir kaimų atnaujinimas kaimo vietovėse </v>
      </c>
      <c r="I17" s="375" t="str">
        <f>CONCATENATE('3 pr-2'!I18)</f>
        <v>R</v>
      </c>
      <c r="J17" s="375" t="str">
        <f>CONCATENATE('3 pr-2'!J18)</f>
        <v>-</v>
      </c>
      <c r="K17" s="1173">
        <f>SUM('3 pr-2'!L18)</f>
        <v>250000</v>
      </c>
      <c r="L17" s="1162">
        <f t="shared" si="0"/>
        <v>250000</v>
      </c>
      <c r="M17" s="1174">
        <f t="shared" si="1"/>
        <v>0</v>
      </c>
      <c r="N17" s="1175">
        <f t="shared" si="2"/>
        <v>0</v>
      </c>
      <c r="O17" s="1173">
        <f>SUM('3 pr-2'!O18)</f>
        <v>50000</v>
      </c>
      <c r="P17" s="1162">
        <f>SUMIF(KPP!C15:C708,C17,KPP!P15:P708)</f>
        <v>50000</v>
      </c>
      <c r="Q17" s="1174">
        <f t="shared" si="3"/>
        <v>0</v>
      </c>
      <c r="R17" s="1175">
        <f t="shared" si="4"/>
        <v>0</v>
      </c>
      <c r="S17" s="1173">
        <f ca="1">SUM('3 pr-2'!R18)</f>
        <v>0</v>
      </c>
      <c r="T17" s="1162">
        <f>SUMIF(KPP!C15,C17,KPP!R15:R708)</f>
        <v>0</v>
      </c>
      <c r="U17" s="1174">
        <f t="shared" ca="1" si="5"/>
        <v>0</v>
      </c>
      <c r="V17" s="1175">
        <f t="shared" si="6"/>
        <v>0</v>
      </c>
      <c r="W17" s="1173">
        <f>SUM('3 pr-2'!U18)</f>
        <v>0</v>
      </c>
      <c r="X17" s="1173">
        <v>0</v>
      </c>
      <c r="Y17" s="1174">
        <f t="shared" si="17"/>
        <v>0</v>
      </c>
      <c r="Z17" s="1175">
        <f t="shared" si="8"/>
        <v>0</v>
      </c>
      <c r="AA17" s="1173">
        <f>SUM('3 pr-2'!X18)</f>
        <v>0</v>
      </c>
      <c r="AB17" s="1173">
        <v>0</v>
      </c>
      <c r="AC17" s="1174">
        <f t="shared" si="9"/>
        <v>0</v>
      </c>
      <c r="AD17" s="1175">
        <f t="shared" si="10"/>
        <v>0</v>
      </c>
      <c r="AE17" s="1173">
        <f>SUM('3 pr-2'!AA18)</f>
        <v>200000</v>
      </c>
      <c r="AF17" s="1162">
        <f>SUMIF(KPP!C15:C708,C17,KPP!N15:N708)</f>
        <v>200000</v>
      </c>
      <c r="AG17" s="1559">
        <f t="shared" si="11"/>
        <v>0</v>
      </c>
      <c r="AH17" s="1177">
        <f t="shared" si="12"/>
        <v>0</v>
      </c>
      <c r="AI17" s="1173">
        <f>SUM('3 pr-2'!AB18)</f>
        <v>0</v>
      </c>
      <c r="AJ17" s="1162">
        <v>0</v>
      </c>
      <c r="AL17" s="1531">
        <f t="shared" ca="1" si="13"/>
        <v>200000</v>
      </c>
      <c r="AM17" s="19">
        <v>200000</v>
      </c>
      <c r="AN17" s="19">
        <f t="shared" si="14"/>
        <v>30000</v>
      </c>
      <c r="AO17" s="19">
        <f t="shared" si="15"/>
        <v>170000</v>
      </c>
      <c r="AP17" s="19">
        <f t="shared" si="16"/>
        <v>250000</v>
      </c>
    </row>
    <row r="18" spans="1:44" ht="36.75">
      <c r="A18" s="375" t="str">
        <f>CONCATENATE('3 pr-2'!A19)</f>
        <v>1.1.1.1.10</v>
      </c>
      <c r="B18" s="375" t="str">
        <f>CONCATENATE('3 pr-2'!B19)</f>
        <v>R01-ZM72-340200-1110</v>
      </c>
      <c r="C18" s="1558" t="str">
        <f>IF('ketv. 4 '!Z19&gt;0,'ketv. 4 '!C19,"-")</f>
        <v>20KI-KA-17-1-02370-PR001</v>
      </c>
      <c r="D18" s="375" t="str">
        <f>CONCATENATE('3 pr-2'!D19)</f>
        <v>Kučiūnų laisvalaikio salės pritaikymas bendruomenės poreikiams</v>
      </c>
      <c r="E18" s="375" t="str">
        <f>CONCATENATE('3 pr-2'!E19)</f>
        <v xml:space="preserve">Viešoji įstaiga Lazdijų kultūros centras </v>
      </c>
      <c r="F18" s="375" t="str">
        <f>CONCATENATE('3 pr-2'!F19)</f>
        <v>Lietuvos Respublikos žemės ūkio ministerija</v>
      </c>
      <c r="G18" s="375" t="str">
        <f>CONCATENATE('3 pr-2'!G19)</f>
        <v>Lazdijų r. sav.</v>
      </c>
      <c r="H18" s="375" t="str">
        <f>CONCATENATE('3 pr-2'!H19)</f>
        <v xml:space="preserve">Pagrindinės paslaugos ir kaimų atnaujinimas kaimo vietovėse </v>
      </c>
      <c r="I18" s="375" t="str">
        <f>CONCATENATE('3 pr-2'!I19)</f>
        <v>R</v>
      </c>
      <c r="J18" s="375" t="str">
        <f>CONCATENATE('3 pr-2'!J19)</f>
        <v>-</v>
      </c>
      <c r="K18" s="1173">
        <f>SUM('3 pr-2'!L19)</f>
        <v>250000</v>
      </c>
      <c r="L18" s="1162">
        <f t="shared" si="0"/>
        <v>250000</v>
      </c>
      <c r="M18" s="1174">
        <f t="shared" si="1"/>
        <v>0</v>
      </c>
      <c r="N18" s="1175">
        <f t="shared" si="2"/>
        <v>0</v>
      </c>
      <c r="O18" s="1173">
        <f>SUM('3 pr-2'!O19)</f>
        <v>62460</v>
      </c>
      <c r="P18" s="1162">
        <f>SUMIF(KPP!C16:C709,C18,KPP!P16:P709)</f>
        <v>62460</v>
      </c>
      <c r="Q18" s="1174">
        <f t="shared" si="3"/>
        <v>0</v>
      </c>
      <c r="R18" s="1175">
        <f t="shared" si="4"/>
        <v>0</v>
      </c>
      <c r="S18" s="1173">
        <f ca="1">SUM('3 pr-2'!R19)</f>
        <v>0</v>
      </c>
      <c r="T18" s="1162">
        <f>SUMIF(KPP!C16,C18,KPP!R16:R709)</f>
        <v>0</v>
      </c>
      <c r="U18" s="1174">
        <f t="shared" ca="1" si="5"/>
        <v>0</v>
      </c>
      <c r="V18" s="1175">
        <f t="shared" si="6"/>
        <v>0</v>
      </c>
      <c r="W18" s="1173">
        <f>SUM('3 pr-2'!U19)</f>
        <v>0</v>
      </c>
      <c r="X18" s="1173">
        <v>0</v>
      </c>
      <c r="Y18" s="1174">
        <f t="shared" si="17"/>
        <v>0</v>
      </c>
      <c r="Z18" s="1175">
        <f t="shared" si="8"/>
        <v>0</v>
      </c>
      <c r="AA18" s="1173">
        <f>SUM('3 pr-2'!X19)</f>
        <v>0</v>
      </c>
      <c r="AB18" s="1173">
        <v>0</v>
      </c>
      <c r="AC18" s="1174">
        <f t="shared" si="9"/>
        <v>0</v>
      </c>
      <c r="AD18" s="1175">
        <f t="shared" si="10"/>
        <v>0</v>
      </c>
      <c r="AE18" s="1173">
        <f>SUM('3 pr-2'!AA19)</f>
        <v>187540</v>
      </c>
      <c r="AF18" s="1162">
        <f>SUMIF(KPP!C16:C709,C18,KPP!N16:N709)</f>
        <v>187540</v>
      </c>
      <c r="AG18" s="1559">
        <f t="shared" si="11"/>
        <v>0</v>
      </c>
      <c r="AH18" s="1177">
        <f t="shared" si="12"/>
        <v>0</v>
      </c>
      <c r="AI18" s="1173">
        <f>SUM('3 pr-2'!AB19)</f>
        <v>0</v>
      </c>
      <c r="AJ18" s="1162">
        <v>0</v>
      </c>
      <c r="AL18" s="1531">
        <f t="shared" ca="1" si="13"/>
        <v>187540</v>
      </c>
      <c r="AM18" s="19">
        <v>187540</v>
      </c>
      <c r="AN18" s="19">
        <f t="shared" si="14"/>
        <v>28131</v>
      </c>
      <c r="AO18" s="19">
        <f t="shared" si="15"/>
        <v>159409</v>
      </c>
      <c r="AP18" s="19">
        <f t="shared" si="16"/>
        <v>250000</v>
      </c>
    </row>
    <row r="19" spans="1:44" ht="36.75">
      <c r="A19" s="375" t="str">
        <f>CONCATENATE('3 pr-2'!A20)</f>
        <v>1.1.1.1.11</v>
      </c>
      <c r="B19" s="375" t="str">
        <f>CONCATENATE('3 pr-2'!B20)</f>
        <v>R01-ZM72-320000-1111</v>
      </c>
      <c r="C19" s="1558" t="str">
        <f>IF('ketv. 4 '!Z20&gt;0,'ketv. 4 '!C20,"-")</f>
        <v>20KI-KA-17-1-02354-PR001</v>
      </c>
      <c r="D19" s="375" t="str">
        <f>CONCATENATE('3 pr-2'!D20)</f>
        <v>Laisvalaikio infrastruktūros sukūrimas Lazdijų rajono kaimo gyvenamosiose vietovėse</v>
      </c>
      <c r="E19" s="375" t="str">
        <f>CONCATENATE('3 pr-2'!E20)</f>
        <v>Lazdijų rajono savivaldybės administracija</v>
      </c>
      <c r="F19" s="375" t="str">
        <f>CONCATENATE('3 pr-2'!F20)</f>
        <v>Lietuvos Respublikos žemės ūkio ministerija</v>
      </c>
      <c r="G19" s="375" t="str">
        <f>CONCATENATE('3 pr-2'!G20)</f>
        <v>Lazdijų r. sav.</v>
      </c>
      <c r="H19" s="375" t="str">
        <f>CONCATENATE('3 pr-2'!H20)</f>
        <v xml:space="preserve">Pagrindinės paslaugos ir kaimų atnaujinimas kaimo vietovėse </v>
      </c>
      <c r="I19" s="375" t="str">
        <f>CONCATENATE('3 pr-2'!I20)</f>
        <v>R</v>
      </c>
      <c r="J19" s="375" t="str">
        <f>CONCATENATE('3 pr-2'!J20)</f>
        <v>-</v>
      </c>
      <c r="K19" s="1173">
        <f>SUM('3 pr-2'!L20)</f>
        <v>125000</v>
      </c>
      <c r="L19" s="1162">
        <f t="shared" si="0"/>
        <v>125000</v>
      </c>
      <c r="M19" s="1174">
        <f t="shared" si="1"/>
        <v>0</v>
      </c>
      <c r="N19" s="1175">
        <f t="shared" si="2"/>
        <v>0</v>
      </c>
      <c r="O19" s="1173">
        <f>SUM('3 pr-2'!O20)</f>
        <v>25000</v>
      </c>
      <c r="P19" s="1162">
        <f>SUMIF(KPP!C17:C710,C19,KPP!P17:P710)</f>
        <v>25000</v>
      </c>
      <c r="Q19" s="1174">
        <f t="shared" si="3"/>
        <v>0</v>
      </c>
      <c r="R19" s="1175">
        <f t="shared" si="4"/>
        <v>0</v>
      </c>
      <c r="S19" s="1173">
        <f ca="1">SUM('3 pr-2'!R20)</f>
        <v>0</v>
      </c>
      <c r="T19" s="1162">
        <f>SUMIF(KPP!C17,C19,KPP!R17:R710)</f>
        <v>0</v>
      </c>
      <c r="U19" s="1174">
        <f t="shared" ca="1" si="5"/>
        <v>0</v>
      </c>
      <c r="V19" s="1175">
        <f t="shared" si="6"/>
        <v>0</v>
      </c>
      <c r="W19" s="1173">
        <f>SUM('3 pr-2'!U20)</f>
        <v>0</v>
      </c>
      <c r="X19" s="1173">
        <v>0</v>
      </c>
      <c r="Y19" s="1174">
        <f t="shared" si="17"/>
        <v>0</v>
      </c>
      <c r="Z19" s="1175">
        <f t="shared" si="8"/>
        <v>0</v>
      </c>
      <c r="AA19" s="1173">
        <f>SUM('3 pr-2'!X20)</f>
        <v>0</v>
      </c>
      <c r="AB19" s="1173">
        <v>0</v>
      </c>
      <c r="AC19" s="1174">
        <f t="shared" si="9"/>
        <v>0</v>
      </c>
      <c r="AD19" s="1175">
        <f t="shared" si="10"/>
        <v>0</v>
      </c>
      <c r="AE19" s="1173">
        <f>SUM('3 pr-2'!AA20)</f>
        <v>100000</v>
      </c>
      <c r="AF19" s="1162">
        <f>SUMIF(KPP!C17:C710,C19,KPP!N17:N710)</f>
        <v>100000</v>
      </c>
      <c r="AG19" s="1559">
        <f t="shared" si="11"/>
        <v>0</v>
      </c>
      <c r="AH19" s="1177">
        <f t="shared" si="12"/>
        <v>0</v>
      </c>
      <c r="AI19" s="1173">
        <f>SUM('3 pr-2'!AB20)</f>
        <v>0</v>
      </c>
      <c r="AJ19" s="1162">
        <v>0</v>
      </c>
      <c r="AL19" s="1531">
        <f t="shared" ca="1" si="13"/>
        <v>100000</v>
      </c>
      <c r="AM19" s="19">
        <v>100000</v>
      </c>
      <c r="AN19" s="19">
        <f t="shared" si="14"/>
        <v>15000</v>
      </c>
      <c r="AO19" s="19">
        <f t="shared" si="15"/>
        <v>85000</v>
      </c>
      <c r="AP19" s="19">
        <f t="shared" si="16"/>
        <v>125000</v>
      </c>
    </row>
    <row r="20" spans="1:44" ht="36.75">
      <c r="A20" s="375" t="str">
        <f>CONCATENATE('3 pr-2'!A21)</f>
        <v>1.1.1.1.12</v>
      </c>
      <c r="B20" s="375" t="str">
        <f>CONCATENATE('3 pr-2'!B21)</f>
        <v>R01-ZM72-120000-1112</v>
      </c>
      <c r="C20" s="1558" t="str">
        <f>IF('ketv. 4 '!Z21&gt;0,'ketv. 4 '!C21,"-")</f>
        <v>20KI-KA-17-1-02470-PR001</v>
      </c>
      <c r="D20" s="375" t="str">
        <f>CONCATENATE('3 pr-2'!D21)</f>
        <v>Alytaus rajono Butrimonių miestelio šaligatvių kapitalinis remontas ir gyvenvietės apšvietimo įrengimas</v>
      </c>
      <c r="E20" s="375" t="str">
        <f>CONCATENATE('3 pr-2'!E21)</f>
        <v>Alytaus rajono savivaldybės administracija</v>
      </c>
      <c r="F20" s="375" t="str">
        <f>CONCATENATE('3 pr-2'!F21)</f>
        <v>Lietuvos Respublikos žemės ūkio ministerija</v>
      </c>
      <c r="G20" s="375" t="str">
        <f>CONCATENATE('3 pr-2'!G21)</f>
        <v>Alytaus r. sav.</v>
      </c>
      <c r="H20" s="375" t="str">
        <f>CONCATENATE('3 pr-2'!H21)</f>
        <v xml:space="preserve">Pagrindinės paslaugos ir kaimų atnaujinimas kaimo vietovėse </v>
      </c>
      <c r="I20" s="375" t="str">
        <f>CONCATENATE('3 pr-2'!I21)</f>
        <v>R</v>
      </c>
      <c r="J20" s="375" t="str">
        <f>CONCATENATE('3 pr-2'!J21)</f>
        <v>-</v>
      </c>
      <c r="K20" s="1173">
        <f>SUM('3 pr-2'!L21)</f>
        <v>190756</v>
      </c>
      <c r="L20" s="1162">
        <f t="shared" si="0"/>
        <v>190756</v>
      </c>
      <c r="M20" s="1174">
        <f t="shared" si="1"/>
        <v>0</v>
      </c>
      <c r="N20" s="1175">
        <f t="shared" si="2"/>
        <v>0</v>
      </c>
      <c r="O20" s="1173">
        <f>SUM('3 pr-2'!O21)</f>
        <v>67904</v>
      </c>
      <c r="P20" s="1162">
        <f>SUMIF(KPP!C18:C711,C20,KPP!P18:P711)</f>
        <v>67904</v>
      </c>
      <c r="Q20" s="1174">
        <f t="shared" si="3"/>
        <v>0</v>
      </c>
      <c r="R20" s="1175">
        <f t="shared" si="4"/>
        <v>0</v>
      </c>
      <c r="S20" s="1173">
        <f ca="1">SUM('3 pr-2'!R21)</f>
        <v>0</v>
      </c>
      <c r="T20" s="1162">
        <f>SUMIF(KPP!C18,C20,KPP!R18:R711)</f>
        <v>0</v>
      </c>
      <c r="U20" s="1174">
        <f t="shared" ca="1" si="5"/>
        <v>0</v>
      </c>
      <c r="V20" s="1175">
        <f t="shared" si="6"/>
        <v>0</v>
      </c>
      <c r="W20" s="1173">
        <f>SUM('3 pr-2'!U21)</f>
        <v>0</v>
      </c>
      <c r="X20" s="1173">
        <v>0</v>
      </c>
      <c r="Y20" s="1174">
        <f t="shared" si="17"/>
        <v>0</v>
      </c>
      <c r="Z20" s="1175">
        <f t="shared" si="8"/>
        <v>0</v>
      </c>
      <c r="AA20" s="1173">
        <f>SUM('3 pr-2'!X21)</f>
        <v>0</v>
      </c>
      <c r="AB20" s="1173">
        <v>0</v>
      </c>
      <c r="AC20" s="1174">
        <f t="shared" si="9"/>
        <v>0</v>
      </c>
      <c r="AD20" s="1175">
        <f t="shared" si="10"/>
        <v>0</v>
      </c>
      <c r="AE20" s="1173">
        <f>SUM('3 pr-2'!AA21)</f>
        <v>122852</v>
      </c>
      <c r="AF20" s="1162">
        <f>SUMIF(KPP!C18:C711,C20,KPP!N18:N711)</f>
        <v>122852</v>
      </c>
      <c r="AG20" s="1559">
        <f t="shared" si="11"/>
        <v>0</v>
      </c>
      <c r="AH20" s="1177">
        <f t="shared" si="12"/>
        <v>0</v>
      </c>
      <c r="AI20" s="1173">
        <f>SUM('3 pr-2'!AB21)</f>
        <v>0</v>
      </c>
      <c r="AJ20" s="1162">
        <v>0</v>
      </c>
      <c r="AL20" s="1531">
        <f>SUM(T20+AF20)</f>
        <v>122852</v>
      </c>
      <c r="AM20" s="19">
        <v>122852</v>
      </c>
      <c r="AN20" s="19">
        <f t="shared" si="14"/>
        <v>18427.8</v>
      </c>
      <c r="AO20" s="19">
        <f t="shared" si="15"/>
        <v>104424.2</v>
      </c>
      <c r="AP20" s="19">
        <f t="shared" si="16"/>
        <v>190756</v>
      </c>
    </row>
    <row r="21" spans="1:44" ht="36.75">
      <c r="A21" s="375" t="str">
        <f>CONCATENATE('3 pr-2'!A22)</f>
        <v>1.1.1.1.13</v>
      </c>
      <c r="B21" s="375" t="str">
        <f>CONCATENATE('3 pr-2'!B22)</f>
        <v>R01-ZM72-123200-1113</v>
      </c>
      <c r="C21" s="1558" t="str">
        <f>IF('ketv. 4 '!Z22&gt;0,'ketv. 4 '!C22,"-")</f>
        <v>20KI-KA-17-1-02438-PR001</v>
      </c>
      <c r="D21" s="375" t="str">
        <f>CONCATENATE('3 pr-2'!D22)</f>
        <v>Alytaus rajono Genių kaimo sporto aikštės įrengimas ir gatvių rekonstrukcija</v>
      </c>
      <c r="E21" s="375" t="str">
        <f>CONCATENATE('3 pr-2'!E22)</f>
        <v>Alytaus rajono savivaldybės administracija</v>
      </c>
      <c r="F21" s="375" t="str">
        <f>CONCATENATE('3 pr-2'!F22)</f>
        <v>Lietuvos Respublikos žemės ūkio ministerija</v>
      </c>
      <c r="G21" s="375" t="str">
        <f>CONCATENATE('3 pr-2'!G22)</f>
        <v>Alytaus r. sav.</v>
      </c>
      <c r="H21" s="375" t="str">
        <f>CONCATENATE('3 pr-2'!H22)</f>
        <v xml:space="preserve">Pagrindinės paslaugos ir kaimų atnaujinimas kaimo vietovėse </v>
      </c>
      <c r="I21" s="375" t="str">
        <f>CONCATENATE('3 pr-2'!I22)</f>
        <v>R</v>
      </c>
      <c r="J21" s="375" t="str">
        <f>CONCATENATE('3 pr-2'!J22)</f>
        <v>-</v>
      </c>
      <c r="K21" s="1173">
        <f>SUM('3 pr-2'!L22)</f>
        <v>247392.46</v>
      </c>
      <c r="L21" s="1162">
        <f t="shared" si="0"/>
        <v>247392.46</v>
      </c>
      <c r="M21" s="1174">
        <f t="shared" si="1"/>
        <v>0</v>
      </c>
      <c r="N21" s="1175">
        <f t="shared" si="2"/>
        <v>0</v>
      </c>
      <c r="O21" s="1173">
        <f>SUM('3 pr-2'!O22)</f>
        <v>47392.46</v>
      </c>
      <c r="P21" s="1162">
        <f>SUMIF(KPP!C19:C712,C21,KPP!P19:P712)</f>
        <v>47392.46</v>
      </c>
      <c r="Q21" s="1174">
        <f t="shared" si="3"/>
        <v>0</v>
      </c>
      <c r="R21" s="1175">
        <f t="shared" si="4"/>
        <v>0</v>
      </c>
      <c r="S21" s="1173">
        <f ca="1">SUM('3 pr-2'!R22)</f>
        <v>0</v>
      </c>
      <c r="T21" s="1162">
        <f>SUMIF(KPP!C19,C21,KPP!R19:R712)</f>
        <v>0</v>
      </c>
      <c r="U21" s="1174">
        <f t="shared" ca="1" si="5"/>
        <v>0</v>
      </c>
      <c r="V21" s="1175">
        <f t="shared" si="6"/>
        <v>0</v>
      </c>
      <c r="W21" s="1173">
        <f>SUM('3 pr-2'!U22)</f>
        <v>0</v>
      </c>
      <c r="X21" s="1173">
        <v>0</v>
      </c>
      <c r="Y21" s="1174">
        <f t="shared" si="17"/>
        <v>0</v>
      </c>
      <c r="Z21" s="1175">
        <f t="shared" si="8"/>
        <v>0</v>
      </c>
      <c r="AA21" s="1173">
        <f>SUM('3 pr-2'!X22)</f>
        <v>0</v>
      </c>
      <c r="AB21" s="1173">
        <v>0</v>
      </c>
      <c r="AC21" s="1174">
        <f t="shared" si="9"/>
        <v>0</v>
      </c>
      <c r="AD21" s="1175">
        <f t="shared" si="10"/>
        <v>0</v>
      </c>
      <c r="AE21" s="1173">
        <f>SUM('3 pr-2'!AA22)</f>
        <v>200000</v>
      </c>
      <c r="AF21" s="1162">
        <f>SUMIF(KPP!C19:C712,C21,KPP!N19:N712)</f>
        <v>200000</v>
      </c>
      <c r="AG21" s="1559">
        <f t="shared" si="11"/>
        <v>0</v>
      </c>
      <c r="AH21" s="1177">
        <f t="shared" si="12"/>
        <v>0</v>
      </c>
      <c r="AI21" s="1173">
        <f>SUM('3 pr-2'!AB22)</f>
        <v>0</v>
      </c>
      <c r="AJ21" s="1162">
        <v>0</v>
      </c>
      <c r="AL21" s="1531">
        <f>SUM(T21+AF21)</f>
        <v>200000</v>
      </c>
      <c r="AM21" s="19">
        <v>200000</v>
      </c>
      <c r="AN21" s="19">
        <f t="shared" si="14"/>
        <v>30000</v>
      </c>
      <c r="AO21" s="19">
        <f t="shared" si="15"/>
        <v>170000</v>
      </c>
      <c r="AP21" s="19">
        <f t="shared" si="16"/>
        <v>247392.46</v>
      </c>
    </row>
    <row r="22" spans="1:44" ht="36.75">
      <c r="A22" s="375" t="str">
        <f>CONCATENATE('3 pr-2'!A23)</f>
        <v>1.1.1.1.14</v>
      </c>
      <c r="B22" s="375" t="str">
        <f>CONCATENATE('3 pr-2'!B23)</f>
        <v>R01-ZM72-122900-1114</v>
      </c>
      <c r="C22" s="1558" t="str">
        <f>IF('ketv. 4 '!Z23&gt;0,'ketv. 4 '!C23,"-")</f>
        <v>20KI-KA-17-1-01647-PR001</v>
      </c>
      <c r="D22" s="375" t="str">
        <f>CONCATENATE('3 pr-2'!D23)</f>
        <v>Varėnos r. Dargužių kaimo Liepų gatvės ir viešosios erdvės įrengimas</v>
      </c>
      <c r="E22" s="375" t="str">
        <f>CONCATENATE('3 pr-2'!E23)</f>
        <v xml:space="preserve">Varėnos rajono savivaldybės administracija </v>
      </c>
      <c r="F22" s="375" t="str">
        <f>CONCATENATE('3 pr-2'!F23)</f>
        <v>Lietuvos Respublikos žemės ūkio ministerija</v>
      </c>
      <c r="G22" s="375" t="str">
        <f>CONCATENATE('3 pr-2'!G23)</f>
        <v>Varėnos r. sav.</v>
      </c>
      <c r="H22" s="375" t="str">
        <f>CONCATENATE('3 pr-2'!H23)</f>
        <v xml:space="preserve">Pagrindinės paslaugos ir kaimų atnaujinimas kaimo vietovėse </v>
      </c>
      <c r="I22" s="375" t="str">
        <f>CONCATENATE('3 pr-2'!I23)</f>
        <v>R</v>
      </c>
      <c r="J22" s="375" t="str">
        <f>CONCATENATE('3 pr-2'!J23)</f>
        <v>-</v>
      </c>
      <c r="K22" s="1173">
        <f>SUM('3 pr-2'!L23)</f>
        <v>215626</v>
      </c>
      <c r="L22" s="1162">
        <f t="shared" si="0"/>
        <v>215626</v>
      </c>
      <c r="M22" s="1174">
        <f t="shared" si="1"/>
        <v>0</v>
      </c>
      <c r="N22" s="1175">
        <f t="shared" si="2"/>
        <v>0</v>
      </c>
      <c r="O22" s="1173">
        <f>SUM('3 pr-2'!O23)</f>
        <v>43125.2</v>
      </c>
      <c r="P22" s="1162">
        <f>SUMIF(KPP!C20:C713,C22,KPP!P20:P713)</f>
        <v>43125.2</v>
      </c>
      <c r="Q22" s="1174">
        <f t="shared" si="3"/>
        <v>0</v>
      </c>
      <c r="R22" s="1175">
        <f t="shared" si="4"/>
        <v>0</v>
      </c>
      <c r="S22" s="1173">
        <f ca="1">SUM('3 pr-2'!R23)</f>
        <v>0</v>
      </c>
      <c r="T22" s="1162">
        <f>SUMIF(KPP!C20,C22,KPP!R20:R713)</f>
        <v>0</v>
      </c>
      <c r="U22" s="1174">
        <f t="shared" ca="1" si="5"/>
        <v>0</v>
      </c>
      <c r="V22" s="1175">
        <f t="shared" si="6"/>
        <v>0</v>
      </c>
      <c r="W22" s="1173">
        <f>SUM('3 pr-2'!U23)</f>
        <v>0</v>
      </c>
      <c r="X22" s="1173">
        <v>0</v>
      </c>
      <c r="Y22" s="1174">
        <f t="shared" si="17"/>
        <v>0</v>
      </c>
      <c r="Z22" s="1175">
        <f t="shared" si="8"/>
        <v>0</v>
      </c>
      <c r="AA22" s="1173">
        <f>SUM('3 pr-2'!X23)</f>
        <v>0</v>
      </c>
      <c r="AB22" s="1173">
        <v>0</v>
      </c>
      <c r="AC22" s="1174">
        <f t="shared" si="9"/>
        <v>0</v>
      </c>
      <c r="AD22" s="1175">
        <f t="shared" si="10"/>
        <v>0</v>
      </c>
      <c r="AE22" s="1173">
        <f>SUM('3 pr-2'!AA23)</f>
        <v>172500.8</v>
      </c>
      <c r="AF22" s="1162">
        <f>SUMIF(KPP!C20:C713,C22,KPP!N20:N713)</f>
        <v>172500.8</v>
      </c>
      <c r="AG22" s="1559">
        <f t="shared" si="11"/>
        <v>0</v>
      </c>
      <c r="AH22" s="1177">
        <f t="shared" si="12"/>
        <v>0</v>
      </c>
      <c r="AI22" s="1173">
        <f>SUM('3 pr-2'!AB23)</f>
        <v>0</v>
      </c>
      <c r="AJ22" s="1162">
        <v>0</v>
      </c>
      <c r="AL22" s="1531">
        <f t="shared" ref="AL22:AL23" ca="1" si="18">SUM(S22+AE22)</f>
        <v>172500.8</v>
      </c>
      <c r="AM22" s="863">
        <v>172500</v>
      </c>
      <c r="AN22" s="19">
        <f t="shared" si="14"/>
        <v>25875</v>
      </c>
      <c r="AO22" s="19">
        <f t="shared" si="15"/>
        <v>146625</v>
      </c>
      <c r="AP22" s="19">
        <f t="shared" si="16"/>
        <v>215626</v>
      </c>
    </row>
    <row r="23" spans="1:44" ht="36.75">
      <c r="A23" s="375" t="str">
        <f>CONCATENATE('3 pr-2'!A24)</f>
        <v>1.1.1.1.15</v>
      </c>
      <c r="B23" s="375" t="str">
        <f>CONCATENATE('3 pr-2'!B24)</f>
        <v>R01-ZM72-123200-1115</v>
      </c>
      <c r="C23" s="1558" t="str">
        <f>IF('ketv. 4 '!Z24&gt;0,'ketv. 4 '!C24,"-")</f>
        <v>20KI-KA-17-1-02469-PR001</v>
      </c>
      <c r="D23" s="375" t="str">
        <f>CONCATENATE('3 pr-2'!D24)</f>
        <v>Alytaus rajono Vaisodžių kaimo sporto aikštės įrengimas ir gatvių apšvietimo atnaujinimas bei plėtra</v>
      </c>
      <c r="E23" s="375" t="str">
        <f>CONCATENATE('3 pr-2'!E24)</f>
        <v>Alytaus rajono savivaldybės administracija</v>
      </c>
      <c r="F23" s="375" t="str">
        <f>CONCATENATE('3 pr-2'!F24)</f>
        <v>Lietuvos Respublikos žemės ūkio ministerija</v>
      </c>
      <c r="G23" s="375" t="str">
        <f>CONCATENATE('3 pr-2'!G24)</f>
        <v>Alytaus r. sav.</v>
      </c>
      <c r="H23" s="375" t="str">
        <f>CONCATENATE('3 pr-2'!H24)</f>
        <v xml:space="preserve">Pagrindinės paslaugos ir kaimų atnaujinimas kaimo vietovėse </v>
      </c>
      <c r="I23" s="375" t="str">
        <f>CONCATENATE('3 pr-2'!I24)</f>
        <v>R</v>
      </c>
      <c r="J23" s="375" t="str">
        <f>CONCATENATE('3 pr-2'!J24)</f>
        <v>-</v>
      </c>
      <c r="K23" s="1173">
        <f>SUM('3 pr-2'!L24)</f>
        <v>75880</v>
      </c>
      <c r="L23" s="1162">
        <f t="shared" si="0"/>
        <v>75880</v>
      </c>
      <c r="M23" s="1174">
        <f t="shared" si="1"/>
        <v>0</v>
      </c>
      <c r="N23" s="1175">
        <f t="shared" si="2"/>
        <v>0</v>
      </c>
      <c r="O23" s="1173">
        <f>SUM('3 pr-2'!O24)</f>
        <v>15176</v>
      </c>
      <c r="P23" s="1162">
        <f>SUMIF(KPP!C21:C714,C23,KPP!P21:P714)</f>
        <v>15176</v>
      </c>
      <c r="Q23" s="1174">
        <f t="shared" si="3"/>
        <v>0</v>
      </c>
      <c r="R23" s="1175">
        <f t="shared" si="4"/>
        <v>0</v>
      </c>
      <c r="S23" s="1173">
        <f ca="1">SUM('3 pr-2'!R24)</f>
        <v>0</v>
      </c>
      <c r="T23" s="1162">
        <f>SUMIF(KPP!C21,C23,KPP!R21:R714)</f>
        <v>0</v>
      </c>
      <c r="U23" s="1174">
        <f t="shared" ca="1" si="5"/>
        <v>0</v>
      </c>
      <c r="V23" s="1175">
        <f t="shared" si="6"/>
        <v>0</v>
      </c>
      <c r="W23" s="1173">
        <f>SUM('3 pr-2'!U24)</f>
        <v>0</v>
      </c>
      <c r="X23" s="1173">
        <v>0</v>
      </c>
      <c r="Y23" s="1174">
        <f t="shared" si="17"/>
        <v>0</v>
      </c>
      <c r="Z23" s="1175">
        <f t="shared" si="8"/>
        <v>0</v>
      </c>
      <c r="AA23" s="1173">
        <f>SUM('3 pr-2'!X24)</f>
        <v>0</v>
      </c>
      <c r="AB23" s="1173">
        <v>0</v>
      </c>
      <c r="AC23" s="1174">
        <f t="shared" si="9"/>
        <v>0</v>
      </c>
      <c r="AD23" s="1175">
        <f t="shared" si="10"/>
        <v>0</v>
      </c>
      <c r="AE23" s="1173">
        <f>SUM('3 pr-2'!AA24)</f>
        <v>60704</v>
      </c>
      <c r="AF23" s="1162">
        <f>SUMIF(KPP!C21:C714,C23,KPP!N21:N714)</f>
        <v>60704</v>
      </c>
      <c r="AG23" s="1559">
        <f t="shared" si="11"/>
        <v>0</v>
      </c>
      <c r="AH23" s="1177">
        <f t="shared" si="12"/>
        <v>0</v>
      </c>
      <c r="AI23" s="1173">
        <f>SUM('3 pr-2'!AB24)</f>
        <v>0</v>
      </c>
      <c r="AJ23" s="1162">
        <v>0</v>
      </c>
      <c r="AL23" s="1531">
        <f t="shared" ca="1" si="18"/>
        <v>60704</v>
      </c>
      <c r="AM23" s="1531">
        <f>SUM(AF23+T23)</f>
        <v>60704</v>
      </c>
      <c r="AN23" s="19">
        <f t="shared" si="14"/>
        <v>9105.6</v>
      </c>
      <c r="AO23" s="19">
        <f t="shared" si="15"/>
        <v>51598.400000000001</v>
      </c>
      <c r="AP23" s="19">
        <f t="shared" si="16"/>
        <v>75880</v>
      </c>
    </row>
    <row r="24" spans="1:44" ht="36.75">
      <c r="A24" s="375" t="str">
        <f>CONCATENATE('3 pr-2'!A25)</f>
        <v>1.1.1.1.16</v>
      </c>
      <c r="B24" s="375" t="str">
        <f>CONCATENATE('3 pr-2'!B25)</f>
        <v>R01-ZM72-123200-1116</v>
      </c>
      <c r="C24" s="1558" t="str">
        <f>IF('ketv. 4 '!Z25&gt;0,'ketv. 4 '!C25,"-")</f>
        <v>20KI-KA-17-1-02240-PR001</v>
      </c>
      <c r="D24" s="375" t="str">
        <f>CONCATENATE('3 pr-2'!D25)</f>
        <v>Alytaus rajono Talokių kaimo sporto aikštės įrengimas ir Plytinės gatvės apšvietimas</v>
      </c>
      <c r="E24" s="375" t="str">
        <f>CONCATENATE('3 pr-2'!E25)</f>
        <v>Alytaus rajono savivaldybės administracija</v>
      </c>
      <c r="F24" s="375" t="str">
        <f>CONCATENATE('3 pr-2'!F25)</f>
        <v>Lietuvos Respublikos žemės ūkio ministerija</v>
      </c>
      <c r="G24" s="375" t="str">
        <f>CONCATENATE('3 pr-2'!G25)</f>
        <v>Alytaus r. sav.</v>
      </c>
      <c r="H24" s="375" t="str">
        <f>CONCATENATE('3 pr-2'!H25)</f>
        <v xml:space="preserve">Pagrindinės paslaugos ir kaimų atnaujinimas kaimo vietovėse </v>
      </c>
      <c r="I24" s="375" t="str">
        <f>CONCATENATE('3 pr-2'!I25)</f>
        <v>R</v>
      </c>
      <c r="J24" s="375" t="str">
        <f>CONCATENATE('3 pr-2'!J25)</f>
        <v>-</v>
      </c>
      <c r="K24" s="1173">
        <f>SUM('3 pr-2'!L25)</f>
        <v>141312</v>
      </c>
      <c r="L24" s="1162">
        <f t="shared" si="0"/>
        <v>141312</v>
      </c>
      <c r="M24" s="1174">
        <f t="shared" si="1"/>
        <v>0</v>
      </c>
      <c r="N24" s="1175">
        <f t="shared" si="2"/>
        <v>0</v>
      </c>
      <c r="O24" s="1173">
        <f>SUM('3 pr-2'!O25)</f>
        <v>44913</v>
      </c>
      <c r="P24" s="1162">
        <f>SUMIF(KPP!C22:C715,C24,KPP!P22:P715)</f>
        <v>44913</v>
      </c>
      <c r="Q24" s="1174">
        <f t="shared" si="3"/>
        <v>0</v>
      </c>
      <c r="R24" s="1175">
        <f t="shared" si="4"/>
        <v>0</v>
      </c>
      <c r="S24" s="1173">
        <f ca="1">SUM('3 pr-2'!R25)</f>
        <v>0</v>
      </c>
      <c r="T24" s="1162">
        <f>SUMIF(KPP!C22,C24,KPP!R22:R715)</f>
        <v>0</v>
      </c>
      <c r="U24" s="1174">
        <f t="shared" ca="1" si="5"/>
        <v>0</v>
      </c>
      <c r="V24" s="1175">
        <f t="shared" si="6"/>
        <v>0</v>
      </c>
      <c r="W24" s="1173">
        <f>SUM('3 pr-2'!U25)</f>
        <v>0</v>
      </c>
      <c r="X24" s="1173">
        <v>0</v>
      </c>
      <c r="Y24" s="1174">
        <f t="shared" si="17"/>
        <v>0</v>
      </c>
      <c r="Z24" s="1175">
        <f t="shared" si="8"/>
        <v>0</v>
      </c>
      <c r="AA24" s="1173">
        <f>SUM('3 pr-2'!X25)</f>
        <v>0</v>
      </c>
      <c r="AB24" s="1173">
        <v>0</v>
      </c>
      <c r="AC24" s="1174">
        <f t="shared" si="9"/>
        <v>0</v>
      </c>
      <c r="AD24" s="1175">
        <f t="shared" si="10"/>
        <v>0</v>
      </c>
      <c r="AE24" s="1173">
        <f>SUM('3 pr-2'!AA25)</f>
        <v>96399</v>
      </c>
      <c r="AF24" s="1162">
        <f>SUMIF(KPP!C22:C715,C24,KPP!N22:N715)</f>
        <v>96399</v>
      </c>
      <c r="AG24" s="1559">
        <f t="shared" si="11"/>
        <v>0</v>
      </c>
      <c r="AH24" s="1177">
        <f t="shared" si="12"/>
        <v>0</v>
      </c>
      <c r="AI24" s="1173">
        <f>SUM('3 pr-2'!AB25)</f>
        <v>0</v>
      </c>
      <c r="AJ24" s="1162">
        <v>0</v>
      </c>
      <c r="AL24" s="1531">
        <f>SUM(T24+AF24)</f>
        <v>96399</v>
      </c>
      <c r="AM24" s="19">
        <v>96399</v>
      </c>
      <c r="AN24" s="19">
        <f t="shared" ref="AN24:AN29" si="19">SUM(AM24*$AN$8/$AM$8)</f>
        <v>14459.85</v>
      </c>
      <c r="AO24" s="19">
        <f t="shared" ref="AO24:AO29" si="20">SUM(AM24*$AO$8/$AM$8)</f>
        <v>81939.149999999994</v>
      </c>
      <c r="AP24" s="19">
        <f t="shared" ref="AP24:AP29" si="21">SUM(K24*AF24/AE24)</f>
        <v>141312</v>
      </c>
    </row>
    <row r="25" spans="1:44" ht="36.75">
      <c r="A25" s="375" t="str">
        <f>CONCATENATE('3 pr-2'!A26)</f>
        <v>1.1.1.1.17</v>
      </c>
      <c r="B25" s="375" t="str">
        <f>CONCATENATE('3 pr-2'!B26)</f>
        <v>R01-ZM72-120000-1117</v>
      </c>
      <c r="C25" s="1558" t="str">
        <f>IF('ketv. 4 '!Z26&gt;0,'ketv. 4 '!C26,"-")</f>
        <v>20KI-KA-17-1-01639-PR001</v>
      </c>
      <c r="D25" s="375" t="str">
        <f>CONCATENATE('3 pr-2'!D26)</f>
        <v>Varėnos r. Rudnios kaimo Pušyno gatvės įrengimas</v>
      </c>
      <c r="E25" s="375" t="str">
        <f>CONCATENATE('3 pr-2'!E26)</f>
        <v xml:space="preserve">Varėnos rajono savivaldybės administracija </v>
      </c>
      <c r="F25" s="375" t="str">
        <f>CONCATENATE('3 pr-2'!F26)</f>
        <v>Lietuvos Respublikos žemės ūkio ministerija</v>
      </c>
      <c r="G25" s="375" t="str">
        <f>CONCATENATE('3 pr-2'!G26)</f>
        <v>Varėnos r. sav.</v>
      </c>
      <c r="H25" s="375" t="str">
        <f>CONCATENATE('3 pr-2'!H26)</f>
        <v xml:space="preserve">Pagrindinės paslaugos ir kaimų atnaujinimas kaimo vietovėse </v>
      </c>
      <c r="I25" s="375" t="str">
        <f>CONCATENATE('3 pr-2'!I26)</f>
        <v>R</v>
      </c>
      <c r="J25" s="375" t="str">
        <f>CONCATENATE('3 pr-2'!J26)</f>
        <v>-</v>
      </c>
      <c r="K25" s="1173">
        <f>SUM('3 pr-2'!L26)</f>
        <v>115624</v>
      </c>
      <c r="L25" s="1162">
        <f t="shared" si="0"/>
        <v>115624</v>
      </c>
      <c r="M25" s="1174">
        <f t="shared" si="1"/>
        <v>0</v>
      </c>
      <c r="N25" s="1175">
        <f t="shared" si="2"/>
        <v>0</v>
      </c>
      <c r="O25" s="1173">
        <f>SUM('3 pr-2'!O26)</f>
        <v>23125</v>
      </c>
      <c r="P25" s="1162">
        <f>SUMIF(KPP!C23:C716,C25,KPP!P23:P716)</f>
        <v>23125</v>
      </c>
      <c r="Q25" s="1174">
        <f t="shared" si="3"/>
        <v>0</v>
      </c>
      <c r="R25" s="1175">
        <f t="shared" si="4"/>
        <v>0</v>
      </c>
      <c r="S25" s="1173">
        <f ca="1">SUM('3 pr-2'!R26)</f>
        <v>0</v>
      </c>
      <c r="T25" s="1162">
        <f>SUMIF(KPP!C23,C25,KPP!R23:R716)</f>
        <v>0</v>
      </c>
      <c r="U25" s="1174">
        <f t="shared" ca="1" si="5"/>
        <v>0</v>
      </c>
      <c r="V25" s="1175">
        <f t="shared" si="6"/>
        <v>0</v>
      </c>
      <c r="W25" s="1173">
        <f>SUM('3 pr-2'!U26)</f>
        <v>0</v>
      </c>
      <c r="X25" s="1173">
        <v>0</v>
      </c>
      <c r="Y25" s="1174">
        <f t="shared" si="17"/>
        <v>0</v>
      </c>
      <c r="Z25" s="1175">
        <f t="shared" si="8"/>
        <v>0</v>
      </c>
      <c r="AA25" s="1173">
        <f>SUM('3 pr-2'!X26)</f>
        <v>0</v>
      </c>
      <c r="AB25" s="1173">
        <v>0</v>
      </c>
      <c r="AC25" s="1174">
        <f t="shared" si="9"/>
        <v>0</v>
      </c>
      <c r="AD25" s="1175">
        <f t="shared" si="10"/>
        <v>0</v>
      </c>
      <c r="AE25" s="1173">
        <f>SUM('3 pr-2'!AA26)</f>
        <v>92499</v>
      </c>
      <c r="AF25" s="1162">
        <f>SUMIF(KPP!C23:C716,C25,KPP!N23:N716)</f>
        <v>92499</v>
      </c>
      <c r="AG25" s="1559">
        <f t="shared" si="11"/>
        <v>0</v>
      </c>
      <c r="AH25" s="1177">
        <f t="shared" si="12"/>
        <v>0</v>
      </c>
      <c r="AI25" s="1173">
        <f>SUM('3 pr-2'!AB26)</f>
        <v>0</v>
      </c>
      <c r="AJ25" s="1162">
        <v>0</v>
      </c>
      <c r="AL25" s="1531">
        <f t="shared" ref="AL25:AL26" ca="1" si="22">SUM(S25+AE25)</f>
        <v>92499</v>
      </c>
      <c r="AM25" s="19">
        <v>92499</v>
      </c>
      <c r="AN25" s="19">
        <f t="shared" si="19"/>
        <v>13874.85</v>
      </c>
      <c r="AO25" s="19">
        <f t="shared" si="20"/>
        <v>78624.149999999994</v>
      </c>
      <c r="AP25" s="19">
        <f t="shared" si="21"/>
        <v>115624</v>
      </c>
    </row>
    <row r="26" spans="1:44" ht="36.75">
      <c r="A26" s="375" t="str">
        <f>CONCATENATE('3 pr-2'!A27)</f>
        <v>1.1.1.1.18</v>
      </c>
      <c r="B26" s="375" t="str">
        <f>CONCATENATE('3 pr-2'!B27)</f>
        <v>R01-ZM72-340000-1118</v>
      </c>
      <c r="C26" s="1558" t="str">
        <f>IF('ketv. 4 '!Z27&gt;0,'ketv. 4 '!C27,"-")</f>
        <v>20KI-KA-17-1-01666-PR001</v>
      </c>
      <c r="D26" s="375" t="str">
        <f>CONCATENATE('3 pr-2'!D27)</f>
        <v>Varėnos kultūros centro Žilinų filialo pastato atnaujinimas ir pritaikymas bendruomenės poreikiams</v>
      </c>
      <c r="E26" s="375" t="str">
        <f>CONCATENATE('3 pr-2'!E27)</f>
        <v xml:space="preserve">Varėnos rajono savivaldybės administracija </v>
      </c>
      <c r="F26" s="375" t="str">
        <f>CONCATENATE('3 pr-2'!F27)</f>
        <v>Lietuvos Respublikos žemės ūkio ministerija</v>
      </c>
      <c r="G26" s="375" t="str">
        <f>CONCATENATE('3 pr-2'!G27)</f>
        <v>Varėnos r. sav.</v>
      </c>
      <c r="H26" s="375" t="str">
        <f>CONCATENATE('3 pr-2'!H27)</f>
        <v xml:space="preserve">Pagrindinės paslaugos ir kaimų atnaujinimas kaimo vietovėse </v>
      </c>
      <c r="I26" s="375" t="str">
        <f>CONCATENATE('3 pr-2'!I27)</f>
        <v>R</v>
      </c>
      <c r="J26" s="375" t="str">
        <f>CONCATENATE('3 pr-2'!J27)</f>
        <v>-</v>
      </c>
      <c r="K26" s="1173">
        <f>SUM('3 pr-2'!L27)</f>
        <v>250000</v>
      </c>
      <c r="L26" s="1162">
        <f t="shared" si="0"/>
        <v>250000</v>
      </c>
      <c r="M26" s="1174">
        <f t="shared" si="1"/>
        <v>0</v>
      </c>
      <c r="N26" s="1175">
        <f t="shared" si="2"/>
        <v>0</v>
      </c>
      <c r="O26" s="1173">
        <f>SUM('3 pr-2'!O27)</f>
        <v>50000</v>
      </c>
      <c r="P26" s="1162">
        <f>SUMIF(KPP!C24:C717,C26,KPP!P24:P717)</f>
        <v>50000</v>
      </c>
      <c r="Q26" s="1174">
        <f t="shared" si="3"/>
        <v>0</v>
      </c>
      <c r="R26" s="1175">
        <f t="shared" si="4"/>
        <v>0</v>
      </c>
      <c r="S26" s="1173">
        <f ca="1">SUM('3 pr-2'!R27)</f>
        <v>0</v>
      </c>
      <c r="T26" s="1162">
        <f>SUMIF(KPP!C24,C26,KPP!R24:R717)</f>
        <v>0</v>
      </c>
      <c r="U26" s="1174">
        <f t="shared" ca="1" si="5"/>
        <v>0</v>
      </c>
      <c r="V26" s="1175">
        <f t="shared" si="6"/>
        <v>0</v>
      </c>
      <c r="W26" s="1173">
        <f>SUM('3 pr-2'!U27)</f>
        <v>0</v>
      </c>
      <c r="X26" s="1173">
        <v>0</v>
      </c>
      <c r="Y26" s="1174">
        <f t="shared" si="17"/>
        <v>0</v>
      </c>
      <c r="Z26" s="1175">
        <f t="shared" si="8"/>
        <v>0</v>
      </c>
      <c r="AA26" s="1173">
        <f>SUM('3 pr-2'!X27)</f>
        <v>0</v>
      </c>
      <c r="AB26" s="1173">
        <v>0</v>
      </c>
      <c r="AC26" s="1174">
        <f t="shared" si="9"/>
        <v>0</v>
      </c>
      <c r="AD26" s="1175">
        <f t="shared" si="10"/>
        <v>0</v>
      </c>
      <c r="AE26" s="1173">
        <f>SUM('3 pr-2'!AA27)</f>
        <v>200000</v>
      </c>
      <c r="AF26" s="1162">
        <f>SUMIF(KPP!C24:C717,C26,KPP!N24:N717)</f>
        <v>200000</v>
      </c>
      <c r="AG26" s="1559">
        <f t="shared" si="11"/>
        <v>0</v>
      </c>
      <c r="AH26" s="1177">
        <f t="shared" si="12"/>
        <v>0</v>
      </c>
      <c r="AI26" s="1173">
        <f>SUM('3 pr-2'!AB27)</f>
        <v>0</v>
      </c>
      <c r="AJ26" s="1162">
        <v>0</v>
      </c>
      <c r="AL26" s="1531">
        <f t="shared" ca="1" si="22"/>
        <v>200000</v>
      </c>
      <c r="AM26" s="19">
        <v>200000</v>
      </c>
      <c r="AN26" s="19">
        <f t="shared" si="19"/>
        <v>30000</v>
      </c>
      <c r="AO26" s="19">
        <f t="shared" si="20"/>
        <v>170000</v>
      </c>
      <c r="AP26" s="19">
        <f t="shared" si="21"/>
        <v>250000</v>
      </c>
    </row>
    <row r="27" spans="1:44" ht="36.75">
      <c r="A27" s="375" t="str">
        <f>CONCATENATE('3 pr-2'!A28)</f>
        <v>1.1.1.1.19</v>
      </c>
      <c r="B27" s="375" t="str">
        <f>CONCATENATE('3 pr-2'!B28)</f>
        <v>R01-ZM72-120000-1119</v>
      </c>
      <c r="C27" s="1558" t="str">
        <f>IF('ketv. 4 '!Z28&gt;0,'ketv. 4 '!C28,"-")</f>
        <v>20KI-KA-17-1-02648-PR001</v>
      </c>
      <c r="D27" s="375" t="str">
        <f>CONCATENATE('3 pr-2'!D28)</f>
        <v>Alytaus rajono Pivašiūnų kaimo šaligatvių, laiptų kapitalinis remontas ir gyvenvietės apšvietimo įrengimas</v>
      </c>
      <c r="E27" s="375" t="str">
        <f>CONCATENATE('3 pr-2'!E28)</f>
        <v>Alytaus rajono savivaldybės administracija</v>
      </c>
      <c r="F27" s="375" t="str">
        <f>CONCATENATE('3 pr-2'!F28)</f>
        <v>Lietuvos Respublikos žemės ūkio ministerija</v>
      </c>
      <c r="G27" s="375" t="str">
        <f>CONCATENATE('3 pr-2'!G28)</f>
        <v>Alytaus r. sav.</v>
      </c>
      <c r="H27" s="375" t="str">
        <f>CONCATENATE('3 pr-2'!H28)</f>
        <v xml:space="preserve">Pagrindinės paslaugos ir kaimų atnaujinimas kaimo vietovėse </v>
      </c>
      <c r="I27" s="375" t="str">
        <f>CONCATENATE('3 pr-2'!I28)</f>
        <v>R</v>
      </c>
      <c r="J27" s="375" t="str">
        <f>CONCATENATE('3 pr-2'!J28)</f>
        <v>-</v>
      </c>
      <c r="K27" s="1173">
        <f>SUM('3 pr-2'!L28)</f>
        <v>118362</v>
      </c>
      <c r="L27" s="1162">
        <f t="shared" si="0"/>
        <v>118362</v>
      </c>
      <c r="M27" s="1174">
        <f t="shared" si="1"/>
        <v>0</v>
      </c>
      <c r="N27" s="1175">
        <f t="shared" si="2"/>
        <v>0</v>
      </c>
      <c r="O27" s="1173">
        <f>SUM('3 pr-2'!O28)</f>
        <v>23973</v>
      </c>
      <c r="P27" s="1162">
        <f>SUMIF(KPP!C25:C718,C27,KPP!P25:P718)</f>
        <v>23973</v>
      </c>
      <c r="Q27" s="1174">
        <f t="shared" si="3"/>
        <v>0</v>
      </c>
      <c r="R27" s="1175">
        <f t="shared" si="4"/>
        <v>0</v>
      </c>
      <c r="S27" s="1173">
        <f ca="1">SUM('3 pr-2'!R28)</f>
        <v>0</v>
      </c>
      <c r="T27" s="1162">
        <f>SUMIF(KPP!C25,C27,KPP!R25:R718)</f>
        <v>0</v>
      </c>
      <c r="U27" s="1174">
        <f t="shared" ca="1" si="5"/>
        <v>0</v>
      </c>
      <c r="V27" s="1175">
        <f t="shared" si="6"/>
        <v>0</v>
      </c>
      <c r="W27" s="1173">
        <f>SUM('3 pr-2'!U28)</f>
        <v>0</v>
      </c>
      <c r="X27" s="1173">
        <v>0</v>
      </c>
      <c r="Y27" s="1174">
        <f t="shared" si="17"/>
        <v>0</v>
      </c>
      <c r="Z27" s="1175">
        <f t="shared" si="8"/>
        <v>0</v>
      </c>
      <c r="AA27" s="1173">
        <f>SUM('3 pr-2'!X28)</f>
        <v>0</v>
      </c>
      <c r="AB27" s="1173">
        <v>0</v>
      </c>
      <c r="AC27" s="1174">
        <f t="shared" si="9"/>
        <v>0</v>
      </c>
      <c r="AD27" s="1175">
        <f t="shared" si="10"/>
        <v>0</v>
      </c>
      <c r="AE27" s="1173">
        <f>SUM('3 pr-2'!AA28)</f>
        <v>94389</v>
      </c>
      <c r="AF27" s="1162">
        <f>SUMIF(KPP!C25:C718,C27,KPP!N25:N718)</f>
        <v>94389</v>
      </c>
      <c r="AG27" s="1559">
        <f t="shared" si="11"/>
        <v>0</v>
      </c>
      <c r="AH27" s="1177">
        <f t="shared" si="12"/>
        <v>0</v>
      </c>
      <c r="AI27" s="1173">
        <f>SUM('3 pr-2'!AB28)</f>
        <v>0</v>
      </c>
      <c r="AJ27" s="1162">
        <v>0</v>
      </c>
      <c r="AL27" s="1531">
        <f>SUM(T27+AF27)</f>
        <v>94389</v>
      </c>
      <c r="AM27" s="19">
        <v>94389</v>
      </c>
      <c r="AN27" s="19">
        <f t="shared" si="19"/>
        <v>14158.35</v>
      </c>
      <c r="AO27" s="19">
        <f t="shared" si="20"/>
        <v>80230.649999999994</v>
      </c>
      <c r="AP27" s="19">
        <f t="shared" si="21"/>
        <v>118362</v>
      </c>
    </row>
    <row r="28" spans="1:44" ht="36.75">
      <c r="A28" s="375" t="str">
        <f>CONCATENATE('3 pr-2'!A29)</f>
        <v>1.1.1.1.20</v>
      </c>
      <c r="B28" s="375" t="str">
        <f>CONCATENATE('3 pr-2'!B29)</f>
        <v>R01-ZM72-340000-1120</v>
      </c>
      <c r="C28" s="1558" t="str">
        <f>IF('ketv. 4 '!Z29&gt;0,'ketv. 4 '!C29,"-")</f>
        <v>20KI-KA-17-1-01736-PR001</v>
      </c>
      <c r="D28" s="375" t="str">
        <f>CONCATENATE('3 pr-2'!D29)</f>
        <v>Pastato, esančio Pušelės g. 11, Naujųjų Valkininkų k., Varėnos r., atnaujinimas ir pritaikymas bendruomenės poreikiams</v>
      </c>
      <c r="E28" s="375" t="str">
        <f>CONCATENATE('3 pr-2'!E29)</f>
        <v xml:space="preserve">Varėnos rajono savivaldybės administracija </v>
      </c>
      <c r="F28" s="375" t="str">
        <f>CONCATENATE('3 pr-2'!F29)</f>
        <v>Lietuvos Respublikos žemės ūkio ministerija</v>
      </c>
      <c r="G28" s="375" t="str">
        <f>CONCATENATE('3 pr-2'!G29)</f>
        <v>Varėnos r. sav.</v>
      </c>
      <c r="H28" s="375" t="str">
        <f>CONCATENATE('3 pr-2'!H29)</f>
        <v xml:space="preserve">Pagrindinės paslaugos ir kaimų atnaujinimas kaimo vietovėse </v>
      </c>
      <c r="I28" s="375" t="str">
        <f>CONCATENATE('3 pr-2'!I29)</f>
        <v>R</v>
      </c>
      <c r="J28" s="375" t="str">
        <f>CONCATENATE('3 pr-2'!J29)</f>
        <v>-</v>
      </c>
      <c r="K28" s="1560">
        <f>SUM('3 pr-2'!L29)</f>
        <v>250000</v>
      </c>
      <c r="L28" s="1162">
        <f t="shared" si="0"/>
        <v>250000</v>
      </c>
      <c r="M28" s="1559">
        <f t="shared" si="1"/>
        <v>0</v>
      </c>
      <c r="N28" s="1175">
        <f t="shared" si="2"/>
        <v>0</v>
      </c>
      <c r="O28" s="1173">
        <f>SUM('3 pr-2'!O29)</f>
        <v>50000</v>
      </c>
      <c r="P28" s="1162">
        <f>SUMIF(KPP!C26:C719,C28,KPP!P26:P719)</f>
        <v>50000</v>
      </c>
      <c r="Q28" s="1174">
        <f t="shared" si="3"/>
        <v>0</v>
      </c>
      <c r="R28" s="1175">
        <f t="shared" si="4"/>
        <v>0</v>
      </c>
      <c r="S28" s="1173">
        <f ca="1">SUM('3 pr-2'!R29)</f>
        <v>0</v>
      </c>
      <c r="T28" s="1162">
        <f>SUMIF(KPP!C26,C28,KPP!R26:R719)</f>
        <v>0</v>
      </c>
      <c r="U28" s="1174">
        <f t="shared" ca="1" si="5"/>
        <v>0</v>
      </c>
      <c r="V28" s="1175">
        <f t="shared" si="6"/>
        <v>0</v>
      </c>
      <c r="W28" s="1173">
        <f>SUM('3 pr-2'!U29)</f>
        <v>0</v>
      </c>
      <c r="X28" s="1173">
        <v>0</v>
      </c>
      <c r="Y28" s="1174">
        <f t="shared" si="17"/>
        <v>0</v>
      </c>
      <c r="Z28" s="1175">
        <f t="shared" si="8"/>
        <v>0</v>
      </c>
      <c r="AA28" s="1173">
        <f>SUM('3 pr-2'!X29)</f>
        <v>0</v>
      </c>
      <c r="AB28" s="1173">
        <v>0</v>
      </c>
      <c r="AC28" s="1174">
        <f t="shared" si="9"/>
        <v>0</v>
      </c>
      <c r="AD28" s="1175">
        <f t="shared" si="10"/>
        <v>0</v>
      </c>
      <c r="AE28" s="1173">
        <f>SUM('3 pr-2'!AA29)</f>
        <v>200000</v>
      </c>
      <c r="AF28" s="1162">
        <f>SUMIF(KPP!C26:C719,C28,KPP!N26:N719)</f>
        <v>200000</v>
      </c>
      <c r="AG28" s="1559">
        <f t="shared" si="11"/>
        <v>0</v>
      </c>
      <c r="AH28" s="1177">
        <f t="shared" si="12"/>
        <v>0</v>
      </c>
      <c r="AI28" s="1173">
        <f>SUM('3 pr-2'!AB29)</f>
        <v>0</v>
      </c>
      <c r="AJ28" s="1162">
        <v>0</v>
      </c>
      <c r="AL28" s="1531">
        <f ca="1">SUM(S28+AE28)</f>
        <v>200000</v>
      </c>
      <c r="AM28" s="19">
        <v>200000</v>
      </c>
      <c r="AN28" s="19">
        <f t="shared" si="19"/>
        <v>30000</v>
      </c>
      <c r="AO28" s="19">
        <f t="shared" si="20"/>
        <v>170000</v>
      </c>
      <c r="AP28" s="19">
        <f t="shared" si="21"/>
        <v>250000</v>
      </c>
    </row>
    <row r="29" spans="1:44" ht="36.75">
      <c r="A29" s="375" t="str">
        <f>CONCATENATE('3 pr-2'!A30)</f>
        <v>1.1.1.1.21</v>
      </c>
      <c r="B29" s="375" t="str">
        <f>CONCATENATE('3 pr-2'!B30)</f>
        <v>R01-ZM72-120000-1121</v>
      </c>
      <c r="C29" s="1558" t="str">
        <f>IF('ketv. 4 '!Z30&gt;0,'ketv. 4 '!C30,"-")</f>
        <v>20KI-KA-17-1-02364-PR001</v>
      </c>
      <c r="D29" s="375" t="str">
        <f>CONCATENATE('3 pr-2'!D30)</f>
        <v>Kaimo gyvenamųjų vietovių Lazdijų rajono savivaldybėje patrauklumo gerinimas</v>
      </c>
      <c r="E29" s="375" t="str">
        <f>CONCATENATE('3 pr-2'!E30)</f>
        <v>Lazdijų rajono savivaldybės administracija</v>
      </c>
      <c r="F29" s="375" t="str">
        <f>CONCATENATE('3 pr-2'!F30)</f>
        <v>Lietuvos Respublikos žemės ūkio ministerija</v>
      </c>
      <c r="G29" s="375" t="str">
        <f>CONCATENATE('3 pr-2'!G30)</f>
        <v>Lazdijų r. sav.</v>
      </c>
      <c r="H29" s="375" t="str">
        <f>CONCATENATE('3 pr-2'!H30)</f>
        <v xml:space="preserve">Pagrindinės paslaugos ir kaimų atnaujinimas kaimo vietovėse </v>
      </c>
      <c r="I29" s="375" t="str">
        <f>CONCATENATE('3 pr-2'!I30)</f>
        <v>R</v>
      </c>
      <c r="J29" s="375" t="str">
        <f>CONCATENATE('3 pr-2'!J30)</f>
        <v>-</v>
      </c>
      <c r="K29" s="1560">
        <f>SUM('3 pr-2'!L30)</f>
        <v>170000</v>
      </c>
      <c r="L29" s="1162">
        <f t="shared" si="0"/>
        <v>170000</v>
      </c>
      <c r="M29" s="1559">
        <f t="shared" si="1"/>
        <v>0</v>
      </c>
      <c r="N29" s="1175">
        <f t="shared" si="2"/>
        <v>0</v>
      </c>
      <c r="O29" s="1173">
        <f>SUM('3 pr-2'!O30)</f>
        <v>34000</v>
      </c>
      <c r="P29" s="1162">
        <f>SUMIF(KPP!C27:C720,C29,KPP!P27:P720)</f>
        <v>34000</v>
      </c>
      <c r="Q29" s="1174">
        <f t="shared" si="3"/>
        <v>0</v>
      </c>
      <c r="R29" s="1175">
        <f t="shared" si="4"/>
        <v>0</v>
      </c>
      <c r="S29" s="1173">
        <f ca="1">SUM('3 pr-2'!R30)</f>
        <v>0</v>
      </c>
      <c r="T29" s="1162">
        <f>SUMIF(KPP!C27,C29,KPP!R27:R720)</f>
        <v>0</v>
      </c>
      <c r="U29" s="1174">
        <f t="shared" ca="1" si="5"/>
        <v>0</v>
      </c>
      <c r="V29" s="1175">
        <f t="shared" si="6"/>
        <v>0</v>
      </c>
      <c r="W29" s="1173">
        <f>SUM('3 pr-2'!U30)</f>
        <v>0</v>
      </c>
      <c r="X29" s="1173">
        <v>0</v>
      </c>
      <c r="Y29" s="1174">
        <f t="shared" si="17"/>
        <v>0</v>
      </c>
      <c r="Z29" s="1175">
        <f t="shared" si="8"/>
        <v>0</v>
      </c>
      <c r="AA29" s="1173">
        <f>SUM('3 pr-2'!X30)</f>
        <v>0</v>
      </c>
      <c r="AB29" s="1173">
        <v>0</v>
      </c>
      <c r="AC29" s="1174">
        <f t="shared" si="9"/>
        <v>0</v>
      </c>
      <c r="AD29" s="1175">
        <f t="shared" si="10"/>
        <v>0</v>
      </c>
      <c r="AE29" s="1173">
        <f>SUM('3 pr-2'!AA30)</f>
        <v>136000</v>
      </c>
      <c r="AF29" s="1162">
        <f>SUMIF(KPP!C27:C720,C29,KPP!N27:N720)</f>
        <v>136000</v>
      </c>
      <c r="AG29" s="1559">
        <f t="shared" si="11"/>
        <v>0</v>
      </c>
      <c r="AH29" s="1177">
        <f t="shared" si="12"/>
        <v>0</v>
      </c>
      <c r="AI29" s="1173">
        <f>SUM('3 pr-2'!AB30)</f>
        <v>0</v>
      </c>
      <c r="AJ29" s="1162">
        <v>0</v>
      </c>
      <c r="AL29" s="1531">
        <f>SUM(T29+AF29)</f>
        <v>136000</v>
      </c>
      <c r="AM29" s="19">
        <v>136000</v>
      </c>
      <c r="AN29" s="19">
        <f t="shared" si="19"/>
        <v>20400</v>
      </c>
      <c r="AO29" s="19">
        <f t="shared" si="20"/>
        <v>115600</v>
      </c>
      <c r="AP29" s="19">
        <f t="shared" si="21"/>
        <v>170000</v>
      </c>
    </row>
    <row r="30" spans="1:44" ht="36.75">
      <c r="A30" s="375" t="str">
        <f>CONCATENATE('3 pr-2'!A31)</f>
        <v>1.1.1.1.22</v>
      </c>
      <c r="B30" s="375" t="str">
        <f>CONCATENATE('3 pr-2'!B31)</f>
        <v>R01-ZM72-120000-1122</v>
      </c>
      <c r="C30" s="1558" t="str">
        <f>IF('ketv. 4 '!Z31&gt;0,'ketv. 4 '!C31,"-")</f>
        <v>20KI-KA-17-1-02241-PR001</v>
      </c>
      <c r="D30" s="375" t="str">
        <f>CONCATENATE('3 pr-2'!D31)</f>
        <v>Alytaus rajono Makniūnų kaimo šaligatvių atnaujinimas ir plėtra</v>
      </c>
      <c r="E30" s="375" t="str">
        <f>CONCATENATE('3 pr-2'!E31)</f>
        <v>Alytaus rajono savivaldybės administracija</v>
      </c>
      <c r="F30" s="375" t="str">
        <f>CONCATENATE('3 pr-2'!F31)</f>
        <v>Lietuvos Respublikos žemės ūkio ministerija</v>
      </c>
      <c r="G30" s="375" t="str">
        <f>CONCATENATE('3 pr-2'!G31)</f>
        <v>Alytaus r. sav.</v>
      </c>
      <c r="H30" s="375" t="str">
        <f>CONCATENATE('3 pr-2'!H31)</f>
        <v xml:space="preserve">Pagrindinės paslaugos ir kaimų atnaujinimas kaimo vietovėse </v>
      </c>
      <c r="I30" s="375" t="str">
        <f>CONCATENATE('3 pr-2'!I31)</f>
        <v>R</v>
      </c>
      <c r="J30" s="375" t="str">
        <f>CONCATENATE('3 pr-2'!J31)</f>
        <v>-</v>
      </c>
      <c r="K30" s="1173">
        <f>SUM('3 pr-2'!L31)</f>
        <v>145772</v>
      </c>
      <c r="L30" s="1162">
        <f t="shared" si="0"/>
        <v>145772</v>
      </c>
      <c r="M30" s="1174">
        <f t="shared" si="1"/>
        <v>0</v>
      </c>
      <c r="N30" s="1175">
        <f t="shared" si="2"/>
        <v>0</v>
      </c>
      <c r="O30" s="1173">
        <f>SUM('3 pr-2'!O31)</f>
        <v>88979</v>
      </c>
      <c r="P30" s="1162">
        <f>SUMIF(KPP!C28:C721,C30,KPP!P28:P721)</f>
        <v>88979</v>
      </c>
      <c r="Q30" s="1174">
        <f t="shared" si="3"/>
        <v>0</v>
      </c>
      <c r="R30" s="1175">
        <f t="shared" si="4"/>
        <v>0</v>
      </c>
      <c r="S30" s="1173">
        <f ca="1">SUM('3 pr-2'!R31)</f>
        <v>0</v>
      </c>
      <c r="T30" s="1162">
        <f>SUMIF(KPP!C28,C30,KPP!R28:R721)</f>
        <v>0</v>
      </c>
      <c r="U30" s="1174">
        <f t="shared" ca="1" si="5"/>
        <v>0</v>
      </c>
      <c r="V30" s="1175">
        <f t="shared" si="6"/>
        <v>0</v>
      </c>
      <c r="W30" s="1173">
        <f>SUM('3 pr-2'!U31)</f>
        <v>0</v>
      </c>
      <c r="X30" s="1173">
        <v>0</v>
      </c>
      <c r="Y30" s="1174">
        <f t="shared" si="17"/>
        <v>0</v>
      </c>
      <c r="Z30" s="1175">
        <f t="shared" si="8"/>
        <v>0</v>
      </c>
      <c r="AA30" s="1173">
        <f>SUM('3 pr-2'!X31)</f>
        <v>0</v>
      </c>
      <c r="AB30" s="1173">
        <v>0</v>
      </c>
      <c r="AC30" s="1174">
        <f t="shared" si="9"/>
        <v>0</v>
      </c>
      <c r="AD30" s="1175">
        <f t="shared" si="10"/>
        <v>0</v>
      </c>
      <c r="AE30" s="1173">
        <f>SUM('3 pr-2'!AA31)</f>
        <v>56793</v>
      </c>
      <c r="AF30" s="1162">
        <f>SUMIF(KPP!C28:C721,C30,KPP!N28:N721)</f>
        <v>56793</v>
      </c>
      <c r="AG30" s="1559">
        <f t="shared" si="11"/>
        <v>0</v>
      </c>
      <c r="AH30" s="1177">
        <f t="shared" si="12"/>
        <v>0</v>
      </c>
      <c r="AI30" s="1173">
        <f>SUM('3 pr-2'!AB31)</f>
        <v>0</v>
      </c>
      <c r="AJ30" s="1162">
        <v>0</v>
      </c>
      <c r="AL30" s="1531">
        <f ca="1">SUM(S30+AE30)</f>
        <v>56793</v>
      </c>
      <c r="AM30" s="1531">
        <f>SUM(AF30+T30)</f>
        <v>56793</v>
      </c>
      <c r="AN30" s="19">
        <f t="shared" ref="AN30" si="23">SUM(AM30*$AN$8/$AM$8)</f>
        <v>8518.9500000000007</v>
      </c>
      <c r="AO30" s="19">
        <f t="shared" ref="AO30" si="24">SUM(AM30*$AO$8/$AM$8)</f>
        <v>48274.05</v>
      </c>
      <c r="AP30" s="19">
        <f t="shared" ref="AP30" si="25">SUM(K30*AF30/AE30)</f>
        <v>145772</v>
      </c>
      <c r="AR30" s="21">
        <v>2773894.25</v>
      </c>
    </row>
    <row r="31" spans="1:44" ht="37.5" thickBot="1">
      <c r="A31" s="375" t="str">
        <f>CONCATENATE('3 pr-2'!A32)</f>
        <v>1.1.1.1.23</v>
      </c>
      <c r="B31" s="375" t="str">
        <f>CONCATENATE('3 pr-2'!B32)</f>
        <v>R01-ZM72-120000-1123</v>
      </c>
      <c r="C31" s="1558" t="str">
        <f>IF('ketv. 4 '!Z32&gt;0,'ketv. 4 '!C32,"-")</f>
        <v>-</v>
      </c>
      <c r="D31" s="375" t="str">
        <f>CONCATENATE('3 pr-2'!D32)</f>
        <v>Varėnos r. Vazgirdonių kaimo Klevų gatvės įrengimas</v>
      </c>
      <c r="E31" s="375" t="str">
        <f>CONCATENATE('3 pr-2'!E32)</f>
        <v xml:space="preserve">Varėnos rajono savivaldybės administracija </v>
      </c>
      <c r="F31" s="375" t="str">
        <f>CONCATENATE('3 pr-2'!F32)</f>
        <v>Lietuvos Respublikos žemės ūkio ministerija</v>
      </c>
      <c r="G31" s="375" t="str">
        <f>CONCATENATE('3 pr-2'!G32)</f>
        <v>Varėnos r. sav.</v>
      </c>
      <c r="H31" s="375" t="str">
        <f>CONCATENATE('3 pr-2'!H32)</f>
        <v xml:space="preserve">Pagrindinės paslaugos ir kaimų atnaujinimas kaimo vietovėse </v>
      </c>
      <c r="I31" s="375" t="str">
        <f>CONCATENATE('3 pr-2'!I32)</f>
        <v>R</v>
      </c>
      <c r="J31" s="375" t="str">
        <f>CONCATENATE('3 pr-2'!J32)</f>
        <v>-</v>
      </c>
      <c r="K31" s="1173">
        <f>SUM('3 pr-2'!L32)</f>
        <v>160048</v>
      </c>
      <c r="L31" s="1173">
        <f t="shared" si="0"/>
        <v>0</v>
      </c>
      <c r="M31" s="1174">
        <f t="shared" si="1"/>
        <v>160048</v>
      </c>
      <c r="N31" s="1175">
        <f t="shared" si="2"/>
        <v>0</v>
      </c>
      <c r="O31" s="1173">
        <f>SUM('3 pr-2'!O32)</f>
        <v>37451.800000000003</v>
      </c>
      <c r="P31" s="1162">
        <f>SUMIF(KPP!C29:C722,C31,KPP!P29:P722)</f>
        <v>0</v>
      </c>
      <c r="Q31" s="1174">
        <f t="shared" si="3"/>
        <v>37451.800000000003</v>
      </c>
      <c r="R31" s="1175">
        <f t="shared" si="4"/>
        <v>0</v>
      </c>
      <c r="S31" s="1173">
        <f ca="1">SUM('3 pr-2'!R32)</f>
        <v>0</v>
      </c>
      <c r="T31" s="1162">
        <f>SUMIF(KPP!C29,C31,KPP!R29:R722)</f>
        <v>0</v>
      </c>
      <c r="U31" s="1174">
        <f t="shared" ca="1" si="5"/>
        <v>0</v>
      </c>
      <c r="V31" s="1175">
        <f t="shared" si="6"/>
        <v>0</v>
      </c>
      <c r="W31" s="1173">
        <f>SUM('3 pr-2'!U32)</f>
        <v>0</v>
      </c>
      <c r="X31" s="1173">
        <v>0</v>
      </c>
      <c r="Y31" s="1174">
        <f t="shared" si="17"/>
        <v>0</v>
      </c>
      <c r="Z31" s="1175">
        <f t="shared" si="8"/>
        <v>0</v>
      </c>
      <c r="AA31" s="1173">
        <f>SUM('3 pr-2'!X32)</f>
        <v>0</v>
      </c>
      <c r="AB31" s="1173">
        <v>0</v>
      </c>
      <c r="AC31" s="1174">
        <f t="shared" si="9"/>
        <v>0</v>
      </c>
      <c r="AD31" s="1175">
        <f t="shared" si="10"/>
        <v>0</v>
      </c>
      <c r="AE31" s="1173">
        <f>SUM('3 pr-2'!AA32)</f>
        <v>122596.20000000001</v>
      </c>
      <c r="AF31" s="1162">
        <f>SUMIF(KPP!C29:C722,C31,KPP!N29:N722)</f>
        <v>0</v>
      </c>
      <c r="AG31" s="1559">
        <f t="shared" si="11"/>
        <v>122596.20000000001</v>
      </c>
      <c r="AH31" s="1177">
        <f t="shared" si="12"/>
        <v>0</v>
      </c>
      <c r="AI31" s="1173">
        <f>SUM('3 pr-2'!AB32)</f>
        <v>0</v>
      </c>
      <c r="AJ31" s="1173"/>
      <c r="AL31" s="19"/>
      <c r="AM31" s="19"/>
      <c r="AN31" s="19"/>
      <c r="AO31" s="19">
        <f>SUM(AO9:AO30)</f>
        <v>2669686.7999999993</v>
      </c>
      <c r="AP31" s="19"/>
      <c r="AR31" s="21">
        <f>SUM(AR30-AO31)</f>
        <v>104207.45000000065</v>
      </c>
    </row>
    <row r="32" spans="1:44" ht="40.5" customHeight="1" thickBot="1">
      <c r="A32" s="296" t="str">
        <f>CONCATENATE('3 pr-2'!A33)</f>
        <v>1.1.1.2</v>
      </c>
      <c r="B32" s="2088" t="str">
        <f>CONCATENATE('3 pr-2'!B33)</f>
        <v>Priemonė:
Kaimo gyvenamųjų vietovių (turinčių 1-6 tūkst. gyventojų) atnaujinimas ir plėtra</v>
      </c>
      <c r="C32" s="1894"/>
      <c r="D32" s="1894"/>
      <c r="E32" s="1894"/>
      <c r="F32" s="1894"/>
      <c r="G32" s="1894"/>
      <c r="H32" s="1894"/>
      <c r="I32" s="1894"/>
      <c r="J32" s="1895"/>
      <c r="K32" s="1168">
        <f>SUM('3 pr-2'!L33)</f>
        <v>3717325.8</v>
      </c>
      <c r="L32" s="1168">
        <f>SUM(L33:L37)</f>
        <v>2673858.7999999998</v>
      </c>
      <c r="M32" s="1169">
        <f>SUM(M33:M37)</f>
        <v>1043467</v>
      </c>
      <c r="N32" s="1170">
        <f>SUM(N33:N37)</f>
        <v>0</v>
      </c>
      <c r="O32" s="1168">
        <f>SUM('3 pr-2'!O33)</f>
        <v>652364.41999999993</v>
      </c>
      <c r="P32" s="1168">
        <f>SUM(P33:P37)</f>
        <v>574103.41999999993</v>
      </c>
      <c r="Q32" s="1168">
        <f>SUM(Q33:Q37)</f>
        <v>78261</v>
      </c>
      <c r="R32" s="1168">
        <f>SUM(R33:R37)</f>
        <v>0</v>
      </c>
      <c r="S32" s="1168">
        <f>SUM('3 pr-2'!R33)</f>
        <v>248510.74</v>
      </c>
      <c r="T32" s="1168">
        <f>SUM(T33:T37)</f>
        <v>170250.74</v>
      </c>
      <c r="U32" s="1168">
        <f>SUM(U33:U37)</f>
        <v>78260</v>
      </c>
      <c r="V32" s="1168">
        <f>SUM(V33:V37)</f>
        <v>0</v>
      </c>
      <c r="W32" s="1168">
        <f>SUM('3 pr-2'!U33)</f>
        <v>0</v>
      </c>
      <c r="X32" s="1168">
        <f>SUM(X33:X37)</f>
        <v>0</v>
      </c>
      <c r="Y32" s="1168">
        <f>SUM(Y33:Y37)</f>
        <v>0</v>
      </c>
      <c r="Z32" s="1168">
        <f>SUM(Z33:Z37)</f>
        <v>0</v>
      </c>
      <c r="AA32" s="1168">
        <f>SUM('3 pr-2'!X33)</f>
        <v>0</v>
      </c>
      <c r="AB32" s="1168">
        <f>SUM(AB33:AB37)</f>
        <v>0</v>
      </c>
      <c r="AC32" s="1168">
        <f>SUM(AC33:AC37)</f>
        <v>0</v>
      </c>
      <c r="AD32" s="1168">
        <f>SUM(AD33:AD37)</f>
        <v>0</v>
      </c>
      <c r="AE32" s="1168">
        <f>SUM('3 pr-2'!AA33)</f>
        <v>2816450.64</v>
      </c>
      <c r="AF32" s="1168">
        <f>SUM(AF33:AF37)</f>
        <v>1929504.6400000001</v>
      </c>
      <c r="AG32" s="1561">
        <f>SUM(AG33:AG37)</f>
        <v>886946</v>
      </c>
      <c r="AH32" s="1562">
        <f>SUM(AH33:AH37)</f>
        <v>0</v>
      </c>
      <c r="AI32" s="1168">
        <f>SUM(AI33:AI37)</f>
        <v>0</v>
      </c>
      <c r="AJ32" s="1168">
        <f>SUM(AJ33:AJ37)</f>
        <v>0</v>
      </c>
    </row>
    <row r="33" spans="1:37" ht="36.75">
      <c r="A33" s="375" t="str">
        <f>CONCATENATE('3 pr-2'!A34)</f>
        <v>1.1.1.2.1</v>
      </c>
      <c r="B33" s="375" t="str">
        <f>CONCATENATE('3 pr-2'!B34)</f>
        <v>R01-9908-293400-1121</v>
      </c>
      <c r="C33" s="1558" t="str">
        <f>IF('ketv. 4 '!Z34&gt;0,'ketv. 4 '!C34,"-")</f>
        <v>08.2.1-CPVA-R-908-11-0002</v>
      </c>
      <c r="D33" s="375" t="str">
        <f>CONCATENATE('3 pr-2'!D34)</f>
        <v>Matuizų kaimo viešosios infrastruktūros atnaujinimas ir pritaikymas bendruomenės poreikiams</v>
      </c>
      <c r="E33" s="375" t="str">
        <f>CONCATENATE('3 pr-2'!E34)</f>
        <v>Varėnos rajono savivaldybės administracija</v>
      </c>
      <c r="F33" s="375" t="str">
        <f>CONCATENATE('3 pr-2'!F34)</f>
        <v>Lietuvos Respublikos vidaus reikalų ministerija</v>
      </c>
      <c r="G33" s="375" t="str">
        <f>CONCATENATE('3 pr-2'!G34)</f>
        <v>Varėnos r. sav.</v>
      </c>
      <c r="H33" s="375" t="str">
        <f>CONCATENATE('3 pr-2'!H34)</f>
        <v>8.2.1-CPVA-R-908</v>
      </c>
      <c r="I33" s="375" t="str">
        <f>CONCATENATE('3 pr-2'!I34)</f>
        <v>R</v>
      </c>
      <c r="J33" s="375" t="str">
        <f>CONCATENATE('3 pr-2'!J34)</f>
        <v>-</v>
      </c>
      <c r="K33" s="1173">
        <f>SUM('3 pr-2'!L34)</f>
        <v>815537.61</v>
      </c>
      <c r="L33" s="1162">
        <f t="shared" ref="L33:L37" si="26">SUM(P33+T33+X33+AB33+AF33+AJ33)</f>
        <v>815537.61</v>
      </c>
      <c r="M33" s="1174">
        <f t="shared" si="1"/>
        <v>0</v>
      </c>
      <c r="N33" s="1175">
        <f t="shared" ref="N33:N37" si="27">IF(L33&gt;0,K33-L33,0)</f>
        <v>0</v>
      </c>
      <c r="O33" s="1173">
        <f>SUM('3 pr-2'!O34)</f>
        <v>285195.61</v>
      </c>
      <c r="P33" s="1162">
        <f>IF('ketv. 5 '!U33&gt;0,'ketv. 7 '!R32,SUMIF(Projektu_sutarciu_ataskaita!$J:$J,C33,Projektu_sutarciu_ataskaita!$DK:$DK))</f>
        <v>285195.61</v>
      </c>
      <c r="Q33" s="1174">
        <f t="shared" si="3"/>
        <v>0</v>
      </c>
      <c r="R33" s="1175">
        <f t="shared" ref="R33:R37" si="28">IF(P33&gt;0,O33-P33,0)</f>
        <v>0</v>
      </c>
      <c r="S33" s="1173">
        <f>SUM('3 pr-2'!R34)</f>
        <v>43001</v>
      </c>
      <c r="T33" s="1162">
        <f>IF('ketv. 5 '!U33&gt;0,'ketv. 7 '!W32,SUMIF(Projektu_sutarciu_ataskaita!$J:$J,C33,Projektu_sutarciu_ataskaita!$DG:$DG))</f>
        <v>43001</v>
      </c>
      <c r="U33" s="1174">
        <f t="shared" ref="U33:U37" si="29">SUM(S33-T33)</f>
        <v>0</v>
      </c>
      <c r="V33" s="1175">
        <f t="shared" ref="V33:V37" si="30">IF(T33&gt;0,S33-T33,0)</f>
        <v>0</v>
      </c>
      <c r="W33" s="1173">
        <f>SUM('3 pr-2'!U34)</f>
        <v>0</v>
      </c>
      <c r="X33" s="1173">
        <f>IF('ketv. 5 '!U33&gt;0,'ketv. 7 '!AB32,SUMIF(Projektu_sutarciu_ataskaita!$J:$J,C33,Projektu_sutarciu_ataskaita!$DM:$DM))</f>
        <v>0</v>
      </c>
      <c r="Y33" s="1174">
        <f t="shared" ref="Y33:Y37" si="31">SUM(W33-X33)</f>
        <v>0</v>
      </c>
      <c r="Z33" s="1175">
        <f t="shared" ref="Z33:Z37" si="32">IF(X33&gt;0,W33-X33,0)</f>
        <v>0</v>
      </c>
      <c r="AA33" s="1173">
        <f>SUM('3 pr-2'!X34)</f>
        <v>0</v>
      </c>
      <c r="AB33" s="1173">
        <f>IF('ketv. 5 '!U33&gt;0,'ketv. 7 '!AG32,SUMIF(Projektu_sutarciu_ataskaita!$J:$J,C33,Projektu_sutarciu_ataskaita!$DL:$DL)+SUMIF(Projektu_sutarciu_ataskaita!$J:$J,C33,Projektu_sutarciu_ataskaita!$DJ:$DJ))</f>
        <v>0</v>
      </c>
      <c r="AC33" s="1174">
        <f>SUM(AA33-AB33)</f>
        <v>0</v>
      </c>
      <c r="AD33" s="1175">
        <f t="shared" ref="AD33:AD37" si="33">IF(AB33&gt;0,AA33-AB33,0)</f>
        <v>0</v>
      </c>
      <c r="AE33" s="1173">
        <f>SUM('3 pr-2'!AA34)</f>
        <v>487341</v>
      </c>
      <c r="AF33" s="1162">
        <f>IF('ketv. 5 '!U33&gt;0,'ketv. 7 '!AL32,SUMIF(Projektu_sutarciu_ataskaita!$J:$J,C33,Projektu_sutarciu_ataskaita!$DF:$DF))</f>
        <v>487341</v>
      </c>
      <c r="AG33" s="1559">
        <f t="shared" ref="AG33:AG37" si="34">SUM(AE33-AF33)</f>
        <v>0</v>
      </c>
      <c r="AH33" s="1177">
        <f t="shared" ref="AH33:AH37" si="35">IF(AF33&gt;0,AE33-AF33,0)</f>
        <v>0</v>
      </c>
      <c r="AI33" s="1173">
        <f>SUM('3 pr-2'!AB34)</f>
        <v>0</v>
      </c>
      <c r="AJ33" s="1162">
        <v>0</v>
      </c>
      <c r="AK33" s="799">
        <f>SUM(T33+AF33)</f>
        <v>530342</v>
      </c>
    </row>
    <row r="34" spans="1:37" ht="36.75">
      <c r="A34" s="375" t="str">
        <f>CONCATENATE('3 pr-2'!A35)</f>
        <v>1.1.1.2.2</v>
      </c>
      <c r="B34" s="375" t="str">
        <f>CONCATENATE('3 pr-2'!B35)</f>
        <v>R01-9908-290000-1122</v>
      </c>
      <c r="C34" s="1558" t="str">
        <f>IF('ketv. 4 '!Z35&gt;0,'ketv. 4 '!C35,"-")</f>
        <v>08.2.1-CPVA-R-908-11-0001</v>
      </c>
      <c r="D34" s="375" t="str">
        <f>CONCATENATE('3 pr-2'!D35)</f>
        <v>Senosios Varėnos kaimo viešosios infrastruktūros atnaujinimas ir pritaikymas bendruomenės poreikiams</v>
      </c>
      <c r="E34" s="375" t="str">
        <f>CONCATENATE('3 pr-2'!E35)</f>
        <v>Varėnos rajono savivaldybės administracija</v>
      </c>
      <c r="F34" s="375" t="str">
        <f>CONCATENATE('3 pr-2'!F35)</f>
        <v>Lietuvos Respublikos vidaus reikalų ministerija</v>
      </c>
      <c r="G34" s="375" t="str">
        <f>CONCATENATE('3 pr-2'!G35)</f>
        <v>Varėnos r. sav.</v>
      </c>
      <c r="H34" s="375" t="str">
        <f>CONCATENATE('3 pr-2'!H35)</f>
        <v>8.2.1-CPVA-R-908</v>
      </c>
      <c r="I34" s="375" t="str">
        <f>CONCATENATE('3 pr-2'!I35)</f>
        <v>R</v>
      </c>
      <c r="J34" s="375" t="str">
        <f>CONCATENATE('3 pr-2'!J35)</f>
        <v>-</v>
      </c>
      <c r="K34" s="1173">
        <f>SUM('3 pr-2'!L35)</f>
        <v>605024.19999999995</v>
      </c>
      <c r="L34" s="1162">
        <f t="shared" si="26"/>
        <v>605024.19999999995</v>
      </c>
      <c r="M34" s="1174">
        <f>SUM(K34-L34)</f>
        <v>0</v>
      </c>
      <c r="N34" s="1175">
        <f>IF(L34&gt;0,K34-L34,0)</f>
        <v>0</v>
      </c>
      <c r="O34" s="1173">
        <f>SUM('3 pr-2'!O35)</f>
        <v>45376.82</v>
      </c>
      <c r="P34" s="1162">
        <f>IF('ketv. 5 '!U34&gt;0,'ketv. 7 '!R33,SUMIF(Projektu_sutarciu_ataskaita!$J:$J,C34,Projektu_sutarciu_ataskaita!$DK:$DK))</f>
        <v>45376.82</v>
      </c>
      <c r="Q34" s="1174">
        <f t="shared" si="3"/>
        <v>0</v>
      </c>
      <c r="R34" s="1175">
        <f t="shared" si="28"/>
        <v>0</v>
      </c>
      <c r="S34" s="1173">
        <f>SUM('3 pr-2'!R35)</f>
        <v>45376.81</v>
      </c>
      <c r="T34" s="1162">
        <f>IF('ketv. 5 '!U34&gt;0,'ketv. 7 '!W33,SUMIF(Projektu_sutarciu_ataskaita!$J:$J,C34,Projektu_sutarciu_ataskaita!$DG:$DG))</f>
        <v>45376.81</v>
      </c>
      <c r="U34" s="1174">
        <f t="shared" si="29"/>
        <v>0</v>
      </c>
      <c r="V34" s="1175">
        <f t="shared" si="30"/>
        <v>0</v>
      </c>
      <c r="W34" s="1173">
        <f>SUM('3 pr-2'!U35)</f>
        <v>0</v>
      </c>
      <c r="X34" s="1173">
        <f>IF('ketv. 5 '!U34&gt;0,'ketv. 7 '!AB33,SUMIF(Projektu_sutarciu_ataskaita!$J:$J,C34,Projektu_sutarciu_ataskaita!$DM:$DM))</f>
        <v>0</v>
      </c>
      <c r="Y34" s="1174">
        <f t="shared" si="31"/>
        <v>0</v>
      </c>
      <c r="Z34" s="1175">
        <f t="shared" si="32"/>
        <v>0</v>
      </c>
      <c r="AA34" s="1173">
        <f>SUM('3 pr-2'!X35)</f>
        <v>0</v>
      </c>
      <c r="AB34" s="1173">
        <f>IF('ketv. 5 '!U34&gt;0,'ketv. 7 '!AG33,SUMIF(Projektu_sutarciu_ataskaita!$J:$J,C34,Projektu_sutarciu_ataskaita!$DL:$DL)+SUMIF(Projektu_sutarciu_ataskaita!$J:$J,C34,Projektu_sutarciu_ataskaita!$DJ:$DJ))</f>
        <v>0</v>
      </c>
      <c r="AC34" s="1174">
        <f>SUM(AA34-AB34)</f>
        <v>0</v>
      </c>
      <c r="AD34" s="1175">
        <f t="shared" si="33"/>
        <v>0</v>
      </c>
      <c r="AE34" s="1173">
        <f>SUM('3 pr-2'!AA35)</f>
        <v>514270.57</v>
      </c>
      <c r="AF34" s="1162">
        <f>IF('ketv. 5 '!U34&gt;0,'ketv. 7 '!AL33,SUMIF(Projektu_sutarciu_ataskaita!$J:$J,C34,Projektu_sutarciu_ataskaita!$DF:$DF))</f>
        <v>514270.57</v>
      </c>
      <c r="AG34" s="1559">
        <f t="shared" si="34"/>
        <v>0</v>
      </c>
      <c r="AH34" s="1177">
        <f t="shared" si="35"/>
        <v>0</v>
      </c>
      <c r="AI34" s="1173">
        <f>SUM('3 pr-2'!AB35)</f>
        <v>0</v>
      </c>
      <c r="AJ34" s="1162">
        <v>0</v>
      </c>
      <c r="AK34" s="799">
        <f>SUM(T34+AF34)</f>
        <v>559647.38</v>
      </c>
    </row>
    <row r="35" spans="1:37" ht="36.75">
      <c r="A35" s="375" t="str">
        <f>CONCATENATE('3 pr-2'!A36)</f>
        <v>1.1.1.2.3</v>
      </c>
      <c r="B35" s="375" t="str">
        <f>CONCATENATE('3 pr-2'!B36)</f>
        <v>R01-9908-290000-1123</v>
      </c>
      <c r="C35" s="1558" t="str">
        <f>IF('ketv. 4 '!Z36&gt;0,'ketv. 4 '!C36,"-")</f>
        <v>-</v>
      </c>
      <c r="D35" s="375" t="str">
        <f>CONCATENATE('3 pr-2'!D36)</f>
        <v>Kompleksinė Miklusėnų gyvenvietės plėtra</v>
      </c>
      <c r="E35" s="375" t="str">
        <f>CONCATENATE('3 pr-2'!E36)</f>
        <v>Alytaus rajono savivaldybės administracija</v>
      </c>
      <c r="F35" s="375" t="str">
        <f>CONCATENATE('3 pr-2'!F36)</f>
        <v>Lietuvos Respublikos vidaus reikalų ministerija</v>
      </c>
      <c r="G35" s="375" t="str">
        <f>CONCATENATE('3 pr-2'!G36)</f>
        <v>Alytaus r. sav.</v>
      </c>
      <c r="H35" s="375" t="str">
        <f>CONCATENATE('3 pr-2'!H36)</f>
        <v>8.2.1-CPVA-R-908</v>
      </c>
      <c r="I35" s="375" t="str">
        <f>CONCATENATE('3 pr-2'!I36)</f>
        <v>R</v>
      </c>
      <c r="J35" s="375" t="str">
        <f>CONCATENATE('3 pr-2'!J36)</f>
        <v>-</v>
      </c>
      <c r="K35" s="1173">
        <f>SUM('3 pr-2'!L36)</f>
        <v>1043467</v>
      </c>
      <c r="L35" s="1173">
        <f t="shared" si="26"/>
        <v>0</v>
      </c>
      <c r="M35" s="1174">
        <f t="shared" si="1"/>
        <v>1043467</v>
      </c>
      <c r="N35" s="1175">
        <f t="shared" si="27"/>
        <v>0</v>
      </c>
      <c r="O35" s="1173">
        <f>SUM('3 pr-2'!O36)</f>
        <v>78261</v>
      </c>
      <c r="P35" s="1173">
        <f>IF('ketv. 5 '!U35&gt;0,'ketv. 7 '!R34,SUMIF(Projektu_sutarciu_ataskaita!$J:$J,C35,Projektu_sutarciu_ataskaita!$DK:$DK))</f>
        <v>0</v>
      </c>
      <c r="Q35" s="1174">
        <f t="shared" si="3"/>
        <v>78261</v>
      </c>
      <c r="R35" s="1175">
        <f t="shared" si="28"/>
        <v>0</v>
      </c>
      <c r="S35" s="1173">
        <f>SUM('3 pr-2'!R36)</f>
        <v>78260</v>
      </c>
      <c r="T35" s="1173">
        <f>IF('ketv. 5 '!U35&gt;0,'ketv. 7 '!W34,SUMIF(Projektu_sutarciu_ataskaita!$J:$J,C35,Projektu_sutarciu_ataskaita!$DG:$DG))</f>
        <v>0</v>
      </c>
      <c r="U35" s="1174">
        <f t="shared" si="29"/>
        <v>78260</v>
      </c>
      <c r="V35" s="1175">
        <f t="shared" si="30"/>
        <v>0</v>
      </c>
      <c r="W35" s="1173">
        <f>SUM('3 pr-2'!U36)</f>
        <v>0</v>
      </c>
      <c r="X35" s="1173">
        <f>IF('ketv. 5 '!U35&gt;0,'ketv. 7 '!AB34,SUMIF(Projektu_sutarciu_ataskaita!$J:$J,C35,Projektu_sutarciu_ataskaita!$DM:$DM))</f>
        <v>0</v>
      </c>
      <c r="Y35" s="1174">
        <f t="shared" si="31"/>
        <v>0</v>
      </c>
      <c r="Z35" s="1175">
        <f t="shared" si="32"/>
        <v>0</v>
      </c>
      <c r="AA35" s="1173">
        <f>SUM('3 pr-2'!X36)</f>
        <v>0</v>
      </c>
      <c r="AB35" s="1173">
        <f>IF('ketv. 5 '!U35&gt;0,'ketv. 7 '!AG34,SUMIF(Projektu_sutarciu_ataskaita!$J:$J,C35,Projektu_sutarciu_ataskaita!$DL:$DL)+SUMIF(Projektu_sutarciu_ataskaita!$J:$J,C35,Projektu_sutarciu_ataskaita!$DJ:$DJ))</f>
        <v>0</v>
      </c>
      <c r="AC35" s="1174">
        <f>SUM(AA35-AB35)</f>
        <v>0</v>
      </c>
      <c r="AD35" s="1175">
        <f t="shared" si="33"/>
        <v>0</v>
      </c>
      <c r="AE35" s="1173">
        <f>SUM('3 pr-2'!AA36)</f>
        <v>886946</v>
      </c>
      <c r="AF35" s="1173">
        <f>IF('ketv. 5 '!U35&gt;0,'ketv. 7 '!AL34,SUMIF(Projektu_sutarciu_ataskaita!$J:$J,C35,Projektu_sutarciu_ataskaita!$DF:$DF))</f>
        <v>0</v>
      </c>
      <c r="AG35" s="1559">
        <f t="shared" si="34"/>
        <v>886946</v>
      </c>
      <c r="AH35" s="1177">
        <f t="shared" si="35"/>
        <v>0</v>
      </c>
      <c r="AI35" s="1173">
        <f>SUM('3 pr-2'!AB36)</f>
        <v>0</v>
      </c>
      <c r="AJ35" s="1173"/>
      <c r="AK35" s="799"/>
    </row>
    <row r="36" spans="1:37" ht="36.75">
      <c r="A36" s="375" t="str">
        <f>CONCATENATE('3 pr-2'!A37)</f>
        <v>1.1.1.2.4</v>
      </c>
      <c r="B36" s="375" t="str">
        <f>CONCATENATE('3 pr-2'!B37)</f>
        <v>R01-9908-290000-1124</v>
      </c>
      <c r="C36" s="1558" t="str">
        <f>IF('ketv. 4 '!Z37&gt;0,'ketv. 4 '!C37,"-")</f>
        <v>08.2.1-CPVA-R-908-11-0003</v>
      </c>
      <c r="D36" s="375" t="str">
        <f>CONCATENATE('3 pr-2'!D37)</f>
        <v>Leipalingio viešosios erdvės pritaikymas bendruomenės poreikiams</v>
      </c>
      <c r="E36" s="375" t="str">
        <f>CONCATENATE('3 pr-2'!E37)</f>
        <v xml:space="preserve">Druskininkų savivaldybės administracija  </v>
      </c>
      <c r="F36" s="375" t="str">
        <f>CONCATENATE('3 pr-2'!F37)</f>
        <v>Lietuvos Respublikos vidaus reikalų ministerija</v>
      </c>
      <c r="G36" s="375" t="str">
        <f>CONCATENATE('3 pr-2'!G37)</f>
        <v>Druskininkų sav.</v>
      </c>
      <c r="H36" s="375" t="str">
        <f>CONCATENATE('3 pr-2'!H37)</f>
        <v>8.2.1-CPVA-R-908</v>
      </c>
      <c r="I36" s="375" t="str">
        <f>CONCATENATE('3 pr-2'!I37)</f>
        <v>R</v>
      </c>
      <c r="J36" s="375" t="str">
        <f>CONCATENATE('3 pr-2'!J37)</f>
        <v>-</v>
      </c>
      <c r="K36" s="1173">
        <f>SUM('3 pr-2'!L37)</f>
        <v>579418.99</v>
      </c>
      <c r="L36" s="1162">
        <f t="shared" si="26"/>
        <v>579418.99</v>
      </c>
      <c r="M36" s="1174">
        <f>SUM(K36-L36)</f>
        <v>0</v>
      </c>
      <c r="N36" s="1175">
        <f>IF(L36&gt;0,K36-L36,0)</f>
        <v>0</v>
      </c>
      <c r="O36" s="1173">
        <f>SUM('3 pr-2'!O37)</f>
        <v>192989.99</v>
      </c>
      <c r="P36" s="1162">
        <f>IF('ketv. 5 '!U36&gt;0,'ketv. 7 '!R35,SUMIF(Projektu_sutarciu_ataskaita!$J:$J,C36,Projektu_sutarciu_ataskaita!$DK:$DK))</f>
        <v>192989.99</v>
      </c>
      <c r="Q36" s="1174">
        <f t="shared" si="3"/>
        <v>0</v>
      </c>
      <c r="R36" s="1175">
        <f t="shared" si="28"/>
        <v>0</v>
      </c>
      <c r="S36" s="1173">
        <f>SUM('3 pr-2'!R37)</f>
        <v>31332.09</v>
      </c>
      <c r="T36" s="1162">
        <f>IF('ketv. 5 '!U36&gt;0,'ketv. 7 '!W35,SUMIF(Projektu_sutarciu_ataskaita!$J:$J,C36,Projektu_sutarciu_ataskaita!$DG:$DG))</f>
        <v>31332.09</v>
      </c>
      <c r="U36" s="1174">
        <f t="shared" si="29"/>
        <v>0</v>
      </c>
      <c r="V36" s="1175">
        <f t="shared" si="30"/>
        <v>0</v>
      </c>
      <c r="W36" s="1173">
        <f>SUM('3 pr-2'!U37)</f>
        <v>0</v>
      </c>
      <c r="X36" s="1173">
        <f>IF('ketv. 5 '!U36&gt;0,'ketv. 7 '!AB35,SUMIF(Projektu_sutarciu_ataskaita!$J:$J,C36,Projektu_sutarciu_ataskaita!$DM:$DM))</f>
        <v>0</v>
      </c>
      <c r="Y36" s="1174">
        <f t="shared" si="31"/>
        <v>0</v>
      </c>
      <c r="Z36" s="1175">
        <f t="shared" si="32"/>
        <v>0</v>
      </c>
      <c r="AA36" s="1173">
        <f>SUM('3 pr-2'!X37)</f>
        <v>0</v>
      </c>
      <c r="AB36" s="1173">
        <f>IF('ketv. 5 '!U36&gt;0,'ketv. 7 '!AG35,SUMIF(Projektu_sutarciu_ataskaita!$J:$J,C36,Projektu_sutarciu_ataskaita!$DL:$DL)+SUMIF(Projektu_sutarciu_ataskaita!$J:$J,C36,Projektu_sutarciu_ataskaita!$DJ:$DJ))</f>
        <v>0</v>
      </c>
      <c r="AC36" s="1174">
        <f>SUM(AA36-AB36)</f>
        <v>0</v>
      </c>
      <c r="AD36" s="1175">
        <f t="shared" si="33"/>
        <v>0</v>
      </c>
      <c r="AE36" s="1173">
        <f>SUM('3 pr-2'!AA37)</f>
        <v>355096.91</v>
      </c>
      <c r="AF36" s="1162">
        <f>IF('ketv. 5 '!U36&gt;0,'ketv. 7 '!AL35,SUMIF(Projektu_sutarciu_ataskaita!$J:$J,C36,Projektu_sutarciu_ataskaita!$DF:$DF))</f>
        <v>355096.91</v>
      </c>
      <c r="AG36" s="1559">
        <f t="shared" si="34"/>
        <v>0</v>
      </c>
      <c r="AH36" s="1177">
        <f t="shared" si="35"/>
        <v>0</v>
      </c>
      <c r="AI36" s="1173">
        <f>SUM('3 pr-2'!AB37)</f>
        <v>0</v>
      </c>
      <c r="AJ36" s="1162">
        <v>0</v>
      </c>
      <c r="AK36" s="799">
        <f>SUM(T36+AF36)</f>
        <v>386429</v>
      </c>
    </row>
    <row r="37" spans="1:37" ht="37.5" thickBot="1">
      <c r="A37" s="375" t="str">
        <f>CONCATENATE('3 pr-2'!A38)</f>
        <v>1.1.1.2.5</v>
      </c>
      <c r="B37" s="375" t="str">
        <f>CONCATENATE('3 pr-2'!B38)</f>
        <v>R01-9908-290000-1125</v>
      </c>
      <c r="C37" s="1558" t="str">
        <f>IF('ketv. 4 '!Z38&gt;0,'ketv. 4 '!C38,"-")</f>
        <v>08.2.1-CPVA-R-908-11-0004</v>
      </c>
      <c r="D37" s="375" t="str">
        <f>CONCATENATE('3 pr-2'!D38)</f>
        <v>Viečiūnų viešosios erdvės pritaikymas bendruomenės poreikiams</v>
      </c>
      <c r="E37" s="375" t="str">
        <f>CONCATENATE('3 pr-2'!E38)</f>
        <v xml:space="preserve">Druskininkų savivaldybės administracija  </v>
      </c>
      <c r="F37" s="375" t="str">
        <f>CONCATENATE('3 pr-2'!F38)</f>
        <v>Lietuvos Respublikos vidaus reikalų ministerija</v>
      </c>
      <c r="G37" s="375" t="str">
        <f>CONCATENATE('3 pr-2'!G38)</f>
        <v>Druskininkų sav.</v>
      </c>
      <c r="H37" s="375" t="str">
        <f>CONCATENATE('3 pr-2'!H38)</f>
        <v>8.2.1-CPVA-R-908</v>
      </c>
      <c r="I37" s="375" t="str">
        <f>CONCATENATE('3 pr-2'!I38)</f>
        <v>R</v>
      </c>
      <c r="J37" s="375" t="str">
        <f>CONCATENATE('3 pr-2'!J38)</f>
        <v>-</v>
      </c>
      <c r="K37" s="1173">
        <f>SUM('3 pr-2'!L38)</f>
        <v>673878</v>
      </c>
      <c r="L37" s="1162">
        <f t="shared" si="26"/>
        <v>673878</v>
      </c>
      <c r="M37" s="1174">
        <f t="shared" si="1"/>
        <v>0</v>
      </c>
      <c r="N37" s="1175">
        <f t="shared" si="27"/>
        <v>0</v>
      </c>
      <c r="O37" s="1173">
        <f>SUM('3 pr-2'!O38)</f>
        <v>50541</v>
      </c>
      <c r="P37" s="1162">
        <f>IF('ketv. 5 '!U37&gt;0,'ketv. 7 '!R36,SUMIF(Projektu_sutarciu_ataskaita!$J:$J,C37,Projektu_sutarciu_ataskaita!$DK:$DK))</f>
        <v>50541</v>
      </c>
      <c r="Q37" s="1174">
        <f t="shared" si="3"/>
        <v>0</v>
      </c>
      <c r="R37" s="1175">
        <f t="shared" si="28"/>
        <v>0</v>
      </c>
      <c r="S37" s="1173">
        <f>SUM('3 pr-2'!R38)</f>
        <v>50540.84</v>
      </c>
      <c r="T37" s="1162">
        <f>IF('ketv. 5 '!U37&gt;0,'ketv. 7 '!W36,SUMIF(Projektu_sutarciu_ataskaita!$J:$J,C37,Projektu_sutarciu_ataskaita!$DG:$DG))</f>
        <v>50540.84</v>
      </c>
      <c r="U37" s="1174">
        <f t="shared" si="29"/>
        <v>0</v>
      </c>
      <c r="V37" s="1175">
        <f t="shared" si="30"/>
        <v>0</v>
      </c>
      <c r="W37" s="1173">
        <f>SUM('3 pr-2'!U38)</f>
        <v>0</v>
      </c>
      <c r="X37" s="1173">
        <f>IF('ketv. 5 '!U37&gt;0,'ketv. 7 '!AB36,SUMIF(Projektu_sutarciu_ataskaita!$J:$J,C37,Projektu_sutarciu_ataskaita!$DM:$DM))</f>
        <v>0</v>
      </c>
      <c r="Y37" s="1174">
        <f t="shared" si="31"/>
        <v>0</v>
      </c>
      <c r="Z37" s="1175">
        <f t="shared" si="32"/>
        <v>0</v>
      </c>
      <c r="AA37" s="1173">
        <f>SUM('3 pr-2'!X38)</f>
        <v>0</v>
      </c>
      <c r="AB37" s="1173">
        <f>IF('ketv. 5 '!U37&gt;0,'ketv. 7 '!AG36,SUMIF(Projektu_sutarciu_ataskaita!$J:$J,C37,Projektu_sutarciu_ataskaita!$DL:$DL)+SUMIF(Projektu_sutarciu_ataskaita!$J:$J,C37,Projektu_sutarciu_ataskaita!$DJ:$DJ))</f>
        <v>0</v>
      </c>
      <c r="AC37" s="1174">
        <f>SUM(AA37-AB37)</f>
        <v>0</v>
      </c>
      <c r="AD37" s="1175">
        <f t="shared" si="33"/>
        <v>0</v>
      </c>
      <c r="AE37" s="1173">
        <f>SUM('3 pr-2'!AA38)</f>
        <v>572796.16000000003</v>
      </c>
      <c r="AF37" s="1162">
        <f>IF('ketv. 5 '!U37&gt;0,'ketv. 7 '!AL36,SUMIF(Projektu_sutarciu_ataskaita!$J:$J,C37,Projektu_sutarciu_ataskaita!$DF:$DF))</f>
        <v>572796.16000000003</v>
      </c>
      <c r="AG37" s="1559">
        <f t="shared" si="34"/>
        <v>0</v>
      </c>
      <c r="AH37" s="1177">
        <f t="shared" si="35"/>
        <v>0</v>
      </c>
      <c r="AI37" s="1173">
        <f>SUM('3 pr-2'!AB38)</f>
        <v>0</v>
      </c>
      <c r="AJ37" s="1162">
        <v>0</v>
      </c>
      <c r="AK37" s="799">
        <f>SUM(T37+AF37)</f>
        <v>623337</v>
      </c>
    </row>
    <row r="38" spans="1:37" ht="36.75" customHeight="1" thickBot="1">
      <c r="A38" s="296" t="str">
        <f>CONCATENATE('3 pr-2'!A39)</f>
        <v>1.1.1.3</v>
      </c>
      <c r="B38" s="2088" t="str">
        <f>CONCATENATE('3 pr-2'!B39)</f>
        <v>Priemonė:
Varėnos miesto kompleksinė plėtra</v>
      </c>
      <c r="C38" s="1894"/>
      <c r="D38" s="1894"/>
      <c r="E38" s="1894"/>
      <c r="F38" s="1894"/>
      <c r="G38" s="1894"/>
      <c r="H38" s="1894"/>
      <c r="I38" s="1894"/>
      <c r="J38" s="1895"/>
      <c r="K38" s="1168">
        <f>SUM('3 pr-2'!L39)</f>
        <v>4359732.13</v>
      </c>
      <c r="L38" s="1168">
        <f>SUM(L39:L43)</f>
        <v>3888912.3700000006</v>
      </c>
      <c r="M38" s="1169">
        <f>SUM(M39:M43)</f>
        <v>-14820.640000000305</v>
      </c>
      <c r="N38" s="1170">
        <f>SUM(N39:N43)</f>
        <v>-14820.640000000305</v>
      </c>
      <c r="O38" s="1168">
        <f>SUM('3 pr-2'!O39)</f>
        <v>336200.36</v>
      </c>
      <c r="P38" s="1168">
        <f>SUM(P39:P43)</f>
        <v>424754.6</v>
      </c>
      <c r="Q38" s="1168">
        <f>SUM(Q39:Q43)</f>
        <v>-126071.42</v>
      </c>
      <c r="R38" s="1168">
        <f>SUM(R39:R43)</f>
        <v>-126071.42</v>
      </c>
      <c r="S38" s="1168">
        <f>SUM('3 pr-2'!R39)</f>
        <v>326232.31000000006</v>
      </c>
      <c r="T38" s="1168">
        <f>SUM(T39:T43)</f>
        <v>307154.90000000002</v>
      </c>
      <c r="U38" s="1168">
        <f>SUM(U39:U43)</f>
        <v>-17256.750000000015</v>
      </c>
      <c r="V38" s="1168">
        <f>SUM(V39:V43)</f>
        <v>-17256.750000000015</v>
      </c>
      <c r="W38" s="1168">
        <f>SUM('3 pr-2'!U39)</f>
        <v>0</v>
      </c>
      <c r="X38" s="1168">
        <f>SUM(X39:X43)</f>
        <v>0</v>
      </c>
      <c r="Y38" s="1168">
        <f>SUM(Y39:Y43)</f>
        <v>0</v>
      </c>
      <c r="Z38" s="1168">
        <f>SUM(Z39:Z43)</f>
        <v>0</v>
      </c>
      <c r="AA38" s="1168">
        <f>SUM('3 pr-2'!X39)</f>
        <v>0</v>
      </c>
      <c r="AB38" s="1168">
        <f>SUM(AB39:AB43)</f>
        <v>0</v>
      </c>
      <c r="AC38" s="1168">
        <f>SUM(AC39:AC43)</f>
        <v>0</v>
      </c>
      <c r="AD38" s="1168">
        <f>SUM(AD39:AD43)</f>
        <v>0</v>
      </c>
      <c r="AE38" s="1168">
        <f>SUM('3 pr-2'!AA39)</f>
        <v>3697299.46</v>
      </c>
      <c r="AF38" s="1168">
        <f>SUM(AF39:AF43)</f>
        <v>3157002.87</v>
      </c>
      <c r="AG38" s="1561">
        <f>SUM(AG39:AG43)</f>
        <v>128507.5299999998</v>
      </c>
      <c r="AH38" s="1562">
        <f>SUM(AH39:AH43)</f>
        <v>128507.5299999998</v>
      </c>
      <c r="AI38" s="1168">
        <f>SUM(AI39:AI43)</f>
        <v>0</v>
      </c>
      <c r="AJ38" s="1168">
        <f>SUM(AJ39:AJ43)</f>
        <v>0</v>
      </c>
    </row>
    <row r="39" spans="1:37" ht="36.75">
      <c r="A39" s="375" t="str">
        <f>CONCATENATE('3 pr-2'!A40)</f>
        <v>1.1.1.3.1</v>
      </c>
      <c r="B39" s="375" t="str">
        <f>CONCATENATE('3 pr-2'!B40)</f>
        <v>R01-9905-290000-1131</v>
      </c>
      <c r="C39" s="1558" t="str">
        <f>IF('ketv. 4 '!Z40&gt;0,'ketv. 4 '!C40,"-")</f>
        <v>07.1.1-CPVA-R-905-11-0001</v>
      </c>
      <c r="D39" s="375" t="str">
        <f>CONCATENATE('3 pr-2'!D40)</f>
        <v>Varėnos miesto centrinės dalies modernizavimas ir pritaikymas visuomenės poreikiams (I etapas)</v>
      </c>
      <c r="E39" s="375" t="str">
        <f>CONCATENATE('3 pr-2'!E40)</f>
        <v>Varėnos rajono savivaldybės administracija</v>
      </c>
      <c r="F39" s="375" t="str">
        <f>CONCATENATE('3 pr-2'!F40)</f>
        <v>Lietuvos Respublikos vidaus reikalų ministerija</v>
      </c>
      <c r="G39" s="375" t="str">
        <f>CONCATENATE('3 pr-2'!G40)</f>
        <v>Varėnos r. sav.</v>
      </c>
      <c r="H39" s="375" t="str">
        <f>CONCATENATE('3 pr-2'!H40)</f>
        <v xml:space="preserve">07.1.1-CPVA-R-905 </v>
      </c>
      <c r="I39" s="375" t="str">
        <f>CONCATENATE('3 pr-2'!I40)</f>
        <v>R</v>
      </c>
      <c r="J39" s="375" t="str">
        <f>CONCATENATE('3 pr-2'!J40)</f>
        <v>ITI</v>
      </c>
      <c r="K39" s="1173">
        <f>SUM('3 pr-2'!L40)</f>
        <v>1516825.67</v>
      </c>
      <c r="L39" s="1162">
        <f t="shared" ref="L39:L44" si="36">SUM(P39+T39+X39+AB39+AF39+AJ39)</f>
        <v>1516825.6700000004</v>
      </c>
      <c r="M39" s="1647">
        <f t="shared" si="1"/>
        <v>-4.6566128730773926E-10</v>
      </c>
      <c r="N39" s="1648">
        <f t="shared" ref="N39:N43" si="37">IF(L39&gt;0,K39-L39,0)</f>
        <v>-4.6566128730773926E-10</v>
      </c>
      <c r="O39" s="1173">
        <f>SUM('3 pr-2'!O40)</f>
        <v>113761.94</v>
      </c>
      <c r="P39" s="1162">
        <f>IF('ketv. 5 '!U39&gt;0,'ketv. 7 '!R38,SUMIF(Projektu_sutarciu_ataskaita!$J:$J,C39,Projektu_sutarciu_ataskaita!$DK:$DK))</f>
        <v>113761.94</v>
      </c>
      <c r="Q39" s="1173">
        <f t="shared" si="3"/>
        <v>0</v>
      </c>
      <c r="R39" s="1173">
        <f t="shared" ref="R39:R43" si="38">IF(P39&gt;0,O39-P39,0)</f>
        <v>0</v>
      </c>
      <c r="S39" s="1173">
        <f>SUM('3 pr-2'!R40)</f>
        <v>113761.92</v>
      </c>
      <c r="T39" s="1162">
        <f>IF('ketv. 5 '!U39&gt;0,'ketv. 7 '!W38,SUMIF(Projektu_sutarciu_ataskaita!$J:$J,C39,Projektu_sutarciu_ataskaita!$DG:$DG))</f>
        <v>140039.17000000001</v>
      </c>
      <c r="U39" s="1173">
        <f t="shared" ref="U39:U48" si="39">SUM(S39-T39)</f>
        <v>-26277.250000000015</v>
      </c>
      <c r="V39" s="1173">
        <f t="shared" ref="V39:V43" si="40">IF(T39&gt;0,S39-T39,0)</f>
        <v>-26277.250000000015</v>
      </c>
      <c r="W39" s="1173">
        <f>SUM('3 pr-2'!U40)</f>
        <v>0</v>
      </c>
      <c r="X39" s="1173">
        <f>IF('ketv. 5 '!U39&gt;0,'ketv. 7 '!AB38,SUMIF(Projektu_sutarciu_ataskaita!$J:$J,C39,Projektu_sutarciu_ataskaita!$DM:$DM))</f>
        <v>0</v>
      </c>
      <c r="Y39" s="1173">
        <f t="shared" ref="Y39:Y54" si="41">SUM(W39-X39)</f>
        <v>0</v>
      </c>
      <c r="Z39" s="1173">
        <f t="shared" ref="Z39:Z43" si="42">IF(X39&gt;0,W39-X39,0)</f>
        <v>0</v>
      </c>
      <c r="AA39" s="1173">
        <f>SUM('3 pr-2'!X40)</f>
        <v>0</v>
      </c>
      <c r="AB39" s="1173">
        <f>IF('ketv. 5 '!U39&gt;0,'ketv. 7 '!AG38,SUMIF(Projektu_sutarciu_ataskaita!$J:$J,C39,Projektu_sutarciu_ataskaita!$DL:$DL)+SUMIF(Projektu_sutarciu_ataskaita!$J:$J,C39,Projektu_sutarciu_ataskaita!$DJ:$DJ))</f>
        <v>0</v>
      </c>
      <c r="AC39" s="1173">
        <f t="shared" ref="AC39:AC44" si="43">SUM(AA39-AB39)</f>
        <v>0</v>
      </c>
      <c r="AD39" s="1173">
        <f t="shared" ref="AD39:AD43" si="44">IF(AB39&gt;0,AA39-AB39,0)</f>
        <v>0</v>
      </c>
      <c r="AE39" s="1173">
        <f>SUM('3 pr-2'!AA40)</f>
        <v>1289301.81</v>
      </c>
      <c r="AF39" s="1162">
        <f>IF('ketv. 5 '!U39&gt;0,'ketv. 7 '!AL38,SUMIF(Projektu_sutarciu_ataskaita!$J:$J,C39,Projektu_sutarciu_ataskaita!$DF:$DF))</f>
        <v>1263024.5600000003</v>
      </c>
      <c r="AG39" s="1559">
        <f t="shared" ref="AG39:AG54" si="45">SUM(AE39-AF39)</f>
        <v>26277.249999999767</v>
      </c>
      <c r="AH39" s="1177">
        <f t="shared" ref="AH39:AH40" si="46">IF(AF39&gt;0,AE39-AF39,0)</f>
        <v>26277.249999999767</v>
      </c>
      <c r="AI39" s="1173">
        <f>SUM('3 pr-2'!AB40)</f>
        <v>0</v>
      </c>
      <c r="AJ39" s="1162">
        <v>0</v>
      </c>
      <c r="AK39" s="799">
        <f t="shared" ref="AK39:AK42" si="47">SUM(T39+AF39)</f>
        <v>1403063.7300000002</v>
      </c>
    </row>
    <row r="40" spans="1:37" ht="36.75">
      <c r="A40" s="375" t="str">
        <f>CONCATENATE('3 pr-2'!A41)</f>
        <v>1.1.1.3.2</v>
      </c>
      <c r="B40" s="375" t="str">
        <f>CONCATENATE('3 pr-2'!B41)</f>
        <v>R01-9905-282900-1132</v>
      </c>
      <c r="C40" s="1558" t="str">
        <f>IF('ketv. 4 '!Z41&gt;0,'ketv. 4 '!C41,"-")</f>
        <v>07.1.1-CPVA-R-905-11-0002</v>
      </c>
      <c r="D40" s="375" t="str">
        <f>CONCATENATE('3 pr-2'!D41)</f>
        <v>Varėnos miesto centrinės dalies modernizavimas ir pritaikymas visuomenės poreikiams (II etapas)</v>
      </c>
      <c r="E40" s="375" t="str">
        <f>CONCATENATE('3 pr-2'!E41)</f>
        <v>Varėnos rajono savivaldybės administracija</v>
      </c>
      <c r="F40" s="375" t="str">
        <f>CONCATENATE('3 pr-2'!F41)</f>
        <v>Lietuvos Respublikos vidaus reikalų ministerija</v>
      </c>
      <c r="G40" s="375" t="str">
        <f>CONCATENATE('3 pr-2'!G41)</f>
        <v>Varėnos r. sav.</v>
      </c>
      <c r="H40" s="375" t="str">
        <f>CONCATENATE('3 pr-2'!H41)</f>
        <v xml:space="preserve">07.1.1-CPVA-R-905 </v>
      </c>
      <c r="I40" s="375" t="str">
        <f>CONCATENATE('3 pr-2'!I41)</f>
        <v>R</v>
      </c>
      <c r="J40" s="375" t="str">
        <f>CONCATENATE('3 pr-2'!J41)</f>
        <v>ITI</v>
      </c>
      <c r="K40" s="1173">
        <f>SUM('3 pr-2'!L41)</f>
        <v>815103</v>
      </c>
      <c r="L40" s="1162">
        <f t="shared" si="36"/>
        <v>806317.97</v>
      </c>
      <c r="M40" s="1647">
        <f t="shared" si="1"/>
        <v>8785.0300000000279</v>
      </c>
      <c r="N40" s="1648">
        <f t="shared" si="37"/>
        <v>8785.0300000000279</v>
      </c>
      <c r="O40" s="1173">
        <f>SUM('3 pr-2'!O41)</f>
        <v>69259</v>
      </c>
      <c r="P40" s="1162">
        <f>IF('ketv. 5 '!U40&gt;0,'ketv. 7 '!R39,SUMIF(Projektu_sutarciu_ataskaita!$J:$J,C40,Projektu_sutarciu_ataskaita!$DK:$DK))</f>
        <v>60473.85</v>
      </c>
      <c r="Q40" s="1173">
        <f t="shared" si="3"/>
        <v>8785.1500000000015</v>
      </c>
      <c r="R40" s="1173">
        <f t="shared" si="38"/>
        <v>8785.1500000000015</v>
      </c>
      <c r="S40" s="1173">
        <f>SUM('3 pr-2'!R41)</f>
        <v>60474</v>
      </c>
      <c r="T40" s="1162">
        <f>IF('ketv. 5 '!U40&gt;0,'ketv. 7 '!W39,SUMIF(Projektu_sutarciu_ataskaita!$J:$J,C40,Projektu_sutarciu_ataskaita!$DG:$DG))</f>
        <v>60473.84</v>
      </c>
      <c r="U40" s="1173">
        <f t="shared" si="39"/>
        <v>0.16000000000349246</v>
      </c>
      <c r="V40" s="1173">
        <f t="shared" si="40"/>
        <v>0.16000000000349246</v>
      </c>
      <c r="W40" s="1173">
        <f>SUM('3 pr-2'!U41)</f>
        <v>0</v>
      </c>
      <c r="X40" s="1173">
        <f>IF('ketv. 5 '!U40&gt;0,'ketv. 7 '!AB39,SUMIF(Projektu_sutarciu_ataskaita!$J:$J,C40,Projektu_sutarciu_ataskaita!$DM:$DM))</f>
        <v>0</v>
      </c>
      <c r="Y40" s="1173">
        <f t="shared" si="41"/>
        <v>0</v>
      </c>
      <c r="Z40" s="1173">
        <f t="shared" si="42"/>
        <v>0</v>
      </c>
      <c r="AA40" s="1173">
        <f>SUM('3 pr-2'!X41)</f>
        <v>0</v>
      </c>
      <c r="AB40" s="1173">
        <f>IF('ketv. 5 '!U40&gt;0,'ketv. 7 '!AG39,SUMIF(Projektu_sutarciu_ataskaita!$J:$J,C40,Projektu_sutarciu_ataskaita!$DL:$DL)+SUMIF(Projektu_sutarciu_ataskaita!$J:$J,C40,Projektu_sutarciu_ataskaita!$DJ:$DJ))</f>
        <v>0</v>
      </c>
      <c r="AC40" s="1173">
        <f t="shared" si="43"/>
        <v>0</v>
      </c>
      <c r="AD40" s="1173">
        <f t="shared" si="44"/>
        <v>0</v>
      </c>
      <c r="AE40" s="1173">
        <f>SUM('3 pr-2'!AA41)</f>
        <v>685370</v>
      </c>
      <c r="AF40" s="1162">
        <f>IF('ketv. 5 '!U40&gt;0,'ketv. 7 '!AL39,SUMIF(Projektu_sutarciu_ataskaita!$J:$J,C40,Projektu_sutarciu_ataskaita!$DF:$DF))</f>
        <v>685370.28</v>
      </c>
      <c r="AG40" s="1559">
        <f t="shared" si="45"/>
        <v>-0.28000000002793968</v>
      </c>
      <c r="AH40" s="1177">
        <f t="shared" si="46"/>
        <v>-0.28000000002793968</v>
      </c>
      <c r="AI40" s="1173">
        <f>SUM('3 pr-2'!AB41)</f>
        <v>0</v>
      </c>
      <c r="AJ40" s="1162">
        <v>0</v>
      </c>
      <c r="AK40" s="799">
        <f t="shared" si="47"/>
        <v>745844.12</v>
      </c>
    </row>
    <row r="41" spans="1:37" ht="36.75">
      <c r="A41" s="375" t="str">
        <f>CONCATENATE('3 pr-2'!A42)</f>
        <v>1.1.1.3.3</v>
      </c>
      <c r="B41" s="375" t="str">
        <f>CONCATENATE('3 pr-2'!B42)</f>
        <v>R01-9905-292800-1133</v>
      </c>
      <c r="C41" s="1558" t="str">
        <f>IF('ketv. 4 '!Z42&gt;0,'ketv. 4 '!C42,"-")</f>
        <v>07.1.1-CPVA-R-905-11-0004</v>
      </c>
      <c r="D41" s="375" t="str">
        <f>CONCATENATE('3 pr-2'!D42)</f>
        <v>Varėnos miesto Dainų slėnio infrastruktūros atnaujinimas ir pritaikymas visuomenės poreikiams</v>
      </c>
      <c r="E41" s="375" t="str">
        <f>CONCATENATE('3 pr-2'!E42)</f>
        <v>Varėnos rajono savivaldybės administracija</v>
      </c>
      <c r="F41" s="375" t="str">
        <f>CONCATENATE('3 pr-2'!F42)</f>
        <v>Lietuvos Respublikos vidaus reikalų ministerija</v>
      </c>
      <c r="G41" s="375" t="str">
        <f>CONCATENATE('3 pr-2'!G42)</f>
        <v>Varėnos r. sav.</v>
      </c>
      <c r="H41" s="375" t="str">
        <f>CONCATENATE('3 pr-2'!H42)</f>
        <v xml:space="preserve">07.1.1-CPVA-R-905 </v>
      </c>
      <c r="I41" s="375" t="str">
        <f>CONCATENATE('3 pr-2'!I42)</f>
        <v>R</v>
      </c>
      <c r="J41" s="375" t="str">
        <f>CONCATENATE('3 pr-2'!J42)</f>
        <v>ITI</v>
      </c>
      <c r="K41" s="1173">
        <f>SUM('3 pr-2'!L42)</f>
        <v>514646.41000000003</v>
      </c>
      <c r="L41" s="1162">
        <f t="shared" si="36"/>
        <v>514646.41000000003</v>
      </c>
      <c r="M41" s="1647">
        <f t="shared" si="1"/>
        <v>0</v>
      </c>
      <c r="N41" s="1648">
        <f t="shared" si="37"/>
        <v>0</v>
      </c>
      <c r="O41" s="1173">
        <f>SUM('3 pr-2'!O42)</f>
        <v>38598.49</v>
      </c>
      <c r="P41" s="1162">
        <f>IF('ketv. 5 '!U41&gt;0,'ketv. 7 '!R40,SUMIF(Projektu_sutarciu_ataskaita!$J:$J,C41,Projektu_sutarciu_ataskaita!$DK:$DK))</f>
        <v>38598.49</v>
      </c>
      <c r="Q41" s="1173">
        <f t="shared" si="3"/>
        <v>0</v>
      </c>
      <c r="R41" s="1173">
        <f t="shared" si="38"/>
        <v>0</v>
      </c>
      <c r="S41" s="1173">
        <f>SUM('3 pr-2'!R42)</f>
        <v>38598.480000000003</v>
      </c>
      <c r="T41" s="1162">
        <f>IF('ketv. 5 '!U41&gt;0,'ketv. 7 '!W40,SUMIF(Projektu_sutarciu_ataskaita!$J:$J,C41,Projektu_sutarciu_ataskaita!$DG:$DG))</f>
        <v>38598.480000000003</v>
      </c>
      <c r="U41" s="1173">
        <f t="shared" si="39"/>
        <v>0</v>
      </c>
      <c r="V41" s="1173">
        <f t="shared" si="40"/>
        <v>0</v>
      </c>
      <c r="W41" s="1173">
        <f>SUM('3 pr-2'!U42)</f>
        <v>0</v>
      </c>
      <c r="X41" s="1173">
        <f>IF('ketv. 5 '!U41&gt;0,'ketv. 7 '!AB40,SUMIF(Projektu_sutarciu_ataskaita!$J:$J,C41,Projektu_sutarciu_ataskaita!$DM:$DM))</f>
        <v>0</v>
      </c>
      <c r="Y41" s="1173">
        <f t="shared" si="41"/>
        <v>0</v>
      </c>
      <c r="Z41" s="1173">
        <f t="shared" si="42"/>
        <v>0</v>
      </c>
      <c r="AA41" s="1173">
        <f>SUM('3 pr-2'!X42)</f>
        <v>0</v>
      </c>
      <c r="AB41" s="1173">
        <f>IF('ketv. 5 '!U41&gt;0,'ketv. 7 '!AG40,SUMIF(Projektu_sutarciu_ataskaita!$J:$J,C41,Projektu_sutarciu_ataskaita!$DL:$DL)+SUMIF(Projektu_sutarciu_ataskaita!$J:$J,C41,Projektu_sutarciu_ataskaita!$DJ:$DJ))</f>
        <v>0</v>
      </c>
      <c r="AC41" s="1173">
        <f t="shared" si="43"/>
        <v>0</v>
      </c>
      <c r="AD41" s="1173">
        <f t="shared" si="44"/>
        <v>0</v>
      </c>
      <c r="AE41" s="1173">
        <f>SUM('3 pr-2'!AA42)</f>
        <v>437449.44</v>
      </c>
      <c r="AF41" s="1162">
        <f>IF('ketv. 5 '!U41&gt;0,'ketv. 7 '!AL40,SUMIF(Projektu_sutarciu_ataskaita!$J:$J,C41,Projektu_sutarciu_ataskaita!$DF:$DF))</f>
        <v>437449.44</v>
      </c>
      <c r="AG41" s="1559">
        <f t="shared" si="45"/>
        <v>0</v>
      </c>
      <c r="AH41" s="1177">
        <f t="shared" ref="AH41:AH43" si="48">IF(AF41&gt;0,AE41-AF41,0)</f>
        <v>0</v>
      </c>
      <c r="AI41" s="1173">
        <f>SUM('3 pr-2'!AB42)</f>
        <v>0</v>
      </c>
      <c r="AJ41" s="1162">
        <v>0</v>
      </c>
      <c r="AK41" s="799">
        <f t="shared" si="47"/>
        <v>476047.92</v>
      </c>
    </row>
    <row r="42" spans="1:37" ht="36.75">
      <c r="A42" s="375" t="str">
        <f>CONCATENATE('3 pr-2'!A43)</f>
        <v>1.1.1.3.4</v>
      </c>
      <c r="B42" s="375" t="str">
        <f>CONCATENATE('3 pr-2'!B43)</f>
        <v>R01-9905-280000-1134</v>
      </c>
      <c r="C42" s="1558" t="str">
        <f>IF('ketv. 4 '!Z43&gt;0,'ketv. 4 '!C43,"-")</f>
        <v>07.1.1-CPVA-R-905-11-0003</v>
      </c>
      <c r="D42" s="375" t="str">
        <f>CONCATENATE('3 pr-2'!D43)</f>
        <v>Karloniškės ežero ir jo prieigų sutvarkymas ir pritaikymas aktyviam poilsiui</v>
      </c>
      <c r="E42" s="375" t="str">
        <f>CONCATENATE('3 pr-2'!E43)</f>
        <v>Varėnos rajono savivaldybės administracija</v>
      </c>
      <c r="F42" s="375" t="str">
        <f>CONCATENATE('3 pr-2'!F43)</f>
        <v>Lietuvos Respublikos vidaus reikalų ministerija</v>
      </c>
      <c r="G42" s="375" t="str">
        <f>CONCATENATE('3 pr-2'!G43)</f>
        <v>Varėnos r. sav.</v>
      </c>
      <c r="H42" s="375" t="str">
        <f>CONCATENATE('3 pr-2'!H43)</f>
        <v xml:space="preserve">07.1.1-CPVA-R-905 </v>
      </c>
      <c r="I42" s="375" t="str">
        <f>CONCATENATE('3 pr-2'!I43)</f>
        <v>R</v>
      </c>
      <c r="J42" s="375" t="str">
        <f>CONCATENATE('3 pr-2'!J43)</f>
        <v>ITI</v>
      </c>
      <c r="K42" s="1173">
        <f>SUM('3 pr-2'!L43)</f>
        <v>877516.65</v>
      </c>
      <c r="L42" s="1162">
        <f t="shared" si="36"/>
        <v>877516.64999999991</v>
      </c>
      <c r="M42" s="1647">
        <f t="shared" si="1"/>
        <v>1.1641532182693481E-10</v>
      </c>
      <c r="N42" s="1648">
        <f t="shared" si="37"/>
        <v>1.1641532182693481E-10</v>
      </c>
      <c r="O42" s="1173">
        <f>SUM('3 pr-2'!O43)</f>
        <v>65813.75</v>
      </c>
      <c r="P42" s="1162">
        <f>IF('ketv. 5 '!U42&gt;0,'ketv. 7 '!R41,SUMIF(Projektu_sutarciu_ataskaita!$J:$J,C42,Projektu_sutarciu_ataskaita!$DK:$DK))</f>
        <v>177064.65</v>
      </c>
      <c r="Q42" s="1173">
        <f t="shared" si="3"/>
        <v>-111250.9</v>
      </c>
      <c r="R42" s="1173">
        <f t="shared" si="38"/>
        <v>-111250.9</v>
      </c>
      <c r="S42" s="1173">
        <f>SUM('3 pr-2'!R43)</f>
        <v>65813.75</v>
      </c>
      <c r="T42" s="1162">
        <f>IF('ketv. 5 '!U42&gt;0,'ketv. 7 '!W41,SUMIF(Projektu_sutarciu_ataskaita!$J:$J,C42,Projektu_sutarciu_ataskaita!$DG:$DG))</f>
        <v>56793.41</v>
      </c>
      <c r="U42" s="1173">
        <f t="shared" si="39"/>
        <v>9020.3399999999965</v>
      </c>
      <c r="V42" s="1173">
        <f t="shared" si="40"/>
        <v>9020.3399999999965</v>
      </c>
      <c r="W42" s="1173">
        <f>SUM('3 pr-2'!U43)</f>
        <v>0</v>
      </c>
      <c r="X42" s="1173">
        <f>IF('ketv. 5 '!U42&gt;0,'ketv. 7 '!AB41,SUMIF(Projektu_sutarciu_ataskaita!$J:$J,C42,Projektu_sutarciu_ataskaita!$DM:$DM))</f>
        <v>0</v>
      </c>
      <c r="Y42" s="1173">
        <f t="shared" si="41"/>
        <v>0</v>
      </c>
      <c r="Z42" s="1173">
        <f t="shared" si="42"/>
        <v>0</v>
      </c>
      <c r="AA42" s="1173">
        <f>SUM('3 pr-2'!X43)</f>
        <v>0</v>
      </c>
      <c r="AB42" s="1173">
        <f>IF('ketv. 5 '!U42&gt;0,'ketv. 7 '!AG41,SUMIF(Projektu_sutarciu_ataskaita!$J:$J,C42,Projektu_sutarciu_ataskaita!$DL:$DL)+SUMIF(Projektu_sutarciu_ataskaita!$J:$J,C42,Projektu_sutarciu_ataskaita!$DJ:$DJ))</f>
        <v>0</v>
      </c>
      <c r="AC42" s="1173">
        <f t="shared" si="43"/>
        <v>0</v>
      </c>
      <c r="AD42" s="1173">
        <f t="shared" si="44"/>
        <v>0</v>
      </c>
      <c r="AE42" s="1173">
        <f>SUM('3 pr-2'!AA43)</f>
        <v>745889.15</v>
      </c>
      <c r="AF42" s="1162">
        <f>IF('ketv. 5 '!U42&gt;0,'ketv. 7 '!AL41,SUMIF(Projektu_sutarciu_ataskaita!$J:$J,C42,Projektu_sutarciu_ataskaita!$DF:$DF))</f>
        <v>643658.59</v>
      </c>
      <c r="AG42" s="1559">
        <f t="shared" si="45"/>
        <v>102230.56000000006</v>
      </c>
      <c r="AH42" s="1177">
        <f t="shared" si="48"/>
        <v>102230.56000000006</v>
      </c>
      <c r="AI42" s="1173">
        <f>SUM('3 pr-2'!AB43)</f>
        <v>0</v>
      </c>
      <c r="AJ42" s="1162">
        <v>0</v>
      </c>
      <c r="AK42" s="799">
        <f t="shared" si="47"/>
        <v>700452</v>
      </c>
    </row>
    <row r="43" spans="1:37" ht="36.75">
      <c r="A43" s="375" t="str">
        <f>CONCATENATE('3 pr-2'!A44)</f>
        <v>1.1.1.3.5</v>
      </c>
      <c r="B43" s="375" t="str">
        <f>CONCATENATE('3 pr-2'!B44)</f>
        <v>R01-9905-362900-1135</v>
      </c>
      <c r="C43" s="1558" t="str">
        <f>IF('ketv. 4 '!Z44&gt;0,'ketv. 4 '!C44,"-")</f>
        <v>07.1.1-CPVA-R-905-11-0005</v>
      </c>
      <c r="D43" s="375" t="str">
        <f>CONCATENATE('3 pr-2'!D44)</f>
        <v>Nenaudojamų teritorijų Varėnos mieste sutvarkymas ir pritaikymas verslui</v>
      </c>
      <c r="E43" s="375" t="str">
        <f>CONCATENATE('3 pr-2'!E44)</f>
        <v>Varėnos rajono savivaldybės administracija</v>
      </c>
      <c r="F43" s="375" t="str">
        <f>CONCATENATE('3 pr-2'!F44)</f>
        <v>Lietuvos Respublikos vidaus reikalų ministerija</v>
      </c>
      <c r="G43" s="375" t="str">
        <f>CONCATENATE('3 pr-2'!G44)</f>
        <v>Varėnos r. sav.</v>
      </c>
      <c r="H43" s="375" t="str">
        <f>CONCATENATE('3 pr-2'!H44)</f>
        <v xml:space="preserve">07.1.1-CPVA-R-905 </v>
      </c>
      <c r="I43" s="375" t="str">
        <f>CONCATENATE('3 pr-2'!I44)</f>
        <v>R</v>
      </c>
      <c r="J43" s="375" t="str">
        <f>CONCATENATE('3 pr-2'!J44)</f>
        <v>ITI</v>
      </c>
      <c r="K43" s="1173">
        <f>SUM('3 pr-2'!L44)</f>
        <v>150000</v>
      </c>
      <c r="L43" s="1162">
        <f t="shared" si="36"/>
        <v>173605.66999999998</v>
      </c>
      <c r="M43" s="1647">
        <f t="shared" si="1"/>
        <v>-23605.669999999984</v>
      </c>
      <c r="N43" s="1648">
        <f t="shared" si="37"/>
        <v>-23605.669999999984</v>
      </c>
      <c r="O43" s="1173">
        <f>SUM('3 pr-2'!O44)</f>
        <v>11250</v>
      </c>
      <c r="P43" s="1162">
        <f>IF('ketv. 5 '!U43&gt;0,'ketv. 7 '!R42,SUMIF(Projektu_sutarciu_ataskaita!$J:$J,C43,Projektu_sutarciu_ataskaita!$DK:$DK))</f>
        <v>34855.67</v>
      </c>
      <c r="Q43" s="1173">
        <f t="shared" si="3"/>
        <v>-23605.67</v>
      </c>
      <c r="R43" s="1173">
        <f t="shared" si="38"/>
        <v>-23605.67</v>
      </c>
      <c r="S43" s="1173">
        <f>SUM('3 pr-2'!R44)</f>
        <v>11250</v>
      </c>
      <c r="T43" s="1162">
        <f>IF('ketv. 5 '!U43&gt;0,'ketv. 7 '!W42,SUMIF(Projektu_sutarciu_ataskaita!$J:$J,C43,Projektu_sutarciu_ataskaita!$DG:$DG))</f>
        <v>11250</v>
      </c>
      <c r="U43" s="1173">
        <f t="shared" si="39"/>
        <v>0</v>
      </c>
      <c r="V43" s="1173">
        <f t="shared" si="40"/>
        <v>0</v>
      </c>
      <c r="W43" s="1173">
        <f>SUM('3 pr-2'!U44)</f>
        <v>0</v>
      </c>
      <c r="X43" s="1173">
        <f>IF('ketv. 5 '!U43&gt;0,'ketv. 7 '!AB42,SUMIF(Projektu_sutarciu_ataskaita!$J:$J,C43,Projektu_sutarciu_ataskaita!$DM:$DM))</f>
        <v>0</v>
      </c>
      <c r="Y43" s="1173">
        <f t="shared" si="41"/>
        <v>0</v>
      </c>
      <c r="Z43" s="1173">
        <f t="shared" si="42"/>
        <v>0</v>
      </c>
      <c r="AA43" s="1173">
        <f>SUM('3 pr-2'!X44)</f>
        <v>0</v>
      </c>
      <c r="AB43" s="1173">
        <f>IF('ketv. 5 '!U43&gt;0,'ketv. 7 '!AG42,SUMIF(Projektu_sutarciu_ataskaita!$J:$J,C43,Projektu_sutarciu_ataskaita!$DL:$DL)+SUMIF(Projektu_sutarciu_ataskaita!$J:$J,C43,Projektu_sutarciu_ataskaita!$DJ:$DJ))</f>
        <v>0</v>
      </c>
      <c r="AC43" s="1173">
        <f t="shared" si="43"/>
        <v>0</v>
      </c>
      <c r="AD43" s="1173">
        <f t="shared" si="44"/>
        <v>0</v>
      </c>
      <c r="AE43" s="1173">
        <f>SUM('3 pr-2'!AA44)</f>
        <v>127500</v>
      </c>
      <c r="AF43" s="1162">
        <f>IF('ketv. 5 '!U43&gt;0,'ketv. 7 '!AL42,SUMIF(Projektu_sutarciu_ataskaita!$J:$J,C43,Projektu_sutarciu_ataskaita!$DF:$DF))</f>
        <v>127500</v>
      </c>
      <c r="AG43" s="1559">
        <f t="shared" si="45"/>
        <v>0</v>
      </c>
      <c r="AH43" s="1177">
        <f t="shared" si="48"/>
        <v>0</v>
      </c>
      <c r="AI43" s="1173">
        <f>SUM('3 pr-2'!AB44)</f>
        <v>0</v>
      </c>
      <c r="AJ43" s="1162"/>
    </row>
    <row r="44" spans="1:37" ht="37.5" thickBot="1">
      <c r="A44" s="375" t="str">
        <f>CONCATENATE('3 pr-2'!A45)</f>
        <v>1.1.1.3.6</v>
      </c>
      <c r="B44" s="375" t="str">
        <f>CONCATENATE('3 pr-2'!B45)</f>
        <v>R01-9905-290000-1136</v>
      </c>
      <c r="C44" s="1558" t="str">
        <f>IF('ketv. 4 '!Z45&gt;0,'ketv. 4 '!C45,"-")</f>
        <v>07.1.1-CPVA-R-905-11-0006</v>
      </c>
      <c r="D44" s="375" t="str">
        <f>CONCATENATE('3 pr-2'!D45)</f>
        <v>Teritorijų prie daugiabučių gyvenamųjų pastatų Varėnos mieste sutvarkymas ir pritaikymas visuomenės poreikiams</v>
      </c>
      <c r="E44" s="375" t="str">
        <f>CONCATENATE('3 pr-2'!E45)</f>
        <v>Varėnos rajono savivaldybės administracija</v>
      </c>
      <c r="F44" s="375" t="str">
        <f>CONCATENATE('3 pr-2'!F45)</f>
        <v>Lietuvos Respublikos vidaus reikalų ministerija</v>
      </c>
      <c r="G44" s="375" t="str">
        <f>CONCATENATE('3 pr-2'!G45)</f>
        <v>Varėnos r. sav.</v>
      </c>
      <c r="H44" s="375" t="str">
        <f>CONCATENATE('3 pr-2'!H45)</f>
        <v xml:space="preserve">07.1.1-CPVA-R-905 </v>
      </c>
      <c r="I44" s="375" t="str">
        <f>CONCATENATE('3 pr-2'!I45)</f>
        <v>R</v>
      </c>
      <c r="J44" s="375" t="str">
        <f>CONCATENATE('3 pr-2'!J45)</f>
        <v>ITI</v>
      </c>
      <c r="K44" s="1173">
        <f>SUM('3 pr-2'!L45)</f>
        <v>485640.4</v>
      </c>
      <c r="L44" s="1162">
        <f t="shared" si="36"/>
        <v>485640.4</v>
      </c>
      <c r="M44" s="1647">
        <f t="shared" ref="M44" si="49">SUM(K44-L44)</f>
        <v>0</v>
      </c>
      <c r="N44" s="1648">
        <f t="shared" ref="N44" si="50">IF(L44&gt;0,K44-L44,0)</f>
        <v>0</v>
      </c>
      <c r="O44" s="1173">
        <f>SUM('3 pr-2'!O45)</f>
        <v>37517.18</v>
      </c>
      <c r="P44" s="1162">
        <f>IF('ketv. 5 '!U44&gt;0,'ketv. 7 '!R43,SUMIF(Projektu_sutarciu_ataskaita!$J:$J,C44,Projektu_sutarciu_ataskaita!$DK:$DK))</f>
        <v>207795.38</v>
      </c>
      <c r="Q44" s="1173">
        <f t="shared" ref="Q44" si="51">SUM(O44-P44)</f>
        <v>-170278.2</v>
      </c>
      <c r="R44" s="1173">
        <f t="shared" ref="R44" si="52">IF(P44&gt;0,O44-P44,0)</f>
        <v>-170278.2</v>
      </c>
      <c r="S44" s="1173">
        <f>SUM('3 pr-2'!R45)</f>
        <v>36334.160000000003</v>
      </c>
      <c r="T44" s="1162">
        <f>IF('ketv. 5 '!U44&gt;0,'ketv. 7 '!W43,SUMIF(Projektu_sutarciu_ataskaita!$J:$J,C44,Projektu_sutarciu_ataskaita!$DG:$DG))</f>
        <v>22527.97</v>
      </c>
      <c r="U44" s="1173">
        <f t="shared" ref="U44" si="53">SUM(S44-T44)</f>
        <v>13806.190000000002</v>
      </c>
      <c r="V44" s="1173">
        <f t="shared" ref="V44" si="54">IF(T44&gt;0,S44-T44,0)</f>
        <v>13806.190000000002</v>
      </c>
      <c r="W44" s="1173">
        <f>SUM('3 pr-2'!U45)</f>
        <v>0</v>
      </c>
      <c r="X44" s="1173">
        <f>IF('ketv. 5 '!U44&gt;0,'ketv. 7 '!AB43,SUMIF(Projektu_sutarciu_ataskaita!$J:$J,C44,Projektu_sutarciu_ataskaita!$DM:$DM))</f>
        <v>0</v>
      </c>
      <c r="Y44" s="1173">
        <f t="shared" ref="Y44" si="55">SUM(W44-X44)</f>
        <v>0</v>
      </c>
      <c r="Z44" s="1173">
        <f t="shared" ref="Z44" si="56">IF(X44&gt;0,W44-X44,0)</f>
        <v>0</v>
      </c>
      <c r="AA44" s="1173">
        <f>SUM('3 pr-2'!X45)</f>
        <v>0</v>
      </c>
      <c r="AB44" s="1173">
        <f>IF('ketv. 5 '!U44&gt;0,'ketv. 7 '!AG43,SUMIF(Projektu_sutarciu_ataskaita!$J:$J,C44,Projektu_sutarciu_ataskaita!$DL:$DL)+SUMIF(Projektu_sutarciu_ataskaita!$J:$J,C44,Projektu_sutarciu_ataskaita!$DJ:$DJ))</f>
        <v>0</v>
      </c>
      <c r="AC44" s="1173">
        <f t="shared" si="43"/>
        <v>0</v>
      </c>
      <c r="AD44" s="1173">
        <f t="shared" ref="AD44" si="57">IF(AB44&gt;0,AA44-AB44,0)</f>
        <v>0</v>
      </c>
      <c r="AE44" s="1173">
        <f>SUM('3 pr-2'!AA45)</f>
        <v>411789.06</v>
      </c>
      <c r="AF44" s="1162">
        <f>IF('ketv. 5 '!U44&gt;0,'ketv. 7 '!AL43,SUMIF(Projektu_sutarciu_ataskaita!$J:$J,C44,Projektu_sutarciu_ataskaita!$DF:$DF))</f>
        <v>255317.05</v>
      </c>
      <c r="AG44" s="1559"/>
      <c r="AH44" s="1177"/>
      <c r="AI44" s="1173">
        <f>SUM('3 pr-2'!AB45)</f>
        <v>0</v>
      </c>
      <c r="AJ44" s="1173"/>
    </row>
    <row r="45" spans="1:37" ht="36.75" customHeight="1" thickBot="1">
      <c r="A45" s="296" t="str">
        <f>CONCATENATE('3 pr-2'!A46)</f>
        <v>1.1.1.4</v>
      </c>
      <c r="B45" s="2088" t="str">
        <f>CONCATENATE('3 pr-2'!B46)</f>
        <v xml:space="preserve">Priemonė:
Alytaus, Druskininkų ir Lazdijų miestų kompleksinė plėtra
</v>
      </c>
      <c r="C45" s="1894"/>
      <c r="D45" s="1894"/>
      <c r="E45" s="1894"/>
      <c r="F45" s="1894"/>
      <c r="G45" s="1894"/>
      <c r="H45" s="1894"/>
      <c r="I45" s="1894"/>
      <c r="J45" s="1895"/>
      <c r="K45" s="1168">
        <f>SUM('3 pr-2'!L46)</f>
        <v>2431517.75</v>
      </c>
      <c r="L45" s="1168">
        <f>SUM(L46:L48)</f>
        <v>2104351.75</v>
      </c>
      <c r="M45" s="1169">
        <f>SUM(M46:M48)</f>
        <v>327166</v>
      </c>
      <c r="N45" s="1170">
        <f>SUM(N46:N48)</f>
        <v>327166</v>
      </c>
      <c r="O45" s="1168">
        <f>SUM('3 pr-2'!O46)</f>
        <v>615648.60000000009</v>
      </c>
      <c r="P45" s="1168">
        <f>SUM(P46:P48)</f>
        <v>288482.59999999998</v>
      </c>
      <c r="Q45" s="1168">
        <f>SUM(Q46:Q48)</f>
        <v>327166</v>
      </c>
      <c r="R45" s="1168">
        <f>SUM(R46:R48)</f>
        <v>327166</v>
      </c>
      <c r="S45" s="1168">
        <f>SUM('3 pr-2'!R46)</f>
        <v>147232.63000000003</v>
      </c>
      <c r="T45" s="1168">
        <f>SUM(T46:T48)</f>
        <v>147232.63000000003</v>
      </c>
      <c r="U45" s="1168">
        <f>SUM(U46:U48)</f>
        <v>0</v>
      </c>
      <c r="V45" s="1168">
        <f>SUM(V46:V48)</f>
        <v>0</v>
      </c>
      <c r="W45" s="1168">
        <f>SUM('3 pr-2'!U46)</f>
        <v>0</v>
      </c>
      <c r="X45" s="1168">
        <f>SUM('3 pr-2'!V46)</f>
        <v>0</v>
      </c>
      <c r="Y45" s="1168">
        <f>SUM(Y46:Y48)</f>
        <v>0</v>
      </c>
      <c r="Z45" s="1168">
        <f>SUM(Z46:Z48)</f>
        <v>0</v>
      </c>
      <c r="AA45" s="1168">
        <f>SUM('3 pr-2'!X46)</f>
        <v>0</v>
      </c>
      <c r="AB45" s="1168">
        <f>SUM('3 pr-2'!Z46)</f>
        <v>0</v>
      </c>
      <c r="AC45" s="1168">
        <f>SUM(AC46:AC48)</f>
        <v>0</v>
      </c>
      <c r="AD45" s="1168">
        <f>SUM(AD46:AD48)</f>
        <v>0</v>
      </c>
      <c r="AE45" s="1168">
        <f>SUM('3 pr-2'!AA46)</f>
        <v>1668636.52</v>
      </c>
      <c r="AF45" s="1168">
        <f>SUM(AF46:AF48)</f>
        <v>1668636.52</v>
      </c>
      <c r="AG45" s="1561">
        <f>SUM(AG46:AG48)</f>
        <v>0</v>
      </c>
      <c r="AH45" s="1562">
        <f>SUM(AH46:AH48)</f>
        <v>0</v>
      </c>
      <c r="AI45" s="1168">
        <f>SUM(AI46:AI48)</f>
        <v>0</v>
      </c>
      <c r="AJ45" s="1168">
        <f>SUM(AJ46:AJ48)</f>
        <v>0</v>
      </c>
    </row>
    <row r="46" spans="1:37" ht="36.75">
      <c r="A46" s="375" t="str">
        <f>CONCATENATE('3 pr-2'!A47)</f>
        <v>1.1.1.4.1</v>
      </c>
      <c r="B46" s="375" t="str">
        <f>CONCATENATE('3 pr-2'!B47)</f>
        <v>R01-9902-310000-1141</v>
      </c>
      <c r="C46" s="1558" t="str">
        <f>IF('ketv. 4 '!Z47&gt;0,'ketv. 4 '!C47,"-")</f>
        <v>07.1.1-CPVA-V-902-01-0008</v>
      </c>
      <c r="D46" s="375" t="str">
        <f>CONCATENATE('3 pr-2'!D47)</f>
        <v>Buvusios pramoninės teritorijos Pramonės g. 1 Alytuje, pritaikymas verslo vystymui ir plėtrai.</v>
      </c>
      <c r="E46" s="375" t="str">
        <f>CONCATENATE('3 pr-2'!E47)</f>
        <v>Alytaus miesto savivaldybės administracija</v>
      </c>
      <c r="F46" s="375" t="str">
        <f>CONCATENATE('3 pr-2'!F47)</f>
        <v>Lietuvos Respublikos vidaus reikalų ministerija</v>
      </c>
      <c r="G46" s="375" t="str">
        <f>CONCATENATE('3 pr-2'!G47)</f>
        <v>Alytaus m. sav.</v>
      </c>
      <c r="H46" s="375" t="str">
        <f>CONCATENATE('3 pr-2'!H47)</f>
        <v>07.1.1-CPVA-V-902</v>
      </c>
      <c r="I46" s="375" t="str">
        <f>CONCATENATE('3 pr-2'!I47)</f>
        <v>V</v>
      </c>
      <c r="J46" s="375" t="str">
        <f>CONCATENATE('3 pr-2'!J47)</f>
        <v>ITI</v>
      </c>
      <c r="K46" s="1173">
        <f>SUM('3 pr-2'!L47)</f>
        <v>1286060.7500000002</v>
      </c>
      <c r="L46" s="1162">
        <f t="shared" ref="L46:L48" si="58">SUM(P46+T46+X46+AB46+AF46+AJ46)</f>
        <v>1286060.7500000002</v>
      </c>
      <c r="M46" s="1173">
        <f t="shared" si="1"/>
        <v>0</v>
      </c>
      <c r="N46" s="1173">
        <f t="shared" ref="N46:N48" si="59">IF(L46&gt;0,K46-L46,0)</f>
        <v>0</v>
      </c>
      <c r="O46" s="1173">
        <f>SUM('3 pr-2'!O47)</f>
        <v>96454.570000000022</v>
      </c>
      <c r="P46" s="1162">
        <f>IF('ketv. 5 '!U46&gt;0,'ketv. 7 '!R45,SUMIF(Projektu_sutarciu_ataskaita!$J:$J,C46,Projektu_sutarciu_ataskaita!$DK:$DK))</f>
        <v>96454.570000000022</v>
      </c>
      <c r="Q46" s="1173">
        <f t="shared" si="3"/>
        <v>0</v>
      </c>
      <c r="R46" s="1173">
        <f t="shared" ref="R46:R48" si="60">IF(P46&gt;0,O46-P46,0)</f>
        <v>0</v>
      </c>
      <c r="S46" s="1173">
        <f>SUM('3 pr-2'!R47)</f>
        <v>96454.550000000032</v>
      </c>
      <c r="T46" s="1162">
        <f>IF('ketv. 5 '!U46&gt;0,'ketv. 7 '!W45,SUMIF(Projektu_sutarciu_ataskaita!$J:$J,C46,Projektu_sutarciu_ataskaita!$DG:$DG))</f>
        <v>96454.550000000032</v>
      </c>
      <c r="U46" s="1173">
        <f t="shared" si="39"/>
        <v>0</v>
      </c>
      <c r="V46" s="1173">
        <f t="shared" ref="V46:V48" si="61">IF(T46&gt;0,S46-T46,0)</f>
        <v>0</v>
      </c>
      <c r="W46" s="1173">
        <f>SUM('3 pr-2'!U47)</f>
        <v>0</v>
      </c>
      <c r="X46" s="1173">
        <f>IF('ketv. 5 '!U46&gt;0,'ketv. 7 '!AB45,SUMIF(Projektu_sutarciu_ataskaita!$J:$J,C46,Projektu_sutarciu_ataskaita!$DM:$DM))</f>
        <v>0</v>
      </c>
      <c r="Y46" s="1173">
        <f t="shared" si="41"/>
        <v>0</v>
      </c>
      <c r="Z46" s="1173">
        <f t="shared" ref="Z46:Z48" si="62">IF(X46&gt;0,W46-X46,0)</f>
        <v>0</v>
      </c>
      <c r="AA46" s="1173">
        <f>SUM('3 pr-2'!X47)</f>
        <v>0</v>
      </c>
      <c r="AB46" s="1173">
        <f>IF('ketv. 5 '!U46&gt;0,'ketv. 7 '!AG45,SUMIF(Projektu_sutarciu_ataskaita!$J:$J,C46,Projektu_sutarciu_ataskaita!$DL:$DL)+SUMIF(Projektu_sutarciu_ataskaita!$J:$J,C46,Projektu_sutarciu_ataskaita!$DJ:$DJ))</f>
        <v>0</v>
      </c>
      <c r="AC46" s="1173">
        <f>SUM(AA46-AB46)</f>
        <v>0</v>
      </c>
      <c r="AD46" s="1173">
        <f t="shared" ref="AD46:AD48" si="63">IF(AB46&gt;0,AA46-AB46,0)</f>
        <v>0</v>
      </c>
      <c r="AE46" s="1173">
        <f>SUM('3 pr-2'!AA47)</f>
        <v>1093151.6300000001</v>
      </c>
      <c r="AF46" s="1162">
        <f>IF('ketv. 5 '!U46&gt;0,'ketv. 7 '!AL45,SUMIF(Projektu_sutarciu_ataskaita!$J:$J,C46,Projektu_sutarciu_ataskaita!$DF:$DF))</f>
        <v>1093151.6300000001</v>
      </c>
      <c r="AG46" s="1559">
        <f t="shared" si="45"/>
        <v>0</v>
      </c>
      <c r="AH46" s="1177">
        <f t="shared" ref="AH46:AH48" si="64">IF(AF46&gt;0,AE46-AF46,0)</f>
        <v>0</v>
      </c>
      <c r="AI46" s="1173">
        <f>SUM('3 pr-2'!AB47)</f>
        <v>0</v>
      </c>
      <c r="AJ46" s="1162">
        <v>0</v>
      </c>
    </row>
    <row r="47" spans="1:37" ht="36.75" customHeight="1">
      <c r="A47" s="375" t="str">
        <f>CONCATENATE('3 pr-2'!A48)</f>
        <v>1.1.1.4.2</v>
      </c>
      <c r="B47" s="375" t="str">
        <f>CONCATENATE('3 pr-2'!B48)</f>
        <v>R01-9903-290000-1142</v>
      </c>
      <c r="C47" s="1558" t="str">
        <f>IF('ketv. 4 '!Z48&gt;0,'ketv. 4 '!C48,"-")</f>
        <v>07.1.1-CPVA-R-903-11-0001</v>
      </c>
      <c r="D47" s="375" t="str">
        <f>CONCATENATE('3 pr-2'!D48)</f>
        <v>Amatų centro „Menų kalvė“ Druskininkuose įkūrimas</v>
      </c>
      <c r="E47" s="375" t="str">
        <f>CONCATENATE('3 pr-2'!E48)</f>
        <v xml:space="preserve">Druskininkų savivaldybės administracija  </v>
      </c>
      <c r="F47" s="375" t="str">
        <f>CONCATENATE('3 pr-2'!F48)</f>
        <v>Lietuvos Respublikos vidaus reikalų ministerija</v>
      </c>
      <c r="G47" s="375" t="str">
        <f>CONCATENATE('3 pr-2'!G48)</f>
        <v>Druskininkų sav.</v>
      </c>
      <c r="H47" s="575" t="str">
        <f>CONCATENATE('3 pr-2'!H48)</f>
        <v>07.1.1-CPVA-R-903</v>
      </c>
      <c r="I47" s="375" t="str">
        <f>CONCATENATE('3 pr-2'!I48)</f>
        <v>R</v>
      </c>
      <c r="J47" s="375" t="str">
        <f>CONCATENATE('3 pr-2'!J48)</f>
        <v>ITI</v>
      </c>
      <c r="K47" s="1173">
        <f>SUM('3 pr-2'!L48)</f>
        <v>801950</v>
      </c>
      <c r="L47" s="1162">
        <f t="shared" si="58"/>
        <v>474784</v>
      </c>
      <c r="M47" s="1173">
        <f t="shared" si="1"/>
        <v>327166</v>
      </c>
      <c r="N47" s="1173">
        <f t="shared" si="59"/>
        <v>327166</v>
      </c>
      <c r="O47" s="1173">
        <f>SUM('3 pr-2'!O48)</f>
        <v>493431</v>
      </c>
      <c r="P47" s="1162">
        <f>IF('ketv. 5 '!U47&gt;0,'ketv. 7 '!R46,SUMIF(Projektu_sutarciu_ataskaita!$J:$J,C47,Projektu_sutarciu_ataskaita!$DK:$DK))</f>
        <v>166265</v>
      </c>
      <c r="Q47" s="1173">
        <f t="shared" si="3"/>
        <v>327166</v>
      </c>
      <c r="R47" s="1173">
        <f t="shared" si="60"/>
        <v>327166</v>
      </c>
      <c r="S47" s="1173">
        <f>SUM('3 pr-2'!R48)</f>
        <v>25015.06</v>
      </c>
      <c r="T47" s="1162">
        <f>IF('ketv. 5 '!U47&gt;0,'ketv. 7 '!W46,SUMIF(Projektu_sutarciu_ataskaita!$J:$J,C47,Projektu_sutarciu_ataskaita!$DG:$DG))</f>
        <v>25015.06</v>
      </c>
      <c r="U47" s="1173">
        <f t="shared" si="39"/>
        <v>0</v>
      </c>
      <c r="V47" s="1173">
        <f t="shared" si="61"/>
        <v>0</v>
      </c>
      <c r="W47" s="1173">
        <f>SUM('3 pr-2'!U48)</f>
        <v>0</v>
      </c>
      <c r="X47" s="1173">
        <f>IF('ketv. 5 '!U47&gt;0,'ketv. 7 '!AB46,SUMIF(Projektu_sutarciu_ataskaita!$J:$J,C47,Projektu_sutarciu_ataskaita!$DM:$DM))</f>
        <v>0</v>
      </c>
      <c r="Y47" s="1173"/>
      <c r="Z47" s="1173">
        <f t="shared" si="62"/>
        <v>0</v>
      </c>
      <c r="AA47" s="1173">
        <f>SUM('3 pr-2'!X48)</f>
        <v>0</v>
      </c>
      <c r="AB47" s="1173">
        <f>IF('ketv. 5 '!U47&gt;0,'ketv. 7 '!AG46,SUMIF(Projektu_sutarciu_ataskaita!$J:$J,C47,Projektu_sutarciu_ataskaita!$DL:$DL)+SUMIF(Projektu_sutarciu_ataskaita!$J:$J,C47,Projektu_sutarciu_ataskaita!$DJ:$DJ))</f>
        <v>0</v>
      </c>
      <c r="AC47" s="1173"/>
      <c r="AD47" s="1173">
        <f t="shared" si="63"/>
        <v>0</v>
      </c>
      <c r="AE47" s="1173">
        <f>SUM('3 pr-2'!AA48)</f>
        <v>283503.94</v>
      </c>
      <c r="AF47" s="1162">
        <f>IF('ketv. 5 '!U47&gt;0,'ketv. 7 '!AL46,SUMIF(Projektu_sutarciu_ataskaita!$J:$J,C47,Projektu_sutarciu_ataskaita!$DF:$DF))</f>
        <v>283503.94</v>
      </c>
      <c r="AG47" s="1559">
        <f t="shared" si="45"/>
        <v>0</v>
      </c>
      <c r="AH47" s="1177">
        <f t="shared" si="64"/>
        <v>0</v>
      </c>
      <c r="AI47" s="1173">
        <f>SUM('3 pr-2'!AB48)</f>
        <v>0</v>
      </c>
      <c r="AJ47" s="1162">
        <v>0</v>
      </c>
    </row>
    <row r="48" spans="1:37" ht="37.5" customHeight="1" thickBot="1">
      <c r="A48" s="375" t="str">
        <f>CONCATENATE('3 pr-2'!A49)</f>
        <v>1.1.1.4.3</v>
      </c>
      <c r="B48" s="375" t="str">
        <f>CONCATENATE('3 pr-2'!B49)</f>
        <v>R01-9903-290000-1143</v>
      </c>
      <c r="C48" s="1558" t="str">
        <f>IF('ketv. 4 '!Z49&gt;0,'ketv. 4 '!C49,"-")</f>
        <v>07.1.1-CPVA-R-903-11-0002</v>
      </c>
      <c r="D48" s="375" t="str">
        <f>CONCATENATE('3 pr-2'!D49)</f>
        <v>Lazdijų miesto kompleksinė infrastruktūros plėtra, III etapas</v>
      </c>
      <c r="E48" s="375" t="str">
        <f>CONCATENATE('3 pr-2'!E49)</f>
        <v>Lazdijų rajono savivaldybės administracija</v>
      </c>
      <c r="F48" s="375" t="str">
        <f>CONCATENATE('3 pr-2'!F49)</f>
        <v>Lietuvos Respublikos vidaus reikalų ministerija</v>
      </c>
      <c r="G48" s="375" t="str">
        <f>CONCATENATE('3 pr-2'!G49)</f>
        <v>Lazdijų r. sav.</v>
      </c>
      <c r="H48" s="575" t="str">
        <f>CONCATENATE('3 pr-2'!H49)</f>
        <v>07.1.1-CPVA-R-903</v>
      </c>
      <c r="I48" s="375" t="str">
        <f>CONCATENATE('3 pr-2'!I49)</f>
        <v>R</v>
      </c>
      <c r="J48" s="375" t="str">
        <f>CONCATENATE('3 pr-2'!J49)</f>
        <v>ITI</v>
      </c>
      <c r="K48" s="1173">
        <f>SUM('3 pr-2'!L49)</f>
        <v>343507</v>
      </c>
      <c r="L48" s="1162">
        <f t="shared" si="58"/>
        <v>343507</v>
      </c>
      <c r="M48" s="1173">
        <f t="shared" si="1"/>
        <v>0</v>
      </c>
      <c r="N48" s="1173">
        <f t="shared" si="59"/>
        <v>0</v>
      </c>
      <c r="O48" s="1173">
        <f>SUM('3 pr-2'!O49)</f>
        <v>25763.03</v>
      </c>
      <c r="P48" s="1162">
        <f>IF('ketv. 5 '!U48&gt;0,'ketv. 7 '!R47,SUMIF(Projektu_sutarciu_ataskaita!$J:$J,C48,Projektu_sutarciu_ataskaita!$DK:$DK))</f>
        <v>25763.03</v>
      </c>
      <c r="Q48" s="1173">
        <f t="shared" si="3"/>
        <v>0</v>
      </c>
      <c r="R48" s="1173">
        <f t="shared" si="60"/>
        <v>0</v>
      </c>
      <c r="S48" s="1173">
        <f>SUM('3 pr-2'!R49)</f>
        <v>25763.02</v>
      </c>
      <c r="T48" s="1162">
        <f>IF('ketv. 5 '!U48&gt;0,'ketv. 7 '!W47,SUMIF(Projektu_sutarciu_ataskaita!$J:$J,C48,Projektu_sutarciu_ataskaita!$DG:$DG))</f>
        <v>25763.02</v>
      </c>
      <c r="U48" s="1173">
        <f t="shared" si="39"/>
        <v>0</v>
      </c>
      <c r="V48" s="1173">
        <f t="shared" si="61"/>
        <v>0</v>
      </c>
      <c r="W48" s="1173">
        <f>SUM('3 pr-2'!U49)</f>
        <v>0</v>
      </c>
      <c r="X48" s="1173">
        <f>IF('ketv. 5 '!U48&gt;0,'ketv. 7 '!AB47,SUMIF(Projektu_sutarciu_ataskaita!$J:$J,C48,Projektu_sutarciu_ataskaita!$DM:$DM))</f>
        <v>0</v>
      </c>
      <c r="Y48" s="1173"/>
      <c r="Z48" s="1173">
        <f t="shared" si="62"/>
        <v>0</v>
      </c>
      <c r="AA48" s="1173">
        <f>SUM('3 pr-2'!X49)</f>
        <v>0</v>
      </c>
      <c r="AB48" s="1173">
        <f>IF('ketv. 5 '!U48&gt;0,'ketv. 7 '!AG47,SUMIF(Projektu_sutarciu_ataskaita!$J:$J,C48,Projektu_sutarciu_ataskaita!$DL:$DL)+SUMIF(Projektu_sutarciu_ataskaita!$J:$J,C48,Projektu_sutarciu_ataskaita!$DJ:$DJ))</f>
        <v>0</v>
      </c>
      <c r="AC48" s="1173"/>
      <c r="AD48" s="1173">
        <f t="shared" si="63"/>
        <v>0</v>
      </c>
      <c r="AE48" s="1173">
        <f>SUM('3 pr-2'!AA49)</f>
        <v>291980.95</v>
      </c>
      <c r="AF48" s="1162">
        <f>IF('ketv. 5 '!U48&gt;0,'ketv. 7 '!AL47,SUMIF(Projektu_sutarciu_ataskaita!$J:$J,C48,Projektu_sutarciu_ataskaita!$DF:$DF))</f>
        <v>291980.95</v>
      </c>
      <c r="AG48" s="1559">
        <f t="shared" si="45"/>
        <v>0</v>
      </c>
      <c r="AH48" s="1177">
        <f t="shared" si="64"/>
        <v>0</v>
      </c>
      <c r="AI48" s="1173">
        <f>SUM('3 pr-2'!AB49)</f>
        <v>0</v>
      </c>
      <c r="AJ48" s="1162">
        <v>0</v>
      </c>
    </row>
    <row r="49" spans="1:36" ht="38.25" customHeight="1" thickBot="1">
      <c r="A49" s="296" t="str">
        <f>CONCATENATE('3 pr-2'!A50)</f>
        <v>1.1.1.5</v>
      </c>
      <c r="B49" s="2088" t="str">
        <f>CONCATENATE('3 pr-2'!B50)</f>
        <v xml:space="preserve">Priemonė:
Geriamojo vandens tiekimo ir nuotekų tvarkymo sistemų renovavimas ir plėtra, įmonių valdymo tobulinimas </v>
      </c>
      <c r="C49" s="1894"/>
      <c r="D49" s="1894"/>
      <c r="E49" s="1894"/>
      <c r="F49" s="1894"/>
      <c r="G49" s="1894"/>
      <c r="H49" s="1894"/>
      <c r="I49" s="1894"/>
      <c r="J49" s="1895"/>
      <c r="K49" s="1168">
        <f>SUM('3 pr-2'!L50)</f>
        <v>16349723.129999999</v>
      </c>
      <c r="L49" s="1168">
        <f>SUM(L50:L54)</f>
        <v>16013194.139999999</v>
      </c>
      <c r="M49" s="1169">
        <f>SUM(M50:M54)</f>
        <v>336528.99</v>
      </c>
      <c r="N49" s="1170">
        <f>SUM(N50:N54)</f>
        <v>336528.99</v>
      </c>
      <c r="O49" s="1168">
        <f>SUM('3 pr-2'!O50)</f>
        <v>0</v>
      </c>
      <c r="P49" s="1168">
        <f>SUM(P50:P54)</f>
        <v>0</v>
      </c>
      <c r="Q49" s="1168">
        <f>SUM(Q50:Q54)</f>
        <v>0</v>
      </c>
      <c r="R49" s="1168">
        <f>SUM(R50:R54)</f>
        <v>0</v>
      </c>
      <c r="S49" s="1168">
        <f>SUM('3 pr-2'!R50)</f>
        <v>0</v>
      </c>
      <c r="T49" s="1168">
        <f>SUM(T50:T54)</f>
        <v>0</v>
      </c>
      <c r="U49" s="1168">
        <f>SUM(U50:U54)</f>
        <v>0</v>
      </c>
      <c r="V49" s="1168">
        <f>SUM(V50:V54)</f>
        <v>0</v>
      </c>
      <c r="W49" s="1168">
        <f>SUM('3 pr-2'!U50)</f>
        <v>7447758.8300000001</v>
      </c>
      <c r="X49" s="1168">
        <f>SUM(X50:X54)</f>
        <v>7214948.9000000004</v>
      </c>
      <c r="Y49" s="1168">
        <f>SUM(Y50:Y54)</f>
        <v>232809.92999999993</v>
      </c>
      <c r="Z49" s="1168">
        <f>SUM(Z50:Z54)</f>
        <v>232809.92999999993</v>
      </c>
      <c r="AA49" s="1168">
        <f>SUM('3 pr-2'!X50)</f>
        <v>0</v>
      </c>
      <c r="AB49" s="1168">
        <f>SUM(AB50:AB54)</f>
        <v>0</v>
      </c>
      <c r="AC49" s="1168"/>
      <c r="AD49" s="1168">
        <f>SUM(AD50:AD54)</f>
        <v>0</v>
      </c>
      <c r="AE49" s="1168">
        <f>SUM('3 pr-2'!AA50)</f>
        <v>8901964.3000000007</v>
      </c>
      <c r="AF49" s="1168">
        <f>SUM(AF50:AF54)</f>
        <v>8798245.2400000002</v>
      </c>
      <c r="AG49" s="1561">
        <f>SUM(AG50:AG54)</f>
        <v>103719.06000000006</v>
      </c>
      <c r="AH49" s="1562">
        <f>SUM(AH50:AH54)</f>
        <v>103719.06000000006</v>
      </c>
      <c r="AI49" s="1168">
        <f>SUM(AI50:AI54)</f>
        <v>0</v>
      </c>
      <c r="AJ49" s="1168">
        <f>SUM(AJ50:AJ54)</f>
        <v>0</v>
      </c>
    </row>
    <row r="50" spans="1:36" ht="24.75">
      <c r="A50" s="375" t="str">
        <f>CONCATENATE('3 pr-2'!A51)</f>
        <v>1.1.1.5.1</v>
      </c>
      <c r="B50" s="375" t="str">
        <f>CONCATENATE('3 pr-2'!B51)</f>
        <v>R01-0014-060700-1151</v>
      </c>
      <c r="C50" s="1558" t="str">
        <f>IF('ketv. 4 '!Z51&gt;0,'ketv. 4 '!C51,"-")</f>
        <v>05.3.2-APVA-R-014-11-0001</v>
      </c>
      <c r="D50" s="375" t="str">
        <f>CONCATENATE('3 pr-2'!D51)</f>
        <v>Geriamojo vandens tiekimo ir nuotekų tvarkymo sistemų renovavimas ir plėtra Varėnos rajone</v>
      </c>
      <c r="E50" s="375" t="str">
        <f>CONCATENATE('3 pr-2'!E51)</f>
        <v>UAB „Varėnos vandenys“</v>
      </c>
      <c r="F50" s="375" t="str">
        <f>CONCATENATE('3 pr-2'!F51)</f>
        <v>Lietuvos Respublikos aplinkos ministerija</v>
      </c>
      <c r="G50" s="375" t="str">
        <f>CONCATENATE('3 pr-2'!G51)</f>
        <v>Varėnos r. sav.</v>
      </c>
      <c r="H50" s="375" t="str">
        <f>CONCATENATE('3 pr-2'!H51)</f>
        <v>05.3.2-APVA-R-014</v>
      </c>
      <c r="I50" s="375" t="str">
        <f>CONCATENATE('3 pr-2'!I51)</f>
        <v>R</v>
      </c>
      <c r="J50" s="375" t="str">
        <f>CONCATENATE('3 pr-2'!J51)</f>
        <v>ITI</v>
      </c>
      <c r="K50" s="1173">
        <f>SUM('3 pr-2'!L51)</f>
        <v>2474472.79</v>
      </c>
      <c r="L50" s="1162">
        <f t="shared" ref="L50:L54" si="65">SUM(P50+T50+X50+AB50+AF50+AJ50)</f>
        <v>2474472.79</v>
      </c>
      <c r="M50" s="1173">
        <f t="shared" si="1"/>
        <v>0</v>
      </c>
      <c r="N50" s="1173">
        <f t="shared" ref="N50:N54" si="66">IF(L50&gt;0,K50-L50,0)</f>
        <v>0</v>
      </c>
      <c r="O50" s="1173">
        <f>SUM('3 pr-2'!O51)</f>
        <v>0</v>
      </c>
      <c r="P50" s="1173">
        <f>IF('ketv. 5 '!U50&gt;0,'ketv. 7 '!R49,SUMIF(Projektu_sutarciu_ataskaita!$J:$J,C50,Projektu_sutarciu_ataskaita!$DK:$DK))</f>
        <v>0</v>
      </c>
      <c r="Q50" s="1173">
        <f t="shared" si="3"/>
        <v>0</v>
      </c>
      <c r="R50" s="1173">
        <f t="shared" ref="R50:R54" si="67">IF(P50&gt;0,O50-P50,0)</f>
        <v>0</v>
      </c>
      <c r="S50" s="1173">
        <f>SUM('3 pr-2'!R51)</f>
        <v>0</v>
      </c>
      <c r="T50" s="1173">
        <f>IF('ketv. 5 '!U50&gt;0,'ketv. 7 '!W49,SUMIF(Projektu_sutarciu_ataskaita!$J:$J,C50,Projektu_sutarciu_ataskaita!$DG:$DG))</f>
        <v>0</v>
      </c>
      <c r="U50" s="1173">
        <f t="shared" ref="U50:U54" si="68">SUM(S50-T50)</f>
        <v>0</v>
      </c>
      <c r="V50" s="1173">
        <f t="shared" ref="V50:V54" si="69">IF(T50&gt;0,S50-T50,0)</f>
        <v>0</v>
      </c>
      <c r="W50" s="1173">
        <f>SUM('3 pr-2'!U51)</f>
        <v>860244.53</v>
      </c>
      <c r="X50" s="1162">
        <f>IF('ketv. 5 '!U50&gt;0,'ketv. 7 '!AB49,SUMIF(Projektu_sutarciu_ataskaita!$J:$J,C50,Projektu_sutarciu_ataskaita!$DM:$DM))</f>
        <v>860244.53</v>
      </c>
      <c r="Y50" s="1173">
        <f t="shared" si="41"/>
        <v>0</v>
      </c>
      <c r="Z50" s="1173">
        <f t="shared" ref="Z50:Z54" si="70">IF(X50&gt;0,W50-X50,0)</f>
        <v>0</v>
      </c>
      <c r="AA50" s="1173">
        <f>SUM('3 pr-2'!X51)</f>
        <v>0</v>
      </c>
      <c r="AB50" s="1173">
        <f>IF('ketv. 5 '!U50&gt;0,'ketv. 7 '!AG49,SUMIF(Projektu_sutarciu_ataskaita!$J:$J,C50,Projektu_sutarciu_ataskaita!$DL:$DL)+SUMIF(Projektu_sutarciu_ataskaita!$J:$J,C50,Projektu_sutarciu_ataskaita!$DJ:$DJ))</f>
        <v>0</v>
      </c>
      <c r="AC50" s="1173"/>
      <c r="AD50" s="1173">
        <f t="shared" ref="AD50:AD54" si="71">IF(AB50&gt;0,AA50-AB50,0)</f>
        <v>0</v>
      </c>
      <c r="AE50" s="1173">
        <f>SUM('3 pr-2'!AA51)</f>
        <v>1614228.26</v>
      </c>
      <c r="AF50" s="1162">
        <f>IF('ketv. 5 '!U50&gt;0,'ketv. 7 '!AL49,SUMIF(Projektu_sutarciu_ataskaita!$J:$J,C50,Projektu_sutarciu_ataskaita!$DF:$DF))</f>
        <v>1614228.26</v>
      </c>
      <c r="AG50" s="1559">
        <f t="shared" si="45"/>
        <v>0</v>
      </c>
      <c r="AH50" s="1563">
        <f t="shared" ref="AH50:AH54" si="72">IF(AF50&gt;0,AE50-AF50,0)</f>
        <v>0</v>
      </c>
      <c r="AI50" s="1173">
        <f>SUM('3 pr-2'!AB51)</f>
        <v>0</v>
      </c>
      <c r="AJ50" s="1162">
        <v>0</v>
      </c>
    </row>
    <row r="51" spans="1:36" ht="24.75">
      <c r="A51" s="375" t="str">
        <f>CONCATENATE('3 pr-2'!A52)</f>
        <v>1.1.1.5.2.</v>
      </c>
      <c r="B51" s="375" t="str">
        <f>CONCATENATE('3 pr-2'!B52)</f>
        <v>R01-0014-060750-1152</v>
      </c>
      <c r="C51" s="1558" t="str">
        <f>IF('ketv. 4 '!Z52&gt;0,'ketv. 4 '!C52,"-")</f>
        <v>05.3.2-APVA-R-014-11-0002</v>
      </c>
      <c r="D51" s="375" t="str">
        <f>CONCATENATE('3 pr-2'!D52)</f>
        <v>Geriamojo vandens ir nuotekų tvarkymo sistemų renovavimas Alytaus mieste</v>
      </c>
      <c r="E51" s="375" t="str">
        <f>CONCATENATE('3 pr-2'!E52)</f>
        <v>UAB “Dzūkijos vandenys“</v>
      </c>
      <c r="F51" s="375" t="str">
        <f>CONCATENATE('3 pr-2'!F52)</f>
        <v>Lietuvos Respublikos aplinkos ministerija</v>
      </c>
      <c r="G51" s="375" t="str">
        <f>CONCATENATE('3 pr-2'!G52)</f>
        <v>Alytaus m. sav.</v>
      </c>
      <c r="H51" s="375" t="str">
        <f>CONCATENATE('3 pr-2'!H52)</f>
        <v>05.3.2-APVA-R-014</v>
      </c>
      <c r="I51" s="375" t="str">
        <f>CONCATENATE('3 pr-2'!I52)</f>
        <v>R</v>
      </c>
      <c r="J51" s="375" t="str">
        <f>CONCATENATE('3 pr-2'!J52)</f>
        <v>ITI</v>
      </c>
      <c r="K51" s="1173">
        <f>SUM('3 pr-2'!L52)</f>
        <v>5706088</v>
      </c>
      <c r="L51" s="1162">
        <f t="shared" si="65"/>
        <v>5598211</v>
      </c>
      <c r="M51" s="1173">
        <f t="shared" si="1"/>
        <v>107877</v>
      </c>
      <c r="N51" s="1173">
        <f t="shared" si="66"/>
        <v>107877</v>
      </c>
      <c r="O51" s="1173">
        <f>SUM('3 pr-2'!O52)</f>
        <v>0</v>
      </c>
      <c r="P51" s="1173">
        <f>IF('ketv. 5 '!U51&gt;0,'ketv. 7 '!R50,SUMIF(Projektu_sutarciu_ataskaita!$J:$J,C51,Projektu_sutarciu_ataskaita!$DK:$DK))</f>
        <v>0</v>
      </c>
      <c r="Q51" s="1173">
        <f t="shared" si="3"/>
        <v>0</v>
      </c>
      <c r="R51" s="1173">
        <f t="shared" si="67"/>
        <v>0</v>
      </c>
      <c r="S51" s="1173">
        <f>SUM('3 pr-2'!R52)</f>
        <v>0</v>
      </c>
      <c r="T51" s="1173">
        <f>IF('ketv. 5 '!U51&gt;0,'ketv. 7 '!W50,SUMIF(Projektu_sutarciu_ataskaita!$J:$J,C51,Projektu_sutarciu_ataskaita!$DG:$DG))</f>
        <v>0</v>
      </c>
      <c r="U51" s="1173">
        <f t="shared" si="68"/>
        <v>0</v>
      </c>
      <c r="V51" s="1173">
        <f t="shared" si="69"/>
        <v>0</v>
      </c>
      <c r="W51" s="1173">
        <f>SUM('3 pr-2'!U52)</f>
        <v>3009103.69</v>
      </c>
      <c r="X51" s="1162">
        <f>IF('ketv. 5 '!U51&gt;0,'ketv. 7 '!AB50,SUMIF(Projektu_sutarciu_ataskaita!$J:$J,C51,Projektu_sutarciu_ataskaita!$DM:$DM))</f>
        <v>2952214.75</v>
      </c>
      <c r="Y51" s="1173">
        <f t="shared" si="41"/>
        <v>56888.939999999944</v>
      </c>
      <c r="Z51" s="1173">
        <f t="shared" si="70"/>
        <v>56888.939999999944</v>
      </c>
      <c r="AA51" s="1173">
        <f>SUM('3 pr-2'!X52)</f>
        <v>0</v>
      </c>
      <c r="AB51" s="1173">
        <f>IF('ketv. 5 '!U51&gt;0,'ketv. 7 '!AG50,SUMIF(Projektu_sutarciu_ataskaita!$J:$J,C51,Projektu_sutarciu_ataskaita!$DL:$DL)+SUMIF(Projektu_sutarciu_ataskaita!$J:$J,C51,Projektu_sutarciu_ataskaita!$DJ:$DJ))</f>
        <v>0</v>
      </c>
      <c r="AC51" s="1173"/>
      <c r="AD51" s="1173">
        <f t="shared" si="71"/>
        <v>0</v>
      </c>
      <c r="AE51" s="1173">
        <f>SUM('3 pr-2'!AA52)</f>
        <v>2696984.31</v>
      </c>
      <c r="AF51" s="1162">
        <f>IF('ketv. 5 '!U51&gt;0,'ketv. 7 '!AL50,SUMIF(Projektu_sutarciu_ataskaita!$J:$J,C51,Projektu_sutarciu_ataskaita!$DF:$DF))</f>
        <v>2645996.25</v>
      </c>
      <c r="AG51" s="1559">
        <f t="shared" si="45"/>
        <v>50988.060000000056</v>
      </c>
      <c r="AH51" s="1177">
        <f t="shared" si="72"/>
        <v>50988.060000000056</v>
      </c>
      <c r="AI51" s="1173">
        <f>SUM('3 pr-2'!AB52)</f>
        <v>0</v>
      </c>
      <c r="AJ51" s="1162">
        <v>0</v>
      </c>
    </row>
    <row r="52" spans="1:36" ht="36.75">
      <c r="A52" s="375" t="str">
        <f>CONCATENATE('3 pr-2'!A53)</f>
        <v>1.1.1.5.3</v>
      </c>
      <c r="B52" s="375" t="str">
        <f>CONCATENATE('3 pr-2'!B53)</f>
        <v>R01-0014-070650-1153</v>
      </c>
      <c r="C52" s="1558" t="str">
        <f>IF('ketv. 4 '!Z53&gt;0,'ketv. 4 '!C53,"-")</f>
        <v>05.3.2-APVA-R-014-11-0004</v>
      </c>
      <c r="D52" s="375" t="str">
        <f>CONCATENATE('3 pr-2'!D53)</f>
        <v>Geriamojo vandens tiekimo ir nuotekų tvarkymo sistemų renovavimas ir plėtra Lazdijų rajono savivaldybėje</v>
      </c>
      <c r="E52" s="375" t="str">
        <f>CONCATENATE('3 pr-2'!E53)</f>
        <v>UAB „Lazdijų vanduo“</v>
      </c>
      <c r="F52" s="375" t="str">
        <f>CONCATENATE('3 pr-2'!F53)</f>
        <v>Lietuvos Respublikos aplinkos ministerija</v>
      </c>
      <c r="G52" s="375" t="str">
        <f>CONCATENATE('3 pr-2'!G53)</f>
        <v>Lazdijų r. sav.</v>
      </c>
      <c r="H52" s="375" t="str">
        <f>CONCATENATE('3 pr-2'!H53)</f>
        <v>05.3.2-APVA-R-014</v>
      </c>
      <c r="I52" s="375" t="str">
        <f>CONCATENATE('3 pr-2'!I53)</f>
        <v>R</v>
      </c>
      <c r="J52" s="375" t="str">
        <f>CONCATENATE('3 pr-2'!J53)</f>
        <v>-</v>
      </c>
      <c r="K52" s="1173">
        <f>SUM('3 pr-2'!L53)</f>
        <v>1437425.74</v>
      </c>
      <c r="L52" s="1162">
        <f t="shared" si="65"/>
        <v>1298773.75</v>
      </c>
      <c r="M52" s="1173">
        <f t="shared" si="1"/>
        <v>138651.99</v>
      </c>
      <c r="N52" s="1173">
        <f t="shared" si="66"/>
        <v>138651.99</v>
      </c>
      <c r="O52" s="1173">
        <f>SUM('3 pr-2'!O53)</f>
        <v>0</v>
      </c>
      <c r="P52" s="1173">
        <f>IF('ketv. 5 '!U52&gt;0,'ketv. 7 '!R51,SUMIF(Projektu_sutarciu_ataskaita!$J:$J,C52,Projektu_sutarciu_ataskaita!$DK:$DK))</f>
        <v>0</v>
      </c>
      <c r="Q52" s="1173">
        <f t="shared" si="3"/>
        <v>0</v>
      </c>
      <c r="R52" s="1173">
        <f t="shared" si="67"/>
        <v>0</v>
      </c>
      <c r="S52" s="1173">
        <f>SUM('3 pr-2'!R53)</f>
        <v>0</v>
      </c>
      <c r="T52" s="1173">
        <f>IF('ketv. 5 '!U52&gt;0,'ketv. 7 '!W51,SUMIF(Projektu_sutarciu_ataskaita!$J:$J,C52,Projektu_sutarciu_ataskaita!$DG:$DG))</f>
        <v>0</v>
      </c>
      <c r="U52" s="1173">
        <f t="shared" si="68"/>
        <v>0</v>
      </c>
      <c r="V52" s="1173">
        <f t="shared" si="69"/>
        <v>0</v>
      </c>
      <c r="W52" s="1173">
        <f>SUM('3 pr-2'!U53)</f>
        <v>641323.74</v>
      </c>
      <c r="X52" s="1162">
        <f>IF('ketv. 5 '!U52&gt;0,'ketv. 7 '!AB51,SUMIF(Projektu_sutarciu_ataskaita!$J:$J,C52,Projektu_sutarciu_ataskaita!$DM:$DM))</f>
        <v>502671.75</v>
      </c>
      <c r="Y52" s="1173">
        <f t="shared" si="41"/>
        <v>138651.99</v>
      </c>
      <c r="Z52" s="1173">
        <f t="shared" si="70"/>
        <v>138651.99</v>
      </c>
      <c r="AA52" s="1173">
        <f>SUM('3 pr-2'!X53)</f>
        <v>0</v>
      </c>
      <c r="AB52" s="1173">
        <f>IF('ketv. 5 '!U52&gt;0,'ketv. 7 '!AG51,SUMIF(Projektu_sutarciu_ataskaita!$J:$J,C52,Projektu_sutarciu_ataskaita!$DL:$DL)+SUMIF(Projektu_sutarciu_ataskaita!$J:$J,C52,Projektu_sutarciu_ataskaita!$DJ:$DJ))</f>
        <v>0</v>
      </c>
      <c r="AC52" s="1173"/>
      <c r="AD52" s="1173">
        <f t="shared" si="71"/>
        <v>0</v>
      </c>
      <c r="AE52" s="1173">
        <f>SUM('3 pr-2'!AA53)</f>
        <v>796102</v>
      </c>
      <c r="AF52" s="1162">
        <f>IF('ketv. 5 '!U52&gt;0,'ketv. 7 '!AL51,SUMIF(Projektu_sutarciu_ataskaita!$J:$J,C52,Projektu_sutarciu_ataskaita!$DF:$DF))</f>
        <v>796102</v>
      </c>
      <c r="AG52" s="1559">
        <f t="shared" si="45"/>
        <v>0</v>
      </c>
      <c r="AH52" s="1177">
        <f t="shared" si="72"/>
        <v>0</v>
      </c>
      <c r="AI52" s="1173">
        <f>SUM('3 pr-2'!AB53)</f>
        <v>0</v>
      </c>
      <c r="AJ52" s="1162">
        <v>0</v>
      </c>
    </row>
    <row r="53" spans="1:36" ht="36.75">
      <c r="A53" s="375" t="str">
        <f>CONCATENATE('3 pr-2'!A54)</f>
        <v>1.1.1.5.4.</v>
      </c>
      <c r="B53" s="375" t="str">
        <f>CONCATENATE('3 pr-2'!B54)</f>
        <v>R01-0014-060700-1154</v>
      </c>
      <c r="C53" s="1558" t="str">
        <f>IF('ketv. 4 '!Z54&gt;0,'ketv. 4 '!C54,"-")</f>
        <v>05.3.2-APVA-R-014-11-0003</v>
      </c>
      <c r="D53" s="375" t="str">
        <f>CONCATENATE('3 pr-2'!D54)</f>
        <v>Vandens tiekimo ir nuotekų šalinimo infrastruktūros renovavimas ir plėtra Druskininkų savivaldybėje</v>
      </c>
      <c r="E53" s="375" t="str">
        <f>CONCATENATE('3 pr-2'!E54)</f>
        <v>UAB "Druskininkų vandenys"</v>
      </c>
      <c r="F53" s="375" t="str">
        <f>CONCATENATE('3 pr-2'!F54)</f>
        <v>Lietuvos Respublikos aplinkos ministerija</v>
      </c>
      <c r="G53" s="375" t="str">
        <f>CONCATENATE('3 pr-2'!G54)</f>
        <v>Druskininkų sav.</v>
      </c>
      <c r="H53" s="375" t="str">
        <f>CONCATENATE('3 pr-2'!H54)</f>
        <v>05.3.2-APVA-R-014</v>
      </c>
      <c r="I53" s="375" t="str">
        <f>CONCATENATE('3 pr-2'!I54)</f>
        <v>R</v>
      </c>
      <c r="J53" s="375" t="str">
        <f>CONCATENATE('3 pr-2'!J54)</f>
        <v>-</v>
      </c>
      <c r="K53" s="1173">
        <f>SUM('3 pr-2'!L54)</f>
        <v>5160736.5999999996</v>
      </c>
      <c r="L53" s="1162">
        <f t="shared" si="65"/>
        <v>5160736.5999999996</v>
      </c>
      <c r="M53" s="1173">
        <f t="shared" si="1"/>
        <v>0</v>
      </c>
      <c r="N53" s="1173">
        <f t="shared" si="66"/>
        <v>0</v>
      </c>
      <c r="O53" s="1173">
        <f>SUM('3 pr-2'!O54)</f>
        <v>0</v>
      </c>
      <c r="P53" s="1173">
        <f>IF('ketv. 5 '!U53&gt;0,'ketv. 7 '!R52,SUMIF(Projektu_sutarciu_ataskaita!$J:$J,C53,Projektu_sutarciu_ataskaita!$DK:$DK))</f>
        <v>0</v>
      </c>
      <c r="Q53" s="1173">
        <f t="shared" si="3"/>
        <v>0</v>
      </c>
      <c r="R53" s="1173">
        <f t="shared" si="67"/>
        <v>0</v>
      </c>
      <c r="S53" s="1173">
        <f>SUM('3 pr-2'!R54)</f>
        <v>0</v>
      </c>
      <c r="T53" s="1173">
        <f>IF('ketv. 5 '!U53&gt;0,'ketv. 7 '!W52,SUMIF(Projektu_sutarciu_ataskaita!$J:$J,C53,Projektu_sutarciu_ataskaita!$DG:$DG))</f>
        <v>0</v>
      </c>
      <c r="U53" s="1173">
        <f t="shared" si="68"/>
        <v>0</v>
      </c>
      <c r="V53" s="1173">
        <f t="shared" si="69"/>
        <v>0</v>
      </c>
      <c r="W53" s="1173">
        <f>SUM('3 pr-2'!U54)</f>
        <v>2286561.87</v>
      </c>
      <c r="X53" s="1162">
        <f>IF('ketv. 5 '!U53&gt;0,'ketv. 7 '!AB52,SUMIF(Projektu_sutarciu_ataskaita!$J:$J,C53,Projektu_sutarciu_ataskaita!$DM:$DM))</f>
        <v>2286561.87</v>
      </c>
      <c r="Y53" s="1173">
        <f t="shared" si="41"/>
        <v>0</v>
      </c>
      <c r="Z53" s="1173">
        <f t="shared" si="70"/>
        <v>0</v>
      </c>
      <c r="AA53" s="1173">
        <f>SUM('3 pr-2'!X54)</f>
        <v>0</v>
      </c>
      <c r="AB53" s="1173">
        <f>IF('ketv. 5 '!U53&gt;0,'ketv. 7 '!AG52,SUMIF(Projektu_sutarciu_ataskaita!$J:$J,C53,Projektu_sutarciu_ataskaita!$DL:$DL)+SUMIF(Projektu_sutarciu_ataskaita!$J:$J,C53,Projektu_sutarciu_ataskaita!$DJ:$DJ))</f>
        <v>0</v>
      </c>
      <c r="AC53" s="1173"/>
      <c r="AD53" s="1173">
        <f t="shared" si="71"/>
        <v>0</v>
      </c>
      <c r="AE53" s="1173">
        <f>SUM('3 pr-2'!AA54)</f>
        <v>2874174.73</v>
      </c>
      <c r="AF53" s="1162">
        <f>IF('ketv. 5 '!U53&gt;0,'ketv. 7 '!AL52,SUMIF(Projektu_sutarciu_ataskaita!$J:$J,C53,Projektu_sutarciu_ataskaita!$DF:$DF))</f>
        <v>2874174.73</v>
      </c>
      <c r="AG53" s="1559">
        <f t="shared" si="45"/>
        <v>0</v>
      </c>
      <c r="AH53" s="1177">
        <f t="shared" si="72"/>
        <v>0</v>
      </c>
      <c r="AI53" s="1173">
        <f>SUM('3 pr-2'!AB54)</f>
        <v>0</v>
      </c>
      <c r="AJ53" s="1162">
        <v>0</v>
      </c>
    </row>
    <row r="54" spans="1:36" ht="37.5" thickBot="1">
      <c r="A54" s="375" t="str">
        <f>CONCATENATE('3 pr-2'!A55)</f>
        <v>1.1.1.5.5.</v>
      </c>
      <c r="B54" s="375" t="str">
        <f>CONCATENATE('3 pr-2'!B55)</f>
        <v>R01-0014-060750-1155</v>
      </c>
      <c r="C54" s="1558" t="str">
        <f>IF('ketv. 4 '!Z55&gt;0,'ketv. 4 '!C55,"-")</f>
        <v>05.3.2-APVA-R-014-11-0005</v>
      </c>
      <c r="D54" s="375" t="str">
        <f>CONCATENATE('3 pr-2'!D55)</f>
        <v>Vandens tiekimo ir nuotekų tvarkymo infrastruktūros plėtra Alytaus rajone (Krokialaukyje)</v>
      </c>
      <c r="E54" s="375" t="str">
        <f>CONCATENATE('3 pr-2'!E55)</f>
        <v>SĮ „Simno komunalininkas“</v>
      </c>
      <c r="F54" s="375" t="str">
        <f>CONCATENATE('3 pr-2'!F55)</f>
        <v>Lietuvos Respublikos aplinkos ministerija</v>
      </c>
      <c r="G54" s="375" t="str">
        <f>CONCATENATE('3 pr-2'!G55)</f>
        <v>Alytaus r. sav.</v>
      </c>
      <c r="H54" s="375" t="str">
        <f>CONCATENATE('3 pr-2'!H55)</f>
        <v>05.3.2-APVA-R-014</v>
      </c>
      <c r="I54" s="375" t="str">
        <f>CONCATENATE('3 pr-2'!I55)</f>
        <v>R</v>
      </c>
      <c r="J54" s="375" t="str">
        <f>CONCATENATE('3 pr-2'!J55)</f>
        <v>-</v>
      </c>
      <c r="K54" s="1173">
        <f>SUM('3 pr-2'!L55)</f>
        <v>1571000</v>
      </c>
      <c r="L54" s="1162">
        <f t="shared" si="65"/>
        <v>1481000</v>
      </c>
      <c r="M54" s="1173">
        <f t="shared" si="1"/>
        <v>90000</v>
      </c>
      <c r="N54" s="1173">
        <f t="shared" si="66"/>
        <v>90000</v>
      </c>
      <c r="O54" s="1173">
        <f>SUM('3 pr-2'!O55)</f>
        <v>0</v>
      </c>
      <c r="P54" s="1173">
        <f>IF('ketv. 5 '!U54&gt;0,'ketv. 7 '!R53,SUMIF(Projektu_sutarciu_ataskaita!$J:$J,C54,Projektu_sutarciu_ataskaita!$DK:$DK))</f>
        <v>0</v>
      </c>
      <c r="Q54" s="1173">
        <f t="shared" si="3"/>
        <v>0</v>
      </c>
      <c r="R54" s="1173">
        <f t="shared" si="67"/>
        <v>0</v>
      </c>
      <c r="S54" s="1173">
        <f>SUM('3 pr-2'!R55)</f>
        <v>0</v>
      </c>
      <c r="T54" s="1173">
        <f>IF('ketv. 5 '!U54&gt;0,'ketv. 7 '!W53,SUMIF(Projektu_sutarciu_ataskaita!$J:$J,C54,Projektu_sutarciu_ataskaita!$DG:$DG))</f>
        <v>0</v>
      </c>
      <c r="U54" s="1173">
        <f t="shared" si="68"/>
        <v>0</v>
      </c>
      <c r="V54" s="1173">
        <f t="shared" si="69"/>
        <v>0</v>
      </c>
      <c r="W54" s="1173">
        <f>SUM('3 pr-2'!U55)</f>
        <v>650525</v>
      </c>
      <c r="X54" s="1162">
        <f>IF('ketv. 5 '!U54&gt;0,'ketv. 7 '!AB53,SUMIF(Projektu_sutarciu_ataskaita!$J:$J,C54,Projektu_sutarciu_ataskaita!$DM:$DM))</f>
        <v>613256</v>
      </c>
      <c r="Y54" s="1173">
        <f t="shared" si="41"/>
        <v>37269</v>
      </c>
      <c r="Z54" s="1173">
        <f t="shared" si="70"/>
        <v>37269</v>
      </c>
      <c r="AA54" s="1173">
        <f>SUM('3 pr-2'!X55)</f>
        <v>0</v>
      </c>
      <c r="AB54" s="1173">
        <f>IF('ketv. 5 '!U54&gt;0,'ketv. 7 '!AG53,SUMIF(Projektu_sutarciu_ataskaita!$J:$J,C54,Projektu_sutarciu_ataskaita!$DL:$DL)+SUMIF(Projektu_sutarciu_ataskaita!$J:$J,C54,Projektu_sutarciu_ataskaita!$DJ:$DJ))</f>
        <v>0</v>
      </c>
      <c r="AC54" s="1173"/>
      <c r="AD54" s="1173">
        <f t="shared" si="71"/>
        <v>0</v>
      </c>
      <c r="AE54" s="1173">
        <f>SUM('3 pr-2'!AA55)</f>
        <v>920475</v>
      </c>
      <c r="AF54" s="1162">
        <f>IF('ketv. 5 '!U54&gt;0,'ketv. 7 '!AL53,SUMIF(Projektu_sutarciu_ataskaita!$J:$J,C54,Projektu_sutarciu_ataskaita!$DF:$DF))</f>
        <v>867744</v>
      </c>
      <c r="AG54" s="1559">
        <f t="shared" si="45"/>
        <v>52731</v>
      </c>
      <c r="AH54" s="1177">
        <f t="shared" si="72"/>
        <v>52731</v>
      </c>
      <c r="AI54" s="1173">
        <f>SUM('3 pr-2'!AB55)</f>
        <v>0</v>
      </c>
      <c r="AJ54" s="1162">
        <v>0</v>
      </c>
    </row>
    <row r="55" spans="1:36" ht="39" customHeight="1" thickBot="1">
      <c r="A55" s="296" t="str">
        <f>CONCATENATE('3 pr-2'!A56)</f>
        <v>1.1.1.6</v>
      </c>
      <c r="B55" s="2088" t="str">
        <f>CONCATENATE('3 pr-2'!B56)</f>
        <v>Priemonė:
Paviršinių nuotekų sistemų tvarkymas</v>
      </c>
      <c r="C55" s="1894"/>
      <c r="D55" s="1894"/>
      <c r="E55" s="1894"/>
      <c r="F55" s="1894"/>
      <c r="G55" s="1894"/>
      <c r="H55" s="1894"/>
      <c r="I55" s="1894"/>
      <c r="J55" s="1895"/>
      <c r="K55" s="1168">
        <f>SUM('3 pr-2'!L56)</f>
        <v>3990955.51</v>
      </c>
      <c r="L55" s="1168">
        <f>SUM(L56)</f>
        <v>3990955.51</v>
      </c>
      <c r="M55" s="1169">
        <f>SUM(M56)</f>
        <v>0</v>
      </c>
      <c r="N55" s="1170">
        <f>SUM(N56)</f>
        <v>0</v>
      </c>
      <c r="O55" s="1168">
        <f>SUM('3 pr-2'!O56)</f>
        <v>0</v>
      </c>
      <c r="P55" s="1168">
        <f>SUM(P56)</f>
        <v>0</v>
      </c>
      <c r="Q55" s="1168">
        <f>SUM(Q56)</f>
        <v>0</v>
      </c>
      <c r="R55" s="1168">
        <f>SUM(R56)</f>
        <v>0</v>
      </c>
      <c r="S55" s="1168">
        <f>SUM('3 pr-2'!R56)</f>
        <v>0</v>
      </c>
      <c r="T55" s="1168">
        <f>SUM(T56)</f>
        <v>0</v>
      </c>
      <c r="U55" s="1168">
        <f>SUM(U56)</f>
        <v>0</v>
      </c>
      <c r="V55" s="1168">
        <f>SUM(V56)</f>
        <v>0</v>
      </c>
      <c r="W55" s="1168">
        <f>SUM('3 pr-2'!U56)</f>
        <v>598643.31999999995</v>
      </c>
      <c r="X55" s="1168">
        <f>SUM(X56)</f>
        <v>598643.31999999995</v>
      </c>
      <c r="Y55" s="1168">
        <f>SUM(Y56)</f>
        <v>0</v>
      </c>
      <c r="Z55" s="1168">
        <f>SUM(Z56)</f>
        <v>0</v>
      </c>
      <c r="AA55" s="1168">
        <f>SUM('3 pr-2'!X56)</f>
        <v>0</v>
      </c>
      <c r="AB55" s="1168">
        <f>SUM(AB56)</f>
        <v>0</v>
      </c>
      <c r="AC55" s="1168">
        <f>SUM(AC56)</f>
        <v>0</v>
      </c>
      <c r="AD55" s="1168">
        <f>SUM(AD56)</f>
        <v>0</v>
      </c>
      <c r="AE55" s="1168">
        <f>SUM('3 pr-2'!AA56)</f>
        <v>3392312.19</v>
      </c>
      <c r="AF55" s="1168">
        <f>SUM(AF56)</f>
        <v>3392312.19</v>
      </c>
      <c r="AG55" s="1171">
        <f>SUM(AG56)</f>
        <v>0</v>
      </c>
      <c r="AH55" s="1172">
        <f>SUM(AH56)</f>
        <v>0</v>
      </c>
      <c r="AI55" s="1168">
        <f>SUM(AI56)</f>
        <v>0</v>
      </c>
      <c r="AJ55" s="1168">
        <f>SUM(AJ56)</f>
        <v>0</v>
      </c>
    </row>
    <row r="56" spans="1:36" ht="25.5" thickBot="1">
      <c r="A56" s="375" t="str">
        <f>CONCATENATE('3 pr-2'!A57)</f>
        <v>1.1.1.6.1</v>
      </c>
      <c r="B56" s="375" t="str">
        <f>CONCATENATE('3 pr-2'!B57)</f>
        <v>R01-0007-080000-1161</v>
      </c>
      <c r="C56" s="1558" t="str">
        <f>IF('ketv. 4 '!Z57&gt;0,'ketv. 4 '!C57,"-")</f>
        <v>05.1.1-APVA-R-007-11-0001</v>
      </c>
      <c r="D56" s="375" t="str">
        <f>CONCATENATE('3 pr-2'!D57)</f>
        <v>Paviršinių nuotekų sistemų tvarkymas Alytaus mieste</v>
      </c>
      <c r="E56" s="375" t="str">
        <f>CONCATENATE('3 pr-2'!E57)</f>
        <v>UAB “Dzūkijos vandenys“</v>
      </c>
      <c r="F56" s="375" t="str">
        <f>CONCATENATE('3 pr-2'!F57)</f>
        <v>Lietuvos Respublikos aplinkos ministerija</v>
      </c>
      <c r="G56" s="375" t="str">
        <f>CONCATENATE('3 pr-2'!G57)</f>
        <v>Alytaus m. sav.</v>
      </c>
      <c r="H56" s="375" t="str">
        <f>CONCATENATE('3 pr-2'!H57)</f>
        <v>05.1.1-APVA-R-007</v>
      </c>
      <c r="I56" s="375" t="str">
        <f>CONCATENATE('3 pr-2'!I57)</f>
        <v>R</v>
      </c>
      <c r="J56" s="375" t="str">
        <f>CONCATENATE('3 pr-2'!J57)</f>
        <v>-</v>
      </c>
      <c r="K56" s="1173">
        <f>SUM('3 pr-2'!L57)</f>
        <v>3990955.51</v>
      </c>
      <c r="L56" s="1173">
        <f>SUM(P56+T56+X56+AB56+AF56+AJ56)</f>
        <v>3990955.51</v>
      </c>
      <c r="M56" s="1173">
        <f t="shared" si="1"/>
        <v>0</v>
      </c>
      <c r="N56" s="1173">
        <f>IF(L56&gt;0,K56-L56,0)</f>
        <v>0</v>
      </c>
      <c r="O56" s="1173">
        <f>SUM('3 pr-2'!O57)</f>
        <v>0</v>
      </c>
      <c r="P56" s="1173">
        <f>IF('ketv. 5 '!U56&gt;0,'ketv. 7 '!R55,SUMIF(Projektu_sutarciu_ataskaita!$J:$J,C56,Projektu_sutarciu_ataskaita!$DK:$DK))</f>
        <v>0</v>
      </c>
      <c r="Q56" s="1173">
        <f t="shared" si="3"/>
        <v>0</v>
      </c>
      <c r="R56" s="1173">
        <f>IF(P56&gt;0,O56-P56,0)</f>
        <v>0</v>
      </c>
      <c r="S56" s="1173">
        <f>SUM('3 pr-2'!R57)</f>
        <v>0</v>
      </c>
      <c r="T56" s="1173">
        <f>IF('ketv. 5 '!U56&gt;0,'ketv. 7 '!W55,SUMIF(Projektu_sutarciu_ataskaita!$J:$J,C56,Projektu_sutarciu_ataskaita!$DG:$DG))</f>
        <v>0</v>
      </c>
      <c r="U56" s="1173">
        <f t="shared" ref="U56" si="73">SUM(S56-T56)</f>
        <v>0</v>
      </c>
      <c r="V56" s="1173">
        <f>IF(T56&gt;0,S56-T56,0)</f>
        <v>0</v>
      </c>
      <c r="W56" s="1173">
        <f>SUM('3 pr-2'!U57)</f>
        <v>598643.31999999995</v>
      </c>
      <c r="X56" s="1173">
        <f>IF('ketv. 5 '!U56&gt;0,'ketv. 7 '!AB55,SUMIF(Projektu_sutarciu_ataskaita!$J:$J,C56,Projektu_sutarciu_ataskaita!$DM:$DM))</f>
        <v>598643.31999999995</v>
      </c>
      <c r="Y56" s="1173">
        <f t="shared" ref="Y56" si="74">SUM(W56-X56)</f>
        <v>0</v>
      </c>
      <c r="Z56" s="1173">
        <f>IF(X56&gt;0,W56-X56,0)</f>
        <v>0</v>
      </c>
      <c r="AA56" s="1173">
        <f>SUM('3 pr-2'!X57)</f>
        <v>0</v>
      </c>
      <c r="AB56" s="1173">
        <f>IF('ketv. 5 '!U56&gt;0,'ketv. 7 '!AG55,SUMIF(Projektu_sutarciu_ataskaita!$J:$J,C56,Projektu_sutarciu_ataskaita!$DL:$DL)+SUMIF(Projektu_sutarciu_ataskaita!$J:$J,C56,Projektu_sutarciu_ataskaita!$DJ:$DJ))</f>
        <v>0</v>
      </c>
      <c r="AC56" s="1173">
        <f>SUM(AA56-AB56)</f>
        <v>0</v>
      </c>
      <c r="AD56" s="1173">
        <f>IF(AB56&gt;0,AA56-AB56,0)</f>
        <v>0</v>
      </c>
      <c r="AE56" s="1173">
        <f>SUM('3 pr-2'!AA57)</f>
        <v>3392312.19</v>
      </c>
      <c r="AF56" s="1162">
        <f>IF('ketv. 5 '!U56&gt;0,'ketv. 7 '!AL55,SUMIF(Projektu_sutarciu_ataskaita!$J:$J,C56,Projektu_sutarciu_ataskaita!$DF:$DF))</f>
        <v>3392312.19</v>
      </c>
      <c r="AG56" s="1176">
        <f t="shared" ref="AG56" si="75">SUM(AE56-AF56)</f>
        <v>0</v>
      </c>
      <c r="AH56" s="1177">
        <f>IF(AF56&gt;0,AE56-AF56,0)</f>
        <v>0</v>
      </c>
      <c r="AI56" s="1173">
        <f>SUM('3 pr-2'!AB57)</f>
        <v>0</v>
      </c>
      <c r="AJ56" s="1162">
        <v>0</v>
      </c>
    </row>
    <row r="57" spans="1:36" ht="38.25" customHeight="1" thickBot="1">
      <c r="A57" s="296" t="str">
        <f>CONCATENATE('3 pr-2'!A58)</f>
        <v>1.1.1.7</v>
      </c>
      <c r="B57" s="2088" t="str">
        <f>CONCATENATE('3 pr-2'!B58)</f>
        <v>Priemonė:
Savivaldybes jungiančių turizmo trasų ir turizmo maršrutų informacinės infrastruktūros plėtra</v>
      </c>
      <c r="C57" s="1894"/>
      <c r="D57" s="1894"/>
      <c r="E57" s="1894"/>
      <c r="F57" s="1894"/>
      <c r="G57" s="1894"/>
      <c r="H57" s="1894"/>
      <c r="I57" s="1894"/>
      <c r="J57" s="1895"/>
      <c r="K57" s="1168">
        <f>SUM('3 pr-2'!L58)</f>
        <v>719317.64705882361</v>
      </c>
      <c r="L57" s="1168">
        <f>SUM(L58:L60)</f>
        <v>496329.53</v>
      </c>
      <c r="M57" s="1169">
        <f>SUM(M58:M60)</f>
        <v>222988.11705882358</v>
      </c>
      <c r="N57" s="1170">
        <f>SUM(N58:N60)</f>
        <v>-5.8823527069762349E-4</v>
      </c>
      <c r="O57" s="1168">
        <f>SUM('3 pr-2'!O58)</f>
        <v>107897.64705882352</v>
      </c>
      <c r="P57" s="1168">
        <f>SUM(P58:P60)</f>
        <v>74449.429999999993</v>
      </c>
      <c r="Q57" s="1168">
        <f>SUM(Q58:Q60)</f>
        <v>33448.217058823531</v>
      </c>
      <c r="R57" s="1168">
        <f>SUM(R58:R60)</f>
        <v>-5.8823529252549633E-4</v>
      </c>
      <c r="S57" s="1168">
        <f>SUM('3 pr-2'!R58)</f>
        <v>0</v>
      </c>
      <c r="T57" s="1168">
        <f>SUM(T58:T60)</f>
        <v>0</v>
      </c>
      <c r="U57" s="1168">
        <f t="shared" ref="U57" si="76">SUM(U58:U60)</f>
        <v>0</v>
      </c>
      <c r="V57" s="1168">
        <f>SUM(V58:V60)</f>
        <v>0</v>
      </c>
      <c r="W57" s="1168">
        <f>SUM('3 pr-2'!U58)</f>
        <v>0</v>
      </c>
      <c r="X57" s="1168">
        <f>SUM(X58:X60)</f>
        <v>0</v>
      </c>
      <c r="Y57" s="1168">
        <f>SUM(Y58:Y60)</f>
        <v>0</v>
      </c>
      <c r="Z57" s="1168">
        <f>SUM(Z58:Z60)</f>
        <v>0</v>
      </c>
      <c r="AA57" s="1168">
        <f>SUM('3 pr-2'!X58)</f>
        <v>0</v>
      </c>
      <c r="AB57" s="1168">
        <f>SUM(AB58:AB60)</f>
        <v>0</v>
      </c>
      <c r="AC57" s="1168"/>
      <c r="AD57" s="1168">
        <f>SUM(AD58:AD60)</f>
        <v>0</v>
      </c>
      <c r="AE57" s="1168">
        <f>SUM('3 pr-2'!AA58)</f>
        <v>611420</v>
      </c>
      <c r="AF57" s="1168">
        <f>SUM(AF58:AF60)</f>
        <v>421880.1</v>
      </c>
      <c r="AG57" s="1171">
        <f>SUM(AG58:AG60)</f>
        <v>189539.9</v>
      </c>
      <c r="AH57" s="1172">
        <f>SUM(AH58:AH60)</f>
        <v>0</v>
      </c>
      <c r="AI57" s="1168">
        <f t="shared" ref="AI57:AJ57" si="77">SUM(AI58:AI60)</f>
        <v>0</v>
      </c>
      <c r="AJ57" s="1168">
        <f t="shared" si="77"/>
        <v>0</v>
      </c>
    </row>
    <row r="58" spans="1:36" ht="36.75">
      <c r="A58" s="375" t="str">
        <f>CONCATENATE('3 pr-2'!A59)</f>
        <v>1.1.1.7.1</v>
      </c>
      <c r="B58" s="375" t="str">
        <f>CONCATENATE('3 pr-2'!B59)</f>
        <v>R01-8821-420000-1171</v>
      </c>
      <c r="C58" s="1558" t="str">
        <f>IF('ketv. 4 '!Z59&gt;0,'ketv. 4 '!C59,"-")</f>
        <v>05.4.1-LVPA-R-821-11-0002</v>
      </c>
      <c r="D58" s="375" t="str">
        <f>CONCATENATE('3 pr-2'!D59)</f>
        <v>Alytaus regiono turizmo informacinės infrastruktūros plėtra</v>
      </c>
      <c r="E58" s="375" t="str">
        <f>CONCATENATE('3 pr-2'!E59)</f>
        <v>Alytaus miesto savivaldybės administracija</v>
      </c>
      <c r="F58" s="375" t="str">
        <f>CONCATENATE('3 pr-2'!F59)</f>
        <v>Lietuvos Respublikos ūkio ministerija</v>
      </c>
      <c r="G58" s="375" t="str">
        <f>CONCATENATE('3 pr-2'!G59)</f>
        <v>Alytaus regionas</v>
      </c>
      <c r="H58" s="375" t="str">
        <f>CONCATENATE('3 pr-2'!H59)</f>
        <v>05.4.1-LVPA-R-821</v>
      </c>
      <c r="I58" s="375" t="str">
        <f>CONCATENATE('3 pr-2'!I59)</f>
        <v>R</v>
      </c>
      <c r="J58" s="375" t="str">
        <f>CONCATENATE('3 pr-2'!J59)</f>
        <v>-</v>
      </c>
      <c r="K58" s="1173">
        <f>SUM('3 pr-2'!L59)</f>
        <v>208223.52941176473</v>
      </c>
      <c r="L58" s="1162">
        <f t="shared" ref="L58:L60" si="78">SUM(P58+T58+X58+AB58+AF58+AJ58)</f>
        <v>208223.53</v>
      </c>
      <c r="M58" s="1173">
        <f t="shared" si="1"/>
        <v>-5.8823527069762349E-4</v>
      </c>
      <c r="N58" s="1173">
        <f t="shared" ref="N58:N60" si="79">IF(L58&gt;0,K58-L58,0)</f>
        <v>-5.8823527069762349E-4</v>
      </c>
      <c r="O58" s="1173">
        <f>SUM('3 pr-2'!O59)</f>
        <v>31233.529411764706</v>
      </c>
      <c r="P58" s="1162">
        <f>IF('ketv. 5 '!U58&gt;0,'ketv. 7 '!R57,SUMIF(Projektu_sutarciu_ataskaita!$J:$J,C58,Projektu_sutarciu_ataskaita!$DK:$DK))</f>
        <v>31233.53</v>
      </c>
      <c r="Q58" s="1173">
        <f t="shared" si="3"/>
        <v>-5.8823529252549633E-4</v>
      </c>
      <c r="R58" s="1173">
        <f t="shared" ref="R58:R60" si="80">IF(P58&gt;0,O58-P58,0)</f>
        <v>-5.8823529252549633E-4</v>
      </c>
      <c r="S58" s="1173">
        <f>SUM('3 pr-2'!R59)</f>
        <v>0</v>
      </c>
      <c r="T58" s="1173">
        <f>IF('ketv. 5 '!U58&gt;0,'ketv. 7 '!W57,SUMIF(Projektu_sutarciu_ataskaita!$J:$J,C58,Projektu_sutarciu_ataskaita!$DG:$DG))</f>
        <v>0</v>
      </c>
      <c r="U58" s="1173">
        <f t="shared" ref="U58:U60" si="81">SUM(S58-T58)</f>
        <v>0</v>
      </c>
      <c r="V58" s="1173">
        <f t="shared" ref="V58:V60" si="82">IF(T58&gt;0,S58-T58,0)</f>
        <v>0</v>
      </c>
      <c r="W58" s="1173">
        <f>SUM('3 pr-2'!U59)</f>
        <v>0</v>
      </c>
      <c r="X58" s="1173">
        <f>IF('ketv. 5 '!U58&gt;0,'ketv. 7 '!AB57,SUMIF(Projektu_sutarciu_ataskaita!$J:$J,C58,Projektu_sutarciu_ataskaita!$DM:$DM))</f>
        <v>0</v>
      </c>
      <c r="Y58" s="1173">
        <f t="shared" ref="Y58:Y60" si="83">SUM(W58-X58)</f>
        <v>0</v>
      </c>
      <c r="Z58" s="1173">
        <f t="shared" ref="Z58:Z60" si="84">IF(X58&gt;0,W58-X58,0)</f>
        <v>0</v>
      </c>
      <c r="AA58" s="1173">
        <f>SUM('3 pr-2'!X59)</f>
        <v>0</v>
      </c>
      <c r="AB58" s="1173">
        <f>IF('ketv. 5 '!U58&gt;0,'ketv. 7 '!AG57,SUMIF(Projektu_sutarciu_ataskaita!$J:$J,C58,Projektu_sutarciu_ataskaita!$DL:$DL)+SUMIF(Projektu_sutarciu_ataskaita!$J:$J,C58,Projektu_sutarciu_ataskaita!$DJ:$DJ))</f>
        <v>0</v>
      </c>
      <c r="AC58" s="1173">
        <f>SUM(AA58-AB58)</f>
        <v>0</v>
      </c>
      <c r="AD58" s="1173">
        <f t="shared" ref="AD58:AD60" si="85">IF(AB58&gt;0,AA58-AB58,0)</f>
        <v>0</v>
      </c>
      <c r="AE58" s="1173">
        <f>SUM('3 pr-2'!AA59)</f>
        <v>176990</v>
      </c>
      <c r="AF58" s="1162">
        <f>IF('ketv. 5 '!U58&gt;0,'ketv. 7 '!AL57,SUMIF(Projektu_sutarciu_ataskaita!$J:$J,C58,Projektu_sutarciu_ataskaita!$DF:$DF))</f>
        <v>176990</v>
      </c>
      <c r="AG58" s="1559">
        <f t="shared" ref="AG58:AG60" si="86">SUM(AE58-AF58)</f>
        <v>0</v>
      </c>
      <c r="AH58" s="1177">
        <f t="shared" ref="AH58:AH60" si="87">IF(AF58&gt;0,AE58-AF58,0)</f>
        <v>0</v>
      </c>
      <c r="AI58" s="1173">
        <f>SUM('3 pr-2'!AB59)</f>
        <v>0</v>
      </c>
      <c r="AJ58" s="1162">
        <v>0</v>
      </c>
    </row>
    <row r="59" spans="1:36" ht="48.75">
      <c r="A59" s="375" t="str">
        <f>CONCATENATE('3 pr-2'!A60)</f>
        <v>1.1.1.7.2</v>
      </c>
      <c r="B59" s="375" t="str">
        <f>CONCATENATE('3 pr-2'!B60)</f>
        <v>R01-8821-420000-1172</v>
      </c>
      <c r="C59" s="1558" t="str">
        <f>IF('ketv. 4 '!Z60&gt;0,'ketv. 4 '!C60,"-")</f>
        <v>05.4.1-LVPA-R-821-11-0001</v>
      </c>
      <c r="D59" s="375" t="str">
        <f>CONCATENATE('3 pr-2'!D60)</f>
        <v>Turizmo trasų ir maršrutų informacinės infrastruktūros plėtra Lazdijų, Varėnos rajonų ir Druskininkų savivaldybėse</v>
      </c>
      <c r="E59" s="375" t="str">
        <f>CONCATENATE('3 pr-2'!E60)</f>
        <v>Lazdijų rajono savivaldybės administracija</v>
      </c>
      <c r="F59" s="375" t="str">
        <f>CONCATENATE('3 pr-2'!F60)</f>
        <v>Lietuvos Respublikos ūkio ministerija</v>
      </c>
      <c r="G59" s="375" t="str">
        <f>CONCATENATE('3 pr-2'!G60)</f>
        <v xml:space="preserve">Lazdijų, Varėnos rajonų ir Druskininkų savivaldybės </v>
      </c>
      <c r="H59" s="375" t="str">
        <f>CONCATENATE('3 pr-2'!H60)</f>
        <v>05.4.1-LVPA-R-821</v>
      </c>
      <c r="I59" s="375" t="str">
        <f>CONCATENATE('3 pr-2'!I60)</f>
        <v>R</v>
      </c>
      <c r="J59" s="375" t="str">
        <f>CONCATENATE('3 pr-2'!J60)</f>
        <v>-</v>
      </c>
      <c r="K59" s="1173">
        <f>SUM('3 pr-2'!L60)</f>
        <v>288106</v>
      </c>
      <c r="L59" s="1162">
        <f t="shared" si="78"/>
        <v>288106</v>
      </c>
      <c r="M59" s="1173">
        <f t="shared" si="1"/>
        <v>0</v>
      </c>
      <c r="N59" s="1173">
        <f t="shared" si="79"/>
        <v>0</v>
      </c>
      <c r="O59" s="1173">
        <f>SUM('3 pr-2'!O60)</f>
        <v>43215.9</v>
      </c>
      <c r="P59" s="1162">
        <f>IF('ketv. 5 '!U59&gt;0,'ketv. 7 '!R58,SUMIF(Projektu_sutarciu_ataskaita!$J:$J,C59,Projektu_sutarciu_ataskaita!$DK:$DK))</f>
        <v>43215.9</v>
      </c>
      <c r="Q59" s="1173">
        <f t="shared" si="3"/>
        <v>0</v>
      </c>
      <c r="R59" s="1173">
        <f t="shared" si="80"/>
        <v>0</v>
      </c>
      <c r="S59" s="1173">
        <f>SUM('3 pr-2'!R60)</f>
        <v>0</v>
      </c>
      <c r="T59" s="1173">
        <f>IF('ketv. 5 '!U59&gt;0,'ketv. 7 '!W58,SUMIF(Projektu_sutarciu_ataskaita!$J:$J,C59,Projektu_sutarciu_ataskaita!$DG:$DG))</f>
        <v>0</v>
      </c>
      <c r="U59" s="1173">
        <f t="shared" si="81"/>
        <v>0</v>
      </c>
      <c r="V59" s="1173">
        <f t="shared" si="82"/>
        <v>0</v>
      </c>
      <c r="W59" s="1173">
        <f>SUM('3 pr-2'!U60)</f>
        <v>0</v>
      </c>
      <c r="X59" s="1173">
        <f>IF('ketv. 5 '!U59&gt;0,'ketv. 7 '!AB58,SUMIF(Projektu_sutarciu_ataskaita!$J:$J,C59,Projektu_sutarciu_ataskaita!$DM:$DM))</f>
        <v>0</v>
      </c>
      <c r="Y59" s="1173">
        <f t="shared" si="83"/>
        <v>0</v>
      </c>
      <c r="Z59" s="1173">
        <f t="shared" si="84"/>
        <v>0</v>
      </c>
      <c r="AA59" s="1173">
        <f>SUM('3 pr-2'!X60)</f>
        <v>0</v>
      </c>
      <c r="AB59" s="1173">
        <f>IF('ketv. 5 '!U59&gt;0,'ketv. 7 '!AG58,SUMIF(Projektu_sutarciu_ataskaita!$J:$J,C59,Projektu_sutarciu_ataskaita!$DL:$DL)+SUMIF(Projektu_sutarciu_ataskaita!$J:$J,C59,Projektu_sutarciu_ataskaita!$DJ:$DJ))</f>
        <v>0</v>
      </c>
      <c r="AC59" s="1173">
        <f>SUM(AA59-AB59)</f>
        <v>0</v>
      </c>
      <c r="AD59" s="1173">
        <f t="shared" si="85"/>
        <v>0</v>
      </c>
      <c r="AE59" s="1173">
        <f>SUM('3 pr-2'!AA60)</f>
        <v>244890.1</v>
      </c>
      <c r="AF59" s="1162">
        <f>IF('ketv. 5 '!U59&gt;0,'ketv. 7 '!AL58,SUMIF(Projektu_sutarciu_ataskaita!$J:$J,C59,Projektu_sutarciu_ataskaita!$DF:$DF))</f>
        <v>244890.1</v>
      </c>
      <c r="AG59" s="1559">
        <f t="shared" si="86"/>
        <v>0</v>
      </c>
      <c r="AH59" s="1177">
        <f t="shared" si="87"/>
        <v>0</v>
      </c>
      <c r="AI59" s="1173">
        <f>SUM('3 pr-2'!AB60)</f>
        <v>0</v>
      </c>
      <c r="AJ59" s="1162">
        <v>0</v>
      </c>
    </row>
    <row r="60" spans="1:36" ht="49.5" thickBot="1">
      <c r="A60" s="375" t="str">
        <f>CONCATENATE('3 pr-2'!A61)</f>
        <v>1.1.1.7.3</v>
      </c>
      <c r="B60" s="375" t="str">
        <f>CONCATENATE('3 pr-2'!B61)</f>
        <v>R01-8821-420000-1173</v>
      </c>
      <c r="C60" s="1558" t="str">
        <f>IF('ketv. 4 '!Z61&gt;0,'ketv. 4 '!C61,"-")</f>
        <v>-</v>
      </c>
      <c r="D60" s="375" t="str">
        <f>CONCATENATE('3 pr-2'!D61)</f>
        <v>Turizmo trasų ir maršrutų informacinės infrastruktūros plėtra Lazdijų, Varėnos rajonų ir Druskininkų savivaldybėse, II etapas</v>
      </c>
      <c r="E60" s="375" t="str">
        <f>CONCATENATE('3 pr-2'!E61)</f>
        <v>Lazdijų rajono savivaldybės administracija</v>
      </c>
      <c r="F60" s="375" t="str">
        <f>CONCATENATE('3 pr-2'!F61)</f>
        <v>Lietuvos Respublikos ūkio ministerija</v>
      </c>
      <c r="G60" s="375" t="str">
        <f>CONCATENATE('3 pr-2'!G61)</f>
        <v xml:space="preserve">Lazdijų, Varėnos rajonų ir Druskininkų savivaldybės </v>
      </c>
      <c r="H60" s="375" t="str">
        <f>CONCATENATE('3 pr-2'!H61)</f>
        <v>05.4.1-LVPA-R-821</v>
      </c>
      <c r="I60" s="375" t="str">
        <f>CONCATENATE('3 pr-2'!I61)</f>
        <v>R</v>
      </c>
      <c r="J60" s="375" t="str">
        <f>CONCATENATE('3 pr-2'!J61)</f>
        <v>-</v>
      </c>
      <c r="K60" s="1173">
        <f>SUM('3 pr-2'!L61)</f>
        <v>222988.11764705885</v>
      </c>
      <c r="L60" s="1173">
        <f t="shared" si="78"/>
        <v>0</v>
      </c>
      <c r="M60" s="1173">
        <f t="shared" si="1"/>
        <v>222988.11764705885</v>
      </c>
      <c r="N60" s="1173">
        <f t="shared" si="79"/>
        <v>0</v>
      </c>
      <c r="O60" s="1173">
        <f>SUM('3 pr-2'!O61)</f>
        <v>33448.217647058824</v>
      </c>
      <c r="P60" s="1173">
        <f>IF('ketv. 5 '!U60&gt;0,'ketv. 7 '!R59,SUMIF(Projektu_sutarciu_ataskaita!$J:$J,C60,Projektu_sutarciu_ataskaita!$DK:$DK))</f>
        <v>0</v>
      </c>
      <c r="Q60" s="1173">
        <f t="shared" si="3"/>
        <v>33448.217647058824</v>
      </c>
      <c r="R60" s="1173">
        <f t="shared" si="80"/>
        <v>0</v>
      </c>
      <c r="S60" s="1173">
        <f>SUM('3 pr-2'!R61)</f>
        <v>0</v>
      </c>
      <c r="T60" s="1173">
        <f>IF('ketv. 5 '!U60&gt;0,'ketv. 7 '!W59,SUMIF(Projektu_sutarciu_ataskaita!$J:$J,C60,Projektu_sutarciu_ataskaita!$DG:$DG))</f>
        <v>0</v>
      </c>
      <c r="U60" s="1173">
        <f t="shared" si="81"/>
        <v>0</v>
      </c>
      <c r="V60" s="1173">
        <f t="shared" si="82"/>
        <v>0</v>
      </c>
      <c r="W60" s="1173">
        <f>SUM('3 pr-2'!U61)</f>
        <v>0</v>
      </c>
      <c r="X60" s="1173">
        <f>IF('ketv. 5 '!U60&gt;0,'ketv. 7 '!AB59,SUMIF(Projektu_sutarciu_ataskaita!$J:$J,C60,Projektu_sutarciu_ataskaita!$DM:$DM))</f>
        <v>0</v>
      </c>
      <c r="Y60" s="1173">
        <f t="shared" si="83"/>
        <v>0</v>
      </c>
      <c r="Z60" s="1173">
        <f t="shared" si="84"/>
        <v>0</v>
      </c>
      <c r="AA60" s="1173">
        <f>SUM('3 pr-2'!X61)</f>
        <v>0</v>
      </c>
      <c r="AB60" s="1173">
        <f>IF('ketv. 5 '!U60&gt;0,'ketv. 7 '!AG59,SUMIF(Projektu_sutarciu_ataskaita!$J:$J,C60,Projektu_sutarciu_ataskaita!$DL:$DL)+SUMIF(Projektu_sutarciu_ataskaita!$J:$J,C60,Projektu_sutarciu_ataskaita!$DJ:$DJ))</f>
        <v>0</v>
      </c>
      <c r="AC60" s="1173">
        <f>SUM(AA60-AB60)</f>
        <v>0</v>
      </c>
      <c r="AD60" s="1173">
        <f t="shared" si="85"/>
        <v>0</v>
      </c>
      <c r="AE60" s="1173">
        <f>SUM('3 pr-2'!AA61)</f>
        <v>189539.9</v>
      </c>
      <c r="AF60" s="1173">
        <f>IF('ketv. 5 '!U60&gt;0,'ketv. 7 '!AL59,SUMIF(Projektu_sutarciu_ataskaita!$J:$J,C60,Projektu_sutarciu_ataskaita!$DF:$DF))</f>
        <v>0</v>
      </c>
      <c r="AG60" s="1559">
        <f t="shared" si="86"/>
        <v>189539.9</v>
      </c>
      <c r="AH60" s="1177">
        <f t="shared" si="87"/>
        <v>0</v>
      </c>
      <c r="AI60" s="1173">
        <f>SUM('3 pr-2'!AB61)</f>
        <v>0</v>
      </c>
      <c r="AJ60" s="1173"/>
    </row>
    <row r="61" spans="1:36" ht="41.25" customHeight="1" thickBot="1">
      <c r="A61" s="296" t="str">
        <f>CONCATENATE('3 pr-2'!A62)</f>
        <v>1.1.1.8</v>
      </c>
      <c r="B61" s="2088" t="str">
        <f>CONCATENATE('3 pr-2'!B62)</f>
        <v>Priemonė:
Modernizuoti savivaldybių kultūros infrastruktūrą</v>
      </c>
      <c r="C61" s="1894"/>
      <c r="D61" s="1894"/>
      <c r="E61" s="1894"/>
      <c r="F61" s="1894"/>
      <c r="G61" s="1894"/>
      <c r="H61" s="1894"/>
      <c r="I61" s="1894"/>
      <c r="J61" s="1895"/>
      <c r="K61" s="1168">
        <f>SUM('3 pr-2'!L62)</f>
        <v>1972835.5100000002</v>
      </c>
      <c r="L61" s="1168">
        <f>SUM(L62:L65)</f>
        <v>1972835.5100000002</v>
      </c>
      <c r="M61" s="1169">
        <f>SUM(M62:M65)</f>
        <v>0</v>
      </c>
      <c r="N61" s="1170">
        <f>SUM(N62:N65)</f>
        <v>0</v>
      </c>
      <c r="O61" s="1168">
        <f>SUM('3 pr-2'!O62)</f>
        <v>422270.99</v>
      </c>
      <c r="P61" s="1168">
        <f>SUM(P62:P65)</f>
        <v>422270.99</v>
      </c>
      <c r="Q61" s="1168">
        <f>SUM(Q62:Q65)</f>
        <v>0</v>
      </c>
      <c r="R61" s="1168">
        <f>SUM(R62:R65)</f>
        <v>0</v>
      </c>
      <c r="S61" s="1168">
        <f>SUM('3 pr-2'!R62)</f>
        <v>0</v>
      </c>
      <c r="T61" s="1168">
        <f>SUM(T62:T65)</f>
        <v>0</v>
      </c>
      <c r="U61" s="1168">
        <f>SUM(U62:U65)</f>
        <v>0</v>
      </c>
      <c r="V61" s="1168">
        <f>SUM(V62:V65)</f>
        <v>0</v>
      </c>
      <c r="W61" s="1168">
        <f>SUM('3 pr-2'!U62)</f>
        <v>0</v>
      </c>
      <c r="X61" s="1168">
        <f>SUM(X62:X65)</f>
        <v>0</v>
      </c>
      <c r="Y61" s="1168">
        <f>SUM(Y62:Y65)</f>
        <v>0</v>
      </c>
      <c r="Z61" s="1168">
        <f>SUM(Z62:Z65)</f>
        <v>0</v>
      </c>
      <c r="AA61" s="1168">
        <f>SUM('3 pr-2'!X62)</f>
        <v>352400.82</v>
      </c>
      <c r="AB61" s="1168">
        <f>SUM(AB62:AB65)</f>
        <v>352400.82</v>
      </c>
      <c r="AC61" s="1168">
        <f>SUM(AC62:AC65)</f>
        <v>0</v>
      </c>
      <c r="AD61" s="1168">
        <f>SUM(AD62:AD65)</f>
        <v>0</v>
      </c>
      <c r="AE61" s="1168">
        <f>SUM('3 pr-2'!AA62)</f>
        <v>1198163.7</v>
      </c>
      <c r="AF61" s="1168">
        <f>SUM(AF62:AF65)</f>
        <v>1198163.7</v>
      </c>
      <c r="AG61" s="1171">
        <f>SUM(AG62:AG65)</f>
        <v>0</v>
      </c>
      <c r="AH61" s="1172">
        <f>SUM(AH62:AH65)</f>
        <v>0</v>
      </c>
      <c r="AI61" s="1168">
        <f t="shared" ref="AI61:AJ61" si="88">SUM(AI62:AI65)</f>
        <v>0</v>
      </c>
      <c r="AJ61" s="1168">
        <f t="shared" si="88"/>
        <v>0</v>
      </c>
    </row>
    <row r="62" spans="1:36" ht="36.75">
      <c r="A62" s="375" t="str">
        <f>CONCATENATE('3 pr-2'!A63)</f>
        <v>1.1.1.8.1</v>
      </c>
      <c r="B62" s="375" t="str">
        <f>CONCATENATE('3 pr-2'!B63)</f>
        <v>R01-3305-330000-1181</v>
      </c>
      <c r="C62" s="1558" t="str">
        <f>IF('ketv. 4 '!Z63&gt;0,'ketv. 4 '!C63,"-")</f>
        <v>07.1.1-CPVA-R-305-11-0001</v>
      </c>
      <c r="D62" s="375" t="str">
        <f>CONCATENATE('3 pr-2'!D63)</f>
        <v>Kultūros įstaigų infrastruktūros modernizavimas Varėnos mieste</v>
      </c>
      <c r="E62" s="375" t="str">
        <f>CONCATENATE('3 pr-2'!E63)</f>
        <v>Varėnos rajono savivaldybės administracija</v>
      </c>
      <c r="F62" s="375" t="str">
        <f>CONCATENATE('3 pr-2'!F63)</f>
        <v>Lietuvos Respublikos kultūros ministerija</v>
      </c>
      <c r="G62" s="375" t="str">
        <f>CONCATENATE('3 pr-2'!G63)</f>
        <v>Varėnos r. sav.</v>
      </c>
      <c r="H62" s="375" t="str">
        <f>CONCATENATE('3 pr-2'!H63)</f>
        <v>07.1.1-CPVA-R-305</v>
      </c>
      <c r="I62" s="375" t="str">
        <f>CONCATENATE('3 pr-2'!I63)</f>
        <v>R</v>
      </c>
      <c r="J62" s="375" t="str">
        <f>CONCATENATE('3 pr-2'!J63)</f>
        <v>ITI</v>
      </c>
      <c r="K62" s="1173">
        <f>SUM('3 pr-2'!L63)</f>
        <v>352401</v>
      </c>
      <c r="L62" s="1162">
        <f t="shared" ref="L62:L65" si="89">SUM(P62+T62+X62+AB62+AF62+AJ62)</f>
        <v>352401</v>
      </c>
      <c r="M62" s="1173">
        <f t="shared" si="1"/>
        <v>0</v>
      </c>
      <c r="N62" s="1173">
        <f t="shared" ref="N62:N65" si="90">IF(L62&gt;0,K62-L62,0)</f>
        <v>0</v>
      </c>
      <c r="O62" s="1173">
        <f>SUM('3 pr-2'!O63)</f>
        <v>52860.15</v>
      </c>
      <c r="P62" s="1162">
        <f>IF('ketv. 5 '!U62&gt;0,'ketv. 7 '!R61,SUMIF(Projektu_sutarciu_ataskaita!$J:$J,C62,Projektu_sutarciu_ataskaita!$DK:$DK))</f>
        <v>52860.15</v>
      </c>
      <c r="Q62" s="1173">
        <f t="shared" si="3"/>
        <v>0</v>
      </c>
      <c r="R62" s="1173">
        <f t="shared" ref="R62:R65" si="91">IF(P62&gt;0,O62-P62,0)</f>
        <v>0</v>
      </c>
      <c r="S62" s="1173">
        <f>SUM('3 pr-2'!R63)</f>
        <v>0</v>
      </c>
      <c r="T62" s="1173">
        <f>IF('ketv. 5 '!U62&gt;0,'ketv. 7 '!W61,SUMIF(Projektu_sutarciu_ataskaita!$J:$J,C62,Projektu_sutarciu_ataskaita!$DG:$DG))</f>
        <v>0</v>
      </c>
      <c r="U62" s="1173">
        <f t="shared" ref="U62:U65" si="92">SUM(S62-T62)</f>
        <v>0</v>
      </c>
      <c r="V62" s="1173">
        <f t="shared" ref="V62:V65" si="93">IF(T62&gt;0,S62-T62,0)</f>
        <v>0</v>
      </c>
      <c r="W62" s="1173">
        <f>SUM('3 pr-2'!U63)</f>
        <v>0</v>
      </c>
      <c r="X62" s="1173">
        <f>IF('ketv. 5 '!U62&gt;0,'ketv. 7 '!AB61,SUMIF(Projektu_sutarciu_ataskaita!$J:$J,C62,Projektu_sutarciu_ataskaita!$DM:$DM))</f>
        <v>0</v>
      </c>
      <c r="Y62" s="1173">
        <f t="shared" ref="Y62:Y65" si="94">SUM(W62-X62)</f>
        <v>0</v>
      </c>
      <c r="Z62" s="1173">
        <f t="shared" ref="Z62:Z65" si="95">IF(X62&gt;0,W62-X62,0)</f>
        <v>0</v>
      </c>
      <c r="AA62" s="1173">
        <f>SUM('3 pr-2'!X63)</f>
        <v>0</v>
      </c>
      <c r="AB62" s="1173">
        <f>IF('ketv. 5 '!U62&gt;0,'ketv. 7 '!AG61,SUMIF(Projektu_sutarciu_ataskaita!$J:$J,C62,Projektu_sutarciu_ataskaita!$DL:$DL)+SUMIF(Projektu_sutarciu_ataskaita!$J:$J,C62,Projektu_sutarciu_ataskaita!$DJ:$DJ))</f>
        <v>0</v>
      </c>
      <c r="AC62" s="1173">
        <f>SUM(AA62-AB62)</f>
        <v>0</v>
      </c>
      <c r="AD62" s="1173">
        <f t="shared" ref="AD62:AD65" si="96">IF(AB62&gt;0,AA62-AB62,0)</f>
        <v>0</v>
      </c>
      <c r="AE62" s="1173">
        <f>SUM('3 pr-2'!AA63)</f>
        <v>299540.84999999998</v>
      </c>
      <c r="AF62" s="1162">
        <f>IF('ketv. 5 '!U62&gt;0,'ketv. 7 '!AL61,SUMIF(Projektu_sutarciu_ataskaita!$J:$J,C62,Projektu_sutarciu_ataskaita!$DF:$DF))</f>
        <v>299540.84999999998</v>
      </c>
      <c r="AG62" s="1559">
        <f t="shared" ref="AG62:AG65" si="97">SUM(AE62-AF62)</f>
        <v>0</v>
      </c>
      <c r="AH62" s="1177">
        <f t="shared" ref="AH62:AH65" si="98">IF(AF62&gt;0,AE62-AF62,0)</f>
        <v>0</v>
      </c>
      <c r="AI62" s="1173">
        <f>SUM('3 pr-2'!AB63)</f>
        <v>0</v>
      </c>
      <c r="AJ62" s="1162">
        <v>0</v>
      </c>
    </row>
    <row r="63" spans="1:36" ht="36.75">
      <c r="A63" s="375" t="str">
        <f>CONCATENATE('3 pr-2'!A64)</f>
        <v>1.1.1.8.2</v>
      </c>
      <c r="B63" s="375" t="str">
        <f>CONCATENATE('3 pr-2'!B64)</f>
        <v>R01-3305-330000-1182</v>
      </c>
      <c r="C63" s="1558" t="str">
        <f>IF('ketv. 4 '!Z64&gt;0,'ketv. 4 '!C64,"-")</f>
        <v>07.1.1-CPVA-R-305-11-0002</v>
      </c>
      <c r="D63" s="375" t="str">
        <f>CONCATENATE('3 pr-2'!D64)</f>
        <v>VšĮ Alytaus kultūros ir komunikacijos centro pastato Alytuje, Pramonės g. 1B, rekonstravimas</v>
      </c>
      <c r="E63" s="375" t="str">
        <f>CONCATENATE('3 pr-2'!E64)</f>
        <v>Alytaus miesto savivaldybės administracija</v>
      </c>
      <c r="F63" s="375" t="str">
        <f>CONCATENATE('3 pr-2'!F64)</f>
        <v>Lietuvos Respublikos kultūros ministerija</v>
      </c>
      <c r="G63" s="375" t="str">
        <f>CONCATENATE('3 pr-2'!G64)</f>
        <v>Alytaus m. sav.</v>
      </c>
      <c r="H63" s="375" t="str">
        <f>CONCATENATE('3 pr-2'!H64)</f>
        <v>07.1.1-CPVA-R-305</v>
      </c>
      <c r="I63" s="375" t="str">
        <f>CONCATENATE('3 pr-2'!I64)</f>
        <v>R</v>
      </c>
      <c r="J63" s="375" t="str">
        <f>CONCATENATE('3 pr-2'!J64)</f>
        <v>ITI</v>
      </c>
      <c r="K63" s="1173">
        <f>SUM('3 pr-2'!L64)</f>
        <v>783264.16</v>
      </c>
      <c r="L63" s="1162">
        <f t="shared" si="89"/>
        <v>783264.16</v>
      </c>
      <c r="M63" s="1173">
        <f t="shared" si="1"/>
        <v>0</v>
      </c>
      <c r="N63" s="1173">
        <f t="shared" si="90"/>
        <v>0</v>
      </c>
      <c r="O63" s="1173">
        <f>SUM('3 pr-2'!O64)</f>
        <v>131322.34</v>
      </c>
      <c r="P63" s="1162">
        <f>IF('ketv. 5 '!U63&gt;0,'ketv. 7 '!R62,SUMIF(Projektu_sutarciu_ataskaita!$J:$J,C63,Projektu_sutarciu_ataskaita!$DK:$DK))</f>
        <v>131322.34</v>
      </c>
      <c r="Q63" s="1173">
        <f t="shared" si="3"/>
        <v>0</v>
      </c>
      <c r="R63" s="1173">
        <f t="shared" si="91"/>
        <v>0</v>
      </c>
      <c r="S63" s="1173">
        <f>SUM('3 pr-2'!R64)</f>
        <v>0</v>
      </c>
      <c r="T63" s="1162">
        <f>IF('ketv. 5 '!U63&gt;0,'ketv. 7 '!W62,SUMIF(Projektu_sutarciu_ataskaita!$J:$J,C63,Projektu_sutarciu_ataskaita!$DG:$DG))</f>
        <v>0</v>
      </c>
      <c r="U63" s="1173">
        <f t="shared" si="92"/>
        <v>0</v>
      </c>
      <c r="V63" s="1173">
        <f t="shared" si="93"/>
        <v>0</v>
      </c>
      <c r="W63" s="1173">
        <f>SUM('3 pr-2'!U64)</f>
        <v>0</v>
      </c>
      <c r="X63" s="1173">
        <f>IF('ketv. 5 '!U63&gt;0,'ketv. 7 '!AB62,SUMIF(Projektu_sutarciu_ataskaita!$J:$J,C63,Projektu_sutarciu_ataskaita!$DM:$DM))</f>
        <v>0</v>
      </c>
      <c r="Y63" s="1173">
        <f t="shared" si="94"/>
        <v>0</v>
      </c>
      <c r="Z63" s="1173">
        <f t="shared" si="95"/>
        <v>0</v>
      </c>
      <c r="AA63" s="1173">
        <f>SUM('3 pr-2'!X64)</f>
        <v>352400.82</v>
      </c>
      <c r="AB63" s="1162">
        <f>IF('ketv. 5 '!U63&gt;0,'ketv. 7 '!AG62,SUMIF(Projektu_sutarciu_ataskaita!$J:$J,C63,Projektu_sutarciu_ataskaita!$DL:$DL)+SUMIF(Projektu_sutarciu_ataskaita!$J:$J,C63,Projektu_sutarciu_ataskaita!$DJ:$DJ))</f>
        <v>352400.82</v>
      </c>
      <c r="AC63" s="1173">
        <f>SUM(AA63-AB63)</f>
        <v>0</v>
      </c>
      <c r="AD63" s="1173">
        <f t="shared" si="96"/>
        <v>0</v>
      </c>
      <c r="AE63" s="1173">
        <f>SUM('3 pr-2'!AA64)</f>
        <v>299541</v>
      </c>
      <c r="AF63" s="1162">
        <f>IF('ketv. 5 '!U63&gt;0,'ketv. 7 '!AL62,SUMIF(Projektu_sutarciu_ataskaita!$J:$J,C63,Projektu_sutarciu_ataskaita!$DF:$DF))</f>
        <v>299541</v>
      </c>
      <c r="AG63" s="1559">
        <f t="shared" si="97"/>
        <v>0</v>
      </c>
      <c r="AH63" s="1177">
        <f t="shared" si="98"/>
        <v>0</v>
      </c>
      <c r="AI63" s="1173">
        <f>SUM('3 pr-2'!AB64)</f>
        <v>0</v>
      </c>
      <c r="AJ63" s="1162">
        <v>0</v>
      </c>
    </row>
    <row r="64" spans="1:36" ht="36.75">
      <c r="A64" s="375" t="str">
        <f>CONCATENATE('3 pr-2'!A65)</f>
        <v>1.1.1.8.3</v>
      </c>
      <c r="B64" s="375" t="str">
        <f>CONCATENATE('3 pr-2'!B65)</f>
        <v>R01-3305-330000-1183</v>
      </c>
      <c r="C64" s="1558" t="str">
        <f>IF('ketv. 4 '!Z65&gt;0,'ketv. 4 '!C65,"-")</f>
        <v>07.1.1-CPVA-R-305-11-0003</v>
      </c>
      <c r="D64" s="375" t="str">
        <f>CONCATENATE('3 pr-2'!D65)</f>
        <v>Druskininkų kultūros centro lauko scenos, Vilniaus al. 24, Druskininkai, modernizavimas ir pritaikymas kultūros poreikiams</v>
      </c>
      <c r="E64" s="375" t="str">
        <f>CONCATENATE('3 pr-2'!E65)</f>
        <v xml:space="preserve">Druskininkų savivaldybės administracija  </v>
      </c>
      <c r="F64" s="375" t="str">
        <f>CONCATENATE('3 pr-2'!F65)</f>
        <v>Lietuvos Respublikos kultūros ministerija</v>
      </c>
      <c r="G64" s="375" t="str">
        <f>CONCATENATE('3 pr-2'!G65)</f>
        <v>Druskininkų sav.</v>
      </c>
      <c r="H64" s="375" t="str">
        <f>CONCATENATE('3 pr-2'!H65)</f>
        <v>07.1.1-CPVA-R-305</v>
      </c>
      <c r="I64" s="375" t="str">
        <f>CONCATENATE('3 pr-2'!I65)</f>
        <v>R</v>
      </c>
      <c r="J64" s="375" t="str">
        <f>CONCATENATE('3 pr-2'!J65)</f>
        <v>ITI</v>
      </c>
      <c r="K64" s="1173">
        <f>SUM('3 pr-2'!L65)</f>
        <v>352401</v>
      </c>
      <c r="L64" s="1162">
        <f t="shared" si="89"/>
        <v>352401</v>
      </c>
      <c r="M64" s="1173">
        <f t="shared" si="1"/>
        <v>0</v>
      </c>
      <c r="N64" s="1173">
        <f t="shared" si="90"/>
        <v>0</v>
      </c>
      <c r="O64" s="1173">
        <f>SUM('3 pr-2'!O65)</f>
        <v>52860.15</v>
      </c>
      <c r="P64" s="1162">
        <f>IF('ketv. 5 '!U64&gt;0,'ketv. 7 '!R63,SUMIF(Projektu_sutarciu_ataskaita!$J:$J,C64,Projektu_sutarciu_ataskaita!$DK:$DK))</f>
        <v>52860.15</v>
      </c>
      <c r="Q64" s="1173">
        <f t="shared" si="3"/>
        <v>0</v>
      </c>
      <c r="R64" s="1173">
        <f t="shared" si="91"/>
        <v>0</v>
      </c>
      <c r="S64" s="1173">
        <f>SUM('3 pr-2'!R65)</f>
        <v>0</v>
      </c>
      <c r="T64" s="1173">
        <f>IF('ketv. 5 '!U64&gt;0,'ketv. 7 '!W63,SUMIF(Projektu_sutarciu_ataskaita!$J:$J,C64,Projektu_sutarciu_ataskaita!$DG:$DG))</f>
        <v>0</v>
      </c>
      <c r="U64" s="1173">
        <f t="shared" si="92"/>
        <v>0</v>
      </c>
      <c r="V64" s="1173">
        <f t="shared" si="93"/>
        <v>0</v>
      </c>
      <c r="W64" s="1173">
        <f>SUM('3 pr-2'!U65)</f>
        <v>0</v>
      </c>
      <c r="X64" s="1173">
        <f>IF('ketv. 5 '!U64&gt;0,'ketv. 7 '!AB63,SUMIF(Projektu_sutarciu_ataskaita!$J:$J,C64,Projektu_sutarciu_ataskaita!$DM:$DM))</f>
        <v>0</v>
      </c>
      <c r="Y64" s="1173">
        <f t="shared" si="94"/>
        <v>0</v>
      </c>
      <c r="Z64" s="1173">
        <f t="shared" si="95"/>
        <v>0</v>
      </c>
      <c r="AA64" s="1173">
        <f>SUM('3 pr-2'!X65)</f>
        <v>0</v>
      </c>
      <c r="AB64" s="1173">
        <f>IF('ketv. 5 '!U64&gt;0,'ketv. 7 '!AG63,SUMIF(Projektu_sutarciu_ataskaita!$J:$J,C64,Projektu_sutarciu_ataskaita!$DL:$DL)+SUMIF(Projektu_sutarciu_ataskaita!$J:$J,C64,Projektu_sutarciu_ataskaita!$DJ:$DJ))</f>
        <v>0</v>
      </c>
      <c r="AC64" s="1173">
        <f>SUM(AA64-AB64)</f>
        <v>0</v>
      </c>
      <c r="AD64" s="1173">
        <f t="shared" si="96"/>
        <v>0</v>
      </c>
      <c r="AE64" s="1173">
        <f>SUM('3 pr-2'!AA65)</f>
        <v>299540.84999999998</v>
      </c>
      <c r="AF64" s="1162">
        <f>IF('ketv. 5 '!U64&gt;0,'ketv. 7 '!AL63,SUMIF(Projektu_sutarciu_ataskaita!$J:$J,C64,Projektu_sutarciu_ataskaita!$DF:$DF))</f>
        <v>299540.84999999998</v>
      </c>
      <c r="AG64" s="1559">
        <f t="shared" si="97"/>
        <v>0</v>
      </c>
      <c r="AH64" s="1177">
        <f t="shared" si="98"/>
        <v>0</v>
      </c>
      <c r="AI64" s="1173">
        <f>SUM('3 pr-2'!AB65)</f>
        <v>0</v>
      </c>
      <c r="AJ64" s="1162">
        <v>0</v>
      </c>
    </row>
    <row r="65" spans="1:36" ht="37.5" thickBot="1">
      <c r="A65" s="375" t="str">
        <f>CONCATENATE('3 pr-2'!A66)</f>
        <v>1.1.1.8.4</v>
      </c>
      <c r="B65" s="375" t="str">
        <f>CONCATENATE('3 pr-2'!B66)</f>
        <v>R01-3305-330200-1184</v>
      </c>
      <c r="C65" s="1558" t="str">
        <f>IF('ketv. 4 '!Z66&gt;0,'ketv. 4 '!C66,"-")</f>
        <v>07.1.1-CPVA-R-305-11-0004</v>
      </c>
      <c r="D65" s="375" t="str">
        <f>CONCATENATE('3 pr-2'!D66)</f>
        <v>Pastato rekonstrukcija ir pritaikymas kultūrinėms, muziejinėms ir edukacinėms reikmėms</v>
      </c>
      <c r="E65" s="375" t="str">
        <f>CONCATENATE('3 pr-2'!E66)</f>
        <v>Lazdijų rajono savivaldybės administracija</v>
      </c>
      <c r="F65" s="375" t="str">
        <f>CONCATENATE('3 pr-2'!F66)</f>
        <v>Lietuvos Respublikos kultūros ministerija</v>
      </c>
      <c r="G65" s="375" t="str">
        <f>CONCATENATE('3 pr-2'!G66)</f>
        <v>Lazdijų r. sav.</v>
      </c>
      <c r="H65" s="375" t="str">
        <f>CONCATENATE('3 pr-2'!H66)</f>
        <v>07.1.1-CPVA-R-305</v>
      </c>
      <c r="I65" s="375" t="str">
        <f>CONCATENATE('3 pr-2'!I66)</f>
        <v>R</v>
      </c>
      <c r="J65" s="375" t="str">
        <f>CONCATENATE('3 pr-2'!J66)</f>
        <v>ITI</v>
      </c>
      <c r="K65" s="1173">
        <f>SUM('3 pr-2'!L66)</f>
        <v>484769.35</v>
      </c>
      <c r="L65" s="1162">
        <f t="shared" si="89"/>
        <v>484769.35</v>
      </c>
      <c r="M65" s="1173">
        <f t="shared" si="1"/>
        <v>0</v>
      </c>
      <c r="N65" s="1173">
        <f t="shared" si="90"/>
        <v>0</v>
      </c>
      <c r="O65" s="1173">
        <f>SUM('3 pr-2'!O66)</f>
        <v>185228.35</v>
      </c>
      <c r="P65" s="1162">
        <f>IF('ketv. 5 '!U65&gt;0,'ketv. 7 '!R64,SUMIF(Projektu_sutarciu_ataskaita!$J:$J,C65,Projektu_sutarciu_ataskaita!$DK:$DK))</f>
        <v>185228.35</v>
      </c>
      <c r="Q65" s="1173">
        <f t="shared" si="3"/>
        <v>0</v>
      </c>
      <c r="R65" s="1173">
        <f t="shared" si="91"/>
        <v>0</v>
      </c>
      <c r="S65" s="1173">
        <f>SUM('3 pr-2'!R66)</f>
        <v>0</v>
      </c>
      <c r="T65" s="1173">
        <f>IF('ketv. 5 '!U65&gt;0,'ketv. 7 '!W64,SUMIF(Projektu_sutarciu_ataskaita!$J:$J,C65,Projektu_sutarciu_ataskaita!$DG:$DG))</f>
        <v>0</v>
      </c>
      <c r="U65" s="1173">
        <f t="shared" si="92"/>
        <v>0</v>
      </c>
      <c r="V65" s="1173">
        <f t="shared" si="93"/>
        <v>0</v>
      </c>
      <c r="W65" s="1173">
        <f>SUM('3 pr-2'!U66)</f>
        <v>0</v>
      </c>
      <c r="X65" s="1173">
        <f>IF('ketv. 5 '!U65&gt;0,'ketv. 7 '!AB64,SUMIF(Projektu_sutarciu_ataskaita!$J:$J,C65,Projektu_sutarciu_ataskaita!$DM:$DM))</f>
        <v>0</v>
      </c>
      <c r="Y65" s="1173">
        <f t="shared" si="94"/>
        <v>0</v>
      </c>
      <c r="Z65" s="1173">
        <f t="shared" si="95"/>
        <v>0</v>
      </c>
      <c r="AA65" s="1173">
        <f>SUM('3 pr-2'!X66)</f>
        <v>0</v>
      </c>
      <c r="AB65" s="1173">
        <f>IF('ketv. 5 '!U65&gt;0,'ketv. 7 '!AG64,SUMIF(Projektu_sutarciu_ataskaita!$J:$J,C65,Projektu_sutarciu_ataskaita!$DL:$DL)+SUMIF(Projektu_sutarciu_ataskaita!$J:$J,C65,Projektu_sutarciu_ataskaita!$DJ:$DJ))</f>
        <v>0</v>
      </c>
      <c r="AC65" s="1173">
        <f>SUM(AA65-AB65)</f>
        <v>0</v>
      </c>
      <c r="AD65" s="1173">
        <f t="shared" si="96"/>
        <v>0</v>
      </c>
      <c r="AE65" s="1173">
        <f>SUM('3 pr-2'!AA66)</f>
        <v>299541</v>
      </c>
      <c r="AF65" s="1162">
        <f>IF('ketv. 5 '!U65&gt;0,'ketv. 7 '!AL64,SUMIF(Projektu_sutarciu_ataskaita!$J:$J,C65,Projektu_sutarciu_ataskaita!$DF:$DF))</f>
        <v>299541</v>
      </c>
      <c r="AG65" s="1559">
        <f t="shared" si="97"/>
        <v>0</v>
      </c>
      <c r="AH65" s="1177">
        <f t="shared" si="98"/>
        <v>0</v>
      </c>
      <c r="AI65" s="1173">
        <f>SUM('3 pr-2'!AB66)</f>
        <v>0</v>
      </c>
      <c r="AJ65" s="1162">
        <v>0</v>
      </c>
    </row>
    <row r="66" spans="1:36" ht="38.25" customHeight="1" thickBot="1">
      <c r="A66" s="296" t="str">
        <f>CONCATENATE('3 pr-2'!A67)</f>
        <v>1.1.1.9</v>
      </c>
      <c r="B66" s="2088" t="str">
        <f>CONCATENATE('3 pr-2'!B67)</f>
        <v>Priemonė:
Aktualizuoti savivaldybių kultūros paveldo objektus</v>
      </c>
      <c r="C66" s="1894"/>
      <c r="D66" s="1894"/>
      <c r="E66" s="1894"/>
      <c r="F66" s="1894"/>
      <c r="G66" s="1894"/>
      <c r="H66" s="1894"/>
      <c r="I66" s="1894"/>
      <c r="J66" s="1895"/>
      <c r="K66" s="1168">
        <f>SUM('3 pr-2'!L67)</f>
        <v>1461941.12</v>
      </c>
      <c r="L66" s="1168">
        <f>SUM(L67:L71)</f>
        <v>1424127.6800000002</v>
      </c>
      <c r="M66" s="1169">
        <f>SUM(M67:M71)</f>
        <v>37813.440000000002</v>
      </c>
      <c r="N66" s="1170">
        <f>SUM(N67:N71)</f>
        <v>37813.440000000002</v>
      </c>
      <c r="O66" s="1168">
        <f>SUM('3 pr-2'!O67)</f>
        <v>438075.46</v>
      </c>
      <c r="P66" s="1168">
        <f>SUM(P67:P71)</f>
        <v>432403.30000000005</v>
      </c>
      <c r="Q66" s="1168">
        <f>SUM(Q67:Q71)</f>
        <v>5672.16</v>
      </c>
      <c r="R66" s="1168">
        <f>SUM(R67:R71)</f>
        <v>5672.16</v>
      </c>
      <c r="S66" s="1168">
        <f>SUM('3 pr-2'!R67)</f>
        <v>0</v>
      </c>
      <c r="T66" s="1168">
        <f>SUM(T67:T71)</f>
        <v>0</v>
      </c>
      <c r="U66" s="1168">
        <f>SUM(U67:U71)</f>
        <v>0</v>
      </c>
      <c r="V66" s="1168">
        <f>SUM(V67:V71)</f>
        <v>0</v>
      </c>
      <c r="W66" s="1168">
        <f>SUM('3 pr-2'!U67)</f>
        <v>0</v>
      </c>
      <c r="X66" s="1168">
        <f>SUM(X67:X71)</f>
        <v>0</v>
      </c>
      <c r="Y66" s="1168">
        <f>SUM(Y67:Y71)</f>
        <v>0</v>
      </c>
      <c r="Z66" s="1168">
        <f>SUM(Z67:Z71)</f>
        <v>0</v>
      </c>
      <c r="AA66" s="1168">
        <f>SUM('3 pr-2'!X67)</f>
        <v>0</v>
      </c>
      <c r="AB66" s="1168">
        <f>SUM(AB67:AB71)</f>
        <v>0</v>
      </c>
      <c r="AC66" s="1168">
        <f>SUM(AC67:AC71)</f>
        <v>0</v>
      </c>
      <c r="AD66" s="1168">
        <f>SUM(AD67:AD71)</f>
        <v>0</v>
      </c>
      <c r="AE66" s="1168">
        <f>SUM('3 pr-2'!AA67)</f>
        <v>1023865.66</v>
      </c>
      <c r="AF66" s="1168">
        <f>SUM(AF67:AF71)</f>
        <v>991724.38</v>
      </c>
      <c r="AG66" s="1564">
        <f>SUM(AG67:AG71)</f>
        <v>32141.279999999999</v>
      </c>
      <c r="AH66" s="1565">
        <f>SUM(AH67:AH71)</f>
        <v>32141.279999999999</v>
      </c>
      <c r="AI66" s="1168">
        <f t="shared" ref="AI66:AJ66" si="99">SUM(AI67:AI71)</f>
        <v>0</v>
      </c>
      <c r="AJ66" s="1168">
        <f t="shared" si="99"/>
        <v>0</v>
      </c>
    </row>
    <row r="67" spans="1:36" ht="36.75">
      <c r="A67" s="375" t="str">
        <f>CONCATENATE('3 pr-2'!A68)</f>
        <v>1.1.1.9.1</v>
      </c>
      <c r="B67" s="375" t="str">
        <f>CONCATENATE('3 pr-2'!B68)</f>
        <v>R01-3302-440000-1191</v>
      </c>
      <c r="C67" s="1558" t="str">
        <f>IF('ketv. 4 '!Z68&gt;0,'ketv. 4 '!C68,"-")</f>
        <v>05.4.1-CPVA-R-302-11-0003</v>
      </c>
      <c r="D67" s="375" t="str">
        <f>CONCATENATE('3 pr-2'!D68)</f>
        <v>Buvusios sinagogos pastato Kauno g. 9A Alytuje rekonstravimas ir aplinkinės teritorijos sutvarkymas</v>
      </c>
      <c r="E67" s="375" t="str">
        <f>CONCATENATE('3 pr-2'!E68)</f>
        <v>Alytaus miesto savivaldybės administracija</v>
      </c>
      <c r="F67" s="375" t="str">
        <f>CONCATENATE('3 pr-2'!F68)</f>
        <v>Lietuvos Respublikos kultūros ministerija</v>
      </c>
      <c r="G67" s="375" t="str">
        <f>CONCATENATE('3 pr-2'!G68)</f>
        <v>Alytaus m. sav.</v>
      </c>
      <c r="H67" s="375" t="str">
        <f>CONCATENATE('3 pr-2'!H68)</f>
        <v>05.4.1-CPVA-R-302</v>
      </c>
      <c r="I67" s="375" t="str">
        <f>CONCATENATE('3 pr-2'!I68)</f>
        <v>R</v>
      </c>
      <c r="J67" s="375" t="str">
        <f>CONCATENATE('3 pr-2'!J68)</f>
        <v>ITI</v>
      </c>
      <c r="K67" s="1173">
        <f>SUM('3 pr-2'!L68)</f>
        <v>444560.16000000003</v>
      </c>
      <c r="L67" s="1162">
        <f t="shared" ref="L67:L71" si="100">SUM(P67+T67+X67+AB67+AF67+AJ67)</f>
        <v>444560.16000000003</v>
      </c>
      <c r="M67" s="1173">
        <f t="shared" si="1"/>
        <v>0</v>
      </c>
      <c r="N67" s="1173">
        <f t="shared" ref="N67:N71" si="101">IF(L67&gt;0,K67-L67,0)</f>
        <v>0</v>
      </c>
      <c r="O67" s="1173">
        <f>SUM('3 pr-2'!O68)</f>
        <v>238504.16</v>
      </c>
      <c r="P67" s="1162">
        <f>IF('ketv. 5 '!U67&gt;0,'ketv. 7 '!R66,SUMIF(Projektu_sutarciu_ataskaita!$J:$J,C67,Projektu_sutarciu_ataskaita!$DK:$DK))</f>
        <v>238504.16</v>
      </c>
      <c r="Q67" s="1173">
        <f t="shared" si="3"/>
        <v>0</v>
      </c>
      <c r="R67" s="1173">
        <f t="shared" ref="R67:R71" si="102">IF(P67&gt;0,O67-P67,0)</f>
        <v>0</v>
      </c>
      <c r="S67" s="1173">
        <f>SUM('3 pr-2'!R68)</f>
        <v>0</v>
      </c>
      <c r="T67" s="1173">
        <f>IF('ketv. 5 '!U67&gt;0,'ketv. 7 '!W66,SUMIF(Projektu_sutarciu_ataskaita!$J:$J,C67,Projektu_sutarciu_ataskaita!$DG:$DG))</f>
        <v>0</v>
      </c>
      <c r="U67" s="1173">
        <f t="shared" ref="U67:U71" si="103">SUM(S67-T67)</f>
        <v>0</v>
      </c>
      <c r="V67" s="1173">
        <f t="shared" ref="V67:V71" si="104">IF(T67&gt;0,S67-T67,0)</f>
        <v>0</v>
      </c>
      <c r="W67" s="1173">
        <f>SUM('3 pr-2'!U68)</f>
        <v>0</v>
      </c>
      <c r="X67" s="1173">
        <f>IF('ketv. 5 '!U67&gt;0,'ketv. 7 '!AB66,SUMIF(Projektu_sutarciu_ataskaita!$J:$J,C67,Projektu_sutarciu_ataskaita!$DM:$DM))</f>
        <v>0</v>
      </c>
      <c r="Y67" s="1173">
        <f t="shared" ref="Y67:Y71" si="105">SUM(W67-X67)</f>
        <v>0</v>
      </c>
      <c r="Z67" s="1173">
        <f t="shared" ref="Z67:Z71" si="106">IF(X67&gt;0,W67-X67,0)</f>
        <v>0</v>
      </c>
      <c r="AA67" s="1173">
        <f>SUM('3 pr-2'!X68)</f>
        <v>0</v>
      </c>
      <c r="AB67" s="1173">
        <f>IF('ketv. 5 '!U67&gt;0,'ketv. 7 '!AG66,SUMIF(Projektu_sutarciu_ataskaita!$J:$J,C67,Projektu_sutarciu_ataskaita!$DL:$DL)+SUMIF(Projektu_sutarciu_ataskaita!$J:$J,C67,Projektu_sutarciu_ataskaita!$DJ:$DJ))</f>
        <v>0</v>
      </c>
      <c r="AC67" s="1173">
        <f>SUM(AA67-AB67)</f>
        <v>0</v>
      </c>
      <c r="AD67" s="1173">
        <f t="shared" ref="AD67:AD71" si="107">IF(AB67&gt;0,AA67-AB67,0)</f>
        <v>0</v>
      </c>
      <c r="AE67" s="1173">
        <f>SUM('3 pr-2'!AA68)</f>
        <v>206056</v>
      </c>
      <c r="AF67" s="1162">
        <f>IF('ketv. 5 '!U67&gt;0,'ketv. 7 '!AL66,SUMIF(Projektu_sutarciu_ataskaita!$J:$J,C67,Projektu_sutarciu_ataskaita!$DF:$DF))</f>
        <v>206056</v>
      </c>
      <c r="AG67" s="1559">
        <f t="shared" ref="AG67:AG71" si="108">SUM(AE67-AF67)</f>
        <v>0</v>
      </c>
      <c r="AH67" s="1177">
        <f t="shared" ref="AH67:AH71" si="109">IF(AF67&gt;0,AE67-AF67,0)</f>
        <v>0</v>
      </c>
      <c r="AI67" s="1173">
        <f>SUM('3 pr-2'!AB68)</f>
        <v>0</v>
      </c>
      <c r="AJ67" s="1162">
        <v>0</v>
      </c>
    </row>
    <row r="68" spans="1:36" ht="36.75">
      <c r="A68" s="375" t="str">
        <f>CONCATENATE('3 pr-2'!A69)</f>
        <v>1.1.1.9.2</v>
      </c>
      <c r="B68" s="375" t="str">
        <f>CONCATENATE('3 pr-2'!B69)</f>
        <v>R01-3302-440000-1192</v>
      </c>
      <c r="C68" s="1558" t="str">
        <f>IF('ketv. 4 '!Z69&gt;0,'ketv. 4 '!C69,"-")</f>
        <v>05.4.1-CPVA-R-302-11-0002</v>
      </c>
      <c r="D68" s="375" t="str">
        <f>CONCATENATE('3 pr-2'!D69)</f>
        <v>Mažosios dailės galerijos, M.K.Čiurlionio g. 37, Druskininkai, modernizavimas ir pritaikymas kultūros poreikiams</v>
      </c>
      <c r="E68" s="375" t="str">
        <f>CONCATENATE('3 pr-2'!E69)</f>
        <v xml:space="preserve">Druskininkų savivaldybės administracija  </v>
      </c>
      <c r="F68" s="375" t="str">
        <f>CONCATENATE('3 pr-2'!F69)</f>
        <v>Lietuvos Respublikos kultūros ministerija</v>
      </c>
      <c r="G68" s="375" t="str">
        <f>CONCATENATE('3 pr-2'!G69)</f>
        <v>Druskininkų sav.</v>
      </c>
      <c r="H68" s="375" t="str">
        <f>CONCATENATE('3 pr-2'!H69)</f>
        <v>05.4.1-CPVA-R-302</v>
      </c>
      <c r="I68" s="375" t="str">
        <f>CONCATENATE('3 pr-2'!I69)</f>
        <v>R</v>
      </c>
      <c r="J68" s="375" t="str">
        <f>CONCATENATE('3 pr-2'!J69)</f>
        <v>-</v>
      </c>
      <c r="K68" s="1173">
        <f>SUM('3 pr-2'!L69)</f>
        <v>297670.41000000003</v>
      </c>
      <c r="L68" s="1162">
        <f t="shared" si="100"/>
        <v>297670.41000000003</v>
      </c>
      <c r="M68" s="1173">
        <f t="shared" si="1"/>
        <v>0</v>
      </c>
      <c r="N68" s="1173">
        <f t="shared" si="101"/>
        <v>0</v>
      </c>
      <c r="O68" s="1173">
        <f>SUM('3 pr-2'!O69)</f>
        <v>91614.41</v>
      </c>
      <c r="P68" s="1162">
        <f>IF('ketv. 5 '!U68&gt;0,'ketv. 7 '!R67,SUMIF(Projektu_sutarciu_ataskaita!$J:$J,C68,Projektu_sutarciu_ataskaita!$DK:$DK))</f>
        <v>91614.41</v>
      </c>
      <c r="Q68" s="1173">
        <f t="shared" si="3"/>
        <v>0</v>
      </c>
      <c r="R68" s="1173">
        <f t="shared" si="102"/>
        <v>0</v>
      </c>
      <c r="S68" s="1173">
        <f>SUM('3 pr-2'!R69)</f>
        <v>0</v>
      </c>
      <c r="T68" s="1173">
        <f>IF('ketv. 5 '!U68&gt;0,'ketv. 7 '!W67,SUMIF(Projektu_sutarciu_ataskaita!$J:$J,C68,Projektu_sutarciu_ataskaita!$DG:$DG))</f>
        <v>0</v>
      </c>
      <c r="U68" s="1173">
        <f t="shared" si="103"/>
        <v>0</v>
      </c>
      <c r="V68" s="1173">
        <f t="shared" si="104"/>
        <v>0</v>
      </c>
      <c r="W68" s="1173">
        <f>SUM('3 pr-2'!U69)</f>
        <v>0</v>
      </c>
      <c r="X68" s="1173">
        <f>IF('ketv. 5 '!U68&gt;0,'ketv. 7 '!AB67,SUMIF(Projektu_sutarciu_ataskaita!$J:$J,C68,Projektu_sutarciu_ataskaita!$DM:$DM))</f>
        <v>0</v>
      </c>
      <c r="Y68" s="1173">
        <f t="shared" si="105"/>
        <v>0</v>
      </c>
      <c r="Z68" s="1173">
        <f t="shared" si="106"/>
        <v>0</v>
      </c>
      <c r="AA68" s="1173">
        <f>SUM('3 pr-2'!X69)</f>
        <v>0</v>
      </c>
      <c r="AB68" s="1173">
        <f>IF('ketv. 5 '!U68&gt;0,'ketv. 7 '!AG67,SUMIF(Projektu_sutarciu_ataskaita!$J:$J,C68,Projektu_sutarciu_ataskaita!$DL:$DL)+SUMIF(Projektu_sutarciu_ataskaita!$J:$J,C68,Projektu_sutarciu_ataskaita!$DJ:$DJ))</f>
        <v>0</v>
      </c>
      <c r="AC68" s="1173">
        <f>SUM(AA68-AB68)</f>
        <v>0</v>
      </c>
      <c r="AD68" s="1173">
        <f t="shared" si="107"/>
        <v>0</v>
      </c>
      <c r="AE68" s="1173">
        <f>SUM('3 pr-2'!AA69)</f>
        <v>206056</v>
      </c>
      <c r="AF68" s="1162">
        <f>IF('ketv. 5 '!U68&gt;0,'ketv. 7 '!AL67,SUMIF(Projektu_sutarciu_ataskaita!$J:$J,C68,Projektu_sutarciu_ataskaita!$DF:$DF))</f>
        <v>206056</v>
      </c>
      <c r="AG68" s="1559">
        <f t="shared" si="108"/>
        <v>0</v>
      </c>
      <c r="AH68" s="1177">
        <f t="shared" si="109"/>
        <v>0</v>
      </c>
      <c r="AI68" s="1173">
        <f>SUM('3 pr-2'!AB69)</f>
        <v>0</v>
      </c>
      <c r="AJ68" s="1162">
        <v>0</v>
      </c>
    </row>
    <row r="69" spans="1:36" ht="36.75">
      <c r="A69" s="375" t="str">
        <f>CONCATENATE('3 pr-2'!A70)</f>
        <v>1.1.1.9.3</v>
      </c>
      <c r="B69" s="375" t="str">
        <f>CONCATENATE('3 pr-2'!B70)</f>
        <v>R01-3302-440200-1193</v>
      </c>
      <c r="C69" s="1558" t="str">
        <f>IF('ketv. 4 '!Z70&gt;0,'ketv. 4 '!C70,"-")</f>
        <v>05.4.1-CPVA-R-302-11-0001</v>
      </c>
      <c r="D69" s="375" t="str">
        <f>CONCATENATE('3 pr-2'!D70)</f>
        <v>Motiejaus Gustaičio memorialinio namo kompleksinis sutvarkymas</v>
      </c>
      <c r="E69" s="375" t="str">
        <f>CONCATENATE('3 pr-2'!E70)</f>
        <v>Lazdijų rajono savivaldybės administracija</v>
      </c>
      <c r="F69" s="375" t="str">
        <f>CONCATENATE('3 pr-2'!F70)</f>
        <v>Lietuvos Respublikos kultūros ministerija</v>
      </c>
      <c r="G69" s="375" t="str">
        <f>CONCATENATE('3 pr-2'!G70)</f>
        <v>Lazdijų r. sav.</v>
      </c>
      <c r="H69" s="375" t="str">
        <f>CONCATENATE('3 pr-2'!H70)</f>
        <v>05.4.1-CPVA-R-302</v>
      </c>
      <c r="I69" s="375" t="str">
        <f>CONCATENATE('3 pr-2'!I70)</f>
        <v>R</v>
      </c>
      <c r="J69" s="375" t="str">
        <f>CONCATENATE('3 pr-2'!J70)</f>
        <v>ITI</v>
      </c>
      <c r="K69" s="1173">
        <f>SUM('3 pr-2'!L70)</f>
        <v>242419</v>
      </c>
      <c r="L69" s="1162">
        <f t="shared" si="100"/>
        <v>242419</v>
      </c>
      <c r="M69" s="1173">
        <f t="shared" si="1"/>
        <v>0</v>
      </c>
      <c r="N69" s="1173">
        <f t="shared" si="101"/>
        <v>0</v>
      </c>
      <c r="O69" s="1173">
        <f>SUM('3 pr-2'!O70)</f>
        <v>36363</v>
      </c>
      <c r="P69" s="1162">
        <f>IF('ketv. 5 '!U69&gt;0,'ketv. 7 '!R68,SUMIF(Projektu_sutarciu_ataskaita!$J:$J,C69,Projektu_sutarciu_ataskaita!$DK:$DK))</f>
        <v>36363</v>
      </c>
      <c r="Q69" s="1173">
        <f t="shared" si="3"/>
        <v>0</v>
      </c>
      <c r="R69" s="1173">
        <f t="shared" si="102"/>
        <v>0</v>
      </c>
      <c r="S69" s="1173">
        <f>SUM('3 pr-2'!R70)</f>
        <v>0</v>
      </c>
      <c r="T69" s="1173">
        <f>IF('ketv. 5 '!U69&gt;0,'ketv. 7 '!W68,SUMIF(Projektu_sutarciu_ataskaita!$J:$J,C69,Projektu_sutarciu_ataskaita!$DG:$DG))</f>
        <v>0</v>
      </c>
      <c r="U69" s="1173">
        <f t="shared" si="103"/>
        <v>0</v>
      </c>
      <c r="V69" s="1173">
        <f t="shared" si="104"/>
        <v>0</v>
      </c>
      <c r="W69" s="1173">
        <f>SUM('3 pr-2'!U70)</f>
        <v>0</v>
      </c>
      <c r="X69" s="1173">
        <f>IF('ketv. 5 '!U69&gt;0,'ketv. 7 '!AB68,SUMIF(Projektu_sutarciu_ataskaita!$J:$J,C69,Projektu_sutarciu_ataskaita!$DM:$DM))</f>
        <v>0</v>
      </c>
      <c r="Y69" s="1173">
        <f t="shared" si="105"/>
        <v>0</v>
      </c>
      <c r="Z69" s="1173">
        <f t="shared" si="106"/>
        <v>0</v>
      </c>
      <c r="AA69" s="1173">
        <f>SUM('3 pr-2'!X70)</f>
        <v>0</v>
      </c>
      <c r="AB69" s="1173">
        <f>IF('ketv. 5 '!U69&gt;0,'ketv. 7 '!AG68,SUMIF(Projektu_sutarciu_ataskaita!$J:$J,C69,Projektu_sutarciu_ataskaita!$DL:$DL)+SUMIF(Projektu_sutarciu_ataskaita!$J:$J,C69,Projektu_sutarciu_ataskaita!$DJ:$DJ))</f>
        <v>0</v>
      </c>
      <c r="AC69" s="1173">
        <f>SUM(AA69-AB69)</f>
        <v>0</v>
      </c>
      <c r="AD69" s="1173">
        <f t="shared" si="107"/>
        <v>0</v>
      </c>
      <c r="AE69" s="1173">
        <f>SUM('3 pr-2'!AA70)</f>
        <v>206056</v>
      </c>
      <c r="AF69" s="1162">
        <f>IF('ketv. 5 '!U69&gt;0,'ketv. 7 '!AL68,SUMIF(Projektu_sutarciu_ataskaita!$J:$J,C69,Projektu_sutarciu_ataskaita!$DF:$DF))</f>
        <v>206056</v>
      </c>
      <c r="AG69" s="1559">
        <f t="shared" si="108"/>
        <v>0</v>
      </c>
      <c r="AH69" s="1177">
        <f t="shared" si="109"/>
        <v>0</v>
      </c>
      <c r="AI69" s="1173">
        <f>SUM('3 pr-2'!AB70)</f>
        <v>0</v>
      </c>
      <c r="AJ69" s="1162">
        <v>0</v>
      </c>
    </row>
    <row r="70" spans="1:36" ht="36.75">
      <c r="A70" s="375" t="str">
        <f>CONCATENATE('3 pr-2'!A71)</f>
        <v>1.1.1.9.4</v>
      </c>
      <c r="B70" s="375" t="str">
        <f>CONCATENATE('3 pr-2'!B71)</f>
        <v>R01-3302-440000-1194</v>
      </c>
      <c r="C70" s="1558" t="str">
        <f>IF('ketv. 4 '!Z71&gt;0,'ketv. 4 '!C71,"-")</f>
        <v>05.4.1-CPVA-R-302-11-0004</v>
      </c>
      <c r="D70" s="375" t="str">
        <f>CONCATENATE('3 pr-2'!D71)</f>
        <v>Kurnėnų Lauryno Radziukyno mokyklos pritaikymas kultūrinėms ir turistinėms reikmėms</v>
      </c>
      <c r="E70" s="375" t="str">
        <f>CONCATENATE('3 pr-2'!E71)</f>
        <v>Alytaus rajono savivaldybės administracija</v>
      </c>
      <c r="F70" s="375" t="str">
        <f>CONCATENATE('3 pr-2'!F71)</f>
        <v>Lietuvos Respublikos kultūros ministerija</v>
      </c>
      <c r="G70" s="375" t="str">
        <f>CONCATENATE('3 pr-2'!G71)</f>
        <v>Alytaus r. sav.</v>
      </c>
      <c r="H70" s="375" t="str">
        <f>CONCATENATE('3 pr-2'!H71)</f>
        <v>05.4.1-CPVA-R-302</v>
      </c>
      <c r="I70" s="375" t="str">
        <f>CONCATENATE('3 pr-2'!I71)</f>
        <v>R</v>
      </c>
      <c r="J70" s="375" t="str">
        <f>CONCATENATE('3 pr-2'!J71)</f>
        <v>-</v>
      </c>
      <c r="K70" s="1173">
        <f>SUM('3 pr-2'!L71)</f>
        <v>234872.55</v>
      </c>
      <c r="L70" s="1162">
        <f t="shared" si="100"/>
        <v>234872.55</v>
      </c>
      <c r="M70" s="1173">
        <f t="shared" si="1"/>
        <v>0</v>
      </c>
      <c r="N70" s="1173">
        <f t="shared" si="101"/>
        <v>0</v>
      </c>
      <c r="O70" s="1173">
        <f>SUM('3 pr-2'!O71)</f>
        <v>35230.89</v>
      </c>
      <c r="P70" s="1162">
        <f>IF('ketv. 5 '!U70&gt;0,'ketv. 7 '!R69,SUMIF(Projektu_sutarciu_ataskaita!$J:$J,C70,Projektu_sutarciu_ataskaita!$DK:$DK))</f>
        <v>35230.89</v>
      </c>
      <c r="Q70" s="1173">
        <f t="shared" si="3"/>
        <v>0</v>
      </c>
      <c r="R70" s="1173">
        <f t="shared" si="102"/>
        <v>0</v>
      </c>
      <c r="S70" s="1173">
        <f>SUM('3 pr-2'!R71)</f>
        <v>0</v>
      </c>
      <c r="T70" s="1173">
        <f>IF('ketv. 5 '!U70&gt;0,'ketv. 7 '!W69,SUMIF(Projektu_sutarciu_ataskaita!$J:$J,C70,Projektu_sutarciu_ataskaita!$DG:$DG))</f>
        <v>0</v>
      </c>
      <c r="U70" s="1173">
        <f t="shared" si="103"/>
        <v>0</v>
      </c>
      <c r="V70" s="1173">
        <f t="shared" si="104"/>
        <v>0</v>
      </c>
      <c r="W70" s="1173">
        <f>SUM('3 pr-2'!U71)</f>
        <v>0</v>
      </c>
      <c r="X70" s="1173">
        <f>IF('ketv. 5 '!U70&gt;0,'ketv. 7 '!AB69,SUMIF(Projektu_sutarciu_ataskaita!$J:$J,C70,Projektu_sutarciu_ataskaita!$DM:$DM))</f>
        <v>0</v>
      </c>
      <c r="Y70" s="1173">
        <f t="shared" si="105"/>
        <v>0</v>
      </c>
      <c r="Z70" s="1173">
        <f t="shared" si="106"/>
        <v>0</v>
      </c>
      <c r="AA70" s="1173">
        <f>SUM('3 pr-2'!X71)</f>
        <v>0</v>
      </c>
      <c r="AB70" s="1173">
        <f>IF('ketv. 5 '!U70&gt;0,'ketv. 7 '!AG69,SUMIF(Projektu_sutarciu_ataskaita!$J:$J,C70,Projektu_sutarciu_ataskaita!$DL:$DL)+SUMIF(Projektu_sutarciu_ataskaita!$J:$J,C70,Projektu_sutarciu_ataskaita!$DJ:$DJ))</f>
        <v>0</v>
      </c>
      <c r="AC70" s="1173">
        <f>SUM(AA70-AB70)</f>
        <v>0</v>
      </c>
      <c r="AD70" s="1173">
        <f t="shared" si="107"/>
        <v>0</v>
      </c>
      <c r="AE70" s="1173">
        <f>SUM('3 pr-2'!AA71)</f>
        <v>199641.66</v>
      </c>
      <c r="AF70" s="1162">
        <f>IF('ketv. 5 '!U70&gt;0,'ketv. 7 '!AL69,SUMIF(Projektu_sutarciu_ataskaita!$J:$J,C70,Projektu_sutarciu_ataskaita!$DF:$DF))</f>
        <v>199641.66</v>
      </c>
      <c r="AG70" s="1559">
        <f t="shared" si="108"/>
        <v>0</v>
      </c>
      <c r="AH70" s="1177">
        <f t="shared" si="109"/>
        <v>0</v>
      </c>
      <c r="AI70" s="1173">
        <f>SUM('3 pr-2'!AB71)</f>
        <v>0</v>
      </c>
      <c r="AJ70" s="1173"/>
    </row>
    <row r="71" spans="1:36" ht="37.5" thickBot="1">
      <c r="A71" s="375" t="str">
        <f>CONCATENATE('3 pr-2'!A72)</f>
        <v>1.1.1.9.5</v>
      </c>
      <c r="B71" s="375" t="str">
        <f>CONCATENATE('3 pr-2'!B72)</f>
        <v>R01-3302-440000-1195</v>
      </c>
      <c r="C71" s="1558" t="str">
        <f>IF('ketv. 4 '!Z72&gt;0,'ketv. 4 '!C72,"-")</f>
        <v>05.4.1-CPVA-R-302-11-0005</v>
      </c>
      <c r="D71" s="375" t="str">
        <f>CONCATENATE('3 pr-2'!D72)</f>
        <v>Vinco Krėvės-Mickevičiaus memorialinio muziejaus atnaujinimas</v>
      </c>
      <c r="E71" s="375" t="str">
        <f>CONCATENATE('3 pr-2'!E72)</f>
        <v>Varėnos rajono savivaldybės administracija</v>
      </c>
      <c r="F71" s="375" t="str">
        <f>CONCATENATE('3 pr-2'!F72)</f>
        <v>Lietuvos Respublikos kultūros ministerija</v>
      </c>
      <c r="G71" s="375" t="str">
        <f>CONCATENATE('3 pr-2'!G72)</f>
        <v>Varėnos r. sav.</v>
      </c>
      <c r="H71" s="375" t="str">
        <f>CONCATENATE('3 pr-2'!H72)</f>
        <v>05.4.1-CPVA-R-302</v>
      </c>
      <c r="I71" s="375" t="str">
        <f>CONCATENATE('3 pr-2'!I72)</f>
        <v>R</v>
      </c>
      <c r="J71" s="375" t="str">
        <f>CONCATENATE('3 pr-2'!J72)</f>
        <v>-</v>
      </c>
      <c r="K71" s="1173">
        <f>SUM('3 pr-2'!L72)</f>
        <v>242419</v>
      </c>
      <c r="L71" s="1162">
        <f t="shared" si="100"/>
        <v>204605.56</v>
      </c>
      <c r="M71" s="1173">
        <f t="shared" si="1"/>
        <v>37813.440000000002</v>
      </c>
      <c r="N71" s="1173">
        <f t="shared" si="101"/>
        <v>37813.440000000002</v>
      </c>
      <c r="O71" s="1173">
        <f>SUM('3 pr-2'!O72)</f>
        <v>36363</v>
      </c>
      <c r="P71" s="1162">
        <f>IF('ketv. 5 '!U71&gt;0,'ketv. 7 '!R70,SUMIF(Projektu_sutarciu_ataskaita!$J:$J,C71,Projektu_sutarciu_ataskaita!$DK:$DK))</f>
        <v>30690.84</v>
      </c>
      <c r="Q71" s="1173">
        <f t="shared" si="3"/>
        <v>5672.16</v>
      </c>
      <c r="R71" s="1173">
        <f t="shared" si="102"/>
        <v>5672.16</v>
      </c>
      <c r="S71" s="1173">
        <f>SUM('3 pr-2'!R72)</f>
        <v>0</v>
      </c>
      <c r="T71" s="1173">
        <f>IF('ketv. 5 '!U71&gt;0,'ketv. 7 '!W70,SUMIF(Projektu_sutarciu_ataskaita!$J:$J,C71,Projektu_sutarciu_ataskaita!$DG:$DG))</f>
        <v>0</v>
      </c>
      <c r="U71" s="1173">
        <f t="shared" si="103"/>
        <v>0</v>
      </c>
      <c r="V71" s="1173">
        <f t="shared" si="104"/>
        <v>0</v>
      </c>
      <c r="W71" s="1173">
        <f>SUM('3 pr-2'!U72)</f>
        <v>0</v>
      </c>
      <c r="X71" s="1173">
        <f>IF('ketv. 5 '!U71&gt;0,'ketv. 7 '!AB70,SUMIF(Projektu_sutarciu_ataskaita!$J:$J,C71,Projektu_sutarciu_ataskaita!$DM:$DM))</f>
        <v>0</v>
      </c>
      <c r="Y71" s="1173">
        <f t="shared" si="105"/>
        <v>0</v>
      </c>
      <c r="Z71" s="1173">
        <f t="shared" si="106"/>
        <v>0</v>
      </c>
      <c r="AA71" s="1173">
        <f>SUM('3 pr-2'!X72)</f>
        <v>0</v>
      </c>
      <c r="AB71" s="1173">
        <f>IF('ketv. 5 '!U71&gt;0,'ketv. 7 '!AG70,SUMIF(Projektu_sutarciu_ataskaita!$J:$J,C71,Projektu_sutarciu_ataskaita!$DL:$DL)+SUMIF(Projektu_sutarciu_ataskaita!$J:$J,C71,Projektu_sutarciu_ataskaita!$DJ:$DJ))</f>
        <v>0</v>
      </c>
      <c r="AC71" s="1173">
        <f>SUM(AA71-AB71)</f>
        <v>0</v>
      </c>
      <c r="AD71" s="1173">
        <f t="shared" si="107"/>
        <v>0</v>
      </c>
      <c r="AE71" s="1173">
        <f>SUM('3 pr-2'!AA72)</f>
        <v>206056</v>
      </c>
      <c r="AF71" s="1162">
        <f>IF('ketv. 5 '!U71&gt;0,'ketv. 7 '!AL70,SUMIF(Projektu_sutarciu_ataskaita!$J:$J,C71,Projektu_sutarciu_ataskaita!$DF:$DF))</f>
        <v>173914.72</v>
      </c>
      <c r="AG71" s="1559">
        <f t="shared" si="108"/>
        <v>32141.279999999999</v>
      </c>
      <c r="AH71" s="1177">
        <f t="shared" si="109"/>
        <v>32141.279999999999</v>
      </c>
      <c r="AI71" s="1173">
        <f>SUM('3 pr-2'!AB72)</f>
        <v>0</v>
      </c>
      <c r="AJ71" s="1162">
        <v>0</v>
      </c>
    </row>
    <row r="72" spans="1:36" ht="38.25" customHeight="1" thickBot="1">
      <c r="A72" s="238" t="str">
        <f>CONCATENATE('3 pr-2'!A73)</f>
        <v>1.1.2.</v>
      </c>
      <c r="B72" s="2085" t="str">
        <f>CONCATENATE('3 pr-2'!B73)</f>
        <v>Uždavinys:
Pagerinti darbo jėgos judėjimo galimybes gerinant susisiekimo sistemas</v>
      </c>
      <c r="C72" s="1901"/>
      <c r="D72" s="1901"/>
      <c r="E72" s="1901"/>
      <c r="F72" s="1901"/>
      <c r="G72" s="1901"/>
      <c r="H72" s="1901"/>
      <c r="I72" s="1901"/>
      <c r="J72" s="1902"/>
      <c r="K72" s="1553">
        <f>SUM('3 pr-2'!L73)</f>
        <v>8717757.129999999</v>
      </c>
      <c r="L72" s="1566">
        <f>SUM(L73+L78+L85+L91)</f>
        <v>5646208.8599999994</v>
      </c>
      <c r="M72" s="1567">
        <f>SUM(M73+M78+M85+M91)</f>
        <v>3256867.7600000002</v>
      </c>
      <c r="N72" s="1568">
        <f>SUM(N73+N78+N85+N91)</f>
        <v>438435.52</v>
      </c>
      <c r="O72" s="1553">
        <f>SUM('3 pr-2'!O73)</f>
        <v>1821114.06</v>
      </c>
      <c r="P72" s="1553">
        <f>SUM(P73+P78+P85+P91)</f>
        <v>1311719.99</v>
      </c>
      <c r="Q72" s="1553">
        <f>SUM(Q73+Q78+Q85+Q91)</f>
        <v>694713.56</v>
      </c>
      <c r="R72" s="1553">
        <f>SUM(R73+R78+R85+R91)</f>
        <v>209113.62</v>
      </c>
      <c r="S72" s="1553">
        <f>SUM('3 pr-2'!R73)</f>
        <v>0</v>
      </c>
      <c r="T72" s="1553">
        <f>SUM(T73+T78+T85+T91)</f>
        <v>0</v>
      </c>
      <c r="U72" s="1553">
        <f>SUM(U73+U78+U85+U91)</f>
        <v>0</v>
      </c>
      <c r="V72" s="1553">
        <f>SUM(V73+V78+V85+V91)</f>
        <v>0</v>
      </c>
      <c r="W72" s="1553">
        <f>SUM('3 pr-2'!U73)</f>
        <v>508815.5</v>
      </c>
      <c r="X72" s="1553">
        <f>SUM(X73+X78+X85+X91)</f>
        <v>276697</v>
      </c>
      <c r="Y72" s="1553">
        <f>SUM(Y73+Y78+Y85+Y91)</f>
        <v>232118.5</v>
      </c>
      <c r="Z72" s="1553">
        <f>SUM(Z73+Z78+Z85+Z91)</f>
        <v>145995</v>
      </c>
      <c r="AA72" s="1553">
        <f>SUM('3 pr-2'!X73)</f>
        <v>62660</v>
      </c>
      <c r="AB72" s="1553">
        <f>SUM(AB73+AB78+AB85+AB91)</f>
        <v>62660</v>
      </c>
      <c r="AC72" s="1553">
        <f>SUM(AC73+AC78+AC85+AC91)</f>
        <v>0</v>
      </c>
      <c r="AD72" s="1553">
        <f>SUM(AD73+AD78+AD85+AD91)</f>
        <v>0</v>
      </c>
      <c r="AE72" s="1553">
        <f>SUM('3 pr-2'!AA73)</f>
        <v>6325167.5700000003</v>
      </c>
      <c r="AF72" s="1553">
        <f>SUM(AF73+AF78+AF85+AF91)</f>
        <v>3882142.87</v>
      </c>
      <c r="AG72" s="1551">
        <f>SUM(AG73+AG78+AG85+AG91)</f>
        <v>1871035.7000000002</v>
      </c>
      <c r="AH72" s="1552">
        <f>SUM(AH73+AH78+AH85+AH91)</f>
        <v>83326.900000000038</v>
      </c>
      <c r="AI72" s="1553">
        <f>SUM(AI73+AI78+AI85+AI91)</f>
        <v>0</v>
      </c>
      <c r="AJ72" s="1553">
        <f>SUM(AJ73+AJ78+AJ85+AJ91)</f>
        <v>0</v>
      </c>
    </row>
    <row r="73" spans="1:36" ht="45" customHeight="1" thickBot="1">
      <c r="A73" s="296" t="str">
        <f>CONCATENATE('3 pr-2'!A74)</f>
        <v>1.1.2.1</v>
      </c>
      <c r="B73" s="2088" t="str">
        <f>CONCATENATE('3 pr-2'!B74)</f>
        <v>Priemonė:
Vietinio susisiekimo viešojo transporto priemonių parko atnaujinimas</v>
      </c>
      <c r="C73" s="1894"/>
      <c r="D73" s="1894"/>
      <c r="E73" s="1894"/>
      <c r="F73" s="1894"/>
      <c r="G73" s="1894"/>
      <c r="H73" s="1894"/>
      <c r="I73" s="1894"/>
      <c r="J73" s="1895"/>
      <c r="K73" s="1168">
        <f>SUM('3 pr-2'!L74)</f>
        <v>2005982</v>
      </c>
      <c r="L73" s="1168">
        <f>SUM(L74:L77)</f>
        <v>912405</v>
      </c>
      <c r="M73" s="1169">
        <f>SUM(M74:M77)</f>
        <v>1093577</v>
      </c>
      <c r="N73" s="1170">
        <f>SUM(N74:N77)</f>
        <v>190539</v>
      </c>
      <c r="O73" s="1168">
        <f>SUM('3 pr-2'!O74)</f>
        <v>233894.5</v>
      </c>
      <c r="P73" s="1168">
        <f>SUM(P74:P77)</f>
        <v>32724</v>
      </c>
      <c r="Q73" s="1168">
        <f>SUM(Q74:Q77)</f>
        <v>201170.5</v>
      </c>
      <c r="R73" s="1168">
        <f>SUM(R74:R77)</f>
        <v>6682</v>
      </c>
      <c r="S73" s="1168">
        <f>SUM('3 pr-2'!R74)</f>
        <v>0</v>
      </c>
      <c r="T73" s="1168">
        <f>SUM(T74:T77)</f>
        <v>0</v>
      </c>
      <c r="U73" s="1168">
        <f>SUM(U74:U77)</f>
        <v>0</v>
      </c>
      <c r="V73" s="1168">
        <f>SUM(V74:V77)</f>
        <v>0</v>
      </c>
      <c r="W73" s="1168">
        <f>SUM('3 pr-2'!U74)</f>
        <v>508815.5</v>
      </c>
      <c r="X73" s="1168">
        <f>SUM(X74:X77)</f>
        <v>276697</v>
      </c>
      <c r="Y73" s="1168">
        <f>SUM(Y74:Y77)</f>
        <v>232118.5</v>
      </c>
      <c r="Z73" s="1168">
        <f>SUM(Z74:Z77)</f>
        <v>145995</v>
      </c>
      <c r="AA73" s="1168">
        <f>SUM('3 pr-2'!X74)</f>
        <v>0</v>
      </c>
      <c r="AB73" s="1168">
        <f>SUM(AB74:AB77)</f>
        <v>0</v>
      </c>
      <c r="AC73" s="1168">
        <f>SUM(AC74:AC77)</f>
        <v>0</v>
      </c>
      <c r="AD73" s="1168">
        <f>SUM(AD74:AD77)</f>
        <v>0</v>
      </c>
      <c r="AE73" s="1168">
        <f>SUM('3 pr-2'!AA74)</f>
        <v>1263272</v>
      </c>
      <c r="AF73" s="1168">
        <f>SUM(AF74:AF77)</f>
        <v>602984</v>
      </c>
      <c r="AG73" s="1564">
        <f>SUM(AG74:AG77)</f>
        <v>660288</v>
      </c>
      <c r="AH73" s="1565">
        <f>SUM(AH74:AH77)</f>
        <v>37862</v>
      </c>
      <c r="AI73" s="1168">
        <f>SUM(AI74:AI77)</f>
        <v>0</v>
      </c>
      <c r="AJ73" s="1168">
        <f>SUM(AJ74:AJ77)</f>
        <v>0</v>
      </c>
    </row>
    <row r="74" spans="1:36" ht="36.75">
      <c r="A74" s="375" t="str">
        <f>CONCATENATE('3 pr-2'!A75)</f>
        <v>1.1.2.1.1</v>
      </c>
      <c r="B74" s="375" t="str">
        <f>CONCATENATE('3 pr-2'!B76)</f>
        <v>R01-5518-100000-1212</v>
      </c>
      <c r="C74" s="1558" t="str">
        <f>IF('ketv. 4 '!Z75&gt;0,'ketv. 4 '!C75,"-")</f>
        <v>-</v>
      </c>
      <c r="D74" s="375" t="str">
        <f>CONCATENATE('3 pr-2'!D75)</f>
        <v>Nekenksmingų aplinkai viešojo transporto priemonių įsigijimas Alytaus mieste</v>
      </c>
      <c r="E74" s="375" t="str">
        <f>CONCATENATE('3 pr-2'!E75)</f>
        <v>Alytaus miesto savivaldybės administracija</v>
      </c>
      <c r="F74" s="375" t="str">
        <f>CONCATENATE('3 pr-2'!F75)</f>
        <v>Lietuvos Respublikos susisiekimo ministerija</v>
      </c>
      <c r="G74" s="375" t="str">
        <f>CONCATENATE('3 pr-2'!G75)</f>
        <v>Alytaus m. sav.</v>
      </c>
      <c r="H74" s="375" t="str">
        <f>CONCATENATE('3 pr-2'!H75)</f>
        <v>04.5.1-TID-R-518</v>
      </c>
      <c r="I74" s="375" t="str">
        <f>CONCATENATE('3 pr-2'!I75)</f>
        <v>R</v>
      </c>
      <c r="J74" s="375" t="str">
        <f>CONCATENATE('3 pr-2'!J75)</f>
        <v>ITI</v>
      </c>
      <c r="K74" s="1173">
        <f>SUM('3 pr-2'!L75)</f>
        <v>406091</v>
      </c>
      <c r="L74" s="1173">
        <f t="shared" ref="L74:L98" si="110">SUM(P74+T74+X74+AB74+AF74+AJ74)</f>
        <v>0</v>
      </c>
      <c r="M74" s="1174">
        <f t="shared" ref="M74:M77" si="111">SUM(K74-L74)</f>
        <v>406091</v>
      </c>
      <c r="N74" s="1175">
        <f t="shared" ref="N74:N77" si="112">IF(L74&gt;0,K74-L74,0)</f>
        <v>0</v>
      </c>
      <c r="O74" s="1173">
        <f>SUM('3 pr-2'!O75)</f>
        <v>60914</v>
      </c>
      <c r="P74" s="1173">
        <f>IF('ketv. 5 '!U74&gt;0,'ketv. 7 '!R73,SUMIF(Projektu_sutarciu_ataskaita!$J:$J,C74,Projektu_sutarciu_ataskaita!$DK:$DK))</f>
        <v>0</v>
      </c>
      <c r="Q74" s="1174">
        <f t="shared" ref="Q74:Q77" si="113">SUM(O74-P74)</f>
        <v>60914</v>
      </c>
      <c r="R74" s="1175">
        <f t="shared" ref="R74:R77" si="114">IF(P74&gt;0,O74-P74,0)</f>
        <v>0</v>
      </c>
      <c r="S74" s="1173">
        <f>SUM('3 pr-2'!R75)</f>
        <v>0</v>
      </c>
      <c r="T74" s="1173">
        <f>IF('ketv. 5 '!U74&gt;0,'ketv. 7 '!W73,SUMIF(Projektu_sutarciu_ataskaita!$J:$J,C74,Projektu_sutarciu_ataskaita!$DG:$DG))</f>
        <v>0</v>
      </c>
      <c r="U74" s="1174">
        <f t="shared" ref="U74:U77" si="115">SUM(S74-T74)</f>
        <v>0</v>
      </c>
      <c r="V74" s="1175">
        <f t="shared" ref="V74:V77" si="116">IF(T74&gt;0,S74-T74,0)</f>
        <v>0</v>
      </c>
      <c r="W74" s="1173">
        <f>SUM('3 pr-2'!U75)</f>
        <v>0</v>
      </c>
      <c r="X74" s="1173">
        <f>IF('ketv. 5 '!U74&gt;0,'ketv. 7 '!AB73,SUMIF(Projektu_sutarciu_ataskaita!$J:$J,C74,Projektu_sutarciu_ataskaita!$DM:$DM))</f>
        <v>0</v>
      </c>
      <c r="Y74" s="1174">
        <f t="shared" ref="Y74:Y77" si="117">SUM(W74-X74)</f>
        <v>0</v>
      </c>
      <c r="Z74" s="1175">
        <f t="shared" ref="Z74:Z77" si="118">IF(X74&gt;0,W74-X74,0)</f>
        <v>0</v>
      </c>
      <c r="AA74" s="1173">
        <f>SUM('3 pr-2'!X75)</f>
        <v>0</v>
      </c>
      <c r="AB74" s="1173">
        <f>IF('ketv. 5 '!U74&gt;0,'ketv. 7 '!AG73,SUMIF(Projektu_sutarciu_ataskaita!$J:$J,C74,Projektu_sutarciu_ataskaita!$DL:$DL)+SUMIF(Projektu_sutarciu_ataskaita!$J:$J,C74,Projektu_sutarciu_ataskaita!$DJ:$DJ))</f>
        <v>0</v>
      </c>
      <c r="AC74" s="1174">
        <f>SUM(AA74-AB74)</f>
        <v>0</v>
      </c>
      <c r="AD74" s="1175">
        <f t="shared" ref="AD74:AD77" si="119">IF(AB74&gt;0,AA74-AB74,0)</f>
        <v>0</v>
      </c>
      <c r="AE74" s="1173">
        <f>SUM('3 pr-2'!AA75)</f>
        <v>345177</v>
      </c>
      <c r="AF74" s="1173">
        <f>IF('ketv. 5 '!U74&gt;0,'ketv. 7 '!AL73,SUMIF(Projektu_sutarciu_ataskaita!$J:$J,C74,Projektu_sutarciu_ataskaita!$DF:$DF))</f>
        <v>0</v>
      </c>
      <c r="AG74" s="1178">
        <f t="shared" ref="AG74:AG77" si="120">SUM(AE74-AF74)</f>
        <v>345177</v>
      </c>
      <c r="AH74" s="1177">
        <f t="shared" ref="AH74:AH77" si="121">IF(AF74&gt;0,AE74-AF74,0)</f>
        <v>0</v>
      </c>
      <c r="AI74" s="1173">
        <f>SUM('3 pr-2'!AB76)</f>
        <v>0</v>
      </c>
      <c r="AJ74" s="1173"/>
    </row>
    <row r="75" spans="1:36" ht="36.75">
      <c r="A75" s="375" t="str">
        <f>CONCATENATE('3 pr-2'!A76)</f>
        <v>1.1.2.1.2</v>
      </c>
      <c r="B75" s="375" t="str">
        <f>CONCATENATE('3 pr-2'!B77)</f>
        <v>R01-5518-100000-1213</v>
      </c>
      <c r="C75" s="1558" t="str">
        <f>IF('ketv. 4 '!Z76&gt;0,'ketv. 4 '!C76,"-")</f>
        <v>-</v>
      </c>
      <c r="D75" s="375" t="str">
        <f>CONCATENATE('3 pr-2'!D76)</f>
        <v>Vietinio susisiekimo transporto priemonių įsigijimas</v>
      </c>
      <c r="E75" s="375" t="str">
        <f>CONCATENATE('3 pr-2'!E76)</f>
        <v>Alytaus rajono savivaldybės administracija</v>
      </c>
      <c r="F75" s="375" t="str">
        <f>CONCATENATE('3 pr-2'!F76)</f>
        <v>Lietuvos Respublikos susisiekimo ministerija</v>
      </c>
      <c r="G75" s="375" t="str">
        <f>CONCATENATE('3 pr-2'!G76)</f>
        <v>Alytaus r. sav.</v>
      </c>
      <c r="H75" s="375" t="str">
        <f>CONCATENATE('3 pr-2'!H76)</f>
        <v>04.5.1-TID-R-518</v>
      </c>
      <c r="I75" s="375" t="str">
        <f>CONCATENATE('3 pr-2'!I76)</f>
        <v>R</v>
      </c>
      <c r="J75" s="375" t="str">
        <f>CONCATENATE('3 pr-2'!J76)</f>
        <v>-</v>
      </c>
      <c r="K75" s="1173">
        <f>SUM('3 pr-2'!L76)</f>
        <v>496947</v>
      </c>
      <c r="L75" s="1173">
        <f t="shared" si="110"/>
        <v>0</v>
      </c>
      <c r="M75" s="1174">
        <f t="shared" si="111"/>
        <v>496947</v>
      </c>
      <c r="N75" s="1175">
        <f t="shared" si="112"/>
        <v>0</v>
      </c>
      <c r="O75" s="1173">
        <f>SUM('3 pr-2'!O76)</f>
        <v>133574.5</v>
      </c>
      <c r="P75" s="1173">
        <f>IF('ketv. 5 '!U75&gt;0,'ketv. 7 '!R74,SUMIF(Projektu_sutarciu_ataskaita!$J:$J,C75,Projektu_sutarciu_ataskaita!$DK:$DK))</f>
        <v>0</v>
      </c>
      <c r="Q75" s="1174">
        <f t="shared" si="113"/>
        <v>133574.5</v>
      </c>
      <c r="R75" s="1175">
        <f t="shared" si="114"/>
        <v>0</v>
      </c>
      <c r="S75" s="1173">
        <f>SUM('3 pr-2'!R76)</f>
        <v>0</v>
      </c>
      <c r="T75" s="1173">
        <f>IF('ketv. 5 '!U75&gt;0,'ketv. 7 '!W74,SUMIF(Projektu_sutarciu_ataskaita!$J:$J,C75,Projektu_sutarciu_ataskaita!$DG:$DG))</f>
        <v>0</v>
      </c>
      <c r="U75" s="1174">
        <f t="shared" si="115"/>
        <v>0</v>
      </c>
      <c r="V75" s="1175">
        <f t="shared" si="116"/>
        <v>0</v>
      </c>
      <c r="W75" s="1173">
        <f>SUM('3 pr-2'!U76)</f>
        <v>86123.5</v>
      </c>
      <c r="X75" s="1173">
        <f>IF('ketv. 5 '!U75&gt;0,'ketv. 7 '!AB74,SUMIF(Projektu_sutarciu_ataskaita!$J:$J,C75,Projektu_sutarciu_ataskaita!$DM:$DM))</f>
        <v>0</v>
      </c>
      <c r="Y75" s="1174">
        <f t="shared" si="117"/>
        <v>86123.5</v>
      </c>
      <c r="Z75" s="1175">
        <f t="shared" si="118"/>
        <v>0</v>
      </c>
      <c r="AA75" s="1173">
        <f>SUM('3 pr-2'!X76)</f>
        <v>0</v>
      </c>
      <c r="AB75" s="1173">
        <f>IF('ketv. 5 '!U75&gt;0,'ketv. 7 '!AG74,SUMIF(Projektu_sutarciu_ataskaita!$J:$J,C75,Projektu_sutarciu_ataskaita!$DL:$DL)+SUMIF(Projektu_sutarciu_ataskaita!$J:$J,C75,Projektu_sutarciu_ataskaita!$DJ:$DJ))</f>
        <v>0</v>
      </c>
      <c r="AC75" s="1174">
        <f>SUM(AA75-AB75)</f>
        <v>0</v>
      </c>
      <c r="AD75" s="1175">
        <f t="shared" si="119"/>
        <v>0</v>
      </c>
      <c r="AE75" s="1173">
        <f>SUM('3 pr-2'!AA76)</f>
        <v>277249</v>
      </c>
      <c r="AF75" s="1173">
        <f>IF('ketv. 5 '!U75&gt;0,'ketv. 7 '!AL74,SUMIF(Projektu_sutarciu_ataskaita!$J:$J,C75,Projektu_sutarciu_ataskaita!$DF:$DF))</f>
        <v>0</v>
      </c>
      <c r="AG75" s="1178">
        <f t="shared" si="120"/>
        <v>277249</v>
      </c>
      <c r="AH75" s="1177">
        <f t="shared" si="121"/>
        <v>0</v>
      </c>
      <c r="AI75" s="1173">
        <f>SUM('3 pr-2'!AB77)</f>
        <v>0</v>
      </c>
      <c r="AJ75" s="1173"/>
    </row>
    <row r="76" spans="1:36" ht="36.75">
      <c r="A76" s="375" t="str">
        <f>CONCATENATE('3 pr-2'!A77)</f>
        <v>1.1.2.1.3</v>
      </c>
      <c r="B76" s="375" t="str">
        <f>CONCATENATE('3 pr-2'!B78)</f>
        <v>R01-5518-100000-1214</v>
      </c>
      <c r="C76" s="1558" t="str">
        <f>IF('ketv. 4 '!Z77&gt;0,'ketv. 4 '!C77,"-")</f>
        <v>04.5.1-TID-R-518-11-0002</v>
      </c>
      <c r="D76" s="375" t="str">
        <f>CONCATENATE('3 pr-2'!D77)</f>
        <v>Ekologiškų transporto priemonių įsigijimas Druskininkų savivaldybėje</v>
      </c>
      <c r="E76" s="375" t="str">
        <f>CONCATENATE('3 pr-2'!E77)</f>
        <v xml:space="preserve">Druskininkų savivaldybės administracija  </v>
      </c>
      <c r="F76" s="375" t="str">
        <f>CONCATENATE('3 pr-2'!F77)</f>
        <v>Lietuvos Respublikos susisiekimo ministerija</v>
      </c>
      <c r="G76" s="375" t="str">
        <f>CONCATENATE('3 pr-2'!G77)</f>
        <v>Druskininkų sav.</v>
      </c>
      <c r="H76" s="375" t="str">
        <f>CONCATENATE('3 pr-2'!H77)</f>
        <v>04.5.1-TID-R-518</v>
      </c>
      <c r="I76" s="375" t="str">
        <f>CONCATENATE('3 pr-2'!I77)</f>
        <v>R</v>
      </c>
      <c r="J76" s="375" t="str">
        <f>CONCATENATE('3 pr-2'!J77)</f>
        <v>-</v>
      </c>
      <c r="K76" s="1173">
        <f>SUM('3 pr-2'!L77)</f>
        <v>840240</v>
      </c>
      <c r="L76" s="1173">
        <f t="shared" si="110"/>
        <v>694245</v>
      </c>
      <c r="M76" s="1174">
        <f t="shared" si="111"/>
        <v>145995</v>
      </c>
      <c r="N76" s="1175">
        <f t="shared" si="112"/>
        <v>145995</v>
      </c>
      <c r="O76" s="1173">
        <f>SUM('3 pr-2'!O77)</f>
        <v>0</v>
      </c>
      <c r="P76" s="1173">
        <f>IF('ketv. 5 '!U76&gt;0,'ketv. 7 '!R75,SUMIF(Projektu_sutarciu_ataskaita!$J:$J,C76,Projektu_sutarciu_ataskaita!$DK:$DK))</f>
        <v>0</v>
      </c>
      <c r="Q76" s="1174">
        <f t="shared" si="113"/>
        <v>0</v>
      </c>
      <c r="R76" s="1175">
        <f t="shared" si="114"/>
        <v>0</v>
      </c>
      <c r="S76" s="1173">
        <f>SUM('3 pr-2'!R77)</f>
        <v>0</v>
      </c>
      <c r="T76" s="1173">
        <f>IF('ketv. 5 '!U76&gt;0,'ketv. 7 '!W75,SUMIF(Projektu_sutarciu_ataskaita!$J:$J,C76,Projektu_sutarciu_ataskaita!$DG:$DG))</f>
        <v>0</v>
      </c>
      <c r="U76" s="1174">
        <f t="shared" si="115"/>
        <v>0</v>
      </c>
      <c r="V76" s="1175">
        <f t="shared" si="116"/>
        <v>0</v>
      </c>
      <c r="W76" s="1173">
        <f>SUM('3 pr-2'!U77)</f>
        <v>422692</v>
      </c>
      <c r="X76" s="1173">
        <f>IF('ketv. 5 '!U76&gt;0,'ketv. 7 '!AB75,SUMIF(Projektu_sutarciu_ataskaita!$J:$J,C76,Projektu_sutarciu_ataskaita!$DM:$DM))</f>
        <v>276697</v>
      </c>
      <c r="Y76" s="1174">
        <f t="shared" si="117"/>
        <v>145995</v>
      </c>
      <c r="Z76" s="1175">
        <f t="shared" si="118"/>
        <v>145995</v>
      </c>
      <c r="AA76" s="1173">
        <f>SUM('3 pr-2'!X77)</f>
        <v>0</v>
      </c>
      <c r="AB76" s="1173">
        <f>IF('ketv. 5 '!U76&gt;0,'ketv. 7 '!AG75,SUMIF(Projektu_sutarciu_ataskaita!$J:$J,C76,Projektu_sutarciu_ataskaita!$DL:$DL)+SUMIF(Projektu_sutarciu_ataskaita!$J:$J,C76,Projektu_sutarciu_ataskaita!$DJ:$DJ))</f>
        <v>0</v>
      </c>
      <c r="AC76" s="1174">
        <f>SUM(AA76-AB76)</f>
        <v>0</v>
      </c>
      <c r="AD76" s="1175">
        <f t="shared" si="119"/>
        <v>0</v>
      </c>
      <c r="AE76" s="1173">
        <f>SUM('3 pr-2'!AA77)</f>
        <v>417548</v>
      </c>
      <c r="AF76" s="1162">
        <f>IF('ketv. 5 '!U76&gt;0,'ketv. 7 '!AL75,SUMIF(Projektu_sutarciu_ataskaita!$J:$J,C76,Projektu_sutarciu_ataskaita!$DF:$DF))</f>
        <v>417548</v>
      </c>
      <c r="AG76" s="1178">
        <f t="shared" si="120"/>
        <v>0</v>
      </c>
      <c r="AH76" s="1177">
        <f t="shared" si="121"/>
        <v>0</v>
      </c>
      <c r="AI76" s="1173">
        <f>SUM('3 pr-2'!AB78)</f>
        <v>0</v>
      </c>
      <c r="AJ76" s="1173"/>
    </row>
    <row r="77" spans="1:36" ht="49.5" thickBot="1">
      <c r="A77" s="375" t="str">
        <f>CONCATENATE('3 pr-2'!A78)</f>
        <v>1.1.2.1.4</v>
      </c>
      <c r="B77" s="375" t="str">
        <f>CONCATENATE('3 pr-2'!B79)</f>
        <v>Priemonė:
Darnaus judumo priemonių diegimas</v>
      </c>
      <c r="C77" s="1558" t="str">
        <f>IF('ketv. 4 '!Z78&gt;0,'ketv. 4 '!C78,"-")</f>
        <v>04.5.1-TID-R-518-11-0001</v>
      </c>
      <c r="D77" s="375" t="str">
        <f>CONCATENATE('3 pr-2'!D78)</f>
        <v>Ekologiškų transporto priemonių įsigijimas Lazdijų rajono savivaldybėje</v>
      </c>
      <c r="E77" s="375" t="str">
        <f>CONCATENATE('3 pr-2'!E78)</f>
        <v>Lazdijų rajono savivaldybės administracija</v>
      </c>
      <c r="F77" s="375" t="str">
        <f>CONCATENATE('3 pr-2'!F78)</f>
        <v>Lietuvos Respublikos susisiekimo ministerija</v>
      </c>
      <c r="G77" s="375" t="str">
        <f>CONCATENATE('3 pr-2'!G78)</f>
        <v>Lazdijų r. sav.</v>
      </c>
      <c r="H77" s="375" t="str">
        <f>CONCATENATE('3 pr-2'!H78)</f>
        <v>04.5.1-TID-R-518</v>
      </c>
      <c r="I77" s="375" t="str">
        <f>CONCATENATE('3 pr-2'!I78)</f>
        <v>R</v>
      </c>
      <c r="J77" s="375" t="str">
        <f>CONCATENATE('3 pr-2'!J78)</f>
        <v>-</v>
      </c>
      <c r="K77" s="1173">
        <f>SUM('3 pr-2'!L78)</f>
        <v>262704</v>
      </c>
      <c r="L77" s="1173">
        <f t="shared" si="110"/>
        <v>218160</v>
      </c>
      <c r="M77" s="1174">
        <f t="shared" si="111"/>
        <v>44544</v>
      </c>
      <c r="N77" s="1175">
        <f t="shared" si="112"/>
        <v>44544</v>
      </c>
      <c r="O77" s="1173">
        <f>SUM('3 pr-2'!O78)</f>
        <v>39406</v>
      </c>
      <c r="P77" s="1162">
        <f>IF('ketv. 5 '!U77&gt;0,'ketv. 7 '!R76,SUMIF(Projektu_sutarciu_ataskaita!$J:$J,C77,Projektu_sutarciu_ataskaita!$DK:$DK))</f>
        <v>32724</v>
      </c>
      <c r="Q77" s="1174">
        <f t="shared" si="113"/>
        <v>6682</v>
      </c>
      <c r="R77" s="1175">
        <f t="shared" si="114"/>
        <v>6682</v>
      </c>
      <c r="S77" s="1173">
        <f>SUM('3 pr-2'!R78)</f>
        <v>0</v>
      </c>
      <c r="T77" s="1173">
        <f>IF('ketv. 5 '!U77&gt;0,'ketv. 7 '!W76,SUMIF(Projektu_sutarciu_ataskaita!$J:$J,C77,Projektu_sutarciu_ataskaita!$DG:$DG))</f>
        <v>0</v>
      </c>
      <c r="U77" s="1174">
        <f t="shared" si="115"/>
        <v>0</v>
      </c>
      <c r="V77" s="1175">
        <f t="shared" si="116"/>
        <v>0</v>
      </c>
      <c r="W77" s="1173">
        <f>SUM('3 pr-2'!U78)</f>
        <v>0</v>
      </c>
      <c r="X77" s="1173">
        <f>IF('ketv. 5 '!U77&gt;0,'ketv. 7 '!AB76,SUMIF(Projektu_sutarciu_ataskaita!$J:$J,C77,Projektu_sutarciu_ataskaita!$DM:$DM))</f>
        <v>0</v>
      </c>
      <c r="Y77" s="1174">
        <f t="shared" si="117"/>
        <v>0</v>
      </c>
      <c r="Z77" s="1175">
        <f t="shared" si="118"/>
        <v>0</v>
      </c>
      <c r="AA77" s="1173">
        <f>SUM('3 pr-2'!X78)</f>
        <v>0</v>
      </c>
      <c r="AB77" s="1173">
        <f>IF('ketv. 5 '!U77&gt;0,'ketv. 7 '!AG76,SUMIF(Projektu_sutarciu_ataskaita!$J:$J,C77,Projektu_sutarciu_ataskaita!$DL:$DL)+SUMIF(Projektu_sutarciu_ataskaita!$J:$J,C77,Projektu_sutarciu_ataskaita!$DJ:$DJ))</f>
        <v>0</v>
      </c>
      <c r="AC77" s="1174">
        <f>SUM(AA77-AB77)</f>
        <v>0</v>
      </c>
      <c r="AD77" s="1175">
        <f t="shared" si="119"/>
        <v>0</v>
      </c>
      <c r="AE77" s="1173">
        <f>SUM('3 pr-2'!AA78)</f>
        <v>223298</v>
      </c>
      <c r="AF77" s="1162">
        <f>IF('ketv. 5 '!U77&gt;0,'ketv. 7 '!AL76,SUMIF(Projektu_sutarciu_ataskaita!$J:$J,C77,Projektu_sutarciu_ataskaita!$DF:$DF))</f>
        <v>185436</v>
      </c>
      <c r="AG77" s="1178">
        <f t="shared" si="120"/>
        <v>37862</v>
      </c>
      <c r="AH77" s="1177">
        <f t="shared" si="121"/>
        <v>37862</v>
      </c>
      <c r="AI77" s="1173">
        <f>SUM('3 pr-2'!AB79)</f>
        <v>0</v>
      </c>
      <c r="AJ77" s="1173"/>
    </row>
    <row r="78" spans="1:36" ht="33" customHeight="1" thickBot="1">
      <c r="A78" s="296" t="str">
        <f>CONCATENATE('3 pr-2'!A79)</f>
        <v>1.1.2.2</v>
      </c>
      <c r="B78" s="2088" t="str">
        <f>CONCATENATE('3 pr-2'!B79)</f>
        <v>Priemonė:
Darnaus judumo priemonių diegimas</v>
      </c>
      <c r="C78" s="1894"/>
      <c r="D78" s="1894"/>
      <c r="E78" s="1894"/>
      <c r="F78" s="1894"/>
      <c r="G78" s="1894"/>
      <c r="H78" s="1894"/>
      <c r="I78" s="1894"/>
      <c r="J78" s="1895"/>
      <c r="K78" s="1168">
        <f t="shared" ref="K78:AE78" si="122">SUM(K79:K84)</f>
        <v>1894943.24</v>
      </c>
      <c r="L78" s="1168">
        <f t="shared" si="122"/>
        <v>50638</v>
      </c>
      <c r="M78" s="1168">
        <f t="shared" si="122"/>
        <v>1844305.24</v>
      </c>
      <c r="N78" s="1172">
        <f t="shared" si="122"/>
        <v>0</v>
      </c>
      <c r="O78" s="1168">
        <f t="shared" si="122"/>
        <v>284241.14</v>
      </c>
      <c r="P78" s="1168">
        <f t="shared" si="122"/>
        <v>7595.7</v>
      </c>
      <c r="Q78" s="1168">
        <f t="shared" si="122"/>
        <v>276645.44</v>
      </c>
      <c r="R78" s="1168">
        <f t="shared" si="122"/>
        <v>0</v>
      </c>
      <c r="S78" s="1168">
        <f t="shared" si="122"/>
        <v>0</v>
      </c>
      <c r="T78" s="1168">
        <f t="shared" si="122"/>
        <v>0</v>
      </c>
      <c r="U78" s="1168">
        <f t="shared" si="122"/>
        <v>0</v>
      </c>
      <c r="V78" s="1168">
        <f t="shared" si="122"/>
        <v>0</v>
      </c>
      <c r="W78" s="1168">
        <f t="shared" si="122"/>
        <v>0</v>
      </c>
      <c r="X78" s="1168">
        <f t="shared" si="122"/>
        <v>0</v>
      </c>
      <c r="Y78" s="1168">
        <f t="shared" si="122"/>
        <v>0</v>
      </c>
      <c r="Z78" s="1168">
        <f t="shared" si="122"/>
        <v>0</v>
      </c>
      <c r="AA78" s="1168">
        <f t="shared" si="122"/>
        <v>0</v>
      </c>
      <c r="AB78" s="1168">
        <f t="shared" si="122"/>
        <v>0</v>
      </c>
      <c r="AC78" s="1168">
        <f t="shared" si="122"/>
        <v>0</v>
      </c>
      <c r="AD78" s="1168">
        <f t="shared" si="122"/>
        <v>0</v>
      </c>
      <c r="AE78" s="1168">
        <f t="shared" si="122"/>
        <v>1610702.1</v>
      </c>
      <c r="AF78" s="1168">
        <f>SUM(AF79:AF84)</f>
        <v>43042.3</v>
      </c>
      <c r="AG78" s="1561">
        <f>SUM(AG79:AG82)</f>
        <v>1108659.8</v>
      </c>
      <c r="AH78" s="1562">
        <f>SUM(AH79:AH82)</f>
        <v>0</v>
      </c>
      <c r="AI78" s="1168">
        <f t="shared" ref="AI78:AJ78" si="123">SUM(AI79:AI84)</f>
        <v>0</v>
      </c>
      <c r="AJ78" s="1168">
        <f t="shared" si="123"/>
        <v>0</v>
      </c>
    </row>
    <row r="79" spans="1:36" ht="36.75">
      <c r="A79" s="375" t="str">
        <f>CONCATENATE('3 pr-2'!A80)</f>
        <v>1.1.2.2.1</v>
      </c>
      <c r="B79" s="375" t="str">
        <f>CONCATENATE('3 pr-2'!B80)</f>
        <v>R01-5514-190000-1221</v>
      </c>
      <c r="C79" s="1558" t="str">
        <f>IF('ketv. 4 '!Z80&gt;0,'ketv. 4 '!C80,"-")</f>
        <v>-</v>
      </c>
      <c r="D79" s="375" t="str">
        <f>CONCATENATE('3 pr-2'!D80)</f>
        <v>Darnaus judumo priemonių diegimas Alytaus mieste</v>
      </c>
      <c r="E79" s="375" t="str">
        <f>CONCATENATE('3 pr-2'!E80)</f>
        <v>Alytaus miesto savivaldybės administracija</v>
      </c>
      <c r="F79" s="375" t="str">
        <f>CONCATENATE('3 pr-2'!F80)</f>
        <v>Lietuvos Respublikos susisiekimo ministerija</v>
      </c>
      <c r="G79" s="375" t="str">
        <f>CONCATENATE('3 pr-2'!G80)</f>
        <v>Alytaus m. sav.</v>
      </c>
      <c r="H79" s="375" t="str">
        <f>CONCATENATE('3 pr-2'!H80)</f>
        <v>04.5.1.-TID-R-514</v>
      </c>
      <c r="I79" s="375" t="str">
        <f>CONCATENATE('3 pr-2'!I80)</f>
        <v>R</v>
      </c>
      <c r="J79" s="375" t="str">
        <f>CONCATENATE('3 pr-2'!J80)</f>
        <v>ITI</v>
      </c>
      <c r="K79" s="1173">
        <f>SUM('3 pr-2'!L80)</f>
        <v>1143469</v>
      </c>
      <c r="L79" s="1173">
        <f t="shared" si="110"/>
        <v>0</v>
      </c>
      <c r="M79" s="1174">
        <f t="shared" ref="M79:M82" si="124">SUM(K79-L79)</f>
        <v>1143469</v>
      </c>
      <c r="N79" s="1175">
        <f t="shared" ref="N79:N82" si="125">IF(L79&gt;0,K79-L79,0)</f>
        <v>0</v>
      </c>
      <c r="O79" s="1173">
        <f>SUM('3 pr-2'!O80)</f>
        <v>171520</v>
      </c>
      <c r="P79" s="1173">
        <f>IF('ketv. 5 '!U79&gt;0,'ketv. 7 '!R78,SUMIF(Projektu_sutarciu_ataskaita!$J:$J,C79,Projektu_sutarciu_ataskaita!$DK:$DK))</f>
        <v>0</v>
      </c>
      <c r="Q79" s="1173">
        <f t="shared" ref="Q79:Q81" si="126">SUM(O79-P79)</f>
        <v>171520</v>
      </c>
      <c r="R79" s="1173">
        <f t="shared" ref="R79:R82" si="127">IF(P79&gt;0,O79-P79,0)</f>
        <v>0</v>
      </c>
      <c r="S79" s="1173">
        <f>SUM('3 pr-2'!R80)</f>
        <v>0</v>
      </c>
      <c r="T79" s="1173">
        <f>IF('ketv. 5 '!U79&gt;0,'ketv. 7 '!W78,SUMIF(Projektu_sutarciu_ataskaita!$J:$J,C79,Projektu_sutarciu_ataskaita!$DG:$DG))</f>
        <v>0</v>
      </c>
      <c r="U79" s="1173">
        <f t="shared" ref="U79:U82" si="128">SUM(S79-T79)</f>
        <v>0</v>
      </c>
      <c r="V79" s="1173">
        <f t="shared" ref="V79:V82" si="129">IF(T79&gt;0,S79-T79,0)</f>
        <v>0</v>
      </c>
      <c r="W79" s="1173">
        <f>SUM('3 pr-2'!U80)</f>
        <v>0</v>
      </c>
      <c r="X79" s="1173">
        <f>IF('ketv. 5 '!U79&gt;0,'ketv. 7 '!AB78,SUMIF(Projektu_sutarciu_ataskaita!$J:$J,C79,Projektu_sutarciu_ataskaita!$DM:$DM))</f>
        <v>0</v>
      </c>
      <c r="Y79" s="1173">
        <f t="shared" ref="Y79:Y82" si="130">SUM(W79-X79)</f>
        <v>0</v>
      </c>
      <c r="Z79" s="1173">
        <f t="shared" ref="Z79:Z82" si="131">IF(X79&gt;0,W79-X79,0)</f>
        <v>0</v>
      </c>
      <c r="AA79" s="1173">
        <f>SUM('3 pr-2'!X80)</f>
        <v>0</v>
      </c>
      <c r="AB79" s="1173">
        <f>IF('ketv. 5 '!U79&gt;0,'ketv. 7 '!AG78,SUMIF(Projektu_sutarciu_ataskaita!$J:$J,C79,Projektu_sutarciu_ataskaita!$DL:$DL)+SUMIF(Projektu_sutarciu_ataskaita!$J:$J,C79,Projektu_sutarciu_ataskaita!$DJ:$DJ))</f>
        <v>0</v>
      </c>
      <c r="AC79" s="1173">
        <f>SUM(AA79-AB79)</f>
        <v>0</v>
      </c>
      <c r="AD79" s="1173">
        <f t="shared" ref="AD79:AD82" si="132">IF(AB79&gt;0,AA79-AB79,0)</f>
        <v>0</v>
      </c>
      <c r="AE79" s="1173">
        <f>SUM('3 pr-2'!AA80)</f>
        <v>971949</v>
      </c>
      <c r="AF79" s="1173">
        <f>IF('ketv. 5 '!U79&gt;0,'ketv. 7 '!AL78,SUMIF(Projektu_sutarciu_ataskaita!$J:$J,C79,Projektu_sutarciu_ataskaita!$DF:$DF))</f>
        <v>0</v>
      </c>
      <c r="AG79" s="1559">
        <f t="shared" ref="AG79:AG81" si="133">SUM(AE79-AF79)</f>
        <v>971949</v>
      </c>
      <c r="AH79" s="1177">
        <f t="shared" ref="AH79:AH82" si="134">IF(AF79&gt;0,AE79-AF79,0)</f>
        <v>0</v>
      </c>
      <c r="AI79" s="1173">
        <f>SUM('3 pr-2'!AB81)</f>
        <v>0</v>
      </c>
      <c r="AJ79" s="1173"/>
    </row>
    <row r="80" spans="1:36" ht="36.75">
      <c r="A80" s="375" t="str">
        <f>CONCATENATE('3 pr-2'!A81)</f>
        <v>1.1.2.2.2</v>
      </c>
      <c r="B80" s="375" t="str">
        <f>CONCATENATE('3 pr-2'!B81)</f>
        <v>R01-5514-190000-1222</v>
      </c>
      <c r="C80" s="1558" t="str">
        <f>IF('ketv. 4 '!Z81&gt;0,'ketv. 4 '!C81,"-")</f>
        <v>04.5.1-TID-V-513-01-0015</v>
      </c>
      <c r="D80" s="375" t="str">
        <f>CONCATENATE('3 pr-2'!D81)</f>
        <v>Alytaus miesto darnaus judumo plano parengimas</v>
      </c>
      <c r="E80" s="375" t="str">
        <f>CONCATENATE('3 pr-2'!E81)</f>
        <v>Alytaus miesto savivaldybės administracija</v>
      </c>
      <c r="F80" s="375" t="str">
        <f>CONCATENATE('3 pr-2'!F81)</f>
        <v>Lietuvos Respublikos susisiekimo ministerija</v>
      </c>
      <c r="G80" s="375" t="str">
        <f>CONCATENATE('3 pr-2'!G81)</f>
        <v>Alytaus m. sav.</v>
      </c>
      <c r="H80" s="375" t="str">
        <f>CONCATENATE('3 pr-2'!H81)</f>
        <v>04.5.1-TID-V-513</v>
      </c>
      <c r="I80" s="375" t="str">
        <f>CONCATENATE('3 pr-2'!I81)</f>
        <v>V</v>
      </c>
      <c r="J80" s="375" t="str">
        <f>CONCATENATE('3 pr-2'!J81)</f>
        <v>ITI</v>
      </c>
      <c r="K80" s="1173">
        <f>SUM('3 pr-2'!L81)</f>
        <v>33638</v>
      </c>
      <c r="L80" s="1162">
        <v>33638</v>
      </c>
      <c r="M80" s="1174">
        <f t="shared" si="124"/>
        <v>0</v>
      </c>
      <c r="N80" s="1175">
        <f t="shared" si="125"/>
        <v>0</v>
      </c>
      <c r="O80" s="1173">
        <f>SUM('3 pr-2'!O81)</f>
        <v>5045.7</v>
      </c>
      <c r="P80" s="1162">
        <f>IF('ketv. 5 '!U80&gt;0,'ketv. 7 '!R79,SUMIF(Projektu_sutarciu_ataskaita!$J:$J,C80,Projektu_sutarciu_ataskaita!$DK:$DK))</f>
        <v>5045.7</v>
      </c>
      <c r="Q80" s="1173">
        <f t="shared" si="126"/>
        <v>0</v>
      </c>
      <c r="R80" s="1173">
        <f t="shared" si="127"/>
        <v>0</v>
      </c>
      <c r="S80" s="1173">
        <f>SUM('3 pr-2'!R81)</f>
        <v>0</v>
      </c>
      <c r="T80" s="1173">
        <f>IF('ketv. 5 '!U80&gt;0,'ketv. 7 '!W79,SUMIF(Projektu_sutarciu_ataskaita!$J:$J,C80,Projektu_sutarciu_ataskaita!$DG:$DG))</f>
        <v>0</v>
      </c>
      <c r="U80" s="1173">
        <f t="shared" si="128"/>
        <v>0</v>
      </c>
      <c r="V80" s="1173">
        <f t="shared" si="129"/>
        <v>0</v>
      </c>
      <c r="W80" s="1173">
        <f>SUM('3 pr-2'!U81)</f>
        <v>0</v>
      </c>
      <c r="X80" s="1173">
        <f>IF('ketv. 5 '!U80&gt;0,'ketv. 7 '!AB79,SUMIF(Projektu_sutarciu_ataskaita!$J:$J,C80,Projektu_sutarciu_ataskaita!$DM:$DM))</f>
        <v>0</v>
      </c>
      <c r="Y80" s="1173">
        <f t="shared" si="130"/>
        <v>0</v>
      </c>
      <c r="Z80" s="1173">
        <f t="shared" si="131"/>
        <v>0</v>
      </c>
      <c r="AA80" s="1173">
        <f>SUM('3 pr-2'!X81)</f>
        <v>0</v>
      </c>
      <c r="AB80" s="1173">
        <f>IF('ketv. 5 '!U80&gt;0,'ketv. 7 '!AG79,SUMIF(Projektu_sutarciu_ataskaita!$J:$J,C80,Projektu_sutarciu_ataskaita!$DL:$DL)+SUMIF(Projektu_sutarciu_ataskaita!$J:$J,C80,Projektu_sutarciu_ataskaita!$DJ:$DJ))</f>
        <v>0</v>
      </c>
      <c r="AC80" s="1173">
        <f>SUM(AA80-AB80)</f>
        <v>0</v>
      </c>
      <c r="AD80" s="1173">
        <f t="shared" si="132"/>
        <v>0</v>
      </c>
      <c r="AE80" s="1173">
        <f>SUM('3 pr-2'!AA81)</f>
        <v>28592.3</v>
      </c>
      <c r="AF80" s="1162">
        <f>IF('ketv. 5 '!U80&gt;0,'ketv. 7 '!AL79,SUMIF(Projektu_sutarciu_ataskaita!$J:$J,C80,Projektu_sutarciu_ataskaita!$DF:$DF))</f>
        <v>28592.3</v>
      </c>
      <c r="AG80" s="1559">
        <f t="shared" si="133"/>
        <v>0</v>
      </c>
      <c r="AH80" s="1177">
        <f t="shared" si="134"/>
        <v>0</v>
      </c>
      <c r="AI80" s="1173">
        <f>SUM('3 pr-2'!AB82)</f>
        <v>0</v>
      </c>
      <c r="AJ80" s="1162">
        <v>0</v>
      </c>
    </row>
    <row r="81" spans="1:36" ht="36.75">
      <c r="A81" s="375" t="str">
        <f>CONCATENATE('3 pr-2'!A82)</f>
        <v>1.1.2.2.3</v>
      </c>
      <c r="B81" s="375" t="str">
        <f>CONCATENATE('3 pr-2'!B82)</f>
        <v>R01-5514-191800-1223</v>
      </c>
      <c r="C81" s="1558" t="str">
        <f>IF('ketv. 4 '!Z82&gt;0,'ketv. 4 '!C82,"-")</f>
        <v>-</v>
      </c>
      <c r="D81" s="375" t="str">
        <f>CONCATENATE('3 pr-2'!D82)</f>
        <v>Intelektinių transporto sistemų diegimas Druskininkuose</v>
      </c>
      <c r="E81" s="375" t="str">
        <f>CONCATENATE('3 pr-2'!E82)</f>
        <v>Druskininkų savivaldybės administracija</v>
      </c>
      <c r="F81" s="375" t="str">
        <f>CONCATENATE('3 pr-2'!F82)</f>
        <v>Lietuvos Respublikos susisiekimo ministerija</v>
      </c>
      <c r="G81" s="375" t="str">
        <f>CONCATENATE('3 pr-2'!G82)</f>
        <v>Druskininkų sav.</v>
      </c>
      <c r="H81" s="375" t="str">
        <f>CONCATENATE('3 pr-2'!H82)</f>
        <v>04.5.1.-TID-R-514</v>
      </c>
      <c r="I81" s="375" t="str">
        <f>CONCATENATE('3 pr-2'!I82)</f>
        <v>R</v>
      </c>
      <c r="J81" s="375" t="str">
        <f>CONCATENATE('3 pr-2'!J82)</f>
        <v>-</v>
      </c>
      <c r="K81" s="1173">
        <f>SUM('3 pr-2'!L82)</f>
        <v>160836.24</v>
      </c>
      <c r="L81" s="1173">
        <f t="shared" si="110"/>
        <v>0</v>
      </c>
      <c r="M81" s="1174">
        <f t="shared" si="124"/>
        <v>160836.24</v>
      </c>
      <c r="N81" s="1175">
        <f t="shared" si="125"/>
        <v>0</v>
      </c>
      <c r="O81" s="1173">
        <f>SUM('3 pr-2'!O82)</f>
        <v>24125.439999999999</v>
      </c>
      <c r="P81" s="1173">
        <f>IF('ketv. 5 '!U81&gt;0,'ketv. 7 '!R80,SUMIF(Projektu_sutarciu_ataskaita!$J:$J,C81,Projektu_sutarciu_ataskaita!$DK:$DK))</f>
        <v>0</v>
      </c>
      <c r="Q81" s="1173">
        <f t="shared" si="126"/>
        <v>24125.439999999999</v>
      </c>
      <c r="R81" s="1173">
        <f t="shared" si="127"/>
        <v>0</v>
      </c>
      <c r="S81" s="1173">
        <f>SUM('3 pr-2'!R82)</f>
        <v>0</v>
      </c>
      <c r="T81" s="1173">
        <f>IF('ketv. 5 '!U81&gt;0,'ketv. 7 '!W80,SUMIF(Projektu_sutarciu_ataskaita!$J:$J,C81,Projektu_sutarciu_ataskaita!$DG:$DG))</f>
        <v>0</v>
      </c>
      <c r="U81" s="1173">
        <f t="shared" si="128"/>
        <v>0</v>
      </c>
      <c r="V81" s="1173">
        <f t="shared" si="129"/>
        <v>0</v>
      </c>
      <c r="W81" s="1173">
        <f>SUM('3 pr-2'!U82)</f>
        <v>0</v>
      </c>
      <c r="X81" s="1173">
        <f>IF('ketv. 5 '!U81&gt;0,'ketv. 7 '!AB80,SUMIF(Projektu_sutarciu_ataskaita!$J:$J,C81,Projektu_sutarciu_ataskaita!$DM:$DM))</f>
        <v>0</v>
      </c>
      <c r="Y81" s="1173">
        <f t="shared" si="130"/>
        <v>0</v>
      </c>
      <c r="Z81" s="1173">
        <f t="shared" si="131"/>
        <v>0</v>
      </c>
      <c r="AA81" s="1173">
        <f>SUM('3 pr-2'!X82)</f>
        <v>0</v>
      </c>
      <c r="AB81" s="1173">
        <f>IF('ketv. 5 '!U81&gt;0,'ketv. 7 '!AG80,SUMIF(Projektu_sutarciu_ataskaita!$J:$J,C81,Projektu_sutarciu_ataskaita!$DL:$DL)+SUMIF(Projektu_sutarciu_ataskaita!$J:$J,C81,Projektu_sutarciu_ataskaita!$DJ:$DJ))</f>
        <v>0</v>
      </c>
      <c r="AC81" s="1173">
        <f>SUM(AA81-AB81)</f>
        <v>0</v>
      </c>
      <c r="AD81" s="1173">
        <f t="shared" si="132"/>
        <v>0</v>
      </c>
      <c r="AE81" s="1173">
        <f>SUM('3 pr-2'!AA82)</f>
        <v>136710.79999999999</v>
      </c>
      <c r="AF81" s="1173">
        <f>IF('ketv. 5 '!U81&gt;0,'ketv. 7 '!AL80,SUMIF(Projektu_sutarciu_ataskaita!$J:$J,C81,Projektu_sutarciu_ataskaita!$DF:$DF))</f>
        <v>0</v>
      </c>
      <c r="AG81" s="1559">
        <f t="shared" si="133"/>
        <v>136710.79999999999</v>
      </c>
      <c r="AH81" s="1177">
        <f t="shared" si="134"/>
        <v>0</v>
      </c>
      <c r="AI81" s="1173">
        <f>SUM('3 pr-2'!AB83)</f>
        <v>0</v>
      </c>
      <c r="AJ81" s="1173"/>
    </row>
    <row r="82" spans="1:36" ht="36.75">
      <c r="A82" s="375" t="str">
        <f>CONCATENATE('3 pr-2'!A83)</f>
        <v>1.1.2.2.4</v>
      </c>
      <c r="B82" s="375" t="str">
        <f>CONCATENATE('3 pr-2'!B83)</f>
        <v>R01-5514-190000-1224</v>
      </c>
      <c r="C82" s="1558" t="str">
        <f>IF('ketv. 4 '!Z83&gt;0,'ketv. 4 '!C83,"-")</f>
        <v>04.5.1-TID-V-513-01-0006</v>
      </c>
      <c r="D82" s="375" t="str">
        <f>CONCATENATE('3 pr-2'!D83)</f>
        <v>Darnaus judumo plano Druskininkuose parengimas</v>
      </c>
      <c r="E82" s="375" t="str">
        <f>CONCATENATE('3 pr-2'!E83)</f>
        <v>Druskininkų savivaldybės administracija</v>
      </c>
      <c r="F82" s="375" t="str">
        <f>CONCATENATE('3 pr-2'!F83)</f>
        <v>Lietuvos Respublikos susisiekimo ministerija</v>
      </c>
      <c r="G82" s="375" t="str">
        <f>CONCATENATE('3 pr-2'!G83)</f>
        <v>Druskininkų sav.</v>
      </c>
      <c r="H82" s="375" t="str">
        <f>CONCATENATE('3 pr-2'!H83)</f>
        <v>04.5.1-TID-V-513</v>
      </c>
      <c r="I82" s="375" t="str">
        <f>CONCATENATE('3 pr-2'!I83)</f>
        <v>V</v>
      </c>
      <c r="J82" s="375" t="str">
        <f>CONCATENATE('3 pr-2'!J83)</f>
        <v>ITI</v>
      </c>
      <c r="K82" s="1173">
        <f>SUM('3 pr-2'!L83)</f>
        <v>17000</v>
      </c>
      <c r="L82" s="1162">
        <v>17000</v>
      </c>
      <c r="M82" s="1174">
        <f t="shared" si="124"/>
        <v>0</v>
      </c>
      <c r="N82" s="1175">
        <f t="shared" si="125"/>
        <v>0</v>
      </c>
      <c r="O82" s="1173">
        <f>SUM('3 pr-2'!O83)</f>
        <v>2550</v>
      </c>
      <c r="P82" s="1162">
        <f>IF('ketv. 5 '!U82&gt;0,'ketv. 7 '!R81,SUMIF(Projektu_sutarciu_ataskaita!$J:$J,C82,Projektu_sutarciu_ataskaita!$DK:$DK))</f>
        <v>2550</v>
      </c>
      <c r="Q82" s="1173">
        <f t="shared" ref="Q82" si="135">SUM(O82-P82)</f>
        <v>0</v>
      </c>
      <c r="R82" s="1173">
        <f t="shared" si="127"/>
        <v>0</v>
      </c>
      <c r="S82" s="1173">
        <f>SUM('3 pr-2'!R83)</f>
        <v>0</v>
      </c>
      <c r="T82" s="1173">
        <f>IF('ketv. 5 '!U82&gt;0,'ketv. 7 '!W81,SUMIF(Projektu_sutarciu_ataskaita!$J:$J,C82,Projektu_sutarciu_ataskaita!$DG:$DG))</f>
        <v>0</v>
      </c>
      <c r="U82" s="1173">
        <f t="shared" si="128"/>
        <v>0</v>
      </c>
      <c r="V82" s="1173">
        <f t="shared" si="129"/>
        <v>0</v>
      </c>
      <c r="W82" s="1173">
        <f>SUM('3 pr-2'!U83)</f>
        <v>0</v>
      </c>
      <c r="X82" s="1173">
        <f>IF('ketv. 5 '!U82&gt;0,'ketv. 7 '!AB81,SUMIF(Projektu_sutarciu_ataskaita!$J:$J,C82,Projektu_sutarciu_ataskaita!$DM:$DM))</f>
        <v>0</v>
      </c>
      <c r="Y82" s="1173">
        <f t="shared" si="130"/>
        <v>0</v>
      </c>
      <c r="Z82" s="1173">
        <f t="shared" si="131"/>
        <v>0</v>
      </c>
      <c r="AA82" s="1173">
        <f>SUM('3 pr-2'!X83)</f>
        <v>0</v>
      </c>
      <c r="AB82" s="1173">
        <f>IF('ketv. 5 '!U82&gt;0,'ketv. 7 '!AG81,SUMIF(Projektu_sutarciu_ataskaita!$J:$J,C82,Projektu_sutarciu_ataskaita!$DL:$DL)+SUMIF(Projektu_sutarciu_ataskaita!$J:$J,C82,Projektu_sutarciu_ataskaita!$DJ:$DJ))</f>
        <v>0</v>
      </c>
      <c r="AC82" s="1173">
        <f>SUM(AA82-AB82)</f>
        <v>0</v>
      </c>
      <c r="AD82" s="1173">
        <f t="shared" si="132"/>
        <v>0</v>
      </c>
      <c r="AE82" s="1173">
        <f>SUM('3 pr-2'!AA83)</f>
        <v>14450</v>
      </c>
      <c r="AF82" s="1162">
        <f>IF('ketv. 5 '!U82&gt;0,'ketv. 7 '!AL81,SUMIF(Projektu_sutarciu_ataskaita!$J:$J,C82,Projektu_sutarciu_ataskaita!$DF:$DF))</f>
        <v>14450</v>
      </c>
      <c r="AG82" s="1559">
        <f>SUM(AE82-AF82)</f>
        <v>0</v>
      </c>
      <c r="AH82" s="1177">
        <f t="shared" si="134"/>
        <v>0</v>
      </c>
      <c r="AI82" s="1173">
        <f>SUM('3 pr-2'!AB84)</f>
        <v>0</v>
      </c>
      <c r="AJ82" s="1162">
        <v>0</v>
      </c>
    </row>
    <row r="83" spans="1:36" ht="36.75">
      <c r="A83" s="375" t="str">
        <f>CONCATENATE('3 pr-2'!A84)</f>
        <v>1.1.2.2.5</v>
      </c>
      <c r="B83" s="375" t="str">
        <f>CONCATENATE('3 pr-2'!B84)</f>
        <v>R01-5514-190000-1225</v>
      </c>
      <c r="C83" s="1558" t="str">
        <f>IF('ketv. 4 '!Z84&gt;0,'ketv. 4 '!C84,"-")</f>
        <v>-</v>
      </c>
      <c r="D83" s="375" t="str">
        <f>CONCATENATE('3 pr-2'!D84)</f>
        <v>Viešojo transporto organizavimo tobulinimas rekonstruojant Druskininkų miesto gatvių infrastruktūrą</v>
      </c>
      <c r="E83" s="375" t="str">
        <f>CONCATENATE('3 pr-2'!E84)</f>
        <v>Druskininkų savivaldybės administracija</v>
      </c>
      <c r="F83" s="375" t="str">
        <f>CONCATENATE('3 pr-2'!F84)</f>
        <v>Lietuvos Respublikos susisiekimo ministerija</v>
      </c>
      <c r="G83" s="375" t="str">
        <f>CONCATENATE('3 pr-2'!G84)</f>
        <v>Druskininkų sav.</v>
      </c>
      <c r="H83" s="375" t="str">
        <f>CONCATENATE('3 pr-2'!H84)</f>
        <v>04.5.1.-TID-R-514</v>
      </c>
      <c r="I83" s="375" t="str">
        <f>CONCATENATE('3 pr-2'!I84)</f>
        <v>R</v>
      </c>
      <c r="J83" s="375" t="str">
        <f>CONCATENATE('3 pr-2'!J84)</f>
        <v>-</v>
      </c>
      <c r="K83" s="1173">
        <f>SUM('3 pr-2'!L84)</f>
        <v>290000</v>
      </c>
      <c r="L83" s="1173">
        <f t="shared" si="110"/>
        <v>0</v>
      </c>
      <c r="M83" s="1174">
        <f t="shared" ref="M83:M84" si="136">SUM(K83-L83)</f>
        <v>290000</v>
      </c>
      <c r="N83" s="1175">
        <f t="shared" ref="N83:N84" si="137">IF(L83&gt;0,K83-L83,0)</f>
        <v>0</v>
      </c>
      <c r="O83" s="1173">
        <f>SUM('3 pr-2'!O84)</f>
        <v>43500</v>
      </c>
      <c r="P83" s="1173">
        <f>IF('ketv. 5 '!U83&gt;0,'ketv. 7 '!R82,SUMIF(Projektu_sutarciu_ataskaita!$J:$J,C83,Projektu_sutarciu_ataskaita!$DK:$DK))</f>
        <v>0</v>
      </c>
      <c r="Q83" s="1173">
        <f t="shared" ref="Q83:Q84" si="138">SUM(O83-P83)</f>
        <v>43500</v>
      </c>
      <c r="R83" s="1173">
        <f t="shared" ref="R83:R84" si="139">IF(P83&gt;0,O83-P83,0)</f>
        <v>0</v>
      </c>
      <c r="S83" s="1173">
        <f>SUM('3 pr-2'!R84)</f>
        <v>0</v>
      </c>
      <c r="T83" s="1173">
        <f>IF('ketv. 5 '!U83&gt;0,'ketv. 7 '!W82,SUMIF(Projektu_sutarciu_ataskaita!$J:$J,C83,Projektu_sutarciu_ataskaita!$DG:$DG))</f>
        <v>0</v>
      </c>
      <c r="U83" s="1173">
        <f t="shared" ref="U83:U84" si="140">SUM(S83-T83)</f>
        <v>0</v>
      </c>
      <c r="V83" s="1173">
        <f t="shared" ref="V83:V84" si="141">IF(T83&gt;0,S83-T83,0)</f>
        <v>0</v>
      </c>
      <c r="W83" s="1173">
        <f>SUM('3 pr-2'!U84)</f>
        <v>0</v>
      </c>
      <c r="X83" s="1173">
        <f>IF('ketv. 5 '!U83&gt;0,'ketv. 7 '!AB82,SUMIF(Projektu_sutarciu_ataskaita!$J:$J,C83,Projektu_sutarciu_ataskaita!$DM:$DM))</f>
        <v>0</v>
      </c>
      <c r="Y83" s="1173">
        <f t="shared" ref="Y83:Y84" si="142">SUM(W83-X83)</f>
        <v>0</v>
      </c>
      <c r="Z83" s="1173">
        <f t="shared" ref="Z83:Z84" si="143">IF(X83&gt;0,W83-X83,0)</f>
        <v>0</v>
      </c>
      <c r="AA83" s="1173">
        <f>SUM('3 pr-2'!X84)</f>
        <v>0</v>
      </c>
      <c r="AB83" s="1173">
        <f>IF('ketv. 5 '!U83&gt;0,'ketv. 7 '!AG82,SUMIF(Projektu_sutarciu_ataskaita!$J:$J,C83,Projektu_sutarciu_ataskaita!$DL:$DL)+SUMIF(Projektu_sutarciu_ataskaita!$J:$J,C83,Projektu_sutarciu_ataskaita!$DJ:$DJ))</f>
        <v>0</v>
      </c>
      <c r="AC83" s="1173">
        <f t="shared" ref="AC83:AC84" si="144">SUM(AA83-AB83)</f>
        <v>0</v>
      </c>
      <c r="AD83" s="1173">
        <f t="shared" ref="AD83:AD84" si="145">IF(AB83&gt;0,AA83-AB83,0)</f>
        <v>0</v>
      </c>
      <c r="AE83" s="1173">
        <f>SUM('3 pr-2'!AA84)</f>
        <v>246500</v>
      </c>
      <c r="AF83" s="1173">
        <f>IF('ketv. 5 '!U83&gt;0,'ketv. 7 '!AL82,SUMIF(Projektu_sutarciu_ataskaita!$J:$J,C83,Projektu_sutarciu_ataskaita!$DF:$DF))</f>
        <v>0</v>
      </c>
      <c r="AG83" s="1559">
        <f t="shared" ref="AG83:AG84" si="146">SUM(AE83-AF83)</f>
        <v>246500</v>
      </c>
      <c r="AH83" s="1177">
        <f t="shared" ref="AH83:AH84" si="147">IF(AF83&gt;0,AE83-AF83,0)</f>
        <v>0</v>
      </c>
      <c r="AI83" s="1173">
        <f>SUM('3 pr-2'!AB85)</f>
        <v>0</v>
      </c>
      <c r="AJ83" s="1173"/>
    </row>
    <row r="84" spans="1:36" ht="37.5" thickBot="1">
      <c r="A84" s="375" t="str">
        <f>CONCATENATE('3 pr-2'!A85)</f>
        <v>1.1.2.2.6</v>
      </c>
      <c r="B84" s="375" t="str">
        <f>CONCATENATE('3 pr-2'!B85)</f>
        <v>R01-5514-190000-1226</v>
      </c>
      <c r="C84" s="1558" t="str">
        <f>IF('ketv. 4 '!Z85&gt;0,'ketv. 4 '!C85,"-")</f>
        <v>-</v>
      </c>
      <c r="D84" s="375" t="str">
        <f>CONCATENATE('3 pr-2'!D85)</f>
        <v>Vandens transporto infrastruktūros įrengimas skatinant kitų rūšių transportą</v>
      </c>
      <c r="E84" s="375" t="str">
        <f>CONCATENATE('3 pr-2'!E85)</f>
        <v>Druskininkų savivaldybės administracija</v>
      </c>
      <c r="F84" s="375" t="str">
        <f>CONCATENATE('3 pr-2'!F85)</f>
        <v>Lietuvos Respublikos susisiekimo ministerija</v>
      </c>
      <c r="G84" s="375" t="str">
        <f>CONCATENATE('3 pr-2'!G85)</f>
        <v>Druskininkų sav.</v>
      </c>
      <c r="H84" s="375" t="str">
        <f>CONCATENATE('3 pr-2'!H85)</f>
        <v>04.5.1.-TID-R-514</v>
      </c>
      <c r="I84" s="375" t="str">
        <f>CONCATENATE('3 pr-2'!I85)</f>
        <v>R</v>
      </c>
      <c r="J84" s="375" t="str">
        <f>CONCATENATE('3 pr-2'!J85)</f>
        <v>-</v>
      </c>
      <c r="K84" s="1173">
        <f>SUM('3 pr-2'!L85)</f>
        <v>250000</v>
      </c>
      <c r="L84" s="1173">
        <f t="shared" si="110"/>
        <v>0</v>
      </c>
      <c r="M84" s="1174">
        <f t="shared" si="136"/>
        <v>250000</v>
      </c>
      <c r="N84" s="1175">
        <f t="shared" si="137"/>
        <v>0</v>
      </c>
      <c r="O84" s="1173">
        <f>SUM('3 pr-2'!O85)</f>
        <v>37500</v>
      </c>
      <c r="P84" s="1173">
        <f>IF('ketv. 5 '!U84&gt;0,'ketv. 7 '!R83,SUMIF(Projektu_sutarciu_ataskaita!$J:$J,C84,Projektu_sutarciu_ataskaita!$DK:$DK))</f>
        <v>0</v>
      </c>
      <c r="Q84" s="1173">
        <f t="shared" si="138"/>
        <v>37500</v>
      </c>
      <c r="R84" s="1173">
        <f t="shared" si="139"/>
        <v>0</v>
      </c>
      <c r="S84" s="1173">
        <f>SUM('3 pr-2'!R85)</f>
        <v>0</v>
      </c>
      <c r="T84" s="1173">
        <f>IF('ketv. 5 '!U84&gt;0,'ketv. 7 '!W83,SUMIF(Projektu_sutarciu_ataskaita!$J:$J,C84,Projektu_sutarciu_ataskaita!$DG:$DG))</f>
        <v>0</v>
      </c>
      <c r="U84" s="1173">
        <f t="shared" si="140"/>
        <v>0</v>
      </c>
      <c r="V84" s="1173">
        <f t="shared" si="141"/>
        <v>0</v>
      </c>
      <c r="W84" s="1173">
        <f>SUM('3 pr-2'!U85)</f>
        <v>0</v>
      </c>
      <c r="X84" s="1173">
        <f>IF('ketv. 5 '!U84&gt;0,'ketv. 7 '!AB83,SUMIF(Projektu_sutarciu_ataskaita!$J:$J,C84,Projektu_sutarciu_ataskaita!$DM:$DM))</f>
        <v>0</v>
      </c>
      <c r="Y84" s="1173">
        <f t="shared" si="142"/>
        <v>0</v>
      </c>
      <c r="Z84" s="1173">
        <f t="shared" si="143"/>
        <v>0</v>
      </c>
      <c r="AA84" s="1173">
        <f>SUM('3 pr-2'!X85)</f>
        <v>0</v>
      </c>
      <c r="AB84" s="1173">
        <f>IF('ketv. 5 '!U84&gt;0,'ketv. 7 '!AG83,SUMIF(Projektu_sutarciu_ataskaita!$J:$J,C84,Projektu_sutarciu_ataskaita!$DL:$DL)+SUMIF(Projektu_sutarciu_ataskaita!$J:$J,C84,Projektu_sutarciu_ataskaita!$DJ:$DJ))</f>
        <v>0</v>
      </c>
      <c r="AC84" s="1173">
        <f t="shared" si="144"/>
        <v>0</v>
      </c>
      <c r="AD84" s="1173">
        <f t="shared" si="145"/>
        <v>0</v>
      </c>
      <c r="AE84" s="1173">
        <f>SUM('3 pr-2'!AA85)</f>
        <v>212500</v>
      </c>
      <c r="AF84" s="1173">
        <f>IF('ketv. 5 '!U84&gt;0,'ketv. 7 '!AL83,SUMIF(Projektu_sutarciu_ataskaita!$J:$J,C84,Projektu_sutarciu_ataskaita!$DF:$DF))</f>
        <v>0</v>
      </c>
      <c r="AG84" s="1559">
        <f t="shared" si="146"/>
        <v>212500</v>
      </c>
      <c r="AH84" s="1177">
        <f t="shared" si="147"/>
        <v>0</v>
      </c>
      <c r="AI84" s="1173">
        <f>SUM('3 pr-2'!AB86)</f>
        <v>0</v>
      </c>
      <c r="AJ84" s="1173"/>
    </row>
    <row r="85" spans="1:36" ht="33.75" customHeight="1" thickBot="1">
      <c r="A85" s="296" t="str">
        <f>CONCATENATE('3 pr-2'!A86)</f>
        <v>1.1.2.3</v>
      </c>
      <c r="B85" s="2088" t="str">
        <f>CONCATENATE('3 pr-2'!B86)</f>
        <v>Priemonė:
Pėsčiųjų ir dviračių takų rekonstrukcija ir plėtra</v>
      </c>
      <c r="C85" s="1894"/>
      <c r="D85" s="1894"/>
      <c r="E85" s="1894"/>
      <c r="F85" s="1894"/>
      <c r="G85" s="1894"/>
      <c r="H85" s="1894"/>
      <c r="I85" s="1894"/>
      <c r="J85" s="1895"/>
      <c r="K85" s="1168">
        <f>SUM('3 pr-2'!L86)</f>
        <v>500953.05</v>
      </c>
      <c r="L85" s="1168">
        <f>SUM(L86:L90)</f>
        <v>421638.05</v>
      </c>
      <c r="M85" s="1169">
        <f>SUM(M86:M90)</f>
        <v>79315.000000000029</v>
      </c>
      <c r="N85" s="1170">
        <f>SUM(N86:N90)</f>
        <v>8226.0000000000291</v>
      </c>
      <c r="O85" s="1168">
        <f>SUM('3 pr-2'!O86)</f>
        <v>85292.359999999986</v>
      </c>
      <c r="P85" s="1168">
        <f>SUM(P86:P90)</f>
        <v>69600.36</v>
      </c>
      <c r="Q85" s="1168">
        <f>SUM(Q86:Q90)</f>
        <v>15691.999999999996</v>
      </c>
      <c r="R85" s="1168">
        <f>SUM(R86:R90)</f>
        <v>1225.9999999999964</v>
      </c>
      <c r="S85" s="1168">
        <f>SUM('3 pr-2'!R86)</f>
        <v>0</v>
      </c>
      <c r="T85" s="1168">
        <f>SUM(T86:T90)</f>
        <v>0</v>
      </c>
      <c r="U85" s="1168">
        <f>SUM(U86:U90)</f>
        <v>0</v>
      </c>
      <c r="V85" s="1168">
        <f>SUM(V86:V90)</f>
        <v>0</v>
      </c>
      <c r="W85" s="1168">
        <f>SUM('3 pr-2'!U86)</f>
        <v>0</v>
      </c>
      <c r="X85" s="1168">
        <f>SUM(X86:X90)</f>
        <v>0</v>
      </c>
      <c r="Y85" s="1168">
        <f>SUM(Y86:Y90)</f>
        <v>0</v>
      </c>
      <c r="Z85" s="1168">
        <f>SUM(Z86:Z90)</f>
        <v>0</v>
      </c>
      <c r="AA85" s="1168">
        <f>SUM('3 pr-2'!X86)</f>
        <v>0</v>
      </c>
      <c r="AB85" s="1168">
        <f>SUM(AB86:AB90)</f>
        <v>0</v>
      </c>
      <c r="AC85" s="1168">
        <f>SUM(AC86:AC90)</f>
        <v>0</v>
      </c>
      <c r="AD85" s="1168">
        <f>SUM(AD86:AD90)</f>
        <v>0</v>
      </c>
      <c r="AE85" s="1168">
        <f>SUM('3 pr-2'!AA86)</f>
        <v>415660.69</v>
      </c>
      <c r="AF85" s="1168">
        <f>SUM(AF86:AF90)</f>
        <v>352037.69</v>
      </c>
      <c r="AG85" s="1569">
        <f>SUM(AG86:AG90)</f>
        <v>63623.000000000015</v>
      </c>
      <c r="AH85" s="1570">
        <f>SUM(AH86:AH90)</f>
        <v>7000.0000000000146</v>
      </c>
      <c r="AI85" s="1168"/>
      <c r="AJ85" s="1168"/>
    </row>
    <row r="86" spans="1:36" ht="36.75">
      <c r="A86" s="375" t="str">
        <f>CONCATENATE('3 pr-2'!A87)</f>
        <v>1.1.2.3.1</v>
      </c>
      <c r="B86" s="375" t="str">
        <f>CONCATENATE('3 pr-2'!B87)</f>
        <v>R01-5516-190000-1231</v>
      </c>
      <c r="C86" s="1558" t="str">
        <f>IF('ketv. 4 '!Z87&gt;0,'ketv. 4 '!C87,"-")</f>
        <v>04.5.1-TID-R-516-11-0004</v>
      </c>
      <c r="D86" s="375" t="str">
        <f>CONCATENATE('3 pr-2'!D87)</f>
        <v>Dviračių ir pėsčiųjų takų įrengimas Varėnos miesto J. Basanavičiaus ir Žiedo gatvėse</v>
      </c>
      <c r="E86" s="375" t="str">
        <f>CONCATENATE('3 pr-2'!E87)</f>
        <v>Varėnos rajono savivaldybės administracija</v>
      </c>
      <c r="F86" s="375" t="str">
        <f>CONCATENATE('3 pr-2'!F87)</f>
        <v>Lietuvos Respublikos susisiekimo ministerija</v>
      </c>
      <c r="G86" s="375" t="str">
        <f>CONCATENATE('3 pr-2'!G87)</f>
        <v>Varėnos r. sav.</v>
      </c>
      <c r="H86" s="375" t="str">
        <f>CONCATENATE('3 pr-2'!H87)</f>
        <v>04.5.1-TID-R-516</v>
      </c>
      <c r="I86" s="375" t="str">
        <f>CONCATENATE('3 pr-2'!I87)</f>
        <v>R</v>
      </c>
      <c r="J86" s="375" t="str">
        <f>CONCATENATE('3 pr-2'!J87)</f>
        <v>ITI</v>
      </c>
      <c r="K86" s="1173">
        <f>SUM('3 pr-2'!L87)</f>
        <v>103306</v>
      </c>
      <c r="L86" s="1162">
        <f t="shared" si="110"/>
        <v>95080</v>
      </c>
      <c r="M86" s="1174">
        <f t="shared" ref="M86:M90" si="148">SUM(K86-L86)</f>
        <v>8226</v>
      </c>
      <c r="N86" s="1175">
        <f t="shared" ref="N86:N90" si="149">IF(L86&gt;0,K86-L86,0)</f>
        <v>8226</v>
      </c>
      <c r="O86" s="1173">
        <f>SUM('3 pr-2'!O87)</f>
        <v>15496</v>
      </c>
      <c r="P86" s="1162">
        <f>IF('ketv. 5 '!U86&gt;0,'ketv. 7 '!R85,SUMIF(Projektu_sutarciu_ataskaita!$J:$J,C86,Projektu_sutarciu_ataskaita!$DK:$DK))</f>
        <v>14270</v>
      </c>
      <c r="Q86" s="1173">
        <f t="shared" ref="Q86:Q90" si="150">SUM(O86-P86)</f>
        <v>1226</v>
      </c>
      <c r="R86" s="1173">
        <f t="shared" ref="R86:R90" si="151">IF(P86&gt;0,O86-P86,0)</f>
        <v>1226</v>
      </c>
      <c r="S86" s="1173">
        <f>SUM('3 pr-2'!R87)</f>
        <v>0</v>
      </c>
      <c r="T86" s="1173">
        <f>IF('ketv. 5 '!U86&gt;0,'ketv. 7 '!W85,SUMIF(Projektu_sutarciu_ataskaita!$J:$J,C86,Projektu_sutarciu_ataskaita!$DG:$DG))</f>
        <v>0</v>
      </c>
      <c r="U86" s="1173">
        <f t="shared" ref="U86:U90" si="152">SUM(S86-T86)</f>
        <v>0</v>
      </c>
      <c r="V86" s="1173">
        <f t="shared" ref="V86:V90" si="153">IF(T86&gt;0,S86-T86,0)</f>
        <v>0</v>
      </c>
      <c r="W86" s="1173">
        <f>SUM('3 pr-2'!U87)</f>
        <v>0</v>
      </c>
      <c r="X86" s="1173">
        <f>IF('ketv. 5 '!U86&gt;0,'ketv. 7 '!AB85,SUMIF(Projektu_sutarciu_ataskaita!$J:$J,C86,Projektu_sutarciu_ataskaita!$DM:$DM))</f>
        <v>0</v>
      </c>
      <c r="Y86" s="1173">
        <f t="shared" ref="Y86:Y90" si="154">SUM(W86-X86)</f>
        <v>0</v>
      </c>
      <c r="Z86" s="1173">
        <f t="shared" ref="Z86:Z90" si="155">IF(X86&gt;0,W86-X86,0)</f>
        <v>0</v>
      </c>
      <c r="AA86" s="1173">
        <f>SUM('3 pr-2'!X87)</f>
        <v>0</v>
      </c>
      <c r="AB86" s="1173">
        <f>IF('ketv. 5 '!U86&gt;0,'ketv. 7 '!AG85,SUMIF(Projektu_sutarciu_ataskaita!$J:$J,C86,Projektu_sutarciu_ataskaita!$DL:$DL)+SUMIF(Projektu_sutarciu_ataskaita!$J:$J,C86,Projektu_sutarciu_ataskaita!$DJ:$DJ))</f>
        <v>0</v>
      </c>
      <c r="AC86" s="1173">
        <f>SUM(AA86-AB86)</f>
        <v>0</v>
      </c>
      <c r="AD86" s="1173">
        <f t="shared" ref="AD86:AD90" si="156">IF(AB86&gt;0,AA86-AB86,0)</f>
        <v>0</v>
      </c>
      <c r="AE86" s="1173">
        <f>SUM('3 pr-2'!AA87)</f>
        <v>87810</v>
      </c>
      <c r="AF86" s="1162">
        <f>IF('ketv. 5 '!U86&gt;0,'ketv. 7 '!AL85,SUMIF(Projektu_sutarciu_ataskaita!$J:$J,C86,Projektu_sutarciu_ataskaita!$DF:$DF))</f>
        <v>80810</v>
      </c>
      <c r="AG86" s="1559">
        <f t="shared" ref="AG86:AG90" si="157">SUM(AE86-AF86)</f>
        <v>7000</v>
      </c>
      <c r="AH86" s="1177">
        <f t="shared" ref="AH86:AH90" si="158">IF(AF86&gt;0,AE86-AF86,0)</f>
        <v>7000</v>
      </c>
      <c r="AI86" s="1173">
        <f>SUM('3 pr-2'!AB88)</f>
        <v>0</v>
      </c>
      <c r="AJ86" s="1162">
        <v>0</v>
      </c>
    </row>
    <row r="87" spans="1:36" ht="36.75">
      <c r="A87" s="375" t="str">
        <f>CONCATENATE('3 pr-2'!A88)</f>
        <v>1.1.2.3.2</v>
      </c>
      <c r="B87" s="375" t="str">
        <f>CONCATENATE('3 pr-2'!B88)</f>
        <v>R01-5516-190000-1232</v>
      </c>
      <c r="C87" s="1558" t="str">
        <f>IF('ketv. 4 '!Z88&gt;0,'ketv. 4 '!C88,"-")</f>
        <v>04.5.1-TID-R-516-11-0001</v>
      </c>
      <c r="D87" s="375" t="str">
        <f>CONCATENATE('3 pr-2'!D88)</f>
        <v>Dviračių trasų infrastruktūros įrengimas nuo Putinų g. žiedo Pramonės gatvėje, Alytaus mieste</v>
      </c>
      <c r="E87" s="375" t="str">
        <f>CONCATENATE('3 pr-2'!E88)</f>
        <v>Alytaus miesto savivaldybės administracija</v>
      </c>
      <c r="F87" s="375" t="str">
        <f>CONCATENATE('3 pr-2'!F88)</f>
        <v>Lietuvos Respublikos susisiekimo ministerija</v>
      </c>
      <c r="G87" s="375" t="str">
        <f>CONCATENATE('3 pr-2'!G88)</f>
        <v>Alytaus m. sav.</v>
      </c>
      <c r="H87" s="375" t="str">
        <f>CONCATENATE('3 pr-2'!H88)</f>
        <v>04.5.1-TID-R-516</v>
      </c>
      <c r="I87" s="375" t="str">
        <f>CONCATENATE('3 pr-2'!I88)</f>
        <v>R</v>
      </c>
      <c r="J87" s="375" t="str">
        <f>CONCATENATE('3 pr-2'!J88)</f>
        <v>ITI</v>
      </c>
      <c r="K87" s="1173">
        <f>SUM('3 pr-2'!L88)</f>
        <v>133670.07</v>
      </c>
      <c r="L87" s="1162">
        <f t="shared" si="110"/>
        <v>133670.06999999998</v>
      </c>
      <c r="M87" s="1174">
        <f t="shared" si="148"/>
        <v>2.9103830456733704E-11</v>
      </c>
      <c r="N87" s="1175">
        <f t="shared" si="149"/>
        <v>2.9103830456733704E-11</v>
      </c>
      <c r="O87" s="1173">
        <f>SUM('3 pr-2'!O88)</f>
        <v>20050.509999999998</v>
      </c>
      <c r="P87" s="1162">
        <f>IF('ketv. 5 '!U87&gt;0,'ketv. 7 '!R86,SUMIF(Projektu_sutarciu_ataskaita!$J:$J,C87,Projektu_sutarciu_ataskaita!$DK:$DK))</f>
        <v>20050.510000000002</v>
      </c>
      <c r="Q87" s="1173">
        <f t="shared" si="150"/>
        <v>-3.637978807091713E-12</v>
      </c>
      <c r="R87" s="1173">
        <f t="shared" si="151"/>
        <v>-3.637978807091713E-12</v>
      </c>
      <c r="S87" s="1173">
        <f>SUM('3 pr-2'!R88)</f>
        <v>0</v>
      </c>
      <c r="T87" s="1173">
        <f>IF('ketv. 5 '!U87&gt;0,'ketv. 7 '!W86,SUMIF(Projektu_sutarciu_ataskaita!$J:$J,C87,Projektu_sutarciu_ataskaita!$DG:$DG))</f>
        <v>0</v>
      </c>
      <c r="U87" s="1173">
        <f t="shared" si="152"/>
        <v>0</v>
      </c>
      <c r="V87" s="1173">
        <f t="shared" si="153"/>
        <v>0</v>
      </c>
      <c r="W87" s="1173">
        <f>SUM('3 pr-2'!U88)</f>
        <v>0</v>
      </c>
      <c r="X87" s="1173">
        <f>IF('ketv. 5 '!U87&gt;0,'ketv. 7 '!AB86,SUMIF(Projektu_sutarciu_ataskaita!$J:$J,C87,Projektu_sutarciu_ataskaita!$DM:$DM))</f>
        <v>0</v>
      </c>
      <c r="Y87" s="1173">
        <f t="shared" si="154"/>
        <v>0</v>
      </c>
      <c r="Z87" s="1173">
        <f t="shared" si="155"/>
        <v>0</v>
      </c>
      <c r="AA87" s="1173">
        <f>SUM('3 pr-2'!X88)</f>
        <v>0</v>
      </c>
      <c r="AB87" s="1173">
        <f>IF('ketv. 5 '!U87&gt;0,'ketv. 7 '!AG86,SUMIF(Projektu_sutarciu_ataskaita!$J:$J,C87,Projektu_sutarciu_ataskaita!$DL:$DL)+SUMIF(Projektu_sutarciu_ataskaita!$J:$J,C87,Projektu_sutarciu_ataskaita!$DJ:$DJ))</f>
        <v>0</v>
      </c>
      <c r="AC87" s="1173">
        <f>SUM(AA87-AB87)</f>
        <v>0</v>
      </c>
      <c r="AD87" s="1173">
        <f t="shared" si="156"/>
        <v>0</v>
      </c>
      <c r="AE87" s="1173">
        <f>SUM('3 pr-2'!AA88)</f>
        <v>113619.56</v>
      </c>
      <c r="AF87" s="1162">
        <f>IF('ketv. 5 '!U87&gt;0,'ketv. 7 '!AL86,SUMIF(Projektu_sutarciu_ataskaita!$J:$J,C87,Projektu_sutarciu_ataskaita!$DF:$DF))</f>
        <v>113619.55999999998</v>
      </c>
      <c r="AG87" s="1559">
        <f t="shared" si="157"/>
        <v>1.4551915228366852E-11</v>
      </c>
      <c r="AH87" s="1177">
        <f t="shared" si="158"/>
        <v>1.4551915228366852E-11</v>
      </c>
      <c r="AI87" s="1173">
        <f>SUM('3 pr-2'!AB89)</f>
        <v>0</v>
      </c>
      <c r="AJ87" s="1162">
        <v>0</v>
      </c>
    </row>
    <row r="88" spans="1:36" ht="36.75">
      <c r="A88" s="375" t="str">
        <f>CONCATENATE('3 pr-2'!A89)</f>
        <v>1.1.2.3.3</v>
      </c>
      <c r="B88" s="375" t="str">
        <f>CONCATENATE('3 pr-2'!B89)</f>
        <v>R01-5516-190000-1233</v>
      </c>
      <c r="C88" s="1558" t="str">
        <f>IF('ketv. 4 '!Z89&gt;0,'ketv. 4 '!C89,"-")</f>
        <v>04.5.1-TID-R-516-11-0002</v>
      </c>
      <c r="D88" s="375" t="str">
        <f>CONCATENATE('3 pr-2'!D89)</f>
        <v>Dviračių ir pėsčiųjų takų plėtra Lazdijų miesto Turistų gatvėje iki sodų bendrijos „Baltasis“ Lazdijų seniūnijoje</v>
      </c>
      <c r="E88" s="375" t="str">
        <f>CONCATENATE('3 pr-2'!E89)</f>
        <v>Lazdijų rajono savivaldybės administracija</v>
      </c>
      <c r="F88" s="375" t="str">
        <f>CONCATENATE('3 pr-2'!F89)</f>
        <v>Lietuvos Respublikos susisiekimo ministerija</v>
      </c>
      <c r="G88" s="375" t="str">
        <f>CONCATENATE('3 pr-2'!G89)</f>
        <v>Lazdijų r. sav.</v>
      </c>
      <c r="H88" s="375" t="str">
        <f>CONCATENATE('3 pr-2'!H89)</f>
        <v>04.5.1-TID-R-516</v>
      </c>
      <c r="I88" s="375" t="str">
        <f>CONCATENATE('3 pr-2'!I89)</f>
        <v>R</v>
      </c>
      <c r="J88" s="375" t="str">
        <f>CONCATENATE('3 pr-2'!J89)</f>
        <v>ITI</v>
      </c>
      <c r="K88" s="1173">
        <f>SUM('3 pr-2'!L89)</f>
        <v>93938.42</v>
      </c>
      <c r="L88" s="1162">
        <f t="shared" si="110"/>
        <v>93938.42</v>
      </c>
      <c r="M88" s="1174">
        <f t="shared" si="148"/>
        <v>0</v>
      </c>
      <c r="N88" s="1175">
        <f t="shared" si="149"/>
        <v>0</v>
      </c>
      <c r="O88" s="1173">
        <f>SUM('3 pr-2'!O89)</f>
        <v>20437.419999999998</v>
      </c>
      <c r="P88" s="1162">
        <f>IF('ketv. 5 '!U88&gt;0,'ketv. 7 '!R87,SUMIF(Projektu_sutarciu_ataskaita!$J:$J,C88,Projektu_sutarciu_ataskaita!$DK:$DK))</f>
        <v>20437.419999999998</v>
      </c>
      <c r="Q88" s="1173">
        <f t="shared" si="150"/>
        <v>0</v>
      </c>
      <c r="R88" s="1173">
        <f t="shared" si="151"/>
        <v>0</v>
      </c>
      <c r="S88" s="1173">
        <f>SUM('3 pr-2'!R89)</f>
        <v>0</v>
      </c>
      <c r="T88" s="1173">
        <f>IF('ketv. 5 '!U88&gt;0,'ketv. 7 '!W87,SUMIF(Projektu_sutarciu_ataskaita!$J:$J,C88,Projektu_sutarciu_ataskaita!$DG:$DG))</f>
        <v>0</v>
      </c>
      <c r="U88" s="1173">
        <f t="shared" si="152"/>
        <v>0</v>
      </c>
      <c r="V88" s="1173">
        <f t="shared" si="153"/>
        <v>0</v>
      </c>
      <c r="W88" s="1173">
        <f>SUM('3 pr-2'!U89)</f>
        <v>0</v>
      </c>
      <c r="X88" s="1173">
        <f>IF('ketv. 5 '!U88&gt;0,'ketv. 7 '!AB87,SUMIF(Projektu_sutarciu_ataskaita!$J:$J,C88,Projektu_sutarciu_ataskaita!$DM:$DM))</f>
        <v>0</v>
      </c>
      <c r="Y88" s="1173">
        <f t="shared" si="154"/>
        <v>0</v>
      </c>
      <c r="Z88" s="1173">
        <f t="shared" si="155"/>
        <v>0</v>
      </c>
      <c r="AA88" s="1173">
        <f>SUM('3 pr-2'!X89)</f>
        <v>0</v>
      </c>
      <c r="AB88" s="1173">
        <f>IF('ketv. 5 '!U88&gt;0,'ketv. 7 '!AG87,SUMIF(Projektu_sutarciu_ataskaita!$J:$J,C88,Projektu_sutarciu_ataskaita!$DL:$DL)+SUMIF(Projektu_sutarciu_ataskaita!$J:$J,C88,Projektu_sutarciu_ataskaita!$DJ:$DJ))</f>
        <v>0</v>
      </c>
      <c r="AC88" s="1173">
        <f>SUM(AA88-AB88)</f>
        <v>0</v>
      </c>
      <c r="AD88" s="1173">
        <f t="shared" si="156"/>
        <v>0</v>
      </c>
      <c r="AE88" s="1173">
        <f>SUM('3 pr-2'!AA89)</f>
        <v>73501</v>
      </c>
      <c r="AF88" s="1162">
        <f>IF('ketv. 5 '!U88&gt;0,'ketv. 7 '!AL87,SUMIF(Projektu_sutarciu_ataskaita!$J:$J,C88,Projektu_sutarciu_ataskaita!$DF:$DF))</f>
        <v>73501</v>
      </c>
      <c r="AG88" s="1559">
        <f t="shared" si="157"/>
        <v>0</v>
      </c>
      <c r="AH88" s="1177">
        <f t="shared" si="158"/>
        <v>0</v>
      </c>
      <c r="AI88" s="1173">
        <f>SUM('3 pr-2'!AB90)</f>
        <v>0</v>
      </c>
      <c r="AJ88" s="1162">
        <v>0</v>
      </c>
    </row>
    <row r="89" spans="1:36" ht="36.75">
      <c r="A89" s="375" t="str">
        <f>CONCATENATE('3 pr-2'!A90)</f>
        <v>1.1.2.3.4</v>
      </c>
      <c r="B89" s="375" t="str">
        <f>CONCATENATE('3 pr-2'!B90)</f>
        <v>R01-5516-190000-1234</v>
      </c>
      <c r="C89" s="1558" t="str">
        <f>IF('ketv. 4 '!Z90&gt;0,'ketv. 4 '!C90,"-")</f>
        <v>04.5.1-TID-R-516-11-0005</v>
      </c>
      <c r="D89" s="375" t="str">
        <f>CONCATENATE('3 pr-2'!D90)</f>
        <v>Pėsčiųjų ir dviračių takų plėtra Simno seniūnijoje</v>
      </c>
      <c r="E89" s="375" t="str">
        <f>CONCATENATE('3 pr-2'!E90)</f>
        <v>Alytaus rajono savivaldybės administracija</v>
      </c>
      <c r="F89" s="375" t="str">
        <f>CONCATENATE('3 pr-2'!F90)</f>
        <v>Lietuvos Respublikos susisiekimo ministerija</v>
      </c>
      <c r="G89" s="375" t="str">
        <f>CONCATENATE('3 pr-2'!G90)</f>
        <v>Alytaus r. sav.</v>
      </c>
      <c r="H89" s="375" t="str">
        <f>CONCATENATE('3 pr-2'!H90)</f>
        <v>04.5.1-TID-R-516</v>
      </c>
      <c r="I89" s="375" t="str">
        <f>CONCATENATE('3 pr-2'!I90)</f>
        <v>R</v>
      </c>
      <c r="J89" s="375" t="str">
        <f>CONCATENATE('3 pr-2'!J90)</f>
        <v>-</v>
      </c>
      <c r="K89" s="1173">
        <f>SUM('3 pr-2'!L90)</f>
        <v>98949.56</v>
      </c>
      <c r="L89" s="1162">
        <f t="shared" si="110"/>
        <v>98949.56</v>
      </c>
      <c r="M89" s="1174">
        <f t="shared" si="148"/>
        <v>0</v>
      </c>
      <c r="N89" s="1175">
        <f t="shared" si="149"/>
        <v>0</v>
      </c>
      <c r="O89" s="1173">
        <f>SUM('3 pr-2'!O90)</f>
        <v>14842.43</v>
      </c>
      <c r="P89" s="1162">
        <f>IF('ketv. 5 '!U89&gt;0,'ketv. 7 '!R88,SUMIF(Projektu_sutarciu_ataskaita!$J:$J,C89,Projektu_sutarciu_ataskaita!$DK:$DK))</f>
        <v>14842.43</v>
      </c>
      <c r="Q89" s="1173">
        <f t="shared" si="150"/>
        <v>0</v>
      </c>
      <c r="R89" s="1173">
        <f t="shared" si="151"/>
        <v>0</v>
      </c>
      <c r="S89" s="1173">
        <f>SUM('3 pr-2'!R90)</f>
        <v>0</v>
      </c>
      <c r="T89" s="1173">
        <f>IF('ketv. 5 '!U89&gt;0,'ketv. 7 '!W88,SUMIF(Projektu_sutarciu_ataskaita!$J:$J,C89,Projektu_sutarciu_ataskaita!$DG:$DG))</f>
        <v>0</v>
      </c>
      <c r="U89" s="1173">
        <f t="shared" si="152"/>
        <v>0</v>
      </c>
      <c r="V89" s="1173">
        <f t="shared" si="153"/>
        <v>0</v>
      </c>
      <c r="W89" s="1173">
        <f>SUM('3 pr-2'!U90)</f>
        <v>0</v>
      </c>
      <c r="X89" s="1173">
        <f>IF('ketv. 5 '!U89&gt;0,'ketv. 7 '!AB88,SUMIF(Projektu_sutarciu_ataskaita!$J:$J,C89,Projektu_sutarciu_ataskaita!$DM:$DM))</f>
        <v>0</v>
      </c>
      <c r="Y89" s="1173">
        <f t="shared" si="154"/>
        <v>0</v>
      </c>
      <c r="Z89" s="1173">
        <f t="shared" si="155"/>
        <v>0</v>
      </c>
      <c r="AA89" s="1173">
        <f>SUM('3 pr-2'!X90)</f>
        <v>0</v>
      </c>
      <c r="AB89" s="1173">
        <f>IF('ketv. 5 '!U89&gt;0,'ketv. 7 '!AG88,SUMIF(Projektu_sutarciu_ataskaita!$J:$J,C89,Projektu_sutarciu_ataskaita!$DL:$DL)+SUMIF(Projektu_sutarciu_ataskaita!$J:$J,C89,Projektu_sutarciu_ataskaita!$DJ:$DJ))</f>
        <v>0</v>
      </c>
      <c r="AC89" s="1173">
        <f>SUM(AA89-AB89)</f>
        <v>0</v>
      </c>
      <c r="AD89" s="1173">
        <f t="shared" si="156"/>
        <v>0</v>
      </c>
      <c r="AE89" s="1173">
        <f>SUM('3 pr-2'!AA90)</f>
        <v>84107.13</v>
      </c>
      <c r="AF89" s="1162">
        <f>IF('ketv. 5 '!U89&gt;0,'ketv. 7 '!AL88,SUMIF(Projektu_sutarciu_ataskaita!$J:$J,C89,Projektu_sutarciu_ataskaita!$DF:$DF))</f>
        <v>84107.13</v>
      </c>
      <c r="AG89" s="1559">
        <f t="shared" si="157"/>
        <v>0</v>
      </c>
      <c r="AH89" s="1177">
        <f t="shared" si="158"/>
        <v>0</v>
      </c>
      <c r="AI89" s="1173">
        <f>SUM('3 pr-2'!AB91)</f>
        <v>0</v>
      </c>
      <c r="AJ89" s="1162">
        <v>0</v>
      </c>
    </row>
    <row r="90" spans="1:36" ht="37.5" thickBot="1">
      <c r="A90" s="375" t="str">
        <f>CONCATENATE('3 pr-2'!A91)</f>
        <v>1.1.2.3.5</v>
      </c>
      <c r="B90" s="375" t="str">
        <f>CONCATENATE('3 pr-2'!B91)</f>
        <v>R01-5516-190000-1235</v>
      </c>
      <c r="C90" s="1558" t="str">
        <f>IF('ketv. 4 '!Z91&gt;0,'ketv. 4 '!C91,"-")</f>
        <v>-</v>
      </c>
      <c r="D90" s="375" t="str">
        <f>CONCATENATE('3 pr-2'!D91)</f>
        <v>Dviračių ir pėsčiųjų tako, esančio šalia Ratnyčios upelio Druskininkų mieste, rekonstrukcija</v>
      </c>
      <c r="E90" s="375" t="str">
        <f>CONCATENATE('3 pr-2'!E91)</f>
        <v xml:space="preserve">Druskininkų savivaldybės administracija  </v>
      </c>
      <c r="F90" s="375" t="str">
        <f>CONCATENATE('3 pr-2'!F91)</f>
        <v>Lietuvos Respublikos susisiekimo ministerija</v>
      </c>
      <c r="G90" s="375" t="str">
        <f>CONCATENATE('3 pr-2'!G91)</f>
        <v>Druskininkų sav.</v>
      </c>
      <c r="H90" s="375" t="str">
        <f>CONCATENATE('3 pr-2'!H91)</f>
        <v>04.5.1-TID-R-516</v>
      </c>
      <c r="I90" s="375" t="str">
        <f>CONCATENATE('3 pr-2'!I91)</f>
        <v>R</v>
      </c>
      <c r="J90" s="375" t="str">
        <f>CONCATENATE('3 pr-2'!J91)</f>
        <v>-</v>
      </c>
      <c r="K90" s="1173">
        <f>SUM('3 pr-2'!L91)</f>
        <v>71089</v>
      </c>
      <c r="L90" s="1173">
        <f t="shared" si="110"/>
        <v>0</v>
      </c>
      <c r="M90" s="1174">
        <f t="shared" si="148"/>
        <v>71089</v>
      </c>
      <c r="N90" s="1175">
        <f t="shared" si="149"/>
        <v>0</v>
      </c>
      <c r="O90" s="1173">
        <f>SUM('3 pr-2'!O91)</f>
        <v>14466</v>
      </c>
      <c r="P90" s="1173">
        <f>IF('ketv. 5 '!U90&gt;0,'ketv. 7 '!R89,SUMIF(Projektu_sutarciu_ataskaita!$J:$J,C90,Projektu_sutarciu_ataskaita!$DK:$DK))</f>
        <v>0</v>
      </c>
      <c r="Q90" s="1173">
        <f t="shared" si="150"/>
        <v>14466</v>
      </c>
      <c r="R90" s="1173">
        <f t="shared" si="151"/>
        <v>0</v>
      </c>
      <c r="S90" s="1173">
        <f>SUM('3 pr-2'!R91)</f>
        <v>0</v>
      </c>
      <c r="T90" s="1173">
        <f>IF('ketv. 5 '!U90&gt;0,'ketv. 7 '!W89,SUMIF(Projektu_sutarciu_ataskaita!$J:$J,C90,Projektu_sutarciu_ataskaita!$DG:$DG))</f>
        <v>0</v>
      </c>
      <c r="U90" s="1173">
        <f t="shared" si="152"/>
        <v>0</v>
      </c>
      <c r="V90" s="1173">
        <f t="shared" si="153"/>
        <v>0</v>
      </c>
      <c r="W90" s="1173">
        <f>SUM('3 pr-2'!U91)</f>
        <v>0</v>
      </c>
      <c r="X90" s="1173">
        <f>IF('ketv. 5 '!U90&gt;0,'ketv. 7 '!AB89,SUMIF(Projektu_sutarciu_ataskaita!$J:$J,C90,Projektu_sutarciu_ataskaita!$DM:$DM))</f>
        <v>0</v>
      </c>
      <c r="Y90" s="1173">
        <f t="shared" si="154"/>
        <v>0</v>
      </c>
      <c r="Z90" s="1173">
        <f t="shared" si="155"/>
        <v>0</v>
      </c>
      <c r="AA90" s="1173">
        <f>SUM('3 pr-2'!X91)</f>
        <v>0</v>
      </c>
      <c r="AB90" s="1173">
        <f>IF('ketv. 5 '!U90&gt;0,'ketv. 7 '!AG89,SUMIF(Projektu_sutarciu_ataskaita!$J:$J,C90,Projektu_sutarciu_ataskaita!$DL:$DL)+SUMIF(Projektu_sutarciu_ataskaita!$J:$J,C90,Projektu_sutarciu_ataskaita!$DJ:$DJ))</f>
        <v>0</v>
      </c>
      <c r="AC90" s="1173">
        <f>SUM(AA90-AB90)</f>
        <v>0</v>
      </c>
      <c r="AD90" s="1173">
        <f t="shared" si="156"/>
        <v>0</v>
      </c>
      <c r="AE90" s="1173">
        <f>SUM('3 pr-2'!AA91)</f>
        <v>56623</v>
      </c>
      <c r="AF90" s="1173">
        <f>IF('ketv. 5 '!U90&gt;0,'ketv. 7 '!AL89,SUMIF(Projektu_sutarciu_ataskaita!$J:$J,C90,Projektu_sutarciu_ataskaita!$DF:$DF))</f>
        <v>0</v>
      </c>
      <c r="AG90" s="1559">
        <f t="shared" si="157"/>
        <v>56623</v>
      </c>
      <c r="AH90" s="1177">
        <f t="shared" si="158"/>
        <v>0</v>
      </c>
      <c r="AI90" s="1173">
        <f>SUM('3 pr-2'!AB92)</f>
        <v>0</v>
      </c>
      <c r="AJ90" s="1173"/>
    </row>
    <row r="91" spans="1:36" ht="35.25" customHeight="1" thickBot="1">
      <c r="A91" s="296" t="str">
        <f>CONCATENATE('3 pr-2'!A92)</f>
        <v>1.1.2.4</v>
      </c>
      <c r="B91" s="2088" t="str">
        <f>CONCATENATE('3 pr-2'!B92)</f>
        <v>Priemonė:
Vietinių kelių techninių parametrų ir eismo saugos gerinimas</v>
      </c>
      <c r="C91" s="1894"/>
      <c r="D91" s="1894"/>
      <c r="E91" s="1894"/>
      <c r="F91" s="1894"/>
      <c r="G91" s="1894"/>
      <c r="H91" s="1894"/>
      <c r="I91" s="1894"/>
      <c r="J91" s="1895"/>
      <c r="K91" s="1168">
        <f>SUM('3 pr-2'!L92)</f>
        <v>4315878.84</v>
      </c>
      <c r="L91" s="1168">
        <f>SUM(L92:L98)</f>
        <v>4261527.8099999996</v>
      </c>
      <c r="M91" s="1169">
        <f>SUM(M92:M97)</f>
        <v>239670.52000000002</v>
      </c>
      <c r="N91" s="1170">
        <f>SUM(N92:N97)</f>
        <v>239670.52000000002</v>
      </c>
      <c r="O91" s="1168">
        <f>SUM('3 pr-2'!O92)</f>
        <v>1217686.06</v>
      </c>
      <c r="P91" s="1168">
        <f>SUM(P92:P98)</f>
        <v>1201799.93</v>
      </c>
      <c r="Q91" s="1168">
        <f>SUM(Q92:Q97)</f>
        <v>201205.62</v>
      </c>
      <c r="R91" s="1168">
        <f>SUM(R92:R97)</f>
        <v>201205.62</v>
      </c>
      <c r="S91" s="1168">
        <f>SUM('3 pr-2'!R92)</f>
        <v>0</v>
      </c>
      <c r="T91" s="1168">
        <f>SUM(T92:T98)</f>
        <v>0</v>
      </c>
      <c r="U91" s="1168">
        <f>SUM(U92:U97)</f>
        <v>0</v>
      </c>
      <c r="V91" s="1168">
        <f>SUM(V92:V97)</f>
        <v>0</v>
      </c>
      <c r="W91" s="1168">
        <f>SUM('3 pr-2'!U92)</f>
        <v>0</v>
      </c>
      <c r="X91" s="1168">
        <f>SUM(X92:X97)</f>
        <v>0</v>
      </c>
      <c r="Y91" s="1168">
        <f>SUM(Y92:Y97)</f>
        <v>0</v>
      </c>
      <c r="Z91" s="1168">
        <f>SUM(Z92:Z97)</f>
        <v>0</v>
      </c>
      <c r="AA91" s="1168">
        <f>SUM('3 pr-2'!X92)</f>
        <v>62660</v>
      </c>
      <c r="AB91" s="1168">
        <f>SUM(AB92:AB97)</f>
        <v>62660</v>
      </c>
      <c r="AC91" s="1168">
        <f>SUM(AC92:AC97)</f>
        <v>0</v>
      </c>
      <c r="AD91" s="1168">
        <f>SUM(AD92:AD97)</f>
        <v>0</v>
      </c>
      <c r="AE91" s="1168">
        <f>SUM('3 pr-2'!AA92)</f>
        <v>3035532.7800000003</v>
      </c>
      <c r="AF91" s="1168">
        <f>SUM(AF92:AF97)</f>
        <v>2884078.88</v>
      </c>
      <c r="AG91" s="1561">
        <f>SUM(AG92:AG97)</f>
        <v>38464.900000000023</v>
      </c>
      <c r="AH91" s="1562">
        <f>SUM(AH92:AH97)</f>
        <v>38464.900000000023</v>
      </c>
      <c r="AI91" s="1168">
        <f t="shared" ref="AI91:AJ91" si="159">SUM(AI92:AI97)</f>
        <v>0</v>
      </c>
      <c r="AJ91" s="1168">
        <f t="shared" si="159"/>
        <v>0</v>
      </c>
    </row>
    <row r="92" spans="1:36" ht="36.75">
      <c r="A92" s="375" t="str">
        <f>CONCATENATE('3 pr-2'!A93)</f>
        <v>1.1.2.4.1</v>
      </c>
      <c r="B92" s="375" t="str">
        <f>CONCATENATE('3 pr-2'!B93)</f>
        <v>R01-5511-120000-1241</v>
      </c>
      <c r="C92" s="1558" t="str">
        <f>IF('ketv. 4 '!Z93&gt;0,'ketv. 4 '!C93,"-")</f>
        <v>06.2.1-TID-R-511-11-0002</v>
      </c>
      <c r="D92" s="575" t="str">
        <f>CONCATENATE('3 pr-2'!D93)</f>
        <v>Varėnos miesto J. Basanavičiaus, Savanorių, M. K. Čiurlionio gatvių rekonstrukcija</v>
      </c>
      <c r="E92" s="375" t="str">
        <f>CONCATENATE('3 pr-2'!E93)</f>
        <v>Varėnos rajono savivaldybės administracija</v>
      </c>
      <c r="F92" s="375" t="str">
        <f>CONCATENATE('3 pr-2'!F93)</f>
        <v>Lietuvos Respublikos susisiekimo ministerija</v>
      </c>
      <c r="G92" s="375" t="str">
        <f>CONCATENATE('3 pr-2'!G93)</f>
        <v>Varėnos r. sav.</v>
      </c>
      <c r="H92" s="375" t="str">
        <f>CONCATENATE('3 pr-2'!H93)</f>
        <v>06.2.1-TID-R-511</v>
      </c>
      <c r="I92" s="375" t="str">
        <f>CONCATENATE('3 pr-2'!I93)</f>
        <v>R</v>
      </c>
      <c r="J92" s="375" t="str">
        <f>CONCATENATE('3 pr-2'!J93)</f>
        <v>ITI</v>
      </c>
      <c r="K92" s="1173">
        <f>SUM('3 pr-2'!L93)</f>
        <v>835464</v>
      </c>
      <c r="L92" s="1162">
        <f t="shared" si="110"/>
        <v>835464</v>
      </c>
      <c r="M92" s="1174">
        <f t="shared" ref="M92" si="160">SUM(K92-L92)</f>
        <v>0</v>
      </c>
      <c r="N92" s="1175">
        <f t="shared" ref="N92:N97" si="161">IF(L92&gt;0,K92-L92,0)</f>
        <v>0</v>
      </c>
      <c r="O92" s="1173">
        <f>SUM('3 pr-2'!O93)</f>
        <v>62660</v>
      </c>
      <c r="P92" s="1162">
        <f>IF('ketv. 5 '!U92&gt;0,'ketv. 7 '!R91,SUMIF(Projektu_sutarciu_ataskaita!$J:$J,C92,Projektu_sutarciu_ataskaita!$DK:$DK))</f>
        <v>62660</v>
      </c>
      <c r="Q92" s="1173">
        <f t="shared" ref="Q92:Q97" si="162">SUM(O92-P92)</f>
        <v>0</v>
      </c>
      <c r="R92" s="1173">
        <f t="shared" ref="R92:R97" si="163">IF(P92&gt;0,O92-P92,0)</f>
        <v>0</v>
      </c>
      <c r="S92" s="1173">
        <f>SUM('3 pr-2'!R93)</f>
        <v>0</v>
      </c>
      <c r="T92" s="1173">
        <f>IF('ketv. 5 '!U92&gt;0,'ketv. 7 '!W91,SUMIF(Projektu_sutarciu_ataskaita!$J:$J,C92,Projektu_sutarciu_ataskaita!$DG:$DG))</f>
        <v>0</v>
      </c>
      <c r="U92" s="1173">
        <f t="shared" ref="U92:U97" si="164">SUM(S92-T92)</f>
        <v>0</v>
      </c>
      <c r="V92" s="1173">
        <f t="shared" ref="V92:V97" si="165">IF(T92&gt;0,S92-T92,0)</f>
        <v>0</v>
      </c>
      <c r="W92" s="1173">
        <f>SUM('3 pr-2'!U93)</f>
        <v>0</v>
      </c>
      <c r="X92" s="1173">
        <f>IF('ketv. 5 '!U92&gt;0,'ketv. 7 '!AB91,SUMIF(Projektu_sutarciu_ataskaita!$J:$J,C92,Projektu_sutarciu_ataskaita!$DM:$DM))</f>
        <v>0</v>
      </c>
      <c r="Y92" s="1173">
        <f t="shared" ref="Y92:Y97" si="166">SUM(W92-X92)</f>
        <v>0</v>
      </c>
      <c r="Z92" s="1173">
        <f t="shared" ref="Z92:Z97" si="167">IF(X92&gt;0,W92-X92,0)</f>
        <v>0</v>
      </c>
      <c r="AA92" s="1173">
        <f>SUM('3 pr-2'!X93)</f>
        <v>62660</v>
      </c>
      <c r="AB92" s="1162">
        <f>IF('ketv. 5 '!U92&gt;0,'ketv. 7 '!AG91,SUMIF(Projektu_sutarciu_ataskaita!$J:$J,C92,Projektu_sutarciu_ataskaita!$DL:$DL)+SUMIF(Projektu_sutarciu_ataskaita!$J:$J,C92,Projektu_sutarciu_ataskaita!$DJ:$DJ))</f>
        <v>62660</v>
      </c>
      <c r="AC92" s="1173">
        <f t="shared" ref="AC92:AC97" si="168">SUM(AA92-AB92)</f>
        <v>0</v>
      </c>
      <c r="AD92" s="1173">
        <f t="shared" ref="AD92:AD97" si="169">IF(AB92&gt;0,AA92-AB92,0)</f>
        <v>0</v>
      </c>
      <c r="AE92" s="1173">
        <f>SUM('3 pr-2'!AA93)</f>
        <v>710144</v>
      </c>
      <c r="AF92" s="1162">
        <f>IF('ketv. 5 '!U92&gt;0,'ketv. 7 '!AL91,SUMIF(Projektu_sutarciu_ataskaita!$J:$J,C92,Projektu_sutarciu_ataskaita!$DF:$DF))</f>
        <v>710144</v>
      </c>
      <c r="AG92" s="1559">
        <f t="shared" ref="AG92" si="170">SUM(AE92-AF92)</f>
        <v>0</v>
      </c>
      <c r="AH92" s="1177">
        <f t="shared" ref="AH92:AH97" si="171">IF(AF92&gt;0,AE92-AF92,0)</f>
        <v>0</v>
      </c>
      <c r="AI92" s="1173">
        <f>SUM('3 pr-2'!AB94)</f>
        <v>0</v>
      </c>
      <c r="AJ92" s="1162">
        <v>0</v>
      </c>
    </row>
    <row r="93" spans="1:36" ht="36.75">
      <c r="A93" s="375" t="str">
        <f>CONCATENATE('3 pr-2'!A94)</f>
        <v>1.1.2.4.2</v>
      </c>
      <c r="B93" s="375" t="str">
        <f>CONCATENATE('3 pr-2'!B94)</f>
        <v>R01-5511-110000-1242</v>
      </c>
      <c r="C93" s="1558" t="str">
        <f>IF('ketv. 4 '!Z94&gt;0,'ketv. 4 '!C94,"-")</f>
        <v>06.2.1-TID-R-511-11-0001</v>
      </c>
      <c r="D93" s="575" t="str">
        <f>CONCATENATE('3 pr-2'!D94)</f>
        <v>Perspektyvinės gatvės nuo Pramonės g. iki Naujosios g. Alytuje įrengimas</v>
      </c>
      <c r="E93" s="375" t="str">
        <f>CONCATENATE('3 pr-2'!E94)</f>
        <v>Alytaus miesto savivaldybės administracija</v>
      </c>
      <c r="F93" s="375" t="str">
        <f>CONCATENATE('3 pr-2'!F94)</f>
        <v>Lietuvos Respublikos susisiekimo ministerija</v>
      </c>
      <c r="G93" s="375" t="str">
        <f>CONCATENATE('3 pr-2'!G94)</f>
        <v>Alytaus m. sav.</v>
      </c>
      <c r="H93" s="375" t="str">
        <f>CONCATENATE('3 pr-2'!H94)</f>
        <v>06.2.1-TID-R-511</v>
      </c>
      <c r="I93" s="375" t="str">
        <f>CONCATENATE('3 pr-2'!I94)</f>
        <v>R</v>
      </c>
      <c r="J93" s="375" t="str">
        <f>CONCATENATE('3 pr-2'!J94)</f>
        <v>ITI</v>
      </c>
      <c r="K93" s="1173">
        <f>SUM('3 pr-2'!L94)</f>
        <v>879927.06</v>
      </c>
      <c r="L93" s="1162">
        <f t="shared" si="110"/>
        <v>879927.06</v>
      </c>
      <c r="M93" s="1174">
        <f>SUM(K93-L93)</f>
        <v>0</v>
      </c>
      <c r="N93" s="1175">
        <f t="shared" si="161"/>
        <v>0</v>
      </c>
      <c r="O93" s="1173">
        <f>SUM('3 pr-2'!O94)</f>
        <v>131989.06</v>
      </c>
      <c r="P93" s="1162">
        <f>IF('ketv. 5 '!U93&gt;0,'ketv. 7 '!R92,SUMIF(Projektu_sutarciu_ataskaita!$J:$J,C93,Projektu_sutarciu_ataskaita!$DK:$DK))</f>
        <v>131989.06</v>
      </c>
      <c r="Q93" s="1173">
        <f t="shared" si="162"/>
        <v>0</v>
      </c>
      <c r="R93" s="1173">
        <f t="shared" si="163"/>
        <v>0</v>
      </c>
      <c r="S93" s="1173">
        <f>SUM('3 pr-2'!R94)</f>
        <v>0</v>
      </c>
      <c r="T93" s="1173">
        <f>IF('ketv. 5 '!U93&gt;0,'ketv. 7 '!W92,SUMIF(Projektu_sutarciu_ataskaita!$J:$J,C93,Projektu_sutarciu_ataskaita!$DG:$DG))</f>
        <v>0</v>
      </c>
      <c r="U93" s="1173">
        <f t="shared" si="164"/>
        <v>0</v>
      </c>
      <c r="V93" s="1173">
        <f t="shared" si="165"/>
        <v>0</v>
      </c>
      <c r="W93" s="1173">
        <f>SUM('3 pr-2'!U94)</f>
        <v>0</v>
      </c>
      <c r="X93" s="1173">
        <f>IF('ketv. 5 '!U93&gt;0,'ketv. 7 '!AB92,SUMIF(Projektu_sutarciu_ataskaita!$J:$J,C93,Projektu_sutarciu_ataskaita!$DM:$DM))</f>
        <v>0</v>
      </c>
      <c r="Y93" s="1173">
        <f t="shared" si="166"/>
        <v>0</v>
      </c>
      <c r="Z93" s="1173">
        <f t="shared" si="167"/>
        <v>0</v>
      </c>
      <c r="AA93" s="1173">
        <f>SUM('3 pr-2'!X94)</f>
        <v>0</v>
      </c>
      <c r="AB93" s="1173">
        <f>IF('ketv. 5 '!U93&gt;0,'ketv. 7 '!AG92,SUMIF(Projektu_sutarciu_ataskaita!$J:$J,C93,Projektu_sutarciu_ataskaita!$DL:$DL)+SUMIF(Projektu_sutarciu_ataskaita!$J:$J,C93,Projektu_sutarciu_ataskaita!$DJ:$DJ))</f>
        <v>0</v>
      </c>
      <c r="AC93" s="1173">
        <f t="shared" si="168"/>
        <v>0</v>
      </c>
      <c r="AD93" s="1173">
        <f t="shared" si="169"/>
        <v>0</v>
      </c>
      <c r="AE93" s="1173">
        <f>SUM('3 pr-2'!AA94)</f>
        <v>747938</v>
      </c>
      <c r="AF93" s="1162">
        <f>IF('ketv. 5 '!U93&gt;0,'ketv. 7 '!AL92,SUMIF(Projektu_sutarciu_ataskaita!$J:$J,C93,Projektu_sutarciu_ataskaita!$DF:$DF))</f>
        <v>747938</v>
      </c>
      <c r="AG93" s="1559">
        <f>SUM(AE93-AF93)</f>
        <v>0</v>
      </c>
      <c r="AH93" s="1177">
        <f t="shared" si="171"/>
        <v>0</v>
      </c>
      <c r="AI93" s="1173">
        <f>SUM('3 pr-2'!AB95)</f>
        <v>0</v>
      </c>
      <c r="AJ93" s="1162">
        <v>0</v>
      </c>
    </row>
    <row r="94" spans="1:36" ht="36.75">
      <c r="A94" s="375" t="str">
        <f>CONCATENATE('3 pr-2'!A95)</f>
        <v>1.1.2.4.3.</v>
      </c>
      <c r="B94" s="375" t="str">
        <f>CONCATENATE('3 pr-2'!B95)</f>
        <v>R01-5511-500000-1243</v>
      </c>
      <c r="C94" s="1558" t="str">
        <f>IF('ketv. 4 '!Z95&gt;0,'ketv. 4 '!C95,"-")</f>
        <v>06.2.1-TID-R-511-11-0008</v>
      </c>
      <c r="D94" s="575" t="str">
        <f>CONCATENATE('3 pr-2'!D95)</f>
        <v>Saugaus eismo priemonių diegimas Alytaus mieste</v>
      </c>
      <c r="E94" s="375" t="str">
        <f>CONCATENATE('3 pr-2'!E95)</f>
        <v>Alytaus miesto savivaldybės administracija</v>
      </c>
      <c r="F94" s="375" t="str">
        <f>CONCATENATE('3 pr-2'!F95)</f>
        <v>Lietuvos Respublikos susisiekimo ministerija</v>
      </c>
      <c r="G94" s="375" t="str">
        <f>CONCATENATE('3 pr-2'!G95)</f>
        <v>Alytaus m. sav.</v>
      </c>
      <c r="H94" s="375" t="str">
        <f>CONCATENATE('3 pr-2'!H95)</f>
        <v>06.2.1-TID-R-511</v>
      </c>
      <c r="I94" s="375" t="str">
        <f>CONCATENATE('3 pr-2'!I95)</f>
        <v>R</v>
      </c>
      <c r="J94" s="375" t="str">
        <f>CONCATENATE('3 pr-2'!J95)</f>
        <v>-</v>
      </c>
      <c r="K94" s="1173">
        <f>SUM('3 pr-2'!L95)</f>
        <v>274146.8</v>
      </c>
      <c r="L94" s="1162">
        <f t="shared" si="110"/>
        <v>274146.8</v>
      </c>
      <c r="M94" s="1174">
        <f t="shared" ref="M94:M97" si="172">SUM(K94-L94)</f>
        <v>0</v>
      </c>
      <c r="N94" s="1175">
        <f t="shared" si="161"/>
        <v>0</v>
      </c>
      <c r="O94" s="1173">
        <f>SUM('3 pr-2'!O95)</f>
        <v>41122.019999999997</v>
      </c>
      <c r="P94" s="1162">
        <f>IF('ketv. 5 '!U94&gt;0,'ketv. 7 '!R93,SUMIF(Projektu_sutarciu_ataskaita!$J:$J,C94,Projektu_sutarciu_ataskaita!$DK:$DK))</f>
        <v>41122.019999999997</v>
      </c>
      <c r="Q94" s="1173">
        <f t="shared" si="162"/>
        <v>0</v>
      </c>
      <c r="R94" s="1173">
        <f t="shared" si="163"/>
        <v>0</v>
      </c>
      <c r="S94" s="1173">
        <f>SUM('3 pr-2'!R95)</f>
        <v>0</v>
      </c>
      <c r="T94" s="1173">
        <f>IF('ketv. 5 '!U94&gt;0,'ketv. 7 '!W93,SUMIF(Projektu_sutarciu_ataskaita!$J:$J,C94,Projektu_sutarciu_ataskaita!$DG:$DG))</f>
        <v>0</v>
      </c>
      <c r="U94" s="1173">
        <f t="shared" si="164"/>
        <v>0</v>
      </c>
      <c r="V94" s="1173">
        <f t="shared" si="165"/>
        <v>0</v>
      </c>
      <c r="W94" s="1173">
        <f>SUM('3 pr-2'!U95)</f>
        <v>0</v>
      </c>
      <c r="X94" s="1173">
        <f>IF('ketv. 5 '!U94&gt;0,'ketv. 7 '!AB93,SUMIF(Projektu_sutarciu_ataskaita!$J:$J,C94,Projektu_sutarciu_ataskaita!$DM:$DM))</f>
        <v>0</v>
      </c>
      <c r="Y94" s="1173">
        <f t="shared" si="166"/>
        <v>0</v>
      </c>
      <c r="Z94" s="1173">
        <f t="shared" si="167"/>
        <v>0</v>
      </c>
      <c r="AA94" s="1173">
        <f>SUM('3 pr-2'!X95)</f>
        <v>0</v>
      </c>
      <c r="AB94" s="1173">
        <f>IF('ketv. 5 '!U94&gt;0,'ketv. 7 '!AG93,SUMIF(Projektu_sutarciu_ataskaita!$J:$J,C94,Projektu_sutarciu_ataskaita!$DL:$DL)+SUMIF(Projektu_sutarciu_ataskaita!$J:$J,C94,Projektu_sutarciu_ataskaita!$DJ:$DJ))</f>
        <v>0</v>
      </c>
      <c r="AC94" s="1173">
        <f t="shared" si="168"/>
        <v>0</v>
      </c>
      <c r="AD94" s="1173">
        <f t="shared" si="169"/>
        <v>0</v>
      </c>
      <c r="AE94" s="1173">
        <f>SUM('3 pr-2'!AA95)</f>
        <v>233024.78</v>
      </c>
      <c r="AF94" s="1162">
        <f>IF('ketv. 5 '!U94&gt;0,'ketv. 7 '!AL93,SUMIF(Projektu_sutarciu_ataskaita!$J:$J,C94,Projektu_sutarciu_ataskaita!$DF:$DF))</f>
        <v>233024.78</v>
      </c>
      <c r="AG94" s="1559">
        <f t="shared" ref="AG94:AG97" si="173">SUM(AE94-AF94)</f>
        <v>0</v>
      </c>
      <c r="AH94" s="1177">
        <f t="shared" si="171"/>
        <v>0</v>
      </c>
      <c r="AI94" s="1173">
        <f>SUM('3 pr-2'!AB96)</f>
        <v>0</v>
      </c>
      <c r="AJ94" s="1173"/>
    </row>
    <row r="95" spans="1:36" ht="36.75">
      <c r="A95" s="375" t="str">
        <f>CONCATENATE('3 pr-2'!A96)</f>
        <v>1.1.2.4.4</v>
      </c>
      <c r="B95" s="375" t="str">
        <f>CONCATENATE('3 pr-2'!B96)</f>
        <v>R01-5511-500000-1244</v>
      </c>
      <c r="C95" s="1558" t="str">
        <f>IF('ketv. 4 '!Z96&gt;0,'ketv. 4 '!C96,"-")</f>
        <v>06.2.1-TID-R-511-11-0006</v>
      </c>
      <c r="D95" s="575" t="str">
        <f>CONCATENATE('3 pr-2'!D96)</f>
        <v>Eismo saugos priemonių diegimas Alytaus rajono savivaldybėje</v>
      </c>
      <c r="E95" s="375" t="str">
        <f>CONCATENATE('3 pr-2'!E96)</f>
        <v>Alytaus rajono savivaldybės administracija</v>
      </c>
      <c r="F95" s="375" t="str">
        <f>CONCATENATE('3 pr-2'!F96)</f>
        <v>Lietuvos Respublikos susisiekimo ministerija</v>
      </c>
      <c r="G95" s="375" t="str">
        <f>CONCATENATE('3 pr-2'!G96)</f>
        <v>Alytaus r. sav.</v>
      </c>
      <c r="H95" s="375" t="str">
        <f>CONCATENATE('3 pr-2'!H96)</f>
        <v>06.2.1-TID-R-511</v>
      </c>
      <c r="I95" s="375" t="str">
        <f>CONCATENATE('3 pr-2'!I96)</f>
        <v>R</v>
      </c>
      <c r="J95" s="375" t="str">
        <f>CONCATENATE('3 pr-2'!J96)</f>
        <v>-</v>
      </c>
      <c r="K95" s="1173">
        <f>SUM('3 pr-2'!L96)</f>
        <v>274817.98</v>
      </c>
      <c r="L95" s="1162">
        <f t="shared" si="110"/>
        <v>274817.98</v>
      </c>
      <c r="M95" s="1174">
        <f t="shared" si="172"/>
        <v>0</v>
      </c>
      <c r="N95" s="1175">
        <f t="shared" si="161"/>
        <v>0</v>
      </c>
      <c r="O95" s="1173">
        <f>SUM('3 pr-2'!O96)</f>
        <v>73973.98</v>
      </c>
      <c r="P95" s="1162">
        <f>IF('ketv. 5 '!U95&gt;0,'ketv. 7 '!R94,SUMIF(Projektu_sutarciu_ataskaita!$J:$J,C95,Projektu_sutarciu_ataskaita!$DK:$DK))</f>
        <v>73973.98</v>
      </c>
      <c r="Q95" s="1173">
        <f t="shared" si="162"/>
        <v>0</v>
      </c>
      <c r="R95" s="1173">
        <f t="shared" si="163"/>
        <v>0</v>
      </c>
      <c r="S95" s="1173">
        <f>SUM('3 pr-2'!R96)</f>
        <v>0</v>
      </c>
      <c r="T95" s="1173">
        <f>IF('ketv. 5 '!U95&gt;0,'ketv. 7 '!W94,SUMIF(Projektu_sutarciu_ataskaita!$J:$J,C95,Projektu_sutarciu_ataskaita!$DG:$DG))</f>
        <v>0</v>
      </c>
      <c r="U95" s="1173">
        <f t="shared" si="164"/>
        <v>0</v>
      </c>
      <c r="V95" s="1173">
        <f t="shared" si="165"/>
        <v>0</v>
      </c>
      <c r="W95" s="1173">
        <f>SUM('3 pr-2'!U96)</f>
        <v>0</v>
      </c>
      <c r="X95" s="1173">
        <f>IF('ketv. 5 '!U95&gt;0,'ketv. 7 '!AB94,SUMIF(Projektu_sutarciu_ataskaita!$J:$J,C95,Projektu_sutarciu_ataskaita!$DM:$DM))</f>
        <v>0</v>
      </c>
      <c r="Y95" s="1173">
        <f t="shared" si="166"/>
        <v>0</v>
      </c>
      <c r="Z95" s="1173">
        <f t="shared" si="167"/>
        <v>0</v>
      </c>
      <c r="AA95" s="1173">
        <f>SUM('3 pr-2'!X96)</f>
        <v>0</v>
      </c>
      <c r="AB95" s="1173">
        <f>IF('ketv. 5 '!U95&gt;0,'ketv. 7 '!AG94,SUMIF(Projektu_sutarciu_ataskaita!$J:$J,C95,Projektu_sutarciu_ataskaita!$DL:$DL)+SUMIF(Projektu_sutarciu_ataskaita!$J:$J,C95,Projektu_sutarciu_ataskaita!$DJ:$DJ))</f>
        <v>0</v>
      </c>
      <c r="AC95" s="1173">
        <f t="shared" si="168"/>
        <v>0</v>
      </c>
      <c r="AD95" s="1173">
        <f t="shared" si="169"/>
        <v>0</v>
      </c>
      <c r="AE95" s="1173">
        <f>SUM('3 pr-2'!AA96)</f>
        <v>200844</v>
      </c>
      <c r="AF95" s="1162">
        <f>IF('ketv. 5 '!U95&gt;0,'ketv. 7 '!AL94,SUMIF(Projektu_sutarciu_ataskaita!$J:$J,C95,Projektu_sutarciu_ataskaita!$DF:$DF))</f>
        <v>200844</v>
      </c>
      <c r="AG95" s="1559">
        <f t="shared" si="173"/>
        <v>0</v>
      </c>
      <c r="AH95" s="1177">
        <f t="shared" si="171"/>
        <v>0</v>
      </c>
      <c r="AI95" s="1173">
        <f>SUM('3 pr-2'!AB97)</f>
        <v>0</v>
      </c>
      <c r="AJ95" s="1173"/>
    </row>
    <row r="96" spans="1:36" ht="36.75">
      <c r="A96" s="375" t="str">
        <f>CONCATENATE('3 pr-2'!A97)</f>
        <v>1.1.2.4.5</v>
      </c>
      <c r="B96" s="375" t="str">
        <f>CONCATENATE('3 pr-2'!B97)</f>
        <v>R01-5511-120900-1245</v>
      </c>
      <c r="C96" s="1558" t="str">
        <f>IF('ketv. 4 '!Z97&gt;0,'ketv. 4 '!C97,"-")</f>
        <v>06.2.1-TID-R-511-11-0007</v>
      </c>
      <c r="D96" s="575" t="str">
        <f>CONCATENATE('3 pr-2'!D97)</f>
        <v>M.K. Čiurlionio gatvės atkarpos Druskininkų m. rekonstrukcija</v>
      </c>
      <c r="E96" s="375" t="str">
        <f>CONCATENATE('3 pr-2'!E97)</f>
        <v xml:space="preserve">Druskininkų savivaldybės administracija  </v>
      </c>
      <c r="F96" s="375" t="str">
        <f>CONCATENATE('3 pr-2'!F97)</f>
        <v>Lietuvos Respublikos susisiekimo ministerija</v>
      </c>
      <c r="G96" s="375" t="str">
        <f>CONCATENATE('3 pr-2'!G97)</f>
        <v>Druskininkų sav.</v>
      </c>
      <c r="H96" s="375" t="str">
        <f>CONCATENATE('3 pr-2'!H97)</f>
        <v>06.2.1-TID-R-511</v>
      </c>
      <c r="I96" s="375" t="str">
        <f>CONCATENATE('3 pr-2'!I97)</f>
        <v>R</v>
      </c>
      <c r="J96" s="375" t="str">
        <f>CONCATENATE('3 pr-2'!J97)</f>
        <v>ITI</v>
      </c>
      <c r="K96" s="1173">
        <f>SUM('3 pr-2'!L97)</f>
        <v>1156237</v>
      </c>
      <c r="L96" s="1162">
        <f t="shared" si="110"/>
        <v>916566.48</v>
      </c>
      <c r="M96" s="1174">
        <f t="shared" si="172"/>
        <v>239670.52000000002</v>
      </c>
      <c r="N96" s="1175">
        <f t="shared" si="161"/>
        <v>239670.52000000002</v>
      </c>
      <c r="O96" s="1173">
        <f>SUM('3 pr-2'!O97)</f>
        <v>771588</v>
      </c>
      <c r="P96" s="1162">
        <f>IF('ketv. 5 '!U96&gt;0,'ketv. 7 '!R95,SUMIF(Projektu_sutarciu_ataskaita!$J:$J,C96,Projektu_sutarciu_ataskaita!$DK:$DK))</f>
        <v>570382.38</v>
      </c>
      <c r="Q96" s="1173">
        <f t="shared" si="162"/>
        <v>201205.62</v>
      </c>
      <c r="R96" s="1173">
        <f t="shared" si="163"/>
        <v>201205.62</v>
      </c>
      <c r="S96" s="1173">
        <f>SUM('3 pr-2'!R97)</f>
        <v>0</v>
      </c>
      <c r="T96" s="1173">
        <f>IF('ketv. 5 '!U96&gt;0,'ketv. 7 '!W95,SUMIF(Projektu_sutarciu_ataskaita!$J:$J,C96,Projektu_sutarciu_ataskaita!$DG:$DG))</f>
        <v>0</v>
      </c>
      <c r="U96" s="1173">
        <f t="shared" si="164"/>
        <v>0</v>
      </c>
      <c r="V96" s="1173">
        <f t="shared" si="165"/>
        <v>0</v>
      </c>
      <c r="W96" s="1173">
        <f>SUM('3 pr-2'!U97)</f>
        <v>0</v>
      </c>
      <c r="X96" s="1173">
        <f>IF('ketv. 5 '!U96&gt;0,'ketv. 7 '!AB95,SUMIF(Projektu_sutarciu_ataskaita!$J:$J,C96,Projektu_sutarciu_ataskaita!$DM:$DM))</f>
        <v>0</v>
      </c>
      <c r="Y96" s="1173">
        <f t="shared" si="166"/>
        <v>0</v>
      </c>
      <c r="Z96" s="1173">
        <f t="shared" si="167"/>
        <v>0</v>
      </c>
      <c r="AA96" s="1173">
        <f>SUM('3 pr-2'!X97)</f>
        <v>0</v>
      </c>
      <c r="AB96" s="1173">
        <f>IF('ketv. 5 '!U96&gt;0,'ketv. 7 '!AG95,SUMIF(Projektu_sutarciu_ataskaita!$J:$J,C96,Projektu_sutarciu_ataskaita!$DL:$DL)+SUMIF(Projektu_sutarciu_ataskaita!$J:$J,C96,Projektu_sutarciu_ataskaita!$DJ:$DJ))</f>
        <v>0</v>
      </c>
      <c r="AC96" s="1173">
        <f t="shared" si="168"/>
        <v>0</v>
      </c>
      <c r="AD96" s="1173">
        <f t="shared" si="169"/>
        <v>0</v>
      </c>
      <c r="AE96" s="1173">
        <f>SUM('3 pr-2'!AA97)</f>
        <v>384649</v>
      </c>
      <c r="AF96" s="1162">
        <f>IF('ketv. 5 '!U96&gt;0,'ketv. 7 '!AL95,SUMIF(Projektu_sutarciu_ataskaita!$J:$J,C96,Projektu_sutarciu_ataskaita!$DF:$DF))</f>
        <v>346184.1</v>
      </c>
      <c r="AG96" s="1559">
        <f t="shared" si="173"/>
        <v>38464.900000000023</v>
      </c>
      <c r="AH96" s="1177">
        <f t="shared" si="171"/>
        <v>38464.900000000023</v>
      </c>
      <c r="AI96" s="1173">
        <f>SUM('3 pr-2'!AB98)</f>
        <v>0</v>
      </c>
      <c r="AJ96" s="1173"/>
    </row>
    <row r="97" spans="1:36" ht="36.75">
      <c r="A97" s="375" t="str">
        <f>CONCATENATE('3 pr-2'!A98)</f>
        <v>1.1.2.4.6</v>
      </c>
      <c r="B97" s="375" t="str">
        <f>CONCATENATE('3 pr-2'!B98)</f>
        <v>R01-5511-120000-1246</v>
      </c>
      <c r="C97" s="1558" t="str">
        <f>IF('ketv. 4 '!Z98&gt;0,'ketv. 4 '!C98,"-")</f>
        <v>06.2.1-TID-R-511-11-0004</v>
      </c>
      <c r="D97" s="575" t="str">
        <f>CONCATENATE('3 pr-2'!D98)</f>
        <v>Lazdijų miesto Seinų ir Lazdijos gatvių bei vietinės reikšmės kelio nuo Janonio gatvės iki Lazdijų hipodromo rekonstravimas</v>
      </c>
      <c r="E97" s="375" t="str">
        <f>CONCATENATE('3 pr-2'!E98)</f>
        <v>Lazdijų rajono savivaldybės administracija</v>
      </c>
      <c r="F97" s="375" t="str">
        <f>CONCATENATE('3 pr-2'!F98)</f>
        <v>Lietuvos Respublikos susisiekimo ministerija</v>
      </c>
      <c r="G97" s="375" t="str">
        <f>CONCATENATE('3 pr-2'!G98)</f>
        <v>Lazdijų r. sav.</v>
      </c>
      <c r="H97" s="375" t="str">
        <f>CONCATENATE('3 pr-2'!H98)</f>
        <v>06.2.1-TID-R-511</v>
      </c>
      <c r="I97" s="375" t="str">
        <f>CONCATENATE('3 pr-2'!I98)</f>
        <v>R</v>
      </c>
      <c r="J97" s="375" t="str">
        <f>CONCATENATE('3 pr-2'!J98)</f>
        <v>ITI</v>
      </c>
      <c r="K97" s="1173">
        <f>SUM('3 pr-2'!L98)</f>
        <v>759934</v>
      </c>
      <c r="L97" s="1162">
        <f t="shared" si="110"/>
        <v>759934</v>
      </c>
      <c r="M97" s="1174">
        <f t="shared" si="172"/>
        <v>0</v>
      </c>
      <c r="N97" s="1175">
        <f t="shared" si="161"/>
        <v>0</v>
      </c>
      <c r="O97" s="1173">
        <f>SUM('3 pr-2'!O98)</f>
        <v>113990</v>
      </c>
      <c r="P97" s="1162">
        <f>IF('ketv. 5 '!U97&gt;0,'ketv. 7 '!R96,SUMIF(Projektu_sutarciu_ataskaita!$J:$J,C97,Projektu_sutarciu_ataskaita!$DK:$DK))</f>
        <v>113990</v>
      </c>
      <c r="Q97" s="1173">
        <f t="shared" si="162"/>
        <v>0</v>
      </c>
      <c r="R97" s="1173">
        <f t="shared" si="163"/>
        <v>0</v>
      </c>
      <c r="S97" s="1173">
        <f>SUM('3 pr-2'!R98)</f>
        <v>0</v>
      </c>
      <c r="T97" s="1173">
        <f>IF('ketv. 5 '!U97&gt;0,'ketv. 7 '!W96,SUMIF(Projektu_sutarciu_ataskaita!$J:$J,C97,Projektu_sutarciu_ataskaita!$DG:$DG))</f>
        <v>0</v>
      </c>
      <c r="U97" s="1173">
        <f t="shared" si="164"/>
        <v>0</v>
      </c>
      <c r="V97" s="1173">
        <f t="shared" si="165"/>
        <v>0</v>
      </c>
      <c r="W97" s="1173">
        <f>SUM('3 pr-2'!U98)</f>
        <v>0</v>
      </c>
      <c r="X97" s="1173">
        <f>IF('ketv. 5 '!U97&gt;0,'ketv. 7 '!AB96,SUMIF(Projektu_sutarciu_ataskaita!$J:$J,C97,Projektu_sutarciu_ataskaita!$DM:$DM))</f>
        <v>0</v>
      </c>
      <c r="Y97" s="1173">
        <f t="shared" si="166"/>
        <v>0</v>
      </c>
      <c r="Z97" s="1173">
        <f t="shared" si="167"/>
        <v>0</v>
      </c>
      <c r="AA97" s="1173">
        <f>SUM('3 pr-2'!X98)</f>
        <v>0</v>
      </c>
      <c r="AB97" s="1173">
        <f>IF('ketv. 5 '!U97&gt;0,'ketv. 7 '!AG96,SUMIF(Projektu_sutarciu_ataskaita!$J:$J,C97,Projektu_sutarciu_ataskaita!$DL:$DL)+SUMIF(Projektu_sutarciu_ataskaita!$J:$J,C97,Projektu_sutarciu_ataskaita!$DJ:$DJ))</f>
        <v>0</v>
      </c>
      <c r="AC97" s="1173">
        <f t="shared" si="168"/>
        <v>0</v>
      </c>
      <c r="AD97" s="1173">
        <f t="shared" si="169"/>
        <v>0</v>
      </c>
      <c r="AE97" s="1173">
        <f>SUM('3 pr-2'!AA98)</f>
        <v>645944</v>
      </c>
      <c r="AF97" s="1162">
        <f>IF('ketv. 5 '!U97&gt;0,'ketv. 7 '!AL96,SUMIF(Projektu_sutarciu_ataskaita!$J:$J,C97,Projektu_sutarciu_ataskaita!$DF:$DF))</f>
        <v>645944</v>
      </c>
      <c r="AG97" s="1178">
        <f t="shared" si="173"/>
        <v>0</v>
      </c>
      <c r="AH97" s="1177">
        <f t="shared" si="171"/>
        <v>0</v>
      </c>
      <c r="AI97" s="1173">
        <f>SUM('3 pr-2'!AB99)</f>
        <v>0</v>
      </c>
      <c r="AJ97" s="1162">
        <v>0</v>
      </c>
    </row>
    <row r="98" spans="1:36" ht="37.5" thickBot="1">
      <c r="A98" s="375" t="str">
        <f>CONCATENATE('3 pr-2'!A99)</f>
        <v>1.1.2.4.7</v>
      </c>
      <c r="B98" s="375" t="str">
        <f>CONCATENATE('3 pr-2'!B99)</f>
        <v>R01-5511-120000-1247</v>
      </c>
      <c r="C98" s="1558" t="str">
        <f>IF('ketv. 4 '!Z99&gt;0,'ketv. 4 '!C99,"-")</f>
        <v>06.2.1-TID-R-511-11-0009</v>
      </c>
      <c r="D98" s="575" t="str">
        <f>CONCATENATE('3 pr-2'!D99)</f>
        <v>Eismo saugumo priemonių diegimas Druskininkų savivaldybėje</v>
      </c>
      <c r="E98" s="375" t="str">
        <f>CONCATENATE('3 pr-2'!E99)</f>
        <v xml:space="preserve">Druskininkų savivaldybės administracija  </v>
      </c>
      <c r="F98" s="375" t="str">
        <f>CONCATENATE('3 pr-2'!F99)</f>
        <v>Lietuvos Respublikos susisiekimo ministerija</v>
      </c>
      <c r="G98" s="375" t="str">
        <f>CONCATENATE('3 pr-2'!G99)</f>
        <v>Druskininkų sav.</v>
      </c>
      <c r="H98" s="375" t="str">
        <f>CONCATENATE('3 pr-2'!H99)</f>
        <v>06.2.1-TID-R-511</v>
      </c>
      <c r="I98" s="375" t="str">
        <f>CONCATENATE('3 pr-2'!I99)</f>
        <v>R</v>
      </c>
      <c r="J98" s="375" t="str">
        <f>CONCATENATE('3 pr-2'!J99)</f>
        <v>-</v>
      </c>
      <c r="K98" s="1173">
        <f>SUM('3 pr-2'!L99)</f>
        <v>135352</v>
      </c>
      <c r="L98" s="1173">
        <f t="shared" si="110"/>
        <v>320671.49</v>
      </c>
      <c r="M98" s="1174">
        <f t="shared" ref="M98" si="174">SUM(K98-L98)</f>
        <v>-185319.49</v>
      </c>
      <c r="N98" s="1175">
        <f t="shared" ref="N98" si="175">IF(L98&gt;0,K98-L98,0)</f>
        <v>-185319.49</v>
      </c>
      <c r="O98" s="1173">
        <f>SUM('3 pr-2'!O99)</f>
        <v>22363</v>
      </c>
      <c r="P98" s="1162">
        <f>IF('ketv. 5 '!U98&gt;0,'ketv. 7 '!R97,SUMIF(Projektu_sutarciu_ataskaita!$J:$J,C98,Projektu_sutarciu_ataskaita!$DK:$DK))</f>
        <v>207682.49</v>
      </c>
      <c r="Q98" s="1173">
        <f t="shared" ref="Q98" si="176">SUM(O98-P98)</f>
        <v>-185319.49</v>
      </c>
      <c r="R98" s="1173">
        <f t="shared" ref="R98" si="177">IF(P98&gt;0,O98-P98,0)</f>
        <v>-185319.49</v>
      </c>
      <c r="S98" s="1173">
        <f>SUM('3 pr-2'!R99)</f>
        <v>0</v>
      </c>
      <c r="T98" s="1173">
        <f>IF('ketv. 5 '!U98&gt;0,'ketv. 7 '!W97,SUMIF(Projektu_sutarciu_ataskaita!$J:$J,C98,Projektu_sutarciu_ataskaita!$DG:$DG))</f>
        <v>0</v>
      </c>
      <c r="U98" s="1173">
        <f t="shared" ref="U98" si="178">SUM(S98-T98)</f>
        <v>0</v>
      </c>
      <c r="V98" s="1173">
        <f t="shared" ref="V98" si="179">IF(T98&gt;0,S98-T98,0)</f>
        <v>0</v>
      </c>
      <c r="W98" s="1173">
        <f>SUM('3 pr-2'!U99)</f>
        <v>0</v>
      </c>
      <c r="X98" s="1173">
        <f>IF('ketv. 5 '!U98&gt;0,'ketv. 7 '!AB97,SUMIF(Projektu_sutarciu_ataskaita!$J:$J,C98,Projektu_sutarciu_ataskaita!$DM:$DM))</f>
        <v>0</v>
      </c>
      <c r="Y98" s="1173">
        <f t="shared" ref="Y98" si="180">SUM(W98-X98)</f>
        <v>0</v>
      </c>
      <c r="Z98" s="1173">
        <f t="shared" ref="Z98" si="181">IF(X98&gt;0,W98-X98,0)</f>
        <v>0</v>
      </c>
      <c r="AA98" s="1173">
        <f>SUM('3 pr-2'!X99)</f>
        <v>0</v>
      </c>
      <c r="AB98" s="1173">
        <f>IF('ketv. 5 '!U98&gt;0,'ketv. 7 '!AG97,SUMIF(Projektu_sutarciu_ataskaita!$J:$J,C98,Projektu_sutarciu_ataskaita!$DL:$DL)+SUMIF(Projektu_sutarciu_ataskaita!$J:$J,C98,Projektu_sutarciu_ataskaita!$DJ:$DJ))</f>
        <v>0</v>
      </c>
      <c r="AC98" s="1173">
        <f t="shared" ref="AC98" si="182">SUM(AA98-AB98)</f>
        <v>0</v>
      </c>
      <c r="AD98" s="1173">
        <f t="shared" ref="AD98" si="183">IF(AB98&gt;0,AA98-AB98,0)</f>
        <v>0</v>
      </c>
      <c r="AE98" s="1173">
        <f>SUM('3 pr-2'!AA99)</f>
        <v>112989</v>
      </c>
      <c r="AF98" s="1162">
        <f>IF('ketv. 5 '!U98&gt;0,'ketv. 7 '!AL97,SUMIF(Projektu_sutarciu_ataskaita!$J:$J,C98,Projektu_sutarciu_ataskaita!$DF:$DF))</f>
        <v>112989</v>
      </c>
      <c r="AG98" s="1178">
        <f t="shared" ref="AG98" si="184">SUM(AE98-AF98)</f>
        <v>0</v>
      </c>
      <c r="AH98" s="1177">
        <f t="shared" ref="AH98" si="185">IF(AF98&gt;0,AE98-AF98,0)</f>
        <v>0</v>
      </c>
      <c r="AI98" s="1173">
        <f>SUM('3 pr-2'!AB100)</f>
        <v>0</v>
      </c>
      <c r="AJ98" s="1173"/>
    </row>
    <row r="99" spans="1:36" ht="53.25" customHeight="1" thickBot="1">
      <c r="A99" s="382" t="str">
        <f>CONCATENATE('3 pr-2'!A100)</f>
        <v>2.1.</v>
      </c>
      <c r="B99" s="2092" t="str">
        <f>CONCATENATE('3 pr-2'!B100)</f>
        <v>Tikslas:
GERINTI VIEŠŲJŲ  PASLAUGŲ KOKYBĘ IR PRIEINAMUMĄ</v>
      </c>
      <c r="C99" s="1901"/>
      <c r="D99" s="1901"/>
      <c r="E99" s="1901"/>
      <c r="F99" s="1901"/>
      <c r="G99" s="1901"/>
      <c r="H99" s="1901"/>
      <c r="I99" s="1901"/>
      <c r="J99" s="1902"/>
      <c r="K99" s="1547">
        <f>SUM('3 pr-2'!L100)</f>
        <v>12592963.76</v>
      </c>
      <c r="L99" s="1547">
        <f>SUM(L100+L119+L146+L159)</f>
        <v>12418617.129999999</v>
      </c>
      <c r="M99" s="1549">
        <f>SUM(M100+M119+M146+M159)</f>
        <v>-32868.169999999925</v>
      </c>
      <c r="N99" s="1550">
        <f>SUM(N100+N119+N146+N159)</f>
        <v>-25653.369999999995</v>
      </c>
      <c r="O99" s="1547">
        <f>SUM('3 pr-2'!O100)</f>
        <v>1894321.69</v>
      </c>
      <c r="P99" s="1547">
        <f>SUM(P100+P119+P146+P159)</f>
        <v>1819038.3</v>
      </c>
      <c r="Q99" s="1547">
        <f>SUM(Q100+Q119+Q146+Q159)</f>
        <v>51013.999999999971</v>
      </c>
      <c r="R99" s="1547">
        <f>SUM(R100+R119+R146+R159)</f>
        <v>45283.38999999997</v>
      </c>
      <c r="S99" s="1547">
        <f>SUM('3 pr-2'!R100)</f>
        <v>411944.43</v>
      </c>
      <c r="T99" s="1547">
        <f>SUM(T100+T119+T146+T159)</f>
        <v>410243.26999999996</v>
      </c>
      <c r="U99" s="1547">
        <f>SUM(U100+U119+U146+U159)</f>
        <v>1076.8800000000037</v>
      </c>
      <c r="V99" s="1547">
        <f>SUM(V100+V119+V146+V159)</f>
        <v>1701.1600000000362</v>
      </c>
      <c r="W99" s="1547">
        <f>SUM('3 pr-2'!U100)</f>
        <v>40107.979999999996</v>
      </c>
      <c r="X99" s="1547">
        <f>SUM(X100+X119+X146+X159)</f>
        <v>46858.02</v>
      </c>
      <c r="Y99" s="1547">
        <f>SUM(Y100+Y119+Y146+Y159)</f>
        <v>-12000.779999999999</v>
      </c>
      <c r="Z99" s="1547">
        <f>SUM(Z100+Z119+Z146+Z159)</f>
        <v>-6750.0400000000009</v>
      </c>
      <c r="AA99" s="1547">
        <f>SUM('3 pr-2'!X100)</f>
        <v>1299.95</v>
      </c>
      <c r="AB99" s="1547">
        <f>SUM(AB100+AB119+AB146+AB159)</f>
        <v>73670.34</v>
      </c>
      <c r="AC99" s="1547">
        <f>SUM(AC100+AC119+AC146+AC159)</f>
        <v>-72370.39</v>
      </c>
      <c r="AD99" s="1547">
        <f>SUM(AD100+AD119+AD146+AD159)</f>
        <v>-72370.39</v>
      </c>
      <c r="AE99" s="1547">
        <f>SUM('3 pr-2'!AA100)</f>
        <v>10245289.709999999</v>
      </c>
      <c r="AF99" s="1547">
        <f>SUM(AF100+AF119+AF146+AF159)</f>
        <v>10068807.199999999</v>
      </c>
      <c r="AG99" s="1571">
        <f>SUM(AG100+AG119+AG146+AG159)</f>
        <v>-587.87999999994099</v>
      </c>
      <c r="AH99" s="1572">
        <f>SUM(AH100+AH119+AH146+AH159)</f>
        <v>6482.5099999998347</v>
      </c>
      <c r="AI99" s="1547">
        <f t="shared" ref="AI99:AJ99" si="186">SUM(AI100+AI119+AI146+AI159)</f>
        <v>0</v>
      </c>
      <c r="AJ99" s="1547">
        <f t="shared" si="186"/>
        <v>0</v>
      </c>
    </row>
    <row r="100" spans="1:36" ht="56.25" customHeight="1" thickBot="1">
      <c r="A100" s="238" t="str">
        <f>CONCATENATE('3 pr-2'!A101)</f>
        <v>2.1.1.</v>
      </c>
      <c r="B100" s="2085" t="str">
        <f>CONCATENATE('3 pr-2'!B101)</f>
        <v xml:space="preserve">Uždavinys:
Bendrojo ugdymo ir neformaliojo švietimo įstaigų (ypač vykdančių ikimokyklinio ir priešmokyklinio ugdymo programas) tinklo veiklos efektyvumo didinimas </v>
      </c>
      <c r="C100" s="1901"/>
      <c r="D100" s="1901"/>
      <c r="E100" s="1901"/>
      <c r="F100" s="1901"/>
      <c r="G100" s="1901"/>
      <c r="H100" s="1901"/>
      <c r="I100" s="1901"/>
      <c r="J100" s="1902"/>
      <c r="K100" s="1553">
        <f>SUM('3 pr-2'!L101)</f>
        <v>4776867.3599999994</v>
      </c>
      <c r="L100" s="1553">
        <f>SUM(L101+L107+L113)</f>
        <v>4776867.3599999994</v>
      </c>
      <c r="M100" s="1551">
        <f>SUM(M101+M107+M113)</f>
        <v>0</v>
      </c>
      <c r="N100" s="1552">
        <f>SUM(N101+N107+N113)</f>
        <v>0</v>
      </c>
      <c r="O100" s="1553">
        <f>SUM('3 pr-2'!O101)</f>
        <v>808633.36</v>
      </c>
      <c r="P100" s="1553">
        <f>SUM(P101+P107+P113)</f>
        <v>808633.36</v>
      </c>
      <c r="Q100" s="1553">
        <f>SUM(Q101+Q107+Q113)</f>
        <v>0</v>
      </c>
      <c r="R100" s="1553">
        <f>SUM(R101+R107+R113)</f>
        <v>0</v>
      </c>
      <c r="S100" s="1553">
        <f>SUM('3 pr-2'!R101)</f>
        <v>201262</v>
      </c>
      <c r="T100" s="1553">
        <f>SUM(T101+T107+T113)</f>
        <v>201262</v>
      </c>
      <c r="U100" s="1553">
        <f>SUM(U101+U107+U113)</f>
        <v>0</v>
      </c>
      <c r="V100" s="1553">
        <f>SUM(V101+V107+V113)</f>
        <v>0</v>
      </c>
      <c r="W100" s="1553">
        <f>SUM('3 pr-2'!U101)</f>
        <v>0</v>
      </c>
      <c r="X100" s="1553">
        <f>SUM(X101+X107+X113)</f>
        <v>0</v>
      </c>
      <c r="Y100" s="1553">
        <f>SUM(Y101+Y107+Y113)</f>
        <v>0</v>
      </c>
      <c r="Z100" s="1553">
        <f>SUM(Z101+Z107+Z113)</f>
        <v>0</v>
      </c>
      <c r="AA100" s="1553">
        <f>SUM('3 pr-2'!X101)</f>
        <v>0</v>
      </c>
      <c r="AB100" s="1553">
        <f>SUM(AB101+AB107+AB113)</f>
        <v>0</v>
      </c>
      <c r="AC100" s="1553">
        <f>SUM(AC101+AC107+AC113)</f>
        <v>0</v>
      </c>
      <c r="AD100" s="1553">
        <f>SUM(AD101+AD107+AD113)</f>
        <v>0</v>
      </c>
      <c r="AE100" s="1553">
        <f>SUM('3 pr-2'!AA101)</f>
        <v>3766972</v>
      </c>
      <c r="AF100" s="1553">
        <f>SUM(AF101+AF107+AF113)</f>
        <v>3766972</v>
      </c>
      <c r="AG100" s="1573">
        <f>SUM(AG101+AG107+AG113)</f>
        <v>0</v>
      </c>
      <c r="AH100" s="1574">
        <f>SUM(AH101+AH107+AH113)</f>
        <v>0</v>
      </c>
      <c r="AI100" s="1553">
        <f t="shared" ref="AI100:AJ100" si="187">SUM(AI101+AI107+AI113)</f>
        <v>0</v>
      </c>
      <c r="AJ100" s="1553">
        <f t="shared" si="187"/>
        <v>0</v>
      </c>
    </row>
    <row r="101" spans="1:36" ht="30" customHeight="1" thickBot="1">
      <c r="A101" s="296" t="str">
        <f>CONCATENATE('3 pr-2'!A102)</f>
        <v>2.1.1.1</v>
      </c>
      <c r="B101" s="2088" t="str">
        <f>CONCATENATE('3 pr-2'!B102)</f>
        <v>Priemonė:
Mokyklų tinklo efektyvumo didinimas</v>
      </c>
      <c r="C101" s="1894"/>
      <c r="D101" s="1894"/>
      <c r="E101" s="1894"/>
      <c r="F101" s="1894"/>
      <c r="G101" s="1894"/>
      <c r="H101" s="1894"/>
      <c r="I101" s="1894"/>
      <c r="J101" s="1895"/>
      <c r="K101" s="1168">
        <f>SUM('3 pr-2'!L102)</f>
        <v>1343975.4100000001</v>
      </c>
      <c r="L101" s="1168">
        <f>SUM(L102:L106)</f>
        <v>1343975.4100000001</v>
      </c>
      <c r="M101" s="1169">
        <f>SUM(M102:M106)</f>
        <v>0</v>
      </c>
      <c r="N101" s="1170">
        <f>SUM(N102:N106)</f>
        <v>0</v>
      </c>
      <c r="O101" s="1168">
        <f>SUM('3 pr-2'!O102)</f>
        <v>100799.41</v>
      </c>
      <c r="P101" s="1168">
        <f>SUM(P102:P106)</f>
        <v>100799.41</v>
      </c>
      <c r="Q101" s="1168">
        <f>SUM(Q102:Q106)</f>
        <v>0</v>
      </c>
      <c r="R101" s="1168">
        <f>SUM(R102:R106)</f>
        <v>0</v>
      </c>
      <c r="S101" s="1168">
        <f>SUM('3 pr-2'!R102)</f>
        <v>100799</v>
      </c>
      <c r="T101" s="1168">
        <f>SUM(T102:T106)</f>
        <v>100799</v>
      </c>
      <c r="U101" s="1168">
        <f>SUM(U102:U106)</f>
        <v>0</v>
      </c>
      <c r="V101" s="1168">
        <f>SUM(V102:V106)</f>
        <v>0</v>
      </c>
      <c r="W101" s="1168">
        <f>SUM('3 pr-2'!U102)</f>
        <v>0</v>
      </c>
      <c r="X101" s="1168">
        <f>SUM(X102:X106)</f>
        <v>0</v>
      </c>
      <c r="Y101" s="1168">
        <f>SUM(Y102:Y106)</f>
        <v>0</v>
      </c>
      <c r="Z101" s="1168">
        <f>SUM(Z102:Z106)</f>
        <v>0</v>
      </c>
      <c r="AA101" s="1168">
        <f>SUM('3 pr-2'!X102)</f>
        <v>0</v>
      </c>
      <c r="AB101" s="1168">
        <f>SUM(AB102:AB106)</f>
        <v>0</v>
      </c>
      <c r="AC101" s="1168">
        <f>SUM(AC102:AC106)</f>
        <v>0</v>
      </c>
      <c r="AD101" s="1168">
        <f>SUM(AD102:AD106)</f>
        <v>0</v>
      </c>
      <c r="AE101" s="1168">
        <f>SUM('3 pr-2'!AA102)</f>
        <v>1142377</v>
      </c>
      <c r="AF101" s="1168">
        <f>SUM(AF102:AF106)</f>
        <v>1142377</v>
      </c>
      <c r="AG101" s="1171">
        <f>SUM(AG102:AG106)</f>
        <v>0</v>
      </c>
      <c r="AH101" s="1172">
        <f>SUM(AH102:AH106)</f>
        <v>0</v>
      </c>
      <c r="AI101" s="1168">
        <f t="shared" ref="AI101:AJ101" si="188">SUM(AI102:AI106)</f>
        <v>0</v>
      </c>
      <c r="AJ101" s="1168">
        <f t="shared" si="188"/>
        <v>0</v>
      </c>
    </row>
    <row r="102" spans="1:36" ht="36.75">
      <c r="A102" s="375" t="str">
        <f>CONCATENATE('3 pr-2'!A103)</f>
        <v>2.1.1.1.1</v>
      </c>
      <c r="B102" s="375" t="str">
        <f>CONCATENATE('3 pr-2'!B103)</f>
        <v>R01-7724-220000-2111</v>
      </c>
      <c r="C102" s="1558" t="str">
        <f>IF('ketv. 4 '!Z103&gt;0,'ketv. 4 '!C103,"-")</f>
        <v>09.1.3-CPVA-R-724-11-0003</v>
      </c>
      <c r="D102" s="575" t="str">
        <f>CONCATENATE('3 pr-2'!D103)</f>
        <v>Varėnos r. Merkinės Vinco Krėvės gimnazijos laisvų patalpų pritaikymas ikimokyklinio ir priešmokyklinio ugdymo grupėms įrengti</v>
      </c>
      <c r="E102" s="375" t="str">
        <f>CONCATENATE('3 pr-2'!E103)</f>
        <v>Varėnos rajono savivaldybės administracija</v>
      </c>
      <c r="F102" s="375" t="str">
        <f>CONCATENATE('3 pr-2'!F103)</f>
        <v>Lietuvos Respublikos švietimo ir mokslo ministerija</v>
      </c>
      <c r="G102" s="375" t="str">
        <f>CONCATENATE('3 pr-2'!G103)</f>
        <v>Varėnos r. sav.</v>
      </c>
      <c r="H102" s="375" t="str">
        <f>CONCATENATE('3 pr-2'!H103)</f>
        <v>09.1.3-CPVA-R-724</v>
      </c>
      <c r="I102" s="375" t="str">
        <f>CONCATENATE('3 pr-2'!I103)</f>
        <v>R</v>
      </c>
      <c r="J102" s="375" t="str">
        <f>CONCATENATE('3 pr-2'!J103)</f>
        <v>-</v>
      </c>
      <c r="K102" s="1173">
        <f>SUM('3 pr-2'!L103)</f>
        <v>220453</v>
      </c>
      <c r="L102" s="1162">
        <f t="shared" ref="L102:L106" si="189">SUM(P102+T102+X102+AB102+AF102+AJ102)</f>
        <v>220453</v>
      </c>
      <c r="M102" s="1174">
        <f t="shared" ref="M102:M106" si="190">SUM(K102-L102)</f>
        <v>0</v>
      </c>
      <c r="N102" s="1175">
        <f t="shared" ref="N102:N106" si="191">IF(L102&gt;0,K102-L102,0)</f>
        <v>0</v>
      </c>
      <c r="O102" s="1173">
        <f>SUM('3 pr-2'!O103)</f>
        <v>16534</v>
      </c>
      <c r="P102" s="1162">
        <f>IF('ketv. 5 '!U102&gt;0,'ketv. 7 '!R101,SUMIF(Projektu_sutarciu_ataskaita!$J:$J,C102,Projektu_sutarciu_ataskaita!$DK:$DK))</f>
        <v>16534</v>
      </c>
      <c r="Q102" s="1174">
        <f t="shared" ref="Q102:Q106" si="192">SUM(O102-P102)</f>
        <v>0</v>
      </c>
      <c r="R102" s="1175">
        <f t="shared" ref="R102:R106" si="193">IF(P102&gt;0,O102-P102,0)</f>
        <v>0</v>
      </c>
      <c r="S102" s="1173">
        <f>SUM('3 pr-2'!R103)</f>
        <v>16534</v>
      </c>
      <c r="T102" s="1162">
        <f>IF('ketv. 5 '!U102&gt;0,'ketv. 7 '!W101,SUMIF(Projektu_sutarciu_ataskaita!$J:$J,C102,Projektu_sutarciu_ataskaita!$DG:$DG))</f>
        <v>16534</v>
      </c>
      <c r="U102" s="1174">
        <f t="shared" ref="U102:U106" si="194">SUM(S102-T102)</f>
        <v>0</v>
      </c>
      <c r="V102" s="1175">
        <f t="shared" ref="V102:V106" si="195">IF(T102&gt;0,S102-T102,0)</f>
        <v>0</v>
      </c>
      <c r="W102" s="1173">
        <f>SUM('3 pr-2'!U103)</f>
        <v>0</v>
      </c>
      <c r="X102" s="1162">
        <f>IF('ketv. 5 '!U102&gt;0,'ketv. 7 '!AB101,SUMIF(Projektu_sutarciu_ataskaita!$J:$J,C102,Projektu_sutarciu_ataskaita!$DM:$DM))</f>
        <v>0</v>
      </c>
      <c r="Y102" s="1174">
        <f t="shared" ref="Y102:Y106" si="196">SUM(W102-X102)</f>
        <v>0</v>
      </c>
      <c r="Z102" s="1175">
        <f t="shared" ref="Z102:Z106" si="197">IF(X102&gt;0,W102-X102,0)</f>
        <v>0</v>
      </c>
      <c r="AA102" s="1173">
        <f>SUM('3 pr-2'!X103)</f>
        <v>0</v>
      </c>
      <c r="AB102" s="1162">
        <f>IF('ketv. 5 '!U102&gt;0,'ketv. 7 '!AG101,SUMIF(Projektu_sutarciu_ataskaita!$J:$J,C102,Projektu_sutarciu_ataskaita!$DL:$DL)+SUMIF(Projektu_sutarciu_ataskaita!$J:$J,C102,Projektu_sutarciu_ataskaita!$DJ:$DJ))</f>
        <v>0</v>
      </c>
      <c r="AC102" s="1174">
        <f>SUM(AA102-AB102)</f>
        <v>0</v>
      </c>
      <c r="AD102" s="1175">
        <f t="shared" ref="AD102:AD106" si="198">IF(AB102&gt;0,AA102-AB102,0)</f>
        <v>0</v>
      </c>
      <c r="AE102" s="1173">
        <f>SUM('3 pr-2'!AA103)</f>
        <v>187385</v>
      </c>
      <c r="AF102" s="1162">
        <f>IF('ketv. 5 '!U102&gt;0,'ketv. 7 '!AL101,SUMIF(Projektu_sutarciu_ataskaita!$J:$J,C102,Projektu_sutarciu_ataskaita!$DF:$DF))</f>
        <v>187385</v>
      </c>
      <c r="AG102" s="1575">
        <f t="shared" ref="AG102:AG106" si="199">SUM(AE102-AF102)</f>
        <v>0</v>
      </c>
      <c r="AH102" s="1177">
        <f t="shared" ref="AH102:AH106" si="200">IF(AF102&gt;0,AE102-AF102,0)</f>
        <v>0</v>
      </c>
      <c r="AI102" s="1173">
        <f>SUM('3 pr-2'!AB104)</f>
        <v>0</v>
      </c>
      <c r="AJ102" s="1162">
        <v>0</v>
      </c>
    </row>
    <row r="103" spans="1:36" ht="36.75">
      <c r="A103" s="375" t="str">
        <f>CONCATENATE('3 pr-2'!A104)</f>
        <v>2.1.1.1.2</v>
      </c>
      <c r="B103" s="375" t="str">
        <f>CONCATENATE('3 pr-2'!B104)</f>
        <v>R01-7724-220000-2112</v>
      </c>
      <c r="C103" s="1558" t="str">
        <f>IF('ketv. 4 '!Z104&gt;0,'ketv. 4 '!C104,"-")</f>
        <v>09.1.3-CPVA-R-724-11-0005</v>
      </c>
      <c r="D103" s="575" t="str">
        <f>CONCATENATE('3 pr-2'!D104)</f>
        <v>Alytaus rajono bendrojo ugdymo įstaigų aprūpinimas gamtos, technologijų, menų ir kitų mokslų laboratorijų įranga</v>
      </c>
      <c r="E103" s="375" t="str">
        <f>CONCATENATE('3 pr-2'!E104)</f>
        <v>Alytaus rajono savivaldybės administracija</v>
      </c>
      <c r="F103" s="375" t="str">
        <f>CONCATENATE('3 pr-2'!F104)</f>
        <v>Lietuvos Respublikos švietimo ir mokslo ministerija</v>
      </c>
      <c r="G103" s="375" t="str">
        <f>CONCATENATE('3 pr-2'!G104)</f>
        <v>Alytaus r. sav.</v>
      </c>
      <c r="H103" s="375" t="str">
        <f>CONCATENATE('3 pr-2'!H104)</f>
        <v>09.1.3-CPVA-R-724</v>
      </c>
      <c r="I103" s="375" t="str">
        <f>CONCATENATE('3 pr-2'!I104)</f>
        <v>R</v>
      </c>
      <c r="J103" s="375" t="str">
        <f>CONCATENATE('3 pr-2'!J104)</f>
        <v>-</v>
      </c>
      <c r="K103" s="1173">
        <f>SUM('3 pr-2'!L104)</f>
        <v>106845.41</v>
      </c>
      <c r="L103" s="1162">
        <f t="shared" si="189"/>
        <v>106845.41</v>
      </c>
      <c r="M103" s="1174">
        <f t="shared" si="190"/>
        <v>0</v>
      </c>
      <c r="N103" s="1175">
        <f t="shared" si="191"/>
        <v>0</v>
      </c>
      <c r="O103" s="1173">
        <f>SUM('3 pr-2'!O104)</f>
        <v>8013.41</v>
      </c>
      <c r="P103" s="1162">
        <f>IF('ketv. 5 '!U103&gt;0,'ketv. 7 '!R102,SUMIF(Projektu_sutarciu_ataskaita!$J:$J,C103,Projektu_sutarciu_ataskaita!$DK:$DK))</f>
        <v>8013.41</v>
      </c>
      <c r="Q103" s="1174">
        <f t="shared" si="192"/>
        <v>0</v>
      </c>
      <c r="R103" s="1175">
        <f t="shared" si="193"/>
        <v>0</v>
      </c>
      <c r="S103" s="1173">
        <f>SUM('3 pr-2'!R104)</f>
        <v>8014</v>
      </c>
      <c r="T103" s="1162">
        <f>IF('ketv. 5 '!U103&gt;0,'ketv. 7 '!W102,SUMIF(Projektu_sutarciu_ataskaita!$J:$J,C103,Projektu_sutarciu_ataskaita!$DG:$DG))</f>
        <v>8014</v>
      </c>
      <c r="U103" s="1174">
        <f t="shared" si="194"/>
        <v>0</v>
      </c>
      <c r="V103" s="1175">
        <f t="shared" si="195"/>
        <v>0</v>
      </c>
      <c r="W103" s="1173">
        <f>SUM('3 pr-2'!U104)</f>
        <v>0</v>
      </c>
      <c r="X103" s="1162">
        <f>IF('ketv. 5 '!U103&gt;0,'ketv. 7 '!AB102,SUMIF(Projektu_sutarciu_ataskaita!$J:$J,C103,Projektu_sutarciu_ataskaita!$DM:$DM))</f>
        <v>0</v>
      </c>
      <c r="Y103" s="1174">
        <f t="shared" si="196"/>
        <v>0</v>
      </c>
      <c r="Z103" s="1175">
        <f t="shared" si="197"/>
        <v>0</v>
      </c>
      <c r="AA103" s="1173">
        <f>SUM('3 pr-2'!X104)</f>
        <v>0</v>
      </c>
      <c r="AB103" s="1162">
        <f>IF('ketv. 5 '!U103&gt;0,'ketv. 7 '!AG102,SUMIF(Projektu_sutarciu_ataskaita!$J:$J,C103,Projektu_sutarciu_ataskaita!$DL:$DL)+SUMIF(Projektu_sutarciu_ataskaita!$J:$J,C103,Projektu_sutarciu_ataskaita!$DJ:$DJ))</f>
        <v>0</v>
      </c>
      <c r="AC103" s="1174">
        <f>SUM(AA103-AB103)</f>
        <v>0</v>
      </c>
      <c r="AD103" s="1175">
        <f t="shared" si="198"/>
        <v>0</v>
      </c>
      <c r="AE103" s="1173">
        <f>SUM('3 pr-2'!AA104)</f>
        <v>90818</v>
      </c>
      <c r="AF103" s="1162">
        <f>IF('ketv. 5 '!U103&gt;0,'ketv. 7 '!AL102,SUMIF(Projektu_sutarciu_ataskaita!$J:$J,C103,Projektu_sutarciu_ataskaita!$DF:$DF))</f>
        <v>90818</v>
      </c>
      <c r="AG103" s="1559">
        <f t="shared" si="199"/>
        <v>0</v>
      </c>
      <c r="AH103" s="1177">
        <f t="shared" si="200"/>
        <v>0</v>
      </c>
      <c r="AI103" s="1173">
        <f>SUM('3 pr-2'!AB105)</f>
        <v>0</v>
      </c>
      <c r="AJ103" s="1162">
        <v>0</v>
      </c>
    </row>
    <row r="104" spans="1:36" ht="36.75">
      <c r="A104" s="375" t="str">
        <f>CONCATENATE('3 pr-2'!A105)</f>
        <v>2.1.1.1.3</v>
      </c>
      <c r="B104" s="375" t="str">
        <f>CONCATENATE('3 pr-2'!B105)</f>
        <v>R01-7724-220000-2113</v>
      </c>
      <c r="C104" s="1558" t="str">
        <f>IF('ketv. 4 '!Z105&gt;0,'ketv. 4 '!C105,"-")</f>
        <v>09.1.3-CPVA-R-724-11-0002</v>
      </c>
      <c r="D104" s="575" t="str">
        <f>CONCATENATE('3 pr-2'!D105)</f>
        <v>Modernių ir saugių erdvių kūrimas Dzūkijos pagrindinėje mokykloje, Alytuje</v>
      </c>
      <c r="E104" s="375" t="str">
        <f>CONCATENATE('3 pr-2'!E105)</f>
        <v>Alytaus miesto savivaldybės administracija</v>
      </c>
      <c r="F104" s="375" t="str">
        <f>CONCATENATE('3 pr-2'!F105)</f>
        <v>Lietuvos Respublikos švietimo ir mokslo ministerija</v>
      </c>
      <c r="G104" s="375" t="str">
        <f>CONCATENATE('3 pr-2'!G105)</f>
        <v>Alytaus m. sav.</v>
      </c>
      <c r="H104" s="375" t="str">
        <f>CONCATENATE('3 pr-2'!H105)</f>
        <v>09.1.3-CPVA-R-724</v>
      </c>
      <c r="I104" s="375" t="str">
        <f>CONCATENATE('3 pr-2'!I105)</f>
        <v>R</v>
      </c>
      <c r="J104" s="375" t="str">
        <f>CONCATENATE('3 pr-2'!J105)</f>
        <v>-</v>
      </c>
      <c r="K104" s="1173">
        <f>SUM('3 pr-2'!L105)</f>
        <v>657021</v>
      </c>
      <c r="L104" s="1162">
        <f t="shared" si="189"/>
        <v>657021</v>
      </c>
      <c r="M104" s="1174">
        <f t="shared" si="190"/>
        <v>0</v>
      </c>
      <c r="N104" s="1175">
        <f t="shared" si="191"/>
        <v>0</v>
      </c>
      <c r="O104" s="1173">
        <f>SUM('3 pr-2'!O105)</f>
        <v>49277</v>
      </c>
      <c r="P104" s="1162">
        <f>IF('ketv. 5 '!U104&gt;0,'ketv. 7 '!R103,SUMIF(Projektu_sutarciu_ataskaita!$J:$J,C104,Projektu_sutarciu_ataskaita!$DK:$DK))</f>
        <v>49277</v>
      </c>
      <c r="Q104" s="1174">
        <f t="shared" si="192"/>
        <v>0</v>
      </c>
      <c r="R104" s="1175">
        <f t="shared" si="193"/>
        <v>0</v>
      </c>
      <c r="S104" s="1173">
        <f>SUM('3 pr-2'!R105)</f>
        <v>49277</v>
      </c>
      <c r="T104" s="1162">
        <f>IF('ketv. 5 '!U104&gt;0,'ketv. 7 '!W103,SUMIF(Projektu_sutarciu_ataskaita!$J:$J,C104,Projektu_sutarciu_ataskaita!$DG:$DG))</f>
        <v>49277</v>
      </c>
      <c r="U104" s="1174">
        <f t="shared" si="194"/>
        <v>0</v>
      </c>
      <c r="V104" s="1175">
        <f t="shared" si="195"/>
        <v>0</v>
      </c>
      <c r="W104" s="1173">
        <f>SUM('3 pr-2'!U105)</f>
        <v>0</v>
      </c>
      <c r="X104" s="1162">
        <f>IF('ketv. 5 '!U104&gt;0,'ketv. 7 '!AB103,SUMIF(Projektu_sutarciu_ataskaita!$J:$J,C104,Projektu_sutarciu_ataskaita!$DM:$DM))</f>
        <v>0</v>
      </c>
      <c r="Y104" s="1174">
        <f t="shared" si="196"/>
        <v>0</v>
      </c>
      <c r="Z104" s="1175">
        <f t="shared" si="197"/>
        <v>0</v>
      </c>
      <c r="AA104" s="1173">
        <f>SUM('3 pr-2'!X105)</f>
        <v>0</v>
      </c>
      <c r="AB104" s="1162">
        <f>IF('ketv. 5 '!U104&gt;0,'ketv. 7 '!AG103,SUMIF(Projektu_sutarciu_ataskaita!$J:$J,C104,Projektu_sutarciu_ataskaita!$DL:$DL)+SUMIF(Projektu_sutarciu_ataskaita!$J:$J,C104,Projektu_sutarciu_ataskaita!$DJ:$DJ))</f>
        <v>0</v>
      </c>
      <c r="AC104" s="1174">
        <f>SUM(AA104-AB104)</f>
        <v>0</v>
      </c>
      <c r="AD104" s="1175">
        <f t="shared" si="198"/>
        <v>0</v>
      </c>
      <c r="AE104" s="1173">
        <f>SUM('3 pr-2'!AA105)</f>
        <v>558467</v>
      </c>
      <c r="AF104" s="1162">
        <f>IF('ketv. 5 '!U104&gt;0,'ketv. 7 '!AL103,SUMIF(Projektu_sutarciu_ataskaita!$J:$J,C104,Projektu_sutarciu_ataskaita!$DF:$DF))</f>
        <v>558467</v>
      </c>
      <c r="AG104" s="1559">
        <f>SUM(AE104-AF104)</f>
        <v>0</v>
      </c>
      <c r="AH104" s="1177">
        <f>IF(AF104&gt;0,AE104-AF104,0)</f>
        <v>0</v>
      </c>
      <c r="AI104" s="1173">
        <f>SUM('3 pr-2'!AB106)</f>
        <v>0</v>
      </c>
      <c r="AJ104" s="1162">
        <v>0</v>
      </c>
    </row>
    <row r="105" spans="1:36" ht="36.75">
      <c r="A105" s="375" t="str">
        <f>CONCATENATE('3 pr-2'!A106)</f>
        <v>2.1.1.1.4</v>
      </c>
      <c r="B105" s="375" t="str">
        <f>CONCATENATE('3 pr-2'!B106)</f>
        <v>R01-7724-220000-2114</v>
      </c>
      <c r="C105" s="1558" t="str">
        <f>IF('ketv. 4 '!Z106&gt;0,'ketv. 4 '!C106,"-")</f>
        <v>09.1.3-CPVA-R-724-11-0004</v>
      </c>
      <c r="D105" s="575" t="str">
        <f>CONCATENATE('3 pr-2'!D106)</f>
        <v>Modernių ir saugių erdvių sukūrimas bendrojo ugdymo mokyklose Druskininkų sav.</v>
      </c>
      <c r="E105" s="375" t="str">
        <f>CONCATENATE('3 pr-2'!E106)</f>
        <v>Druskininkų savivaldybės administracija</v>
      </c>
      <c r="F105" s="375" t="str">
        <f>CONCATENATE('3 pr-2'!F106)</f>
        <v>Lietuvos Respublikos švietimo ir mokslo ministerija</v>
      </c>
      <c r="G105" s="375" t="str">
        <f>CONCATENATE('3 pr-2'!G106)</f>
        <v>Druskininkų sav.</v>
      </c>
      <c r="H105" s="375" t="str">
        <f>CONCATENATE('3 pr-2'!H106)</f>
        <v>09.1.3-CPVA-R-724</v>
      </c>
      <c r="I105" s="375" t="str">
        <f>CONCATENATE('3 pr-2'!I106)</f>
        <v>R</v>
      </c>
      <c r="J105" s="375" t="str">
        <f>CONCATENATE('3 pr-2'!J106)</f>
        <v>-</v>
      </c>
      <c r="K105" s="1173">
        <f>SUM('3 pr-2'!L106)</f>
        <v>163877</v>
      </c>
      <c r="L105" s="1162">
        <f t="shared" si="189"/>
        <v>163877</v>
      </c>
      <c r="M105" s="1174">
        <f t="shared" si="190"/>
        <v>0</v>
      </c>
      <c r="N105" s="1175">
        <f t="shared" si="191"/>
        <v>0</v>
      </c>
      <c r="O105" s="1173">
        <f>SUM('3 pr-2'!O106)</f>
        <v>12291</v>
      </c>
      <c r="P105" s="1162">
        <f>IF('ketv. 5 '!U105&gt;0,'ketv. 7 '!R104,SUMIF(Projektu_sutarciu_ataskaita!$J:$J,C105,Projektu_sutarciu_ataskaita!$DK:$DK))</f>
        <v>12291</v>
      </c>
      <c r="Q105" s="1174">
        <f t="shared" si="192"/>
        <v>0</v>
      </c>
      <c r="R105" s="1175">
        <f t="shared" si="193"/>
        <v>0</v>
      </c>
      <c r="S105" s="1173">
        <f>SUM('3 pr-2'!R106)</f>
        <v>12291</v>
      </c>
      <c r="T105" s="1162">
        <f>IF('ketv. 5 '!U105&gt;0,'ketv. 7 '!W104,SUMIF(Projektu_sutarciu_ataskaita!$J:$J,C105,Projektu_sutarciu_ataskaita!$DG:$DG))</f>
        <v>12291</v>
      </c>
      <c r="U105" s="1174">
        <f t="shared" si="194"/>
        <v>0</v>
      </c>
      <c r="V105" s="1175">
        <f t="shared" si="195"/>
        <v>0</v>
      </c>
      <c r="W105" s="1173">
        <f>SUM('3 pr-2'!U106)</f>
        <v>0</v>
      </c>
      <c r="X105" s="1162">
        <f>IF('ketv. 5 '!U105&gt;0,'ketv. 7 '!AB104,SUMIF(Projektu_sutarciu_ataskaita!$J:$J,C105,Projektu_sutarciu_ataskaita!$DM:$DM))</f>
        <v>0</v>
      </c>
      <c r="Y105" s="1174">
        <f t="shared" si="196"/>
        <v>0</v>
      </c>
      <c r="Z105" s="1175">
        <f t="shared" si="197"/>
        <v>0</v>
      </c>
      <c r="AA105" s="1173">
        <f>SUM('3 pr-2'!X106)</f>
        <v>0</v>
      </c>
      <c r="AB105" s="1162">
        <f>IF('ketv. 5 '!U105&gt;0,'ketv. 7 '!AG104,SUMIF(Projektu_sutarciu_ataskaita!$J:$J,C105,Projektu_sutarciu_ataskaita!$DL:$DL)+SUMIF(Projektu_sutarciu_ataskaita!$J:$J,C105,Projektu_sutarciu_ataskaita!$DJ:$DJ))</f>
        <v>0</v>
      </c>
      <c r="AC105" s="1174">
        <f>SUM(AA105-AB105)</f>
        <v>0</v>
      </c>
      <c r="AD105" s="1175">
        <f t="shared" si="198"/>
        <v>0</v>
      </c>
      <c r="AE105" s="1173">
        <f>SUM('3 pr-2'!AA106)</f>
        <v>139295</v>
      </c>
      <c r="AF105" s="1162">
        <f>IF('ketv. 5 '!U105&gt;0,'ketv. 7 '!AL104,SUMIF(Projektu_sutarciu_ataskaita!$J:$J,C105,Projektu_sutarciu_ataskaita!$DF:$DF))</f>
        <v>139295</v>
      </c>
      <c r="AG105" s="1559">
        <f t="shared" si="199"/>
        <v>0</v>
      </c>
      <c r="AH105" s="1177">
        <f t="shared" si="200"/>
        <v>0</v>
      </c>
      <c r="AI105" s="1173">
        <f>SUM('3 pr-2'!AB107)</f>
        <v>0</v>
      </c>
      <c r="AJ105" s="1162">
        <v>0</v>
      </c>
    </row>
    <row r="106" spans="1:36" ht="37.5" thickBot="1">
      <c r="A106" s="375" t="str">
        <f>CONCATENATE('3 pr-2'!A107)</f>
        <v>2.1.1.1.5</v>
      </c>
      <c r="B106" s="375" t="str">
        <f>CONCATENATE('3 pr-2'!B107)</f>
        <v>R01-7724-220000-2115</v>
      </c>
      <c r="C106" s="1558" t="str">
        <f>IF('ketv. 4 '!Z107&gt;0,'ketv. 4 '!C107,"-")</f>
        <v>09.1.3-CPVA-R-724-11-0001</v>
      </c>
      <c r="D106" s="575" t="str">
        <f>CONCATENATE('3 pr-2'!D107)</f>
        <v>Modernių ir saugių erdvių sukūrimas bendrojo ugdymo įstaigose Lazdijų rajono savivaldybėje</v>
      </c>
      <c r="E106" s="375" t="str">
        <f>CONCATENATE('3 pr-2'!E107)</f>
        <v>Lazdijų rajono savivaldybės administracija</v>
      </c>
      <c r="F106" s="375" t="str">
        <f>CONCATENATE('3 pr-2'!F107)</f>
        <v>Lietuvos Respublikos švietimo ir mokslo ministerija</v>
      </c>
      <c r="G106" s="375" t="str">
        <f>CONCATENATE('3 pr-2'!G107)</f>
        <v>Lazdijų r. sav.</v>
      </c>
      <c r="H106" s="375" t="str">
        <f>CONCATENATE('3 pr-2'!H107)</f>
        <v>09.1.3-CPVA-R-724</v>
      </c>
      <c r="I106" s="375" t="str">
        <f>CONCATENATE('3 pr-2'!I107)</f>
        <v>R</v>
      </c>
      <c r="J106" s="375" t="str">
        <f>CONCATENATE('3 pr-2'!J107)</f>
        <v>-</v>
      </c>
      <c r="K106" s="1173">
        <f>SUM('3 pr-2'!L107)</f>
        <v>195779</v>
      </c>
      <c r="L106" s="1162">
        <f t="shared" si="189"/>
        <v>195779</v>
      </c>
      <c r="M106" s="1174">
        <f t="shared" si="190"/>
        <v>0</v>
      </c>
      <c r="N106" s="1175">
        <f t="shared" si="191"/>
        <v>0</v>
      </c>
      <c r="O106" s="1173">
        <f>SUM('3 pr-2'!O107)</f>
        <v>14684</v>
      </c>
      <c r="P106" s="1162">
        <f>IF('ketv. 5 '!U106&gt;0,'ketv. 7 '!R105,SUMIF(Projektu_sutarciu_ataskaita!$J:$J,C106,Projektu_sutarciu_ataskaita!$DK:$DK))</f>
        <v>14684</v>
      </c>
      <c r="Q106" s="1174">
        <f t="shared" si="192"/>
        <v>0</v>
      </c>
      <c r="R106" s="1175">
        <f t="shared" si="193"/>
        <v>0</v>
      </c>
      <c r="S106" s="1173">
        <f>SUM('3 pr-2'!R107)</f>
        <v>14683</v>
      </c>
      <c r="T106" s="1162">
        <f>IF('ketv. 5 '!U106&gt;0,'ketv. 7 '!W105,SUMIF(Projektu_sutarciu_ataskaita!$J:$J,C106,Projektu_sutarciu_ataskaita!$DG:$DG))</f>
        <v>14683</v>
      </c>
      <c r="U106" s="1174">
        <f t="shared" si="194"/>
        <v>0</v>
      </c>
      <c r="V106" s="1175">
        <f t="shared" si="195"/>
        <v>0</v>
      </c>
      <c r="W106" s="1173">
        <f>SUM('3 pr-2'!U107)</f>
        <v>0</v>
      </c>
      <c r="X106" s="1162">
        <f>IF('ketv. 5 '!U106&gt;0,'ketv. 7 '!AB105,SUMIF(Projektu_sutarciu_ataskaita!$J:$J,C106,Projektu_sutarciu_ataskaita!$DM:$DM))</f>
        <v>0</v>
      </c>
      <c r="Y106" s="1174">
        <f t="shared" si="196"/>
        <v>0</v>
      </c>
      <c r="Z106" s="1175">
        <f t="shared" si="197"/>
        <v>0</v>
      </c>
      <c r="AA106" s="1173">
        <f>SUM('3 pr-2'!X107)</f>
        <v>0</v>
      </c>
      <c r="AB106" s="1162">
        <f>IF('ketv. 5 '!U106&gt;0,'ketv. 7 '!AG105,SUMIF(Projektu_sutarciu_ataskaita!$J:$J,C106,Projektu_sutarciu_ataskaita!$DL:$DL)+SUMIF(Projektu_sutarciu_ataskaita!$J:$J,C106,Projektu_sutarciu_ataskaita!$DJ:$DJ))</f>
        <v>0</v>
      </c>
      <c r="AC106" s="1174">
        <f>SUM(AA106-AB106)</f>
        <v>0</v>
      </c>
      <c r="AD106" s="1175">
        <f t="shared" si="198"/>
        <v>0</v>
      </c>
      <c r="AE106" s="1173">
        <f>SUM('3 pr-2'!AA107)</f>
        <v>166412</v>
      </c>
      <c r="AF106" s="1162">
        <f>IF('ketv. 5 '!U106&gt;0,'ketv. 7 '!AL105,SUMIF(Projektu_sutarciu_ataskaita!$J:$J,C106,Projektu_sutarciu_ataskaita!$DF:$DF))</f>
        <v>166412</v>
      </c>
      <c r="AG106" s="1178">
        <f t="shared" si="199"/>
        <v>0</v>
      </c>
      <c r="AH106" s="1177">
        <f t="shared" si="200"/>
        <v>0</v>
      </c>
      <c r="AI106" s="1173">
        <f>SUM('3 pr-2'!AB108)</f>
        <v>0</v>
      </c>
      <c r="AJ106" s="1162">
        <v>0</v>
      </c>
    </row>
    <row r="107" spans="1:36" ht="31.5" customHeight="1" thickBot="1">
      <c r="A107" s="296" t="str">
        <f>CONCATENATE('3 pr-2'!A108)</f>
        <v>2.1.1.2</v>
      </c>
      <c r="B107" s="2088" t="str">
        <f>CONCATENATE('3 pr-2'!B108)</f>
        <v>Priemonė:
Neformaliojo švietimo infrastruktūros tobulinimas</v>
      </c>
      <c r="C107" s="1894"/>
      <c r="D107" s="1894"/>
      <c r="E107" s="1894"/>
      <c r="F107" s="1894"/>
      <c r="G107" s="1894"/>
      <c r="H107" s="1894"/>
      <c r="I107" s="1894"/>
      <c r="J107" s="1895"/>
      <c r="K107" s="1168">
        <f>SUM('3 pr-2'!L108)</f>
        <v>1973870.18</v>
      </c>
      <c r="L107" s="1168">
        <f>SUM(L108:L112)</f>
        <v>1973870.18</v>
      </c>
      <c r="M107" s="1169">
        <f>SUM(M108:M112)</f>
        <v>0</v>
      </c>
      <c r="N107" s="1170">
        <f>SUM(N108:N112)</f>
        <v>0</v>
      </c>
      <c r="O107" s="1168">
        <f>SUM('3 pr-2'!O108)</f>
        <v>487863.18</v>
      </c>
      <c r="P107" s="1168">
        <f>SUM(P108:P112)</f>
        <v>487863.18</v>
      </c>
      <c r="Q107" s="1168">
        <f>SUM(Q108:Q112)</f>
        <v>0</v>
      </c>
      <c r="R107" s="1168">
        <f>SUM(R108:R112)</f>
        <v>0</v>
      </c>
      <c r="S107" s="1168">
        <f>SUM('3 pr-2'!R108)</f>
        <v>0</v>
      </c>
      <c r="T107" s="1168">
        <f>SUM(T108:T112)</f>
        <v>0</v>
      </c>
      <c r="U107" s="1168">
        <f>SUM(U108:U112)</f>
        <v>0</v>
      </c>
      <c r="V107" s="1168">
        <f>SUM(V108:V112)</f>
        <v>0</v>
      </c>
      <c r="W107" s="1168">
        <f>SUM('3 pr-2'!U108)</f>
        <v>0</v>
      </c>
      <c r="X107" s="1168">
        <f>SUM(X108:X112)</f>
        <v>0</v>
      </c>
      <c r="Y107" s="1168">
        <f>SUM(Y108:Y112)</f>
        <v>0</v>
      </c>
      <c r="Z107" s="1168">
        <f>SUM(Z108:Z112)</f>
        <v>0</v>
      </c>
      <c r="AA107" s="1168">
        <f>SUM('3 pr-2'!X108)</f>
        <v>0</v>
      </c>
      <c r="AB107" s="1168">
        <f>SUM(AB108:AB112)</f>
        <v>0</v>
      </c>
      <c r="AC107" s="1168">
        <f>SUM(AC108:AC112)</f>
        <v>0</v>
      </c>
      <c r="AD107" s="1168">
        <f>SUM(AD108:AD112)</f>
        <v>0</v>
      </c>
      <c r="AE107" s="1168">
        <f>SUM('3 pr-2'!AA108)</f>
        <v>1486007</v>
      </c>
      <c r="AF107" s="1168">
        <f>SUM(AF108:AF112)</f>
        <v>1486007</v>
      </c>
      <c r="AG107" s="1564">
        <f>SUM(AG108:AG112)</f>
        <v>0</v>
      </c>
      <c r="AH107" s="1565">
        <f>SUM(AH108:AH112)</f>
        <v>0</v>
      </c>
      <c r="AI107" s="1168">
        <f t="shared" ref="AI107:AJ107" si="201">SUM(AI108:AI112)</f>
        <v>0</v>
      </c>
      <c r="AJ107" s="1168">
        <f t="shared" si="201"/>
        <v>0</v>
      </c>
    </row>
    <row r="108" spans="1:36" ht="36.75">
      <c r="A108" s="375" t="str">
        <f>CONCATENATE('3 pr-2'!A109)</f>
        <v>2.1.1.2.1</v>
      </c>
      <c r="B108" s="375" t="str">
        <f>CONCATENATE('3 pr-2'!B109)</f>
        <v>R01-7725-240000-2121</v>
      </c>
      <c r="C108" s="1558" t="str">
        <f>IF('ketv. 4 '!Z109&gt;0,'ketv. 4 '!C109,"-")</f>
        <v>09.1.3-CPVA-R-725-11-0003</v>
      </c>
      <c r="D108" s="575" t="str">
        <f>CONCATENATE('3 pr-2'!D109)</f>
        <v>Varėnos moksleivių kūrybos centro pastato J.Basanavičiaus g. 38, Varėnoje, modernizavimas</v>
      </c>
      <c r="E108" s="375" t="str">
        <f>CONCATENATE('3 pr-2'!E109)</f>
        <v>Varėnos rajono savivaldybės administracija</v>
      </c>
      <c r="F108" s="375" t="str">
        <f>CONCATENATE('3 pr-2'!F109)</f>
        <v>Lietuvos Respublikos švietimo ir mokslo ministerija</v>
      </c>
      <c r="G108" s="375" t="str">
        <f>CONCATENATE('3 pr-2'!G109)</f>
        <v>Varėnos r. sav.</v>
      </c>
      <c r="H108" s="375" t="str">
        <f>CONCATENATE('3 pr-2'!H109)</f>
        <v>09.13.CPVA-R-725</v>
      </c>
      <c r="I108" s="375" t="str">
        <f>CONCATENATE('3 pr-2'!I109)</f>
        <v>R</v>
      </c>
      <c r="J108" s="375" t="str">
        <f>CONCATENATE('3 pr-2'!J109)</f>
        <v>-</v>
      </c>
      <c r="K108" s="1173">
        <f>SUM('3 pr-2'!L109)</f>
        <v>437551</v>
      </c>
      <c r="L108" s="1162">
        <f t="shared" ref="L108:L112" si="202">SUM(P108+T108+X108+AB108+AF108+AJ108)</f>
        <v>437551</v>
      </c>
      <c r="M108" s="1174">
        <f t="shared" ref="M108:M112" si="203">SUM(K108-L108)</f>
        <v>0</v>
      </c>
      <c r="N108" s="1175">
        <f t="shared" ref="N108:N112" si="204">IF(L108&gt;0,K108-L108,0)</f>
        <v>0</v>
      </c>
      <c r="O108" s="1173">
        <f>SUM('3 pr-2'!O109)</f>
        <v>65633</v>
      </c>
      <c r="P108" s="1162">
        <f>IF('ketv. 5 '!U108&gt;0,'ketv. 7 '!R107,SUMIF(Projektu_sutarciu_ataskaita!$J:$J,C108,Projektu_sutarciu_ataskaita!$DK:$DK))</f>
        <v>65633</v>
      </c>
      <c r="Q108" s="1173">
        <f t="shared" ref="Q108:Q112" si="205">SUM(O108-P108)</f>
        <v>0</v>
      </c>
      <c r="R108" s="1173">
        <f t="shared" ref="R108:R112" si="206">IF(P108&gt;0,O108-P108,0)</f>
        <v>0</v>
      </c>
      <c r="S108" s="1173">
        <f>SUM('3 pr-2'!R109)</f>
        <v>0</v>
      </c>
      <c r="T108" s="1162">
        <f>IF('ketv. 5 '!U108&gt;0,'ketv. 7 '!W107,SUMIF(Projektu_sutarciu_ataskaita!$J:$J,C108,Projektu_sutarciu_ataskaita!$DG:$DG))</f>
        <v>0</v>
      </c>
      <c r="U108" s="1173">
        <f t="shared" ref="U108:U112" si="207">SUM(S108-T108)</f>
        <v>0</v>
      </c>
      <c r="V108" s="1173">
        <f t="shared" ref="V108:V112" si="208">IF(T108&gt;0,S108-T108,0)</f>
        <v>0</v>
      </c>
      <c r="W108" s="1173">
        <f>SUM('3 pr-2'!U109)</f>
        <v>0</v>
      </c>
      <c r="X108" s="1162">
        <f>IF('ketv. 5 '!U108&gt;0,'ketv. 7 '!AB107,SUMIF(Projektu_sutarciu_ataskaita!$J:$J,C108,Projektu_sutarciu_ataskaita!$DM:$DM))</f>
        <v>0</v>
      </c>
      <c r="Y108" s="1173">
        <f t="shared" ref="Y108:Y112" si="209">SUM(W108-X108)</f>
        <v>0</v>
      </c>
      <c r="Z108" s="1173">
        <f t="shared" ref="Z108:Z112" si="210">IF(X108&gt;0,W108-X108,0)</f>
        <v>0</v>
      </c>
      <c r="AA108" s="1173">
        <f>SUM('3 pr-2'!X109)</f>
        <v>0</v>
      </c>
      <c r="AB108" s="1162">
        <f>IF('ketv. 5 '!U108&gt;0,'ketv. 7 '!AG107,SUMIF(Projektu_sutarciu_ataskaita!$J:$J,C108,Projektu_sutarciu_ataskaita!$DL:$DL)+SUMIF(Projektu_sutarciu_ataskaita!$J:$J,C108,Projektu_sutarciu_ataskaita!$DJ:$DJ))</f>
        <v>0</v>
      </c>
      <c r="AC108" s="1173">
        <f>SUM(AA108-AB108)</f>
        <v>0</v>
      </c>
      <c r="AD108" s="1173">
        <f t="shared" ref="AD108:AD112" si="211">IF(AB108&gt;0,AA108-AB108,0)</f>
        <v>0</v>
      </c>
      <c r="AE108" s="1173">
        <f>SUM('3 pr-2'!AA109)</f>
        <v>371918</v>
      </c>
      <c r="AF108" s="1162">
        <f>IF('ketv. 5 '!U108&gt;0,'ketv. 7 '!AL107,SUMIF(Projektu_sutarciu_ataskaita!$J:$J,C108,Projektu_sutarciu_ataskaita!$DF:$DF))</f>
        <v>371918</v>
      </c>
      <c r="AG108" s="1178">
        <f t="shared" ref="AG108:AG112" si="212">SUM(AE108-AF108)</f>
        <v>0</v>
      </c>
      <c r="AH108" s="1177">
        <f t="shared" ref="AH108:AH112" si="213">IF(AF108&gt;0,AE108-AF108,0)</f>
        <v>0</v>
      </c>
      <c r="AI108" s="1173">
        <f>SUM('3 pr-2'!AB110)</f>
        <v>0</v>
      </c>
      <c r="AJ108" s="1162">
        <v>0</v>
      </c>
    </row>
    <row r="109" spans="1:36" ht="36.75">
      <c r="A109" s="375" t="str">
        <f>CONCATENATE('3 pr-2'!A110)</f>
        <v>2.1.1.2.2</v>
      </c>
      <c r="B109" s="375" t="str">
        <f>CONCATENATE('3 pr-2'!B110)</f>
        <v>R01-7725-240000-2122</v>
      </c>
      <c r="C109" s="1558" t="str">
        <f>IF('ketv. 4 '!Z110&gt;0,'ketv. 4 '!C110,"-")</f>
        <v>09.1.3-CPVA-R-725-11-0005</v>
      </c>
      <c r="D109" s="575" t="str">
        <f>CONCATENATE('3 pr-2'!D110)</f>
        <v>Alytaus r. meno ir sporto mokyklos edukacinių erdvių įkūrimas ir atnaujinimas</v>
      </c>
      <c r="E109" s="375" t="str">
        <f>CONCATENATE('3 pr-2'!E110)</f>
        <v>Alytaus rajono savivaldybės administracija</v>
      </c>
      <c r="F109" s="375" t="str">
        <f>CONCATENATE('3 pr-2'!F110)</f>
        <v>Lietuvos Respublikos švietimo ir mokslo ministerija</v>
      </c>
      <c r="G109" s="375" t="str">
        <f>CONCATENATE('3 pr-2'!G110)</f>
        <v>Alytaus r. sav.</v>
      </c>
      <c r="H109" s="375" t="str">
        <f>CONCATENATE('3 pr-2'!H110)</f>
        <v>09.13.CPVA-R-725</v>
      </c>
      <c r="I109" s="375" t="str">
        <f>CONCATENATE('3 pr-2'!I110)</f>
        <v>R</v>
      </c>
      <c r="J109" s="375" t="str">
        <f>CONCATENATE('3 pr-2'!J110)</f>
        <v>-</v>
      </c>
      <c r="K109" s="1173">
        <f>SUM('3 pr-2'!L110)</f>
        <v>856424.88</v>
      </c>
      <c r="L109" s="1162">
        <f t="shared" si="202"/>
        <v>856424.88</v>
      </c>
      <c r="M109" s="1174">
        <f t="shared" si="203"/>
        <v>0</v>
      </c>
      <c r="N109" s="1175">
        <f t="shared" si="204"/>
        <v>0</v>
      </c>
      <c r="O109" s="1173">
        <f>SUM('3 pr-2'!O110)</f>
        <v>319813.88</v>
      </c>
      <c r="P109" s="1162">
        <f>IF('ketv. 5 '!U109&gt;0,'ketv. 7 '!R108,SUMIF(Projektu_sutarciu_ataskaita!$J:$J,C109,Projektu_sutarciu_ataskaita!$DK:$DK))</f>
        <v>319813.88</v>
      </c>
      <c r="Q109" s="1173">
        <f t="shared" si="205"/>
        <v>0</v>
      </c>
      <c r="R109" s="1173">
        <f t="shared" si="206"/>
        <v>0</v>
      </c>
      <c r="S109" s="1173">
        <f>SUM('3 pr-2'!R110)</f>
        <v>0</v>
      </c>
      <c r="T109" s="1162">
        <f>IF('ketv. 5 '!U109&gt;0,'ketv. 7 '!W108,SUMIF(Projektu_sutarciu_ataskaita!$J:$J,C109,Projektu_sutarciu_ataskaita!$DG:$DG))</f>
        <v>0</v>
      </c>
      <c r="U109" s="1173">
        <f t="shared" si="207"/>
        <v>0</v>
      </c>
      <c r="V109" s="1173">
        <f t="shared" si="208"/>
        <v>0</v>
      </c>
      <c r="W109" s="1173">
        <f>SUM('3 pr-2'!U110)</f>
        <v>0</v>
      </c>
      <c r="X109" s="1162">
        <f>IF('ketv. 5 '!U109&gt;0,'ketv. 7 '!AB108,SUMIF(Projektu_sutarciu_ataskaita!$J:$J,C109,Projektu_sutarciu_ataskaita!$DM:$DM))</f>
        <v>0</v>
      </c>
      <c r="Y109" s="1173">
        <f t="shared" si="209"/>
        <v>0</v>
      </c>
      <c r="Z109" s="1173">
        <f t="shared" si="210"/>
        <v>0</v>
      </c>
      <c r="AA109" s="1173">
        <f>SUM('3 pr-2'!X110)</f>
        <v>0</v>
      </c>
      <c r="AB109" s="1162">
        <f>IF('ketv. 5 '!U109&gt;0,'ketv. 7 '!AG108,SUMIF(Projektu_sutarciu_ataskaita!$J:$J,C109,Projektu_sutarciu_ataskaita!$DL:$DL)+SUMIF(Projektu_sutarciu_ataskaita!$J:$J,C109,Projektu_sutarciu_ataskaita!$DJ:$DJ))</f>
        <v>0</v>
      </c>
      <c r="AC109" s="1173">
        <f>SUM(AA109-AB109)</f>
        <v>0</v>
      </c>
      <c r="AD109" s="1173">
        <f t="shared" si="211"/>
        <v>0</v>
      </c>
      <c r="AE109" s="1173">
        <f>SUM('3 pr-2'!AA110)</f>
        <v>536611</v>
      </c>
      <c r="AF109" s="1162">
        <f>IF('ketv. 5 '!U109&gt;0,'ketv. 7 '!AL108,SUMIF(Projektu_sutarciu_ataskaita!$J:$J,C109,Projektu_sutarciu_ataskaita!$DF:$DF))</f>
        <v>536611</v>
      </c>
      <c r="AG109" s="1178">
        <f t="shared" si="212"/>
        <v>0</v>
      </c>
      <c r="AH109" s="1177">
        <f t="shared" si="213"/>
        <v>0</v>
      </c>
      <c r="AI109" s="1173">
        <f>SUM('3 pr-2'!AB111)</f>
        <v>0</v>
      </c>
      <c r="AJ109" s="1162">
        <v>0</v>
      </c>
    </row>
    <row r="110" spans="1:36" ht="36.75">
      <c r="A110" s="375" t="str">
        <f>CONCATENATE('3 pr-2'!A111)</f>
        <v>2.1.1.2.3</v>
      </c>
      <c r="B110" s="375" t="str">
        <f>CONCATENATE('3 pr-2'!B111)</f>
        <v>R01-7725-240000-2123</v>
      </c>
      <c r="C110" s="1558" t="str">
        <f>IF('ketv. 4 '!Z111&gt;0,'ketv. 4 '!C111,"-")</f>
        <v>09.1.3-CPVA-R-725-11-0004</v>
      </c>
      <c r="D110" s="575" t="str">
        <f>CONCATENATE('3 pr-2'!D111)</f>
        <v>Alytaus muzikos mokyklos pastato modernizavimas ir ugdymo aplinkos gerinimas</v>
      </c>
      <c r="E110" s="375" t="str">
        <f>CONCATENATE('3 pr-2'!E111)</f>
        <v>Alytaus miesto savivaldybės administracija</v>
      </c>
      <c r="F110" s="375" t="str">
        <f>CONCATENATE('3 pr-2'!F111)</f>
        <v>Lietuvos Respublikos švietimo ir mokslo ministerija</v>
      </c>
      <c r="G110" s="375" t="str">
        <f>CONCATENATE('3 pr-2'!G111)</f>
        <v>Alytaus m. sav.</v>
      </c>
      <c r="H110" s="375" t="str">
        <f>CONCATENATE('3 pr-2'!H111)</f>
        <v>09.13.CPVA-R-725</v>
      </c>
      <c r="I110" s="375" t="str">
        <f>CONCATENATE('3 pr-2'!I111)</f>
        <v>R</v>
      </c>
      <c r="J110" s="375" t="str">
        <f>CONCATENATE('3 pr-2'!J111)</f>
        <v>-</v>
      </c>
      <c r="K110" s="1173">
        <f>SUM('3 pr-2'!L111)</f>
        <v>397378</v>
      </c>
      <c r="L110" s="1162">
        <f t="shared" si="202"/>
        <v>397378</v>
      </c>
      <c r="M110" s="1174">
        <f t="shared" si="203"/>
        <v>0</v>
      </c>
      <c r="N110" s="1175">
        <f t="shared" si="204"/>
        <v>0</v>
      </c>
      <c r="O110" s="1173">
        <f>SUM('3 pr-2'!O111)</f>
        <v>59607</v>
      </c>
      <c r="P110" s="1162">
        <f>IF('ketv. 5 '!U110&gt;0,'ketv. 7 '!R109,SUMIF(Projektu_sutarciu_ataskaita!$J:$J,C110,Projektu_sutarciu_ataskaita!$DK:$DK))</f>
        <v>59607</v>
      </c>
      <c r="Q110" s="1173">
        <f t="shared" si="205"/>
        <v>0</v>
      </c>
      <c r="R110" s="1173">
        <f t="shared" si="206"/>
        <v>0</v>
      </c>
      <c r="S110" s="1173">
        <f>SUM('3 pr-2'!R111)</f>
        <v>0</v>
      </c>
      <c r="T110" s="1162">
        <f>IF('ketv. 5 '!U110&gt;0,'ketv. 7 '!W109,SUMIF(Projektu_sutarciu_ataskaita!$J:$J,C110,Projektu_sutarciu_ataskaita!$DG:$DG))</f>
        <v>0</v>
      </c>
      <c r="U110" s="1173">
        <f t="shared" si="207"/>
        <v>0</v>
      </c>
      <c r="V110" s="1173">
        <f t="shared" si="208"/>
        <v>0</v>
      </c>
      <c r="W110" s="1173">
        <f>SUM('3 pr-2'!U111)</f>
        <v>0</v>
      </c>
      <c r="X110" s="1162">
        <f>IF('ketv. 5 '!U110&gt;0,'ketv. 7 '!AB109,SUMIF(Projektu_sutarciu_ataskaita!$J:$J,C110,Projektu_sutarciu_ataskaita!$DM:$DM))</f>
        <v>0</v>
      </c>
      <c r="Y110" s="1173">
        <f t="shared" si="209"/>
        <v>0</v>
      </c>
      <c r="Z110" s="1173">
        <f t="shared" si="210"/>
        <v>0</v>
      </c>
      <c r="AA110" s="1173">
        <f>SUM('3 pr-2'!X111)</f>
        <v>0</v>
      </c>
      <c r="AB110" s="1162">
        <f>IF('ketv. 5 '!U110&gt;0,'ketv. 7 '!AG109,SUMIF(Projektu_sutarciu_ataskaita!$J:$J,C110,Projektu_sutarciu_ataskaita!$DL:$DL)+SUMIF(Projektu_sutarciu_ataskaita!$J:$J,C110,Projektu_sutarciu_ataskaita!$DJ:$DJ))</f>
        <v>0</v>
      </c>
      <c r="AC110" s="1173">
        <f>SUM(AA110-AB110)</f>
        <v>0</v>
      </c>
      <c r="AD110" s="1173">
        <f t="shared" si="211"/>
        <v>0</v>
      </c>
      <c r="AE110" s="1173">
        <f>SUM('3 pr-2'!AA111)</f>
        <v>337771</v>
      </c>
      <c r="AF110" s="1162">
        <f>IF('ketv. 5 '!U110&gt;0,'ketv. 7 '!AL109,SUMIF(Projektu_sutarciu_ataskaita!$J:$J,C110,Projektu_sutarciu_ataskaita!$DF:$DF))</f>
        <v>337771</v>
      </c>
      <c r="AG110" s="1178">
        <f t="shared" si="212"/>
        <v>0</v>
      </c>
      <c r="AH110" s="1177">
        <f t="shared" si="213"/>
        <v>0</v>
      </c>
      <c r="AI110" s="1173">
        <f>SUM('3 pr-2'!AB112)</f>
        <v>0</v>
      </c>
      <c r="AJ110" s="1162">
        <v>0</v>
      </c>
    </row>
    <row r="111" spans="1:36" ht="36.75">
      <c r="A111" s="375" t="str">
        <f>CONCATENATE('3 pr-2'!A112)</f>
        <v>2.1.1.2.4</v>
      </c>
      <c r="B111" s="375" t="str">
        <f>CONCATENATE('3 pr-2'!B112)</f>
        <v>R01-7725-240000-2124</v>
      </c>
      <c r="C111" s="1558" t="str">
        <f>IF('ketv. 4 '!Z112&gt;0,'ketv. 4 '!C112,"-")</f>
        <v>09.1.3-CPVA-R-725-11-0002</v>
      </c>
      <c r="D111" s="575" t="str">
        <f>CONCATENATE('3 pr-2'!D112)</f>
        <v>Druskininkų M. K. Čiurlionio meno mokyklos infrastruktūros tobulinimas</v>
      </c>
      <c r="E111" s="375" t="str">
        <f>CONCATENATE('3 pr-2'!E112)</f>
        <v xml:space="preserve">Druskininkų savivaldybės administracija  </v>
      </c>
      <c r="F111" s="375" t="str">
        <f>CONCATENATE('3 pr-2'!F112)</f>
        <v>Lietuvos Respublikos švietimo ir mokslo ministerija</v>
      </c>
      <c r="G111" s="375" t="str">
        <f>CONCATENATE('3 pr-2'!G112)</f>
        <v>Druskininkų sav.</v>
      </c>
      <c r="H111" s="375" t="str">
        <f>CONCATENATE('3 pr-2'!H112)</f>
        <v>09.13.CPVA-R-725</v>
      </c>
      <c r="I111" s="375" t="str">
        <f>CONCATENATE('3 pr-2'!I112)</f>
        <v>R</v>
      </c>
      <c r="J111" s="375" t="str">
        <f>CONCATENATE('3 pr-2'!J112)</f>
        <v>-</v>
      </c>
      <c r="K111" s="1173">
        <f>SUM('3 pr-2'!L112)</f>
        <v>146702.29999999999</v>
      </c>
      <c r="L111" s="1162">
        <f t="shared" si="202"/>
        <v>146702.29999999999</v>
      </c>
      <c r="M111" s="1174">
        <f t="shared" si="203"/>
        <v>0</v>
      </c>
      <c r="N111" s="1175">
        <f t="shared" si="204"/>
        <v>0</v>
      </c>
      <c r="O111" s="1173">
        <f>SUM('3 pr-2'!O112)</f>
        <v>22436.3</v>
      </c>
      <c r="P111" s="1162">
        <f>IF('ketv. 5 '!U111&gt;0,'ketv. 7 '!R110,SUMIF(Projektu_sutarciu_ataskaita!$J:$J,C111,Projektu_sutarciu_ataskaita!$DK:$DK))</f>
        <v>22436.3</v>
      </c>
      <c r="Q111" s="1173">
        <f t="shared" si="205"/>
        <v>0</v>
      </c>
      <c r="R111" s="1173">
        <f t="shared" si="206"/>
        <v>0</v>
      </c>
      <c r="S111" s="1173">
        <f>SUM('3 pr-2'!R112)</f>
        <v>0</v>
      </c>
      <c r="T111" s="1162">
        <f>IF('ketv. 5 '!U111&gt;0,'ketv. 7 '!W110,SUMIF(Projektu_sutarciu_ataskaita!$J:$J,C111,Projektu_sutarciu_ataskaita!$DG:$DG))</f>
        <v>0</v>
      </c>
      <c r="U111" s="1173">
        <f t="shared" si="207"/>
        <v>0</v>
      </c>
      <c r="V111" s="1173">
        <f t="shared" si="208"/>
        <v>0</v>
      </c>
      <c r="W111" s="1173">
        <f>SUM('3 pr-2'!U112)</f>
        <v>0</v>
      </c>
      <c r="X111" s="1162">
        <f>IF('ketv. 5 '!U111&gt;0,'ketv. 7 '!AB110,SUMIF(Projektu_sutarciu_ataskaita!$J:$J,C111,Projektu_sutarciu_ataskaita!$DM:$DM))</f>
        <v>0</v>
      </c>
      <c r="Y111" s="1173">
        <f t="shared" si="209"/>
        <v>0</v>
      </c>
      <c r="Z111" s="1173">
        <f t="shared" si="210"/>
        <v>0</v>
      </c>
      <c r="AA111" s="1173">
        <f>SUM('3 pr-2'!X112)</f>
        <v>0</v>
      </c>
      <c r="AB111" s="1162">
        <f>IF('ketv. 5 '!U111&gt;0,'ketv. 7 '!AG110,SUMIF(Projektu_sutarciu_ataskaita!$J:$J,C111,Projektu_sutarciu_ataskaita!$DL:$DL)+SUMIF(Projektu_sutarciu_ataskaita!$J:$J,C111,Projektu_sutarciu_ataskaita!$DJ:$DJ))</f>
        <v>0</v>
      </c>
      <c r="AC111" s="1173">
        <f>SUM(AA111-AB111)</f>
        <v>0</v>
      </c>
      <c r="AD111" s="1173">
        <f t="shared" si="211"/>
        <v>0</v>
      </c>
      <c r="AE111" s="1173">
        <f>SUM('3 pr-2'!AA112)</f>
        <v>124266</v>
      </c>
      <c r="AF111" s="1162">
        <f>IF('ketv. 5 '!U111&gt;0,'ketv. 7 '!AL110,SUMIF(Projektu_sutarciu_ataskaita!$J:$J,C111,Projektu_sutarciu_ataskaita!$DF:$DF))</f>
        <v>124266</v>
      </c>
      <c r="AG111" s="1178">
        <f t="shared" si="212"/>
        <v>0</v>
      </c>
      <c r="AH111" s="1177">
        <f t="shared" si="213"/>
        <v>0</v>
      </c>
      <c r="AI111" s="1173">
        <f>SUM('3 pr-2'!AB113)</f>
        <v>0</v>
      </c>
      <c r="AJ111" s="1162">
        <v>0</v>
      </c>
    </row>
    <row r="112" spans="1:36" ht="37.5" thickBot="1">
      <c r="A112" s="375" t="str">
        <f>CONCATENATE('3 pr-2'!A113)</f>
        <v>2.1.1.2.5</v>
      </c>
      <c r="B112" s="375" t="str">
        <f>CONCATENATE('3 pr-2'!B113)</f>
        <v>R01-7725-240000-2125</v>
      </c>
      <c r="C112" s="1558" t="str">
        <f>IF('ketv. 4 '!Z113&gt;0,'ketv. 4 '!C113,"-")</f>
        <v>09.1.3-CPVA-R-725-11-0001</v>
      </c>
      <c r="D112" s="575" t="str">
        <f>CONCATENATE('3 pr-2'!D113)</f>
        <v>Neformaliojo švietimo įstaigų Lazdijų rajono savivaldybėje infrastruktūros tobulinimas</v>
      </c>
      <c r="E112" s="375" t="str">
        <f>CONCATENATE('3 pr-2'!E113)</f>
        <v>VšĮ „Lazdijų sporto centras“</v>
      </c>
      <c r="F112" s="375" t="str">
        <f>CONCATENATE('3 pr-2'!F113)</f>
        <v>Lietuvos Respublikos švietimo ir mokslo ministerija</v>
      </c>
      <c r="G112" s="375" t="str">
        <f>CONCATENATE('3 pr-2'!G113)</f>
        <v>Lazdijų r. sav.</v>
      </c>
      <c r="H112" s="375" t="str">
        <f>CONCATENATE('3 pr-2'!H113)</f>
        <v>09.13.CPVA-R-725</v>
      </c>
      <c r="I112" s="375" t="str">
        <f>CONCATENATE('3 pr-2'!I113)</f>
        <v>R</v>
      </c>
      <c r="J112" s="375" t="str">
        <f>CONCATENATE('3 pr-2'!J113)</f>
        <v>-</v>
      </c>
      <c r="K112" s="1173">
        <f>SUM('3 pr-2'!L113)</f>
        <v>135814</v>
      </c>
      <c r="L112" s="1162">
        <f t="shared" si="202"/>
        <v>135814</v>
      </c>
      <c r="M112" s="1174">
        <f t="shared" si="203"/>
        <v>0</v>
      </c>
      <c r="N112" s="1175">
        <f t="shared" si="204"/>
        <v>0</v>
      </c>
      <c r="O112" s="1173">
        <f>SUM('3 pr-2'!O113)</f>
        <v>20373</v>
      </c>
      <c r="P112" s="1162">
        <f>IF('ketv. 5 '!U112&gt;0,'ketv. 7 '!R111,SUMIF(Projektu_sutarciu_ataskaita!$J:$J,C112,Projektu_sutarciu_ataskaita!$DK:$DK))</f>
        <v>20373</v>
      </c>
      <c r="Q112" s="1173">
        <f t="shared" si="205"/>
        <v>0</v>
      </c>
      <c r="R112" s="1173">
        <f t="shared" si="206"/>
        <v>0</v>
      </c>
      <c r="S112" s="1173">
        <f>SUM('3 pr-2'!R113)</f>
        <v>0</v>
      </c>
      <c r="T112" s="1162">
        <f>IF('ketv. 5 '!U112&gt;0,'ketv. 7 '!W111,SUMIF(Projektu_sutarciu_ataskaita!$J:$J,C112,Projektu_sutarciu_ataskaita!$DG:$DG))</f>
        <v>0</v>
      </c>
      <c r="U112" s="1173">
        <f t="shared" si="207"/>
        <v>0</v>
      </c>
      <c r="V112" s="1173">
        <f t="shared" si="208"/>
        <v>0</v>
      </c>
      <c r="W112" s="1173">
        <f>SUM('3 pr-2'!U113)</f>
        <v>0</v>
      </c>
      <c r="X112" s="1162">
        <f>IF('ketv. 5 '!U112&gt;0,'ketv. 7 '!AB111,SUMIF(Projektu_sutarciu_ataskaita!$J:$J,C112,Projektu_sutarciu_ataskaita!$DM:$DM))</f>
        <v>0</v>
      </c>
      <c r="Y112" s="1173">
        <f t="shared" si="209"/>
        <v>0</v>
      </c>
      <c r="Z112" s="1173">
        <f t="shared" si="210"/>
        <v>0</v>
      </c>
      <c r="AA112" s="1173">
        <f>SUM('3 pr-2'!X113)</f>
        <v>0</v>
      </c>
      <c r="AB112" s="1162">
        <f>IF('ketv. 5 '!U112&gt;0,'ketv. 7 '!AG111,SUMIF(Projektu_sutarciu_ataskaita!$J:$J,C112,Projektu_sutarciu_ataskaita!$DL:$DL)+SUMIF(Projektu_sutarciu_ataskaita!$J:$J,C112,Projektu_sutarciu_ataskaita!$DJ:$DJ))</f>
        <v>0</v>
      </c>
      <c r="AC112" s="1173">
        <f>SUM(AA112-AB112)</f>
        <v>0</v>
      </c>
      <c r="AD112" s="1173">
        <f t="shared" si="211"/>
        <v>0</v>
      </c>
      <c r="AE112" s="1173">
        <f>SUM('3 pr-2'!AA113)</f>
        <v>115441</v>
      </c>
      <c r="AF112" s="1162">
        <f>IF('ketv. 5 '!U112&gt;0,'ketv. 7 '!AL111,SUMIF(Projektu_sutarciu_ataskaita!$J:$J,C112,Projektu_sutarciu_ataskaita!$DF:$DF))</f>
        <v>115441</v>
      </c>
      <c r="AG112" s="1178">
        <f t="shared" si="212"/>
        <v>0</v>
      </c>
      <c r="AH112" s="1177">
        <f t="shared" si="213"/>
        <v>0</v>
      </c>
      <c r="AI112" s="1173">
        <f>SUM('3 pr-2'!AB114)</f>
        <v>0</v>
      </c>
      <c r="AJ112" s="1162">
        <v>0</v>
      </c>
    </row>
    <row r="113" spans="1:36" ht="32.25" customHeight="1" thickBot="1">
      <c r="A113" s="296" t="str">
        <f>CONCATENATE('3 pr-2'!A114)</f>
        <v>2.1.1.3</v>
      </c>
      <c r="B113" s="2088" t="str">
        <f>CONCATENATE('3 pr-2'!B114)</f>
        <v>Priemonė:
Ikimokyklinio ir priešmokyklinio ugdymo prieinamumo didinimas</v>
      </c>
      <c r="C113" s="1894"/>
      <c r="D113" s="1894"/>
      <c r="E113" s="1894"/>
      <c r="F113" s="1894"/>
      <c r="G113" s="1894"/>
      <c r="H113" s="1894"/>
      <c r="I113" s="1894"/>
      <c r="J113" s="1895"/>
      <c r="K113" s="1168">
        <f>SUM('3 pr-2'!L114)</f>
        <v>1459021.7699999998</v>
      </c>
      <c r="L113" s="1168">
        <f>SUM(L114:L118)</f>
        <v>1459021.7699999998</v>
      </c>
      <c r="M113" s="1169">
        <f>SUM(M114:M118)</f>
        <v>0</v>
      </c>
      <c r="N113" s="1170">
        <f>SUM(N114:N118)</f>
        <v>0</v>
      </c>
      <c r="O113" s="1168">
        <f>SUM('3 pr-2'!O114)</f>
        <v>219970.77</v>
      </c>
      <c r="P113" s="1168">
        <f>SUM(P114:P118)</f>
        <v>219970.77</v>
      </c>
      <c r="Q113" s="1168">
        <f>SUM(Q114:Q118)</f>
        <v>0</v>
      </c>
      <c r="R113" s="1168">
        <f>SUM(R114:R118)</f>
        <v>0</v>
      </c>
      <c r="S113" s="1168">
        <f>SUM('3 pr-2'!R114)</f>
        <v>100463</v>
      </c>
      <c r="T113" s="1168">
        <f>SUM(T114:T118)</f>
        <v>100463</v>
      </c>
      <c r="U113" s="1168">
        <f>SUM(U114:U118)</f>
        <v>0</v>
      </c>
      <c r="V113" s="1168">
        <f>SUM(V114:V118)</f>
        <v>0</v>
      </c>
      <c r="W113" s="1168">
        <f>SUM('3 pr-2'!U114)</f>
        <v>0</v>
      </c>
      <c r="X113" s="1168">
        <f>SUM(X114:X118)</f>
        <v>0</v>
      </c>
      <c r="Y113" s="1168">
        <f>SUM(Y114:Y118)</f>
        <v>0</v>
      </c>
      <c r="Z113" s="1168">
        <f>SUM(Z114:Z118)</f>
        <v>0</v>
      </c>
      <c r="AA113" s="1168">
        <f>SUM('3 pr-2'!X114)</f>
        <v>0</v>
      </c>
      <c r="AB113" s="1168">
        <f>SUM(AB114:AB118)</f>
        <v>0</v>
      </c>
      <c r="AC113" s="1168">
        <f>SUM(AC114:AC118)</f>
        <v>0</v>
      </c>
      <c r="AD113" s="1168">
        <f>SUM(AD114:AD118)</f>
        <v>0</v>
      </c>
      <c r="AE113" s="1168">
        <f>SUM('3 pr-2'!AA114)</f>
        <v>1138588</v>
      </c>
      <c r="AF113" s="1168">
        <f>SUM(AF114:AF118)</f>
        <v>1138588</v>
      </c>
      <c r="AG113" s="1564">
        <f>SUM(AG114:AG118)</f>
        <v>0</v>
      </c>
      <c r="AH113" s="1565">
        <f>SUM(AH114:AH118)</f>
        <v>0</v>
      </c>
      <c r="AI113" s="1168">
        <f t="shared" ref="AI113:AJ113" si="214">SUM(AI114:AI118)</f>
        <v>0</v>
      </c>
      <c r="AJ113" s="1168">
        <f t="shared" si="214"/>
        <v>0</v>
      </c>
    </row>
    <row r="114" spans="1:36" ht="36.75">
      <c r="A114" s="375" t="str">
        <f>CONCATENATE('3 pr-2'!A115)</f>
        <v>2.1.1.3.1</v>
      </c>
      <c r="B114" s="375" t="str">
        <f>CONCATENATE('3 pr-2'!B115)</f>
        <v>R01-7705-230000-2131</v>
      </c>
      <c r="C114" s="1558" t="str">
        <f>IF('ketv. 4 '!Z115&gt;0,'ketv. 4 '!C115,"-")</f>
        <v>09.1.3-CPVA-R-705-11-0003</v>
      </c>
      <c r="D114" s="575" t="str">
        <f>CONCATENATE('3 pr-2'!D115)</f>
        <v>Varėnos "Pasakos" vaikų lopšelio-darželio pastato modernizavimas</v>
      </c>
      <c r="E114" s="375" t="str">
        <f>CONCATENATE('3 pr-2'!E115)</f>
        <v>Varėnos rajono savivaldybės administracija</v>
      </c>
      <c r="F114" s="375" t="str">
        <f>CONCATENATE('3 pr-2'!F115)</f>
        <v>Lietuvos Respublikos švietimo ir mokslo ministerija</v>
      </c>
      <c r="G114" s="375" t="str">
        <f>CONCATENATE('3 pr-2'!G115)</f>
        <v>Varėnos r. sav.</v>
      </c>
      <c r="H114" s="375" t="str">
        <f>CONCATENATE('3 pr-2'!H115)</f>
        <v>09.1.3-CPVA-R-705</v>
      </c>
      <c r="I114" s="375" t="str">
        <f>CONCATENATE('3 pr-2'!I115)</f>
        <v>R</v>
      </c>
      <c r="J114" s="375" t="str">
        <f>CONCATENATE('3 pr-2'!J115)</f>
        <v>-</v>
      </c>
      <c r="K114" s="1173">
        <f>SUM('3 pr-2'!L115)</f>
        <v>370000</v>
      </c>
      <c r="L114" s="1162">
        <f t="shared" ref="L114:L118" si="215">SUM(P114+T114+X114+AB114+AF114+AJ114)</f>
        <v>370000</v>
      </c>
      <c r="M114" s="1174">
        <f t="shared" ref="M114:M118" si="216">SUM(K114-L114)</f>
        <v>0</v>
      </c>
      <c r="N114" s="1175">
        <f t="shared" ref="N114:N119" si="217">IF(L114&gt;0,K114-L114,0)</f>
        <v>0</v>
      </c>
      <c r="O114" s="1173">
        <f>SUM('3 pr-2'!O115)</f>
        <v>57342</v>
      </c>
      <c r="P114" s="1162">
        <f>IF('ketv. 5 '!U114&gt;0,'ketv. 7 '!R113,SUMIF(Projektu_sutarciu_ataskaita!$J:$J,C114,Projektu_sutarciu_ataskaita!$DK:$DK))</f>
        <v>57342</v>
      </c>
      <c r="Q114" s="1173">
        <f t="shared" ref="Q114:Q118" si="218">SUM(O114-P114)</f>
        <v>0</v>
      </c>
      <c r="R114" s="1173">
        <f t="shared" ref="R114:R119" si="219">IF(P114&gt;0,O114-P114,0)</f>
        <v>0</v>
      </c>
      <c r="S114" s="1173">
        <f>SUM('3 pr-2'!R115)</f>
        <v>25351</v>
      </c>
      <c r="T114" s="1162">
        <f>IF('ketv. 5 '!U114&gt;0,'ketv. 7 '!W113,SUMIF(Projektu_sutarciu_ataskaita!$J:$J,C114,Projektu_sutarciu_ataskaita!$DG:$DG))</f>
        <v>25351</v>
      </c>
      <c r="U114" s="1173">
        <f t="shared" ref="U114:U118" si="220">SUM(S114-T114)</f>
        <v>0</v>
      </c>
      <c r="V114" s="1173">
        <f t="shared" ref="V114:V119" si="221">IF(T114&gt;0,S114-T114,0)</f>
        <v>0</v>
      </c>
      <c r="W114" s="1173">
        <f>SUM('3 pr-2'!U115)</f>
        <v>0</v>
      </c>
      <c r="X114" s="1173">
        <f>IF('ketv. 5 '!U114&gt;0,'ketv. 7 '!AB113,SUMIF(Projektu_sutarciu_ataskaita!$J:$J,C114,Projektu_sutarciu_ataskaita!$DM:$DM))</f>
        <v>0</v>
      </c>
      <c r="Y114" s="1173">
        <f t="shared" ref="Y114:Y118" si="222">SUM(W114-X114)</f>
        <v>0</v>
      </c>
      <c r="Z114" s="1173">
        <f t="shared" ref="Z114:Z119" si="223">IF(X114&gt;0,W114-X114,0)</f>
        <v>0</v>
      </c>
      <c r="AA114" s="1173">
        <f>SUM('3 pr-2'!X115)</f>
        <v>0</v>
      </c>
      <c r="AB114" s="1173">
        <f>IF('ketv. 5 '!U114&gt;0,'ketv. 7 '!AG113,SUMIF(Projektu_sutarciu_ataskaita!$J:$J,C114,Projektu_sutarciu_ataskaita!$DL:$DL)+SUMIF(Projektu_sutarciu_ataskaita!$J:$J,C114,Projektu_sutarciu_ataskaita!$DJ:$DJ))</f>
        <v>0</v>
      </c>
      <c r="AC114" s="1173">
        <f>SUM(AA114-AB114)</f>
        <v>0</v>
      </c>
      <c r="AD114" s="1173">
        <f t="shared" ref="AD114:AD119" si="224">IF(AB114&gt;0,AA114-AB114,0)</f>
        <v>0</v>
      </c>
      <c r="AE114" s="1173">
        <f>SUM('3 pr-2'!AA115)</f>
        <v>287307</v>
      </c>
      <c r="AF114" s="1162">
        <f>IF('ketv. 5 '!U114&gt;0,'ketv. 7 '!AL113,SUMIF(Projektu_sutarciu_ataskaita!$J:$J,C114,Projektu_sutarciu_ataskaita!$DF:$DF))</f>
        <v>287307</v>
      </c>
      <c r="AG114" s="1178">
        <f t="shared" ref="AG114:AG118" si="225">SUM(AE114-AF114)</f>
        <v>0</v>
      </c>
      <c r="AH114" s="1177">
        <f t="shared" ref="AH114:AH119" si="226">IF(AF114&gt;0,AE114-AF114,0)</f>
        <v>0</v>
      </c>
      <c r="AI114" s="1173">
        <f>SUM('3 pr-2'!AB116)</f>
        <v>0</v>
      </c>
      <c r="AJ114" s="1162">
        <v>0</v>
      </c>
    </row>
    <row r="115" spans="1:36" ht="36.75">
      <c r="A115" s="375" t="str">
        <f>CONCATENATE('3 pr-2'!A116)</f>
        <v>2.1.1.3.2</v>
      </c>
      <c r="B115" s="375" t="str">
        <f>CONCATENATE('3 pr-2'!B116)</f>
        <v>R01-7705-230000-2132</v>
      </c>
      <c r="C115" s="1558" t="str">
        <f>IF('ketv. 4 '!Z116&gt;0,'ketv. 4 '!C116,"-")</f>
        <v>09.1.3-CPVA-R-705-11-0004</v>
      </c>
      <c r="D115" s="575" t="str">
        <f>CONCATENATE('3 pr-2'!D116)</f>
        <v>Alytaus r. ikimokyklinio ir priešmokyklinio ugdymo prieinamumo didinimas įkuriant ir atnaujinant edukacines erdves</v>
      </c>
      <c r="E115" s="375" t="str">
        <f>CONCATENATE('3 pr-2'!E116)</f>
        <v>Alytaus rajono savivaldybės administracija</v>
      </c>
      <c r="F115" s="375" t="str">
        <f>CONCATENATE('3 pr-2'!F116)</f>
        <v>Lietuvos Respublikos švietimo ir mokslo ministerija</v>
      </c>
      <c r="G115" s="375" t="str">
        <f>CONCATENATE('3 pr-2'!G116)</f>
        <v>Alytaus r. sav.</v>
      </c>
      <c r="H115" s="375" t="str">
        <f>CONCATENATE('3 pr-2'!H116)</f>
        <v>09.1.3-CPVA-R-705</v>
      </c>
      <c r="I115" s="375" t="str">
        <f>CONCATENATE('3 pr-2'!I116)</f>
        <v>R</v>
      </c>
      <c r="J115" s="375" t="str">
        <f>CONCATENATE('3 pr-2'!J116)</f>
        <v/>
      </c>
      <c r="K115" s="1173">
        <f>SUM('3 pr-2'!L116)</f>
        <v>597456.88</v>
      </c>
      <c r="L115" s="1162">
        <f t="shared" si="215"/>
        <v>597456.88</v>
      </c>
      <c r="M115" s="1174">
        <f t="shared" si="216"/>
        <v>0</v>
      </c>
      <c r="N115" s="1175">
        <f t="shared" si="217"/>
        <v>0</v>
      </c>
      <c r="O115" s="1173">
        <f>SUM('3 pr-2'!O116)</f>
        <v>59861.88</v>
      </c>
      <c r="P115" s="1162">
        <f>IF('ketv. 5 '!U115&gt;0,'ketv. 7 '!R114,SUMIF(Projektu_sutarciu_ataskaita!$J:$J,C115,Projektu_sutarciu_ataskaita!$DK:$DK))</f>
        <v>59861.88</v>
      </c>
      <c r="Q115" s="1173">
        <f t="shared" si="218"/>
        <v>0</v>
      </c>
      <c r="R115" s="1173">
        <f t="shared" si="219"/>
        <v>0</v>
      </c>
      <c r="S115" s="1173">
        <f>SUM('3 pr-2'!R116)</f>
        <v>43588</v>
      </c>
      <c r="T115" s="1162">
        <f>IF('ketv. 5 '!U115&gt;0,'ketv. 7 '!W114,SUMIF(Projektu_sutarciu_ataskaita!$J:$J,C115,Projektu_sutarciu_ataskaita!$DG:$DG))</f>
        <v>43588</v>
      </c>
      <c r="U115" s="1173">
        <f t="shared" si="220"/>
        <v>0</v>
      </c>
      <c r="V115" s="1173">
        <f t="shared" si="221"/>
        <v>0</v>
      </c>
      <c r="W115" s="1173">
        <f>SUM('3 pr-2'!U116)</f>
        <v>0</v>
      </c>
      <c r="X115" s="1173">
        <f>IF('ketv. 5 '!U115&gt;0,'ketv. 7 '!AB114,SUMIF(Projektu_sutarciu_ataskaita!$J:$J,C115,Projektu_sutarciu_ataskaita!$DM:$DM))</f>
        <v>0</v>
      </c>
      <c r="Y115" s="1173">
        <f t="shared" si="222"/>
        <v>0</v>
      </c>
      <c r="Z115" s="1173">
        <f t="shared" si="223"/>
        <v>0</v>
      </c>
      <c r="AA115" s="1173">
        <f>SUM('3 pr-2'!X116)</f>
        <v>0</v>
      </c>
      <c r="AB115" s="1173">
        <f>IF('ketv. 5 '!U115&gt;0,'ketv. 7 '!AG114,SUMIF(Projektu_sutarciu_ataskaita!$J:$J,C115,Projektu_sutarciu_ataskaita!$DL:$DL)+SUMIF(Projektu_sutarciu_ataskaita!$J:$J,C115,Projektu_sutarciu_ataskaita!$DJ:$DJ))</f>
        <v>0</v>
      </c>
      <c r="AC115" s="1173">
        <f>SUM(AA115-AB115)</f>
        <v>0</v>
      </c>
      <c r="AD115" s="1173">
        <f t="shared" si="224"/>
        <v>0</v>
      </c>
      <c r="AE115" s="1173">
        <f>SUM('3 pr-2'!AA116)</f>
        <v>494007</v>
      </c>
      <c r="AF115" s="1162">
        <f>IF('ketv. 5 '!U115&gt;0,'ketv. 7 '!AL114,SUMIF(Projektu_sutarciu_ataskaita!$J:$J,C115,Projektu_sutarciu_ataskaita!$DF:$DF))</f>
        <v>494007</v>
      </c>
      <c r="AG115" s="1178">
        <f t="shared" si="225"/>
        <v>0</v>
      </c>
      <c r="AH115" s="1177">
        <f t="shared" si="226"/>
        <v>0</v>
      </c>
      <c r="AI115" s="1173">
        <f>SUM('3 pr-2'!AB117)</f>
        <v>0</v>
      </c>
      <c r="AJ115" s="1162">
        <v>0</v>
      </c>
    </row>
    <row r="116" spans="1:36" ht="36.75">
      <c r="A116" s="375" t="str">
        <f>CONCATENATE('3 pr-2'!A117)</f>
        <v>2.1.1.3.3</v>
      </c>
      <c r="B116" s="375" t="str">
        <f>CONCATENATE('3 pr-2'!B117)</f>
        <v>R01-7705-230000-2133</v>
      </c>
      <c r="C116" s="1558" t="str">
        <f>IF('ketv. 4 '!Z117&gt;0,'ketv. 4 '!C117,"-")</f>
        <v>09.1.3-CPVA-R-705-11-0001</v>
      </c>
      <c r="D116" s="575" t="str">
        <f>CONCATENATE('3 pr-2'!D117)</f>
        <v>Alytaus lopšelio-darželio „Girinukas“ ugdymo aplinkos modernizavimas</v>
      </c>
      <c r="E116" s="375" t="str">
        <f>CONCATENATE('3 pr-2'!E117)</f>
        <v>Alytaus miesto savivaldybės administracija</v>
      </c>
      <c r="F116" s="375" t="str">
        <f>CONCATENATE('3 pr-2'!F117)</f>
        <v>Lietuvos Respublikos švietimo ir mokslo ministerija</v>
      </c>
      <c r="G116" s="375" t="str">
        <f>CONCATENATE('3 pr-2'!G117)</f>
        <v>Alytaus m. sav.</v>
      </c>
      <c r="H116" s="375" t="str">
        <f>CONCATENATE('3 pr-2'!H117)</f>
        <v>09.1.3-CPVA-R-705</v>
      </c>
      <c r="I116" s="375" t="str">
        <f>CONCATENATE('3 pr-2'!I117)</f>
        <v>R</v>
      </c>
      <c r="J116" s="375" t="str">
        <f>CONCATENATE('3 pr-2'!J117)</f>
        <v>-</v>
      </c>
      <c r="K116" s="1173">
        <f>SUM('3 pr-2'!L117)</f>
        <v>181986</v>
      </c>
      <c r="L116" s="1162">
        <f t="shared" si="215"/>
        <v>181986</v>
      </c>
      <c r="M116" s="1174">
        <f t="shared" si="216"/>
        <v>0</v>
      </c>
      <c r="N116" s="1175">
        <f t="shared" si="217"/>
        <v>0</v>
      </c>
      <c r="O116" s="1173">
        <f>SUM('3 pr-2'!O117)</f>
        <v>13649</v>
      </c>
      <c r="P116" s="1162">
        <f>IF('ketv. 5 '!U116&gt;0,'ketv. 7 '!R115,SUMIF(Projektu_sutarciu_ataskaita!$J:$J,C116,Projektu_sutarciu_ataskaita!$DK:$DK))</f>
        <v>13649</v>
      </c>
      <c r="Q116" s="1173">
        <f t="shared" si="218"/>
        <v>0</v>
      </c>
      <c r="R116" s="1173">
        <f t="shared" si="219"/>
        <v>0</v>
      </c>
      <c r="S116" s="1173">
        <f>SUM('3 pr-2'!R117)</f>
        <v>13649</v>
      </c>
      <c r="T116" s="1162">
        <f>IF('ketv. 5 '!U116&gt;0,'ketv. 7 '!W115,SUMIF(Projektu_sutarciu_ataskaita!$J:$J,C116,Projektu_sutarciu_ataskaita!$DG:$DG))</f>
        <v>13649</v>
      </c>
      <c r="U116" s="1173">
        <f t="shared" si="220"/>
        <v>0</v>
      </c>
      <c r="V116" s="1173">
        <f t="shared" si="221"/>
        <v>0</v>
      </c>
      <c r="W116" s="1173">
        <f>SUM('3 pr-2'!U117)</f>
        <v>0</v>
      </c>
      <c r="X116" s="1173">
        <f>IF('ketv. 5 '!U116&gt;0,'ketv. 7 '!AB115,SUMIF(Projektu_sutarciu_ataskaita!$J:$J,C116,Projektu_sutarciu_ataskaita!$DM:$DM))</f>
        <v>0</v>
      </c>
      <c r="Y116" s="1173">
        <f t="shared" si="222"/>
        <v>0</v>
      </c>
      <c r="Z116" s="1173">
        <f t="shared" si="223"/>
        <v>0</v>
      </c>
      <c r="AA116" s="1173">
        <f>SUM('3 pr-2'!X117)</f>
        <v>0</v>
      </c>
      <c r="AB116" s="1173">
        <f>IF('ketv. 5 '!U116&gt;0,'ketv. 7 '!AG115,SUMIF(Projektu_sutarciu_ataskaita!$J:$J,C116,Projektu_sutarciu_ataskaita!$DL:$DL)+SUMIF(Projektu_sutarciu_ataskaita!$J:$J,C116,Projektu_sutarciu_ataskaita!$DJ:$DJ))</f>
        <v>0</v>
      </c>
      <c r="AC116" s="1173">
        <f>SUM(AA116-AB116)</f>
        <v>0</v>
      </c>
      <c r="AD116" s="1173">
        <f t="shared" si="224"/>
        <v>0</v>
      </c>
      <c r="AE116" s="1173">
        <f>SUM('3 pr-2'!AA117)</f>
        <v>154688</v>
      </c>
      <c r="AF116" s="1162">
        <f>IF('ketv. 5 '!U116&gt;0,'ketv. 7 '!AL115,SUMIF(Projektu_sutarciu_ataskaita!$J:$J,C116,Projektu_sutarciu_ataskaita!$DF:$DF))</f>
        <v>154688</v>
      </c>
      <c r="AG116" s="1178">
        <f t="shared" si="225"/>
        <v>0</v>
      </c>
      <c r="AH116" s="1177">
        <f t="shared" si="226"/>
        <v>0</v>
      </c>
      <c r="AI116" s="1173">
        <f>SUM('3 pr-2'!AB118)</f>
        <v>0</v>
      </c>
      <c r="AJ116" s="1162">
        <v>0</v>
      </c>
    </row>
    <row r="117" spans="1:36" ht="36.75">
      <c r="A117" s="375" t="str">
        <f>CONCATENATE('3 pr-2'!A118)</f>
        <v>2.1.1.3.4</v>
      </c>
      <c r="B117" s="375" t="str">
        <f>CONCATENATE('3 pr-2'!B118)</f>
        <v>R01-7705-230000-2134</v>
      </c>
      <c r="C117" s="1558" t="str">
        <f>IF('ketv. 4 '!Z118&gt;0,'ketv. 4 '!C118,"-")</f>
        <v>09.1.3-CPVA-R-705-11-0006</v>
      </c>
      <c r="D117" s="575" t="str">
        <f>CONCATENATE('3 pr-2'!D118)</f>
        <v>Druskininkų sav. Viečiūnų progimnazijos ikimokyklinio ugdymo skyriaus „Linelis“ ugdymo prieinamumo didinimas</v>
      </c>
      <c r="E117" s="375" t="str">
        <f>CONCATENATE('3 pr-2'!E118)</f>
        <v xml:space="preserve">Druskininkų savivaldybės administracija  </v>
      </c>
      <c r="F117" s="375" t="str">
        <f>CONCATENATE('3 pr-2'!F118)</f>
        <v>Lietuvos Respublikos švietimo ir mokslo ministerija</v>
      </c>
      <c r="G117" s="375" t="str">
        <f>CONCATENATE('3 pr-2'!G118)</f>
        <v>Druskininkų sav.</v>
      </c>
      <c r="H117" s="375" t="str">
        <f>CONCATENATE('3 pr-2'!H118)</f>
        <v>09.1.3-CPVA-R-705</v>
      </c>
      <c r="I117" s="375" t="str">
        <f>CONCATENATE('3 pr-2'!I118)</f>
        <v>R</v>
      </c>
      <c r="J117" s="375" t="str">
        <f>CONCATENATE('3 pr-2'!J118)</f>
        <v>-</v>
      </c>
      <c r="K117" s="1173">
        <f>SUM('3 pr-2'!L118)</f>
        <v>176024.68</v>
      </c>
      <c r="L117" s="1162">
        <f t="shared" si="215"/>
        <v>176024.68</v>
      </c>
      <c r="M117" s="1174">
        <f t="shared" si="216"/>
        <v>0</v>
      </c>
      <c r="N117" s="1175">
        <f t="shared" si="217"/>
        <v>0</v>
      </c>
      <c r="O117" s="1173">
        <f>SUM('3 pr-2'!O118)</f>
        <v>79091.679999999993</v>
      </c>
      <c r="P117" s="1162">
        <f>IF('ketv. 5 '!U117&gt;0,'ketv. 7 '!R116,SUMIF(Projektu_sutarciu_ataskaita!$J:$J,C117,Projektu_sutarciu_ataskaita!$DK:$DK))</f>
        <v>79091.679999999993</v>
      </c>
      <c r="Q117" s="1173">
        <f t="shared" si="218"/>
        <v>0</v>
      </c>
      <c r="R117" s="1173">
        <f t="shared" si="219"/>
        <v>0</v>
      </c>
      <c r="S117" s="1173">
        <f>SUM('3 pr-2'!R118)</f>
        <v>7859</v>
      </c>
      <c r="T117" s="1162">
        <f>IF('ketv. 5 '!U117&gt;0,'ketv. 7 '!W116,SUMIF(Projektu_sutarciu_ataskaita!$J:$J,C117,Projektu_sutarciu_ataskaita!$DG:$DG))</f>
        <v>7859</v>
      </c>
      <c r="U117" s="1173">
        <f t="shared" si="220"/>
        <v>0</v>
      </c>
      <c r="V117" s="1173">
        <f t="shared" si="221"/>
        <v>0</v>
      </c>
      <c r="W117" s="1173">
        <f>SUM('3 pr-2'!U118)</f>
        <v>0</v>
      </c>
      <c r="X117" s="1173">
        <f>IF('ketv. 5 '!U117&gt;0,'ketv. 7 '!AB116,SUMIF(Projektu_sutarciu_ataskaita!$J:$J,C117,Projektu_sutarciu_ataskaita!$DM:$DM))</f>
        <v>0</v>
      </c>
      <c r="Y117" s="1173">
        <f t="shared" si="222"/>
        <v>0</v>
      </c>
      <c r="Z117" s="1173">
        <f t="shared" si="223"/>
        <v>0</v>
      </c>
      <c r="AA117" s="1173">
        <f>SUM('3 pr-2'!X118)</f>
        <v>0</v>
      </c>
      <c r="AB117" s="1173">
        <f>IF('ketv. 5 '!U117&gt;0,'ketv. 7 '!AG116,SUMIF(Projektu_sutarciu_ataskaita!$J:$J,C117,Projektu_sutarciu_ataskaita!$DL:$DL)+SUMIF(Projektu_sutarciu_ataskaita!$J:$J,C117,Projektu_sutarciu_ataskaita!$DJ:$DJ))</f>
        <v>0</v>
      </c>
      <c r="AC117" s="1173">
        <f>SUM(AA117-AB117)</f>
        <v>0</v>
      </c>
      <c r="AD117" s="1173">
        <f t="shared" si="224"/>
        <v>0</v>
      </c>
      <c r="AE117" s="1173">
        <f>SUM('3 pr-2'!AA118)</f>
        <v>89074</v>
      </c>
      <c r="AF117" s="1162">
        <f>IF('ketv. 5 '!U117&gt;0,'ketv. 7 '!AL116,SUMIF(Projektu_sutarciu_ataskaita!$J:$J,C117,Projektu_sutarciu_ataskaita!$DF:$DF))</f>
        <v>89074</v>
      </c>
      <c r="AG117" s="1178">
        <f t="shared" si="225"/>
        <v>0</v>
      </c>
      <c r="AH117" s="1177">
        <f t="shared" si="226"/>
        <v>0</v>
      </c>
      <c r="AI117" s="1173">
        <f>SUM('3 pr-2'!AB119)</f>
        <v>0</v>
      </c>
      <c r="AJ117" s="1162">
        <v>0</v>
      </c>
    </row>
    <row r="118" spans="1:36" ht="37.5" thickBot="1">
      <c r="A118" s="375" t="str">
        <f>CONCATENATE('3 pr-2'!A119)</f>
        <v>2.1.1.3.5</v>
      </c>
      <c r="B118" s="375" t="str">
        <f>CONCATENATE('3 pr-2'!B119)</f>
        <v>R01-7705-230000-2135</v>
      </c>
      <c r="C118" s="1558" t="str">
        <f>IF('ketv. 4 '!Z119&gt;0,'ketv. 4 '!C119,"-")</f>
        <v>09.1.3-CPVA-R-705-11-0002</v>
      </c>
      <c r="D118" s="575" t="str">
        <f>CONCATENATE('3 pr-2'!D119)</f>
        <v>Ikimokyklinio ir priešmokyklinio ugdymo įstaigų Lazdijų rajono savivaldybėje modernizavimas</v>
      </c>
      <c r="E118" s="375" t="str">
        <f>CONCATENATE('3 pr-2'!E119)</f>
        <v>Lazdijų rajono savivaldybės administracija</v>
      </c>
      <c r="F118" s="375" t="str">
        <f>CONCATENATE('3 pr-2'!F119)</f>
        <v>Lietuvos Respublikos švietimo ir mokslo ministerija</v>
      </c>
      <c r="G118" s="375" t="str">
        <f>CONCATENATE('3 pr-2'!G119)</f>
        <v>Lazdijų r. sav.</v>
      </c>
      <c r="H118" s="375" t="str">
        <f>CONCATENATE('3 pr-2'!H119)</f>
        <v>09.1.3-CPVA-R-705</v>
      </c>
      <c r="I118" s="375" t="str">
        <f>CONCATENATE('3 pr-2'!I119)</f>
        <v>R</v>
      </c>
      <c r="J118" s="375" t="str">
        <f>CONCATENATE('3 pr-2'!J119)</f>
        <v>-</v>
      </c>
      <c r="K118" s="1173">
        <f>SUM('3 pr-2'!L119)</f>
        <v>133554.21</v>
      </c>
      <c r="L118" s="1162">
        <f t="shared" si="215"/>
        <v>133554.21</v>
      </c>
      <c r="M118" s="1174">
        <f t="shared" si="216"/>
        <v>0</v>
      </c>
      <c r="N118" s="1175">
        <f t="shared" si="217"/>
        <v>0</v>
      </c>
      <c r="O118" s="1173">
        <f>SUM('3 pr-2'!O119)</f>
        <v>10026.209999999999</v>
      </c>
      <c r="P118" s="1162">
        <f>IF('ketv. 5 '!U118&gt;0,'ketv. 7 '!R117,SUMIF(Projektu_sutarciu_ataskaita!$J:$J,C118,Projektu_sutarciu_ataskaita!$DK:$DK))</f>
        <v>10026.209999999999</v>
      </c>
      <c r="Q118" s="1173">
        <f t="shared" si="218"/>
        <v>0</v>
      </c>
      <c r="R118" s="1173">
        <f t="shared" si="219"/>
        <v>0</v>
      </c>
      <c r="S118" s="1173">
        <f>SUM('3 pr-2'!R119)</f>
        <v>10016</v>
      </c>
      <c r="T118" s="1162">
        <f>IF('ketv. 5 '!U118&gt;0,'ketv. 7 '!W117,SUMIF(Projektu_sutarciu_ataskaita!$J:$J,C118,Projektu_sutarciu_ataskaita!$DG:$DG))</f>
        <v>10016</v>
      </c>
      <c r="U118" s="1173">
        <f t="shared" si="220"/>
        <v>0</v>
      </c>
      <c r="V118" s="1173">
        <f t="shared" si="221"/>
        <v>0</v>
      </c>
      <c r="W118" s="1173">
        <f>SUM('3 pr-2'!U119)</f>
        <v>0</v>
      </c>
      <c r="X118" s="1173">
        <f>IF('ketv. 5 '!U118&gt;0,'ketv. 7 '!AB117,SUMIF(Projektu_sutarciu_ataskaita!$J:$J,C118,Projektu_sutarciu_ataskaita!$DM:$DM))</f>
        <v>0</v>
      </c>
      <c r="Y118" s="1173">
        <f t="shared" si="222"/>
        <v>0</v>
      </c>
      <c r="Z118" s="1173">
        <f t="shared" si="223"/>
        <v>0</v>
      </c>
      <c r="AA118" s="1173">
        <f>SUM('3 pr-2'!X119)</f>
        <v>0</v>
      </c>
      <c r="AB118" s="1173">
        <f>IF('ketv. 5 '!U118&gt;0,'ketv. 7 '!AG117,SUMIF(Projektu_sutarciu_ataskaita!$J:$J,C118,Projektu_sutarciu_ataskaita!$DL:$DL)+SUMIF(Projektu_sutarciu_ataskaita!$J:$J,C118,Projektu_sutarciu_ataskaita!$DJ:$DJ))</f>
        <v>0</v>
      </c>
      <c r="AC118" s="1173">
        <f>SUM(AA118-AB118)</f>
        <v>0</v>
      </c>
      <c r="AD118" s="1173">
        <f t="shared" si="224"/>
        <v>0</v>
      </c>
      <c r="AE118" s="1173">
        <f>SUM('3 pr-2'!AA119)</f>
        <v>113512</v>
      </c>
      <c r="AF118" s="1162">
        <f>IF('ketv. 5 '!U118&gt;0,'ketv. 7 '!AL117,SUMIF(Projektu_sutarciu_ataskaita!$J:$J,C118,Projektu_sutarciu_ataskaita!$DF:$DF))</f>
        <v>113512</v>
      </c>
      <c r="AG118" s="1178">
        <f t="shared" si="225"/>
        <v>0</v>
      </c>
      <c r="AH118" s="1177">
        <f t="shared" si="226"/>
        <v>0</v>
      </c>
      <c r="AI118" s="1173">
        <f>SUM('3 pr-2'!AB120)</f>
        <v>0</v>
      </c>
      <c r="AJ118" s="1162">
        <v>0</v>
      </c>
    </row>
    <row r="119" spans="1:36" ht="57.75" customHeight="1" thickBot="1">
      <c r="A119" s="238" t="str">
        <f>CONCATENATE('3 pr-2'!A120)</f>
        <v>2.1.2.</v>
      </c>
      <c r="B119" s="2085" t="str">
        <f>CONCATENATE('3 pr-2'!B120)</f>
        <v>Uždavinys:
Sveikatos netolygumų sumažinimas, gerinant sveikatos priežiūros kokybę ir prieinamumą tikslinėms gyventojų grupėms ir sveiko senėjimo skatinimas</v>
      </c>
      <c r="C119" s="1901"/>
      <c r="D119" s="1901"/>
      <c r="E119" s="1901"/>
      <c r="F119" s="1901"/>
      <c r="G119" s="1901"/>
      <c r="H119" s="1901"/>
      <c r="I119" s="1901"/>
      <c r="J119" s="1902"/>
      <c r="K119" s="1553">
        <f>SUM('3 pr-2'!L120)</f>
        <v>2507585.75</v>
      </c>
      <c r="L119" s="1553">
        <f>SUM(L120+L134+L140)</f>
        <v>2533239.12</v>
      </c>
      <c r="M119" s="1551">
        <f>SUM(M120+M134)</f>
        <v>-32868.170000000042</v>
      </c>
      <c r="N119" s="1552">
        <f t="shared" si="217"/>
        <v>-25653.370000000112</v>
      </c>
      <c r="O119" s="1553">
        <f>SUM('3 pr-2'!O120)</f>
        <v>146668.16</v>
      </c>
      <c r="P119" s="1576">
        <f>SUM(P120+P134+P140)</f>
        <v>101384.77</v>
      </c>
      <c r="Q119" s="1553">
        <f>SUM(Q120+Q134)</f>
        <v>51014</v>
      </c>
      <c r="R119" s="1553">
        <f t="shared" si="219"/>
        <v>45283.39</v>
      </c>
      <c r="S119" s="1553">
        <f>SUM('3 pr-2'!R120)</f>
        <v>188734.58000000002</v>
      </c>
      <c r="T119" s="1576">
        <f>SUM(T120+T134+T140)</f>
        <v>187033.41999999998</v>
      </c>
      <c r="U119" s="1553">
        <f>SUM(U120+U134)</f>
        <v>1076.8800000000001</v>
      </c>
      <c r="V119" s="1553">
        <f t="shared" si="221"/>
        <v>1701.1600000000326</v>
      </c>
      <c r="W119" s="1553">
        <f>SUM('3 pr-2'!U120)</f>
        <v>40107.979999999996</v>
      </c>
      <c r="X119" s="1576">
        <f>SUM(X120+X134+X140)</f>
        <v>46858.02</v>
      </c>
      <c r="Y119" s="1553">
        <f>SUM(Y120+Y134)</f>
        <v>-12000.779999999999</v>
      </c>
      <c r="Z119" s="1553">
        <f t="shared" si="223"/>
        <v>-6750.0400000000009</v>
      </c>
      <c r="AA119" s="1553">
        <f>SUM('3 pr-2'!X120)</f>
        <v>1299.95</v>
      </c>
      <c r="AB119" s="1576">
        <f>SUM(AB120+AB134+AB140)</f>
        <v>73670.34</v>
      </c>
      <c r="AC119" s="1553">
        <f>SUM(AC120+AC134)</f>
        <v>-72370.39</v>
      </c>
      <c r="AD119" s="1553">
        <f t="shared" si="224"/>
        <v>-72370.39</v>
      </c>
      <c r="AE119" s="1553">
        <f>SUM('3 pr-2'!AA120)</f>
        <v>2130775.08</v>
      </c>
      <c r="AF119" s="1576">
        <f>SUM(AF120+AF134+AF140)</f>
        <v>2124292.5700000003</v>
      </c>
      <c r="AG119" s="1573">
        <f>SUM(AG120+AG134)</f>
        <v>-587.8799999999992</v>
      </c>
      <c r="AH119" s="1177">
        <f t="shared" si="226"/>
        <v>6482.5099999997765</v>
      </c>
      <c r="AI119" s="1576">
        <f t="shared" ref="AI119:AJ119" si="227">SUM(AI120+AI134+AI140)</f>
        <v>0</v>
      </c>
      <c r="AJ119" s="1576">
        <f t="shared" si="227"/>
        <v>0</v>
      </c>
    </row>
    <row r="120" spans="1:36" ht="51" customHeight="1" thickBot="1">
      <c r="A120" s="296" t="str">
        <f>CONCATENATE('3 pr-2'!A121)</f>
        <v>2.1.2.1</v>
      </c>
      <c r="B120" s="2088" t="str">
        <f>CONCATENATE('3 pr-2'!B121)</f>
        <v>Priemonė:
Pirminės asmens ir visuomenės sveikatos priežiūros veiklos efektyvumo didinimas gerinant jų infrastruktūrą</v>
      </c>
      <c r="C120" s="1894"/>
      <c r="D120" s="1894"/>
      <c r="E120" s="1894"/>
      <c r="F120" s="1894"/>
      <c r="G120" s="1894"/>
      <c r="H120" s="1894"/>
      <c r="I120" s="1894"/>
      <c r="J120" s="1895"/>
      <c r="K120" s="1168">
        <f>SUM('3 pr-2'!L121)</f>
        <v>1447388.03</v>
      </c>
      <c r="L120" s="1168">
        <f>SUM(L121:L133)</f>
        <v>1473041.4000000001</v>
      </c>
      <c r="M120" s="1169">
        <f>SUM(M121:M128)</f>
        <v>-32868.170000000042</v>
      </c>
      <c r="N120" s="1170">
        <f>SUM(N121:N128)</f>
        <v>-32868.170000000042</v>
      </c>
      <c r="O120" s="1168">
        <f>SUM('3 pr-2'!O121)</f>
        <v>68448</v>
      </c>
      <c r="P120" s="1168">
        <f>SUM(P121:P133)</f>
        <v>23164.61</v>
      </c>
      <c r="Q120" s="1168">
        <f>SUM(Q121:Q128)</f>
        <v>51014</v>
      </c>
      <c r="R120" s="1168">
        <f>SUM(R121:R128)</f>
        <v>0</v>
      </c>
      <c r="S120" s="1168">
        <f>SUM('3 pr-2'!R121)</f>
        <v>108554.52</v>
      </c>
      <c r="T120" s="1168">
        <f>SUM(T121:T133)</f>
        <v>106853.35999999999</v>
      </c>
      <c r="U120" s="1168">
        <f>SUM(U121:U128)</f>
        <v>1076.8800000000001</v>
      </c>
      <c r="V120" s="1168">
        <f>SUM(V121:V128)</f>
        <v>1076.8800000000001</v>
      </c>
      <c r="W120" s="1168">
        <f>SUM('3 pr-2'!U121)</f>
        <v>40107.979999999996</v>
      </c>
      <c r="X120" s="1168">
        <f>SUM(X121:X133)</f>
        <v>46858.02</v>
      </c>
      <c r="Y120" s="1168">
        <f>SUM(Y121:Y128)</f>
        <v>-12000.779999999999</v>
      </c>
      <c r="Z120" s="1168">
        <f>SUM(Z121:Z128)</f>
        <v>-24265.78</v>
      </c>
      <c r="AA120" s="1168">
        <f>SUM('3 pr-2'!X121)</f>
        <v>0</v>
      </c>
      <c r="AB120" s="1168">
        <f>SUM(AB121:AB133)</f>
        <v>72370.39</v>
      </c>
      <c r="AC120" s="1168">
        <f>SUM(AC121:AC128)</f>
        <v>-72370.39</v>
      </c>
      <c r="AD120" s="1168">
        <f>SUM(AD121:AD128)</f>
        <v>-72370.39</v>
      </c>
      <c r="AE120" s="1168">
        <f>SUM('3 pr-2'!AA121)</f>
        <v>1230277.5299999998</v>
      </c>
      <c r="AF120" s="1168">
        <f>SUM(AF121:AF133)</f>
        <v>1223795.02</v>
      </c>
      <c r="AG120" s="1564">
        <f>SUM(AG121:AG128)</f>
        <v>-587.8799999999992</v>
      </c>
      <c r="AH120" s="1565">
        <f>SUM(AH121:AH128)</f>
        <v>-587.8799999999992</v>
      </c>
      <c r="AI120" s="1168">
        <f t="shared" ref="AI120:AJ120" si="228">SUM(AI121:AI133)</f>
        <v>0</v>
      </c>
      <c r="AJ120" s="1168">
        <f t="shared" si="228"/>
        <v>0</v>
      </c>
    </row>
    <row r="121" spans="1:36" ht="36.75">
      <c r="A121" s="375" t="str">
        <f>CONCATENATE('3 pr-2'!A122)</f>
        <v>2.1.2.1.1</v>
      </c>
      <c r="B121" s="375" t="str">
        <f>CONCATENATE('3 pr-2'!B122)</f>
        <v>R01-6609-274710-2211</v>
      </c>
      <c r="C121" s="1558" t="str">
        <f>IF('ketv. 4 '!Z122&gt;0,'ketv. 4 '!C122,"-")</f>
        <v>08.1.3-CPVA-R-609-11-0002</v>
      </c>
      <c r="D121" s="575" t="str">
        <f>CONCATENATE('3 pr-2'!D122)</f>
        <v>Alytaus poliklinikos teikiamų pirminės sveikatos priežiūros paslaugų prieinamumo didinimas ir kokybės gerinimas</v>
      </c>
      <c r="E121" s="375" t="str">
        <f>CONCATENATE('3 pr-2'!E122)</f>
        <v>VšĮ Alytaus poliklinika</v>
      </c>
      <c r="F121" s="375" t="str">
        <f>CONCATENATE('3 pr-2'!F122)</f>
        <v>Lietuvos Respublikos Sveikatos apsaugos ministerija</v>
      </c>
      <c r="G121" s="375" t="str">
        <f>CONCATENATE('3 pr-2'!G122)</f>
        <v>Alytaus m. sav.</v>
      </c>
      <c r="H121" s="375" t="str">
        <f>CONCATENATE('3 pr-2'!H122)</f>
        <v>08.1.3-CPVA-R-609</v>
      </c>
      <c r="I121" s="375" t="str">
        <f>CONCATENATE('3 pr-2'!I122)</f>
        <v>R</v>
      </c>
      <c r="J121" s="375" t="str">
        <f>CONCATENATE('3 pr-2'!J122)</f>
        <v>-</v>
      </c>
      <c r="K121" s="1173">
        <f>SUM('3 pr-2'!L122)</f>
        <v>458183</v>
      </c>
      <c r="L121" s="1173">
        <f t="shared" ref="L121:L133" si="229">SUM(P121+T121+X121+AB121+AF121+AJ121)</f>
        <v>466768.66000000003</v>
      </c>
      <c r="M121" s="1174">
        <f t="shared" ref="M121:M128" si="230">SUM(K121-L121)</f>
        <v>-8585.6600000000326</v>
      </c>
      <c r="N121" s="1175">
        <f t="shared" ref="N121:N128" si="231">IF(L121&gt;0,K121-L121,0)</f>
        <v>-8585.6600000000326</v>
      </c>
      <c r="O121" s="1173">
        <f>SUM('3 pr-2'!O122)</f>
        <v>34364</v>
      </c>
      <c r="P121" s="1173">
        <f>IF('ketv. 5 '!U121&gt;0,'ketv. 7 '!R120,SUMIF(Projektu_sutarciu_ataskaita!$J:$J,C121,Projektu_sutarciu_ataskaita!$DK:$DK))</f>
        <v>0</v>
      </c>
      <c r="Q121" s="1174">
        <f t="shared" ref="Q121:Q128" si="232">SUM(O121-P121)</f>
        <v>34364</v>
      </c>
      <c r="R121" s="1175">
        <f t="shared" ref="R121:R128" si="233">IF(P121&gt;0,O121-P121,0)</f>
        <v>0</v>
      </c>
      <c r="S121" s="1173">
        <f>SUM('3 pr-2'!R122)</f>
        <v>34363</v>
      </c>
      <c r="T121" s="1162">
        <f>IF('ketv. 5 '!U121&gt;0,'ketv. 7 '!W120,SUMIF(Projektu_sutarciu_ataskaita!$J:$J,C121,Projektu_sutarciu_ataskaita!$DG:$DG))</f>
        <v>34364</v>
      </c>
      <c r="U121" s="1174">
        <f t="shared" ref="U121:U128" si="234">SUM(S121-T121)</f>
        <v>-1</v>
      </c>
      <c r="V121" s="1175">
        <f t="shared" ref="V121:V128" si="235">IF(T121&gt;0,S121-T121,0)</f>
        <v>-1</v>
      </c>
      <c r="W121" s="1173">
        <f>SUM('3 pr-2'!U122)</f>
        <v>0</v>
      </c>
      <c r="X121" s="1173">
        <f>IF('ketv. 5 '!U121&gt;0,'ketv. 7 '!AB120,SUMIF(Projektu_sutarciu_ataskaita!$J:$J,C121,Projektu_sutarciu_ataskaita!$DM:$DM))</f>
        <v>0</v>
      </c>
      <c r="Y121" s="1174">
        <f t="shared" ref="Y121:Y128" si="236">SUM(W121-X121)</f>
        <v>0</v>
      </c>
      <c r="Z121" s="1175">
        <f t="shared" ref="Z121:Z128" si="237">IF(X121&gt;0,W121-X121,0)</f>
        <v>0</v>
      </c>
      <c r="AA121" s="1173">
        <f>SUM('3 pr-2'!X122)</f>
        <v>0</v>
      </c>
      <c r="AB121" s="1162">
        <f>IF('ketv. 5 '!U121&gt;0,'ketv. 7 '!AG120,SUMIF(Projektu_sutarciu_ataskaita!$J:$J,C121,Projektu_sutarciu_ataskaita!$DL:$DL)+SUMIF(Projektu_sutarciu_ataskaita!$J:$J,C121,Projektu_sutarciu_ataskaita!$DJ:$DJ))</f>
        <v>42948.66</v>
      </c>
      <c r="AC121" s="1174">
        <f t="shared" ref="AC121:AC128" si="238">SUM(AA121-AB121)</f>
        <v>-42948.66</v>
      </c>
      <c r="AD121" s="1175">
        <f t="shared" ref="AD121:AD128" si="239">IF(AB121&gt;0,AA121-AB121,0)</f>
        <v>-42948.66</v>
      </c>
      <c r="AE121" s="1173">
        <f>SUM('3 pr-2'!AA122)</f>
        <v>389456</v>
      </c>
      <c r="AF121" s="1162">
        <f>IF('ketv. 5 '!U121&gt;0,'ketv. 7 '!AL120,SUMIF(Projektu_sutarciu_ataskaita!$J:$J,C121,Projektu_sutarciu_ataskaita!$DF:$DF))</f>
        <v>389456</v>
      </c>
      <c r="AG121" s="1176">
        <f t="shared" ref="AG121:AG128" si="240">SUM(AE121-AF121)</f>
        <v>0</v>
      </c>
      <c r="AH121" s="1177">
        <f t="shared" ref="AH121:AH128" si="241">IF(AF121&gt;0,AE121-AF121,0)</f>
        <v>0</v>
      </c>
      <c r="AI121" s="1173">
        <f>SUM('3 pr-2'!AB123)</f>
        <v>0</v>
      </c>
      <c r="AJ121" s="1173"/>
    </row>
    <row r="122" spans="1:36" ht="48.75">
      <c r="A122" s="375" t="str">
        <f>CONCATENATE('3 pr-2'!A123)</f>
        <v>2.1.2.1.2</v>
      </c>
      <c r="B122" s="375" t="str">
        <f>CONCATENATE('3 pr-2'!B123)</f>
        <v>R01-6609-274710-2212</v>
      </c>
      <c r="C122" s="1558" t="str">
        <f>IF('ketv. 4 '!Z123&gt;0,'ketv. 4 '!C123,"-")</f>
        <v>08.1.3-CPVA-R-609-11-0004</v>
      </c>
      <c r="D122" s="575" t="str">
        <f>CONCATENATE('3 pr-2'!D123)</f>
        <v>Sveikatos priežiūros paslaugų modernizavimas bei optimizavimas pirminės sveikatos priežiūros centre</v>
      </c>
      <c r="E122" s="375" t="str">
        <f>CONCATENATE('3 pr-2'!E123)</f>
        <v xml:space="preserve">VšĮ Alytaus miesto savivaldybės pirminės sveikatos priežiūros centras </v>
      </c>
      <c r="F122" s="375" t="str">
        <f>CONCATENATE('3 pr-2'!F123)</f>
        <v>Lietuvos Respublikos Sveikatos apsaugos ministerija</v>
      </c>
      <c r="G122" s="375" t="str">
        <f>CONCATENATE('3 pr-2'!G123)</f>
        <v>Alytaus m. sav.</v>
      </c>
      <c r="H122" s="375" t="str">
        <f>CONCATENATE('3 pr-2'!H123)</f>
        <v>08.1.3-CPVA-R-609</v>
      </c>
      <c r="I122" s="375" t="str">
        <f>CONCATENATE('3 pr-2'!I123)</f>
        <v>R</v>
      </c>
      <c r="J122" s="375" t="str">
        <f>CONCATENATE('3 pr-2'!J123)</f>
        <v>-</v>
      </c>
      <c r="K122" s="1173">
        <f>SUM('3 pr-2'!L123)</f>
        <v>50356</v>
      </c>
      <c r="L122" s="1173">
        <f t="shared" si="229"/>
        <v>50356</v>
      </c>
      <c r="M122" s="1174">
        <f t="shared" si="230"/>
        <v>0</v>
      </c>
      <c r="N122" s="1175">
        <f t="shared" si="231"/>
        <v>0</v>
      </c>
      <c r="O122" s="1173">
        <f>SUM('3 pr-2'!O123)</f>
        <v>3777</v>
      </c>
      <c r="P122" s="1173">
        <f>IF('ketv. 5 '!U122&gt;0,'ketv. 7 '!R121,SUMIF(Projektu_sutarciu_ataskaita!$J:$J,C122,Projektu_sutarciu_ataskaita!$DK:$DK))</f>
        <v>0</v>
      </c>
      <c r="Q122" s="1174">
        <f t="shared" si="232"/>
        <v>3777</v>
      </c>
      <c r="R122" s="1175">
        <f t="shared" si="233"/>
        <v>0</v>
      </c>
      <c r="S122" s="1173">
        <f>SUM('3 pr-2'!R123)</f>
        <v>3777</v>
      </c>
      <c r="T122" s="1162">
        <f>IF('ketv. 5 '!U122&gt;0,'ketv. 7 '!W121,SUMIF(Projektu_sutarciu_ataskaita!$J:$J,C122,Projektu_sutarciu_ataskaita!$DG:$DG))</f>
        <v>3777</v>
      </c>
      <c r="U122" s="1174">
        <f t="shared" si="234"/>
        <v>0</v>
      </c>
      <c r="V122" s="1175">
        <f t="shared" si="235"/>
        <v>0</v>
      </c>
      <c r="W122" s="1173">
        <f>SUM('3 pr-2'!U123)</f>
        <v>0</v>
      </c>
      <c r="X122" s="1173">
        <f>IF('ketv. 5 '!U122&gt;0,'ketv. 7 '!AB121,SUMIF(Projektu_sutarciu_ataskaita!$J:$J,C122,Projektu_sutarciu_ataskaita!$DM:$DM))</f>
        <v>0</v>
      </c>
      <c r="Y122" s="1174">
        <f t="shared" si="236"/>
        <v>0</v>
      </c>
      <c r="Z122" s="1175">
        <f t="shared" si="237"/>
        <v>0</v>
      </c>
      <c r="AA122" s="1173">
        <f>SUM('3 pr-2'!X123)</f>
        <v>0</v>
      </c>
      <c r="AB122" s="1162">
        <f>IF('ketv. 5 '!U122&gt;0,'ketv. 7 '!AG121,SUMIF(Projektu_sutarciu_ataskaita!$J:$J,C122,Projektu_sutarciu_ataskaita!$DL:$DL)+SUMIF(Projektu_sutarciu_ataskaita!$J:$J,C122,Projektu_sutarciu_ataskaita!$DJ:$DJ))</f>
        <v>3777</v>
      </c>
      <c r="AC122" s="1174">
        <f t="shared" si="238"/>
        <v>-3777</v>
      </c>
      <c r="AD122" s="1175">
        <f t="shared" si="239"/>
        <v>-3777</v>
      </c>
      <c r="AE122" s="1173">
        <f>SUM('3 pr-2'!AA123)</f>
        <v>42802</v>
      </c>
      <c r="AF122" s="1162">
        <f>IF('ketv. 5 '!U122&gt;0,'ketv. 7 '!AL121,SUMIF(Projektu_sutarciu_ataskaita!$J:$J,C122,Projektu_sutarciu_ataskaita!$DF:$DF))</f>
        <v>42802</v>
      </c>
      <c r="AG122" s="1178">
        <f t="shared" si="240"/>
        <v>0</v>
      </c>
      <c r="AH122" s="1177">
        <f t="shared" si="241"/>
        <v>0</v>
      </c>
      <c r="AI122" s="1173">
        <f>SUM('3 pr-2'!AB124)</f>
        <v>0</v>
      </c>
      <c r="AJ122" s="1173"/>
    </row>
    <row r="123" spans="1:36" ht="48.75">
      <c r="A123" s="375" t="str">
        <f>CONCATENATE('3 pr-2'!A124)</f>
        <v>2.1.2.1.3</v>
      </c>
      <c r="B123" s="375" t="str">
        <f>CONCATENATE('3 pr-2'!B124)</f>
        <v>R01-6609-274700-2213</v>
      </c>
      <c r="C123" s="1558" t="str">
        <f>IF('ketv. 4 '!Z124&gt;0,'ketv. 4 '!C124,"-")</f>
        <v>08.1.3-CPVA-R-609-11-0003</v>
      </c>
      <c r="D123" s="575" t="str">
        <f>CONCATENATE('3 pr-2'!D124)</f>
        <v>UAB "MediCA klinika" teikiamų pirminės asmens sveikatos priežiūros paslaugų efektyvumo didinimas Alytaus miesto savivaldybėje</v>
      </c>
      <c r="E123" s="375" t="str">
        <f>CONCATENATE('3 pr-2'!E124)</f>
        <v>UAB „MediCA klinika“</v>
      </c>
      <c r="F123" s="375" t="str">
        <f>CONCATENATE('3 pr-2'!F124)</f>
        <v>Lietuvos Respublikos Sveikatos apsaugos ministerija</v>
      </c>
      <c r="G123" s="375" t="str">
        <f>CONCATENATE('3 pr-2'!G124)</f>
        <v>Alytaus m. sav.</v>
      </c>
      <c r="H123" s="375" t="str">
        <f>CONCATENATE('3 pr-2'!H124)</f>
        <v>08.1.3-CPVA-R-609</v>
      </c>
      <c r="I123" s="375" t="str">
        <f>CONCATENATE('3 pr-2'!I124)</f>
        <v>R</v>
      </c>
      <c r="J123" s="375" t="str">
        <f>CONCATENATE('3 pr-2'!J124)</f>
        <v>-</v>
      </c>
      <c r="K123" s="1173">
        <f>SUM('3 pr-2'!L124)</f>
        <v>83468</v>
      </c>
      <c r="L123" s="1173">
        <f t="shared" si="229"/>
        <v>82938</v>
      </c>
      <c r="M123" s="1174">
        <f t="shared" si="230"/>
        <v>530</v>
      </c>
      <c r="N123" s="1175">
        <f t="shared" si="231"/>
        <v>530</v>
      </c>
      <c r="O123" s="1173">
        <f>SUM('3 pr-2'!O124)</f>
        <v>0</v>
      </c>
      <c r="P123" s="1173">
        <f>IF('ketv. 5 '!U123&gt;0,'ketv. 7 '!R122,SUMIF(Projektu_sutarciu_ataskaita!$J:$J,C123,Projektu_sutarciu_ataskaita!$DK:$DK))</f>
        <v>0</v>
      </c>
      <c r="Q123" s="1174">
        <f t="shared" si="232"/>
        <v>0</v>
      </c>
      <c r="R123" s="1175">
        <f t="shared" si="233"/>
        <v>0</v>
      </c>
      <c r="S123" s="1173">
        <f>SUM('3 pr-2'!R124)</f>
        <v>6260</v>
      </c>
      <c r="T123" s="1162">
        <f>IF('ketv. 5 '!U123&gt;0,'ketv. 7 '!W122,SUMIF(Projektu_sutarciu_ataskaita!$J:$J,C123,Projektu_sutarciu_ataskaita!$DG:$DG))</f>
        <v>6220</v>
      </c>
      <c r="U123" s="1174">
        <f t="shared" si="234"/>
        <v>40</v>
      </c>
      <c r="V123" s="1175">
        <f t="shared" si="235"/>
        <v>40</v>
      </c>
      <c r="W123" s="1173">
        <f>SUM('3 pr-2'!U124)</f>
        <v>6260</v>
      </c>
      <c r="X123" s="1162">
        <f>IF('ketv. 5 '!U123&gt;0,'ketv. 7 '!AB122,SUMIF(Projektu_sutarciu_ataskaita!$J:$J,C123,Projektu_sutarciu_ataskaita!$DM:$DM))</f>
        <v>6220</v>
      </c>
      <c r="Y123" s="1174">
        <f t="shared" si="236"/>
        <v>40</v>
      </c>
      <c r="Z123" s="1175">
        <f t="shared" si="237"/>
        <v>40</v>
      </c>
      <c r="AA123" s="1173">
        <f>SUM('3 pr-2'!X124)</f>
        <v>0</v>
      </c>
      <c r="AB123" s="1173">
        <f>IF('ketv. 5 '!U123&gt;0,'ketv. 7 '!AG122,SUMIF(Projektu_sutarciu_ataskaita!$J:$J,C123,Projektu_sutarciu_ataskaita!$DL:$DL)+SUMIF(Projektu_sutarciu_ataskaita!$J:$J,C123,Projektu_sutarciu_ataskaita!$DJ:$DJ))</f>
        <v>0</v>
      </c>
      <c r="AC123" s="1174">
        <f t="shared" si="238"/>
        <v>0</v>
      </c>
      <c r="AD123" s="1175">
        <f t="shared" si="239"/>
        <v>0</v>
      </c>
      <c r="AE123" s="1173">
        <f>SUM('3 pr-2'!AA124)</f>
        <v>70948</v>
      </c>
      <c r="AF123" s="1162">
        <f>IF('ketv. 5 '!U123&gt;0,'ketv. 7 '!AL122,SUMIF(Projektu_sutarciu_ataskaita!$J:$J,C123,Projektu_sutarciu_ataskaita!$DF:$DF))</f>
        <v>70498</v>
      </c>
      <c r="AG123" s="1178">
        <f t="shared" si="240"/>
        <v>450</v>
      </c>
      <c r="AH123" s="1177">
        <f t="shared" si="241"/>
        <v>450</v>
      </c>
      <c r="AI123" s="1173">
        <f>SUM('3 pr-2'!AB125)</f>
        <v>0</v>
      </c>
      <c r="AJ123" s="1173"/>
    </row>
    <row r="124" spans="1:36" ht="36.75">
      <c r="A124" s="375" t="str">
        <f>CONCATENATE('3 pr-2'!A125)</f>
        <v>2.1.2.1.4</v>
      </c>
      <c r="B124" s="375" t="str">
        <f>CONCATENATE('3 pr-2'!B125)</f>
        <v>R01-6609-274710-2214</v>
      </c>
      <c r="C124" s="1558" t="str">
        <f>IF('ketv. 4 '!Z125&gt;0,'ketv. 4 '!C125,"-")</f>
        <v>08.1.3-CPVA-R-609-11-0005</v>
      </c>
      <c r="D124" s="575" t="str">
        <f>CONCATENATE('3 pr-2'!D125)</f>
        <v>UAB "Pagalba ligoniui" teikiamų paslaugų efektyvumo didinimas</v>
      </c>
      <c r="E124" s="375" t="str">
        <f>CONCATENATE('3 pr-2'!E125)</f>
        <v>UAB „Pagalba ligoniui“, Alytaus filialas</v>
      </c>
      <c r="F124" s="375" t="str">
        <f>CONCATENATE('3 pr-2'!F125)</f>
        <v>Lietuvos Respublikos Sveikatos apsaugos ministerija</v>
      </c>
      <c r="G124" s="375" t="str">
        <f>CONCATENATE('3 pr-2'!G125)</f>
        <v>Alytaus m. sav.</v>
      </c>
      <c r="H124" s="375" t="str">
        <f>CONCATENATE('3 pr-2'!H125)</f>
        <v>08.1.3-CPVA-R-609</v>
      </c>
      <c r="I124" s="375" t="str">
        <f>CONCATENATE('3 pr-2'!I125)</f>
        <v>R</v>
      </c>
      <c r="J124" s="375" t="str">
        <f>CONCATENATE('3 pr-2'!J125)</f>
        <v>-</v>
      </c>
      <c r="K124" s="1173">
        <f>SUM('3 pr-2'!L125)</f>
        <v>43413.03</v>
      </c>
      <c r="L124" s="1162">
        <f t="shared" si="229"/>
        <v>43413.03</v>
      </c>
      <c r="M124" s="1174">
        <f t="shared" si="230"/>
        <v>0</v>
      </c>
      <c r="N124" s="1175">
        <f t="shared" si="231"/>
        <v>0</v>
      </c>
      <c r="O124" s="1173">
        <f>SUM('3 pr-2'!O125)</f>
        <v>0</v>
      </c>
      <c r="P124" s="1173">
        <f>IF('ketv. 5 '!U124&gt;0,'ketv. 7 '!R123,SUMIF(Projektu_sutarciu_ataskaita!$J:$J,C124,Projektu_sutarciu_ataskaita!$DK:$DK))</f>
        <v>0</v>
      </c>
      <c r="Q124" s="1174">
        <f t="shared" si="232"/>
        <v>0</v>
      </c>
      <c r="R124" s="1175">
        <f t="shared" si="233"/>
        <v>0</v>
      </c>
      <c r="S124" s="1173">
        <f>SUM('3 pr-2'!R125)</f>
        <v>3255.97</v>
      </c>
      <c r="T124" s="1162">
        <f>IF('ketv. 5 '!U124&gt;0,'ketv. 7 '!W123,SUMIF(Projektu_sutarciu_ataskaita!$J:$J,C124,Projektu_sutarciu_ataskaita!$DG:$DG))</f>
        <v>3255.97</v>
      </c>
      <c r="U124" s="1174">
        <f t="shared" si="234"/>
        <v>0</v>
      </c>
      <c r="V124" s="1175">
        <f t="shared" si="235"/>
        <v>0</v>
      </c>
      <c r="W124" s="1173">
        <f>SUM('3 pr-2'!U125)</f>
        <v>3255.98</v>
      </c>
      <c r="X124" s="1162">
        <f>IF('ketv. 5 '!U124&gt;0,'ketv. 7 '!AB123,SUMIF(Projektu_sutarciu_ataskaita!$J:$J,C124,Projektu_sutarciu_ataskaita!$DM:$DM))</f>
        <v>3255.98</v>
      </c>
      <c r="Y124" s="1174">
        <f t="shared" si="236"/>
        <v>0</v>
      </c>
      <c r="Z124" s="1175">
        <f t="shared" si="237"/>
        <v>0</v>
      </c>
      <c r="AA124" s="1173">
        <f>SUM('3 pr-2'!X125)</f>
        <v>0</v>
      </c>
      <c r="AB124" s="1173">
        <f>IF('ketv. 5 '!U124&gt;0,'ketv. 7 '!AG123,SUMIF(Projektu_sutarciu_ataskaita!$J:$J,C124,Projektu_sutarciu_ataskaita!$DL:$DL)+SUMIF(Projektu_sutarciu_ataskaita!$J:$J,C124,Projektu_sutarciu_ataskaita!$DJ:$DJ))</f>
        <v>0</v>
      </c>
      <c r="AC124" s="1174">
        <f t="shared" si="238"/>
        <v>0</v>
      </c>
      <c r="AD124" s="1175">
        <f t="shared" si="239"/>
        <v>0</v>
      </c>
      <c r="AE124" s="1173">
        <f>SUM('3 pr-2'!AA125)</f>
        <v>36901.08</v>
      </c>
      <c r="AF124" s="1162">
        <f>IF('ketv. 5 '!U124&gt;0,'ketv. 7 '!AL123,SUMIF(Projektu_sutarciu_ataskaita!$J:$J,C124,Projektu_sutarciu_ataskaita!$DF:$DF))</f>
        <v>36901.08</v>
      </c>
      <c r="AG124" s="1178">
        <f t="shared" si="240"/>
        <v>0</v>
      </c>
      <c r="AH124" s="1177">
        <f t="shared" si="241"/>
        <v>0</v>
      </c>
      <c r="AI124" s="1173">
        <f>SUM('3 pr-2'!AB126)</f>
        <v>0</v>
      </c>
      <c r="AJ124" s="1173"/>
    </row>
    <row r="125" spans="1:36" ht="48.75">
      <c r="A125" s="375" t="str">
        <f>CONCATENATE('3 pr-2'!A126)</f>
        <v>2.1.2.1.5</v>
      </c>
      <c r="B125" s="375" t="str">
        <f>CONCATENATE('3 pr-2'!B126)</f>
        <v>R01-6609-274710-2215</v>
      </c>
      <c r="C125" s="1558" t="str">
        <f>IF('ketv. 4 '!Z126&gt;0,'ketv. 4 '!C126,"-")</f>
        <v>08.1.3-CPVA-R-609-11-0009</v>
      </c>
      <c r="D125" s="575" t="str">
        <f>CONCATENATE('3 pr-2'!D126)</f>
        <v>Pirminės asmens sveikatos priežiūros veiklos efektyvumo didinimas Alytaus rajono savivaldybėje</v>
      </c>
      <c r="E125" s="375" t="str">
        <f>CONCATENATE('3 pr-2'!E126)</f>
        <v>VšĮ Alytaus rajono savivaldybės pirminės sveikatos priežiūros centras</v>
      </c>
      <c r="F125" s="375" t="str">
        <f>CONCATENATE('3 pr-2'!F126)</f>
        <v>Lietuvos Respublikos Sveikatos apsaugos ministerija</v>
      </c>
      <c r="G125" s="375" t="str">
        <f>CONCATENATE('3 pr-2'!G126)</f>
        <v>Alytaus r. sav.</v>
      </c>
      <c r="H125" s="375" t="str">
        <f>CONCATENATE('3 pr-2'!H126)</f>
        <v>08.1.3-CPVA-R-609</v>
      </c>
      <c r="I125" s="375" t="str">
        <f>CONCATENATE('3 pr-2'!I126)</f>
        <v>R</v>
      </c>
      <c r="J125" s="375" t="str">
        <f>CONCATENATE('3 pr-2'!J126)</f>
        <v>-</v>
      </c>
      <c r="K125" s="1173">
        <f>SUM('3 pr-2'!L126)</f>
        <v>171636</v>
      </c>
      <c r="L125" s="1173">
        <f t="shared" si="229"/>
        <v>172142.73</v>
      </c>
      <c r="M125" s="1174">
        <f t="shared" si="230"/>
        <v>-506.73000000001048</v>
      </c>
      <c r="N125" s="1175">
        <f t="shared" si="231"/>
        <v>-506.73000000001048</v>
      </c>
      <c r="O125" s="1173">
        <f>SUM('3 pr-2'!O126)</f>
        <v>12873</v>
      </c>
      <c r="P125" s="1173">
        <f>IF('ketv. 5 '!U125&gt;0,'ketv. 7 '!R124,SUMIF(Projektu_sutarciu_ataskaita!$J:$J,C125,Projektu_sutarciu_ataskaita!$DK:$DK))</f>
        <v>0</v>
      </c>
      <c r="Q125" s="1174">
        <f t="shared" si="232"/>
        <v>12873</v>
      </c>
      <c r="R125" s="1175">
        <f t="shared" si="233"/>
        <v>0</v>
      </c>
      <c r="S125" s="1173">
        <f>SUM('3 pr-2'!R126)</f>
        <v>12873</v>
      </c>
      <c r="T125" s="1162">
        <f>IF('ketv. 5 '!U125&gt;0,'ketv. 7 '!W124,SUMIF(Projektu_sutarciu_ataskaita!$J:$J,C125,Projektu_sutarciu_ataskaita!$DG:$DG))</f>
        <v>12873</v>
      </c>
      <c r="U125" s="1174">
        <f t="shared" si="234"/>
        <v>0</v>
      </c>
      <c r="V125" s="1175">
        <f t="shared" si="235"/>
        <v>0</v>
      </c>
      <c r="W125" s="1173">
        <f>SUM('3 pr-2'!U126)</f>
        <v>0</v>
      </c>
      <c r="X125" s="1173">
        <f>IF('ketv. 5 '!U125&gt;0,'ketv. 7 '!AB124,SUMIF(Projektu_sutarciu_ataskaita!$J:$J,C125,Projektu_sutarciu_ataskaita!$DM:$DM))</f>
        <v>0</v>
      </c>
      <c r="Y125" s="1174">
        <f t="shared" si="236"/>
        <v>0</v>
      </c>
      <c r="Z125" s="1175">
        <f t="shared" si="237"/>
        <v>0</v>
      </c>
      <c r="AA125" s="1173">
        <f>SUM('3 pr-2'!X126)</f>
        <v>0</v>
      </c>
      <c r="AB125" s="1162">
        <f>IF('ketv. 5 '!U125&gt;0,'ketv. 7 '!AG124,SUMIF(Projektu_sutarciu_ataskaita!$J:$J,C125,Projektu_sutarciu_ataskaita!$DL:$DL)+SUMIF(Projektu_sutarciu_ataskaita!$J:$J,C125,Projektu_sutarciu_ataskaita!$DJ:$DJ))</f>
        <v>13379.73</v>
      </c>
      <c r="AC125" s="1174">
        <f t="shared" si="238"/>
        <v>-13379.73</v>
      </c>
      <c r="AD125" s="1175">
        <f t="shared" si="239"/>
        <v>-13379.73</v>
      </c>
      <c r="AE125" s="1173">
        <f>SUM('3 pr-2'!AA126)</f>
        <v>145890</v>
      </c>
      <c r="AF125" s="1162">
        <f>IF('ketv. 5 '!U125&gt;0,'ketv. 7 '!AL124,SUMIF(Projektu_sutarciu_ataskaita!$J:$J,C125,Projektu_sutarciu_ataskaita!$DF:$DF))</f>
        <v>145890</v>
      </c>
      <c r="AG125" s="1178">
        <f t="shared" si="240"/>
        <v>0</v>
      </c>
      <c r="AH125" s="1177">
        <f t="shared" si="241"/>
        <v>0</v>
      </c>
      <c r="AI125" s="1173">
        <f>SUM('3 pr-2'!AB127)</f>
        <v>0</v>
      </c>
      <c r="AJ125" s="1173"/>
    </row>
    <row r="126" spans="1:36" ht="36.75">
      <c r="A126" s="375" t="str">
        <f>CONCATENATE('3 pr-2'!A127)</f>
        <v>2.1.2.1.6</v>
      </c>
      <c r="B126" s="375" t="str">
        <f>CONCATENATE('3 pr-2'!B127)</f>
        <v>R01-6609-471000-2216</v>
      </c>
      <c r="C126" s="1558" t="str">
        <f>IF('ketv. 4 '!Z127&gt;0,'ketv. 4 '!C127,"-")</f>
        <v>08.1.3-CPVA-R-609-11-0011</v>
      </c>
      <c r="D126" s="575" t="str">
        <f>CONCATENATE('3 pr-2'!D127)</f>
        <v>Sveikatos priežiūros paslaugų gerinimas UAB „Disolis“</v>
      </c>
      <c r="E126" s="375" t="str">
        <f>CONCATENATE('3 pr-2'!E127)</f>
        <v>UAB „Disolis“</v>
      </c>
      <c r="F126" s="375" t="str">
        <f>CONCATENATE('3 pr-2'!F127)</f>
        <v>Lietuvos Respublikos Sveikatos apsaugos ministerija</v>
      </c>
      <c r="G126" s="375" t="str">
        <f>CONCATENATE('3 pr-2'!G127)</f>
        <v>Alytaus r. sav.</v>
      </c>
      <c r="H126" s="375" t="str">
        <f>CONCATENATE('3 pr-2'!H127)</f>
        <v>08.1.3-CPVA-R-609</v>
      </c>
      <c r="I126" s="375" t="str">
        <f>CONCATENATE('3 pr-2'!I127)</f>
        <v>R</v>
      </c>
      <c r="J126" s="375" t="str">
        <f>CONCATENATE('3 pr-2'!J127)</f>
        <v>-</v>
      </c>
      <c r="K126" s="1173">
        <f>SUM('3 pr-2'!L127)</f>
        <v>17386</v>
      </c>
      <c r="L126" s="1173">
        <f t="shared" si="229"/>
        <v>23990.78</v>
      </c>
      <c r="M126" s="1174">
        <f t="shared" si="230"/>
        <v>-6604.7799999999988</v>
      </c>
      <c r="N126" s="1175">
        <f t="shared" si="231"/>
        <v>-6604.7799999999988</v>
      </c>
      <c r="O126" s="1173">
        <f>SUM('3 pr-2'!O127)</f>
        <v>0</v>
      </c>
      <c r="P126" s="1173">
        <f>IF('ketv. 5 '!U126&gt;0,'ketv. 7 '!R125,SUMIF(Projektu_sutarciu_ataskaita!$J:$J,C126,Projektu_sutarciu_ataskaita!$DK:$DK))</f>
        <v>0</v>
      </c>
      <c r="Q126" s="1174">
        <f t="shared" si="232"/>
        <v>0</v>
      </c>
      <c r="R126" s="1175">
        <f t="shared" si="233"/>
        <v>0</v>
      </c>
      <c r="S126" s="1173">
        <f>SUM('3 pr-2'!R127)</f>
        <v>1304</v>
      </c>
      <c r="T126" s="1162">
        <f>IF('ketv. 5 '!U126&gt;0,'ketv. 7 '!W125,SUMIF(Projektu_sutarciu_ataskaita!$J:$J,C126,Projektu_sutarciu_ataskaita!$DG:$DG))</f>
        <v>266.12</v>
      </c>
      <c r="U126" s="1174">
        <f t="shared" si="234"/>
        <v>1037.8800000000001</v>
      </c>
      <c r="V126" s="1175">
        <f t="shared" si="235"/>
        <v>1037.8800000000001</v>
      </c>
      <c r="W126" s="1173">
        <f>SUM('3 pr-2'!U127)</f>
        <v>1304</v>
      </c>
      <c r="X126" s="1162">
        <f>IF('ketv. 5 '!U126&gt;0,'ketv. 7 '!AB125,SUMIF(Projektu_sutarciu_ataskaita!$J:$J,C126,Projektu_sutarciu_ataskaita!$DM:$DM))</f>
        <v>7908.78</v>
      </c>
      <c r="Y126" s="1174">
        <f t="shared" si="236"/>
        <v>-6604.78</v>
      </c>
      <c r="Z126" s="1175">
        <f t="shared" si="237"/>
        <v>-6604.78</v>
      </c>
      <c r="AA126" s="1173">
        <f>SUM('3 pr-2'!X127)</f>
        <v>0</v>
      </c>
      <c r="AB126" s="1173">
        <f>IF('ketv. 5 '!U126&gt;0,'ketv. 7 '!AG125,SUMIF(Projektu_sutarciu_ataskaita!$J:$J,C126,Projektu_sutarciu_ataskaita!$DL:$DL)+SUMIF(Projektu_sutarciu_ataskaita!$J:$J,C126,Projektu_sutarciu_ataskaita!$DJ:$DJ))</f>
        <v>0</v>
      </c>
      <c r="AC126" s="1174">
        <f t="shared" si="238"/>
        <v>0</v>
      </c>
      <c r="AD126" s="1175">
        <f t="shared" si="239"/>
        <v>0</v>
      </c>
      <c r="AE126" s="1173">
        <f>SUM('3 pr-2'!AA127)</f>
        <v>14778</v>
      </c>
      <c r="AF126" s="1162">
        <f>IF('ketv. 5 '!U126&gt;0,'ketv. 7 '!AL125,SUMIF(Projektu_sutarciu_ataskaita!$J:$J,C126,Projektu_sutarciu_ataskaita!$DF:$DF))</f>
        <v>15815.88</v>
      </c>
      <c r="AG126" s="1178">
        <f t="shared" si="240"/>
        <v>-1037.8799999999992</v>
      </c>
      <c r="AH126" s="1177">
        <f t="shared" si="241"/>
        <v>-1037.8799999999992</v>
      </c>
      <c r="AI126" s="1173">
        <f>SUM('3 pr-2'!AB128)</f>
        <v>0</v>
      </c>
      <c r="AJ126" s="1173"/>
    </row>
    <row r="127" spans="1:36" ht="36.75">
      <c r="A127" s="375" t="str">
        <f>CONCATENATE('3 pr-2'!A128)</f>
        <v>2.1.2.1.7</v>
      </c>
      <c r="B127" s="375" t="str">
        <f>CONCATENATE('3 pr-2'!B128)</f>
        <v>R01-6609-274710-2217</v>
      </c>
      <c r="C127" s="1558" t="str">
        <f>IF('ketv. 4 '!Z128&gt;0,'ketv. 4 '!C128,"-")</f>
        <v>08.1.3-CPVA-R-609-11-0007</v>
      </c>
      <c r="D127" s="575" t="str">
        <f>CONCATENATE('3 pr-2'!D128)</f>
        <v>Pirminės asmens sveikatos priežiūros kokybės ir prieinamumo gerinimas Druskininkų savivaldybėje</v>
      </c>
      <c r="E127" s="375" t="str">
        <f>CONCATENATE('3 pr-2'!E128)</f>
        <v>VšĮ Druskininkų pirminės sveikatos priežiūros centras</v>
      </c>
      <c r="F127" s="375" t="str">
        <f>CONCATENATE('3 pr-2'!F128)</f>
        <v>Lietuvos Respublikos Sveikatos apsaugos ministerija</v>
      </c>
      <c r="G127" s="375" t="str">
        <f>CONCATENATE('3 pr-2'!G128)</f>
        <v>Druskininkų sav.</v>
      </c>
      <c r="H127" s="375" t="str">
        <f>CONCATENATE('3 pr-2'!H128)</f>
        <v>08.1.3-CPVA-R-609</v>
      </c>
      <c r="I127" s="375" t="str">
        <f>CONCATENATE('3 pr-2'!I128)</f>
        <v>R</v>
      </c>
      <c r="J127" s="375" t="str">
        <f>CONCATENATE('3 pr-2'!J128)</f>
        <v>-</v>
      </c>
      <c r="K127" s="1173">
        <f>SUM('3 pr-2'!L128)</f>
        <v>163532</v>
      </c>
      <c r="L127" s="1173">
        <f t="shared" si="229"/>
        <v>163532</v>
      </c>
      <c r="M127" s="1174">
        <f t="shared" si="230"/>
        <v>0</v>
      </c>
      <c r="N127" s="1175">
        <f t="shared" si="231"/>
        <v>0</v>
      </c>
      <c r="O127" s="1173">
        <f>SUM('3 pr-2'!O128)</f>
        <v>0</v>
      </c>
      <c r="P127" s="1173">
        <f>IF('ketv. 5 '!U127&gt;0,'ketv. 7 '!R126,SUMIF(Projektu_sutarciu_ataskaita!$J:$J,C127,Projektu_sutarciu_ataskaita!$DK:$DK))</f>
        <v>0</v>
      </c>
      <c r="Q127" s="1174">
        <f t="shared" si="232"/>
        <v>0</v>
      </c>
      <c r="R127" s="1175">
        <f t="shared" si="233"/>
        <v>0</v>
      </c>
      <c r="S127" s="1173">
        <f>SUM('3 pr-2'!R128)</f>
        <v>12265</v>
      </c>
      <c r="T127" s="1162">
        <f>IF('ketv. 5 '!U127&gt;0,'ketv. 7 '!W126,SUMIF(Projektu_sutarciu_ataskaita!$J:$J,C127,Projektu_sutarciu_ataskaita!$DG:$DG))</f>
        <v>12265</v>
      </c>
      <c r="U127" s="1174">
        <f t="shared" si="234"/>
        <v>0</v>
      </c>
      <c r="V127" s="1175">
        <f t="shared" si="235"/>
        <v>0</v>
      </c>
      <c r="W127" s="1173">
        <f>SUM('3 pr-2'!U128)</f>
        <v>12265</v>
      </c>
      <c r="X127" s="1173">
        <f>IF('ketv. 5 '!U127&gt;0,'ketv. 7 '!AB126,SUMIF(Projektu_sutarciu_ataskaita!$J:$J,C127,Projektu_sutarciu_ataskaita!$DM:$DM))</f>
        <v>0</v>
      </c>
      <c r="Y127" s="1174">
        <f t="shared" si="236"/>
        <v>12265</v>
      </c>
      <c r="Z127" s="1175">
        <f t="shared" si="237"/>
        <v>0</v>
      </c>
      <c r="AA127" s="1173">
        <f>SUM('3 pr-2'!X128)</f>
        <v>0</v>
      </c>
      <c r="AB127" s="1162">
        <f>IF('ketv. 5 '!U127&gt;0,'ketv. 7 '!AG126,SUMIF(Projektu_sutarciu_ataskaita!$J:$J,C127,Projektu_sutarciu_ataskaita!$DL:$DL)+SUMIF(Projektu_sutarciu_ataskaita!$J:$J,C127,Projektu_sutarciu_ataskaita!$DJ:$DJ))</f>
        <v>12265</v>
      </c>
      <c r="AC127" s="1174">
        <f t="shared" si="238"/>
        <v>-12265</v>
      </c>
      <c r="AD127" s="1175">
        <f t="shared" si="239"/>
        <v>-12265</v>
      </c>
      <c r="AE127" s="1173">
        <f>SUM('3 pr-2'!AA128)</f>
        <v>139002</v>
      </c>
      <c r="AF127" s="1162">
        <f>IF('ketv. 5 '!U127&gt;0,'ketv. 7 '!AL126,SUMIF(Projektu_sutarciu_ataskaita!$J:$J,C127,Projektu_sutarciu_ataskaita!$DF:$DF))</f>
        <v>139002</v>
      </c>
      <c r="AG127" s="1178">
        <f t="shared" si="240"/>
        <v>0</v>
      </c>
      <c r="AH127" s="1177">
        <f t="shared" si="241"/>
        <v>0</v>
      </c>
      <c r="AI127" s="1173">
        <f>SUM('3 pr-2'!AB129)</f>
        <v>0</v>
      </c>
      <c r="AJ127" s="1173"/>
    </row>
    <row r="128" spans="1:36" ht="36.75">
      <c r="A128" s="375" t="str">
        <f>CONCATENATE('3 pr-2'!A129)</f>
        <v>2.1.2.1.8</v>
      </c>
      <c r="B128" s="375" t="str">
        <f>CONCATENATE('3 pr-2'!B129)</f>
        <v>R01-6609-104700-2218</v>
      </c>
      <c r="C128" s="1558" t="str">
        <f>IF('ketv. 4 '!Z129&gt;0,'ketv. 4 '!C129,"-")</f>
        <v>08.1.3-CPVA-R-609-11-0006</v>
      </c>
      <c r="D128" s="575" t="str">
        <f>CONCATENATE('3 pr-2'!D129)</f>
        <v>UAB "Druskininkų šeimos klinika" asmens sveikatos priežiūros paslaugų prieinamumo ir efektyvumo didinimas</v>
      </c>
      <c r="E128" s="375" t="str">
        <f>CONCATENATE('3 pr-2'!E129)</f>
        <v>UAB „Druskininkų šeimos klinika“</v>
      </c>
      <c r="F128" s="375" t="str">
        <f>CONCATENATE('3 pr-2'!F129)</f>
        <v>Lietuvos Respublikos Sveikatos apsaugos ministerija</v>
      </c>
      <c r="G128" s="375" t="str">
        <f>CONCATENATE('3 pr-2'!G129)</f>
        <v>Druskininkų sav.</v>
      </c>
      <c r="H128" s="375" t="str">
        <f>CONCATENATE('3 pr-2'!H129)</f>
        <v>08.1.3-CPVA-R-609</v>
      </c>
      <c r="I128" s="375" t="str">
        <f>CONCATENATE('3 pr-2'!I129)</f>
        <v>R</v>
      </c>
      <c r="J128" s="375" t="str">
        <f>CONCATENATE('3 pr-2'!J129)</f>
        <v>-</v>
      </c>
      <c r="K128" s="1173">
        <f>SUM('3 pr-2'!L129)</f>
        <v>12289</v>
      </c>
      <c r="L128" s="1173">
        <f t="shared" si="229"/>
        <v>29990</v>
      </c>
      <c r="M128" s="1174">
        <f t="shared" si="230"/>
        <v>-17701</v>
      </c>
      <c r="N128" s="1175">
        <f t="shared" si="231"/>
        <v>-17701</v>
      </c>
      <c r="O128" s="1173">
        <f>SUM('3 pr-2'!O129)</f>
        <v>0</v>
      </c>
      <c r="P128" s="1173">
        <f>IF('ketv. 5 '!U128&gt;0,'ketv. 7 '!R127,SUMIF(Projektu_sutarciu_ataskaita!$J:$J,C128,Projektu_sutarciu_ataskaita!$DK:$DK))</f>
        <v>0</v>
      </c>
      <c r="Q128" s="1174">
        <f t="shared" si="232"/>
        <v>0</v>
      </c>
      <c r="R128" s="1175">
        <f t="shared" si="233"/>
        <v>0</v>
      </c>
      <c r="S128" s="1173">
        <f>SUM('3 pr-2'!R129)</f>
        <v>922</v>
      </c>
      <c r="T128" s="1162">
        <f>IF('ketv. 5 '!U128&gt;0,'ketv. 7 '!W127,SUMIF(Projektu_sutarciu_ataskaita!$J:$J,C128,Projektu_sutarciu_ataskaita!$DG:$DG))</f>
        <v>922</v>
      </c>
      <c r="U128" s="1174">
        <f t="shared" si="234"/>
        <v>0</v>
      </c>
      <c r="V128" s="1175">
        <f t="shared" si="235"/>
        <v>0</v>
      </c>
      <c r="W128" s="1173">
        <f>SUM('3 pr-2'!U129)</f>
        <v>922</v>
      </c>
      <c r="X128" s="1162">
        <f>IF('ketv. 5 '!U128&gt;0,'ketv. 7 '!AB127,SUMIF(Projektu_sutarciu_ataskaita!$J:$J,C128,Projektu_sutarciu_ataskaita!$DM:$DM))</f>
        <v>18623</v>
      </c>
      <c r="Y128" s="1174">
        <f t="shared" si="236"/>
        <v>-17701</v>
      </c>
      <c r="Z128" s="1175">
        <f t="shared" si="237"/>
        <v>-17701</v>
      </c>
      <c r="AA128" s="1173">
        <f>SUM('3 pr-2'!X129)</f>
        <v>0</v>
      </c>
      <c r="AB128" s="1173">
        <f>IF('ketv. 5 '!U128&gt;0,'ketv. 7 '!AG127,SUMIF(Projektu_sutarciu_ataskaita!$J:$J,C128,Projektu_sutarciu_ataskaita!$DL:$DL)+SUMIF(Projektu_sutarciu_ataskaita!$J:$J,C128,Projektu_sutarciu_ataskaita!$DJ:$DJ))</f>
        <v>0</v>
      </c>
      <c r="AC128" s="1174">
        <f t="shared" si="238"/>
        <v>0</v>
      </c>
      <c r="AD128" s="1175">
        <f t="shared" si="239"/>
        <v>0</v>
      </c>
      <c r="AE128" s="1173">
        <f>SUM('3 pr-2'!AA129)</f>
        <v>10445</v>
      </c>
      <c r="AF128" s="1162">
        <f>IF('ketv. 5 '!U128&gt;0,'ketv. 7 '!AL127,SUMIF(Projektu_sutarciu_ataskaita!$J:$J,C128,Projektu_sutarciu_ataskaita!$DF:$DF))</f>
        <v>10445</v>
      </c>
      <c r="AG128" s="1178">
        <f t="shared" si="240"/>
        <v>0</v>
      </c>
      <c r="AH128" s="1177">
        <f t="shared" si="241"/>
        <v>0</v>
      </c>
      <c r="AI128" s="1173">
        <f>SUM('3 pr-2'!AB130)</f>
        <v>0</v>
      </c>
      <c r="AJ128" s="1173"/>
    </row>
    <row r="129" spans="1:36" ht="36.75">
      <c r="A129" s="375" t="str">
        <f>CONCATENATE('3 pr-2'!A130)</f>
        <v>2.1.2.1.9</v>
      </c>
      <c r="B129" s="375" t="str">
        <f>CONCATENATE('3 pr-2'!B130)</f>
        <v>R01-6609-274710-2219</v>
      </c>
      <c r="C129" s="1558" t="str">
        <f>IF('ketv. 4 '!Z130&gt;0,'ketv. 4 '!C130,"-")</f>
        <v>08.1.3-CPVA-R-609-11-0001</v>
      </c>
      <c r="D129" s="575" t="str">
        <f>CONCATENATE('3 pr-2'!D130)</f>
        <v>I. S. Kavaliauskienės įmonės teikiamų pirminės ambulatorinės asmens sveikatos priežiūros paslaugų kokybės ir prieinamumo gerinimas</v>
      </c>
      <c r="E129" s="375" t="str">
        <f>CONCATENATE('3 pr-2'!E130)</f>
        <v>Irenos Stanislavos Kavaliauskienės įmonė</v>
      </c>
      <c r="F129" s="375" t="str">
        <f>CONCATENATE('3 pr-2'!F130)</f>
        <v>Lietuvos Respublikos Sveikatos apsaugos ministerija</v>
      </c>
      <c r="G129" s="375" t="str">
        <f>CONCATENATE('3 pr-2'!G130)</f>
        <v>Druskininkų sav.</v>
      </c>
      <c r="H129" s="375" t="str">
        <f>CONCATENATE('3 pr-2'!H130)</f>
        <v>08.1.3-CPVA-R-609</v>
      </c>
      <c r="I129" s="375" t="str">
        <f>CONCATENATE('3 pr-2'!I130)</f>
        <v>R</v>
      </c>
      <c r="J129" s="375" t="str">
        <f>CONCATENATE('3 pr-2'!J130)</f>
        <v>-</v>
      </c>
      <c r="K129" s="1173">
        <f>SUM('3 pr-2'!L130)</f>
        <v>25517</v>
      </c>
      <c r="L129" s="1162">
        <f t="shared" si="229"/>
        <v>25517</v>
      </c>
      <c r="M129" s="1174">
        <f t="shared" ref="M129:M131" si="242">SUM(K129-L129)</f>
        <v>0</v>
      </c>
      <c r="N129" s="1175">
        <f t="shared" ref="N129:N131" si="243">IF(L129&gt;0,K129-L129,0)</f>
        <v>0</v>
      </c>
      <c r="O129" s="1173">
        <f>SUM('3 pr-2'!O130)</f>
        <v>0</v>
      </c>
      <c r="P129" s="1173">
        <f>IF('ketv. 5 '!U129&gt;0,'ketv. 7 '!R128,SUMIF(Projektu_sutarciu_ataskaita!$J:$J,C129,Projektu_sutarciu_ataskaita!$DK:$DK))</f>
        <v>0</v>
      </c>
      <c r="Q129" s="1174">
        <f t="shared" ref="Q129:Q131" si="244">SUM(O129-P129)</f>
        <v>0</v>
      </c>
      <c r="R129" s="1175">
        <f t="shared" ref="R129:R131" si="245">IF(P129&gt;0,O129-P129,0)</f>
        <v>0</v>
      </c>
      <c r="S129" s="1173">
        <f>SUM('3 pr-2'!R130)</f>
        <v>1913.55</v>
      </c>
      <c r="T129" s="1162">
        <f>IF('ketv. 5 '!U129&gt;0,'ketv. 7 '!W128,SUMIF(Projektu_sutarciu_ataskaita!$J:$J,C129,Projektu_sutarciu_ataskaita!$DG:$DG))</f>
        <v>1913.55</v>
      </c>
      <c r="U129" s="1174">
        <f t="shared" ref="U129:U131" si="246">SUM(S129-T129)</f>
        <v>0</v>
      </c>
      <c r="V129" s="1175">
        <f t="shared" ref="V129:V131" si="247">IF(T129&gt;0,S129-T129,0)</f>
        <v>0</v>
      </c>
      <c r="W129" s="1173">
        <f>SUM('3 pr-2'!U130)</f>
        <v>1914</v>
      </c>
      <c r="X129" s="1162">
        <f>IF('ketv. 5 '!U129&gt;0,'ketv. 7 '!AB128,SUMIF(Projektu_sutarciu_ataskaita!$J:$J,C129,Projektu_sutarciu_ataskaita!$DM:$DM))</f>
        <v>1914</v>
      </c>
      <c r="Y129" s="1174">
        <f t="shared" ref="Y129:Y131" si="248">SUM(W129-X129)</f>
        <v>0</v>
      </c>
      <c r="Z129" s="1175">
        <f t="shared" ref="Z129:Z131" si="249">IF(X129&gt;0,W129-X129,0)</f>
        <v>0</v>
      </c>
      <c r="AA129" s="1173">
        <f>SUM('3 pr-2'!X130)</f>
        <v>0</v>
      </c>
      <c r="AB129" s="1173">
        <f>IF('ketv. 5 '!U129&gt;0,'ketv. 7 '!AG128,SUMIF(Projektu_sutarciu_ataskaita!$J:$J,C129,Projektu_sutarciu_ataskaita!$DL:$DL)+SUMIF(Projektu_sutarciu_ataskaita!$J:$J,C129,Projektu_sutarciu_ataskaita!$DJ:$DJ))</f>
        <v>0</v>
      </c>
      <c r="AC129" s="1174">
        <f t="shared" ref="AC129:AC131" si="250">SUM(AA129-AB129)</f>
        <v>0</v>
      </c>
      <c r="AD129" s="1175">
        <f t="shared" ref="AD129:AD131" si="251">IF(AB129&gt;0,AA129-AB129,0)</f>
        <v>0</v>
      </c>
      <c r="AE129" s="1173">
        <f>SUM('3 pr-2'!AA130)</f>
        <v>21689.45</v>
      </c>
      <c r="AF129" s="1162">
        <f>IF('ketv. 5 '!U129&gt;0,'ketv. 7 '!AL128,SUMIF(Projektu_sutarciu_ataskaita!$J:$J,C129,Projektu_sutarciu_ataskaita!$DF:$DF))</f>
        <v>21689.45</v>
      </c>
      <c r="AG129" s="1178">
        <f t="shared" ref="AG129:AG131" si="252">SUM(AE129-AF129)</f>
        <v>0</v>
      </c>
      <c r="AH129" s="1177">
        <f t="shared" ref="AH129:AH131" si="253">IF(AF129&gt;0,AE129-AF129,0)</f>
        <v>0</v>
      </c>
      <c r="AI129" s="1173">
        <f>SUM('3 pr-2'!AB131)</f>
        <v>0</v>
      </c>
      <c r="AJ129" s="1173"/>
    </row>
    <row r="130" spans="1:36" ht="48.75">
      <c r="A130" s="375" t="str">
        <f>CONCATENATE('3 pr-2'!A131)</f>
        <v>2.1.2.1.10</v>
      </c>
      <c r="B130" s="375" t="str">
        <f>CONCATENATE('3 pr-2'!B131)</f>
        <v>R01-6609-274710-2220</v>
      </c>
      <c r="C130" s="1558" t="str">
        <f>IF('ketv. 4 '!Z131&gt;0,'ketv. 4 '!C131,"-")</f>
        <v>08.1.3-CPVA-R-609-11-0008</v>
      </c>
      <c r="D130" s="575" t="str">
        <f>CONCATENATE('3 pr-2'!D131)</f>
        <v>Pirminės ambulatorinės asmens sveikatos priežiūros efektyvumo didinimas R. Ambrazaitienės ir L. Puzinovienės šeimos gydytojų kabinetuose</v>
      </c>
      <c r="E130" s="375" t="str">
        <f>CONCATENATE('3 pr-2'!E131)</f>
        <v>UAB „Rasos Ambrazaitienės šeimos gydytojo kabinetas“</v>
      </c>
      <c r="F130" s="375" t="str">
        <f>CONCATENATE('3 pr-2'!F131)</f>
        <v>Lietuvos Respublikos Sveikatos apsaugos ministerija</v>
      </c>
      <c r="G130" s="375" t="str">
        <f>CONCATENATE('3 pr-2'!G131)</f>
        <v>Druskininkų sav.</v>
      </c>
      <c r="H130" s="375" t="str">
        <f>CONCATENATE('3 pr-2'!H131)</f>
        <v>08.1.3-CPVA-R-609</v>
      </c>
      <c r="I130" s="375" t="str">
        <f>CONCATENATE('3 pr-2'!I131)</f>
        <v>R</v>
      </c>
      <c r="J130" s="375" t="str">
        <f>CONCATENATE('3 pr-2'!J131)</f>
        <v>-</v>
      </c>
      <c r="K130" s="1173">
        <f>SUM('3 pr-2'!L131)</f>
        <v>27906</v>
      </c>
      <c r="L130" s="1173">
        <f t="shared" si="229"/>
        <v>27906</v>
      </c>
      <c r="M130" s="1174">
        <f t="shared" si="242"/>
        <v>0</v>
      </c>
      <c r="N130" s="1175">
        <f t="shared" si="243"/>
        <v>0</v>
      </c>
      <c r="O130" s="1173">
        <f>SUM('3 pr-2'!O131)</f>
        <v>0</v>
      </c>
      <c r="P130" s="1173">
        <f>IF('ketv. 5 '!U130&gt;0,'ketv. 7 '!R129,SUMIF(Projektu_sutarciu_ataskaita!$J:$J,C130,Projektu_sutarciu_ataskaita!$DK:$DK))</f>
        <v>0</v>
      </c>
      <c r="Q130" s="1174">
        <f t="shared" si="244"/>
        <v>0</v>
      </c>
      <c r="R130" s="1175">
        <f t="shared" si="245"/>
        <v>0</v>
      </c>
      <c r="S130" s="1173">
        <f>SUM('3 pr-2'!R131)</f>
        <v>2093</v>
      </c>
      <c r="T130" s="1162">
        <f>IF('ketv. 5 '!U130&gt;0,'ketv. 7 '!W129,SUMIF(Projektu_sutarciu_ataskaita!$J:$J,C130,Projektu_sutarciu_ataskaita!$DG:$DG))</f>
        <v>2092.9</v>
      </c>
      <c r="U130" s="1174">
        <f t="shared" si="246"/>
        <v>9.9999999999909051E-2</v>
      </c>
      <c r="V130" s="1175">
        <f t="shared" si="247"/>
        <v>9.9999999999909051E-2</v>
      </c>
      <c r="W130" s="1173">
        <f>SUM('3 pr-2'!U131)</f>
        <v>2093</v>
      </c>
      <c r="X130" s="1162">
        <f>IF('ketv. 5 '!U130&gt;0,'ketv. 7 '!AB129,SUMIF(Projektu_sutarciu_ataskaita!$J:$J,C130,Projektu_sutarciu_ataskaita!$DM:$DM))</f>
        <v>2093</v>
      </c>
      <c r="Y130" s="1174">
        <f t="shared" si="248"/>
        <v>0</v>
      </c>
      <c r="Z130" s="1175">
        <f t="shared" si="249"/>
        <v>0</v>
      </c>
      <c r="AA130" s="1173">
        <f>SUM('3 pr-2'!X131)</f>
        <v>0</v>
      </c>
      <c r="AB130" s="1173">
        <f>IF('ketv. 5 '!U130&gt;0,'ketv. 7 '!AG129,SUMIF(Projektu_sutarciu_ataskaita!$J:$J,C130,Projektu_sutarciu_ataskaita!$DL:$DL)+SUMIF(Projektu_sutarciu_ataskaita!$J:$J,C130,Projektu_sutarciu_ataskaita!$DJ:$DJ))</f>
        <v>0</v>
      </c>
      <c r="AC130" s="1174">
        <f t="shared" si="250"/>
        <v>0</v>
      </c>
      <c r="AD130" s="1175">
        <f t="shared" si="251"/>
        <v>0</v>
      </c>
      <c r="AE130" s="1173">
        <f>SUM('3 pr-2'!AA131)</f>
        <v>23720</v>
      </c>
      <c r="AF130" s="1162">
        <f>IF('ketv. 5 '!U130&gt;0,'ketv. 7 '!AL129,SUMIF(Projektu_sutarciu_ataskaita!$J:$J,C130,Projektu_sutarciu_ataskaita!$DF:$DF))</f>
        <v>23720.1</v>
      </c>
      <c r="AG130" s="1178">
        <f t="shared" si="252"/>
        <v>-9.9999999998544808E-2</v>
      </c>
      <c r="AH130" s="1177">
        <f t="shared" si="253"/>
        <v>-9.9999999998544808E-2</v>
      </c>
      <c r="AI130" s="1173">
        <f>SUM('3 pr-2'!AB132)</f>
        <v>0</v>
      </c>
      <c r="AJ130" s="1173"/>
    </row>
    <row r="131" spans="1:36" ht="36.75">
      <c r="A131" s="375" t="str">
        <f>CONCATENATE('3 pr-2'!A132)</f>
        <v>2.1.2.1.11</v>
      </c>
      <c r="B131" s="375" t="str">
        <f>CONCATENATE('3 pr-2'!B132)</f>
        <v>R01-6609-274700-2221</v>
      </c>
      <c r="C131" s="1558" t="str">
        <f>IF('ketv. 4 '!Z132&gt;0,'ketv. 4 '!C132,"-")</f>
        <v>08.1.3-CPVA-R-609-11-0010</v>
      </c>
      <c r="D131" s="575" t="str">
        <f>CONCATENATE('3 pr-2'!D132)</f>
        <v>Pirminės asmens sveikatos priežiūros veiklos efektyvumo didinimas Lazdijų rajono savivaldybėje</v>
      </c>
      <c r="E131" s="375" t="str">
        <f>CONCATENATE('3 pr-2'!E132)</f>
        <v>Lazdijų rajono savivaldybės administracija</v>
      </c>
      <c r="F131" s="375" t="str">
        <f>CONCATENATE('3 pr-2'!F132)</f>
        <v>Lietuvos Respublikos Sveikatos apsaugos ministerija</v>
      </c>
      <c r="G131" s="375" t="str">
        <f>CONCATENATE('3 pr-2'!G132)</f>
        <v>Lazdijų r. sav.</v>
      </c>
      <c r="H131" s="375" t="str">
        <f>CONCATENATE('3 pr-2'!H132)</f>
        <v>08.1.3-CPVA-R-609</v>
      </c>
      <c r="I131" s="375" t="str">
        <f>CONCATENATE('3 pr-2'!I132)</f>
        <v>R</v>
      </c>
      <c r="J131" s="375" t="str">
        <f>CONCATENATE('3 pr-2'!J132)</f>
        <v>-</v>
      </c>
      <c r="K131" s="1173">
        <f>SUM('3 pr-2'!L132)</f>
        <v>192719</v>
      </c>
      <c r="L131" s="1173">
        <f t="shared" si="229"/>
        <v>193823.02</v>
      </c>
      <c r="M131" s="1174">
        <f t="shared" si="242"/>
        <v>-1104.0199999999895</v>
      </c>
      <c r="N131" s="1175">
        <f t="shared" si="243"/>
        <v>-1104.0199999999895</v>
      </c>
      <c r="O131" s="1173">
        <f>SUM('3 pr-2'!O132)</f>
        <v>2983</v>
      </c>
      <c r="P131" s="1162">
        <f>IF('ketv. 5 '!U131&gt;0,'ketv. 7 '!R130,SUMIF(Projektu_sutarciu_ataskaita!$J:$J,C131,Projektu_sutarciu_ataskaita!$DK:$DK))</f>
        <v>8714.7999999999993</v>
      </c>
      <c r="Q131" s="1174">
        <f t="shared" si="244"/>
        <v>-5731.7999999999993</v>
      </c>
      <c r="R131" s="1175">
        <f t="shared" si="245"/>
        <v>-5731.7999999999993</v>
      </c>
      <c r="S131" s="1173">
        <f>SUM('3 pr-2'!R132)</f>
        <v>14454</v>
      </c>
      <c r="T131" s="1162">
        <f>IF('ketv. 5 '!U131&gt;0,'ketv. 7 '!W130,SUMIF(Projektu_sutarciu_ataskaita!$J:$J,C131,Projektu_sutarciu_ataskaita!$DG:$DG))</f>
        <v>14454</v>
      </c>
      <c r="U131" s="1174">
        <f t="shared" si="246"/>
        <v>0</v>
      </c>
      <c r="V131" s="1175">
        <f t="shared" si="247"/>
        <v>0</v>
      </c>
      <c r="W131" s="1173">
        <f>SUM('3 pr-2'!U132)</f>
        <v>11471</v>
      </c>
      <c r="X131" s="1162">
        <f>IF('ketv. 5 '!U131&gt;0,'ketv. 7 '!AB130,SUMIF(Projektu_sutarciu_ataskaita!$J:$J,C131,Projektu_sutarciu_ataskaita!$DM:$DM))</f>
        <v>6843.26</v>
      </c>
      <c r="Y131" s="1174">
        <f t="shared" si="248"/>
        <v>4627.74</v>
      </c>
      <c r="Z131" s="1175">
        <f t="shared" si="249"/>
        <v>4627.74</v>
      </c>
      <c r="AA131" s="1173">
        <f>SUM('3 pr-2'!X132)</f>
        <v>0</v>
      </c>
      <c r="AB131" s="1173">
        <f>IF('ketv. 5 '!U131&gt;0,'ketv. 7 '!AG130,SUMIF(Projektu_sutarciu_ataskaita!$J:$J,C131,Projektu_sutarciu_ataskaita!$DL:$DL)+SUMIF(Projektu_sutarciu_ataskaita!$J:$J,C131,Projektu_sutarciu_ataskaita!$DJ:$DJ))</f>
        <v>0</v>
      </c>
      <c r="AC131" s="1174">
        <f t="shared" si="250"/>
        <v>0</v>
      </c>
      <c r="AD131" s="1175">
        <f t="shared" si="251"/>
        <v>0</v>
      </c>
      <c r="AE131" s="1173">
        <f>SUM('3 pr-2'!AA132)</f>
        <v>163811</v>
      </c>
      <c r="AF131" s="1162">
        <f>IF('ketv. 5 '!U131&gt;0,'ketv. 7 '!AL130,SUMIF(Projektu_sutarciu_ataskaita!$J:$J,C131,Projektu_sutarciu_ataskaita!$DF:$DF))</f>
        <v>163810.96</v>
      </c>
      <c r="AG131" s="1178">
        <f t="shared" si="252"/>
        <v>4.0000000008149073E-2</v>
      </c>
      <c r="AH131" s="1177">
        <f t="shared" si="253"/>
        <v>4.0000000008149073E-2</v>
      </c>
      <c r="AI131" s="1173">
        <f>SUM('3 pr-2'!AB133)</f>
        <v>0</v>
      </c>
      <c r="AJ131" s="1173"/>
    </row>
    <row r="132" spans="1:36" ht="36.75">
      <c r="A132" s="375" t="str">
        <f>CONCATENATE('3 pr-2'!A133)</f>
        <v>2.1.2.1.12</v>
      </c>
      <c r="B132" s="375" t="str">
        <f>CONCATENATE('3 pr-2'!B133)</f>
        <v>R01-6609-274710-2222</v>
      </c>
      <c r="C132" s="1558" t="str">
        <f>IF('ketv. 4 '!Z133&gt;0,'ketv. 4 '!C133,"-")</f>
        <v>08.1.3-CPVA-R-609-11-0012</v>
      </c>
      <c r="D132" s="575" t="str">
        <f>CONCATENATE('3 pr-2'!D133)</f>
        <v>Pirminės asmens sveikatos priežiūros veiklos efektyvumo didinimas Varėnos rajono savivaldybėje</v>
      </c>
      <c r="E132" s="375" t="str">
        <f>CONCATENATE('3 pr-2'!E133)</f>
        <v>VšĮ Varėnos pirminės sveikatos priežiūros centras</v>
      </c>
      <c r="F132" s="375" t="str">
        <f>CONCATENATE('3 pr-2'!F133)</f>
        <v>Lietuvos Respublikos Sveikatos apsaugos ministerija</v>
      </c>
      <c r="G132" s="375" t="str">
        <f>CONCATENATE('3 pr-2'!G133)</f>
        <v>Varėnos r. sav.</v>
      </c>
      <c r="H132" s="375" t="str">
        <f>CONCATENATE('3 pr-2'!H133)</f>
        <v>08.1.3-CPVA-R-609</v>
      </c>
      <c r="I132" s="375" t="str">
        <f>CONCATENATE('3 pr-2'!I133)</f>
        <v>R</v>
      </c>
      <c r="J132" s="375" t="str">
        <f>CONCATENATE('3 pr-2'!J133)</f>
        <v>-</v>
      </c>
      <c r="K132" s="1173">
        <f>SUM('3 pr-2'!L133)</f>
        <v>192678</v>
      </c>
      <c r="L132" s="1173">
        <f t="shared" si="229"/>
        <v>192664.18</v>
      </c>
      <c r="M132" s="1174">
        <f t="shared" ref="M132" si="254">SUM(K132-L132)</f>
        <v>13.820000000006985</v>
      </c>
      <c r="N132" s="1175">
        <f t="shared" ref="N132" si="255">IF(L132&gt;0,K132-L132,0)</f>
        <v>13.820000000006985</v>
      </c>
      <c r="O132" s="1173">
        <f>SUM('3 pr-2'!O133)</f>
        <v>14451</v>
      </c>
      <c r="P132" s="1162">
        <f>IF('ketv. 5 '!U132&gt;0,'ketv. 7 '!R131,SUMIF(Projektu_sutarciu_ataskaita!$J:$J,C132,Projektu_sutarciu_ataskaita!$DK:$DK))</f>
        <v>14449.81</v>
      </c>
      <c r="Q132" s="1174">
        <f t="shared" ref="Q132" si="256">SUM(O132-P132)</f>
        <v>1.1900000000005093</v>
      </c>
      <c r="R132" s="1175">
        <f t="shared" ref="R132" si="257">IF(P132&gt;0,O132-P132,0)</f>
        <v>1.1900000000005093</v>
      </c>
      <c r="S132" s="1173">
        <f>SUM('3 pr-2'!R133)</f>
        <v>14451</v>
      </c>
      <c r="T132" s="1162">
        <f>IF('ketv. 5 '!U132&gt;0,'ketv. 7 '!W131,SUMIF(Projektu_sutarciu_ataskaita!$J:$J,C132,Projektu_sutarciu_ataskaita!$DG:$DG))</f>
        <v>14449.82</v>
      </c>
      <c r="U132" s="1174">
        <f t="shared" ref="U132" si="258">SUM(S132-T132)</f>
        <v>1.180000000000291</v>
      </c>
      <c r="V132" s="1175">
        <f t="shared" ref="V132" si="259">IF(T132&gt;0,S132-T132,0)</f>
        <v>1.180000000000291</v>
      </c>
      <c r="W132" s="1173">
        <f>SUM('3 pr-2'!U133)</f>
        <v>0</v>
      </c>
      <c r="X132" s="1173">
        <f>IF('ketv. 5 '!U132&gt;0,'ketv. 7 '!AB131,SUMIF(Projektu_sutarciu_ataskaita!$J:$J,C132,Projektu_sutarciu_ataskaita!$DM:$DM))</f>
        <v>0</v>
      </c>
      <c r="Y132" s="1174">
        <f t="shared" ref="Y132" si="260">SUM(W132-X132)</f>
        <v>0</v>
      </c>
      <c r="Z132" s="1175">
        <f t="shared" ref="Z132" si="261">IF(X132&gt;0,W132-X132,0)</f>
        <v>0</v>
      </c>
      <c r="AA132" s="1173">
        <f>SUM('3 pr-2'!X133)</f>
        <v>0</v>
      </c>
      <c r="AB132" s="1173">
        <f>IF('ketv. 5 '!U132&gt;0,'ketv. 7 '!AG131,SUMIF(Projektu_sutarciu_ataskaita!$J:$J,C132,Projektu_sutarciu_ataskaita!$DL:$DL)+SUMIF(Projektu_sutarciu_ataskaita!$J:$J,C132,Projektu_sutarciu_ataskaita!$DJ:$DJ))</f>
        <v>0</v>
      </c>
      <c r="AC132" s="1174">
        <f t="shared" ref="AC132" si="262">SUM(AA132-AB132)</f>
        <v>0</v>
      </c>
      <c r="AD132" s="1175">
        <f t="shared" ref="AD132" si="263">IF(AB132&gt;0,AA132-AB132,0)</f>
        <v>0</v>
      </c>
      <c r="AE132" s="1173">
        <f>SUM('3 pr-2'!AA133)</f>
        <v>163776</v>
      </c>
      <c r="AF132" s="1162">
        <f>IF('ketv. 5 '!U132&gt;0,'ketv. 7 '!AL131,SUMIF(Projektu_sutarciu_ataskaita!$J:$J,C132,Projektu_sutarciu_ataskaita!$DF:$DF))</f>
        <v>163764.54999999999</v>
      </c>
      <c r="AG132" s="1178">
        <f t="shared" ref="AG132" si="264">SUM(AE132-AF132)</f>
        <v>11.450000000011642</v>
      </c>
      <c r="AH132" s="1177">
        <f t="shared" ref="AH132" si="265">IF(AF132&gt;0,AE132-AF132,0)</f>
        <v>11.450000000011642</v>
      </c>
      <c r="AI132" s="1173">
        <f>SUM('3 pr-2'!AB134)</f>
        <v>0</v>
      </c>
      <c r="AJ132" s="1173"/>
    </row>
    <row r="133" spans="1:36" ht="37.5" thickBot="1">
      <c r="A133" s="375" t="str">
        <f>CONCATENATE('3 pr-2'!A134)</f>
        <v>2.1.2.1.13</v>
      </c>
      <c r="B133" s="375" t="str">
        <f>CONCATENATE('3 pr-2'!B134)</f>
        <v>R01-6609-470000-2223</v>
      </c>
      <c r="C133" s="1558" t="str">
        <f>IF('ketv. 4 '!Z134&gt;0,'ketv. 4 '!C134,"-")</f>
        <v>-</v>
      </c>
      <c r="D133" s="575" t="str">
        <f>CONCATENATE('3 pr-2'!D134)</f>
        <v>Pirminės asmens sveikatos priežiūros veiklos efektyvumo didinimas N. Jarašienės personalinėje įmonėje</v>
      </c>
      <c r="E133" s="375" t="str">
        <f>CONCATENATE('3 pr-2'!E134)</f>
        <v>N. Jarašienės personalinė įmonė</v>
      </c>
      <c r="F133" s="375" t="str">
        <f>CONCATENATE('3 pr-2'!F134)</f>
        <v>Lietuvos Respublikos Sveikatos apsaugos ministerija</v>
      </c>
      <c r="G133" s="375" t="str">
        <f>CONCATENATE('3 pr-2'!G134)</f>
        <v>Varėnos r. sav.</v>
      </c>
      <c r="H133" s="375" t="str">
        <f>CONCATENATE('3 pr-2'!H134)</f>
        <v>08.1.3-CPVA-R-609</v>
      </c>
      <c r="I133" s="375" t="str">
        <f>CONCATENATE('3 pr-2'!I134)</f>
        <v>R</v>
      </c>
      <c r="J133" s="375" t="str">
        <f>CONCATENATE('3 pr-2'!J134)</f>
        <v>-</v>
      </c>
      <c r="K133" s="1173">
        <f>SUM('3 pr-2'!L134)</f>
        <v>8305</v>
      </c>
      <c r="L133" s="1173">
        <f t="shared" si="229"/>
        <v>0</v>
      </c>
      <c r="M133" s="1174">
        <f t="shared" ref="M133" si="266">SUM(K133-L133)</f>
        <v>8305</v>
      </c>
      <c r="N133" s="1175">
        <f t="shared" ref="N133" si="267">IF(L133&gt;0,K133-L133,0)</f>
        <v>0</v>
      </c>
      <c r="O133" s="1173">
        <f>SUM('3 pr-2'!O134)</f>
        <v>0</v>
      </c>
      <c r="P133" s="1173">
        <f>IF('ketv. 5 '!U133&gt;0,'ketv. 7 '!R132,SUMIF(Projektu_sutarciu_ataskaita!$J:$J,C133,Projektu_sutarciu_ataskaita!$DK:$DK))</f>
        <v>0</v>
      </c>
      <c r="Q133" s="1174">
        <f t="shared" ref="Q133" si="268">SUM(O133-P133)</f>
        <v>0</v>
      </c>
      <c r="R133" s="1175">
        <f t="shared" ref="R133" si="269">IF(P133&gt;0,O133-P133,0)</f>
        <v>0</v>
      </c>
      <c r="S133" s="1173">
        <f>SUM('3 pr-2'!R134)</f>
        <v>623</v>
      </c>
      <c r="T133" s="1173">
        <f>IF('ketv. 5 '!U133&gt;0,'ketv. 7 '!W132,SUMIF(Projektu_sutarciu_ataskaita!$J:$J,C133,Projektu_sutarciu_ataskaita!$DG:$DG))</f>
        <v>0</v>
      </c>
      <c r="U133" s="1174">
        <f t="shared" ref="U133" si="270">SUM(S133-T133)</f>
        <v>623</v>
      </c>
      <c r="V133" s="1175">
        <f t="shared" ref="V133" si="271">IF(T133&gt;0,S133-T133,0)</f>
        <v>0</v>
      </c>
      <c r="W133" s="1173">
        <f>SUM('3 pr-2'!U134)</f>
        <v>623</v>
      </c>
      <c r="X133" s="1173">
        <f>IF('ketv. 5 '!U133&gt;0,'ketv. 7 '!AB132,SUMIF(Projektu_sutarciu_ataskaita!$J:$J,C133,Projektu_sutarciu_ataskaita!$DM:$DM))</f>
        <v>0</v>
      </c>
      <c r="Y133" s="1174">
        <f t="shared" ref="Y133" si="272">SUM(W133-X133)</f>
        <v>623</v>
      </c>
      <c r="Z133" s="1175">
        <f t="shared" ref="Z133" si="273">IF(X133&gt;0,W133-X133,0)</f>
        <v>0</v>
      </c>
      <c r="AA133" s="1173">
        <f>SUM('3 pr-2'!X134)</f>
        <v>0</v>
      </c>
      <c r="AB133" s="1173">
        <f>IF('ketv. 5 '!U133&gt;0,'ketv. 7 '!AG132,SUMIF(Projektu_sutarciu_ataskaita!$J:$J,C133,Projektu_sutarciu_ataskaita!$DL:$DL)+SUMIF(Projektu_sutarciu_ataskaita!$J:$J,C133,Projektu_sutarciu_ataskaita!$DJ:$DJ))</f>
        <v>0</v>
      </c>
      <c r="AC133" s="1174">
        <f t="shared" ref="AC133" si="274">SUM(AA133-AB133)</f>
        <v>0</v>
      </c>
      <c r="AD133" s="1175">
        <f t="shared" ref="AD133" si="275">IF(AB133&gt;0,AA133-AB133,0)</f>
        <v>0</v>
      </c>
      <c r="AE133" s="1173">
        <f>SUM('3 pr-2'!AA134)</f>
        <v>7059</v>
      </c>
      <c r="AF133" s="1173">
        <f>IF('ketv. 5 '!U133&gt;0,'ketv. 7 '!AL132,SUMIF(Projektu_sutarciu_ataskaita!$J:$J,C133,Projektu_sutarciu_ataskaita!$DF:$DF))</f>
        <v>0</v>
      </c>
      <c r="AG133" s="1178">
        <f t="shared" ref="AG133" si="276">SUM(AE133-AF133)</f>
        <v>7059</v>
      </c>
      <c r="AH133" s="1177">
        <f t="shared" ref="AH133" si="277">IF(AF133&gt;0,AE133-AF133,0)</f>
        <v>0</v>
      </c>
      <c r="AI133" s="1173">
        <f>SUM('3 pr-2'!AB135)</f>
        <v>0</v>
      </c>
      <c r="AJ133" s="1173"/>
    </row>
    <row r="134" spans="1:36" ht="35.25" customHeight="1" thickBot="1">
      <c r="A134" s="296" t="str">
        <f>CONCATENATE('3 pr-2'!A137)</f>
        <v>2.1.2.2.2</v>
      </c>
      <c r="B134" s="2088" t="str">
        <f>CONCATENATE('3 pr-2'!B135)</f>
        <v>Priemonė:
Sveikos gyvensenos skatinimas regioniniu lygiu</v>
      </c>
      <c r="C134" s="1894"/>
      <c r="D134" s="1894"/>
      <c r="E134" s="1894"/>
      <c r="F134" s="1894"/>
      <c r="G134" s="1894"/>
      <c r="H134" s="1894"/>
      <c r="I134" s="1894"/>
      <c r="J134" s="1895"/>
      <c r="K134" s="1168">
        <f>SUM('3 pr-2'!L135)</f>
        <v>994984.5399999998</v>
      </c>
      <c r="L134" s="1168">
        <f>SUM(L135:L139)</f>
        <v>994984.5399999998</v>
      </c>
      <c r="M134" s="1169">
        <f>SUM(M135:M139)</f>
        <v>0</v>
      </c>
      <c r="N134" s="1170">
        <f>SUM(N135:N139)</f>
        <v>0</v>
      </c>
      <c r="O134" s="1168">
        <f>SUM('3 pr-2'!O135)</f>
        <v>74624.070000000007</v>
      </c>
      <c r="P134" s="1168">
        <f>SUM(P135:P139)</f>
        <v>74624.070000000007</v>
      </c>
      <c r="Q134" s="1168">
        <f>SUM(Q135:Q139)</f>
        <v>0</v>
      </c>
      <c r="R134" s="1168">
        <f>SUM(R135:R139)</f>
        <v>0</v>
      </c>
      <c r="S134" s="1168">
        <f>SUM('3 pr-2'!R135)</f>
        <v>74623.62</v>
      </c>
      <c r="T134" s="1168">
        <f>SUM(T135:T139)</f>
        <v>74623.62</v>
      </c>
      <c r="U134" s="1168">
        <f>SUM(U135:U139)</f>
        <v>0</v>
      </c>
      <c r="V134" s="1168">
        <f>SUM(V135:V139)</f>
        <v>0</v>
      </c>
      <c r="W134" s="1168">
        <f>SUM('3 pr-2'!U135)</f>
        <v>0</v>
      </c>
      <c r="X134" s="1168">
        <f>SUM(X135:X139)</f>
        <v>0</v>
      </c>
      <c r="Y134" s="1168">
        <f>SUM(Y135:Y139)</f>
        <v>0</v>
      </c>
      <c r="Z134" s="1168">
        <f>SUM(Z135:Z139)</f>
        <v>0</v>
      </c>
      <c r="AA134" s="1168">
        <f>SUM('3 pr-2'!X135)</f>
        <v>0</v>
      </c>
      <c r="AB134" s="1168">
        <f>SUM(AB135:AB139)</f>
        <v>0</v>
      </c>
      <c r="AC134" s="1168">
        <f>SUM(AC135:AC139)</f>
        <v>0</v>
      </c>
      <c r="AD134" s="1168">
        <f>SUM(AD135:AD139)</f>
        <v>0</v>
      </c>
      <c r="AE134" s="1168">
        <f>SUM('3 pr-2'!AA135)</f>
        <v>845736.85</v>
      </c>
      <c r="AF134" s="1168">
        <f>SUM(AF135:AF139)</f>
        <v>845736.85</v>
      </c>
      <c r="AG134" s="1171">
        <f>SUM(AG135:AG139)</f>
        <v>0</v>
      </c>
      <c r="AH134" s="1172">
        <f>SUM(AH135:AH139)</f>
        <v>0</v>
      </c>
      <c r="AI134" s="1168">
        <f t="shared" ref="AI134:AJ134" si="278">SUM(AI135:AI139)</f>
        <v>0</v>
      </c>
      <c r="AJ134" s="1168">
        <f t="shared" si="278"/>
        <v>0</v>
      </c>
    </row>
    <row r="135" spans="1:36" ht="48.75">
      <c r="A135" s="375" t="str">
        <f>CONCATENATE('3 pr-2'!A136)</f>
        <v>2.1.2.2.1</v>
      </c>
      <c r="B135" s="375" t="str">
        <f>CONCATENATE('3 pr-2'!B136)</f>
        <v>R01-6630-475000-2221</v>
      </c>
      <c r="C135" s="1558" t="str">
        <f>IF('ketv. 4 '!Z136&gt;0,'ketv. 4 '!C136,"-")</f>
        <v>08.4.2-ESFA-R-630-11-0004</v>
      </c>
      <c r="D135" s="575" t="str">
        <f>CONCATENATE('3 pr-2'!D136)</f>
        <v>Sveikos gyvensenos skatinimas Alytaus rajone</v>
      </c>
      <c r="E135" s="375" t="str">
        <f>CONCATENATE('3 pr-2'!E136)</f>
        <v>Alytaus rajono savivaldybės visuomenės sveikatos biuras</v>
      </c>
      <c r="F135" s="375" t="str">
        <f>CONCATENATE('3 pr-2'!F136)</f>
        <v>Lietuvos Respublikos Sveikatos apsaugos ministerija</v>
      </c>
      <c r="G135" s="375" t="str">
        <f>CONCATENATE('3 pr-2'!G136)</f>
        <v>Alytaus r. sav.</v>
      </c>
      <c r="H135" s="376" t="str">
        <f>CONCATENATE('3 pr-2'!H136)</f>
        <v>08.4.2-ESFA-R-630</v>
      </c>
      <c r="I135" s="576" t="str">
        <f>CONCATENATE('3 pr-2'!I136)</f>
        <v>R</v>
      </c>
      <c r="J135" s="576" t="str">
        <f>CONCATENATE('3 pr-2'!J136)</f>
        <v>-</v>
      </c>
      <c r="K135" s="1173">
        <f>SUM('3 pr-2'!L136)</f>
        <v>198997.18</v>
      </c>
      <c r="L135" s="1162">
        <f t="shared" ref="L135:L139" si="279">SUM(P135+T135+X135+AB135+AF135+AJ135)</f>
        <v>198997.18</v>
      </c>
      <c r="M135" s="1174">
        <f t="shared" ref="M135:M139" si="280">SUM(K135-L135)</f>
        <v>0</v>
      </c>
      <c r="N135" s="1175">
        <f t="shared" ref="N135:N139" si="281">IF(L135&gt;0,K135-L135,0)</f>
        <v>0</v>
      </c>
      <c r="O135" s="1173">
        <f>SUM('3 pr-2'!O136)</f>
        <v>14924.79</v>
      </c>
      <c r="P135" s="1162">
        <f>IF('ketv. 5 '!U135&gt;0,'ketv. 7 '!R134,SUMIF(Projektu_sutarciu_ataskaita!$J:$J,C135,Projektu_sutarciu_ataskaita!$DK:$DK))</f>
        <v>14924.79</v>
      </c>
      <c r="Q135" s="1174">
        <f t="shared" ref="Q135:Q139" si="282">SUM(O135-P135)</f>
        <v>0</v>
      </c>
      <c r="R135" s="1175">
        <f t="shared" ref="R135:R139" si="283">IF(P135&gt;0,O135-P135,0)</f>
        <v>0</v>
      </c>
      <c r="S135" s="1173">
        <f>SUM('3 pr-2'!R136)</f>
        <v>14924.79</v>
      </c>
      <c r="T135" s="1162">
        <f>IF('ketv. 5 '!U135&gt;0,'ketv. 7 '!W134,SUMIF(Projektu_sutarciu_ataskaita!$J:$J,C135,Projektu_sutarciu_ataskaita!$DG:$DG))</f>
        <v>14924.79</v>
      </c>
      <c r="U135" s="1174">
        <f t="shared" ref="U135:U139" si="284">SUM(S135-T135)</f>
        <v>0</v>
      </c>
      <c r="V135" s="1175">
        <f t="shared" ref="V135:V139" si="285">IF(T135&gt;0,S135-T135,0)</f>
        <v>0</v>
      </c>
      <c r="W135" s="1173">
        <f>SUM('3 pr-2'!U136)</f>
        <v>0</v>
      </c>
      <c r="X135" s="1173">
        <f>IF('ketv. 5 '!U135&gt;0,'ketv. 7 '!AB134,SUMIF(Projektu_sutarciu_ataskaita!$J:$J,C135,Projektu_sutarciu_ataskaita!$DM:$DM))</f>
        <v>0</v>
      </c>
      <c r="Y135" s="1174">
        <f t="shared" ref="Y135:Y139" si="286">SUM(W135-X135)</f>
        <v>0</v>
      </c>
      <c r="Z135" s="1175">
        <f t="shared" ref="Z135:Z139" si="287">IF(X135&gt;0,W135-X135,0)</f>
        <v>0</v>
      </c>
      <c r="AA135" s="1173">
        <f>SUM('3 pr-2'!X136)</f>
        <v>0</v>
      </c>
      <c r="AB135" s="1173">
        <f>IF('ketv. 5 '!U135&gt;0,'ketv. 7 '!AG134,SUMIF(Projektu_sutarciu_ataskaita!$J:$J,C135,Projektu_sutarciu_ataskaita!$DL:$DL)+SUMIF(Projektu_sutarciu_ataskaita!$J:$J,C135,Projektu_sutarciu_ataskaita!$DJ:$DJ))</f>
        <v>0</v>
      </c>
      <c r="AC135" s="1174">
        <f t="shared" ref="AC135:AC139" si="288">SUM(AA135-AB135)</f>
        <v>0</v>
      </c>
      <c r="AD135" s="1175">
        <f t="shared" ref="AD135:AD139" si="289">IF(AB135&gt;0,AA135-AB135,0)</f>
        <v>0</v>
      </c>
      <c r="AE135" s="1173">
        <f>SUM('3 pr-2'!AA136)</f>
        <v>169147.6</v>
      </c>
      <c r="AF135" s="1162">
        <f>IF('ketv. 5 '!U135&gt;0,'ketv. 7 '!AL134,SUMIF(Projektu_sutarciu_ataskaita!$J:$J,C135,Projektu_sutarciu_ataskaita!$DF:$DF))</f>
        <v>169147.6</v>
      </c>
      <c r="AG135" s="1176">
        <f t="shared" ref="AG135:AG139" si="290">SUM(AE135-AF135)</f>
        <v>0</v>
      </c>
      <c r="AH135" s="1177">
        <f t="shared" ref="AH135:AH139" si="291">IF(AF135&gt;0,AE135-AF135,0)</f>
        <v>0</v>
      </c>
      <c r="AI135" s="1173">
        <f>SUM('3 pr-2'!AB137)</f>
        <v>0</v>
      </c>
      <c r="AJ135" s="1162">
        <v>0</v>
      </c>
    </row>
    <row r="136" spans="1:36" ht="36.75">
      <c r="A136" s="375" t="str">
        <f>CONCATENATE('3 pr-2'!A137)</f>
        <v>2.1.2.2.2</v>
      </c>
      <c r="B136" s="375" t="str">
        <f>CONCATENATE('3 pr-2'!B137)</f>
        <v>R01-6630-470000-2222</v>
      </c>
      <c r="C136" s="1558" t="str">
        <f>IF('ketv. 4 '!Z137&gt;0,'ketv. 4 '!C137,"-")</f>
        <v>08.4.2-ESFA-R-630-11-0001</v>
      </c>
      <c r="D136" s="575" t="str">
        <f>CONCATENATE('3 pr-2'!D137)</f>
        <v>Mažais žingsneliais – sveikos gyvensenos link</v>
      </c>
      <c r="E136" s="375" t="str">
        <f>CONCATENATE('3 pr-2'!E137)</f>
        <v>Alytaus miesto savivaldybės administracija</v>
      </c>
      <c r="F136" s="375" t="str">
        <f>CONCATENATE('3 pr-2'!F137)</f>
        <v>Lietuvos Respublikos Sveikatos apsaugos ministerija</v>
      </c>
      <c r="G136" s="375" t="str">
        <f>CONCATENATE('3 pr-2'!G137)</f>
        <v>Alytaus m. sav.</v>
      </c>
      <c r="H136" s="376" t="str">
        <f>CONCATENATE('3 pr-2'!H137)</f>
        <v>08.4.2-ESFA-R-630</v>
      </c>
      <c r="I136" s="576" t="str">
        <f>CONCATENATE('3 pr-2'!I137)</f>
        <v>R</v>
      </c>
      <c r="J136" s="576" t="str">
        <f>CONCATENATE('3 pr-2'!J137)</f>
        <v>-</v>
      </c>
      <c r="K136" s="1173">
        <f>SUM('3 pr-2'!L137)</f>
        <v>198996</v>
      </c>
      <c r="L136" s="1162">
        <f t="shared" si="279"/>
        <v>198996</v>
      </c>
      <c r="M136" s="1174">
        <f t="shared" si="280"/>
        <v>0</v>
      </c>
      <c r="N136" s="1175">
        <f t="shared" si="281"/>
        <v>0</v>
      </c>
      <c r="O136" s="1173">
        <f>SUM('3 pr-2'!O137)</f>
        <v>14924.7</v>
      </c>
      <c r="P136" s="1162">
        <f>IF('ketv. 5 '!U136&gt;0,'ketv. 7 '!R135,SUMIF(Projektu_sutarciu_ataskaita!$J:$J,C136,Projektu_sutarciu_ataskaita!$DK:$DK))</f>
        <v>14924.7</v>
      </c>
      <c r="Q136" s="1174">
        <f t="shared" si="282"/>
        <v>0</v>
      </c>
      <c r="R136" s="1175">
        <f t="shared" si="283"/>
        <v>0</v>
      </c>
      <c r="S136" s="1173">
        <f>SUM('3 pr-2'!R137)</f>
        <v>14924.7</v>
      </c>
      <c r="T136" s="1162">
        <f>IF('ketv. 5 '!U136&gt;0,'ketv. 7 '!W135,SUMIF(Projektu_sutarciu_ataskaita!$J:$J,C136,Projektu_sutarciu_ataskaita!$DG:$DG))</f>
        <v>14924.7</v>
      </c>
      <c r="U136" s="1174">
        <f t="shared" si="284"/>
        <v>0</v>
      </c>
      <c r="V136" s="1175">
        <f t="shared" si="285"/>
        <v>0</v>
      </c>
      <c r="W136" s="1173">
        <f>SUM('3 pr-2'!U137)</f>
        <v>0</v>
      </c>
      <c r="X136" s="1173">
        <f>IF('ketv. 5 '!U136&gt;0,'ketv. 7 '!AB135,SUMIF(Projektu_sutarciu_ataskaita!$J:$J,C136,Projektu_sutarciu_ataskaita!$DM:$DM))</f>
        <v>0</v>
      </c>
      <c r="Y136" s="1174">
        <f t="shared" si="286"/>
        <v>0</v>
      </c>
      <c r="Z136" s="1175">
        <f t="shared" si="287"/>
        <v>0</v>
      </c>
      <c r="AA136" s="1173">
        <f>SUM('3 pr-2'!X137)</f>
        <v>0</v>
      </c>
      <c r="AB136" s="1173">
        <f>IF('ketv. 5 '!U136&gt;0,'ketv. 7 '!AG135,SUMIF(Projektu_sutarciu_ataskaita!$J:$J,C136,Projektu_sutarciu_ataskaita!$DL:$DL)+SUMIF(Projektu_sutarciu_ataskaita!$J:$J,C136,Projektu_sutarciu_ataskaita!$DJ:$DJ))</f>
        <v>0</v>
      </c>
      <c r="AC136" s="1174">
        <f t="shared" si="288"/>
        <v>0</v>
      </c>
      <c r="AD136" s="1175">
        <f t="shared" si="289"/>
        <v>0</v>
      </c>
      <c r="AE136" s="1173">
        <f>SUM('3 pr-2'!AA137)</f>
        <v>169146.6</v>
      </c>
      <c r="AF136" s="1162">
        <f>IF('ketv. 5 '!U136&gt;0,'ketv. 7 '!AL135,SUMIF(Projektu_sutarciu_ataskaita!$J:$J,C136,Projektu_sutarciu_ataskaita!$DF:$DF))</f>
        <v>169146.6</v>
      </c>
      <c r="AG136" s="1178">
        <f t="shared" si="290"/>
        <v>0</v>
      </c>
      <c r="AH136" s="1177">
        <f t="shared" si="291"/>
        <v>0</v>
      </c>
      <c r="AI136" s="1173">
        <f>SUM('3 pr-2'!AB138)</f>
        <v>0</v>
      </c>
      <c r="AJ136" s="1162">
        <v>0</v>
      </c>
    </row>
    <row r="137" spans="1:36" ht="48.75">
      <c r="A137" s="375" t="str">
        <f>CONCATENATE('3 pr-2'!A138)</f>
        <v>2.1.2.2.3</v>
      </c>
      <c r="B137" s="375" t="str">
        <f>CONCATENATE('3 pr-2'!B138)</f>
        <v>R01-6630-470000-2223</v>
      </c>
      <c r="C137" s="1558" t="str">
        <f>IF('ketv. 4 '!Z138&gt;0,'ketv. 4 '!C138,"-")</f>
        <v>08.4.2-ESFA-R-630-11-0005</v>
      </c>
      <c r="D137" s="575" t="str">
        <f>CONCATENATE('3 pr-2'!D138)</f>
        <v>Sveikos gyvensenos skatinimas Varėnos rajono savivaldybėje</v>
      </c>
      <c r="E137" s="375" t="str">
        <f>CONCATENATE('3 pr-2'!E138)</f>
        <v>Varėnos rajono savivaldybės visuomenės sveikatos biuras</v>
      </c>
      <c r="F137" s="375" t="str">
        <f>CONCATENATE('3 pr-2'!F138)</f>
        <v>Lietuvos Respublikos Sveikatos apsaugos ministerija</v>
      </c>
      <c r="G137" s="375" t="str">
        <f>CONCATENATE('3 pr-2'!G138)</f>
        <v>Varėnos r. sav.</v>
      </c>
      <c r="H137" s="376" t="str">
        <f>CONCATENATE('3 pr-2'!H138)</f>
        <v>08.4.2-ESFA-R-630</v>
      </c>
      <c r="I137" s="576" t="str">
        <f>CONCATENATE('3 pr-2'!I138)</f>
        <v>R</v>
      </c>
      <c r="J137" s="576" t="str">
        <f>CONCATENATE('3 pr-2'!J138)</f>
        <v>-</v>
      </c>
      <c r="K137" s="1173">
        <f>SUM('3 pr-2'!L138)</f>
        <v>198997</v>
      </c>
      <c r="L137" s="1162">
        <f t="shared" si="279"/>
        <v>198997</v>
      </c>
      <c r="M137" s="1174">
        <f t="shared" si="280"/>
        <v>0</v>
      </c>
      <c r="N137" s="1175">
        <f t="shared" si="281"/>
        <v>0</v>
      </c>
      <c r="O137" s="1173">
        <f>SUM('3 pr-2'!O138)</f>
        <v>14925</v>
      </c>
      <c r="P137" s="1162">
        <f>IF('ketv. 5 '!U137&gt;0,'ketv. 7 '!R136,SUMIF(Projektu_sutarciu_ataskaita!$J:$J,C137,Projektu_sutarciu_ataskaita!$DK:$DK))</f>
        <v>14925</v>
      </c>
      <c r="Q137" s="1174">
        <f t="shared" si="282"/>
        <v>0</v>
      </c>
      <c r="R137" s="1175">
        <f t="shared" si="283"/>
        <v>0</v>
      </c>
      <c r="S137" s="1173">
        <f>SUM('3 pr-2'!R138)</f>
        <v>14924.55</v>
      </c>
      <c r="T137" s="1162">
        <f>IF('ketv. 5 '!U137&gt;0,'ketv. 7 '!W136,SUMIF(Projektu_sutarciu_ataskaita!$J:$J,C137,Projektu_sutarciu_ataskaita!$DG:$DG))</f>
        <v>14924.55</v>
      </c>
      <c r="U137" s="1174">
        <f t="shared" si="284"/>
        <v>0</v>
      </c>
      <c r="V137" s="1175">
        <f t="shared" si="285"/>
        <v>0</v>
      </c>
      <c r="W137" s="1173">
        <f>SUM('3 pr-2'!U138)</f>
        <v>0</v>
      </c>
      <c r="X137" s="1173">
        <f>IF('ketv. 5 '!U137&gt;0,'ketv. 7 '!AB136,SUMIF(Projektu_sutarciu_ataskaita!$J:$J,C137,Projektu_sutarciu_ataskaita!$DM:$DM))</f>
        <v>0</v>
      </c>
      <c r="Y137" s="1174">
        <f t="shared" si="286"/>
        <v>0</v>
      </c>
      <c r="Z137" s="1175">
        <f t="shared" si="287"/>
        <v>0</v>
      </c>
      <c r="AA137" s="1173">
        <f>SUM('3 pr-2'!X138)</f>
        <v>0</v>
      </c>
      <c r="AB137" s="1173">
        <f>IF('ketv. 5 '!U137&gt;0,'ketv. 7 '!AG136,SUMIF(Projektu_sutarciu_ataskaita!$J:$J,C137,Projektu_sutarciu_ataskaita!$DL:$DL)+SUMIF(Projektu_sutarciu_ataskaita!$J:$J,C137,Projektu_sutarciu_ataskaita!$DJ:$DJ))</f>
        <v>0</v>
      </c>
      <c r="AC137" s="1174">
        <f t="shared" si="288"/>
        <v>0</v>
      </c>
      <c r="AD137" s="1175">
        <f t="shared" si="289"/>
        <v>0</v>
      </c>
      <c r="AE137" s="1173">
        <f>SUM('3 pr-2'!AA138)</f>
        <v>169147.45</v>
      </c>
      <c r="AF137" s="1162">
        <f>IF('ketv. 5 '!U137&gt;0,'ketv. 7 '!AL136,SUMIF(Projektu_sutarciu_ataskaita!$J:$J,C137,Projektu_sutarciu_ataskaita!$DF:$DF))</f>
        <v>169147.45</v>
      </c>
      <c r="AG137" s="1178">
        <f t="shared" si="290"/>
        <v>0</v>
      </c>
      <c r="AH137" s="1177">
        <f t="shared" si="291"/>
        <v>0</v>
      </c>
      <c r="AI137" s="1173">
        <f>SUM('3 pr-2'!AB139)</f>
        <v>0</v>
      </c>
      <c r="AJ137" s="1162">
        <v>0</v>
      </c>
    </row>
    <row r="138" spans="1:36" ht="48.75">
      <c r="A138" s="375" t="str">
        <f>CONCATENATE('3 pr-2'!A139)</f>
        <v>2.1.2.2.4.</v>
      </c>
      <c r="B138" s="375" t="str">
        <f>CONCATENATE('3 pr-2'!B139)</f>
        <v>R01-6630-470000-2224</v>
      </c>
      <c r="C138" s="1558" t="str">
        <f>IF('ketv. 4 '!Z139&gt;0,'ketv. 4 '!C139,"-")</f>
        <v>08.4.2-ESFA-R-630-11-0003</v>
      </c>
      <c r="D138" s="575" t="str">
        <f>CONCATENATE('3 pr-2'!D139)</f>
        <v>Sveika bendruomenė – stipri visuomenė</v>
      </c>
      <c r="E138" s="375" t="str">
        <f>CONCATENATE('3 pr-2'!E139)</f>
        <v>Druskininkų savivaldybės visuomenės sveikatos biuras</v>
      </c>
      <c r="F138" s="375" t="str">
        <f>CONCATENATE('3 pr-2'!F139)</f>
        <v>Lietuvos Respublikos Sveikatos apsaugos ministerija</v>
      </c>
      <c r="G138" s="375" t="str">
        <f>CONCATENATE('3 pr-2'!G139)</f>
        <v>Druskininkų sav.</v>
      </c>
      <c r="H138" s="376" t="str">
        <f>CONCATENATE('3 pr-2'!H139)</f>
        <v>08.4.2-ESFA-R-630</v>
      </c>
      <c r="I138" s="576" t="str">
        <f>CONCATENATE('3 pr-2'!I139)</f>
        <v>R</v>
      </c>
      <c r="J138" s="576" t="str">
        <f>CONCATENATE('3 pr-2'!J139)</f>
        <v>-</v>
      </c>
      <c r="K138" s="1173">
        <f>SUM('3 pr-2'!L139)</f>
        <v>198997.18</v>
      </c>
      <c r="L138" s="1162">
        <f t="shared" si="279"/>
        <v>198997.18</v>
      </c>
      <c r="M138" s="1174">
        <f t="shared" si="280"/>
        <v>0</v>
      </c>
      <c r="N138" s="1175">
        <f t="shared" si="281"/>
        <v>0</v>
      </c>
      <c r="O138" s="1173">
        <f>SUM('3 pr-2'!O139)</f>
        <v>14924.79</v>
      </c>
      <c r="P138" s="1162">
        <f>IF('ketv. 5 '!U138&gt;0,'ketv. 7 '!R137,SUMIF(Projektu_sutarciu_ataskaita!$J:$J,C138,Projektu_sutarciu_ataskaita!$DK:$DK))</f>
        <v>14924.79</v>
      </c>
      <c r="Q138" s="1174">
        <f t="shared" si="282"/>
        <v>0</v>
      </c>
      <c r="R138" s="1175">
        <f t="shared" si="283"/>
        <v>0</v>
      </c>
      <c r="S138" s="1173">
        <f>SUM('3 pr-2'!R139)</f>
        <v>14924.79</v>
      </c>
      <c r="T138" s="1162">
        <f>IF('ketv. 5 '!U138&gt;0,'ketv. 7 '!W137,SUMIF(Projektu_sutarciu_ataskaita!$J:$J,C138,Projektu_sutarciu_ataskaita!$DG:$DG))</f>
        <v>14924.79</v>
      </c>
      <c r="U138" s="1174">
        <f t="shared" si="284"/>
        <v>0</v>
      </c>
      <c r="V138" s="1175">
        <f t="shared" si="285"/>
        <v>0</v>
      </c>
      <c r="W138" s="1173">
        <f>SUM('3 pr-2'!U139)</f>
        <v>0</v>
      </c>
      <c r="X138" s="1173">
        <f>IF('ketv. 5 '!U138&gt;0,'ketv. 7 '!AB137,SUMIF(Projektu_sutarciu_ataskaita!$J:$J,C138,Projektu_sutarciu_ataskaita!$DM:$DM))</f>
        <v>0</v>
      </c>
      <c r="Y138" s="1174">
        <f t="shared" si="286"/>
        <v>0</v>
      </c>
      <c r="Z138" s="1175">
        <f t="shared" si="287"/>
        <v>0</v>
      </c>
      <c r="AA138" s="1173">
        <f>SUM('3 pr-2'!X139)</f>
        <v>0</v>
      </c>
      <c r="AB138" s="1173">
        <f>IF('ketv. 5 '!U138&gt;0,'ketv. 7 '!AG137,SUMIF(Projektu_sutarciu_ataskaita!$J:$J,C138,Projektu_sutarciu_ataskaita!$DL:$DL)+SUMIF(Projektu_sutarciu_ataskaita!$J:$J,C138,Projektu_sutarciu_ataskaita!$DJ:$DJ))</f>
        <v>0</v>
      </c>
      <c r="AC138" s="1174">
        <f t="shared" si="288"/>
        <v>0</v>
      </c>
      <c r="AD138" s="1175">
        <f t="shared" si="289"/>
        <v>0</v>
      </c>
      <c r="AE138" s="1173">
        <f>SUM('3 pr-2'!AA139)</f>
        <v>169147.6</v>
      </c>
      <c r="AF138" s="1162">
        <f>IF('ketv. 5 '!U138&gt;0,'ketv. 7 '!AL137,SUMIF(Projektu_sutarciu_ataskaita!$J:$J,C138,Projektu_sutarciu_ataskaita!$DF:$DF))</f>
        <v>169147.6</v>
      </c>
      <c r="AG138" s="1178">
        <f t="shared" si="290"/>
        <v>0</v>
      </c>
      <c r="AH138" s="1177">
        <f t="shared" si="291"/>
        <v>0</v>
      </c>
      <c r="AI138" s="1173">
        <f>SUM('3 pr-2'!AB140)</f>
        <v>0</v>
      </c>
      <c r="AJ138" s="1162">
        <v>0</v>
      </c>
    </row>
    <row r="139" spans="1:36" ht="49.5" thickBot="1">
      <c r="A139" s="375" t="str">
        <f>CONCATENATE('3 pr-2'!A140)</f>
        <v>2.1.2.2.5</v>
      </c>
      <c r="B139" s="375" t="str">
        <f>CONCATENATE('3 pr-2'!B140)</f>
        <v>R01-6630-470000-2225</v>
      </c>
      <c r="C139" s="1558" t="str">
        <f>IF('ketv. 4 '!Z140&gt;0,'ketv. 4 '!C140,"-")</f>
        <v>08.4.2-ESFA-R-630-11-0002</v>
      </c>
      <c r="D139" s="575" t="str">
        <f>CONCATENATE('3 pr-2'!D140)</f>
        <v>Sveikos gyvensenos skatinimas Lazdijų rajono savivaldybėje</v>
      </c>
      <c r="E139" s="375" t="str">
        <f>CONCATENATE('3 pr-2'!E140)</f>
        <v>Lazdijų rajono savivaldybės visuomenės sveikatos biuras</v>
      </c>
      <c r="F139" s="375" t="str">
        <f>CONCATENATE('3 pr-2'!F140)</f>
        <v>Lietuvos Respublikos Sveikatos apsaugos ministerija</v>
      </c>
      <c r="G139" s="375" t="str">
        <f>CONCATENATE('3 pr-2'!G140)</f>
        <v>Lazdijų r. sav.</v>
      </c>
      <c r="H139" s="376" t="str">
        <f>CONCATENATE('3 pr-2'!H140)</f>
        <v>08.4.2-ESFA-R-630</v>
      </c>
      <c r="I139" s="576" t="str">
        <f>CONCATENATE('3 pr-2'!I140)</f>
        <v>R</v>
      </c>
      <c r="J139" s="576" t="str">
        <f>CONCATENATE('3 pr-2'!J140)</f>
        <v>-</v>
      </c>
      <c r="K139" s="1173">
        <f>SUM('3 pr-2'!L140)</f>
        <v>198997.18</v>
      </c>
      <c r="L139" s="1162">
        <f t="shared" si="279"/>
        <v>198997.18</v>
      </c>
      <c r="M139" s="1174">
        <f t="shared" si="280"/>
        <v>0</v>
      </c>
      <c r="N139" s="1175">
        <f t="shared" si="281"/>
        <v>0</v>
      </c>
      <c r="O139" s="1173">
        <f>SUM('3 pr-2'!O140)</f>
        <v>14924.79</v>
      </c>
      <c r="P139" s="1162">
        <f>IF('ketv. 5 '!U139&gt;0,'ketv. 7 '!R138,SUMIF(Projektu_sutarciu_ataskaita!$J:$J,C139,Projektu_sutarciu_ataskaita!$DK:$DK))</f>
        <v>14924.79</v>
      </c>
      <c r="Q139" s="1174">
        <f t="shared" si="282"/>
        <v>0</v>
      </c>
      <c r="R139" s="1175">
        <f t="shared" si="283"/>
        <v>0</v>
      </c>
      <c r="S139" s="1173">
        <f>SUM('3 pr-2'!R140)</f>
        <v>14924.79</v>
      </c>
      <c r="T139" s="1162">
        <f>IF('ketv. 5 '!U139&gt;0,'ketv. 7 '!W138,SUMIF(Projektu_sutarciu_ataskaita!$J:$J,C139,Projektu_sutarciu_ataskaita!$DG:$DG))</f>
        <v>14924.79</v>
      </c>
      <c r="U139" s="1174">
        <f t="shared" si="284"/>
        <v>0</v>
      </c>
      <c r="V139" s="1175">
        <f t="shared" si="285"/>
        <v>0</v>
      </c>
      <c r="W139" s="1173">
        <f>SUM('3 pr-2'!U140)</f>
        <v>0</v>
      </c>
      <c r="X139" s="1173">
        <f>IF('ketv. 5 '!U139&gt;0,'ketv. 7 '!AB138,SUMIF(Projektu_sutarciu_ataskaita!$J:$J,C139,Projektu_sutarciu_ataskaita!$DM:$DM))</f>
        <v>0</v>
      </c>
      <c r="Y139" s="1174">
        <f t="shared" si="286"/>
        <v>0</v>
      </c>
      <c r="Z139" s="1175">
        <f t="shared" si="287"/>
        <v>0</v>
      </c>
      <c r="AA139" s="1173">
        <f>SUM('3 pr-2'!X140)</f>
        <v>0</v>
      </c>
      <c r="AB139" s="1173">
        <f>IF('ketv. 5 '!U139&gt;0,'ketv. 7 '!AG138,SUMIF(Projektu_sutarciu_ataskaita!$J:$J,C139,Projektu_sutarciu_ataskaita!$DL:$DL)+SUMIF(Projektu_sutarciu_ataskaita!$J:$J,C139,Projektu_sutarciu_ataskaita!$DJ:$DJ))</f>
        <v>0</v>
      </c>
      <c r="AC139" s="1174">
        <f t="shared" si="288"/>
        <v>0</v>
      </c>
      <c r="AD139" s="1175">
        <f t="shared" si="289"/>
        <v>0</v>
      </c>
      <c r="AE139" s="1173">
        <f>SUM('3 pr-2'!AA140)</f>
        <v>169147.6</v>
      </c>
      <c r="AF139" s="1162">
        <f>IF('ketv. 5 '!U139&gt;0,'ketv. 7 '!AL138,SUMIF(Projektu_sutarciu_ataskaita!$J:$J,C139,Projektu_sutarciu_ataskaita!$DF:$DF))</f>
        <v>169147.6</v>
      </c>
      <c r="AG139" s="1178">
        <f t="shared" si="290"/>
        <v>0</v>
      </c>
      <c r="AH139" s="1177">
        <f t="shared" si="291"/>
        <v>0</v>
      </c>
      <c r="AI139" s="1173">
        <f>SUM('3 pr-2'!AB141)</f>
        <v>0</v>
      </c>
      <c r="AJ139" s="1162">
        <v>0</v>
      </c>
    </row>
    <row r="140" spans="1:36" ht="35.25" customHeight="1" thickBot="1">
      <c r="A140" s="296" t="str">
        <f>CONCATENATE('3 pr-2'!A143)</f>
        <v>2.1.2.3.2</v>
      </c>
      <c r="B140" s="2088" t="str">
        <f>CONCATENATE('3 pr-2'!D143)</f>
        <v>Ambulatorinių sveikatos priežiūros paslaugų gerinimas tuberkulioze sergantiems asmenims</v>
      </c>
      <c r="C140" s="1894"/>
      <c r="D140" s="1894"/>
      <c r="E140" s="1894"/>
      <c r="F140" s="1894"/>
      <c r="G140" s="1894"/>
      <c r="H140" s="1894"/>
      <c r="I140" s="1894"/>
      <c r="J140" s="1895"/>
      <c r="K140" s="1168">
        <f>SUM('3 pr-2'!L141)</f>
        <v>65213.18</v>
      </c>
      <c r="L140" s="1168">
        <f>SUM(L141:L145)</f>
        <v>65213.18</v>
      </c>
      <c r="M140" s="1169">
        <f>SUM(M141:M151)</f>
        <v>3.4924596548080444E-10</v>
      </c>
      <c r="N140" s="1170">
        <f>SUM(N141:N151)</f>
        <v>3.4924596548080444E-10</v>
      </c>
      <c r="O140" s="1168">
        <f>SUM('3 pr-2'!O141)</f>
        <v>3596.09</v>
      </c>
      <c r="P140" s="1168">
        <f>SUM(P141:P145)</f>
        <v>3596.09</v>
      </c>
      <c r="Q140" s="1168">
        <f>SUM(Q141:Q151)</f>
        <v>-8.7311491370201111E-11</v>
      </c>
      <c r="R140" s="1168">
        <f>SUM(R141:R151)</f>
        <v>-8.7311491370201111E-11</v>
      </c>
      <c r="S140" s="1168">
        <f>SUM('3 pr-2'!R141)</f>
        <v>5556.4400000000005</v>
      </c>
      <c r="T140" s="1168">
        <f>SUM(T141:T145)</f>
        <v>5556.4400000000005</v>
      </c>
      <c r="U140" s="1168">
        <f>SUM(U141:U151)</f>
        <v>7.2759576141834259E-12</v>
      </c>
      <c r="V140" s="1168">
        <f>SUM(V141:V151)</f>
        <v>7.2759576141834259E-12</v>
      </c>
      <c r="W140" s="1168">
        <f>SUM('3 pr-2'!U141)</f>
        <v>0</v>
      </c>
      <c r="X140" s="1168">
        <f>SUM(X141:X145)</f>
        <v>0</v>
      </c>
      <c r="Y140" s="1168">
        <f>SUM(Y141:Y151)</f>
        <v>0</v>
      </c>
      <c r="Z140" s="1168">
        <f>SUM(Z141:Z151)</f>
        <v>0</v>
      </c>
      <c r="AA140" s="1168">
        <f>SUM('3 pr-2'!X141)</f>
        <v>1299.95</v>
      </c>
      <c r="AB140" s="1168">
        <f>SUM(AB141:AB145)</f>
        <v>1299.95</v>
      </c>
      <c r="AC140" s="1168">
        <f>SUM(AC141:AC151)</f>
        <v>0</v>
      </c>
      <c r="AD140" s="1168">
        <f>SUM(AD141:AD151)</f>
        <v>0</v>
      </c>
      <c r="AE140" s="1168">
        <f>SUM('3 pr-2'!AA141)</f>
        <v>54760.7</v>
      </c>
      <c r="AF140" s="1168">
        <f>SUM(AF141:AF145)</f>
        <v>54760.7</v>
      </c>
      <c r="AG140" s="1171">
        <f>SUM(AG141:AG151)</f>
        <v>1.7462298274040222E-10</v>
      </c>
      <c r="AH140" s="1172">
        <f>SUM(AH141:AH151)</f>
        <v>1.7462298274040222E-10</v>
      </c>
      <c r="AI140" s="1168">
        <f t="shared" ref="AI140:AJ140" si="292">SUM(AI141:AI145)</f>
        <v>0</v>
      </c>
      <c r="AJ140" s="1168">
        <f t="shared" si="292"/>
        <v>0</v>
      </c>
    </row>
    <row r="141" spans="1:36" ht="48.75">
      <c r="A141" s="375" t="str">
        <f>CONCATENATE('3 pr-2'!A142)</f>
        <v>2.1.2.3.1</v>
      </c>
      <c r="B141" s="375" t="str">
        <f>CONCATENATE('3 pr-2'!B142)</f>
        <v>R01-6615-475000-2231</v>
      </c>
      <c r="C141" s="1558" t="str">
        <f>IF('ketv. 4 '!Z142&gt;0,'ketv. 4 '!C142,"-")</f>
        <v>08.4.2-ESFA-R-615-11-0004</v>
      </c>
      <c r="D141" s="575" t="str">
        <f>CONCATENATE('3 pr-2'!D142)</f>
        <v>Priemonių, gerinančių ambulatorinių sveikatos priežiūros paslaugų prieinamumą tuberkulioze sergantiems asmenims, Alytaus rajone, įgyvendinimas</v>
      </c>
      <c r="E141" s="375" t="str">
        <f>CONCATENATE('3 pr-2'!E142)</f>
        <v>VšĮ Alytaus rajono savivaldybės pirminės sveikatos priežiūros centras</v>
      </c>
      <c r="F141" s="375" t="str">
        <f>CONCATENATE('3 pr-2'!F142)</f>
        <v>Lietuvos Respublikos Sveikatos apsaugos ministerija</v>
      </c>
      <c r="G141" s="375" t="str">
        <f>CONCATENATE('3 pr-2'!G142)</f>
        <v>Alytaus r. sav.</v>
      </c>
      <c r="H141" s="376" t="str">
        <f>CONCATENATE('3 pr-2'!H142)</f>
        <v>08.4.2-ESFA-R-615</v>
      </c>
      <c r="I141" s="576" t="str">
        <f>CONCATENATE('3 pr-2'!I142)</f>
        <v>R</v>
      </c>
      <c r="J141" s="576" t="str">
        <f>CONCATENATE('3 pr-2'!J142)</f>
        <v>-</v>
      </c>
      <c r="K141" s="1173">
        <f>SUM('3 pr-2'!L142)</f>
        <v>10453</v>
      </c>
      <c r="L141" s="1162">
        <f t="shared" ref="L141:L145" si="293">SUM(P141+T141+X141+AB141+AF141+AJ141)</f>
        <v>10453</v>
      </c>
      <c r="M141" s="1174">
        <f t="shared" ref="M141:M145" si="294">SUM(K141-L141)</f>
        <v>0</v>
      </c>
      <c r="N141" s="1175">
        <f t="shared" ref="N141:N145" si="295">IF(L141&gt;0,K141-L141,0)</f>
        <v>0</v>
      </c>
      <c r="O141" s="1173">
        <f>SUM('3 pr-2'!O142)</f>
        <v>0</v>
      </c>
      <c r="P141" s="1173">
        <f>IF('ketv. 5 '!U141&gt;0,'ketv. 7 '!R140,SUMIF(Projektu_sutarciu_ataskaita!$J:$J,C141,Projektu_sutarciu_ataskaita!$DK:$DK))</f>
        <v>0</v>
      </c>
      <c r="Q141" s="1174">
        <f t="shared" ref="Q141:Q145" si="296">SUM(O141-P141)</f>
        <v>0</v>
      </c>
      <c r="R141" s="1175">
        <f t="shared" ref="R141:R145" si="297">IF(P141&gt;0,O141-P141,0)</f>
        <v>0</v>
      </c>
      <c r="S141" s="1173">
        <f>SUM('3 pr-2'!R142)</f>
        <v>1449.64</v>
      </c>
      <c r="T141" s="1162">
        <f>IF('ketv. 5 '!U141&gt;0,'ketv. 7 '!W140,SUMIF(Projektu_sutarciu_ataskaita!$J:$J,C141,Projektu_sutarciu_ataskaita!$DG:$DG))</f>
        <v>1449.64</v>
      </c>
      <c r="U141" s="1174">
        <f t="shared" ref="U141:U145" si="298">SUM(S141-T141)</f>
        <v>0</v>
      </c>
      <c r="V141" s="1175">
        <f t="shared" ref="V141:V145" si="299">IF(T141&gt;0,S141-T141,0)</f>
        <v>0</v>
      </c>
      <c r="W141" s="1173">
        <f>SUM('3 pr-2'!U142)</f>
        <v>0</v>
      </c>
      <c r="X141" s="1173">
        <f>IF('ketv. 5 '!U141&gt;0,'ketv. 7 '!AB140,SUMIF(Projektu_sutarciu_ataskaita!$J:$J,C141,Projektu_sutarciu_ataskaita!$DM:$DM))</f>
        <v>0</v>
      </c>
      <c r="Y141" s="1174">
        <f t="shared" ref="Y141:Y145" si="300">SUM(W141-X141)</f>
        <v>0</v>
      </c>
      <c r="Z141" s="1175">
        <f t="shared" ref="Z141:Z145" si="301">IF(X141&gt;0,W141-X141,0)</f>
        <v>0</v>
      </c>
      <c r="AA141" s="1173">
        <f>SUM('3 pr-2'!X142)</f>
        <v>788.75</v>
      </c>
      <c r="AB141" s="1162">
        <f>IF('ketv. 5 '!U141&gt;0,'ketv. 7 '!AG140,SUMIF(Projektu_sutarciu_ataskaita!$J:$J,C141,Projektu_sutarciu_ataskaita!$DL:$DL)+SUMIF(Projektu_sutarciu_ataskaita!$J:$J,C141,Projektu_sutarciu_ataskaita!$DJ:$DJ))</f>
        <v>788.75</v>
      </c>
      <c r="AC141" s="1174">
        <f t="shared" ref="AC141:AC145" si="302">SUM(AA141-AB141)</f>
        <v>0</v>
      </c>
      <c r="AD141" s="1175">
        <f t="shared" ref="AD141:AD145" si="303">IF(AB141&gt;0,AA141-AB141,0)</f>
        <v>0</v>
      </c>
      <c r="AE141" s="1173">
        <f>SUM('3 pr-2'!AA142)</f>
        <v>8214.61</v>
      </c>
      <c r="AF141" s="1162">
        <f>IF('ketv. 5 '!U141&gt;0,'ketv. 7 '!AL140,SUMIF(Projektu_sutarciu_ataskaita!$J:$J,C141,Projektu_sutarciu_ataskaita!$DF:$DF))</f>
        <v>8214.61</v>
      </c>
      <c r="AG141" s="1176">
        <f t="shared" ref="AG141:AG145" si="304">SUM(AE141-AF141)</f>
        <v>0</v>
      </c>
      <c r="AH141" s="1177">
        <f t="shared" ref="AH141:AH145" si="305">IF(AF141&gt;0,AE141-AF141,0)</f>
        <v>0</v>
      </c>
      <c r="AI141" s="1173">
        <f>SUM('3 pr-2'!AB143)</f>
        <v>0</v>
      </c>
      <c r="AJ141" s="1173"/>
    </row>
    <row r="142" spans="1:36" ht="36.75">
      <c r="A142" s="375" t="str">
        <f>CONCATENATE('3 pr-2'!A143)</f>
        <v>2.1.2.3.2</v>
      </c>
      <c r="B142" s="375" t="str">
        <f>CONCATENATE('3 pr-2'!B143)</f>
        <v>R01-6615-470000-2232</v>
      </c>
      <c r="C142" s="1558" t="str">
        <f>IF('ketv. 4 '!Z143&gt;0,'ketv. 4 '!C143,"-")</f>
        <v>08.4.2-ESFA-R-615-11-0005</v>
      </c>
      <c r="D142" s="575" t="str">
        <f>CONCATENATE('3 pr-2'!D143)</f>
        <v>Ambulatorinių sveikatos priežiūros paslaugų gerinimas tuberkulioze sergantiems asmenims</v>
      </c>
      <c r="E142" s="375" t="str">
        <f>CONCATENATE('3 pr-2'!E143)</f>
        <v>Alytaus miesto savivaldybės administracija</v>
      </c>
      <c r="F142" s="375" t="str">
        <f>CONCATENATE('3 pr-2'!F143)</f>
        <v>Lietuvos Respublikos Sveikatos apsaugos ministerija</v>
      </c>
      <c r="G142" s="375" t="str">
        <f>CONCATENATE('3 pr-2'!G143)</f>
        <v>Alytaus m. sav.</v>
      </c>
      <c r="H142" s="376" t="str">
        <f>CONCATENATE('3 pr-2'!H143)</f>
        <v>08.4.2-ESFA-R-615</v>
      </c>
      <c r="I142" s="576" t="str">
        <f>CONCATENATE('3 pr-2'!I143)</f>
        <v>R</v>
      </c>
      <c r="J142" s="576" t="str">
        <f>CONCATENATE('3 pr-2'!J143)</f>
        <v>-</v>
      </c>
      <c r="K142" s="1173">
        <f>SUM('3 pr-2'!L143)</f>
        <v>17041.18</v>
      </c>
      <c r="L142" s="1162">
        <f t="shared" si="293"/>
        <v>17041.18</v>
      </c>
      <c r="M142" s="1174">
        <f t="shared" si="294"/>
        <v>0</v>
      </c>
      <c r="N142" s="1175">
        <f t="shared" si="295"/>
        <v>0</v>
      </c>
      <c r="O142" s="1173">
        <f>SUM('3 pr-2'!O143)</f>
        <v>1278.0899999999999</v>
      </c>
      <c r="P142" s="1162">
        <f>IF('ketv. 5 '!U142&gt;0,'ketv. 7 '!R141,SUMIF(Projektu_sutarciu_ataskaita!$J:$J,C142,Projektu_sutarciu_ataskaita!$DK:$DK))</f>
        <v>1278.0899999999999</v>
      </c>
      <c r="Q142" s="1174">
        <f t="shared" si="296"/>
        <v>0</v>
      </c>
      <c r="R142" s="1175">
        <f t="shared" si="297"/>
        <v>0</v>
      </c>
      <c r="S142" s="1173">
        <f>SUM('3 pr-2'!R143)</f>
        <v>1278</v>
      </c>
      <c r="T142" s="1162">
        <f>IF('ketv. 5 '!U142&gt;0,'ketv. 7 '!W141,SUMIF(Projektu_sutarciu_ataskaita!$J:$J,C142,Projektu_sutarciu_ataskaita!$DG:$DG))</f>
        <v>1278</v>
      </c>
      <c r="U142" s="1174">
        <f t="shared" si="298"/>
        <v>0</v>
      </c>
      <c r="V142" s="1175">
        <f t="shared" si="299"/>
        <v>0</v>
      </c>
      <c r="W142" s="1173">
        <f>SUM('3 pr-2'!U143)</f>
        <v>0</v>
      </c>
      <c r="X142" s="1173">
        <f>IF('ketv. 5 '!U142&gt;0,'ketv. 7 '!AB141,SUMIF(Projektu_sutarciu_ataskaita!$J:$J,C142,Projektu_sutarciu_ataskaita!$DM:$DM))</f>
        <v>0</v>
      </c>
      <c r="Y142" s="1174">
        <f t="shared" si="300"/>
        <v>0</v>
      </c>
      <c r="Z142" s="1175">
        <f t="shared" si="301"/>
        <v>0</v>
      </c>
      <c r="AA142" s="1173">
        <f>SUM('3 pr-2'!X143)</f>
        <v>0</v>
      </c>
      <c r="AB142" s="1173">
        <f>IF('ketv. 5 '!U142&gt;0,'ketv. 7 '!AG141,SUMIF(Projektu_sutarciu_ataskaita!$J:$J,C142,Projektu_sutarciu_ataskaita!$DL:$DL)+SUMIF(Projektu_sutarciu_ataskaita!$J:$J,C142,Projektu_sutarciu_ataskaita!$DJ:$DJ))</f>
        <v>0</v>
      </c>
      <c r="AC142" s="1174">
        <f t="shared" si="302"/>
        <v>0</v>
      </c>
      <c r="AD142" s="1175">
        <f t="shared" si="303"/>
        <v>0</v>
      </c>
      <c r="AE142" s="1173">
        <f>SUM('3 pr-2'!AA143)</f>
        <v>14485.09</v>
      </c>
      <c r="AF142" s="1162">
        <f>IF('ketv. 5 '!U142&gt;0,'ketv. 7 '!AL141,SUMIF(Projektu_sutarciu_ataskaita!$J:$J,C142,Projektu_sutarciu_ataskaita!$DF:$DF))</f>
        <v>14485.09</v>
      </c>
      <c r="AG142" s="1178">
        <f t="shared" si="304"/>
        <v>0</v>
      </c>
      <c r="AH142" s="1177">
        <f t="shared" si="305"/>
        <v>0</v>
      </c>
      <c r="AI142" s="1173">
        <f>SUM('3 pr-2'!AB144)</f>
        <v>0</v>
      </c>
      <c r="AJ142" s="1162">
        <v>0</v>
      </c>
    </row>
    <row r="143" spans="1:36" ht="36.75">
      <c r="A143" s="375" t="str">
        <f>CONCATENATE('3 pr-2'!A144)</f>
        <v>2.1.2.3.3</v>
      </c>
      <c r="B143" s="375" t="str">
        <f>CONCATENATE('3 pr-2'!B144)</f>
        <v>R01-6615-470000-2233</v>
      </c>
      <c r="C143" s="1558" t="str">
        <f>IF('ketv. 4 '!Z144&gt;0,'ketv. 4 '!C144,"-")</f>
        <v>08.4.2-ESFA-R-615-11-0001</v>
      </c>
      <c r="D143" s="575" t="str">
        <f>CONCATENATE('3 pr-2'!D144)</f>
        <v>Paslaugų tuberkulioze sergantiems asmenims gerinimas Lazdijų rajono savivaldybėje</v>
      </c>
      <c r="E143" s="375" t="str">
        <f>CONCATENATE('3 pr-2'!E144)</f>
        <v>Lazdijų rajono savivaldybės administracija</v>
      </c>
      <c r="F143" s="375" t="str">
        <f>CONCATENATE('3 pr-2'!F144)</f>
        <v>Lietuvos Respublikos Sveikatos apsaugos ministerija</v>
      </c>
      <c r="G143" s="375" t="str">
        <f>CONCATENATE('3 pr-2'!G144)</f>
        <v>Lazdijų r. sav.</v>
      </c>
      <c r="H143" s="376" t="str">
        <f>CONCATENATE('3 pr-2'!H144)</f>
        <v>08.4.2-ESFA-R-615</v>
      </c>
      <c r="I143" s="576" t="str">
        <f>CONCATENATE('3 pr-2'!I144)</f>
        <v>R</v>
      </c>
      <c r="J143" s="576" t="str">
        <f>CONCATENATE('3 pr-2'!J144)</f>
        <v>-</v>
      </c>
      <c r="K143" s="1173">
        <f>SUM('3 pr-2'!L144)</f>
        <v>15224</v>
      </c>
      <c r="L143" s="1162">
        <f t="shared" si="293"/>
        <v>15224</v>
      </c>
      <c r="M143" s="1174">
        <f t="shared" si="294"/>
        <v>0</v>
      </c>
      <c r="N143" s="1175">
        <f t="shared" si="295"/>
        <v>0</v>
      </c>
      <c r="O143" s="1173">
        <f>SUM('3 pr-2'!O144)</f>
        <v>1142</v>
      </c>
      <c r="P143" s="1162">
        <f>IF('ketv. 5 '!U143&gt;0,'ketv. 7 '!R142,SUMIF(Projektu_sutarciu_ataskaita!$J:$J,C143,Projektu_sutarciu_ataskaita!$DK:$DK))</f>
        <v>1142</v>
      </c>
      <c r="Q143" s="1174">
        <f t="shared" si="296"/>
        <v>0</v>
      </c>
      <c r="R143" s="1175">
        <f t="shared" si="297"/>
        <v>0</v>
      </c>
      <c r="S143" s="1173">
        <f>SUM('3 pr-2'!R144)</f>
        <v>1141.5999999999999</v>
      </c>
      <c r="T143" s="1162">
        <f>IF('ketv. 5 '!U143&gt;0,'ketv. 7 '!W142,SUMIF(Projektu_sutarciu_ataskaita!$J:$J,C143,Projektu_sutarciu_ataskaita!$DG:$DG))</f>
        <v>1141.5999999999999</v>
      </c>
      <c r="U143" s="1174">
        <f t="shared" si="298"/>
        <v>0</v>
      </c>
      <c r="V143" s="1175">
        <f t="shared" si="299"/>
        <v>0</v>
      </c>
      <c r="W143" s="1173">
        <f>SUM('3 pr-2'!U144)</f>
        <v>0</v>
      </c>
      <c r="X143" s="1173">
        <f>IF('ketv. 5 '!U143&gt;0,'ketv. 7 '!AB142,SUMIF(Projektu_sutarciu_ataskaita!$J:$J,C143,Projektu_sutarciu_ataskaita!$DM:$DM))</f>
        <v>0</v>
      </c>
      <c r="Y143" s="1174">
        <f t="shared" si="300"/>
        <v>0</v>
      </c>
      <c r="Z143" s="1175">
        <f t="shared" si="301"/>
        <v>0</v>
      </c>
      <c r="AA143" s="1173">
        <f>SUM('3 pr-2'!X144)</f>
        <v>0</v>
      </c>
      <c r="AB143" s="1173">
        <f>IF('ketv. 5 '!U143&gt;0,'ketv. 7 '!AG142,SUMIF(Projektu_sutarciu_ataskaita!$J:$J,C143,Projektu_sutarciu_ataskaita!$DL:$DL)+SUMIF(Projektu_sutarciu_ataskaita!$J:$J,C143,Projektu_sutarciu_ataskaita!$DJ:$DJ))</f>
        <v>0</v>
      </c>
      <c r="AC143" s="1174">
        <f t="shared" si="302"/>
        <v>0</v>
      </c>
      <c r="AD143" s="1175">
        <f t="shared" si="303"/>
        <v>0</v>
      </c>
      <c r="AE143" s="1173">
        <f>SUM('3 pr-2'!AA144)</f>
        <v>12940.4</v>
      </c>
      <c r="AF143" s="1162">
        <f>IF('ketv. 5 '!U143&gt;0,'ketv. 7 '!AL142,SUMIF(Projektu_sutarciu_ataskaita!$J:$J,C143,Projektu_sutarciu_ataskaita!$DF:$DF))</f>
        <v>12940.4</v>
      </c>
      <c r="AG143" s="1178">
        <f t="shared" si="304"/>
        <v>0</v>
      </c>
      <c r="AH143" s="1177">
        <f t="shared" si="305"/>
        <v>0</v>
      </c>
      <c r="AI143" s="1173">
        <f>SUM('3 pr-2'!AB145)</f>
        <v>0</v>
      </c>
      <c r="AJ143" s="1162">
        <v>0</v>
      </c>
    </row>
    <row r="144" spans="1:36" ht="36.75">
      <c r="A144" s="375" t="str">
        <f>CONCATENATE('3 pr-2'!A145)</f>
        <v>2.1.2.3.4</v>
      </c>
      <c r="B144" s="375" t="str">
        <f>CONCATENATE('3 pr-2'!B145)</f>
        <v>R01-6615-470000-2234</v>
      </c>
      <c r="C144" s="1558" t="str">
        <f>IF('ketv. 4 '!Z145&gt;0,'ketv. 4 '!C145,"-")</f>
        <v>08.4.2-ESFA-R-615-11-0002</v>
      </c>
      <c r="D144" s="575" t="str">
        <f>CONCATENATE('3 pr-2'!D145)</f>
        <v>Ambulatorinių sveikatos priežiūros paslaugų tuberkulioze sergantiems asmenims prieinamumo gerinimas Druskininkų savivaldybėje</v>
      </c>
      <c r="E144" s="375" t="str">
        <f>CONCATENATE('3 pr-2'!E145)</f>
        <v>Druskininkų pirminės sveikatos priežiūros centras</v>
      </c>
      <c r="F144" s="375" t="str">
        <f>CONCATENATE('3 pr-2'!F145)</f>
        <v>Lietuvos Respublikos Sveikatos apsaugos ministerija</v>
      </c>
      <c r="G144" s="375" t="str">
        <f>CONCATENATE('3 pr-2'!G145)</f>
        <v>Druskininkų sav.</v>
      </c>
      <c r="H144" s="376" t="str">
        <f>CONCATENATE('3 pr-2'!H145)</f>
        <v>08.4.2-ESFA-R-615</v>
      </c>
      <c r="I144" s="576" t="str">
        <f>CONCATENATE('3 pr-2'!I145)</f>
        <v>R</v>
      </c>
      <c r="J144" s="576" t="str">
        <f>CONCATENATE('3 pr-2'!J145)</f>
        <v>-</v>
      </c>
      <c r="K144" s="1173">
        <f>SUM('3 pr-2'!L145)</f>
        <v>6816</v>
      </c>
      <c r="L144" s="1162">
        <f t="shared" si="293"/>
        <v>6816</v>
      </c>
      <c r="M144" s="1174">
        <f t="shared" si="294"/>
        <v>0</v>
      </c>
      <c r="N144" s="1175">
        <f t="shared" si="295"/>
        <v>0</v>
      </c>
      <c r="O144" s="1173">
        <f>SUM('3 pr-2'!O145)</f>
        <v>0</v>
      </c>
      <c r="P144" s="1162">
        <f>IF('ketv. 5 '!U144&gt;0,'ketv. 7 '!R143,SUMIF(Projektu_sutarciu_ataskaita!$J:$J,C144,Projektu_sutarciu_ataskaita!$DK:$DK))</f>
        <v>0</v>
      </c>
      <c r="Q144" s="1174">
        <f t="shared" si="296"/>
        <v>0</v>
      </c>
      <c r="R144" s="1175">
        <f t="shared" si="297"/>
        <v>0</v>
      </c>
      <c r="S144" s="1173">
        <f>SUM('3 pr-2'!R145)</f>
        <v>511.2</v>
      </c>
      <c r="T144" s="1162">
        <f>IF('ketv. 5 '!U144&gt;0,'ketv. 7 '!W143,SUMIF(Projektu_sutarciu_ataskaita!$J:$J,C144,Projektu_sutarciu_ataskaita!$DG:$DG))</f>
        <v>511.2</v>
      </c>
      <c r="U144" s="1174">
        <f t="shared" si="298"/>
        <v>0</v>
      </c>
      <c r="V144" s="1175">
        <f t="shared" si="299"/>
        <v>0</v>
      </c>
      <c r="W144" s="1173">
        <f>SUM('3 pr-2'!U145)</f>
        <v>0</v>
      </c>
      <c r="X144" s="1173">
        <f>IF('ketv. 5 '!U144&gt;0,'ketv. 7 '!AB143,SUMIF(Projektu_sutarciu_ataskaita!$J:$J,C144,Projektu_sutarciu_ataskaita!$DM:$DM))</f>
        <v>0</v>
      </c>
      <c r="Y144" s="1174">
        <f t="shared" si="300"/>
        <v>0</v>
      </c>
      <c r="Z144" s="1175">
        <f t="shared" si="301"/>
        <v>0</v>
      </c>
      <c r="AA144" s="1173">
        <f>SUM('3 pr-2'!X145)</f>
        <v>511.2</v>
      </c>
      <c r="AB144" s="1162">
        <f>IF('ketv. 5 '!U144&gt;0,'ketv. 7 '!AG143,SUMIF(Projektu_sutarciu_ataskaita!$J:$J,C144,Projektu_sutarciu_ataskaita!$DL:$DL)+SUMIF(Projektu_sutarciu_ataskaita!$J:$J,C144,Projektu_sutarciu_ataskaita!$DJ:$DJ))</f>
        <v>511.2</v>
      </c>
      <c r="AC144" s="1174">
        <f t="shared" si="302"/>
        <v>0</v>
      </c>
      <c r="AD144" s="1175">
        <f t="shared" si="303"/>
        <v>0</v>
      </c>
      <c r="AE144" s="1173">
        <f>SUM('3 pr-2'!AA145)</f>
        <v>5793.6</v>
      </c>
      <c r="AF144" s="1162">
        <f>IF('ketv. 5 '!U144&gt;0,'ketv. 7 '!AL143,SUMIF(Projektu_sutarciu_ataskaita!$J:$J,C144,Projektu_sutarciu_ataskaita!$DF:$DF))</f>
        <v>5793.6</v>
      </c>
      <c r="AG144" s="1178">
        <f t="shared" si="304"/>
        <v>0</v>
      </c>
      <c r="AH144" s="1177">
        <f t="shared" si="305"/>
        <v>0</v>
      </c>
      <c r="AI144" s="1173">
        <f>SUM('3 pr-2'!AB146)</f>
        <v>0</v>
      </c>
      <c r="AJ144" s="1162">
        <v>0</v>
      </c>
    </row>
    <row r="145" spans="1:36" ht="37.5" thickBot="1">
      <c r="A145" s="375" t="str">
        <f>CONCATENATE('3 pr-2'!A146)</f>
        <v>2.1.2.3.5</v>
      </c>
      <c r="B145" s="375" t="str">
        <f>CONCATENATE('3 pr-2'!B146)</f>
        <v>R01-6615-470000-2235</v>
      </c>
      <c r="C145" s="1558" t="str">
        <f>IF('ketv. 4 '!Z146&gt;0,'ketv. 4 '!C146,"-")</f>
        <v>08.4.2-ESFA-R-615-11-0003</v>
      </c>
      <c r="D145" s="575" t="str">
        <f>CONCATENATE('3 pr-2'!D146)</f>
        <v>Ambulatorinių sveikatos priežiūros paslaugų prieinamumo gerinimas tuberkulioze sergantiems asmenims Varėnos rajono savivaldybėje</v>
      </c>
      <c r="E145" s="375" t="str">
        <f>CONCATENATE('3 pr-2'!E146)</f>
        <v>Varėnos rajono savivaldybės administracija</v>
      </c>
      <c r="F145" s="375" t="str">
        <f>CONCATENATE('3 pr-2'!F146)</f>
        <v>Lietuvos Respublikos Sveikatos apsaugos ministerija</v>
      </c>
      <c r="G145" s="375" t="str">
        <f>CONCATENATE('3 pr-2'!G146)</f>
        <v>Varėnos r. sav.</v>
      </c>
      <c r="H145" s="376" t="str">
        <f>CONCATENATE('3 pr-2'!H146)</f>
        <v>08.4.2-ESFA-R-615</v>
      </c>
      <c r="I145" s="576" t="str">
        <f>CONCATENATE('3 pr-2'!I146)</f>
        <v>R</v>
      </c>
      <c r="J145" s="576" t="str">
        <f>CONCATENATE('3 pr-2'!J146)</f>
        <v>-</v>
      </c>
      <c r="K145" s="1173">
        <f>SUM('3 pr-2'!L146)</f>
        <v>15679</v>
      </c>
      <c r="L145" s="1162">
        <f t="shared" si="293"/>
        <v>15679</v>
      </c>
      <c r="M145" s="1174">
        <f t="shared" si="294"/>
        <v>0</v>
      </c>
      <c r="N145" s="1175">
        <f t="shared" si="295"/>
        <v>0</v>
      </c>
      <c r="O145" s="1173">
        <f>SUM('3 pr-2'!O146)</f>
        <v>1176</v>
      </c>
      <c r="P145" s="1162">
        <f>IF('ketv. 5 '!U145&gt;0,'ketv. 7 '!R144,SUMIF(Projektu_sutarciu_ataskaita!$J:$J,C145,Projektu_sutarciu_ataskaita!$DK:$DK))</f>
        <v>1176</v>
      </c>
      <c r="Q145" s="1174">
        <f t="shared" si="296"/>
        <v>0</v>
      </c>
      <c r="R145" s="1175">
        <f t="shared" si="297"/>
        <v>0</v>
      </c>
      <c r="S145" s="1173">
        <f>SUM('3 pr-2'!R146)</f>
        <v>1176</v>
      </c>
      <c r="T145" s="1162">
        <f>IF('ketv. 5 '!U145&gt;0,'ketv. 7 '!W144,SUMIF(Projektu_sutarciu_ataskaita!$J:$J,C145,Projektu_sutarciu_ataskaita!$DG:$DG))</f>
        <v>1176</v>
      </c>
      <c r="U145" s="1174">
        <f t="shared" si="298"/>
        <v>0</v>
      </c>
      <c r="V145" s="1175">
        <f t="shared" si="299"/>
        <v>0</v>
      </c>
      <c r="W145" s="1173">
        <f>SUM('3 pr-2'!U146)</f>
        <v>0</v>
      </c>
      <c r="X145" s="1173">
        <f>IF('ketv. 5 '!U145&gt;0,'ketv. 7 '!AB144,SUMIF(Projektu_sutarciu_ataskaita!$J:$J,C145,Projektu_sutarciu_ataskaita!$DM:$DM))</f>
        <v>0</v>
      </c>
      <c r="Y145" s="1174">
        <f t="shared" si="300"/>
        <v>0</v>
      </c>
      <c r="Z145" s="1175">
        <f t="shared" si="301"/>
        <v>0</v>
      </c>
      <c r="AA145" s="1173">
        <f>SUM('3 pr-2'!X146)</f>
        <v>0</v>
      </c>
      <c r="AB145" s="1173">
        <f>IF('ketv. 5 '!U145&gt;0,'ketv. 7 '!AG144,SUMIF(Projektu_sutarciu_ataskaita!$J:$J,C145,Projektu_sutarciu_ataskaita!$DL:$DL)+SUMIF(Projektu_sutarciu_ataskaita!$J:$J,C145,Projektu_sutarciu_ataskaita!$DJ:$DJ))</f>
        <v>0</v>
      </c>
      <c r="AC145" s="1174">
        <f t="shared" si="302"/>
        <v>0</v>
      </c>
      <c r="AD145" s="1175">
        <f t="shared" si="303"/>
        <v>0</v>
      </c>
      <c r="AE145" s="1173">
        <f>SUM('3 pr-2'!AA146)</f>
        <v>13327</v>
      </c>
      <c r="AF145" s="1162">
        <f>IF('ketv. 5 '!U145&gt;0,'ketv. 7 '!AL144,SUMIF(Projektu_sutarciu_ataskaita!$J:$J,C145,Projektu_sutarciu_ataskaita!$DF:$DF))</f>
        <v>13327</v>
      </c>
      <c r="AG145" s="1178">
        <f t="shared" si="304"/>
        <v>0</v>
      </c>
      <c r="AH145" s="1177">
        <f t="shared" si="305"/>
        <v>0</v>
      </c>
      <c r="AI145" s="1173">
        <f>SUM('3 pr-2'!AB147)</f>
        <v>0</v>
      </c>
      <c r="AJ145" s="1162">
        <v>0</v>
      </c>
    </row>
    <row r="146" spans="1:36" ht="35.25" customHeight="1" thickBot="1">
      <c r="A146" s="238" t="str">
        <f>CONCATENATE('3 pr-2'!A147)</f>
        <v>2.1.3.</v>
      </c>
      <c r="B146" s="2085" t="str">
        <f>CONCATENATE('3 pr-2'!B147)</f>
        <v>Uždavinys:
Socialinio būsto ir socialinių paslaugų prieinamumo pažeidžiamiausioms gyventojų grupėms padidinimas</v>
      </c>
      <c r="C146" s="1901"/>
      <c r="D146" s="1901"/>
      <c r="E146" s="1901"/>
      <c r="F146" s="1901"/>
      <c r="G146" s="1901"/>
      <c r="H146" s="1901"/>
      <c r="I146" s="1901"/>
      <c r="J146" s="1902"/>
      <c r="K146" s="1553">
        <f>SUM('3 pr-2'!L147)</f>
        <v>4201522.92</v>
      </c>
      <c r="L146" s="1553">
        <f>SUM(L147+L153)</f>
        <v>4201522.92</v>
      </c>
      <c r="M146" s="1551">
        <f>SUM(M147+M153)</f>
        <v>1.1641532182693481E-10</v>
      </c>
      <c r="N146" s="1552">
        <f>SUM(N147+N153)</f>
        <v>1.1641532182693481E-10</v>
      </c>
      <c r="O146" s="1553">
        <f>SUM('3 pr-2'!O147)</f>
        <v>772840.28</v>
      </c>
      <c r="P146" s="1553">
        <f>SUM(P147+P153)</f>
        <v>772840.28</v>
      </c>
      <c r="Q146" s="1553">
        <f>SUM(Q147+Q153)</f>
        <v>-2.9103830456733704E-11</v>
      </c>
      <c r="R146" s="1553">
        <f>SUM(R147+R153)</f>
        <v>-2.9103830456733704E-11</v>
      </c>
      <c r="S146" s="1553">
        <f>SUM('3 pr-2'!R147)</f>
        <v>21947.85</v>
      </c>
      <c r="T146" s="1553">
        <f>SUM(T147+T153)</f>
        <v>21947.849999999995</v>
      </c>
      <c r="U146" s="1553">
        <f>SUM(U147+U153)</f>
        <v>3.637978807091713E-12</v>
      </c>
      <c r="V146" s="1553">
        <f>SUM(V147+V153)</f>
        <v>3.637978807091713E-12</v>
      </c>
      <c r="W146" s="1553">
        <f>SUM('3 pr-2'!U147)</f>
        <v>0</v>
      </c>
      <c r="X146" s="1553">
        <f>SUM(X147+X153)</f>
        <v>0</v>
      </c>
      <c r="Y146" s="1553">
        <f>SUM(Y147+Y153)</f>
        <v>0</v>
      </c>
      <c r="Z146" s="1553">
        <f>SUM(Z147+Z153)</f>
        <v>0</v>
      </c>
      <c r="AA146" s="1553">
        <f>SUM('3 pr-2'!X147)</f>
        <v>0</v>
      </c>
      <c r="AB146" s="1553">
        <f>SUM(AB147+AB153)</f>
        <v>0</v>
      </c>
      <c r="AC146" s="1553">
        <f>SUM(AC147+AC153)</f>
        <v>0</v>
      </c>
      <c r="AD146" s="1553">
        <f>SUM(AD147+AD153)</f>
        <v>0</v>
      </c>
      <c r="AE146" s="1553">
        <f>SUM('3 pr-2'!AA147)</f>
        <v>3406734.7899999996</v>
      </c>
      <c r="AF146" s="1553">
        <f>SUM(AF147+AF153)</f>
        <v>3406734.7899999996</v>
      </c>
      <c r="AG146" s="1567">
        <f>SUM(AG147+AG153)</f>
        <v>5.8207660913467407E-11</v>
      </c>
      <c r="AH146" s="1568">
        <f>SUM(AH147+AH153)</f>
        <v>5.8207660913467407E-11</v>
      </c>
      <c r="AI146" s="1553">
        <f t="shared" ref="AI146:AJ146" si="306">SUM(AI147+AI153)</f>
        <v>0</v>
      </c>
      <c r="AJ146" s="1553">
        <f t="shared" si="306"/>
        <v>0</v>
      </c>
    </row>
    <row r="147" spans="1:36" ht="36" customHeight="1" thickBot="1">
      <c r="A147" s="296" t="str">
        <f>CONCATENATE('3 pr-2'!A148)</f>
        <v>2.1.3.1</v>
      </c>
      <c r="B147" s="2088" t="str">
        <f>CONCATENATE('3 pr-2'!B148)</f>
        <v>Priemonė:
Socialinių paslaugų infrastruktūros plėtra</v>
      </c>
      <c r="C147" s="1894"/>
      <c r="D147" s="1894"/>
      <c r="E147" s="1894"/>
      <c r="F147" s="1894"/>
      <c r="G147" s="1894"/>
      <c r="H147" s="1894"/>
      <c r="I147" s="1894"/>
      <c r="J147" s="1895"/>
      <c r="K147" s="1168">
        <f>SUM('3 pr-2'!L148)</f>
        <v>1235321.8</v>
      </c>
      <c r="L147" s="1168">
        <f>SUM(L148:L152)</f>
        <v>1235321.7999999998</v>
      </c>
      <c r="M147" s="1169">
        <f>SUM(M148:M152)</f>
        <v>1.1641532182693481E-10</v>
      </c>
      <c r="N147" s="1170">
        <f>SUM(N148:N152)</f>
        <v>1.1641532182693481E-10</v>
      </c>
      <c r="O147" s="1168">
        <f>SUM('3 pr-2'!O148)</f>
        <v>327612.79999999999</v>
      </c>
      <c r="P147" s="1168">
        <f>SUM(P148:P152)</f>
        <v>327612.80000000005</v>
      </c>
      <c r="Q147" s="1168">
        <f>SUM(Q148:Q152)</f>
        <v>-2.9103830456733704E-11</v>
      </c>
      <c r="R147" s="1168">
        <f>SUM(R148:R152)</f>
        <v>-2.9103830456733704E-11</v>
      </c>
      <c r="S147" s="1168">
        <f>SUM('3 pr-2'!R148)</f>
        <v>21947.85</v>
      </c>
      <c r="T147" s="1168">
        <f>SUM(T148:T152)</f>
        <v>21947.849999999995</v>
      </c>
      <c r="U147" s="1168">
        <f>SUM(U148:U152)</f>
        <v>3.637978807091713E-12</v>
      </c>
      <c r="V147" s="1168">
        <f>SUM(V148:V152)</f>
        <v>3.637978807091713E-12</v>
      </c>
      <c r="W147" s="1168">
        <f>SUM('3 pr-2'!U148)</f>
        <v>0</v>
      </c>
      <c r="X147" s="1168">
        <f>SUM(X148:X152)</f>
        <v>0</v>
      </c>
      <c r="Y147" s="1168">
        <f>SUM(Y148:Y152)</f>
        <v>0</v>
      </c>
      <c r="Z147" s="1168">
        <f>SUM(Z148:Z152)</f>
        <v>0</v>
      </c>
      <c r="AA147" s="1168">
        <f>SUM('3 pr-2'!X148)</f>
        <v>0</v>
      </c>
      <c r="AB147" s="1168">
        <f>SUM(AB148:AB152)</f>
        <v>0</v>
      </c>
      <c r="AC147" s="1168">
        <f>SUM(AC148:AC152)</f>
        <v>0</v>
      </c>
      <c r="AD147" s="1168">
        <f>SUM(AD148:AD152)</f>
        <v>0</v>
      </c>
      <c r="AE147" s="1168">
        <f>SUM('3 pr-2'!AA148)</f>
        <v>885761.15</v>
      </c>
      <c r="AF147" s="1168">
        <f>SUM(AF148:AF152)</f>
        <v>885761.15</v>
      </c>
      <c r="AG147" s="1564">
        <f>SUM(AG148:AG152)</f>
        <v>5.8207660913467407E-11</v>
      </c>
      <c r="AH147" s="1565">
        <f>SUM(AH148:AH152)</f>
        <v>5.8207660913467407E-11</v>
      </c>
      <c r="AI147" s="1168">
        <f t="shared" ref="AI147:AJ147" si="307">SUM(AI148:AI152)</f>
        <v>0</v>
      </c>
      <c r="AJ147" s="1168">
        <f t="shared" si="307"/>
        <v>0</v>
      </c>
    </row>
    <row r="148" spans="1:36" ht="36.75">
      <c r="A148" s="375" t="str">
        <f>CONCATENATE('3 pr-2'!A149)</f>
        <v>2.1.3.1.1</v>
      </c>
      <c r="B148" s="375" t="str">
        <f>CONCATENATE('3 pr-2'!B149)</f>
        <v>R01-4407-270000-2311</v>
      </c>
      <c r="C148" s="1558" t="str">
        <f>IF('ketv. 4 '!Z149&gt;0,'ketv. 4 '!C149,"-")</f>
        <v>08.1.1-CPVA-R-407-11-0002</v>
      </c>
      <c r="D148" s="575" t="str">
        <f>CONCATENATE('3 pr-2'!D149)</f>
        <v>Socialinių paslaugų infrastruktūros plėtra Varėnos rajono savivaldybėje</v>
      </c>
      <c r="E148" s="375" t="str">
        <f>CONCATENATE('3 pr-2'!E149)</f>
        <v>Varėnos rajono savivaldybės administracija</v>
      </c>
      <c r="F148" s="375" t="str">
        <f>CONCATENATE('3 pr-2'!F149)</f>
        <v>Lietuvos Respublikos socialinės apsaugos ir darbo ministerija</v>
      </c>
      <c r="G148" s="375" t="str">
        <f>CONCATENATE('3 pr-2'!G149)</f>
        <v>Varėnos r. sav.</v>
      </c>
      <c r="H148" s="375" t="str">
        <f>CONCATENATE('3 pr-2'!H149)</f>
        <v>08.1.1-CPVA-R-407</v>
      </c>
      <c r="I148" s="375" t="str">
        <f>CONCATENATE('3 pr-2'!I149)</f>
        <v>R</v>
      </c>
      <c r="J148" s="375" t="str">
        <f>CONCATENATE('3 pr-2'!J149)</f>
        <v>-</v>
      </c>
      <c r="K148" s="1173">
        <f>SUM('3 pr-2'!L149)</f>
        <v>148480</v>
      </c>
      <c r="L148" s="1162">
        <f t="shared" ref="L148:L152" si="308">SUM(P148+T148+X148+AB148+AF148+AJ148)</f>
        <v>148480</v>
      </c>
      <c r="M148" s="1174">
        <f t="shared" ref="M148:M152" si="309">SUM(K148-L148)</f>
        <v>0</v>
      </c>
      <c r="N148" s="1175">
        <f t="shared" ref="N148:N152" si="310">IF(L148&gt;0,K148-L148,0)</f>
        <v>0</v>
      </c>
      <c r="O148" s="1173">
        <f>SUM('3 pr-2'!O149)</f>
        <v>22272</v>
      </c>
      <c r="P148" s="1162">
        <f>IF('ketv. 5 '!U148&gt;0,'ketv. 7 '!R147,SUMIF(Projektu_sutarciu_ataskaita!$J:$J,C148,Projektu_sutarciu_ataskaita!$DK:$DK))</f>
        <v>22272</v>
      </c>
      <c r="Q148" s="1174">
        <f t="shared" ref="Q148:Q152" si="311">SUM(O148-P148)</f>
        <v>0</v>
      </c>
      <c r="R148" s="1175">
        <f t="shared" ref="R148:R152" si="312">IF(P148&gt;0,O148-P148,0)</f>
        <v>0</v>
      </c>
      <c r="S148" s="1173">
        <f>SUM('3 pr-2'!R149)</f>
        <v>0</v>
      </c>
      <c r="T148" s="1173">
        <f>IF('ketv. 5 '!U148&gt;0,'ketv. 7 '!W147,SUMIF(Projektu_sutarciu_ataskaita!$J:$J,C148,Projektu_sutarciu_ataskaita!$DG:$DG))</f>
        <v>0</v>
      </c>
      <c r="U148" s="1174">
        <f t="shared" ref="U148:U152" si="313">SUM(S148-T148)</f>
        <v>0</v>
      </c>
      <c r="V148" s="1175">
        <f t="shared" ref="V148:V152" si="314">IF(T148&gt;0,S148-T148,0)</f>
        <v>0</v>
      </c>
      <c r="W148" s="1173">
        <f>SUM('3 pr-2'!U149)</f>
        <v>0</v>
      </c>
      <c r="X148" s="1173">
        <f>IF('ketv. 5 '!U148&gt;0,'ketv. 7 '!AB147,SUMIF(Projektu_sutarciu_ataskaita!$J:$J,C148,Projektu_sutarciu_ataskaita!$DM:$DM))</f>
        <v>0</v>
      </c>
      <c r="Y148" s="1174">
        <f t="shared" ref="Y148:Y152" si="315">SUM(W148-X148)</f>
        <v>0</v>
      </c>
      <c r="Z148" s="1175">
        <f t="shared" ref="Z148:Z152" si="316">IF(X148&gt;0,W148-X148,0)</f>
        <v>0</v>
      </c>
      <c r="AA148" s="1173">
        <f>SUM('3 pr-2'!X149)</f>
        <v>0</v>
      </c>
      <c r="AB148" s="1173">
        <f>IF('ketv. 5 '!U148&gt;0,'ketv. 7 '!AG147,SUMIF(Projektu_sutarciu_ataskaita!$J:$J,C148,Projektu_sutarciu_ataskaita!$DL:$DL)+SUMIF(Projektu_sutarciu_ataskaita!$J:$J,C148,Projektu_sutarciu_ataskaita!$DJ:$DJ))</f>
        <v>0</v>
      </c>
      <c r="AC148" s="1174">
        <f>SUM(AA148-AB148)</f>
        <v>0</v>
      </c>
      <c r="AD148" s="1175">
        <f t="shared" ref="AD148:AD152" si="317">IF(AB148&gt;0,AA148-AB148,0)</f>
        <v>0</v>
      </c>
      <c r="AE148" s="1173">
        <f>SUM('3 pr-2'!AA149)</f>
        <v>126208</v>
      </c>
      <c r="AF148" s="1162">
        <f>IF('ketv. 5 '!U148&gt;0,'ketv. 7 '!AL147,SUMIF(Projektu_sutarciu_ataskaita!$J:$J,C148,Projektu_sutarciu_ataskaita!$DF:$DF))</f>
        <v>126208</v>
      </c>
      <c r="AG148" s="1575">
        <f t="shared" ref="AG148:AG152" si="318">SUM(AE148-AF148)</f>
        <v>0</v>
      </c>
      <c r="AH148" s="1177">
        <f t="shared" ref="AH148:AH152" si="319">IF(AF148&gt;0,AE148-AF148,0)</f>
        <v>0</v>
      </c>
      <c r="AI148" s="1173">
        <f>SUM('3 pr-2'!AB150)</f>
        <v>0</v>
      </c>
      <c r="AJ148" s="1162">
        <v>0</v>
      </c>
    </row>
    <row r="149" spans="1:36" ht="36.75">
      <c r="A149" s="375" t="str">
        <f>CONCATENATE('3 pr-2'!A150)</f>
        <v>2.1.3.1.2</v>
      </c>
      <c r="B149" s="375" t="str">
        <f>CONCATENATE('3 pr-2'!B150)</f>
        <v>R01-4407-274800-2312</v>
      </c>
      <c r="C149" s="1558" t="str">
        <f>IF('ketv. 4 '!Z150&gt;0,'ketv. 4 '!C150,"-")</f>
        <v>08.1.1-CPVA-R-407-11-0004</v>
      </c>
      <c r="D149" s="575" t="str">
        <f>CONCATENATE('3 pr-2'!D150)</f>
        <v>Psichosocialinės pagalbos centro įkūrimas</v>
      </c>
      <c r="E149" s="375" t="str">
        <f>CONCATENATE('3 pr-2'!E150)</f>
        <v>Alytaus rajono savivaldybės administracija</v>
      </c>
      <c r="F149" s="375" t="str">
        <f>CONCATENATE('3 pr-2'!F150)</f>
        <v>Lietuvos Respublikos socialinės apsaugos ir darbo ministerija</v>
      </c>
      <c r="G149" s="375" t="str">
        <f>CONCATENATE('3 pr-2'!G150)</f>
        <v>Alytaus r. sav.</v>
      </c>
      <c r="H149" s="375" t="str">
        <f>CONCATENATE('3 pr-2'!H150)</f>
        <v>08.1.1-CPVA-R-407</v>
      </c>
      <c r="I149" s="375" t="str">
        <f>CONCATENATE('3 pr-2'!I150)</f>
        <v>R</v>
      </c>
      <c r="J149" s="375" t="str">
        <f>CONCATENATE('3 pr-2'!J150)</f>
        <v/>
      </c>
      <c r="K149" s="1173">
        <f>SUM('3 pr-2'!L150)</f>
        <v>188353</v>
      </c>
      <c r="L149" s="1162">
        <f t="shared" si="308"/>
        <v>188353</v>
      </c>
      <c r="M149" s="1174">
        <f t="shared" si="309"/>
        <v>0</v>
      </c>
      <c r="N149" s="1175">
        <f t="shared" si="310"/>
        <v>0</v>
      </c>
      <c r="O149" s="1173">
        <f>SUM('3 pr-2'!O150)</f>
        <v>28253</v>
      </c>
      <c r="P149" s="1162">
        <f>IF('ketv. 5 '!U149&gt;0,'ketv. 7 '!R148,SUMIF(Projektu_sutarciu_ataskaita!$J:$J,C149,Projektu_sutarciu_ataskaita!$DK:$DK))</f>
        <v>28253</v>
      </c>
      <c r="Q149" s="1174">
        <f t="shared" si="311"/>
        <v>0</v>
      </c>
      <c r="R149" s="1175">
        <f t="shared" si="312"/>
        <v>0</v>
      </c>
      <c r="S149" s="1173">
        <f>SUM('3 pr-2'!R150)</f>
        <v>0</v>
      </c>
      <c r="T149" s="1173">
        <f>IF('ketv. 5 '!U149&gt;0,'ketv. 7 '!W148,SUMIF(Projektu_sutarciu_ataskaita!$J:$J,C149,Projektu_sutarciu_ataskaita!$DG:$DG))</f>
        <v>0</v>
      </c>
      <c r="U149" s="1174">
        <f t="shared" si="313"/>
        <v>0</v>
      </c>
      <c r="V149" s="1175">
        <f t="shared" si="314"/>
        <v>0</v>
      </c>
      <c r="W149" s="1173">
        <f>SUM('3 pr-2'!U150)</f>
        <v>0</v>
      </c>
      <c r="X149" s="1173">
        <f>IF('ketv. 5 '!U149&gt;0,'ketv. 7 '!AB148,SUMIF(Projektu_sutarciu_ataskaita!$J:$J,C149,Projektu_sutarciu_ataskaita!$DM:$DM))</f>
        <v>0</v>
      </c>
      <c r="Y149" s="1174">
        <f t="shared" si="315"/>
        <v>0</v>
      </c>
      <c r="Z149" s="1175">
        <f t="shared" si="316"/>
        <v>0</v>
      </c>
      <c r="AA149" s="1173">
        <f>SUM('3 pr-2'!X150)</f>
        <v>0</v>
      </c>
      <c r="AB149" s="1173">
        <f>IF('ketv. 5 '!U149&gt;0,'ketv. 7 '!AG148,SUMIF(Projektu_sutarciu_ataskaita!$J:$J,C149,Projektu_sutarciu_ataskaita!$DL:$DL)+SUMIF(Projektu_sutarciu_ataskaita!$J:$J,C149,Projektu_sutarciu_ataskaita!$DJ:$DJ))</f>
        <v>0</v>
      </c>
      <c r="AC149" s="1174">
        <f>SUM(AA149-AB149)</f>
        <v>0</v>
      </c>
      <c r="AD149" s="1175">
        <f t="shared" si="317"/>
        <v>0</v>
      </c>
      <c r="AE149" s="1173">
        <f>SUM('3 pr-2'!AA150)</f>
        <v>160100</v>
      </c>
      <c r="AF149" s="1162">
        <f>IF('ketv. 5 '!U149&gt;0,'ketv. 7 '!AL148,SUMIF(Projektu_sutarciu_ataskaita!$J:$J,C149,Projektu_sutarciu_ataskaita!$DF:$DF))</f>
        <v>160100</v>
      </c>
      <c r="AG149" s="1559">
        <f t="shared" si="318"/>
        <v>0</v>
      </c>
      <c r="AH149" s="1177">
        <f t="shared" si="319"/>
        <v>0</v>
      </c>
      <c r="AI149" s="1173">
        <f>SUM('3 pr-2'!AB151)</f>
        <v>0</v>
      </c>
      <c r="AJ149" s="1162">
        <v>0</v>
      </c>
    </row>
    <row r="150" spans="1:36" ht="36.75">
      <c r="A150" s="375" t="str">
        <f>CONCATENATE('3 pr-2'!A151)</f>
        <v>2.1.3.1.3</v>
      </c>
      <c r="B150" s="375" t="str">
        <f>CONCATENATE('3 pr-2'!B151)</f>
        <v>R01-4407-270000-2313</v>
      </c>
      <c r="C150" s="1558" t="str">
        <f>IF('ketv. 4 '!Z151&gt;0,'ketv. 4 '!C151,"-")</f>
        <v>08.1.1-CPVA-R-407-11-0005</v>
      </c>
      <c r="D150" s="575" t="str">
        <f>CONCATENATE('3 pr-2'!D151)</f>
        <v>Socialinių paslaugų plėtra Alytaus mieste</v>
      </c>
      <c r="E150" s="375" t="str">
        <f>CONCATENATE('3 pr-2'!E151)</f>
        <v>Alytaus miesto savivaldybės administracija</v>
      </c>
      <c r="F150" s="375" t="str">
        <f>CONCATENATE('3 pr-2'!F151)</f>
        <v>Lietuvos Respublikos socialinės apsaugos ir darbo ministerija</v>
      </c>
      <c r="G150" s="375" t="str">
        <f>CONCATENATE('3 pr-2'!G151)</f>
        <v>Alytaus m. sav.</v>
      </c>
      <c r="H150" s="375" t="str">
        <f>CONCATENATE('3 pr-2'!H151)</f>
        <v>08.1.1-CPVA-R-407</v>
      </c>
      <c r="I150" s="375" t="str">
        <f>CONCATENATE('3 pr-2'!I151)</f>
        <v>R</v>
      </c>
      <c r="J150" s="375" t="str">
        <f>CONCATENATE('3 pr-2'!J151)</f>
        <v>-</v>
      </c>
      <c r="K150" s="1173">
        <f>SUM('3 pr-2'!L151)</f>
        <v>600732.80000000005</v>
      </c>
      <c r="L150" s="1162">
        <f t="shared" si="308"/>
        <v>600732.79999999993</v>
      </c>
      <c r="M150" s="1174">
        <f t="shared" si="309"/>
        <v>1.1641532182693481E-10</v>
      </c>
      <c r="N150" s="1175">
        <f t="shared" si="310"/>
        <v>1.1641532182693481E-10</v>
      </c>
      <c r="O150" s="1173">
        <f>SUM('3 pr-2'!O151)</f>
        <v>254371.8</v>
      </c>
      <c r="P150" s="1162">
        <f>IF('ketv. 5 '!U150&gt;0,'ketv. 7 '!R149,SUMIF(Projektu_sutarciu_ataskaita!$J:$J,C150,Projektu_sutarciu_ataskaita!$DK:$DK))</f>
        <v>254371.80000000002</v>
      </c>
      <c r="Q150" s="1174">
        <f t="shared" si="311"/>
        <v>-2.9103830456733704E-11</v>
      </c>
      <c r="R150" s="1175">
        <f t="shared" si="312"/>
        <v>-2.9103830456733704E-11</v>
      </c>
      <c r="S150" s="1173">
        <f>SUM('3 pr-2'!R151)</f>
        <v>0</v>
      </c>
      <c r="T150" s="1173">
        <f>IF('ketv. 5 '!U150&gt;0,'ketv. 7 '!W149,SUMIF(Projektu_sutarciu_ataskaita!$J:$J,C150,Projektu_sutarciu_ataskaita!$DG:$DG))</f>
        <v>0</v>
      </c>
      <c r="U150" s="1174">
        <f t="shared" si="313"/>
        <v>0</v>
      </c>
      <c r="V150" s="1175">
        <f t="shared" si="314"/>
        <v>0</v>
      </c>
      <c r="W150" s="1173">
        <f>SUM('3 pr-2'!U151)</f>
        <v>0</v>
      </c>
      <c r="X150" s="1173">
        <f>IF('ketv. 5 '!U150&gt;0,'ketv. 7 '!AB149,SUMIF(Projektu_sutarciu_ataskaita!$J:$J,C150,Projektu_sutarciu_ataskaita!$DM:$DM))</f>
        <v>0</v>
      </c>
      <c r="Y150" s="1174">
        <f t="shared" si="315"/>
        <v>0</v>
      </c>
      <c r="Z150" s="1175">
        <f t="shared" si="316"/>
        <v>0</v>
      </c>
      <c r="AA150" s="1173">
        <f>SUM('3 pr-2'!X151)</f>
        <v>0</v>
      </c>
      <c r="AB150" s="1173">
        <f>IF('ketv. 5 '!U150&gt;0,'ketv. 7 '!AG149,SUMIF(Projektu_sutarciu_ataskaita!$J:$J,C150,Projektu_sutarciu_ataskaita!$DL:$DL)+SUMIF(Projektu_sutarciu_ataskaita!$J:$J,C150,Projektu_sutarciu_ataskaita!$DJ:$DJ))</f>
        <v>0</v>
      </c>
      <c r="AC150" s="1174">
        <f>SUM(AA150-AB150)</f>
        <v>0</v>
      </c>
      <c r="AD150" s="1175">
        <f t="shared" si="317"/>
        <v>0</v>
      </c>
      <c r="AE150" s="1173">
        <f>SUM('3 pr-2'!AA151)</f>
        <v>346361</v>
      </c>
      <c r="AF150" s="1162">
        <f>IF('ketv. 5 '!U150&gt;0,'ketv. 7 '!AL149,SUMIF(Projektu_sutarciu_ataskaita!$J:$J,C150,Projektu_sutarciu_ataskaita!$DF:$DF))</f>
        <v>346360.99999999994</v>
      </c>
      <c r="AG150" s="1559">
        <f t="shared" si="318"/>
        <v>5.8207660913467407E-11</v>
      </c>
      <c r="AH150" s="1177">
        <f t="shared" si="319"/>
        <v>5.8207660913467407E-11</v>
      </c>
      <c r="AI150" s="1173">
        <f>SUM('3 pr-2'!AB152)</f>
        <v>0</v>
      </c>
      <c r="AJ150" s="1162">
        <v>0</v>
      </c>
    </row>
    <row r="151" spans="1:36" ht="36.75">
      <c r="A151" s="375" t="str">
        <f>CONCATENATE('3 pr-2'!A152)</f>
        <v>2.1.3.1.4</v>
      </c>
      <c r="B151" s="375" t="str">
        <f>CONCATENATE('3 pr-2'!B152)</f>
        <v>R01-4407-270000-2314</v>
      </c>
      <c r="C151" s="1558" t="str">
        <f>IF('ketv. 4 '!Z152&gt;0,'ketv. 4 '!C152,"-")</f>
        <v>08.1.1-CPVA-R-407-11-0001</v>
      </c>
      <c r="D151" s="575" t="str">
        <f>CONCATENATE('3 pr-2'!D152)</f>
        <v>Socialinių paslaugų infrastruktūros plėtra Druskininkų savivaldybėje</v>
      </c>
      <c r="E151" s="375" t="str">
        <f>CONCATENATE('3 pr-2'!E152)</f>
        <v>Druskininkų savivaldybės administracija</v>
      </c>
      <c r="F151" s="375" t="str">
        <f>CONCATENATE('3 pr-2'!F152)</f>
        <v>Lietuvos Respublikos socialinės apsaugos ir darbo ministerija</v>
      </c>
      <c r="G151" s="375" t="str">
        <f>CONCATENATE('3 pr-2'!G152)</f>
        <v>Druskininkų sav.</v>
      </c>
      <c r="H151" s="375" t="str">
        <f>CONCATENATE('3 pr-2'!H152)</f>
        <v>08.1.1-CPVA-R-407</v>
      </c>
      <c r="I151" s="375" t="str">
        <f>CONCATENATE('3 pr-2'!I152)</f>
        <v>R</v>
      </c>
      <c r="J151" s="375" t="str">
        <f>CONCATENATE('3 pr-2'!J152)</f>
        <v>-</v>
      </c>
      <c r="K151" s="1173">
        <f>SUM('3 pr-2'!L152)</f>
        <v>151437</v>
      </c>
      <c r="L151" s="1162">
        <f t="shared" si="308"/>
        <v>151437</v>
      </c>
      <c r="M151" s="1174">
        <f t="shared" si="309"/>
        <v>0</v>
      </c>
      <c r="N151" s="1175">
        <f t="shared" si="310"/>
        <v>0</v>
      </c>
      <c r="O151" s="1173">
        <f>SUM('3 pr-2'!O152)</f>
        <v>22716</v>
      </c>
      <c r="P151" s="1162">
        <f>IF('ketv. 5 '!U151&gt;0,'ketv. 7 '!R150,SUMIF(Projektu_sutarciu_ataskaita!$J:$J,C151,Projektu_sutarciu_ataskaita!$DK:$DK))</f>
        <v>22716</v>
      </c>
      <c r="Q151" s="1174">
        <f t="shared" si="311"/>
        <v>0</v>
      </c>
      <c r="R151" s="1175">
        <f t="shared" si="312"/>
        <v>0</v>
      </c>
      <c r="S151" s="1173">
        <f>SUM('3 pr-2'!R152)</f>
        <v>0</v>
      </c>
      <c r="T151" s="1173">
        <f>IF('ketv. 5 '!U151&gt;0,'ketv. 7 '!W150,SUMIF(Projektu_sutarciu_ataskaita!$J:$J,C151,Projektu_sutarciu_ataskaita!$DG:$DG))</f>
        <v>0</v>
      </c>
      <c r="U151" s="1174">
        <f t="shared" si="313"/>
        <v>0</v>
      </c>
      <c r="V151" s="1175">
        <f t="shared" si="314"/>
        <v>0</v>
      </c>
      <c r="W151" s="1173">
        <f>SUM('3 pr-2'!U152)</f>
        <v>0</v>
      </c>
      <c r="X151" s="1173">
        <f>IF('ketv. 5 '!U151&gt;0,'ketv. 7 '!AB150,SUMIF(Projektu_sutarciu_ataskaita!$J:$J,C151,Projektu_sutarciu_ataskaita!$DM:$DM))</f>
        <v>0</v>
      </c>
      <c r="Y151" s="1174">
        <f t="shared" si="315"/>
        <v>0</v>
      </c>
      <c r="Z151" s="1175">
        <f t="shared" si="316"/>
        <v>0</v>
      </c>
      <c r="AA151" s="1173">
        <f>SUM('3 pr-2'!X152)</f>
        <v>0</v>
      </c>
      <c r="AB151" s="1173">
        <f>IF('ketv. 5 '!U151&gt;0,'ketv. 7 '!AG150,SUMIF(Projektu_sutarciu_ataskaita!$J:$J,C151,Projektu_sutarciu_ataskaita!$DL:$DL)+SUMIF(Projektu_sutarciu_ataskaita!$J:$J,C151,Projektu_sutarciu_ataskaita!$DJ:$DJ))</f>
        <v>0</v>
      </c>
      <c r="AC151" s="1174">
        <f>SUM(AA151-AB151)</f>
        <v>0</v>
      </c>
      <c r="AD151" s="1175">
        <f t="shared" si="317"/>
        <v>0</v>
      </c>
      <c r="AE151" s="1173">
        <f>SUM('3 pr-2'!AA152)</f>
        <v>128721</v>
      </c>
      <c r="AF151" s="1162">
        <f>IF('ketv. 5 '!U151&gt;0,'ketv. 7 '!AL150,SUMIF(Projektu_sutarciu_ataskaita!$J:$J,C151,Projektu_sutarciu_ataskaita!$DF:$DF))</f>
        <v>128721</v>
      </c>
      <c r="AG151" s="1559">
        <f t="shared" si="318"/>
        <v>0</v>
      </c>
      <c r="AH151" s="1177">
        <f t="shared" si="319"/>
        <v>0</v>
      </c>
      <c r="AI151" s="1173">
        <f>SUM('3 pr-2'!AB153)</f>
        <v>0</v>
      </c>
      <c r="AJ151" s="1162">
        <v>0</v>
      </c>
    </row>
    <row r="152" spans="1:36" ht="37.5" thickBot="1">
      <c r="A152" s="375" t="str">
        <f>CONCATENATE('3 pr-2'!A153)</f>
        <v>2.1.3.1.5</v>
      </c>
      <c r="B152" s="375" t="str">
        <f>CONCATENATE('3 pr-2'!B153)</f>
        <v>R01-4407-270000-2315</v>
      </c>
      <c r="C152" s="1558" t="str">
        <f>IF('ketv. 4 '!Z153&gt;0,'ketv. 4 '!C153,"-")</f>
        <v>08.1.1-CPVA-R-407-11-0003</v>
      </c>
      <c r="D152" s="575" t="str">
        <f>CONCATENATE('3 pr-2'!D153)</f>
        <v>Socialinių paslaugų infrastruktūros modernizavimas ir plėtra VšĮ Kapčiamiesčio globos namuose</v>
      </c>
      <c r="E152" s="375" t="str">
        <f>CONCATENATE('3 pr-2'!E153)</f>
        <v>VšĮ Kapčiamiesčio globos namai</v>
      </c>
      <c r="F152" s="375" t="str">
        <f>CONCATENATE('3 pr-2'!F153)</f>
        <v>Lietuvos Respublikos socialinės apsaugos ir darbo ministerija</v>
      </c>
      <c r="G152" s="375" t="str">
        <f>CONCATENATE('3 pr-2'!G153)</f>
        <v>Lazdijų r. sav.</v>
      </c>
      <c r="H152" s="375" t="str">
        <f>CONCATENATE('3 pr-2'!H153)</f>
        <v>08.1.1-CPVA-R-407</v>
      </c>
      <c r="I152" s="375" t="str">
        <f>CONCATENATE('3 pr-2'!I153)</f>
        <v>R</v>
      </c>
      <c r="J152" s="375" t="str">
        <f>CONCATENATE('3 pr-2'!J153)</f>
        <v>-</v>
      </c>
      <c r="K152" s="1173">
        <f>SUM('3 pr-2'!L153)</f>
        <v>146319</v>
      </c>
      <c r="L152" s="1162">
        <f t="shared" si="308"/>
        <v>146319</v>
      </c>
      <c r="M152" s="1174">
        <f t="shared" si="309"/>
        <v>0</v>
      </c>
      <c r="N152" s="1175">
        <f t="shared" si="310"/>
        <v>0</v>
      </c>
      <c r="O152" s="1173">
        <f>SUM('3 pr-2'!O153)</f>
        <v>0</v>
      </c>
      <c r="P152" s="1162">
        <f>IF('ketv. 5 '!U152&gt;0,'ketv. 7 '!R151,SUMIF(Projektu_sutarciu_ataskaita!$J:$J,C152,Projektu_sutarciu_ataskaita!$DK:$DK))</f>
        <v>0</v>
      </c>
      <c r="Q152" s="1174">
        <f t="shared" si="311"/>
        <v>0</v>
      </c>
      <c r="R152" s="1175">
        <f t="shared" si="312"/>
        <v>0</v>
      </c>
      <c r="S152" s="1173">
        <f>SUM('3 pr-2'!R153)</f>
        <v>21947.85</v>
      </c>
      <c r="T152" s="1162">
        <f>IF('ketv. 5 '!U152&gt;0,'ketv. 7 '!W151,SUMIF(Projektu_sutarciu_ataskaita!$J:$J,C152,Projektu_sutarciu_ataskaita!$DG:$DG))</f>
        <v>21947.849999999995</v>
      </c>
      <c r="U152" s="1174">
        <f t="shared" si="313"/>
        <v>3.637978807091713E-12</v>
      </c>
      <c r="V152" s="1175">
        <f t="shared" si="314"/>
        <v>3.637978807091713E-12</v>
      </c>
      <c r="W152" s="1173">
        <f>SUM('3 pr-2'!U153)</f>
        <v>0</v>
      </c>
      <c r="X152" s="1173">
        <f>IF('ketv. 5 '!U152&gt;0,'ketv. 7 '!AB151,SUMIF(Projektu_sutarciu_ataskaita!$J:$J,C152,Projektu_sutarciu_ataskaita!$DM:$DM))</f>
        <v>0</v>
      </c>
      <c r="Y152" s="1174">
        <f t="shared" si="315"/>
        <v>0</v>
      </c>
      <c r="Z152" s="1175">
        <f t="shared" si="316"/>
        <v>0</v>
      </c>
      <c r="AA152" s="1173">
        <f>SUM('3 pr-2'!X153)</f>
        <v>0</v>
      </c>
      <c r="AB152" s="1173">
        <f>IF('ketv. 5 '!U152&gt;0,'ketv. 7 '!AG151,SUMIF(Projektu_sutarciu_ataskaita!$J:$J,C152,Projektu_sutarciu_ataskaita!$DL:$DL)+SUMIF(Projektu_sutarciu_ataskaita!$J:$J,C152,Projektu_sutarciu_ataskaita!$DJ:$DJ))</f>
        <v>0</v>
      </c>
      <c r="AC152" s="1174">
        <f>SUM(AA152-AB152)</f>
        <v>0</v>
      </c>
      <c r="AD152" s="1175">
        <f t="shared" si="317"/>
        <v>0</v>
      </c>
      <c r="AE152" s="1173">
        <f>SUM('3 pr-2'!AA153)</f>
        <v>124371.15</v>
      </c>
      <c r="AF152" s="1162">
        <f>IF('ketv. 5 '!U152&gt;0,'ketv. 7 '!AL151,SUMIF(Projektu_sutarciu_ataskaita!$J:$J,C152,Projektu_sutarciu_ataskaita!$DF:$DF))</f>
        <v>124371.15</v>
      </c>
      <c r="AG152" s="1178">
        <f t="shared" si="318"/>
        <v>0</v>
      </c>
      <c r="AH152" s="1177">
        <f t="shared" si="319"/>
        <v>0</v>
      </c>
      <c r="AI152" s="1173">
        <f>SUM('3 pr-2'!AB154)</f>
        <v>0</v>
      </c>
      <c r="AJ152" s="1162">
        <v>0</v>
      </c>
    </row>
    <row r="153" spans="1:36" ht="39.75" customHeight="1" thickBot="1">
      <c r="A153" s="296" t="str">
        <f>CONCATENATE('3 pr-2'!A154)</f>
        <v>2.1.3.2</v>
      </c>
      <c r="B153" s="2088" t="str">
        <f>CONCATENATE('3 pr-2'!B154)</f>
        <v>Priemonė:
Socialinio būsto fondo plėtra</v>
      </c>
      <c r="C153" s="1894"/>
      <c r="D153" s="1894"/>
      <c r="E153" s="1894"/>
      <c r="F153" s="1894"/>
      <c r="G153" s="1894"/>
      <c r="H153" s="1894"/>
      <c r="I153" s="1894"/>
      <c r="J153" s="1895"/>
      <c r="K153" s="1168">
        <f>SUM('3 pr-2'!L154)</f>
        <v>2966201.12</v>
      </c>
      <c r="L153" s="1168">
        <f>SUM(L154:L158)</f>
        <v>2966201.12</v>
      </c>
      <c r="M153" s="1169">
        <f>SUM(M154:M158)</f>
        <v>0</v>
      </c>
      <c r="N153" s="1170">
        <f>SUM(N154:N158)</f>
        <v>0</v>
      </c>
      <c r="O153" s="1168">
        <f>SUM('3 pr-2'!O154)</f>
        <v>445227.48000000004</v>
      </c>
      <c r="P153" s="1168">
        <f>SUM(P154:P158)</f>
        <v>445227.48000000004</v>
      </c>
      <c r="Q153" s="1168">
        <f>SUM(Q154:Q158)</f>
        <v>0</v>
      </c>
      <c r="R153" s="1168">
        <f>SUM(R154:R158)</f>
        <v>0</v>
      </c>
      <c r="S153" s="1168">
        <f>SUM('3 pr-2'!R154)</f>
        <v>0</v>
      </c>
      <c r="T153" s="1168">
        <f>SUM(T154:T158)</f>
        <v>0</v>
      </c>
      <c r="U153" s="1168">
        <f>SUM(U154:U158)</f>
        <v>0</v>
      </c>
      <c r="V153" s="1168">
        <f>SUM(V154:V158)</f>
        <v>0</v>
      </c>
      <c r="W153" s="1168">
        <f>SUM('3 pr-2'!U154)</f>
        <v>0</v>
      </c>
      <c r="X153" s="1168">
        <f>SUM(X154:X158)</f>
        <v>0</v>
      </c>
      <c r="Y153" s="1168">
        <f>SUM(Y154:Y158)</f>
        <v>0</v>
      </c>
      <c r="Z153" s="1168">
        <f>SUM(Z154:Z158)</f>
        <v>0</v>
      </c>
      <c r="AA153" s="1168">
        <f>SUM('3 pr-2'!X154)</f>
        <v>0</v>
      </c>
      <c r="AB153" s="1168">
        <f>SUM(AB154:AB158)</f>
        <v>0</v>
      </c>
      <c r="AC153" s="1168">
        <f>SUM(AC154:AC158)</f>
        <v>0</v>
      </c>
      <c r="AD153" s="1168">
        <f>SUM(AD154:AD158)</f>
        <v>0</v>
      </c>
      <c r="AE153" s="1168">
        <f>SUM('3 pr-2'!AA154)</f>
        <v>2520973.6399999997</v>
      </c>
      <c r="AF153" s="1168">
        <f>SUM(AF154:AF158)</f>
        <v>2520973.6399999997</v>
      </c>
      <c r="AG153" s="1577">
        <f>SUM(AG154:AG158)</f>
        <v>0</v>
      </c>
      <c r="AH153" s="1578">
        <f>SUM(AH154:AH158)</f>
        <v>0</v>
      </c>
      <c r="AI153" s="1168">
        <f t="shared" ref="AI153:AJ153" si="320">SUM(AI154:AI158)</f>
        <v>0</v>
      </c>
      <c r="AJ153" s="1168">
        <f t="shared" si="320"/>
        <v>0</v>
      </c>
    </row>
    <row r="154" spans="1:36" ht="36.75">
      <c r="A154" s="375" t="str">
        <f>CONCATENATE('3 pr-2'!A155)</f>
        <v>2.1.3.2.1</v>
      </c>
      <c r="B154" s="375" t="str">
        <f>CONCATENATE('3 pr-2'!B155)</f>
        <v>R01-4408-260000-2321</v>
      </c>
      <c r="C154" s="1558" t="str">
        <f>IF('ketv. 4 '!Z155&gt;0,'ketv. 4 '!C155,"-")</f>
        <v>08.1.2-CPVA-R-408-11-0001</v>
      </c>
      <c r="D154" s="575" t="str">
        <f>CONCATENATE('3 pr-2'!D155)</f>
        <v>Socialinio būsto plėtra Varėnos rajone</v>
      </c>
      <c r="E154" s="375" t="str">
        <f>CONCATENATE('3 pr-2'!E155)</f>
        <v>Varėnos rajono savivaldybės administracija</v>
      </c>
      <c r="F154" s="375" t="str">
        <f>CONCATENATE('3 pr-2'!F155)</f>
        <v>Lietuvos Respublikos socialinės apsaugos ir darbo ministerija</v>
      </c>
      <c r="G154" s="375" t="str">
        <f>CONCATENATE('3 pr-2'!G155)</f>
        <v>Varėnos r. sav.</v>
      </c>
      <c r="H154" s="375" t="str">
        <f>CONCATENATE('3 pr-2'!H155)</f>
        <v>08.1.2-CPVA-R-408</v>
      </c>
      <c r="I154" s="375" t="str">
        <f>CONCATENATE('3 pr-2'!I155)</f>
        <v>R</v>
      </c>
      <c r="J154" s="375" t="str">
        <f>CONCATENATE('3 pr-2'!J155)</f>
        <v>-</v>
      </c>
      <c r="K154" s="1173">
        <f>SUM('3 pr-2'!L155)</f>
        <v>736499</v>
      </c>
      <c r="L154" s="1162">
        <f t="shared" ref="L154:L158" si="321">SUM(P154+T154+X154+AB154+AF154+AJ154)</f>
        <v>736499</v>
      </c>
      <c r="M154" s="1174">
        <f t="shared" ref="M154:M158" si="322">SUM(K154-L154)</f>
        <v>0</v>
      </c>
      <c r="N154" s="1175">
        <f t="shared" ref="N154:N158" si="323">IF(L154&gt;0,K154-L154,0)</f>
        <v>0</v>
      </c>
      <c r="O154" s="1173">
        <f>SUM('3 pr-2'!O155)</f>
        <v>110475</v>
      </c>
      <c r="P154" s="1162">
        <f>IF('ketv. 5 '!U154&gt;0,'ketv. 7 '!R153,SUMIF(Projektu_sutarciu_ataskaita!$J:$J,C154,Projektu_sutarciu_ataskaita!$DK:$DK))</f>
        <v>110475</v>
      </c>
      <c r="Q154" s="1174">
        <f t="shared" ref="Q154:Q158" si="324">SUM(O154-P154)</f>
        <v>0</v>
      </c>
      <c r="R154" s="1175">
        <f t="shared" ref="R154:R158" si="325">IF(P154&gt;0,O154-P154,0)</f>
        <v>0</v>
      </c>
      <c r="S154" s="1173">
        <f>SUM('3 pr-2'!R155)</f>
        <v>0</v>
      </c>
      <c r="T154" s="1173">
        <f>IF('ketv. 5 '!U154&gt;0,'ketv. 7 '!W153,SUMIF(Projektu_sutarciu_ataskaita!$J:$J,C154,Projektu_sutarciu_ataskaita!$DG:$DG))</f>
        <v>0</v>
      </c>
      <c r="U154" s="1174">
        <f t="shared" ref="U154:U158" si="326">SUM(S154-T154)</f>
        <v>0</v>
      </c>
      <c r="V154" s="1175">
        <f t="shared" ref="V154:V158" si="327">IF(T154&gt;0,S154-T154,0)</f>
        <v>0</v>
      </c>
      <c r="W154" s="1173">
        <f>SUM('3 pr-2'!U155)</f>
        <v>0</v>
      </c>
      <c r="X154" s="1173">
        <f>IF('ketv. 5 '!U154&gt;0,'ketv. 7 '!AB153,SUMIF(Projektu_sutarciu_ataskaita!$J:$J,C154,Projektu_sutarciu_ataskaita!$DM:$DM))</f>
        <v>0</v>
      </c>
      <c r="Y154" s="1174">
        <f t="shared" ref="Y154:Y158" si="328">SUM(W154-X154)</f>
        <v>0</v>
      </c>
      <c r="Z154" s="1175">
        <f t="shared" ref="Z154:Z158" si="329">IF(X154&gt;0,W154-X154,0)</f>
        <v>0</v>
      </c>
      <c r="AA154" s="1173">
        <f>SUM('3 pr-2'!X155)</f>
        <v>0</v>
      </c>
      <c r="AB154" s="1173">
        <f>IF('ketv. 5 '!U154&gt;0,'ketv. 7 '!AG153,SUMIF(Projektu_sutarciu_ataskaita!$J:$J,C154,Projektu_sutarciu_ataskaita!$DL:$DL)+SUMIF(Projektu_sutarciu_ataskaita!$J:$J,C154,Projektu_sutarciu_ataskaita!$DJ:$DJ))</f>
        <v>0</v>
      </c>
      <c r="AC154" s="1174">
        <f>SUM(AA154-AB154)</f>
        <v>0</v>
      </c>
      <c r="AD154" s="1175">
        <f t="shared" ref="AD154:AD158" si="330">IF(AB154&gt;0,AA154-AB154,0)</f>
        <v>0</v>
      </c>
      <c r="AE154" s="1173">
        <f>SUM('3 pr-2'!AA155)</f>
        <v>626024</v>
      </c>
      <c r="AF154" s="1162">
        <f>IF('ketv. 5 '!U154&gt;0,'ketv. 7 '!AL153,SUMIF(Projektu_sutarciu_ataskaita!$J:$J,C154,Projektu_sutarciu_ataskaita!$DF:$DF))</f>
        <v>626024</v>
      </c>
      <c r="AG154" s="1575">
        <f t="shared" ref="AG154:AG158" si="331">SUM(AE154-AF154)</f>
        <v>0</v>
      </c>
      <c r="AH154" s="1177">
        <f t="shared" ref="AH154:AH158" si="332">IF(AF154&gt;0,AE154-AF154,0)</f>
        <v>0</v>
      </c>
      <c r="AI154" s="1173">
        <f>SUM('3 pr-2'!AB156)</f>
        <v>0</v>
      </c>
      <c r="AJ154" s="1162">
        <v>0</v>
      </c>
    </row>
    <row r="155" spans="1:36" ht="36.75">
      <c r="A155" s="375" t="str">
        <f>CONCATENATE('3 pr-2'!A156)</f>
        <v>2.1.3.2.2</v>
      </c>
      <c r="B155" s="375" t="str">
        <f>CONCATENATE('3 pr-2'!B156)</f>
        <v>R01-4408-250000-2322</v>
      </c>
      <c r="C155" s="1558" t="str">
        <f>IF('ketv. 4 '!Z156&gt;0,'ketv. 4 '!C156,"-")</f>
        <v>08.1.2-CPVA-R-408-11-0005</v>
      </c>
      <c r="D155" s="575" t="str">
        <f>CONCATENATE('3 pr-2'!D156)</f>
        <v>Būsto prieinamumo pažeidžiamoms gyventojų grupėms didinimas Alytaus rajone</v>
      </c>
      <c r="E155" s="375" t="str">
        <f>CONCATENATE('3 pr-2'!E156)</f>
        <v>Alytaus rajono savivaldybės administracija</v>
      </c>
      <c r="F155" s="375" t="str">
        <f>CONCATENATE('3 pr-2'!F156)</f>
        <v>Lietuvos Respublikos socialinės apsaugos ir darbo ministerija</v>
      </c>
      <c r="G155" s="375" t="str">
        <f>CONCATENATE('3 pr-2'!G156)</f>
        <v>Alytaus r. sav.</v>
      </c>
      <c r="H155" s="375" t="str">
        <f>CONCATENATE('3 pr-2'!H156)</f>
        <v>08.1.2-CPVA-R-408</v>
      </c>
      <c r="I155" s="375" t="str">
        <f>CONCATENATE('3 pr-2'!I156)</f>
        <v>R</v>
      </c>
      <c r="J155" s="375" t="str">
        <f>CONCATENATE('3 pr-2'!J156)</f>
        <v>-</v>
      </c>
      <c r="K155" s="1173">
        <f>SUM('3 pr-2'!L156)</f>
        <v>241889</v>
      </c>
      <c r="L155" s="1162">
        <f t="shared" si="321"/>
        <v>241889</v>
      </c>
      <c r="M155" s="1174">
        <f t="shared" si="322"/>
        <v>0</v>
      </c>
      <c r="N155" s="1175">
        <f t="shared" si="323"/>
        <v>0</v>
      </c>
      <c r="O155" s="1173">
        <f>SUM('3 pr-2'!O156)</f>
        <v>36283.35</v>
      </c>
      <c r="P155" s="1162">
        <f>IF('ketv. 5 '!U155&gt;0,'ketv. 7 '!R154,SUMIF(Projektu_sutarciu_ataskaita!$J:$J,C155,Projektu_sutarciu_ataskaita!$DK:$DK))</f>
        <v>36283.35</v>
      </c>
      <c r="Q155" s="1174">
        <f t="shared" si="324"/>
        <v>0</v>
      </c>
      <c r="R155" s="1175">
        <f t="shared" si="325"/>
        <v>0</v>
      </c>
      <c r="S155" s="1173">
        <f>SUM('3 pr-2'!R156)</f>
        <v>0</v>
      </c>
      <c r="T155" s="1173">
        <f>IF('ketv. 5 '!U155&gt;0,'ketv. 7 '!W154,SUMIF(Projektu_sutarciu_ataskaita!$J:$J,C155,Projektu_sutarciu_ataskaita!$DG:$DG))</f>
        <v>0</v>
      </c>
      <c r="U155" s="1174">
        <f t="shared" si="326"/>
        <v>0</v>
      </c>
      <c r="V155" s="1175">
        <f t="shared" si="327"/>
        <v>0</v>
      </c>
      <c r="W155" s="1173">
        <f>SUM('3 pr-2'!U156)</f>
        <v>0</v>
      </c>
      <c r="X155" s="1173">
        <f>IF('ketv. 5 '!U155&gt;0,'ketv. 7 '!AB154,SUMIF(Projektu_sutarciu_ataskaita!$J:$J,C155,Projektu_sutarciu_ataskaita!$DM:$DM))</f>
        <v>0</v>
      </c>
      <c r="Y155" s="1174">
        <f t="shared" si="328"/>
        <v>0</v>
      </c>
      <c r="Z155" s="1175">
        <f t="shared" si="329"/>
        <v>0</v>
      </c>
      <c r="AA155" s="1173">
        <f>SUM('3 pr-2'!X156)</f>
        <v>0</v>
      </c>
      <c r="AB155" s="1173">
        <f>IF('ketv. 5 '!U155&gt;0,'ketv. 7 '!AG154,SUMIF(Projektu_sutarciu_ataskaita!$J:$J,C155,Projektu_sutarciu_ataskaita!$DL:$DL)+SUMIF(Projektu_sutarciu_ataskaita!$J:$J,C155,Projektu_sutarciu_ataskaita!$DJ:$DJ))</f>
        <v>0</v>
      </c>
      <c r="AC155" s="1174">
        <f>SUM(AA155-AB155)</f>
        <v>0</v>
      </c>
      <c r="AD155" s="1175">
        <f t="shared" si="330"/>
        <v>0</v>
      </c>
      <c r="AE155" s="1173">
        <f>SUM('3 pr-2'!AA156)</f>
        <v>205605.65</v>
      </c>
      <c r="AF155" s="1162">
        <f>IF('ketv. 5 '!U155&gt;0,'ketv. 7 '!AL154,SUMIF(Projektu_sutarciu_ataskaita!$J:$J,C155,Projektu_sutarciu_ataskaita!$DF:$DF))</f>
        <v>205605.65</v>
      </c>
      <c r="AG155" s="1559">
        <f t="shared" si="331"/>
        <v>0</v>
      </c>
      <c r="AH155" s="1177">
        <f t="shared" si="332"/>
        <v>0</v>
      </c>
      <c r="AI155" s="1173">
        <f>SUM('3 pr-2'!AB157)</f>
        <v>0</v>
      </c>
      <c r="AJ155" s="1162">
        <v>0</v>
      </c>
    </row>
    <row r="156" spans="1:36" ht="36.75">
      <c r="A156" s="375" t="str">
        <f>CONCATENATE('3 pr-2'!A157)</f>
        <v>2.1.3.1.3</v>
      </c>
      <c r="B156" s="375" t="str">
        <f>CONCATENATE('3 pr-2'!B157)</f>
        <v>R01-4408-260000-2323</v>
      </c>
      <c r="C156" s="1558" t="str">
        <f>IF('ketv. 4 '!Z157&gt;0,'ketv. 4 '!C157,"-")</f>
        <v>08.1.2-CPVA-R-408-11-0002</v>
      </c>
      <c r="D156" s="575" t="str">
        <f>CONCATENATE('3 pr-2'!D157)</f>
        <v>Socialinio būsto plėtra Alytaus mieste</v>
      </c>
      <c r="E156" s="375" t="str">
        <f>CONCATENATE('3 pr-2'!E157)</f>
        <v>Alytaus miesto savivaldybės administracija</v>
      </c>
      <c r="F156" s="375" t="str">
        <f>CONCATENATE('3 pr-2'!F157)</f>
        <v>Lietuvos Respublikos socialinės apsaugos ir darbo ministerija</v>
      </c>
      <c r="G156" s="375" t="str">
        <f>CONCATENATE('3 pr-2'!G157)</f>
        <v>Alytaus m. sav.</v>
      </c>
      <c r="H156" s="375" t="str">
        <f>CONCATENATE('3 pr-2'!H157)</f>
        <v>08.1.2-CPVA-R-408</v>
      </c>
      <c r="I156" s="375" t="str">
        <f>CONCATENATE('3 pr-2'!I157)</f>
        <v>R</v>
      </c>
      <c r="J156" s="375" t="str">
        <f>CONCATENATE('3 pr-2'!J157)</f>
        <v>-</v>
      </c>
      <c r="K156" s="1173">
        <f>SUM('3 pr-2'!L157)</f>
        <v>891741.17999999993</v>
      </c>
      <c r="L156" s="1162">
        <f t="shared" si="321"/>
        <v>891741.17999999993</v>
      </c>
      <c r="M156" s="1174">
        <f t="shared" si="322"/>
        <v>0</v>
      </c>
      <c r="N156" s="1175">
        <f t="shared" si="323"/>
        <v>0</v>
      </c>
      <c r="O156" s="1173">
        <f>SUM('3 pr-2'!O157)</f>
        <v>133761.18</v>
      </c>
      <c r="P156" s="1162">
        <f>IF('ketv. 5 '!U156&gt;0,'ketv. 7 '!R155,SUMIF(Projektu_sutarciu_ataskaita!$J:$J,C156,Projektu_sutarciu_ataskaita!$DK:$DK))</f>
        <v>133761.18</v>
      </c>
      <c r="Q156" s="1174">
        <f t="shared" si="324"/>
        <v>0</v>
      </c>
      <c r="R156" s="1175">
        <f t="shared" si="325"/>
        <v>0</v>
      </c>
      <c r="S156" s="1173">
        <f>SUM('3 pr-2'!R157)</f>
        <v>0</v>
      </c>
      <c r="T156" s="1173">
        <f>IF('ketv. 5 '!U156&gt;0,'ketv. 7 '!W155,SUMIF(Projektu_sutarciu_ataskaita!$J:$J,C156,Projektu_sutarciu_ataskaita!$DG:$DG))</f>
        <v>0</v>
      </c>
      <c r="U156" s="1174">
        <f t="shared" si="326"/>
        <v>0</v>
      </c>
      <c r="V156" s="1175">
        <f t="shared" si="327"/>
        <v>0</v>
      </c>
      <c r="W156" s="1173">
        <f>SUM('3 pr-2'!U157)</f>
        <v>0</v>
      </c>
      <c r="X156" s="1173">
        <f>IF('ketv. 5 '!U156&gt;0,'ketv. 7 '!AB155,SUMIF(Projektu_sutarciu_ataskaita!$J:$J,C156,Projektu_sutarciu_ataskaita!$DM:$DM))</f>
        <v>0</v>
      </c>
      <c r="Y156" s="1174">
        <f t="shared" si="328"/>
        <v>0</v>
      </c>
      <c r="Z156" s="1175">
        <f t="shared" si="329"/>
        <v>0</v>
      </c>
      <c r="AA156" s="1173">
        <f>SUM('3 pr-2'!X157)</f>
        <v>0</v>
      </c>
      <c r="AB156" s="1173">
        <f>IF('ketv. 5 '!U156&gt;0,'ketv. 7 '!AG155,SUMIF(Projektu_sutarciu_ataskaita!$J:$J,C156,Projektu_sutarciu_ataskaita!$DL:$DL)+SUMIF(Projektu_sutarciu_ataskaita!$J:$J,C156,Projektu_sutarciu_ataskaita!$DJ:$DJ))</f>
        <v>0</v>
      </c>
      <c r="AC156" s="1174">
        <f>SUM(AA156-AB156)</f>
        <v>0</v>
      </c>
      <c r="AD156" s="1175">
        <f t="shared" si="330"/>
        <v>0</v>
      </c>
      <c r="AE156" s="1173">
        <f>SUM('3 pr-2'!AA157)</f>
        <v>757980</v>
      </c>
      <c r="AF156" s="1162">
        <f>IF('ketv. 5 '!U156&gt;0,'ketv. 7 '!AL155,SUMIF(Projektu_sutarciu_ataskaita!$J:$J,C156,Projektu_sutarciu_ataskaita!$DF:$DF))</f>
        <v>757980</v>
      </c>
      <c r="AG156" s="1559">
        <f t="shared" si="331"/>
        <v>0</v>
      </c>
      <c r="AH156" s="1177">
        <f t="shared" si="332"/>
        <v>0</v>
      </c>
      <c r="AI156" s="1173">
        <f>SUM('3 pr-2'!AB158)</f>
        <v>0</v>
      </c>
      <c r="AJ156" s="1162">
        <v>0</v>
      </c>
    </row>
    <row r="157" spans="1:36" ht="36.75">
      <c r="A157" s="375" t="str">
        <f>CONCATENATE('3 pr-2'!A158)</f>
        <v>2.1.3.2.4</v>
      </c>
      <c r="B157" s="375" t="str">
        <f>CONCATENATE('3 pr-2'!B158)</f>
        <v>R01-4408-260000-2324</v>
      </c>
      <c r="C157" s="1558" t="str">
        <f>IF('ketv. 4 '!Z158&gt;0,'ketv. 4 '!C158,"-")</f>
        <v>08.1.2-CPVA-R-408-11-0003</v>
      </c>
      <c r="D157" s="575" t="str">
        <f>CONCATENATE('3 pr-2'!D158)</f>
        <v>Socialinio būsto fondo plėtra Druskininkų savivaldybėje</v>
      </c>
      <c r="E157" s="375" t="str">
        <f>CONCATENATE('3 pr-2'!E158)</f>
        <v>Druskininkų savivaldybės administracija</v>
      </c>
      <c r="F157" s="375" t="str">
        <f>CONCATENATE('3 pr-2'!F158)</f>
        <v>Lietuvos Respublikos socialinės apsaugos ir darbo ministerija</v>
      </c>
      <c r="G157" s="375" t="str">
        <f>CONCATENATE('3 pr-2'!G158)</f>
        <v>Druskininkų sav.</v>
      </c>
      <c r="H157" s="375" t="str">
        <f>CONCATENATE('3 pr-2'!H158)</f>
        <v>08.1.2-CPVA-R-408</v>
      </c>
      <c r="I157" s="375" t="str">
        <f>CONCATENATE('3 pr-2'!I158)</f>
        <v>R</v>
      </c>
      <c r="J157" s="375" t="str">
        <f>CONCATENATE('3 pr-2'!J158)</f>
        <v>-</v>
      </c>
      <c r="K157" s="1173">
        <f>SUM('3 pr-2'!L158)</f>
        <v>727472.94</v>
      </c>
      <c r="L157" s="1162">
        <f t="shared" si="321"/>
        <v>727472.94</v>
      </c>
      <c r="M157" s="1174">
        <f t="shared" si="322"/>
        <v>0</v>
      </c>
      <c r="N157" s="1175">
        <f t="shared" si="323"/>
        <v>0</v>
      </c>
      <c r="O157" s="1173">
        <f>SUM('3 pr-2'!O158)</f>
        <v>109120.95</v>
      </c>
      <c r="P157" s="1162">
        <f>IF('ketv. 5 '!U157&gt;0,'ketv. 7 '!R156,SUMIF(Projektu_sutarciu_ataskaita!$J:$J,C157,Projektu_sutarciu_ataskaita!$DK:$DK))</f>
        <v>109120.95</v>
      </c>
      <c r="Q157" s="1174">
        <f t="shared" si="324"/>
        <v>0</v>
      </c>
      <c r="R157" s="1175">
        <f t="shared" si="325"/>
        <v>0</v>
      </c>
      <c r="S157" s="1173">
        <f>SUM('3 pr-2'!R158)</f>
        <v>0</v>
      </c>
      <c r="T157" s="1173">
        <f>IF('ketv. 5 '!U157&gt;0,'ketv. 7 '!W156,SUMIF(Projektu_sutarciu_ataskaita!$J:$J,C157,Projektu_sutarciu_ataskaita!$DG:$DG))</f>
        <v>0</v>
      </c>
      <c r="U157" s="1174">
        <f t="shared" si="326"/>
        <v>0</v>
      </c>
      <c r="V157" s="1175">
        <f t="shared" si="327"/>
        <v>0</v>
      </c>
      <c r="W157" s="1173">
        <f>SUM('3 pr-2'!U158)</f>
        <v>0</v>
      </c>
      <c r="X157" s="1173">
        <f>IF('ketv. 5 '!U157&gt;0,'ketv. 7 '!AB156,SUMIF(Projektu_sutarciu_ataskaita!$J:$J,C157,Projektu_sutarciu_ataskaita!$DM:$DM))</f>
        <v>0</v>
      </c>
      <c r="Y157" s="1174">
        <f t="shared" si="328"/>
        <v>0</v>
      </c>
      <c r="Z157" s="1175">
        <f t="shared" si="329"/>
        <v>0</v>
      </c>
      <c r="AA157" s="1173">
        <f>SUM('3 pr-2'!X158)</f>
        <v>0</v>
      </c>
      <c r="AB157" s="1173">
        <f>IF('ketv. 5 '!U157&gt;0,'ketv. 7 '!AG156,SUMIF(Projektu_sutarciu_ataskaita!$J:$J,C157,Projektu_sutarciu_ataskaita!$DL:$DL)+SUMIF(Projektu_sutarciu_ataskaita!$J:$J,C157,Projektu_sutarciu_ataskaita!$DJ:$DJ))</f>
        <v>0</v>
      </c>
      <c r="AC157" s="1174">
        <f>SUM(AA157-AB157)</f>
        <v>0</v>
      </c>
      <c r="AD157" s="1175">
        <f t="shared" si="330"/>
        <v>0</v>
      </c>
      <c r="AE157" s="1173">
        <f>SUM('3 pr-2'!AA158)</f>
        <v>618351.99</v>
      </c>
      <c r="AF157" s="1162">
        <f>IF('ketv. 5 '!U157&gt;0,'ketv. 7 '!AL156,SUMIF(Projektu_sutarciu_ataskaita!$J:$J,C157,Projektu_sutarciu_ataskaita!$DF:$DF))</f>
        <v>618351.99</v>
      </c>
      <c r="AG157" s="1559">
        <f t="shared" si="331"/>
        <v>0</v>
      </c>
      <c r="AH157" s="1177">
        <f t="shared" si="332"/>
        <v>0</v>
      </c>
      <c r="AI157" s="1173">
        <f>SUM('3 pr-2'!AB159)</f>
        <v>0</v>
      </c>
      <c r="AJ157" s="1162">
        <v>0</v>
      </c>
    </row>
    <row r="158" spans="1:36" ht="37.5" thickBot="1">
      <c r="A158" s="375" t="str">
        <f>CONCATENATE('3 pr-2'!A159)</f>
        <v>2.1.3.2.5</v>
      </c>
      <c r="B158" s="375" t="str">
        <f>CONCATENATE('3 pr-2'!B159)</f>
        <v>R01-4408-252600-2325</v>
      </c>
      <c r="C158" s="1558" t="str">
        <f>IF('ketv. 4 '!Z159&gt;0,'ketv. 4 '!C159,"-")</f>
        <v>08.1.2-CPVA-R-408-11-0004</v>
      </c>
      <c r="D158" s="575" t="str">
        <f>CONCATENATE('3 pr-2'!D159)</f>
        <v>Socialinio būsto fondo plėtra Lazdijų rajono savivaldybėje</v>
      </c>
      <c r="E158" s="375" t="str">
        <f>CONCATENATE('3 pr-2'!E159)</f>
        <v>Lazdijų rajono savivaldybės administracija</v>
      </c>
      <c r="F158" s="375" t="str">
        <f>CONCATENATE('3 pr-2'!F159)</f>
        <v>Lietuvos Respublikos socialinės apsaugos ir darbo ministerija</v>
      </c>
      <c r="G158" s="375" t="str">
        <f>CONCATENATE('3 pr-2'!G159)</f>
        <v>Lazdijų r. sav.</v>
      </c>
      <c r="H158" s="375" t="str">
        <f>CONCATENATE('3 pr-2'!H159)</f>
        <v>08.1.2-CPVA-R-408</v>
      </c>
      <c r="I158" s="375" t="str">
        <f>CONCATENATE('3 pr-2'!I159)</f>
        <v>R</v>
      </c>
      <c r="J158" s="375" t="str">
        <f>CONCATENATE('3 pr-2'!J159)</f>
        <v>-</v>
      </c>
      <c r="K158" s="1173">
        <f>SUM('3 pr-2'!L159)</f>
        <v>368599</v>
      </c>
      <c r="L158" s="1162">
        <f t="shared" si="321"/>
        <v>368599</v>
      </c>
      <c r="M158" s="1174">
        <f t="shared" si="322"/>
        <v>0</v>
      </c>
      <c r="N158" s="1175">
        <f t="shared" si="323"/>
        <v>0</v>
      </c>
      <c r="O158" s="1173">
        <f>SUM('3 pr-2'!O159)</f>
        <v>55587</v>
      </c>
      <c r="P158" s="1162">
        <f>IF('ketv. 5 '!U158&gt;0,'ketv. 7 '!R157,SUMIF(Projektu_sutarciu_ataskaita!$J:$J,C158,Projektu_sutarciu_ataskaita!$DK:$DK))</f>
        <v>55587</v>
      </c>
      <c r="Q158" s="1174">
        <f t="shared" si="324"/>
        <v>0</v>
      </c>
      <c r="R158" s="1175">
        <f t="shared" si="325"/>
        <v>0</v>
      </c>
      <c r="S158" s="1173">
        <f>SUM('3 pr-2'!R159)</f>
        <v>0</v>
      </c>
      <c r="T158" s="1173">
        <f>IF('ketv. 5 '!U158&gt;0,'ketv. 7 '!W157,SUMIF(Projektu_sutarciu_ataskaita!$J:$J,C158,Projektu_sutarciu_ataskaita!$DG:$DG))</f>
        <v>0</v>
      </c>
      <c r="U158" s="1174">
        <f t="shared" si="326"/>
        <v>0</v>
      </c>
      <c r="V158" s="1175">
        <f t="shared" si="327"/>
        <v>0</v>
      </c>
      <c r="W158" s="1173">
        <f>SUM('3 pr-2'!U159)</f>
        <v>0</v>
      </c>
      <c r="X158" s="1173">
        <f>IF('ketv. 5 '!U158&gt;0,'ketv. 7 '!AB157,SUMIF(Projektu_sutarciu_ataskaita!$J:$J,C158,Projektu_sutarciu_ataskaita!$DM:$DM))</f>
        <v>0</v>
      </c>
      <c r="Y158" s="1174">
        <f t="shared" si="328"/>
        <v>0</v>
      </c>
      <c r="Z158" s="1175">
        <f t="shared" si="329"/>
        <v>0</v>
      </c>
      <c r="AA158" s="1173">
        <f>SUM('3 pr-2'!X159)</f>
        <v>0</v>
      </c>
      <c r="AB158" s="1173">
        <f>IF('ketv. 5 '!U158&gt;0,'ketv. 7 '!AG157,SUMIF(Projektu_sutarciu_ataskaita!$J:$J,C158,Projektu_sutarciu_ataskaita!$DL:$DL)+SUMIF(Projektu_sutarciu_ataskaita!$J:$J,C158,Projektu_sutarciu_ataskaita!$DJ:$DJ))</f>
        <v>0</v>
      </c>
      <c r="AC158" s="1174">
        <f>SUM(AA158-AB158)</f>
        <v>0</v>
      </c>
      <c r="AD158" s="1175">
        <f t="shared" si="330"/>
        <v>0</v>
      </c>
      <c r="AE158" s="1173">
        <f>SUM('3 pr-2'!AA159)</f>
        <v>313012</v>
      </c>
      <c r="AF158" s="1162">
        <f>IF('ketv. 5 '!U158&gt;0,'ketv. 7 '!AL157,SUMIF(Projektu_sutarciu_ataskaita!$J:$J,C158,Projektu_sutarciu_ataskaita!$DF:$DF))</f>
        <v>313012</v>
      </c>
      <c r="AG158" s="1178">
        <f t="shared" si="331"/>
        <v>0</v>
      </c>
      <c r="AH158" s="1177">
        <f t="shared" si="332"/>
        <v>0</v>
      </c>
      <c r="AI158" s="1173">
        <f>SUM('3 pr-2'!AB160)</f>
        <v>0</v>
      </c>
      <c r="AJ158" s="1162">
        <v>0</v>
      </c>
    </row>
    <row r="159" spans="1:36" ht="44.25" customHeight="1" thickBot="1">
      <c r="A159" s="238" t="str">
        <f>CONCATENATE('3 pr-2'!A160)</f>
        <v>2.1.4.</v>
      </c>
      <c r="B159" s="2085" t="str">
        <f>CONCATENATE('3 pr-2'!B160)</f>
        <v>Uždavinys:
Visuomenei teikiamų paslaugų kokybės, didinant jų atitikimo visuomenės poreikiams pagerinimas</v>
      </c>
      <c r="C159" s="1901"/>
      <c r="D159" s="1901"/>
      <c r="E159" s="1901"/>
      <c r="F159" s="1901"/>
      <c r="G159" s="1901"/>
      <c r="H159" s="1901"/>
      <c r="I159" s="1901"/>
      <c r="J159" s="1902"/>
      <c r="K159" s="1553">
        <f>SUM('3 pr-2'!L160)</f>
        <v>1106987.73</v>
      </c>
      <c r="L159" s="1553">
        <f>SUM(L160)</f>
        <v>906987.73</v>
      </c>
      <c r="M159" s="1551">
        <f>SUM(M160)</f>
        <v>0</v>
      </c>
      <c r="N159" s="1552">
        <f>SUM(N160)</f>
        <v>0</v>
      </c>
      <c r="O159" s="1553">
        <f>SUM('3 pr-2'!O160)</f>
        <v>166179.88999999998</v>
      </c>
      <c r="P159" s="1553">
        <f>SUM(P160)</f>
        <v>136179.88999999998</v>
      </c>
      <c r="Q159" s="1553">
        <f>SUM(Q160)</f>
        <v>0</v>
      </c>
      <c r="R159" s="1553">
        <f>SUM(R160)</f>
        <v>0</v>
      </c>
      <c r="S159" s="1553">
        <f>SUM('3 pr-2'!R160)</f>
        <v>0</v>
      </c>
      <c r="T159" s="1553">
        <f>SUM(T160)</f>
        <v>0</v>
      </c>
      <c r="U159" s="1553">
        <f>SUM(U160)</f>
        <v>0</v>
      </c>
      <c r="V159" s="1553">
        <f>SUM(V160)</f>
        <v>0</v>
      </c>
      <c r="W159" s="1553">
        <f>SUM('3 pr-2'!U160)</f>
        <v>0</v>
      </c>
      <c r="X159" s="1553">
        <f>SUM(X160)</f>
        <v>0</v>
      </c>
      <c r="Y159" s="1553">
        <f>SUM(Y160)</f>
        <v>0</v>
      </c>
      <c r="Z159" s="1553">
        <f>SUM(Z160)</f>
        <v>0</v>
      </c>
      <c r="AA159" s="1553">
        <f>SUM('3 pr-2'!X160)</f>
        <v>0</v>
      </c>
      <c r="AB159" s="1553">
        <f>SUM(AB160)</f>
        <v>0</v>
      </c>
      <c r="AC159" s="1553">
        <f>SUM(AC160)</f>
        <v>0</v>
      </c>
      <c r="AD159" s="1553">
        <f>SUM(AD160)</f>
        <v>0</v>
      </c>
      <c r="AE159" s="1553">
        <f>SUM('3 pr-2'!AA160)</f>
        <v>940807.84000000008</v>
      </c>
      <c r="AF159" s="1553">
        <f>SUM(AF160)</f>
        <v>770807.84000000008</v>
      </c>
      <c r="AG159" s="1567">
        <f>SUM(AG160)</f>
        <v>0</v>
      </c>
      <c r="AH159" s="1568">
        <f>SUM(AH160)</f>
        <v>0</v>
      </c>
      <c r="AI159" s="1553">
        <f t="shared" ref="AI159:AJ159" si="333">SUM(AI160)</f>
        <v>0</v>
      </c>
      <c r="AJ159" s="1553">
        <f t="shared" si="333"/>
        <v>0</v>
      </c>
    </row>
    <row r="160" spans="1:36" ht="37.5" customHeight="1" thickBot="1">
      <c r="A160" s="296" t="str">
        <f>CONCATENATE('3 pr-2'!A161)</f>
        <v>2.1.4.1</v>
      </c>
      <c r="B160" s="2088" t="str">
        <f>CONCATENATE('3 pr-2'!B161)</f>
        <v>Priemonė:
Paslaugų teikimo ir asmenų aptarnavimo kokybės gerinimas savivaldybėse</v>
      </c>
      <c r="C160" s="1894"/>
      <c r="D160" s="1894"/>
      <c r="E160" s="1894"/>
      <c r="F160" s="1894"/>
      <c r="G160" s="1894"/>
      <c r="H160" s="1894"/>
      <c r="I160" s="1894"/>
      <c r="J160" s="1895"/>
      <c r="K160" s="1168">
        <f>SUM('3 pr-2'!L161)</f>
        <v>1106987.73</v>
      </c>
      <c r="L160" s="1168">
        <f>SUM(L161:L166)</f>
        <v>906987.73</v>
      </c>
      <c r="M160" s="1169">
        <f>SUM(M161:M165)</f>
        <v>0</v>
      </c>
      <c r="N160" s="1170">
        <f>SUM(N161:N165)</f>
        <v>0</v>
      </c>
      <c r="O160" s="1168">
        <f>SUM('3 pr-2'!O161)</f>
        <v>166179.88999999998</v>
      </c>
      <c r="P160" s="1168">
        <f>SUM(P161:P165)</f>
        <v>136179.88999999998</v>
      </c>
      <c r="Q160" s="1168">
        <f>SUM(Q161:Q165)</f>
        <v>0</v>
      </c>
      <c r="R160" s="1168">
        <f>SUM(R161:R165)</f>
        <v>0</v>
      </c>
      <c r="S160" s="1168">
        <f>SUM('3 pr-2'!R161)</f>
        <v>0</v>
      </c>
      <c r="T160" s="1168">
        <f>SUM(T161:T165)</f>
        <v>0</v>
      </c>
      <c r="U160" s="1168">
        <f>SUM(U161:U165)</f>
        <v>0</v>
      </c>
      <c r="V160" s="1168">
        <f>SUM(V161:V165)</f>
        <v>0</v>
      </c>
      <c r="W160" s="1168">
        <f>SUM('3 pr-2'!U161)</f>
        <v>0</v>
      </c>
      <c r="X160" s="1168">
        <f>SUM(X161:X165)</f>
        <v>0</v>
      </c>
      <c r="Y160" s="1168">
        <f>SUM(Y161:Y165)</f>
        <v>0</v>
      </c>
      <c r="Z160" s="1168">
        <f>SUM(Z161:Z165)</f>
        <v>0</v>
      </c>
      <c r="AA160" s="1168">
        <f>SUM('3 pr-2'!X161)</f>
        <v>0</v>
      </c>
      <c r="AB160" s="1168">
        <f>SUM(AB161:AB165)</f>
        <v>0</v>
      </c>
      <c r="AC160" s="1168">
        <f>SUM(AC161:AC165)</f>
        <v>0</v>
      </c>
      <c r="AD160" s="1168">
        <f>SUM(AD161:AD165)</f>
        <v>0</v>
      </c>
      <c r="AE160" s="1168">
        <f>SUM('3 pr-2'!AA161)</f>
        <v>940807.84000000008</v>
      </c>
      <c r="AF160" s="1168">
        <f>SUM(AF161:AF165)</f>
        <v>770807.84000000008</v>
      </c>
      <c r="AG160" s="1564">
        <f>SUM(AG161:AG165)</f>
        <v>0</v>
      </c>
      <c r="AH160" s="1565">
        <f>SUM(AH161:AH165)</f>
        <v>0</v>
      </c>
      <c r="AI160" s="1168">
        <f t="shared" ref="AI160:AJ160" si="334">SUM(AI161:AI165)</f>
        <v>0</v>
      </c>
      <c r="AJ160" s="1168">
        <f t="shared" si="334"/>
        <v>0</v>
      </c>
    </row>
    <row r="161" spans="1:36" ht="36.75">
      <c r="A161" s="375" t="str">
        <f>CONCATENATE('3 pr-2'!A162)</f>
        <v>2.1.4.1.1</v>
      </c>
      <c r="B161" s="375" t="str">
        <f>CONCATENATE('3 pr-2'!B162)</f>
        <v>R01-9920-490000-2411</v>
      </c>
      <c r="C161" s="1558" t="str">
        <f>IF('ketv. 4 '!Z162&gt;0,'ketv. 4 '!C162,"-")</f>
        <v>10.1.3-ESFA-R-920-11-0001</v>
      </c>
      <c r="D161" s="575" t="str">
        <f>CONCATENATE('3 pr-2'!D162)</f>
        <v>Paslaugų teikimo ir asmenų aptarnavimo kokybės gerinimas Varėnos rajono savivaldybėje</v>
      </c>
      <c r="E161" s="375" t="str">
        <f>CONCATENATE('3 pr-2'!E162)</f>
        <v>Varėnos rajono savivaldybės administracija</v>
      </c>
      <c r="F161" s="375" t="str">
        <f>CONCATENATE('3 pr-2'!F162)</f>
        <v>Lietuvos Respublikos vidaus reikalų ministerija</v>
      </c>
      <c r="G161" s="375" t="str">
        <f>CONCATENATE('3 pr-2'!G162)</f>
        <v>Varėnos r. sav.</v>
      </c>
      <c r="H161" s="375" t="str">
        <f>CONCATENATE('3 pr-2'!H162)</f>
        <v>10.1.3-ESFA-R-920</v>
      </c>
      <c r="I161" s="375" t="str">
        <f>CONCATENATE('3 pr-2'!I162)</f>
        <v>R</v>
      </c>
      <c r="J161" s="375" t="str">
        <f>CONCATENATE('3 pr-2'!J162)</f>
        <v>-</v>
      </c>
      <c r="K161" s="1173">
        <f>SUM('3 pr-2'!L162)</f>
        <v>172733.52</v>
      </c>
      <c r="L161" s="1162">
        <f t="shared" ref="L161:L166" si="335">SUM(P161+T161+X161+AB161+AF161+AJ161)</f>
        <v>172733.52</v>
      </c>
      <c r="M161" s="1174">
        <f>SUM(K161-L161)</f>
        <v>0</v>
      </c>
      <c r="N161" s="1175">
        <f>IF(L161&gt;0,K161-L161,0)</f>
        <v>0</v>
      </c>
      <c r="O161" s="1173">
        <f>SUM('3 pr-2'!O162)</f>
        <v>25910.03</v>
      </c>
      <c r="P161" s="1162">
        <f>IF('ketv. 5 '!U161&gt;0,'ketv. 7 '!R160,SUMIF(Projektu_sutarciu_ataskaita!$J:$J,C161,Projektu_sutarciu_ataskaita!$DK:$DK))</f>
        <v>25910.03</v>
      </c>
      <c r="Q161" s="1174">
        <f t="shared" ref="Q161:Q165" si="336">SUM(O161-P161)</f>
        <v>0</v>
      </c>
      <c r="R161" s="1175">
        <f t="shared" ref="R161:R165" si="337">IF(P161&gt;0,O161-P161,0)</f>
        <v>0</v>
      </c>
      <c r="S161" s="1173">
        <f>SUM('3 pr-2'!R162)</f>
        <v>0</v>
      </c>
      <c r="T161" s="1173">
        <f>IF('ketv. 5 '!U161&gt;0,'ketv. 7 '!W160,SUMIF(Projektu_sutarciu_ataskaita!$J:$J,C161,Projektu_sutarciu_ataskaita!$DG:$DG))</f>
        <v>0</v>
      </c>
      <c r="U161" s="1174">
        <f t="shared" ref="U161:U165" si="338">SUM(S161-T161)</f>
        <v>0</v>
      </c>
      <c r="V161" s="1175">
        <f t="shared" ref="V161:V165" si="339">IF(T161&gt;0,S161-T161,0)</f>
        <v>0</v>
      </c>
      <c r="W161" s="1173">
        <f>SUM('3 pr-2'!U162)</f>
        <v>0</v>
      </c>
      <c r="X161" s="1173">
        <f>IF('ketv. 5 '!U161&gt;0,'ketv. 7 '!AB160,SUMIF(Projektu_sutarciu_ataskaita!$J:$J,C161,Projektu_sutarciu_ataskaita!$DM:$DM))</f>
        <v>0</v>
      </c>
      <c r="Y161" s="1174">
        <f t="shared" ref="Y161:Y165" si="340">SUM(W161-X161)</f>
        <v>0</v>
      </c>
      <c r="Z161" s="1175">
        <f t="shared" ref="Z161:Z165" si="341">IF(X161&gt;0,W161-X161,0)</f>
        <v>0</v>
      </c>
      <c r="AA161" s="1173">
        <f>SUM('3 pr-2'!X162)</f>
        <v>0</v>
      </c>
      <c r="AB161" s="1173">
        <f>IF('ketv. 5 '!U161&gt;0,'ketv. 7 '!AG160,SUMIF(Projektu_sutarciu_ataskaita!$J:$J,C161,Projektu_sutarciu_ataskaita!$DL:$DL)+SUMIF(Projektu_sutarciu_ataskaita!$J:$J,C161,Projektu_sutarciu_ataskaita!$DJ:$DJ))</f>
        <v>0</v>
      </c>
      <c r="AC161" s="1174">
        <f t="shared" ref="AC161:AC166" si="342">SUM(AA161-AB161)</f>
        <v>0</v>
      </c>
      <c r="AD161" s="1175">
        <f t="shared" ref="AD161:AD165" si="343">IF(AB161&gt;0,AA161-AB161,0)</f>
        <v>0</v>
      </c>
      <c r="AE161" s="1173">
        <f>SUM('3 pr-2'!AA162)</f>
        <v>146823.49</v>
      </c>
      <c r="AF161" s="1162">
        <f>IF('ketv. 5 '!U161&gt;0,'ketv. 7 '!AL160,SUMIF(Projektu_sutarciu_ataskaita!J:J,'ketv. 6 '!C161,Projektu_sutarciu_ataskaita!DF:DF))</f>
        <v>146823.49</v>
      </c>
      <c r="AG161" s="1575">
        <f t="shared" ref="AG161:AG165" si="344">SUM(AE161-AF161)</f>
        <v>0</v>
      </c>
      <c r="AH161" s="1177">
        <f t="shared" ref="AH161:AH165" si="345">IF(AF161&gt;0,AE161-AF161,0)</f>
        <v>0</v>
      </c>
      <c r="AI161" s="1173">
        <f>SUM('3 pr-2'!AB163)</f>
        <v>0</v>
      </c>
      <c r="AJ161" s="1162">
        <v>0</v>
      </c>
    </row>
    <row r="162" spans="1:36" ht="36.75">
      <c r="A162" s="375" t="str">
        <f>CONCATENATE('3 pr-2'!A163)</f>
        <v>2.1.4.1.2</v>
      </c>
      <c r="B162" s="375" t="str">
        <f>CONCATENATE('3 pr-2'!B163)</f>
        <v>R01-9920-490000-2412</v>
      </c>
      <c r="C162" s="1558" t="str">
        <f>IF('ketv. 4 '!Z163&gt;0,'ketv. 4 '!C163,"-")</f>
        <v>10.1.3-ESFA-R-920-11-0005</v>
      </c>
      <c r="D162" s="575" t="str">
        <f>CONCATENATE('3 pr-2'!D163)</f>
        <v>Paslaugų ir asmenų aptarnavimo kokybės gerinimas Alytaus rajono savivaldybėje</v>
      </c>
      <c r="E162" s="375" t="str">
        <f>CONCATENATE('3 pr-2'!E163)</f>
        <v>Alytaus rajono savivaldybės administracija</v>
      </c>
      <c r="F162" s="375" t="str">
        <f>CONCATENATE('3 pr-2'!F163)</f>
        <v>Lietuvos Respublikos vidaus reikalų ministerija</v>
      </c>
      <c r="G162" s="375" t="str">
        <f>CONCATENATE('3 pr-2'!G163)</f>
        <v>Alytaus r. sav.</v>
      </c>
      <c r="H162" s="375" t="str">
        <f>CONCATENATE('3 pr-2'!H163)</f>
        <v>10.1.3-ESFA-R-920</v>
      </c>
      <c r="I162" s="375" t="str">
        <f>CONCATENATE('3 pr-2'!I163)</f>
        <v>R</v>
      </c>
      <c r="J162" s="375" t="str">
        <f>CONCATENATE('3 pr-2'!J163)</f>
        <v>-</v>
      </c>
      <c r="K162" s="1173">
        <f>SUM('3 pr-2'!L163)</f>
        <v>192832.21</v>
      </c>
      <c r="L162" s="1162">
        <f t="shared" si="335"/>
        <v>192832.21</v>
      </c>
      <c r="M162" s="1174">
        <f>SUM(K162-L162)</f>
        <v>0</v>
      </c>
      <c r="N162" s="1175">
        <f>IF(L162&gt;0,K162-L162,0)</f>
        <v>0</v>
      </c>
      <c r="O162" s="1173">
        <f>SUM('3 pr-2'!O163)</f>
        <v>28924.84</v>
      </c>
      <c r="P162" s="1162">
        <f>IF('ketv. 5 '!U162&gt;0,'ketv. 7 '!R161,SUMIF(Projektu_sutarciu_ataskaita!$J:$J,C162,Projektu_sutarciu_ataskaita!$DK:$DK))</f>
        <v>28924.84</v>
      </c>
      <c r="Q162" s="1174">
        <f t="shared" si="336"/>
        <v>0</v>
      </c>
      <c r="R162" s="1175">
        <f t="shared" si="337"/>
        <v>0</v>
      </c>
      <c r="S162" s="1173">
        <f>SUM('3 pr-2'!R163)</f>
        <v>0</v>
      </c>
      <c r="T162" s="1173">
        <f>IF('ketv. 5 '!U162&gt;0,'ketv. 7 '!W161,SUMIF(Projektu_sutarciu_ataskaita!$J:$J,C162,Projektu_sutarciu_ataskaita!$DG:$DG))</f>
        <v>0</v>
      </c>
      <c r="U162" s="1174">
        <f t="shared" si="338"/>
        <v>0</v>
      </c>
      <c r="V162" s="1175">
        <f t="shared" si="339"/>
        <v>0</v>
      </c>
      <c r="W162" s="1173">
        <f>SUM('3 pr-2'!U163)</f>
        <v>0</v>
      </c>
      <c r="X162" s="1173">
        <f>IF('ketv. 5 '!U162&gt;0,'ketv. 7 '!AB161,SUMIF(Projektu_sutarciu_ataskaita!$J:$J,C162,Projektu_sutarciu_ataskaita!$DM:$DM))</f>
        <v>0</v>
      </c>
      <c r="Y162" s="1174">
        <f t="shared" si="340"/>
        <v>0</v>
      </c>
      <c r="Z162" s="1175">
        <f t="shared" si="341"/>
        <v>0</v>
      </c>
      <c r="AA162" s="1173">
        <f>SUM('3 pr-2'!X163)</f>
        <v>0</v>
      </c>
      <c r="AB162" s="1173">
        <f>IF('ketv. 5 '!U162&gt;0,'ketv. 7 '!AG161,SUMIF(Projektu_sutarciu_ataskaita!$J:$J,C162,Projektu_sutarciu_ataskaita!$DL:$DL)+SUMIF(Projektu_sutarciu_ataskaita!$J:$J,C162,Projektu_sutarciu_ataskaita!$DJ:$DJ))</f>
        <v>0</v>
      </c>
      <c r="AC162" s="1174">
        <f t="shared" si="342"/>
        <v>0</v>
      </c>
      <c r="AD162" s="1175">
        <f t="shared" si="343"/>
        <v>0</v>
      </c>
      <c r="AE162" s="1173">
        <f>SUM('3 pr-2'!AA163)</f>
        <v>163907.37</v>
      </c>
      <c r="AF162" s="1162">
        <f>IF('ketv. 5 '!U162&gt;0,'ketv. 7 '!AL161,SUMIF(Projektu_sutarciu_ataskaita!$J:$J,C162,Projektu_sutarciu_ataskaita!$DF:$DF))</f>
        <v>163907.37</v>
      </c>
      <c r="AG162" s="1575">
        <f t="shared" si="344"/>
        <v>0</v>
      </c>
      <c r="AH162" s="1177">
        <f t="shared" si="345"/>
        <v>0</v>
      </c>
      <c r="AI162" s="1173">
        <f>SUM('3 pr-2'!AB164)</f>
        <v>0</v>
      </c>
      <c r="AJ162" s="1162">
        <v>0</v>
      </c>
    </row>
    <row r="163" spans="1:36" ht="36.75">
      <c r="A163" s="375" t="str">
        <f>CONCATENATE('3 pr-2'!A164)</f>
        <v>2.1.4.1.3</v>
      </c>
      <c r="B163" s="375" t="str">
        <f>CONCATENATE('3 pr-2'!B164)</f>
        <v>R01-9920-490000-2413</v>
      </c>
      <c r="C163" s="1558" t="str">
        <f>IF('ketv. 4 '!Z164&gt;0,'ketv. 4 '!C164,"-")</f>
        <v>10.1.3-ESFA-R-920-11-0003</v>
      </c>
      <c r="D163" s="575" t="str">
        <f>CONCATENATE('3 pr-2'!D164)</f>
        <v>Lazdijų rajono savivaldybės administracijos ir jos viešojo valdymo institucijų teikiamų paslaugų procesų tobulinimas</v>
      </c>
      <c r="E163" s="375" t="str">
        <f>CONCATENATE('3 pr-2'!E164)</f>
        <v>Lazdijų rajono savivaldybės administracija</v>
      </c>
      <c r="F163" s="375" t="str">
        <f>CONCATENATE('3 pr-2'!F164)</f>
        <v>Lietuvos Respublikos vidaus reikalų ministerija</v>
      </c>
      <c r="G163" s="375" t="str">
        <f>CONCATENATE('3 pr-2'!G164)</f>
        <v>Lazdijų r. sav.</v>
      </c>
      <c r="H163" s="375" t="str">
        <f>CONCATENATE('3 pr-2'!H164)</f>
        <v>10.1.3-ESFA-R-920</v>
      </c>
      <c r="I163" s="375" t="str">
        <f>CONCATENATE('3 pr-2'!I164)</f>
        <v>R</v>
      </c>
      <c r="J163" s="375" t="str">
        <f>CONCATENATE('3 pr-2'!J164)</f>
        <v>-</v>
      </c>
      <c r="K163" s="1173">
        <f>SUM('3 pr-2'!L164)</f>
        <v>163986.88</v>
      </c>
      <c r="L163" s="1162">
        <f t="shared" si="335"/>
        <v>163986.88</v>
      </c>
      <c r="M163" s="1174">
        <f t="shared" ref="M163:M165" si="346">SUM(K163-L163)</f>
        <v>0</v>
      </c>
      <c r="N163" s="1175">
        <f t="shared" ref="N163:N165" si="347">IF(L163&gt;0,K163-L163,0)</f>
        <v>0</v>
      </c>
      <c r="O163" s="1173">
        <f>SUM('3 pr-2'!O164)</f>
        <v>24598.880000000001</v>
      </c>
      <c r="P163" s="1162">
        <f>IF('ketv. 5 '!U163&gt;0,'ketv. 7 '!R162,SUMIF(Projektu_sutarciu_ataskaita!$J:$J,C163,Projektu_sutarciu_ataskaita!$DK:$DK))</f>
        <v>24598.880000000001</v>
      </c>
      <c r="Q163" s="1174">
        <f t="shared" si="336"/>
        <v>0</v>
      </c>
      <c r="R163" s="1175">
        <f t="shared" si="337"/>
        <v>0</v>
      </c>
      <c r="S163" s="1173">
        <f>SUM('3 pr-2'!R164)</f>
        <v>0</v>
      </c>
      <c r="T163" s="1173">
        <f>IF('ketv. 5 '!U163&gt;0,'ketv. 7 '!W162,SUMIF(Projektu_sutarciu_ataskaita!$J:$J,C163,Projektu_sutarciu_ataskaita!$DG:$DG))</f>
        <v>0</v>
      </c>
      <c r="U163" s="1174">
        <f t="shared" si="338"/>
        <v>0</v>
      </c>
      <c r="V163" s="1175">
        <f t="shared" si="339"/>
        <v>0</v>
      </c>
      <c r="W163" s="1173">
        <f>SUM('3 pr-2'!U164)</f>
        <v>0</v>
      </c>
      <c r="X163" s="1173">
        <f>IF('ketv. 5 '!U163&gt;0,'ketv. 7 '!AB162,SUMIF(Projektu_sutarciu_ataskaita!$J:$J,C163,Projektu_sutarciu_ataskaita!$DM:$DM))</f>
        <v>0</v>
      </c>
      <c r="Y163" s="1174">
        <f t="shared" si="340"/>
        <v>0</v>
      </c>
      <c r="Z163" s="1175">
        <f t="shared" si="341"/>
        <v>0</v>
      </c>
      <c r="AA163" s="1173">
        <f>SUM('3 pr-2'!X164)</f>
        <v>0</v>
      </c>
      <c r="AB163" s="1173">
        <f>IF('ketv. 5 '!U163&gt;0,'ketv. 7 '!AG162,SUMIF(Projektu_sutarciu_ataskaita!$J:$J,C163,Projektu_sutarciu_ataskaita!$DL:$DL)+SUMIF(Projektu_sutarciu_ataskaita!$J:$J,C163,Projektu_sutarciu_ataskaita!$DJ:$DJ))</f>
        <v>0</v>
      </c>
      <c r="AC163" s="1174">
        <f t="shared" si="342"/>
        <v>0</v>
      </c>
      <c r="AD163" s="1175">
        <f t="shared" si="343"/>
        <v>0</v>
      </c>
      <c r="AE163" s="1173">
        <f>SUM('3 pr-2'!AA164)</f>
        <v>139388</v>
      </c>
      <c r="AF163" s="1162">
        <f>IF('ketv. 5 '!U163&gt;0,'ketv. 7 '!AL162,SUMIF(Projektu_sutarciu_ataskaita!$J:$J,C163,Projektu_sutarciu_ataskaita!$DF:$DF))</f>
        <v>139388</v>
      </c>
      <c r="AG163" s="1575">
        <f t="shared" si="344"/>
        <v>0</v>
      </c>
      <c r="AH163" s="1177">
        <f t="shared" si="345"/>
        <v>0</v>
      </c>
      <c r="AI163" s="1173">
        <f>SUM('3 pr-2'!AB165)</f>
        <v>0</v>
      </c>
      <c r="AJ163" s="1162">
        <v>0</v>
      </c>
    </row>
    <row r="164" spans="1:36" ht="48.75">
      <c r="A164" s="375" t="str">
        <f>CONCATENATE('3 pr-2'!A165)</f>
        <v>2.1.4.1.4</v>
      </c>
      <c r="B164" s="375" t="str">
        <f>CONCATENATE('3 pr-2'!B165)</f>
        <v>R01-9920-490000-2414</v>
      </c>
      <c r="C164" s="1558" t="str">
        <f>IF('ketv. 4 '!Z165&gt;0,'ketv. 4 '!C165,"-")</f>
        <v>10.1.3-ESFA-R-920-11-0007</v>
      </c>
      <c r="D164" s="575" t="str">
        <f>CONCATENATE('3 pr-2'!D165)</f>
        <v>Teikiamų paslaugų procesų tobulinimas ir asmenų aptarnavimo kokybės gerinimas Alytaus m. sav. administracijoje ir jai pavaldžiose įstaigose. I etapas</v>
      </c>
      <c r="E164" s="375" t="str">
        <f>CONCATENATE('3 pr-2'!E165)</f>
        <v>Alytaus miesto savivaldybės administracija</v>
      </c>
      <c r="F164" s="375" t="str">
        <f>CONCATENATE('3 pr-2'!F165)</f>
        <v>Lietuvos Respublikos vidaus reikalų ministerija</v>
      </c>
      <c r="G164" s="375" t="str">
        <f>CONCATENATE('3 pr-2'!G165)</f>
        <v>Alytaus m. sav.</v>
      </c>
      <c r="H164" s="375" t="str">
        <f>CONCATENATE('3 pr-2'!H165)</f>
        <v>10.1.3-ESFA-R-920</v>
      </c>
      <c r="I164" s="375" t="str">
        <f>CONCATENATE('3 pr-2'!I165)</f>
        <v>R</v>
      </c>
      <c r="J164" s="375" t="str">
        <f>CONCATENATE('3 pr-2'!J165)</f>
        <v>-</v>
      </c>
      <c r="K164" s="1173">
        <f>SUM('3 pr-2'!L165)</f>
        <v>215693.16</v>
      </c>
      <c r="L164" s="1162">
        <f t="shared" si="335"/>
        <v>215693.16</v>
      </c>
      <c r="M164" s="1174">
        <f t="shared" si="346"/>
        <v>0</v>
      </c>
      <c r="N164" s="1175">
        <f t="shared" si="347"/>
        <v>0</v>
      </c>
      <c r="O164" s="1173">
        <f>SUM('3 pr-2'!O165)</f>
        <v>32353.98</v>
      </c>
      <c r="P164" s="1162">
        <f>IF('ketv. 5 '!U164&gt;0,'ketv. 7 '!R163,SUMIF(Projektu_sutarciu_ataskaita!$J:$J,C164,Projektu_sutarciu_ataskaita!$DK:$DK))</f>
        <v>32353.98</v>
      </c>
      <c r="Q164" s="1174">
        <f t="shared" si="336"/>
        <v>0</v>
      </c>
      <c r="R164" s="1175">
        <f t="shared" si="337"/>
        <v>0</v>
      </c>
      <c r="S164" s="1173">
        <f>SUM('3 pr-2'!R165)</f>
        <v>0</v>
      </c>
      <c r="T164" s="1173">
        <f>IF('ketv. 5 '!U164&gt;0,'ketv. 7 '!W163,SUMIF(Projektu_sutarciu_ataskaita!$J:$J,C164,Projektu_sutarciu_ataskaita!$DG:$DG))</f>
        <v>0</v>
      </c>
      <c r="U164" s="1174">
        <f t="shared" si="338"/>
        <v>0</v>
      </c>
      <c r="V164" s="1175">
        <f t="shared" si="339"/>
        <v>0</v>
      </c>
      <c r="W164" s="1173">
        <f>SUM('3 pr-2'!U165)</f>
        <v>0</v>
      </c>
      <c r="X164" s="1173">
        <f>IF('ketv. 5 '!U164&gt;0,'ketv. 7 '!AB163,SUMIF(Projektu_sutarciu_ataskaita!$J:$J,C164,Projektu_sutarciu_ataskaita!$DM:$DM))</f>
        <v>0</v>
      </c>
      <c r="Y164" s="1174">
        <f t="shared" si="340"/>
        <v>0</v>
      </c>
      <c r="Z164" s="1175">
        <f t="shared" si="341"/>
        <v>0</v>
      </c>
      <c r="AA164" s="1173">
        <f>SUM('3 pr-2'!X165)</f>
        <v>0</v>
      </c>
      <c r="AB164" s="1173">
        <f>IF('ketv. 5 '!U164&gt;0,'ketv. 7 '!AG163,SUMIF(Projektu_sutarciu_ataskaita!$J:$J,C164,Projektu_sutarciu_ataskaita!$DL:$DL)+SUMIF(Projektu_sutarciu_ataskaita!$J:$J,C164,Projektu_sutarciu_ataskaita!$DJ:$DJ))</f>
        <v>0</v>
      </c>
      <c r="AC164" s="1174">
        <f t="shared" si="342"/>
        <v>0</v>
      </c>
      <c r="AD164" s="1175">
        <f t="shared" si="343"/>
        <v>0</v>
      </c>
      <c r="AE164" s="1173">
        <f>SUM('3 pr-2'!AA165)</f>
        <v>183339.18</v>
      </c>
      <c r="AF164" s="1162">
        <f>IF('ketv. 5 '!U164&gt;0,'ketv. 7 '!AL163,SUMIF(Projektu_sutarciu_ataskaita!$J:$J,C164,Projektu_sutarciu_ataskaita!$DF:$DF))</f>
        <v>183339.18</v>
      </c>
      <c r="AG164" s="1575">
        <f t="shared" si="344"/>
        <v>0</v>
      </c>
      <c r="AH164" s="1177">
        <f t="shared" si="345"/>
        <v>0</v>
      </c>
      <c r="AI164" s="1173">
        <f>SUM('3 pr-2'!AB166)</f>
        <v>0</v>
      </c>
      <c r="AJ164" s="1162">
        <v>0</v>
      </c>
    </row>
    <row r="165" spans="1:36" ht="36.75">
      <c r="A165" s="375" t="str">
        <f>CONCATENATE('3 pr-2'!A166)</f>
        <v>2.1.4.1.5</v>
      </c>
      <c r="B165" s="375" t="str">
        <f>CONCATENATE('3 pr-2'!B166)</f>
        <v>R01-9920-490000-2415</v>
      </c>
      <c r="C165" s="1558" t="str">
        <f>IF('ketv. 4 '!Z166&gt;0,'ketv. 4 '!C166,"-")</f>
        <v>10.1.3-ESFA-R-920-11-0006</v>
      </c>
      <c r="D165" s="575" t="str">
        <f>CONCATENATE('3 pr-2'!D166)</f>
        <v>Paslaugų teikimo ir asmenų aptarnavimo kokybės gerinimas Druskininkų savivaldybėje</v>
      </c>
      <c r="E165" s="375" t="str">
        <f>CONCATENATE('3 pr-2'!E166)</f>
        <v>Druskininkų savivaldybės administracija</v>
      </c>
      <c r="F165" s="375" t="str">
        <f>CONCATENATE('3 pr-2'!F166)</f>
        <v>Lietuvos Respublikos vidaus reikalų ministerija</v>
      </c>
      <c r="G165" s="375" t="str">
        <f>CONCATENATE('3 pr-2'!G166)</f>
        <v>Druskininkų sav.</v>
      </c>
      <c r="H165" s="375" t="str">
        <f>CONCATENATE('3 pr-2'!H166)</f>
        <v>10.1.3-ESFA-R-920</v>
      </c>
      <c r="I165" s="375" t="str">
        <f>CONCATENATE('3 pr-2'!I166)</f>
        <v>R</v>
      </c>
      <c r="J165" s="375" t="str">
        <f>CONCATENATE('3 pr-2'!J166)</f>
        <v>-</v>
      </c>
      <c r="K165" s="1173">
        <f>SUM('3 pr-2'!L166)</f>
        <v>161741.96</v>
      </c>
      <c r="L165" s="1162">
        <f t="shared" si="335"/>
        <v>161741.96</v>
      </c>
      <c r="M165" s="1174">
        <f t="shared" si="346"/>
        <v>0</v>
      </c>
      <c r="N165" s="1175">
        <f t="shared" si="347"/>
        <v>0</v>
      </c>
      <c r="O165" s="1173">
        <f>SUM('3 pr-2'!O166)</f>
        <v>24392.16</v>
      </c>
      <c r="P165" s="1162">
        <f>IF('ketv. 5 '!U165&gt;0,'ketv. 7 '!R164,SUMIF(Projektu_sutarciu_ataskaita!$J:$J,C165,Projektu_sutarciu_ataskaita!$DK:$DK))</f>
        <v>24392.16</v>
      </c>
      <c r="Q165" s="1174">
        <f t="shared" si="336"/>
        <v>0</v>
      </c>
      <c r="R165" s="1175">
        <f t="shared" si="337"/>
        <v>0</v>
      </c>
      <c r="S165" s="1173">
        <f>SUM('3 pr-2'!R166)</f>
        <v>0</v>
      </c>
      <c r="T165" s="1173">
        <f>IF('ketv. 5 '!U165&gt;0,'ketv. 7 '!W164,SUMIF(Projektu_sutarciu_ataskaita!$J:$J,C165,Projektu_sutarciu_ataskaita!$DG:$DG))</f>
        <v>0</v>
      </c>
      <c r="U165" s="1174">
        <f t="shared" si="338"/>
        <v>0</v>
      </c>
      <c r="V165" s="1175">
        <f t="shared" si="339"/>
        <v>0</v>
      </c>
      <c r="W165" s="1173">
        <f>SUM('3 pr-2'!U166)</f>
        <v>0</v>
      </c>
      <c r="X165" s="1173">
        <f>IF('ketv. 5 '!U165&gt;0,'ketv. 7 '!AB164,SUMIF(Projektu_sutarciu_ataskaita!$J:$J,C165,Projektu_sutarciu_ataskaita!$DM:$DM))</f>
        <v>0</v>
      </c>
      <c r="Y165" s="1174">
        <f t="shared" si="340"/>
        <v>0</v>
      </c>
      <c r="Z165" s="1175">
        <f t="shared" si="341"/>
        <v>0</v>
      </c>
      <c r="AA165" s="1173">
        <f>SUM('3 pr-2'!X166)</f>
        <v>0</v>
      </c>
      <c r="AB165" s="1173">
        <f>IF('ketv. 5 '!U165&gt;0,'ketv. 7 '!AG164,SUMIF(Projektu_sutarciu_ataskaita!$J:$J,C165,Projektu_sutarciu_ataskaita!$DL:$DL)+SUMIF(Projektu_sutarciu_ataskaita!$J:$J,C165,Projektu_sutarciu_ataskaita!$DJ:$DJ))</f>
        <v>0</v>
      </c>
      <c r="AC165" s="1174">
        <f t="shared" si="342"/>
        <v>0</v>
      </c>
      <c r="AD165" s="1175">
        <f t="shared" si="343"/>
        <v>0</v>
      </c>
      <c r="AE165" s="1173">
        <f>SUM('3 pr-2'!AA166)</f>
        <v>137349.79999999999</v>
      </c>
      <c r="AF165" s="1162">
        <f>IF('ketv. 5 '!U165&gt;0,'ketv. 7 '!AL164,SUMIF(Projektu_sutarciu_ataskaita!$J:$J,C165,Projektu_sutarciu_ataskaita!$DF:$DF))</f>
        <v>137349.79999999999</v>
      </c>
      <c r="AG165" s="1176">
        <f t="shared" si="344"/>
        <v>0</v>
      </c>
      <c r="AH165" s="1177">
        <f t="shared" si="345"/>
        <v>0</v>
      </c>
      <c r="AI165" s="1173">
        <f>SUM('3 pr-2'!AB167)</f>
        <v>0</v>
      </c>
      <c r="AJ165" s="1162">
        <v>0</v>
      </c>
    </row>
    <row r="166" spans="1:36" ht="49.5" thickBot="1">
      <c r="A166" s="375" t="str">
        <f>CONCATENATE('3 pr-2'!A167)</f>
        <v>2.1.4.1.6</v>
      </c>
      <c r="B166" s="375" t="str">
        <f>CONCATENATE('3 pr-2'!B167)</f>
        <v>R01-9920-490000-2416</v>
      </c>
      <c r="C166" s="1558" t="str">
        <f>IF('ketv. 4 '!Z167&gt;0,'ketv. 4 '!C167,"-")</f>
        <v>-</v>
      </c>
      <c r="D166" s="575" t="str">
        <f>CONCATENATE('3 pr-2'!D167)</f>
        <v>Teikiamų paslaugų procesų tobulinimas ir asmenų aptarnavimo kokybės gerinimas Alytaus m. sav. administracijoje ir jai pavaldžiose įstaigose. II etapas</v>
      </c>
      <c r="E166" s="375" t="str">
        <f>CONCATENATE('3 pr-2'!E167)</f>
        <v>Alytaus miesto savivaldybės administracija</v>
      </c>
      <c r="F166" s="375" t="str">
        <f>CONCATENATE('3 pr-2'!F167)</f>
        <v>Lietuvos Respublikos vidaus reikalų ministerija</v>
      </c>
      <c r="G166" s="375" t="str">
        <f>CONCATENATE('3 pr-2'!G167)</f>
        <v>Alytaus m. sav.</v>
      </c>
      <c r="H166" s="375" t="str">
        <f>CONCATENATE('3 pr-2'!H167)</f>
        <v>10.1.3-ESFA-R-920</v>
      </c>
      <c r="I166" s="375" t="str">
        <f>CONCATENATE('3 pr-2'!I167)</f>
        <v>R</v>
      </c>
      <c r="J166" s="375" t="str">
        <f>CONCATENATE('3 pr-2'!J167)</f>
        <v>-</v>
      </c>
      <c r="K166" s="1173">
        <f>SUM('3 pr-2'!L167)</f>
        <v>200000</v>
      </c>
      <c r="L166" s="1173">
        <f t="shared" si="335"/>
        <v>0</v>
      </c>
      <c r="M166" s="1174">
        <f t="shared" ref="M166" si="348">SUM(K166-L166)</f>
        <v>200000</v>
      </c>
      <c r="N166" s="1175">
        <f t="shared" ref="N166" si="349">IF(L166&gt;0,K166-L166,0)</f>
        <v>0</v>
      </c>
      <c r="O166" s="1173">
        <f>SUM('3 pr-2'!O167)</f>
        <v>30000</v>
      </c>
      <c r="P166" s="1173">
        <f>IF('ketv. 5 '!U166&gt;0,'ketv. 7 '!R165,SUMIF(Projektu_sutarciu_ataskaita!$J:$J,C166,Projektu_sutarciu_ataskaita!$DK:$DK))</f>
        <v>0</v>
      </c>
      <c r="Q166" s="1174">
        <f t="shared" ref="Q166" si="350">SUM(O166-P166)</f>
        <v>30000</v>
      </c>
      <c r="R166" s="1175">
        <f t="shared" ref="R166" si="351">IF(P166&gt;0,O166-P166,0)</f>
        <v>0</v>
      </c>
      <c r="S166" s="1173">
        <f>SUM('3 pr-2'!R167)</f>
        <v>0</v>
      </c>
      <c r="T166" s="1173">
        <f>IF('ketv. 5 '!U166&gt;0,'ketv. 7 '!W165,SUMIF(Projektu_sutarciu_ataskaita!$J:$J,C166,Projektu_sutarciu_ataskaita!$DG:$DG))</f>
        <v>0</v>
      </c>
      <c r="U166" s="1174">
        <f t="shared" ref="U166" si="352">SUM(S166-T166)</f>
        <v>0</v>
      </c>
      <c r="V166" s="1175">
        <f t="shared" ref="V166" si="353">IF(T166&gt;0,S166-T166,0)</f>
        <v>0</v>
      </c>
      <c r="W166" s="1173">
        <f>SUM('3 pr-2'!U167)</f>
        <v>0</v>
      </c>
      <c r="X166" s="1173">
        <f>IF('ketv. 5 '!U166&gt;0,'ketv. 7 '!AB165,SUMIF(Projektu_sutarciu_ataskaita!$J:$J,C166,Projektu_sutarciu_ataskaita!$DM:$DM))</f>
        <v>0</v>
      </c>
      <c r="Y166" s="1174">
        <f t="shared" ref="Y166" si="354">SUM(W166-X166)</f>
        <v>0</v>
      </c>
      <c r="Z166" s="1175">
        <f t="shared" ref="Z166" si="355">IF(X166&gt;0,W166-X166,0)</f>
        <v>0</v>
      </c>
      <c r="AA166" s="1173">
        <f>SUM('3 pr-2'!X167)</f>
        <v>0</v>
      </c>
      <c r="AB166" s="1173">
        <f>IF('ketv. 5 '!U166&gt;0,'ketv. 7 '!AG165,SUMIF(Projektu_sutarciu_ataskaita!$J:$J,C166,Projektu_sutarciu_ataskaita!$DL:$DL)+SUMIF(Projektu_sutarciu_ataskaita!$J:$J,C166,Projektu_sutarciu_ataskaita!$DJ:$DJ))</f>
        <v>0</v>
      </c>
      <c r="AC166" s="1174">
        <f t="shared" si="342"/>
        <v>0</v>
      </c>
      <c r="AD166" s="1175">
        <f t="shared" ref="AD166" si="356">IF(AB166&gt;0,AA166-AB166,0)</f>
        <v>0</v>
      </c>
      <c r="AE166" s="1173">
        <f>SUM('3 pr-2'!AA167)</f>
        <v>170000</v>
      </c>
      <c r="AF166" s="1173">
        <f>IF('ketv. 5 '!U166&gt;0,'ketv. 7 '!AL165,SUMIF(Projektu_sutarciu_ataskaita!$J:$J,C166,Projektu_sutarciu_ataskaita!$DF:$DF))</f>
        <v>0</v>
      </c>
      <c r="AG166" s="1176"/>
      <c r="AH166" s="1579"/>
      <c r="AI166" s="1173">
        <f>SUM('3 pr-2'!AB168)</f>
        <v>0</v>
      </c>
      <c r="AJ166" s="1173"/>
    </row>
    <row r="167" spans="1:36" ht="51.75" customHeight="1" thickBot="1">
      <c r="A167" s="382" t="str">
        <f>CONCATENATE('3 pr-2'!A168)</f>
        <v>3.1.</v>
      </c>
      <c r="B167" s="2092" t="str">
        <f>CONCATENATE('3 pr-2'!B168)</f>
        <v>Tikslas: 
DARNIAI TVARKYTI IR VYSTYTI REGIONO TERITORIJĄ</v>
      </c>
      <c r="C167" s="1901"/>
      <c r="D167" s="1901"/>
      <c r="E167" s="1901"/>
      <c r="F167" s="1901"/>
      <c r="G167" s="1901"/>
      <c r="H167" s="1901"/>
      <c r="I167" s="1901"/>
      <c r="J167" s="1902"/>
      <c r="K167" s="1547">
        <f>SUM('3 pr-2'!L168)</f>
        <v>6638484.83117647</v>
      </c>
      <c r="L167" s="1548">
        <f>SUM(L168+L171)</f>
        <v>5374253.1099999994</v>
      </c>
      <c r="M167" s="1549">
        <f>SUM(M168+M171)</f>
        <v>1175707.6270588236</v>
      </c>
      <c r="N167" s="1550">
        <f>SUM(N168+N171)</f>
        <v>471704.4070588235</v>
      </c>
      <c r="O167" s="1547">
        <f>SUM('3 pr-2'!O168)</f>
        <v>376170.03117647057</v>
      </c>
      <c r="P167" s="1547">
        <f>SUM(P168+P171)</f>
        <v>186534.93</v>
      </c>
      <c r="Q167" s="1547">
        <f>SUM(Q168+Q171)</f>
        <v>176356.48705882352</v>
      </c>
      <c r="R167" s="1547">
        <f>SUM(R168+R171)</f>
        <v>70755.657058823534</v>
      </c>
      <c r="S167" s="1547">
        <f>SUM('3 pr-2'!R168)</f>
        <v>0</v>
      </c>
      <c r="T167" s="1547">
        <f>SUM(T168+T171)</f>
        <v>0</v>
      </c>
      <c r="U167" s="1547">
        <f>SUM(U168+U171)</f>
        <v>0</v>
      </c>
      <c r="V167" s="1547">
        <f>SUM(V168+V171)</f>
        <v>0</v>
      </c>
      <c r="W167" s="1547">
        <f>SUM('3 pr-2'!U168)</f>
        <v>777879.2799999998</v>
      </c>
      <c r="X167" s="1547">
        <f>SUM(X168+X171)</f>
        <v>777879.28</v>
      </c>
      <c r="Y167" s="1547">
        <f>SUM(Y168+Y171)</f>
        <v>-2.3283064365386963E-10</v>
      </c>
      <c r="Z167" s="1547">
        <f>SUM(Z168+Z171)</f>
        <v>-2.3283064365386963E-10</v>
      </c>
      <c r="AA167" s="1547">
        <f>SUM('3 pr-2'!X168)</f>
        <v>0</v>
      </c>
      <c r="AB167" s="1547">
        <f>SUM(AB168+AB171)</f>
        <v>0</v>
      </c>
      <c r="AC167" s="1547">
        <f>SUM(AC168+AC171)</f>
        <v>0</v>
      </c>
      <c r="AD167" s="1547">
        <f>SUM(AD168+AD171)</f>
        <v>0</v>
      </c>
      <c r="AE167" s="1547">
        <f>SUM('3 pr-2'!AA168)</f>
        <v>5484435.5199999996</v>
      </c>
      <c r="AF167" s="1547">
        <f>SUM(AF168+AF171)</f>
        <v>4409838.9000000004</v>
      </c>
      <c r="AG167" s="1551">
        <f>SUM(AG168+AG171)</f>
        <v>999351.14</v>
      </c>
      <c r="AH167" s="1552">
        <f>SUM(AH168+AH171)</f>
        <v>400948.75</v>
      </c>
      <c r="AI167" s="1547">
        <f t="shared" ref="AI167:AJ167" si="357">SUM(AI168+AI171)</f>
        <v>0</v>
      </c>
      <c r="AJ167" s="1547">
        <f t="shared" si="357"/>
        <v>0</v>
      </c>
    </row>
    <row r="168" spans="1:36" ht="35.25" customHeight="1" thickBot="1">
      <c r="A168" s="238" t="str">
        <f>CONCATENATE('3 pr-2'!A169)</f>
        <v>3.1.1.</v>
      </c>
      <c r="B168" s="2085" t="str">
        <f>CONCATENATE('3 pr-2'!B169)</f>
        <v>Uždavinys:
Sumažinti sąvartynuose šalinamų komunalinių atliekų kiekį</v>
      </c>
      <c r="C168" s="1901"/>
      <c r="D168" s="1901"/>
      <c r="E168" s="1901"/>
      <c r="F168" s="1901"/>
      <c r="G168" s="1901"/>
      <c r="H168" s="1901"/>
      <c r="I168" s="1901"/>
      <c r="J168" s="1902"/>
      <c r="K168" s="1553">
        <f>SUM('3 pr-2'!L169)</f>
        <v>4130687.05</v>
      </c>
      <c r="L168" s="1553">
        <f>SUM(L169)</f>
        <v>4130687.05</v>
      </c>
      <c r="M168" s="1551">
        <f>SUM(M169)</f>
        <v>0</v>
      </c>
      <c r="N168" s="1552">
        <f>SUM(N169)</f>
        <v>0</v>
      </c>
      <c r="O168" s="1553">
        <f>SUM('3 pr-2'!O169)</f>
        <v>0</v>
      </c>
      <c r="P168" s="1553">
        <f>SUM(P169)</f>
        <v>0</v>
      </c>
      <c r="Q168" s="1553">
        <f>SUM(Q169)</f>
        <v>0</v>
      </c>
      <c r="R168" s="1553">
        <f>SUM(R169)</f>
        <v>0</v>
      </c>
      <c r="S168" s="1553">
        <f>SUM('3 pr-2'!R169)</f>
        <v>0</v>
      </c>
      <c r="T168" s="1553">
        <f>SUM(T169)</f>
        <v>0</v>
      </c>
      <c r="U168" s="1553">
        <f>SUM(U169)</f>
        <v>0</v>
      </c>
      <c r="V168" s="1553">
        <f>SUM(V169)</f>
        <v>0</v>
      </c>
      <c r="W168" s="1553">
        <f>SUM('3 pr-2'!U169)</f>
        <v>777879.2799999998</v>
      </c>
      <c r="X168" s="1553">
        <f>SUM(X169)</f>
        <v>777879.28</v>
      </c>
      <c r="Y168" s="1553">
        <f>SUM(Y169)</f>
        <v>-2.3283064365386963E-10</v>
      </c>
      <c r="Z168" s="1553">
        <f>SUM(Z169)</f>
        <v>-2.3283064365386963E-10</v>
      </c>
      <c r="AA168" s="1553">
        <f>SUM('3 pr-2'!X169)</f>
        <v>0</v>
      </c>
      <c r="AB168" s="1553">
        <f>SUM(AB169)</f>
        <v>0</v>
      </c>
      <c r="AC168" s="1553">
        <f>SUM(AC169)</f>
        <v>0</v>
      </c>
      <c r="AD168" s="1553">
        <f>SUM(AD169)</f>
        <v>0</v>
      </c>
      <c r="AE168" s="1553">
        <f>SUM('3 pr-2'!AA169)</f>
        <v>3352807.77</v>
      </c>
      <c r="AF168" s="1553">
        <f>SUM(AF169)</f>
        <v>3352807.77</v>
      </c>
      <c r="AG168" s="1567">
        <f>SUM(AG169)</f>
        <v>0</v>
      </c>
      <c r="AH168" s="1568">
        <f>SUM(AH169)</f>
        <v>0</v>
      </c>
      <c r="AI168" s="1553">
        <f t="shared" ref="AI168:AJ169" si="358">SUM(AI169)</f>
        <v>0</v>
      </c>
      <c r="AJ168" s="1553">
        <f t="shared" si="358"/>
        <v>0</v>
      </c>
    </row>
    <row r="169" spans="1:36" ht="36.75" customHeight="1" thickBot="1">
      <c r="A169" s="296" t="str">
        <f>CONCATENATE('3 pr-2'!A170)</f>
        <v>3.1.1.1</v>
      </c>
      <c r="B169" s="2088" t="str">
        <f>CONCATENATE('3 pr-2'!B170)</f>
        <v>Priemonė:
Komunalinių atliekų tvarkymo infrastruktūros plėtra</v>
      </c>
      <c r="C169" s="1894"/>
      <c r="D169" s="1894"/>
      <c r="E169" s="1894"/>
      <c r="F169" s="1894"/>
      <c r="G169" s="1894"/>
      <c r="H169" s="1894"/>
      <c r="I169" s="1894"/>
      <c r="J169" s="1895"/>
      <c r="K169" s="1168">
        <f>SUM('3 pr-2'!L170)</f>
        <v>4130687.05</v>
      </c>
      <c r="L169" s="1168">
        <f>SUM(L170)</f>
        <v>4130687.05</v>
      </c>
      <c r="M169" s="1169">
        <f>SUM(M170)</f>
        <v>0</v>
      </c>
      <c r="N169" s="1170">
        <f t="shared" ref="N169" si="359">SUM(N170)</f>
        <v>0</v>
      </c>
      <c r="O169" s="1168">
        <f>SUM('3 pr-2'!O170)</f>
        <v>0</v>
      </c>
      <c r="P169" s="1168">
        <f>SUM(P170)</f>
        <v>0</v>
      </c>
      <c r="Q169" s="1168">
        <f>SUM(Q170)</f>
        <v>0</v>
      </c>
      <c r="R169" s="1168">
        <f t="shared" ref="R169" si="360">SUM(R170)</f>
        <v>0</v>
      </c>
      <c r="S169" s="1168">
        <f>SUM('3 pr-2'!R170)</f>
        <v>0</v>
      </c>
      <c r="T169" s="1168">
        <f>SUM(T170)</f>
        <v>0</v>
      </c>
      <c r="U169" s="1168">
        <f>SUM(U170)</f>
        <v>0</v>
      </c>
      <c r="V169" s="1168">
        <f t="shared" ref="V169" si="361">SUM(V170)</f>
        <v>0</v>
      </c>
      <c r="W169" s="1168">
        <f>SUM('3 pr-2'!U170)</f>
        <v>777879.2799999998</v>
      </c>
      <c r="X169" s="1168">
        <f>SUM(X170)</f>
        <v>777879.28</v>
      </c>
      <c r="Y169" s="1168">
        <f>SUM(Y170)</f>
        <v>-2.3283064365386963E-10</v>
      </c>
      <c r="Z169" s="1168">
        <f t="shared" ref="Z169" si="362">SUM(Z170)</f>
        <v>-2.3283064365386963E-10</v>
      </c>
      <c r="AA169" s="1168">
        <f>SUM('3 pr-2'!X170)</f>
        <v>0</v>
      </c>
      <c r="AB169" s="1168">
        <f>SUM(AB170)</f>
        <v>0</v>
      </c>
      <c r="AC169" s="1168">
        <f>SUM(AC170)</f>
        <v>0</v>
      </c>
      <c r="AD169" s="1168">
        <f t="shared" ref="AD169" si="363">SUM(AD170)</f>
        <v>0</v>
      </c>
      <c r="AE169" s="1168">
        <f>SUM('3 pr-2'!AA170)</f>
        <v>3352807.77</v>
      </c>
      <c r="AF169" s="1168">
        <f>SUM(AF170)</f>
        <v>3352807.77</v>
      </c>
      <c r="AG169" s="1564">
        <f t="shared" ref="AG169:AH169" si="364">SUM(AG170)</f>
        <v>0</v>
      </c>
      <c r="AH169" s="1565">
        <f t="shared" si="364"/>
        <v>0</v>
      </c>
      <c r="AI169" s="1168">
        <f t="shared" si="358"/>
        <v>0</v>
      </c>
      <c r="AJ169" s="1168">
        <f t="shared" si="358"/>
        <v>0</v>
      </c>
    </row>
    <row r="170" spans="1:36" ht="37.5" thickBot="1">
      <c r="A170" s="375" t="str">
        <f>CONCATENATE('3 pr-2'!A171)</f>
        <v>3.1.1.1.1</v>
      </c>
      <c r="B170" s="375" t="str">
        <f>CONCATENATE('3 pr-2'!B171)</f>
        <v>R01-0008-050000-3111</v>
      </c>
      <c r="C170" s="1558" t="str">
        <f>IF('ketv. 4 '!Z171&gt;0,'ketv. 4 '!C171,"-")</f>
        <v>05.2.1-APVA-R-008-11-0001</v>
      </c>
      <c r="D170" s="575" t="str">
        <f>CONCATENATE('3 pr-2'!D171)</f>
        <v>Komunalinių atliekų tvarkymo infrastruktūros plėtra Alytaus regione</v>
      </c>
      <c r="E170" s="375" t="str">
        <f>CONCATENATE('3 pr-2'!E171)</f>
        <v>Alytaus regiono atliekų tvarkymo centras</v>
      </c>
      <c r="F170" s="375" t="str">
        <f>CONCATENATE('3 pr-2'!F171)</f>
        <v>Lietuvos Respublikos aplinkos ministerija</v>
      </c>
      <c r="G170" s="375" t="str">
        <f>CONCATENATE('3 pr-2'!G171)</f>
        <v>Alytaus regionas</v>
      </c>
      <c r="H170" s="375" t="str">
        <f>CONCATENATE('3 pr-2'!H171)</f>
        <v>05.2.1-APVA-R-008</v>
      </c>
      <c r="I170" s="375" t="str">
        <f>CONCATENATE('3 pr-2'!I171)</f>
        <v>R</v>
      </c>
      <c r="J170" s="375" t="str">
        <f>CONCATENATE('3 pr-2'!J171)</f>
        <v>-</v>
      </c>
      <c r="K170" s="1173">
        <f>SUM('3 pr-2'!L171)</f>
        <v>4130687.05</v>
      </c>
      <c r="L170" s="1162">
        <f t="shared" ref="L170" si="365">SUM(P170+T170+X170+AB170+AF170+AJ170)</f>
        <v>4130687.05</v>
      </c>
      <c r="M170" s="1174">
        <f t="shared" ref="M170" si="366">SUM(K170-L170)</f>
        <v>0</v>
      </c>
      <c r="N170" s="1175">
        <f>IF(L170&gt;0,K170-L170,0)</f>
        <v>0</v>
      </c>
      <c r="O170" s="1173">
        <f>SUM('3 pr-2'!O171)</f>
        <v>0</v>
      </c>
      <c r="P170" s="1215">
        <f>IF('ketv. 5 '!U170&gt;0,'ketv. 7 '!R169,SUMIF(Projektu_sutarciu_ataskaita!$J:$J,C170,Projektu_sutarciu_ataskaita!$DK:$DK))</f>
        <v>0</v>
      </c>
      <c r="Q170" s="1174">
        <f t="shared" ref="Q170" si="367">SUM(O170-P170)</f>
        <v>0</v>
      </c>
      <c r="R170" s="1175">
        <f>IF(P170&gt;0,O170-P170,0)</f>
        <v>0</v>
      </c>
      <c r="S170" s="1173">
        <f>SUM('3 pr-2'!R171)</f>
        <v>0</v>
      </c>
      <c r="T170" s="1173">
        <f>IF('ketv. 5 '!U170&gt;0,'ketv. 7 '!W169,SUMIF(Projektu_sutarciu_ataskaita!$J:$J,C170,Projektu_sutarciu_ataskaita!$DG:$DG))</f>
        <v>0</v>
      </c>
      <c r="U170" s="1174">
        <f t="shared" ref="U170" si="368">SUM(S170-T170)</f>
        <v>0</v>
      </c>
      <c r="V170" s="1175">
        <f>IF(T170&gt;0,S170-T170,0)</f>
        <v>0</v>
      </c>
      <c r="W170" s="1173">
        <f>SUM('3 pr-2'!U171)</f>
        <v>777879.2799999998</v>
      </c>
      <c r="X170" s="1162">
        <f>IF('ketv. 5 '!U170&gt;0,'ketv. 7 '!AB169,SUMIF(Projektu_sutarciu_ataskaita!$J:$J,C170,Projektu_sutarciu_ataskaita!$DM:$DM))</f>
        <v>777879.28</v>
      </c>
      <c r="Y170" s="1174">
        <f t="shared" ref="Y170" si="369">SUM(W170-X170)</f>
        <v>-2.3283064365386963E-10</v>
      </c>
      <c r="Z170" s="1175">
        <f>IF(X170&gt;0,W170-X170,0)</f>
        <v>-2.3283064365386963E-10</v>
      </c>
      <c r="AA170" s="1173">
        <f>SUM('3 pr-2'!X171)</f>
        <v>0</v>
      </c>
      <c r="AB170" s="1173">
        <f>IF('ketv. 5 '!U170&gt;0,'ketv. 7 '!AG169,SUMIF(Projektu_sutarciu_ataskaita!$J:$J,C170,Projektu_sutarciu_ataskaita!$DL:$DL)+SUMIF(Projektu_sutarciu_ataskaita!$J:$J,C170,Projektu_sutarciu_ataskaita!$DJ:$DJ))</f>
        <v>0</v>
      </c>
      <c r="AC170" s="1174">
        <f>SUM(AA170-AB170)</f>
        <v>0</v>
      </c>
      <c r="AD170" s="1175">
        <f>IF(AB170&gt;0,AA170-AB170,0)</f>
        <v>0</v>
      </c>
      <c r="AE170" s="1173">
        <f>SUM('3 pr-2'!AA171)</f>
        <v>3352807.77</v>
      </c>
      <c r="AF170" s="1162">
        <f>IF('ketv. 5 '!U170&gt;0,'ketv. 7 '!AL169,SUMIF(Projektu_sutarciu_ataskaita!$J:$J,C170,Projektu_sutarciu_ataskaita!$DF:$DF))</f>
        <v>3352807.77</v>
      </c>
      <c r="AG170" s="1176">
        <f t="shared" ref="AG170" si="370">SUM(AE170-AF170)</f>
        <v>0</v>
      </c>
      <c r="AH170" s="1177">
        <f>IF(AF170&gt;0,AE170-AF170,0)</f>
        <v>0</v>
      </c>
      <c r="AI170" s="1173">
        <f>SUM('3 pr-2'!AB172)</f>
        <v>0</v>
      </c>
      <c r="AJ170" s="1162">
        <v>0</v>
      </c>
    </row>
    <row r="171" spans="1:36" ht="36.75" customHeight="1" thickBot="1">
      <c r="A171" s="238" t="str">
        <f>CONCATENATE('3 pr-2'!A172)</f>
        <v>3.1.2.</v>
      </c>
      <c r="B171" s="2085" t="str">
        <f>CONCATENATE('3 pr-2'!B172)</f>
        <v>Uždavinys:
Kraštovaizdžio apsauga, planavimas ir tvarkymas</v>
      </c>
      <c r="C171" s="1901"/>
      <c r="D171" s="1901"/>
      <c r="E171" s="1901"/>
      <c r="F171" s="1901"/>
      <c r="G171" s="1901"/>
      <c r="H171" s="1901"/>
      <c r="I171" s="1901"/>
      <c r="J171" s="1902"/>
      <c r="K171" s="1553">
        <f>SUM('3 pr-2'!L172)</f>
        <v>2507797.7811764702</v>
      </c>
      <c r="L171" s="1553">
        <f>SUM(L172)</f>
        <v>1243566.06</v>
      </c>
      <c r="M171" s="1551">
        <f>SUM(M172)</f>
        <v>1175707.6270588236</v>
      </c>
      <c r="N171" s="1552">
        <f>SUM(N172)</f>
        <v>471704.4070588235</v>
      </c>
      <c r="O171" s="1553">
        <f>SUM('3 pr-2'!O172)</f>
        <v>376170.03117647057</v>
      </c>
      <c r="P171" s="1553">
        <f>SUM(P172)</f>
        <v>186534.93</v>
      </c>
      <c r="Q171" s="1553">
        <f>SUM(Q172)</f>
        <v>176356.48705882352</v>
      </c>
      <c r="R171" s="1553">
        <f>SUM(R172)</f>
        <v>70755.657058823534</v>
      </c>
      <c r="S171" s="1553">
        <f>SUM('3 pr-2'!R172)</f>
        <v>0</v>
      </c>
      <c r="T171" s="1553">
        <f>SUM(T172)</f>
        <v>0</v>
      </c>
      <c r="U171" s="1553">
        <f>SUM(U172)</f>
        <v>0</v>
      </c>
      <c r="V171" s="1553">
        <f>SUM(V172)</f>
        <v>0</v>
      </c>
      <c r="W171" s="1553">
        <f>SUM('3 pr-2'!U172)</f>
        <v>0</v>
      </c>
      <c r="X171" s="1553">
        <f>SUM(X172)</f>
        <v>0</v>
      </c>
      <c r="Y171" s="1553">
        <f>SUM(Y172)</f>
        <v>0</v>
      </c>
      <c r="Z171" s="1553">
        <f>SUM(Z172)</f>
        <v>0</v>
      </c>
      <c r="AA171" s="1553">
        <f>SUM('3 pr-2'!X172)</f>
        <v>0</v>
      </c>
      <c r="AB171" s="1553">
        <f>SUM(AB172)</f>
        <v>0</v>
      </c>
      <c r="AC171" s="1553">
        <f>SUM(AC172)</f>
        <v>0</v>
      </c>
      <c r="AD171" s="1553">
        <f>SUM(AD172)</f>
        <v>0</v>
      </c>
      <c r="AE171" s="1553">
        <f>SUM('3 pr-2'!AA172)</f>
        <v>2131627.75</v>
      </c>
      <c r="AF171" s="1553">
        <f>SUM(AF172)</f>
        <v>1057031.1300000001</v>
      </c>
      <c r="AG171" s="1567">
        <f>SUM(AG172)</f>
        <v>999351.14</v>
      </c>
      <c r="AH171" s="1568">
        <f>SUM(AH172)</f>
        <v>400948.75</v>
      </c>
      <c r="AI171" s="1553">
        <f t="shared" ref="AI171:AJ171" si="371">SUM(AI172)</f>
        <v>0</v>
      </c>
      <c r="AJ171" s="1553">
        <f t="shared" si="371"/>
        <v>0</v>
      </c>
    </row>
    <row r="172" spans="1:36" ht="40.5" customHeight="1" thickBot="1">
      <c r="A172" s="296" t="str">
        <f>CONCATENATE('3 pr-2'!A173)</f>
        <v>3.1.2.1</v>
      </c>
      <c r="B172" s="2088" t="str">
        <f>CONCATENATE('3 pr-2'!B173)</f>
        <v>Priemonė:
Kraštovaizdžio apsauga/plėtra</v>
      </c>
      <c r="C172" s="1894"/>
      <c r="D172" s="1894"/>
      <c r="E172" s="1894"/>
      <c r="F172" s="1894"/>
      <c r="G172" s="1894"/>
      <c r="H172" s="1894"/>
      <c r="I172" s="1894"/>
      <c r="J172" s="1895"/>
      <c r="K172" s="1168">
        <f>SUM('3 pr-2'!L173)</f>
        <v>2507797.7811764702</v>
      </c>
      <c r="L172" s="1168">
        <f>SUM(L173:L181)</f>
        <v>1243566.06</v>
      </c>
      <c r="M172" s="1169">
        <f>SUM(M173:M180)</f>
        <v>1175707.6270588236</v>
      </c>
      <c r="N172" s="1170">
        <f>SUM(N173:N180)</f>
        <v>471704.4070588235</v>
      </c>
      <c r="O172" s="1168">
        <f>SUM('3 pr-2'!O173)</f>
        <v>376170.03117647057</v>
      </c>
      <c r="P172" s="1168">
        <f>SUM(P173:P181)</f>
        <v>186534.93</v>
      </c>
      <c r="Q172" s="1168">
        <f>SUM(Q173:Q180)</f>
        <v>176356.48705882352</v>
      </c>
      <c r="R172" s="1168">
        <f>SUM(R173:R180)</f>
        <v>70755.657058823534</v>
      </c>
      <c r="S172" s="1168">
        <f>SUM('3 pr-2'!R173)</f>
        <v>0</v>
      </c>
      <c r="T172" s="1168">
        <f>SUM(T173:T181)</f>
        <v>0</v>
      </c>
      <c r="U172" s="1168">
        <f>SUM(U173:U180)</f>
        <v>0</v>
      </c>
      <c r="V172" s="1168">
        <f>SUM(V173:V180)</f>
        <v>0</v>
      </c>
      <c r="W172" s="1168">
        <f>SUM('3 pr-2'!U173)</f>
        <v>0</v>
      </c>
      <c r="X172" s="1168">
        <f>SUM(X173:X181)</f>
        <v>0</v>
      </c>
      <c r="Y172" s="1168">
        <f>SUM(Y173:Y180)</f>
        <v>0</v>
      </c>
      <c r="Z172" s="1168">
        <f>SUM(Z173:Z180)</f>
        <v>0</v>
      </c>
      <c r="AA172" s="1168">
        <f>SUM('3 pr-2'!X173)</f>
        <v>0</v>
      </c>
      <c r="AB172" s="1168">
        <f>SUM(AB173:AB181)</f>
        <v>0</v>
      </c>
      <c r="AC172" s="1168">
        <f>SUM(AC173:AC180)</f>
        <v>0</v>
      </c>
      <c r="AD172" s="1168">
        <f>SUM(AD173:AD180)</f>
        <v>0</v>
      </c>
      <c r="AE172" s="1168">
        <f>SUM('3 pr-2'!AA173)</f>
        <v>2131627.75</v>
      </c>
      <c r="AF172" s="1168">
        <f>SUM(AF173:AF181)</f>
        <v>1057031.1300000001</v>
      </c>
      <c r="AG172" s="1564">
        <f>SUM(AG173:AG180)</f>
        <v>999351.14</v>
      </c>
      <c r="AH172" s="1565">
        <f>SUM(AH173:AH180)</f>
        <v>400948.75</v>
      </c>
      <c r="AI172" s="1168">
        <f t="shared" ref="AI172:AJ172" si="372">SUM(AI173:AI181)</f>
        <v>0</v>
      </c>
      <c r="AJ172" s="1168">
        <f t="shared" si="372"/>
        <v>0</v>
      </c>
    </row>
    <row r="173" spans="1:36" ht="36.75">
      <c r="A173" s="375" t="str">
        <f>CONCATENATE('3 pr-2'!A174)</f>
        <v>3.1.2.1.1</v>
      </c>
      <c r="B173" s="375" t="str">
        <f>CONCATENATE('3 pr-2'!B174)</f>
        <v>R01-0019-380000-3211</v>
      </c>
      <c r="C173" s="1558" t="str">
        <f>IF('ketv. 4 '!Z174&gt;0,'ketv. 4 '!C174,"-")</f>
        <v>05.5.1-APVA-R-019-11-0002</v>
      </c>
      <c r="D173" s="575" t="str">
        <f>CONCATENATE('3 pr-2'!D174)</f>
        <v>Kraštovaizdžio formavimas ir tvarkymas Varėnos r. savivaldybėje (I etapas)</v>
      </c>
      <c r="E173" s="375" t="str">
        <f>CONCATENATE('3 pr-2'!E174)</f>
        <v>Varėnos rajono savivaldybės administracija</v>
      </c>
      <c r="F173" s="375" t="str">
        <f>CONCATENATE('3 pr-2'!F174)</f>
        <v>Lietuvos Respublikos aplinkos ministerija</v>
      </c>
      <c r="G173" s="375" t="str">
        <f>CONCATENATE('3 pr-2'!G174)</f>
        <v>Varėnos r. sav.</v>
      </c>
      <c r="H173" s="375" t="str">
        <f>CONCATENATE('3 pr-2'!H174)</f>
        <v>05.5.1-APVA-R-019</v>
      </c>
      <c r="I173" s="375" t="str">
        <f>CONCATENATE('3 pr-2'!I174)</f>
        <v>R</v>
      </c>
      <c r="J173" s="375" t="str">
        <f>CONCATENATE('3 pr-2'!J174)</f>
        <v>-</v>
      </c>
      <c r="K173" s="1173">
        <f>SUM('3 pr-2'!L174)</f>
        <v>309522</v>
      </c>
      <c r="L173" s="1162">
        <f t="shared" ref="L173:L181" si="373">SUM(P173+T173+X173+AB173+AF173+AJ173)</f>
        <v>296679.24</v>
      </c>
      <c r="M173" s="1174">
        <f>SUM(K173-L173)</f>
        <v>12842.760000000009</v>
      </c>
      <c r="N173" s="1175">
        <f>IF(L173&gt;0,K173-L173,0)</f>
        <v>12842.760000000009</v>
      </c>
      <c r="O173" s="1173">
        <f>SUM('3 pr-2'!O174)</f>
        <v>46428.3</v>
      </c>
      <c r="P173" s="1162">
        <f>IF('ketv. 5 '!U173&gt;0,'ketv. 7 '!R172,SUMIF(Projektu_sutarciu_ataskaita!$J:$J,C173,Projektu_sutarciu_ataskaita!$DK:$DK))</f>
        <v>44501.89</v>
      </c>
      <c r="Q173" s="1174">
        <f t="shared" ref="Q173:Q180" si="374">SUM(O173-P173)</f>
        <v>1926.4100000000035</v>
      </c>
      <c r="R173" s="1175">
        <f>IF(P173&gt;0,O173-P173,0)</f>
        <v>1926.4100000000035</v>
      </c>
      <c r="S173" s="1173">
        <f>SUM('3 pr-2'!R174)</f>
        <v>0</v>
      </c>
      <c r="T173" s="1173">
        <f>IF('ketv. 5 '!U173&gt;0,'ketv. 7 '!W172,SUMIF(Projektu_sutarciu_ataskaita!$J:$J,C173,Projektu_sutarciu_ataskaita!$DG:$DG))</f>
        <v>0</v>
      </c>
      <c r="U173" s="1174">
        <f t="shared" ref="U173:U180" si="375">SUM(S173-T173)</f>
        <v>0</v>
      </c>
      <c r="V173" s="1175">
        <f>IF(T173&gt;0,S173-T173,0)</f>
        <v>0</v>
      </c>
      <c r="W173" s="1173">
        <f>SUM('3 pr-2'!U174)</f>
        <v>0</v>
      </c>
      <c r="X173" s="1173">
        <f>IF('ketv. 5 '!U173&gt;0,'ketv. 7 '!AB172,SUMIF(Projektu_sutarciu_ataskaita!$J:$J,C173,Projektu_sutarciu_ataskaita!$DM:$DM))</f>
        <v>0</v>
      </c>
      <c r="Y173" s="1174">
        <f t="shared" ref="Y173:Y180" si="376">SUM(W173-X173)</f>
        <v>0</v>
      </c>
      <c r="Z173" s="1175">
        <f>IF(X173&gt;0,W173-X173,0)</f>
        <v>0</v>
      </c>
      <c r="AA173" s="1173">
        <f>SUM('3 pr-2'!X174)</f>
        <v>0</v>
      </c>
      <c r="AB173" s="1173">
        <f>IF('ketv. 5 '!U173&gt;0,'ketv. 7 '!AG172,SUMIF(Projektu_sutarciu_ataskaita!$J:$J,C173,Projektu_sutarciu_ataskaita!$DL:$DL)+SUMIF(Projektu_sutarciu_ataskaita!$J:$J,C173,Projektu_sutarciu_ataskaita!$DJ:$DJ))</f>
        <v>0</v>
      </c>
      <c r="AC173" s="1174">
        <f t="shared" ref="AC173:AC180" si="377">SUM(AA173-AB173)</f>
        <v>0</v>
      </c>
      <c r="AD173" s="1175">
        <f>IF(AB173&gt;0,AA173-AB173,0)</f>
        <v>0</v>
      </c>
      <c r="AE173" s="1173">
        <f>SUM('3 pr-2'!AA174)</f>
        <v>263093.7</v>
      </c>
      <c r="AF173" s="1162">
        <f>IF('ketv. 5 '!U173&gt;0,'ketv. 7 '!AL172,SUMIF(Projektu_sutarciu_ataskaita!$J:$J,C173,Projektu_sutarciu_ataskaita!$DF:$DF))</f>
        <v>252177.35</v>
      </c>
      <c r="AG173" s="1575">
        <f t="shared" ref="AG173:AG180" si="378">SUM(AE173-AF173)</f>
        <v>10916.350000000006</v>
      </c>
      <c r="AH173" s="1177">
        <f>IF(AF173&gt;0,AE173-AF173,0)</f>
        <v>10916.350000000006</v>
      </c>
      <c r="AI173" s="1173">
        <f>SUM('3 pr-2'!AB175)</f>
        <v>0</v>
      </c>
      <c r="AJ173" s="1162">
        <v>0</v>
      </c>
    </row>
    <row r="174" spans="1:36" ht="36.75">
      <c r="A174" s="375" t="str">
        <f>CONCATENATE('3 pr-2'!A175)</f>
        <v>3.1.2.1.2</v>
      </c>
      <c r="B174" s="375" t="str">
        <f>CONCATENATE('3 pr-2'!B175)</f>
        <v>R01-0019-380000-3212</v>
      </c>
      <c r="C174" s="1558" t="str">
        <f>IF('ketv. 4 '!Z175&gt;0,'ketv. 4 '!C175,"-")</f>
        <v>-</v>
      </c>
      <c r="D174" s="575" t="str">
        <f>CONCATENATE('3 pr-2'!D175)</f>
        <v>Kraštovaizdžio formavimas ir tvarkymas Varėnos r. savivaldybėje (II etapas)</v>
      </c>
      <c r="E174" s="375" t="str">
        <f>CONCATENATE('3 pr-2'!E175)</f>
        <v>Varėnos rajono savivaldybės administracija</v>
      </c>
      <c r="F174" s="375" t="str">
        <f>CONCATENATE('3 pr-2'!F175)</f>
        <v>Lietuvos Respublikos aplinkos ministerija</v>
      </c>
      <c r="G174" s="375" t="str">
        <f>CONCATENATE('3 pr-2'!G175)</f>
        <v>Varėnos r. sav.</v>
      </c>
      <c r="H174" s="375" t="str">
        <f>CONCATENATE('3 pr-2'!H175)</f>
        <v>05.5.1-APVA-R-019</v>
      </c>
      <c r="I174" s="375" t="str">
        <f>CONCATENATE('3 pr-2'!I175)</f>
        <v>R</v>
      </c>
      <c r="J174" s="375" t="str">
        <f>CONCATENATE('3 pr-2'!J175)</f>
        <v>-</v>
      </c>
      <c r="K174" s="1173">
        <f>SUM('3 pr-2'!L175)</f>
        <v>554211</v>
      </c>
      <c r="L174" s="1173">
        <f t="shared" si="373"/>
        <v>0</v>
      </c>
      <c r="M174" s="1174">
        <f t="shared" ref="M174:M180" si="379">SUM(K174-L174)</f>
        <v>554211</v>
      </c>
      <c r="N174" s="1175">
        <f t="shared" ref="N174:N180" si="380">IF(L174&gt;0,K174-L174,0)</f>
        <v>0</v>
      </c>
      <c r="O174" s="1173">
        <f>SUM('3 pr-2'!O175)</f>
        <v>83132</v>
      </c>
      <c r="P174" s="1173">
        <f>IF('ketv. 5 '!U174&gt;0,'ketv. 7 '!R173,SUMIF(Projektu_sutarciu_ataskaita!$J:$J,C174,Projektu_sutarciu_ataskaita!$DK:$DK))</f>
        <v>0</v>
      </c>
      <c r="Q174" s="1174">
        <f t="shared" si="374"/>
        <v>83132</v>
      </c>
      <c r="R174" s="1175">
        <f t="shared" ref="R174:R180" si="381">IF(P174&gt;0,O174-P174,0)</f>
        <v>0</v>
      </c>
      <c r="S174" s="1173">
        <f>SUM('3 pr-2'!R175)</f>
        <v>0</v>
      </c>
      <c r="T174" s="1173">
        <f>IF('ketv. 5 '!U174&gt;0,'ketv. 7 '!W173,SUMIF(Projektu_sutarciu_ataskaita!$J:$J,C174,Projektu_sutarciu_ataskaita!$DG:$DG))</f>
        <v>0</v>
      </c>
      <c r="U174" s="1174">
        <f t="shared" si="375"/>
        <v>0</v>
      </c>
      <c r="V174" s="1175">
        <f t="shared" ref="V174:V180" si="382">IF(T174&gt;0,S174-T174,0)</f>
        <v>0</v>
      </c>
      <c r="W174" s="1173">
        <f>SUM('3 pr-2'!U175)</f>
        <v>0</v>
      </c>
      <c r="X174" s="1173">
        <f>IF('ketv. 5 '!U174&gt;0,'ketv. 7 '!AB173,SUMIF(Projektu_sutarciu_ataskaita!$J:$J,C174,Projektu_sutarciu_ataskaita!$DM:$DM))</f>
        <v>0</v>
      </c>
      <c r="Y174" s="1174">
        <f t="shared" si="376"/>
        <v>0</v>
      </c>
      <c r="Z174" s="1175">
        <f t="shared" ref="Z174:Z180" si="383">IF(X174&gt;0,W174-X174,0)</f>
        <v>0</v>
      </c>
      <c r="AA174" s="1173">
        <f>SUM('3 pr-2'!X175)</f>
        <v>0</v>
      </c>
      <c r="AB174" s="1173">
        <f>IF('ketv. 5 '!U174&gt;0,'ketv. 7 '!AG173,SUMIF(Projektu_sutarciu_ataskaita!$J:$J,C174,Projektu_sutarciu_ataskaita!$DL:$DL)+SUMIF(Projektu_sutarciu_ataskaita!$J:$J,C174,Projektu_sutarciu_ataskaita!$DJ:$DJ))</f>
        <v>0</v>
      </c>
      <c r="AC174" s="1174">
        <f t="shared" si="377"/>
        <v>0</v>
      </c>
      <c r="AD174" s="1175">
        <f t="shared" ref="AD174:AD180" si="384">IF(AB174&gt;0,AA174-AB174,0)</f>
        <v>0</v>
      </c>
      <c r="AE174" s="1173">
        <f>SUM('3 pr-2'!AA175)</f>
        <v>471079</v>
      </c>
      <c r="AF174" s="1173">
        <f>IF('ketv. 5 '!U174&gt;0,'ketv. 7 '!AL173,SUMIF(Projektu_sutarciu_ataskaita!$J:$J,C174,Projektu_sutarciu_ataskaita!$DF:$DF))</f>
        <v>0</v>
      </c>
      <c r="AG174" s="1575">
        <f t="shared" si="378"/>
        <v>471079</v>
      </c>
      <c r="AH174" s="1177">
        <f t="shared" ref="AH174:AH180" si="385">IF(AF174&gt;0,AE174-AF174,0)</f>
        <v>0</v>
      </c>
      <c r="AI174" s="1173">
        <f>SUM('3 pr-2'!AB176)</f>
        <v>0</v>
      </c>
      <c r="AJ174" s="1173"/>
    </row>
    <row r="175" spans="1:36" ht="36.75">
      <c r="A175" s="375" t="str">
        <f>CONCATENATE('3 pr-2'!A176)</f>
        <v>3.1.2.1.3</v>
      </c>
      <c r="B175" s="375" t="str">
        <f>CONCATENATE('3 pr-2'!B176)</f>
        <v>R01-0019-380000-3213</v>
      </c>
      <c r="C175" s="1558" t="str">
        <f>IF('ketv. 4 '!Z176&gt;0,'ketv. 4 '!C176,"-")</f>
        <v>05.5.1-APVA-R-019-11-0001</v>
      </c>
      <c r="D175" s="575" t="str">
        <f>CONCATENATE('3 pr-2'!D176)</f>
        <v>Bešeimininkių apleistų pastatų ir įrenginių tvarkymas Alytaus rajono savivaldybėje</v>
      </c>
      <c r="E175" s="375" t="str">
        <f>CONCATENATE('3 pr-2'!E176)</f>
        <v>Alytaus rajono savivaldybės administracija</v>
      </c>
      <c r="F175" s="375" t="str">
        <f>CONCATENATE('3 pr-2'!F176)</f>
        <v>Lietuvos Respublikos aplinkos ministerija</v>
      </c>
      <c r="G175" s="375" t="str">
        <f>CONCATENATE('3 pr-2'!G176)</f>
        <v>Alytaus r. sav.</v>
      </c>
      <c r="H175" s="375" t="str">
        <f>CONCATENATE('3 pr-2'!H176)</f>
        <v>05.5.1-APVA-R-019</v>
      </c>
      <c r="I175" s="375" t="str">
        <f>CONCATENATE('3 pr-2'!I176)</f>
        <v>R</v>
      </c>
      <c r="J175" s="375" t="str">
        <f>CONCATENATE('3 pr-2'!J176)</f>
        <v/>
      </c>
      <c r="K175" s="1173">
        <f>SUM('3 pr-2'!L176)</f>
        <v>101765.7</v>
      </c>
      <c r="L175" s="1162">
        <f t="shared" si="373"/>
        <v>101765.7</v>
      </c>
      <c r="M175" s="1174">
        <f t="shared" si="379"/>
        <v>0</v>
      </c>
      <c r="N175" s="1175">
        <f t="shared" si="380"/>
        <v>0</v>
      </c>
      <c r="O175" s="1173">
        <f>SUM('3 pr-2'!O176)</f>
        <v>15264.9</v>
      </c>
      <c r="P175" s="1162">
        <f>IF('ketv. 5 '!U175&gt;0,'ketv. 7 '!R174,SUMIF(Projektu_sutarciu_ataskaita!$J:$J,C175,Projektu_sutarciu_ataskaita!$DK:$DK))</f>
        <v>15264.9</v>
      </c>
      <c r="Q175" s="1174">
        <f t="shared" si="374"/>
        <v>0</v>
      </c>
      <c r="R175" s="1175">
        <f t="shared" si="381"/>
        <v>0</v>
      </c>
      <c r="S175" s="1173">
        <f>SUM('3 pr-2'!R176)</f>
        <v>0</v>
      </c>
      <c r="T175" s="1173">
        <f>IF('ketv. 5 '!U175&gt;0,'ketv. 7 '!W174,SUMIF(Projektu_sutarciu_ataskaita!$J:$J,C175,Projektu_sutarciu_ataskaita!$DG:$DG))</f>
        <v>0</v>
      </c>
      <c r="U175" s="1174">
        <f t="shared" si="375"/>
        <v>0</v>
      </c>
      <c r="V175" s="1175">
        <f t="shared" si="382"/>
        <v>0</v>
      </c>
      <c r="W175" s="1173">
        <f>SUM('3 pr-2'!U176)</f>
        <v>0</v>
      </c>
      <c r="X175" s="1173">
        <f>IF('ketv. 5 '!U175&gt;0,'ketv. 7 '!AB174,SUMIF(Projektu_sutarciu_ataskaita!$J:$J,C175,Projektu_sutarciu_ataskaita!$DM:$DM))</f>
        <v>0</v>
      </c>
      <c r="Y175" s="1174">
        <f t="shared" si="376"/>
        <v>0</v>
      </c>
      <c r="Z175" s="1175">
        <f t="shared" si="383"/>
        <v>0</v>
      </c>
      <c r="AA175" s="1173">
        <f>SUM('3 pr-2'!X176)</f>
        <v>0</v>
      </c>
      <c r="AB175" s="1173">
        <f>IF('ketv. 5 '!U175&gt;0,'ketv. 7 '!AG174,SUMIF(Projektu_sutarciu_ataskaita!$J:$J,C175,Projektu_sutarciu_ataskaita!$DL:$DL)+SUMIF(Projektu_sutarciu_ataskaita!$J:$J,C175,Projektu_sutarciu_ataskaita!$DJ:$DJ))</f>
        <v>0</v>
      </c>
      <c r="AC175" s="1174">
        <f t="shared" si="377"/>
        <v>0</v>
      </c>
      <c r="AD175" s="1175">
        <f t="shared" si="384"/>
        <v>0</v>
      </c>
      <c r="AE175" s="1173">
        <f>SUM('3 pr-2'!AA176)</f>
        <v>86500.800000000003</v>
      </c>
      <c r="AF175" s="1162">
        <f>IF('ketv. 5 '!U175&gt;0,'ketv. 7 '!AL174,SUMIF(Projektu_sutarciu_ataskaita!$J:$J,C175,Projektu_sutarciu_ataskaita!$DF:$DF))</f>
        <v>86500.800000000003</v>
      </c>
      <c r="AG175" s="1575">
        <f t="shared" si="378"/>
        <v>0</v>
      </c>
      <c r="AH175" s="1177">
        <f t="shared" si="385"/>
        <v>0</v>
      </c>
      <c r="AI175" s="1173">
        <f>SUM('3 pr-2'!AB177)</f>
        <v>0</v>
      </c>
      <c r="AJ175" s="1162">
        <v>0</v>
      </c>
    </row>
    <row r="176" spans="1:36" ht="36.75">
      <c r="A176" s="375" t="str">
        <f>CONCATENATE('3 pr-2'!A177)</f>
        <v>3.1.2.1.4</v>
      </c>
      <c r="B176" s="375" t="str">
        <f>CONCATENATE('3 pr-2'!B177)</f>
        <v>R01-0019-380000-3214</v>
      </c>
      <c r="C176" s="1558" t="str">
        <f>IF('ketv. 4 '!Z177&gt;0,'ketv. 4 '!C177,"-")</f>
        <v>05.5.1-APVA-R-019-11-0004</v>
      </c>
      <c r="D176" s="575" t="str">
        <f>CONCATENATE('3 pr-2'!D177)</f>
        <v>Alytaus miesto bendrojo plano korektūra zonuojant kraštovaizdžio struktūrą, nustatant reglamentus ir principus</v>
      </c>
      <c r="E176" s="375" t="str">
        <f>CONCATENATE('3 pr-2'!E177)</f>
        <v>Alytaus miesto savivaldybės administracija</v>
      </c>
      <c r="F176" s="375" t="str">
        <f>CONCATENATE('3 pr-2'!F177)</f>
        <v>Lietuvos Respublikos aplinkos ministerija</v>
      </c>
      <c r="G176" s="375" t="str">
        <f>CONCATENATE('3 pr-2'!G177)</f>
        <v>Alytaus m. sav.</v>
      </c>
      <c r="H176" s="375" t="str">
        <f>CONCATENATE('3 pr-2'!H177)</f>
        <v>05.5.1-APVA-R-019</v>
      </c>
      <c r="I176" s="375" t="str">
        <f>CONCATENATE('3 pr-2'!I177)</f>
        <v>R</v>
      </c>
      <c r="J176" s="375" t="str">
        <f>CONCATENATE('3 pr-2'!J177)</f>
        <v/>
      </c>
      <c r="K176" s="1173">
        <f>SUM('3 pr-2'!L177)</f>
        <v>3993</v>
      </c>
      <c r="L176" s="1162">
        <f t="shared" si="373"/>
        <v>3993</v>
      </c>
      <c r="M176" s="1174">
        <f t="shared" si="379"/>
        <v>0</v>
      </c>
      <c r="N176" s="1175">
        <f t="shared" si="380"/>
        <v>0</v>
      </c>
      <c r="O176" s="1173">
        <f>SUM('3 pr-2'!O177)</f>
        <v>598.95000000000005</v>
      </c>
      <c r="P176" s="1162">
        <f>IF('ketv. 5 '!U176&gt;0,'ketv. 7 '!R175,SUMIF(Projektu_sutarciu_ataskaita!$J:$J,C176,Projektu_sutarciu_ataskaita!$DK:$DK))</f>
        <v>598.95000000000005</v>
      </c>
      <c r="Q176" s="1174">
        <f t="shared" si="374"/>
        <v>0</v>
      </c>
      <c r="R176" s="1175">
        <f t="shared" si="381"/>
        <v>0</v>
      </c>
      <c r="S176" s="1173">
        <f>SUM('3 pr-2'!R177)</f>
        <v>0</v>
      </c>
      <c r="T176" s="1173">
        <f>IF('ketv. 5 '!U176&gt;0,'ketv. 7 '!W175,SUMIF(Projektu_sutarciu_ataskaita!$J:$J,C176,Projektu_sutarciu_ataskaita!$DG:$DG))</f>
        <v>0</v>
      </c>
      <c r="U176" s="1174">
        <f t="shared" si="375"/>
        <v>0</v>
      </c>
      <c r="V176" s="1175">
        <f t="shared" si="382"/>
        <v>0</v>
      </c>
      <c r="W176" s="1173">
        <f>SUM('3 pr-2'!U177)</f>
        <v>0</v>
      </c>
      <c r="X176" s="1173">
        <f>IF('ketv. 5 '!U176&gt;0,'ketv. 7 '!AB175,SUMIF(Projektu_sutarciu_ataskaita!$J:$J,C176,Projektu_sutarciu_ataskaita!$DM:$DM))</f>
        <v>0</v>
      </c>
      <c r="Y176" s="1174">
        <f t="shared" si="376"/>
        <v>0</v>
      </c>
      <c r="Z176" s="1175">
        <f t="shared" si="383"/>
        <v>0</v>
      </c>
      <c r="AA176" s="1173">
        <f>SUM('3 pr-2'!X177)</f>
        <v>0</v>
      </c>
      <c r="AB176" s="1173">
        <f>IF('ketv. 5 '!U176&gt;0,'ketv. 7 '!AG175,SUMIF(Projektu_sutarciu_ataskaita!$J:$J,C176,Projektu_sutarciu_ataskaita!$DL:$DL)+SUMIF(Projektu_sutarciu_ataskaita!$J:$J,C176,Projektu_sutarciu_ataskaita!$DJ:$DJ))</f>
        <v>0</v>
      </c>
      <c r="AC176" s="1174">
        <f t="shared" si="377"/>
        <v>0</v>
      </c>
      <c r="AD176" s="1175">
        <f t="shared" si="384"/>
        <v>0</v>
      </c>
      <c r="AE176" s="1173">
        <f>SUM('3 pr-2'!AA177)</f>
        <v>3394.05</v>
      </c>
      <c r="AF176" s="1162">
        <f>IF('ketv. 5 '!U176&gt;0,'ketv. 7 '!AL175,SUMIF(Projektu_sutarciu_ataskaita!$J:$J,C176,Projektu_sutarciu_ataskaita!$DF:$DF))</f>
        <v>3394.05</v>
      </c>
      <c r="AG176" s="1575">
        <f t="shared" si="378"/>
        <v>0</v>
      </c>
      <c r="AH176" s="1177">
        <f t="shared" si="385"/>
        <v>0</v>
      </c>
      <c r="AI176" s="1173">
        <f>SUM('3 pr-2'!AB178)</f>
        <v>0</v>
      </c>
      <c r="AJ176" s="1162">
        <v>0</v>
      </c>
    </row>
    <row r="177" spans="1:36" ht="36.75">
      <c r="A177" s="375" t="str">
        <f>CONCATENATE('3 pr-2'!A178)</f>
        <v>3.1.2.1.5</v>
      </c>
      <c r="B177" s="375" t="str">
        <f>CONCATENATE('3 pr-2'!B178)</f>
        <v>R01-0019-380000-3215</v>
      </c>
      <c r="C177" s="1558" t="str">
        <f>IF('ketv. 4 '!Z178&gt;0,'ketv. 4 '!C178,"-")</f>
        <v>05.5.1-APVA-R-019-11-0005</v>
      </c>
      <c r="D177" s="575" t="str">
        <f>CONCATENATE('3 pr-2'!D178)</f>
        <v>Bešeimininkių apleistų pastatų Druskininkų savivaldybės teritorijoje likvidavimas</v>
      </c>
      <c r="E177" s="375" t="str">
        <f>CONCATENATE('3 pr-2'!E178)</f>
        <v>Druskininkų savivaldybės administracija</v>
      </c>
      <c r="F177" s="375" t="str">
        <f>CONCATENATE('3 pr-2'!F178)</f>
        <v>Lietuvos Respublikos aplinkos ministerija</v>
      </c>
      <c r="G177" s="375" t="str">
        <f>CONCATENATE('3 pr-2'!G178)</f>
        <v>Druskininkų sav.</v>
      </c>
      <c r="H177" s="375" t="str">
        <f>CONCATENATE('3 pr-2'!H178)</f>
        <v>05.5.1-APVA-R-019</v>
      </c>
      <c r="I177" s="375" t="str">
        <f>CONCATENATE('3 pr-2'!I178)</f>
        <v>R</v>
      </c>
      <c r="J177" s="375" t="str">
        <f>CONCATENATE('3 pr-2'!J178)</f>
        <v>-</v>
      </c>
      <c r="K177" s="1173">
        <f>SUM('3 pr-2'!L178)</f>
        <v>121153.53</v>
      </c>
      <c r="L177" s="1162">
        <f t="shared" si="373"/>
        <v>121153.53</v>
      </c>
      <c r="M177" s="1174">
        <f t="shared" si="379"/>
        <v>0</v>
      </c>
      <c r="N177" s="1175">
        <f t="shared" si="380"/>
        <v>0</v>
      </c>
      <c r="O177" s="1173">
        <f>SUM('3 pr-2'!O178)</f>
        <v>18173.009999999998</v>
      </c>
      <c r="P177" s="1162">
        <f>IF('ketv. 5 '!U177&gt;0,'ketv. 7 '!R176,SUMIF(Projektu_sutarciu_ataskaita!$J:$J,C177,Projektu_sutarciu_ataskaita!$DK:$DK))</f>
        <v>18173.009999999998</v>
      </c>
      <c r="Q177" s="1174">
        <f t="shared" si="374"/>
        <v>0</v>
      </c>
      <c r="R177" s="1175">
        <f t="shared" si="381"/>
        <v>0</v>
      </c>
      <c r="S177" s="1173">
        <f>SUM('3 pr-2'!R178)</f>
        <v>0</v>
      </c>
      <c r="T177" s="1173">
        <f>IF('ketv. 5 '!U177&gt;0,'ketv. 7 '!W176,SUMIF(Projektu_sutarciu_ataskaita!$J:$J,C177,Projektu_sutarciu_ataskaita!$DG:$DG))</f>
        <v>0</v>
      </c>
      <c r="U177" s="1174">
        <f t="shared" si="375"/>
        <v>0</v>
      </c>
      <c r="V177" s="1175">
        <f t="shared" si="382"/>
        <v>0</v>
      </c>
      <c r="W177" s="1173">
        <f>SUM('3 pr-2'!U178)</f>
        <v>0</v>
      </c>
      <c r="X177" s="1173">
        <f>IF('ketv. 5 '!U177&gt;0,'ketv. 7 '!AB176,SUMIF(Projektu_sutarciu_ataskaita!$J:$J,C177,Projektu_sutarciu_ataskaita!$DM:$DM))</f>
        <v>0</v>
      </c>
      <c r="Y177" s="1174">
        <f t="shared" si="376"/>
        <v>0</v>
      </c>
      <c r="Z177" s="1175">
        <f t="shared" si="383"/>
        <v>0</v>
      </c>
      <c r="AA177" s="1173">
        <f>SUM('3 pr-2'!X178)</f>
        <v>0</v>
      </c>
      <c r="AB177" s="1173">
        <f>IF('ketv. 5 '!U177&gt;0,'ketv. 7 '!AG176,SUMIF(Projektu_sutarciu_ataskaita!$J:$J,C177,Projektu_sutarciu_ataskaita!$DL:$DL)+SUMIF(Projektu_sutarciu_ataskaita!$J:$J,C177,Projektu_sutarciu_ataskaita!$DJ:$DJ))</f>
        <v>0</v>
      </c>
      <c r="AC177" s="1174">
        <f t="shared" si="377"/>
        <v>0</v>
      </c>
      <c r="AD177" s="1175">
        <f t="shared" si="384"/>
        <v>0</v>
      </c>
      <c r="AE177" s="1173">
        <f>SUM('3 pr-2'!AA178)</f>
        <v>102980.52</v>
      </c>
      <c r="AF177" s="1162">
        <f>IF('ketv. 5 '!U177&gt;0,'ketv. 7 '!AL176,SUMIF(Projektu_sutarciu_ataskaita!$J:$J,C177,Projektu_sutarciu_ataskaita!$DF:$DF))</f>
        <v>102980.52</v>
      </c>
      <c r="AG177" s="1575">
        <f t="shared" si="378"/>
        <v>0</v>
      </c>
      <c r="AH177" s="1177">
        <f t="shared" si="385"/>
        <v>0</v>
      </c>
      <c r="AI177" s="1173">
        <f>SUM('3 pr-2'!AB179)</f>
        <v>0</v>
      </c>
      <c r="AJ177" s="1162">
        <v>0</v>
      </c>
    </row>
    <row r="178" spans="1:36" ht="36.75">
      <c r="A178" s="375" t="str">
        <f>CONCATENATE('3 pr-2'!A179)</f>
        <v>3.1.2.1.6</v>
      </c>
      <c r="B178" s="375" t="str">
        <f>CONCATENATE('3 pr-2'!B179)</f>
        <v>R01-0019-380000-3216</v>
      </c>
      <c r="C178" s="1558" t="str">
        <f>IF('ketv. 4 '!Z179&gt;0,'ketv. 4 '!C179,"-")</f>
        <v>05.5.1-APVA-R-019-11-0003</v>
      </c>
      <c r="D178" s="575" t="str">
        <f>CONCATENATE('3 pr-2'!D179)</f>
        <v>Kraštovaizdžio formavimas Lazdijų rajono savivaldybėje</v>
      </c>
      <c r="E178" s="375" t="str">
        <f>CONCATENATE('3 pr-2'!E179)</f>
        <v>Lazdijų rajono savivaldybės administracija</v>
      </c>
      <c r="F178" s="375" t="str">
        <f>CONCATENATE('3 pr-2'!F179)</f>
        <v>Lietuvos Respublikos aplinkos ministerija</v>
      </c>
      <c r="G178" s="375" t="str">
        <f>CONCATENATE('3 pr-2'!G179)</f>
        <v>Lazdijų r. sav.</v>
      </c>
      <c r="H178" s="375" t="str">
        <f>CONCATENATE('3 pr-2'!H179)</f>
        <v>05.5.1-APVA-R-019</v>
      </c>
      <c r="I178" s="375" t="str">
        <f>CONCATENATE('3 pr-2'!I179)</f>
        <v>R</v>
      </c>
      <c r="J178" s="375" t="str">
        <f>CONCATENATE('3 pr-2'!J179)</f>
        <v>-</v>
      </c>
      <c r="K178" s="1173">
        <f>SUM('3 pr-2'!L179)</f>
        <v>442298.58999999997</v>
      </c>
      <c r="L178" s="1162">
        <f t="shared" si="373"/>
        <v>442298.58999999997</v>
      </c>
      <c r="M178" s="1174">
        <f t="shared" si="379"/>
        <v>0</v>
      </c>
      <c r="N178" s="1175">
        <f t="shared" si="380"/>
        <v>0</v>
      </c>
      <c r="O178" s="1173">
        <f>SUM('3 pr-2'!O179)</f>
        <v>66344.78</v>
      </c>
      <c r="P178" s="1162">
        <f>IF('ketv. 5 '!U178&gt;0,'ketv. 7 '!R177,SUMIF(Projektu_sutarciu_ataskaita!$J:$J,C178,Projektu_sutarciu_ataskaita!$DK:$DK))</f>
        <v>66344.78</v>
      </c>
      <c r="Q178" s="1174">
        <f t="shared" si="374"/>
        <v>0</v>
      </c>
      <c r="R178" s="1175">
        <f t="shared" si="381"/>
        <v>0</v>
      </c>
      <c r="S178" s="1173">
        <f>SUM('3 pr-2'!R179)</f>
        <v>0</v>
      </c>
      <c r="T178" s="1173">
        <f>IF('ketv. 5 '!U178&gt;0,'ketv. 7 '!W177,SUMIF(Projektu_sutarciu_ataskaita!$J:$J,C178,Projektu_sutarciu_ataskaita!$DG:$DG))</f>
        <v>0</v>
      </c>
      <c r="U178" s="1174">
        <f t="shared" si="375"/>
        <v>0</v>
      </c>
      <c r="V178" s="1175">
        <f t="shared" si="382"/>
        <v>0</v>
      </c>
      <c r="W178" s="1173">
        <f>SUM('3 pr-2'!U179)</f>
        <v>0</v>
      </c>
      <c r="X178" s="1173">
        <f>IF('ketv. 5 '!U178&gt;0,'ketv. 7 '!AB177,SUMIF(Projektu_sutarciu_ataskaita!$J:$J,C178,Projektu_sutarciu_ataskaita!$DM:$DM))</f>
        <v>0</v>
      </c>
      <c r="Y178" s="1174">
        <f t="shared" si="376"/>
        <v>0</v>
      </c>
      <c r="Z178" s="1175">
        <f t="shared" si="383"/>
        <v>0</v>
      </c>
      <c r="AA178" s="1173">
        <f>SUM('3 pr-2'!X179)</f>
        <v>0</v>
      </c>
      <c r="AB178" s="1173">
        <f>IF('ketv. 5 '!U178&gt;0,'ketv. 7 '!AG177,SUMIF(Projektu_sutarciu_ataskaita!$J:$J,C178,Projektu_sutarciu_ataskaita!$DL:$DL)+SUMIF(Projektu_sutarciu_ataskaita!$J:$J,C178,Projektu_sutarciu_ataskaita!$DJ:$DJ))</f>
        <v>0</v>
      </c>
      <c r="AC178" s="1174">
        <f t="shared" si="377"/>
        <v>0</v>
      </c>
      <c r="AD178" s="1175">
        <f t="shared" si="384"/>
        <v>0</v>
      </c>
      <c r="AE178" s="1173">
        <f>SUM('3 pr-2'!AA179)</f>
        <v>375953.81</v>
      </c>
      <c r="AF178" s="1162">
        <f>IF('ketv. 5 '!U178&gt;0,'ketv. 7 '!AL177,SUMIF(Projektu_sutarciu_ataskaita!$J:$J,C178,Projektu_sutarciu_ataskaita!$DF:$DF))</f>
        <v>375953.81</v>
      </c>
      <c r="AG178" s="1575">
        <f t="shared" si="378"/>
        <v>0</v>
      </c>
      <c r="AH178" s="1177">
        <f t="shared" si="385"/>
        <v>0</v>
      </c>
      <c r="AI178" s="1173">
        <f>SUM('3 pr-2'!AB180)</f>
        <v>0</v>
      </c>
      <c r="AJ178" s="1162">
        <v>0</v>
      </c>
    </row>
    <row r="179" spans="1:36" ht="36.75">
      <c r="A179" s="375" t="str">
        <f>CONCATENATE('3 pr-2'!A180)</f>
        <v>3.1.2.1.7</v>
      </c>
      <c r="B179" s="375" t="str">
        <f>CONCATENATE('3 pr-2'!B180)</f>
        <v>R01-0019-283800-3217</v>
      </c>
      <c r="C179" s="1558" t="str">
        <f>IF('ketv. 4 '!Z180&gt;0,'ketv. 4 '!C180,"-")</f>
        <v>-</v>
      </c>
      <c r="D179" s="575" t="str">
        <f>CONCATENATE('3 pr-2'!D180)</f>
        <v>Kraštovaizdžio formavimas Lazdijų rajono savivaldybėje (II etapas)</v>
      </c>
      <c r="E179" s="375" t="str">
        <f>CONCATENATE('3 pr-2'!E180)</f>
        <v>Lazdijų rajono savivaldybės administracija</v>
      </c>
      <c r="F179" s="375" t="str">
        <f>CONCATENATE('3 pr-2'!F180)</f>
        <v>Lietuvos Respublikos aplinkos ministerija</v>
      </c>
      <c r="G179" s="375" t="str">
        <f>CONCATENATE('3 pr-2'!G180)</f>
        <v>Lazdijų r. sav.</v>
      </c>
      <c r="H179" s="375" t="str">
        <f>CONCATENATE('3 pr-2'!H180)</f>
        <v>05.5.1-APVA-R-019</v>
      </c>
      <c r="I179" s="375" t="str">
        <f>CONCATENATE('3 pr-2'!I180)</f>
        <v>R</v>
      </c>
      <c r="J179" s="375" t="str">
        <f>CONCATENATE('3 pr-2'!J180)</f>
        <v>-</v>
      </c>
      <c r="K179" s="1173">
        <f>SUM('3 pr-2'!L180)</f>
        <v>149792.22</v>
      </c>
      <c r="L179" s="1173">
        <f t="shared" si="373"/>
        <v>0</v>
      </c>
      <c r="M179" s="1174">
        <f t="shared" si="379"/>
        <v>149792.22</v>
      </c>
      <c r="N179" s="1175">
        <f t="shared" si="380"/>
        <v>0</v>
      </c>
      <c r="O179" s="1173">
        <f>SUM('3 pr-2'!O180)</f>
        <v>22468.83</v>
      </c>
      <c r="P179" s="1173">
        <f>IF('ketv. 5 '!U179&gt;0,'ketv. 7 '!R178,SUMIF(Projektu_sutarciu_ataskaita!$J:$J,C179,Projektu_sutarciu_ataskaita!$DK:$DK))</f>
        <v>0</v>
      </c>
      <c r="Q179" s="1174">
        <f t="shared" si="374"/>
        <v>22468.83</v>
      </c>
      <c r="R179" s="1175">
        <f t="shared" si="381"/>
        <v>0</v>
      </c>
      <c r="S179" s="1173">
        <f>SUM('3 pr-2'!R180)</f>
        <v>0</v>
      </c>
      <c r="T179" s="1173">
        <f>IF('ketv. 5 '!U179&gt;0,'ketv. 7 '!W178,SUMIF(Projektu_sutarciu_ataskaita!$J:$J,C179,Projektu_sutarciu_ataskaita!$DG:$DG))</f>
        <v>0</v>
      </c>
      <c r="U179" s="1174">
        <f t="shared" si="375"/>
        <v>0</v>
      </c>
      <c r="V179" s="1175">
        <f t="shared" si="382"/>
        <v>0</v>
      </c>
      <c r="W179" s="1173">
        <f>SUM('3 pr-2'!U180)</f>
        <v>0</v>
      </c>
      <c r="X179" s="1173">
        <f>IF('ketv. 5 '!U179&gt;0,'ketv. 7 '!AB178,SUMIF(Projektu_sutarciu_ataskaita!$J:$J,C179,Projektu_sutarciu_ataskaita!$DM:$DM))</f>
        <v>0</v>
      </c>
      <c r="Y179" s="1174">
        <f t="shared" si="376"/>
        <v>0</v>
      </c>
      <c r="Z179" s="1175">
        <f t="shared" si="383"/>
        <v>0</v>
      </c>
      <c r="AA179" s="1173">
        <f>SUM('3 pr-2'!X180)</f>
        <v>0</v>
      </c>
      <c r="AB179" s="1173">
        <f>IF('ketv. 5 '!U179&gt;0,'ketv. 7 '!AG178,SUMIF(Projektu_sutarciu_ataskaita!$J:$J,C179,Projektu_sutarciu_ataskaita!$DL:$DL)+SUMIF(Projektu_sutarciu_ataskaita!$J:$J,C179,Projektu_sutarciu_ataskaita!$DJ:$DJ))</f>
        <v>0</v>
      </c>
      <c r="AC179" s="1174">
        <f t="shared" si="377"/>
        <v>0</v>
      </c>
      <c r="AD179" s="1175">
        <f t="shared" si="384"/>
        <v>0</v>
      </c>
      <c r="AE179" s="1173">
        <f>SUM('3 pr-2'!AA180)</f>
        <v>127323.39</v>
      </c>
      <c r="AF179" s="1173">
        <f>IF('ketv. 5 '!U179&gt;0,'ketv. 7 '!AL178,SUMIF(Projektu_sutarciu_ataskaita!$J:$J,C179,Projektu_sutarciu_ataskaita!$DF:$DF))</f>
        <v>0</v>
      </c>
      <c r="AG179" s="1575">
        <f t="shared" si="378"/>
        <v>127323.39</v>
      </c>
      <c r="AH179" s="1177">
        <f t="shared" si="385"/>
        <v>0</v>
      </c>
      <c r="AI179" s="1173">
        <f>SUM('3 pr-2'!AB181)</f>
        <v>0</v>
      </c>
      <c r="AJ179" s="1173"/>
    </row>
    <row r="180" spans="1:36" ht="36.75">
      <c r="A180" s="375" t="str">
        <f>CONCATENATE('3 pr-2'!A181)</f>
        <v>3.1.2.1.8</v>
      </c>
      <c r="B180" s="375" t="str">
        <f>CONCATENATE('3 pr-2'!B181)</f>
        <v>R01-0019-380000-3218</v>
      </c>
      <c r="C180" s="1558" t="str">
        <f>IF('ketv. 4 '!Z181&gt;0,'ketv. 4 '!C181,"-")</f>
        <v>05.5.1-APVA-R-019-11-0006</v>
      </c>
      <c r="D180" s="1580" t="str">
        <f>CONCATENATE('3 pr-2'!D181)</f>
        <v>Bešeimininkių apleistų pastatų ir įrenginių tvarkymas Alytaus rajono savivaldybėje (II etapas)</v>
      </c>
      <c r="E180" s="1581" t="str">
        <f>CONCATENATE('3 pr-2'!E181)</f>
        <v>Alytaus rajono savivaldybės administracija</v>
      </c>
      <c r="F180" s="1581" t="str">
        <f>CONCATENATE('3 pr-2'!F181)</f>
        <v>Lietuvos Respublikos aplinkos ministerija</v>
      </c>
      <c r="G180" s="1581" t="str">
        <f>CONCATENATE('3 pr-2'!G181)</f>
        <v>Alytaus r. sav.</v>
      </c>
      <c r="H180" s="1581" t="str">
        <f>CONCATENATE('3 pr-2'!H181)</f>
        <v>05.5.1-APVA-R-019</v>
      </c>
      <c r="I180" s="1581" t="str">
        <f>CONCATENATE('3 pr-2'!I181)</f>
        <v>R</v>
      </c>
      <c r="J180" s="1581" t="str">
        <f>CONCATENATE('3 pr-2'!J181)</f>
        <v>-</v>
      </c>
      <c r="K180" s="1582">
        <f>SUM('3 pr-2'!L181)</f>
        <v>736537.6470588235</v>
      </c>
      <c r="L180" s="1583">
        <f t="shared" si="373"/>
        <v>277676</v>
      </c>
      <c r="M180" s="1584">
        <f t="shared" si="379"/>
        <v>458861.6470588235</v>
      </c>
      <c r="N180" s="1585">
        <f t="shared" si="380"/>
        <v>458861.6470588235</v>
      </c>
      <c r="O180" s="1582">
        <f>SUM('3 pr-2'!O181)</f>
        <v>110480.64705882352</v>
      </c>
      <c r="P180" s="1583">
        <f>IF('ketv. 5 '!U180&gt;0,'ketv. 7 '!R179,SUMIF(Projektu_sutarciu_ataskaita!$J:$J,C180,Projektu_sutarciu_ataskaita!$DK:$DK))</f>
        <v>41651.4</v>
      </c>
      <c r="Q180" s="1584">
        <f t="shared" si="374"/>
        <v>68829.24705882353</v>
      </c>
      <c r="R180" s="1585">
        <f t="shared" si="381"/>
        <v>68829.24705882353</v>
      </c>
      <c r="S180" s="1582">
        <f>SUM('3 pr-2'!R181)</f>
        <v>0</v>
      </c>
      <c r="T180" s="1582">
        <f>IF('ketv. 5 '!U180&gt;0,'ketv. 7 '!W179,SUMIF(Projektu_sutarciu_ataskaita!$J:$J,C180,Projektu_sutarciu_ataskaita!$DG:$DG))</f>
        <v>0</v>
      </c>
      <c r="U180" s="1584">
        <f t="shared" si="375"/>
        <v>0</v>
      </c>
      <c r="V180" s="1585">
        <f t="shared" si="382"/>
        <v>0</v>
      </c>
      <c r="W180" s="1582">
        <f>SUM('3 pr-2'!U181)</f>
        <v>0</v>
      </c>
      <c r="X180" s="1582">
        <f>IF('ketv. 5 '!U180&gt;0,'ketv. 7 '!AB179,SUMIF(Projektu_sutarciu_ataskaita!$J:$J,C180,Projektu_sutarciu_ataskaita!$DM:$DM))</f>
        <v>0</v>
      </c>
      <c r="Y180" s="1584">
        <f t="shared" si="376"/>
        <v>0</v>
      </c>
      <c r="Z180" s="1585">
        <f t="shared" si="383"/>
        <v>0</v>
      </c>
      <c r="AA180" s="1582">
        <f>SUM('3 pr-2'!X181)</f>
        <v>0</v>
      </c>
      <c r="AB180" s="1582">
        <f>IF('ketv. 5 '!U180&gt;0,'ketv. 7 '!AG179,SUMIF(Projektu_sutarciu_ataskaita!$J:$J,C180,Projektu_sutarciu_ataskaita!$DL:$DL)+SUMIF(Projektu_sutarciu_ataskaita!$J:$J,C180,Projektu_sutarciu_ataskaita!$DJ:$DJ))</f>
        <v>0</v>
      </c>
      <c r="AC180" s="1584">
        <f t="shared" si="377"/>
        <v>0</v>
      </c>
      <c r="AD180" s="1585">
        <f t="shared" si="384"/>
        <v>0</v>
      </c>
      <c r="AE180" s="1582">
        <f>SUM('3 pr-2'!AA181)</f>
        <v>626057</v>
      </c>
      <c r="AF180" s="1583">
        <f>IF('ketv. 5 '!U180&gt;0,'ketv. 7 '!AL179,SUMIF(Projektu_sutarciu_ataskaita!$J:$J,C180,Projektu_sutarciu_ataskaita!$DF:$DF))</f>
        <v>236024.6</v>
      </c>
      <c r="AG180" s="1575">
        <f t="shared" si="378"/>
        <v>390032.4</v>
      </c>
      <c r="AH180" s="1177">
        <f t="shared" si="385"/>
        <v>390032.4</v>
      </c>
      <c r="AI180" s="1173">
        <f>SUM('3 pr-2'!AB182)</f>
        <v>0</v>
      </c>
      <c r="AJ180" s="1162">
        <v>0</v>
      </c>
    </row>
    <row r="181" spans="1:36" ht="36.75">
      <c r="A181" s="375" t="str">
        <f>CONCATENATE('3 pr-2'!A182)</f>
        <v>3.1.2.1.9</v>
      </c>
      <c r="B181" s="375" t="str">
        <f>CONCATENATE('3 pr-2'!B182)</f>
        <v>R01-0019-380000-3219</v>
      </c>
      <c r="C181" s="1558" t="str">
        <f>IF('ketv. 4 '!Z182&gt;0,'ketv. 4 '!C182,"-")</f>
        <v>-</v>
      </c>
      <c r="D181" s="575" t="str">
        <f>CONCATENATE('3 pr-2'!D182)</f>
        <v>Etaloninio kraštovaizdžio formavimas Druskininkų savivaldybės pasienyje</v>
      </c>
      <c r="E181" s="375" t="str">
        <f>CONCATENATE('3 pr-2'!E182)</f>
        <v>Druskininkų savivaldybės administracija</v>
      </c>
      <c r="F181" s="375" t="str">
        <f>CONCATENATE('3 pr-2'!F182)</f>
        <v>Lietuvos Respublikos aplinkos ministerija</v>
      </c>
      <c r="G181" s="375" t="str">
        <f>CONCATENATE('3 pr-2'!G182)</f>
        <v>Druskininkų sav.</v>
      </c>
      <c r="H181" s="375" t="str">
        <f>CONCATENATE('3 pr-2'!H182)</f>
        <v>05.5.1-APVA-R-019</v>
      </c>
      <c r="I181" s="375" t="str">
        <f>CONCATENATE('3 pr-2'!I182)</f>
        <v>R</v>
      </c>
      <c r="J181" s="375" t="str">
        <f>CONCATENATE('3 pr-2'!J182)</f>
        <v>-</v>
      </c>
      <c r="K181" s="1173">
        <f>SUM('3 pr-2'!L182)</f>
        <v>88524.094117647051</v>
      </c>
      <c r="L181" s="1173">
        <f t="shared" si="373"/>
        <v>0</v>
      </c>
      <c r="M181" s="1174">
        <f t="shared" ref="M181" si="386">SUM(K181-L181)</f>
        <v>88524.094117647051</v>
      </c>
      <c r="N181" s="1175">
        <f t="shared" ref="N181" si="387">IF(L181&gt;0,K181-L181,0)</f>
        <v>0</v>
      </c>
      <c r="O181" s="1173">
        <f>SUM('3 pr-2'!O182)</f>
        <v>13278.614117647059</v>
      </c>
      <c r="P181" s="1173">
        <f>IF('ketv. 5 '!U181&gt;0,'ketv. 7 '!R180,SUMIF(Projektu_sutarciu_ataskaita!$J:$J,C181,Projektu_sutarciu_ataskaita!$DK:$DK))</f>
        <v>0</v>
      </c>
      <c r="Q181" s="1174">
        <f t="shared" ref="Q181" si="388">SUM(O181-P181)</f>
        <v>13278.614117647059</v>
      </c>
      <c r="R181" s="1175">
        <f t="shared" ref="R181" si="389">IF(P181&gt;0,O181-P181,0)</f>
        <v>0</v>
      </c>
      <c r="S181" s="1173">
        <f>SUM('3 pr-2'!R182)</f>
        <v>0</v>
      </c>
      <c r="T181" s="1173">
        <f>IF('ketv. 5 '!U181&gt;0,'ketv. 7 '!W180,SUMIF(Projektu_sutarciu_ataskaita!$J:$J,C181,Projektu_sutarciu_ataskaita!$DG:$DG))</f>
        <v>0</v>
      </c>
      <c r="U181" s="1174">
        <f t="shared" ref="U181" si="390">SUM(S181-T181)</f>
        <v>0</v>
      </c>
      <c r="V181" s="1175">
        <f t="shared" ref="V181" si="391">IF(T181&gt;0,S181-T181,0)</f>
        <v>0</v>
      </c>
      <c r="W181" s="1173">
        <f>SUM('3 pr-2'!U182)</f>
        <v>0</v>
      </c>
      <c r="X181" s="1173">
        <f>IF('ketv. 5 '!U181&gt;0,'ketv. 7 '!AB180,SUMIF(Projektu_sutarciu_ataskaita!$J:$J,C181,Projektu_sutarciu_ataskaita!$DM:$DM))</f>
        <v>0</v>
      </c>
      <c r="Y181" s="1174">
        <f t="shared" ref="Y181" si="392">SUM(W181-X181)</f>
        <v>0</v>
      </c>
      <c r="Z181" s="1175">
        <f t="shared" ref="Z181" si="393">IF(X181&gt;0,W181-X181,0)</f>
        <v>0</v>
      </c>
      <c r="AA181" s="1173">
        <f>SUM('3 pr-2'!X182)</f>
        <v>0</v>
      </c>
      <c r="AB181" s="1173">
        <f>IF('ketv. 5 '!U181&gt;0,'ketv. 7 '!AG180,SUMIF(Projektu_sutarciu_ataskaita!$J:$J,C181,Projektu_sutarciu_ataskaita!$DL:$DL)+SUMIF(Projektu_sutarciu_ataskaita!$J:$J,C181,Projektu_sutarciu_ataskaita!$DJ:$DJ))</f>
        <v>0</v>
      </c>
      <c r="AC181" s="1174">
        <f t="shared" ref="AC181" si="394">SUM(AA181-AB181)</f>
        <v>0</v>
      </c>
      <c r="AD181" s="1175">
        <f t="shared" ref="AD181" si="395">IF(AB181&gt;0,AA181-AB181,0)</f>
        <v>0</v>
      </c>
      <c r="AE181" s="1173">
        <f>SUM('3 pr-2'!AA182)</f>
        <v>75245.48</v>
      </c>
      <c r="AF181" s="1173">
        <f>IF('ketv. 5 '!U181&gt;0,'ketv. 7 '!AL180,SUMIF(Projektu_sutarciu_ataskaita!$J:$J,C181,Projektu_sutarciu_ataskaita!$DF:$DF))</f>
        <v>0</v>
      </c>
      <c r="AG181" s="1174">
        <f t="shared" ref="AG181" si="396">SUM(AE181-AF181)</f>
        <v>75245.48</v>
      </c>
      <c r="AH181" s="1175">
        <f t="shared" ref="AH181" si="397">IF(AF181&gt;0,AE181-AF181,0)</f>
        <v>0</v>
      </c>
      <c r="AI181" s="1173">
        <f>SUM('3 pr-2'!AB183)</f>
        <v>0</v>
      </c>
      <c r="AJ181" s="1173"/>
    </row>
    <row r="182" spans="1:36" ht="19.5" thickBot="1">
      <c r="D182" s="2129" t="s">
        <v>331</v>
      </c>
      <c r="E182" s="2130"/>
      <c r="F182" s="2130"/>
      <c r="G182" s="2130"/>
      <c r="H182" s="2130"/>
      <c r="I182" s="2130"/>
      <c r="J182" s="2130"/>
      <c r="K182" s="1838">
        <f t="shared" ref="K182:P182" si="398">SUM(K6+K99+K167)</f>
        <v>67411206.668235272</v>
      </c>
      <c r="L182" s="1839">
        <f t="shared" si="398"/>
        <v>60302248.739999995</v>
      </c>
      <c r="M182" s="1840">
        <f t="shared" si="398"/>
        <v>6512898.1241176473</v>
      </c>
      <c r="N182" s="1841">
        <f t="shared" si="398"/>
        <v>1571174.3464705879</v>
      </c>
      <c r="O182" s="1838">
        <f t="shared" si="398"/>
        <v>7859310.608235294</v>
      </c>
      <c r="P182" s="1839">
        <f t="shared" si="398"/>
        <v>6691553.1099999994</v>
      </c>
      <c r="Q182" s="1842"/>
      <c r="R182" s="1841">
        <f>SUM(R6+R99+R167)</f>
        <v>531919.40647058818</v>
      </c>
      <c r="S182" s="1838">
        <f ca="1">SUM(S6+S99+S167)</f>
        <v>1133920.1100000001</v>
      </c>
      <c r="T182" s="1839">
        <f>SUM(T6+T99+T167)</f>
        <v>1034881.54</v>
      </c>
      <c r="U182" s="1842"/>
      <c r="V182" s="1841" t="e">
        <f>SUM(V6+V99+V167)</f>
        <v>#REF!</v>
      </c>
      <c r="W182" s="1838">
        <f>SUM(W6+W99+W167)</f>
        <v>9373204.9100000001</v>
      </c>
      <c r="X182" s="1839">
        <f>SUM(X6+X99+X167)</f>
        <v>8915026.5199999996</v>
      </c>
      <c r="Y182" s="1842"/>
      <c r="Z182" s="1841">
        <f>SUM(Z6+Z99+Z167)</f>
        <v>372054.88999999972</v>
      </c>
      <c r="AA182" s="1838">
        <f>SUM(AA6+AA99+AA167)</f>
        <v>416360.77</v>
      </c>
      <c r="AB182" s="1839">
        <f>SUM(AB6+AB99+AB167)</f>
        <v>488731.16000000003</v>
      </c>
      <c r="AC182" s="1841"/>
      <c r="AD182" s="1841">
        <f>SUM(AD6+AD99+AD167)</f>
        <v>-72370.39</v>
      </c>
      <c r="AE182" s="1838">
        <f>SUM(AE6+AE99+AE167)</f>
        <v>48628410.269999996</v>
      </c>
      <c r="AF182" s="1843">
        <f>SUM(AF6+AF99+AF167)</f>
        <v>43059067.410000004</v>
      </c>
      <c r="AG182" s="1844"/>
      <c r="AH182" s="1845">
        <f>SUM(AH6+AH99+AH167)</f>
        <v>755126.0299999998</v>
      </c>
      <c r="AI182" s="1838"/>
      <c r="AJ182" s="1843"/>
    </row>
    <row r="183" spans="1:36">
      <c r="K183" s="799">
        <f>SUM(K182-'3 pr-2'!L183)</f>
        <v>0</v>
      </c>
      <c r="L183" s="1586">
        <f>SUM(L182/K182)</f>
        <v>0.8945433811439979</v>
      </c>
      <c r="O183" s="799">
        <f>SUM(O182-'3 pr-2'!O183)</f>
        <v>0</v>
      </c>
      <c r="P183" s="1586">
        <f>SUM(P182/O182)</f>
        <v>0.85141731171539747</v>
      </c>
      <c r="S183" s="799">
        <f ca="1">SUM(S182-'3 pr-2'!R183)</f>
        <v>0</v>
      </c>
      <c r="T183" s="1586">
        <f ca="1">SUM(T182/S182)</f>
        <v>0.91265824714935162</v>
      </c>
      <c r="W183" s="799">
        <f>SUM(W182-'3 pr-2'!U183)</f>
        <v>0</v>
      </c>
      <c r="X183" s="1586">
        <f>SUM(X182/W182)</f>
        <v>0.95111827871049914</v>
      </c>
      <c r="AA183" s="799">
        <f>SUM(AA182-'3 pr-2'!X183)</f>
        <v>0</v>
      </c>
      <c r="AB183" s="1586">
        <f>SUM(AB182/AA182)</f>
        <v>1.1738165437632369</v>
      </c>
      <c r="AE183" s="799">
        <f>SUM(AE182-'3 pr-2'!AA183)</f>
        <v>0</v>
      </c>
      <c r="AF183" s="1586">
        <f>SUM(AF182/AE182)</f>
        <v>0.88547141827015785</v>
      </c>
    </row>
    <row r="184" spans="1:36" ht="15.75">
      <c r="A184" s="1587" t="s">
        <v>1785</v>
      </c>
    </row>
    <row r="185" spans="1:36" ht="15.75">
      <c r="A185" s="1587" t="s">
        <v>1786</v>
      </c>
    </row>
  </sheetData>
  <autoFilter ref="A5:AJ185" xr:uid="{00000000-0009-0000-0000-00001A000000}"/>
  <mergeCells count="45">
    <mergeCell ref="B172:J172"/>
    <mergeCell ref="B160:J160"/>
    <mergeCell ref="B159:J159"/>
    <mergeCell ref="B167:J167"/>
    <mergeCell ref="B168:J168"/>
    <mergeCell ref="B171:J171"/>
    <mergeCell ref="B169:J169"/>
    <mergeCell ref="B134:J134"/>
    <mergeCell ref="B140:J140"/>
    <mergeCell ref="B146:J146"/>
    <mergeCell ref="B147:J147"/>
    <mergeCell ref="B153:J153"/>
    <mergeCell ref="B100:J100"/>
    <mergeCell ref="B101:J101"/>
    <mergeCell ref="B107:J107"/>
    <mergeCell ref="B113:J113"/>
    <mergeCell ref="B119:J119"/>
    <mergeCell ref="B91:J91"/>
    <mergeCell ref="B99:J99"/>
    <mergeCell ref="B57:J57"/>
    <mergeCell ref="B61:J61"/>
    <mergeCell ref="B66:J66"/>
    <mergeCell ref="B72:J72"/>
    <mergeCell ref="B73:J73"/>
    <mergeCell ref="B45:J45"/>
    <mergeCell ref="B49:J49"/>
    <mergeCell ref="B55:J55"/>
    <mergeCell ref="B78:J78"/>
    <mergeCell ref="B85:J85"/>
    <mergeCell ref="D182:J182"/>
    <mergeCell ref="B120:J120"/>
    <mergeCell ref="AI4:AJ4"/>
    <mergeCell ref="K3:AJ3"/>
    <mergeCell ref="B32:J32"/>
    <mergeCell ref="K4:N4"/>
    <mergeCell ref="O4:R4"/>
    <mergeCell ref="S4:V4"/>
    <mergeCell ref="W4:Z4"/>
    <mergeCell ref="AA4:AD4"/>
    <mergeCell ref="AE4:AH4"/>
    <mergeCell ref="A3:J3"/>
    <mergeCell ref="B7:J7"/>
    <mergeCell ref="B6:J6"/>
    <mergeCell ref="B8:J8"/>
    <mergeCell ref="B38:J38"/>
  </mergeCells>
  <pageMargins left="0.23622047244094491" right="0.23622047244094491" top="0.74803149606299213" bottom="0.74803149606299213" header="0.31496062992125984" footer="0.31496062992125984"/>
  <pageSetup paperSize="8" scale="65"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1:AS185"/>
  <sheetViews>
    <sheetView workbookViewId="0">
      <pane ySplit="2265" topLeftCell="A131" activePane="bottomLeft"/>
      <selection activeCell="C3" sqref="C1:C1048576"/>
      <selection pane="bottomLeft" activeCell="V188" sqref="V188"/>
    </sheetView>
  </sheetViews>
  <sheetFormatPr defaultRowHeight="15"/>
  <cols>
    <col min="1" max="1" width="8.28515625" style="21" customWidth="1"/>
    <col min="2" max="2" width="10.42578125" style="21" customWidth="1"/>
    <col min="3" max="3" width="12" hidden="1" customWidth="1"/>
    <col min="4" max="4" width="24.5703125" customWidth="1"/>
    <col min="5" max="5" width="13.42578125" customWidth="1"/>
    <col min="6" max="6" width="16.7109375" customWidth="1"/>
    <col min="7" max="7" width="14.140625" customWidth="1"/>
    <col min="8" max="8" width="17.7109375" customWidth="1"/>
    <col min="9" max="9" width="4.5703125" bestFit="1" customWidth="1"/>
    <col min="10" max="10" width="5" bestFit="1" customWidth="1"/>
    <col min="11" max="12" width="18" bestFit="1" customWidth="1"/>
    <col min="13" max="15" width="16.42578125" hidden="1" customWidth="1"/>
    <col min="16" max="16" width="18" style="232" hidden="1" customWidth="1"/>
    <col min="17" max="18" width="16.42578125" bestFit="1" customWidth="1"/>
    <col min="19" max="20" width="8.140625" hidden="1" customWidth="1"/>
    <col min="21" max="21" width="12.7109375" style="232" hidden="1" customWidth="1"/>
    <col min="22" max="22" width="16.42578125" bestFit="1" customWidth="1"/>
    <col min="23" max="23" width="14.28515625" bestFit="1" customWidth="1"/>
    <col min="24" max="25" width="8.140625" hidden="1" customWidth="1"/>
    <col min="26" max="26" width="10.5703125" style="232" hidden="1" customWidth="1"/>
    <col min="27" max="28" width="16.42578125" bestFit="1" customWidth="1"/>
    <col min="29" max="30" width="8.140625" hidden="1" customWidth="1"/>
    <col min="31" max="31" width="12.7109375" style="232" hidden="1" customWidth="1"/>
    <col min="32" max="33" width="14.28515625" bestFit="1" customWidth="1"/>
    <col min="34" max="35" width="8.140625" hidden="1" customWidth="1"/>
    <col min="36" max="36" width="9.140625" style="232" hidden="1" customWidth="1"/>
    <col min="37" max="38" width="18" bestFit="1" customWidth="1"/>
    <col min="39" max="39" width="16.42578125" hidden="1" customWidth="1"/>
    <col min="40" max="40" width="8.28515625" hidden="1" customWidth="1"/>
    <col min="41" max="41" width="8.28515625" style="232" hidden="1" customWidth="1"/>
    <col min="42" max="42" width="8.28515625" customWidth="1"/>
    <col min="43" max="43" width="8.42578125" customWidth="1"/>
    <col min="44" max="44" width="11.42578125" hidden="1" customWidth="1"/>
  </cols>
  <sheetData>
    <row r="1" spans="1:44" ht="16.5" thickBot="1">
      <c r="A1" s="2147" t="s">
        <v>740</v>
      </c>
      <c r="B1" s="2147"/>
      <c r="C1" s="2148"/>
      <c r="D1" s="2148"/>
      <c r="E1" s="2148"/>
      <c r="F1" s="2148"/>
      <c r="G1" s="2148"/>
    </row>
    <row r="2" spans="1:44" ht="16.5" thickTop="1" thickBot="1">
      <c r="A2" s="2149" t="s">
        <v>46</v>
      </c>
      <c r="B2" s="2150"/>
      <c r="C2" s="2150"/>
      <c r="D2" s="2150"/>
      <c r="E2" s="2150"/>
      <c r="F2" s="2150"/>
      <c r="G2" s="2150"/>
      <c r="H2" s="2150"/>
      <c r="I2" s="2150"/>
      <c r="J2" s="2150"/>
      <c r="K2" s="2143" t="s">
        <v>47</v>
      </c>
      <c r="L2" s="2144"/>
      <c r="M2" s="2144"/>
      <c r="N2" s="2144"/>
      <c r="O2" s="2144"/>
      <c r="P2" s="2144"/>
      <c r="Q2" s="2144"/>
      <c r="R2" s="2144"/>
      <c r="S2" s="2144"/>
      <c r="T2" s="2144"/>
      <c r="U2" s="2144"/>
      <c r="V2" s="2144"/>
      <c r="W2" s="2144"/>
      <c r="X2" s="2144"/>
      <c r="Y2" s="2144"/>
      <c r="Z2" s="2144"/>
      <c r="AA2" s="2144"/>
      <c r="AB2" s="2144"/>
      <c r="AC2" s="2144"/>
      <c r="AD2" s="2144"/>
      <c r="AE2" s="2144"/>
      <c r="AF2" s="2144"/>
      <c r="AG2" s="2144"/>
      <c r="AH2" s="2144"/>
      <c r="AI2" s="2144"/>
      <c r="AJ2" s="2144"/>
      <c r="AK2" s="2144"/>
      <c r="AL2" s="2144"/>
      <c r="AM2" s="2144"/>
      <c r="AN2" s="2144"/>
      <c r="AO2" s="2144"/>
      <c r="AP2" s="2145"/>
      <c r="AQ2" s="2146"/>
    </row>
    <row r="3" spans="1:44" ht="60" customHeight="1" thickBot="1">
      <c r="A3" s="585" t="s">
        <v>7</v>
      </c>
      <c r="B3" s="1144" t="s">
        <v>1779</v>
      </c>
      <c r="C3" s="579" t="s">
        <v>690</v>
      </c>
      <c r="D3" s="580" t="s">
        <v>49</v>
      </c>
      <c r="E3" s="580" t="s">
        <v>1772</v>
      </c>
      <c r="F3" s="580" t="s">
        <v>51</v>
      </c>
      <c r="G3" s="580" t="s">
        <v>52</v>
      </c>
      <c r="H3" s="580" t="s">
        <v>676</v>
      </c>
      <c r="I3" s="580" t="s">
        <v>1783</v>
      </c>
      <c r="J3" s="581" t="s">
        <v>1784</v>
      </c>
      <c r="K3" s="2151" t="s">
        <v>57</v>
      </c>
      <c r="L3" s="2152"/>
      <c r="M3" s="2152"/>
      <c r="N3" s="2152"/>
      <c r="O3" s="2152"/>
      <c r="P3" s="2153"/>
      <c r="Q3" s="2141" t="s">
        <v>58</v>
      </c>
      <c r="R3" s="2154"/>
      <c r="S3" s="2154"/>
      <c r="T3" s="2154"/>
      <c r="U3" s="2142"/>
      <c r="V3" s="2151" t="s">
        <v>59</v>
      </c>
      <c r="W3" s="2152"/>
      <c r="X3" s="2152"/>
      <c r="Y3" s="2152"/>
      <c r="Z3" s="2153"/>
      <c r="AA3" s="2141" t="s">
        <v>60</v>
      </c>
      <c r="AB3" s="2154"/>
      <c r="AC3" s="2154"/>
      <c r="AD3" s="2154"/>
      <c r="AE3" s="2142"/>
      <c r="AF3" s="2151" t="s">
        <v>61</v>
      </c>
      <c r="AG3" s="2152"/>
      <c r="AH3" s="2152"/>
      <c r="AI3" s="2152"/>
      <c r="AJ3" s="2153"/>
      <c r="AK3" s="2141" t="s">
        <v>10</v>
      </c>
      <c r="AL3" s="2154"/>
      <c r="AM3" s="2154"/>
      <c r="AN3" s="2154"/>
      <c r="AO3" s="2142"/>
      <c r="AP3" s="2141" t="s">
        <v>1781</v>
      </c>
      <c r="AQ3" s="2142"/>
    </row>
    <row r="4" spans="1:44" ht="24.75" thickBot="1">
      <c r="A4" s="586"/>
      <c r="B4" s="1145"/>
      <c r="C4" s="587"/>
      <c r="D4" s="588"/>
      <c r="E4" s="588"/>
      <c r="F4" s="588"/>
      <c r="G4" s="588"/>
      <c r="H4" s="588"/>
      <c r="I4" s="588"/>
      <c r="J4" s="589"/>
      <c r="K4" s="582" t="s">
        <v>697</v>
      </c>
      <c r="L4" s="583" t="s">
        <v>1788</v>
      </c>
      <c r="M4" s="1045" t="s">
        <v>1647</v>
      </c>
      <c r="N4" s="1045" t="s">
        <v>1649</v>
      </c>
      <c r="O4" s="1045" t="s">
        <v>4357</v>
      </c>
      <c r="P4" s="584" t="s">
        <v>372</v>
      </c>
      <c r="Q4" s="582" t="s">
        <v>697</v>
      </c>
      <c r="R4" s="583" t="s">
        <v>1788</v>
      </c>
      <c r="S4" s="1045" t="s">
        <v>1647</v>
      </c>
      <c r="T4" s="1045" t="s">
        <v>1649</v>
      </c>
      <c r="U4" s="584" t="s">
        <v>372</v>
      </c>
      <c r="V4" s="582" t="s">
        <v>697</v>
      </c>
      <c r="W4" s="583" t="s">
        <v>1788</v>
      </c>
      <c r="X4" s="1045" t="s">
        <v>1647</v>
      </c>
      <c r="Y4" s="1045" t="s">
        <v>1649</v>
      </c>
      <c r="Z4" s="584" t="s">
        <v>372</v>
      </c>
      <c r="AA4" s="582" t="s">
        <v>697</v>
      </c>
      <c r="AB4" s="583" t="s">
        <v>1788</v>
      </c>
      <c r="AC4" s="1045" t="s">
        <v>1647</v>
      </c>
      <c r="AD4" s="1045" t="s">
        <v>1649</v>
      </c>
      <c r="AE4" s="584" t="s">
        <v>372</v>
      </c>
      <c r="AF4" s="582" t="s">
        <v>697</v>
      </c>
      <c r="AG4" s="583" t="s">
        <v>1788</v>
      </c>
      <c r="AH4" s="1045" t="s">
        <v>1647</v>
      </c>
      <c r="AI4" s="1045" t="s">
        <v>1648</v>
      </c>
      <c r="AJ4" s="584" t="s">
        <v>372</v>
      </c>
      <c r="AK4" s="582" t="s">
        <v>697</v>
      </c>
      <c r="AL4" s="583" t="s">
        <v>1788</v>
      </c>
      <c r="AM4" s="1045" t="s">
        <v>1647</v>
      </c>
      <c r="AN4" s="1045" t="s">
        <v>1648</v>
      </c>
      <c r="AO4" s="584" t="s">
        <v>372</v>
      </c>
      <c r="AP4" s="582" t="s">
        <v>697</v>
      </c>
      <c r="AQ4" s="583" t="s">
        <v>1788</v>
      </c>
    </row>
    <row r="5" spans="1:44" ht="82.5" customHeight="1" thickBot="1">
      <c r="A5" s="382" t="str">
        <f>CONCATENATE('3 pr-2'!A7)</f>
        <v>1.1.</v>
      </c>
      <c r="B5" s="2092" t="str">
        <f>CONCATENATE('3 pr-2'!B7)</f>
        <v>Tikslas: 
DIDINTI ŪKINĖS VEIKLOS ĮVAIROVĘ IR PAGERINTI SĄLYGAS INVESTICIJŲ PRITRAUKIMUI, MAŽINANT GEOGRAFINIŲ SĄLYGŲ IR DEMOGRAFINIŲ PROCESŲ SUKELIAMUS GYVENIMO KOKYBĖS NETOLYGUMUS</v>
      </c>
      <c r="C5" s="2086"/>
      <c r="D5" s="2086"/>
      <c r="E5" s="2086"/>
      <c r="F5" s="2086"/>
      <c r="G5" s="2086"/>
      <c r="H5" s="2086"/>
      <c r="I5" s="2086"/>
      <c r="J5" s="2087"/>
      <c r="K5" s="1189">
        <f t="shared" ref="K5:AK5" si="0">SUM(K6+K71)</f>
        <v>48179758.077058807</v>
      </c>
      <c r="L5" s="1189">
        <f t="shared" si="0"/>
        <v>18955969.160000004</v>
      </c>
      <c r="M5" s="1189">
        <f t="shared" si="0"/>
        <v>7174206.7999999989</v>
      </c>
      <c r="N5" s="1189">
        <f t="shared" si="0"/>
        <v>9797559.5899999999</v>
      </c>
      <c r="O5" s="1189">
        <f t="shared" si="0"/>
        <v>1984202.7699999996</v>
      </c>
      <c r="P5" s="1189">
        <f t="shared" si="0"/>
        <v>29223788.917058822</v>
      </c>
      <c r="Q5" s="1189">
        <f t="shared" si="0"/>
        <v>5588818.8870588243</v>
      </c>
      <c r="R5" s="1189">
        <f t="shared" si="0"/>
        <v>1221048.3699999999</v>
      </c>
      <c r="S5" s="1189">
        <f t="shared" si="0"/>
        <v>233383.81</v>
      </c>
      <c r="T5" s="1189">
        <f t="shared" si="0"/>
        <v>771813.08000000007</v>
      </c>
      <c r="U5" s="1189">
        <f t="shared" si="0"/>
        <v>4367770.5170588233</v>
      </c>
      <c r="V5" s="1189">
        <f t="shared" ca="1" si="0"/>
        <v>721975.68</v>
      </c>
      <c r="W5" s="1189">
        <f t="shared" si="0"/>
        <v>412826.99000000005</v>
      </c>
      <c r="X5" s="1189">
        <f t="shared" si="0"/>
        <v>220185.99</v>
      </c>
      <c r="Y5" s="1189">
        <f t="shared" si="0"/>
        <v>133425.41000000003</v>
      </c>
      <c r="Z5" s="1189">
        <f t="shared" ca="1" si="0"/>
        <v>309148.69000000006</v>
      </c>
      <c r="AA5" s="1189">
        <f t="shared" si="0"/>
        <v>8555217.6500000004</v>
      </c>
      <c r="AB5" s="1189">
        <f t="shared" si="0"/>
        <v>3577165.580000001</v>
      </c>
      <c r="AC5" s="1189">
        <f t="shared" si="0"/>
        <v>1440051.81</v>
      </c>
      <c r="AD5" s="1189">
        <f t="shared" si="0"/>
        <v>2137113.77</v>
      </c>
      <c r="AE5" s="1189">
        <f t="shared" si="0"/>
        <v>4978052.0699999994</v>
      </c>
      <c r="AF5" s="1189">
        <f t="shared" si="0"/>
        <v>415060.82</v>
      </c>
      <c r="AG5" s="1189">
        <f t="shared" si="0"/>
        <v>366404.67</v>
      </c>
      <c r="AH5" s="1189">
        <f t="shared" si="0"/>
        <v>32545.37</v>
      </c>
      <c r="AI5" s="1189">
        <f t="shared" si="0"/>
        <v>14980.289999999997</v>
      </c>
      <c r="AJ5" s="1189">
        <f t="shared" si="0"/>
        <v>48656.15</v>
      </c>
      <c r="AK5" s="1189">
        <f t="shared" si="0"/>
        <v>32898685.040000003</v>
      </c>
      <c r="AL5" s="1189">
        <f>SUM(AL6+AL71)</f>
        <v>13378523.549999999</v>
      </c>
      <c r="AM5" s="1189">
        <f t="shared" ref="AM5:AQ5" si="1">SUM(AM6+AM71)</f>
        <v>5248039.82</v>
      </c>
      <c r="AN5" s="1189">
        <f t="shared" si="1"/>
        <v>7354447.4400000013</v>
      </c>
      <c r="AO5" s="1189">
        <f t="shared" si="1"/>
        <v>19108372.429999996</v>
      </c>
      <c r="AP5" s="1189">
        <f t="shared" si="1"/>
        <v>0</v>
      </c>
      <c r="AQ5" s="1189">
        <f t="shared" si="1"/>
        <v>0</v>
      </c>
      <c r="AR5" s="233">
        <f>SUM(K5-'3 pr-2'!L7)</f>
        <v>0</v>
      </c>
    </row>
    <row r="6" spans="1:44" ht="60" customHeight="1" thickBot="1">
      <c r="A6" s="238" t="str">
        <f>CONCATENATE('3 pr-2'!A8)</f>
        <v>1.1.1.</v>
      </c>
      <c r="B6" s="2085" t="str">
        <f>CONCATENATE('3 pr-2'!B8)</f>
        <v>Uždavinys: 
Sudaryti sąlygas darbo vietų kūrimui, kuriant ir atnaujinant viešąją ir ekoinžinerinę  infrastruktūrą,  gamtos, kultūros paveldo objektus ir kultūros įstaigas</v>
      </c>
      <c r="C6" s="2086"/>
      <c r="D6" s="2086"/>
      <c r="E6" s="2086"/>
      <c r="F6" s="2086"/>
      <c r="G6" s="2086"/>
      <c r="H6" s="2086"/>
      <c r="I6" s="2086"/>
      <c r="J6" s="2087"/>
      <c r="K6" s="1158">
        <f t="shared" ref="K6:AK6" si="2">SUM(K7+K31+K37+K44+K48+K54+K56+K60+K65)</f>
        <v>39462000.947058812</v>
      </c>
      <c r="L6" s="1158">
        <f t="shared" si="2"/>
        <v>15907529.440000003</v>
      </c>
      <c r="M6" s="1158">
        <f t="shared" ref="M6:N6" si="3">SUM(M7+M31+M37+M44+M48+M54+M56+M60+M65)</f>
        <v>6214537.6199999992</v>
      </c>
      <c r="N6" s="1158">
        <f t="shared" si="3"/>
        <v>8118191.6700000009</v>
      </c>
      <c r="O6" s="1158">
        <f t="shared" ref="O6" si="4">SUM(O7+O31+O37+O44+O48+O54+O56+O60+O65)</f>
        <v>1574800.1499999997</v>
      </c>
      <c r="P6" s="1158">
        <f t="shared" si="2"/>
        <v>23554471.507058822</v>
      </c>
      <c r="Q6" s="1158">
        <f t="shared" si="2"/>
        <v>3767704.8270588238</v>
      </c>
      <c r="R6" s="1158">
        <f t="shared" si="2"/>
        <v>825614.82</v>
      </c>
      <c r="S6" s="1158">
        <f t="shared" si="2"/>
        <v>121978.6</v>
      </c>
      <c r="T6" s="1158">
        <f t="shared" si="2"/>
        <v>487784.74000000005</v>
      </c>
      <c r="U6" s="1158">
        <f t="shared" si="2"/>
        <v>2942090.0070588235</v>
      </c>
      <c r="V6" s="1158">
        <f t="shared" ca="1" si="2"/>
        <v>721975.68</v>
      </c>
      <c r="W6" s="1158">
        <f t="shared" si="2"/>
        <v>412826.99000000005</v>
      </c>
      <c r="X6" s="1158">
        <f t="shared" si="2"/>
        <v>220185.99</v>
      </c>
      <c r="Y6" s="1158">
        <f t="shared" si="2"/>
        <v>133425.41000000003</v>
      </c>
      <c r="Z6" s="1158">
        <f t="shared" ca="1" si="2"/>
        <v>309148.69000000006</v>
      </c>
      <c r="AA6" s="1158">
        <f t="shared" si="2"/>
        <v>8046402.1500000004</v>
      </c>
      <c r="AB6" s="1158">
        <f t="shared" si="2"/>
        <v>3577165.580000001</v>
      </c>
      <c r="AC6" s="1158">
        <f t="shared" si="2"/>
        <v>1440051.81</v>
      </c>
      <c r="AD6" s="1158">
        <f t="shared" si="2"/>
        <v>2137113.77</v>
      </c>
      <c r="AE6" s="1158">
        <f t="shared" si="2"/>
        <v>4469236.5699999994</v>
      </c>
      <c r="AF6" s="1158">
        <f t="shared" si="2"/>
        <v>352400.82</v>
      </c>
      <c r="AG6" s="1158">
        <f t="shared" si="2"/>
        <v>318879.01</v>
      </c>
      <c r="AH6" s="1158">
        <f t="shared" si="2"/>
        <v>0</v>
      </c>
      <c r="AI6" s="1158">
        <f t="shared" si="2"/>
        <v>0</v>
      </c>
      <c r="AJ6" s="1158">
        <f t="shared" si="2"/>
        <v>33521.81</v>
      </c>
      <c r="AK6" s="1158">
        <f t="shared" si="2"/>
        <v>26573517.470000003</v>
      </c>
      <c r="AL6" s="1158">
        <f>SUM(AL7+AL31+AL37+AL44+AL48+AL54+AL56+AL60+AL65)</f>
        <v>10773043.039999999</v>
      </c>
      <c r="AM6" s="1158">
        <f t="shared" ref="AM6:AQ6" si="5">SUM(AM7+AM31+AM37+AM44+AM48+AM54+AM56+AM60+AM65)</f>
        <v>4432321.22</v>
      </c>
      <c r="AN6" s="1158">
        <f t="shared" si="5"/>
        <v>5564685.5300000012</v>
      </c>
      <c r="AO6" s="1158">
        <f t="shared" si="5"/>
        <v>15388685.369999997</v>
      </c>
      <c r="AP6" s="1158">
        <f t="shared" si="5"/>
        <v>0</v>
      </c>
      <c r="AQ6" s="1158">
        <f t="shared" si="5"/>
        <v>0</v>
      </c>
      <c r="AR6" s="233">
        <f>SUM(K6-'3 pr-2'!L8)</f>
        <v>0</v>
      </c>
    </row>
    <row r="7" spans="1:44" s="230" customFormat="1" ht="36" customHeight="1" thickBot="1">
      <c r="A7" s="296" t="str">
        <f>CONCATENATE('3 pr-2'!A9)</f>
        <v>1.1.1.1</v>
      </c>
      <c r="B7" s="2088" t="str">
        <f>CONCATENATE('3 pr-2'!B9)</f>
        <v>Priemonė:
Kaimo gyvenamųjų vietovių (turinčių iki 1 tūkst. gyventojų) atnaujinimas</v>
      </c>
      <c r="C7" s="2089"/>
      <c r="D7" s="2089"/>
      <c r="E7" s="2089"/>
      <c r="F7" s="2089"/>
      <c r="G7" s="2089"/>
      <c r="H7" s="2089"/>
      <c r="I7" s="2089"/>
      <c r="J7" s="2090"/>
      <c r="K7" s="1077">
        <f t="shared" ref="K7:AQ7" si="6">SUM(K8:K30)</f>
        <v>4458652.3499999996</v>
      </c>
      <c r="L7" s="1077">
        <f t="shared" si="6"/>
        <v>0</v>
      </c>
      <c r="M7" s="1077">
        <f t="shared" si="6"/>
        <v>0</v>
      </c>
      <c r="N7" s="1077">
        <f t="shared" si="6"/>
        <v>0</v>
      </c>
      <c r="O7" s="1077">
        <f t="shared" si="6"/>
        <v>0</v>
      </c>
      <c r="P7" s="1077">
        <f t="shared" si="6"/>
        <v>4458652.3499999996</v>
      </c>
      <c r="Q7" s="1077">
        <f t="shared" si="6"/>
        <v>1195247.3499999999</v>
      </c>
      <c r="R7" s="1077">
        <f t="shared" si="6"/>
        <v>0</v>
      </c>
      <c r="S7" s="1077">
        <f t="shared" si="6"/>
        <v>0</v>
      </c>
      <c r="T7" s="1077">
        <f t="shared" si="6"/>
        <v>0</v>
      </c>
      <c r="U7" s="1077">
        <f t="shared" si="6"/>
        <v>1195247.3499999999</v>
      </c>
      <c r="V7" s="1077">
        <f t="shared" ca="1" si="6"/>
        <v>0</v>
      </c>
      <c r="W7" s="1077">
        <f t="shared" si="6"/>
        <v>0</v>
      </c>
      <c r="X7" s="1077">
        <f t="shared" si="6"/>
        <v>0</v>
      </c>
      <c r="Y7" s="1077">
        <f t="shared" si="6"/>
        <v>0</v>
      </c>
      <c r="Z7" s="1077">
        <f t="shared" ca="1" si="6"/>
        <v>0</v>
      </c>
      <c r="AA7" s="1077">
        <f t="shared" si="6"/>
        <v>0</v>
      </c>
      <c r="AB7" s="1077">
        <f t="shared" si="6"/>
        <v>0</v>
      </c>
      <c r="AC7" s="1077">
        <f t="shared" si="6"/>
        <v>0</v>
      </c>
      <c r="AD7" s="1077">
        <f t="shared" si="6"/>
        <v>0</v>
      </c>
      <c r="AE7" s="1077">
        <f t="shared" si="6"/>
        <v>0</v>
      </c>
      <c r="AF7" s="1077">
        <f t="shared" si="6"/>
        <v>0</v>
      </c>
      <c r="AG7" s="1077">
        <f t="shared" si="6"/>
        <v>0</v>
      </c>
      <c r="AH7" s="1077">
        <f t="shared" si="6"/>
        <v>0</v>
      </c>
      <c r="AI7" s="1077">
        <f t="shared" si="6"/>
        <v>0</v>
      </c>
      <c r="AJ7" s="1077">
        <f t="shared" si="6"/>
        <v>0</v>
      </c>
      <c r="AK7" s="1077">
        <f t="shared" si="6"/>
        <v>3263405</v>
      </c>
      <c r="AL7" s="1077">
        <f t="shared" si="6"/>
        <v>0</v>
      </c>
      <c r="AM7" s="1077">
        <f t="shared" si="6"/>
        <v>0</v>
      </c>
      <c r="AN7" s="1077">
        <f t="shared" si="6"/>
        <v>0</v>
      </c>
      <c r="AO7" s="1077">
        <f t="shared" si="6"/>
        <v>3263405</v>
      </c>
      <c r="AP7" s="1077">
        <f t="shared" si="6"/>
        <v>0</v>
      </c>
      <c r="AQ7" s="1077">
        <f t="shared" si="6"/>
        <v>0</v>
      </c>
      <c r="AR7" s="233">
        <f>SUM(K7-'3 pr-2'!L9)</f>
        <v>0</v>
      </c>
    </row>
    <row r="8" spans="1:44" ht="48.75">
      <c r="A8" s="578" t="str">
        <f>CONCATENATE('3 pr-2'!A10)</f>
        <v>1.1.1.1.1</v>
      </c>
      <c r="B8" s="578" t="str">
        <f>CONCATENATE('3 pr-2'!B10)</f>
        <v>R01-ZM72-120000-1101</v>
      </c>
      <c r="C8" s="577" t="str">
        <f>CONCATENATE('ketv. 6 '!C9)</f>
        <v>20KI-KA-17-1-02616-PR001</v>
      </c>
      <c r="D8" s="221" t="str">
        <f>CONCATENATE('3 pr-2'!D10)</f>
        <v xml:space="preserve">Druskininkų savivaldybės Viečiūnų seniūnijos Ilgio ir Raigardo seniūnaitijų kelių būklės gerinimas  </v>
      </c>
      <c r="E8" s="221" t="str">
        <f>CONCATENATE('3 pr-2'!E10)</f>
        <v xml:space="preserve">Druskininkų savivaldybės administracija  </v>
      </c>
      <c r="F8" s="221" t="str">
        <f>CONCATENATE('3 pr-2'!F10)</f>
        <v>Lietuvos Respublikos žemės ūkio ministerija</v>
      </c>
      <c r="G8" s="221" t="str">
        <f>CONCATENATE('3 pr-2'!G10)</f>
        <v>Druskininkų sav.</v>
      </c>
      <c r="H8" s="221" t="str">
        <f>CONCATENATE('3 pr-2'!H10)</f>
        <v xml:space="preserve">Pagrindinės paslaugos ir kaimų atnaujinimas kaimo vietovėse </v>
      </c>
      <c r="I8" s="221" t="str">
        <f>CONCATENATE('3 pr-2'!I10)</f>
        <v>R</v>
      </c>
      <c r="J8" s="221" t="str">
        <f>CONCATENATE('3 pr-2'!J10)</f>
        <v>-</v>
      </c>
      <c r="K8" s="1164">
        <f>SUM('3 pr-2'!L10)</f>
        <v>250766</v>
      </c>
      <c r="L8" s="1164">
        <f t="shared" ref="L8:L30" si="7">SUM(R8+W8+AB8+AG8+AL8)</f>
        <v>0</v>
      </c>
      <c r="M8" s="1191">
        <v>0</v>
      </c>
      <c r="N8" s="1191">
        <v>0</v>
      </c>
      <c r="O8" s="1191">
        <f t="shared" ref="O8:O30" si="8">SUM(L8-M8-N8)</f>
        <v>0</v>
      </c>
      <c r="P8" s="1192">
        <f t="shared" ref="P8:P70" si="9">SUM(K8-L8)</f>
        <v>250766</v>
      </c>
      <c r="Q8" s="1164">
        <f>SUM('3 pr-2'!O10)</f>
        <v>91651</v>
      </c>
      <c r="R8" s="1164">
        <v>0</v>
      </c>
      <c r="S8" s="1191"/>
      <c r="T8" s="1191"/>
      <c r="U8" s="1192">
        <f t="shared" ref="U8:U30" si="10">SUM(Q8-R8)</f>
        <v>91651</v>
      </c>
      <c r="V8" s="1164">
        <f ca="1">SUM('3 pr-2'!R10)</f>
        <v>0</v>
      </c>
      <c r="W8" s="1164">
        <v>0</v>
      </c>
      <c r="X8" s="1191"/>
      <c r="Y8" s="1191"/>
      <c r="Z8" s="1192">
        <f t="shared" ref="Z8:Z30" ca="1" si="11">SUM(V8-W8)</f>
        <v>0</v>
      </c>
      <c r="AA8" s="1164">
        <f>SUM('3 pr-2'!U10)</f>
        <v>0</v>
      </c>
      <c r="AB8" s="1164">
        <v>0</v>
      </c>
      <c r="AC8" s="1191"/>
      <c r="AD8" s="1191"/>
      <c r="AE8" s="1192">
        <f t="shared" ref="AE8:AE30" si="12">SUM(AA8-AB8)</f>
        <v>0</v>
      </c>
      <c r="AF8" s="1164">
        <f>SUM('3 pr-2'!X10)</f>
        <v>0</v>
      </c>
      <c r="AG8" s="1164">
        <v>0</v>
      </c>
      <c r="AH8" s="1191"/>
      <c r="AI8" s="1191"/>
      <c r="AJ8" s="1192">
        <f t="shared" ref="AJ8:AJ30" si="13">SUM(AF8-AG8)</f>
        <v>0</v>
      </c>
      <c r="AK8" s="1164">
        <f>SUM('3 pr-2'!AA10)</f>
        <v>159115</v>
      </c>
      <c r="AL8" s="1164">
        <v>0</v>
      </c>
      <c r="AM8" s="1191"/>
      <c r="AN8" s="1191"/>
      <c r="AO8" s="1167">
        <f t="shared" ref="AO8:AO30" si="14">IF(AK8&gt;0,AK8-AL8,0)</f>
        <v>159115</v>
      </c>
      <c r="AP8" s="1080">
        <f>SUM('3 pr-2'!AB10)</f>
        <v>0</v>
      </c>
      <c r="AQ8" s="1193">
        <v>0</v>
      </c>
    </row>
    <row r="9" spans="1:44" ht="48.75">
      <c r="A9" s="375" t="str">
        <f>CONCATENATE('3 pr-2'!A11)</f>
        <v>1.1.1.1.2</v>
      </c>
      <c r="B9" s="578" t="str">
        <f>CONCATENATE('3 pr-2'!B11)</f>
        <v>R01-ZM72-120000-1102</v>
      </c>
      <c r="C9" s="577" t="str">
        <f>CONCATENATE('ketv. 6 '!C10)</f>
        <v>20KI-KA-17-1-02617-PR001</v>
      </c>
      <c r="D9" s="164" t="str">
        <f>CONCATENATE('3 pr-2'!D11)</f>
        <v>Druskininkų savivaldybės Viečiūnų seniūnijos Ratnyčėlės seniūnaitijos kelių būklės gerinimas</v>
      </c>
      <c r="E9" s="164" t="str">
        <f>CONCATENATE('3 pr-2'!E11)</f>
        <v xml:space="preserve">Druskininkų savivaldybės administracija  </v>
      </c>
      <c r="F9" s="164" t="str">
        <f>CONCATENATE('3 pr-2'!F11)</f>
        <v>Lietuvos Respublikos žemės ūkio ministerija</v>
      </c>
      <c r="G9" s="164" t="str">
        <f>CONCATENATE('3 pr-2'!G11)</f>
        <v>Druskininkų sav.</v>
      </c>
      <c r="H9" s="164" t="str">
        <f>CONCATENATE('3 pr-2'!H11)</f>
        <v xml:space="preserve">Pagrindinės paslaugos ir kaimų atnaujinimas kaimo vietovėse </v>
      </c>
      <c r="I9" s="164" t="str">
        <f>CONCATENATE('3 pr-2'!I11)</f>
        <v>R</v>
      </c>
      <c r="J9" s="164" t="str">
        <f>CONCATENATE('3 pr-2'!J11)</f>
        <v>-</v>
      </c>
      <c r="K9" s="1164">
        <f>SUM('3 pr-2'!L11)</f>
        <v>188039</v>
      </c>
      <c r="L9" s="1080">
        <f t="shared" si="7"/>
        <v>0</v>
      </c>
      <c r="M9" s="1082">
        <v>0</v>
      </c>
      <c r="N9" s="1082">
        <v>0</v>
      </c>
      <c r="O9" s="1082">
        <f t="shared" si="8"/>
        <v>0</v>
      </c>
      <c r="P9" s="1160">
        <f t="shared" si="9"/>
        <v>188039</v>
      </c>
      <c r="Q9" s="1164">
        <f>SUM('3 pr-2'!O11)</f>
        <v>66968</v>
      </c>
      <c r="R9" s="1080">
        <v>0</v>
      </c>
      <c r="S9" s="1082"/>
      <c r="T9" s="1082"/>
      <c r="U9" s="1160">
        <f t="shared" si="10"/>
        <v>66968</v>
      </c>
      <c r="V9" s="1164">
        <f ca="1">SUM('3 pr-2'!R11)</f>
        <v>0</v>
      </c>
      <c r="W9" s="1080">
        <v>0</v>
      </c>
      <c r="X9" s="1082"/>
      <c r="Y9" s="1082"/>
      <c r="Z9" s="1160">
        <f t="shared" ca="1" si="11"/>
        <v>0</v>
      </c>
      <c r="AA9" s="1164">
        <f>SUM('3 pr-2'!U11)</f>
        <v>0</v>
      </c>
      <c r="AB9" s="1080">
        <v>0</v>
      </c>
      <c r="AC9" s="1082"/>
      <c r="AD9" s="1082"/>
      <c r="AE9" s="1160">
        <f t="shared" si="12"/>
        <v>0</v>
      </c>
      <c r="AF9" s="1164">
        <f>SUM('3 pr-2'!X11)</f>
        <v>0</v>
      </c>
      <c r="AG9" s="1080">
        <v>0</v>
      </c>
      <c r="AH9" s="1082"/>
      <c r="AI9" s="1082"/>
      <c r="AJ9" s="1160">
        <f t="shared" si="13"/>
        <v>0</v>
      </c>
      <c r="AK9" s="1164">
        <f>SUM('3 pr-2'!AA11)</f>
        <v>121071</v>
      </c>
      <c r="AL9" s="1080">
        <v>0</v>
      </c>
      <c r="AM9" s="1082"/>
      <c r="AN9" s="1082"/>
      <c r="AO9" s="1167">
        <f t="shared" si="14"/>
        <v>121071</v>
      </c>
      <c r="AP9" s="1080">
        <f>SUM('3 pr-2'!AB11)</f>
        <v>0</v>
      </c>
      <c r="AQ9" s="1193">
        <v>0</v>
      </c>
    </row>
    <row r="10" spans="1:44" ht="48.75">
      <c r="A10" s="375" t="str">
        <f>CONCATENATE('3 pr-2'!A12)</f>
        <v>1.1.1.1.3</v>
      </c>
      <c r="B10" s="578" t="str">
        <f>CONCATENATE('3 pr-2'!B12)</f>
        <v>R01-ZM72-120000-1103</v>
      </c>
      <c r="C10" s="577" t="str">
        <f>CONCATENATE('ketv. 6 '!C11)</f>
        <v>20KI-KA-17-1-02622-PR001</v>
      </c>
      <c r="D10" s="164" t="str">
        <f>CONCATENATE('3 pr-2'!D12)</f>
        <v>Druskininkų savivaldybės Leipalingio seniūnijos Klonio seniūnaitijos kelių būklės gerinimas</v>
      </c>
      <c r="E10" s="164" t="str">
        <f>CONCATENATE('3 pr-2'!E12)</f>
        <v xml:space="preserve">Druskininkų savivaldybės administracija  </v>
      </c>
      <c r="F10" s="164" t="str">
        <f>CONCATENATE('3 pr-2'!F12)</f>
        <v>Lietuvos Respublikos žemės ūkio ministerija</v>
      </c>
      <c r="G10" s="164" t="str">
        <f>CONCATENATE('3 pr-2'!G12)</f>
        <v>Druskininkų sav.</v>
      </c>
      <c r="H10" s="164" t="str">
        <f>CONCATENATE('3 pr-2'!H12)</f>
        <v xml:space="preserve">Pagrindinės paslaugos ir kaimų atnaujinimas kaimo vietovėse </v>
      </c>
      <c r="I10" s="164" t="str">
        <f>CONCATENATE('3 pr-2'!I12)</f>
        <v>R</v>
      </c>
      <c r="J10" s="164" t="str">
        <f>CONCATENATE('3 pr-2'!J12)</f>
        <v>-</v>
      </c>
      <c r="K10" s="1164">
        <f>SUM('3 pr-2'!L12)</f>
        <v>222319</v>
      </c>
      <c r="L10" s="1080">
        <f t="shared" si="7"/>
        <v>0</v>
      </c>
      <c r="M10" s="1082">
        <v>0</v>
      </c>
      <c r="N10" s="1082">
        <v>0</v>
      </c>
      <c r="O10" s="1082">
        <f t="shared" si="8"/>
        <v>0</v>
      </c>
      <c r="P10" s="1160">
        <f t="shared" si="9"/>
        <v>222319</v>
      </c>
      <c r="Q10" s="1164">
        <f>SUM('3 pr-2'!O12)</f>
        <v>67873</v>
      </c>
      <c r="R10" s="1080">
        <v>0</v>
      </c>
      <c r="S10" s="1082"/>
      <c r="T10" s="1082"/>
      <c r="U10" s="1160">
        <f t="shared" si="10"/>
        <v>67873</v>
      </c>
      <c r="V10" s="1164">
        <f ca="1">SUM('3 pr-2'!R12)</f>
        <v>0</v>
      </c>
      <c r="W10" s="1080">
        <v>0</v>
      </c>
      <c r="X10" s="1082"/>
      <c r="Y10" s="1082"/>
      <c r="Z10" s="1160">
        <f t="shared" ca="1" si="11"/>
        <v>0</v>
      </c>
      <c r="AA10" s="1164">
        <f>SUM('3 pr-2'!U12)</f>
        <v>0</v>
      </c>
      <c r="AB10" s="1080">
        <v>0</v>
      </c>
      <c r="AC10" s="1082"/>
      <c r="AD10" s="1082"/>
      <c r="AE10" s="1160">
        <f t="shared" si="12"/>
        <v>0</v>
      </c>
      <c r="AF10" s="1164">
        <f>SUM('3 pr-2'!X12)</f>
        <v>0</v>
      </c>
      <c r="AG10" s="1080">
        <v>0</v>
      </c>
      <c r="AH10" s="1082"/>
      <c r="AI10" s="1082"/>
      <c r="AJ10" s="1160">
        <f t="shared" si="13"/>
        <v>0</v>
      </c>
      <c r="AK10" s="1164">
        <f>SUM('3 pr-2'!AA12)</f>
        <v>154446</v>
      </c>
      <c r="AL10" s="1080">
        <v>0</v>
      </c>
      <c r="AM10" s="1082"/>
      <c r="AN10" s="1082"/>
      <c r="AO10" s="1167">
        <f t="shared" si="14"/>
        <v>154446</v>
      </c>
      <c r="AP10" s="1080">
        <f>SUM('3 pr-2'!AB12)</f>
        <v>0</v>
      </c>
      <c r="AQ10" s="1193">
        <v>0</v>
      </c>
    </row>
    <row r="11" spans="1:44" ht="48.75">
      <c r="A11" s="375" t="str">
        <f>CONCATENATE('3 pr-2'!A13)</f>
        <v>1.1.1.1.4</v>
      </c>
      <c r="B11" s="578" t="str">
        <f>CONCATENATE('3 pr-2'!B13)</f>
        <v>R01-ZM72-330200-1104</v>
      </c>
      <c r="C11" s="577" t="str">
        <f>CONCATENATE('ketv. 6 '!C12)</f>
        <v>20KI-KA-17-1-02368-PR001</v>
      </c>
      <c r="D11" s="164" t="str">
        <f>CONCATENATE('3 pr-2'!D13)</f>
        <v>Rudaminos laisvalaikio salės pritaikymas bendruomenės poreikiams ir liaudies amatų plėtrai</v>
      </c>
      <c r="E11" s="164" t="str">
        <f>CONCATENATE('3 pr-2'!E13)</f>
        <v>Viešoji įstaiga Lazdijų kultūros centras</v>
      </c>
      <c r="F11" s="164" t="str">
        <f>CONCATENATE('3 pr-2'!F13)</f>
        <v>Lietuvos Respublikos žemės ūkio ministerija</v>
      </c>
      <c r="G11" s="164" t="str">
        <f>CONCATENATE('3 pr-2'!G13)</f>
        <v>Lazdijų r. sav.</v>
      </c>
      <c r="H11" s="164" t="str">
        <f>CONCATENATE('3 pr-2'!H13)</f>
        <v xml:space="preserve">Pagrindinės paslaugos ir kaimų atnaujinimas kaimo vietovėse </v>
      </c>
      <c r="I11" s="164" t="str">
        <f>CONCATENATE('3 pr-2'!I13)</f>
        <v>R</v>
      </c>
      <c r="J11" s="164" t="str">
        <f>CONCATENATE('3 pr-2'!J13)</f>
        <v>-</v>
      </c>
      <c r="K11" s="1164">
        <f>SUM('3 pr-2'!L13)</f>
        <v>123160</v>
      </c>
      <c r="L11" s="1080">
        <f t="shared" si="7"/>
        <v>0</v>
      </c>
      <c r="M11" s="1082">
        <v>0</v>
      </c>
      <c r="N11" s="1082">
        <v>0</v>
      </c>
      <c r="O11" s="1082">
        <f t="shared" si="8"/>
        <v>0</v>
      </c>
      <c r="P11" s="1160">
        <f t="shared" si="9"/>
        <v>123160</v>
      </c>
      <c r="Q11" s="1164">
        <f>SUM('3 pr-2'!O13)</f>
        <v>24632</v>
      </c>
      <c r="R11" s="1080">
        <v>0</v>
      </c>
      <c r="S11" s="1082"/>
      <c r="T11" s="1082"/>
      <c r="U11" s="1160">
        <f t="shared" si="10"/>
        <v>24632</v>
      </c>
      <c r="V11" s="1164">
        <f ca="1">SUM('3 pr-2'!R13)</f>
        <v>0</v>
      </c>
      <c r="W11" s="1080">
        <v>0</v>
      </c>
      <c r="X11" s="1082"/>
      <c r="Y11" s="1082"/>
      <c r="Z11" s="1160">
        <f t="shared" ca="1" si="11"/>
        <v>0</v>
      </c>
      <c r="AA11" s="1164">
        <f>SUM('3 pr-2'!U13)</f>
        <v>0</v>
      </c>
      <c r="AB11" s="1080">
        <v>0</v>
      </c>
      <c r="AC11" s="1082"/>
      <c r="AD11" s="1082"/>
      <c r="AE11" s="1160">
        <f t="shared" si="12"/>
        <v>0</v>
      </c>
      <c r="AF11" s="1164">
        <f>SUM('3 pr-2'!X13)</f>
        <v>0</v>
      </c>
      <c r="AG11" s="1080">
        <v>0</v>
      </c>
      <c r="AH11" s="1082"/>
      <c r="AI11" s="1082"/>
      <c r="AJ11" s="1160">
        <f t="shared" si="13"/>
        <v>0</v>
      </c>
      <c r="AK11" s="1164">
        <f>SUM('3 pr-2'!AA13)</f>
        <v>98528</v>
      </c>
      <c r="AL11" s="1080">
        <v>0</v>
      </c>
      <c r="AM11" s="1082"/>
      <c r="AN11" s="1082"/>
      <c r="AO11" s="1167">
        <f t="shared" si="14"/>
        <v>98528</v>
      </c>
      <c r="AP11" s="1080">
        <f>SUM('3 pr-2'!AB13)</f>
        <v>0</v>
      </c>
      <c r="AQ11" s="1193">
        <v>0</v>
      </c>
    </row>
    <row r="12" spans="1:44" ht="48.75">
      <c r="A12" s="375" t="str">
        <f>CONCATENATE('3 pr-2'!A14)</f>
        <v>1.1.1.1.5</v>
      </c>
      <c r="B12" s="578" t="str">
        <f>CONCATENATE('3 pr-2'!B14)</f>
        <v>R01-ZM72-120000-1105</v>
      </c>
      <c r="C12" s="577" t="str">
        <f>CONCATENATE('ketv. 6 '!C13)</f>
        <v>20KI-KA-17-1-02619-PR001</v>
      </c>
      <c r="D12" s="164" t="str">
        <f>CONCATENATE('3 pr-2'!D14)</f>
        <v>Druskininkų savivaldybės Leipalingio seniūnijos Bilso seniūnaitijos kelių būklės gerinimas</v>
      </c>
      <c r="E12" s="164" t="str">
        <f>CONCATENATE('3 pr-2'!E14)</f>
        <v xml:space="preserve">Druskininkų savivaldybės administracija  </v>
      </c>
      <c r="F12" s="164" t="str">
        <f>CONCATENATE('3 pr-2'!F14)</f>
        <v>Lietuvos Respublikos žemės ūkio ministerija</v>
      </c>
      <c r="G12" s="164" t="str">
        <f>CONCATENATE('3 pr-2'!G14)</f>
        <v>Druskininkų sav.</v>
      </c>
      <c r="H12" s="164" t="str">
        <f>CONCATENATE('3 pr-2'!H14)</f>
        <v xml:space="preserve">Pagrindinės paslaugos ir kaimų atnaujinimas kaimo vietovėse </v>
      </c>
      <c r="I12" s="164" t="str">
        <f>CONCATENATE('3 pr-2'!I14)</f>
        <v>R</v>
      </c>
      <c r="J12" s="164" t="str">
        <f>CONCATENATE('3 pr-2'!J14)</f>
        <v>-</v>
      </c>
      <c r="K12" s="1164">
        <f>SUM('3 pr-2'!L14)</f>
        <v>265076</v>
      </c>
      <c r="L12" s="1080">
        <f t="shared" si="7"/>
        <v>0</v>
      </c>
      <c r="M12" s="1082">
        <v>0</v>
      </c>
      <c r="N12" s="1082">
        <v>0</v>
      </c>
      <c r="O12" s="1082">
        <f t="shared" si="8"/>
        <v>0</v>
      </c>
      <c r="P12" s="1160">
        <f t="shared" si="9"/>
        <v>265076</v>
      </c>
      <c r="Q12" s="1164">
        <f>SUM('3 pr-2'!O14)</f>
        <v>137032</v>
      </c>
      <c r="R12" s="1080">
        <v>0</v>
      </c>
      <c r="S12" s="1082"/>
      <c r="T12" s="1082"/>
      <c r="U12" s="1160">
        <f t="shared" si="10"/>
        <v>137032</v>
      </c>
      <c r="V12" s="1164">
        <f ca="1">SUM('3 pr-2'!R14)</f>
        <v>0</v>
      </c>
      <c r="W12" s="1080">
        <v>0</v>
      </c>
      <c r="X12" s="1082"/>
      <c r="Y12" s="1082"/>
      <c r="Z12" s="1160">
        <f t="shared" ca="1" si="11"/>
        <v>0</v>
      </c>
      <c r="AA12" s="1164">
        <f>SUM('3 pr-2'!U14)</f>
        <v>0</v>
      </c>
      <c r="AB12" s="1080">
        <v>0</v>
      </c>
      <c r="AC12" s="1082"/>
      <c r="AD12" s="1082"/>
      <c r="AE12" s="1160">
        <f t="shared" si="12"/>
        <v>0</v>
      </c>
      <c r="AF12" s="1164">
        <f>SUM('3 pr-2'!X14)</f>
        <v>0</v>
      </c>
      <c r="AG12" s="1080">
        <v>0</v>
      </c>
      <c r="AH12" s="1082"/>
      <c r="AI12" s="1082"/>
      <c r="AJ12" s="1160">
        <f t="shared" si="13"/>
        <v>0</v>
      </c>
      <c r="AK12" s="1164">
        <f>SUM('3 pr-2'!AA14)</f>
        <v>128044</v>
      </c>
      <c r="AL12" s="1080">
        <v>0</v>
      </c>
      <c r="AM12" s="1082"/>
      <c r="AN12" s="1082"/>
      <c r="AO12" s="1167">
        <f t="shared" si="14"/>
        <v>128044</v>
      </c>
      <c r="AP12" s="1080">
        <f>SUM('3 pr-2'!AB14)</f>
        <v>0</v>
      </c>
      <c r="AQ12" s="1193">
        <v>0</v>
      </c>
    </row>
    <row r="13" spans="1:44" ht="48.75">
      <c r="A13" s="375" t="str">
        <f>CONCATENATE('3 pr-2'!A15)</f>
        <v>1.1.1.1.6</v>
      </c>
      <c r="B13" s="578" t="str">
        <f>CONCATENATE('3 pr-2'!B15)</f>
        <v>R01-ZM72-330200-1106</v>
      </c>
      <c r="C13" s="577" t="str">
        <f>CONCATENATE('ketv. 6 '!C14)</f>
        <v>20KI-KA-17-1-02374-PR001</v>
      </c>
      <c r="D13" s="164" t="str">
        <f>CONCATENATE('3 pr-2'!D15)</f>
        <v>Lazdijų rajono kaimų patrauklumo didinimas atnaujinant bibliotekas</v>
      </c>
      <c r="E13" s="164" t="str">
        <f>CONCATENATE('3 pr-2'!E15)</f>
        <v xml:space="preserve">Biudžetinė įstaiga Lazdijų rajono savivaldybės viešoji biblioteka </v>
      </c>
      <c r="F13" s="164" t="str">
        <f>CONCATENATE('3 pr-2'!F15)</f>
        <v>Lietuvos Respublikos žemės ūkio ministerija</v>
      </c>
      <c r="G13" s="164" t="str">
        <f>CONCATENATE('3 pr-2'!G15)</f>
        <v>Lazdijų r. sav.</v>
      </c>
      <c r="H13" s="164" t="str">
        <f>CONCATENATE('3 pr-2'!H15)</f>
        <v xml:space="preserve">Pagrindinės paslaugos ir kaimų atnaujinimas kaimo vietovėse </v>
      </c>
      <c r="I13" s="164" t="str">
        <f>CONCATENATE('3 pr-2'!I15)</f>
        <v>R</v>
      </c>
      <c r="J13" s="164" t="str">
        <f>CONCATENATE('3 pr-2'!J15)</f>
        <v>-</v>
      </c>
      <c r="K13" s="1164">
        <f>SUM('3 pr-2'!L15)</f>
        <v>200999</v>
      </c>
      <c r="L13" s="1080">
        <f t="shared" si="7"/>
        <v>0</v>
      </c>
      <c r="M13" s="1082">
        <v>0</v>
      </c>
      <c r="N13" s="1082">
        <v>0</v>
      </c>
      <c r="O13" s="1082">
        <f t="shared" si="8"/>
        <v>0</v>
      </c>
      <c r="P13" s="1160">
        <f t="shared" si="9"/>
        <v>200999</v>
      </c>
      <c r="Q13" s="1164">
        <f>SUM('3 pr-2'!O15)</f>
        <v>41071</v>
      </c>
      <c r="R13" s="1080">
        <v>0</v>
      </c>
      <c r="S13" s="1082"/>
      <c r="T13" s="1082"/>
      <c r="U13" s="1160">
        <f t="shared" si="10"/>
        <v>41071</v>
      </c>
      <c r="V13" s="1164">
        <f ca="1">SUM('3 pr-2'!R15)</f>
        <v>0</v>
      </c>
      <c r="W13" s="1080">
        <v>0</v>
      </c>
      <c r="X13" s="1082"/>
      <c r="Y13" s="1082"/>
      <c r="Z13" s="1160">
        <f t="shared" ca="1" si="11"/>
        <v>0</v>
      </c>
      <c r="AA13" s="1164">
        <f>SUM('3 pr-2'!U15)</f>
        <v>0</v>
      </c>
      <c r="AB13" s="1080">
        <v>0</v>
      </c>
      <c r="AC13" s="1082"/>
      <c r="AD13" s="1082"/>
      <c r="AE13" s="1160">
        <f t="shared" si="12"/>
        <v>0</v>
      </c>
      <c r="AF13" s="1164">
        <f>SUM('3 pr-2'!X15)</f>
        <v>0</v>
      </c>
      <c r="AG13" s="1080">
        <v>0</v>
      </c>
      <c r="AH13" s="1082"/>
      <c r="AI13" s="1082"/>
      <c r="AJ13" s="1160">
        <f t="shared" si="13"/>
        <v>0</v>
      </c>
      <c r="AK13" s="1164">
        <f>SUM('3 pr-2'!AA15)</f>
        <v>159928</v>
      </c>
      <c r="AL13" s="1080">
        <v>0</v>
      </c>
      <c r="AM13" s="1082"/>
      <c r="AN13" s="1082"/>
      <c r="AO13" s="1167">
        <f t="shared" si="14"/>
        <v>159928</v>
      </c>
      <c r="AP13" s="1080">
        <f>SUM('3 pr-2'!AB15)</f>
        <v>0</v>
      </c>
      <c r="AQ13" s="1193">
        <v>0</v>
      </c>
    </row>
    <row r="14" spans="1:44" ht="48.75">
      <c r="A14" s="375" t="str">
        <f>CONCATENATE('3 pr-2'!A16)</f>
        <v>1.1.1.1.7</v>
      </c>
      <c r="B14" s="578" t="str">
        <f>CONCATENATE('3 pr-2'!B16)</f>
        <v>R01-ZM72-123200-1107</v>
      </c>
      <c r="C14" s="577" t="str">
        <f>CONCATENATE('ketv. 6 '!C15)</f>
        <v>20KI-KA-17-1-02437-PR001</v>
      </c>
      <c r="D14" s="164" t="str">
        <f>CONCATENATE('3 pr-2'!D16)</f>
        <v>Alytaus rajono Miroslavo kaimo multifunkcinės sporto aikštės įrengimas ir gatvių bei šaligatvių rekonstrukcija</v>
      </c>
      <c r="E14" s="164" t="str">
        <f>CONCATENATE('3 pr-2'!E16)</f>
        <v>Alytaus rajono savivaldybės administracija</v>
      </c>
      <c r="F14" s="164" t="str">
        <f>CONCATENATE('3 pr-2'!F16)</f>
        <v>Lietuvos Respublikos žemės ūkio ministerija</v>
      </c>
      <c r="G14" s="164" t="str">
        <f>CONCATENATE('3 pr-2'!G16)</f>
        <v>Alytaus r. sav.</v>
      </c>
      <c r="H14" s="164" t="str">
        <f>CONCATENATE('3 pr-2'!H16)</f>
        <v xml:space="preserve">Pagrindinės paslaugos ir kaimų atnaujinimas kaimo vietovėse </v>
      </c>
      <c r="I14" s="164" t="str">
        <f>CONCATENATE('3 pr-2'!I16)</f>
        <v>R</v>
      </c>
      <c r="J14" s="164" t="str">
        <f>CONCATENATE('3 pr-2'!J16)</f>
        <v>-</v>
      </c>
      <c r="K14" s="1164">
        <f>SUM('3 pr-2'!L16)</f>
        <v>252211.6</v>
      </c>
      <c r="L14" s="1080">
        <f t="shared" si="7"/>
        <v>0</v>
      </c>
      <c r="M14" s="1082">
        <v>0</v>
      </c>
      <c r="N14" s="1082">
        <v>0</v>
      </c>
      <c r="O14" s="1082">
        <f t="shared" si="8"/>
        <v>0</v>
      </c>
      <c r="P14" s="1160">
        <f t="shared" si="9"/>
        <v>252211.6</v>
      </c>
      <c r="Q14" s="1164">
        <f>SUM('3 pr-2'!O16)</f>
        <v>52211.6</v>
      </c>
      <c r="R14" s="1080">
        <v>0</v>
      </c>
      <c r="S14" s="1082"/>
      <c r="T14" s="1082"/>
      <c r="U14" s="1160">
        <f t="shared" si="10"/>
        <v>52211.6</v>
      </c>
      <c r="V14" s="1164">
        <f ca="1">SUM('3 pr-2'!R16)</f>
        <v>0</v>
      </c>
      <c r="W14" s="1080">
        <v>0</v>
      </c>
      <c r="X14" s="1082"/>
      <c r="Y14" s="1082"/>
      <c r="Z14" s="1160">
        <f t="shared" ca="1" si="11"/>
        <v>0</v>
      </c>
      <c r="AA14" s="1164">
        <f>SUM('3 pr-2'!U16)</f>
        <v>0</v>
      </c>
      <c r="AB14" s="1080">
        <v>0</v>
      </c>
      <c r="AC14" s="1082"/>
      <c r="AD14" s="1082"/>
      <c r="AE14" s="1160">
        <f t="shared" si="12"/>
        <v>0</v>
      </c>
      <c r="AF14" s="1164">
        <f>SUM('3 pr-2'!X16)</f>
        <v>0</v>
      </c>
      <c r="AG14" s="1080">
        <v>0</v>
      </c>
      <c r="AH14" s="1082"/>
      <c r="AI14" s="1082"/>
      <c r="AJ14" s="1160">
        <f t="shared" si="13"/>
        <v>0</v>
      </c>
      <c r="AK14" s="1164">
        <f>SUM('3 pr-2'!AA16)</f>
        <v>200000</v>
      </c>
      <c r="AL14" s="1080">
        <v>0</v>
      </c>
      <c r="AM14" s="1082"/>
      <c r="AN14" s="1082"/>
      <c r="AO14" s="1167">
        <f t="shared" si="14"/>
        <v>200000</v>
      </c>
      <c r="AP14" s="1080">
        <f>SUM('3 pr-2'!AB16)</f>
        <v>0</v>
      </c>
      <c r="AQ14" s="1193">
        <v>0</v>
      </c>
    </row>
    <row r="15" spans="1:44" ht="36.75">
      <c r="A15" s="375" t="str">
        <f>CONCATENATE('3 pr-2'!A17)</f>
        <v>1.1.1.1.8</v>
      </c>
      <c r="B15" s="578" t="str">
        <f>CONCATENATE('3 pr-2'!B17)</f>
        <v>R01-ZM72-123200-1108</v>
      </c>
      <c r="C15" s="577" t="str">
        <f>CONCATENATE('ketv. 6 '!C16)</f>
        <v>20KI-KA-17-1-02242-PR001</v>
      </c>
      <c r="D15" s="164" t="str">
        <f>CONCATENATE('3 pr-2'!D17)</f>
        <v>Alytaus rajono Luksnėnų kaimo multifunkcinės sporto aikštės įrengimas ir gatvių rekonstrukcija</v>
      </c>
      <c r="E15" s="164" t="str">
        <f>CONCATENATE('3 pr-2'!E17)</f>
        <v>Alytaus rajono savivaldybės administracija</v>
      </c>
      <c r="F15" s="164" t="str">
        <f>CONCATENATE('3 pr-2'!F17)</f>
        <v>Lietuvos Respublikos žemės ūkio ministerija</v>
      </c>
      <c r="G15" s="164" t="str">
        <f>CONCATENATE('3 pr-2'!G17)</f>
        <v>Alytaus r. sav.</v>
      </c>
      <c r="H15" s="164" t="str">
        <f>CONCATENATE('3 pr-2'!H17)</f>
        <v xml:space="preserve">Pagrindinės paslaugos ir kaimų atnaujinimas kaimo vietovėse </v>
      </c>
      <c r="I15" s="164" t="str">
        <f>CONCATENATE('3 pr-2'!I17)</f>
        <v>R</v>
      </c>
      <c r="J15" s="164" t="str">
        <f>CONCATENATE('3 pr-2'!J17)</f>
        <v>-</v>
      </c>
      <c r="K15" s="1164">
        <f>SUM('3 pr-2'!L17)</f>
        <v>250309.29</v>
      </c>
      <c r="L15" s="1080">
        <f t="shared" si="7"/>
        <v>0</v>
      </c>
      <c r="M15" s="1082">
        <v>0</v>
      </c>
      <c r="N15" s="1082">
        <v>0</v>
      </c>
      <c r="O15" s="1082">
        <f t="shared" si="8"/>
        <v>0</v>
      </c>
      <c r="P15" s="1160">
        <f t="shared" si="9"/>
        <v>250309.29</v>
      </c>
      <c r="Q15" s="1164">
        <f>SUM('3 pr-2'!O17)</f>
        <v>50309.29</v>
      </c>
      <c r="R15" s="1080">
        <v>0</v>
      </c>
      <c r="S15" s="1082"/>
      <c r="T15" s="1082"/>
      <c r="U15" s="1160">
        <f t="shared" si="10"/>
        <v>50309.29</v>
      </c>
      <c r="V15" s="1164">
        <f ca="1">SUM('3 pr-2'!R17)</f>
        <v>0</v>
      </c>
      <c r="W15" s="1080">
        <v>0</v>
      </c>
      <c r="X15" s="1082"/>
      <c r="Y15" s="1082"/>
      <c r="Z15" s="1160">
        <f t="shared" ca="1" si="11"/>
        <v>0</v>
      </c>
      <c r="AA15" s="1164">
        <f>SUM('3 pr-2'!U17)</f>
        <v>0</v>
      </c>
      <c r="AB15" s="1080">
        <v>0</v>
      </c>
      <c r="AC15" s="1082"/>
      <c r="AD15" s="1082"/>
      <c r="AE15" s="1160">
        <f t="shared" si="12"/>
        <v>0</v>
      </c>
      <c r="AF15" s="1164">
        <f>SUM('3 pr-2'!X17)</f>
        <v>0</v>
      </c>
      <c r="AG15" s="1080">
        <v>0</v>
      </c>
      <c r="AH15" s="1082"/>
      <c r="AI15" s="1082"/>
      <c r="AJ15" s="1160">
        <f t="shared" si="13"/>
        <v>0</v>
      </c>
      <c r="AK15" s="1164">
        <f>SUM('3 pr-2'!AA17)</f>
        <v>200000</v>
      </c>
      <c r="AL15" s="1080">
        <v>0</v>
      </c>
      <c r="AM15" s="1082"/>
      <c r="AN15" s="1082"/>
      <c r="AO15" s="1167">
        <f t="shared" si="14"/>
        <v>200000</v>
      </c>
      <c r="AP15" s="1080">
        <f>SUM('3 pr-2'!AB17)</f>
        <v>0</v>
      </c>
      <c r="AQ15" s="1193">
        <v>0</v>
      </c>
    </row>
    <row r="16" spans="1:44" ht="36.75">
      <c r="A16" s="375" t="str">
        <f>CONCATENATE('3 pr-2'!A18)</f>
        <v>1.1.1.1.9</v>
      </c>
      <c r="B16" s="578" t="str">
        <f>CONCATENATE('3 pr-2'!B18)</f>
        <v>R01-ZM72-340000-1109</v>
      </c>
      <c r="C16" s="577" t="str">
        <f>CONCATENATE('ketv. 6 '!C17)</f>
        <v>20KI-KA-17-1-02372-PR001</v>
      </c>
      <c r="D16" s="164" t="str">
        <f>CONCATENATE('3 pr-2'!D18)</f>
        <v>Krikštonių laisvalaikio salės pritaikymas bendruomenės poreikiams</v>
      </c>
      <c r="E16" s="164" t="str">
        <f>CONCATENATE('3 pr-2'!E18)</f>
        <v xml:space="preserve">Viešoji įstaiga Lazdijų kultūros centras </v>
      </c>
      <c r="F16" s="164" t="str">
        <f>CONCATENATE('3 pr-2'!F18)</f>
        <v>Lietuvos Respublikos žemės ūkio ministerija</v>
      </c>
      <c r="G16" s="164" t="str">
        <f>CONCATENATE('3 pr-2'!G18)</f>
        <v>Lazdijų r. sav.</v>
      </c>
      <c r="H16" s="164" t="str">
        <f>CONCATENATE('3 pr-2'!H18)</f>
        <v xml:space="preserve">Pagrindinės paslaugos ir kaimų atnaujinimas kaimo vietovėse </v>
      </c>
      <c r="I16" s="164" t="str">
        <f>CONCATENATE('3 pr-2'!I18)</f>
        <v>R</v>
      </c>
      <c r="J16" s="164" t="str">
        <f>CONCATENATE('3 pr-2'!J18)</f>
        <v>-</v>
      </c>
      <c r="K16" s="1164">
        <f>SUM('3 pr-2'!L18)</f>
        <v>250000</v>
      </c>
      <c r="L16" s="1080">
        <f t="shared" si="7"/>
        <v>0</v>
      </c>
      <c r="M16" s="1082">
        <v>0</v>
      </c>
      <c r="N16" s="1082">
        <v>0</v>
      </c>
      <c r="O16" s="1082">
        <f t="shared" si="8"/>
        <v>0</v>
      </c>
      <c r="P16" s="1160">
        <f t="shared" si="9"/>
        <v>250000</v>
      </c>
      <c r="Q16" s="1164">
        <f>SUM('3 pr-2'!O18)</f>
        <v>50000</v>
      </c>
      <c r="R16" s="1080">
        <v>0</v>
      </c>
      <c r="S16" s="1082"/>
      <c r="T16" s="1082"/>
      <c r="U16" s="1160">
        <f t="shared" si="10"/>
        <v>50000</v>
      </c>
      <c r="V16" s="1164">
        <f ca="1">SUM('3 pr-2'!R18)</f>
        <v>0</v>
      </c>
      <c r="W16" s="1080">
        <v>0</v>
      </c>
      <c r="X16" s="1082"/>
      <c r="Y16" s="1082"/>
      <c r="Z16" s="1160">
        <f t="shared" ca="1" si="11"/>
        <v>0</v>
      </c>
      <c r="AA16" s="1164">
        <f>SUM('3 pr-2'!U18)</f>
        <v>0</v>
      </c>
      <c r="AB16" s="1080">
        <v>0</v>
      </c>
      <c r="AC16" s="1082"/>
      <c r="AD16" s="1082"/>
      <c r="AE16" s="1160">
        <f t="shared" si="12"/>
        <v>0</v>
      </c>
      <c r="AF16" s="1164">
        <f>SUM('3 pr-2'!X18)</f>
        <v>0</v>
      </c>
      <c r="AG16" s="1080">
        <v>0</v>
      </c>
      <c r="AH16" s="1082"/>
      <c r="AI16" s="1082"/>
      <c r="AJ16" s="1160">
        <f t="shared" si="13"/>
        <v>0</v>
      </c>
      <c r="AK16" s="1164">
        <f>SUM('3 pr-2'!AA18)</f>
        <v>200000</v>
      </c>
      <c r="AL16" s="1080">
        <v>0</v>
      </c>
      <c r="AM16" s="1082"/>
      <c r="AN16" s="1082"/>
      <c r="AO16" s="1167">
        <f t="shared" si="14"/>
        <v>200000</v>
      </c>
      <c r="AP16" s="1080">
        <f>SUM('3 pr-2'!AB18)</f>
        <v>0</v>
      </c>
      <c r="AQ16" s="1193">
        <v>0</v>
      </c>
    </row>
    <row r="17" spans="1:44" ht="36.75">
      <c r="A17" s="375" t="str">
        <f>CONCATENATE('3 pr-2'!A19)</f>
        <v>1.1.1.1.10</v>
      </c>
      <c r="B17" s="578" t="str">
        <f>CONCATENATE('3 pr-2'!B19)</f>
        <v>R01-ZM72-340200-1110</v>
      </c>
      <c r="C17" s="577" t="str">
        <f>CONCATENATE('ketv. 6 '!C18)</f>
        <v>20KI-KA-17-1-02370-PR001</v>
      </c>
      <c r="D17" s="164" t="str">
        <f>CONCATENATE('3 pr-2'!D19)</f>
        <v>Kučiūnų laisvalaikio salės pritaikymas bendruomenės poreikiams</v>
      </c>
      <c r="E17" s="164" t="str">
        <f>CONCATENATE('3 pr-2'!E19)</f>
        <v xml:space="preserve">Viešoji įstaiga Lazdijų kultūros centras </v>
      </c>
      <c r="F17" s="164" t="str">
        <f>CONCATENATE('3 pr-2'!F19)</f>
        <v>Lietuvos Respublikos žemės ūkio ministerija</v>
      </c>
      <c r="G17" s="164" t="str">
        <f>CONCATENATE('3 pr-2'!G19)</f>
        <v>Lazdijų r. sav.</v>
      </c>
      <c r="H17" s="164" t="str">
        <f>CONCATENATE('3 pr-2'!H19)</f>
        <v xml:space="preserve">Pagrindinės paslaugos ir kaimų atnaujinimas kaimo vietovėse </v>
      </c>
      <c r="I17" s="164" t="str">
        <f>CONCATENATE('3 pr-2'!I19)</f>
        <v>R</v>
      </c>
      <c r="J17" s="164" t="str">
        <f>CONCATENATE('3 pr-2'!J19)</f>
        <v>-</v>
      </c>
      <c r="K17" s="1164">
        <f>SUM('3 pr-2'!L19)</f>
        <v>250000</v>
      </c>
      <c r="L17" s="1080">
        <f t="shared" si="7"/>
        <v>0</v>
      </c>
      <c r="M17" s="1082">
        <v>0</v>
      </c>
      <c r="N17" s="1082">
        <v>0</v>
      </c>
      <c r="O17" s="1082">
        <f t="shared" si="8"/>
        <v>0</v>
      </c>
      <c r="P17" s="1160">
        <f t="shared" si="9"/>
        <v>250000</v>
      </c>
      <c r="Q17" s="1164">
        <f>SUM('3 pr-2'!O19)</f>
        <v>62460</v>
      </c>
      <c r="R17" s="1080">
        <v>0</v>
      </c>
      <c r="S17" s="1082"/>
      <c r="T17" s="1082"/>
      <c r="U17" s="1160">
        <f t="shared" si="10"/>
        <v>62460</v>
      </c>
      <c r="V17" s="1164">
        <f ca="1">SUM('3 pr-2'!R19)</f>
        <v>0</v>
      </c>
      <c r="W17" s="1080">
        <v>0</v>
      </c>
      <c r="X17" s="1082"/>
      <c r="Y17" s="1082"/>
      <c r="Z17" s="1160">
        <f t="shared" ca="1" si="11"/>
        <v>0</v>
      </c>
      <c r="AA17" s="1164">
        <f>SUM('3 pr-2'!U19)</f>
        <v>0</v>
      </c>
      <c r="AB17" s="1080">
        <v>0</v>
      </c>
      <c r="AC17" s="1082"/>
      <c r="AD17" s="1082"/>
      <c r="AE17" s="1160">
        <f t="shared" si="12"/>
        <v>0</v>
      </c>
      <c r="AF17" s="1164">
        <f>SUM('3 pr-2'!X19)</f>
        <v>0</v>
      </c>
      <c r="AG17" s="1080">
        <v>0</v>
      </c>
      <c r="AH17" s="1082"/>
      <c r="AI17" s="1082"/>
      <c r="AJ17" s="1160">
        <f t="shared" si="13"/>
        <v>0</v>
      </c>
      <c r="AK17" s="1164">
        <f>SUM('3 pr-2'!AA19)</f>
        <v>187540</v>
      </c>
      <c r="AL17" s="1080">
        <v>0</v>
      </c>
      <c r="AM17" s="1082"/>
      <c r="AN17" s="1082"/>
      <c r="AO17" s="1167">
        <f t="shared" si="14"/>
        <v>187540</v>
      </c>
      <c r="AP17" s="1080">
        <f>SUM('3 pr-2'!AB19)</f>
        <v>0</v>
      </c>
      <c r="AQ17" s="1193">
        <v>0</v>
      </c>
    </row>
    <row r="18" spans="1:44" ht="36.75">
      <c r="A18" s="375" t="str">
        <f>CONCATENATE('3 pr-2'!A20)</f>
        <v>1.1.1.1.11</v>
      </c>
      <c r="B18" s="578" t="str">
        <f>CONCATENATE('3 pr-2'!B20)</f>
        <v>R01-ZM72-320000-1111</v>
      </c>
      <c r="C18" s="577" t="str">
        <f>CONCATENATE('ketv. 6 '!C19)</f>
        <v>20KI-KA-17-1-02354-PR001</v>
      </c>
      <c r="D18" s="164" t="str">
        <f>CONCATENATE('3 pr-2'!D20)</f>
        <v>Laisvalaikio infrastruktūros sukūrimas Lazdijų rajono kaimo gyvenamosiose vietovėse</v>
      </c>
      <c r="E18" s="164" t="str">
        <f>CONCATENATE('3 pr-2'!E20)</f>
        <v>Lazdijų rajono savivaldybės administracija</v>
      </c>
      <c r="F18" s="164" t="str">
        <f>CONCATENATE('3 pr-2'!F20)</f>
        <v>Lietuvos Respublikos žemės ūkio ministerija</v>
      </c>
      <c r="G18" s="164" t="str">
        <f>CONCATENATE('3 pr-2'!G20)</f>
        <v>Lazdijų r. sav.</v>
      </c>
      <c r="H18" s="164" t="str">
        <f>CONCATENATE('3 pr-2'!H20)</f>
        <v xml:space="preserve">Pagrindinės paslaugos ir kaimų atnaujinimas kaimo vietovėse </v>
      </c>
      <c r="I18" s="164" t="str">
        <f>CONCATENATE('3 pr-2'!I20)</f>
        <v>R</v>
      </c>
      <c r="J18" s="164" t="str">
        <f>CONCATENATE('3 pr-2'!J20)</f>
        <v>-</v>
      </c>
      <c r="K18" s="1164">
        <f>SUM('3 pr-2'!L20)</f>
        <v>125000</v>
      </c>
      <c r="L18" s="1080">
        <f t="shared" si="7"/>
        <v>0</v>
      </c>
      <c r="M18" s="1082">
        <v>0</v>
      </c>
      <c r="N18" s="1082">
        <v>0</v>
      </c>
      <c r="O18" s="1082">
        <f t="shared" si="8"/>
        <v>0</v>
      </c>
      <c r="P18" s="1160">
        <f t="shared" si="9"/>
        <v>125000</v>
      </c>
      <c r="Q18" s="1164">
        <f>SUM('3 pr-2'!O20)</f>
        <v>25000</v>
      </c>
      <c r="R18" s="1080">
        <v>0</v>
      </c>
      <c r="S18" s="1082"/>
      <c r="T18" s="1082"/>
      <c r="U18" s="1160">
        <f t="shared" si="10"/>
        <v>25000</v>
      </c>
      <c r="V18" s="1164">
        <f ca="1">SUM('3 pr-2'!R20)</f>
        <v>0</v>
      </c>
      <c r="W18" s="1080">
        <v>0</v>
      </c>
      <c r="X18" s="1082"/>
      <c r="Y18" s="1082"/>
      <c r="Z18" s="1160">
        <f t="shared" ca="1" si="11"/>
        <v>0</v>
      </c>
      <c r="AA18" s="1164">
        <f>SUM('3 pr-2'!U20)</f>
        <v>0</v>
      </c>
      <c r="AB18" s="1080">
        <v>0</v>
      </c>
      <c r="AC18" s="1082"/>
      <c r="AD18" s="1082"/>
      <c r="AE18" s="1160">
        <f t="shared" si="12"/>
        <v>0</v>
      </c>
      <c r="AF18" s="1164">
        <f>SUM('3 pr-2'!X20)</f>
        <v>0</v>
      </c>
      <c r="AG18" s="1080">
        <v>0</v>
      </c>
      <c r="AH18" s="1082"/>
      <c r="AI18" s="1082"/>
      <c r="AJ18" s="1160">
        <f t="shared" si="13"/>
        <v>0</v>
      </c>
      <c r="AK18" s="1164">
        <f>SUM('3 pr-2'!AA20)</f>
        <v>100000</v>
      </c>
      <c r="AL18" s="1080">
        <v>0</v>
      </c>
      <c r="AM18" s="1082"/>
      <c r="AN18" s="1082"/>
      <c r="AO18" s="1167">
        <f t="shared" si="14"/>
        <v>100000</v>
      </c>
      <c r="AP18" s="1080">
        <f>SUM('3 pr-2'!AB20)</f>
        <v>0</v>
      </c>
      <c r="AQ18" s="1193">
        <v>0</v>
      </c>
    </row>
    <row r="19" spans="1:44" ht="48.75">
      <c r="A19" s="375" t="str">
        <f>CONCATENATE('3 pr-2'!A21)</f>
        <v>1.1.1.1.12</v>
      </c>
      <c r="B19" s="578" t="str">
        <f>CONCATENATE('3 pr-2'!B21)</f>
        <v>R01-ZM72-120000-1112</v>
      </c>
      <c r="C19" s="577" t="str">
        <f>CONCATENATE('ketv. 6 '!C20)</f>
        <v>20KI-KA-17-1-02470-PR001</v>
      </c>
      <c r="D19" s="164" t="str">
        <f>CONCATENATE('3 pr-2'!D21)</f>
        <v>Alytaus rajono Butrimonių miestelio šaligatvių kapitalinis remontas ir gyvenvietės apšvietimo įrengimas</v>
      </c>
      <c r="E19" s="164" t="str">
        <f>CONCATENATE('3 pr-2'!E21)</f>
        <v>Alytaus rajono savivaldybės administracija</v>
      </c>
      <c r="F19" s="164" t="str">
        <f>CONCATENATE('3 pr-2'!F21)</f>
        <v>Lietuvos Respublikos žemės ūkio ministerija</v>
      </c>
      <c r="G19" s="164" t="str">
        <f>CONCATENATE('3 pr-2'!G21)</f>
        <v>Alytaus r. sav.</v>
      </c>
      <c r="H19" s="164" t="str">
        <f>CONCATENATE('3 pr-2'!H21)</f>
        <v xml:space="preserve">Pagrindinės paslaugos ir kaimų atnaujinimas kaimo vietovėse </v>
      </c>
      <c r="I19" s="164" t="str">
        <f>CONCATENATE('3 pr-2'!I21)</f>
        <v>R</v>
      </c>
      <c r="J19" s="164" t="str">
        <f>CONCATENATE('3 pr-2'!J21)</f>
        <v>-</v>
      </c>
      <c r="K19" s="1164">
        <f>SUM('3 pr-2'!L21)</f>
        <v>190756</v>
      </c>
      <c r="L19" s="1080">
        <f t="shared" si="7"/>
        <v>0</v>
      </c>
      <c r="M19" s="1082">
        <v>0</v>
      </c>
      <c r="N19" s="1082">
        <v>0</v>
      </c>
      <c r="O19" s="1082">
        <f t="shared" si="8"/>
        <v>0</v>
      </c>
      <c r="P19" s="1160">
        <f t="shared" si="9"/>
        <v>190756</v>
      </c>
      <c r="Q19" s="1164">
        <f>SUM('3 pr-2'!O21)</f>
        <v>67904</v>
      </c>
      <c r="R19" s="1080">
        <v>0</v>
      </c>
      <c r="S19" s="1082"/>
      <c r="T19" s="1082"/>
      <c r="U19" s="1160">
        <f t="shared" si="10"/>
        <v>67904</v>
      </c>
      <c r="V19" s="1164">
        <f ca="1">SUM('3 pr-2'!R21)</f>
        <v>0</v>
      </c>
      <c r="W19" s="1080">
        <v>0</v>
      </c>
      <c r="X19" s="1082"/>
      <c r="Y19" s="1082"/>
      <c r="Z19" s="1160">
        <f t="shared" ca="1" si="11"/>
        <v>0</v>
      </c>
      <c r="AA19" s="1164">
        <f>SUM('3 pr-2'!U21)</f>
        <v>0</v>
      </c>
      <c r="AB19" s="1080">
        <v>0</v>
      </c>
      <c r="AC19" s="1082"/>
      <c r="AD19" s="1082"/>
      <c r="AE19" s="1160">
        <f t="shared" si="12"/>
        <v>0</v>
      </c>
      <c r="AF19" s="1164">
        <f>SUM('3 pr-2'!X21)</f>
        <v>0</v>
      </c>
      <c r="AG19" s="1080">
        <v>0</v>
      </c>
      <c r="AH19" s="1082"/>
      <c r="AI19" s="1082"/>
      <c r="AJ19" s="1160">
        <f t="shared" si="13"/>
        <v>0</v>
      </c>
      <c r="AK19" s="1164">
        <f>SUM('3 pr-2'!AA21)</f>
        <v>122852</v>
      </c>
      <c r="AL19" s="1080">
        <v>0</v>
      </c>
      <c r="AM19" s="1082"/>
      <c r="AN19" s="1082"/>
      <c r="AO19" s="1167">
        <f t="shared" si="14"/>
        <v>122852</v>
      </c>
      <c r="AP19" s="1080">
        <f>SUM('3 pr-2'!AB21)</f>
        <v>0</v>
      </c>
      <c r="AQ19" s="1193">
        <v>0</v>
      </c>
    </row>
    <row r="20" spans="1:44" ht="36.75">
      <c r="A20" s="375" t="str">
        <f>CONCATENATE('3 pr-2'!A22)</f>
        <v>1.1.1.1.13</v>
      </c>
      <c r="B20" s="578" t="str">
        <f>CONCATENATE('3 pr-2'!B22)</f>
        <v>R01-ZM72-123200-1113</v>
      </c>
      <c r="C20" s="577" t="str">
        <f>CONCATENATE('ketv. 6 '!C21)</f>
        <v>20KI-KA-17-1-02438-PR001</v>
      </c>
      <c r="D20" s="164" t="str">
        <f>CONCATENATE('3 pr-2'!D22)</f>
        <v>Alytaus rajono Genių kaimo sporto aikštės įrengimas ir gatvių rekonstrukcija</v>
      </c>
      <c r="E20" s="164" t="str">
        <f>CONCATENATE('3 pr-2'!E22)</f>
        <v>Alytaus rajono savivaldybės administracija</v>
      </c>
      <c r="F20" s="164" t="str">
        <f>CONCATENATE('3 pr-2'!F22)</f>
        <v>Lietuvos Respublikos žemės ūkio ministerija</v>
      </c>
      <c r="G20" s="164" t="str">
        <f>CONCATENATE('3 pr-2'!G22)</f>
        <v>Alytaus r. sav.</v>
      </c>
      <c r="H20" s="164" t="str">
        <f>CONCATENATE('3 pr-2'!H22)</f>
        <v xml:space="preserve">Pagrindinės paslaugos ir kaimų atnaujinimas kaimo vietovėse </v>
      </c>
      <c r="I20" s="164" t="str">
        <f>CONCATENATE('3 pr-2'!I22)</f>
        <v>R</v>
      </c>
      <c r="J20" s="164" t="str">
        <f>CONCATENATE('3 pr-2'!J22)</f>
        <v>-</v>
      </c>
      <c r="K20" s="1164">
        <f>SUM('3 pr-2'!L22)</f>
        <v>247392.46</v>
      </c>
      <c r="L20" s="1080">
        <f t="shared" si="7"/>
        <v>0</v>
      </c>
      <c r="M20" s="1082">
        <v>0</v>
      </c>
      <c r="N20" s="1082">
        <v>0</v>
      </c>
      <c r="O20" s="1082">
        <f t="shared" si="8"/>
        <v>0</v>
      </c>
      <c r="P20" s="1160">
        <f t="shared" si="9"/>
        <v>247392.46</v>
      </c>
      <c r="Q20" s="1164">
        <f>SUM('3 pr-2'!O22)</f>
        <v>47392.46</v>
      </c>
      <c r="R20" s="1080">
        <v>0</v>
      </c>
      <c r="S20" s="1082"/>
      <c r="T20" s="1082"/>
      <c r="U20" s="1160">
        <f t="shared" si="10"/>
        <v>47392.46</v>
      </c>
      <c r="V20" s="1164">
        <f ca="1">SUM('3 pr-2'!R22)</f>
        <v>0</v>
      </c>
      <c r="W20" s="1080">
        <v>0</v>
      </c>
      <c r="X20" s="1082"/>
      <c r="Y20" s="1082"/>
      <c r="Z20" s="1160">
        <f t="shared" ca="1" si="11"/>
        <v>0</v>
      </c>
      <c r="AA20" s="1164">
        <f>SUM('3 pr-2'!U22)</f>
        <v>0</v>
      </c>
      <c r="AB20" s="1080">
        <v>0</v>
      </c>
      <c r="AC20" s="1082"/>
      <c r="AD20" s="1082"/>
      <c r="AE20" s="1160">
        <f t="shared" si="12"/>
        <v>0</v>
      </c>
      <c r="AF20" s="1164">
        <f>SUM('3 pr-2'!X22)</f>
        <v>0</v>
      </c>
      <c r="AG20" s="1080">
        <v>0</v>
      </c>
      <c r="AH20" s="1082"/>
      <c r="AI20" s="1082"/>
      <c r="AJ20" s="1160">
        <f t="shared" si="13"/>
        <v>0</v>
      </c>
      <c r="AK20" s="1164">
        <f>SUM('3 pr-2'!AA22)</f>
        <v>200000</v>
      </c>
      <c r="AL20" s="1080">
        <v>0</v>
      </c>
      <c r="AM20" s="1082"/>
      <c r="AN20" s="1082"/>
      <c r="AO20" s="1167">
        <f t="shared" si="14"/>
        <v>200000</v>
      </c>
      <c r="AP20" s="1080">
        <f>SUM('3 pr-2'!AB22)</f>
        <v>0</v>
      </c>
      <c r="AQ20" s="1193">
        <v>0</v>
      </c>
    </row>
    <row r="21" spans="1:44" ht="36.75">
      <c r="A21" s="375" t="str">
        <f>CONCATENATE('3 pr-2'!A23)</f>
        <v>1.1.1.1.14</v>
      </c>
      <c r="B21" s="578" t="str">
        <f>CONCATENATE('3 pr-2'!B23)</f>
        <v>R01-ZM72-122900-1114</v>
      </c>
      <c r="C21" s="577" t="str">
        <f>CONCATENATE('ketv. 6 '!C22)</f>
        <v>20KI-KA-17-1-01647-PR001</v>
      </c>
      <c r="D21" s="164" t="str">
        <f>CONCATENATE('3 pr-2'!D23)</f>
        <v>Varėnos r. Dargužių kaimo Liepų gatvės ir viešosios erdvės įrengimas</v>
      </c>
      <c r="E21" s="164" t="str">
        <f>CONCATENATE('3 pr-2'!E23)</f>
        <v xml:space="preserve">Varėnos rajono savivaldybės administracija </v>
      </c>
      <c r="F21" s="164" t="str">
        <f>CONCATENATE('3 pr-2'!F23)</f>
        <v>Lietuvos Respublikos žemės ūkio ministerija</v>
      </c>
      <c r="G21" s="164" t="str">
        <f>CONCATENATE('3 pr-2'!G23)</f>
        <v>Varėnos r. sav.</v>
      </c>
      <c r="H21" s="164" t="str">
        <f>CONCATENATE('3 pr-2'!H23)</f>
        <v xml:space="preserve">Pagrindinės paslaugos ir kaimų atnaujinimas kaimo vietovėse </v>
      </c>
      <c r="I21" s="164" t="str">
        <f>CONCATENATE('3 pr-2'!I23)</f>
        <v>R</v>
      </c>
      <c r="J21" s="164" t="str">
        <f>CONCATENATE('3 pr-2'!J23)</f>
        <v>-</v>
      </c>
      <c r="K21" s="1164">
        <f>SUM('3 pr-2'!L23)</f>
        <v>215626</v>
      </c>
      <c r="L21" s="1080">
        <f t="shared" si="7"/>
        <v>0</v>
      </c>
      <c r="M21" s="1082">
        <v>0</v>
      </c>
      <c r="N21" s="1082">
        <v>0</v>
      </c>
      <c r="O21" s="1082">
        <f t="shared" si="8"/>
        <v>0</v>
      </c>
      <c r="P21" s="1160">
        <f t="shared" si="9"/>
        <v>215626</v>
      </c>
      <c r="Q21" s="1164">
        <f>SUM('3 pr-2'!O23)</f>
        <v>43125.2</v>
      </c>
      <c r="R21" s="1080">
        <v>0</v>
      </c>
      <c r="S21" s="1082"/>
      <c r="T21" s="1082"/>
      <c r="U21" s="1160">
        <f t="shared" si="10"/>
        <v>43125.2</v>
      </c>
      <c r="V21" s="1164">
        <f ca="1">SUM('3 pr-2'!R23)</f>
        <v>0</v>
      </c>
      <c r="W21" s="1080">
        <v>0</v>
      </c>
      <c r="X21" s="1082"/>
      <c r="Y21" s="1082"/>
      <c r="Z21" s="1160">
        <f t="shared" ca="1" si="11"/>
        <v>0</v>
      </c>
      <c r="AA21" s="1164">
        <f>SUM('3 pr-2'!U23)</f>
        <v>0</v>
      </c>
      <c r="AB21" s="1080">
        <v>0</v>
      </c>
      <c r="AC21" s="1082"/>
      <c r="AD21" s="1082"/>
      <c r="AE21" s="1160">
        <f t="shared" si="12"/>
        <v>0</v>
      </c>
      <c r="AF21" s="1164">
        <f>SUM('3 pr-2'!X23)</f>
        <v>0</v>
      </c>
      <c r="AG21" s="1080">
        <v>0</v>
      </c>
      <c r="AH21" s="1082"/>
      <c r="AI21" s="1082"/>
      <c r="AJ21" s="1160">
        <f t="shared" si="13"/>
        <v>0</v>
      </c>
      <c r="AK21" s="1164">
        <f>SUM('3 pr-2'!AA23)</f>
        <v>172500.8</v>
      </c>
      <c r="AL21" s="1080">
        <v>0</v>
      </c>
      <c r="AM21" s="1082"/>
      <c r="AN21" s="1082"/>
      <c r="AO21" s="1167">
        <f t="shared" si="14"/>
        <v>172500.8</v>
      </c>
      <c r="AP21" s="1080">
        <f>SUM('3 pr-2'!AB23)</f>
        <v>0</v>
      </c>
      <c r="AQ21" s="1193">
        <v>0</v>
      </c>
    </row>
    <row r="22" spans="1:44" ht="48.75">
      <c r="A22" s="375" t="str">
        <f>CONCATENATE('3 pr-2'!A24)</f>
        <v>1.1.1.1.15</v>
      </c>
      <c r="B22" s="578" t="str">
        <f>CONCATENATE('3 pr-2'!B24)</f>
        <v>R01-ZM72-123200-1115</v>
      </c>
      <c r="C22" s="577" t="str">
        <f>CONCATENATE('ketv. 6 '!C23)</f>
        <v>20KI-KA-17-1-02469-PR001</v>
      </c>
      <c r="D22" s="164" t="str">
        <f>CONCATENATE('3 pr-2'!D24)</f>
        <v>Alytaus rajono Vaisodžių kaimo sporto aikštės įrengimas ir gatvių apšvietimo atnaujinimas bei plėtra</v>
      </c>
      <c r="E22" s="164" t="str">
        <f>CONCATENATE('3 pr-2'!E24)</f>
        <v>Alytaus rajono savivaldybės administracija</v>
      </c>
      <c r="F22" s="164" t="str">
        <f>CONCATENATE('3 pr-2'!F24)</f>
        <v>Lietuvos Respublikos žemės ūkio ministerija</v>
      </c>
      <c r="G22" s="164" t="str">
        <f>CONCATENATE('3 pr-2'!G24)</f>
        <v>Alytaus r. sav.</v>
      </c>
      <c r="H22" s="164" t="str">
        <f>CONCATENATE('3 pr-2'!H24)</f>
        <v xml:space="preserve">Pagrindinės paslaugos ir kaimų atnaujinimas kaimo vietovėse </v>
      </c>
      <c r="I22" s="164" t="str">
        <f>CONCATENATE('3 pr-2'!I24)</f>
        <v>R</v>
      </c>
      <c r="J22" s="164" t="str">
        <f>CONCATENATE('3 pr-2'!J24)</f>
        <v>-</v>
      </c>
      <c r="K22" s="1164">
        <f>SUM('3 pr-2'!L24)</f>
        <v>75880</v>
      </c>
      <c r="L22" s="1080">
        <f t="shared" si="7"/>
        <v>0</v>
      </c>
      <c r="M22" s="1082">
        <v>0</v>
      </c>
      <c r="N22" s="1082">
        <v>0</v>
      </c>
      <c r="O22" s="1082">
        <f t="shared" si="8"/>
        <v>0</v>
      </c>
      <c r="P22" s="1160">
        <f t="shared" si="9"/>
        <v>75880</v>
      </c>
      <c r="Q22" s="1164">
        <f>SUM('3 pr-2'!O24)</f>
        <v>15176</v>
      </c>
      <c r="R22" s="1080">
        <v>0</v>
      </c>
      <c r="S22" s="1082"/>
      <c r="T22" s="1082"/>
      <c r="U22" s="1160">
        <f t="shared" si="10"/>
        <v>15176</v>
      </c>
      <c r="V22" s="1164">
        <f ca="1">SUM('3 pr-2'!R24)</f>
        <v>0</v>
      </c>
      <c r="W22" s="1080">
        <v>0</v>
      </c>
      <c r="X22" s="1082"/>
      <c r="Y22" s="1082"/>
      <c r="Z22" s="1160">
        <f t="shared" ca="1" si="11"/>
        <v>0</v>
      </c>
      <c r="AA22" s="1164">
        <f>SUM('3 pr-2'!U24)</f>
        <v>0</v>
      </c>
      <c r="AB22" s="1080">
        <v>0</v>
      </c>
      <c r="AC22" s="1082"/>
      <c r="AD22" s="1082"/>
      <c r="AE22" s="1160">
        <f t="shared" si="12"/>
        <v>0</v>
      </c>
      <c r="AF22" s="1164">
        <f>SUM('3 pr-2'!X24)</f>
        <v>0</v>
      </c>
      <c r="AG22" s="1080">
        <v>0</v>
      </c>
      <c r="AH22" s="1082"/>
      <c r="AI22" s="1082"/>
      <c r="AJ22" s="1160">
        <f t="shared" si="13"/>
        <v>0</v>
      </c>
      <c r="AK22" s="1164">
        <f>SUM('3 pr-2'!AA24)</f>
        <v>60704</v>
      </c>
      <c r="AL22" s="1080">
        <v>0</v>
      </c>
      <c r="AM22" s="1082"/>
      <c r="AN22" s="1082"/>
      <c r="AO22" s="1167">
        <f t="shared" si="14"/>
        <v>60704</v>
      </c>
      <c r="AP22" s="1080">
        <f>SUM('3 pr-2'!AB24)</f>
        <v>0</v>
      </c>
      <c r="AQ22" s="1193">
        <v>0</v>
      </c>
    </row>
    <row r="23" spans="1:44" ht="36.75">
      <c r="A23" s="375" t="str">
        <f>CONCATENATE('3 pr-2'!A25)</f>
        <v>1.1.1.1.16</v>
      </c>
      <c r="B23" s="578" t="str">
        <f>CONCATENATE('3 pr-2'!B25)</f>
        <v>R01-ZM72-123200-1116</v>
      </c>
      <c r="C23" s="577" t="str">
        <f>CONCATENATE('ketv. 6 '!C24)</f>
        <v>20KI-KA-17-1-02240-PR001</v>
      </c>
      <c r="D23" s="164" t="str">
        <f>CONCATENATE('3 pr-2'!D25)</f>
        <v>Alytaus rajono Talokių kaimo sporto aikštės įrengimas ir Plytinės gatvės apšvietimas</v>
      </c>
      <c r="E23" s="164" t="str">
        <f>CONCATENATE('3 pr-2'!E25)</f>
        <v>Alytaus rajono savivaldybės administracija</v>
      </c>
      <c r="F23" s="164" t="str">
        <f>CONCATENATE('3 pr-2'!F25)</f>
        <v>Lietuvos Respublikos žemės ūkio ministerija</v>
      </c>
      <c r="G23" s="164" t="str">
        <f>CONCATENATE('3 pr-2'!G25)</f>
        <v>Alytaus r. sav.</v>
      </c>
      <c r="H23" s="164" t="str">
        <f>CONCATENATE('3 pr-2'!H25)</f>
        <v xml:space="preserve">Pagrindinės paslaugos ir kaimų atnaujinimas kaimo vietovėse </v>
      </c>
      <c r="I23" s="164" t="str">
        <f>CONCATENATE('3 pr-2'!I25)</f>
        <v>R</v>
      </c>
      <c r="J23" s="164" t="str">
        <f>CONCATENATE('3 pr-2'!J25)</f>
        <v>-</v>
      </c>
      <c r="K23" s="1164">
        <f>SUM('3 pr-2'!L25)</f>
        <v>141312</v>
      </c>
      <c r="L23" s="1080">
        <f t="shared" si="7"/>
        <v>0</v>
      </c>
      <c r="M23" s="1082">
        <v>0</v>
      </c>
      <c r="N23" s="1082">
        <v>0</v>
      </c>
      <c r="O23" s="1082">
        <f t="shared" si="8"/>
        <v>0</v>
      </c>
      <c r="P23" s="1160">
        <f t="shared" si="9"/>
        <v>141312</v>
      </c>
      <c r="Q23" s="1164">
        <f>SUM('3 pr-2'!O25)</f>
        <v>44913</v>
      </c>
      <c r="R23" s="1080">
        <v>0</v>
      </c>
      <c r="S23" s="1082"/>
      <c r="T23" s="1082"/>
      <c r="U23" s="1160">
        <f t="shared" si="10"/>
        <v>44913</v>
      </c>
      <c r="V23" s="1164">
        <f ca="1">SUM('3 pr-2'!R25)</f>
        <v>0</v>
      </c>
      <c r="W23" s="1080">
        <v>0</v>
      </c>
      <c r="X23" s="1082"/>
      <c r="Y23" s="1082"/>
      <c r="Z23" s="1160">
        <f t="shared" ca="1" si="11"/>
        <v>0</v>
      </c>
      <c r="AA23" s="1164">
        <f>SUM('3 pr-2'!U25)</f>
        <v>0</v>
      </c>
      <c r="AB23" s="1080">
        <v>0</v>
      </c>
      <c r="AC23" s="1082"/>
      <c r="AD23" s="1082"/>
      <c r="AE23" s="1160">
        <f t="shared" si="12"/>
        <v>0</v>
      </c>
      <c r="AF23" s="1164">
        <f>SUM('3 pr-2'!X25)</f>
        <v>0</v>
      </c>
      <c r="AG23" s="1080">
        <v>0</v>
      </c>
      <c r="AH23" s="1082"/>
      <c r="AI23" s="1082"/>
      <c r="AJ23" s="1160">
        <f t="shared" si="13"/>
        <v>0</v>
      </c>
      <c r="AK23" s="1164">
        <f>SUM('3 pr-2'!AA25)</f>
        <v>96399</v>
      </c>
      <c r="AL23" s="1080">
        <v>0</v>
      </c>
      <c r="AM23" s="1082"/>
      <c r="AN23" s="1082"/>
      <c r="AO23" s="1167">
        <f t="shared" si="14"/>
        <v>96399</v>
      </c>
      <c r="AP23" s="1080">
        <f>SUM('3 pr-2'!AB25)</f>
        <v>0</v>
      </c>
      <c r="AQ23" s="1193">
        <v>0</v>
      </c>
    </row>
    <row r="24" spans="1:44" ht="36.75">
      <c r="A24" s="375" t="str">
        <f>CONCATENATE('3 pr-2'!A26)</f>
        <v>1.1.1.1.17</v>
      </c>
      <c r="B24" s="578" t="str">
        <f>CONCATENATE('3 pr-2'!B26)</f>
        <v>R01-ZM72-120000-1117</v>
      </c>
      <c r="C24" s="577" t="str">
        <f>CONCATENATE('ketv. 6 '!C25)</f>
        <v>20KI-KA-17-1-01639-PR001</v>
      </c>
      <c r="D24" s="164" t="str">
        <f>CONCATENATE('3 pr-2'!D26)</f>
        <v>Varėnos r. Rudnios kaimo Pušyno gatvės įrengimas</v>
      </c>
      <c r="E24" s="164" t="str">
        <f>CONCATENATE('3 pr-2'!E26)</f>
        <v xml:space="preserve">Varėnos rajono savivaldybės administracija </v>
      </c>
      <c r="F24" s="164" t="str">
        <f>CONCATENATE('3 pr-2'!F26)</f>
        <v>Lietuvos Respublikos žemės ūkio ministerija</v>
      </c>
      <c r="G24" s="164" t="str">
        <f>CONCATENATE('3 pr-2'!G26)</f>
        <v>Varėnos r. sav.</v>
      </c>
      <c r="H24" s="164" t="str">
        <f>CONCATENATE('3 pr-2'!H26)</f>
        <v xml:space="preserve">Pagrindinės paslaugos ir kaimų atnaujinimas kaimo vietovėse </v>
      </c>
      <c r="I24" s="164" t="str">
        <f>CONCATENATE('3 pr-2'!I26)</f>
        <v>R</v>
      </c>
      <c r="J24" s="164" t="str">
        <f>CONCATENATE('3 pr-2'!J26)</f>
        <v>-</v>
      </c>
      <c r="K24" s="1164">
        <f>SUM('3 pr-2'!L26)</f>
        <v>115624</v>
      </c>
      <c r="L24" s="1080">
        <f t="shared" si="7"/>
        <v>0</v>
      </c>
      <c r="M24" s="1082">
        <v>0</v>
      </c>
      <c r="N24" s="1082">
        <v>0</v>
      </c>
      <c r="O24" s="1082">
        <f t="shared" si="8"/>
        <v>0</v>
      </c>
      <c r="P24" s="1160">
        <f t="shared" si="9"/>
        <v>115624</v>
      </c>
      <c r="Q24" s="1164">
        <f>SUM('3 pr-2'!O26)</f>
        <v>23125</v>
      </c>
      <c r="R24" s="1080">
        <v>0</v>
      </c>
      <c r="S24" s="1082"/>
      <c r="T24" s="1082"/>
      <c r="U24" s="1160">
        <f t="shared" si="10"/>
        <v>23125</v>
      </c>
      <c r="V24" s="1164">
        <f ca="1">SUM('3 pr-2'!R26)</f>
        <v>0</v>
      </c>
      <c r="W24" s="1080">
        <v>0</v>
      </c>
      <c r="X24" s="1082"/>
      <c r="Y24" s="1082"/>
      <c r="Z24" s="1160">
        <f t="shared" ca="1" si="11"/>
        <v>0</v>
      </c>
      <c r="AA24" s="1164">
        <f>SUM('3 pr-2'!U26)</f>
        <v>0</v>
      </c>
      <c r="AB24" s="1080">
        <v>0</v>
      </c>
      <c r="AC24" s="1082"/>
      <c r="AD24" s="1082"/>
      <c r="AE24" s="1160">
        <f t="shared" si="12"/>
        <v>0</v>
      </c>
      <c r="AF24" s="1164">
        <f>SUM('3 pr-2'!X26)</f>
        <v>0</v>
      </c>
      <c r="AG24" s="1080">
        <v>0</v>
      </c>
      <c r="AH24" s="1082"/>
      <c r="AI24" s="1082"/>
      <c r="AJ24" s="1160">
        <f t="shared" si="13"/>
        <v>0</v>
      </c>
      <c r="AK24" s="1164">
        <f>SUM('3 pr-2'!AA26)</f>
        <v>92499</v>
      </c>
      <c r="AL24" s="1080">
        <v>0</v>
      </c>
      <c r="AM24" s="1082"/>
      <c r="AN24" s="1082"/>
      <c r="AO24" s="1167">
        <f t="shared" si="14"/>
        <v>92499</v>
      </c>
      <c r="AP24" s="1080">
        <f>SUM('3 pr-2'!AB26)</f>
        <v>0</v>
      </c>
      <c r="AQ24" s="1193">
        <v>0</v>
      </c>
    </row>
    <row r="25" spans="1:44" ht="48.75">
      <c r="A25" s="375" t="str">
        <f>CONCATENATE('3 pr-2'!A27)</f>
        <v>1.1.1.1.18</v>
      </c>
      <c r="B25" s="578" t="str">
        <f>CONCATENATE('3 pr-2'!B27)</f>
        <v>R01-ZM72-340000-1118</v>
      </c>
      <c r="C25" s="577" t="str">
        <f>CONCATENATE('ketv. 6 '!C26)</f>
        <v>20KI-KA-17-1-01666-PR001</v>
      </c>
      <c r="D25" s="164" t="str">
        <f>CONCATENATE('3 pr-2'!D27)</f>
        <v>Varėnos kultūros centro Žilinų filialo pastato atnaujinimas ir pritaikymas bendruomenės poreikiams</v>
      </c>
      <c r="E25" s="164" t="str">
        <f>CONCATENATE('3 pr-2'!E27)</f>
        <v xml:space="preserve">Varėnos rajono savivaldybės administracija </v>
      </c>
      <c r="F25" s="164" t="str">
        <f>CONCATENATE('3 pr-2'!F27)</f>
        <v>Lietuvos Respublikos žemės ūkio ministerija</v>
      </c>
      <c r="G25" s="164" t="str">
        <f>CONCATENATE('3 pr-2'!G27)</f>
        <v>Varėnos r. sav.</v>
      </c>
      <c r="H25" s="164" t="str">
        <f>CONCATENATE('3 pr-2'!H27)</f>
        <v xml:space="preserve">Pagrindinės paslaugos ir kaimų atnaujinimas kaimo vietovėse </v>
      </c>
      <c r="I25" s="164" t="str">
        <f>CONCATENATE('3 pr-2'!I27)</f>
        <v>R</v>
      </c>
      <c r="J25" s="164" t="str">
        <f>CONCATENATE('3 pr-2'!J27)</f>
        <v>-</v>
      </c>
      <c r="K25" s="1164">
        <f>SUM('3 pr-2'!L27)</f>
        <v>250000</v>
      </c>
      <c r="L25" s="1080">
        <f t="shared" si="7"/>
        <v>0</v>
      </c>
      <c r="M25" s="1082">
        <v>0</v>
      </c>
      <c r="N25" s="1082">
        <v>0</v>
      </c>
      <c r="O25" s="1082">
        <f t="shared" si="8"/>
        <v>0</v>
      </c>
      <c r="P25" s="1160">
        <f t="shared" si="9"/>
        <v>250000</v>
      </c>
      <c r="Q25" s="1164">
        <f>SUM('3 pr-2'!O27)</f>
        <v>50000</v>
      </c>
      <c r="R25" s="1080">
        <v>0</v>
      </c>
      <c r="S25" s="1082"/>
      <c r="T25" s="1082"/>
      <c r="U25" s="1160">
        <f t="shared" si="10"/>
        <v>50000</v>
      </c>
      <c r="V25" s="1164">
        <f ca="1">SUM('3 pr-2'!R27)</f>
        <v>0</v>
      </c>
      <c r="W25" s="1080">
        <v>0</v>
      </c>
      <c r="X25" s="1082"/>
      <c r="Y25" s="1082"/>
      <c r="Z25" s="1160">
        <f t="shared" ca="1" si="11"/>
        <v>0</v>
      </c>
      <c r="AA25" s="1164">
        <f>SUM('3 pr-2'!U27)</f>
        <v>0</v>
      </c>
      <c r="AB25" s="1080">
        <v>0</v>
      </c>
      <c r="AC25" s="1082"/>
      <c r="AD25" s="1082"/>
      <c r="AE25" s="1160">
        <f t="shared" si="12"/>
        <v>0</v>
      </c>
      <c r="AF25" s="1164">
        <f>SUM('3 pr-2'!X27)</f>
        <v>0</v>
      </c>
      <c r="AG25" s="1080">
        <v>0</v>
      </c>
      <c r="AH25" s="1082"/>
      <c r="AI25" s="1082"/>
      <c r="AJ25" s="1160">
        <f t="shared" si="13"/>
        <v>0</v>
      </c>
      <c r="AK25" s="1164">
        <f>SUM('3 pr-2'!AA27)</f>
        <v>200000</v>
      </c>
      <c r="AL25" s="1080">
        <v>0</v>
      </c>
      <c r="AM25" s="1082"/>
      <c r="AN25" s="1082"/>
      <c r="AO25" s="1167">
        <f t="shared" si="14"/>
        <v>200000</v>
      </c>
      <c r="AP25" s="1080">
        <f>SUM('3 pr-2'!AB27)</f>
        <v>0</v>
      </c>
      <c r="AQ25" s="1193">
        <v>0</v>
      </c>
    </row>
    <row r="26" spans="1:44" ht="48.75">
      <c r="A26" s="375" t="str">
        <f>CONCATENATE('3 pr-2'!A28)</f>
        <v>1.1.1.1.19</v>
      </c>
      <c r="B26" s="578" t="str">
        <f>CONCATENATE('3 pr-2'!B28)</f>
        <v>R01-ZM72-120000-1119</v>
      </c>
      <c r="C26" s="577" t="str">
        <f>CONCATENATE('ketv. 6 '!C27)</f>
        <v>20KI-KA-17-1-02648-PR001</v>
      </c>
      <c r="D26" s="164" t="str">
        <f>CONCATENATE('3 pr-2'!D28)</f>
        <v>Alytaus rajono Pivašiūnų kaimo šaligatvių, laiptų kapitalinis remontas ir gyvenvietės apšvietimo įrengimas</v>
      </c>
      <c r="E26" s="164" t="str">
        <f>CONCATENATE('3 pr-2'!E28)</f>
        <v>Alytaus rajono savivaldybės administracija</v>
      </c>
      <c r="F26" s="164" t="str">
        <f>CONCATENATE('3 pr-2'!F28)</f>
        <v>Lietuvos Respublikos žemės ūkio ministerija</v>
      </c>
      <c r="G26" s="164" t="str">
        <f>CONCATENATE('3 pr-2'!G28)</f>
        <v>Alytaus r. sav.</v>
      </c>
      <c r="H26" s="164" t="str">
        <f>CONCATENATE('3 pr-2'!H28)</f>
        <v xml:space="preserve">Pagrindinės paslaugos ir kaimų atnaujinimas kaimo vietovėse </v>
      </c>
      <c r="I26" s="164" t="str">
        <f>CONCATENATE('3 pr-2'!I28)</f>
        <v>R</v>
      </c>
      <c r="J26" s="164" t="str">
        <f>CONCATENATE('3 pr-2'!J28)</f>
        <v>-</v>
      </c>
      <c r="K26" s="1164">
        <f>SUM('3 pr-2'!L28)</f>
        <v>118362</v>
      </c>
      <c r="L26" s="1080">
        <f t="shared" si="7"/>
        <v>0</v>
      </c>
      <c r="M26" s="1082">
        <v>0</v>
      </c>
      <c r="N26" s="1082">
        <v>0</v>
      </c>
      <c r="O26" s="1082">
        <f t="shared" si="8"/>
        <v>0</v>
      </c>
      <c r="P26" s="1160">
        <f t="shared" si="9"/>
        <v>118362</v>
      </c>
      <c r="Q26" s="1164">
        <f>SUM('3 pr-2'!O28)</f>
        <v>23973</v>
      </c>
      <c r="R26" s="1080">
        <v>0</v>
      </c>
      <c r="S26" s="1082"/>
      <c r="T26" s="1082"/>
      <c r="U26" s="1160">
        <f t="shared" si="10"/>
        <v>23973</v>
      </c>
      <c r="V26" s="1164">
        <f ca="1">SUM('3 pr-2'!R28)</f>
        <v>0</v>
      </c>
      <c r="W26" s="1080">
        <v>0</v>
      </c>
      <c r="X26" s="1082"/>
      <c r="Y26" s="1082"/>
      <c r="Z26" s="1160">
        <f t="shared" ca="1" si="11"/>
        <v>0</v>
      </c>
      <c r="AA26" s="1164">
        <f>SUM('3 pr-2'!U28)</f>
        <v>0</v>
      </c>
      <c r="AB26" s="1080">
        <v>0</v>
      </c>
      <c r="AC26" s="1082"/>
      <c r="AD26" s="1082"/>
      <c r="AE26" s="1160">
        <f t="shared" si="12"/>
        <v>0</v>
      </c>
      <c r="AF26" s="1164">
        <f>SUM('3 pr-2'!X28)</f>
        <v>0</v>
      </c>
      <c r="AG26" s="1080">
        <v>0</v>
      </c>
      <c r="AH26" s="1082"/>
      <c r="AI26" s="1082"/>
      <c r="AJ26" s="1160">
        <f t="shared" si="13"/>
        <v>0</v>
      </c>
      <c r="AK26" s="1164">
        <f>SUM('3 pr-2'!AA28)</f>
        <v>94389</v>
      </c>
      <c r="AL26" s="1080">
        <v>0</v>
      </c>
      <c r="AM26" s="1082"/>
      <c r="AN26" s="1082"/>
      <c r="AO26" s="1167">
        <f t="shared" si="14"/>
        <v>94389</v>
      </c>
      <c r="AP26" s="1080">
        <f>SUM('3 pr-2'!AB28)</f>
        <v>0</v>
      </c>
      <c r="AQ26" s="1193">
        <v>0</v>
      </c>
    </row>
    <row r="27" spans="1:44" ht="48.75">
      <c r="A27" s="375" t="str">
        <f>CONCATENATE('3 pr-2'!A29)</f>
        <v>1.1.1.1.20</v>
      </c>
      <c r="B27" s="578" t="str">
        <f>CONCATENATE('3 pr-2'!B29)</f>
        <v>R01-ZM72-340000-1120</v>
      </c>
      <c r="C27" s="577" t="str">
        <f>CONCATENATE('ketv. 6 '!C28)</f>
        <v>20KI-KA-17-1-01736-PR001</v>
      </c>
      <c r="D27" s="164" t="str">
        <f>CONCATENATE('3 pr-2'!D29)</f>
        <v>Pastato, esančio Pušelės g. 11, Naujųjų Valkininkų k., Varėnos r., atnaujinimas ir pritaikymas bendruomenės poreikiams</v>
      </c>
      <c r="E27" s="164" t="str">
        <f>CONCATENATE('3 pr-2'!E29)</f>
        <v xml:space="preserve">Varėnos rajono savivaldybės administracija </v>
      </c>
      <c r="F27" s="164" t="str">
        <f>CONCATENATE('3 pr-2'!F29)</f>
        <v>Lietuvos Respublikos žemės ūkio ministerija</v>
      </c>
      <c r="G27" s="164" t="str">
        <f>CONCATENATE('3 pr-2'!G29)</f>
        <v>Varėnos r. sav.</v>
      </c>
      <c r="H27" s="164" t="str">
        <f>CONCATENATE('3 pr-2'!H29)</f>
        <v xml:space="preserve">Pagrindinės paslaugos ir kaimų atnaujinimas kaimo vietovėse </v>
      </c>
      <c r="I27" s="164" t="str">
        <f>CONCATENATE('3 pr-2'!I29)</f>
        <v>R</v>
      </c>
      <c r="J27" s="164" t="str">
        <f>CONCATENATE('3 pr-2'!J29)</f>
        <v>-</v>
      </c>
      <c r="K27" s="1164">
        <f>SUM('3 pr-2'!L29)</f>
        <v>250000</v>
      </c>
      <c r="L27" s="1080">
        <f t="shared" si="7"/>
        <v>0</v>
      </c>
      <c r="M27" s="1082">
        <v>0</v>
      </c>
      <c r="N27" s="1082">
        <v>0</v>
      </c>
      <c r="O27" s="1082">
        <f t="shared" si="8"/>
        <v>0</v>
      </c>
      <c r="P27" s="1160">
        <f t="shared" si="9"/>
        <v>250000</v>
      </c>
      <c r="Q27" s="1164">
        <f>SUM('3 pr-2'!O29)</f>
        <v>50000</v>
      </c>
      <c r="R27" s="1080">
        <v>0</v>
      </c>
      <c r="S27" s="1082"/>
      <c r="T27" s="1082"/>
      <c r="U27" s="1160">
        <f t="shared" si="10"/>
        <v>50000</v>
      </c>
      <c r="V27" s="1164">
        <f ca="1">SUM('3 pr-2'!R29)</f>
        <v>0</v>
      </c>
      <c r="W27" s="1080">
        <v>0</v>
      </c>
      <c r="X27" s="1082"/>
      <c r="Y27" s="1082"/>
      <c r="Z27" s="1160">
        <f t="shared" ca="1" si="11"/>
        <v>0</v>
      </c>
      <c r="AA27" s="1164">
        <f>SUM('3 pr-2'!U29)</f>
        <v>0</v>
      </c>
      <c r="AB27" s="1080">
        <v>0</v>
      </c>
      <c r="AC27" s="1082"/>
      <c r="AD27" s="1082"/>
      <c r="AE27" s="1160">
        <f t="shared" si="12"/>
        <v>0</v>
      </c>
      <c r="AF27" s="1164">
        <f>SUM('3 pr-2'!X29)</f>
        <v>0</v>
      </c>
      <c r="AG27" s="1080">
        <v>0</v>
      </c>
      <c r="AH27" s="1082"/>
      <c r="AI27" s="1082"/>
      <c r="AJ27" s="1160">
        <f t="shared" si="13"/>
        <v>0</v>
      </c>
      <c r="AK27" s="1164">
        <f>SUM('3 pr-2'!AA29)</f>
        <v>200000</v>
      </c>
      <c r="AL27" s="1080">
        <v>0</v>
      </c>
      <c r="AM27" s="1082"/>
      <c r="AN27" s="1082"/>
      <c r="AO27" s="1167">
        <f t="shared" si="14"/>
        <v>200000</v>
      </c>
      <c r="AP27" s="1080">
        <f>SUM('3 pr-2'!AB29)</f>
        <v>0</v>
      </c>
      <c r="AQ27" s="1193">
        <v>0</v>
      </c>
    </row>
    <row r="28" spans="1:44" ht="36.75">
      <c r="A28" s="375" t="str">
        <f>CONCATENATE('3 pr-2'!A30)</f>
        <v>1.1.1.1.21</v>
      </c>
      <c r="B28" s="578" t="str">
        <f>CONCATENATE('3 pr-2'!B30)</f>
        <v>R01-ZM72-120000-1121</v>
      </c>
      <c r="C28" s="577" t="str">
        <f>CONCATENATE('ketv. 6 '!C29)</f>
        <v>20KI-KA-17-1-02364-PR001</v>
      </c>
      <c r="D28" s="164" t="str">
        <f>CONCATENATE('3 pr-2'!D30)</f>
        <v>Kaimo gyvenamųjų vietovių Lazdijų rajono savivaldybėje patrauklumo gerinimas</v>
      </c>
      <c r="E28" s="164" t="str">
        <f>CONCATENATE('3 pr-2'!E30)</f>
        <v>Lazdijų rajono savivaldybės administracija</v>
      </c>
      <c r="F28" s="164" t="str">
        <f>CONCATENATE('3 pr-2'!F30)</f>
        <v>Lietuvos Respublikos žemės ūkio ministerija</v>
      </c>
      <c r="G28" s="164" t="str">
        <f>CONCATENATE('3 pr-2'!G30)</f>
        <v>Lazdijų r. sav.</v>
      </c>
      <c r="H28" s="164" t="str">
        <f>CONCATENATE('3 pr-2'!H30)</f>
        <v xml:space="preserve">Pagrindinės paslaugos ir kaimų atnaujinimas kaimo vietovėse </v>
      </c>
      <c r="I28" s="164" t="str">
        <f>CONCATENATE('3 pr-2'!I30)</f>
        <v>R</v>
      </c>
      <c r="J28" s="164" t="str">
        <f>CONCATENATE('3 pr-2'!J30)</f>
        <v>-</v>
      </c>
      <c r="K28" s="1164">
        <f>SUM('3 pr-2'!L30)</f>
        <v>170000</v>
      </c>
      <c r="L28" s="1080">
        <f t="shared" si="7"/>
        <v>0</v>
      </c>
      <c r="M28" s="1082">
        <v>0</v>
      </c>
      <c r="N28" s="1082">
        <v>0</v>
      </c>
      <c r="O28" s="1082">
        <f t="shared" si="8"/>
        <v>0</v>
      </c>
      <c r="P28" s="1160">
        <f t="shared" si="9"/>
        <v>170000</v>
      </c>
      <c r="Q28" s="1164">
        <f>SUM('3 pr-2'!O30)</f>
        <v>34000</v>
      </c>
      <c r="R28" s="1080">
        <v>0</v>
      </c>
      <c r="S28" s="1082"/>
      <c r="T28" s="1082"/>
      <c r="U28" s="1160">
        <f t="shared" si="10"/>
        <v>34000</v>
      </c>
      <c r="V28" s="1164">
        <f ca="1">SUM('3 pr-2'!R30)</f>
        <v>0</v>
      </c>
      <c r="W28" s="1080">
        <v>0</v>
      </c>
      <c r="X28" s="1082"/>
      <c r="Y28" s="1082"/>
      <c r="Z28" s="1160">
        <f t="shared" ca="1" si="11"/>
        <v>0</v>
      </c>
      <c r="AA28" s="1164">
        <f>SUM('3 pr-2'!U30)</f>
        <v>0</v>
      </c>
      <c r="AB28" s="1080">
        <v>0</v>
      </c>
      <c r="AC28" s="1082"/>
      <c r="AD28" s="1082"/>
      <c r="AE28" s="1160">
        <f t="shared" si="12"/>
        <v>0</v>
      </c>
      <c r="AF28" s="1164">
        <f>SUM('3 pr-2'!X30)</f>
        <v>0</v>
      </c>
      <c r="AG28" s="1080">
        <v>0</v>
      </c>
      <c r="AH28" s="1082"/>
      <c r="AI28" s="1082"/>
      <c r="AJ28" s="1160">
        <f t="shared" si="13"/>
        <v>0</v>
      </c>
      <c r="AK28" s="1164">
        <f>SUM('3 pr-2'!AA30)</f>
        <v>136000</v>
      </c>
      <c r="AL28" s="1080">
        <v>0</v>
      </c>
      <c r="AM28" s="1082"/>
      <c r="AN28" s="1082"/>
      <c r="AO28" s="1167">
        <f t="shared" si="14"/>
        <v>136000</v>
      </c>
      <c r="AP28" s="1080">
        <f>SUM('3 pr-2'!AB30)</f>
        <v>0</v>
      </c>
      <c r="AQ28" s="1193">
        <v>0</v>
      </c>
    </row>
    <row r="29" spans="1:44" ht="36.75">
      <c r="A29" s="375" t="str">
        <f>CONCATENATE('3 pr-2'!A31)</f>
        <v>1.1.1.1.22</v>
      </c>
      <c r="B29" s="578" t="str">
        <f>CONCATENATE('3 pr-2'!B31)</f>
        <v>R01-ZM72-120000-1122</v>
      </c>
      <c r="C29" s="577" t="str">
        <f>CONCATENATE('ketv. 6 '!C30)</f>
        <v>20KI-KA-17-1-02241-PR001</v>
      </c>
      <c r="D29" s="164" t="str">
        <f>CONCATENATE('3 pr-2'!D31)</f>
        <v>Alytaus rajono Makniūnų kaimo šaligatvių atnaujinimas ir plėtra</v>
      </c>
      <c r="E29" s="164" t="str">
        <f>CONCATENATE('3 pr-2'!E31)</f>
        <v>Alytaus rajono savivaldybės administracija</v>
      </c>
      <c r="F29" s="164" t="str">
        <f>CONCATENATE('3 pr-2'!F31)</f>
        <v>Lietuvos Respublikos žemės ūkio ministerija</v>
      </c>
      <c r="G29" s="164" t="str">
        <f>CONCATENATE('3 pr-2'!G31)</f>
        <v>Alytaus r. sav.</v>
      </c>
      <c r="H29" s="164" t="str">
        <f>CONCATENATE('3 pr-2'!H31)</f>
        <v xml:space="preserve">Pagrindinės paslaugos ir kaimų atnaujinimas kaimo vietovėse </v>
      </c>
      <c r="I29" s="164" t="str">
        <f>CONCATENATE('3 pr-2'!I31)</f>
        <v>R</v>
      </c>
      <c r="J29" s="164" t="str">
        <f>CONCATENATE('3 pr-2'!J31)</f>
        <v>-</v>
      </c>
      <c r="K29" s="1164">
        <f>SUM('3 pr-2'!L31)</f>
        <v>145772</v>
      </c>
      <c r="L29" s="1080">
        <f t="shared" si="7"/>
        <v>0</v>
      </c>
      <c r="M29" s="1082">
        <v>0</v>
      </c>
      <c r="N29" s="1082">
        <v>0</v>
      </c>
      <c r="O29" s="1082">
        <f t="shared" si="8"/>
        <v>0</v>
      </c>
      <c r="P29" s="1160">
        <f t="shared" si="9"/>
        <v>145772</v>
      </c>
      <c r="Q29" s="1164">
        <f>SUM('3 pr-2'!O31)</f>
        <v>88979</v>
      </c>
      <c r="R29" s="1080">
        <v>0</v>
      </c>
      <c r="S29" s="1082"/>
      <c r="T29" s="1082"/>
      <c r="U29" s="1160">
        <f t="shared" si="10"/>
        <v>88979</v>
      </c>
      <c r="V29" s="1164">
        <f ca="1">SUM('3 pr-2'!R31)</f>
        <v>0</v>
      </c>
      <c r="W29" s="1080">
        <v>0</v>
      </c>
      <c r="X29" s="1082"/>
      <c r="Y29" s="1082"/>
      <c r="Z29" s="1160">
        <f t="shared" ca="1" si="11"/>
        <v>0</v>
      </c>
      <c r="AA29" s="1164">
        <f>SUM('3 pr-2'!U31)</f>
        <v>0</v>
      </c>
      <c r="AB29" s="1080">
        <v>0</v>
      </c>
      <c r="AC29" s="1082"/>
      <c r="AD29" s="1082"/>
      <c r="AE29" s="1160">
        <f t="shared" si="12"/>
        <v>0</v>
      </c>
      <c r="AF29" s="1164">
        <f>SUM('3 pr-2'!X31)</f>
        <v>0</v>
      </c>
      <c r="AG29" s="1080">
        <v>0</v>
      </c>
      <c r="AH29" s="1082"/>
      <c r="AI29" s="1082"/>
      <c r="AJ29" s="1160">
        <f t="shared" si="13"/>
        <v>0</v>
      </c>
      <c r="AK29" s="1164">
        <f>SUM('3 pr-2'!AA31)</f>
        <v>56793</v>
      </c>
      <c r="AL29" s="1080">
        <v>0</v>
      </c>
      <c r="AM29" s="1082"/>
      <c r="AN29" s="1082"/>
      <c r="AO29" s="1167">
        <f t="shared" si="14"/>
        <v>56793</v>
      </c>
      <c r="AP29" s="1080">
        <f>SUM('3 pr-2'!AB31)</f>
        <v>0</v>
      </c>
      <c r="AQ29" s="1193">
        <v>0</v>
      </c>
    </row>
    <row r="30" spans="1:44" ht="37.5" thickBot="1">
      <c r="A30" s="375" t="str">
        <f>CONCATENATE('3 pr-2'!A32)</f>
        <v>1.1.1.1.23</v>
      </c>
      <c r="B30" s="578" t="str">
        <f>CONCATENATE('3 pr-2'!B32)</f>
        <v>R01-ZM72-120000-1123</v>
      </c>
      <c r="C30" s="577" t="str">
        <f>CONCATENATE('ketv. 6 '!C31)</f>
        <v>-</v>
      </c>
      <c r="D30" s="164" t="str">
        <f>CONCATENATE('3 pr-2'!D32)</f>
        <v>Varėnos r. Vazgirdonių kaimo Klevų gatvės įrengimas</v>
      </c>
      <c r="E30" s="164" t="str">
        <f>CONCATENATE('3 pr-2'!E32)</f>
        <v xml:space="preserve">Varėnos rajono savivaldybės administracija </v>
      </c>
      <c r="F30" s="164" t="str">
        <f>CONCATENATE('3 pr-2'!F32)</f>
        <v>Lietuvos Respublikos žemės ūkio ministerija</v>
      </c>
      <c r="G30" s="164" t="str">
        <f>CONCATENATE('3 pr-2'!G32)</f>
        <v>Varėnos r. sav.</v>
      </c>
      <c r="H30" s="164" t="str">
        <f>CONCATENATE('3 pr-2'!H32)</f>
        <v xml:space="preserve">Pagrindinės paslaugos ir kaimų atnaujinimas kaimo vietovėse </v>
      </c>
      <c r="I30" s="164" t="str">
        <f>CONCATENATE('3 pr-2'!I32)</f>
        <v>R</v>
      </c>
      <c r="J30" s="164" t="str">
        <f>CONCATENATE('3 pr-2'!J32)</f>
        <v>-</v>
      </c>
      <c r="K30" s="1164">
        <f>SUM('3 pr-2'!L32)</f>
        <v>160048</v>
      </c>
      <c r="L30" s="1080">
        <f t="shared" si="7"/>
        <v>0</v>
      </c>
      <c r="M30" s="1082">
        <v>0</v>
      </c>
      <c r="N30" s="1082">
        <v>0</v>
      </c>
      <c r="O30" s="1082">
        <f t="shared" si="8"/>
        <v>0</v>
      </c>
      <c r="P30" s="1160">
        <f t="shared" si="9"/>
        <v>160048</v>
      </c>
      <c r="Q30" s="1164">
        <f>SUM('3 pr-2'!O32)</f>
        <v>37451.800000000003</v>
      </c>
      <c r="R30" s="1080">
        <v>0</v>
      </c>
      <c r="S30" s="1082"/>
      <c r="T30" s="1082"/>
      <c r="U30" s="1160">
        <f t="shared" si="10"/>
        <v>37451.800000000003</v>
      </c>
      <c r="V30" s="1164">
        <f ca="1">SUM('3 pr-2'!R32)</f>
        <v>0</v>
      </c>
      <c r="W30" s="1080">
        <v>0</v>
      </c>
      <c r="X30" s="1082"/>
      <c r="Y30" s="1082"/>
      <c r="Z30" s="1160">
        <f t="shared" ca="1" si="11"/>
        <v>0</v>
      </c>
      <c r="AA30" s="1164">
        <f>SUM('3 pr-2'!U32)</f>
        <v>0</v>
      </c>
      <c r="AB30" s="1080">
        <v>0</v>
      </c>
      <c r="AC30" s="1082"/>
      <c r="AD30" s="1082"/>
      <c r="AE30" s="1160">
        <f t="shared" si="12"/>
        <v>0</v>
      </c>
      <c r="AF30" s="1164">
        <f>SUM('3 pr-2'!X32)</f>
        <v>0</v>
      </c>
      <c r="AG30" s="1080">
        <v>0</v>
      </c>
      <c r="AH30" s="1082"/>
      <c r="AI30" s="1082"/>
      <c r="AJ30" s="1160">
        <f t="shared" si="13"/>
        <v>0</v>
      </c>
      <c r="AK30" s="1164">
        <f>SUM('3 pr-2'!AA32)</f>
        <v>122596.20000000001</v>
      </c>
      <c r="AL30" s="1080">
        <v>0</v>
      </c>
      <c r="AM30" s="1082"/>
      <c r="AN30" s="1082"/>
      <c r="AO30" s="1167">
        <f t="shared" si="14"/>
        <v>122596.20000000001</v>
      </c>
      <c r="AP30" s="1080">
        <f>SUM('3 pr-2'!AB32)</f>
        <v>0</v>
      </c>
      <c r="AQ30" s="1193">
        <v>0</v>
      </c>
    </row>
    <row r="31" spans="1:44" ht="40.5" customHeight="1" thickBot="1">
      <c r="A31" s="296" t="str">
        <f>CONCATENATE('3 pr-2'!A33)</f>
        <v>1.1.1.2</v>
      </c>
      <c r="B31" s="2088" t="str">
        <f>CONCATENATE('3 pr-2'!B33)</f>
        <v>Priemonė:
Kaimo gyvenamųjų vietovių (turinčių 1-6 tūkst. gyventojų) atnaujinimas ir plėtra</v>
      </c>
      <c r="C31" s="2089"/>
      <c r="D31" s="2089"/>
      <c r="E31" s="2089"/>
      <c r="F31" s="2089"/>
      <c r="G31" s="2089"/>
      <c r="H31" s="2089"/>
      <c r="I31" s="2089"/>
      <c r="J31" s="2090"/>
      <c r="K31" s="1077">
        <f t="shared" ref="K31:AQ31" si="15">SUM(K32:K36)</f>
        <v>3717325.8</v>
      </c>
      <c r="L31" s="1077">
        <f t="shared" si="15"/>
        <v>927852.12</v>
      </c>
      <c r="M31" s="1077">
        <f t="shared" si="15"/>
        <v>0</v>
      </c>
      <c r="N31" s="1077">
        <f t="shared" si="15"/>
        <v>870566.11</v>
      </c>
      <c r="O31" s="1077">
        <f t="shared" si="15"/>
        <v>57286.010000000009</v>
      </c>
      <c r="P31" s="1077">
        <f t="shared" si="15"/>
        <v>2789473.68</v>
      </c>
      <c r="Q31" s="1077">
        <f t="shared" si="15"/>
        <v>652364.41999999993</v>
      </c>
      <c r="R31" s="1077">
        <f t="shared" si="15"/>
        <v>197526.66</v>
      </c>
      <c r="S31" s="1077">
        <f t="shared" si="15"/>
        <v>0</v>
      </c>
      <c r="T31" s="1077">
        <f t="shared" si="15"/>
        <v>0</v>
      </c>
      <c r="U31" s="1077">
        <f t="shared" si="15"/>
        <v>454837.75999999989</v>
      </c>
      <c r="V31" s="1077">
        <f t="shared" si="15"/>
        <v>248510.74</v>
      </c>
      <c r="W31" s="1077">
        <f t="shared" si="15"/>
        <v>59215.59</v>
      </c>
      <c r="X31" s="1077">
        <f t="shared" si="15"/>
        <v>0</v>
      </c>
      <c r="Y31" s="1077">
        <f t="shared" si="15"/>
        <v>0</v>
      </c>
      <c r="Z31" s="1077">
        <f t="shared" si="15"/>
        <v>189295.15000000002</v>
      </c>
      <c r="AA31" s="1077">
        <f t="shared" si="15"/>
        <v>0</v>
      </c>
      <c r="AB31" s="1077">
        <f t="shared" si="15"/>
        <v>0</v>
      </c>
      <c r="AC31" s="1077">
        <f t="shared" si="15"/>
        <v>0</v>
      </c>
      <c r="AD31" s="1077">
        <f t="shared" si="15"/>
        <v>0</v>
      </c>
      <c r="AE31" s="1077">
        <f t="shared" si="15"/>
        <v>0</v>
      </c>
      <c r="AF31" s="1077">
        <f t="shared" si="15"/>
        <v>0</v>
      </c>
      <c r="AG31" s="1077">
        <f t="shared" si="15"/>
        <v>0</v>
      </c>
      <c r="AH31" s="1077">
        <f t="shared" si="15"/>
        <v>0</v>
      </c>
      <c r="AI31" s="1077">
        <f t="shared" si="15"/>
        <v>0</v>
      </c>
      <c r="AJ31" s="1077">
        <f t="shared" si="15"/>
        <v>0</v>
      </c>
      <c r="AK31" s="1077">
        <f t="shared" si="15"/>
        <v>2816450.64</v>
      </c>
      <c r="AL31" s="1077">
        <f t="shared" si="15"/>
        <v>671109.87000000011</v>
      </c>
      <c r="AM31" s="1077">
        <f t="shared" si="15"/>
        <v>0</v>
      </c>
      <c r="AN31" s="1077">
        <f t="shared" si="15"/>
        <v>0</v>
      </c>
      <c r="AO31" s="1077">
        <f t="shared" si="15"/>
        <v>2145340.77</v>
      </c>
      <c r="AP31" s="1077">
        <f t="shared" si="15"/>
        <v>0</v>
      </c>
      <c r="AQ31" s="1077">
        <f t="shared" si="15"/>
        <v>0</v>
      </c>
      <c r="AR31" s="233">
        <f>SUM(K31-'3 pr-2'!L33)</f>
        <v>0</v>
      </c>
    </row>
    <row r="32" spans="1:44" ht="48.75">
      <c r="A32" s="375" t="str">
        <f>CONCATENATE('3 pr-2'!A34)</f>
        <v>1.1.1.2.1</v>
      </c>
      <c r="B32" s="578" t="str">
        <f>CONCATENATE('3 pr-2'!B34)</f>
        <v>R01-9908-293400-1121</v>
      </c>
      <c r="C32" s="577" t="str">
        <f>CONCATENATE('ketv. 6 '!C33)</f>
        <v>08.2.1-CPVA-R-908-11-0002</v>
      </c>
      <c r="D32" s="164" t="str">
        <f>CONCATENATE('3 pr-2'!D34)</f>
        <v>Matuizų kaimo viešosios infrastruktūros atnaujinimas ir pritaikymas bendruomenės poreikiams</v>
      </c>
      <c r="E32" s="164" t="str">
        <f>CONCATENATE('3 pr-2'!E34)</f>
        <v>Varėnos rajono savivaldybės administracija</v>
      </c>
      <c r="F32" s="164" t="str">
        <f>CONCATENATE('3 pr-2'!F34)</f>
        <v>Lietuvos Respublikos vidaus reikalų ministerija</v>
      </c>
      <c r="G32" s="164" t="str">
        <f>CONCATENATE('3 pr-2'!G34)</f>
        <v>Varėnos r. sav.</v>
      </c>
      <c r="H32" s="164" t="str">
        <f>CONCATENATE('3 pr-2'!H34)</f>
        <v>8.2.1-CPVA-R-908</v>
      </c>
      <c r="I32" s="164" t="str">
        <f>CONCATENATE('3 pr-2'!I34)</f>
        <v>R</v>
      </c>
      <c r="J32" s="164" t="str">
        <f>CONCATENATE('3 pr-2'!J34)</f>
        <v>-</v>
      </c>
      <c r="K32" s="1164">
        <f>SUM('3 pr-2'!L34)</f>
        <v>815537.61</v>
      </c>
      <c r="L32" s="1159">
        <f t="shared" ref="L32:L36" si="16">SUM(R32+W32+AB32+AG32+AL32)</f>
        <v>4526.96</v>
      </c>
      <c r="M32" s="1082">
        <v>0</v>
      </c>
      <c r="N32" s="1082">
        <v>4526.96</v>
      </c>
      <c r="O32" s="1082">
        <f>SUM(L32-M32-N32)</f>
        <v>0</v>
      </c>
      <c r="P32" s="1160">
        <f t="shared" ref="P32:P36" si="17">SUM(K32-L32)</f>
        <v>811010.65</v>
      </c>
      <c r="Q32" s="1164">
        <f>SUM('3 pr-2'!O34)</f>
        <v>285195.61</v>
      </c>
      <c r="R32" s="1159">
        <f>SUMIF('mokėjimų ataskaita'!$I:$I,C32,'mokėjimų ataskaita'!$AU:$AU)/2</f>
        <v>1583.09</v>
      </c>
      <c r="S32" s="1082"/>
      <c r="T32" s="1082"/>
      <c r="U32" s="1160">
        <f>SUM(Q32-R32)</f>
        <v>283612.51999999996</v>
      </c>
      <c r="V32" s="1164">
        <f>SUM('3 pr-2'!R34)</f>
        <v>43001</v>
      </c>
      <c r="W32" s="1159">
        <f>SUMIF('mokėjimų ataskaita'!$I:$I,C32,'mokėjimų ataskaita'!$AL:$AL)/2</f>
        <v>238.7</v>
      </c>
      <c r="X32" s="1082"/>
      <c r="Y32" s="1082"/>
      <c r="Z32" s="1160">
        <f t="shared" ref="Z32:Z36" si="18">SUM(V32-W32)</f>
        <v>42762.3</v>
      </c>
      <c r="AA32" s="1164">
        <f>SUM('3 pr-2'!U34)</f>
        <v>0</v>
      </c>
      <c r="AB32" s="1080">
        <v>0</v>
      </c>
      <c r="AC32" s="1082"/>
      <c r="AD32" s="1082"/>
      <c r="AE32" s="1160">
        <f t="shared" ref="AE32:AE36" si="19">SUM(AA32-AB32)</f>
        <v>0</v>
      </c>
      <c r="AF32" s="1164">
        <f>SUM('3 pr-2'!X34)</f>
        <v>0</v>
      </c>
      <c r="AG32" s="1080">
        <f>SUMIF('mokėjimų ataskaita'!$I:$I,'ketv. 7 '!C32,'mokėjimų ataskaita'!$AT:$AT)/2+SUMIF('mokėjimų ataskaita'!$I:$I,'ketv. 7 '!C32,'mokėjimų ataskaita'!$AV:$AV)/2</f>
        <v>0</v>
      </c>
      <c r="AH32" s="1082"/>
      <c r="AI32" s="1082"/>
      <c r="AJ32" s="1160">
        <f t="shared" ref="AJ32:AJ36" si="20">SUM(AF32-AG32)</f>
        <v>0</v>
      </c>
      <c r="AK32" s="1164">
        <f>SUM('3 pr-2'!AA34)</f>
        <v>487341</v>
      </c>
      <c r="AL32" s="1159">
        <f>SUMIF('mokėjimų ataskaita'!$I:$I,'ketv. 7 '!C32,'mokėjimų ataskaita'!$AK:$AK)/2</f>
        <v>2705.17</v>
      </c>
      <c r="AM32" s="1082"/>
      <c r="AN32" s="1082"/>
      <c r="AO32" s="1167">
        <f>IF(AK32&gt;0,AK32-AL32,0)</f>
        <v>484635.83</v>
      </c>
      <c r="AP32" s="1080">
        <f>SUM('3 pr-2'!AB34)</f>
        <v>0</v>
      </c>
      <c r="AQ32" s="1159">
        <v>0</v>
      </c>
    </row>
    <row r="33" spans="1:45" ht="48.75">
      <c r="A33" s="375" t="str">
        <f>CONCATENATE('3 pr-2'!A35)</f>
        <v>1.1.1.2.2</v>
      </c>
      <c r="B33" s="578" t="str">
        <f>CONCATENATE('3 pr-2'!B35)</f>
        <v>R01-9908-290000-1122</v>
      </c>
      <c r="C33" s="577" t="str">
        <f>CONCATENATE('ketv. 6 '!C34)</f>
        <v>08.2.1-CPVA-R-908-11-0001</v>
      </c>
      <c r="D33" s="164" t="str">
        <f>CONCATENATE('3 pr-2'!D35)</f>
        <v>Senosios Varėnos kaimo viešosios infrastruktūros atnaujinimas ir pritaikymas bendruomenės poreikiams</v>
      </c>
      <c r="E33" s="164" t="str">
        <f>CONCATENATE('3 pr-2'!E35)</f>
        <v>Varėnos rajono savivaldybės administracija</v>
      </c>
      <c r="F33" s="164" t="str">
        <f>CONCATENATE('3 pr-2'!F35)</f>
        <v>Lietuvos Respublikos vidaus reikalų ministerija</v>
      </c>
      <c r="G33" s="164" t="str">
        <f>CONCATENATE('3 pr-2'!G35)</f>
        <v>Varėnos r. sav.</v>
      </c>
      <c r="H33" s="164" t="str">
        <f>CONCATENATE('3 pr-2'!H35)</f>
        <v>8.2.1-CPVA-R-908</v>
      </c>
      <c r="I33" s="164" t="str">
        <f>CONCATENATE('3 pr-2'!I35)</f>
        <v>R</v>
      </c>
      <c r="J33" s="164" t="str">
        <f>CONCATENATE('3 pr-2'!J35)</f>
        <v>-</v>
      </c>
      <c r="K33" s="1164">
        <f>SUM('3 pr-2'!L35)</f>
        <v>605024.19999999995</v>
      </c>
      <c r="L33" s="1159">
        <f t="shared" si="16"/>
        <v>163032.32000000001</v>
      </c>
      <c r="M33" s="1082">
        <v>0</v>
      </c>
      <c r="N33" s="1082">
        <v>105746.31</v>
      </c>
      <c r="O33" s="1082">
        <f t="shared" ref="O33:O70" si="21">SUM(L33-M33-N33)</f>
        <v>57286.010000000009</v>
      </c>
      <c r="P33" s="1160">
        <f t="shared" si="17"/>
        <v>441991.87999999995</v>
      </c>
      <c r="Q33" s="1164">
        <f>SUM('3 pr-2'!O35)</f>
        <v>45376.82</v>
      </c>
      <c r="R33" s="1159">
        <f>SUMIF('mokėjimų ataskaita'!$I:$I,C33,'mokėjimų ataskaita'!$AU:$AU)/2</f>
        <v>10577.430000000002</v>
      </c>
      <c r="S33" s="1082"/>
      <c r="T33" s="1082"/>
      <c r="U33" s="1160">
        <f>SUM(Q33-R33)</f>
        <v>34799.39</v>
      </c>
      <c r="V33" s="1164">
        <f>SUM('3 pr-2'!R35)</f>
        <v>45376.81</v>
      </c>
      <c r="W33" s="1159">
        <f>SUMIF('mokėjimų ataskaita'!$I:$I,C33,'mokėjimų ataskaita'!$AL:$AL)/2</f>
        <v>12361.199999999999</v>
      </c>
      <c r="X33" s="1082"/>
      <c r="Y33" s="1082"/>
      <c r="Z33" s="1160">
        <f t="shared" si="18"/>
        <v>33015.61</v>
      </c>
      <c r="AA33" s="1164">
        <f>SUM('3 pr-2'!U35)</f>
        <v>0</v>
      </c>
      <c r="AB33" s="1080">
        <v>0</v>
      </c>
      <c r="AC33" s="1082"/>
      <c r="AD33" s="1082"/>
      <c r="AE33" s="1160">
        <f t="shared" si="19"/>
        <v>0</v>
      </c>
      <c r="AF33" s="1164">
        <f>SUM('3 pr-2'!X35)</f>
        <v>0</v>
      </c>
      <c r="AG33" s="1080">
        <f>SUMIF('mokėjimų ataskaita'!$I:$I,'ketv. 7 '!C33,'mokėjimų ataskaita'!$AT:$AT)/2+SUMIF('mokėjimų ataskaita'!$I:$I,'ketv. 7 '!C33,'mokėjimų ataskaita'!$AV:$AV)/2</f>
        <v>0</v>
      </c>
      <c r="AH33" s="1082"/>
      <c r="AI33" s="1082"/>
      <c r="AJ33" s="1160">
        <f t="shared" si="20"/>
        <v>0</v>
      </c>
      <c r="AK33" s="1164">
        <f>SUM('3 pr-2'!AA35)</f>
        <v>514270.57</v>
      </c>
      <c r="AL33" s="1159">
        <f>SUMIF('mokėjimų ataskaita'!$I:$I,'ketv. 7 '!C33,'mokėjimų ataskaita'!$AK:$AK)/2</f>
        <v>140093.69</v>
      </c>
      <c r="AM33" s="1082"/>
      <c r="AN33" s="1082"/>
      <c r="AO33" s="1167">
        <f>IF(AK33&gt;0,AK33-AL33,0)</f>
        <v>374176.88</v>
      </c>
      <c r="AP33" s="1080">
        <f>SUM('3 pr-2'!AB35)</f>
        <v>0</v>
      </c>
      <c r="AQ33" s="1159">
        <v>0</v>
      </c>
    </row>
    <row r="34" spans="1:45" ht="36.75">
      <c r="A34" s="375" t="str">
        <f>CONCATENATE('3 pr-2'!A36)</f>
        <v>1.1.1.2.3</v>
      </c>
      <c r="B34" s="578" t="str">
        <f>CONCATENATE('3 pr-2'!B36)</f>
        <v>R01-9908-290000-1123</v>
      </c>
      <c r="C34" s="577" t="str">
        <f>CONCATENATE('ketv. 6 '!C35)</f>
        <v>-</v>
      </c>
      <c r="D34" s="164" t="str">
        <f>CONCATENATE('3 pr-2'!D36)</f>
        <v>Kompleksinė Miklusėnų gyvenvietės plėtra</v>
      </c>
      <c r="E34" s="164" t="str">
        <f>CONCATENATE('3 pr-2'!E36)</f>
        <v>Alytaus rajono savivaldybės administracija</v>
      </c>
      <c r="F34" s="164" t="str">
        <f>CONCATENATE('3 pr-2'!F36)</f>
        <v>Lietuvos Respublikos vidaus reikalų ministerija</v>
      </c>
      <c r="G34" s="164" t="str">
        <f>CONCATENATE('3 pr-2'!G36)</f>
        <v>Alytaus r. sav.</v>
      </c>
      <c r="H34" s="164" t="str">
        <f>CONCATENATE('3 pr-2'!H36)</f>
        <v>8.2.1-CPVA-R-908</v>
      </c>
      <c r="I34" s="164" t="str">
        <f>CONCATENATE('3 pr-2'!I36)</f>
        <v>R</v>
      </c>
      <c r="J34" s="164" t="str">
        <f>CONCATENATE('3 pr-2'!J36)</f>
        <v>-</v>
      </c>
      <c r="K34" s="1164">
        <f>SUM('3 pr-2'!L36)</f>
        <v>1043467</v>
      </c>
      <c r="L34" s="1080">
        <f t="shared" si="16"/>
        <v>0</v>
      </c>
      <c r="M34" s="1082">
        <v>0</v>
      </c>
      <c r="N34" s="1082">
        <v>0</v>
      </c>
      <c r="O34" s="1082">
        <f t="shared" si="21"/>
        <v>0</v>
      </c>
      <c r="P34" s="1160">
        <f t="shared" si="17"/>
        <v>1043467</v>
      </c>
      <c r="Q34" s="1164">
        <f>SUM('3 pr-2'!O36)</f>
        <v>78261</v>
      </c>
      <c r="R34" s="1080">
        <f>SUMIF('mokėjimų ataskaita'!$I:$I,C34,'mokėjimų ataskaita'!$AU:$AU)/2</f>
        <v>0</v>
      </c>
      <c r="S34" s="1082"/>
      <c r="T34" s="1082"/>
      <c r="U34" s="1160">
        <f>SUM(Q34-R34)</f>
        <v>78261</v>
      </c>
      <c r="V34" s="1164">
        <f>SUM('3 pr-2'!R36)</f>
        <v>78260</v>
      </c>
      <c r="W34" s="1080">
        <f>SUMIF('mokėjimų ataskaita'!$I:$I,C34,'mokėjimų ataskaita'!$AL:$AL)/2</f>
        <v>0</v>
      </c>
      <c r="X34" s="1082"/>
      <c r="Y34" s="1082"/>
      <c r="Z34" s="1160">
        <f t="shared" si="18"/>
        <v>78260</v>
      </c>
      <c r="AA34" s="1164">
        <f>SUM('3 pr-2'!U36)</f>
        <v>0</v>
      </c>
      <c r="AB34" s="1080">
        <v>0</v>
      </c>
      <c r="AC34" s="1082"/>
      <c r="AD34" s="1082"/>
      <c r="AE34" s="1160">
        <f t="shared" si="19"/>
        <v>0</v>
      </c>
      <c r="AF34" s="1164">
        <f>SUM('3 pr-2'!X36)</f>
        <v>0</v>
      </c>
      <c r="AG34" s="1080">
        <f>SUMIF('mokėjimų ataskaita'!$I:$I,'ketv. 7 '!C34,'mokėjimų ataskaita'!$AT:$AT)/2+SUMIF('mokėjimų ataskaita'!$I:$I,'ketv. 7 '!C34,'mokėjimų ataskaita'!$AV:$AV)/2</f>
        <v>0</v>
      </c>
      <c r="AH34" s="1082"/>
      <c r="AI34" s="1082"/>
      <c r="AJ34" s="1160">
        <f t="shared" si="20"/>
        <v>0</v>
      </c>
      <c r="AK34" s="1164">
        <f>SUM('3 pr-2'!AA36)</f>
        <v>886946</v>
      </c>
      <c r="AL34" s="1080">
        <f>SUMIF('mokėjimų ataskaita'!$I:$I,'ketv. 7 '!C34,'mokėjimų ataskaita'!$AK:$AK)/2</f>
        <v>0</v>
      </c>
      <c r="AM34" s="1082"/>
      <c r="AN34" s="1082"/>
      <c r="AO34" s="1167">
        <f>IF(AK34&gt;0,AK34-AL34,0)</f>
        <v>886946</v>
      </c>
      <c r="AP34" s="1080">
        <f>SUM('3 pr-2'!AB36)</f>
        <v>0</v>
      </c>
      <c r="AQ34" s="1080">
        <v>0</v>
      </c>
    </row>
    <row r="35" spans="1:45" ht="36.75">
      <c r="A35" s="375" t="str">
        <f>CONCATENATE('3 pr-2'!A37)</f>
        <v>1.1.1.2.4</v>
      </c>
      <c r="B35" s="578" t="str">
        <f>CONCATENATE('3 pr-2'!B37)</f>
        <v>R01-9908-290000-1124</v>
      </c>
      <c r="C35" s="577" t="str">
        <f>CONCATENATE('ketv. 6 '!C36)</f>
        <v>08.2.1-CPVA-R-908-11-0003</v>
      </c>
      <c r="D35" s="164" t="str">
        <f>CONCATENATE('3 pr-2'!D37)</f>
        <v>Leipalingio viešosios erdvės pritaikymas bendruomenės poreikiams</v>
      </c>
      <c r="E35" s="164" t="str">
        <f>CONCATENATE('3 pr-2'!E37)</f>
        <v xml:space="preserve">Druskininkų savivaldybės administracija  </v>
      </c>
      <c r="F35" s="164" t="str">
        <f>CONCATENATE('3 pr-2'!F37)</f>
        <v>Lietuvos Respublikos vidaus reikalų ministerija</v>
      </c>
      <c r="G35" s="164" t="str">
        <f>CONCATENATE('3 pr-2'!G37)</f>
        <v>Druskininkų sav.</v>
      </c>
      <c r="H35" s="164" t="str">
        <f>CONCATENATE('3 pr-2'!H37)</f>
        <v>8.2.1-CPVA-R-908</v>
      </c>
      <c r="I35" s="164" t="str">
        <f>CONCATENATE('3 pr-2'!I37)</f>
        <v>R</v>
      </c>
      <c r="J35" s="164" t="str">
        <f>CONCATENATE('3 pr-2'!J37)</f>
        <v>-</v>
      </c>
      <c r="K35" s="1164">
        <f>SUM('3 pr-2'!L37)</f>
        <v>579418.99</v>
      </c>
      <c r="L35" s="1159">
        <f t="shared" si="16"/>
        <v>511204.57</v>
      </c>
      <c r="M35" s="1082">
        <v>0</v>
      </c>
      <c r="N35" s="1082">
        <v>511204.57</v>
      </c>
      <c r="O35" s="1082">
        <f t="shared" si="21"/>
        <v>0</v>
      </c>
      <c r="P35" s="1160">
        <f t="shared" si="17"/>
        <v>68214.419999999984</v>
      </c>
      <c r="Q35" s="1164">
        <f>SUM('3 pr-2'!O37)</f>
        <v>192989.99</v>
      </c>
      <c r="R35" s="1159">
        <f>SUMIF('mokėjimų ataskaita'!$I:$I,C35,'mokėjimų ataskaita'!$AU:$AU)/2</f>
        <v>170269.48</v>
      </c>
      <c r="S35" s="1082"/>
      <c r="T35" s="1082"/>
      <c r="U35" s="1160">
        <f>SUM(Q35-R35)</f>
        <v>22720.50999999998</v>
      </c>
      <c r="V35" s="1164">
        <f>SUM('3 pr-2'!R37)</f>
        <v>31332.09</v>
      </c>
      <c r="W35" s="1159">
        <f>SUMIF('mokėjimų ataskaita'!$I:$I,C35,'mokėjimų ataskaita'!$AL:$AL)/2</f>
        <v>27643.39</v>
      </c>
      <c r="X35" s="1082"/>
      <c r="Y35" s="1082"/>
      <c r="Z35" s="1160">
        <f t="shared" si="18"/>
        <v>3688.7000000000007</v>
      </c>
      <c r="AA35" s="1164">
        <f>SUM('3 pr-2'!U37)</f>
        <v>0</v>
      </c>
      <c r="AB35" s="1080">
        <v>0</v>
      </c>
      <c r="AC35" s="1082"/>
      <c r="AD35" s="1082"/>
      <c r="AE35" s="1160">
        <f t="shared" si="19"/>
        <v>0</v>
      </c>
      <c r="AF35" s="1164">
        <f>SUM('3 pr-2'!X37)</f>
        <v>0</v>
      </c>
      <c r="AG35" s="1080">
        <f>SUMIF('mokėjimų ataskaita'!$I:$I,'ketv. 7 '!C35,'mokėjimų ataskaita'!$AT:$AT)/2+SUMIF('mokėjimų ataskaita'!$I:$I,'ketv. 7 '!C35,'mokėjimų ataskaita'!$AV:$AV)/2</f>
        <v>0</v>
      </c>
      <c r="AH35" s="1082"/>
      <c r="AI35" s="1082"/>
      <c r="AJ35" s="1160">
        <f t="shared" si="20"/>
        <v>0</v>
      </c>
      <c r="AK35" s="1164">
        <f>SUM('3 pr-2'!AA37)</f>
        <v>355096.91</v>
      </c>
      <c r="AL35" s="1159">
        <f>SUMIF('mokėjimų ataskaita'!$I:$I,'ketv. 7 '!C35,'mokėjimų ataskaita'!$AK:$AK)/2</f>
        <v>313291.7</v>
      </c>
      <c r="AM35" s="1082"/>
      <c r="AN35" s="1082"/>
      <c r="AO35" s="1167">
        <f>IF(AK35&gt;0,AK35-AL35,0)</f>
        <v>41805.209999999963</v>
      </c>
      <c r="AP35" s="1080">
        <f>SUM('3 pr-2'!AB37)</f>
        <v>0</v>
      </c>
      <c r="AQ35" s="1159">
        <v>0</v>
      </c>
    </row>
    <row r="36" spans="1:45" ht="37.5" thickBot="1">
      <c r="A36" s="375" t="str">
        <f>CONCATENATE('3 pr-2'!A38)</f>
        <v>1.1.1.2.5</v>
      </c>
      <c r="B36" s="578" t="str">
        <f>CONCATENATE('3 pr-2'!B38)</f>
        <v>R01-9908-290000-1125</v>
      </c>
      <c r="C36" s="577" t="str">
        <f>CONCATENATE('ketv. 6 '!C37)</f>
        <v>08.2.1-CPVA-R-908-11-0004</v>
      </c>
      <c r="D36" s="164" t="str">
        <f>CONCATENATE('3 pr-2'!D38)</f>
        <v>Viečiūnų viešosios erdvės pritaikymas bendruomenės poreikiams</v>
      </c>
      <c r="E36" s="164" t="str">
        <f>CONCATENATE('3 pr-2'!E38)</f>
        <v xml:space="preserve">Druskininkų savivaldybės administracija  </v>
      </c>
      <c r="F36" s="164" t="str">
        <f>CONCATENATE('3 pr-2'!F38)</f>
        <v>Lietuvos Respublikos vidaus reikalų ministerija</v>
      </c>
      <c r="G36" s="164" t="str">
        <f>CONCATENATE('3 pr-2'!G38)</f>
        <v>Druskininkų sav.</v>
      </c>
      <c r="H36" s="164" t="str">
        <f>CONCATENATE('3 pr-2'!H38)</f>
        <v>8.2.1-CPVA-R-908</v>
      </c>
      <c r="I36" s="164" t="str">
        <f>CONCATENATE('3 pr-2'!I38)</f>
        <v>R</v>
      </c>
      <c r="J36" s="164" t="str">
        <f>CONCATENATE('3 pr-2'!J38)</f>
        <v>-</v>
      </c>
      <c r="K36" s="1164">
        <f>SUM('3 pr-2'!L38)</f>
        <v>673878</v>
      </c>
      <c r="L36" s="1159">
        <f t="shared" si="16"/>
        <v>249088.27</v>
      </c>
      <c r="M36" s="1082">
        <v>0</v>
      </c>
      <c r="N36" s="1082">
        <v>249088.27</v>
      </c>
      <c r="O36" s="1082">
        <f t="shared" si="21"/>
        <v>0</v>
      </c>
      <c r="P36" s="1160">
        <f t="shared" si="17"/>
        <v>424789.73</v>
      </c>
      <c r="Q36" s="1164">
        <f>SUM('3 pr-2'!O38)</f>
        <v>50541</v>
      </c>
      <c r="R36" s="1159">
        <f>SUMIF('mokėjimų ataskaita'!$I:$I,C36,'mokėjimų ataskaita'!$AU:$AU)/2</f>
        <v>15096.66</v>
      </c>
      <c r="S36" s="1082"/>
      <c r="T36" s="1082"/>
      <c r="U36" s="1160">
        <f>SUM(Q36-R36)</f>
        <v>35444.339999999997</v>
      </c>
      <c r="V36" s="1164">
        <f>SUM('3 pr-2'!R38)</f>
        <v>50540.84</v>
      </c>
      <c r="W36" s="1159">
        <f>SUMIF('mokėjimų ataskaita'!$I:$I,C36,'mokėjimų ataskaita'!$AL:$AL)/2</f>
        <v>18972.3</v>
      </c>
      <c r="X36" s="1082"/>
      <c r="Y36" s="1082"/>
      <c r="Z36" s="1160">
        <f t="shared" si="18"/>
        <v>31568.539999999997</v>
      </c>
      <c r="AA36" s="1164">
        <f>SUM('3 pr-2'!U38)</f>
        <v>0</v>
      </c>
      <c r="AB36" s="1080">
        <v>0</v>
      </c>
      <c r="AC36" s="1082"/>
      <c r="AD36" s="1082"/>
      <c r="AE36" s="1160">
        <f t="shared" si="19"/>
        <v>0</v>
      </c>
      <c r="AF36" s="1164">
        <f>SUM('3 pr-2'!X38)</f>
        <v>0</v>
      </c>
      <c r="AG36" s="1080">
        <f>SUMIF('mokėjimų ataskaita'!$I:$I,'ketv. 7 '!C36,'mokėjimų ataskaita'!$AT:$AT)/2+SUMIF('mokėjimų ataskaita'!$I:$I,'ketv. 7 '!C36,'mokėjimų ataskaita'!$AV:$AV)/2</f>
        <v>0</v>
      </c>
      <c r="AH36" s="1082"/>
      <c r="AI36" s="1082"/>
      <c r="AJ36" s="1160">
        <f t="shared" si="20"/>
        <v>0</v>
      </c>
      <c r="AK36" s="1164">
        <f>SUM('3 pr-2'!AA38)</f>
        <v>572796.16000000003</v>
      </c>
      <c r="AL36" s="1159">
        <f>SUMIF('mokėjimų ataskaita'!$I:$I,'ketv. 7 '!C36,'mokėjimų ataskaita'!$AK:$AK)/2</f>
        <v>215019.31</v>
      </c>
      <c r="AM36" s="1082"/>
      <c r="AN36" s="1082"/>
      <c r="AO36" s="1167">
        <f>IF(AK36&gt;0,AK36-AL36,0)</f>
        <v>357776.85000000003</v>
      </c>
      <c r="AP36" s="1080">
        <f>SUM('3 pr-2'!AB38)</f>
        <v>0</v>
      </c>
      <c r="AQ36" s="1159">
        <v>0</v>
      </c>
    </row>
    <row r="37" spans="1:45" ht="36.75" customHeight="1" thickBot="1">
      <c r="A37" s="296" t="str">
        <f>CONCATENATE('3 pr-2'!A39)</f>
        <v>1.1.1.3</v>
      </c>
      <c r="B37" s="2088" t="str">
        <f>CONCATENATE('3 pr-2'!B39)</f>
        <v>Priemonė:
Varėnos miesto kompleksinė plėtra</v>
      </c>
      <c r="C37" s="2089"/>
      <c r="D37" s="2089"/>
      <c r="E37" s="2089"/>
      <c r="F37" s="2089"/>
      <c r="G37" s="2089"/>
      <c r="H37" s="2089"/>
      <c r="I37" s="2089"/>
      <c r="J37" s="2090"/>
      <c r="K37" s="1077">
        <f t="shared" ref="K37:AK37" si="22">SUM(K38:K43)</f>
        <v>4359732.13</v>
      </c>
      <c r="L37" s="1077">
        <f t="shared" si="22"/>
        <v>2516880.0900000008</v>
      </c>
      <c r="M37" s="1077">
        <f t="shared" si="22"/>
        <v>1186280.8599999999</v>
      </c>
      <c r="N37" s="1077">
        <f t="shared" si="22"/>
        <v>1161727.8600000008</v>
      </c>
      <c r="O37" s="1077">
        <f t="shared" si="22"/>
        <v>168871.36999999991</v>
      </c>
      <c r="P37" s="1077">
        <f t="shared" si="22"/>
        <v>1842852.0399999996</v>
      </c>
      <c r="Q37" s="1077">
        <f t="shared" si="22"/>
        <v>336200.36</v>
      </c>
      <c r="R37" s="1077">
        <f t="shared" si="22"/>
        <v>170238.92999999996</v>
      </c>
      <c r="S37" s="1077">
        <f t="shared" si="22"/>
        <v>38985.35</v>
      </c>
      <c r="T37" s="1077">
        <f t="shared" si="22"/>
        <v>131253.57999999999</v>
      </c>
      <c r="U37" s="1077">
        <f t="shared" si="22"/>
        <v>165961.43</v>
      </c>
      <c r="V37" s="1077">
        <f t="shared" si="22"/>
        <v>326232.31000000006</v>
      </c>
      <c r="W37" s="1077">
        <f t="shared" si="22"/>
        <v>216545.43</v>
      </c>
      <c r="X37" s="1077">
        <f t="shared" si="22"/>
        <v>117616.09999999999</v>
      </c>
      <c r="Y37" s="1077">
        <f t="shared" si="22"/>
        <v>98929.330000000016</v>
      </c>
      <c r="Z37" s="1077">
        <f t="shared" si="22"/>
        <v>109686.87999999999</v>
      </c>
      <c r="AA37" s="1077">
        <f t="shared" si="22"/>
        <v>0</v>
      </c>
      <c r="AB37" s="1077">
        <f t="shared" si="22"/>
        <v>0</v>
      </c>
      <c r="AC37" s="1077">
        <f t="shared" si="22"/>
        <v>0</v>
      </c>
      <c r="AD37" s="1077">
        <f t="shared" si="22"/>
        <v>0</v>
      </c>
      <c r="AE37" s="1077">
        <f t="shared" si="22"/>
        <v>0</v>
      </c>
      <c r="AF37" s="1077">
        <f t="shared" si="22"/>
        <v>0</v>
      </c>
      <c r="AG37" s="1077">
        <f t="shared" si="22"/>
        <v>0</v>
      </c>
      <c r="AH37" s="1077">
        <f t="shared" si="22"/>
        <v>0</v>
      </c>
      <c r="AI37" s="1077">
        <f t="shared" si="22"/>
        <v>0</v>
      </c>
      <c r="AJ37" s="1077">
        <f t="shared" si="22"/>
        <v>0</v>
      </c>
      <c r="AK37" s="1077">
        <f t="shared" si="22"/>
        <v>3697299.46</v>
      </c>
      <c r="AL37" s="1077">
        <f>SUM(AL38:AL43)</f>
        <v>2130095.7300000004</v>
      </c>
      <c r="AM37" s="1077">
        <f t="shared" ref="AM37:AQ37" si="23">SUM(AM38:AM43)</f>
        <v>1029679.4099999999</v>
      </c>
      <c r="AN37" s="1077">
        <f t="shared" si="23"/>
        <v>1100416.3200000003</v>
      </c>
      <c r="AO37" s="1077">
        <f t="shared" si="23"/>
        <v>1155414.6699999997</v>
      </c>
      <c r="AP37" s="1077">
        <f t="shared" si="23"/>
        <v>0</v>
      </c>
      <c r="AQ37" s="1077">
        <f t="shared" si="23"/>
        <v>0</v>
      </c>
      <c r="AR37" s="233">
        <f>SUM(K37-'3 pr-2'!L39)</f>
        <v>0</v>
      </c>
    </row>
    <row r="38" spans="1:45" ht="36.75">
      <c r="A38" s="375" t="str">
        <f>CONCATENATE('3 pr-2'!A40)</f>
        <v>1.1.1.3.1</v>
      </c>
      <c r="B38" s="578" t="str">
        <f>CONCATENATE('3 pr-2'!B40)</f>
        <v>R01-9905-290000-1131</v>
      </c>
      <c r="C38" s="577" t="str">
        <f>CONCATENATE('ketv. 6 '!C39)</f>
        <v>07.1.1-CPVA-R-905-11-0001</v>
      </c>
      <c r="D38" s="164" t="str">
        <f>CONCATENATE('3 pr-2'!D40)</f>
        <v>Varėnos miesto centrinės dalies modernizavimas ir pritaikymas visuomenės poreikiams (I etapas)</v>
      </c>
      <c r="E38" s="164" t="str">
        <f>CONCATENATE('3 pr-2'!E40)</f>
        <v>Varėnos rajono savivaldybės administracija</v>
      </c>
      <c r="F38" s="164" t="str">
        <f>CONCATENATE('3 pr-2'!F40)</f>
        <v>Lietuvos Respublikos vidaus reikalų ministerija</v>
      </c>
      <c r="G38" s="164" t="str">
        <f>CONCATENATE('3 pr-2'!G40)</f>
        <v>Varėnos r. sav.</v>
      </c>
      <c r="H38" s="164" t="str">
        <f>CONCATENATE('3 pr-2'!H40)</f>
        <v xml:space="preserve">07.1.1-CPVA-R-905 </v>
      </c>
      <c r="I38" s="164" t="str">
        <f>CONCATENATE('3 pr-2'!I40)</f>
        <v>R</v>
      </c>
      <c r="J38" s="164" t="str">
        <f>CONCATENATE('3 pr-2'!J40)</f>
        <v>ITI</v>
      </c>
      <c r="K38" s="1164">
        <f>SUM('3 pr-2'!L40)</f>
        <v>1516825.67</v>
      </c>
      <c r="L38" s="1159">
        <f t="shared" ref="L38:L43" si="24">SUM(R38+W38+AB38+AG38+AL38)</f>
        <v>1516825.6700000004</v>
      </c>
      <c r="M38" s="1082">
        <v>1049428.6299999999</v>
      </c>
      <c r="N38" s="1082">
        <v>467397.0400000005</v>
      </c>
      <c r="O38" s="1082">
        <f t="shared" si="21"/>
        <v>0</v>
      </c>
      <c r="P38" s="1160">
        <f t="shared" si="9"/>
        <v>-4.6566128730773926E-10</v>
      </c>
      <c r="Q38" s="1164">
        <f>SUM('3 pr-2'!O40)</f>
        <v>113761.94</v>
      </c>
      <c r="R38" s="1159">
        <f>SUMIF('mokėjimų ataskaita'!$I:$I,C38,'mokėjimų ataskaita'!$AU:$AU)/2</f>
        <v>113761.94</v>
      </c>
      <c r="S38" s="1082">
        <v>32471.439999999999</v>
      </c>
      <c r="T38" s="1082">
        <f t="shared" ref="T38:T43" si="25">SUM(R38-S38)</f>
        <v>81290.5</v>
      </c>
      <c r="U38" s="1160">
        <f t="shared" ref="U38:U43" si="26">SUM(Q38-R38)</f>
        <v>0</v>
      </c>
      <c r="V38" s="1164">
        <f>SUM('3 pr-2'!R40)</f>
        <v>113761.92</v>
      </c>
      <c r="W38" s="1159">
        <f>SUMIF('mokėjimų ataskaita'!$I:$I,C38,'mokėjimų ataskaita'!$AL:$AL)/2</f>
        <v>140039.17000000001</v>
      </c>
      <c r="X38" s="1082">
        <v>107048.12</v>
      </c>
      <c r="Y38" s="1082">
        <f t="shared" ref="Y38:Y43" si="27">SUM(W38-X38)</f>
        <v>32991.050000000017</v>
      </c>
      <c r="Z38" s="1160">
        <f t="shared" ref="Z38:Z59" si="28">SUM(V38-W38)</f>
        <v>-26277.250000000015</v>
      </c>
      <c r="AA38" s="1164">
        <f>SUM('3 pr-2'!U40)</f>
        <v>0</v>
      </c>
      <c r="AB38" s="1080">
        <f>SUMIF('mokėjimų ataskaita'!$I:$I,'ketv. 7 '!C38,'mokėjimų ataskaita'!$AW:$AW)/2</f>
        <v>0</v>
      </c>
      <c r="AC38" s="1082"/>
      <c r="AD38" s="1082"/>
      <c r="AE38" s="1160">
        <f t="shared" ref="AE38:AE59" si="29">SUM(AA38-AB38)</f>
        <v>0</v>
      </c>
      <c r="AF38" s="1164">
        <f>SUM('3 pr-2'!X40)</f>
        <v>0</v>
      </c>
      <c r="AG38" s="1080">
        <f>SUMIF('mokėjimų ataskaita'!$I:$I,'ketv. 7 '!C38,'mokėjimų ataskaita'!$AT:$AT)/2+SUMIF('mokėjimų ataskaita'!$I:$I,'ketv. 7 '!C38,'mokėjimų ataskaita'!$AV:$AV)/2</f>
        <v>0</v>
      </c>
      <c r="AH38" s="1082"/>
      <c r="AI38" s="1082"/>
      <c r="AJ38" s="1160">
        <f t="shared" ref="AJ38:AJ59" si="30">SUM(AF38-AG38)</f>
        <v>0</v>
      </c>
      <c r="AK38" s="1164">
        <f>SUM('3 pr-2'!AA40)</f>
        <v>1289301.81</v>
      </c>
      <c r="AL38" s="1159">
        <f>SUMIF('mokėjimų ataskaita'!$I:$I,'ketv. 7 '!C38,'mokėjimų ataskaita'!$AK:$AK)/2</f>
        <v>1263024.5600000003</v>
      </c>
      <c r="AM38" s="1082">
        <v>909909.07</v>
      </c>
      <c r="AN38" s="1082">
        <f t="shared" ref="AN38:AN43" si="31">SUM(AL38-AM38)</f>
        <v>353115.49000000034</v>
      </c>
      <c r="AO38" s="1167">
        <f>IF(AK38&gt;0,AK38-AL38,0)</f>
        <v>26277.249999999767</v>
      </c>
      <c r="AP38" s="1080">
        <f>SUM('3 pr-2'!AB40)</f>
        <v>0</v>
      </c>
      <c r="AQ38" s="1159">
        <v>0</v>
      </c>
    </row>
    <row r="39" spans="1:45" ht="48.75">
      <c r="A39" s="375" t="str">
        <f>CONCATENATE('3 pr-2'!A41)</f>
        <v>1.1.1.3.2</v>
      </c>
      <c r="B39" s="578" t="str">
        <f>CONCATENATE('3 pr-2'!B41)</f>
        <v>R01-9905-282900-1132</v>
      </c>
      <c r="C39" s="577" t="str">
        <f>CONCATENATE('ketv. 6 '!C40)</f>
        <v>07.1.1-CPVA-R-905-11-0002</v>
      </c>
      <c r="D39" s="164" t="str">
        <f>CONCATENATE('3 pr-2'!D41)</f>
        <v>Varėnos miesto centrinės dalies modernizavimas ir pritaikymas visuomenės poreikiams (II etapas)</v>
      </c>
      <c r="E39" s="164" t="str">
        <f>CONCATENATE('3 pr-2'!E41)</f>
        <v>Varėnos rajono savivaldybės administracija</v>
      </c>
      <c r="F39" s="164" t="str">
        <f>CONCATENATE('3 pr-2'!F41)</f>
        <v>Lietuvos Respublikos vidaus reikalų ministerija</v>
      </c>
      <c r="G39" s="164" t="str">
        <f>CONCATENATE('3 pr-2'!G41)</f>
        <v>Varėnos r. sav.</v>
      </c>
      <c r="H39" s="164" t="str">
        <f>CONCATENATE('3 pr-2'!H41)</f>
        <v xml:space="preserve">07.1.1-CPVA-R-905 </v>
      </c>
      <c r="I39" s="198" t="str">
        <f>CONCATENATE('3 pr-2'!I41)</f>
        <v>R</v>
      </c>
      <c r="J39" s="198" t="str">
        <f>CONCATENATE('3 pr-2'!J41)</f>
        <v>ITI</v>
      </c>
      <c r="K39" s="1164">
        <f>SUM('3 pr-2'!L41)</f>
        <v>815103</v>
      </c>
      <c r="L39" s="1159">
        <f t="shared" si="24"/>
        <v>792631.89</v>
      </c>
      <c r="M39" s="1082">
        <v>136852.22999999998</v>
      </c>
      <c r="N39" s="1082">
        <v>652267.8600000001</v>
      </c>
      <c r="O39" s="1082">
        <f t="shared" si="21"/>
        <v>3511.7999999999302</v>
      </c>
      <c r="P39" s="1160">
        <f t="shared" si="9"/>
        <v>22471.109999999986</v>
      </c>
      <c r="Q39" s="1164">
        <f>SUM('3 pr-2'!O41)</f>
        <v>69259</v>
      </c>
      <c r="R39" s="1159">
        <f>SUMIF('mokėjimų ataskaita'!$I:$I,C39,'mokėjimų ataskaita'!$AU:$AU)/2</f>
        <v>46787.77</v>
      </c>
      <c r="S39" s="1082">
        <v>6513.91</v>
      </c>
      <c r="T39" s="1082">
        <f t="shared" si="25"/>
        <v>40273.86</v>
      </c>
      <c r="U39" s="1080">
        <f t="shared" si="26"/>
        <v>22471.230000000003</v>
      </c>
      <c r="V39" s="1164">
        <f>SUM('3 pr-2'!R41)</f>
        <v>60474</v>
      </c>
      <c r="W39" s="1159">
        <f>SUMIF('mokėjimų ataskaita'!$I:$I,C39,'mokėjimų ataskaita'!$AL:$AL)/2</f>
        <v>60473.84</v>
      </c>
      <c r="X39" s="1082">
        <v>10567.98</v>
      </c>
      <c r="Y39" s="1082">
        <f t="shared" si="27"/>
        <v>49905.86</v>
      </c>
      <c r="Z39" s="1080">
        <f t="shared" si="28"/>
        <v>0.16000000000349246</v>
      </c>
      <c r="AA39" s="1164">
        <f>SUM('3 pr-2'!U41)</f>
        <v>0</v>
      </c>
      <c r="AB39" s="1080">
        <f>SUMIF('mokėjimų ataskaita'!$I:$I,'ketv. 7 '!C39,'mokėjimų ataskaita'!$AW:$AW)/2</f>
        <v>0</v>
      </c>
      <c r="AC39" s="1082"/>
      <c r="AD39" s="1082"/>
      <c r="AE39" s="1080">
        <f t="shared" si="29"/>
        <v>0</v>
      </c>
      <c r="AF39" s="1164">
        <f>SUM('3 pr-2'!X41)</f>
        <v>0</v>
      </c>
      <c r="AG39" s="1080">
        <f>SUMIF('mokėjimų ataskaita'!$I:$I,'ketv. 7 '!C39,'mokėjimų ataskaita'!$AT:$AT)/2+SUMIF('mokėjimų ataskaita'!$I:$I,'ketv. 7 '!C39,'mokėjimų ataskaita'!$AV:$AV)/2</f>
        <v>0</v>
      </c>
      <c r="AH39" s="1082"/>
      <c r="AI39" s="1082"/>
      <c r="AJ39" s="1080">
        <f t="shared" si="30"/>
        <v>0</v>
      </c>
      <c r="AK39" s="1164">
        <f>SUM('3 pr-2'!AA41)</f>
        <v>685370</v>
      </c>
      <c r="AL39" s="1159">
        <f>SUMIF('mokėjimų ataskaita'!$I:$I,'ketv. 7 '!C39,'mokėjimų ataskaita'!$AK:$AK)/2</f>
        <v>685370.28</v>
      </c>
      <c r="AM39" s="1082">
        <v>119770.34</v>
      </c>
      <c r="AN39" s="1082">
        <f t="shared" si="31"/>
        <v>565599.94000000006</v>
      </c>
      <c r="AO39" s="1167">
        <f>IF(AK39&gt;0,AK39-AL39,0)</f>
        <v>-0.28000000002793968</v>
      </c>
      <c r="AP39" s="1080">
        <f>SUM('3 pr-2'!AB41)</f>
        <v>0</v>
      </c>
      <c r="AQ39" s="1159">
        <v>0</v>
      </c>
    </row>
    <row r="40" spans="1:45" ht="48.75">
      <c r="A40" s="375" t="str">
        <f>CONCATENATE('3 pr-2'!A42)</f>
        <v>1.1.1.3.3</v>
      </c>
      <c r="B40" s="578" t="str">
        <f>CONCATENATE('3 pr-2'!B42)</f>
        <v>R01-9905-292800-1133</v>
      </c>
      <c r="C40" s="577" t="str">
        <f>CONCATENATE('ketv. 6 '!C41)</f>
        <v>07.1.1-CPVA-R-905-11-0004</v>
      </c>
      <c r="D40" s="164" t="str">
        <f>CONCATENATE('3 pr-2'!D42)</f>
        <v>Varėnos miesto Dainų slėnio infrastruktūros atnaujinimas ir pritaikymas visuomenės poreikiams</v>
      </c>
      <c r="E40" s="164" t="str">
        <f>CONCATENATE('3 pr-2'!E42)</f>
        <v>Varėnos rajono savivaldybės administracija</v>
      </c>
      <c r="F40" s="164" t="str">
        <f>CONCATENATE('3 pr-2'!F42)</f>
        <v>Lietuvos Respublikos vidaus reikalų ministerija</v>
      </c>
      <c r="G40" s="164" t="str">
        <f>CONCATENATE('3 pr-2'!G42)</f>
        <v>Varėnos r. sav.</v>
      </c>
      <c r="H40" s="164" t="str">
        <f>CONCATENATE('3 pr-2'!H42)</f>
        <v xml:space="preserve">07.1.1-CPVA-R-905 </v>
      </c>
      <c r="I40" s="198" t="str">
        <f>CONCATENATE('3 pr-2'!I42)</f>
        <v>R</v>
      </c>
      <c r="J40" s="198" t="str">
        <f>CONCATENATE('3 pr-2'!J42)</f>
        <v>ITI</v>
      </c>
      <c r="K40" s="1164">
        <f>SUM('3 pr-2'!L42)</f>
        <v>514646.41000000003</v>
      </c>
      <c r="L40" s="1080">
        <f t="shared" si="24"/>
        <v>17867.11</v>
      </c>
      <c r="M40" s="1082">
        <v>0</v>
      </c>
      <c r="N40" s="1082">
        <v>17867.11</v>
      </c>
      <c r="O40" s="1082">
        <f t="shared" si="21"/>
        <v>0</v>
      </c>
      <c r="P40" s="1160">
        <f t="shared" ref="P40:P42" si="32">SUM(K40-L40)</f>
        <v>496779.30000000005</v>
      </c>
      <c r="Q40" s="1164">
        <f>SUM('3 pr-2'!O42)</f>
        <v>38598.49</v>
      </c>
      <c r="R40" s="1080">
        <f>SUMIF('mokėjimų ataskaita'!$I:$I,C40,'mokėjimų ataskaita'!$AU:$AU)/2</f>
        <v>2164.33</v>
      </c>
      <c r="S40" s="1082">
        <v>0</v>
      </c>
      <c r="T40" s="1082">
        <f t="shared" si="25"/>
        <v>2164.33</v>
      </c>
      <c r="U40" s="1160">
        <f t="shared" si="26"/>
        <v>36434.159999999996</v>
      </c>
      <c r="V40" s="1164">
        <f>SUM('3 pr-2'!R42)</f>
        <v>38598.480000000003</v>
      </c>
      <c r="W40" s="1080">
        <f>SUMIF('mokėjimų ataskaita'!$I:$I,C40,'mokėjimų ataskaita'!$AL:$AL)/2</f>
        <v>1273.19</v>
      </c>
      <c r="X40" s="1082">
        <v>0</v>
      </c>
      <c r="Y40" s="1082">
        <f t="shared" si="27"/>
        <v>1273.19</v>
      </c>
      <c r="Z40" s="1160">
        <f t="shared" si="28"/>
        <v>37325.29</v>
      </c>
      <c r="AA40" s="1164">
        <f>SUM('3 pr-2'!U42)</f>
        <v>0</v>
      </c>
      <c r="AB40" s="1080">
        <f>SUMIF('mokėjimų ataskaita'!$I:$I,'ketv. 7 '!C40,'mokėjimų ataskaita'!$AW:$AW)/2</f>
        <v>0</v>
      </c>
      <c r="AC40" s="1082"/>
      <c r="AD40" s="1082"/>
      <c r="AE40" s="1160">
        <f t="shared" si="29"/>
        <v>0</v>
      </c>
      <c r="AF40" s="1164">
        <f>SUM('3 pr-2'!X42)</f>
        <v>0</v>
      </c>
      <c r="AG40" s="1080">
        <f>SUMIF('mokėjimų ataskaita'!$I:$I,'ketv. 7 '!C40,'mokėjimų ataskaita'!$AT:$AT)/2+SUMIF('mokėjimų ataskaita'!$I:$I,'ketv. 7 '!C40,'mokėjimų ataskaita'!$AV:$AV)/2</f>
        <v>0</v>
      </c>
      <c r="AH40" s="1082"/>
      <c r="AI40" s="1082"/>
      <c r="AJ40" s="1160">
        <f t="shared" si="30"/>
        <v>0</v>
      </c>
      <c r="AK40" s="1164">
        <f>SUM('3 pr-2'!AA42)</f>
        <v>437449.44</v>
      </c>
      <c r="AL40" s="1080">
        <f>SUMIF('mokėjimų ataskaita'!$I:$I,'ketv. 7 '!C40,'mokėjimų ataskaita'!$AK:$AK)/2</f>
        <v>14429.59</v>
      </c>
      <c r="AM40" s="1082">
        <v>0</v>
      </c>
      <c r="AN40" s="1082">
        <f t="shared" si="31"/>
        <v>14429.59</v>
      </c>
      <c r="AO40" s="1167">
        <f>IF(AK40&gt;0,AK40-AL40,0)</f>
        <v>423019.85</v>
      </c>
      <c r="AP40" s="1080">
        <f>SUM('3 pr-2'!AB42)</f>
        <v>0</v>
      </c>
      <c r="AQ40" s="1159">
        <v>0</v>
      </c>
    </row>
    <row r="41" spans="1:45" ht="36.75">
      <c r="A41" s="375" t="str">
        <f>CONCATENATE('3 pr-2'!A43)</f>
        <v>1.1.1.3.4</v>
      </c>
      <c r="B41" s="578" t="str">
        <f>CONCATENATE('3 pr-2'!B43)</f>
        <v>R01-9905-280000-1134</v>
      </c>
      <c r="C41" s="577" t="str">
        <f>CONCATENATE('ketv. 6 '!C42)</f>
        <v>07.1.1-CPVA-R-905-11-0003</v>
      </c>
      <c r="D41" s="164" t="str">
        <f>CONCATENATE('3 pr-2'!D43)</f>
        <v>Karloniškės ežero ir jo prieigų sutvarkymas ir pritaikymas aktyviam poilsiui</v>
      </c>
      <c r="E41" s="164" t="str">
        <f>CONCATENATE('3 pr-2'!E43)</f>
        <v>Varėnos rajono savivaldybės administracija</v>
      </c>
      <c r="F41" s="164" t="str">
        <f>CONCATENATE('3 pr-2'!F43)</f>
        <v>Lietuvos Respublikos vidaus reikalų ministerija</v>
      </c>
      <c r="G41" s="164" t="str">
        <f>CONCATENATE('3 pr-2'!G43)</f>
        <v>Varėnos r. sav.</v>
      </c>
      <c r="H41" s="164" t="str">
        <f>CONCATENATE('3 pr-2'!H43)</f>
        <v xml:space="preserve">07.1.1-CPVA-R-905 </v>
      </c>
      <c r="I41" s="198" t="str">
        <f>CONCATENATE('3 pr-2'!I43)</f>
        <v>R</v>
      </c>
      <c r="J41" s="198" t="str">
        <f>CONCATENATE('3 pr-2'!J43)</f>
        <v>ITI</v>
      </c>
      <c r="K41" s="1164">
        <f>SUM('3 pr-2'!L43)</f>
        <v>877516.65</v>
      </c>
      <c r="L41" s="1159">
        <f t="shared" si="24"/>
        <v>185989.44999999998</v>
      </c>
      <c r="M41" s="1082">
        <v>0</v>
      </c>
      <c r="N41" s="1082">
        <v>24195.850000000002</v>
      </c>
      <c r="O41" s="1082">
        <f t="shared" si="21"/>
        <v>161793.59999999998</v>
      </c>
      <c r="P41" s="1160">
        <f t="shared" si="32"/>
        <v>691527.20000000007</v>
      </c>
      <c r="Q41" s="1164">
        <f>SUM('3 pr-2'!O43)</f>
        <v>65813.75</v>
      </c>
      <c r="R41" s="1159">
        <f>SUMIF('mokėjimų ataskaita'!$I:$I,C41,'mokėjimų ataskaita'!$AU:$AU)/2</f>
        <v>6808.9299999999994</v>
      </c>
      <c r="S41" s="1082">
        <v>0</v>
      </c>
      <c r="T41" s="1082">
        <f t="shared" si="25"/>
        <v>6808.9299999999994</v>
      </c>
      <c r="U41" s="1160">
        <f t="shared" si="26"/>
        <v>59004.82</v>
      </c>
      <c r="V41" s="1164">
        <f>SUM('3 pr-2'!R43)</f>
        <v>65813.75</v>
      </c>
      <c r="W41" s="1159">
        <f>SUMIF('mokėjimų ataskaita'!$I:$I,C41,'mokėjimų ataskaita'!$AL:$AL)/2</f>
        <v>14528.15</v>
      </c>
      <c r="X41" s="1082">
        <v>0</v>
      </c>
      <c r="Y41" s="1082">
        <f t="shared" si="27"/>
        <v>14528.15</v>
      </c>
      <c r="Z41" s="1160">
        <f t="shared" si="28"/>
        <v>51285.599999999999</v>
      </c>
      <c r="AA41" s="1164">
        <f>SUM('3 pr-2'!U43)</f>
        <v>0</v>
      </c>
      <c r="AB41" s="1080">
        <f>SUMIF('mokėjimų ataskaita'!$I:$I,'ketv. 7 '!C41,'mokėjimų ataskaita'!$AW:$AW)/2</f>
        <v>0</v>
      </c>
      <c r="AC41" s="1082"/>
      <c r="AD41" s="1082"/>
      <c r="AE41" s="1160">
        <f t="shared" si="29"/>
        <v>0</v>
      </c>
      <c r="AF41" s="1164">
        <f>SUM('3 pr-2'!X43)</f>
        <v>0</v>
      </c>
      <c r="AG41" s="1080">
        <f>SUMIF('mokėjimų ataskaita'!$I:$I,'ketv. 7 '!C41,'mokėjimų ataskaita'!$AT:$AT)/2+SUMIF('mokėjimų ataskaita'!$I:$I,'ketv. 7 '!C41,'mokėjimų ataskaita'!$AV:$AV)/2</f>
        <v>0</v>
      </c>
      <c r="AH41" s="1082"/>
      <c r="AI41" s="1082"/>
      <c r="AJ41" s="1160">
        <f t="shared" si="30"/>
        <v>0</v>
      </c>
      <c r="AK41" s="1164">
        <f>SUM('3 pr-2'!AA43)</f>
        <v>745889.15</v>
      </c>
      <c r="AL41" s="1159">
        <f>SUMIF('mokėjimų ataskaita'!$I:$I,'ketv. 7 '!C41,'mokėjimų ataskaita'!$AK:$AK)/2</f>
        <v>164652.37</v>
      </c>
      <c r="AM41" s="1082">
        <v>0</v>
      </c>
      <c r="AN41" s="1082">
        <f t="shared" si="31"/>
        <v>164652.37</v>
      </c>
      <c r="AO41" s="1167">
        <f>IF(AK41&gt;0,AK41-AL41,0)</f>
        <v>581236.78</v>
      </c>
      <c r="AP41" s="1080">
        <f>SUM('3 pr-2'!AB43)</f>
        <v>0</v>
      </c>
      <c r="AQ41" s="1159">
        <v>0</v>
      </c>
    </row>
    <row r="42" spans="1:45" ht="36.75">
      <c r="A42" s="375" t="str">
        <f>CONCATENATE('3 pr-2'!A44)</f>
        <v>1.1.1.3.5</v>
      </c>
      <c r="B42" s="578" t="str">
        <f>CONCATENATE('3 pr-2'!B44)</f>
        <v>R01-9905-362900-1135</v>
      </c>
      <c r="C42" s="577" t="str">
        <f>CONCATENATE('ketv. 6 '!C43)</f>
        <v>07.1.1-CPVA-R-905-11-0005</v>
      </c>
      <c r="D42" s="164" t="str">
        <f>CONCATENATE('3 pr-2'!D44)</f>
        <v>Nenaudojamų teritorijų Varėnos mieste sutvarkymas ir pritaikymas verslui</v>
      </c>
      <c r="E42" s="164" t="str">
        <f>CONCATENATE('3 pr-2'!E44)</f>
        <v>Varėnos rajono savivaldybės administracija</v>
      </c>
      <c r="F42" s="164" t="str">
        <f>CONCATENATE('3 pr-2'!F44)</f>
        <v>Lietuvos Respublikos vidaus reikalų ministerija</v>
      </c>
      <c r="G42" s="164" t="str">
        <f>CONCATENATE('3 pr-2'!G44)</f>
        <v>Varėnos r. sav.</v>
      </c>
      <c r="H42" s="164" t="str">
        <f>CONCATENATE('3 pr-2'!H44)</f>
        <v xml:space="preserve">07.1.1-CPVA-R-905 </v>
      </c>
      <c r="I42" s="198" t="str">
        <f>CONCATENATE('3 pr-2'!I44)</f>
        <v>R</v>
      </c>
      <c r="J42" s="198" t="str">
        <f>CONCATENATE('3 pr-2'!J44)</f>
        <v>ITI</v>
      </c>
      <c r="K42" s="1164">
        <f>SUM('3 pr-2'!L44)</f>
        <v>150000</v>
      </c>
      <c r="L42" s="1080">
        <f t="shared" si="24"/>
        <v>3565.97</v>
      </c>
      <c r="M42" s="1082">
        <v>0</v>
      </c>
      <c r="N42" s="1082">
        <v>0</v>
      </c>
      <c r="O42" s="1082">
        <f t="shared" si="21"/>
        <v>3565.97</v>
      </c>
      <c r="P42" s="1160">
        <f t="shared" si="32"/>
        <v>146434.03</v>
      </c>
      <c r="Q42" s="1164">
        <f>SUM('3 pr-2'!O44)</f>
        <v>11250</v>
      </c>
      <c r="R42" s="1080">
        <f>SUMIF('mokėjimų ataskaita'!$I:$I,C42,'mokėjimų ataskaita'!$AU:$AU)/2</f>
        <v>715.96</v>
      </c>
      <c r="S42" s="1082">
        <v>0</v>
      </c>
      <c r="T42" s="1082">
        <f t="shared" si="25"/>
        <v>715.96</v>
      </c>
      <c r="U42" s="1160">
        <f t="shared" si="26"/>
        <v>10534.04</v>
      </c>
      <c r="V42" s="1164">
        <f>SUM('3 pr-2'!R44)</f>
        <v>11250</v>
      </c>
      <c r="W42" s="1080">
        <f>SUMIF('mokėjimų ataskaita'!$I:$I,C42,'mokėjimų ataskaita'!$AL:$AL)/2</f>
        <v>231.08</v>
      </c>
      <c r="X42" s="1082">
        <v>0</v>
      </c>
      <c r="Y42" s="1082">
        <f t="shared" si="27"/>
        <v>231.08</v>
      </c>
      <c r="Z42" s="1160">
        <f t="shared" si="28"/>
        <v>11018.92</v>
      </c>
      <c r="AA42" s="1164">
        <f>SUM('3 pr-2'!U44)</f>
        <v>0</v>
      </c>
      <c r="AB42" s="1080">
        <f>SUMIF('mokėjimų ataskaita'!$I:$I,'ketv. 7 '!C42,'mokėjimų ataskaita'!$AW:$AW)/2</f>
        <v>0</v>
      </c>
      <c r="AC42" s="1082"/>
      <c r="AD42" s="1082"/>
      <c r="AE42" s="1160">
        <f t="shared" si="29"/>
        <v>0</v>
      </c>
      <c r="AF42" s="1164">
        <f>SUM('3 pr-2'!X44)</f>
        <v>0</v>
      </c>
      <c r="AG42" s="1080">
        <f>SUMIF('mokėjimų ataskaita'!$I:$I,'ketv. 7 '!C42,'mokėjimų ataskaita'!$AT:$AT)/2+SUMIF('mokėjimų ataskaita'!$I:$I,'ketv. 7 '!C42,'mokėjimų ataskaita'!$AV:$AV)/2</f>
        <v>0</v>
      </c>
      <c r="AH42" s="1082"/>
      <c r="AI42" s="1082"/>
      <c r="AJ42" s="1160">
        <f t="shared" si="30"/>
        <v>0</v>
      </c>
      <c r="AK42" s="1164">
        <f>SUM('3 pr-2'!AA44)</f>
        <v>127500</v>
      </c>
      <c r="AL42" s="1080">
        <f>SUMIF('mokėjimų ataskaita'!$I:$I,'ketv. 7 '!C42,'mokėjimų ataskaita'!$AK:$AK)/2</f>
        <v>2618.9299999999998</v>
      </c>
      <c r="AM42" s="1082">
        <v>0</v>
      </c>
      <c r="AN42" s="1082">
        <f t="shared" si="31"/>
        <v>2618.9299999999998</v>
      </c>
      <c r="AO42" s="1167">
        <f>IF(AK42&gt;0,AK42-AL42,0)</f>
        <v>124881.07</v>
      </c>
      <c r="AP42" s="1080">
        <f>SUM('3 pr-2'!AB44)</f>
        <v>0</v>
      </c>
      <c r="AQ42" s="1080">
        <v>0</v>
      </c>
    </row>
    <row r="43" spans="1:45" ht="61.5" thickBot="1">
      <c r="A43" s="375" t="str">
        <f>CONCATENATE('3 pr-2'!A45)</f>
        <v>1.1.1.3.6</v>
      </c>
      <c r="B43" s="578" t="str">
        <f>CONCATENATE('3 pr-2'!B45)</f>
        <v>R01-9905-290000-1136</v>
      </c>
      <c r="C43" s="577" t="str">
        <f>CONCATENATE('ketv. 6 '!C44)</f>
        <v>07.1.1-CPVA-R-905-11-0006</v>
      </c>
      <c r="D43" s="164" t="str">
        <f>CONCATENATE('3 pr-2'!D45)</f>
        <v>Teritorijų prie daugiabučių gyvenamųjų pastatų Varėnos mieste sutvarkymas ir pritaikymas visuomenės poreikiams</v>
      </c>
      <c r="E43" s="164" t="str">
        <f>CONCATENATE('3 pr-2'!E45)</f>
        <v>Varėnos rajono savivaldybės administracija</v>
      </c>
      <c r="F43" s="164" t="str">
        <f>CONCATENATE('3 pr-2'!F45)</f>
        <v>Lietuvos Respublikos vidaus reikalų ministerija</v>
      </c>
      <c r="G43" s="164" t="str">
        <f>CONCATENATE('3 pr-2'!G45)</f>
        <v>Varėnos r. sav.</v>
      </c>
      <c r="H43" s="164" t="str">
        <f>CONCATENATE('3 pr-2'!H45)</f>
        <v xml:space="preserve">07.1.1-CPVA-R-905 </v>
      </c>
      <c r="I43" s="198" t="str">
        <f>CONCATENATE('3 pr-2'!I45)</f>
        <v>R</v>
      </c>
      <c r="J43" s="198" t="str">
        <f>CONCATENATE('3 pr-2'!J45)</f>
        <v>ITI</v>
      </c>
      <c r="K43" s="1164">
        <f>SUM('3 pr-2'!L45)</f>
        <v>485640.4</v>
      </c>
      <c r="L43" s="1080">
        <f t="shared" si="24"/>
        <v>0</v>
      </c>
      <c r="M43" s="1082">
        <v>0</v>
      </c>
      <c r="N43" s="1082">
        <v>0</v>
      </c>
      <c r="O43" s="1082">
        <f t="shared" si="21"/>
        <v>0</v>
      </c>
      <c r="P43" s="1160">
        <f t="shared" ref="P43" si="33">SUM(K43-L43)</f>
        <v>485640.4</v>
      </c>
      <c r="Q43" s="1164">
        <f>SUM('3 pr-2'!O45)</f>
        <v>37517.18</v>
      </c>
      <c r="R43" s="1080">
        <f>SUMIF('mokėjimų ataskaita'!$I:$I,C43,'mokėjimų ataskaita'!$AU:$AU)/2</f>
        <v>0</v>
      </c>
      <c r="S43" s="1082">
        <v>0</v>
      </c>
      <c r="T43" s="1082">
        <f t="shared" si="25"/>
        <v>0</v>
      </c>
      <c r="U43" s="1160">
        <f t="shared" si="26"/>
        <v>37517.18</v>
      </c>
      <c r="V43" s="1164">
        <f>SUM('3 pr-2'!R45)</f>
        <v>36334.160000000003</v>
      </c>
      <c r="W43" s="1080">
        <f>SUMIF('mokėjimų ataskaita'!$I:$I,C43,'mokėjimų ataskaita'!$AL:$AL)/2</f>
        <v>0</v>
      </c>
      <c r="X43" s="1082">
        <v>0</v>
      </c>
      <c r="Y43" s="1082">
        <f t="shared" si="27"/>
        <v>0</v>
      </c>
      <c r="Z43" s="1160">
        <f t="shared" ref="Z43" si="34">SUM(V43-W43)</f>
        <v>36334.160000000003</v>
      </c>
      <c r="AA43" s="1164">
        <f>SUM('3 pr-2'!U45)</f>
        <v>0</v>
      </c>
      <c r="AB43" s="1080">
        <f>SUMIF('mokėjimų ataskaita'!$I:$I,'ketv. 7 '!C43,'mokėjimų ataskaita'!$AW:$AW)/2</f>
        <v>0</v>
      </c>
      <c r="AC43" s="1082"/>
      <c r="AD43" s="1082"/>
      <c r="AE43" s="1160">
        <f t="shared" ref="AE43" si="35">SUM(AA43-AB43)</f>
        <v>0</v>
      </c>
      <c r="AF43" s="1164">
        <f>SUM('3 pr-2'!X45)</f>
        <v>0</v>
      </c>
      <c r="AG43" s="1080">
        <f>SUMIF('mokėjimų ataskaita'!$I:$I,'ketv. 7 '!C43,'mokėjimų ataskaita'!$AT:$AT)/2+SUMIF('mokėjimų ataskaita'!$I:$I,'ketv. 7 '!C43,'mokėjimų ataskaita'!$AV:$AV)/2</f>
        <v>0</v>
      </c>
      <c r="AH43" s="1082"/>
      <c r="AI43" s="1082"/>
      <c r="AJ43" s="1160">
        <f t="shared" ref="AJ43" si="36">SUM(AF43-AG43)</f>
        <v>0</v>
      </c>
      <c r="AK43" s="1164">
        <f>SUM('3 pr-2'!AA45)</f>
        <v>411789.06</v>
      </c>
      <c r="AL43" s="1080">
        <f>SUMIF('mokėjimų ataskaita'!$I:$I,'ketv. 7 '!C43,'mokėjimų ataskaita'!$AK:$AK)/2</f>
        <v>0</v>
      </c>
      <c r="AM43" s="1082">
        <v>0</v>
      </c>
      <c r="AN43" s="1082">
        <f t="shared" si="31"/>
        <v>0</v>
      </c>
      <c r="AO43" s="1194"/>
      <c r="AP43" s="1080">
        <f>SUM('3 pr-2'!AB45)</f>
        <v>0</v>
      </c>
      <c r="AQ43" s="1080">
        <v>0</v>
      </c>
    </row>
    <row r="44" spans="1:45" ht="36.75" customHeight="1" thickBot="1">
      <c r="A44" s="296" t="str">
        <f>CONCATENATE('3 pr-2'!A46)</f>
        <v>1.1.1.4</v>
      </c>
      <c r="B44" s="2088" t="str">
        <f>CONCATENATE('3 pr-2'!B46)</f>
        <v xml:space="preserve">Priemonė:
Alytaus, Druskininkų ir Lazdijų miestų kompleksinė plėtra
</v>
      </c>
      <c r="C44" s="2089"/>
      <c r="D44" s="2089"/>
      <c r="E44" s="2089"/>
      <c r="F44" s="2089"/>
      <c r="G44" s="2089"/>
      <c r="H44" s="2089"/>
      <c r="I44" s="2089"/>
      <c r="J44" s="2090"/>
      <c r="K44" s="1077">
        <f t="shared" ref="K44:AK44" si="37">SUM(K45:K47)</f>
        <v>2431517.75</v>
      </c>
      <c r="L44" s="1077">
        <f t="shared" si="37"/>
        <v>1922393.7400000002</v>
      </c>
      <c r="M44" s="1077">
        <f t="shared" si="37"/>
        <v>1263963.0799999998</v>
      </c>
      <c r="N44" s="1077">
        <f t="shared" si="37"/>
        <v>639426.4300000004</v>
      </c>
      <c r="O44" s="1077">
        <f t="shared" si="37"/>
        <v>19004.229999999981</v>
      </c>
      <c r="P44" s="1077">
        <f t="shared" si="37"/>
        <v>509124.01000000007</v>
      </c>
      <c r="Q44" s="1077">
        <f t="shared" si="37"/>
        <v>615648.60000000009</v>
      </c>
      <c r="R44" s="1077">
        <f t="shared" si="37"/>
        <v>231911.69</v>
      </c>
      <c r="S44" s="1077">
        <f t="shared" si="37"/>
        <v>68638.62000000001</v>
      </c>
      <c r="T44" s="1077">
        <f t="shared" si="37"/>
        <v>163273.07</v>
      </c>
      <c r="U44" s="1077">
        <f t="shared" si="37"/>
        <v>383736.91</v>
      </c>
      <c r="V44" s="1077">
        <f t="shared" si="37"/>
        <v>147232.63000000003</v>
      </c>
      <c r="W44" s="1077">
        <f t="shared" si="37"/>
        <v>137065.97000000003</v>
      </c>
      <c r="X44" s="1077">
        <f t="shared" si="37"/>
        <v>96918.01</v>
      </c>
      <c r="Y44" s="1077">
        <f t="shared" si="37"/>
        <v>40147.960000000028</v>
      </c>
      <c r="Z44" s="1077">
        <f t="shared" si="37"/>
        <v>10166.660000000003</v>
      </c>
      <c r="AA44" s="1077">
        <f t="shared" si="37"/>
        <v>0</v>
      </c>
      <c r="AB44" s="1077">
        <f t="shared" si="37"/>
        <v>0</v>
      </c>
      <c r="AC44" s="1077">
        <f t="shared" si="37"/>
        <v>0</v>
      </c>
      <c r="AD44" s="1077">
        <f t="shared" si="37"/>
        <v>0</v>
      </c>
      <c r="AE44" s="1077">
        <f t="shared" si="37"/>
        <v>0</v>
      </c>
      <c r="AF44" s="1077">
        <f t="shared" si="37"/>
        <v>0</v>
      </c>
      <c r="AG44" s="1077">
        <f t="shared" si="37"/>
        <v>0</v>
      </c>
      <c r="AH44" s="1077">
        <f t="shared" si="37"/>
        <v>0</v>
      </c>
      <c r="AI44" s="1077">
        <f t="shared" si="37"/>
        <v>0</v>
      </c>
      <c r="AJ44" s="1077">
        <f t="shared" si="37"/>
        <v>0</v>
      </c>
      <c r="AK44" s="1077">
        <f t="shared" si="37"/>
        <v>1668636.52</v>
      </c>
      <c r="AL44" s="1077">
        <f>SUM(AL45:AL47)</f>
        <v>1553416.08</v>
      </c>
      <c r="AM44" s="1077">
        <f t="shared" ref="AM44:AQ44" si="38">SUM(AM45:AM47)</f>
        <v>1098406.45</v>
      </c>
      <c r="AN44" s="1077">
        <f t="shared" si="38"/>
        <v>455009.63000000024</v>
      </c>
      <c r="AO44" s="1077">
        <f t="shared" si="38"/>
        <v>115220.44000000003</v>
      </c>
      <c r="AP44" s="1077">
        <f t="shared" si="38"/>
        <v>0</v>
      </c>
      <c r="AQ44" s="1077">
        <f t="shared" si="38"/>
        <v>0</v>
      </c>
      <c r="AR44" s="233">
        <f>SUM(K44-'3 pr-2'!L46)</f>
        <v>0</v>
      </c>
    </row>
    <row r="45" spans="1:45" ht="48.75">
      <c r="A45" s="375" t="str">
        <f>CONCATENATE('3 pr-2'!A47)</f>
        <v>1.1.1.4.1</v>
      </c>
      <c r="B45" s="578" t="str">
        <f>CONCATENATE('3 pr-2'!B47)</f>
        <v>R01-9902-310000-1141</v>
      </c>
      <c r="C45" s="577" t="str">
        <f>CONCATENATE('ketv. 6 '!C46)</f>
        <v>07.1.1-CPVA-V-902-01-0008</v>
      </c>
      <c r="D45" s="164" t="str">
        <f>CONCATENATE('3 pr-2'!D47)</f>
        <v>Buvusios pramoninės teritorijos Pramonės g. 1 Alytuje, pritaikymas verslo vystymui ir plėtrai.</v>
      </c>
      <c r="E45" s="164" t="str">
        <f>CONCATENATE('3 pr-2'!E47)</f>
        <v>Alytaus miesto savivaldybės administracija</v>
      </c>
      <c r="F45" s="164" t="str">
        <f>CONCATENATE('3 pr-2'!F47)</f>
        <v>Lietuvos Respublikos vidaus reikalų ministerija</v>
      </c>
      <c r="G45" s="164" t="str">
        <f>CONCATENATE('3 pr-2'!G47)</f>
        <v>Alytaus m. sav.</v>
      </c>
      <c r="H45" s="164" t="str">
        <f>CONCATENATE('3 pr-2'!H47)</f>
        <v>07.1.1-CPVA-V-902</v>
      </c>
      <c r="I45" s="198" t="str">
        <f>CONCATENATE('3 pr-2'!I47)</f>
        <v>V</v>
      </c>
      <c r="J45" s="198" t="str">
        <f>CONCATENATE('3 pr-2'!J47)</f>
        <v>ITI</v>
      </c>
      <c r="K45" s="1164">
        <f>SUM('3 pr-2'!L47)</f>
        <v>1286060.7500000002</v>
      </c>
      <c r="L45" s="1159">
        <f>SUM(R45+W45+AB45+AG45+AL45)</f>
        <v>1286060.7500000002</v>
      </c>
      <c r="M45" s="1082">
        <v>1252365.0099999998</v>
      </c>
      <c r="N45" s="1082">
        <v>33695.740000000456</v>
      </c>
      <c r="O45" s="1082">
        <f t="shared" si="21"/>
        <v>0</v>
      </c>
      <c r="P45" s="1160">
        <f t="shared" si="9"/>
        <v>0</v>
      </c>
      <c r="Q45" s="1164">
        <f>SUM('3 pr-2'!O47)</f>
        <v>96454.570000000022</v>
      </c>
      <c r="R45" s="1159">
        <f>SUMIF('mokėjimų ataskaita'!$I:$I,C45,'mokėjimų ataskaita'!$AU:$AU)/2</f>
        <v>96454.570000000022</v>
      </c>
      <c r="S45" s="1082">
        <v>67751.570000000007</v>
      </c>
      <c r="T45" s="1082">
        <f t="shared" ref="T45:T47" si="39">SUM(R45-S45)</f>
        <v>28703.000000000015</v>
      </c>
      <c r="U45" s="1160">
        <f>SUM(Q45-R45)</f>
        <v>0</v>
      </c>
      <c r="V45" s="1164">
        <f>SUM('3 pr-2'!R47)</f>
        <v>96454.550000000032</v>
      </c>
      <c r="W45" s="1159">
        <f>SUMIF('mokėjimų ataskaita'!$I:$I,C45,'mokėjimų ataskaita'!$AL:$AL)/2</f>
        <v>96454.550000000032</v>
      </c>
      <c r="X45" s="1082">
        <v>96049.55</v>
      </c>
      <c r="Y45" s="1082">
        <f t="shared" ref="Y45:Y47" si="40">SUM(W45-X45)</f>
        <v>405.0000000000291</v>
      </c>
      <c r="Z45" s="1160">
        <f t="shared" si="28"/>
        <v>0</v>
      </c>
      <c r="AA45" s="1164">
        <f>SUM('3 pr-2'!U47)</f>
        <v>0</v>
      </c>
      <c r="AB45" s="1080">
        <f>SUMIF('mokėjimų ataskaita'!$I:$I,'ketv. 7 '!C45,'mokėjimų ataskaita'!$AW:$AW)/2</f>
        <v>0</v>
      </c>
      <c r="AC45" s="1082"/>
      <c r="AD45" s="1082"/>
      <c r="AE45" s="1080">
        <f t="shared" si="29"/>
        <v>0</v>
      </c>
      <c r="AF45" s="1164">
        <f>SUM('3 pr-2'!X47)</f>
        <v>0</v>
      </c>
      <c r="AG45" s="1080">
        <f>SUMIF('mokėjimų ataskaita'!$I:$I,'ketv. 7 '!C45,'mokėjimų ataskaita'!$AT:$AT)/2+SUMIF('mokėjimų ataskaita'!$I:$I,'ketv. 7 '!C45,'mokėjimų ataskaita'!$AV:$AV)/2</f>
        <v>0</v>
      </c>
      <c r="AH45" s="1082"/>
      <c r="AI45" s="1082"/>
      <c r="AJ45" s="1080">
        <f t="shared" si="30"/>
        <v>0</v>
      </c>
      <c r="AK45" s="1164">
        <f>SUM('3 pr-2'!AA47)</f>
        <v>1093151.6300000001</v>
      </c>
      <c r="AL45" s="1159">
        <f>SUMIF('mokėjimų ataskaita'!$I:$I,'ketv. 7 '!C45,'mokėjimų ataskaita'!$AK:$AK)/2</f>
        <v>1093151.6300000001</v>
      </c>
      <c r="AM45" s="1082">
        <v>1088563.8899999999</v>
      </c>
      <c r="AN45" s="1082">
        <f>SUM(AL45-AM45)</f>
        <v>4587.7400000002235</v>
      </c>
      <c r="AO45" s="1167">
        <f>IF(AK45&gt;0,AK45-AL45,0)</f>
        <v>0</v>
      </c>
      <c r="AP45" s="1080">
        <f>SUM('3 pr-2'!AB47)</f>
        <v>0</v>
      </c>
      <c r="AQ45" s="1159">
        <v>0</v>
      </c>
    </row>
    <row r="46" spans="1:45" ht="36.75">
      <c r="A46" s="375" t="str">
        <f>CONCATENATE('3 pr-2'!A48)</f>
        <v>1.1.1.4.2</v>
      </c>
      <c r="B46" s="578" t="str">
        <f>CONCATENATE('3 pr-2'!B48)</f>
        <v>R01-9903-290000-1142</v>
      </c>
      <c r="C46" s="577" t="str">
        <f>CONCATENATE('ketv. 6 '!C47)</f>
        <v>07.1.1-CPVA-R-903-11-0001</v>
      </c>
      <c r="D46" s="164" t="str">
        <f>CONCATENATE('3 pr-2'!D48)</f>
        <v>Amatų centro „Menų kalvė“ Druskininkuose įkūrimas</v>
      </c>
      <c r="E46" s="164" t="str">
        <f>CONCATENATE('3 pr-2'!E48)</f>
        <v xml:space="preserve">Druskininkų savivaldybės administracija  </v>
      </c>
      <c r="F46" s="164" t="str">
        <f>CONCATENATE('3 pr-2'!F48)</f>
        <v>Lietuvos Respublikos vidaus reikalų ministerija</v>
      </c>
      <c r="G46" s="164" t="str">
        <f>CONCATENATE('3 pr-2'!G48)</f>
        <v>Druskininkų sav.</v>
      </c>
      <c r="H46" s="164" t="str">
        <f>CONCATENATE('3 pr-2'!H48)</f>
        <v>07.1.1-CPVA-R-903</v>
      </c>
      <c r="I46" s="198" t="str">
        <f>CONCATENATE('3 pr-2'!I48)</f>
        <v>R</v>
      </c>
      <c r="J46" s="198" t="str">
        <f>CONCATENATE('3 pr-2'!J48)</f>
        <v>ITI</v>
      </c>
      <c r="K46" s="1164">
        <f>SUM('3 pr-2'!L48)</f>
        <v>801950</v>
      </c>
      <c r="L46" s="1159">
        <f>SUM(R46+W46+AB46+AG46+AL46)</f>
        <v>428814.68999999994</v>
      </c>
      <c r="M46" s="1082">
        <v>62.480000000000004</v>
      </c>
      <c r="N46" s="1082">
        <v>409747.98</v>
      </c>
      <c r="O46" s="1082">
        <f t="shared" si="21"/>
        <v>19004.229999999981</v>
      </c>
      <c r="P46" s="1160">
        <f t="shared" si="9"/>
        <v>373135.31000000006</v>
      </c>
      <c r="Q46" s="1164">
        <f>SUM('3 pr-2'!O48)</f>
        <v>493431</v>
      </c>
      <c r="R46" s="1159">
        <f>SUMIF('mokėjimų ataskaita'!$I:$I,C46,'mokėjimų ataskaita'!$AU:$AU)/2</f>
        <v>120400.75</v>
      </c>
      <c r="S46" s="1082">
        <v>21.88</v>
      </c>
      <c r="T46" s="1082">
        <f t="shared" si="39"/>
        <v>120378.87</v>
      </c>
      <c r="U46" s="1160">
        <f>SUM(Q46-R46)</f>
        <v>373030.25</v>
      </c>
      <c r="V46" s="1164">
        <f>SUM('3 pr-2'!R48)</f>
        <v>25015.06</v>
      </c>
      <c r="W46" s="1159">
        <f>SUMIF('mokėjimų ataskaita'!$I:$I,C46,'mokėjimų ataskaita'!$AL:$AL)/2</f>
        <v>25006.399999999998</v>
      </c>
      <c r="X46" s="1082">
        <v>3.29</v>
      </c>
      <c r="Y46" s="1082">
        <f t="shared" si="40"/>
        <v>25003.109999999997</v>
      </c>
      <c r="Z46" s="1160">
        <f t="shared" si="28"/>
        <v>8.6600000000034925</v>
      </c>
      <c r="AA46" s="1164">
        <f>SUM('3 pr-2'!U48)</f>
        <v>0</v>
      </c>
      <c r="AB46" s="1080">
        <f>SUMIF('mokėjimų ataskaita'!$I:$I,'ketv. 7 '!C46,'mokėjimų ataskaita'!$AW:$AW)/2</f>
        <v>0</v>
      </c>
      <c r="AC46" s="1082"/>
      <c r="AD46" s="1082"/>
      <c r="AE46" s="1080">
        <f t="shared" si="29"/>
        <v>0</v>
      </c>
      <c r="AF46" s="1164">
        <f>SUM('3 pr-2'!X48)</f>
        <v>0</v>
      </c>
      <c r="AG46" s="1080">
        <f>SUMIF('mokėjimų ataskaita'!$I:$I,'ketv. 7 '!C46,'mokėjimų ataskaita'!$AT:$AT)/2+SUMIF('mokėjimų ataskaita'!$I:$I,'ketv. 7 '!C46,'mokėjimų ataskaita'!$AV:$AV)/2</f>
        <v>0</v>
      </c>
      <c r="AH46" s="1082"/>
      <c r="AI46" s="1082"/>
      <c r="AJ46" s="1080">
        <f t="shared" si="30"/>
        <v>0</v>
      </c>
      <c r="AK46" s="1164">
        <f>SUM('3 pr-2'!AA48)</f>
        <v>283503.94</v>
      </c>
      <c r="AL46" s="1159">
        <f>SUMIF('mokėjimų ataskaita'!$I:$I,'ketv. 7 '!C46,'mokėjimų ataskaita'!$AK:$AK)/2</f>
        <v>283407.53999999998</v>
      </c>
      <c r="AM46" s="1082">
        <v>37.31</v>
      </c>
      <c r="AN46" s="1082">
        <f>SUM(AL46-AM46)</f>
        <v>283370.23</v>
      </c>
      <c r="AO46" s="1167">
        <f>IF(AK46&gt;0,AK46-AL46,0)</f>
        <v>96.400000000023283</v>
      </c>
      <c r="AP46" s="1080">
        <f>SUM('3 pr-2'!AB48)</f>
        <v>0</v>
      </c>
      <c r="AQ46" s="1159">
        <v>0</v>
      </c>
      <c r="AS46" s="233"/>
    </row>
    <row r="47" spans="1:45" ht="37.5" thickBot="1">
      <c r="A47" s="375" t="str">
        <f>CONCATENATE('3 pr-2'!A49)</f>
        <v>1.1.1.4.3</v>
      </c>
      <c r="B47" s="578" t="str">
        <f>CONCATENATE('3 pr-2'!B49)</f>
        <v>R01-9903-290000-1143</v>
      </c>
      <c r="C47" s="577" t="str">
        <f>CONCATENATE('ketv. 6 '!C48)</f>
        <v>07.1.1-CPVA-R-903-11-0002</v>
      </c>
      <c r="D47" s="164" t="str">
        <f>CONCATENATE('3 pr-2'!D49)</f>
        <v>Lazdijų miesto kompleksinė infrastruktūros plėtra, III etapas</v>
      </c>
      <c r="E47" s="164" t="str">
        <f>CONCATENATE('3 pr-2'!E49)</f>
        <v>Lazdijų rajono savivaldybės administracija</v>
      </c>
      <c r="F47" s="164" t="str">
        <f>CONCATENATE('3 pr-2'!F49)</f>
        <v>Lietuvos Respublikos vidaus reikalų ministerija</v>
      </c>
      <c r="G47" s="164" t="str">
        <f>CONCATENATE('3 pr-2'!G49)</f>
        <v>Lazdijų r. sav.</v>
      </c>
      <c r="H47" s="164" t="str">
        <f>CONCATENATE('3 pr-2'!H49)</f>
        <v>07.1.1-CPVA-R-903</v>
      </c>
      <c r="I47" s="198" t="str">
        <f>CONCATENATE('3 pr-2'!I49)</f>
        <v>R</v>
      </c>
      <c r="J47" s="198" t="str">
        <f>CONCATENATE('3 pr-2'!J49)</f>
        <v>ITI</v>
      </c>
      <c r="K47" s="1164">
        <f>SUM('3 pr-2'!L49)</f>
        <v>343507</v>
      </c>
      <c r="L47" s="1159">
        <f t="shared" ref="L47" si="41">SUM(R47+W47+AB47+AG47+AL47)</f>
        <v>207518.3</v>
      </c>
      <c r="M47" s="1082">
        <v>11535.59</v>
      </c>
      <c r="N47" s="1082">
        <v>195982.71</v>
      </c>
      <c r="O47" s="1082">
        <f t="shared" si="21"/>
        <v>0</v>
      </c>
      <c r="P47" s="1160">
        <f t="shared" si="9"/>
        <v>135988.70000000001</v>
      </c>
      <c r="Q47" s="1164">
        <f>SUM('3 pr-2'!O49)</f>
        <v>25763.03</v>
      </c>
      <c r="R47" s="1159">
        <f>SUMIF('mokėjimų ataskaita'!$I:$I,C47,'mokėjimų ataskaita'!$AU:$AU)/2</f>
        <v>15056.37</v>
      </c>
      <c r="S47" s="1082">
        <v>865.17</v>
      </c>
      <c r="T47" s="1082">
        <f t="shared" si="39"/>
        <v>14191.2</v>
      </c>
      <c r="U47" s="1160">
        <f>SUM(Q47-R47)</f>
        <v>10706.659999999998</v>
      </c>
      <c r="V47" s="1164">
        <f>SUM('3 pr-2'!R49)</f>
        <v>25763.02</v>
      </c>
      <c r="W47" s="1159">
        <f>SUMIF('mokėjimų ataskaita'!$I:$I,C47,'mokėjimų ataskaita'!$AL:$AL)/2</f>
        <v>15605.02</v>
      </c>
      <c r="X47" s="1082">
        <v>865.17</v>
      </c>
      <c r="Y47" s="1082">
        <f t="shared" si="40"/>
        <v>14739.85</v>
      </c>
      <c r="Z47" s="1160">
        <f t="shared" si="28"/>
        <v>10158</v>
      </c>
      <c r="AA47" s="1164">
        <f>SUM('3 pr-2'!U49)</f>
        <v>0</v>
      </c>
      <c r="AB47" s="1080">
        <f>SUMIF('mokėjimų ataskaita'!$I:$I,'ketv. 7 '!C47,'mokėjimų ataskaita'!$AW:$AW)/2</f>
        <v>0</v>
      </c>
      <c r="AC47" s="1082"/>
      <c r="AD47" s="1082"/>
      <c r="AE47" s="1160">
        <f t="shared" si="29"/>
        <v>0</v>
      </c>
      <c r="AF47" s="1164">
        <f>SUM('3 pr-2'!X49)</f>
        <v>0</v>
      </c>
      <c r="AG47" s="1080">
        <f>SUMIF('mokėjimų ataskaita'!$I:$I,'ketv. 7 '!C47,'mokėjimų ataskaita'!$AT:$AT)/2+SUMIF('mokėjimų ataskaita'!$I:$I,'ketv. 7 '!C47,'mokėjimų ataskaita'!$AV:$AV)/2</f>
        <v>0</v>
      </c>
      <c r="AH47" s="1082"/>
      <c r="AI47" s="1082"/>
      <c r="AJ47" s="1160">
        <f t="shared" si="30"/>
        <v>0</v>
      </c>
      <c r="AK47" s="1164">
        <f>SUM('3 pr-2'!AA49)</f>
        <v>291980.95</v>
      </c>
      <c r="AL47" s="1159">
        <f>SUMIF('mokėjimų ataskaita'!$I:$I,'ketv. 7 '!C47,'mokėjimų ataskaita'!$AK:$AK)/2</f>
        <v>176856.91</v>
      </c>
      <c r="AM47" s="1082">
        <v>9805.25</v>
      </c>
      <c r="AN47" s="1082">
        <f t="shared" ref="AN47" si="42">SUM(AL47-AM47)</f>
        <v>167051.66</v>
      </c>
      <c r="AO47" s="1167">
        <f>IF(AK47&gt;0,AK47-AL47,0)</f>
        <v>115124.04000000001</v>
      </c>
      <c r="AP47" s="1080">
        <f>SUM('3 pr-2'!AB49)</f>
        <v>0</v>
      </c>
      <c r="AQ47" s="1159">
        <v>0</v>
      </c>
    </row>
    <row r="48" spans="1:45" ht="38.25" customHeight="1" thickBot="1">
      <c r="A48" s="296" t="str">
        <f>CONCATENATE('3 pr-2'!A50)</f>
        <v>1.1.1.5</v>
      </c>
      <c r="B48" s="2088" t="str">
        <f>CONCATENATE('3 pr-2'!B50)</f>
        <v xml:space="preserve">Priemonė:
Geriamojo vandens tiekimo ir nuotekų tvarkymo sistemų renovavimas ir plėtra, įmonių valdymo tobulinimas </v>
      </c>
      <c r="C48" s="2089"/>
      <c r="D48" s="2089"/>
      <c r="E48" s="2089"/>
      <c r="F48" s="2089"/>
      <c r="G48" s="2089"/>
      <c r="H48" s="2089"/>
      <c r="I48" s="2089"/>
      <c r="J48" s="2090"/>
      <c r="K48" s="1077">
        <f t="shared" ref="K48:AK48" si="43">SUM(K49:K53)</f>
        <v>16349723.129999999</v>
      </c>
      <c r="L48" s="1077">
        <f t="shared" si="43"/>
        <v>7532200.4700000007</v>
      </c>
      <c r="M48" s="1077">
        <f t="shared" si="43"/>
        <v>2565114.33</v>
      </c>
      <c r="N48" s="1077">
        <f t="shared" si="43"/>
        <v>3910878.96</v>
      </c>
      <c r="O48" s="1077">
        <f t="shared" si="43"/>
        <v>1056207.18</v>
      </c>
      <c r="P48" s="1077">
        <f t="shared" si="43"/>
        <v>8817522.6600000001</v>
      </c>
      <c r="Q48" s="1077">
        <f t="shared" si="43"/>
        <v>0</v>
      </c>
      <c r="R48" s="1077">
        <f t="shared" si="43"/>
        <v>0</v>
      </c>
      <c r="S48" s="1077">
        <f t="shared" si="43"/>
        <v>0</v>
      </c>
      <c r="T48" s="1077">
        <f t="shared" si="43"/>
        <v>0</v>
      </c>
      <c r="U48" s="1077">
        <f t="shared" si="43"/>
        <v>0</v>
      </c>
      <c r="V48" s="1077">
        <f t="shared" si="43"/>
        <v>0</v>
      </c>
      <c r="W48" s="1077">
        <f t="shared" si="43"/>
        <v>0</v>
      </c>
      <c r="X48" s="1077">
        <f t="shared" si="43"/>
        <v>0</v>
      </c>
      <c r="Y48" s="1077">
        <f t="shared" si="43"/>
        <v>0</v>
      </c>
      <c r="Z48" s="1077">
        <f t="shared" si="43"/>
        <v>0</v>
      </c>
      <c r="AA48" s="1077">
        <f t="shared" si="43"/>
        <v>7447758.8300000001</v>
      </c>
      <c r="AB48" s="1077">
        <f t="shared" si="43"/>
        <v>3344229.0700000008</v>
      </c>
      <c r="AC48" s="1077">
        <f t="shared" si="43"/>
        <v>1302787.02</v>
      </c>
      <c r="AD48" s="1077">
        <f t="shared" si="43"/>
        <v>2041442.05</v>
      </c>
      <c r="AE48" s="1077">
        <f t="shared" si="43"/>
        <v>4103529.76</v>
      </c>
      <c r="AF48" s="1077">
        <f t="shared" si="43"/>
        <v>0</v>
      </c>
      <c r="AG48" s="1077">
        <f t="shared" si="43"/>
        <v>0</v>
      </c>
      <c r="AH48" s="1077">
        <f t="shared" si="43"/>
        <v>0</v>
      </c>
      <c r="AI48" s="1077">
        <f t="shared" si="43"/>
        <v>0</v>
      </c>
      <c r="AJ48" s="1077">
        <f t="shared" si="43"/>
        <v>0</v>
      </c>
      <c r="AK48" s="1077">
        <f t="shared" si="43"/>
        <v>8901964.3000000007</v>
      </c>
      <c r="AL48" s="1077">
        <f>SUM(AL49:AL53)</f>
        <v>4187971.4</v>
      </c>
      <c r="AM48" s="1077">
        <f t="shared" ref="AM48:AQ48" si="44">SUM(AM49:AM53)</f>
        <v>1262327.31</v>
      </c>
      <c r="AN48" s="1077">
        <f t="shared" si="44"/>
        <v>2925644.09</v>
      </c>
      <c r="AO48" s="1077">
        <f t="shared" si="44"/>
        <v>4713992.8999999994</v>
      </c>
      <c r="AP48" s="1077">
        <f t="shared" si="44"/>
        <v>0</v>
      </c>
      <c r="AQ48" s="1077">
        <f t="shared" si="44"/>
        <v>0</v>
      </c>
      <c r="AR48" s="233">
        <f>SUM(K48-'3 pr-2'!L50)</f>
        <v>0</v>
      </c>
    </row>
    <row r="49" spans="1:44" ht="48.75">
      <c r="A49" s="375" t="str">
        <f>CONCATENATE('3 pr-2'!A51)</f>
        <v>1.1.1.5.1</v>
      </c>
      <c r="B49" s="578" t="str">
        <f>CONCATENATE('3 pr-2'!B51)</f>
        <v>R01-0014-060700-1151</v>
      </c>
      <c r="C49" s="577" t="str">
        <f>CONCATENATE('ketv. 6 '!C50)</f>
        <v>05.3.2-APVA-R-014-11-0001</v>
      </c>
      <c r="D49" s="164" t="str">
        <f>CONCATENATE('3 pr-2'!D51)</f>
        <v>Geriamojo vandens tiekimo ir nuotekų tvarkymo sistemų renovavimas ir plėtra Varėnos rajone</v>
      </c>
      <c r="E49" s="164" t="str">
        <f>CONCATENATE('3 pr-2'!E51)</f>
        <v>UAB „Varėnos vandenys“</v>
      </c>
      <c r="F49" s="164" t="str">
        <f>CONCATENATE('3 pr-2'!F51)</f>
        <v>Lietuvos Respublikos aplinkos ministerija</v>
      </c>
      <c r="G49" s="164" t="str">
        <f>CONCATENATE('3 pr-2'!G51)</f>
        <v>Varėnos r. sav.</v>
      </c>
      <c r="H49" s="164" t="str">
        <f>CONCATENATE('3 pr-2'!H51)</f>
        <v>05.3.2-APVA-R-014</v>
      </c>
      <c r="I49" s="164" t="str">
        <f>CONCATENATE('3 pr-2'!I51)</f>
        <v>R</v>
      </c>
      <c r="J49" s="164" t="str">
        <f>CONCATENATE('3 pr-2'!J51)</f>
        <v>ITI</v>
      </c>
      <c r="K49" s="1164">
        <f>SUM('3 pr-2'!L51)</f>
        <v>2474472.79</v>
      </c>
      <c r="L49" s="1159">
        <f t="shared" ref="L49:L53" si="45">SUM(R49+W49+AB49+AG49+AL49)</f>
        <v>1881067.1400000001</v>
      </c>
      <c r="M49" s="1082">
        <v>302669.49</v>
      </c>
      <c r="N49" s="1082">
        <v>1149708.78</v>
      </c>
      <c r="O49" s="1082">
        <f t="shared" si="21"/>
        <v>428688.87000000011</v>
      </c>
      <c r="P49" s="1160">
        <f t="shared" si="9"/>
        <v>593405.64999999991</v>
      </c>
      <c r="Q49" s="1164">
        <f>SUM('3 pr-2'!O51)</f>
        <v>0</v>
      </c>
      <c r="R49" s="1080">
        <f>SUMIF('mokėjimų ataskaita'!$I:$I,C49,'mokėjimų ataskaita'!$AU:$AU)/2</f>
        <v>0</v>
      </c>
      <c r="S49" s="1082"/>
      <c r="T49" s="1082"/>
      <c r="U49" s="1080">
        <f>SUM(Q49-R49)</f>
        <v>0</v>
      </c>
      <c r="V49" s="1164">
        <f>SUM('3 pr-2'!R51)</f>
        <v>0</v>
      </c>
      <c r="W49" s="1080">
        <f>SUMIF('mokėjimų ataskaita'!$I:$I,C49,'mokėjimų ataskaita'!$AL:$AL)/2</f>
        <v>0</v>
      </c>
      <c r="X49" s="1082"/>
      <c r="Y49" s="1082"/>
      <c r="Z49" s="1080">
        <f t="shared" ref="Z49:Z53" si="46">SUM(V49-W49)</f>
        <v>0</v>
      </c>
      <c r="AA49" s="1164">
        <f>SUM('3 pr-2'!U51)</f>
        <v>860244.53</v>
      </c>
      <c r="AB49" s="1159">
        <f>SUMIF('mokėjimų ataskaita'!$I:$I,'ketv. 7 '!C49,'mokėjimų ataskaita'!$AW:$AW)/2</f>
        <v>666950.19999999995</v>
      </c>
      <c r="AC49" s="1082">
        <v>140468.96</v>
      </c>
      <c r="AD49" s="1082">
        <f t="shared" ref="AD49:AD55" si="47">SUM(AB49-AC49)</f>
        <v>526481.24</v>
      </c>
      <c r="AE49" s="1160">
        <f t="shared" si="29"/>
        <v>193294.33000000007</v>
      </c>
      <c r="AF49" s="1164">
        <f>SUM('3 pr-2'!X51)</f>
        <v>0</v>
      </c>
      <c r="AG49" s="1080">
        <f>SUMIF('mokėjimų ataskaita'!$I:$I,'ketv. 7 '!C49,'mokėjimų ataskaita'!$AT:$AT)/2+SUMIF('mokėjimų ataskaita'!$I:$I,'ketv. 7 '!C49,'mokėjimų ataskaita'!$AV:$AV)/2</f>
        <v>0</v>
      </c>
      <c r="AH49" s="1082"/>
      <c r="AI49" s="1082"/>
      <c r="AJ49" s="1080">
        <f t="shared" ref="AJ49:AJ53" si="48">SUM(AF49-AG49)</f>
        <v>0</v>
      </c>
      <c r="AK49" s="1164">
        <f>SUM('3 pr-2'!AA51)</f>
        <v>1614228.26</v>
      </c>
      <c r="AL49" s="1159">
        <f>SUMIF('mokėjimų ataskaita'!$I:$I,'ketv. 7 '!C49,'mokėjimų ataskaita'!$AK:$AK)/2</f>
        <v>1214116.9400000002</v>
      </c>
      <c r="AM49" s="1082">
        <v>162200.53</v>
      </c>
      <c r="AN49" s="1082">
        <f t="shared" ref="AN49:AN53" si="49">SUM(AL49-AM49)</f>
        <v>1051916.4100000001</v>
      </c>
      <c r="AO49" s="1167">
        <f>IF(AK49&gt;0,AK49-AL49,0)</f>
        <v>400111.31999999983</v>
      </c>
      <c r="AP49" s="1080">
        <f>SUM('3 pr-2'!AB51)</f>
        <v>0</v>
      </c>
      <c r="AQ49" s="1159">
        <v>0</v>
      </c>
    </row>
    <row r="50" spans="1:44" ht="36.75">
      <c r="A50" s="375" t="str">
        <f>CONCATENATE('3 pr-2'!A52)</f>
        <v>1.1.1.5.2.</v>
      </c>
      <c r="B50" s="578" t="str">
        <f>CONCATENATE('3 pr-2'!B52)</f>
        <v>R01-0014-060750-1152</v>
      </c>
      <c r="C50" s="577" t="str">
        <f>CONCATENATE('ketv. 6 '!C51)</f>
        <v>05.3.2-APVA-R-014-11-0002</v>
      </c>
      <c r="D50" s="164" t="str">
        <f>CONCATENATE('3 pr-2'!D52)</f>
        <v>Geriamojo vandens ir nuotekų tvarkymo sistemų renovavimas Alytaus mieste</v>
      </c>
      <c r="E50" s="164" t="str">
        <f>CONCATENATE('3 pr-2'!E52)</f>
        <v>UAB “Dzūkijos vandenys“</v>
      </c>
      <c r="F50" s="164" t="str">
        <f>CONCATENATE('3 pr-2'!F52)</f>
        <v>Lietuvos Respublikos aplinkos ministerija</v>
      </c>
      <c r="G50" s="164" t="str">
        <f>CONCATENATE('3 pr-2'!G52)</f>
        <v>Alytaus m. sav.</v>
      </c>
      <c r="H50" s="164" t="str">
        <f>CONCATENATE('3 pr-2'!H52)</f>
        <v>05.3.2-APVA-R-014</v>
      </c>
      <c r="I50" s="164" t="str">
        <f>CONCATENATE('3 pr-2'!I52)</f>
        <v>R</v>
      </c>
      <c r="J50" s="164" t="str">
        <f>CONCATENATE('3 pr-2'!J52)</f>
        <v>ITI</v>
      </c>
      <c r="K50" s="1164">
        <f>SUM('3 pr-2'!L52)</f>
        <v>5706088</v>
      </c>
      <c r="L50" s="1159">
        <f t="shared" si="45"/>
        <v>3124566.3000000003</v>
      </c>
      <c r="M50" s="1082">
        <v>1672110.09</v>
      </c>
      <c r="N50" s="1082">
        <v>1048637.2200000004</v>
      </c>
      <c r="O50" s="1082">
        <f t="shared" si="21"/>
        <v>403818.98999999976</v>
      </c>
      <c r="P50" s="1160">
        <f t="shared" si="9"/>
        <v>2581521.6999999997</v>
      </c>
      <c r="Q50" s="1164">
        <f>SUM('3 pr-2'!O52)</f>
        <v>0</v>
      </c>
      <c r="R50" s="1080">
        <f>SUMIF('mokėjimų ataskaita'!$I:$I,C50,'mokėjimų ataskaita'!$AU:$AU)/2</f>
        <v>0</v>
      </c>
      <c r="S50" s="1082"/>
      <c r="T50" s="1082"/>
      <c r="U50" s="1080">
        <f>SUM(Q50-R50)</f>
        <v>0</v>
      </c>
      <c r="V50" s="1164">
        <f>SUM('3 pr-2'!R52)</f>
        <v>0</v>
      </c>
      <c r="W50" s="1080">
        <f>SUMIF('mokėjimų ataskaita'!$I:$I,C50,'mokėjimų ataskaita'!$AL:$AL)/2</f>
        <v>0</v>
      </c>
      <c r="X50" s="1082"/>
      <c r="Y50" s="1082"/>
      <c r="Z50" s="1080">
        <f t="shared" si="46"/>
        <v>0</v>
      </c>
      <c r="AA50" s="1164">
        <f>SUM('3 pr-2'!U52)</f>
        <v>3009103.69</v>
      </c>
      <c r="AB50" s="1159">
        <f>SUMIF('mokėjimų ataskaita'!$I:$I,'ketv. 7 '!C50,'mokėjimų ataskaita'!$AW:$AW)/2</f>
        <v>1647739.0300000003</v>
      </c>
      <c r="AC50" s="1082">
        <v>933958.04</v>
      </c>
      <c r="AD50" s="1082">
        <f t="shared" si="47"/>
        <v>713780.99000000022</v>
      </c>
      <c r="AE50" s="1160">
        <f t="shared" si="29"/>
        <v>1361364.6599999997</v>
      </c>
      <c r="AF50" s="1164">
        <f>SUM('3 pr-2'!X52)</f>
        <v>0</v>
      </c>
      <c r="AG50" s="1080">
        <f>SUMIF('mokėjimų ataskaita'!$I:$I,'ketv. 7 '!C50,'mokėjimų ataskaita'!$AT:$AT)/2+SUMIF('mokėjimų ataskaita'!$I:$I,'ketv. 7 '!C50,'mokėjimų ataskaita'!$AV:$AV)/2</f>
        <v>0</v>
      </c>
      <c r="AH50" s="1082"/>
      <c r="AI50" s="1082"/>
      <c r="AJ50" s="1080">
        <f t="shared" si="48"/>
        <v>0</v>
      </c>
      <c r="AK50" s="1164">
        <f>SUM('3 pr-2'!AA52)</f>
        <v>2696984.31</v>
      </c>
      <c r="AL50" s="1159">
        <f>SUMIF('mokėjimų ataskaita'!$I:$I,'ketv. 7 '!C50,'mokėjimų ataskaita'!$AK:$AK)/2</f>
        <v>1476827.27</v>
      </c>
      <c r="AM50" s="1082">
        <v>738152.05</v>
      </c>
      <c r="AN50" s="1082">
        <f t="shared" si="49"/>
        <v>738675.22</v>
      </c>
      <c r="AO50" s="1167">
        <f>IF(AK50&gt;0,AK50-AL50,0)</f>
        <v>1220157.04</v>
      </c>
      <c r="AP50" s="1080">
        <f>SUM('3 pr-2'!AB52)</f>
        <v>0</v>
      </c>
      <c r="AQ50" s="1159">
        <v>0</v>
      </c>
    </row>
    <row r="51" spans="1:44" ht="48.75">
      <c r="A51" s="375" t="str">
        <f>CONCATENATE('3 pr-2'!A53)</f>
        <v>1.1.1.5.3</v>
      </c>
      <c r="B51" s="578" t="str">
        <f>CONCATENATE('3 pr-2'!B53)</f>
        <v>R01-0014-070650-1153</v>
      </c>
      <c r="C51" s="577" t="str">
        <f>CONCATENATE('ketv. 6 '!C52)</f>
        <v>05.3.2-APVA-R-014-11-0004</v>
      </c>
      <c r="D51" s="164" t="str">
        <f>CONCATENATE('3 pr-2'!D53)</f>
        <v>Geriamojo vandens tiekimo ir nuotekų tvarkymo sistemų renovavimas ir plėtra Lazdijų rajono savivaldybėje</v>
      </c>
      <c r="E51" s="164" t="str">
        <f>CONCATENATE('3 pr-2'!E53)</f>
        <v>UAB „Lazdijų vanduo“</v>
      </c>
      <c r="F51" s="164" t="str">
        <f>CONCATENATE('3 pr-2'!F53)</f>
        <v>Lietuvos Respublikos aplinkos ministerija</v>
      </c>
      <c r="G51" s="164" t="str">
        <f>CONCATENATE('3 pr-2'!G53)</f>
        <v>Lazdijų r. sav.</v>
      </c>
      <c r="H51" s="164" t="str">
        <f>CONCATENATE('3 pr-2'!H53)</f>
        <v>05.3.2-APVA-R-014</v>
      </c>
      <c r="I51" s="164" t="str">
        <f>CONCATENATE('3 pr-2'!I53)</f>
        <v>R</v>
      </c>
      <c r="J51" s="164" t="str">
        <f>CONCATENATE('3 pr-2'!J53)</f>
        <v>-</v>
      </c>
      <c r="K51" s="1164">
        <f>SUM('3 pr-2'!L53)</f>
        <v>1437425.74</v>
      </c>
      <c r="L51" s="1159">
        <f t="shared" si="45"/>
        <v>1077242.26</v>
      </c>
      <c r="M51" s="1082">
        <v>419547</v>
      </c>
      <c r="N51" s="1082">
        <v>608490.79</v>
      </c>
      <c r="O51" s="1082">
        <f t="shared" si="21"/>
        <v>49204.469999999972</v>
      </c>
      <c r="P51" s="1160">
        <f t="shared" si="9"/>
        <v>360183.48</v>
      </c>
      <c r="Q51" s="1164">
        <f>SUM('3 pr-2'!O53)</f>
        <v>0</v>
      </c>
      <c r="R51" s="1080">
        <f>SUMIF('mokėjimų ataskaita'!$I:$I,C51,'mokėjimų ataskaita'!$AU:$AU)/2</f>
        <v>0</v>
      </c>
      <c r="S51" s="1082"/>
      <c r="T51" s="1082"/>
      <c r="U51" s="1080">
        <f>SUM(Q51-R51)</f>
        <v>0</v>
      </c>
      <c r="V51" s="1164">
        <f>SUM('3 pr-2'!R53)</f>
        <v>0</v>
      </c>
      <c r="W51" s="1080">
        <f>SUMIF('mokėjimų ataskaita'!$I:$I,C51,'mokėjimų ataskaita'!$AL:$AL)/2</f>
        <v>0</v>
      </c>
      <c r="X51" s="1082"/>
      <c r="Y51" s="1082"/>
      <c r="Z51" s="1080">
        <f t="shared" si="46"/>
        <v>0</v>
      </c>
      <c r="AA51" s="1164">
        <f>SUM('3 pr-2'!U53)</f>
        <v>641323.74</v>
      </c>
      <c r="AB51" s="1159">
        <f>SUMIF('mokėjimų ataskaita'!$I:$I,'ketv. 7 '!C51,'mokėjimų ataskaita'!$AW:$AW)/2</f>
        <v>371272.13999999996</v>
      </c>
      <c r="AC51" s="1082">
        <v>146096.98000000001</v>
      </c>
      <c r="AD51" s="1082">
        <f t="shared" si="47"/>
        <v>225175.15999999995</v>
      </c>
      <c r="AE51" s="1160">
        <f t="shared" si="29"/>
        <v>270051.60000000003</v>
      </c>
      <c r="AF51" s="1164">
        <f>SUM('3 pr-2'!X53)</f>
        <v>0</v>
      </c>
      <c r="AG51" s="1080">
        <f>SUMIF('mokėjimų ataskaita'!$I:$I,'ketv. 7 '!C51,'mokėjimų ataskaita'!$AT:$AT)/2+SUMIF('mokėjimų ataskaita'!$I:$I,'ketv. 7 '!C51,'mokėjimų ataskaita'!$AV:$AV)/2</f>
        <v>0</v>
      </c>
      <c r="AH51" s="1082"/>
      <c r="AI51" s="1082"/>
      <c r="AJ51" s="1080">
        <f t="shared" si="48"/>
        <v>0</v>
      </c>
      <c r="AK51" s="1164">
        <f>SUM('3 pr-2'!AA53)</f>
        <v>796102</v>
      </c>
      <c r="AL51" s="1159">
        <f>SUMIF('mokėjimų ataskaita'!$I:$I,'ketv. 7 '!C51,'mokėjimų ataskaita'!$AK:$AK)/2</f>
        <v>705970.12</v>
      </c>
      <c r="AM51" s="1082">
        <v>273450.02</v>
      </c>
      <c r="AN51" s="1082">
        <f t="shared" si="49"/>
        <v>432520.1</v>
      </c>
      <c r="AO51" s="1167">
        <f>IF(AK51&gt;0,AK51-AL51,0)</f>
        <v>90131.88</v>
      </c>
      <c r="AP51" s="1080">
        <f>SUM('3 pr-2'!AB53)</f>
        <v>0</v>
      </c>
      <c r="AQ51" s="1159">
        <v>0</v>
      </c>
    </row>
    <row r="52" spans="1:44" ht="48.75">
      <c r="A52" s="375" t="str">
        <f>CONCATENATE('3 pr-2'!A54)</f>
        <v>1.1.1.5.4.</v>
      </c>
      <c r="B52" s="578" t="str">
        <f>CONCATENATE('3 pr-2'!B54)</f>
        <v>R01-0014-060700-1154</v>
      </c>
      <c r="C52" s="577" t="str">
        <f>CONCATENATE('ketv. 6 '!C53)</f>
        <v>05.3.2-APVA-R-014-11-0003</v>
      </c>
      <c r="D52" s="164" t="str">
        <f>CONCATENATE('3 pr-2'!D54)</f>
        <v>Vandens tiekimo ir nuotekų šalinimo infrastruktūros renovavimas ir plėtra Druskininkų savivaldybėje</v>
      </c>
      <c r="E52" s="164" t="str">
        <f>CONCATENATE('3 pr-2'!E54)</f>
        <v>UAB "Druskininkų vandenys"</v>
      </c>
      <c r="F52" s="164" t="str">
        <f>CONCATENATE('3 pr-2'!F54)</f>
        <v>Lietuvos Respublikos aplinkos ministerija</v>
      </c>
      <c r="G52" s="164" t="str">
        <f>CONCATENATE('3 pr-2'!G54)</f>
        <v>Druskininkų sav.</v>
      </c>
      <c r="H52" s="164" t="str">
        <f>CONCATENATE('3 pr-2'!H54)</f>
        <v>05.3.2-APVA-R-014</v>
      </c>
      <c r="I52" s="164" t="str">
        <f>CONCATENATE('3 pr-2'!I54)</f>
        <v>R</v>
      </c>
      <c r="J52" s="164" t="str">
        <f>CONCATENATE('3 pr-2'!J54)</f>
        <v>-</v>
      </c>
      <c r="K52" s="1164">
        <f>SUM('3 pr-2'!L54)</f>
        <v>5160736.5999999996</v>
      </c>
      <c r="L52" s="1159">
        <f t="shared" si="45"/>
        <v>1339167.02</v>
      </c>
      <c r="M52" s="1082">
        <v>170787.75</v>
      </c>
      <c r="N52" s="1082">
        <v>1073008.4099999999</v>
      </c>
      <c r="O52" s="1082">
        <f t="shared" si="21"/>
        <v>95370.860000000102</v>
      </c>
      <c r="P52" s="1160">
        <f t="shared" si="9"/>
        <v>3821569.5799999996</v>
      </c>
      <c r="Q52" s="1164">
        <f>SUM('3 pr-2'!O54)</f>
        <v>0</v>
      </c>
      <c r="R52" s="1080">
        <f>SUMIF('mokėjimų ataskaita'!$I:$I,C52,'mokėjimų ataskaita'!$AU:$AU)/2</f>
        <v>0</v>
      </c>
      <c r="S52" s="1082"/>
      <c r="T52" s="1082"/>
      <c r="U52" s="1080">
        <f>SUM(Q52-R52)</f>
        <v>0</v>
      </c>
      <c r="V52" s="1164">
        <f>SUM('3 pr-2'!R54)</f>
        <v>0</v>
      </c>
      <c r="W52" s="1080">
        <f>SUMIF('mokėjimų ataskaita'!$I:$I,C52,'mokėjimų ataskaita'!$AL:$AL)/2</f>
        <v>0</v>
      </c>
      <c r="X52" s="1082"/>
      <c r="Y52" s="1082"/>
      <c r="Z52" s="1080">
        <f t="shared" si="46"/>
        <v>0</v>
      </c>
      <c r="AA52" s="1164">
        <f>SUM('3 pr-2'!U54)</f>
        <v>2286561.87</v>
      </c>
      <c r="AB52" s="1159">
        <f>SUMIF('mokėjimų ataskaita'!$I:$I,'ketv. 7 '!C52,'mokėjimų ataskaita'!$AW:$AW)/2</f>
        <v>594969.23</v>
      </c>
      <c r="AC52" s="1082">
        <v>82263.039999999994</v>
      </c>
      <c r="AD52" s="1082">
        <f t="shared" si="47"/>
        <v>512706.19</v>
      </c>
      <c r="AE52" s="1160">
        <f t="shared" si="29"/>
        <v>1691592.6400000001</v>
      </c>
      <c r="AF52" s="1164">
        <f>SUM('3 pr-2'!X54)</f>
        <v>0</v>
      </c>
      <c r="AG52" s="1080">
        <f>SUMIF('mokėjimų ataskaita'!$I:$I,'ketv. 7 '!C52,'mokėjimų ataskaita'!$AT:$AT)/2+SUMIF('mokėjimų ataskaita'!$I:$I,'ketv. 7 '!C52,'mokėjimų ataskaita'!$AV:$AV)/2</f>
        <v>0</v>
      </c>
      <c r="AH52" s="1082"/>
      <c r="AI52" s="1082"/>
      <c r="AJ52" s="1080">
        <f t="shared" si="48"/>
        <v>0</v>
      </c>
      <c r="AK52" s="1164">
        <f>SUM('3 pr-2'!AA54)</f>
        <v>2874174.73</v>
      </c>
      <c r="AL52" s="1159">
        <f>SUMIF('mokėjimų ataskaita'!$I:$I,'ketv. 7 '!C52,'mokėjimų ataskaita'!$AK:$AK)/2</f>
        <v>744197.79</v>
      </c>
      <c r="AM52" s="1082">
        <v>88524.71</v>
      </c>
      <c r="AN52" s="1082">
        <f t="shared" si="49"/>
        <v>655673.08000000007</v>
      </c>
      <c r="AO52" s="1167">
        <f>IF(AK52&gt;0,AK52-AL52,0)</f>
        <v>2129976.94</v>
      </c>
      <c r="AP52" s="1080">
        <f>SUM('3 pr-2'!AB54)</f>
        <v>0</v>
      </c>
      <c r="AQ52" s="1159">
        <v>0</v>
      </c>
    </row>
    <row r="53" spans="1:44" ht="37.5" thickBot="1">
      <c r="A53" s="375" t="str">
        <f>CONCATENATE('3 pr-2'!A55)</f>
        <v>1.1.1.5.5.</v>
      </c>
      <c r="B53" s="578" t="str">
        <f>CONCATENATE('3 pr-2'!B55)</f>
        <v>R01-0014-060750-1155</v>
      </c>
      <c r="C53" s="577" t="str">
        <f>CONCATENATE('ketv. 6 '!C54)</f>
        <v>05.3.2-APVA-R-014-11-0005</v>
      </c>
      <c r="D53" s="164" t="str">
        <f>CONCATENATE('3 pr-2'!D55)</f>
        <v>Vandens tiekimo ir nuotekų tvarkymo infrastruktūros plėtra Alytaus rajone (Krokialaukyje)</v>
      </c>
      <c r="E53" s="164" t="str">
        <f>CONCATENATE('3 pr-2'!E55)</f>
        <v>SĮ „Simno komunalininkas“</v>
      </c>
      <c r="F53" s="164" t="str">
        <f>CONCATENATE('3 pr-2'!F55)</f>
        <v>Lietuvos Respublikos aplinkos ministerija</v>
      </c>
      <c r="G53" s="164" t="str">
        <f>CONCATENATE('3 pr-2'!G55)</f>
        <v>Alytaus r. sav.</v>
      </c>
      <c r="H53" s="164" t="str">
        <f>CONCATENATE('3 pr-2'!H55)</f>
        <v>05.3.2-APVA-R-014</v>
      </c>
      <c r="I53" s="164" t="str">
        <f>CONCATENATE('3 pr-2'!I55)</f>
        <v>R</v>
      </c>
      <c r="J53" s="164" t="str">
        <f>CONCATENATE('3 pr-2'!J55)</f>
        <v>-</v>
      </c>
      <c r="K53" s="1164">
        <f>SUM('3 pr-2'!L55)</f>
        <v>1571000</v>
      </c>
      <c r="L53" s="1159">
        <f t="shared" si="45"/>
        <v>110157.75</v>
      </c>
      <c r="M53" s="1082">
        <v>0</v>
      </c>
      <c r="N53" s="1082">
        <v>31033.759999999998</v>
      </c>
      <c r="O53" s="1082">
        <f t="shared" si="21"/>
        <v>79123.990000000005</v>
      </c>
      <c r="P53" s="1160">
        <f t="shared" si="9"/>
        <v>1460842.25</v>
      </c>
      <c r="Q53" s="1164">
        <f>SUM('3 pr-2'!O55)</f>
        <v>0</v>
      </c>
      <c r="R53" s="1080">
        <f>SUMIF('mokėjimų ataskaita'!$I:$I,C53,'mokėjimų ataskaita'!$AU:$AU)/2</f>
        <v>0</v>
      </c>
      <c r="S53" s="1082"/>
      <c r="T53" s="1082"/>
      <c r="U53" s="1080">
        <f>SUM(Q53-R53)</f>
        <v>0</v>
      </c>
      <c r="V53" s="1164">
        <f>SUM('3 pr-2'!R55)</f>
        <v>0</v>
      </c>
      <c r="W53" s="1080">
        <f>SUMIF('mokėjimų ataskaita'!$I:$I,C53,'mokėjimų ataskaita'!$AL:$AL)/2</f>
        <v>0</v>
      </c>
      <c r="X53" s="1082"/>
      <c r="Y53" s="1082"/>
      <c r="Z53" s="1080">
        <f t="shared" si="46"/>
        <v>0</v>
      </c>
      <c r="AA53" s="1164">
        <f>SUM('3 pr-2'!U55)</f>
        <v>650525</v>
      </c>
      <c r="AB53" s="1159">
        <f>SUMIF('mokėjimų ataskaita'!$I:$I,'ketv. 7 '!C53,'mokėjimų ataskaita'!$AW:$AW)/2</f>
        <v>63298.47</v>
      </c>
      <c r="AC53" s="1082">
        <v>0</v>
      </c>
      <c r="AD53" s="1082">
        <f t="shared" si="47"/>
        <v>63298.47</v>
      </c>
      <c r="AE53" s="1160">
        <f t="shared" si="29"/>
        <v>587226.53</v>
      </c>
      <c r="AF53" s="1164">
        <f>SUM('3 pr-2'!X55)</f>
        <v>0</v>
      </c>
      <c r="AG53" s="1080">
        <f>SUMIF('mokėjimų ataskaita'!$I:$I,'ketv. 7 '!C53,'mokėjimų ataskaita'!$AT:$AT)/2+SUMIF('mokėjimų ataskaita'!$I:$I,'ketv. 7 '!C53,'mokėjimų ataskaita'!$AV:$AV)/2</f>
        <v>0</v>
      </c>
      <c r="AH53" s="1082"/>
      <c r="AI53" s="1082"/>
      <c r="AJ53" s="1080">
        <f t="shared" si="48"/>
        <v>0</v>
      </c>
      <c r="AK53" s="1164">
        <f>SUM('3 pr-2'!AA55)</f>
        <v>920475</v>
      </c>
      <c r="AL53" s="1159">
        <f>SUMIF('mokėjimų ataskaita'!$I:$I,'ketv. 7 '!C53,'mokėjimų ataskaita'!$AK:$AK)/2</f>
        <v>46859.28</v>
      </c>
      <c r="AM53" s="1082">
        <v>0</v>
      </c>
      <c r="AN53" s="1082">
        <f t="shared" si="49"/>
        <v>46859.28</v>
      </c>
      <c r="AO53" s="1167">
        <f>IF(AK53&gt;0,AK53-AL53,0)</f>
        <v>873615.72</v>
      </c>
      <c r="AP53" s="1080">
        <f>SUM('3 pr-2'!AB55)</f>
        <v>0</v>
      </c>
      <c r="AQ53" s="1159">
        <v>0</v>
      </c>
    </row>
    <row r="54" spans="1:44" ht="39" customHeight="1" thickBot="1">
      <c r="A54" s="296" t="str">
        <f>CONCATENATE('3 pr-2'!A56)</f>
        <v>1.1.1.6</v>
      </c>
      <c r="B54" s="2088" t="str">
        <f>CONCATENATE('3 pr-2'!B56)</f>
        <v>Priemonė:
Paviršinių nuotekų sistemų tvarkymas</v>
      </c>
      <c r="C54" s="2089"/>
      <c r="D54" s="2089"/>
      <c r="E54" s="2089"/>
      <c r="F54" s="2089"/>
      <c r="G54" s="2089"/>
      <c r="H54" s="2089"/>
      <c r="I54" s="2089"/>
      <c r="J54" s="2090"/>
      <c r="K54" s="1077">
        <f t="shared" ref="K54:AK54" si="50">SUM(K55)</f>
        <v>3990955.51</v>
      </c>
      <c r="L54" s="1077">
        <f t="shared" si="50"/>
        <v>1552910.0599999998</v>
      </c>
      <c r="M54" s="1077">
        <f t="shared" si="50"/>
        <v>915098.59000000008</v>
      </c>
      <c r="N54" s="1077">
        <f t="shared" si="50"/>
        <v>403748.18999999994</v>
      </c>
      <c r="O54" s="1077">
        <f t="shared" si="50"/>
        <v>234063.2799999998</v>
      </c>
      <c r="P54" s="1077">
        <f t="shared" si="50"/>
        <v>2438045.4500000002</v>
      </c>
      <c r="Q54" s="1077">
        <f t="shared" si="50"/>
        <v>0</v>
      </c>
      <c r="R54" s="1077">
        <f t="shared" si="50"/>
        <v>0</v>
      </c>
      <c r="S54" s="1077">
        <f t="shared" si="50"/>
        <v>0</v>
      </c>
      <c r="T54" s="1077">
        <f t="shared" si="50"/>
        <v>0</v>
      </c>
      <c r="U54" s="1077">
        <f t="shared" si="50"/>
        <v>0</v>
      </c>
      <c r="V54" s="1077">
        <f t="shared" si="50"/>
        <v>0</v>
      </c>
      <c r="W54" s="1077">
        <f t="shared" si="50"/>
        <v>0</v>
      </c>
      <c r="X54" s="1077">
        <f t="shared" si="50"/>
        <v>0</v>
      </c>
      <c r="Y54" s="1077">
        <f t="shared" si="50"/>
        <v>0</v>
      </c>
      <c r="Z54" s="1077">
        <f t="shared" si="50"/>
        <v>0</v>
      </c>
      <c r="AA54" s="1077">
        <f t="shared" si="50"/>
        <v>598643.31999999995</v>
      </c>
      <c r="AB54" s="1077">
        <f t="shared" si="50"/>
        <v>232936.51</v>
      </c>
      <c r="AC54" s="1077">
        <f t="shared" si="50"/>
        <v>137264.79</v>
      </c>
      <c r="AD54" s="1077">
        <f t="shared" si="50"/>
        <v>95671.72</v>
      </c>
      <c r="AE54" s="1077">
        <f t="shared" si="50"/>
        <v>365706.80999999994</v>
      </c>
      <c r="AF54" s="1077">
        <f t="shared" si="50"/>
        <v>0</v>
      </c>
      <c r="AG54" s="1077">
        <f t="shared" si="50"/>
        <v>0</v>
      </c>
      <c r="AH54" s="1077">
        <f t="shared" si="50"/>
        <v>0</v>
      </c>
      <c r="AI54" s="1077">
        <f t="shared" si="50"/>
        <v>0</v>
      </c>
      <c r="AJ54" s="1077">
        <f t="shared" si="50"/>
        <v>0</v>
      </c>
      <c r="AK54" s="1077">
        <f t="shared" si="50"/>
        <v>3392312.19</v>
      </c>
      <c r="AL54" s="1077">
        <f>SUM(AL55)</f>
        <v>1319973.5499999998</v>
      </c>
      <c r="AM54" s="1077">
        <f t="shared" ref="AM54:AQ54" si="51">SUM(AM55)</f>
        <v>777833.8</v>
      </c>
      <c r="AN54" s="1077">
        <f t="shared" si="51"/>
        <v>542139.74999999977</v>
      </c>
      <c r="AO54" s="1077">
        <f t="shared" si="51"/>
        <v>2072338.6400000001</v>
      </c>
      <c r="AP54" s="1077">
        <f t="shared" si="51"/>
        <v>0</v>
      </c>
      <c r="AQ54" s="1077">
        <f t="shared" si="51"/>
        <v>0</v>
      </c>
      <c r="AR54" s="233">
        <f>SUM(K54-'3 pr-2'!L56)</f>
        <v>0</v>
      </c>
    </row>
    <row r="55" spans="1:44" ht="49.5" customHeight="1" thickBot="1">
      <c r="A55" s="375" t="str">
        <f>CONCATENATE('3 pr-2'!A57)</f>
        <v>1.1.1.6.1</v>
      </c>
      <c r="B55" s="578" t="str">
        <f>CONCATENATE('3 pr-2'!B57)</f>
        <v>R01-0007-080000-1161</v>
      </c>
      <c r="C55" s="577" t="str">
        <f>CONCATENATE('ketv. 6 '!C56)</f>
        <v>05.1.1-APVA-R-007-11-0001</v>
      </c>
      <c r="D55" s="164" t="str">
        <f>CONCATENATE('3 pr-2'!D57)</f>
        <v>Paviršinių nuotekų sistemų tvarkymas Alytaus mieste</v>
      </c>
      <c r="E55" s="164" t="str">
        <f>CONCATENATE('3 pr-2'!E57)</f>
        <v>UAB “Dzūkijos vandenys“</v>
      </c>
      <c r="F55" s="164" t="str">
        <f>CONCATENATE('3 pr-2'!F57)</f>
        <v>Lietuvos Respublikos aplinkos ministerija</v>
      </c>
      <c r="G55" s="164" t="str">
        <f>CONCATENATE('3 pr-2'!G57)</f>
        <v>Alytaus m. sav.</v>
      </c>
      <c r="H55" s="164" t="str">
        <f>CONCATENATE('3 pr-2'!H57)</f>
        <v>05.1.1-APVA-R-007</v>
      </c>
      <c r="I55" s="164" t="str">
        <f>CONCATENATE('3 pr-2'!I57)</f>
        <v>R</v>
      </c>
      <c r="J55" s="164" t="str">
        <f>CONCATENATE('3 pr-2'!J57)</f>
        <v>-</v>
      </c>
      <c r="K55" s="1164">
        <f>SUM('3 pr-2'!L57)</f>
        <v>3990955.51</v>
      </c>
      <c r="L55" s="1159">
        <f t="shared" ref="L55" si="52">SUM(R55+W55+AB55+AG55+AL55)</f>
        <v>1552910.0599999998</v>
      </c>
      <c r="M55" s="1082">
        <v>915098.59000000008</v>
      </c>
      <c r="N55" s="1082">
        <v>403748.18999999994</v>
      </c>
      <c r="O55" s="1082">
        <f t="shared" si="21"/>
        <v>234063.2799999998</v>
      </c>
      <c r="P55" s="1080">
        <f t="shared" si="9"/>
        <v>2438045.4500000002</v>
      </c>
      <c r="Q55" s="1164">
        <f>SUM('3 pr-2'!O57)</f>
        <v>0</v>
      </c>
      <c r="R55" s="1080">
        <f>SUMIF('mokėjimų ataskaita'!$I:$I,C55,'mokėjimų ataskaita'!$AU:$AU)/2</f>
        <v>0</v>
      </c>
      <c r="S55" s="1082"/>
      <c r="T55" s="1082"/>
      <c r="U55" s="1080">
        <f>SUM(Q55-R55)</f>
        <v>0</v>
      </c>
      <c r="V55" s="1164">
        <f>SUM('3 pr-2'!R57)</f>
        <v>0</v>
      </c>
      <c r="W55" s="1080">
        <f>SUMIF('mokėjimų ataskaita'!$I:$I,C55,'mokėjimų ataskaita'!$AL:$AL)/2</f>
        <v>0</v>
      </c>
      <c r="X55" s="1082"/>
      <c r="Y55" s="1082"/>
      <c r="Z55" s="1080">
        <f t="shared" ref="Z55" si="53">SUM(V55-W55)</f>
        <v>0</v>
      </c>
      <c r="AA55" s="1164">
        <f>SUM('3 pr-2'!U57)</f>
        <v>598643.31999999995</v>
      </c>
      <c r="AB55" s="1159">
        <f>SUMIF('mokėjimų ataskaita'!$I:$I,'ketv. 7 '!C55,'mokėjimų ataskaita'!$AW:$AW)/2</f>
        <v>232936.51</v>
      </c>
      <c r="AC55" s="1082">
        <v>137264.79</v>
      </c>
      <c r="AD55" s="1082">
        <f t="shared" si="47"/>
        <v>95671.72</v>
      </c>
      <c r="AE55" s="1160">
        <f t="shared" si="29"/>
        <v>365706.80999999994</v>
      </c>
      <c r="AF55" s="1164">
        <f>SUM('3 pr-2'!X57)</f>
        <v>0</v>
      </c>
      <c r="AG55" s="1080">
        <f>SUMIF('mokėjimų ataskaita'!$I:$I,'ketv. 7 '!C55,'mokėjimų ataskaita'!$AT:$AT)/2+SUMIF('mokėjimų ataskaita'!$I:$I,'ketv. 7 '!C55,'mokėjimų ataskaita'!$AV:$AV)/2</f>
        <v>0</v>
      </c>
      <c r="AH55" s="1082"/>
      <c r="AI55" s="1082"/>
      <c r="AJ55" s="1080">
        <f t="shared" si="30"/>
        <v>0</v>
      </c>
      <c r="AK55" s="1164">
        <f>SUM('3 pr-2'!AA57)</f>
        <v>3392312.19</v>
      </c>
      <c r="AL55" s="1159">
        <f>SUMIF('mokėjimų ataskaita'!$I:$I,'ketv. 7 '!C55,'mokėjimų ataskaita'!$AK:$AK)/2</f>
        <v>1319973.5499999998</v>
      </c>
      <c r="AM55" s="1082">
        <v>777833.8</v>
      </c>
      <c r="AN55" s="1082">
        <f t="shared" ref="AN55" si="54">SUM(AL55-AM55)</f>
        <v>542139.74999999977</v>
      </c>
      <c r="AO55" s="1165">
        <f>SUM(AK55-AL55)</f>
        <v>2072338.6400000001</v>
      </c>
      <c r="AP55" s="1080">
        <f>SUM('3 pr-2'!AB57)</f>
        <v>0</v>
      </c>
      <c r="AQ55" s="1080">
        <v>0</v>
      </c>
    </row>
    <row r="56" spans="1:44" ht="38.25" customHeight="1" thickBot="1">
      <c r="A56" s="296" t="str">
        <f>CONCATENATE('3 pr-2'!A58)</f>
        <v>1.1.1.7</v>
      </c>
      <c r="B56" s="2088" t="str">
        <f>CONCATENATE('3 pr-2'!B58)</f>
        <v>Priemonė:
Savivaldybes jungiančių turizmo trasų ir turizmo maršrutų informacinės infrastruktūros plėtra</v>
      </c>
      <c r="C56" s="2089"/>
      <c r="D56" s="2089"/>
      <c r="E56" s="2089"/>
      <c r="F56" s="2089"/>
      <c r="G56" s="2089"/>
      <c r="H56" s="2089"/>
      <c r="I56" s="2089"/>
      <c r="J56" s="2090"/>
      <c r="K56" s="1077">
        <f t="shared" ref="K56:AK56" si="55">SUM(K57:K59)</f>
        <v>719317.64705882361</v>
      </c>
      <c r="L56" s="1077">
        <f t="shared" si="55"/>
        <v>64571.529999999992</v>
      </c>
      <c r="M56" s="1077">
        <f t="shared" si="55"/>
        <v>0</v>
      </c>
      <c r="N56" s="1077">
        <f t="shared" si="55"/>
        <v>64571.529999999992</v>
      </c>
      <c r="O56" s="1077">
        <f t="shared" si="55"/>
        <v>0</v>
      </c>
      <c r="P56" s="1077">
        <f t="shared" si="55"/>
        <v>654746.11705882358</v>
      </c>
      <c r="Q56" s="1077">
        <f t="shared" si="55"/>
        <v>107897.64705882352</v>
      </c>
      <c r="R56" s="1077">
        <f t="shared" si="55"/>
        <v>9685.73</v>
      </c>
      <c r="S56" s="1077">
        <f t="shared" si="55"/>
        <v>0</v>
      </c>
      <c r="T56" s="1077">
        <f t="shared" si="55"/>
        <v>0</v>
      </c>
      <c r="U56" s="1077">
        <f t="shared" si="55"/>
        <v>98211.917058823543</v>
      </c>
      <c r="V56" s="1077">
        <f t="shared" si="55"/>
        <v>0</v>
      </c>
      <c r="W56" s="1077">
        <f t="shared" si="55"/>
        <v>0</v>
      </c>
      <c r="X56" s="1077">
        <f t="shared" si="55"/>
        <v>0</v>
      </c>
      <c r="Y56" s="1077">
        <f t="shared" si="55"/>
        <v>0</v>
      </c>
      <c r="Z56" s="1077">
        <f t="shared" si="55"/>
        <v>0</v>
      </c>
      <c r="AA56" s="1077">
        <f t="shared" si="55"/>
        <v>0</v>
      </c>
      <c r="AB56" s="1077">
        <f t="shared" si="55"/>
        <v>0</v>
      </c>
      <c r="AC56" s="1077">
        <f t="shared" si="55"/>
        <v>0</v>
      </c>
      <c r="AD56" s="1077">
        <f t="shared" si="55"/>
        <v>0</v>
      </c>
      <c r="AE56" s="1077">
        <f t="shared" si="55"/>
        <v>0</v>
      </c>
      <c r="AF56" s="1077">
        <f t="shared" si="55"/>
        <v>0</v>
      </c>
      <c r="AG56" s="1077">
        <f t="shared" si="55"/>
        <v>0</v>
      </c>
      <c r="AH56" s="1077">
        <f t="shared" si="55"/>
        <v>0</v>
      </c>
      <c r="AI56" s="1077">
        <f t="shared" si="55"/>
        <v>0</v>
      </c>
      <c r="AJ56" s="1077">
        <f t="shared" si="55"/>
        <v>0</v>
      </c>
      <c r="AK56" s="1077">
        <f t="shared" si="55"/>
        <v>611420</v>
      </c>
      <c r="AL56" s="1077">
        <f>SUM(AL57:AL59)</f>
        <v>54885.799999999996</v>
      </c>
      <c r="AM56" s="1077">
        <f t="shared" ref="AM56:AQ56" si="56">SUM(AM57:AM59)</f>
        <v>0</v>
      </c>
      <c r="AN56" s="1077">
        <f t="shared" si="56"/>
        <v>0</v>
      </c>
      <c r="AO56" s="1077">
        <f t="shared" si="56"/>
        <v>556534.20000000007</v>
      </c>
      <c r="AP56" s="1077">
        <f t="shared" si="56"/>
        <v>0</v>
      </c>
      <c r="AQ56" s="1077">
        <f t="shared" si="56"/>
        <v>0</v>
      </c>
      <c r="AR56" s="233">
        <f>SUM(K56-'3 pr-2'!L58)</f>
        <v>0</v>
      </c>
    </row>
    <row r="57" spans="1:44" ht="36.75">
      <c r="A57" s="375" t="str">
        <f>CONCATENATE('3 pr-2'!A59)</f>
        <v>1.1.1.7.1</v>
      </c>
      <c r="B57" s="578" t="str">
        <f>CONCATENATE('3 pr-2'!B59)</f>
        <v>R01-8821-420000-1171</v>
      </c>
      <c r="C57" s="577" t="str">
        <f>CONCATENATE('ketv. 6 '!C58)</f>
        <v>05.4.1-LVPA-R-821-11-0002</v>
      </c>
      <c r="D57" s="164" t="str">
        <f>CONCATENATE('3 pr-2'!D59)</f>
        <v>Alytaus regiono turizmo informacinės infrastruktūros plėtra</v>
      </c>
      <c r="E57" s="164" t="str">
        <f>CONCATENATE('3 pr-2'!E59)</f>
        <v>Alytaus miesto savivaldybės administracija</v>
      </c>
      <c r="F57" s="164" t="str">
        <f>CONCATENATE('3 pr-2'!F59)</f>
        <v>Lietuvos Respublikos ūkio ministerija</v>
      </c>
      <c r="G57" s="164" t="str">
        <f>CONCATENATE('3 pr-2'!G59)</f>
        <v>Alytaus regionas</v>
      </c>
      <c r="H57" s="164" t="str">
        <f>CONCATENATE('3 pr-2'!H59)</f>
        <v>05.4.1-LVPA-R-821</v>
      </c>
      <c r="I57" s="164" t="str">
        <f>CONCATENATE('3 pr-2'!I59)</f>
        <v>R</v>
      </c>
      <c r="J57" s="164" t="str">
        <f>CONCATENATE('3 pr-2'!J59)</f>
        <v>-</v>
      </c>
      <c r="K57" s="1164">
        <f>SUM('3 pr-2'!L59)</f>
        <v>208223.52941176473</v>
      </c>
      <c r="L57" s="1159">
        <f t="shared" ref="L57:L59" si="57">SUM(R57+W57+AB57+AG57+AL57)</f>
        <v>8421.6</v>
      </c>
      <c r="M57" s="1082">
        <v>0</v>
      </c>
      <c r="N57" s="1082">
        <v>8421.6</v>
      </c>
      <c r="O57" s="1082">
        <f t="shared" si="21"/>
        <v>0</v>
      </c>
      <c r="P57" s="1160">
        <f t="shared" si="9"/>
        <v>199801.92941176472</v>
      </c>
      <c r="Q57" s="1164">
        <f>SUM('3 pr-2'!O59)</f>
        <v>31233.529411764706</v>
      </c>
      <c r="R57" s="1159">
        <f>SUMIF('mokėjimų ataskaita'!$I:$I,C57,'mokėjimų ataskaita'!$AU:$AU)/2</f>
        <v>1263.24</v>
      </c>
      <c r="S57" s="1082"/>
      <c r="T57" s="1082"/>
      <c r="U57" s="1160">
        <f>SUM(Q57-R57)</f>
        <v>29970.289411764705</v>
      </c>
      <c r="V57" s="1164">
        <f>SUM('3 pr-2'!R59)</f>
        <v>0</v>
      </c>
      <c r="W57" s="1080">
        <f>SUMIF('mokėjimų ataskaita'!$I:$I,C57,'mokėjimų ataskaita'!$AL:$AL)/2</f>
        <v>0</v>
      </c>
      <c r="X57" s="1082"/>
      <c r="Y57" s="1082"/>
      <c r="Z57" s="1160">
        <f t="shared" si="28"/>
        <v>0</v>
      </c>
      <c r="AA57" s="1164">
        <f>SUM('3 pr-2'!U59)</f>
        <v>0</v>
      </c>
      <c r="AB57" s="1080">
        <f>SUMIF('mokėjimų ataskaita'!$I:$I,'ketv. 7 '!C57,'mokėjimų ataskaita'!$AW:$AW)/2</f>
        <v>0</v>
      </c>
      <c r="AC57" s="1082"/>
      <c r="AD57" s="1082"/>
      <c r="AE57" s="1160">
        <f t="shared" si="29"/>
        <v>0</v>
      </c>
      <c r="AF57" s="1164">
        <f>SUM('3 pr-2'!X59)</f>
        <v>0</v>
      </c>
      <c r="AG57" s="1080">
        <f>SUMIF('mokėjimų ataskaita'!$I:$I,'ketv. 7 '!C57,'mokėjimų ataskaita'!$AT:$AT)/2+SUMIF('mokėjimų ataskaita'!$I:$I,'ketv. 7 '!C57,'mokėjimų ataskaita'!$AV:$AV)/2</f>
        <v>0</v>
      </c>
      <c r="AH57" s="1082"/>
      <c r="AI57" s="1082"/>
      <c r="AJ57" s="1160">
        <f t="shared" si="30"/>
        <v>0</v>
      </c>
      <c r="AK57" s="1164">
        <f>SUM('3 pr-2'!AA59)</f>
        <v>176990</v>
      </c>
      <c r="AL57" s="1159">
        <f>SUMIF('mokėjimų ataskaita'!$I:$I,'ketv. 7 '!C57,'mokėjimų ataskaita'!$AK:$AK)/2</f>
        <v>7158.36</v>
      </c>
      <c r="AM57" s="1082"/>
      <c r="AN57" s="1082"/>
      <c r="AO57" s="1161">
        <f>SUM(AK57-AL57)</f>
        <v>169831.64</v>
      </c>
      <c r="AP57" s="1080">
        <f>SUM('3 pr-2'!AB59)</f>
        <v>0</v>
      </c>
      <c r="AQ57" s="1159">
        <v>0</v>
      </c>
    </row>
    <row r="58" spans="1:44" ht="48.75">
      <c r="A58" s="375" t="str">
        <f>CONCATENATE('3 pr-2'!A60)</f>
        <v>1.1.1.7.2</v>
      </c>
      <c r="B58" s="578" t="str">
        <f>CONCATENATE('3 pr-2'!B60)</f>
        <v>R01-8821-420000-1172</v>
      </c>
      <c r="C58" s="577" t="str">
        <f>CONCATENATE('ketv. 6 '!C59)</f>
        <v>05.4.1-LVPA-R-821-11-0001</v>
      </c>
      <c r="D58" s="164" t="str">
        <f>CONCATENATE('3 pr-2'!D60)</f>
        <v>Turizmo trasų ir maršrutų informacinės infrastruktūros plėtra Lazdijų, Varėnos rajonų ir Druskininkų savivaldybėse</v>
      </c>
      <c r="E58" s="164" t="str">
        <f>CONCATENATE('3 pr-2'!E60)</f>
        <v>Lazdijų rajono savivaldybės administracija</v>
      </c>
      <c r="F58" s="164" t="str">
        <f>CONCATENATE('3 pr-2'!F60)</f>
        <v>Lietuvos Respublikos ūkio ministerija</v>
      </c>
      <c r="G58" s="164" t="str">
        <f>CONCATENATE('3 pr-2'!G60)</f>
        <v xml:space="preserve">Lazdijų, Varėnos rajonų ir Druskininkų savivaldybės </v>
      </c>
      <c r="H58" s="164" t="str">
        <f>CONCATENATE('3 pr-2'!H60)</f>
        <v>05.4.1-LVPA-R-821</v>
      </c>
      <c r="I58" s="164" t="str">
        <f>CONCATENATE('3 pr-2'!I60)</f>
        <v>R</v>
      </c>
      <c r="J58" s="164" t="str">
        <f>CONCATENATE('3 pr-2'!J60)</f>
        <v>-</v>
      </c>
      <c r="K58" s="1164">
        <f>SUM('3 pr-2'!L60)</f>
        <v>288106</v>
      </c>
      <c r="L58" s="1159">
        <f t="shared" si="57"/>
        <v>56149.929999999993</v>
      </c>
      <c r="M58" s="1082">
        <v>0</v>
      </c>
      <c r="N58" s="1082">
        <v>56149.929999999993</v>
      </c>
      <c r="O58" s="1082">
        <f t="shared" si="21"/>
        <v>0</v>
      </c>
      <c r="P58" s="1160">
        <f t="shared" si="9"/>
        <v>231956.07</v>
      </c>
      <c r="Q58" s="1164">
        <f>SUM('3 pr-2'!O60)</f>
        <v>43215.9</v>
      </c>
      <c r="R58" s="1159">
        <f>SUMIF('mokėjimų ataskaita'!$I:$I,C58,'mokėjimų ataskaita'!$AU:$AU)/2</f>
        <v>8422.49</v>
      </c>
      <c r="S58" s="1082"/>
      <c r="T58" s="1082"/>
      <c r="U58" s="1160">
        <f>SUM(Q58-R58)</f>
        <v>34793.410000000003</v>
      </c>
      <c r="V58" s="1164">
        <f>SUM('3 pr-2'!R60)</f>
        <v>0</v>
      </c>
      <c r="W58" s="1080">
        <f>SUMIF('mokėjimų ataskaita'!$I:$I,C58,'mokėjimų ataskaita'!$AL:$AL)/2</f>
        <v>0</v>
      </c>
      <c r="X58" s="1082"/>
      <c r="Y58" s="1082"/>
      <c r="Z58" s="1160">
        <f t="shared" si="28"/>
        <v>0</v>
      </c>
      <c r="AA58" s="1164">
        <f>SUM('3 pr-2'!U60)</f>
        <v>0</v>
      </c>
      <c r="AB58" s="1080">
        <f>SUMIF('mokėjimų ataskaita'!$I:$I,'ketv. 7 '!C58,'mokėjimų ataskaita'!$AW:$AW)/2</f>
        <v>0</v>
      </c>
      <c r="AC58" s="1082"/>
      <c r="AD58" s="1082"/>
      <c r="AE58" s="1160">
        <f t="shared" si="29"/>
        <v>0</v>
      </c>
      <c r="AF58" s="1164">
        <f>SUM('3 pr-2'!X60)</f>
        <v>0</v>
      </c>
      <c r="AG58" s="1080">
        <f>SUMIF('mokėjimų ataskaita'!$I:$I,'ketv. 7 '!C58,'mokėjimų ataskaita'!$AT:$AT)/2+SUMIF('mokėjimų ataskaita'!$I:$I,'ketv. 7 '!C58,'mokėjimų ataskaita'!$AV:$AV)/2</f>
        <v>0</v>
      </c>
      <c r="AH58" s="1082"/>
      <c r="AI58" s="1082"/>
      <c r="AJ58" s="1160">
        <f t="shared" si="30"/>
        <v>0</v>
      </c>
      <c r="AK58" s="1164">
        <f>SUM('3 pr-2'!AA60)</f>
        <v>244890.1</v>
      </c>
      <c r="AL58" s="1159">
        <f>SUMIF('mokėjimų ataskaita'!$I:$I,'ketv. 7 '!C58,'mokėjimų ataskaita'!$AK:$AK)/2</f>
        <v>47727.439999999995</v>
      </c>
      <c r="AM58" s="1082"/>
      <c r="AN58" s="1082"/>
      <c r="AO58" s="1161">
        <f>SUM(AK58-AL58)</f>
        <v>197162.66</v>
      </c>
      <c r="AP58" s="1080">
        <f>SUM('3 pr-2'!AB60)</f>
        <v>0</v>
      </c>
      <c r="AQ58" s="1159">
        <v>0</v>
      </c>
    </row>
    <row r="59" spans="1:44" ht="61.5" thickBot="1">
      <c r="A59" s="375" t="str">
        <f>CONCATENATE('3 pr-2'!A61)</f>
        <v>1.1.1.7.3</v>
      </c>
      <c r="B59" s="578" t="str">
        <f>CONCATENATE('3 pr-2'!B61)</f>
        <v>R01-8821-420000-1173</v>
      </c>
      <c r="C59" s="577" t="str">
        <f>CONCATENATE('ketv. 6 '!C60)</f>
        <v>-</v>
      </c>
      <c r="D59" s="164" t="str">
        <f>CONCATENATE('3 pr-2'!D61)</f>
        <v>Turizmo trasų ir maršrutų informacinės infrastruktūros plėtra Lazdijų, Varėnos rajonų ir Druskininkų savivaldybėse, II etapas</v>
      </c>
      <c r="E59" s="164" t="str">
        <f>CONCATENATE('3 pr-2'!E61)</f>
        <v>Lazdijų rajono savivaldybės administracija</v>
      </c>
      <c r="F59" s="164" t="str">
        <f>CONCATENATE('3 pr-2'!F61)</f>
        <v>Lietuvos Respublikos ūkio ministerija</v>
      </c>
      <c r="G59" s="164" t="str">
        <f>CONCATENATE('3 pr-2'!G61)</f>
        <v xml:space="preserve">Lazdijų, Varėnos rajonų ir Druskininkų savivaldybės </v>
      </c>
      <c r="H59" s="164" t="str">
        <f>CONCATENATE('3 pr-2'!H61)</f>
        <v>05.4.1-LVPA-R-821</v>
      </c>
      <c r="I59" s="164" t="str">
        <f>CONCATENATE('3 pr-2'!I61)</f>
        <v>R</v>
      </c>
      <c r="J59" s="164" t="str">
        <f>CONCATENATE('3 pr-2'!J61)</f>
        <v>-</v>
      </c>
      <c r="K59" s="1164">
        <f>SUM('3 pr-2'!L61)</f>
        <v>222988.11764705885</v>
      </c>
      <c r="L59" s="1080">
        <f t="shared" si="57"/>
        <v>0</v>
      </c>
      <c r="M59" s="1082">
        <v>0</v>
      </c>
      <c r="N59" s="1082">
        <v>0</v>
      </c>
      <c r="O59" s="1082">
        <f t="shared" si="21"/>
        <v>0</v>
      </c>
      <c r="P59" s="1160">
        <f t="shared" si="9"/>
        <v>222988.11764705885</v>
      </c>
      <c r="Q59" s="1164">
        <f>SUM('3 pr-2'!O61)</f>
        <v>33448.217647058824</v>
      </c>
      <c r="R59" s="1080">
        <f>SUMIF('mokėjimų ataskaita'!$I:$I,C59,'mokėjimų ataskaita'!$AU:$AU)/2</f>
        <v>0</v>
      </c>
      <c r="S59" s="1082"/>
      <c r="T59" s="1082"/>
      <c r="U59" s="1160">
        <f>SUM(Q59-R59)</f>
        <v>33448.217647058824</v>
      </c>
      <c r="V59" s="1164">
        <f>SUM('3 pr-2'!R61)</f>
        <v>0</v>
      </c>
      <c r="W59" s="1080">
        <f>SUMIF('mokėjimų ataskaita'!$I:$I,C59,'mokėjimų ataskaita'!$AL:$AL)/2</f>
        <v>0</v>
      </c>
      <c r="X59" s="1082"/>
      <c r="Y59" s="1082"/>
      <c r="Z59" s="1160">
        <f t="shared" si="28"/>
        <v>0</v>
      </c>
      <c r="AA59" s="1164">
        <f>SUM('3 pr-2'!U61)</f>
        <v>0</v>
      </c>
      <c r="AB59" s="1080">
        <f>SUMIF('mokėjimų ataskaita'!$I:$I,'ketv. 7 '!C59,'mokėjimų ataskaita'!$AW:$AW)/2</f>
        <v>0</v>
      </c>
      <c r="AC59" s="1082"/>
      <c r="AD59" s="1082"/>
      <c r="AE59" s="1160">
        <f t="shared" si="29"/>
        <v>0</v>
      </c>
      <c r="AF59" s="1164">
        <f>SUM('3 pr-2'!X61)</f>
        <v>0</v>
      </c>
      <c r="AG59" s="1080">
        <f>SUMIF('mokėjimų ataskaita'!$I:$I,'ketv. 7 '!C59,'mokėjimų ataskaita'!$AT:$AT)/2+SUMIF('mokėjimų ataskaita'!$I:$I,'ketv. 7 '!C59,'mokėjimų ataskaita'!$AV:$AV)/2</f>
        <v>0</v>
      </c>
      <c r="AH59" s="1082"/>
      <c r="AI59" s="1082"/>
      <c r="AJ59" s="1160">
        <f t="shared" si="30"/>
        <v>0</v>
      </c>
      <c r="AK59" s="1164">
        <f>SUM('3 pr-2'!AA61)</f>
        <v>189539.9</v>
      </c>
      <c r="AL59" s="1080">
        <f>SUMIF('mokėjimų ataskaita'!$I:$I,'ketv. 7 '!C59,'mokėjimų ataskaita'!$AK:$AK)/2</f>
        <v>0</v>
      </c>
      <c r="AM59" s="1082"/>
      <c r="AN59" s="1082"/>
      <c r="AO59" s="1166">
        <f>SUM(AK59-AL59)</f>
        <v>189539.9</v>
      </c>
      <c r="AP59" s="1080">
        <f>SUM('3 pr-2'!AB61)</f>
        <v>0</v>
      </c>
      <c r="AQ59" s="1080">
        <v>0</v>
      </c>
    </row>
    <row r="60" spans="1:44" ht="41.25" customHeight="1" thickBot="1">
      <c r="A60" s="296" t="str">
        <f>CONCATENATE('3 pr-2'!A62)</f>
        <v>1.1.1.8</v>
      </c>
      <c r="B60" s="2088" t="str">
        <f>CONCATENATE('3 pr-2'!B62)</f>
        <v>Priemonė:
Modernizuoti savivaldybių kultūros infrastruktūrą</v>
      </c>
      <c r="C60" s="2089"/>
      <c r="D60" s="2089"/>
      <c r="E60" s="2089"/>
      <c r="F60" s="2089"/>
      <c r="G60" s="2089"/>
      <c r="H60" s="2089"/>
      <c r="I60" s="2089"/>
      <c r="J60" s="2090"/>
      <c r="K60" s="1077">
        <f t="shared" ref="K60:AK60" si="58">SUM(K61:K64)</f>
        <v>1972835.5100000002</v>
      </c>
      <c r="L60" s="1077">
        <f t="shared" si="58"/>
        <v>1332041.72</v>
      </c>
      <c r="M60" s="1077">
        <f t="shared" si="58"/>
        <v>284080.76</v>
      </c>
      <c r="N60" s="1077">
        <f t="shared" si="58"/>
        <v>1020814.8799999999</v>
      </c>
      <c r="O60" s="1077">
        <f t="shared" si="58"/>
        <v>27146.080000000009</v>
      </c>
      <c r="P60" s="1077">
        <f t="shared" si="58"/>
        <v>640793.79</v>
      </c>
      <c r="Q60" s="1077">
        <f t="shared" si="58"/>
        <v>422270.99</v>
      </c>
      <c r="R60" s="1077">
        <f t="shared" si="58"/>
        <v>207612.71999999997</v>
      </c>
      <c r="S60" s="1077">
        <f t="shared" si="58"/>
        <v>14354.630000000001</v>
      </c>
      <c r="T60" s="1077">
        <f t="shared" si="58"/>
        <v>193258.09000000003</v>
      </c>
      <c r="U60" s="1077">
        <f t="shared" si="58"/>
        <v>214658.27000000002</v>
      </c>
      <c r="V60" s="1077">
        <f t="shared" si="58"/>
        <v>0</v>
      </c>
      <c r="W60" s="1077">
        <f t="shared" si="58"/>
        <v>0</v>
      </c>
      <c r="X60" s="1077">
        <f t="shared" si="58"/>
        <v>5651.88</v>
      </c>
      <c r="Y60" s="1077">
        <f t="shared" si="58"/>
        <v>-5651.88</v>
      </c>
      <c r="Z60" s="1077">
        <f t="shared" si="58"/>
        <v>0</v>
      </c>
      <c r="AA60" s="1077">
        <f t="shared" si="58"/>
        <v>0</v>
      </c>
      <c r="AB60" s="1077">
        <f t="shared" si="58"/>
        <v>0</v>
      </c>
      <c r="AC60" s="1077">
        <f t="shared" si="58"/>
        <v>0</v>
      </c>
      <c r="AD60" s="1077">
        <f t="shared" si="58"/>
        <v>0</v>
      </c>
      <c r="AE60" s="1077">
        <f t="shared" si="58"/>
        <v>0</v>
      </c>
      <c r="AF60" s="1077">
        <f t="shared" si="58"/>
        <v>352400.82</v>
      </c>
      <c r="AG60" s="1077">
        <f t="shared" si="58"/>
        <v>318879.01</v>
      </c>
      <c r="AH60" s="1077">
        <f t="shared" si="58"/>
        <v>0</v>
      </c>
      <c r="AI60" s="1077">
        <f t="shared" si="58"/>
        <v>0</v>
      </c>
      <c r="AJ60" s="1077">
        <f t="shared" si="58"/>
        <v>33521.81</v>
      </c>
      <c r="AK60" s="1077">
        <f t="shared" si="58"/>
        <v>1198163.7</v>
      </c>
      <c r="AL60" s="1077">
        <f>SUM(AL61:AL64)</f>
        <v>805549.99</v>
      </c>
      <c r="AM60" s="1077">
        <f t="shared" ref="AM60:AQ60" si="59">SUM(AM61:AM64)</f>
        <v>264074.25</v>
      </c>
      <c r="AN60" s="1077">
        <f t="shared" si="59"/>
        <v>541475.74</v>
      </c>
      <c r="AO60" s="1077">
        <f t="shared" si="59"/>
        <v>392613.70999999996</v>
      </c>
      <c r="AP60" s="1077">
        <f t="shared" si="59"/>
        <v>0</v>
      </c>
      <c r="AQ60" s="1077">
        <f t="shared" si="59"/>
        <v>0</v>
      </c>
      <c r="AR60" s="233">
        <f>SUM(K60-'3 pr-2'!L62)</f>
        <v>0</v>
      </c>
    </row>
    <row r="61" spans="1:44" ht="36.75">
      <c r="A61" s="375" t="str">
        <f>CONCATENATE('3 pr-2'!A63)</f>
        <v>1.1.1.8.1</v>
      </c>
      <c r="B61" s="578" t="str">
        <f>CONCATENATE('3 pr-2'!B63)</f>
        <v>R01-3305-330000-1181</v>
      </c>
      <c r="C61" s="577" t="str">
        <f>CONCATENATE('ketv. 6 '!C62)</f>
        <v>07.1.1-CPVA-R-305-11-0001</v>
      </c>
      <c r="D61" s="164" t="str">
        <f>CONCATENATE('3 pr-2'!D63)</f>
        <v>Kultūros įstaigų infrastruktūros modernizavimas Varėnos mieste</v>
      </c>
      <c r="E61" s="164" t="str">
        <f>CONCATENATE('3 pr-2'!E63)</f>
        <v>Varėnos rajono savivaldybės administracija</v>
      </c>
      <c r="F61" s="164" t="str">
        <f>CONCATENATE('3 pr-2'!F63)</f>
        <v>Lietuvos Respublikos kultūros ministerija</v>
      </c>
      <c r="G61" s="164" t="str">
        <f>CONCATENATE('3 pr-2'!G63)</f>
        <v>Varėnos r. sav.</v>
      </c>
      <c r="H61" s="164" t="str">
        <f>CONCATENATE('3 pr-2'!H63)</f>
        <v>07.1.1-CPVA-R-305</v>
      </c>
      <c r="I61" s="164" t="str">
        <f>CONCATENATE('3 pr-2'!I63)</f>
        <v>R</v>
      </c>
      <c r="J61" s="164" t="str">
        <f>CONCATENATE('3 pr-2'!J63)</f>
        <v>ITI</v>
      </c>
      <c r="K61" s="1164">
        <f>SUM('3 pr-2'!L63)</f>
        <v>352401</v>
      </c>
      <c r="L61" s="1159">
        <f t="shared" ref="L61:L64" si="60">SUM(R61+W61+AB61+AG61+AL61)</f>
        <v>337937.66000000003</v>
      </c>
      <c r="M61" s="1082">
        <v>171518.59000000003</v>
      </c>
      <c r="N61" s="1082">
        <v>162195.88</v>
      </c>
      <c r="O61" s="1082">
        <f t="shared" si="21"/>
        <v>4223.1900000000023</v>
      </c>
      <c r="P61" s="1080">
        <f t="shared" si="9"/>
        <v>14463.339999999967</v>
      </c>
      <c r="Q61" s="1164">
        <f>SUM('3 pr-2'!O63)</f>
        <v>52860.15</v>
      </c>
      <c r="R61" s="1159">
        <f>SUMIF('mokėjimų ataskaita'!$I:$I,C61,'mokėjimų ataskaita'!$AU:$AU)/2</f>
        <v>42713.509999999995</v>
      </c>
      <c r="S61" s="1082">
        <v>12248.45</v>
      </c>
      <c r="T61" s="1082">
        <f t="shared" ref="T61:T64" si="61">SUM(R61-S61)</f>
        <v>30465.059999999994</v>
      </c>
      <c r="U61" s="1080">
        <f>SUM(Q61-R61)</f>
        <v>10146.640000000007</v>
      </c>
      <c r="V61" s="1164">
        <f>SUM('3 pr-2'!R63)</f>
        <v>0</v>
      </c>
      <c r="W61" s="1080">
        <f>SUMIF('mokėjimų ataskaita'!$I:$I,C61,'mokėjimų ataskaita'!$AL:$AL)/2</f>
        <v>0</v>
      </c>
      <c r="X61" s="1082">
        <v>0</v>
      </c>
      <c r="Y61" s="1082">
        <f t="shared" ref="Y61:Y64" si="62">SUM(W61-X61)</f>
        <v>0</v>
      </c>
      <c r="Z61" s="1080">
        <f t="shared" ref="Z61:Z64" si="63">SUM(V61-W61)</f>
        <v>0</v>
      </c>
      <c r="AA61" s="1164">
        <f>SUM('3 pr-2'!U63)</f>
        <v>0</v>
      </c>
      <c r="AB61" s="1080">
        <f>SUMIF('mokėjimų ataskaita'!$I:$I,'ketv. 7 '!C61,'mokėjimų ataskaita'!$AW:$AW)/2</f>
        <v>0</v>
      </c>
      <c r="AC61" s="1082"/>
      <c r="AD61" s="1082"/>
      <c r="AE61" s="1080">
        <f t="shared" ref="AE61:AE64" si="64">SUM(AA61-AB61)</f>
        <v>0</v>
      </c>
      <c r="AF61" s="1164">
        <f>SUM('3 pr-2'!X63)</f>
        <v>0</v>
      </c>
      <c r="AG61" s="1080">
        <f>SUMIF('mokėjimų ataskaita'!$I:$I,'ketv. 7 '!C61,'mokėjimų ataskaita'!$AT:$AT)/2+SUMIF('mokėjimų ataskaita'!$I:$I,'ketv. 7 '!C61,'mokėjimų ataskaita'!$AV:$AV)/2</f>
        <v>0</v>
      </c>
      <c r="AH61" s="1082"/>
      <c r="AI61" s="1082"/>
      <c r="AJ61" s="1080">
        <f t="shared" ref="AJ61:AJ64" si="65">SUM(AF61-AG61)</f>
        <v>0</v>
      </c>
      <c r="AK61" s="1164">
        <f>SUM('3 pr-2'!AA63)</f>
        <v>299540.84999999998</v>
      </c>
      <c r="AL61" s="1159">
        <f>SUMIF('mokėjimų ataskaita'!$I:$I,'ketv. 7 '!C61,'mokėjimų ataskaita'!$AK:$AK)/2</f>
        <v>295224.15000000002</v>
      </c>
      <c r="AM61" s="1082">
        <v>159270.14000000001</v>
      </c>
      <c r="AN61" s="1082">
        <f t="shared" ref="AN61:AN64" si="66">SUM(AL61-AM61)</f>
        <v>135954.01</v>
      </c>
      <c r="AO61" s="1167">
        <f>SUM(AK61-AL61)</f>
        <v>4316.6999999999534</v>
      </c>
      <c r="AP61" s="1080">
        <f>SUM('3 pr-2'!AB63)</f>
        <v>0</v>
      </c>
      <c r="AQ61" s="1159">
        <v>0</v>
      </c>
    </row>
    <row r="62" spans="1:44" ht="48.75">
      <c r="A62" s="375" t="str">
        <f>CONCATENATE('3 pr-2'!A64)</f>
        <v>1.1.1.8.2</v>
      </c>
      <c r="B62" s="578" t="str">
        <f>CONCATENATE('3 pr-2'!B64)</f>
        <v>R01-3305-330000-1182</v>
      </c>
      <c r="C62" s="577" t="str">
        <f>CONCATENATE('ketv. 6 '!C63)</f>
        <v>07.1.1-CPVA-R-305-11-0002</v>
      </c>
      <c r="D62" s="164" t="str">
        <f>CONCATENATE('3 pr-2'!D64)</f>
        <v>VšĮ Alytaus kultūros ir komunikacijos centro pastato Alytuje, Pramonės g. 1B, rekonstravimas</v>
      </c>
      <c r="E62" s="164" t="str">
        <f>CONCATENATE('3 pr-2'!E64)</f>
        <v>Alytaus miesto savivaldybės administracija</v>
      </c>
      <c r="F62" s="164" t="str">
        <f>CONCATENATE('3 pr-2'!F64)</f>
        <v>Lietuvos Respublikos kultūros ministerija</v>
      </c>
      <c r="G62" s="164" t="str">
        <f>CONCATENATE('3 pr-2'!G64)</f>
        <v>Alytaus m. sav.</v>
      </c>
      <c r="H62" s="164" t="str">
        <f>CONCATENATE('3 pr-2'!H64)</f>
        <v>07.1.1-CPVA-R-305</v>
      </c>
      <c r="I62" s="164" t="str">
        <f>CONCATENATE('3 pr-2'!I64)</f>
        <v>R</v>
      </c>
      <c r="J62" s="164" t="str">
        <f>CONCATENATE('3 pr-2'!J64)</f>
        <v>ITI</v>
      </c>
      <c r="K62" s="1164">
        <f>SUM('3 pr-2'!L64)</f>
        <v>783264.16</v>
      </c>
      <c r="L62" s="1159">
        <f t="shared" si="60"/>
        <v>733208.6</v>
      </c>
      <c r="M62" s="1082">
        <v>92562.17</v>
      </c>
      <c r="N62" s="1082">
        <v>644471.29999999993</v>
      </c>
      <c r="O62" s="1082">
        <f t="shared" si="21"/>
        <v>-3824.8699999999953</v>
      </c>
      <c r="P62" s="1080">
        <f t="shared" ref="P62:P64" si="67">SUM(K62-L62)</f>
        <v>50055.560000000056</v>
      </c>
      <c r="Q62" s="1164">
        <f>SUM('3 pr-2'!O64)</f>
        <v>131322.34</v>
      </c>
      <c r="R62" s="1159">
        <f>SUMIF('mokėjimų ataskaita'!$I:$I,C62,'mokėjimų ataskaita'!$AU:$AU)/2</f>
        <v>118830.41</v>
      </c>
      <c r="S62" s="1082">
        <v>2106.1799999999998</v>
      </c>
      <c r="T62" s="1082">
        <f t="shared" si="61"/>
        <v>116724.23000000001</v>
      </c>
      <c r="U62" s="1080">
        <f>SUM(Q62-R62)</f>
        <v>12491.929999999993</v>
      </c>
      <c r="V62" s="1164">
        <f>SUM('3 pr-2'!R64)</f>
        <v>0</v>
      </c>
      <c r="W62" s="1159">
        <f>SUMIF('mokėjimų ataskaita'!$I:$I,C62,'mokėjimų ataskaita'!$AL:$AL)/2</f>
        <v>0</v>
      </c>
      <c r="X62" s="1082">
        <v>5651.88</v>
      </c>
      <c r="Y62" s="1082">
        <f t="shared" si="62"/>
        <v>-5651.88</v>
      </c>
      <c r="Z62" s="1080">
        <f t="shared" si="63"/>
        <v>0</v>
      </c>
      <c r="AA62" s="1164">
        <f>SUM('3 pr-2'!U64)</f>
        <v>0</v>
      </c>
      <c r="AB62" s="1080">
        <f>SUMIF('mokėjimų ataskaita'!$I:$I,'ketv. 7 '!C62,'mokėjimų ataskaita'!$AW:$AW)/2</f>
        <v>0</v>
      </c>
      <c r="AC62" s="1082"/>
      <c r="AD62" s="1082"/>
      <c r="AE62" s="1080">
        <f t="shared" si="64"/>
        <v>0</v>
      </c>
      <c r="AF62" s="1164">
        <f>SUM('3 pr-2'!X64)</f>
        <v>352400.82</v>
      </c>
      <c r="AG62" s="1294">
        <f>SUMIF('mokėjimų ataskaita'!$I:$I,'ketv. 7 '!C62,'mokėjimų ataskaita'!$AT:$AT)/2+SUMIF('mokėjimų ataskaita'!$I:$I,'ketv. 7 '!C62,'mokėjimų ataskaita'!$AV:$AV)/2</f>
        <v>318879.01</v>
      </c>
      <c r="AH62" s="1082"/>
      <c r="AI62" s="1082"/>
      <c r="AJ62" s="1080">
        <f t="shared" si="65"/>
        <v>33521.81</v>
      </c>
      <c r="AK62" s="1164">
        <f>SUM('3 pr-2'!AA64)</f>
        <v>299541</v>
      </c>
      <c r="AL62" s="1159">
        <f>SUMIF('mokėjimų ataskaita'!$I:$I,'ketv. 7 '!C62,'mokėjimų ataskaita'!$AK:$AK)/2</f>
        <v>295499.17999999993</v>
      </c>
      <c r="AM62" s="1082">
        <v>84804.11</v>
      </c>
      <c r="AN62" s="1082">
        <f t="shared" si="66"/>
        <v>210695.06999999995</v>
      </c>
      <c r="AO62" s="1167">
        <f>SUM(AK62-AL62)</f>
        <v>4041.8200000000652</v>
      </c>
      <c r="AP62" s="1080">
        <f>SUM('3 pr-2'!AB64)</f>
        <v>0</v>
      </c>
      <c r="AQ62" s="1159">
        <v>0</v>
      </c>
    </row>
    <row r="63" spans="1:44" ht="48.75">
      <c r="A63" s="375" t="str">
        <f>CONCATENATE('3 pr-2'!A65)</f>
        <v>1.1.1.8.3</v>
      </c>
      <c r="B63" s="578" t="str">
        <f>CONCATENATE('3 pr-2'!B65)</f>
        <v>R01-3305-330000-1183</v>
      </c>
      <c r="C63" s="577" t="str">
        <f>CONCATENATE('ketv. 6 '!C64)</f>
        <v>07.1.1-CPVA-R-305-11-0003</v>
      </c>
      <c r="D63" s="164" t="str">
        <f>CONCATENATE('3 pr-2'!D65)</f>
        <v>Druskininkų kultūros centro lauko scenos, Vilniaus al. 24, Druskininkai, modernizavimas ir pritaikymas kultūros poreikiams</v>
      </c>
      <c r="E63" s="164" t="str">
        <f>CONCATENATE('3 pr-2'!E65)</f>
        <v xml:space="preserve">Druskininkų savivaldybės administracija  </v>
      </c>
      <c r="F63" s="164" t="str">
        <f>CONCATENATE('3 pr-2'!F65)</f>
        <v>Lietuvos Respublikos kultūros ministerija</v>
      </c>
      <c r="G63" s="164" t="str">
        <f>CONCATENATE('3 pr-2'!G65)</f>
        <v>Druskininkų sav.</v>
      </c>
      <c r="H63" s="164" t="str">
        <f>CONCATENATE('3 pr-2'!H65)</f>
        <v>07.1.1-CPVA-R-305</v>
      </c>
      <c r="I63" s="164" t="str">
        <f>CONCATENATE('3 pr-2'!I65)</f>
        <v>R</v>
      </c>
      <c r="J63" s="164" t="str">
        <f>CONCATENATE('3 pr-2'!J65)</f>
        <v>ITI</v>
      </c>
      <c r="K63" s="1164">
        <f>SUM('3 pr-2'!L65)</f>
        <v>352401</v>
      </c>
      <c r="L63" s="1159">
        <f t="shared" si="60"/>
        <v>205085.12</v>
      </c>
      <c r="M63" s="1082">
        <v>20000</v>
      </c>
      <c r="N63" s="1082">
        <v>185085.12</v>
      </c>
      <c r="O63" s="1082">
        <f t="shared" si="21"/>
        <v>0</v>
      </c>
      <c r="P63" s="1080">
        <f t="shared" si="67"/>
        <v>147315.88</v>
      </c>
      <c r="Q63" s="1164">
        <f>SUM('3 pr-2'!O65)</f>
        <v>52860.15</v>
      </c>
      <c r="R63" s="1159">
        <f>SUMIF('mokėjimų ataskaita'!$I:$I,C63,'mokėjimų ataskaita'!$AU:$AU)/2</f>
        <v>28233.97</v>
      </c>
      <c r="S63" s="1082">
        <v>0</v>
      </c>
      <c r="T63" s="1082">
        <f t="shared" si="61"/>
        <v>28233.97</v>
      </c>
      <c r="U63" s="1080">
        <f>SUM(Q63-R63)</f>
        <v>24626.18</v>
      </c>
      <c r="V63" s="1164">
        <f>SUM('3 pr-2'!R65)</f>
        <v>0</v>
      </c>
      <c r="W63" s="1080">
        <f>SUMIF('mokėjimų ataskaita'!$I:$I,C63,'mokėjimų ataskaita'!$AL:$AL)/2</f>
        <v>0</v>
      </c>
      <c r="X63" s="1082">
        <v>0</v>
      </c>
      <c r="Y63" s="1082">
        <f t="shared" si="62"/>
        <v>0</v>
      </c>
      <c r="Z63" s="1080">
        <f t="shared" si="63"/>
        <v>0</v>
      </c>
      <c r="AA63" s="1164">
        <f>SUM('3 pr-2'!U65)</f>
        <v>0</v>
      </c>
      <c r="AB63" s="1080">
        <f>SUMIF('mokėjimų ataskaita'!$I:$I,'ketv. 7 '!C63,'mokėjimų ataskaita'!$AW:$AW)/2</f>
        <v>0</v>
      </c>
      <c r="AC63" s="1082"/>
      <c r="AD63" s="1082"/>
      <c r="AE63" s="1080">
        <f t="shared" si="64"/>
        <v>0</v>
      </c>
      <c r="AF63" s="1164">
        <f>SUM('3 pr-2'!X65)</f>
        <v>0</v>
      </c>
      <c r="AG63" s="1080">
        <f>SUMIF('mokėjimų ataskaita'!$I:$I,'ketv. 7 '!C63,'mokėjimų ataskaita'!$AT:$AT)/2+SUMIF('mokėjimų ataskaita'!$I:$I,'ketv. 7 '!C63,'mokėjimų ataskaita'!$AV:$AV)/2</f>
        <v>0</v>
      </c>
      <c r="AH63" s="1082"/>
      <c r="AI63" s="1082"/>
      <c r="AJ63" s="1080">
        <f t="shared" si="65"/>
        <v>0</v>
      </c>
      <c r="AK63" s="1164">
        <f>SUM('3 pr-2'!AA65)</f>
        <v>299540.84999999998</v>
      </c>
      <c r="AL63" s="1159">
        <f>SUMIF('mokėjimų ataskaita'!$I:$I,'ketv. 7 '!C63,'mokėjimų ataskaita'!$AK:$AK)/2</f>
        <v>176851.15</v>
      </c>
      <c r="AM63" s="1082">
        <v>20000</v>
      </c>
      <c r="AN63" s="1082">
        <f t="shared" si="66"/>
        <v>156851.15</v>
      </c>
      <c r="AO63" s="1167">
        <f>SUM(AK63-AL63)</f>
        <v>122689.69999999998</v>
      </c>
      <c r="AP63" s="1080">
        <f>SUM('3 pr-2'!AB65)</f>
        <v>0</v>
      </c>
      <c r="AQ63" s="1159">
        <v>0</v>
      </c>
    </row>
    <row r="64" spans="1:44" ht="49.5" thickBot="1">
      <c r="A64" s="375" t="str">
        <f>CONCATENATE('3 pr-2'!A66)</f>
        <v>1.1.1.8.4</v>
      </c>
      <c r="B64" s="578" t="str">
        <f>CONCATENATE('3 pr-2'!B66)</f>
        <v>R01-3305-330200-1184</v>
      </c>
      <c r="C64" s="577" t="str">
        <f>CONCATENATE('ketv. 6 '!C65)</f>
        <v>07.1.1-CPVA-R-305-11-0004</v>
      </c>
      <c r="D64" s="164" t="str">
        <f>CONCATENATE('3 pr-2'!D66)</f>
        <v>Pastato rekonstrukcija ir pritaikymas kultūrinėms, muziejinėms ir edukacinėms reikmėms</v>
      </c>
      <c r="E64" s="164" t="str">
        <f>CONCATENATE('3 pr-2'!E66)</f>
        <v>Lazdijų rajono savivaldybės administracija</v>
      </c>
      <c r="F64" s="164" t="str">
        <f>CONCATENATE('3 pr-2'!F66)</f>
        <v>Lietuvos Respublikos kultūros ministerija</v>
      </c>
      <c r="G64" s="164" t="str">
        <f>CONCATENATE('3 pr-2'!G66)</f>
        <v>Lazdijų r. sav.</v>
      </c>
      <c r="H64" s="164" t="str">
        <f>CONCATENATE('3 pr-2'!H66)</f>
        <v>07.1.1-CPVA-R-305</v>
      </c>
      <c r="I64" s="164" t="str">
        <f>CONCATENATE('3 pr-2'!I66)</f>
        <v>R</v>
      </c>
      <c r="J64" s="164" t="str">
        <f>CONCATENATE('3 pr-2'!J66)</f>
        <v>ITI</v>
      </c>
      <c r="K64" s="1164">
        <f>SUM('3 pr-2'!L66)</f>
        <v>484769.35</v>
      </c>
      <c r="L64" s="1159">
        <f t="shared" si="60"/>
        <v>55810.340000000004</v>
      </c>
      <c r="M64" s="1082">
        <v>0</v>
      </c>
      <c r="N64" s="1082">
        <v>29062.58</v>
      </c>
      <c r="O64" s="1082">
        <f t="shared" si="21"/>
        <v>26747.760000000002</v>
      </c>
      <c r="P64" s="1160">
        <f t="shared" si="67"/>
        <v>428959.00999999995</v>
      </c>
      <c r="Q64" s="1164">
        <f>SUM('3 pr-2'!O66)</f>
        <v>185228.35</v>
      </c>
      <c r="R64" s="1159">
        <f>SUMIF('mokėjimų ataskaita'!$I:$I,C64,'mokėjimų ataskaita'!$AU:$AU)/2</f>
        <v>17834.830000000002</v>
      </c>
      <c r="S64" s="1082">
        <v>0</v>
      </c>
      <c r="T64" s="1082">
        <f t="shared" si="61"/>
        <v>17834.830000000002</v>
      </c>
      <c r="U64" s="1160">
        <f>SUM(Q64-R64)</f>
        <v>167393.52000000002</v>
      </c>
      <c r="V64" s="1164">
        <f>SUM('3 pr-2'!R66)</f>
        <v>0</v>
      </c>
      <c r="W64" s="1080">
        <f>SUMIF('mokėjimų ataskaita'!$I:$I,C64,'mokėjimų ataskaita'!$AL:$AL)/2</f>
        <v>0</v>
      </c>
      <c r="X64" s="1082">
        <v>0</v>
      </c>
      <c r="Y64" s="1082">
        <f t="shared" si="62"/>
        <v>0</v>
      </c>
      <c r="Z64" s="1160">
        <f t="shared" si="63"/>
        <v>0</v>
      </c>
      <c r="AA64" s="1164">
        <f>SUM('3 pr-2'!U66)</f>
        <v>0</v>
      </c>
      <c r="AB64" s="1080">
        <f>SUMIF('mokėjimų ataskaita'!$I:$I,'ketv. 7 '!C64,'mokėjimų ataskaita'!$AW:$AW)/2</f>
        <v>0</v>
      </c>
      <c r="AC64" s="1082"/>
      <c r="AD64" s="1082"/>
      <c r="AE64" s="1160">
        <f t="shared" si="64"/>
        <v>0</v>
      </c>
      <c r="AF64" s="1164">
        <f>SUM('3 pr-2'!X66)</f>
        <v>0</v>
      </c>
      <c r="AG64" s="1080">
        <f>SUMIF('mokėjimų ataskaita'!$I:$I,'ketv. 7 '!C64,'mokėjimų ataskaita'!$AT:$AT)/2+SUMIF('mokėjimų ataskaita'!$I:$I,'ketv. 7 '!C64,'mokėjimų ataskaita'!$AV:$AV)/2</f>
        <v>0</v>
      </c>
      <c r="AH64" s="1082"/>
      <c r="AI64" s="1082"/>
      <c r="AJ64" s="1160">
        <f t="shared" si="65"/>
        <v>0</v>
      </c>
      <c r="AK64" s="1164">
        <f>SUM('3 pr-2'!AA66)</f>
        <v>299541</v>
      </c>
      <c r="AL64" s="1159">
        <f>SUMIF('mokėjimų ataskaita'!$I:$I,'ketv. 7 '!C64,'mokėjimų ataskaita'!$AK:$AK)/2</f>
        <v>37975.51</v>
      </c>
      <c r="AM64" s="1082">
        <v>0</v>
      </c>
      <c r="AN64" s="1082">
        <f t="shared" si="66"/>
        <v>37975.51</v>
      </c>
      <c r="AO64" s="1165">
        <f>SUM(AK64-AL64)</f>
        <v>261565.49</v>
      </c>
      <c r="AP64" s="1080">
        <f>SUM('3 pr-2'!AB66)</f>
        <v>0</v>
      </c>
      <c r="AQ64" s="1159">
        <v>0</v>
      </c>
    </row>
    <row r="65" spans="1:44" ht="38.25" customHeight="1" thickBot="1">
      <c r="A65" s="296" t="str">
        <f>CONCATENATE('3 pr-2'!A67)</f>
        <v>1.1.1.9</v>
      </c>
      <c r="B65" s="2088" t="str">
        <f>CONCATENATE('3 pr-2'!B67)</f>
        <v>Priemonė:
Aktualizuoti savivaldybių kultūros paveldo objektus</v>
      </c>
      <c r="C65" s="2089"/>
      <c r="D65" s="2089"/>
      <c r="E65" s="2089"/>
      <c r="F65" s="2089"/>
      <c r="G65" s="2089"/>
      <c r="H65" s="2089"/>
      <c r="I65" s="2089"/>
      <c r="J65" s="2090"/>
      <c r="K65" s="1077">
        <f t="shared" ref="K65:AK65" si="68">SUM(K66:K70)</f>
        <v>1461941.12</v>
      </c>
      <c r="L65" s="1077">
        <f t="shared" si="68"/>
        <v>58679.710000000006</v>
      </c>
      <c r="M65" s="1077">
        <f t="shared" si="68"/>
        <v>0</v>
      </c>
      <c r="N65" s="1077">
        <f t="shared" si="68"/>
        <v>46457.710000000006</v>
      </c>
      <c r="O65" s="1077">
        <f t="shared" si="68"/>
        <v>12222</v>
      </c>
      <c r="P65" s="1077">
        <f t="shared" si="68"/>
        <v>1403261.4100000001</v>
      </c>
      <c r="Q65" s="1077">
        <f t="shared" si="68"/>
        <v>438075.46</v>
      </c>
      <c r="R65" s="1077">
        <f t="shared" si="68"/>
        <v>8639.09</v>
      </c>
      <c r="S65" s="1077">
        <f t="shared" si="68"/>
        <v>0</v>
      </c>
      <c r="T65" s="1077">
        <f t="shared" si="68"/>
        <v>0</v>
      </c>
      <c r="U65" s="1077">
        <f t="shared" si="68"/>
        <v>429436.37</v>
      </c>
      <c r="V65" s="1077">
        <f t="shared" si="68"/>
        <v>0</v>
      </c>
      <c r="W65" s="1077">
        <f t="shared" si="68"/>
        <v>0</v>
      </c>
      <c r="X65" s="1077">
        <f t="shared" si="68"/>
        <v>0</v>
      </c>
      <c r="Y65" s="1077">
        <f t="shared" si="68"/>
        <v>0</v>
      </c>
      <c r="Z65" s="1077">
        <f t="shared" si="68"/>
        <v>0</v>
      </c>
      <c r="AA65" s="1077">
        <f t="shared" si="68"/>
        <v>0</v>
      </c>
      <c r="AB65" s="1077">
        <f t="shared" si="68"/>
        <v>0</v>
      </c>
      <c r="AC65" s="1077">
        <f t="shared" si="68"/>
        <v>0</v>
      </c>
      <c r="AD65" s="1077">
        <f t="shared" si="68"/>
        <v>0</v>
      </c>
      <c r="AE65" s="1077">
        <f t="shared" si="68"/>
        <v>0</v>
      </c>
      <c r="AF65" s="1077">
        <f t="shared" si="68"/>
        <v>0</v>
      </c>
      <c r="AG65" s="1077">
        <f t="shared" si="68"/>
        <v>0</v>
      </c>
      <c r="AH65" s="1077">
        <f t="shared" si="68"/>
        <v>0</v>
      </c>
      <c r="AI65" s="1077">
        <f t="shared" si="68"/>
        <v>0</v>
      </c>
      <c r="AJ65" s="1077">
        <f t="shared" si="68"/>
        <v>0</v>
      </c>
      <c r="AK65" s="1077">
        <f t="shared" si="68"/>
        <v>1023865.66</v>
      </c>
      <c r="AL65" s="1077">
        <f>SUM(AL66:AL70)</f>
        <v>50040.62</v>
      </c>
      <c r="AM65" s="1077">
        <f t="shared" ref="AM65:AQ65" si="69">SUM(AM66:AM70)</f>
        <v>0</v>
      </c>
      <c r="AN65" s="1077">
        <f t="shared" si="69"/>
        <v>0</v>
      </c>
      <c r="AO65" s="1077">
        <f t="shared" si="69"/>
        <v>973825.04</v>
      </c>
      <c r="AP65" s="1077">
        <f t="shared" si="69"/>
        <v>0</v>
      </c>
      <c r="AQ65" s="1077">
        <f t="shared" si="69"/>
        <v>0</v>
      </c>
      <c r="AR65" s="233">
        <f>SUM(K65-'3 pr-2'!L67)</f>
        <v>0</v>
      </c>
    </row>
    <row r="66" spans="1:44" ht="48.75">
      <c r="A66" s="375" t="str">
        <f>CONCATENATE('3 pr-2'!A68)</f>
        <v>1.1.1.9.1</v>
      </c>
      <c r="B66" s="578" t="str">
        <f>CONCATENATE('3 pr-2'!B68)</f>
        <v>R01-3302-440000-1191</v>
      </c>
      <c r="C66" s="577" t="str">
        <f>CONCATENATE('ketv. 6 '!C67)</f>
        <v>05.4.1-CPVA-R-302-11-0003</v>
      </c>
      <c r="D66" s="164" t="str">
        <f>CONCATENATE('3 pr-2'!D68)</f>
        <v>Buvusios sinagogos pastato Kauno g. 9A Alytuje rekonstravimas ir aplinkinės teritorijos sutvarkymas</v>
      </c>
      <c r="E66" s="164" t="str">
        <f>CONCATENATE('3 pr-2'!E68)</f>
        <v>Alytaus miesto savivaldybės administracija</v>
      </c>
      <c r="F66" s="164" t="str">
        <f>CONCATENATE('3 pr-2'!F68)</f>
        <v>Lietuvos Respublikos kultūros ministerija</v>
      </c>
      <c r="G66" s="164" t="str">
        <f>CONCATENATE('3 pr-2'!G68)</f>
        <v>Alytaus m. sav.</v>
      </c>
      <c r="H66" s="164" t="str">
        <f>CONCATENATE('3 pr-2'!H68)</f>
        <v>05.4.1-CPVA-R-302</v>
      </c>
      <c r="I66" s="164" t="str">
        <f>CONCATENATE('3 pr-2'!I68)</f>
        <v>R</v>
      </c>
      <c r="J66" s="164" t="str">
        <f>CONCATENATE('3 pr-2'!J68)</f>
        <v>ITI</v>
      </c>
      <c r="K66" s="1164">
        <f>SUM('3 pr-2'!L68)</f>
        <v>444560.16000000003</v>
      </c>
      <c r="L66" s="1159">
        <f t="shared" ref="L66:L70" si="70">SUM(R66+W66+AB66+AG66+AL66)</f>
        <v>12222</v>
      </c>
      <c r="M66" s="1082">
        <v>0</v>
      </c>
      <c r="N66" s="1082">
        <v>0</v>
      </c>
      <c r="O66" s="1082">
        <f t="shared" si="21"/>
        <v>12222</v>
      </c>
      <c r="P66" s="1160">
        <f t="shared" si="9"/>
        <v>432338.16000000003</v>
      </c>
      <c r="Q66" s="1164">
        <f>SUM('3 pr-2'!O68)</f>
        <v>238504.16</v>
      </c>
      <c r="R66" s="1159">
        <f>SUMIF('mokėjimų ataskaita'!$I:$I,C66,'mokėjimų ataskaita'!$AU:$AU)/2</f>
        <v>0</v>
      </c>
      <c r="S66" s="1082"/>
      <c r="T66" s="1082"/>
      <c r="U66" s="1160">
        <f t="shared" ref="U66:U70" si="71">SUM(Q66-R66)</f>
        <v>238504.16</v>
      </c>
      <c r="V66" s="1164">
        <f>SUM('3 pr-2'!R68)</f>
        <v>0</v>
      </c>
      <c r="W66" s="1080">
        <f>SUMIF('mokėjimų ataskaita'!$I:$I,C66,'mokėjimų ataskaita'!$AL:$AL)/2</f>
        <v>0</v>
      </c>
      <c r="X66" s="1082"/>
      <c r="Y66" s="1082"/>
      <c r="Z66" s="1160">
        <f t="shared" ref="Z66:Z70" si="72">SUM(V66-W66)</f>
        <v>0</v>
      </c>
      <c r="AA66" s="1164">
        <f>SUM('3 pr-2'!U68)</f>
        <v>0</v>
      </c>
      <c r="AB66" s="1080">
        <f>SUMIF('mokėjimų ataskaita'!$I:$I,'ketv. 7 '!C66,'mokėjimų ataskaita'!$AW:$AW)/2</f>
        <v>0</v>
      </c>
      <c r="AC66" s="1082"/>
      <c r="AD66" s="1082"/>
      <c r="AE66" s="1160">
        <f t="shared" ref="AE66:AE70" si="73">SUM(AA66-AB66)</f>
        <v>0</v>
      </c>
      <c r="AF66" s="1164">
        <f>SUM('3 pr-2'!X68)</f>
        <v>0</v>
      </c>
      <c r="AG66" s="1080">
        <f>SUMIF('mokėjimų ataskaita'!$I:$I,'ketv. 7 '!C66,'mokėjimų ataskaita'!$AT:$AT)/2+SUMIF('mokėjimų ataskaita'!$I:$I,'ketv. 7 '!C66,'mokėjimų ataskaita'!$AV:$AV)/2</f>
        <v>0</v>
      </c>
      <c r="AH66" s="1082"/>
      <c r="AI66" s="1082"/>
      <c r="AJ66" s="1160">
        <f t="shared" ref="AJ66:AJ70" si="74">SUM(AF66-AG66)</f>
        <v>0</v>
      </c>
      <c r="AK66" s="1164">
        <f>SUM('3 pr-2'!AA68)</f>
        <v>206056</v>
      </c>
      <c r="AL66" s="1159">
        <f>SUMIF('mokėjimų ataskaita'!$I:$I,'ketv. 7 '!C66,'mokėjimų ataskaita'!$AK:$AK)/2</f>
        <v>12222</v>
      </c>
      <c r="AM66" s="1082"/>
      <c r="AN66" s="1082"/>
      <c r="AO66" s="1167">
        <f t="shared" ref="AO66:AO70" si="75">SUM(AK66-AL66)</f>
        <v>193834</v>
      </c>
      <c r="AP66" s="1080">
        <f>SUM('3 pr-2'!AB68)</f>
        <v>0</v>
      </c>
      <c r="AQ66" s="1159">
        <v>0</v>
      </c>
    </row>
    <row r="67" spans="1:44" ht="48.75">
      <c r="A67" s="375" t="str">
        <f>CONCATENATE('3 pr-2'!A69)</f>
        <v>1.1.1.9.2</v>
      </c>
      <c r="B67" s="578" t="str">
        <f>CONCATENATE('3 pr-2'!B69)</f>
        <v>R01-3302-440000-1192</v>
      </c>
      <c r="C67" s="577" t="str">
        <f>CONCATENATE('ketv. 6 '!C68)</f>
        <v>05.4.1-CPVA-R-302-11-0002</v>
      </c>
      <c r="D67" s="164" t="str">
        <f>CONCATENATE('3 pr-2'!D69)</f>
        <v>Mažosios dailės galerijos, M.K.Čiurlionio g. 37, Druskininkai, modernizavimas ir pritaikymas kultūros poreikiams</v>
      </c>
      <c r="E67" s="164" t="str">
        <f>CONCATENATE('3 pr-2'!E69)</f>
        <v xml:space="preserve">Druskininkų savivaldybės administracija  </v>
      </c>
      <c r="F67" s="164" t="str">
        <f>CONCATENATE('3 pr-2'!F69)</f>
        <v>Lietuvos Respublikos kultūros ministerija</v>
      </c>
      <c r="G67" s="164" t="str">
        <f>CONCATENATE('3 pr-2'!G69)</f>
        <v>Druskininkų sav.</v>
      </c>
      <c r="H67" s="164" t="str">
        <f>CONCATENATE('3 pr-2'!H69)</f>
        <v>05.4.1-CPVA-R-302</v>
      </c>
      <c r="I67" s="164" t="str">
        <f>CONCATENATE('3 pr-2'!I69)</f>
        <v>R</v>
      </c>
      <c r="J67" s="164" t="str">
        <f>CONCATENATE('3 pr-2'!J69)</f>
        <v>-</v>
      </c>
      <c r="K67" s="1164">
        <f>SUM('3 pr-2'!L69)</f>
        <v>297670.41000000003</v>
      </c>
      <c r="L67" s="1159">
        <f t="shared" si="70"/>
        <v>10587.62</v>
      </c>
      <c r="M67" s="1082">
        <v>0</v>
      </c>
      <c r="N67" s="1082">
        <v>10587.62</v>
      </c>
      <c r="O67" s="1082">
        <f t="shared" si="21"/>
        <v>0</v>
      </c>
      <c r="P67" s="1160">
        <f t="shared" si="9"/>
        <v>287082.79000000004</v>
      </c>
      <c r="Q67" s="1164">
        <f>SUM('3 pr-2'!O69)</f>
        <v>91614.41</v>
      </c>
      <c r="R67" s="1159">
        <f>SUMIF('mokėjimų ataskaita'!$I:$I,C67,'mokėjimų ataskaita'!$AU:$AU)/2</f>
        <v>3258.57</v>
      </c>
      <c r="S67" s="1082"/>
      <c r="T67" s="1082"/>
      <c r="U67" s="1160">
        <f t="shared" si="71"/>
        <v>88355.839999999997</v>
      </c>
      <c r="V67" s="1164">
        <f>SUM('3 pr-2'!R69)</f>
        <v>0</v>
      </c>
      <c r="W67" s="1080">
        <f>SUMIF('mokėjimų ataskaita'!$I:$I,C67,'mokėjimų ataskaita'!$AL:$AL)/2</f>
        <v>0</v>
      </c>
      <c r="X67" s="1082"/>
      <c r="Y67" s="1082"/>
      <c r="Z67" s="1160">
        <f t="shared" si="72"/>
        <v>0</v>
      </c>
      <c r="AA67" s="1164">
        <f>SUM('3 pr-2'!U69)</f>
        <v>0</v>
      </c>
      <c r="AB67" s="1080">
        <f>SUMIF('mokėjimų ataskaita'!$I:$I,'ketv. 7 '!C67,'mokėjimų ataskaita'!$AW:$AW)/2</f>
        <v>0</v>
      </c>
      <c r="AC67" s="1082"/>
      <c r="AD67" s="1082"/>
      <c r="AE67" s="1160">
        <f t="shared" si="73"/>
        <v>0</v>
      </c>
      <c r="AF67" s="1164">
        <f>SUM('3 pr-2'!X69)</f>
        <v>0</v>
      </c>
      <c r="AG67" s="1080">
        <f>SUMIF('mokėjimų ataskaita'!$I:$I,'ketv. 7 '!C67,'mokėjimų ataskaita'!$AT:$AT)/2+SUMIF('mokėjimų ataskaita'!$I:$I,'ketv. 7 '!C67,'mokėjimų ataskaita'!$AV:$AV)/2</f>
        <v>0</v>
      </c>
      <c r="AH67" s="1082"/>
      <c r="AI67" s="1082"/>
      <c r="AJ67" s="1160">
        <f t="shared" si="74"/>
        <v>0</v>
      </c>
      <c r="AK67" s="1164">
        <f>SUM('3 pr-2'!AA69)</f>
        <v>206056</v>
      </c>
      <c r="AL67" s="1159">
        <f>SUMIF('mokėjimų ataskaita'!$I:$I,'ketv. 7 '!C67,'mokėjimų ataskaita'!$AK:$AK)/2</f>
        <v>7329.05</v>
      </c>
      <c r="AM67" s="1082"/>
      <c r="AN67" s="1082"/>
      <c r="AO67" s="1167">
        <f t="shared" si="75"/>
        <v>198726.95</v>
      </c>
      <c r="AP67" s="1080">
        <f>SUM('3 pr-2'!AB69)</f>
        <v>0</v>
      </c>
      <c r="AQ67" s="1159">
        <v>0</v>
      </c>
    </row>
    <row r="68" spans="1:44" ht="36.75">
      <c r="A68" s="375" t="str">
        <f>CONCATENATE('3 pr-2'!A70)</f>
        <v>1.1.1.9.3</v>
      </c>
      <c r="B68" s="578" t="str">
        <f>CONCATENATE('3 pr-2'!B70)</f>
        <v>R01-3302-440200-1193</v>
      </c>
      <c r="C68" s="577" t="str">
        <f>CONCATENATE('ketv. 6 '!C69)</f>
        <v>05.4.1-CPVA-R-302-11-0001</v>
      </c>
      <c r="D68" s="164" t="str">
        <f>CONCATENATE('3 pr-2'!D70)</f>
        <v>Motiejaus Gustaičio memorialinio namo kompleksinis sutvarkymas</v>
      </c>
      <c r="E68" s="164" t="str">
        <f>CONCATENATE('3 pr-2'!E70)</f>
        <v>Lazdijų rajono savivaldybės administracija</v>
      </c>
      <c r="F68" s="164" t="str">
        <f>CONCATENATE('3 pr-2'!F70)</f>
        <v>Lietuvos Respublikos kultūros ministerija</v>
      </c>
      <c r="G68" s="164" t="str">
        <f>CONCATENATE('3 pr-2'!G70)</f>
        <v>Lazdijų r. sav.</v>
      </c>
      <c r="H68" s="164" t="str">
        <f>CONCATENATE('3 pr-2'!H70)</f>
        <v>05.4.1-CPVA-R-302</v>
      </c>
      <c r="I68" s="164" t="str">
        <f>CONCATENATE('3 pr-2'!I70)</f>
        <v>R</v>
      </c>
      <c r="J68" s="164" t="str">
        <f>CONCATENATE('3 pr-2'!J70)</f>
        <v>ITI</v>
      </c>
      <c r="K68" s="1164">
        <f>SUM('3 pr-2'!L70)</f>
        <v>242419</v>
      </c>
      <c r="L68" s="1159">
        <f t="shared" si="70"/>
        <v>19021.550000000003</v>
      </c>
      <c r="M68" s="1082">
        <v>0</v>
      </c>
      <c r="N68" s="1082">
        <v>19021.550000000003</v>
      </c>
      <c r="O68" s="1082">
        <f t="shared" si="21"/>
        <v>0</v>
      </c>
      <c r="P68" s="1160">
        <f t="shared" si="9"/>
        <v>223397.45</v>
      </c>
      <c r="Q68" s="1164">
        <f>SUM('3 pr-2'!O70)</f>
        <v>36363</v>
      </c>
      <c r="R68" s="1159">
        <f>SUMIF('mokėjimų ataskaita'!$I:$I,C68,'mokėjimų ataskaita'!$AU:$AU)/2</f>
        <v>2853.24</v>
      </c>
      <c r="S68" s="1082"/>
      <c r="T68" s="1082"/>
      <c r="U68" s="1160">
        <f t="shared" si="71"/>
        <v>33509.760000000002</v>
      </c>
      <c r="V68" s="1164">
        <f>SUM('3 pr-2'!R70)</f>
        <v>0</v>
      </c>
      <c r="W68" s="1080">
        <f>SUMIF('mokėjimų ataskaita'!$I:$I,C68,'mokėjimų ataskaita'!$AL:$AL)/2</f>
        <v>0</v>
      </c>
      <c r="X68" s="1082"/>
      <c r="Y68" s="1082"/>
      <c r="Z68" s="1160">
        <f t="shared" si="72"/>
        <v>0</v>
      </c>
      <c r="AA68" s="1164">
        <f>SUM('3 pr-2'!U70)</f>
        <v>0</v>
      </c>
      <c r="AB68" s="1080">
        <f>SUMIF('mokėjimų ataskaita'!$I:$I,'ketv. 7 '!C68,'mokėjimų ataskaita'!$AW:$AW)/2</f>
        <v>0</v>
      </c>
      <c r="AC68" s="1082"/>
      <c r="AD68" s="1082"/>
      <c r="AE68" s="1160">
        <f t="shared" si="73"/>
        <v>0</v>
      </c>
      <c r="AF68" s="1164">
        <f>SUM('3 pr-2'!X70)</f>
        <v>0</v>
      </c>
      <c r="AG68" s="1080">
        <f>SUMIF('mokėjimų ataskaita'!$I:$I,'ketv. 7 '!C68,'mokėjimų ataskaita'!$AT:$AT)/2+SUMIF('mokėjimų ataskaita'!$I:$I,'ketv. 7 '!C68,'mokėjimų ataskaita'!$AV:$AV)/2</f>
        <v>0</v>
      </c>
      <c r="AH68" s="1082"/>
      <c r="AI68" s="1082"/>
      <c r="AJ68" s="1160">
        <f t="shared" si="74"/>
        <v>0</v>
      </c>
      <c r="AK68" s="1164">
        <f>SUM('3 pr-2'!AA70)</f>
        <v>206056</v>
      </c>
      <c r="AL68" s="1159">
        <f>SUMIF('mokėjimų ataskaita'!$I:$I,'ketv. 7 '!C68,'mokėjimų ataskaita'!$AK:$AK)/2</f>
        <v>16168.310000000001</v>
      </c>
      <c r="AM68" s="1082"/>
      <c r="AN68" s="1082"/>
      <c r="AO68" s="1167">
        <f t="shared" si="75"/>
        <v>189887.69</v>
      </c>
      <c r="AP68" s="1080">
        <f>SUM('3 pr-2'!AB70)</f>
        <v>0</v>
      </c>
      <c r="AQ68" s="1159">
        <v>0</v>
      </c>
    </row>
    <row r="69" spans="1:44" ht="48.75">
      <c r="A69" s="375" t="str">
        <f>CONCATENATE('3 pr-2'!A71)</f>
        <v>1.1.1.9.4</v>
      </c>
      <c r="B69" s="578" t="str">
        <f>CONCATENATE('3 pr-2'!B71)</f>
        <v>R01-3302-440000-1194</v>
      </c>
      <c r="C69" s="577" t="str">
        <f>CONCATENATE('ketv. 6 '!C70)</f>
        <v>05.4.1-CPVA-R-302-11-0004</v>
      </c>
      <c r="D69" s="164" t="str">
        <f>CONCATENATE('3 pr-2'!D71)</f>
        <v>Kurnėnų Lauryno Radziukyno mokyklos pritaikymas kultūrinėms ir turistinėms reikmėms</v>
      </c>
      <c r="E69" s="164" t="str">
        <f>CONCATENATE('3 pr-2'!E71)</f>
        <v>Alytaus rajono savivaldybės administracija</v>
      </c>
      <c r="F69" s="164" t="str">
        <f>CONCATENATE('3 pr-2'!F71)</f>
        <v>Lietuvos Respublikos kultūros ministerija</v>
      </c>
      <c r="G69" s="164" t="str">
        <f>CONCATENATE('3 pr-2'!G71)</f>
        <v>Alytaus r. sav.</v>
      </c>
      <c r="H69" s="164" t="str">
        <f>CONCATENATE('3 pr-2'!H71)</f>
        <v>05.4.1-CPVA-R-302</v>
      </c>
      <c r="I69" s="164" t="str">
        <f>CONCATENATE('3 pr-2'!I71)</f>
        <v>R</v>
      </c>
      <c r="J69" s="164" t="str">
        <f>CONCATENATE('3 pr-2'!J71)</f>
        <v>-</v>
      </c>
      <c r="K69" s="1164">
        <f>SUM('3 pr-2'!L71)</f>
        <v>234872.55</v>
      </c>
      <c r="L69" s="1080">
        <f t="shared" si="70"/>
        <v>0</v>
      </c>
      <c r="M69" s="1082">
        <v>0</v>
      </c>
      <c r="N69" s="1082">
        <v>0</v>
      </c>
      <c r="O69" s="1082">
        <f t="shared" si="21"/>
        <v>0</v>
      </c>
      <c r="P69" s="1160">
        <f t="shared" si="9"/>
        <v>234872.55</v>
      </c>
      <c r="Q69" s="1164">
        <f>SUM('3 pr-2'!O71)</f>
        <v>35230.89</v>
      </c>
      <c r="R69" s="1080">
        <f>SUMIF('mokėjimų ataskaita'!$I:$I,C69,'mokėjimų ataskaita'!$AU:$AU)/2</f>
        <v>0</v>
      </c>
      <c r="S69" s="1082"/>
      <c r="T69" s="1082"/>
      <c r="U69" s="1160">
        <f t="shared" si="71"/>
        <v>35230.89</v>
      </c>
      <c r="V69" s="1164">
        <f>SUM('3 pr-2'!R71)</f>
        <v>0</v>
      </c>
      <c r="W69" s="1080">
        <f>SUMIF('mokėjimų ataskaita'!$I:$I,C69,'mokėjimų ataskaita'!$AL:$AL)/2</f>
        <v>0</v>
      </c>
      <c r="X69" s="1082"/>
      <c r="Y69" s="1082"/>
      <c r="Z69" s="1160">
        <f t="shared" si="72"/>
        <v>0</v>
      </c>
      <c r="AA69" s="1164">
        <f>SUM('3 pr-2'!U71)</f>
        <v>0</v>
      </c>
      <c r="AB69" s="1080">
        <f>SUMIF('mokėjimų ataskaita'!$I:$I,'ketv. 7 '!C69,'mokėjimų ataskaita'!$AW:$AW)/2</f>
        <v>0</v>
      </c>
      <c r="AC69" s="1082"/>
      <c r="AD69" s="1082"/>
      <c r="AE69" s="1160">
        <f t="shared" si="73"/>
        <v>0</v>
      </c>
      <c r="AF69" s="1164">
        <f>SUM('3 pr-2'!X71)</f>
        <v>0</v>
      </c>
      <c r="AG69" s="1080">
        <f>SUMIF('mokėjimų ataskaita'!$I:$I,'ketv. 7 '!C69,'mokėjimų ataskaita'!$AT:$AT)/2+SUMIF('mokėjimų ataskaita'!$I:$I,'ketv. 7 '!C69,'mokėjimų ataskaita'!$AV:$AV)/2</f>
        <v>0</v>
      </c>
      <c r="AH69" s="1082"/>
      <c r="AI69" s="1082"/>
      <c r="AJ69" s="1160">
        <f t="shared" si="74"/>
        <v>0</v>
      </c>
      <c r="AK69" s="1164">
        <f>SUM('3 pr-2'!AA71)</f>
        <v>199641.66</v>
      </c>
      <c r="AL69" s="1080">
        <f>SUMIF('mokėjimų ataskaita'!$I:$I,'ketv. 7 '!C69,'mokėjimų ataskaita'!$AK:$AK)/2</f>
        <v>0</v>
      </c>
      <c r="AM69" s="1082"/>
      <c r="AN69" s="1082"/>
      <c r="AO69" s="1167">
        <f t="shared" si="75"/>
        <v>199641.66</v>
      </c>
      <c r="AP69" s="1080">
        <f>SUM('3 pr-2'!AB71)</f>
        <v>0</v>
      </c>
      <c r="AQ69" s="1080">
        <v>0</v>
      </c>
    </row>
    <row r="70" spans="1:44" ht="37.5" thickBot="1">
      <c r="A70" s="375" t="str">
        <f>CONCATENATE('3 pr-2'!A72)</f>
        <v>1.1.1.9.5</v>
      </c>
      <c r="B70" s="578" t="str">
        <f>CONCATENATE('3 pr-2'!B72)</f>
        <v>R01-3302-440000-1195</v>
      </c>
      <c r="C70" s="577" t="str">
        <f>CONCATENATE('ketv. 6 '!C71)</f>
        <v>05.4.1-CPVA-R-302-11-0005</v>
      </c>
      <c r="D70" s="164" t="str">
        <f>CONCATENATE('3 pr-2'!D72)</f>
        <v>Vinco Krėvės-Mickevičiaus memorialinio muziejaus atnaujinimas</v>
      </c>
      <c r="E70" s="164" t="str">
        <f>CONCATENATE('3 pr-2'!E72)</f>
        <v>Varėnos rajono savivaldybės administracija</v>
      </c>
      <c r="F70" s="164" t="str">
        <f>CONCATENATE('3 pr-2'!F72)</f>
        <v>Lietuvos Respublikos kultūros ministerija</v>
      </c>
      <c r="G70" s="164" t="str">
        <f>CONCATENATE('3 pr-2'!G72)</f>
        <v>Varėnos r. sav.</v>
      </c>
      <c r="H70" s="164" t="str">
        <f>CONCATENATE('3 pr-2'!H72)</f>
        <v>05.4.1-CPVA-R-302</v>
      </c>
      <c r="I70" s="164" t="str">
        <f>CONCATENATE('3 pr-2'!I72)</f>
        <v>R</v>
      </c>
      <c r="J70" s="164" t="str">
        <f>CONCATENATE('3 pr-2'!J72)</f>
        <v>-</v>
      </c>
      <c r="K70" s="1164">
        <f>SUM('3 pr-2'!L72)</f>
        <v>242419</v>
      </c>
      <c r="L70" s="1159">
        <f t="shared" si="70"/>
        <v>16848.54</v>
      </c>
      <c r="M70" s="1082">
        <v>0</v>
      </c>
      <c r="N70" s="1082">
        <v>16848.54</v>
      </c>
      <c r="O70" s="1082">
        <f t="shared" si="21"/>
        <v>0</v>
      </c>
      <c r="P70" s="1160">
        <f t="shared" si="9"/>
        <v>225570.46</v>
      </c>
      <c r="Q70" s="1164">
        <f>SUM('3 pr-2'!O72)</f>
        <v>36363</v>
      </c>
      <c r="R70" s="1159">
        <f>SUMIF('mokėjimų ataskaita'!$I:$I,C70,'mokėjimų ataskaita'!$AU:$AU)/2</f>
        <v>2527.2799999999997</v>
      </c>
      <c r="S70" s="1082"/>
      <c r="T70" s="1082"/>
      <c r="U70" s="1160">
        <f t="shared" si="71"/>
        <v>33835.72</v>
      </c>
      <c r="V70" s="1164">
        <f>SUM('3 pr-2'!R72)</f>
        <v>0</v>
      </c>
      <c r="W70" s="1080">
        <f>SUMIF('mokėjimų ataskaita'!$I:$I,C70,'mokėjimų ataskaita'!$AL:$AL)/2</f>
        <v>0</v>
      </c>
      <c r="X70" s="1082"/>
      <c r="Y70" s="1082"/>
      <c r="Z70" s="1160">
        <f t="shared" si="72"/>
        <v>0</v>
      </c>
      <c r="AA70" s="1164">
        <f>SUM('3 pr-2'!U72)</f>
        <v>0</v>
      </c>
      <c r="AB70" s="1080">
        <f>SUMIF('mokėjimų ataskaita'!$I:$I,'ketv. 7 '!C70,'mokėjimų ataskaita'!$AW:$AW)/2</f>
        <v>0</v>
      </c>
      <c r="AC70" s="1082"/>
      <c r="AD70" s="1082"/>
      <c r="AE70" s="1160">
        <f t="shared" si="73"/>
        <v>0</v>
      </c>
      <c r="AF70" s="1164">
        <f>SUM('3 pr-2'!X72)</f>
        <v>0</v>
      </c>
      <c r="AG70" s="1080">
        <f>SUMIF('mokėjimų ataskaita'!$I:$I,'ketv. 7 '!C70,'mokėjimų ataskaita'!$AT:$AT)/2+SUMIF('mokėjimų ataskaita'!$I:$I,'ketv. 7 '!C70,'mokėjimų ataskaita'!$AV:$AV)/2</f>
        <v>0</v>
      </c>
      <c r="AH70" s="1082"/>
      <c r="AI70" s="1082"/>
      <c r="AJ70" s="1160">
        <f t="shared" si="74"/>
        <v>0</v>
      </c>
      <c r="AK70" s="1164">
        <f>SUM('3 pr-2'!AA72)</f>
        <v>206056</v>
      </c>
      <c r="AL70" s="1159">
        <f>SUMIF('mokėjimų ataskaita'!$I:$I,'ketv. 7 '!C70,'mokėjimų ataskaita'!$AK:$AK)/2</f>
        <v>14321.260000000002</v>
      </c>
      <c r="AM70" s="1082"/>
      <c r="AN70" s="1082"/>
      <c r="AO70" s="1165">
        <f t="shared" si="75"/>
        <v>191734.74</v>
      </c>
      <c r="AP70" s="1080">
        <f>SUM('3 pr-2'!AB72)</f>
        <v>0</v>
      </c>
      <c r="AQ70" s="1159">
        <v>0</v>
      </c>
    </row>
    <row r="71" spans="1:44" ht="38.25" customHeight="1" thickBot="1">
      <c r="A71" s="385" t="str">
        <f>CONCATENATE('3 pr-2'!A73)</f>
        <v>1.1.2.</v>
      </c>
      <c r="B71" s="2085" t="str">
        <f>CONCATENATE('3 pr-2'!B73)</f>
        <v>Uždavinys:
Pagerinti darbo jėgos judėjimo galimybes gerinant susisiekimo sistemas</v>
      </c>
      <c r="C71" s="2086"/>
      <c r="D71" s="2086"/>
      <c r="E71" s="2086"/>
      <c r="F71" s="2086"/>
      <c r="G71" s="2086"/>
      <c r="H71" s="2086"/>
      <c r="I71" s="2086"/>
      <c r="J71" s="2087"/>
      <c r="K71" s="1195">
        <f t="shared" ref="K71:AK71" si="76">SUM(K72+K77+K84+K90)</f>
        <v>8717757.129999999</v>
      </c>
      <c r="L71" s="1195">
        <f t="shared" si="76"/>
        <v>3048439.72</v>
      </c>
      <c r="M71" s="1195">
        <f t="shared" si="76"/>
        <v>959669.18</v>
      </c>
      <c r="N71" s="1195">
        <f t="shared" si="76"/>
        <v>1679367.92</v>
      </c>
      <c r="O71" s="1195">
        <f t="shared" si="76"/>
        <v>409402.61999999988</v>
      </c>
      <c r="P71" s="1195">
        <f t="shared" si="76"/>
        <v>5669317.4100000001</v>
      </c>
      <c r="Q71" s="1195">
        <f t="shared" si="76"/>
        <v>1821114.06</v>
      </c>
      <c r="R71" s="1195">
        <f t="shared" si="76"/>
        <v>395433.55</v>
      </c>
      <c r="S71" s="1195">
        <f t="shared" si="76"/>
        <v>111405.20999999999</v>
      </c>
      <c r="T71" s="1195">
        <f t="shared" si="76"/>
        <v>284028.34000000003</v>
      </c>
      <c r="U71" s="1195">
        <f t="shared" si="76"/>
        <v>1425680.51</v>
      </c>
      <c r="V71" s="1195">
        <f t="shared" si="76"/>
        <v>0</v>
      </c>
      <c r="W71" s="1195">
        <f t="shared" si="76"/>
        <v>0</v>
      </c>
      <c r="X71" s="1195">
        <f t="shared" si="76"/>
        <v>0</v>
      </c>
      <c r="Y71" s="1195">
        <f t="shared" si="76"/>
        <v>0</v>
      </c>
      <c r="Z71" s="1195">
        <f t="shared" si="76"/>
        <v>0</v>
      </c>
      <c r="AA71" s="1195">
        <f t="shared" si="76"/>
        <v>508815.5</v>
      </c>
      <c r="AB71" s="1195">
        <f t="shared" si="76"/>
        <v>0</v>
      </c>
      <c r="AC71" s="1195">
        <f t="shared" si="76"/>
        <v>0</v>
      </c>
      <c r="AD71" s="1195">
        <f t="shared" si="76"/>
        <v>0</v>
      </c>
      <c r="AE71" s="1195">
        <f t="shared" si="76"/>
        <v>508815.5</v>
      </c>
      <c r="AF71" s="1195">
        <f t="shared" si="76"/>
        <v>62660</v>
      </c>
      <c r="AG71" s="1195">
        <f t="shared" si="76"/>
        <v>47525.659999999996</v>
      </c>
      <c r="AH71" s="1195">
        <f t="shared" si="76"/>
        <v>32545.37</v>
      </c>
      <c r="AI71" s="1195">
        <f t="shared" si="76"/>
        <v>14980.289999999997</v>
      </c>
      <c r="AJ71" s="1195">
        <f t="shared" si="76"/>
        <v>15134.340000000004</v>
      </c>
      <c r="AK71" s="1195">
        <f t="shared" si="76"/>
        <v>6325167.5700000003</v>
      </c>
      <c r="AL71" s="1195">
        <f>SUM(AL72+AL77+AL84+AL90)</f>
        <v>2605480.5099999998</v>
      </c>
      <c r="AM71" s="1195">
        <f t="shared" ref="AM71:AQ71" si="77">SUM(AM72+AM77+AM84+AM90)</f>
        <v>815718.60000000009</v>
      </c>
      <c r="AN71" s="1195">
        <f t="shared" si="77"/>
        <v>1789761.9099999997</v>
      </c>
      <c r="AO71" s="1195">
        <f t="shared" si="77"/>
        <v>3719687.06</v>
      </c>
      <c r="AP71" s="1195">
        <f t="shared" si="77"/>
        <v>0</v>
      </c>
      <c r="AQ71" s="1195">
        <f t="shared" si="77"/>
        <v>0</v>
      </c>
      <c r="AR71" s="233">
        <f>SUM(K71-'3 pr-2'!L73)</f>
        <v>0</v>
      </c>
    </row>
    <row r="72" spans="1:44" ht="45" customHeight="1" thickBot="1">
      <c r="A72" s="296" t="str">
        <f>CONCATENATE('3 pr-2'!A74)</f>
        <v>1.1.2.1</v>
      </c>
      <c r="B72" s="2088" t="str">
        <f>CONCATENATE('3 pr-2'!B74)</f>
        <v>Priemonė:
Vietinio susisiekimo viešojo transporto priemonių parko atnaujinimas</v>
      </c>
      <c r="C72" s="2089"/>
      <c r="D72" s="2089"/>
      <c r="E72" s="2089"/>
      <c r="F72" s="2089"/>
      <c r="G72" s="2089"/>
      <c r="H72" s="2089"/>
      <c r="I72" s="2089"/>
      <c r="J72" s="2090"/>
      <c r="K72" s="1077">
        <f t="shared" ref="K72:AK72" si="78">SUM(K73:K76)</f>
        <v>2005982</v>
      </c>
      <c r="L72" s="1077">
        <f t="shared" si="78"/>
        <v>0</v>
      </c>
      <c r="M72" s="1077">
        <f t="shared" si="78"/>
        <v>0</v>
      </c>
      <c r="N72" s="1077">
        <f t="shared" si="78"/>
        <v>0</v>
      </c>
      <c r="O72" s="1077">
        <f t="shared" si="78"/>
        <v>0</v>
      </c>
      <c r="P72" s="1077">
        <f t="shared" si="78"/>
        <v>2005982</v>
      </c>
      <c r="Q72" s="1077">
        <f t="shared" si="78"/>
        <v>233894.5</v>
      </c>
      <c r="R72" s="1077">
        <f t="shared" si="78"/>
        <v>0</v>
      </c>
      <c r="S72" s="1077">
        <f t="shared" si="78"/>
        <v>0</v>
      </c>
      <c r="T72" s="1077">
        <f t="shared" si="78"/>
        <v>0</v>
      </c>
      <c r="U72" s="1077">
        <f t="shared" si="78"/>
        <v>233894.5</v>
      </c>
      <c r="V72" s="1077">
        <f t="shared" si="78"/>
        <v>0</v>
      </c>
      <c r="W72" s="1077">
        <f t="shared" si="78"/>
        <v>0</v>
      </c>
      <c r="X72" s="1077">
        <f t="shared" si="78"/>
        <v>0</v>
      </c>
      <c r="Y72" s="1077">
        <f t="shared" si="78"/>
        <v>0</v>
      </c>
      <c r="Z72" s="1077">
        <f t="shared" si="78"/>
        <v>0</v>
      </c>
      <c r="AA72" s="1077">
        <f t="shared" si="78"/>
        <v>508815.5</v>
      </c>
      <c r="AB72" s="1077">
        <f t="shared" si="78"/>
        <v>0</v>
      </c>
      <c r="AC72" s="1077">
        <f t="shared" si="78"/>
        <v>0</v>
      </c>
      <c r="AD72" s="1077">
        <f t="shared" si="78"/>
        <v>0</v>
      </c>
      <c r="AE72" s="1077">
        <f t="shared" si="78"/>
        <v>508815.5</v>
      </c>
      <c r="AF72" s="1077">
        <f t="shared" si="78"/>
        <v>0</v>
      </c>
      <c r="AG72" s="1077">
        <f t="shared" si="78"/>
        <v>0</v>
      </c>
      <c r="AH72" s="1077">
        <f t="shared" si="78"/>
        <v>0</v>
      </c>
      <c r="AI72" s="1077">
        <f t="shared" si="78"/>
        <v>0</v>
      </c>
      <c r="AJ72" s="1077">
        <f t="shared" si="78"/>
        <v>0</v>
      </c>
      <c r="AK72" s="1077">
        <f t="shared" si="78"/>
        <v>1263272</v>
      </c>
      <c r="AL72" s="1077">
        <f>SUM(AL73:AL76)</f>
        <v>0</v>
      </c>
      <c r="AM72" s="1077">
        <f t="shared" ref="AM72:AQ72" si="79">SUM(AM73:AM76)</f>
        <v>0</v>
      </c>
      <c r="AN72" s="1077">
        <f t="shared" si="79"/>
        <v>0</v>
      </c>
      <c r="AO72" s="1077">
        <f t="shared" si="79"/>
        <v>1263272</v>
      </c>
      <c r="AP72" s="1077">
        <f t="shared" si="79"/>
        <v>0</v>
      </c>
      <c r="AQ72" s="1077">
        <f t="shared" si="79"/>
        <v>0</v>
      </c>
      <c r="AR72" s="233">
        <f>SUM(K72-'3 pr-2'!L74)</f>
        <v>0</v>
      </c>
    </row>
    <row r="73" spans="1:44" ht="36.75">
      <c r="A73" s="375" t="str">
        <f>CONCATENATE('3 pr-2'!A75)</f>
        <v>1.1.2.1.1</v>
      </c>
      <c r="B73" s="578" t="str">
        <f>CONCATENATE('3 pr-2'!B75)</f>
        <v>R01-5518-100000-1211</v>
      </c>
      <c r="C73" s="577" t="str">
        <f>CONCATENATE('ketv. 6 '!C74)</f>
        <v>-</v>
      </c>
      <c r="D73" s="164" t="str">
        <f>CONCATENATE('3 pr-2'!D75)</f>
        <v>Nekenksmingų aplinkai viešojo transporto priemonių įsigijimas Alytaus mieste</v>
      </c>
      <c r="E73" s="164" t="str">
        <f>CONCATENATE('3 pr-2'!E75)</f>
        <v>Alytaus miesto savivaldybės administracija</v>
      </c>
      <c r="F73" s="164" t="str">
        <f>CONCATENATE('3 pr-2'!F75)</f>
        <v>Lietuvos Respublikos susisiekimo ministerija</v>
      </c>
      <c r="G73" s="164" t="str">
        <f>CONCATENATE('3 pr-2'!G75)</f>
        <v>Alytaus m. sav.</v>
      </c>
      <c r="H73" s="164" t="str">
        <f>CONCATENATE('3 pr-2'!H75)</f>
        <v>04.5.1-TID-R-518</v>
      </c>
      <c r="I73" s="164" t="str">
        <f>CONCATENATE('3 pr-2'!I75)</f>
        <v>R</v>
      </c>
      <c r="J73" s="164" t="str">
        <f>CONCATENATE('3 pr-2'!J75)</f>
        <v>ITI</v>
      </c>
      <c r="K73" s="1164">
        <f>SUM('3 pr-2'!L75)</f>
        <v>406091</v>
      </c>
      <c r="L73" s="1080">
        <f t="shared" ref="L73:L76" si="80">SUM(R73+W73+AB73+AG73+AL73)</f>
        <v>0</v>
      </c>
      <c r="M73" s="1082">
        <v>0</v>
      </c>
      <c r="N73" s="1082">
        <v>0</v>
      </c>
      <c r="O73" s="1082">
        <f t="shared" ref="O73:O97" si="81">SUM(L73-M73-N73)</f>
        <v>0</v>
      </c>
      <c r="P73" s="1160">
        <f t="shared" ref="P73:P138" si="82">SUM(K73-L73)</f>
        <v>406091</v>
      </c>
      <c r="Q73" s="1164">
        <f>SUM('3 pr-2'!O75)</f>
        <v>60914</v>
      </c>
      <c r="R73" s="1080">
        <f>SUMIF('mokėjimų ataskaita'!$I:$I,C73,'mokėjimų ataskaita'!$AU:$AU)/2</f>
        <v>0</v>
      </c>
      <c r="S73" s="1082"/>
      <c r="T73" s="1082"/>
      <c r="U73" s="1160">
        <f>SUM(Q73-R73)</f>
        <v>60914</v>
      </c>
      <c r="V73" s="1164">
        <f>SUM('3 pr-2'!R75)</f>
        <v>0</v>
      </c>
      <c r="W73" s="1080">
        <f>SUMIF('mokėjimų ataskaita'!$I:$I,C73,'mokėjimų ataskaita'!$AL:$AL)/2</f>
        <v>0</v>
      </c>
      <c r="X73" s="1082"/>
      <c r="Y73" s="1082"/>
      <c r="Z73" s="1160">
        <f t="shared" ref="Z73:Z76" si="83">SUM(V73-W73)</f>
        <v>0</v>
      </c>
      <c r="AA73" s="1164">
        <f>SUM('3 pr-2'!U75)</f>
        <v>0</v>
      </c>
      <c r="AB73" s="1080">
        <f>SUMIF('mokėjimų ataskaita'!$I:$I,'ketv. 7 '!C73,'mokėjimų ataskaita'!$AW:$AW)/2</f>
        <v>0</v>
      </c>
      <c r="AC73" s="1082"/>
      <c r="AD73" s="1082"/>
      <c r="AE73" s="1160">
        <f t="shared" ref="AE73:AE76" si="84">SUM(AA73-AB73)</f>
        <v>0</v>
      </c>
      <c r="AF73" s="1164">
        <f>SUM('3 pr-2'!X75)</f>
        <v>0</v>
      </c>
      <c r="AG73" s="1080">
        <f>SUMIF('mokėjimų ataskaita'!$I:$I,'ketv. 7 '!C73,'mokėjimų ataskaita'!$AT:$AT)/2+SUMIF('mokėjimų ataskaita'!$I:$I,'ketv. 7 '!C73,'mokėjimų ataskaita'!$AV:$AV)/2</f>
        <v>0</v>
      </c>
      <c r="AH73" s="1082"/>
      <c r="AI73" s="1082"/>
      <c r="AJ73" s="1160">
        <f t="shared" ref="AJ73:AJ76" si="85">SUM(AF73-AG73)</f>
        <v>0</v>
      </c>
      <c r="AK73" s="1164">
        <f>SUM('3 pr-2'!AA75)</f>
        <v>345177</v>
      </c>
      <c r="AL73" s="1080">
        <f>SUMIF('mokėjimų ataskaita'!$I:$I,'ketv. 7 '!C73,'mokėjimų ataskaita'!$AK:$AK)/2</f>
        <v>0</v>
      </c>
      <c r="AM73" s="1082"/>
      <c r="AN73" s="1082"/>
      <c r="AO73" s="1167">
        <f>SUM(AK73-AL73)</f>
        <v>345177</v>
      </c>
      <c r="AP73" s="1080">
        <f>SUM('3 pr-2'!AB75)</f>
        <v>0</v>
      </c>
      <c r="AQ73" s="1080">
        <v>0</v>
      </c>
    </row>
    <row r="74" spans="1:44" ht="36.75">
      <c r="A74" s="375" t="str">
        <f>CONCATENATE('3 pr-2'!A76)</f>
        <v>1.1.2.1.2</v>
      </c>
      <c r="B74" s="578" t="str">
        <f>CONCATENATE('3 pr-2'!B76)</f>
        <v>R01-5518-100000-1212</v>
      </c>
      <c r="C74" s="577" t="str">
        <f>CONCATENATE('ketv. 6 '!C75)</f>
        <v>-</v>
      </c>
      <c r="D74" s="164" t="str">
        <f>CONCATENATE('3 pr-2'!D76)</f>
        <v>Vietinio susisiekimo transporto priemonių įsigijimas</v>
      </c>
      <c r="E74" s="164" t="str">
        <f>CONCATENATE('3 pr-2'!E76)</f>
        <v>Alytaus rajono savivaldybės administracija</v>
      </c>
      <c r="F74" s="164" t="str">
        <f>CONCATENATE('3 pr-2'!F76)</f>
        <v>Lietuvos Respublikos susisiekimo ministerija</v>
      </c>
      <c r="G74" s="164" t="str">
        <f>CONCATENATE('3 pr-2'!G76)</f>
        <v>Alytaus r. sav.</v>
      </c>
      <c r="H74" s="164" t="str">
        <f>CONCATENATE('3 pr-2'!H76)</f>
        <v>04.5.1-TID-R-518</v>
      </c>
      <c r="I74" s="164" t="str">
        <f>CONCATENATE('3 pr-2'!I76)</f>
        <v>R</v>
      </c>
      <c r="J74" s="164" t="str">
        <f>CONCATENATE('3 pr-2'!J76)</f>
        <v>-</v>
      </c>
      <c r="K74" s="1164">
        <f>SUM('3 pr-2'!L76)</f>
        <v>496947</v>
      </c>
      <c r="L74" s="1080">
        <f t="shared" si="80"/>
        <v>0</v>
      </c>
      <c r="M74" s="1082">
        <v>0</v>
      </c>
      <c r="N74" s="1082">
        <v>0</v>
      </c>
      <c r="O74" s="1082">
        <f t="shared" si="81"/>
        <v>0</v>
      </c>
      <c r="P74" s="1160">
        <f t="shared" si="82"/>
        <v>496947</v>
      </c>
      <c r="Q74" s="1164">
        <f>SUM('3 pr-2'!O76)</f>
        <v>133574.5</v>
      </c>
      <c r="R74" s="1080">
        <f>SUMIF('mokėjimų ataskaita'!$I:$I,C74,'mokėjimų ataskaita'!$AU:$AU)/2</f>
        <v>0</v>
      </c>
      <c r="S74" s="1082"/>
      <c r="T74" s="1082"/>
      <c r="U74" s="1160">
        <f>SUM(Q74-R74)</f>
        <v>133574.5</v>
      </c>
      <c r="V74" s="1164">
        <f>SUM('3 pr-2'!R76)</f>
        <v>0</v>
      </c>
      <c r="W74" s="1080">
        <f>SUMIF('mokėjimų ataskaita'!$I:$I,C74,'mokėjimų ataskaita'!$AL:$AL)/2</f>
        <v>0</v>
      </c>
      <c r="X74" s="1082"/>
      <c r="Y74" s="1082"/>
      <c r="Z74" s="1160">
        <f t="shared" si="83"/>
        <v>0</v>
      </c>
      <c r="AA74" s="1164">
        <f>SUM('3 pr-2'!U76)</f>
        <v>86123.5</v>
      </c>
      <c r="AB74" s="1080">
        <f>SUMIF('mokėjimų ataskaita'!$I:$I,'ketv. 7 '!C74,'mokėjimų ataskaita'!$AW:$AW)/2</f>
        <v>0</v>
      </c>
      <c r="AC74" s="1082"/>
      <c r="AD74" s="1082"/>
      <c r="AE74" s="1160">
        <f t="shared" si="84"/>
        <v>86123.5</v>
      </c>
      <c r="AF74" s="1164">
        <f>SUM('3 pr-2'!X76)</f>
        <v>0</v>
      </c>
      <c r="AG74" s="1080">
        <f>SUMIF('mokėjimų ataskaita'!$I:$I,'ketv. 7 '!C74,'mokėjimų ataskaita'!$AT:$AT)/2+SUMIF('mokėjimų ataskaita'!$I:$I,'ketv. 7 '!C74,'mokėjimų ataskaita'!$AV:$AV)/2</f>
        <v>0</v>
      </c>
      <c r="AH74" s="1082"/>
      <c r="AI74" s="1082"/>
      <c r="AJ74" s="1160">
        <f t="shared" si="85"/>
        <v>0</v>
      </c>
      <c r="AK74" s="1164">
        <f>SUM('3 pr-2'!AA76)</f>
        <v>277249</v>
      </c>
      <c r="AL74" s="1080">
        <f>SUMIF('mokėjimų ataskaita'!$I:$I,'ketv. 7 '!C74,'mokėjimų ataskaita'!$AK:$AK)/2</f>
        <v>0</v>
      </c>
      <c r="AM74" s="1082"/>
      <c r="AN74" s="1082"/>
      <c r="AO74" s="1167">
        <f>SUM(AK74-AL74)</f>
        <v>277249</v>
      </c>
      <c r="AP74" s="1080">
        <f>SUM('3 pr-2'!AB76)</f>
        <v>0</v>
      </c>
      <c r="AQ74" s="1080">
        <v>0</v>
      </c>
    </row>
    <row r="75" spans="1:44" ht="36.75">
      <c r="A75" s="375" t="str">
        <f>CONCATENATE('3 pr-2'!A77)</f>
        <v>1.1.2.1.3</v>
      </c>
      <c r="B75" s="578" t="str">
        <f>CONCATENATE('3 pr-2'!B77)</f>
        <v>R01-5518-100000-1213</v>
      </c>
      <c r="C75" s="577" t="str">
        <f>CONCATENATE('ketv. 6 '!C76)</f>
        <v>04.5.1-TID-R-518-11-0002</v>
      </c>
      <c r="D75" s="164" t="str">
        <f>CONCATENATE('3 pr-2'!D77)</f>
        <v>Ekologiškų transporto priemonių įsigijimas Druskininkų savivaldybėje</v>
      </c>
      <c r="E75" s="164" t="str">
        <f>CONCATENATE('3 pr-2'!E77)</f>
        <v xml:space="preserve">Druskininkų savivaldybės administracija  </v>
      </c>
      <c r="F75" s="164" t="str">
        <f>CONCATENATE('3 pr-2'!F77)</f>
        <v>Lietuvos Respublikos susisiekimo ministerija</v>
      </c>
      <c r="G75" s="164" t="str">
        <f>CONCATENATE('3 pr-2'!G77)</f>
        <v>Druskininkų sav.</v>
      </c>
      <c r="H75" s="164" t="str">
        <f>CONCATENATE('3 pr-2'!H77)</f>
        <v>04.5.1-TID-R-518</v>
      </c>
      <c r="I75" s="164" t="str">
        <f>CONCATENATE('3 pr-2'!I77)</f>
        <v>R</v>
      </c>
      <c r="J75" s="164" t="str">
        <f>CONCATENATE('3 pr-2'!J77)</f>
        <v>-</v>
      </c>
      <c r="K75" s="1164">
        <f>SUM('3 pr-2'!L77)</f>
        <v>840240</v>
      </c>
      <c r="L75" s="1080">
        <f t="shared" si="80"/>
        <v>0</v>
      </c>
      <c r="M75" s="1082">
        <v>0</v>
      </c>
      <c r="N75" s="1082">
        <v>0</v>
      </c>
      <c r="O75" s="1082">
        <f t="shared" si="81"/>
        <v>0</v>
      </c>
      <c r="P75" s="1160">
        <f t="shared" si="82"/>
        <v>840240</v>
      </c>
      <c r="Q75" s="1164">
        <f>SUM('3 pr-2'!O77)</f>
        <v>0</v>
      </c>
      <c r="R75" s="1080">
        <f>SUMIF('mokėjimų ataskaita'!$I:$I,C75,'mokėjimų ataskaita'!$AU:$AU)/2</f>
        <v>0</v>
      </c>
      <c r="S75" s="1082"/>
      <c r="T75" s="1082"/>
      <c r="U75" s="1160">
        <f>SUM(Q75-R75)</f>
        <v>0</v>
      </c>
      <c r="V75" s="1164">
        <f>SUM('3 pr-2'!R77)</f>
        <v>0</v>
      </c>
      <c r="W75" s="1080">
        <f>SUMIF('mokėjimų ataskaita'!$I:$I,C75,'mokėjimų ataskaita'!$AL:$AL)/2</f>
        <v>0</v>
      </c>
      <c r="X75" s="1082"/>
      <c r="Y75" s="1082"/>
      <c r="Z75" s="1160">
        <f t="shared" si="83"/>
        <v>0</v>
      </c>
      <c r="AA75" s="1164">
        <f>SUM('3 pr-2'!U77)</f>
        <v>422692</v>
      </c>
      <c r="AB75" s="1080">
        <f>SUMIF('mokėjimų ataskaita'!$I:$I,'ketv. 7 '!C75,'mokėjimų ataskaita'!$AW:$AW)/2</f>
        <v>0</v>
      </c>
      <c r="AC75" s="1082"/>
      <c r="AD75" s="1082"/>
      <c r="AE75" s="1160">
        <f t="shared" si="84"/>
        <v>422692</v>
      </c>
      <c r="AF75" s="1164">
        <f>SUM('3 pr-2'!X77)</f>
        <v>0</v>
      </c>
      <c r="AG75" s="1080">
        <f>SUMIF('mokėjimų ataskaita'!$I:$I,'ketv. 7 '!C75,'mokėjimų ataskaita'!$AT:$AT)/2+SUMIF('mokėjimų ataskaita'!$I:$I,'ketv. 7 '!C75,'mokėjimų ataskaita'!$AV:$AV)/2</f>
        <v>0</v>
      </c>
      <c r="AH75" s="1082"/>
      <c r="AI75" s="1082"/>
      <c r="AJ75" s="1160">
        <f t="shared" si="85"/>
        <v>0</v>
      </c>
      <c r="AK75" s="1164">
        <f>SUM('3 pr-2'!AA77)</f>
        <v>417548</v>
      </c>
      <c r="AL75" s="1080">
        <f>SUMIF('mokėjimų ataskaita'!$I:$I,'ketv. 7 '!C75,'mokėjimų ataskaita'!$AK:$AK)/2</f>
        <v>0</v>
      </c>
      <c r="AM75" s="1082"/>
      <c r="AN75" s="1082"/>
      <c r="AO75" s="1167">
        <f>SUM(AK75-AL75)</f>
        <v>417548</v>
      </c>
      <c r="AP75" s="1080">
        <f>SUM('3 pr-2'!AB77)</f>
        <v>0</v>
      </c>
      <c r="AQ75" s="1080">
        <v>0</v>
      </c>
    </row>
    <row r="76" spans="1:44" ht="37.5" thickBot="1">
      <c r="A76" s="375" t="str">
        <f>CONCATENATE('3 pr-2'!A78)</f>
        <v>1.1.2.1.4</v>
      </c>
      <c r="B76" s="578" t="str">
        <f>CONCATENATE('3 pr-2'!B78)</f>
        <v>R01-5518-100000-1214</v>
      </c>
      <c r="C76" s="577" t="str">
        <f>CONCATENATE('ketv. 6 '!C77)</f>
        <v>04.5.1-TID-R-518-11-0001</v>
      </c>
      <c r="D76" s="164" t="str">
        <f>CONCATENATE('3 pr-2'!D78)</f>
        <v>Ekologiškų transporto priemonių įsigijimas Lazdijų rajono savivaldybėje</v>
      </c>
      <c r="E76" s="164" t="str">
        <f>CONCATENATE('3 pr-2'!E78)</f>
        <v>Lazdijų rajono savivaldybės administracija</v>
      </c>
      <c r="F76" s="164" t="str">
        <f>CONCATENATE('3 pr-2'!F78)</f>
        <v>Lietuvos Respublikos susisiekimo ministerija</v>
      </c>
      <c r="G76" s="164" t="str">
        <f>CONCATENATE('3 pr-2'!G78)</f>
        <v>Lazdijų r. sav.</v>
      </c>
      <c r="H76" s="164" t="str">
        <f>CONCATENATE('3 pr-2'!H78)</f>
        <v>04.5.1-TID-R-518</v>
      </c>
      <c r="I76" s="164" t="str">
        <f>CONCATENATE('3 pr-2'!I78)</f>
        <v>R</v>
      </c>
      <c r="J76" s="164" t="str">
        <f>CONCATENATE('3 pr-2'!J78)</f>
        <v>-</v>
      </c>
      <c r="K76" s="1164">
        <f>SUM('3 pr-2'!L78)</f>
        <v>262704</v>
      </c>
      <c r="L76" s="1080">
        <f t="shared" si="80"/>
        <v>0</v>
      </c>
      <c r="M76" s="1082">
        <v>0</v>
      </c>
      <c r="N76" s="1082">
        <v>0</v>
      </c>
      <c r="O76" s="1082">
        <f t="shared" si="81"/>
        <v>0</v>
      </c>
      <c r="P76" s="1160">
        <f t="shared" si="82"/>
        <v>262704</v>
      </c>
      <c r="Q76" s="1164">
        <f>SUM('3 pr-2'!O78)</f>
        <v>39406</v>
      </c>
      <c r="R76" s="1080">
        <f>SUMIF('mokėjimų ataskaita'!$I:$I,C76,'mokėjimų ataskaita'!$AU:$AU)/2</f>
        <v>0</v>
      </c>
      <c r="S76" s="1082"/>
      <c r="T76" s="1082"/>
      <c r="U76" s="1160">
        <f>SUM(Q76-R76)</f>
        <v>39406</v>
      </c>
      <c r="V76" s="1164">
        <f>SUM('3 pr-2'!R78)</f>
        <v>0</v>
      </c>
      <c r="W76" s="1080">
        <f>SUMIF('mokėjimų ataskaita'!$I:$I,C76,'mokėjimų ataskaita'!$AL:$AL)/2</f>
        <v>0</v>
      </c>
      <c r="X76" s="1082"/>
      <c r="Y76" s="1082"/>
      <c r="Z76" s="1160">
        <f t="shared" si="83"/>
        <v>0</v>
      </c>
      <c r="AA76" s="1164">
        <f>SUM('3 pr-2'!U78)</f>
        <v>0</v>
      </c>
      <c r="AB76" s="1080">
        <f>SUMIF('mokėjimų ataskaita'!$I:$I,'ketv. 7 '!C76,'mokėjimų ataskaita'!$AW:$AW)/2</f>
        <v>0</v>
      </c>
      <c r="AC76" s="1082"/>
      <c r="AD76" s="1082"/>
      <c r="AE76" s="1160">
        <f t="shared" si="84"/>
        <v>0</v>
      </c>
      <c r="AF76" s="1164">
        <f>SUM('3 pr-2'!X78)</f>
        <v>0</v>
      </c>
      <c r="AG76" s="1080">
        <f>SUMIF('mokėjimų ataskaita'!$I:$I,'ketv. 7 '!C76,'mokėjimų ataskaita'!$AT:$AT)/2+SUMIF('mokėjimų ataskaita'!$I:$I,'ketv. 7 '!C76,'mokėjimų ataskaita'!$AV:$AV)/2</f>
        <v>0</v>
      </c>
      <c r="AH76" s="1082"/>
      <c r="AI76" s="1082"/>
      <c r="AJ76" s="1160">
        <f t="shared" si="85"/>
        <v>0</v>
      </c>
      <c r="AK76" s="1164">
        <f>SUM('3 pr-2'!AA78)</f>
        <v>223298</v>
      </c>
      <c r="AL76" s="1080">
        <f>SUMIF('mokėjimų ataskaita'!$I:$I,'ketv. 7 '!C76,'mokėjimų ataskaita'!$AK:$AK)/2</f>
        <v>0</v>
      </c>
      <c r="AM76" s="1082"/>
      <c r="AN76" s="1082"/>
      <c r="AO76" s="1165">
        <f>SUM(AK76-AL76)</f>
        <v>223298</v>
      </c>
      <c r="AP76" s="1080">
        <f>SUM('3 pr-2'!AB78)</f>
        <v>0</v>
      </c>
      <c r="AQ76" s="1080">
        <v>0</v>
      </c>
    </row>
    <row r="77" spans="1:44" ht="33" customHeight="1" thickBot="1">
      <c r="A77" s="296" t="str">
        <f>CONCATENATE('3 pr-2'!A79)</f>
        <v>1.1.2.2</v>
      </c>
      <c r="B77" s="2088" t="str">
        <f>CONCATENATE('3 pr-2'!B79)</f>
        <v>Priemonė:
Darnaus judumo priemonių diegimas</v>
      </c>
      <c r="C77" s="2089"/>
      <c r="D77" s="2089"/>
      <c r="E77" s="2089"/>
      <c r="F77" s="2089"/>
      <c r="G77" s="2089"/>
      <c r="H77" s="2089"/>
      <c r="I77" s="2089"/>
      <c r="J77" s="2090"/>
      <c r="K77" s="1077">
        <f t="shared" ref="K77:AK77" si="86">SUM(K78:K83)</f>
        <v>1894943.24</v>
      </c>
      <c r="L77" s="1077">
        <f t="shared" si="86"/>
        <v>50638</v>
      </c>
      <c r="M77" s="1077">
        <f t="shared" si="86"/>
        <v>37182.800000000003</v>
      </c>
      <c r="N77" s="1077">
        <f t="shared" si="86"/>
        <v>13455.199999999997</v>
      </c>
      <c r="O77" s="1077">
        <f t="shared" si="86"/>
        <v>0</v>
      </c>
      <c r="P77" s="1077">
        <f t="shared" si="86"/>
        <v>1844305.24</v>
      </c>
      <c r="Q77" s="1077">
        <f t="shared" si="86"/>
        <v>284241.14</v>
      </c>
      <c r="R77" s="1077">
        <f t="shared" si="86"/>
        <v>7595.7</v>
      </c>
      <c r="S77" s="1077">
        <f t="shared" si="86"/>
        <v>5577.42</v>
      </c>
      <c r="T77" s="1077">
        <f t="shared" si="86"/>
        <v>2018.2799999999997</v>
      </c>
      <c r="U77" s="1077">
        <f t="shared" si="86"/>
        <v>276645.44</v>
      </c>
      <c r="V77" s="1077">
        <f t="shared" si="86"/>
        <v>0</v>
      </c>
      <c r="W77" s="1077">
        <f t="shared" si="86"/>
        <v>0</v>
      </c>
      <c r="X77" s="1077">
        <f t="shared" si="86"/>
        <v>0</v>
      </c>
      <c r="Y77" s="1077">
        <f t="shared" si="86"/>
        <v>0</v>
      </c>
      <c r="Z77" s="1077">
        <f t="shared" si="86"/>
        <v>0</v>
      </c>
      <c r="AA77" s="1077">
        <f t="shared" si="86"/>
        <v>0</v>
      </c>
      <c r="AB77" s="1077">
        <f t="shared" si="86"/>
        <v>0</v>
      </c>
      <c r="AC77" s="1077">
        <f t="shared" si="86"/>
        <v>0</v>
      </c>
      <c r="AD77" s="1077">
        <f t="shared" si="86"/>
        <v>0</v>
      </c>
      <c r="AE77" s="1077">
        <f t="shared" si="86"/>
        <v>0</v>
      </c>
      <c r="AF77" s="1077">
        <f t="shared" si="86"/>
        <v>0</v>
      </c>
      <c r="AG77" s="1077">
        <f t="shared" si="86"/>
        <v>0</v>
      </c>
      <c r="AH77" s="1077">
        <f t="shared" si="86"/>
        <v>0</v>
      </c>
      <c r="AI77" s="1077">
        <f t="shared" si="86"/>
        <v>0</v>
      </c>
      <c r="AJ77" s="1077">
        <f t="shared" si="86"/>
        <v>0</v>
      </c>
      <c r="AK77" s="1077">
        <f t="shared" si="86"/>
        <v>1610702.1</v>
      </c>
      <c r="AL77" s="1077">
        <f>SUM(AL78:AL83)</f>
        <v>43042.3</v>
      </c>
      <c r="AM77" s="1077">
        <f t="shared" ref="AM77:AQ77" si="87">SUM(AM78:AM83)</f>
        <v>31605.38</v>
      </c>
      <c r="AN77" s="1077">
        <f t="shared" si="87"/>
        <v>11436.919999999998</v>
      </c>
      <c r="AO77" s="1077">
        <f t="shared" si="87"/>
        <v>1567659.8</v>
      </c>
      <c r="AP77" s="1077">
        <f t="shared" si="87"/>
        <v>0</v>
      </c>
      <c r="AQ77" s="1077">
        <f t="shared" si="87"/>
        <v>0</v>
      </c>
      <c r="AR77" s="233">
        <f>SUM(K77-'3 pr-2'!L79)</f>
        <v>0</v>
      </c>
    </row>
    <row r="78" spans="1:44" ht="36.75">
      <c r="A78" s="375" t="str">
        <f>CONCATENATE('3 pr-2'!A80)</f>
        <v>1.1.2.2.1</v>
      </c>
      <c r="B78" s="578" t="str">
        <f>CONCATENATE('3 pr-2'!B80)</f>
        <v>R01-5514-190000-1221</v>
      </c>
      <c r="C78" s="577" t="str">
        <f>CONCATENATE('ketv. 6 '!C79)</f>
        <v>-</v>
      </c>
      <c r="D78" s="164" t="str">
        <f>CONCATENATE('3 pr-2'!D80)</f>
        <v>Darnaus judumo priemonių diegimas Alytaus mieste</v>
      </c>
      <c r="E78" s="164" t="str">
        <f>CONCATENATE('3 pr-2'!E80)</f>
        <v>Alytaus miesto savivaldybės administracija</v>
      </c>
      <c r="F78" s="164" t="str">
        <f>CONCATENATE('3 pr-2'!F80)</f>
        <v>Lietuvos Respublikos susisiekimo ministerija</v>
      </c>
      <c r="G78" s="164" t="str">
        <f>CONCATENATE('3 pr-2'!G80)</f>
        <v>Alytaus m. sav.</v>
      </c>
      <c r="H78" s="164" t="str">
        <f>CONCATENATE('3 pr-2'!H80)</f>
        <v>04.5.1.-TID-R-514</v>
      </c>
      <c r="I78" s="164" t="str">
        <f>CONCATENATE('3 pr-2'!I80)</f>
        <v>R</v>
      </c>
      <c r="J78" s="164" t="str">
        <f>CONCATENATE('3 pr-2'!J80)</f>
        <v>ITI</v>
      </c>
      <c r="K78" s="1164">
        <f>SUM('3 pr-2'!L80)</f>
        <v>1143469</v>
      </c>
      <c r="L78" s="1080">
        <f t="shared" ref="L78:L83" si="88">SUM(R78+W78+AB78+AG78+AL78)</f>
        <v>0</v>
      </c>
      <c r="M78" s="1082">
        <v>0</v>
      </c>
      <c r="N78" s="1082">
        <f t="shared" ref="N78:N83" si="89">SUM(L78-M78)</f>
        <v>0</v>
      </c>
      <c r="O78" s="1082">
        <f t="shared" si="81"/>
        <v>0</v>
      </c>
      <c r="P78" s="1160">
        <f t="shared" ref="P78:P81" si="90">SUM(K78-L78)</f>
        <v>1143469</v>
      </c>
      <c r="Q78" s="1164">
        <f>SUM('3 pr-2'!O80)</f>
        <v>171520</v>
      </c>
      <c r="R78" s="1080">
        <f>SUMIF('mokėjimų ataskaita'!$I:$I,C78,'mokėjimų ataskaita'!$AU:$AU)/2</f>
        <v>0</v>
      </c>
      <c r="S78" s="1082">
        <v>0</v>
      </c>
      <c r="T78" s="1082">
        <f t="shared" ref="T78:T83" si="91">SUM(R78-S78)</f>
        <v>0</v>
      </c>
      <c r="U78" s="1160">
        <f t="shared" ref="U78:U83" si="92">SUM(Q78-R78)</f>
        <v>171520</v>
      </c>
      <c r="V78" s="1164">
        <f>SUM('3 pr-2'!R80)</f>
        <v>0</v>
      </c>
      <c r="W78" s="1080">
        <f>SUMIF('mokėjimų ataskaita'!$I:$I,C78,'mokėjimų ataskaita'!$AL:$AL)/2</f>
        <v>0</v>
      </c>
      <c r="X78" s="1082"/>
      <c r="Y78" s="1082"/>
      <c r="Z78" s="1160">
        <f t="shared" ref="Z78:Z81" si="93">SUM(V78-W78)</f>
        <v>0</v>
      </c>
      <c r="AA78" s="1164">
        <f>SUM('3 pr-2'!U80)</f>
        <v>0</v>
      </c>
      <c r="AB78" s="1080">
        <f>SUMIF('mokėjimų ataskaita'!$I:$I,'ketv. 7 '!C78,'mokėjimų ataskaita'!$AW:$AW)/2</f>
        <v>0</v>
      </c>
      <c r="AC78" s="1082"/>
      <c r="AD78" s="1082"/>
      <c r="AE78" s="1160">
        <f t="shared" ref="AE78:AE81" si="94">SUM(AA78-AB78)</f>
        <v>0</v>
      </c>
      <c r="AF78" s="1164">
        <f>SUM('3 pr-2'!X80)</f>
        <v>0</v>
      </c>
      <c r="AG78" s="1080">
        <f>SUMIF('mokėjimų ataskaita'!$I:$I,'ketv. 7 '!C78,'mokėjimų ataskaita'!$AT:$AT)/2+SUMIF('mokėjimų ataskaita'!$I:$I,'ketv. 7 '!C78,'mokėjimų ataskaita'!$AV:$AV)/2</f>
        <v>0</v>
      </c>
      <c r="AH78" s="1082"/>
      <c r="AI78" s="1082"/>
      <c r="AJ78" s="1160">
        <f t="shared" ref="AJ78:AJ81" si="95">SUM(AF78-AG78)</f>
        <v>0</v>
      </c>
      <c r="AK78" s="1164">
        <f>SUM('3 pr-2'!AA80)</f>
        <v>971949</v>
      </c>
      <c r="AL78" s="1080">
        <f>SUMIF('mokėjimų ataskaita'!$I:$I,'ketv. 7 '!C78,'mokėjimų ataskaita'!$AK:$AK)/2</f>
        <v>0</v>
      </c>
      <c r="AM78" s="1082">
        <v>0</v>
      </c>
      <c r="AN78" s="1082">
        <f t="shared" ref="AN78:AN83" si="96">SUM(AL78-AM78)</f>
        <v>0</v>
      </c>
      <c r="AO78" s="1167">
        <f t="shared" ref="AO78:AO83" si="97">SUM(AK78-AL78)</f>
        <v>971949</v>
      </c>
      <c r="AP78" s="1080">
        <f>SUM('3 pr-2'!AB80)</f>
        <v>0</v>
      </c>
      <c r="AQ78" s="1080">
        <v>0</v>
      </c>
    </row>
    <row r="79" spans="1:44" ht="36.75">
      <c r="A79" s="375" t="str">
        <f>CONCATENATE('3 pr-2'!A81)</f>
        <v>1.1.2.2.2</v>
      </c>
      <c r="B79" s="578" t="str">
        <f>CONCATENATE('3 pr-2'!B81)</f>
        <v>R01-5514-190000-1222</v>
      </c>
      <c r="C79" s="577" t="str">
        <f>CONCATENATE('ketv. 6 '!C80)</f>
        <v>04.5.1-TID-V-513-01-0015</v>
      </c>
      <c r="D79" s="164" t="str">
        <f>CONCATENATE('3 pr-2'!D81)</f>
        <v>Alytaus miesto darnaus judumo plano parengimas</v>
      </c>
      <c r="E79" s="164" t="str">
        <f>CONCATENATE('3 pr-2'!E81)</f>
        <v>Alytaus miesto savivaldybės administracija</v>
      </c>
      <c r="F79" s="164" t="str">
        <f>CONCATENATE('3 pr-2'!F81)</f>
        <v>Lietuvos Respublikos susisiekimo ministerija</v>
      </c>
      <c r="G79" s="164" t="str">
        <f>CONCATENATE('3 pr-2'!G81)</f>
        <v>Alytaus m. sav.</v>
      </c>
      <c r="H79" s="164" t="str">
        <f>CONCATENATE('3 pr-2'!H81)</f>
        <v>04.5.1-TID-V-513</v>
      </c>
      <c r="I79" s="164" t="str">
        <f>CONCATENATE('3 pr-2'!I81)</f>
        <v>V</v>
      </c>
      <c r="J79" s="164" t="str">
        <f>CONCATENATE('3 pr-2'!J81)</f>
        <v>ITI</v>
      </c>
      <c r="K79" s="1164">
        <f>SUM('3 pr-2'!L81)</f>
        <v>33638</v>
      </c>
      <c r="L79" s="1159">
        <f t="shared" si="88"/>
        <v>33638</v>
      </c>
      <c r="M79" s="1082">
        <v>20182.800000000003</v>
      </c>
      <c r="N79" s="1082">
        <f t="shared" si="89"/>
        <v>13455.199999999997</v>
      </c>
      <c r="O79" s="1082">
        <f t="shared" si="81"/>
        <v>0</v>
      </c>
      <c r="P79" s="1160">
        <f t="shared" si="90"/>
        <v>0</v>
      </c>
      <c r="Q79" s="1164">
        <f>SUM('3 pr-2'!O81)</f>
        <v>5045.7</v>
      </c>
      <c r="R79" s="1159">
        <f>SUMIF('mokėjimų ataskaita'!$I:$I,C79,'mokėjimų ataskaita'!$AU:$AU)/2</f>
        <v>5045.7</v>
      </c>
      <c r="S79" s="1082">
        <v>3027.42</v>
      </c>
      <c r="T79" s="1082">
        <f t="shared" si="91"/>
        <v>2018.2799999999997</v>
      </c>
      <c r="U79" s="1160">
        <f t="shared" si="92"/>
        <v>0</v>
      </c>
      <c r="V79" s="1164">
        <f>SUM('3 pr-2'!R81)</f>
        <v>0</v>
      </c>
      <c r="W79" s="1080">
        <f>SUMIF('mokėjimų ataskaita'!$I:$I,C79,'mokėjimų ataskaita'!$AL:$AL)/2</f>
        <v>0</v>
      </c>
      <c r="X79" s="1082"/>
      <c r="Y79" s="1082"/>
      <c r="Z79" s="1160">
        <f t="shared" si="93"/>
        <v>0</v>
      </c>
      <c r="AA79" s="1164">
        <f>SUM('3 pr-2'!U81)</f>
        <v>0</v>
      </c>
      <c r="AB79" s="1080">
        <f>SUMIF('mokėjimų ataskaita'!$I:$I,'ketv. 7 '!C79,'mokėjimų ataskaita'!$AW:$AW)/2</f>
        <v>0</v>
      </c>
      <c r="AC79" s="1082"/>
      <c r="AD79" s="1082"/>
      <c r="AE79" s="1160">
        <f t="shared" si="94"/>
        <v>0</v>
      </c>
      <c r="AF79" s="1164">
        <f>SUM('3 pr-2'!X81)</f>
        <v>0</v>
      </c>
      <c r="AG79" s="1080">
        <f>SUMIF('mokėjimų ataskaita'!$I:$I,'ketv. 7 '!C79,'mokėjimų ataskaita'!$AT:$AT)/2+SUMIF('mokėjimų ataskaita'!$I:$I,'ketv. 7 '!C79,'mokėjimų ataskaita'!$AV:$AV)/2</f>
        <v>0</v>
      </c>
      <c r="AH79" s="1082"/>
      <c r="AI79" s="1082"/>
      <c r="AJ79" s="1160">
        <f t="shared" si="95"/>
        <v>0</v>
      </c>
      <c r="AK79" s="1164">
        <f>SUM('3 pr-2'!AA81)</f>
        <v>28592.3</v>
      </c>
      <c r="AL79" s="1159">
        <f>SUMIF('mokėjimų ataskaita'!$I:$I,'ketv. 7 '!C79,'mokėjimų ataskaita'!$AK:$AK)/2</f>
        <v>28592.3</v>
      </c>
      <c r="AM79" s="1082">
        <v>17155.38</v>
      </c>
      <c r="AN79" s="1082">
        <f t="shared" si="96"/>
        <v>11436.919999999998</v>
      </c>
      <c r="AO79" s="1167">
        <f t="shared" si="97"/>
        <v>0</v>
      </c>
      <c r="AP79" s="1080">
        <f>SUM('3 pr-2'!AB81)</f>
        <v>0</v>
      </c>
      <c r="AQ79" s="1159">
        <v>0</v>
      </c>
    </row>
    <row r="80" spans="1:44" ht="36.75">
      <c r="A80" s="375" t="str">
        <f>CONCATENATE('3 pr-2'!A82)</f>
        <v>1.1.2.2.3</v>
      </c>
      <c r="B80" s="578" t="str">
        <f>CONCATENATE('3 pr-2'!B82)</f>
        <v>R01-5514-191800-1223</v>
      </c>
      <c r="C80" s="577" t="str">
        <f>CONCATENATE('ketv. 6 '!C81)</f>
        <v>-</v>
      </c>
      <c r="D80" s="164" t="str">
        <f>CONCATENATE('3 pr-2'!D82)</f>
        <v>Intelektinių transporto sistemų diegimas Druskininkuose</v>
      </c>
      <c r="E80" s="164" t="str">
        <f>CONCATENATE('3 pr-2'!E82)</f>
        <v>Druskininkų savivaldybės administracija</v>
      </c>
      <c r="F80" s="164" t="str">
        <f>CONCATENATE('3 pr-2'!F82)</f>
        <v>Lietuvos Respublikos susisiekimo ministerija</v>
      </c>
      <c r="G80" s="164" t="str">
        <f>CONCATENATE('3 pr-2'!G82)</f>
        <v>Druskininkų sav.</v>
      </c>
      <c r="H80" s="164" t="str">
        <f>CONCATENATE('3 pr-2'!H82)</f>
        <v>04.5.1.-TID-R-514</v>
      </c>
      <c r="I80" s="164" t="str">
        <f>CONCATENATE('3 pr-2'!I82)</f>
        <v>R</v>
      </c>
      <c r="J80" s="164" t="str">
        <f>CONCATENATE('3 pr-2'!J82)</f>
        <v>-</v>
      </c>
      <c r="K80" s="1164">
        <f>SUM('3 pr-2'!L82)</f>
        <v>160836.24</v>
      </c>
      <c r="L80" s="1080">
        <f t="shared" si="88"/>
        <v>0</v>
      </c>
      <c r="M80" s="1082">
        <v>0</v>
      </c>
      <c r="N80" s="1082">
        <f t="shared" si="89"/>
        <v>0</v>
      </c>
      <c r="O80" s="1082">
        <f t="shared" si="81"/>
        <v>0</v>
      </c>
      <c r="P80" s="1160">
        <f t="shared" si="90"/>
        <v>160836.24</v>
      </c>
      <c r="Q80" s="1164">
        <f>SUM('3 pr-2'!O82)</f>
        <v>24125.439999999999</v>
      </c>
      <c r="R80" s="1080">
        <f>SUMIF('mokėjimų ataskaita'!$I:$I,C80,'mokėjimų ataskaita'!$AU:$AU)/2</f>
        <v>0</v>
      </c>
      <c r="S80" s="1082">
        <v>0</v>
      </c>
      <c r="T80" s="1082">
        <f t="shared" si="91"/>
        <v>0</v>
      </c>
      <c r="U80" s="1160">
        <f t="shared" si="92"/>
        <v>24125.439999999999</v>
      </c>
      <c r="V80" s="1164">
        <f>SUM('3 pr-2'!R82)</f>
        <v>0</v>
      </c>
      <c r="W80" s="1080">
        <f>SUMIF('mokėjimų ataskaita'!$I:$I,C80,'mokėjimų ataskaita'!$AL:$AL)/2</f>
        <v>0</v>
      </c>
      <c r="X80" s="1082"/>
      <c r="Y80" s="1082"/>
      <c r="Z80" s="1160">
        <f t="shared" si="93"/>
        <v>0</v>
      </c>
      <c r="AA80" s="1164">
        <f>SUM('3 pr-2'!U82)</f>
        <v>0</v>
      </c>
      <c r="AB80" s="1080">
        <f>SUMIF('mokėjimų ataskaita'!$I:$I,'ketv. 7 '!C80,'mokėjimų ataskaita'!$AW:$AW)/2</f>
        <v>0</v>
      </c>
      <c r="AC80" s="1082"/>
      <c r="AD80" s="1082"/>
      <c r="AE80" s="1160">
        <f t="shared" si="94"/>
        <v>0</v>
      </c>
      <c r="AF80" s="1164">
        <f>SUM('3 pr-2'!X82)</f>
        <v>0</v>
      </c>
      <c r="AG80" s="1080">
        <f>SUMIF('mokėjimų ataskaita'!$I:$I,'ketv. 7 '!C80,'mokėjimų ataskaita'!$AT:$AT)/2+SUMIF('mokėjimų ataskaita'!$I:$I,'ketv. 7 '!C80,'mokėjimų ataskaita'!$AV:$AV)/2</f>
        <v>0</v>
      </c>
      <c r="AH80" s="1082"/>
      <c r="AI80" s="1082"/>
      <c r="AJ80" s="1160">
        <f t="shared" si="95"/>
        <v>0</v>
      </c>
      <c r="AK80" s="1164">
        <f>SUM('3 pr-2'!AA82)</f>
        <v>136710.79999999999</v>
      </c>
      <c r="AL80" s="1080">
        <f>SUMIF('mokėjimų ataskaita'!$I:$I,'ketv. 7 '!C80,'mokėjimų ataskaita'!$AK:$AK)/2</f>
        <v>0</v>
      </c>
      <c r="AM80" s="1082">
        <v>0</v>
      </c>
      <c r="AN80" s="1082">
        <f t="shared" si="96"/>
        <v>0</v>
      </c>
      <c r="AO80" s="1167">
        <f t="shared" si="97"/>
        <v>136710.79999999999</v>
      </c>
      <c r="AP80" s="1080">
        <f>SUM('3 pr-2'!AB82)</f>
        <v>0</v>
      </c>
      <c r="AQ80" s="1080">
        <v>0</v>
      </c>
    </row>
    <row r="81" spans="1:44" ht="36.75">
      <c r="A81" s="375" t="str">
        <f>CONCATENATE('3 pr-2'!A83)</f>
        <v>1.1.2.2.4</v>
      </c>
      <c r="B81" s="578" t="str">
        <f>CONCATENATE('3 pr-2'!B83)</f>
        <v>R01-5514-190000-1224</v>
      </c>
      <c r="C81" s="577" t="str">
        <f>CONCATENATE('ketv. 6 '!C82)</f>
        <v>04.5.1-TID-V-513-01-0006</v>
      </c>
      <c r="D81" s="164" t="str">
        <f>CONCATENATE('3 pr-2'!D83)</f>
        <v>Darnaus judumo plano Druskininkuose parengimas</v>
      </c>
      <c r="E81" s="164" t="str">
        <f>CONCATENATE('3 pr-2'!E83)</f>
        <v>Druskininkų savivaldybės administracija</v>
      </c>
      <c r="F81" s="164" t="str">
        <f>CONCATENATE('3 pr-2'!F83)</f>
        <v>Lietuvos Respublikos susisiekimo ministerija</v>
      </c>
      <c r="G81" s="164" t="str">
        <f>CONCATENATE('3 pr-2'!G83)</f>
        <v>Druskininkų sav.</v>
      </c>
      <c r="H81" s="164" t="str">
        <f>CONCATENATE('3 pr-2'!H83)</f>
        <v>04.5.1-TID-V-513</v>
      </c>
      <c r="I81" s="164" t="str">
        <f>CONCATENATE('3 pr-2'!I83)</f>
        <v>V</v>
      </c>
      <c r="J81" s="164" t="str">
        <f>CONCATENATE('3 pr-2'!J83)</f>
        <v>ITI</v>
      </c>
      <c r="K81" s="1164">
        <f>SUM('3 pr-2'!L83)</f>
        <v>17000</v>
      </c>
      <c r="L81" s="1159">
        <f t="shared" si="88"/>
        <v>17000</v>
      </c>
      <c r="M81" s="1082">
        <v>17000</v>
      </c>
      <c r="N81" s="1082">
        <f t="shared" si="89"/>
        <v>0</v>
      </c>
      <c r="O81" s="1082">
        <f t="shared" si="81"/>
        <v>0</v>
      </c>
      <c r="P81" s="1160">
        <f t="shared" si="90"/>
        <v>0</v>
      </c>
      <c r="Q81" s="1164">
        <f>SUM('3 pr-2'!O83)</f>
        <v>2550</v>
      </c>
      <c r="R81" s="1159">
        <f>SUMIF('mokėjimų ataskaita'!$I:$I,C81,'mokėjimų ataskaita'!$AU:$AU)/2</f>
        <v>2550</v>
      </c>
      <c r="S81" s="1082">
        <v>2550</v>
      </c>
      <c r="T81" s="1082">
        <f t="shared" si="91"/>
        <v>0</v>
      </c>
      <c r="U81" s="1160">
        <f t="shared" si="92"/>
        <v>0</v>
      </c>
      <c r="V81" s="1164">
        <f>SUM('3 pr-2'!R83)</f>
        <v>0</v>
      </c>
      <c r="W81" s="1080">
        <f>SUMIF('mokėjimų ataskaita'!$I:$I,C81,'mokėjimų ataskaita'!$AL:$AL)/2</f>
        <v>0</v>
      </c>
      <c r="X81" s="1082"/>
      <c r="Y81" s="1082"/>
      <c r="Z81" s="1160">
        <f t="shared" si="93"/>
        <v>0</v>
      </c>
      <c r="AA81" s="1164">
        <f>SUM('3 pr-2'!U83)</f>
        <v>0</v>
      </c>
      <c r="AB81" s="1080">
        <f>SUMIF('mokėjimų ataskaita'!$I:$I,'ketv. 7 '!C81,'mokėjimų ataskaita'!$AW:$AW)/2</f>
        <v>0</v>
      </c>
      <c r="AC81" s="1082"/>
      <c r="AD81" s="1082"/>
      <c r="AE81" s="1160">
        <f t="shared" si="94"/>
        <v>0</v>
      </c>
      <c r="AF81" s="1164">
        <f>SUM('3 pr-2'!X83)</f>
        <v>0</v>
      </c>
      <c r="AG81" s="1080">
        <f>SUMIF('mokėjimų ataskaita'!$I:$I,'ketv. 7 '!C81,'mokėjimų ataskaita'!$AT:$AT)/2+SUMIF('mokėjimų ataskaita'!$I:$I,'ketv. 7 '!C81,'mokėjimų ataskaita'!$AV:$AV)/2</f>
        <v>0</v>
      </c>
      <c r="AH81" s="1082"/>
      <c r="AI81" s="1082"/>
      <c r="AJ81" s="1160">
        <f t="shared" si="95"/>
        <v>0</v>
      </c>
      <c r="AK81" s="1164">
        <f>SUM('3 pr-2'!AA83)</f>
        <v>14450</v>
      </c>
      <c r="AL81" s="1159">
        <f>SUMIF('mokėjimų ataskaita'!$I:$I,'ketv. 7 '!C81,'mokėjimų ataskaita'!$AK:$AK)/2</f>
        <v>14450</v>
      </c>
      <c r="AM81" s="1082">
        <v>14450</v>
      </c>
      <c r="AN81" s="1082">
        <f t="shared" si="96"/>
        <v>0</v>
      </c>
      <c r="AO81" s="1165">
        <f t="shared" si="97"/>
        <v>0</v>
      </c>
      <c r="AP81" s="1080">
        <f>SUM('3 pr-2'!AB83)</f>
        <v>0</v>
      </c>
      <c r="AQ81" s="1159">
        <v>0</v>
      </c>
    </row>
    <row r="82" spans="1:44" ht="48.75">
      <c r="A82" s="375" t="str">
        <f>CONCATENATE('3 pr-2'!A84)</f>
        <v>1.1.2.2.5</v>
      </c>
      <c r="B82" s="578" t="str">
        <f>CONCATENATE('3 pr-2'!B84)</f>
        <v>R01-5514-190000-1225</v>
      </c>
      <c r="C82" s="577" t="str">
        <f>CONCATENATE('ketv. 6 '!C83)</f>
        <v>-</v>
      </c>
      <c r="D82" s="164" t="str">
        <f>CONCATENATE('3 pr-2'!D84)</f>
        <v>Viešojo transporto organizavimo tobulinimas rekonstruojant Druskininkų miesto gatvių infrastruktūrą</v>
      </c>
      <c r="E82" s="164" t="str">
        <f>CONCATENATE('3 pr-2'!E84)</f>
        <v>Druskininkų savivaldybės administracija</v>
      </c>
      <c r="F82" s="164" t="str">
        <f>CONCATENATE('3 pr-2'!F84)</f>
        <v>Lietuvos Respublikos susisiekimo ministerija</v>
      </c>
      <c r="G82" s="164" t="str">
        <f>CONCATENATE('3 pr-2'!G84)</f>
        <v>Druskininkų sav.</v>
      </c>
      <c r="H82" s="164" t="str">
        <f>CONCATENATE('3 pr-2'!H84)</f>
        <v>04.5.1.-TID-R-514</v>
      </c>
      <c r="I82" s="164" t="str">
        <f>CONCATENATE('3 pr-2'!I84)</f>
        <v>R</v>
      </c>
      <c r="J82" s="164" t="str">
        <f>CONCATENATE('3 pr-2'!J84)</f>
        <v>-</v>
      </c>
      <c r="K82" s="1164">
        <f>SUM('3 pr-2'!L84)</f>
        <v>290000</v>
      </c>
      <c r="L82" s="1080">
        <f t="shared" si="88"/>
        <v>0</v>
      </c>
      <c r="M82" s="1082">
        <v>0</v>
      </c>
      <c r="N82" s="1082">
        <f t="shared" si="89"/>
        <v>0</v>
      </c>
      <c r="O82" s="1082">
        <f t="shared" si="81"/>
        <v>0</v>
      </c>
      <c r="P82" s="1160">
        <f t="shared" ref="P82" si="98">SUM(K82-L82)</f>
        <v>290000</v>
      </c>
      <c r="Q82" s="1164">
        <f>SUM('3 pr-2'!O84)</f>
        <v>43500</v>
      </c>
      <c r="R82" s="1080">
        <f>SUMIF('mokėjimų ataskaita'!$I:$I,C82,'mokėjimų ataskaita'!$AU:$AU)/2</f>
        <v>0</v>
      </c>
      <c r="S82" s="1082"/>
      <c r="T82" s="1082">
        <f t="shared" si="91"/>
        <v>0</v>
      </c>
      <c r="U82" s="1160">
        <f t="shared" si="92"/>
        <v>43500</v>
      </c>
      <c r="V82" s="1164">
        <f>SUM('3 pr-2'!R84)</f>
        <v>0</v>
      </c>
      <c r="W82" s="1080">
        <f>SUMIF('mokėjimų ataskaita'!$I:$I,C82,'mokėjimų ataskaita'!$AL:$AL)/2</f>
        <v>0</v>
      </c>
      <c r="X82" s="1082"/>
      <c r="Y82" s="1082"/>
      <c r="Z82" s="1160">
        <f t="shared" ref="Z82" si="99">SUM(V82-W82)</f>
        <v>0</v>
      </c>
      <c r="AA82" s="1164">
        <f>SUM('3 pr-2'!U84)</f>
        <v>0</v>
      </c>
      <c r="AB82" s="1080">
        <f>SUMIF('mokėjimų ataskaita'!$I:$I,'ketv. 7 '!C82,'mokėjimų ataskaita'!$AW:$AW)/2</f>
        <v>0</v>
      </c>
      <c r="AC82" s="1082"/>
      <c r="AD82" s="1082"/>
      <c r="AE82" s="1160">
        <f t="shared" ref="AE82" si="100">SUM(AA82-AB82)</f>
        <v>0</v>
      </c>
      <c r="AF82" s="1164">
        <f>SUM('3 pr-2'!X84)</f>
        <v>0</v>
      </c>
      <c r="AG82" s="1080">
        <f>SUMIF('mokėjimų ataskaita'!$I:$I,'ketv. 7 '!C82,'mokėjimų ataskaita'!$AT:$AT)/2+SUMIF('mokėjimų ataskaita'!$I:$I,'ketv. 7 '!C82,'mokėjimų ataskaita'!$AV:$AV)/2</f>
        <v>0</v>
      </c>
      <c r="AH82" s="1082"/>
      <c r="AI82" s="1082"/>
      <c r="AJ82" s="1160">
        <f t="shared" ref="AJ82" si="101">SUM(AF82-AG82)</f>
        <v>0</v>
      </c>
      <c r="AK82" s="1164">
        <f>SUM('3 pr-2'!AA84)</f>
        <v>246500</v>
      </c>
      <c r="AL82" s="1080">
        <f>SUMIF('mokėjimų ataskaita'!$I:$I,'ketv. 7 '!C82,'mokėjimų ataskaita'!$AK:$AK)/2</f>
        <v>0</v>
      </c>
      <c r="AM82" s="1082"/>
      <c r="AN82" s="1082">
        <f t="shared" si="96"/>
        <v>0</v>
      </c>
      <c r="AO82" s="1165">
        <f t="shared" si="97"/>
        <v>246500</v>
      </c>
      <c r="AP82" s="1080">
        <f>SUM('3 pr-2'!AB84)</f>
        <v>0</v>
      </c>
      <c r="AQ82" s="1080">
        <v>0</v>
      </c>
    </row>
    <row r="83" spans="1:44" ht="37.5" thickBot="1">
      <c r="A83" s="375" t="str">
        <f>CONCATENATE('3 pr-2'!A85)</f>
        <v>1.1.2.2.6</v>
      </c>
      <c r="B83" s="578" t="str">
        <f>CONCATENATE('3 pr-2'!B85)</f>
        <v>R01-5514-190000-1226</v>
      </c>
      <c r="C83" s="577" t="str">
        <f>CONCATENATE('ketv. 6 '!C84)</f>
        <v>-</v>
      </c>
      <c r="D83" s="164" t="str">
        <f>CONCATENATE('3 pr-2'!D85)</f>
        <v>Vandens transporto infrastruktūros įrengimas skatinant kitų rūšių transportą</v>
      </c>
      <c r="E83" s="164" t="str">
        <f>CONCATENATE('3 pr-2'!E85)</f>
        <v>Druskininkų savivaldybės administracija</v>
      </c>
      <c r="F83" s="164" t="str">
        <f>CONCATENATE('3 pr-2'!F85)</f>
        <v>Lietuvos Respublikos susisiekimo ministerija</v>
      </c>
      <c r="G83" s="164" t="str">
        <f>CONCATENATE('3 pr-2'!G85)</f>
        <v>Druskininkų sav.</v>
      </c>
      <c r="H83" s="164" t="str">
        <f>CONCATENATE('3 pr-2'!H85)</f>
        <v>04.5.1.-TID-R-514</v>
      </c>
      <c r="I83" s="164" t="str">
        <f>CONCATENATE('3 pr-2'!I85)</f>
        <v>R</v>
      </c>
      <c r="J83" s="164" t="str">
        <f>CONCATENATE('3 pr-2'!J85)</f>
        <v>-</v>
      </c>
      <c r="K83" s="1164">
        <f>SUM('3 pr-2'!L85)</f>
        <v>250000</v>
      </c>
      <c r="L83" s="1080">
        <f t="shared" si="88"/>
        <v>0</v>
      </c>
      <c r="M83" s="1082">
        <v>0</v>
      </c>
      <c r="N83" s="1082">
        <f t="shared" si="89"/>
        <v>0</v>
      </c>
      <c r="O83" s="1082">
        <f t="shared" si="81"/>
        <v>0</v>
      </c>
      <c r="P83" s="1160">
        <f t="shared" ref="P83" si="102">SUM(K83-L83)</f>
        <v>250000</v>
      </c>
      <c r="Q83" s="1164">
        <f>SUM('3 pr-2'!O85)</f>
        <v>37500</v>
      </c>
      <c r="R83" s="1080">
        <f>SUMIF('mokėjimų ataskaita'!$I:$I,C83,'mokėjimų ataskaita'!$AU:$AU)/2</f>
        <v>0</v>
      </c>
      <c r="S83" s="1082"/>
      <c r="T83" s="1082">
        <f t="shared" si="91"/>
        <v>0</v>
      </c>
      <c r="U83" s="1160">
        <f t="shared" si="92"/>
        <v>37500</v>
      </c>
      <c r="V83" s="1164">
        <f>SUM('3 pr-2'!R85)</f>
        <v>0</v>
      </c>
      <c r="W83" s="1080">
        <f>SUMIF('mokėjimų ataskaita'!$I:$I,C83,'mokėjimų ataskaita'!$AL:$AL)/2</f>
        <v>0</v>
      </c>
      <c r="X83" s="1082"/>
      <c r="Y83" s="1082"/>
      <c r="Z83" s="1160">
        <f t="shared" ref="Z83" si="103">SUM(V83-W83)</f>
        <v>0</v>
      </c>
      <c r="AA83" s="1164">
        <f>SUM('3 pr-2'!U85)</f>
        <v>0</v>
      </c>
      <c r="AB83" s="1080">
        <f>SUMIF('mokėjimų ataskaita'!$I:$I,'ketv. 7 '!C83,'mokėjimų ataskaita'!$AW:$AW)/2</f>
        <v>0</v>
      </c>
      <c r="AC83" s="1082"/>
      <c r="AD83" s="1082"/>
      <c r="AE83" s="1160">
        <f t="shared" ref="AE83" si="104">SUM(AA83-AB83)</f>
        <v>0</v>
      </c>
      <c r="AF83" s="1164">
        <f>SUM('3 pr-2'!X85)</f>
        <v>0</v>
      </c>
      <c r="AG83" s="1080">
        <f>SUMIF('mokėjimų ataskaita'!$I:$I,'ketv. 7 '!C83,'mokėjimų ataskaita'!$AT:$AT)/2+SUMIF('mokėjimų ataskaita'!$I:$I,'ketv. 7 '!C83,'mokėjimų ataskaita'!$AV:$AV)/2</f>
        <v>0</v>
      </c>
      <c r="AH83" s="1082"/>
      <c r="AI83" s="1082"/>
      <c r="AJ83" s="1160">
        <f t="shared" ref="AJ83" si="105">SUM(AF83-AG83)</f>
        <v>0</v>
      </c>
      <c r="AK83" s="1164">
        <f>SUM('3 pr-2'!AA85)</f>
        <v>212500</v>
      </c>
      <c r="AL83" s="1080">
        <f>SUMIF('mokėjimų ataskaita'!$I:$I,'ketv. 7 '!C83,'mokėjimų ataskaita'!$AK:$AK)/2</f>
        <v>0</v>
      </c>
      <c r="AM83" s="1082"/>
      <c r="AN83" s="1082">
        <f t="shared" si="96"/>
        <v>0</v>
      </c>
      <c r="AO83" s="1165">
        <f t="shared" si="97"/>
        <v>212500</v>
      </c>
      <c r="AP83" s="1080">
        <f>SUM('3 pr-2'!AB85)</f>
        <v>0</v>
      </c>
      <c r="AQ83" s="1080">
        <v>0</v>
      </c>
    </row>
    <row r="84" spans="1:44" ht="33.75" customHeight="1" thickBot="1">
      <c r="A84" s="296" t="str">
        <f>CONCATENATE('3 pr-2'!A86)</f>
        <v>1.1.2.3</v>
      </c>
      <c r="B84" s="2088" t="str">
        <f>CONCATENATE('3 pr-2'!B86)</f>
        <v>Priemonė:
Pėsčiųjų ir dviračių takų rekonstrukcija ir plėtra</v>
      </c>
      <c r="C84" s="2089"/>
      <c r="D84" s="2089"/>
      <c r="E84" s="2089"/>
      <c r="F84" s="2089"/>
      <c r="G84" s="2089"/>
      <c r="H84" s="2089"/>
      <c r="I84" s="2089"/>
      <c r="J84" s="2090"/>
      <c r="K84" s="1077">
        <f t="shared" ref="K84:AK84" si="106">SUM(K85:K89)</f>
        <v>500953.05</v>
      </c>
      <c r="L84" s="1077">
        <f t="shared" si="106"/>
        <v>361349.93</v>
      </c>
      <c r="M84" s="1077">
        <f t="shared" si="106"/>
        <v>48895.060000000005</v>
      </c>
      <c r="N84" s="1077">
        <f t="shared" si="106"/>
        <v>291910.09999999998</v>
      </c>
      <c r="O84" s="1077">
        <f t="shared" si="106"/>
        <v>20544.770000000004</v>
      </c>
      <c r="P84" s="1077">
        <f t="shared" si="106"/>
        <v>139603.12000000002</v>
      </c>
      <c r="Q84" s="1077">
        <f t="shared" si="106"/>
        <v>85292.359999999986</v>
      </c>
      <c r="R84" s="1077">
        <f t="shared" si="106"/>
        <v>58170.87</v>
      </c>
      <c r="S84" s="1077">
        <f t="shared" si="106"/>
        <v>7334.26</v>
      </c>
      <c r="T84" s="1077">
        <f t="shared" si="106"/>
        <v>50836.61</v>
      </c>
      <c r="U84" s="1077">
        <f t="shared" si="106"/>
        <v>27121.489999999998</v>
      </c>
      <c r="V84" s="1077">
        <f t="shared" si="106"/>
        <v>0</v>
      </c>
      <c r="W84" s="1077">
        <f t="shared" si="106"/>
        <v>0</v>
      </c>
      <c r="X84" s="1077">
        <f t="shared" si="106"/>
        <v>0</v>
      </c>
      <c r="Y84" s="1077">
        <f t="shared" si="106"/>
        <v>0</v>
      </c>
      <c r="Z84" s="1077">
        <f t="shared" si="106"/>
        <v>0</v>
      </c>
      <c r="AA84" s="1077">
        <f t="shared" si="106"/>
        <v>0</v>
      </c>
      <c r="AB84" s="1077">
        <f t="shared" si="106"/>
        <v>0</v>
      </c>
      <c r="AC84" s="1077">
        <f t="shared" si="106"/>
        <v>0</v>
      </c>
      <c r="AD84" s="1077">
        <f t="shared" si="106"/>
        <v>0</v>
      </c>
      <c r="AE84" s="1077">
        <f t="shared" si="106"/>
        <v>0</v>
      </c>
      <c r="AF84" s="1077">
        <f t="shared" si="106"/>
        <v>0</v>
      </c>
      <c r="AG84" s="1077">
        <f t="shared" si="106"/>
        <v>0</v>
      </c>
      <c r="AH84" s="1077">
        <f t="shared" si="106"/>
        <v>0</v>
      </c>
      <c r="AI84" s="1077">
        <f t="shared" si="106"/>
        <v>0</v>
      </c>
      <c r="AJ84" s="1077">
        <f t="shared" si="106"/>
        <v>0</v>
      </c>
      <c r="AK84" s="1077">
        <f t="shared" si="106"/>
        <v>415660.69</v>
      </c>
      <c r="AL84" s="1077">
        <f>SUM(AL85:AL89)</f>
        <v>303179.06</v>
      </c>
      <c r="AM84" s="1077">
        <f t="shared" ref="AM84:AQ84" si="107">SUM(AM85:AM89)</f>
        <v>41560.800000000003</v>
      </c>
      <c r="AN84" s="1077">
        <f t="shared" si="107"/>
        <v>261618.25999999995</v>
      </c>
      <c r="AO84" s="1077">
        <f t="shared" si="107"/>
        <v>112481.63000000002</v>
      </c>
      <c r="AP84" s="1077">
        <f t="shared" si="107"/>
        <v>0</v>
      </c>
      <c r="AQ84" s="1077">
        <f t="shared" si="107"/>
        <v>0</v>
      </c>
      <c r="AR84" s="233">
        <f>SUM(K84-'3 pr-2'!L86)</f>
        <v>0</v>
      </c>
    </row>
    <row r="85" spans="1:44" ht="36.75">
      <c r="A85" s="375" t="str">
        <f>CONCATENATE('3 pr-2'!A87)</f>
        <v>1.1.2.3.1</v>
      </c>
      <c r="B85" s="578" t="str">
        <f>CONCATENATE('3 pr-2'!B87)</f>
        <v>R01-5516-190000-1231</v>
      </c>
      <c r="C85" s="577" t="str">
        <f>CONCATENATE('ketv. 6 '!C86)</f>
        <v>04.5.1-TID-R-516-11-0004</v>
      </c>
      <c r="D85" s="164" t="str">
        <f>CONCATENATE('3 pr-2'!D87)</f>
        <v>Dviračių ir pėsčiųjų takų įrengimas Varėnos miesto J. Basanavičiaus ir Žiedo gatvėse</v>
      </c>
      <c r="E85" s="164" t="str">
        <f>CONCATENATE('3 pr-2'!E87)</f>
        <v>Varėnos rajono savivaldybės administracija</v>
      </c>
      <c r="F85" s="164" t="str">
        <f>CONCATENATE('3 pr-2'!F87)</f>
        <v>Lietuvos Respublikos susisiekimo ministerija</v>
      </c>
      <c r="G85" s="164" t="str">
        <f>CONCATENATE('3 pr-2'!G87)</f>
        <v>Varėnos r. sav.</v>
      </c>
      <c r="H85" s="164" t="str">
        <f>CONCATENATE('3 pr-2'!H87)</f>
        <v>04.5.1-TID-R-516</v>
      </c>
      <c r="I85" s="164" t="str">
        <f>CONCATENATE('3 pr-2'!I87)</f>
        <v>R</v>
      </c>
      <c r="J85" s="164" t="str">
        <f>CONCATENATE('3 pr-2'!J87)</f>
        <v>ITI</v>
      </c>
      <c r="K85" s="1164">
        <f>SUM('3 pr-2'!L87)</f>
        <v>103306</v>
      </c>
      <c r="L85" s="1159">
        <f t="shared" ref="L85:L89" si="108">SUM(R85+W85+AB85+AG85+AL85)</f>
        <v>77380.319999999992</v>
      </c>
      <c r="M85" s="1082">
        <v>0</v>
      </c>
      <c r="N85" s="1082">
        <v>77380.319999999992</v>
      </c>
      <c r="O85" s="1082">
        <f t="shared" si="81"/>
        <v>0</v>
      </c>
      <c r="P85" s="1160">
        <f t="shared" ref="P85:P89" si="109">SUM(K85-L85)</f>
        <v>25925.680000000008</v>
      </c>
      <c r="Q85" s="1164">
        <f>SUM('3 pr-2'!O87)</f>
        <v>15496</v>
      </c>
      <c r="R85" s="1159">
        <f>SUMIF('mokėjimų ataskaita'!$I:$I,C85,'mokėjimų ataskaita'!$AU:$AU)/2</f>
        <v>11613.56</v>
      </c>
      <c r="S85" s="1082">
        <v>0</v>
      </c>
      <c r="T85" s="1082">
        <f t="shared" ref="T85:T89" si="110">SUM(R85-S85)</f>
        <v>11613.56</v>
      </c>
      <c r="U85" s="1160">
        <f>SUM(Q85-R85)</f>
        <v>3882.4400000000005</v>
      </c>
      <c r="V85" s="1164">
        <f>SUM('3 pr-2'!R87)</f>
        <v>0</v>
      </c>
      <c r="W85" s="1080">
        <f>SUMIF('mokėjimų ataskaita'!$I:$I,C85,'mokėjimų ataskaita'!$AL:$AL)/2</f>
        <v>0</v>
      </c>
      <c r="X85" s="1082"/>
      <c r="Y85" s="1082"/>
      <c r="Z85" s="1160">
        <f t="shared" ref="Z85:Z89" si="111">SUM(V85-W85)</f>
        <v>0</v>
      </c>
      <c r="AA85" s="1164">
        <f>SUM('3 pr-2'!U87)</f>
        <v>0</v>
      </c>
      <c r="AB85" s="1080">
        <f>SUMIF('mokėjimų ataskaita'!$I:$I,'ketv. 7 '!C85,'mokėjimų ataskaita'!$AW:$AW)/2</f>
        <v>0</v>
      </c>
      <c r="AC85" s="1082"/>
      <c r="AD85" s="1082"/>
      <c r="AE85" s="1160">
        <f t="shared" ref="AE85:AE89" si="112">SUM(AA85-AB85)</f>
        <v>0</v>
      </c>
      <c r="AF85" s="1164">
        <f>SUM('3 pr-2'!X87)</f>
        <v>0</v>
      </c>
      <c r="AG85" s="1080">
        <f>SUMIF('mokėjimų ataskaita'!$I:$I,'ketv. 7 '!C85,'mokėjimų ataskaita'!$AT:$AT)/2+SUMIF('mokėjimų ataskaita'!$I:$I,'ketv. 7 '!C85,'mokėjimų ataskaita'!$AV:$AV)/2</f>
        <v>0</v>
      </c>
      <c r="AH85" s="1082"/>
      <c r="AI85" s="1082"/>
      <c r="AJ85" s="1160">
        <f t="shared" ref="AJ85:AJ89" si="113">SUM(AF85-AG85)</f>
        <v>0</v>
      </c>
      <c r="AK85" s="1164">
        <f>SUM('3 pr-2'!AA87)</f>
        <v>87810</v>
      </c>
      <c r="AL85" s="1159">
        <f>SUMIF('mokėjimų ataskaita'!$I:$I,'ketv. 7 '!C85,'mokėjimų ataskaita'!$AK:$AK)/2</f>
        <v>65766.759999999995</v>
      </c>
      <c r="AM85" s="1082">
        <v>0</v>
      </c>
      <c r="AN85" s="1082">
        <f t="shared" ref="AN85:AN89" si="114">SUM(AL85-AM85)</f>
        <v>65766.759999999995</v>
      </c>
      <c r="AO85" s="1167">
        <f>SUM(AK85-AL85)</f>
        <v>22043.240000000005</v>
      </c>
      <c r="AP85" s="1080">
        <f>SUM('3 pr-2'!AB87)</f>
        <v>0</v>
      </c>
      <c r="AQ85" s="1159">
        <v>0</v>
      </c>
    </row>
    <row r="86" spans="1:44" ht="36.75">
      <c r="A86" s="375" t="str">
        <f>CONCATENATE('3 pr-2'!A88)</f>
        <v>1.1.2.3.2</v>
      </c>
      <c r="B86" s="578" t="str">
        <f>CONCATENATE('3 pr-2'!B88)</f>
        <v>R01-5516-190000-1232</v>
      </c>
      <c r="C86" s="577" t="str">
        <f>CONCATENATE('ketv. 6 '!C87)</f>
        <v>04.5.1-TID-R-516-11-0001</v>
      </c>
      <c r="D86" s="164" t="str">
        <f>CONCATENATE('3 pr-2'!D88)</f>
        <v>Dviračių trasų infrastruktūros įrengimas nuo Putinų g. žiedo Pramonės gatvėje, Alytaus mieste</v>
      </c>
      <c r="E86" s="164" t="str">
        <f>CONCATENATE('3 pr-2'!E88)</f>
        <v>Alytaus miesto savivaldybės administracija</v>
      </c>
      <c r="F86" s="164" t="str">
        <f>CONCATENATE('3 pr-2'!F88)</f>
        <v>Lietuvos Respublikos susisiekimo ministerija</v>
      </c>
      <c r="G86" s="164" t="str">
        <f>CONCATENATE('3 pr-2'!G88)</f>
        <v>Alytaus m. sav.</v>
      </c>
      <c r="H86" s="164" t="str">
        <f>CONCATENATE('3 pr-2'!H88)</f>
        <v>04.5.1-TID-R-516</v>
      </c>
      <c r="I86" s="164" t="str">
        <f>CONCATENATE('3 pr-2'!I88)</f>
        <v>R</v>
      </c>
      <c r="J86" s="164" t="str">
        <f>CONCATENATE('3 pr-2'!J88)</f>
        <v>ITI</v>
      </c>
      <c r="K86" s="1164">
        <f>SUM('3 pr-2'!L88)</f>
        <v>133670.07</v>
      </c>
      <c r="L86" s="1159">
        <f t="shared" si="108"/>
        <v>133670.06999999998</v>
      </c>
      <c r="M86" s="1082">
        <v>48895.060000000005</v>
      </c>
      <c r="N86" s="1082">
        <v>84775.00999999998</v>
      </c>
      <c r="O86" s="1082">
        <f t="shared" si="81"/>
        <v>0</v>
      </c>
      <c r="P86" s="1160">
        <f t="shared" si="109"/>
        <v>2.9103830456733704E-11</v>
      </c>
      <c r="Q86" s="1164">
        <f>SUM('3 pr-2'!O88)</f>
        <v>20050.509999999998</v>
      </c>
      <c r="R86" s="1159">
        <f>SUMIF('mokėjimų ataskaita'!$I:$I,C86,'mokėjimų ataskaita'!$AU:$AU)/2</f>
        <v>20050.510000000002</v>
      </c>
      <c r="S86" s="1082">
        <v>7334.26</v>
      </c>
      <c r="T86" s="1082">
        <f t="shared" si="110"/>
        <v>12716.250000000002</v>
      </c>
      <c r="U86" s="1160">
        <f>SUM(Q86-R86)</f>
        <v>-3.637978807091713E-12</v>
      </c>
      <c r="V86" s="1164">
        <f>SUM('3 pr-2'!R88)</f>
        <v>0</v>
      </c>
      <c r="W86" s="1080">
        <f>SUMIF('mokėjimų ataskaita'!$I:$I,C86,'mokėjimų ataskaita'!$AL:$AL)/2</f>
        <v>0</v>
      </c>
      <c r="X86" s="1082"/>
      <c r="Y86" s="1082"/>
      <c r="Z86" s="1160">
        <f t="shared" si="111"/>
        <v>0</v>
      </c>
      <c r="AA86" s="1164">
        <f>SUM('3 pr-2'!U88)</f>
        <v>0</v>
      </c>
      <c r="AB86" s="1080">
        <f>SUMIF('mokėjimų ataskaita'!$I:$I,'ketv. 7 '!C86,'mokėjimų ataskaita'!$AW:$AW)/2</f>
        <v>0</v>
      </c>
      <c r="AC86" s="1082"/>
      <c r="AD86" s="1082"/>
      <c r="AE86" s="1160">
        <f t="shared" si="112"/>
        <v>0</v>
      </c>
      <c r="AF86" s="1164">
        <f>SUM('3 pr-2'!X88)</f>
        <v>0</v>
      </c>
      <c r="AG86" s="1080">
        <f>SUMIF('mokėjimų ataskaita'!$I:$I,'ketv. 7 '!C86,'mokėjimų ataskaita'!$AT:$AT)/2+SUMIF('mokėjimų ataskaita'!$I:$I,'ketv. 7 '!C86,'mokėjimų ataskaita'!$AV:$AV)/2</f>
        <v>0</v>
      </c>
      <c r="AH86" s="1082"/>
      <c r="AI86" s="1082"/>
      <c r="AJ86" s="1160">
        <f t="shared" si="113"/>
        <v>0</v>
      </c>
      <c r="AK86" s="1164">
        <f>SUM('3 pr-2'!AA88)</f>
        <v>113619.56</v>
      </c>
      <c r="AL86" s="1159">
        <f>SUMIF('mokėjimų ataskaita'!$I:$I,'ketv. 7 '!C86,'mokėjimų ataskaita'!$AK:$AK)/2</f>
        <v>113619.55999999998</v>
      </c>
      <c r="AM86" s="1082">
        <v>41560.800000000003</v>
      </c>
      <c r="AN86" s="1082">
        <f t="shared" si="114"/>
        <v>72058.75999999998</v>
      </c>
      <c r="AO86" s="1167">
        <f>SUM(AK86-AL86)</f>
        <v>1.4551915228366852E-11</v>
      </c>
      <c r="AP86" s="1080">
        <f>SUM('3 pr-2'!AB88)</f>
        <v>0</v>
      </c>
      <c r="AQ86" s="1159">
        <v>0</v>
      </c>
    </row>
    <row r="87" spans="1:44" ht="48.75">
      <c r="A87" s="375" t="str">
        <f>CONCATENATE('3 pr-2'!A89)</f>
        <v>1.1.2.3.3</v>
      </c>
      <c r="B87" s="578" t="str">
        <f>CONCATENATE('3 pr-2'!B89)</f>
        <v>R01-5516-190000-1233</v>
      </c>
      <c r="C87" s="577" t="str">
        <f>CONCATENATE('ketv. 6 '!C88)</f>
        <v>04.5.1-TID-R-516-11-0002</v>
      </c>
      <c r="D87" s="164" t="str">
        <f>CONCATENATE('3 pr-2'!D89)</f>
        <v>Dviračių ir pėsčiųjų takų plėtra Lazdijų miesto Turistų gatvėje iki sodų bendrijos „Baltasis“ Lazdijų seniūnijoje</v>
      </c>
      <c r="E87" s="164" t="str">
        <f>CONCATENATE('3 pr-2'!E89)</f>
        <v>Lazdijų rajono savivaldybės administracija</v>
      </c>
      <c r="F87" s="164" t="str">
        <f>CONCATENATE('3 pr-2'!F89)</f>
        <v>Lietuvos Respublikos susisiekimo ministerija</v>
      </c>
      <c r="G87" s="164" t="str">
        <f>CONCATENATE('3 pr-2'!G89)</f>
        <v>Lazdijų r. sav.</v>
      </c>
      <c r="H87" s="164" t="str">
        <f>CONCATENATE('3 pr-2'!H89)</f>
        <v>04.5.1-TID-R-516</v>
      </c>
      <c r="I87" s="164" t="str">
        <f>CONCATENATE('3 pr-2'!I89)</f>
        <v>R</v>
      </c>
      <c r="J87" s="164" t="str">
        <f>CONCATENATE('3 pr-2'!J89)</f>
        <v>ITI</v>
      </c>
      <c r="K87" s="1164">
        <f>SUM('3 pr-2'!L89)</f>
        <v>93938.42</v>
      </c>
      <c r="L87" s="1159">
        <f t="shared" si="108"/>
        <v>58640.650000000009</v>
      </c>
      <c r="M87" s="1082">
        <v>0</v>
      </c>
      <c r="N87" s="1082">
        <v>58640.650000000009</v>
      </c>
      <c r="O87" s="1082">
        <f t="shared" si="81"/>
        <v>0</v>
      </c>
      <c r="P87" s="1160">
        <f t="shared" si="109"/>
        <v>35297.76999999999</v>
      </c>
      <c r="Q87" s="1164">
        <f>SUM('3 pr-2'!O89)</f>
        <v>20437.419999999998</v>
      </c>
      <c r="R87" s="1159">
        <f>SUMIF('mokėjimų ataskaita'!$I:$I,C87,'mokėjimų ataskaita'!$AU:$AU)/2</f>
        <v>12757.97</v>
      </c>
      <c r="S87" s="1082">
        <v>0</v>
      </c>
      <c r="T87" s="1082">
        <f t="shared" si="110"/>
        <v>12757.97</v>
      </c>
      <c r="U87" s="1160">
        <f>SUM(Q87-R87)</f>
        <v>7679.4499999999989</v>
      </c>
      <c r="V87" s="1164">
        <f>SUM('3 pr-2'!R89)</f>
        <v>0</v>
      </c>
      <c r="W87" s="1080">
        <f>SUMIF('mokėjimų ataskaita'!$I:$I,C87,'mokėjimų ataskaita'!$AL:$AL)/2</f>
        <v>0</v>
      </c>
      <c r="X87" s="1082"/>
      <c r="Y87" s="1082"/>
      <c r="Z87" s="1160">
        <f t="shared" si="111"/>
        <v>0</v>
      </c>
      <c r="AA87" s="1164">
        <f>SUM('3 pr-2'!U89)</f>
        <v>0</v>
      </c>
      <c r="AB87" s="1080">
        <f>SUMIF('mokėjimų ataskaita'!$I:$I,'ketv. 7 '!C87,'mokėjimų ataskaita'!$AW:$AW)/2</f>
        <v>0</v>
      </c>
      <c r="AC87" s="1082"/>
      <c r="AD87" s="1082"/>
      <c r="AE87" s="1160">
        <f t="shared" si="112"/>
        <v>0</v>
      </c>
      <c r="AF87" s="1164">
        <f>SUM('3 pr-2'!X89)</f>
        <v>0</v>
      </c>
      <c r="AG87" s="1080">
        <f>SUMIF('mokėjimų ataskaita'!$I:$I,'ketv. 7 '!C87,'mokėjimų ataskaita'!$AT:$AT)/2+SUMIF('mokėjimų ataskaita'!$I:$I,'ketv. 7 '!C87,'mokėjimų ataskaita'!$AV:$AV)/2</f>
        <v>0</v>
      </c>
      <c r="AH87" s="1082"/>
      <c r="AI87" s="1082"/>
      <c r="AJ87" s="1160">
        <f t="shared" si="113"/>
        <v>0</v>
      </c>
      <c r="AK87" s="1164">
        <f>SUM('3 pr-2'!AA89)</f>
        <v>73501</v>
      </c>
      <c r="AL87" s="1159">
        <f>SUMIF('mokėjimų ataskaita'!$I:$I,'ketv. 7 '!C87,'mokėjimų ataskaita'!$AK:$AK)/2</f>
        <v>45882.680000000008</v>
      </c>
      <c r="AM87" s="1082">
        <v>0</v>
      </c>
      <c r="AN87" s="1082">
        <f t="shared" si="114"/>
        <v>45882.680000000008</v>
      </c>
      <c r="AO87" s="1167">
        <f>SUM(AK87-AL87)</f>
        <v>27618.319999999992</v>
      </c>
      <c r="AP87" s="1080">
        <f>SUM('3 pr-2'!AB89)</f>
        <v>0</v>
      </c>
      <c r="AQ87" s="1159">
        <v>0</v>
      </c>
    </row>
    <row r="88" spans="1:44" ht="36.75">
      <c r="A88" s="375" t="str">
        <f>CONCATENATE('3 pr-2'!A90)</f>
        <v>1.1.2.3.4</v>
      </c>
      <c r="B88" s="578" t="str">
        <f>CONCATENATE('3 pr-2'!B90)</f>
        <v>R01-5516-190000-1234</v>
      </c>
      <c r="C88" s="577" t="str">
        <f>CONCATENATE('ketv. 6 '!C89)</f>
        <v>04.5.1-TID-R-516-11-0005</v>
      </c>
      <c r="D88" s="164" t="str">
        <f>CONCATENATE('3 pr-2'!D90)</f>
        <v>Pėsčiųjų ir dviračių takų plėtra Simno seniūnijoje</v>
      </c>
      <c r="E88" s="164" t="str">
        <f>CONCATENATE('3 pr-2'!E90)</f>
        <v>Alytaus rajono savivaldybės administracija</v>
      </c>
      <c r="F88" s="164" t="str">
        <f>CONCATENATE('3 pr-2'!F90)</f>
        <v>Lietuvos Respublikos susisiekimo ministerija</v>
      </c>
      <c r="G88" s="164" t="str">
        <f>CONCATENATE('3 pr-2'!G90)</f>
        <v>Alytaus r. sav.</v>
      </c>
      <c r="H88" s="164" t="str">
        <f>CONCATENATE('3 pr-2'!H90)</f>
        <v>04.5.1-TID-R-516</v>
      </c>
      <c r="I88" s="164" t="str">
        <f>CONCATENATE('3 pr-2'!I90)</f>
        <v>R</v>
      </c>
      <c r="J88" s="164" t="str">
        <f>CONCATENATE('3 pr-2'!J90)</f>
        <v>-</v>
      </c>
      <c r="K88" s="1164">
        <f>SUM('3 pr-2'!L90)</f>
        <v>98949.56</v>
      </c>
      <c r="L88" s="1159">
        <f t="shared" si="108"/>
        <v>91658.89</v>
      </c>
      <c r="M88" s="1082">
        <v>0</v>
      </c>
      <c r="N88" s="1082">
        <v>71114.12</v>
      </c>
      <c r="O88" s="1082">
        <f t="shared" si="81"/>
        <v>20544.770000000004</v>
      </c>
      <c r="P88" s="1160">
        <f t="shared" si="109"/>
        <v>7290.6699999999983</v>
      </c>
      <c r="Q88" s="1164">
        <f>SUM('3 pr-2'!O90)</f>
        <v>14842.43</v>
      </c>
      <c r="R88" s="1159">
        <f>SUMIF('mokėjimų ataskaita'!$I:$I,C88,'mokėjimų ataskaita'!$AU:$AU)/2</f>
        <v>13748.83</v>
      </c>
      <c r="S88" s="1082">
        <v>0</v>
      </c>
      <c r="T88" s="1082">
        <f t="shared" si="110"/>
        <v>13748.83</v>
      </c>
      <c r="U88" s="1160">
        <f>SUM(Q88-R88)</f>
        <v>1093.6000000000004</v>
      </c>
      <c r="V88" s="1164">
        <f>SUM('3 pr-2'!R90)</f>
        <v>0</v>
      </c>
      <c r="W88" s="1080">
        <f>SUMIF('mokėjimų ataskaita'!$I:$I,C88,'mokėjimų ataskaita'!$AL:$AL)/2</f>
        <v>0</v>
      </c>
      <c r="X88" s="1082"/>
      <c r="Y88" s="1082"/>
      <c r="Z88" s="1160">
        <f t="shared" si="111"/>
        <v>0</v>
      </c>
      <c r="AA88" s="1164">
        <f>SUM('3 pr-2'!U90)</f>
        <v>0</v>
      </c>
      <c r="AB88" s="1080">
        <f>SUMIF('mokėjimų ataskaita'!$I:$I,'ketv. 7 '!C88,'mokėjimų ataskaita'!$AW:$AW)/2</f>
        <v>0</v>
      </c>
      <c r="AC88" s="1082"/>
      <c r="AD88" s="1082"/>
      <c r="AE88" s="1160">
        <f t="shared" si="112"/>
        <v>0</v>
      </c>
      <c r="AF88" s="1164">
        <f>SUM('3 pr-2'!X90)</f>
        <v>0</v>
      </c>
      <c r="AG88" s="1080">
        <f>SUMIF('mokėjimų ataskaita'!$I:$I,'ketv. 7 '!C88,'mokėjimų ataskaita'!$AT:$AT)/2+SUMIF('mokėjimų ataskaita'!$I:$I,'ketv. 7 '!C88,'mokėjimų ataskaita'!$AV:$AV)/2</f>
        <v>0</v>
      </c>
      <c r="AH88" s="1082"/>
      <c r="AI88" s="1082"/>
      <c r="AJ88" s="1160">
        <f t="shared" si="113"/>
        <v>0</v>
      </c>
      <c r="AK88" s="1164">
        <f>SUM('3 pr-2'!AA90)</f>
        <v>84107.13</v>
      </c>
      <c r="AL88" s="1159">
        <f>SUMIF('mokėjimų ataskaita'!$I:$I,'ketv. 7 '!C88,'mokėjimų ataskaita'!$AK:$AK)/2</f>
        <v>77910.06</v>
      </c>
      <c r="AM88" s="1082">
        <v>0</v>
      </c>
      <c r="AN88" s="1082">
        <f t="shared" si="114"/>
        <v>77910.06</v>
      </c>
      <c r="AO88" s="1167">
        <f>SUM(AK88-AL88)</f>
        <v>6197.070000000007</v>
      </c>
      <c r="AP88" s="1080">
        <f>SUM('3 pr-2'!AB90)</f>
        <v>0</v>
      </c>
      <c r="AQ88" s="1159">
        <v>0</v>
      </c>
    </row>
    <row r="89" spans="1:44" ht="49.5" thickBot="1">
      <c r="A89" s="375" t="str">
        <f>CONCATENATE('3 pr-2'!A91)</f>
        <v>1.1.2.3.5</v>
      </c>
      <c r="B89" s="578" t="str">
        <f>CONCATENATE('3 pr-2'!B91)</f>
        <v>R01-5516-190000-1235</v>
      </c>
      <c r="C89" s="577" t="str">
        <f>CONCATENATE('ketv. 6 '!C90)</f>
        <v>-</v>
      </c>
      <c r="D89" s="164" t="str">
        <f>CONCATENATE('3 pr-2'!D91)</f>
        <v>Dviračių ir pėsčiųjų tako, esančio šalia Ratnyčios upelio Druskininkų mieste, rekonstrukcija</v>
      </c>
      <c r="E89" s="164" t="str">
        <f>CONCATENATE('3 pr-2'!E91)</f>
        <v xml:space="preserve">Druskininkų savivaldybės administracija  </v>
      </c>
      <c r="F89" s="164" t="str">
        <f>CONCATENATE('3 pr-2'!F91)</f>
        <v>Lietuvos Respublikos susisiekimo ministerija</v>
      </c>
      <c r="G89" s="164" t="str">
        <f>CONCATENATE('3 pr-2'!G91)</f>
        <v>Druskininkų sav.</v>
      </c>
      <c r="H89" s="164" t="str">
        <f>CONCATENATE('3 pr-2'!H91)</f>
        <v>04.5.1-TID-R-516</v>
      </c>
      <c r="I89" s="164" t="str">
        <f>CONCATENATE('3 pr-2'!I91)</f>
        <v>R</v>
      </c>
      <c r="J89" s="164" t="str">
        <f>CONCATENATE('3 pr-2'!J91)</f>
        <v>-</v>
      </c>
      <c r="K89" s="1164">
        <f>SUM('3 pr-2'!L91)</f>
        <v>71089</v>
      </c>
      <c r="L89" s="1080">
        <f t="shared" si="108"/>
        <v>0</v>
      </c>
      <c r="M89" s="1082">
        <v>0</v>
      </c>
      <c r="N89" s="1082">
        <v>0</v>
      </c>
      <c r="O89" s="1082">
        <f t="shared" si="81"/>
        <v>0</v>
      </c>
      <c r="P89" s="1160">
        <f t="shared" si="109"/>
        <v>71089</v>
      </c>
      <c r="Q89" s="1164">
        <f>SUM('3 pr-2'!O91)</f>
        <v>14466</v>
      </c>
      <c r="R89" s="1080">
        <f>SUMIF('mokėjimų ataskaita'!$I:$I,C89,'mokėjimų ataskaita'!$AU:$AU)/2</f>
        <v>0</v>
      </c>
      <c r="S89" s="1082">
        <v>0</v>
      </c>
      <c r="T89" s="1082">
        <f t="shared" si="110"/>
        <v>0</v>
      </c>
      <c r="U89" s="1160">
        <f>SUM(Q89-R89)</f>
        <v>14466</v>
      </c>
      <c r="V89" s="1164">
        <f>SUM('3 pr-2'!R91)</f>
        <v>0</v>
      </c>
      <c r="W89" s="1080">
        <f>SUMIF('mokėjimų ataskaita'!$I:$I,C89,'mokėjimų ataskaita'!$AL:$AL)/2</f>
        <v>0</v>
      </c>
      <c r="X89" s="1082"/>
      <c r="Y89" s="1082"/>
      <c r="Z89" s="1160">
        <f t="shared" si="111"/>
        <v>0</v>
      </c>
      <c r="AA89" s="1164">
        <f>SUM('3 pr-2'!U91)</f>
        <v>0</v>
      </c>
      <c r="AB89" s="1080">
        <f>SUMIF('mokėjimų ataskaita'!$I:$I,'ketv. 7 '!C89,'mokėjimų ataskaita'!$AW:$AW)/2</f>
        <v>0</v>
      </c>
      <c r="AC89" s="1082"/>
      <c r="AD89" s="1082"/>
      <c r="AE89" s="1160">
        <f t="shared" si="112"/>
        <v>0</v>
      </c>
      <c r="AF89" s="1164">
        <f>SUM('3 pr-2'!X91)</f>
        <v>0</v>
      </c>
      <c r="AG89" s="1080">
        <f>SUMIF('mokėjimų ataskaita'!$I:$I,'ketv. 7 '!C89,'mokėjimų ataskaita'!$AT:$AT)/2+SUMIF('mokėjimų ataskaita'!$I:$I,'ketv. 7 '!C89,'mokėjimų ataskaita'!$AV:$AV)/2</f>
        <v>0</v>
      </c>
      <c r="AH89" s="1082"/>
      <c r="AI89" s="1082"/>
      <c r="AJ89" s="1160">
        <f t="shared" si="113"/>
        <v>0</v>
      </c>
      <c r="AK89" s="1164">
        <f>SUM('3 pr-2'!AA91)</f>
        <v>56623</v>
      </c>
      <c r="AL89" s="1080">
        <f>SUMIF('mokėjimų ataskaita'!$I:$I,'ketv. 7 '!C89,'mokėjimų ataskaita'!$AK:$AK)/2</f>
        <v>0</v>
      </c>
      <c r="AM89" s="1082">
        <v>0</v>
      </c>
      <c r="AN89" s="1082">
        <f t="shared" si="114"/>
        <v>0</v>
      </c>
      <c r="AO89" s="1165">
        <f>SUM(AK89-AL89)</f>
        <v>56623</v>
      </c>
      <c r="AP89" s="1080">
        <f>SUM('3 pr-2'!AB91)</f>
        <v>0</v>
      </c>
      <c r="AQ89" s="1080">
        <v>0</v>
      </c>
    </row>
    <row r="90" spans="1:44" ht="35.25" customHeight="1" thickBot="1">
      <c r="A90" s="296" t="str">
        <f>CONCATENATE('3 pr-2'!A92)</f>
        <v>1.1.2.4</v>
      </c>
      <c r="B90" s="2088" t="str">
        <f>CONCATENATE('3 pr-2'!B92)</f>
        <v>Priemonė:
Vietinių kelių techninių parametrų ir eismo saugos gerinimas</v>
      </c>
      <c r="C90" s="2089"/>
      <c r="D90" s="2089"/>
      <c r="E90" s="2089"/>
      <c r="F90" s="2089"/>
      <c r="G90" s="2089"/>
      <c r="H90" s="2089"/>
      <c r="I90" s="2089"/>
      <c r="J90" s="2090"/>
      <c r="K90" s="1077">
        <f>SUM(K91:K97)</f>
        <v>4315878.84</v>
      </c>
      <c r="L90" s="1077">
        <f t="shared" ref="L90:AQ90" si="115">SUM(L91:L97)</f>
        <v>2636451.79</v>
      </c>
      <c r="M90" s="1077">
        <f t="shared" si="115"/>
        <v>873591.32000000007</v>
      </c>
      <c r="N90" s="1077">
        <f t="shared" si="115"/>
        <v>1374002.6199999999</v>
      </c>
      <c r="O90" s="1077">
        <f t="shared" si="115"/>
        <v>388857.84999999986</v>
      </c>
      <c r="P90" s="1077">
        <f t="shared" si="115"/>
        <v>1679427.0500000003</v>
      </c>
      <c r="Q90" s="1077">
        <f t="shared" si="115"/>
        <v>1217686.06</v>
      </c>
      <c r="R90" s="1077">
        <f t="shared" si="115"/>
        <v>329666.98</v>
      </c>
      <c r="S90" s="1077">
        <f t="shared" si="115"/>
        <v>98493.53</v>
      </c>
      <c r="T90" s="1077">
        <f t="shared" si="115"/>
        <v>231173.45</v>
      </c>
      <c r="U90" s="1077">
        <f t="shared" si="115"/>
        <v>888019.08</v>
      </c>
      <c r="V90" s="1077">
        <f t="shared" si="115"/>
        <v>0</v>
      </c>
      <c r="W90" s="1077">
        <f t="shared" si="115"/>
        <v>0</v>
      </c>
      <c r="X90" s="1077">
        <f t="shared" si="115"/>
        <v>0</v>
      </c>
      <c r="Y90" s="1077">
        <f t="shared" si="115"/>
        <v>0</v>
      </c>
      <c r="Z90" s="1077">
        <f t="shared" si="115"/>
        <v>0</v>
      </c>
      <c r="AA90" s="1077">
        <f t="shared" si="115"/>
        <v>0</v>
      </c>
      <c r="AB90" s="1077">
        <f t="shared" si="115"/>
        <v>0</v>
      </c>
      <c r="AC90" s="1077">
        <f t="shared" si="115"/>
        <v>0</v>
      </c>
      <c r="AD90" s="1077">
        <f t="shared" si="115"/>
        <v>0</v>
      </c>
      <c r="AE90" s="1077">
        <f t="shared" si="115"/>
        <v>0</v>
      </c>
      <c r="AF90" s="1077">
        <f t="shared" si="115"/>
        <v>62660</v>
      </c>
      <c r="AG90" s="1077">
        <f t="shared" si="115"/>
        <v>47525.659999999996</v>
      </c>
      <c r="AH90" s="1077">
        <f t="shared" si="115"/>
        <v>32545.37</v>
      </c>
      <c r="AI90" s="1077">
        <f t="shared" si="115"/>
        <v>14980.289999999997</v>
      </c>
      <c r="AJ90" s="1077">
        <f t="shared" si="115"/>
        <v>15134.340000000004</v>
      </c>
      <c r="AK90" s="1077">
        <f t="shared" si="115"/>
        <v>3035532.7800000003</v>
      </c>
      <c r="AL90" s="1077">
        <f t="shared" si="115"/>
        <v>2259259.15</v>
      </c>
      <c r="AM90" s="1077">
        <f t="shared" si="115"/>
        <v>742552.42</v>
      </c>
      <c r="AN90" s="1077">
        <f t="shared" si="115"/>
        <v>1516706.7299999997</v>
      </c>
      <c r="AO90" s="1077">
        <f t="shared" si="115"/>
        <v>776273.63000000024</v>
      </c>
      <c r="AP90" s="1077">
        <f t="shared" si="115"/>
        <v>0</v>
      </c>
      <c r="AQ90" s="1077">
        <f t="shared" si="115"/>
        <v>0</v>
      </c>
      <c r="AR90" s="233">
        <f>SUM(K90-'3 pr-2'!L92)</f>
        <v>0</v>
      </c>
    </row>
    <row r="91" spans="1:44" ht="36.75">
      <c r="A91" s="375" t="str">
        <f>CONCATENATE('3 pr-2'!A93)</f>
        <v>1.1.2.4.1</v>
      </c>
      <c r="B91" s="578" t="str">
        <f>CONCATENATE('3 pr-2'!B93)</f>
        <v>R01-5511-120000-1241</v>
      </c>
      <c r="C91" s="577" t="str">
        <f>CONCATENATE('ketv. 6 '!C92)</f>
        <v>06.2.1-TID-R-511-11-0002</v>
      </c>
      <c r="D91" s="231" t="str">
        <f>CONCATENATE('3 pr-2'!D93)</f>
        <v>Varėnos miesto J. Basanavičiaus, Savanorių, M. K. Čiurlionio gatvių rekonstrukcija</v>
      </c>
      <c r="E91" s="164" t="str">
        <f>CONCATENATE('3 pr-2'!E93)</f>
        <v>Varėnos rajono savivaldybės administracija</v>
      </c>
      <c r="F91" s="164" t="str">
        <f>CONCATENATE('3 pr-2'!F93)</f>
        <v>Lietuvos Respublikos susisiekimo ministerija</v>
      </c>
      <c r="G91" s="164" t="str">
        <f>CONCATENATE('3 pr-2'!G93)</f>
        <v>Varėnos r. sav.</v>
      </c>
      <c r="H91" s="164" t="str">
        <f>CONCATENATE('3 pr-2'!H93)</f>
        <v>06.2.1-TID-R-511</v>
      </c>
      <c r="I91" s="164" t="str">
        <f>CONCATENATE('3 pr-2'!I93)</f>
        <v>R</v>
      </c>
      <c r="J91" s="164" t="str">
        <f>CONCATENATE('3 pr-2'!J93)</f>
        <v>ITI</v>
      </c>
      <c r="K91" s="1164">
        <f>SUM('3 pr-2'!L93)</f>
        <v>835464</v>
      </c>
      <c r="L91" s="1159">
        <f t="shared" ref="L91:L97" si="116">SUM(R91+W91+AB91+AG91+AL91)</f>
        <v>805195.32999999984</v>
      </c>
      <c r="M91" s="1082">
        <v>433936.89</v>
      </c>
      <c r="N91" s="1082">
        <v>371258.43999999983</v>
      </c>
      <c r="O91" s="1082">
        <f t="shared" si="81"/>
        <v>0</v>
      </c>
      <c r="P91" s="1160">
        <f t="shared" si="82"/>
        <v>30268.670000000158</v>
      </c>
      <c r="Q91" s="1164">
        <f>SUM('3 pr-2'!O93)</f>
        <v>62660</v>
      </c>
      <c r="R91" s="1159">
        <f>SUMIF('mokėjimų ataskaita'!$I:$I,C91,'mokėjimų ataskaita'!$AU:$AU)/2</f>
        <v>47525.670000000006</v>
      </c>
      <c r="S91" s="1082">
        <v>32545.37</v>
      </c>
      <c r="T91" s="1082">
        <f t="shared" ref="T91:T97" si="117">SUM(R91-S91)</f>
        <v>14980.300000000007</v>
      </c>
      <c r="U91" s="1160">
        <f t="shared" ref="U91:U97" si="118">SUM(Q91-R91)</f>
        <v>15134.329999999994</v>
      </c>
      <c r="V91" s="1164">
        <f>SUM('3 pr-2'!R93)</f>
        <v>0</v>
      </c>
      <c r="W91" s="1159">
        <f>SUMIF('mokėjimų ataskaita'!$I:$I,C91,'mokėjimų ataskaita'!$AL:$AL)/2</f>
        <v>0</v>
      </c>
      <c r="X91" s="1082"/>
      <c r="Y91" s="1082"/>
      <c r="Z91" s="1080">
        <f t="shared" ref="Z91:Z96" si="119">SUM(V91-W91)</f>
        <v>0</v>
      </c>
      <c r="AA91" s="1164">
        <f>SUM('3 pr-2'!U93)</f>
        <v>0</v>
      </c>
      <c r="AB91" s="1159">
        <f>SUMIF('mokėjimų ataskaita'!$I:$I,'ketv. 7 '!C91,'mokėjimų ataskaita'!$AW:$AW)/2</f>
        <v>0</v>
      </c>
      <c r="AC91" s="1082"/>
      <c r="AD91" s="1082"/>
      <c r="AE91" s="1080">
        <f t="shared" ref="AE91:AE96" si="120">SUM(AA91-AB91)</f>
        <v>0</v>
      </c>
      <c r="AF91" s="1164">
        <f>SUM('3 pr-2'!X93)</f>
        <v>62660</v>
      </c>
      <c r="AG91" s="1159">
        <f>SUMIF('mokėjimų ataskaita'!$I:$I,'ketv. 7 '!C91,'mokėjimų ataskaita'!$AT:$AT)/2+SUMIF('mokėjimų ataskaita'!$I:$I,'ketv. 7 '!C91,'mokėjimų ataskaita'!$AV:$AV)/2</f>
        <v>47525.659999999996</v>
      </c>
      <c r="AH91" s="1082">
        <v>32545.37</v>
      </c>
      <c r="AI91" s="1082">
        <f t="shared" ref="AI91:AI97" si="121">SUM(AG91-AH91)</f>
        <v>14980.289999999997</v>
      </c>
      <c r="AJ91" s="1080">
        <f t="shared" ref="AJ91:AJ96" si="122">SUM(AF91-AG91)</f>
        <v>15134.340000000004</v>
      </c>
      <c r="AK91" s="1164">
        <f>SUM('3 pr-2'!AA93)</f>
        <v>710144</v>
      </c>
      <c r="AL91" s="1159">
        <f>SUMIF('mokėjimų ataskaita'!$I:$I,'ketv. 7 '!C91,'mokėjimų ataskaita'!$AK:$AK)/2</f>
        <v>710143.99999999988</v>
      </c>
      <c r="AM91" s="1082">
        <v>368846.15</v>
      </c>
      <c r="AN91" s="1082">
        <f t="shared" ref="AN91:AN97" si="123">SUM(AL91-AM91)</f>
        <v>341297.84999999986</v>
      </c>
      <c r="AO91" s="1167">
        <f t="shared" ref="AO91:AO97" si="124">SUM(AK91-AL91)</f>
        <v>1.1641532182693481E-10</v>
      </c>
      <c r="AP91" s="1080">
        <f>SUM('3 pr-2'!AB93)</f>
        <v>0</v>
      </c>
      <c r="AQ91" s="1159">
        <v>0</v>
      </c>
    </row>
    <row r="92" spans="1:44" ht="36.75">
      <c r="A92" s="375" t="str">
        <f>CONCATENATE('3 pr-2'!A94)</f>
        <v>1.1.2.4.2</v>
      </c>
      <c r="B92" s="578" t="str">
        <f>CONCATENATE('3 pr-2'!B94)</f>
        <v>R01-5511-110000-1242</v>
      </c>
      <c r="C92" s="577" t="str">
        <f>CONCATENATE('ketv. 6 '!C93)</f>
        <v>06.2.1-TID-R-511-11-0001</v>
      </c>
      <c r="D92" s="231" t="str">
        <f>CONCATENATE('3 pr-2'!D94)</f>
        <v>Perspektyvinės gatvės nuo Pramonės g. iki Naujosios g. Alytuje įrengimas</v>
      </c>
      <c r="E92" s="164" t="str">
        <f>CONCATENATE('3 pr-2'!E94)</f>
        <v>Alytaus miesto savivaldybės administracija</v>
      </c>
      <c r="F92" s="164" t="str">
        <f>CONCATENATE('3 pr-2'!F94)</f>
        <v>Lietuvos Respublikos susisiekimo ministerija</v>
      </c>
      <c r="G92" s="164" t="str">
        <f>CONCATENATE('3 pr-2'!G94)</f>
        <v>Alytaus m. sav.</v>
      </c>
      <c r="H92" s="164" t="str">
        <f>CONCATENATE('3 pr-2'!H94)</f>
        <v>06.2.1-TID-R-511</v>
      </c>
      <c r="I92" s="164" t="str">
        <f>CONCATENATE('3 pr-2'!I94)</f>
        <v>R</v>
      </c>
      <c r="J92" s="164" t="str">
        <f>CONCATENATE('3 pr-2'!J94)</f>
        <v>ITI</v>
      </c>
      <c r="K92" s="1164">
        <f>SUM('3 pr-2'!L94)</f>
        <v>879927.06</v>
      </c>
      <c r="L92" s="1159">
        <f t="shared" si="116"/>
        <v>879927.06</v>
      </c>
      <c r="M92" s="1082">
        <v>439654.43000000005</v>
      </c>
      <c r="N92" s="1082">
        <v>440272.63</v>
      </c>
      <c r="O92" s="1082">
        <f t="shared" si="81"/>
        <v>0</v>
      </c>
      <c r="P92" s="1160">
        <f t="shared" si="82"/>
        <v>0</v>
      </c>
      <c r="Q92" s="1164">
        <f>SUM('3 pr-2'!O94)</f>
        <v>131989.06</v>
      </c>
      <c r="R92" s="1159">
        <f>SUMIF('mokėjimų ataskaita'!$I:$I,C92,'mokėjimų ataskaita'!$AU:$AU)/2</f>
        <v>131989.06</v>
      </c>
      <c r="S92" s="1082">
        <v>65948.160000000003</v>
      </c>
      <c r="T92" s="1082">
        <f t="shared" si="117"/>
        <v>66040.899999999994</v>
      </c>
      <c r="U92" s="1160">
        <f t="shared" si="118"/>
        <v>0</v>
      </c>
      <c r="V92" s="1164">
        <f>SUM('3 pr-2'!R94)</f>
        <v>0</v>
      </c>
      <c r="W92" s="1159">
        <f>SUMIF('mokėjimų ataskaita'!$I:$I,C92,'mokėjimų ataskaita'!$AL:$AL)/2</f>
        <v>0</v>
      </c>
      <c r="X92" s="1082"/>
      <c r="Y92" s="1082"/>
      <c r="Z92" s="1080">
        <f t="shared" si="119"/>
        <v>0</v>
      </c>
      <c r="AA92" s="1164">
        <f>SUM('3 pr-2'!U94)</f>
        <v>0</v>
      </c>
      <c r="AB92" s="1159">
        <f>SUMIF('mokėjimų ataskaita'!$I:$I,'ketv. 7 '!C92,'mokėjimų ataskaita'!$AW:$AW)/2</f>
        <v>0</v>
      </c>
      <c r="AC92" s="1082"/>
      <c r="AD92" s="1082"/>
      <c r="AE92" s="1080">
        <f t="shared" si="120"/>
        <v>0</v>
      </c>
      <c r="AF92" s="1164">
        <f>SUM('3 pr-2'!X94)</f>
        <v>0</v>
      </c>
      <c r="AG92" s="1159">
        <f>SUMIF('mokėjimų ataskaita'!$I:$I,'ketv. 7 '!C92,'mokėjimų ataskaita'!$AT:$AT)/2+SUMIF('mokėjimų ataskaita'!$I:$I,'ketv. 7 '!C92,'mokėjimų ataskaita'!$AV:$AV)/2</f>
        <v>0</v>
      </c>
      <c r="AH92" s="1082">
        <v>0</v>
      </c>
      <c r="AI92" s="1082">
        <f t="shared" si="121"/>
        <v>0</v>
      </c>
      <c r="AJ92" s="1080">
        <f t="shared" si="122"/>
        <v>0</v>
      </c>
      <c r="AK92" s="1164">
        <f>SUM('3 pr-2'!AA94)</f>
        <v>747938</v>
      </c>
      <c r="AL92" s="1159">
        <f>SUMIF('mokėjimų ataskaita'!$I:$I,'ketv. 7 '!C92,'mokėjimų ataskaita'!$AK:$AK)/2</f>
        <v>747938</v>
      </c>
      <c r="AM92" s="1082">
        <v>373706.27</v>
      </c>
      <c r="AN92" s="1082">
        <f t="shared" si="123"/>
        <v>374231.73</v>
      </c>
      <c r="AO92" s="1167">
        <f t="shared" si="124"/>
        <v>0</v>
      </c>
      <c r="AP92" s="1080">
        <f>SUM('3 pr-2'!AB94)</f>
        <v>0</v>
      </c>
      <c r="AQ92" s="1159">
        <v>0</v>
      </c>
    </row>
    <row r="93" spans="1:44" ht="36.75">
      <c r="A93" s="375" t="str">
        <f>CONCATENATE('3 pr-2'!A95)</f>
        <v>1.1.2.4.3.</v>
      </c>
      <c r="B93" s="578" t="str">
        <f>CONCATENATE('3 pr-2'!B95)</f>
        <v>R01-5511-500000-1243</v>
      </c>
      <c r="C93" s="577" t="str">
        <f>CONCATENATE('ketv. 6 '!C94)</f>
        <v>06.2.1-TID-R-511-11-0008</v>
      </c>
      <c r="D93" s="231" t="str">
        <f>CONCATENATE('3 pr-2'!D95)</f>
        <v>Saugaus eismo priemonių diegimas Alytaus mieste</v>
      </c>
      <c r="E93" s="164" t="str">
        <f>CONCATENATE('3 pr-2'!E95)</f>
        <v>Alytaus miesto savivaldybės administracija</v>
      </c>
      <c r="F93" s="164" t="str">
        <f>CONCATENATE('3 pr-2'!F95)</f>
        <v>Lietuvos Respublikos susisiekimo ministerija</v>
      </c>
      <c r="G93" s="164" t="str">
        <f>CONCATENATE('3 pr-2'!G95)</f>
        <v>Alytaus m. sav.</v>
      </c>
      <c r="H93" s="164" t="str">
        <f>CONCATENATE('3 pr-2'!H95)</f>
        <v>06.2.1-TID-R-511</v>
      </c>
      <c r="I93" s="164" t="str">
        <f>CONCATENATE('3 pr-2'!I95)</f>
        <v>R</v>
      </c>
      <c r="J93" s="164" t="str">
        <f>CONCATENATE('3 pr-2'!J95)</f>
        <v>-</v>
      </c>
      <c r="K93" s="1164">
        <f>SUM('3 pr-2'!L95)</f>
        <v>274146.8</v>
      </c>
      <c r="L93" s="1080">
        <f t="shared" si="116"/>
        <v>0</v>
      </c>
      <c r="M93" s="1082">
        <v>0</v>
      </c>
      <c r="N93" s="1082">
        <v>0</v>
      </c>
      <c r="O93" s="1082">
        <f t="shared" si="81"/>
        <v>0</v>
      </c>
      <c r="P93" s="1160">
        <f t="shared" si="82"/>
        <v>274146.8</v>
      </c>
      <c r="Q93" s="1164">
        <f>SUM('3 pr-2'!O95)</f>
        <v>41122.019999999997</v>
      </c>
      <c r="R93" s="1080">
        <f>SUMIF('mokėjimų ataskaita'!$I:$I,C93,'mokėjimų ataskaita'!$AU:$AU)/2</f>
        <v>0</v>
      </c>
      <c r="S93" s="1082">
        <v>0</v>
      </c>
      <c r="T93" s="1082">
        <f t="shared" si="117"/>
        <v>0</v>
      </c>
      <c r="U93" s="1160">
        <f t="shared" si="118"/>
        <v>41122.019999999997</v>
      </c>
      <c r="V93" s="1164">
        <f>SUM('3 pr-2'!R95)</f>
        <v>0</v>
      </c>
      <c r="W93" s="1080">
        <f>SUMIF('mokėjimų ataskaita'!$I:$I,C93,'mokėjimų ataskaita'!$AL:$AL)/2</f>
        <v>0</v>
      </c>
      <c r="X93" s="1082"/>
      <c r="Y93" s="1082"/>
      <c r="Z93" s="1160">
        <f t="shared" si="119"/>
        <v>0</v>
      </c>
      <c r="AA93" s="1164">
        <f>SUM('3 pr-2'!U95)</f>
        <v>0</v>
      </c>
      <c r="AB93" s="1080">
        <f>SUMIF('mokėjimų ataskaita'!$I:$I,'ketv. 7 '!C93,'mokėjimų ataskaita'!$AW:$AW)/2</f>
        <v>0</v>
      </c>
      <c r="AC93" s="1082"/>
      <c r="AD93" s="1082"/>
      <c r="AE93" s="1160">
        <f t="shared" si="120"/>
        <v>0</v>
      </c>
      <c r="AF93" s="1164">
        <f>SUM('3 pr-2'!X95)</f>
        <v>0</v>
      </c>
      <c r="AG93" s="1080">
        <f>SUMIF('mokėjimų ataskaita'!$I:$I,'ketv. 7 '!C93,'mokėjimų ataskaita'!$AT:$AT)/2+SUMIF('mokėjimų ataskaita'!$I:$I,'ketv. 7 '!C93,'mokėjimų ataskaita'!$AV:$AV)/2</f>
        <v>0</v>
      </c>
      <c r="AH93" s="1082">
        <v>0</v>
      </c>
      <c r="AI93" s="1082">
        <f t="shared" si="121"/>
        <v>0</v>
      </c>
      <c r="AJ93" s="1160">
        <f t="shared" si="122"/>
        <v>0</v>
      </c>
      <c r="AK93" s="1164">
        <f>SUM('3 pr-2'!AA95)</f>
        <v>233024.78</v>
      </c>
      <c r="AL93" s="1080">
        <f>SUMIF('mokėjimų ataskaita'!$I:$I,'ketv. 7 '!C93,'mokėjimų ataskaita'!$AK:$AK)/2</f>
        <v>0</v>
      </c>
      <c r="AM93" s="1082">
        <v>0</v>
      </c>
      <c r="AN93" s="1082">
        <f t="shared" si="123"/>
        <v>0</v>
      </c>
      <c r="AO93" s="1167">
        <f t="shared" si="124"/>
        <v>233024.78</v>
      </c>
      <c r="AP93" s="1080">
        <f>SUM('3 pr-2'!AB95)</f>
        <v>0</v>
      </c>
      <c r="AQ93" s="1080">
        <v>0</v>
      </c>
    </row>
    <row r="94" spans="1:44" ht="36.75">
      <c r="A94" s="375" t="str">
        <f>CONCATENATE('3 pr-2'!A96)</f>
        <v>1.1.2.4.4</v>
      </c>
      <c r="B94" s="578" t="str">
        <f>CONCATENATE('3 pr-2'!B96)</f>
        <v>R01-5511-500000-1244</v>
      </c>
      <c r="C94" s="577" t="str">
        <f>CONCATENATE('ketv. 6 '!C95)</f>
        <v>06.2.1-TID-R-511-11-0006</v>
      </c>
      <c r="D94" s="231" t="str">
        <f>CONCATENATE('3 pr-2'!D96)</f>
        <v>Eismo saugos priemonių diegimas Alytaus rajono savivaldybėje</v>
      </c>
      <c r="E94" s="164" t="str">
        <f>CONCATENATE('3 pr-2'!E96)</f>
        <v>Alytaus rajono savivaldybės administracija</v>
      </c>
      <c r="F94" s="164" t="str">
        <f>CONCATENATE('3 pr-2'!F96)</f>
        <v>Lietuvos Respublikos susisiekimo ministerija</v>
      </c>
      <c r="G94" s="164" t="str">
        <f>CONCATENATE('3 pr-2'!G96)</f>
        <v>Alytaus r. sav.</v>
      </c>
      <c r="H94" s="164" t="str">
        <f>CONCATENATE('3 pr-2'!H96)</f>
        <v>06.2.1-TID-R-511</v>
      </c>
      <c r="I94" s="164" t="str">
        <f>CONCATENATE('3 pr-2'!I96)</f>
        <v>R</v>
      </c>
      <c r="J94" s="164" t="str">
        <f>CONCATENATE('3 pr-2'!J96)</f>
        <v>-</v>
      </c>
      <c r="K94" s="1164">
        <f>SUM('3 pr-2'!L96)</f>
        <v>274817.98</v>
      </c>
      <c r="L94" s="1159">
        <f t="shared" si="116"/>
        <v>193256.21999999997</v>
      </c>
      <c r="M94" s="1082">
        <v>0</v>
      </c>
      <c r="N94" s="1082">
        <v>95116.55</v>
      </c>
      <c r="O94" s="1082">
        <f t="shared" si="81"/>
        <v>98139.669999999969</v>
      </c>
      <c r="P94" s="1160">
        <f t="shared" si="82"/>
        <v>81561.760000000009</v>
      </c>
      <c r="Q94" s="1164">
        <f>SUM('3 pr-2'!O96)</f>
        <v>73973.98</v>
      </c>
      <c r="R94" s="1159">
        <f>SUMIF('mokėjimų ataskaita'!$I:$I,C94,'mokėjimų ataskaita'!$AU:$AU)/2</f>
        <v>52019.64</v>
      </c>
      <c r="S94" s="1082">
        <v>0</v>
      </c>
      <c r="T94" s="1082">
        <f t="shared" si="117"/>
        <v>52019.64</v>
      </c>
      <c r="U94" s="1160">
        <f t="shared" si="118"/>
        <v>21954.339999999997</v>
      </c>
      <c r="V94" s="1164">
        <f>SUM('3 pr-2'!R96)</f>
        <v>0</v>
      </c>
      <c r="W94" s="1159">
        <f>SUMIF('mokėjimų ataskaita'!$I:$I,C94,'mokėjimų ataskaita'!$AL:$AL)/2</f>
        <v>0</v>
      </c>
      <c r="X94" s="1082"/>
      <c r="Y94" s="1082"/>
      <c r="Z94" s="1160">
        <f t="shared" si="119"/>
        <v>0</v>
      </c>
      <c r="AA94" s="1164">
        <f>SUM('3 pr-2'!U96)</f>
        <v>0</v>
      </c>
      <c r="AB94" s="1159">
        <f>SUMIF('mokėjimų ataskaita'!$I:$I,'ketv. 7 '!C94,'mokėjimų ataskaita'!$AW:$AW)/2</f>
        <v>0</v>
      </c>
      <c r="AC94" s="1082"/>
      <c r="AD94" s="1082"/>
      <c r="AE94" s="1160">
        <f t="shared" si="120"/>
        <v>0</v>
      </c>
      <c r="AF94" s="1164">
        <f>SUM('3 pr-2'!X96)</f>
        <v>0</v>
      </c>
      <c r="AG94" s="1159">
        <f>SUMIF('mokėjimų ataskaita'!$I:$I,'ketv. 7 '!C94,'mokėjimų ataskaita'!$AT:$AT)/2+SUMIF('mokėjimų ataskaita'!$I:$I,'ketv. 7 '!C94,'mokėjimų ataskaita'!$AV:$AV)/2</f>
        <v>0</v>
      </c>
      <c r="AH94" s="1082">
        <v>0</v>
      </c>
      <c r="AI94" s="1082">
        <f t="shared" si="121"/>
        <v>0</v>
      </c>
      <c r="AJ94" s="1160">
        <f t="shared" si="122"/>
        <v>0</v>
      </c>
      <c r="AK94" s="1164">
        <f>SUM('3 pr-2'!AA96)</f>
        <v>200844</v>
      </c>
      <c r="AL94" s="1159">
        <f>SUMIF('mokėjimų ataskaita'!$I:$I,'ketv. 7 '!C94,'mokėjimų ataskaita'!$AK:$AK)/2</f>
        <v>141236.57999999999</v>
      </c>
      <c r="AM94" s="1082">
        <v>0</v>
      </c>
      <c r="AN94" s="1082">
        <f t="shared" si="123"/>
        <v>141236.57999999999</v>
      </c>
      <c r="AO94" s="1167">
        <f t="shared" si="124"/>
        <v>59607.420000000013</v>
      </c>
      <c r="AP94" s="1080">
        <f>SUM('3 pr-2'!AB96)</f>
        <v>0</v>
      </c>
      <c r="AQ94" s="1159">
        <v>0</v>
      </c>
    </row>
    <row r="95" spans="1:44" ht="36.75">
      <c r="A95" s="375" t="str">
        <f>CONCATENATE('3 pr-2'!A97)</f>
        <v>1.1.2.4.5</v>
      </c>
      <c r="B95" s="578" t="str">
        <f>CONCATENATE('3 pr-2'!B97)</f>
        <v>R01-5511-120900-1245</v>
      </c>
      <c r="C95" s="577" t="str">
        <f>CONCATENATE('ketv. 6 '!C96)</f>
        <v>06.2.1-TID-R-511-11-0007</v>
      </c>
      <c r="D95" s="231" t="str">
        <f>CONCATENATE('3 pr-2'!D97)</f>
        <v>M.K. Čiurlionio gatvės atkarpos Druskininkų m. rekonstrukcija</v>
      </c>
      <c r="E95" s="164" t="str">
        <f>CONCATENATE('3 pr-2'!E97)</f>
        <v xml:space="preserve">Druskininkų savivaldybės administracija  </v>
      </c>
      <c r="F95" s="164" t="str">
        <f>CONCATENATE('3 pr-2'!F97)</f>
        <v>Lietuvos Respublikos susisiekimo ministerija</v>
      </c>
      <c r="G95" s="164" t="str">
        <f>CONCATENATE('3 pr-2'!G97)</f>
        <v>Druskininkų sav.</v>
      </c>
      <c r="H95" s="164" t="str">
        <f>CONCATENATE('3 pr-2'!H97)</f>
        <v>06.2.1-TID-R-511</v>
      </c>
      <c r="I95" s="164" t="str">
        <f>CONCATENATE('3 pr-2'!I97)</f>
        <v>R</v>
      </c>
      <c r="J95" s="164" t="str">
        <f>CONCATENATE('3 pr-2'!J97)</f>
        <v>ITI</v>
      </c>
      <c r="K95" s="1164">
        <f>SUM('3 pr-2'!L97)</f>
        <v>1156237</v>
      </c>
      <c r="L95" s="1080">
        <f t="shared" si="116"/>
        <v>103855.23</v>
      </c>
      <c r="M95" s="1082">
        <v>0</v>
      </c>
      <c r="N95" s="1082">
        <v>0</v>
      </c>
      <c r="O95" s="1082">
        <f t="shared" si="81"/>
        <v>103855.23</v>
      </c>
      <c r="P95" s="1160">
        <f t="shared" si="82"/>
        <v>1052381.77</v>
      </c>
      <c r="Q95" s="1164">
        <f>SUM('3 pr-2'!O97)</f>
        <v>771588</v>
      </c>
      <c r="R95" s="1080">
        <f>SUMIF('mokėjimų ataskaita'!$I:$I,C95,'mokėjimų ataskaita'!$AU:$AU)/2</f>
        <v>0</v>
      </c>
      <c r="S95" s="1082">
        <v>0</v>
      </c>
      <c r="T95" s="1082">
        <f t="shared" si="117"/>
        <v>0</v>
      </c>
      <c r="U95" s="1160">
        <f t="shared" si="118"/>
        <v>771588</v>
      </c>
      <c r="V95" s="1164">
        <f>SUM('3 pr-2'!R97)</f>
        <v>0</v>
      </c>
      <c r="W95" s="1080">
        <f>SUMIF('mokėjimų ataskaita'!$I:$I,C95,'mokėjimų ataskaita'!$AL:$AL)/2</f>
        <v>0</v>
      </c>
      <c r="X95" s="1082"/>
      <c r="Y95" s="1082"/>
      <c r="Z95" s="1160">
        <f t="shared" si="119"/>
        <v>0</v>
      </c>
      <c r="AA95" s="1164">
        <f>SUM('3 pr-2'!U97)</f>
        <v>0</v>
      </c>
      <c r="AB95" s="1080">
        <f>SUMIF('mokėjimų ataskaita'!$I:$I,'ketv. 7 '!C95,'mokėjimų ataskaita'!$AW:$AW)/2</f>
        <v>0</v>
      </c>
      <c r="AC95" s="1082"/>
      <c r="AD95" s="1082"/>
      <c r="AE95" s="1160">
        <f t="shared" si="120"/>
        <v>0</v>
      </c>
      <c r="AF95" s="1164">
        <f>SUM('3 pr-2'!X97)</f>
        <v>0</v>
      </c>
      <c r="AG95" s="1080">
        <f>SUMIF('mokėjimų ataskaita'!$I:$I,'ketv. 7 '!C95,'mokėjimų ataskaita'!$AT:$AT)/2+SUMIF('mokėjimų ataskaita'!$I:$I,'ketv. 7 '!C95,'mokėjimų ataskaita'!$AV:$AV)/2</f>
        <v>0</v>
      </c>
      <c r="AH95" s="1082">
        <v>0</v>
      </c>
      <c r="AI95" s="1082">
        <f t="shared" si="121"/>
        <v>0</v>
      </c>
      <c r="AJ95" s="1160">
        <f t="shared" si="122"/>
        <v>0</v>
      </c>
      <c r="AK95" s="1164">
        <f>SUM('3 pr-2'!AA97)</f>
        <v>384649</v>
      </c>
      <c r="AL95" s="1080">
        <f>SUMIF('mokėjimų ataskaita'!$I:$I,'ketv. 7 '!C95,'mokėjimų ataskaita'!$AK:$AK)/2</f>
        <v>103855.23</v>
      </c>
      <c r="AM95" s="1082">
        <v>0</v>
      </c>
      <c r="AN95" s="1082">
        <f t="shared" si="123"/>
        <v>103855.23</v>
      </c>
      <c r="AO95" s="1167">
        <f t="shared" si="124"/>
        <v>280793.77</v>
      </c>
      <c r="AP95" s="1080">
        <f>SUM('3 pr-2'!AB97)</f>
        <v>0</v>
      </c>
      <c r="AQ95" s="1080">
        <v>0</v>
      </c>
    </row>
    <row r="96" spans="1:44" ht="48.75">
      <c r="A96" s="375" t="str">
        <f>CONCATENATE('3 pr-2'!A98)</f>
        <v>1.1.2.4.6</v>
      </c>
      <c r="B96" s="578" t="str">
        <f>CONCATENATE('3 pr-2'!B98)</f>
        <v>R01-5511-120000-1246</v>
      </c>
      <c r="C96" s="577" t="str">
        <f>CONCATENATE('ketv. 6 '!C97)</f>
        <v>06.2.1-TID-R-511-11-0004</v>
      </c>
      <c r="D96" s="231" t="str">
        <f>CONCATENATE('3 pr-2'!D98)</f>
        <v>Lazdijų miesto Seinų ir Lazdijos gatvių bei vietinės reikšmės kelio nuo Janonio gatvės iki Lazdijų hipodromo rekonstravimas</v>
      </c>
      <c r="E96" s="164" t="str">
        <f>CONCATENATE('3 pr-2'!E98)</f>
        <v>Lazdijų rajono savivaldybės administracija</v>
      </c>
      <c r="F96" s="164" t="str">
        <f>CONCATENATE('3 pr-2'!F98)</f>
        <v>Lietuvos Respublikos susisiekimo ministerija</v>
      </c>
      <c r="G96" s="164" t="str">
        <f>CONCATENATE('3 pr-2'!G98)</f>
        <v>Lazdijų r. sav.</v>
      </c>
      <c r="H96" s="164" t="str">
        <f>CONCATENATE('3 pr-2'!H98)</f>
        <v>06.2.1-TID-R-511</v>
      </c>
      <c r="I96" s="164" t="str">
        <f>CONCATENATE('3 pr-2'!I98)</f>
        <v>R</v>
      </c>
      <c r="J96" s="164" t="str">
        <f>CONCATENATE('3 pr-2'!J98)</f>
        <v>ITI</v>
      </c>
      <c r="K96" s="1164">
        <f>SUM('3 pr-2'!L98)</f>
        <v>759934</v>
      </c>
      <c r="L96" s="1159">
        <f t="shared" si="116"/>
        <v>654217.94999999995</v>
      </c>
      <c r="M96" s="1082">
        <v>0</v>
      </c>
      <c r="N96" s="1082">
        <v>467355.00000000006</v>
      </c>
      <c r="O96" s="1082">
        <f t="shared" si="81"/>
        <v>186862.9499999999</v>
      </c>
      <c r="P96" s="1160">
        <f t="shared" si="82"/>
        <v>105716.05000000005</v>
      </c>
      <c r="Q96" s="1164">
        <f>SUM('3 pr-2'!O98)</f>
        <v>113990</v>
      </c>
      <c r="R96" s="1159">
        <f>SUMIF('mokėjimų ataskaita'!$I:$I,C96,'mokėjimų ataskaita'!$AU:$AU)/2</f>
        <v>98132.610000000015</v>
      </c>
      <c r="S96" s="1082">
        <v>0</v>
      </c>
      <c r="T96" s="1082">
        <f t="shared" si="117"/>
        <v>98132.610000000015</v>
      </c>
      <c r="U96" s="1160">
        <f t="shared" si="118"/>
        <v>15857.389999999985</v>
      </c>
      <c r="V96" s="1164">
        <f>SUM('3 pr-2'!R98)</f>
        <v>0</v>
      </c>
      <c r="W96" s="1159">
        <f>SUMIF('mokėjimų ataskaita'!$I:$I,C96,'mokėjimų ataskaita'!$AL:$AL)/2</f>
        <v>0</v>
      </c>
      <c r="X96" s="1082"/>
      <c r="Y96" s="1082"/>
      <c r="Z96" s="1160">
        <f t="shared" si="119"/>
        <v>0</v>
      </c>
      <c r="AA96" s="1164">
        <f>SUM('3 pr-2'!U98)</f>
        <v>0</v>
      </c>
      <c r="AB96" s="1159">
        <f>SUMIF('mokėjimų ataskaita'!$I:$I,'ketv. 7 '!C96,'mokėjimų ataskaita'!$AW:$AW)/2</f>
        <v>0</v>
      </c>
      <c r="AC96" s="1082"/>
      <c r="AD96" s="1082"/>
      <c r="AE96" s="1160">
        <f t="shared" si="120"/>
        <v>0</v>
      </c>
      <c r="AF96" s="1164">
        <f>SUM('3 pr-2'!X98)</f>
        <v>0</v>
      </c>
      <c r="AG96" s="1159">
        <f>SUMIF('mokėjimų ataskaita'!$I:$I,'ketv. 7 '!C96,'mokėjimų ataskaita'!$AT:$AT)/2+SUMIF('mokėjimų ataskaita'!$I:$I,'ketv. 7 '!C96,'mokėjimų ataskaita'!$AV:$AV)/2</f>
        <v>0</v>
      </c>
      <c r="AH96" s="1082">
        <v>0</v>
      </c>
      <c r="AI96" s="1082">
        <f t="shared" si="121"/>
        <v>0</v>
      </c>
      <c r="AJ96" s="1160">
        <f t="shared" si="122"/>
        <v>0</v>
      </c>
      <c r="AK96" s="1164">
        <f>SUM('3 pr-2'!AA98)</f>
        <v>645944</v>
      </c>
      <c r="AL96" s="1159">
        <f>SUMIF('mokėjimų ataskaita'!$I:$I,'ketv. 7 '!C96,'mokėjimų ataskaita'!$AK:$AK)/2</f>
        <v>556085.34</v>
      </c>
      <c r="AM96" s="1082">
        <v>0</v>
      </c>
      <c r="AN96" s="1082">
        <f t="shared" si="123"/>
        <v>556085.34</v>
      </c>
      <c r="AO96" s="1165">
        <f t="shared" si="124"/>
        <v>89858.660000000033</v>
      </c>
      <c r="AP96" s="1080">
        <f>SUM('3 pr-2'!AB98)</f>
        <v>0</v>
      </c>
      <c r="AQ96" s="1159">
        <v>0</v>
      </c>
    </row>
    <row r="97" spans="1:44" ht="37.5" thickBot="1">
      <c r="A97" s="375" t="str">
        <f>CONCATENATE('3 pr-2'!A99)</f>
        <v>1.1.2.4.7</v>
      </c>
      <c r="B97" s="578" t="str">
        <f>CONCATENATE('3 pr-2'!B99)</f>
        <v>R01-5511-120000-1247</v>
      </c>
      <c r="C97" s="577" t="str">
        <f>CONCATENATE('ketv. 6 '!C98)</f>
        <v>06.2.1-TID-R-511-11-0009</v>
      </c>
      <c r="D97" s="231" t="str">
        <f>CONCATENATE('3 pr-2'!D99)</f>
        <v>Eismo saugumo priemonių diegimas Druskininkų savivaldybėje</v>
      </c>
      <c r="E97" s="164" t="str">
        <f>CONCATENATE('3 pr-2'!E99)</f>
        <v xml:space="preserve">Druskininkų savivaldybės administracija  </v>
      </c>
      <c r="F97" s="164" t="str">
        <f>CONCATENATE('3 pr-2'!F99)</f>
        <v>Lietuvos Respublikos susisiekimo ministerija</v>
      </c>
      <c r="G97" s="164" t="str">
        <f>CONCATENATE('3 pr-2'!G99)</f>
        <v>Druskininkų sav.</v>
      </c>
      <c r="H97" s="164" t="str">
        <f>CONCATENATE('3 pr-2'!H99)</f>
        <v>06.2.1-TID-R-511</v>
      </c>
      <c r="I97" s="164" t="str">
        <f>CONCATENATE('3 pr-2'!I99)</f>
        <v>R</v>
      </c>
      <c r="J97" s="164" t="str">
        <f>CONCATENATE('3 pr-2'!J99)</f>
        <v>-</v>
      </c>
      <c r="K97" s="1164">
        <f>SUM('3 pr-2'!L99)</f>
        <v>135352</v>
      </c>
      <c r="L97" s="1080">
        <f t="shared" si="116"/>
        <v>0</v>
      </c>
      <c r="M97" s="1082">
        <v>0</v>
      </c>
      <c r="N97" s="1082">
        <v>0</v>
      </c>
      <c r="O97" s="1082">
        <f t="shared" si="81"/>
        <v>0</v>
      </c>
      <c r="P97" s="1160">
        <f t="shared" ref="P97" si="125">SUM(K97-L97)</f>
        <v>135352</v>
      </c>
      <c r="Q97" s="1164">
        <f>SUM('3 pr-2'!O99)</f>
        <v>22363</v>
      </c>
      <c r="R97" s="1080">
        <f>SUMIF('mokėjimų ataskaita'!$I:$I,C97,'mokėjimų ataskaita'!$AU:$AU)/2</f>
        <v>0</v>
      </c>
      <c r="S97" s="1082"/>
      <c r="T97" s="1082">
        <f t="shared" si="117"/>
        <v>0</v>
      </c>
      <c r="U97" s="1160">
        <f t="shared" si="118"/>
        <v>22363</v>
      </c>
      <c r="V97" s="1164">
        <f>SUM('3 pr-2'!R99)</f>
        <v>0</v>
      </c>
      <c r="W97" s="1080">
        <f>SUMIF('mokėjimų ataskaita'!$I:$I,C97,'mokėjimų ataskaita'!$AL:$AL)/2</f>
        <v>0</v>
      </c>
      <c r="X97" s="1082"/>
      <c r="Y97" s="1082"/>
      <c r="Z97" s="1160">
        <f t="shared" ref="Z97" si="126">SUM(V97-W97)</f>
        <v>0</v>
      </c>
      <c r="AA97" s="1164">
        <f>SUM('3 pr-2'!U99)</f>
        <v>0</v>
      </c>
      <c r="AB97" s="1080">
        <f>SUMIF('mokėjimų ataskaita'!$I:$I,'ketv. 7 '!C97,'mokėjimų ataskaita'!$AW:$AW)/2</f>
        <v>0</v>
      </c>
      <c r="AC97" s="1082"/>
      <c r="AD97" s="1082"/>
      <c r="AE97" s="1160">
        <f t="shared" ref="AE97" si="127">SUM(AA97-AB97)</f>
        <v>0</v>
      </c>
      <c r="AF97" s="1164">
        <f>SUM('3 pr-2'!X99)</f>
        <v>0</v>
      </c>
      <c r="AG97" s="1080">
        <f>SUMIF('mokėjimų ataskaita'!$I:$I,'ketv. 7 '!C97,'mokėjimų ataskaita'!$AT:$AT)/2+SUMIF('mokėjimų ataskaita'!$I:$I,'ketv. 7 '!C97,'mokėjimų ataskaita'!$AV:$AV)/2</f>
        <v>0</v>
      </c>
      <c r="AH97" s="1082"/>
      <c r="AI97" s="1082">
        <f t="shared" si="121"/>
        <v>0</v>
      </c>
      <c r="AJ97" s="1160">
        <f t="shared" ref="AJ97" si="128">SUM(AF97-AG97)</f>
        <v>0</v>
      </c>
      <c r="AK97" s="1164">
        <f>SUM('3 pr-2'!AA99)</f>
        <v>112989</v>
      </c>
      <c r="AL97" s="1080">
        <f>SUMIF('mokėjimų ataskaita'!$I:$I,'ketv. 7 '!C97,'mokėjimų ataskaita'!$AK:$AK)/2</f>
        <v>0</v>
      </c>
      <c r="AM97" s="1082"/>
      <c r="AN97" s="1082">
        <f t="shared" si="123"/>
        <v>0</v>
      </c>
      <c r="AO97" s="1165">
        <f t="shared" si="124"/>
        <v>112989</v>
      </c>
      <c r="AP97" s="1080">
        <f>SUM('3 pr-2'!AB99)</f>
        <v>0</v>
      </c>
      <c r="AQ97" s="1080">
        <v>0</v>
      </c>
    </row>
    <row r="98" spans="1:44" ht="57" customHeight="1" thickBot="1">
      <c r="A98" s="386" t="str">
        <f>CONCATENATE('3 pr-2'!A100)</f>
        <v>2.1.</v>
      </c>
      <c r="B98" s="2092" t="str">
        <f>CONCATENATE('3 pr-2'!B100)</f>
        <v>Tikslas:
GERINTI VIEŠŲJŲ  PASLAUGŲ KOKYBĘ IR PRIEINAMUMĄ</v>
      </c>
      <c r="C98" s="2086"/>
      <c r="D98" s="2086"/>
      <c r="E98" s="2086"/>
      <c r="F98" s="2086"/>
      <c r="G98" s="2086"/>
      <c r="H98" s="2086"/>
      <c r="I98" s="2086"/>
      <c r="J98" s="2087"/>
      <c r="K98" s="1196">
        <f t="shared" ref="K98:AK98" si="129">SUM(K99+K118+K145+K158)</f>
        <v>12592963.76</v>
      </c>
      <c r="L98" s="1196">
        <f t="shared" si="129"/>
        <v>6342700.1799999997</v>
      </c>
      <c r="M98" s="1196">
        <f t="shared" si="129"/>
        <v>1443767.56</v>
      </c>
      <c r="N98" s="1196">
        <f t="shared" si="129"/>
        <v>3284528.5950000002</v>
      </c>
      <c r="O98" s="1196">
        <f t="shared" si="129"/>
        <v>1525159.7249999999</v>
      </c>
      <c r="P98" s="1196">
        <f t="shared" si="129"/>
        <v>6250263.5800000001</v>
      </c>
      <c r="Q98" s="1196">
        <f t="shared" si="129"/>
        <v>1894321.69</v>
      </c>
      <c r="R98" s="1196">
        <f t="shared" si="129"/>
        <v>876457.82000000007</v>
      </c>
      <c r="S98" s="1196">
        <f t="shared" si="129"/>
        <v>139723</v>
      </c>
      <c r="T98" s="1196">
        <f t="shared" si="129"/>
        <v>408776.41</v>
      </c>
      <c r="U98" s="1196">
        <f t="shared" si="129"/>
        <v>1017863.87</v>
      </c>
      <c r="V98" s="1196">
        <f t="shared" si="129"/>
        <v>411944.43</v>
      </c>
      <c r="W98" s="1196">
        <f t="shared" si="129"/>
        <v>158543.14000000001</v>
      </c>
      <c r="X98" s="1196">
        <f t="shared" si="129"/>
        <v>2764.7</v>
      </c>
      <c r="Y98" s="1196">
        <f t="shared" si="129"/>
        <v>19183.149999999994</v>
      </c>
      <c r="Z98" s="1196">
        <f t="shared" si="129"/>
        <v>253401.28999999998</v>
      </c>
      <c r="AA98" s="1196">
        <f t="shared" si="129"/>
        <v>40107.979999999996</v>
      </c>
      <c r="AB98" s="1196">
        <f t="shared" si="129"/>
        <v>7355.72</v>
      </c>
      <c r="AC98" s="1196">
        <f t="shared" si="129"/>
        <v>0</v>
      </c>
      <c r="AD98" s="1196">
        <f t="shared" si="129"/>
        <v>0</v>
      </c>
      <c r="AE98" s="1196">
        <f t="shared" si="129"/>
        <v>32752.26</v>
      </c>
      <c r="AF98" s="1196">
        <f t="shared" si="129"/>
        <v>1299.95</v>
      </c>
      <c r="AG98" s="1196">
        <f t="shared" si="129"/>
        <v>46.72</v>
      </c>
      <c r="AH98" s="1196">
        <f t="shared" si="129"/>
        <v>0</v>
      </c>
      <c r="AI98" s="1196">
        <f t="shared" si="129"/>
        <v>0</v>
      </c>
      <c r="AJ98" s="1196">
        <f t="shared" si="129"/>
        <v>1253.23</v>
      </c>
      <c r="AK98" s="1196">
        <f t="shared" si="129"/>
        <v>10245289.709999999</v>
      </c>
      <c r="AL98" s="1196">
        <f>SUM(AL99+AL118+AL145+AL158)</f>
        <v>4590746.8599999994</v>
      </c>
      <c r="AM98" s="1196">
        <f t="shared" ref="AM98:AQ98" si="130">SUM(AM99+AM118+AM145+AM158)</f>
        <v>1301279.8600000001</v>
      </c>
      <c r="AN98" s="1196">
        <f t="shared" si="130"/>
        <v>1357022.1099999999</v>
      </c>
      <c r="AO98" s="1196">
        <f t="shared" si="130"/>
        <v>4774992.9300000006</v>
      </c>
      <c r="AP98" s="1196">
        <f t="shared" si="130"/>
        <v>0</v>
      </c>
      <c r="AQ98" s="1196">
        <f t="shared" si="130"/>
        <v>0</v>
      </c>
      <c r="AR98" s="233">
        <f>SUM(K98-'3 pr-2'!L100)</f>
        <v>0</v>
      </c>
    </row>
    <row r="99" spans="1:44" ht="56.25" customHeight="1" thickBot="1">
      <c r="A99" s="238" t="str">
        <f>CONCATENATE('3 pr-2'!A101)</f>
        <v>2.1.1.</v>
      </c>
      <c r="B99" s="2085" t="str">
        <f>CONCATENATE('3 pr-2'!B101)</f>
        <v xml:space="preserve">Uždavinys:
Bendrojo ugdymo ir neformaliojo švietimo įstaigų (ypač vykdančių ikimokyklinio ir priešmokyklinio ugdymo programas) tinklo veiklos efektyvumo didinimas </v>
      </c>
      <c r="C99" s="2086"/>
      <c r="D99" s="2086"/>
      <c r="E99" s="2086"/>
      <c r="F99" s="2086"/>
      <c r="G99" s="2086"/>
      <c r="H99" s="2086"/>
      <c r="I99" s="2086"/>
      <c r="J99" s="2087"/>
      <c r="K99" s="1158">
        <f t="shared" ref="K99:AK99" si="131">SUM(K100+K106+K112)</f>
        <v>4776867.3599999994</v>
      </c>
      <c r="L99" s="1158">
        <f t="shared" si="131"/>
        <v>2441302.15</v>
      </c>
      <c r="M99" s="1158">
        <f t="shared" si="131"/>
        <v>0</v>
      </c>
      <c r="N99" s="1158">
        <f t="shared" si="131"/>
        <v>1348828.79</v>
      </c>
      <c r="O99" s="1158">
        <f t="shared" si="131"/>
        <v>1092473.3599999999</v>
      </c>
      <c r="P99" s="1158">
        <f t="shared" si="131"/>
        <v>2335565.21</v>
      </c>
      <c r="Q99" s="1158">
        <f t="shared" si="131"/>
        <v>808633.36</v>
      </c>
      <c r="R99" s="1158">
        <f t="shared" si="131"/>
        <v>286135.67000000004</v>
      </c>
      <c r="S99" s="1158">
        <f t="shared" si="131"/>
        <v>0</v>
      </c>
      <c r="T99" s="1158">
        <f t="shared" si="131"/>
        <v>0</v>
      </c>
      <c r="U99" s="1158">
        <f t="shared" si="131"/>
        <v>522497.68999999994</v>
      </c>
      <c r="V99" s="1158">
        <f t="shared" si="131"/>
        <v>201262</v>
      </c>
      <c r="W99" s="1158">
        <f t="shared" si="131"/>
        <v>104447.49</v>
      </c>
      <c r="X99" s="1158">
        <f t="shared" si="131"/>
        <v>0</v>
      </c>
      <c r="Y99" s="1158">
        <f t="shared" si="131"/>
        <v>0</v>
      </c>
      <c r="Z99" s="1158">
        <f t="shared" si="131"/>
        <v>96814.51</v>
      </c>
      <c r="AA99" s="1158">
        <f t="shared" si="131"/>
        <v>0</v>
      </c>
      <c r="AB99" s="1158">
        <f t="shared" si="131"/>
        <v>0</v>
      </c>
      <c r="AC99" s="1158">
        <f t="shared" si="131"/>
        <v>0</v>
      </c>
      <c r="AD99" s="1158">
        <f t="shared" si="131"/>
        <v>0</v>
      </c>
      <c r="AE99" s="1158">
        <f t="shared" si="131"/>
        <v>0</v>
      </c>
      <c r="AF99" s="1158">
        <f t="shared" si="131"/>
        <v>0</v>
      </c>
      <c r="AG99" s="1158">
        <f t="shared" si="131"/>
        <v>0</v>
      </c>
      <c r="AH99" s="1158">
        <f t="shared" si="131"/>
        <v>0</v>
      </c>
      <c r="AI99" s="1158">
        <f t="shared" si="131"/>
        <v>0</v>
      </c>
      <c r="AJ99" s="1158">
        <f t="shared" si="131"/>
        <v>0</v>
      </c>
      <c r="AK99" s="1158">
        <f t="shared" si="131"/>
        <v>3766972</v>
      </c>
      <c r="AL99" s="1158">
        <f>SUM(AL100+AL106+AL112)</f>
        <v>2050718.99</v>
      </c>
      <c r="AM99" s="1158">
        <f t="shared" ref="AM99:AQ99" si="132">SUM(AM100+AM106+AM112)</f>
        <v>0</v>
      </c>
      <c r="AN99" s="1158">
        <f t="shared" si="132"/>
        <v>0</v>
      </c>
      <c r="AO99" s="1158">
        <f t="shared" si="132"/>
        <v>1716253.01</v>
      </c>
      <c r="AP99" s="1158">
        <f t="shared" si="132"/>
        <v>0</v>
      </c>
      <c r="AQ99" s="1158">
        <f t="shared" si="132"/>
        <v>0</v>
      </c>
      <c r="AR99" s="233">
        <f>SUM(K99-'3 pr-2'!L101)</f>
        <v>0</v>
      </c>
    </row>
    <row r="100" spans="1:44" ht="30" customHeight="1" thickBot="1">
      <c r="A100" s="296" t="str">
        <f>CONCATENATE('3 pr-2'!A102)</f>
        <v>2.1.1.1</v>
      </c>
      <c r="B100" s="2088" t="str">
        <f>CONCATENATE('3 pr-2'!B102)</f>
        <v>Priemonė:
Mokyklų tinklo efektyvumo didinimas</v>
      </c>
      <c r="C100" s="2089"/>
      <c r="D100" s="2089"/>
      <c r="E100" s="2089"/>
      <c r="F100" s="2089"/>
      <c r="G100" s="2089"/>
      <c r="H100" s="2089"/>
      <c r="I100" s="2089"/>
      <c r="J100" s="2090"/>
      <c r="K100" s="1077">
        <f t="shared" ref="K100:AK100" si="133">SUM(K101:K105)</f>
        <v>1343975.4100000001</v>
      </c>
      <c r="L100" s="1077">
        <f t="shared" si="133"/>
        <v>759559.58000000007</v>
      </c>
      <c r="M100" s="1077">
        <f t="shared" si="133"/>
        <v>0</v>
      </c>
      <c r="N100" s="1077">
        <f t="shared" si="133"/>
        <v>528555.12000000011</v>
      </c>
      <c r="O100" s="1077">
        <f t="shared" si="133"/>
        <v>231004.46</v>
      </c>
      <c r="P100" s="1077">
        <f t="shared" si="133"/>
        <v>584415.82999999984</v>
      </c>
      <c r="Q100" s="1077">
        <f t="shared" si="133"/>
        <v>100799.41</v>
      </c>
      <c r="R100" s="1077">
        <f t="shared" si="133"/>
        <v>46479.22</v>
      </c>
      <c r="S100" s="1077">
        <f t="shared" si="133"/>
        <v>0</v>
      </c>
      <c r="T100" s="1077">
        <f t="shared" si="133"/>
        <v>0</v>
      </c>
      <c r="U100" s="1077">
        <f t="shared" si="133"/>
        <v>54320.19</v>
      </c>
      <c r="V100" s="1077">
        <f t="shared" si="133"/>
        <v>100799</v>
      </c>
      <c r="W100" s="1077">
        <f t="shared" si="133"/>
        <v>57817.75</v>
      </c>
      <c r="X100" s="1077">
        <f t="shared" si="133"/>
        <v>0</v>
      </c>
      <c r="Y100" s="1077">
        <f t="shared" si="133"/>
        <v>0</v>
      </c>
      <c r="Z100" s="1077">
        <f t="shared" si="133"/>
        <v>42981.25</v>
      </c>
      <c r="AA100" s="1077">
        <f t="shared" si="133"/>
        <v>0</v>
      </c>
      <c r="AB100" s="1077">
        <f t="shared" si="133"/>
        <v>0</v>
      </c>
      <c r="AC100" s="1077">
        <f t="shared" si="133"/>
        <v>0</v>
      </c>
      <c r="AD100" s="1077">
        <f t="shared" si="133"/>
        <v>0</v>
      </c>
      <c r="AE100" s="1077">
        <f t="shared" si="133"/>
        <v>0</v>
      </c>
      <c r="AF100" s="1077">
        <f t="shared" si="133"/>
        <v>0</v>
      </c>
      <c r="AG100" s="1077">
        <f t="shared" si="133"/>
        <v>0</v>
      </c>
      <c r="AH100" s="1077">
        <f t="shared" si="133"/>
        <v>0</v>
      </c>
      <c r="AI100" s="1077">
        <f t="shared" si="133"/>
        <v>0</v>
      </c>
      <c r="AJ100" s="1077">
        <f t="shared" si="133"/>
        <v>0</v>
      </c>
      <c r="AK100" s="1077">
        <f t="shared" si="133"/>
        <v>1142377</v>
      </c>
      <c r="AL100" s="1077">
        <f>SUM(AL101:AL105)</f>
        <v>655262.61</v>
      </c>
      <c r="AM100" s="1077">
        <f t="shared" ref="AM100:AQ100" si="134">SUM(AM101:AM105)</f>
        <v>0</v>
      </c>
      <c r="AN100" s="1077">
        <f t="shared" si="134"/>
        <v>0</v>
      </c>
      <c r="AO100" s="1077">
        <f t="shared" si="134"/>
        <v>487114.39</v>
      </c>
      <c r="AP100" s="1077">
        <f t="shared" si="134"/>
        <v>0</v>
      </c>
      <c r="AQ100" s="1077">
        <f t="shared" si="134"/>
        <v>0</v>
      </c>
      <c r="AR100" s="233">
        <f>SUM(K100-'3 pr-2'!L102)</f>
        <v>0</v>
      </c>
    </row>
    <row r="101" spans="1:44" ht="60.75">
      <c r="A101" s="375" t="str">
        <f>CONCATENATE('3 pr-2'!A103)</f>
        <v>2.1.1.1.1</v>
      </c>
      <c r="B101" s="578" t="str">
        <f>CONCATENATE('3 pr-2'!B103)</f>
        <v>R01-7724-220000-2111</v>
      </c>
      <c r="C101" s="577" t="str">
        <f>CONCATENATE('ketv. 6 '!C102)</f>
        <v>09.1.3-CPVA-R-724-11-0003</v>
      </c>
      <c r="D101" s="231" t="str">
        <f>CONCATENATE('3 pr-2'!D103)</f>
        <v>Varėnos r. Merkinės Vinco Krėvės gimnazijos laisvų patalpų pritaikymas ikimokyklinio ir priešmokyklinio ugdymo grupėms įrengti</v>
      </c>
      <c r="E101" s="164" t="str">
        <f>CONCATENATE('3 pr-2'!E103)</f>
        <v>Varėnos rajono savivaldybės administracija</v>
      </c>
      <c r="F101" s="164" t="str">
        <f>CONCATENATE('3 pr-2'!F103)</f>
        <v>Lietuvos Respublikos švietimo ir mokslo ministerija</v>
      </c>
      <c r="G101" s="164" t="str">
        <f>CONCATENATE('3 pr-2'!G103)</f>
        <v>Varėnos r. sav.</v>
      </c>
      <c r="H101" s="164" t="str">
        <f>CONCATENATE('3 pr-2'!H103)</f>
        <v>09.1.3-CPVA-R-724</v>
      </c>
      <c r="I101" s="164" t="str">
        <f>CONCATENATE('3 pr-2'!I103)</f>
        <v>R</v>
      </c>
      <c r="J101" s="164" t="str">
        <f>CONCATENATE('3 pr-2'!J103)</f>
        <v>-</v>
      </c>
      <c r="K101" s="1164">
        <f>SUM('3 pr-2'!L103)</f>
        <v>220453</v>
      </c>
      <c r="L101" s="1159">
        <f t="shared" ref="L101:L105" si="135">SUM(R101+W101+AB101+AG101+AL101)</f>
        <v>0</v>
      </c>
      <c r="M101" s="1082">
        <v>0</v>
      </c>
      <c r="N101" s="1082">
        <v>0</v>
      </c>
      <c r="O101" s="1082">
        <f t="shared" ref="O101:O117" si="136">SUM(L101-M101-N101)</f>
        <v>0</v>
      </c>
      <c r="P101" s="1160">
        <f t="shared" ref="P101:P105" si="137">SUM(K101-L101)</f>
        <v>220453</v>
      </c>
      <c r="Q101" s="1164">
        <f>SUM('3 pr-2'!O103)</f>
        <v>16534</v>
      </c>
      <c r="R101" s="1159">
        <f>SUMIF('mokėjimų ataskaita'!$I:$I,C101,'mokėjimų ataskaita'!$AU:$AU)/2</f>
        <v>0</v>
      </c>
      <c r="S101" s="1082"/>
      <c r="T101" s="1082"/>
      <c r="U101" s="1160">
        <f>SUM(Q101-R101)</f>
        <v>16534</v>
      </c>
      <c r="V101" s="1164">
        <f>SUM('3 pr-2'!R103)</f>
        <v>16534</v>
      </c>
      <c r="W101" s="1159">
        <f>SUMIF('mokėjimų ataskaita'!$I:$I,C101,'mokėjimų ataskaita'!$AL:$AL)/2</f>
        <v>0</v>
      </c>
      <c r="X101" s="1082"/>
      <c r="Y101" s="1082"/>
      <c r="Z101" s="1160">
        <f t="shared" ref="Z101:Z105" si="138">SUM(V101-W101)</f>
        <v>16534</v>
      </c>
      <c r="AA101" s="1164">
        <f>SUM('3 pr-2'!U103)</f>
        <v>0</v>
      </c>
      <c r="AB101" s="1080">
        <f>SUMIF('mokėjimų ataskaita'!$I:$I,'ketv. 7 '!C101,'mokėjimų ataskaita'!$AW:$AW)/2</f>
        <v>0</v>
      </c>
      <c r="AC101" s="1082"/>
      <c r="AD101" s="1082"/>
      <c r="AE101" s="1160">
        <f t="shared" ref="AE101:AE105" si="139">SUM(AA101-AB101)</f>
        <v>0</v>
      </c>
      <c r="AF101" s="1164">
        <f>SUM('3 pr-2'!X103)</f>
        <v>0</v>
      </c>
      <c r="AG101" s="1080">
        <f>SUMIF('mokėjimų ataskaita'!$I:$I,'ketv. 7 '!C101,'mokėjimų ataskaita'!$AT:$AT)/2+SUMIF('mokėjimų ataskaita'!$I:$I,'ketv. 7 '!C101,'mokėjimų ataskaita'!$AV:$AV)/2</f>
        <v>0</v>
      </c>
      <c r="AH101" s="1082"/>
      <c r="AI101" s="1082"/>
      <c r="AJ101" s="1160">
        <f t="shared" ref="AJ101:AJ105" si="140">SUM(AF101-AG101)</f>
        <v>0</v>
      </c>
      <c r="AK101" s="1164">
        <f>SUM('3 pr-2'!AA103)</f>
        <v>187385</v>
      </c>
      <c r="AL101" s="1159">
        <f>SUMIF('mokėjimų ataskaita'!$I:$I,'ketv. 7 '!C101,'mokėjimų ataskaita'!$AK:$AK)/2</f>
        <v>0</v>
      </c>
      <c r="AM101" s="1082"/>
      <c r="AN101" s="1082"/>
      <c r="AO101" s="1167">
        <f>SUM(AK101-AL101)</f>
        <v>187385</v>
      </c>
      <c r="AP101" s="1080">
        <f>SUM('3 pr-2'!AB103)</f>
        <v>0</v>
      </c>
      <c r="AQ101" s="1159">
        <v>0</v>
      </c>
    </row>
    <row r="102" spans="1:44" ht="48.75">
      <c r="A102" s="375" t="str">
        <f>CONCATENATE('3 pr-2'!A104)</f>
        <v>2.1.1.1.2</v>
      </c>
      <c r="B102" s="578" t="str">
        <f>CONCATENATE('3 pr-2'!B104)</f>
        <v>R01-7724-220000-2112</v>
      </c>
      <c r="C102" s="577" t="str">
        <f>CONCATENATE('ketv. 6 '!C103)</f>
        <v>09.1.3-CPVA-R-724-11-0005</v>
      </c>
      <c r="D102" s="231" t="str">
        <f>CONCATENATE('3 pr-2'!D104)</f>
        <v>Alytaus rajono bendrojo ugdymo įstaigų aprūpinimas gamtos, technologijų, menų ir kitų mokslų laboratorijų įranga</v>
      </c>
      <c r="E102" s="164" t="str">
        <f>CONCATENATE('3 pr-2'!E104)</f>
        <v>Alytaus rajono savivaldybės administracija</v>
      </c>
      <c r="F102" s="164" t="str">
        <f>CONCATENATE('3 pr-2'!F104)</f>
        <v>Lietuvos Respublikos švietimo ir mokslo ministerija</v>
      </c>
      <c r="G102" s="164" t="str">
        <f>CONCATENATE('3 pr-2'!G104)</f>
        <v>Alytaus r. sav.</v>
      </c>
      <c r="H102" s="164" t="str">
        <f>CONCATENATE('3 pr-2'!H104)</f>
        <v>09.1.3-CPVA-R-724</v>
      </c>
      <c r="I102" s="164" t="str">
        <f>CONCATENATE('3 pr-2'!I104)</f>
        <v>R</v>
      </c>
      <c r="J102" s="164" t="str">
        <f>CONCATENATE('3 pr-2'!J104)</f>
        <v>-</v>
      </c>
      <c r="K102" s="1164">
        <f>SUM('3 pr-2'!L104)</f>
        <v>106845.41</v>
      </c>
      <c r="L102" s="1159">
        <f t="shared" si="135"/>
        <v>58998.080000000002</v>
      </c>
      <c r="M102" s="1082">
        <v>0</v>
      </c>
      <c r="N102" s="1082">
        <v>58998.080000000002</v>
      </c>
      <c r="O102" s="1082">
        <f t="shared" si="136"/>
        <v>0</v>
      </c>
      <c r="P102" s="1160">
        <f t="shared" si="137"/>
        <v>47847.33</v>
      </c>
      <c r="Q102" s="1164">
        <f>SUM('3 pr-2'!O104)</f>
        <v>8013.41</v>
      </c>
      <c r="R102" s="1159">
        <f>SUMIF('mokėjimų ataskaita'!$I:$I,C102,'mokėjimų ataskaita'!$AU:$AU)/2</f>
        <v>4424.8599999999997</v>
      </c>
      <c r="S102" s="1082"/>
      <c r="T102" s="1082"/>
      <c r="U102" s="1160">
        <f>SUM(Q102-R102)</f>
        <v>3588.55</v>
      </c>
      <c r="V102" s="1164">
        <f>SUM('3 pr-2'!R104)</f>
        <v>8014</v>
      </c>
      <c r="W102" s="1159">
        <f>SUMIF('mokėjimų ataskaita'!$I:$I,C102,'mokėjimų ataskaita'!$AL:$AL)/2</f>
        <v>4425.18</v>
      </c>
      <c r="X102" s="1082"/>
      <c r="Y102" s="1082"/>
      <c r="Z102" s="1160">
        <f t="shared" si="138"/>
        <v>3588.8199999999997</v>
      </c>
      <c r="AA102" s="1164">
        <f>SUM('3 pr-2'!U104)</f>
        <v>0</v>
      </c>
      <c r="AB102" s="1080">
        <f>SUMIF('mokėjimų ataskaita'!$I:$I,'ketv. 7 '!C102,'mokėjimų ataskaita'!$AW:$AW)/2</f>
        <v>0</v>
      </c>
      <c r="AC102" s="1082"/>
      <c r="AD102" s="1082"/>
      <c r="AE102" s="1160">
        <f t="shared" si="139"/>
        <v>0</v>
      </c>
      <c r="AF102" s="1164">
        <f>SUM('3 pr-2'!X104)</f>
        <v>0</v>
      </c>
      <c r="AG102" s="1080">
        <f>SUMIF('mokėjimų ataskaita'!$I:$I,'ketv. 7 '!C102,'mokėjimų ataskaita'!$AT:$AT)/2+SUMIF('mokėjimų ataskaita'!$I:$I,'ketv. 7 '!C102,'mokėjimų ataskaita'!$AV:$AV)/2</f>
        <v>0</v>
      </c>
      <c r="AH102" s="1082"/>
      <c r="AI102" s="1082"/>
      <c r="AJ102" s="1160">
        <f t="shared" si="140"/>
        <v>0</v>
      </c>
      <c r="AK102" s="1164">
        <f>SUM('3 pr-2'!AA104)</f>
        <v>90818</v>
      </c>
      <c r="AL102" s="1159">
        <f>SUMIF('mokėjimų ataskaita'!$I:$I,'ketv. 7 '!C102,'mokėjimų ataskaita'!$AK:$AK)/2</f>
        <v>50148.04</v>
      </c>
      <c r="AM102" s="1082"/>
      <c r="AN102" s="1082"/>
      <c r="AO102" s="1167">
        <f>SUM(AK102-AL102)</f>
        <v>40669.96</v>
      </c>
      <c r="AP102" s="1080">
        <f>SUM('3 pr-2'!AB104)</f>
        <v>0</v>
      </c>
      <c r="AQ102" s="1159">
        <v>0</v>
      </c>
    </row>
    <row r="103" spans="1:44" ht="36.75">
      <c r="A103" s="375" t="str">
        <f>CONCATENATE('3 pr-2'!A105)</f>
        <v>2.1.1.1.3</v>
      </c>
      <c r="B103" s="578" t="str">
        <f>CONCATENATE('3 pr-2'!B105)</f>
        <v>R01-7724-220000-2113</v>
      </c>
      <c r="C103" s="577" t="str">
        <f>CONCATENATE('ketv. 6 '!C104)</f>
        <v>09.1.3-CPVA-R-724-11-0002</v>
      </c>
      <c r="D103" s="231" t="str">
        <f>CONCATENATE('3 pr-2'!D105)</f>
        <v>Modernių ir saugių erdvių kūrimas Dzūkijos pagrindinėje mokykloje, Alytuje</v>
      </c>
      <c r="E103" s="164" t="str">
        <f>CONCATENATE('3 pr-2'!E105)</f>
        <v>Alytaus miesto savivaldybės administracija</v>
      </c>
      <c r="F103" s="164" t="str">
        <f>CONCATENATE('3 pr-2'!F105)</f>
        <v>Lietuvos Respublikos švietimo ir mokslo ministerija</v>
      </c>
      <c r="G103" s="164" t="str">
        <f>CONCATENATE('3 pr-2'!G105)</f>
        <v>Alytaus m. sav.</v>
      </c>
      <c r="H103" s="164" t="str">
        <f>CONCATENATE('3 pr-2'!H105)</f>
        <v>09.1.3-CPVA-R-724</v>
      </c>
      <c r="I103" s="164" t="str">
        <f>CONCATENATE('3 pr-2'!I105)</f>
        <v>R</v>
      </c>
      <c r="J103" s="164" t="str">
        <f>CONCATENATE('3 pr-2'!J105)</f>
        <v>-</v>
      </c>
      <c r="K103" s="1164">
        <f>SUM('3 pr-2'!L105)</f>
        <v>657021</v>
      </c>
      <c r="L103" s="1159">
        <f t="shared" si="135"/>
        <v>345151.4</v>
      </c>
      <c r="M103" s="1082">
        <v>0</v>
      </c>
      <c r="N103" s="1082">
        <v>152448.33000000002</v>
      </c>
      <c r="O103" s="1082">
        <f t="shared" si="136"/>
        <v>192703.07</v>
      </c>
      <c r="P103" s="1160">
        <f t="shared" si="137"/>
        <v>311869.59999999998</v>
      </c>
      <c r="Q103" s="1164">
        <f>SUM('3 pr-2'!O105)</f>
        <v>49277</v>
      </c>
      <c r="R103" s="1159">
        <f>SUMIF('mokėjimų ataskaita'!$I:$I,C103,'mokėjimų ataskaita'!$AU:$AU)/2</f>
        <v>16717.830000000002</v>
      </c>
      <c r="S103" s="1082"/>
      <c r="T103" s="1082"/>
      <c r="U103" s="1160">
        <f>SUM(Q103-R103)</f>
        <v>32559.17</v>
      </c>
      <c r="V103" s="1164">
        <f>SUM('3 pr-2'!R105)</f>
        <v>49277</v>
      </c>
      <c r="W103" s="1159">
        <f>SUMIF('mokėjimų ataskaita'!$I:$I,C103,'mokėjimų ataskaita'!$AL:$AL)/2</f>
        <v>26629.989999999998</v>
      </c>
      <c r="X103" s="1082"/>
      <c r="Y103" s="1082"/>
      <c r="Z103" s="1160">
        <f t="shared" si="138"/>
        <v>22647.010000000002</v>
      </c>
      <c r="AA103" s="1164">
        <f>SUM('3 pr-2'!U105)</f>
        <v>0</v>
      </c>
      <c r="AB103" s="1080">
        <f>SUMIF('mokėjimų ataskaita'!$I:$I,'ketv. 7 '!C103,'mokėjimų ataskaita'!$AW:$AW)/2</f>
        <v>0</v>
      </c>
      <c r="AC103" s="1082"/>
      <c r="AD103" s="1082"/>
      <c r="AE103" s="1160">
        <f t="shared" si="139"/>
        <v>0</v>
      </c>
      <c r="AF103" s="1164">
        <f>SUM('3 pr-2'!X105)</f>
        <v>0</v>
      </c>
      <c r="AG103" s="1080">
        <f>SUMIF('mokėjimų ataskaita'!$I:$I,'ketv. 7 '!C103,'mokėjimų ataskaita'!$AT:$AT)/2+SUMIF('mokėjimų ataskaita'!$I:$I,'ketv. 7 '!C103,'mokėjimų ataskaita'!$AV:$AV)/2</f>
        <v>0</v>
      </c>
      <c r="AH103" s="1082"/>
      <c r="AI103" s="1082"/>
      <c r="AJ103" s="1160">
        <f t="shared" si="140"/>
        <v>0</v>
      </c>
      <c r="AK103" s="1164">
        <f>SUM('3 pr-2'!AA105)</f>
        <v>558467</v>
      </c>
      <c r="AL103" s="1159">
        <f>SUMIF('mokėjimų ataskaita'!$I:$I,'ketv. 7 '!C103,'mokėjimų ataskaita'!$AK:$AK)/2</f>
        <v>301803.58</v>
      </c>
      <c r="AM103" s="1082"/>
      <c r="AN103" s="1082"/>
      <c r="AO103" s="1167">
        <f>SUM(AK103-AL103)</f>
        <v>256663.41999999998</v>
      </c>
      <c r="AP103" s="1080">
        <f>SUM('3 pr-2'!AB105)</f>
        <v>0</v>
      </c>
      <c r="AQ103" s="1159">
        <v>0</v>
      </c>
    </row>
    <row r="104" spans="1:44" ht="36.75">
      <c r="A104" s="375" t="str">
        <f>CONCATENATE('3 pr-2'!A106)</f>
        <v>2.1.1.1.4</v>
      </c>
      <c r="B104" s="578" t="str">
        <f>CONCATENATE('3 pr-2'!B106)</f>
        <v>R01-7724-220000-2114</v>
      </c>
      <c r="C104" s="577" t="str">
        <f>CONCATENATE('ketv. 6 '!C105)</f>
        <v>09.1.3-CPVA-R-724-11-0004</v>
      </c>
      <c r="D104" s="231" t="str">
        <f>CONCATENATE('3 pr-2'!D106)</f>
        <v>Modernių ir saugių erdvių sukūrimas bendrojo ugdymo mokyklose Druskininkų sav.</v>
      </c>
      <c r="E104" s="164" t="str">
        <f>CONCATENATE('3 pr-2'!E106)</f>
        <v>Druskininkų savivaldybės administracija</v>
      </c>
      <c r="F104" s="164" t="str">
        <f>CONCATENATE('3 pr-2'!F106)</f>
        <v>Lietuvos Respublikos švietimo ir mokslo ministerija</v>
      </c>
      <c r="G104" s="164" t="str">
        <f>CONCATENATE('3 pr-2'!G106)</f>
        <v>Druskininkų sav.</v>
      </c>
      <c r="H104" s="164" t="str">
        <f>CONCATENATE('3 pr-2'!H106)</f>
        <v>09.1.3-CPVA-R-724</v>
      </c>
      <c r="I104" s="164" t="str">
        <f>CONCATENATE('3 pr-2'!I106)</f>
        <v>R</v>
      </c>
      <c r="J104" s="164" t="str">
        <f>CONCATENATE('3 pr-2'!J106)</f>
        <v>-</v>
      </c>
      <c r="K104" s="1164">
        <f>SUM('3 pr-2'!L106)</f>
        <v>163877</v>
      </c>
      <c r="L104" s="1159">
        <f t="shared" si="135"/>
        <v>162371.79</v>
      </c>
      <c r="M104" s="1082">
        <v>0</v>
      </c>
      <c r="N104" s="1082">
        <v>162371.79</v>
      </c>
      <c r="O104" s="1082">
        <f t="shared" si="136"/>
        <v>0</v>
      </c>
      <c r="P104" s="1160">
        <f t="shared" si="137"/>
        <v>1505.2099999999919</v>
      </c>
      <c r="Q104" s="1164">
        <f>SUM('3 pr-2'!O106)</f>
        <v>12291</v>
      </c>
      <c r="R104" s="1159">
        <f>SUMIF('mokėjimų ataskaita'!$I:$I,C104,'mokėjimų ataskaita'!$AU:$AU)/2</f>
        <v>10858.09</v>
      </c>
      <c r="S104" s="1082"/>
      <c r="T104" s="1082"/>
      <c r="U104" s="1160">
        <f>SUM(Q104-R104)</f>
        <v>1432.9099999999999</v>
      </c>
      <c r="V104" s="1164">
        <f>SUM('3 pr-2'!R106)</f>
        <v>12291</v>
      </c>
      <c r="W104" s="1159">
        <f>SUMIF('mokėjimų ataskaita'!$I:$I,C104,'mokėjimų ataskaita'!$AL:$AL)/2</f>
        <v>12285.13</v>
      </c>
      <c r="X104" s="1082"/>
      <c r="Y104" s="1082"/>
      <c r="Z104" s="1160">
        <f t="shared" si="138"/>
        <v>5.8700000000008004</v>
      </c>
      <c r="AA104" s="1164">
        <f>SUM('3 pr-2'!U106)</f>
        <v>0</v>
      </c>
      <c r="AB104" s="1080">
        <f>SUMIF('mokėjimų ataskaita'!$I:$I,'ketv. 7 '!C104,'mokėjimų ataskaita'!$AW:$AW)/2</f>
        <v>0</v>
      </c>
      <c r="AC104" s="1082"/>
      <c r="AD104" s="1082"/>
      <c r="AE104" s="1160">
        <f t="shared" si="139"/>
        <v>0</v>
      </c>
      <c r="AF104" s="1164">
        <f>SUM('3 pr-2'!X106)</f>
        <v>0</v>
      </c>
      <c r="AG104" s="1080">
        <f>SUMIF('mokėjimų ataskaita'!$I:$I,'ketv. 7 '!C104,'mokėjimų ataskaita'!$AT:$AT)/2+SUMIF('mokėjimų ataskaita'!$I:$I,'ketv. 7 '!C104,'mokėjimų ataskaita'!$AV:$AV)/2</f>
        <v>0</v>
      </c>
      <c r="AH104" s="1082"/>
      <c r="AI104" s="1082"/>
      <c r="AJ104" s="1160">
        <f t="shared" si="140"/>
        <v>0</v>
      </c>
      <c r="AK104" s="1164">
        <f>SUM('3 pr-2'!AA106)</f>
        <v>139295</v>
      </c>
      <c r="AL104" s="1159">
        <f>SUMIF('mokėjimų ataskaita'!$I:$I,'ketv. 7 '!C104,'mokėjimų ataskaita'!$AK:$AK)/2</f>
        <v>139228.57</v>
      </c>
      <c r="AM104" s="1082"/>
      <c r="AN104" s="1082"/>
      <c r="AO104" s="1167">
        <f>SUM(AK104-AL104)</f>
        <v>66.429999999993015</v>
      </c>
      <c r="AP104" s="1080">
        <f>SUM('3 pr-2'!AB106)</f>
        <v>0</v>
      </c>
      <c r="AQ104" s="1159">
        <v>0</v>
      </c>
    </row>
    <row r="105" spans="1:44" ht="49.5" thickBot="1">
      <c r="A105" s="375" t="str">
        <f>CONCATENATE('3 pr-2'!A107)</f>
        <v>2.1.1.1.5</v>
      </c>
      <c r="B105" s="578" t="str">
        <f>CONCATENATE('3 pr-2'!B107)</f>
        <v>R01-7724-220000-2115</v>
      </c>
      <c r="C105" s="577" t="str">
        <f>CONCATENATE('ketv. 6 '!C106)</f>
        <v>09.1.3-CPVA-R-724-11-0001</v>
      </c>
      <c r="D105" s="231" t="str">
        <f>CONCATENATE('3 pr-2'!D107)</f>
        <v>Modernių ir saugių erdvių sukūrimas bendrojo ugdymo įstaigose Lazdijų rajono savivaldybėje</v>
      </c>
      <c r="E105" s="164" t="str">
        <f>CONCATENATE('3 pr-2'!E107)</f>
        <v>Lazdijų rajono savivaldybės administracija</v>
      </c>
      <c r="F105" s="164" t="str">
        <f>CONCATENATE('3 pr-2'!F107)</f>
        <v>Lietuvos Respublikos švietimo ir mokslo ministerija</v>
      </c>
      <c r="G105" s="164" t="str">
        <f>CONCATENATE('3 pr-2'!G107)</f>
        <v>Lazdijų r. sav.</v>
      </c>
      <c r="H105" s="164" t="str">
        <f>CONCATENATE('3 pr-2'!H107)</f>
        <v>09.1.3-CPVA-R-724</v>
      </c>
      <c r="I105" s="164" t="str">
        <f>CONCATENATE('3 pr-2'!I107)</f>
        <v>R</v>
      </c>
      <c r="J105" s="164" t="str">
        <f>CONCATENATE('3 pr-2'!J107)</f>
        <v>-</v>
      </c>
      <c r="K105" s="1164">
        <f>SUM('3 pr-2'!L107)</f>
        <v>195779</v>
      </c>
      <c r="L105" s="1159">
        <f t="shared" si="135"/>
        <v>193038.31</v>
      </c>
      <c r="M105" s="1082">
        <v>0</v>
      </c>
      <c r="N105" s="1082">
        <v>154736.92000000001</v>
      </c>
      <c r="O105" s="1082">
        <f t="shared" si="136"/>
        <v>38301.389999999985</v>
      </c>
      <c r="P105" s="1160">
        <f t="shared" si="137"/>
        <v>2740.6900000000023</v>
      </c>
      <c r="Q105" s="1164">
        <f>SUM('3 pr-2'!O107)</f>
        <v>14684</v>
      </c>
      <c r="R105" s="1159">
        <f>SUMIF('mokėjimų ataskaita'!$I:$I,C105,'mokėjimų ataskaita'!$AU:$AU)/2</f>
        <v>14478.44</v>
      </c>
      <c r="S105" s="1082"/>
      <c r="T105" s="1082"/>
      <c r="U105" s="1160">
        <f>SUM(Q105-R105)</f>
        <v>205.55999999999949</v>
      </c>
      <c r="V105" s="1164">
        <f>SUM('3 pr-2'!R107)</f>
        <v>14683</v>
      </c>
      <c r="W105" s="1159">
        <f>SUMIF('mokėjimų ataskaita'!$I:$I,C105,'mokėjimų ataskaita'!$AL:$AL)/2</f>
        <v>14477.45</v>
      </c>
      <c r="X105" s="1082"/>
      <c r="Y105" s="1082"/>
      <c r="Z105" s="1160">
        <f t="shared" si="138"/>
        <v>205.54999999999927</v>
      </c>
      <c r="AA105" s="1164">
        <f>SUM('3 pr-2'!U107)</f>
        <v>0</v>
      </c>
      <c r="AB105" s="1080">
        <f>SUMIF('mokėjimų ataskaita'!$I:$I,'ketv. 7 '!C105,'mokėjimų ataskaita'!$AW:$AW)/2</f>
        <v>0</v>
      </c>
      <c r="AC105" s="1082"/>
      <c r="AD105" s="1082"/>
      <c r="AE105" s="1160">
        <f t="shared" si="139"/>
        <v>0</v>
      </c>
      <c r="AF105" s="1164">
        <f>SUM('3 pr-2'!X107)</f>
        <v>0</v>
      </c>
      <c r="AG105" s="1080">
        <f>SUMIF('mokėjimų ataskaita'!$I:$I,'ketv. 7 '!C105,'mokėjimų ataskaita'!$AT:$AT)/2+SUMIF('mokėjimų ataskaita'!$I:$I,'ketv. 7 '!C105,'mokėjimų ataskaita'!$AV:$AV)/2</f>
        <v>0</v>
      </c>
      <c r="AH105" s="1082"/>
      <c r="AI105" s="1082"/>
      <c r="AJ105" s="1160">
        <f t="shared" si="140"/>
        <v>0</v>
      </c>
      <c r="AK105" s="1164">
        <f>SUM('3 pr-2'!AA107)</f>
        <v>166412</v>
      </c>
      <c r="AL105" s="1159">
        <f>SUMIF('mokėjimų ataskaita'!$I:$I,'ketv. 7 '!C105,'mokėjimų ataskaita'!$AK:$AK)/2</f>
        <v>164082.42000000001</v>
      </c>
      <c r="AM105" s="1082"/>
      <c r="AN105" s="1082"/>
      <c r="AO105" s="1165">
        <f>SUM(AK105-AL105)</f>
        <v>2329.5799999999872</v>
      </c>
      <c r="AP105" s="1080">
        <f>SUM('3 pr-2'!AB107)</f>
        <v>0</v>
      </c>
      <c r="AQ105" s="1159">
        <v>0</v>
      </c>
    </row>
    <row r="106" spans="1:44" ht="31.5" customHeight="1" thickBot="1">
      <c r="A106" s="296" t="str">
        <f>CONCATENATE('3 pr-2'!A108)</f>
        <v>2.1.1.2</v>
      </c>
      <c r="B106" s="2088" t="str">
        <f>CONCATENATE('3 pr-2'!B108)</f>
        <v>Priemonė:
Neformaliojo švietimo infrastruktūros tobulinimas</v>
      </c>
      <c r="C106" s="2089"/>
      <c r="D106" s="2089"/>
      <c r="E106" s="2089"/>
      <c r="F106" s="2089"/>
      <c r="G106" s="2089"/>
      <c r="H106" s="2089"/>
      <c r="I106" s="2089"/>
      <c r="J106" s="2090"/>
      <c r="K106" s="1077">
        <f t="shared" ref="K106:AK106" si="141">SUM(K107:K111)</f>
        <v>1973870.18</v>
      </c>
      <c r="L106" s="1077">
        <f t="shared" si="141"/>
        <v>1053480.3899999999</v>
      </c>
      <c r="M106" s="1077">
        <f t="shared" si="141"/>
        <v>0</v>
      </c>
      <c r="N106" s="1077">
        <f t="shared" si="141"/>
        <v>614548.46</v>
      </c>
      <c r="O106" s="1077">
        <f t="shared" si="141"/>
        <v>438931.93</v>
      </c>
      <c r="P106" s="1077">
        <f t="shared" si="141"/>
        <v>920389.79</v>
      </c>
      <c r="Q106" s="1077">
        <f t="shared" si="141"/>
        <v>487863.18</v>
      </c>
      <c r="R106" s="1077">
        <f t="shared" si="141"/>
        <v>186498.33000000002</v>
      </c>
      <c r="S106" s="1077">
        <f t="shared" si="141"/>
        <v>0</v>
      </c>
      <c r="T106" s="1077">
        <f t="shared" si="141"/>
        <v>0</v>
      </c>
      <c r="U106" s="1077">
        <f t="shared" si="141"/>
        <v>301364.84999999998</v>
      </c>
      <c r="V106" s="1077">
        <f t="shared" si="141"/>
        <v>0</v>
      </c>
      <c r="W106" s="1077">
        <f t="shared" si="141"/>
        <v>0</v>
      </c>
      <c r="X106" s="1077">
        <f t="shared" si="141"/>
        <v>0</v>
      </c>
      <c r="Y106" s="1077">
        <f t="shared" si="141"/>
        <v>0</v>
      </c>
      <c r="Z106" s="1077">
        <f t="shared" si="141"/>
        <v>0</v>
      </c>
      <c r="AA106" s="1077">
        <f t="shared" si="141"/>
        <v>0</v>
      </c>
      <c r="AB106" s="1077">
        <f t="shared" si="141"/>
        <v>0</v>
      </c>
      <c r="AC106" s="1077">
        <f t="shared" si="141"/>
        <v>0</v>
      </c>
      <c r="AD106" s="1077">
        <f t="shared" si="141"/>
        <v>0</v>
      </c>
      <c r="AE106" s="1077">
        <f t="shared" si="141"/>
        <v>0</v>
      </c>
      <c r="AF106" s="1077">
        <f t="shared" si="141"/>
        <v>0</v>
      </c>
      <c r="AG106" s="1077">
        <f t="shared" si="141"/>
        <v>0</v>
      </c>
      <c r="AH106" s="1077">
        <f t="shared" si="141"/>
        <v>0</v>
      </c>
      <c r="AI106" s="1077">
        <f t="shared" si="141"/>
        <v>0</v>
      </c>
      <c r="AJ106" s="1077">
        <f t="shared" si="141"/>
        <v>0</v>
      </c>
      <c r="AK106" s="1077">
        <f t="shared" si="141"/>
        <v>1486007</v>
      </c>
      <c r="AL106" s="1077">
        <f>SUM(AL107:AL111)</f>
        <v>866982.05999999994</v>
      </c>
      <c r="AM106" s="1077">
        <f t="shared" ref="AM106:AQ106" si="142">SUM(AM107:AM111)</f>
        <v>0</v>
      </c>
      <c r="AN106" s="1077">
        <f t="shared" si="142"/>
        <v>0</v>
      </c>
      <c r="AO106" s="1077">
        <f t="shared" si="142"/>
        <v>619024.94000000006</v>
      </c>
      <c r="AP106" s="1077">
        <f t="shared" si="142"/>
        <v>0</v>
      </c>
      <c r="AQ106" s="1077">
        <f t="shared" si="142"/>
        <v>0</v>
      </c>
      <c r="AR106" s="233">
        <f>SUM(K106-'3 pr-2'!L108)</f>
        <v>0</v>
      </c>
    </row>
    <row r="107" spans="1:44" ht="36.75">
      <c r="A107" s="375" t="str">
        <f>CONCATENATE('3 pr-2'!A109)</f>
        <v>2.1.1.2.1</v>
      </c>
      <c r="B107" s="578" t="str">
        <f>CONCATENATE('3 pr-2'!B109)</f>
        <v>R01-7725-240000-2121</v>
      </c>
      <c r="C107" s="577" t="str">
        <f>CONCATENATE('ketv. 6 '!C108)</f>
        <v>09.1.3-CPVA-R-725-11-0003</v>
      </c>
      <c r="D107" s="231" t="str">
        <f>CONCATENATE('3 pr-2'!D109)</f>
        <v>Varėnos moksleivių kūrybos centro pastato J.Basanavičiaus g. 38, Varėnoje, modernizavimas</v>
      </c>
      <c r="E107" s="164" t="str">
        <f>CONCATENATE('3 pr-2'!E109)</f>
        <v>Varėnos rajono savivaldybės administracija</v>
      </c>
      <c r="F107" s="164" t="str">
        <f>CONCATENATE('3 pr-2'!F109)</f>
        <v>Lietuvos Respublikos švietimo ir mokslo ministerija</v>
      </c>
      <c r="G107" s="164" t="str">
        <f>CONCATENATE('3 pr-2'!G109)</f>
        <v>Varėnos r. sav.</v>
      </c>
      <c r="H107" s="164" t="str">
        <f>CONCATENATE('3 pr-2'!H109)</f>
        <v>09.13.CPVA-R-725</v>
      </c>
      <c r="I107" s="164" t="str">
        <f>CONCATENATE('3 pr-2'!I109)</f>
        <v>R</v>
      </c>
      <c r="J107" s="164" t="str">
        <f>CONCATENATE('3 pr-2'!J109)</f>
        <v>-</v>
      </c>
      <c r="K107" s="1164">
        <f>SUM('3 pr-2'!L109)</f>
        <v>437551</v>
      </c>
      <c r="L107" s="1159">
        <f t="shared" ref="L107:L111" si="143">SUM(R107+W107+AB107+AG107+AL107)</f>
        <v>22355</v>
      </c>
      <c r="M107" s="1082">
        <v>0</v>
      </c>
      <c r="N107" s="1082">
        <v>22355</v>
      </c>
      <c r="O107" s="1082">
        <f t="shared" si="136"/>
        <v>0</v>
      </c>
      <c r="P107" s="1160">
        <f t="shared" si="82"/>
        <v>415196</v>
      </c>
      <c r="Q107" s="1164">
        <f>SUM('3 pr-2'!O109)</f>
        <v>65633</v>
      </c>
      <c r="R107" s="1159">
        <f>SUMIF('mokėjimų ataskaita'!$I:$I,C107,'mokėjimų ataskaita'!$AU:$AU)/2</f>
        <v>758.25</v>
      </c>
      <c r="S107" s="1082"/>
      <c r="T107" s="1082"/>
      <c r="U107" s="1160">
        <f>SUM(Q107-R107)</f>
        <v>64874.75</v>
      </c>
      <c r="V107" s="1164">
        <f>SUM('3 pr-2'!R109)</f>
        <v>0</v>
      </c>
      <c r="W107" s="1080">
        <f>SUMIF('mokėjimų ataskaita'!$I:$I,C107,'mokėjimų ataskaita'!$AL:$AL)/2</f>
        <v>0</v>
      </c>
      <c r="X107" s="1082"/>
      <c r="Y107" s="1082"/>
      <c r="Z107" s="1160">
        <f t="shared" ref="Z107:Z111" si="144">SUM(V107-W107)</f>
        <v>0</v>
      </c>
      <c r="AA107" s="1164">
        <f>SUM('3 pr-2'!U109)</f>
        <v>0</v>
      </c>
      <c r="AB107" s="1080">
        <f>SUMIF('mokėjimų ataskaita'!$I:$I,'ketv. 7 '!C107,'mokėjimų ataskaita'!$AW:$AW)/2</f>
        <v>0</v>
      </c>
      <c r="AC107" s="1082"/>
      <c r="AD107" s="1082"/>
      <c r="AE107" s="1160">
        <f t="shared" ref="AE107:AE111" si="145">SUM(AA107-AB107)</f>
        <v>0</v>
      </c>
      <c r="AF107" s="1164">
        <f>SUM('3 pr-2'!X109)</f>
        <v>0</v>
      </c>
      <c r="AG107" s="1080">
        <f>SUMIF('mokėjimų ataskaita'!$I:$I,'ketv. 7 '!C107,'mokėjimų ataskaita'!$AT:$AT)/2+SUMIF('mokėjimų ataskaita'!$I:$I,'ketv. 7 '!C107,'mokėjimų ataskaita'!$AV:$AV)/2</f>
        <v>0</v>
      </c>
      <c r="AH107" s="1082"/>
      <c r="AI107" s="1082"/>
      <c r="AJ107" s="1160">
        <f t="shared" ref="AJ107:AJ111" si="146">SUM(AF107-AG107)</f>
        <v>0</v>
      </c>
      <c r="AK107" s="1164">
        <f>SUM('3 pr-2'!AA109)</f>
        <v>371918</v>
      </c>
      <c r="AL107" s="1159">
        <f>SUMIF('mokėjimų ataskaita'!$I:$I,'ketv. 7 '!C107,'mokėjimų ataskaita'!$AK:$AK)/2</f>
        <v>21596.75</v>
      </c>
      <c r="AM107" s="1082"/>
      <c r="AN107" s="1082"/>
      <c r="AO107" s="1167">
        <f>SUM(AK107-AL107)</f>
        <v>350321.25</v>
      </c>
      <c r="AP107" s="1080">
        <f>SUM('3 pr-2'!AB109)</f>
        <v>0</v>
      </c>
      <c r="AQ107" s="1159">
        <v>0</v>
      </c>
    </row>
    <row r="108" spans="1:44" ht="36.75">
      <c r="A108" s="375" t="str">
        <f>CONCATENATE('3 pr-2'!A110)</f>
        <v>2.1.1.2.2</v>
      </c>
      <c r="B108" s="578" t="str">
        <f>CONCATENATE('3 pr-2'!B110)</f>
        <v>R01-7725-240000-2122</v>
      </c>
      <c r="C108" s="577" t="str">
        <f>CONCATENATE('ketv. 6 '!C109)</f>
        <v>09.1.3-CPVA-R-725-11-0005</v>
      </c>
      <c r="D108" s="231" t="str">
        <f>CONCATENATE('3 pr-2'!D110)</f>
        <v>Alytaus r. meno ir sporto mokyklos edukacinių erdvių įkūrimas ir atnaujinimas</v>
      </c>
      <c r="E108" s="164" t="str">
        <f>CONCATENATE('3 pr-2'!E110)</f>
        <v>Alytaus rajono savivaldybės administracija</v>
      </c>
      <c r="F108" s="164" t="str">
        <f>CONCATENATE('3 pr-2'!F110)</f>
        <v>Lietuvos Respublikos švietimo ir mokslo ministerija</v>
      </c>
      <c r="G108" s="164" t="str">
        <f>CONCATENATE('3 pr-2'!G110)</f>
        <v>Alytaus r. sav.</v>
      </c>
      <c r="H108" s="164" t="str">
        <f>CONCATENATE('3 pr-2'!H110)</f>
        <v>09.13.CPVA-R-725</v>
      </c>
      <c r="I108" s="164" t="str">
        <f>CONCATENATE('3 pr-2'!I110)</f>
        <v>R</v>
      </c>
      <c r="J108" s="164" t="str">
        <f>CONCATENATE('3 pr-2'!J110)</f>
        <v>-</v>
      </c>
      <c r="K108" s="1164">
        <f>SUM('3 pr-2'!L110)</f>
        <v>856424.88</v>
      </c>
      <c r="L108" s="1159">
        <f t="shared" si="143"/>
        <v>402709.83999999997</v>
      </c>
      <c r="M108" s="1082">
        <v>0</v>
      </c>
      <c r="N108" s="1082">
        <v>140000</v>
      </c>
      <c r="O108" s="1082">
        <f t="shared" si="136"/>
        <v>262709.83999999997</v>
      </c>
      <c r="P108" s="1160">
        <f t="shared" si="82"/>
        <v>453715.04000000004</v>
      </c>
      <c r="Q108" s="1164">
        <f>SUM('3 pr-2'!O110)</f>
        <v>319813.88</v>
      </c>
      <c r="R108" s="1159">
        <f>SUMIF('mokėjimų ataskaita'!$I:$I,C108,'mokėjimų ataskaita'!$AU:$AU)/2</f>
        <v>113040.63</v>
      </c>
      <c r="S108" s="1082"/>
      <c r="T108" s="1082"/>
      <c r="U108" s="1160">
        <f>SUM(Q108-R108)</f>
        <v>206773.25</v>
      </c>
      <c r="V108" s="1164">
        <f>SUM('3 pr-2'!R110)</f>
        <v>0</v>
      </c>
      <c r="W108" s="1080">
        <f>SUMIF('mokėjimų ataskaita'!$I:$I,C108,'mokėjimų ataskaita'!$AL:$AL)/2</f>
        <v>0</v>
      </c>
      <c r="X108" s="1082"/>
      <c r="Y108" s="1082"/>
      <c r="Z108" s="1160">
        <f t="shared" si="144"/>
        <v>0</v>
      </c>
      <c r="AA108" s="1164">
        <f>SUM('3 pr-2'!U110)</f>
        <v>0</v>
      </c>
      <c r="AB108" s="1080">
        <f>SUMIF('mokėjimų ataskaita'!$I:$I,'ketv. 7 '!C108,'mokėjimų ataskaita'!$AW:$AW)/2</f>
        <v>0</v>
      </c>
      <c r="AC108" s="1082"/>
      <c r="AD108" s="1082"/>
      <c r="AE108" s="1160">
        <f t="shared" si="145"/>
        <v>0</v>
      </c>
      <c r="AF108" s="1164">
        <f>SUM('3 pr-2'!X110)</f>
        <v>0</v>
      </c>
      <c r="AG108" s="1080">
        <f>SUMIF('mokėjimų ataskaita'!$I:$I,'ketv. 7 '!C108,'mokėjimų ataskaita'!$AT:$AT)/2+SUMIF('mokėjimų ataskaita'!$I:$I,'ketv. 7 '!C108,'mokėjimų ataskaita'!$AV:$AV)/2</f>
        <v>0</v>
      </c>
      <c r="AH108" s="1082"/>
      <c r="AI108" s="1082"/>
      <c r="AJ108" s="1160">
        <f t="shared" si="146"/>
        <v>0</v>
      </c>
      <c r="AK108" s="1164">
        <f>SUM('3 pr-2'!AA110)</f>
        <v>536611</v>
      </c>
      <c r="AL108" s="1159">
        <f>SUMIF('mokėjimų ataskaita'!$I:$I,'ketv. 7 '!C108,'mokėjimų ataskaita'!$AK:$AK)/2</f>
        <v>289669.20999999996</v>
      </c>
      <c r="AM108" s="1082"/>
      <c r="AN108" s="1082"/>
      <c r="AO108" s="1167">
        <f>SUM(AK108-AL108)</f>
        <v>246941.79000000004</v>
      </c>
      <c r="AP108" s="1080">
        <f>SUM('3 pr-2'!AB110)</f>
        <v>0</v>
      </c>
      <c r="AQ108" s="1159">
        <v>0</v>
      </c>
    </row>
    <row r="109" spans="1:44" ht="36.75">
      <c r="A109" s="375" t="str">
        <f>CONCATENATE('3 pr-2'!A111)</f>
        <v>2.1.1.2.3</v>
      </c>
      <c r="B109" s="578" t="str">
        <f>CONCATENATE('3 pr-2'!B111)</f>
        <v>R01-7725-240000-2123</v>
      </c>
      <c r="C109" s="577" t="str">
        <f>CONCATENATE('ketv. 6 '!C110)</f>
        <v>09.1.3-CPVA-R-725-11-0004</v>
      </c>
      <c r="D109" s="231" t="str">
        <f>CONCATENATE('3 pr-2'!D111)</f>
        <v>Alytaus muzikos mokyklos pastato modernizavimas ir ugdymo aplinkos gerinimas</v>
      </c>
      <c r="E109" s="164" t="str">
        <f>CONCATENATE('3 pr-2'!E111)</f>
        <v>Alytaus miesto savivaldybės administracija</v>
      </c>
      <c r="F109" s="164" t="str">
        <f>CONCATENATE('3 pr-2'!F111)</f>
        <v>Lietuvos Respublikos švietimo ir mokslo ministerija</v>
      </c>
      <c r="G109" s="164" t="str">
        <f>CONCATENATE('3 pr-2'!G111)</f>
        <v>Alytaus m. sav.</v>
      </c>
      <c r="H109" s="164" t="str">
        <f>CONCATENATE('3 pr-2'!H111)</f>
        <v>09.13.CPVA-R-725</v>
      </c>
      <c r="I109" s="164" t="str">
        <f>CONCATENATE('3 pr-2'!I111)</f>
        <v>R</v>
      </c>
      <c r="J109" s="164" t="str">
        <f>CONCATENATE('3 pr-2'!J111)</f>
        <v>-</v>
      </c>
      <c r="K109" s="1164">
        <f>SUM('3 pr-2'!L111)</f>
        <v>397378</v>
      </c>
      <c r="L109" s="1159">
        <f t="shared" si="143"/>
        <v>374393.51</v>
      </c>
      <c r="M109" s="1082">
        <v>0</v>
      </c>
      <c r="N109" s="1082">
        <v>223469.1</v>
      </c>
      <c r="O109" s="1082">
        <f t="shared" si="136"/>
        <v>150924.41</v>
      </c>
      <c r="P109" s="1160">
        <f t="shared" si="82"/>
        <v>22984.489999999991</v>
      </c>
      <c r="Q109" s="1164">
        <f>SUM('3 pr-2'!O111)</f>
        <v>59607</v>
      </c>
      <c r="R109" s="1159">
        <f>SUMIF('mokėjimų ataskaita'!$I:$I,C109,'mokėjimų ataskaita'!$AU:$AU)/2</f>
        <v>40959.54</v>
      </c>
      <c r="S109" s="1082"/>
      <c r="T109" s="1082"/>
      <c r="U109" s="1160">
        <f>SUM(Q109-R109)</f>
        <v>18647.46</v>
      </c>
      <c r="V109" s="1164">
        <f>SUM('3 pr-2'!R111)</f>
        <v>0</v>
      </c>
      <c r="W109" s="1080">
        <f>SUMIF('mokėjimų ataskaita'!$I:$I,C109,'mokėjimų ataskaita'!$AL:$AL)/2</f>
        <v>0</v>
      </c>
      <c r="X109" s="1082"/>
      <c r="Y109" s="1082"/>
      <c r="Z109" s="1160">
        <f t="shared" si="144"/>
        <v>0</v>
      </c>
      <c r="AA109" s="1164">
        <f>SUM('3 pr-2'!U111)</f>
        <v>0</v>
      </c>
      <c r="AB109" s="1080">
        <f>SUMIF('mokėjimų ataskaita'!$I:$I,'ketv. 7 '!C109,'mokėjimų ataskaita'!$AW:$AW)/2</f>
        <v>0</v>
      </c>
      <c r="AC109" s="1082"/>
      <c r="AD109" s="1082"/>
      <c r="AE109" s="1160">
        <f t="shared" si="145"/>
        <v>0</v>
      </c>
      <c r="AF109" s="1164">
        <f>SUM('3 pr-2'!X111)</f>
        <v>0</v>
      </c>
      <c r="AG109" s="1080">
        <f>SUMIF('mokėjimų ataskaita'!$I:$I,'ketv. 7 '!C109,'mokėjimų ataskaita'!$AT:$AT)/2+SUMIF('mokėjimų ataskaita'!$I:$I,'ketv. 7 '!C109,'mokėjimų ataskaita'!$AV:$AV)/2</f>
        <v>0</v>
      </c>
      <c r="AH109" s="1082"/>
      <c r="AI109" s="1082"/>
      <c r="AJ109" s="1160">
        <f t="shared" si="146"/>
        <v>0</v>
      </c>
      <c r="AK109" s="1164">
        <f>SUM('3 pr-2'!AA111)</f>
        <v>337771</v>
      </c>
      <c r="AL109" s="1159">
        <f>SUMIF('mokėjimų ataskaita'!$I:$I,'ketv. 7 '!C109,'mokėjimų ataskaita'!$AK:$AK)/2</f>
        <v>333433.97000000003</v>
      </c>
      <c r="AM109" s="1082"/>
      <c r="AN109" s="1082"/>
      <c r="AO109" s="1167">
        <f>SUM(AK109-AL109)</f>
        <v>4337.0299999999697</v>
      </c>
      <c r="AP109" s="1080">
        <f>SUM('3 pr-2'!AB111)</f>
        <v>0</v>
      </c>
      <c r="AQ109" s="1159">
        <v>0</v>
      </c>
    </row>
    <row r="110" spans="1:44" ht="36.75">
      <c r="A110" s="375" t="str">
        <f>CONCATENATE('3 pr-2'!A112)</f>
        <v>2.1.1.2.4</v>
      </c>
      <c r="B110" s="578" t="str">
        <f>CONCATENATE('3 pr-2'!B112)</f>
        <v>R01-7725-240000-2124</v>
      </c>
      <c r="C110" s="577" t="str">
        <f>CONCATENATE('ketv. 6 '!C111)</f>
        <v>09.1.3-CPVA-R-725-11-0002</v>
      </c>
      <c r="D110" s="231" t="str">
        <f>CONCATENATE('3 pr-2'!D112)</f>
        <v>Druskininkų M. K. Čiurlionio meno mokyklos infrastruktūros tobulinimas</v>
      </c>
      <c r="E110" s="164" t="str">
        <f>CONCATENATE('3 pr-2'!E112)</f>
        <v xml:space="preserve">Druskininkų savivaldybės administracija  </v>
      </c>
      <c r="F110" s="164" t="str">
        <f>CONCATENATE('3 pr-2'!F112)</f>
        <v>Lietuvos Respublikos švietimo ir mokslo ministerija</v>
      </c>
      <c r="G110" s="164" t="str">
        <f>CONCATENATE('3 pr-2'!G112)</f>
        <v>Druskininkų sav.</v>
      </c>
      <c r="H110" s="164" t="str">
        <f>CONCATENATE('3 pr-2'!H112)</f>
        <v>09.13.CPVA-R-725</v>
      </c>
      <c r="I110" s="164" t="str">
        <f>CONCATENATE('3 pr-2'!I112)</f>
        <v>R</v>
      </c>
      <c r="J110" s="164" t="str">
        <f>CONCATENATE('3 pr-2'!J112)</f>
        <v>-</v>
      </c>
      <c r="K110" s="1164">
        <f>SUM('3 pr-2'!L112)</f>
        <v>146702.29999999999</v>
      </c>
      <c r="L110" s="1159">
        <f t="shared" si="143"/>
        <v>120317.84000000001</v>
      </c>
      <c r="M110" s="1082">
        <v>0</v>
      </c>
      <c r="N110" s="1082">
        <v>95020.160000000003</v>
      </c>
      <c r="O110" s="1082">
        <f t="shared" si="136"/>
        <v>25297.680000000008</v>
      </c>
      <c r="P110" s="1160">
        <f t="shared" si="82"/>
        <v>26384.459999999977</v>
      </c>
      <c r="Q110" s="1164">
        <f>SUM('3 pr-2'!O112)</f>
        <v>22436.3</v>
      </c>
      <c r="R110" s="1159">
        <f>SUMIF('mokėjimų ataskaita'!$I:$I,C110,'mokėjimų ataskaita'!$AU:$AU)/2</f>
        <v>12733.439999999999</v>
      </c>
      <c r="S110" s="1082"/>
      <c r="T110" s="1082"/>
      <c r="U110" s="1160">
        <f>SUM(Q110-R110)</f>
        <v>9702.86</v>
      </c>
      <c r="V110" s="1164">
        <f>SUM('3 pr-2'!R112)</f>
        <v>0</v>
      </c>
      <c r="W110" s="1080">
        <f>SUMIF('mokėjimų ataskaita'!$I:$I,C110,'mokėjimų ataskaita'!$AL:$AL)/2</f>
        <v>0</v>
      </c>
      <c r="X110" s="1082"/>
      <c r="Y110" s="1082"/>
      <c r="Z110" s="1160">
        <f t="shared" si="144"/>
        <v>0</v>
      </c>
      <c r="AA110" s="1164">
        <f>SUM('3 pr-2'!U112)</f>
        <v>0</v>
      </c>
      <c r="AB110" s="1080">
        <f>SUMIF('mokėjimų ataskaita'!$I:$I,'ketv. 7 '!C110,'mokėjimų ataskaita'!$AW:$AW)/2</f>
        <v>0</v>
      </c>
      <c r="AC110" s="1082"/>
      <c r="AD110" s="1082"/>
      <c r="AE110" s="1160">
        <f t="shared" si="145"/>
        <v>0</v>
      </c>
      <c r="AF110" s="1164">
        <f>SUM('3 pr-2'!X112)</f>
        <v>0</v>
      </c>
      <c r="AG110" s="1080">
        <f>SUMIF('mokėjimų ataskaita'!$I:$I,'ketv. 7 '!C110,'mokėjimų ataskaita'!$AT:$AT)/2+SUMIF('mokėjimų ataskaita'!$I:$I,'ketv. 7 '!C110,'mokėjimų ataskaita'!$AV:$AV)/2</f>
        <v>0</v>
      </c>
      <c r="AH110" s="1082"/>
      <c r="AI110" s="1082"/>
      <c r="AJ110" s="1160">
        <f t="shared" si="146"/>
        <v>0</v>
      </c>
      <c r="AK110" s="1164">
        <f>SUM('3 pr-2'!AA112)</f>
        <v>124266</v>
      </c>
      <c r="AL110" s="1159">
        <f>SUMIF('mokėjimų ataskaita'!$I:$I,'ketv. 7 '!C110,'mokėjimų ataskaita'!$AK:$AK)/2</f>
        <v>107584.40000000001</v>
      </c>
      <c r="AM110" s="1082"/>
      <c r="AN110" s="1082"/>
      <c r="AO110" s="1167">
        <f>SUM(AK110-AL110)</f>
        <v>16681.599999999991</v>
      </c>
      <c r="AP110" s="1080">
        <f>SUM('3 pr-2'!AB112)</f>
        <v>0</v>
      </c>
      <c r="AQ110" s="1159">
        <v>0</v>
      </c>
    </row>
    <row r="111" spans="1:44" ht="37.5" thickBot="1">
      <c r="A111" s="375" t="str">
        <f>CONCATENATE('3 pr-2'!A113)</f>
        <v>2.1.1.2.5</v>
      </c>
      <c r="B111" s="578" t="str">
        <f>CONCATENATE('3 pr-2'!B113)</f>
        <v>R01-7725-240000-2125</v>
      </c>
      <c r="C111" s="577" t="str">
        <f>CONCATENATE('ketv. 6 '!C112)</f>
        <v>09.1.3-CPVA-R-725-11-0001</v>
      </c>
      <c r="D111" s="231" t="str">
        <f>CONCATENATE('3 pr-2'!D113)</f>
        <v>Neformaliojo švietimo įstaigų Lazdijų rajono savivaldybėje infrastruktūros tobulinimas</v>
      </c>
      <c r="E111" s="164" t="str">
        <f>CONCATENATE('3 pr-2'!E113)</f>
        <v>VšĮ „Lazdijų sporto centras“</v>
      </c>
      <c r="F111" s="164" t="str">
        <f>CONCATENATE('3 pr-2'!F113)</f>
        <v>Lietuvos Respublikos švietimo ir mokslo ministerija</v>
      </c>
      <c r="G111" s="164" t="str">
        <f>CONCATENATE('3 pr-2'!G113)</f>
        <v>Lazdijų r. sav.</v>
      </c>
      <c r="H111" s="164" t="str">
        <f>CONCATENATE('3 pr-2'!H113)</f>
        <v>09.13.CPVA-R-725</v>
      </c>
      <c r="I111" s="164" t="str">
        <f>CONCATENATE('3 pr-2'!I113)</f>
        <v>R</v>
      </c>
      <c r="J111" s="164" t="str">
        <f>CONCATENATE('3 pr-2'!J113)</f>
        <v>-</v>
      </c>
      <c r="K111" s="1164">
        <f>SUM('3 pr-2'!L113)</f>
        <v>135814</v>
      </c>
      <c r="L111" s="1159">
        <f t="shared" si="143"/>
        <v>133704.20000000001</v>
      </c>
      <c r="M111" s="1082">
        <v>0</v>
      </c>
      <c r="N111" s="1082">
        <v>133704.20000000001</v>
      </c>
      <c r="O111" s="1082">
        <f t="shared" si="136"/>
        <v>0</v>
      </c>
      <c r="P111" s="1160">
        <f t="shared" si="82"/>
        <v>2109.7999999999884</v>
      </c>
      <c r="Q111" s="1164">
        <f>SUM('3 pr-2'!O113)</f>
        <v>20373</v>
      </c>
      <c r="R111" s="1159">
        <f>SUMIF('mokėjimų ataskaita'!$I:$I,C111,'mokėjimų ataskaita'!$AU:$AU)/2</f>
        <v>19006.47</v>
      </c>
      <c r="S111" s="1082"/>
      <c r="T111" s="1082"/>
      <c r="U111" s="1160">
        <f>SUM(Q111-R111)</f>
        <v>1366.5299999999988</v>
      </c>
      <c r="V111" s="1164">
        <f>SUM('3 pr-2'!R113)</f>
        <v>0</v>
      </c>
      <c r="W111" s="1080">
        <f>SUMIF('mokėjimų ataskaita'!$I:$I,C111,'mokėjimų ataskaita'!$AL:$AL)/2</f>
        <v>0</v>
      </c>
      <c r="X111" s="1082"/>
      <c r="Y111" s="1082"/>
      <c r="Z111" s="1160">
        <f t="shared" si="144"/>
        <v>0</v>
      </c>
      <c r="AA111" s="1164">
        <f>SUM('3 pr-2'!U113)</f>
        <v>0</v>
      </c>
      <c r="AB111" s="1080">
        <f>SUMIF('mokėjimų ataskaita'!$I:$I,'ketv. 7 '!C111,'mokėjimų ataskaita'!$AW:$AW)/2</f>
        <v>0</v>
      </c>
      <c r="AC111" s="1082"/>
      <c r="AD111" s="1082"/>
      <c r="AE111" s="1160">
        <f t="shared" si="145"/>
        <v>0</v>
      </c>
      <c r="AF111" s="1164">
        <f>SUM('3 pr-2'!X113)</f>
        <v>0</v>
      </c>
      <c r="AG111" s="1080">
        <f>SUMIF('mokėjimų ataskaita'!$I:$I,'ketv. 7 '!C111,'mokėjimų ataskaita'!$AT:$AT)/2+SUMIF('mokėjimų ataskaita'!$I:$I,'ketv. 7 '!C111,'mokėjimų ataskaita'!$AV:$AV)/2</f>
        <v>0</v>
      </c>
      <c r="AH111" s="1082"/>
      <c r="AI111" s="1082"/>
      <c r="AJ111" s="1160">
        <f t="shared" si="146"/>
        <v>0</v>
      </c>
      <c r="AK111" s="1164">
        <f>SUM('3 pr-2'!AA113)</f>
        <v>115441</v>
      </c>
      <c r="AL111" s="1159">
        <f>SUMIF('mokėjimų ataskaita'!$I:$I,'ketv. 7 '!C111,'mokėjimų ataskaita'!$AK:$AK)/2</f>
        <v>114697.73000000001</v>
      </c>
      <c r="AM111" s="1082"/>
      <c r="AN111" s="1082"/>
      <c r="AO111" s="1167">
        <f>SUM(AK111-AL111)</f>
        <v>743.26999999998952</v>
      </c>
      <c r="AP111" s="1080">
        <f>SUM('3 pr-2'!AB113)</f>
        <v>0</v>
      </c>
      <c r="AQ111" s="1159">
        <v>0</v>
      </c>
    </row>
    <row r="112" spans="1:44" ht="32.25" customHeight="1" thickBot="1">
      <c r="A112" s="296" t="str">
        <f>CONCATENATE('3 pr-2'!A114)</f>
        <v>2.1.1.3</v>
      </c>
      <c r="B112" s="2088" t="str">
        <f>CONCATENATE('3 pr-2'!B114)</f>
        <v>Priemonė:
Ikimokyklinio ir priešmokyklinio ugdymo prieinamumo didinimas</v>
      </c>
      <c r="C112" s="2089"/>
      <c r="D112" s="2089"/>
      <c r="E112" s="2089"/>
      <c r="F112" s="2089"/>
      <c r="G112" s="2089"/>
      <c r="H112" s="2089"/>
      <c r="I112" s="2089"/>
      <c r="J112" s="2090"/>
      <c r="K112" s="1077">
        <f t="shared" ref="K112:AK112" si="147">SUM(K113:K117)</f>
        <v>1459021.7699999998</v>
      </c>
      <c r="L112" s="1077">
        <f t="shared" si="147"/>
        <v>628262.17999999993</v>
      </c>
      <c r="M112" s="1077">
        <f t="shared" si="147"/>
        <v>0</v>
      </c>
      <c r="N112" s="1077">
        <f t="shared" si="147"/>
        <v>205725.20999999996</v>
      </c>
      <c r="O112" s="1077">
        <f t="shared" si="147"/>
        <v>422536.97</v>
      </c>
      <c r="P112" s="1077">
        <f t="shared" si="147"/>
        <v>830759.59</v>
      </c>
      <c r="Q112" s="1077">
        <f t="shared" si="147"/>
        <v>219970.77</v>
      </c>
      <c r="R112" s="1077">
        <f t="shared" si="147"/>
        <v>53158.119999999995</v>
      </c>
      <c r="S112" s="1077">
        <f t="shared" si="147"/>
        <v>0</v>
      </c>
      <c r="T112" s="1077">
        <f t="shared" si="147"/>
        <v>0</v>
      </c>
      <c r="U112" s="1077">
        <f t="shared" si="147"/>
        <v>166812.64999999997</v>
      </c>
      <c r="V112" s="1077">
        <f t="shared" si="147"/>
        <v>100463</v>
      </c>
      <c r="W112" s="1077">
        <f t="shared" si="147"/>
        <v>46629.740000000005</v>
      </c>
      <c r="X112" s="1077">
        <f t="shared" si="147"/>
        <v>0</v>
      </c>
      <c r="Y112" s="1077">
        <f t="shared" si="147"/>
        <v>0</v>
      </c>
      <c r="Z112" s="1077">
        <f t="shared" si="147"/>
        <v>53833.259999999995</v>
      </c>
      <c r="AA112" s="1077">
        <f t="shared" si="147"/>
        <v>0</v>
      </c>
      <c r="AB112" s="1077">
        <f t="shared" si="147"/>
        <v>0</v>
      </c>
      <c r="AC112" s="1077">
        <f t="shared" si="147"/>
        <v>0</v>
      </c>
      <c r="AD112" s="1077">
        <f t="shared" si="147"/>
        <v>0</v>
      </c>
      <c r="AE112" s="1077">
        <f t="shared" si="147"/>
        <v>0</v>
      </c>
      <c r="AF112" s="1077">
        <f t="shared" si="147"/>
        <v>0</v>
      </c>
      <c r="AG112" s="1077">
        <f t="shared" si="147"/>
        <v>0</v>
      </c>
      <c r="AH112" s="1077">
        <f t="shared" si="147"/>
        <v>0</v>
      </c>
      <c r="AI112" s="1077">
        <f t="shared" si="147"/>
        <v>0</v>
      </c>
      <c r="AJ112" s="1077">
        <f t="shared" si="147"/>
        <v>0</v>
      </c>
      <c r="AK112" s="1077">
        <f t="shared" si="147"/>
        <v>1138588</v>
      </c>
      <c r="AL112" s="1077">
        <f>SUM(AL113:AL117)</f>
        <v>528474.32000000007</v>
      </c>
      <c r="AM112" s="1077">
        <f t="shared" ref="AM112:AQ112" si="148">SUM(AM113:AM117)</f>
        <v>0</v>
      </c>
      <c r="AN112" s="1077">
        <f t="shared" si="148"/>
        <v>0</v>
      </c>
      <c r="AO112" s="1077">
        <f t="shared" si="148"/>
        <v>610113.67999999993</v>
      </c>
      <c r="AP112" s="1077">
        <f t="shared" si="148"/>
        <v>0</v>
      </c>
      <c r="AQ112" s="1077">
        <f t="shared" si="148"/>
        <v>0</v>
      </c>
      <c r="AR112" s="233">
        <f>SUM(K112-'3 pr-2'!L114)</f>
        <v>0</v>
      </c>
    </row>
    <row r="113" spans="1:44" ht="36.75">
      <c r="A113" s="375" t="str">
        <f>CONCATENATE('3 pr-2'!A115)</f>
        <v>2.1.1.3.1</v>
      </c>
      <c r="B113" s="578" t="str">
        <f>CONCATENATE('3 pr-2'!B115)</f>
        <v>R01-7705-230000-2131</v>
      </c>
      <c r="C113" s="577" t="str">
        <f>CONCATENATE('ketv. 6 '!C114)</f>
        <v>09.1.3-CPVA-R-705-11-0003</v>
      </c>
      <c r="D113" s="231" t="str">
        <f>CONCATENATE('3 pr-2'!D115)</f>
        <v>Varėnos "Pasakos" vaikų lopšelio-darželio pastato modernizavimas</v>
      </c>
      <c r="E113" s="164" t="str">
        <f>CONCATENATE('3 pr-2'!E115)</f>
        <v>Varėnos rajono savivaldybės administracija</v>
      </c>
      <c r="F113" s="164" t="str">
        <f>CONCATENATE('3 pr-2'!F115)</f>
        <v>Lietuvos Respublikos švietimo ir mokslo ministerija</v>
      </c>
      <c r="G113" s="164" t="str">
        <f>CONCATENATE('3 pr-2'!G115)</f>
        <v>Varėnos r. sav.</v>
      </c>
      <c r="H113" s="164" t="str">
        <f>CONCATENATE('3 pr-2'!H115)</f>
        <v>09.1.3-CPVA-R-705</v>
      </c>
      <c r="I113" s="164" t="str">
        <f>CONCATENATE('3 pr-2'!I115)</f>
        <v>R</v>
      </c>
      <c r="J113" s="164" t="str">
        <f>CONCATENATE('3 pr-2'!J115)</f>
        <v>-</v>
      </c>
      <c r="K113" s="1164">
        <f>SUM('3 pr-2'!L115)</f>
        <v>370000</v>
      </c>
      <c r="L113" s="1159">
        <f t="shared" ref="L113:L117" si="149">SUM(R113+W113+AB113+AG113+AL113)</f>
        <v>18924.789999999997</v>
      </c>
      <c r="M113" s="1082">
        <v>0</v>
      </c>
      <c r="N113" s="1082">
        <v>924.79</v>
      </c>
      <c r="O113" s="1082">
        <f t="shared" si="136"/>
        <v>17999.999999999996</v>
      </c>
      <c r="P113" s="1160">
        <f t="shared" ref="P113:P117" si="150">SUM(K113-L113)</f>
        <v>351075.21</v>
      </c>
      <c r="Q113" s="1164">
        <f>SUM('3 pr-2'!O115)</f>
        <v>57342</v>
      </c>
      <c r="R113" s="1159">
        <f>SUMIF('mokėjimų ataskaita'!$I:$I,C113,'mokėjimų ataskaita'!$AU:$AU)/2</f>
        <v>143.33000000000001</v>
      </c>
      <c r="S113" s="1082"/>
      <c r="T113" s="1082"/>
      <c r="U113" s="1160">
        <f t="shared" ref="U113:U117" si="151">SUM(Q113-R113)</f>
        <v>57198.67</v>
      </c>
      <c r="V113" s="1164">
        <f>SUM('3 pr-2'!R115)</f>
        <v>25351</v>
      </c>
      <c r="W113" s="1159">
        <f>SUMIF('mokėjimų ataskaita'!$I:$I,C113,'mokėjimų ataskaita'!$AL:$AL)/2</f>
        <v>1522.84</v>
      </c>
      <c r="X113" s="1082"/>
      <c r="Y113" s="1082"/>
      <c r="Z113" s="1160">
        <f t="shared" ref="Z113:Z117" si="152">SUM(V113-W113)</f>
        <v>23828.16</v>
      </c>
      <c r="AA113" s="1164">
        <f>SUM('3 pr-2'!U115)</f>
        <v>0</v>
      </c>
      <c r="AB113" s="1080">
        <f>SUMIF('mokėjimų ataskaita'!$I:$I,'ketv. 7 '!C113,'mokėjimų ataskaita'!$AW:$AW)/2</f>
        <v>0</v>
      </c>
      <c r="AC113" s="1082"/>
      <c r="AD113" s="1082"/>
      <c r="AE113" s="1160">
        <f t="shared" ref="AE113:AE117" si="153">SUM(AA113-AB113)</f>
        <v>0</v>
      </c>
      <c r="AF113" s="1164">
        <f>SUM('3 pr-2'!X115)</f>
        <v>0</v>
      </c>
      <c r="AG113" s="1080">
        <f>SUMIF('mokėjimų ataskaita'!$I:$I,'ketv. 7 '!C113,'mokėjimų ataskaita'!$AT:$AT)/2+SUMIF('mokėjimų ataskaita'!$I:$I,'ketv. 7 '!C113,'mokėjimų ataskaita'!$AV:$AV)/2</f>
        <v>0</v>
      </c>
      <c r="AH113" s="1082"/>
      <c r="AI113" s="1082"/>
      <c r="AJ113" s="1160">
        <f t="shared" ref="AJ113:AJ117" si="154">SUM(AF113-AG113)</f>
        <v>0</v>
      </c>
      <c r="AK113" s="1164">
        <f>SUM('3 pr-2'!AA115)</f>
        <v>287307</v>
      </c>
      <c r="AL113" s="1159">
        <f>SUMIF('mokėjimų ataskaita'!$I:$I,'ketv. 7 '!C113,'mokėjimų ataskaita'!$AK:$AK)/2</f>
        <v>17258.62</v>
      </c>
      <c r="AM113" s="1082"/>
      <c r="AN113" s="1082"/>
      <c r="AO113" s="1167">
        <f t="shared" ref="AO113:AO117" si="155">SUM(AK113-AL113)</f>
        <v>270048.38</v>
      </c>
      <c r="AP113" s="1080">
        <f>SUM('3 pr-2'!AB115)</f>
        <v>0</v>
      </c>
      <c r="AQ113" s="1159">
        <v>0</v>
      </c>
    </row>
    <row r="114" spans="1:44" ht="48.75">
      <c r="A114" s="375" t="str">
        <f>CONCATENATE('3 pr-2'!A116)</f>
        <v>2.1.1.3.2</v>
      </c>
      <c r="B114" s="578" t="str">
        <f>CONCATENATE('3 pr-2'!B116)</f>
        <v>R01-7705-230000-2132</v>
      </c>
      <c r="C114" s="577" t="str">
        <f>CONCATENATE('ketv. 6 '!C115)</f>
        <v>09.1.3-CPVA-R-705-11-0004</v>
      </c>
      <c r="D114" s="231" t="str">
        <f>CONCATENATE('3 pr-2'!D116)</f>
        <v>Alytaus r. ikimokyklinio ir priešmokyklinio ugdymo prieinamumo didinimas įkuriant ir atnaujinant edukacines erdves</v>
      </c>
      <c r="E114" s="164" t="str">
        <f>CONCATENATE('3 pr-2'!E116)</f>
        <v>Alytaus rajono savivaldybės administracija</v>
      </c>
      <c r="F114" s="164" t="str">
        <f>CONCATENATE('3 pr-2'!F116)</f>
        <v>Lietuvos Respublikos švietimo ir mokslo ministerija</v>
      </c>
      <c r="G114" s="164" t="str">
        <f>CONCATENATE('3 pr-2'!G116)</f>
        <v>Alytaus r. sav.</v>
      </c>
      <c r="H114" s="164" t="str">
        <f>CONCATENATE('3 pr-2'!H116)</f>
        <v>09.1.3-CPVA-R-705</v>
      </c>
      <c r="I114" s="164" t="str">
        <f>CONCATENATE('3 pr-2'!I116)</f>
        <v>R</v>
      </c>
      <c r="J114" s="164" t="str">
        <f>CONCATENATE('3 pr-2'!J116)</f>
        <v/>
      </c>
      <c r="K114" s="1164">
        <f>SUM('3 pr-2'!L116)</f>
        <v>597456.88</v>
      </c>
      <c r="L114" s="1159">
        <f t="shared" si="149"/>
        <v>383080.25</v>
      </c>
      <c r="M114" s="1082">
        <v>0</v>
      </c>
      <c r="N114" s="1082">
        <v>0</v>
      </c>
      <c r="O114" s="1082">
        <f t="shared" si="136"/>
        <v>383080.25</v>
      </c>
      <c r="P114" s="1160">
        <f t="shared" si="150"/>
        <v>214376.63</v>
      </c>
      <c r="Q114" s="1164">
        <f>SUM('3 pr-2'!O116)</f>
        <v>59861.88</v>
      </c>
      <c r="R114" s="1159">
        <f>SUMIF('mokėjimų ataskaita'!$I:$I,C114,'mokėjimų ataskaita'!$AU:$AU)/2</f>
        <v>38382.53</v>
      </c>
      <c r="S114" s="1082"/>
      <c r="T114" s="1082"/>
      <c r="U114" s="1160">
        <f t="shared" si="151"/>
        <v>21479.35</v>
      </c>
      <c r="V114" s="1164">
        <f>SUM('3 pr-2'!R116)</f>
        <v>43588</v>
      </c>
      <c r="W114" s="1159">
        <f>SUMIF('mokėjimų ataskaita'!$I:$I,C114,'mokėjimų ataskaita'!$AL:$AL)/2</f>
        <v>27947.96</v>
      </c>
      <c r="X114" s="1082"/>
      <c r="Y114" s="1082"/>
      <c r="Z114" s="1160">
        <f t="shared" si="152"/>
        <v>15640.04</v>
      </c>
      <c r="AA114" s="1164">
        <f>SUM('3 pr-2'!U116)</f>
        <v>0</v>
      </c>
      <c r="AB114" s="1080">
        <f>SUMIF('mokėjimų ataskaita'!$I:$I,'ketv. 7 '!C114,'mokėjimų ataskaita'!$AW:$AW)/2</f>
        <v>0</v>
      </c>
      <c r="AC114" s="1082"/>
      <c r="AD114" s="1082"/>
      <c r="AE114" s="1160">
        <f t="shared" si="153"/>
        <v>0</v>
      </c>
      <c r="AF114" s="1164">
        <f>SUM('3 pr-2'!X116)</f>
        <v>0</v>
      </c>
      <c r="AG114" s="1080">
        <f>SUMIF('mokėjimų ataskaita'!$I:$I,'ketv. 7 '!C114,'mokėjimų ataskaita'!$AT:$AT)/2+SUMIF('mokėjimų ataskaita'!$I:$I,'ketv. 7 '!C114,'mokėjimų ataskaita'!$AV:$AV)/2</f>
        <v>0</v>
      </c>
      <c r="AH114" s="1082"/>
      <c r="AI114" s="1082"/>
      <c r="AJ114" s="1160">
        <f t="shared" si="154"/>
        <v>0</v>
      </c>
      <c r="AK114" s="1164">
        <f>SUM('3 pr-2'!AA116)</f>
        <v>494007</v>
      </c>
      <c r="AL114" s="1159">
        <f>SUMIF('mokėjimų ataskaita'!$I:$I,'ketv. 7 '!C114,'mokėjimų ataskaita'!$AK:$AK)/2</f>
        <v>316749.76</v>
      </c>
      <c r="AM114" s="1082"/>
      <c r="AN114" s="1082"/>
      <c r="AO114" s="1167">
        <f t="shared" si="155"/>
        <v>177257.24</v>
      </c>
      <c r="AP114" s="1080">
        <f>SUM('3 pr-2'!AB116)</f>
        <v>0</v>
      </c>
      <c r="AQ114" s="1159">
        <v>0</v>
      </c>
    </row>
    <row r="115" spans="1:44" ht="36.75">
      <c r="A115" s="375" t="str">
        <f>CONCATENATE('3 pr-2'!A117)</f>
        <v>2.1.1.3.3</v>
      </c>
      <c r="B115" s="578" t="str">
        <f>CONCATENATE('3 pr-2'!B117)</f>
        <v>R01-7705-230000-2133</v>
      </c>
      <c r="C115" s="577" t="str">
        <f>CONCATENATE('ketv. 6 '!C116)</f>
        <v>09.1.3-CPVA-R-705-11-0001</v>
      </c>
      <c r="D115" s="231" t="str">
        <f>CONCATENATE('3 pr-2'!D117)</f>
        <v>Alytaus lopšelio-darželio „Girinukas“ ugdymo aplinkos modernizavimas</v>
      </c>
      <c r="E115" s="164" t="str">
        <f>CONCATENATE('3 pr-2'!E117)</f>
        <v>Alytaus miesto savivaldybės administracija</v>
      </c>
      <c r="F115" s="164" t="str">
        <f>CONCATENATE('3 pr-2'!F117)</f>
        <v>Lietuvos Respublikos švietimo ir mokslo ministerija</v>
      </c>
      <c r="G115" s="164" t="str">
        <f>CONCATENATE('3 pr-2'!G117)</f>
        <v>Alytaus m. sav.</v>
      </c>
      <c r="H115" s="164" t="str">
        <f>CONCATENATE('3 pr-2'!H117)</f>
        <v>09.1.3-CPVA-R-705</v>
      </c>
      <c r="I115" s="164" t="str">
        <f>CONCATENATE('3 pr-2'!I117)</f>
        <v>R</v>
      </c>
      <c r="J115" s="164" t="str">
        <f>CONCATENATE('3 pr-2'!J117)</f>
        <v>-</v>
      </c>
      <c r="K115" s="1164">
        <f>SUM('3 pr-2'!L117)</f>
        <v>181986</v>
      </c>
      <c r="L115" s="1159">
        <f t="shared" si="149"/>
        <v>129570.02999999998</v>
      </c>
      <c r="M115" s="1082">
        <v>0</v>
      </c>
      <c r="N115" s="1082">
        <v>116694.31</v>
      </c>
      <c r="O115" s="1082">
        <f t="shared" si="136"/>
        <v>12875.719999999987</v>
      </c>
      <c r="P115" s="1160">
        <f t="shared" si="150"/>
        <v>52415.970000000016</v>
      </c>
      <c r="Q115" s="1164">
        <f>SUM('3 pr-2'!O117)</f>
        <v>13649</v>
      </c>
      <c r="R115" s="1159">
        <f>SUMIF('mokėjimų ataskaita'!$I:$I,C115,'mokėjimų ataskaita'!$AU:$AU)/2</f>
        <v>6944.36</v>
      </c>
      <c r="S115" s="1082"/>
      <c r="T115" s="1082"/>
      <c r="U115" s="1160">
        <f t="shared" si="151"/>
        <v>6704.64</v>
      </c>
      <c r="V115" s="1164">
        <f>SUM('3 pr-2'!R117)</f>
        <v>13649</v>
      </c>
      <c r="W115" s="1159">
        <f>SUMIF('mokėjimų ataskaita'!$I:$I,C115,'mokėjimų ataskaita'!$AL:$AL)/2</f>
        <v>9942.66</v>
      </c>
      <c r="X115" s="1082"/>
      <c r="Y115" s="1082"/>
      <c r="Z115" s="1160">
        <f t="shared" si="152"/>
        <v>3706.34</v>
      </c>
      <c r="AA115" s="1164">
        <f>SUM('3 pr-2'!U117)</f>
        <v>0</v>
      </c>
      <c r="AB115" s="1080">
        <f>SUMIF('mokėjimų ataskaita'!$I:$I,'ketv. 7 '!C115,'mokėjimų ataskaita'!$AW:$AW)/2</f>
        <v>0</v>
      </c>
      <c r="AC115" s="1082"/>
      <c r="AD115" s="1082"/>
      <c r="AE115" s="1160">
        <f t="shared" si="153"/>
        <v>0</v>
      </c>
      <c r="AF115" s="1164">
        <f>SUM('3 pr-2'!X117)</f>
        <v>0</v>
      </c>
      <c r="AG115" s="1080">
        <f>SUMIF('mokėjimų ataskaita'!$I:$I,'ketv. 7 '!C115,'mokėjimų ataskaita'!$AT:$AT)/2+SUMIF('mokėjimų ataskaita'!$I:$I,'ketv. 7 '!C115,'mokėjimų ataskaita'!$AV:$AV)/2</f>
        <v>0</v>
      </c>
      <c r="AH115" s="1082"/>
      <c r="AI115" s="1082"/>
      <c r="AJ115" s="1160">
        <f t="shared" si="154"/>
        <v>0</v>
      </c>
      <c r="AK115" s="1164">
        <f>SUM('3 pr-2'!AA117)</f>
        <v>154688</v>
      </c>
      <c r="AL115" s="1159">
        <f>SUMIF('mokėjimų ataskaita'!$I:$I,'ketv. 7 '!C115,'mokėjimų ataskaita'!$AK:$AK)/2</f>
        <v>112683.00999999998</v>
      </c>
      <c r="AM115" s="1082"/>
      <c r="AN115" s="1082"/>
      <c r="AO115" s="1167">
        <f t="shared" si="155"/>
        <v>42004.99000000002</v>
      </c>
      <c r="AP115" s="1080">
        <f>SUM('3 pr-2'!AB117)</f>
        <v>0</v>
      </c>
      <c r="AQ115" s="1159">
        <v>0</v>
      </c>
    </row>
    <row r="116" spans="1:44" ht="48.75">
      <c r="A116" s="375" t="str">
        <f>CONCATENATE('3 pr-2'!A118)</f>
        <v>2.1.1.3.4</v>
      </c>
      <c r="B116" s="578" t="str">
        <f>CONCATENATE('3 pr-2'!B118)</f>
        <v>R01-7705-230000-2134</v>
      </c>
      <c r="C116" s="577" t="str">
        <f>CONCATENATE('ketv. 6 '!C117)</f>
        <v>09.1.3-CPVA-R-705-11-0006</v>
      </c>
      <c r="D116" s="231" t="str">
        <f>CONCATENATE('3 pr-2'!D118)</f>
        <v>Druskininkų sav. Viečiūnų progimnazijos ikimokyklinio ugdymo skyriaus „Linelis“ ugdymo prieinamumo didinimas</v>
      </c>
      <c r="E116" s="164" t="str">
        <f>CONCATENATE('3 pr-2'!E118)</f>
        <v xml:space="preserve">Druskininkų savivaldybės administracija  </v>
      </c>
      <c r="F116" s="164" t="str">
        <f>CONCATENATE('3 pr-2'!F118)</f>
        <v>Lietuvos Respublikos švietimo ir mokslo ministerija</v>
      </c>
      <c r="G116" s="164" t="str">
        <f>CONCATENATE('3 pr-2'!G118)</f>
        <v>Druskininkų sav.</v>
      </c>
      <c r="H116" s="164" t="str">
        <f>CONCATENATE('3 pr-2'!H118)</f>
        <v>09.1.3-CPVA-R-705</v>
      </c>
      <c r="I116" s="164" t="str">
        <f>CONCATENATE('3 pr-2'!I118)</f>
        <v>R</v>
      </c>
      <c r="J116" s="164" t="str">
        <f>CONCATENATE('3 pr-2'!J118)</f>
        <v>-</v>
      </c>
      <c r="K116" s="1164">
        <f>SUM('3 pr-2'!L118)</f>
        <v>176024.68</v>
      </c>
      <c r="L116" s="1159">
        <f t="shared" si="149"/>
        <v>8581</v>
      </c>
      <c r="M116" s="1082">
        <v>0</v>
      </c>
      <c r="N116" s="1082">
        <v>0</v>
      </c>
      <c r="O116" s="1082">
        <f t="shared" si="136"/>
        <v>8581</v>
      </c>
      <c r="P116" s="1160">
        <f t="shared" si="150"/>
        <v>167443.68</v>
      </c>
      <c r="Q116" s="1164">
        <f>SUM('3 pr-2'!O118)</f>
        <v>79091.679999999993</v>
      </c>
      <c r="R116" s="1159">
        <f>SUMIF('mokėjimų ataskaita'!$I:$I,C116,'mokėjimų ataskaita'!$AU:$AU)/2</f>
        <v>3855.63</v>
      </c>
      <c r="S116" s="1082"/>
      <c r="T116" s="1082"/>
      <c r="U116" s="1160">
        <f t="shared" si="151"/>
        <v>75236.049999999988</v>
      </c>
      <c r="V116" s="1164">
        <f>SUM('3 pr-2'!R118)</f>
        <v>7859</v>
      </c>
      <c r="W116" s="1159">
        <f>SUMIF('mokėjimų ataskaita'!$I:$I,C116,'mokėjimų ataskaita'!$AL:$AL)/2</f>
        <v>383.12</v>
      </c>
      <c r="X116" s="1082"/>
      <c r="Y116" s="1082"/>
      <c r="Z116" s="1160">
        <f t="shared" si="152"/>
        <v>7475.88</v>
      </c>
      <c r="AA116" s="1164">
        <f>SUM('3 pr-2'!U118)</f>
        <v>0</v>
      </c>
      <c r="AB116" s="1080">
        <f>SUMIF('mokėjimų ataskaita'!$I:$I,'ketv. 7 '!C116,'mokėjimų ataskaita'!$AW:$AW)/2</f>
        <v>0</v>
      </c>
      <c r="AC116" s="1082"/>
      <c r="AD116" s="1082"/>
      <c r="AE116" s="1160">
        <f t="shared" si="153"/>
        <v>0</v>
      </c>
      <c r="AF116" s="1164">
        <f>SUM('3 pr-2'!X118)</f>
        <v>0</v>
      </c>
      <c r="AG116" s="1080">
        <f>SUMIF('mokėjimų ataskaita'!$I:$I,'ketv. 7 '!C116,'mokėjimų ataskaita'!$AT:$AT)/2+SUMIF('mokėjimų ataskaita'!$I:$I,'ketv. 7 '!C116,'mokėjimų ataskaita'!$AV:$AV)/2</f>
        <v>0</v>
      </c>
      <c r="AH116" s="1082"/>
      <c r="AI116" s="1082"/>
      <c r="AJ116" s="1160">
        <f t="shared" si="154"/>
        <v>0</v>
      </c>
      <c r="AK116" s="1164">
        <f>SUM('3 pr-2'!AA118)</f>
        <v>89074</v>
      </c>
      <c r="AL116" s="1159">
        <f>SUMIF('mokėjimų ataskaita'!$I:$I,'ketv. 7 '!C116,'mokėjimų ataskaita'!$AK:$AK)/2</f>
        <v>4342.25</v>
      </c>
      <c r="AM116" s="1082"/>
      <c r="AN116" s="1082"/>
      <c r="AO116" s="1167">
        <f t="shared" si="155"/>
        <v>84731.75</v>
      </c>
      <c r="AP116" s="1080">
        <f>SUM('3 pr-2'!AB118)</f>
        <v>0</v>
      </c>
      <c r="AQ116" s="1159">
        <v>0</v>
      </c>
    </row>
    <row r="117" spans="1:44" ht="37.5" thickBot="1">
      <c r="A117" s="375" t="str">
        <f>CONCATENATE('3 pr-2'!A119)</f>
        <v>2.1.1.3.5</v>
      </c>
      <c r="B117" s="578" t="str">
        <f>CONCATENATE('3 pr-2'!B119)</f>
        <v>R01-7705-230000-2135</v>
      </c>
      <c r="C117" s="577" t="str">
        <f>CONCATENATE('ketv. 6 '!C118)</f>
        <v>09.1.3-CPVA-R-705-11-0002</v>
      </c>
      <c r="D117" s="231" t="str">
        <f>CONCATENATE('3 pr-2'!D119)</f>
        <v>Ikimokyklinio ir priešmokyklinio ugdymo įstaigų Lazdijų rajono savivaldybėje modernizavimas</v>
      </c>
      <c r="E117" s="164" t="str">
        <f>CONCATENATE('3 pr-2'!E119)</f>
        <v>Lazdijų rajono savivaldybės administracija</v>
      </c>
      <c r="F117" s="164" t="str">
        <f>CONCATENATE('3 pr-2'!F119)</f>
        <v>Lietuvos Respublikos švietimo ir mokslo ministerija</v>
      </c>
      <c r="G117" s="164" t="str">
        <f>CONCATENATE('3 pr-2'!G119)</f>
        <v>Lazdijų r. sav.</v>
      </c>
      <c r="H117" s="164" t="str">
        <f>CONCATENATE('3 pr-2'!H119)</f>
        <v>09.1.3-CPVA-R-705</v>
      </c>
      <c r="I117" s="164" t="str">
        <f>CONCATENATE('3 pr-2'!I119)</f>
        <v>R</v>
      </c>
      <c r="J117" s="164" t="str">
        <f>CONCATENATE('3 pr-2'!J119)</f>
        <v>-</v>
      </c>
      <c r="K117" s="1164">
        <f>SUM('3 pr-2'!L119)</f>
        <v>133554.21</v>
      </c>
      <c r="L117" s="1159">
        <f t="shared" si="149"/>
        <v>88106.109999999986</v>
      </c>
      <c r="M117" s="1082">
        <v>0</v>
      </c>
      <c r="N117" s="1082">
        <v>88106.109999999986</v>
      </c>
      <c r="O117" s="1082">
        <f t="shared" si="136"/>
        <v>0</v>
      </c>
      <c r="P117" s="1160">
        <f t="shared" si="150"/>
        <v>45448.100000000006</v>
      </c>
      <c r="Q117" s="1164">
        <f>SUM('3 pr-2'!O119)</f>
        <v>10026.209999999999</v>
      </c>
      <c r="R117" s="1159">
        <f>SUMIF('mokėjimų ataskaita'!$I:$I,C117,'mokėjimų ataskaita'!$AU:$AU)/2</f>
        <v>3832.27</v>
      </c>
      <c r="S117" s="1082"/>
      <c r="T117" s="1082"/>
      <c r="U117" s="1160">
        <f t="shared" si="151"/>
        <v>6193.9399999999987</v>
      </c>
      <c r="V117" s="1164">
        <f>SUM('3 pr-2'!R119)</f>
        <v>10016</v>
      </c>
      <c r="W117" s="1159">
        <f>SUMIF('mokėjimų ataskaita'!$I:$I,C117,'mokėjimų ataskaita'!$AL:$AL)/2</f>
        <v>6833.16</v>
      </c>
      <c r="X117" s="1082"/>
      <c r="Y117" s="1082"/>
      <c r="Z117" s="1160">
        <f t="shared" si="152"/>
        <v>3182.84</v>
      </c>
      <c r="AA117" s="1164">
        <f>SUM('3 pr-2'!U119)</f>
        <v>0</v>
      </c>
      <c r="AB117" s="1080">
        <f>SUMIF('mokėjimų ataskaita'!$I:$I,'ketv. 7 '!C117,'mokėjimų ataskaita'!$AW:$AW)/2</f>
        <v>0</v>
      </c>
      <c r="AC117" s="1082"/>
      <c r="AD117" s="1082"/>
      <c r="AE117" s="1160">
        <f t="shared" si="153"/>
        <v>0</v>
      </c>
      <c r="AF117" s="1164">
        <f>SUM('3 pr-2'!X119)</f>
        <v>0</v>
      </c>
      <c r="AG117" s="1080">
        <f>SUMIF('mokėjimų ataskaita'!$I:$I,'ketv. 7 '!C117,'mokėjimų ataskaita'!$AT:$AT)/2+SUMIF('mokėjimų ataskaita'!$I:$I,'ketv. 7 '!C117,'mokėjimų ataskaita'!$AV:$AV)/2</f>
        <v>0</v>
      </c>
      <c r="AH117" s="1082"/>
      <c r="AI117" s="1082"/>
      <c r="AJ117" s="1160">
        <f t="shared" si="154"/>
        <v>0</v>
      </c>
      <c r="AK117" s="1164">
        <f>SUM('3 pr-2'!AA119)</f>
        <v>113512</v>
      </c>
      <c r="AL117" s="1159">
        <f>SUMIF('mokėjimų ataskaita'!$I:$I,'ketv. 7 '!C117,'mokėjimų ataskaita'!$AK:$AK)/2</f>
        <v>77440.679999999993</v>
      </c>
      <c r="AM117" s="1082"/>
      <c r="AN117" s="1082"/>
      <c r="AO117" s="1167">
        <f t="shared" si="155"/>
        <v>36071.320000000007</v>
      </c>
      <c r="AP117" s="1080">
        <f>SUM('3 pr-2'!AB119)</f>
        <v>0</v>
      </c>
      <c r="AQ117" s="1159">
        <v>0</v>
      </c>
    </row>
    <row r="118" spans="1:44" ht="69.75" customHeight="1" thickBot="1">
      <c r="A118" s="385" t="str">
        <f>CONCATENATE('3 pr-2'!A120)</f>
        <v>2.1.2.</v>
      </c>
      <c r="B118" s="2085" t="str">
        <f>CONCATENATE('3 pr-2'!B120)</f>
        <v>Uždavinys:
Sveikatos netolygumų sumažinimas, gerinant sveikatos priežiūros kokybę ir prieinamumą tikslinėms gyventojų grupėms ir sveiko senėjimo skatinimas</v>
      </c>
      <c r="C118" s="2086"/>
      <c r="D118" s="2086"/>
      <c r="E118" s="2086"/>
      <c r="F118" s="2086"/>
      <c r="G118" s="2086"/>
      <c r="H118" s="2086"/>
      <c r="I118" s="2086"/>
      <c r="J118" s="2087"/>
      <c r="K118" s="1195">
        <f t="shared" ref="K118:AK118" si="156">SUM(K119+K133+K139)</f>
        <v>2507585.75</v>
      </c>
      <c r="L118" s="1195">
        <f t="shared" si="156"/>
        <v>423439.38999999996</v>
      </c>
      <c r="M118" s="1195">
        <f t="shared" si="156"/>
        <v>0</v>
      </c>
      <c r="N118" s="1195">
        <f t="shared" si="156"/>
        <v>288152.28999999998</v>
      </c>
      <c r="O118" s="1195">
        <f t="shared" si="156"/>
        <v>46042.8</v>
      </c>
      <c r="P118" s="1195">
        <f t="shared" si="156"/>
        <v>2084146.36</v>
      </c>
      <c r="Q118" s="1195">
        <f t="shared" si="156"/>
        <v>146668.16</v>
      </c>
      <c r="R118" s="1195">
        <f t="shared" si="156"/>
        <v>11782.759999999998</v>
      </c>
      <c r="S118" s="1195">
        <f t="shared" si="156"/>
        <v>0</v>
      </c>
      <c r="T118" s="1195">
        <f t="shared" si="156"/>
        <v>0</v>
      </c>
      <c r="U118" s="1195">
        <f t="shared" si="156"/>
        <v>134885.40000000002</v>
      </c>
      <c r="V118" s="1195">
        <f t="shared" si="156"/>
        <v>188734.58000000002</v>
      </c>
      <c r="W118" s="1195">
        <f t="shared" si="156"/>
        <v>32147.8</v>
      </c>
      <c r="X118" s="1195">
        <f t="shared" si="156"/>
        <v>0</v>
      </c>
      <c r="Y118" s="1195">
        <f t="shared" si="156"/>
        <v>0</v>
      </c>
      <c r="Z118" s="1195">
        <f t="shared" si="156"/>
        <v>156586.78</v>
      </c>
      <c r="AA118" s="1195">
        <f t="shared" si="156"/>
        <v>40107.979999999996</v>
      </c>
      <c r="AB118" s="1195">
        <f t="shared" si="156"/>
        <v>7355.72</v>
      </c>
      <c r="AC118" s="1195">
        <f t="shared" si="156"/>
        <v>0</v>
      </c>
      <c r="AD118" s="1195">
        <f t="shared" si="156"/>
        <v>0</v>
      </c>
      <c r="AE118" s="1195">
        <f t="shared" si="156"/>
        <v>32752.26</v>
      </c>
      <c r="AF118" s="1195">
        <f t="shared" si="156"/>
        <v>1299.95</v>
      </c>
      <c r="AG118" s="1195">
        <f t="shared" si="156"/>
        <v>46.72</v>
      </c>
      <c r="AH118" s="1195">
        <f t="shared" si="156"/>
        <v>0</v>
      </c>
      <c r="AI118" s="1195">
        <f t="shared" si="156"/>
        <v>0</v>
      </c>
      <c r="AJ118" s="1195">
        <f t="shared" si="156"/>
        <v>1253.23</v>
      </c>
      <c r="AK118" s="1195">
        <f t="shared" si="156"/>
        <v>2130775.08</v>
      </c>
      <c r="AL118" s="1195">
        <f>SUM(AL119+AL133+AL139)</f>
        <v>372106.38999999996</v>
      </c>
      <c r="AM118" s="1195">
        <f t="shared" ref="AM118:AQ118" si="157">SUM(AM119+AM133+AM139)</f>
        <v>0</v>
      </c>
      <c r="AN118" s="1195">
        <f t="shared" si="157"/>
        <v>0</v>
      </c>
      <c r="AO118" s="1195">
        <f t="shared" si="157"/>
        <v>1758668.69</v>
      </c>
      <c r="AP118" s="1195">
        <f t="shared" si="157"/>
        <v>0</v>
      </c>
      <c r="AQ118" s="1195">
        <f t="shared" si="157"/>
        <v>0</v>
      </c>
      <c r="AR118" s="233">
        <f>SUM(K118-'3 pr-2'!L120)</f>
        <v>0</v>
      </c>
    </row>
    <row r="119" spans="1:44" ht="46.5" customHeight="1" thickBot="1">
      <c r="A119" s="296" t="str">
        <f>CONCATENATE('3 pr-2'!A121)</f>
        <v>2.1.2.1</v>
      </c>
      <c r="B119" s="2088" t="str">
        <f>CONCATENATE('3 pr-2'!B121)</f>
        <v>Priemonė:
Pirminės asmens ir visuomenės sveikatos priežiūros veiklos efektyvumo didinimas gerinant jų infrastruktūrą</v>
      </c>
      <c r="C119" s="2089"/>
      <c r="D119" s="2089"/>
      <c r="E119" s="2089"/>
      <c r="F119" s="2089"/>
      <c r="G119" s="2089"/>
      <c r="H119" s="2089"/>
      <c r="I119" s="2089"/>
      <c r="J119" s="2090"/>
      <c r="K119" s="1077">
        <f>SUM(K120:K132)</f>
        <v>1447388.03</v>
      </c>
      <c r="L119" s="1077">
        <f t="shared" ref="L119:AQ119" si="158">SUM(L120:L132)</f>
        <v>43260</v>
      </c>
      <c r="M119" s="1077">
        <f t="shared" si="158"/>
        <v>0</v>
      </c>
      <c r="N119" s="1077">
        <f t="shared" si="158"/>
        <v>0</v>
      </c>
      <c r="O119" s="1077">
        <f t="shared" si="158"/>
        <v>43260</v>
      </c>
      <c r="P119" s="1077">
        <f t="shared" si="158"/>
        <v>1404128.03</v>
      </c>
      <c r="Q119" s="1077">
        <f t="shared" si="158"/>
        <v>68448</v>
      </c>
      <c r="R119" s="1077">
        <f t="shared" si="158"/>
        <v>0</v>
      </c>
      <c r="S119" s="1077">
        <f t="shared" si="158"/>
        <v>0</v>
      </c>
      <c r="T119" s="1077">
        <f t="shared" si="158"/>
        <v>0</v>
      </c>
      <c r="U119" s="1077">
        <f t="shared" si="158"/>
        <v>68448</v>
      </c>
      <c r="V119" s="1077">
        <f t="shared" si="158"/>
        <v>108554.52</v>
      </c>
      <c r="W119" s="1077">
        <f t="shared" si="158"/>
        <v>2212.7800000000002</v>
      </c>
      <c r="X119" s="1077">
        <f t="shared" si="158"/>
        <v>0</v>
      </c>
      <c r="Y119" s="1077">
        <f t="shared" si="158"/>
        <v>0</v>
      </c>
      <c r="Z119" s="1077">
        <f t="shared" si="158"/>
        <v>106341.74</v>
      </c>
      <c r="AA119" s="1077">
        <f t="shared" si="158"/>
        <v>40107.979999999996</v>
      </c>
      <c r="AB119" s="1077">
        <f t="shared" si="158"/>
        <v>7355.72</v>
      </c>
      <c r="AC119" s="1077">
        <f t="shared" si="158"/>
        <v>0</v>
      </c>
      <c r="AD119" s="1077">
        <f t="shared" si="158"/>
        <v>0</v>
      </c>
      <c r="AE119" s="1077">
        <f t="shared" si="158"/>
        <v>32752.26</v>
      </c>
      <c r="AF119" s="1077">
        <f t="shared" si="158"/>
        <v>0</v>
      </c>
      <c r="AG119" s="1077">
        <f t="shared" si="158"/>
        <v>0</v>
      </c>
      <c r="AH119" s="1077">
        <f t="shared" si="158"/>
        <v>0</v>
      </c>
      <c r="AI119" s="1077">
        <f t="shared" si="158"/>
        <v>0</v>
      </c>
      <c r="AJ119" s="1077">
        <f t="shared" si="158"/>
        <v>0</v>
      </c>
      <c r="AK119" s="1077">
        <f t="shared" si="158"/>
        <v>1230277.5299999998</v>
      </c>
      <c r="AL119" s="1077">
        <f t="shared" si="158"/>
        <v>33691.5</v>
      </c>
      <c r="AM119" s="1077">
        <f t="shared" si="158"/>
        <v>0</v>
      </c>
      <c r="AN119" s="1077">
        <f t="shared" si="158"/>
        <v>0</v>
      </c>
      <c r="AO119" s="1077">
        <f t="shared" si="158"/>
        <v>1196586.0299999998</v>
      </c>
      <c r="AP119" s="1077">
        <f t="shared" si="158"/>
        <v>0</v>
      </c>
      <c r="AQ119" s="1077">
        <f t="shared" si="158"/>
        <v>0</v>
      </c>
      <c r="AR119" s="233">
        <f>SUM(K119-'3 pr-2'!L121)</f>
        <v>0</v>
      </c>
    </row>
    <row r="120" spans="1:44" ht="48.75">
      <c r="A120" s="375" t="str">
        <f>CONCATENATE('3 pr-2'!A122)</f>
        <v>2.1.2.1.1</v>
      </c>
      <c r="B120" s="578" t="str">
        <f>CONCATENATE('3 pr-2'!B122)</f>
        <v>R01-6609-274710-2211</v>
      </c>
      <c r="C120" s="577" t="str">
        <f>CONCATENATE('ketv. 6 '!C121)</f>
        <v>08.1.3-CPVA-R-609-11-0002</v>
      </c>
      <c r="D120" s="231" t="str">
        <f>CONCATENATE('3 pr-2'!D122)</f>
        <v>Alytaus poliklinikos teikiamų pirminės sveikatos priežiūros paslaugų prieinamumo didinimas ir kokybės gerinimas</v>
      </c>
      <c r="E120" s="164" t="str">
        <f>CONCATENATE('3 pr-2'!E122)</f>
        <v>VšĮ Alytaus poliklinika</v>
      </c>
      <c r="F120" s="164" t="str">
        <f>CONCATENATE('3 pr-2'!F122)</f>
        <v>Lietuvos Respublikos Sveikatos apsaugos ministerija</v>
      </c>
      <c r="G120" s="164" t="str">
        <f>CONCATENATE('3 pr-2'!G122)</f>
        <v>Alytaus m. sav.</v>
      </c>
      <c r="H120" s="164" t="str">
        <f>CONCATENATE('3 pr-2'!H122)</f>
        <v>08.1.3-CPVA-R-609</v>
      </c>
      <c r="I120" s="164" t="str">
        <f>CONCATENATE('3 pr-2'!I122)</f>
        <v>R</v>
      </c>
      <c r="J120" s="164" t="str">
        <f>CONCATENATE('3 pr-2'!J122)</f>
        <v>-</v>
      </c>
      <c r="K120" s="1164">
        <f>SUM('3 pr-2'!L122)</f>
        <v>458183</v>
      </c>
      <c r="L120" s="1080">
        <f t="shared" ref="L120:L132" si="159">SUM(R120+W120+AB120+AG120+AL120)</f>
        <v>0</v>
      </c>
      <c r="M120" s="1082">
        <v>0</v>
      </c>
      <c r="N120" s="1082">
        <v>0</v>
      </c>
      <c r="O120" s="1082">
        <f t="shared" ref="O120:O144" si="160">SUM(L120-M120-N120)</f>
        <v>0</v>
      </c>
      <c r="P120" s="1160">
        <f t="shared" ref="P120:P127" si="161">SUM(K120-L120)</f>
        <v>458183</v>
      </c>
      <c r="Q120" s="1164">
        <f>SUM('3 pr-2'!O122)</f>
        <v>34364</v>
      </c>
      <c r="R120" s="1080">
        <f>SUMIF('mokėjimų ataskaita'!$I:$I,C120,'mokėjimų ataskaita'!$AU:$AU)/2</f>
        <v>0</v>
      </c>
      <c r="S120" s="1082"/>
      <c r="T120" s="1082"/>
      <c r="U120" s="1160">
        <f t="shared" ref="U120:U131" si="162">SUM(Q120-R120)</f>
        <v>34364</v>
      </c>
      <c r="V120" s="1164">
        <f>SUM('3 pr-2'!R122)</f>
        <v>34363</v>
      </c>
      <c r="W120" s="1080">
        <f>SUMIF('mokėjimų ataskaita'!$I:$I,C120,'mokėjimų ataskaita'!$AL:$AL)/2</f>
        <v>0</v>
      </c>
      <c r="X120" s="1082"/>
      <c r="Y120" s="1082"/>
      <c r="Z120" s="1160">
        <f t="shared" ref="Z120:Z127" si="163">SUM(V120-W120)</f>
        <v>34363</v>
      </c>
      <c r="AA120" s="1164">
        <f>SUM('3 pr-2'!U122)</f>
        <v>0</v>
      </c>
      <c r="AB120" s="1080">
        <f>SUMIF('mokėjimų ataskaita'!$I:$I,'ketv. 7 '!C120,'mokėjimų ataskaita'!$AW:$AW)/2</f>
        <v>0</v>
      </c>
      <c r="AC120" s="1082"/>
      <c r="AD120" s="1082"/>
      <c r="AE120" s="1160">
        <f t="shared" ref="AE120:AE127" si="164">SUM(AA120-AB120)</f>
        <v>0</v>
      </c>
      <c r="AF120" s="1164">
        <f>SUM('3 pr-2'!X122)</f>
        <v>0</v>
      </c>
      <c r="AG120" s="1080">
        <f>SUMIF('mokėjimų ataskaita'!$I:$I,'ketv. 7 '!C120,'mokėjimų ataskaita'!$AT:$AT)/2+SUMIF('mokėjimų ataskaita'!$I:$I,'ketv. 7 '!C120,'mokėjimų ataskaita'!$AV:$AV)/2</f>
        <v>0</v>
      </c>
      <c r="AH120" s="1082"/>
      <c r="AI120" s="1082"/>
      <c r="AJ120" s="1160">
        <f t="shared" ref="AJ120:AJ127" si="165">SUM(AF120-AG120)</f>
        <v>0</v>
      </c>
      <c r="AK120" s="1164">
        <f>SUM('3 pr-2'!AA122)</f>
        <v>389456</v>
      </c>
      <c r="AL120" s="1080">
        <f>SUMIF('mokėjimų ataskaita'!$I:$I,'ketv. 7 '!C120,'mokėjimų ataskaita'!$AK:$AK)/2</f>
        <v>0</v>
      </c>
      <c r="AM120" s="1082"/>
      <c r="AN120" s="1082"/>
      <c r="AO120" s="1167">
        <f t="shared" ref="AO120:AO131" si="166">SUM(AK120-AL120)</f>
        <v>389456</v>
      </c>
      <c r="AP120" s="1080">
        <f>SUM('3 pr-2'!AB122)</f>
        <v>0</v>
      </c>
      <c r="AQ120" s="1080">
        <v>0</v>
      </c>
    </row>
    <row r="121" spans="1:44" ht="72.75">
      <c r="A121" s="375" t="str">
        <f>CONCATENATE('3 pr-2'!A123)</f>
        <v>2.1.2.1.2</v>
      </c>
      <c r="B121" s="578" t="str">
        <f>CONCATENATE('3 pr-2'!B123)</f>
        <v>R01-6609-274710-2212</v>
      </c>
      <c r="C121" s="577" t="str">
        <f>CONCATENATE('ketv. 6 '!C122)</f>
        <v>08.1.3-CPVA-R-609-11-0004</v>
      </c>
      <c r="D121" s="231" t="str">
        <f>CONCATENATE('3 pr-2'!D123)</f>
        <v>Sveikatos priežiūros paslaugų modernizavimas bei optimizavimas pirminės sveikatos priežiūros centre</v>
      </c>
      <c r="E121" s="164" t="str">
        <f>CONCATENATE('3 pr-2'!E123)</f>
        <v xml:space="preserve">VšĮ Alytaus miesto savivaldybės pirminės sveikatos priežiūros centras </v>
      </c>
      <c r="F121" s="164" t="str">
        <f>CONCATENATE('3 pr-2'!F123)</f>
        <v>Lietuvos Respublikos Sveikatos apsaugos ministerija</v>
      </c>
      <c r="G121" s="164" t="str">
        <f>CONCATENATE('3 pr-2'!G123)</f>
        <v>Alytaus m. sav.</v>
      </c>
      <c r="H121" s="164" t="str">
        <f>CONCATENATE('3 pr-2'!H123)</f>
        <v>08.1.3-CPVA-R-609</v>
      </c>
      <c r="I121" s="164" t="str">
        <f>CONCATENATE('3 pr-2'!I123)</f>
        <v>R</v>
      </c>
      <c r="J121" s="164" t="str">
        <f>CONCATENATE('3 pr-2'!J123)</f>
        <v>-</v>
      </c>
      <c r="K121" s="1164">
        <f>SUM('3 pr-2'!L123)</f>
        <v>50356</v>
      </c>
      <c r="L121" s="1080">
        <f t="shared" si="159"/>
        <v>0</v>
      </c>
      <c r="M121" s="1082">
        <v>0</v>
      </c>
      <c r="N121" s="1082">
        <v>0</v>
      </c>
      <c r="O121" s="1082">
        <f t="shared" si="160"/>
        <v>0</v>
      </c>
      <c r="P121" s="1160">
        <f t="shared" si="161"/>
        <v>50356</v>
      </c>
      <c r="Q121" s="1164">
        <f>SUM('3 pr-2'!O123)</f>
        <v>3777</v>
      </c>
      <c r="R121" s="1080">
        <f>SUMIF('mokėjimų ataskaita'!$I:$I,C121,'mokėjimų ataskaita'!$AU:$AU)/2</f>
        <v>0</v>
      </c>
      <c r="S121" s="1082"/>
      <c r="T121" s="1082"/>
      <c r="U121" s="1160">
        <f t="shared" si="162"/>
        <v>3777</v>
      </c>
      <c r="V121" s="1164">
        <f>SUM('3 pr-2'!R123)</f>
        <v>3777</v>
      </c>
      <c r="W121" s="1080">
        <f>SUMIF('mokėjimų ataskaita'!$I:$I,C121,'mokėjimų ataskaita'!$AL:$AL)/2</f>
        <v>0</v>
      </c>
      <c r="X121" s="1082"/>
      <c r="Y121" s="1082"/>
      <c r="Z121" s="1160">
        <f t="shared" si="163"/>
        <v>3777</v>
      </c>
      <c r="AA121" s="1164">
        <f>SUM('3 pr-2'!U123)</f>
        <v>0</v>
      </c>
      <c r="AB121" s="1080">
        <f>SUMIF('mokėjimų ataskaita'!$I:$I,'ketv. 7 '!C121,'mokėjimų ataskaita'!$AW:$AW)/2</f>
        <v>0</v>
      </c>
      <c r="AC121" s="1082"/>
      <c r="AD121" s="1082"/>
      <c r="AE121" s="1160">
        <f t="shared" si="164"/>
        <v>0</v>
      </c>
      <c r="AF121" s="1164">
        <f>SUM('3 pr-2'!X123)</f>
        <v>0</v>
      </c>
      <c r="AG121" s="1080">
        <f>SUMIF('mokėjimų ataskaita'!$I:$I,'ketv. 7 '!C121,'mokėjimų ataskaita'!$AT:$AT)/2+SUMIF('mokėjimų ataskaita'!$I:$I,'ketv. 7 '!C121,'mokėjimų ataskaita'!$AV:$AV)/2</f>
        <v>0</v>
      </c>
      <c r="AH121" s="1082"/>
      <c r="AI121" s="1082"/>
      <c r="AJ121" s="1160">
        <f t="shared" si="165"/>
        <v>0</v>
      </c>
      <c r="AK121" s="1164">
        <f>SUM('3 pr-2'!AA123)</f>
        <v>42802</v>
      </c>
      <c r="AL121" s="1080">
        <f>SUMIF('mokėjimų ataskaita'!$I:$I,'ketv. 7 '!C121,'mokėjimų ataskaita'!$AK:$AK)/2</f>
        <v>0</v>
      </c>
      <c r="AM121" s="1082"/>
      <c r="AN121" s="1082"/>
      <c r="AO121" s="1167">
        <f t="shared" si="166"/>
        <v>42802</v>
      </c>
      <c r="AP121" s="1080">
        <f>SUM('3 pr-2'!AB123)</f>
        <v>0</v>
      </c>
      <c r="AQ121" s="1080">
        <v>0</v>
      </c>
    </row>
    <row r="122" spans="1:44" ht="60.75">
      <c r="A122" s="375" t="str">
        <f>CONCATENATE('3 pr-2'!A124)</f>
        <v>2.1.2.1.3</v>
      </c>
      <c r="B122" s="578" t="str">
        <f>CONCATENATE('3 pr-2'!B124)</f>
        <v>R01-6609-274700-2213</v>
      </c>
      <c r="C122" s="577" t="str">
        <f>CONCATENATE('ketv. 6 '!C123)</f>
        <v>08.1.3-CPVA-R-609-11-0003</v>
      </c>
      <c r="D122" s="231" t="str">
        <f>CONCATENATE('3 pr-2'!D124)</f>
        <v>UAB "MediCA klinika" teikiamų pirminės asmens sveikatos priežiūros paslaugų efektyvumo didinimas Alytaus miesto savivaldybėje</v>
      </c>
      <c r="E122" s="164" t="str">
        <f>CONCATENATE('3 pr-2'!E124)</f>
        <v>UAB „MediCA klinika“</v>
      </c>
      <c r="F122" s="164" t="str">
        <f>CONCATENATE('3 pr-2'!F124)</f>
        <v>Lietuvos Respublikos Sveikatos apsaugos ministerija</v>
      </c>
      <c r="G122" s="164" t="str">
        <f>CONCATENATE('3 pr-2'!G124)</f>
        <v>Alytaus m. sav.</v>
      </c>
      <c r="H122" s="164" t="str">
        <f>CONCATENATE('3 pr-2'!H124)</f>
        <v>08.1.3-CPVA-R-609</v>
      </c>
      <c r="I122" s="164" t="str">
        <f>CONCATENATE('3 pr-2'!I124)</f>
        <v>R</v>
      </c>
      <c r="J122" s="164" t="str">
        <f>CONCATENATE('3 pr-2'!J124)</f>
        <v>-</v>
      </c>
      <c r="K122" s="1164">
        <f>SUM('3 pr-2'!L124)</f>
        <v>83468</v>
      </c>
      <c r="L122" s="1080">
        <f t="shared" si="159"/>
        <v>0</v>
      </c>
      <c r="M122" s="1082">
        <v>0</v>
      </c>
      <c r="N122" s="1082">
        <v>0</v>
      </c>
      <c r="O122" s="1082">
        <f t="shared" si="160"/>
        <v>0</v>
      </c>
      <c r="P122" s="1160">
        <f t="shared" si="161"/>
        <v>83468</v>
      </c>
      <c r="Q122" s="1164">
        <f>SUM('3 pr-2'!O124)</f>
        <v>0</v>
      </c>
      <c r="R122" s="1080">
        <f>SUMIF('mokėjimų ataskaita'!$I:$I,C122,'mokėjimų ataskaita'!$AU:$AU)/2</f>
        <v>0</v>
      </c>
      <c r="S122" s="1082"/>
      <c r="T122" s="1082"/>
      <c r="U122" s="1160">
        <f t="shared" si="162"/>
        <v>0</v>
      </c>
      <c r="V122" s="1164">
        <f>SUM('3 pr-2'!R124)</f>
        <v>6260</v>
      </c>
      <c r="W122" s="1080">
        <f>SUMIF('mokėjimų ataskaita'!$I:$I,C122,'mokėjimų ataskaita'!$AL:$AL)/2</f>
        <v>0</v>
      </c>
      <c r="X122" s="1082"/>
      <c r="Y122" s="1082"/>
      <c r="Z122" s="1160">
        <f t="shared" si="163"/>
        <v>6260</v>
      </c>
      <c r="AA122" s="1164">
        <f>SUM('3 pr-2'!U124)</f>
        <v>6260</v>
      </c>
      <c r="AB122" s="1080">
        <f>SUMIF('mokėjimų ataskaita'!$I:$I,'ketv. 7 '!C122,'mokėjimų ataskaita'!$AW:$AW)/2</f>
        <v>0</v>
      </c>
      <c r="AC122" s="1082"/>
      <c r="AD122" s="1082"/>
      <c r="AE122" s="1160">
        <f t="shared" si="164"/>
        <v>6260</v>
      </c>
      <c r="AF122" s="1164">
        <f>SUM('3 pr-2'!X124)</f>
        <v>0</v>
      </c>
      <c r="AG122" s="1080">
        <f>SUMIF('mokėjimų ataskaita'!$I:$I,'ketv. 7 '!C122,'mokėjimų ataskaita'!$AT:$AT)/2+SUMIF('mokėjimų ataskaita'!$I:$I,'ketv. 7 '!C122,'mokėjimų ataskaita'!$AV:$AV)/2</f>
        <v>0</v>
      </c>
      <c r="AH122" s="1082"/>
      <c r="AI122" s="1082"/>
      <c r="AJ122" s="1160">
        <f t="shared" si="165"/>
        <v>0</v>
      </c>
      <c r="AK122" s="1164">
        <f>SUM('3 pr-2'!AA124)</f>
        <v>70948</v>
      </c>
      <c r="AL122" s="1080">
        <f>SUMIF('mokėjimų ataskaita'!$I:$I,'ketv. 7 '!C122,'mokėjimų ataskaita'!$AK:$AK)/2</f>
        <v>0</v>
      </c>
      <c r="AM122" s="1082"/>
      <c r="AN122" s="1082"/>
      <c r="AO122" s="1167">
        <f t="shared" si="166"/>
        <v>70948</v>
      </c>
      <c r="AP122" s="1080">
        <f>SUM('3 pr-2'!AB124)</f>
        <v>0</v>
      </c>
      <c r="AQ122" s="1080">
        <v>0</v>
      </c>
    </row>
    <row r="123" spans="1:44" ht="36.75">
      <c r="A123" s="375" t="str">
        <f>CONCATENATE('3 pr-2'!A125)</f>
        <v>2.1.2.1.4</v>
      </c>
      <c r="B123" s="578" t="str">
        <f>CONCATENATE('3 pr-2'!B125)</f>
        <v>R01-6609-274710-2214</v>
      </c>
      <c r="C123" s="577" t="str">
        <f>CONCATENATE('ketv. 6 '!C124)</f>
        <v>08.1.3-CPVA-R-609-11-0005</v>
      </c>
      <c r="D123" s="231" t="str">
        <f>CONCATENATE('3 pr-2'!D125)</f>
        <v>UAB "Pagalba ligoniui" teikiamų paslaugų efektyvumo didinimas</v>
      </c>
      <c r="E123" s="164" t="str">
        <f>CONCATENATE('3 pr-2'!E125)</f>
        <v>UAB „Pagalba ligoniui“, Alytaus filialas</v>
      </c>
      <c r="F123" s="164" t="str">
        <f>CONCATENATE('3 pr-2'!F125)</f>
        <v>Lietuvos Respublikos Sveikatos apsaugos ministerija</v>
      </c>
      <c r="G123" s="164" t="str">
        <f>CONCATENATE('3 pr-2'!G125)</f>
        <v>Alytaus m. sav.</v>
      </c>
      <c r="H123" s="164" t="str">
        <f>CONCATENATE('3 pr-2'!H125)</f>
        <v>08.1.3-CPVA-R-609</v>
      </c>
      <c r="I123" s="164" t="str">
        <f>CONCATENATE('3 pr-2'!I125)</f>
        <v>R</v>
      </c>
      <c r="J123" s="164" t="str">
        <f>CONCATENATE('3 pr-2'!J125)</f>
        <v>-</v>
      </c>
      <c r="K123" s="1164">
        <f>SUM('3 pr-2'!L125)</f>
        <v>43413.03</v>
      </c>
      <c r="L123" s="1080">
        <f t="shared" si="159"/>
        <v>27116</v>
      </c>
      <c r="M123" s="1082">
        <v>0</v>
      </c>
      <c r="N123" s="1082">
        <v>0</v>
      </c>
      <c r="O123" s="1082">
        <f t="shared" si="160"/>
        <v>27116</v>
      </c>
      <c r="P123" s="1160">
        <f t="shared" si="161"/>
        <v>16297.029999999999</v>
      </c>
      <c r="Q123" s="1164">
        <f>SUM('3 pr-2'!O125)</f>
        <v>0</v>
      </c>
      <c r="R123" s="1080">
        <f>SUMIF('mokėjimų ataskaita'!$I:$I,C123,'mokėjimų ataskaita'!$AU:$AU)/2</f>
        <v>0</v>
      </c>
      <c r="S123" s="1082"/>
      <c r="T123" s="1082"/>
      <c r="U123" s="1160">
        <f t="shared" si="162"/>
        <v>0</v>
      </c>
      <c r="V123" s="1164">
        <f>SUM('3 pr-2'!R125)</f>
        <v>3255.97</v>
      </c>
      <c r="W123" s="1159">
        <f>SUMIF('mokėjimų ataskaita'!$I:$I,C123,'mokėjimų ataskaita'!$AL:$AL)/2</f>
        <v>2033.7</v>
      </c>
      <c r="X123" s="1082"/>
      <c r="Y123" s="1082"/>
      <c r="Z123" s="1160">
        <f t="shared" si="163"/>
        <v>1222.2699999999998</v>
      </c>
      <c r="AA123" s="1164">
        <f>SUM('3 pr-2'!U125)</f>
        <v>3255.98</v>
      </c>
      <c r="AB123" s="1159">
        <f>SUMIF('mokėjimų ataskaita'!$I:$I,'ketv. 7 '!C123,'mokėjimų ataskaita'!$AW:$AW)/2</f>
        <v>2033.7</v>
      </c>
      <c r="AC123" s="1082"/>
      <c r="AD123" s="1082"/>
      <c r="AE123" s="1160">
        <f t="shared" si="164"/>
        <v>1222.28</v>
      </c>
      <c r="AF123" s="1164">
        <f>SUM('3 pr-2'!X125)</f>
        <v>0</v>
      </c>
      <c r="AG123" s="1080">
        <f>SUMIF('mokėjimų ataskaita'!$I:$I,'ketv. 7 '!C123,'mokėjimų ataskaita'!$AT:$AT)/2+SUMIF('mokėjimų ataskaita'!$I:$I,'ketv. 7 '!C123,'mokėjimų ataskaita'!$AV:$AV)/2</f>
        <v>0</v>
      </c>
      <c r="AH123" s="1082"/>
      <c r="AI123" s="1082"/>
      <c r="AJ123" s="1160">
        <f t="shared" si="165"/>
        <v>0</v>
      </c>
      <c r="AK123" s="1164">
        <f>SUM('3 pr-2'!AA125)</f>
        <v>36901.08</v>
      </c>
      <c r="AL123" s="1159">
        <f>SUMIF('mokėjimų ataskaita'!$I:$I,'ketv. 7 '!C123,'mokėjimų ataskaita'!$AK:$AK)/2</f>
        <v>23048.6</v>
      </c>
      <c r="AM123" s="1082"/>
      <c r="AN123" s="1082"/>
      <c r="AO123" s="1167">
        <f t="shared" si="166"/>
        <v>13852.480000000003</v>
      </c>
      <c r="AP123" s="1080">
        <f>SUM('3 pr-2'!AB125)</f>
        <v>0</v>
      </c>
      <c r="AQ123" s="1080">
        <v>0</v>
      </c>
    </row>
    <row r="124" spans="1:44" ht="72.75">
      <c r="A124" s="375" t="str">
        <f>CONCATENATE('3 pr-2'!A126)</f>
        <v>2.1.2.1.5</v>
      </c>
      <c r="B124" s="578" t="str">
        <f>CONCATENATE('3 pr-2'!B126)</f>
        <v>R01-6609-274710-2215</v>
      </c>
      <c r="C124" s="577" t="str">
        <f>CONCATENATE('ketv. 6 '!C125)</f>
        <v>08.1.3-CPVA-R-609-11-0009</v>
      </c>
      <c r="D124" s="231" t="str">
        <f>CONCATENATE('3 pr-2'!D126)</f>
        <v>Pirminės asmens sveikatos priežiūros veiklos efektyvumo didinimas Alytaus rajono savivaldybėje</v>
      </c>
      <c r="E124" s="164" t="str">
        <f>CONCATENATE('3 pr-2'!E126)</f>
        <v>VšĮ Alytaus rajono savivaldybės pirminės sveikatos priežiūros centras</v>
      </c>
      <c r="F124" s="164" t="str">
        <f>CONCATENATE('3 pr-2'!F126)</f>
        <v>Lietuvos Respublikos Sveikatos apsaugos ministerija</v>
      </c>
      <c r="G124" s="164" t="str">
        <f>CONCATENATE('3 pr-2'!G126)</f>
        <v>Alytaus r. sav.</v>
      </c>
      <c r="H124" s="164" t="str">
        <f>CONCATENATE('3 pr-2'!H126)</f>
        <v>08.1.3-CPVA-R-609</v>
      </c>
      <c r="I124" s="164" t="str">
        <f>CONCATENATE('3 pr-2'!I126)</f>
        <v>R</v>
      </c>
      <c r="J124" s="164" t="str">
        <f>CONCATENATE('3 pr-2'!J126)</f>
        <v>-</v>
      </c>
      <c r="K124" s="1164">
        <f>SUM('3 pr-2'!L126)</f>
        <v>171636</v>
      </c>
      <c r="L124" s="1080">
        <f t="shared" si="159"/>
        <v>0</v>
      </c>
      <c r="M124" s="1082">
        <v>0</v>
      </c>
      <c r="N124" s="1082">
        <v>0</v>
      </c>
      <c r="O124" s="1082">
        <f t="shared" si="160"/>
        <v>0</v>
      </c>
      <c r="P124" s="1160">
        <f t="shared" si="161"/>
        <v>171636</v>
      </c>
      <c r="Q124" s="1164">
        <f>SUM('3 pr-2'!O126)</f>
        <v>12873</v>
      </c>
      <c r="R124" s="1080">
        <f>SUMIF('mokėjimų ataskaita'!$I:$I,C124,'mokėjimų ataskaita'!$AU:$AU)/2</f>
        <v>0</v>
      </c>
      <c r="S124" s="1082"/>
      <c r="T124" s="1082"/>
      <c r="U124" s="1160">
        <f t="shared" si="162"/>
        <v>12873</v>
      </c>
      <c r="V124" s="1164">
        <f>SUM('3 pr-2'!R126)</f>
        <v>12873</v>
      </c>
      <c r="W124" s="1080">
        <f>SUMIF('mokėjimų ataskaita'!$I:$I,C124,'mokėjimų ataskaita'!$AL:$AL)/2</f>
        <v>0</v>
      </c>
      <c r="X124" s="1082"/>
      <c r="Y124" s="1082"/>
      <c r="Z124" s="1160">
        <f t="shared" si="163"/>
        <v>12873</v>
      </c>
      <c r="AA124" s="1164">
        <f>SUM('3 pr-2'!U126)</f>
        <v>0</v>
      </c>
      <c r="AB124" s="1080">
        <f>SUMIF('mokėjimų ataskaita'!$I:$I,'ketv. 7 '!C124,'mokėjimų ataskaita'!$AW:$AW)/2</f>
        <v>0</v>
      </c>
      <c r="AC124" s="1082"/>
      <c r="AD124" s="1082"/>
      <c r="AE124" s="1160">
        <f t="shared" si="164"/>
        <v>0</v>
      </c>
      <c r="AF124" s="1164">
        <f>SUM('3 pr-2'!X126)</f>
        <v>0</v>
      </c>
      <c r="AG124" s="1080">
        <f>SUMIF('mokėjimų ataskaita'!$I:$I,'ketv. 7 '!C124,'mokėjimų ataskaita'!$AT:$AT)/2+SUMIF('mokėjimų ataskaita'!$I:$I,'ketv. 7 '!C124,'mokėjimų ataskaita'!$AV:$AV)/2</f>
        <v>0</v>
      </c>
      <c r="AH124" s="1082"/>
      <c r="AI124" s="1082"/>
      <c r="AJ124" s="1160">
        <f t="shared" si="165"/>
        <v>0</v>
      </c>
      <c r="AK124" s="1164">
        <f>SUM('3 pr-2'!AA126)</f>
        <v>145890</v>
      </c>
      <c r="AL124" s="1080">
        <f>SUMIF('mokėjimų ataskaita'!$I:$I,'ketv. 7 '!C124,'mokėjimų ataskaita'!$AK:$AK)/2</f>
        <v>0</v>
      </c>
      <c r="AM124" s="1082"/>
      <c r="AN124" s="1082"/>
      <c r="AO124" s="1167">
        <f t="shared" si="166"/>
        <v>145890</v>
      </c>
      <c r="AP124" s="1080">
        <f>SUM('3 pr-2'!AB126)</f>
        <v>0</v>
      </c>
      <c r="AQ124" s="1080">
        <v>0</v>
      </c>
    </row>
    <row r="125" spans="1:44" ht="36.75">
      <c r="A125" s="375" t="str">
        <f>CONCATENATE('3 pr-2'!A127)</f>
        <v>2.1.2.1.6</v>
      </c>
      <c r="B125" s="578" t="str">
        <f>CONCATENATE('3 pr-2'!B127)</f>
        <v>R01-6609-471000-2216</v>
      </c>
      <c r="C125" s="577" t="str">
        <f>CONCATENATE('ketv. 6 '!C126)</f>
        <v>08.1.3-CPVA-R-609-11-0011</v>
      </c>
      <c r="D125" s="231" t="str">
        <f>CONCATENATE('3 pr-2'!D127)</f>
        <v>Sveikatos priežiūros paslaugų gerinimas UAB „Disolis“</v>
      </c>
      <c r="E125" s="164" t="str">
        <f>CONCATENATE('3 pr-2'!E127)</f>
        <v>UAB „Disolis“</v>
      </c>
      <c r="F125" s="164" t="str">
        <f>CONCATENATE('3 pr-2'!F127)</f>
        <v>Lietuvos Respublikos Sveikatos apsaugos ministerija</v>
      </c>
      <c r="G125" s="164" t="str">
        <f>CONCATENATE('3 pr-2'!G127)</f>
        <v>Alytaus r. sav.</v>
      </c>
      <c r="H125" s="164" t="str">
        <f>CONCATENATE('3 pr-2'!H127)</f>
        <v>08.1.3-CPVA-R-609</v>
      </c>
      <c r="I125" s="164" t="str">
        <f>CONCATENATE('3 pr-2'!I127)</f>
        <v>R</v>
      </c>
      <c r="J125" s="164" t="str">
        <f>CONCATENATE('3 pr-2'!J127)</f>
        <v>-</v>
      </c>
      <c r="K125" s="1164">
        <f>SUM('3 pr-2'!L127)</f>
        <v>17386</v>
      </c>
      <c r="L125" s="1080">
        <f t="shared" si="159"/>
        <v>16144</v>
      </c>
      <c r="M125" s="1082">
        <v>0</v>
      </c>
      <c r="N125" s="1082">
        <v>0</v>
      </c>
      <c r="O125" s="1082">
        <f t="shared" si="160"/>
        <v>16144</v>
      </c>
      <c r="P125" s="1160">
        <f t="shared" si="161"/>
        <v>1242</v>
      </c>
      <c r="Q125" s="1164">
        <f>SUM('3 pr-2'!O127)</f>
        <v>0</v>
      </c>
      <c r="R125" s="1080">
        <f>SUMIF('mokėjimų ataskaita'!$I:$I,C125,'mokėjimų ataskaita'!$AU:$AU)/2</f>
        <v>0</v>
      </c>
      <c r="S125" s="1082"/>
      <c r="T125" s="1082"/>
      <c r="U125" s="1160">
        <f t="shared" si="162"/>
        <v>0</v>
      </c>
      <c r="V125" s="1164">
        <f>SUM('3 pr-2'!R127)</f>
        <v>1304</v>
      </c>
      <c r="W125" s="1159">
        <f>SUMIF('mokėjimų ataskaita'!$I:$I,C125,'mokėjimų ataskaita'!$AL:$AL)/2</f>
        <v>179.08</v>
      </c>
      <c r="X125" s="1082"/>
      <c r="Y125" s="1082"/>
      <c r="Z125" s="1160">
        <f t="shared" si="163"/>
        <v>1124.92</v>
      </c>
      <c r="AA125" s="1164">
        <f>SUM('3 pr-2'!U127)</f>
        <v>1304</v>
      </c>
      <c r="AB125" s="1159">
        <f>SUMIF('mokėjimų ataskaita'!$I:$I,'ketv. 7 '!C125,'mokėjimų ataskaita'!$AW:$AW)/2</f>
        <v>5322.02</v>
      </c>
      <c r="AC125" s="1082"/>
      <c r="AD125" s="1082"/>
      <c r="AE125" s="1160">
        <f t="shared" si="164"/>
        <v>-4018.0200000000004</v>
      </c>
      <c r="AF125" s="1164">
        <f>SUM('3 pr-2'!X127)</f>
        <v>0</v>
      </c>
      <c r="AG125" s="1080">
        <f>SUMIF('mokėjimų ataskaita'!$I:$I,'ketv. 7 '!C125,'mokėjimų ataskaita'!$AT:$AT)/2+SUMIF('mokėjimų ataskaita'!$I:$I,'ketv. 7 '!C125,'mokėjimų ataskaita'!$AV:$AV)/2</f>
        <v>0</v>
      </c>
      <c r="AH125" s="1082"/>
      <c r="AI125" s="1082"/>
      <c r="AJ125" s="1160">
        <f t="shared" si="165"/>
        <v>0</v>
      </c>
      <c r="AK125" s="1164">
        <f>SUM('3 pr-2'!AA127)</f>
        <v>14778</v>
      </c>
      <c r="AL125" s="1159">
        <f>SUMIF('mokėjimų ataskaita'!$I:$I,'ketv. 7 '!C125,'mokėjimų ataskaita'!$AK:$AK)/2</f>
        <v>10642.9</v>
      </c>
      <c r="AM125" s="1082"/>
      <c r="AN125" s="1082"/>
      <c r="AO125" s="1167">
        <f t="shared" si="166"/>
        <v>4135.1000000000004</v>
      </c>
      <c r="AP125" s="1080">
        <f>SUM('3 pr-2'!AB127)</f>
        <v>0</v>
      </c>
      <c r="AQ125" s="1080">
        <v>0</v>
      </c>
    </row>
    <row r="126" spans="1:44" ht="48.75">
      <c r="A126" s="375" t="str">
        <f>CONCATENATE('3 pr-2'!A128)</f>
        <v>2.1.2.1.7</v>
      </c>
      <c r="B126" s="578" t="str">
        <f>CONCATENATE('3 pr-2'!B128)</f>
        <v>R01-6609-274710-2217</v>
      </c>
      <c r="C126" s="577" t="str">
        <f>CONCATENATE('ketv. 6 '!C127)</f>
        <v>08.1.3-CPVA-R-609-11-0007</v>
      </c>
      <c r="D126" s="231" t="str">
        <f>CONCATENATE('3 pr-2'!D128)</f>
        <v>Pirminės asmens sveikatos priežiūros kokybės ir prieinamumo gerinimas Druskininkų savivaldybėje</v>
      </c>
      <c r="E126" s="164" t="str">
        <f>CONCATENATE('3 pr-2'!E128)</f>
        <v>VšĮ Druskininkų pirminės sveikatos priežiūros centras</v>
      </c>
      <c r="F126" s="164" t="str">
        <f>CONCATENATE('3 pr-2'!F128)</f>
        <v>Lietuvos Respublikos Sveikatos apsaugos ministerija</v>
      </c>
      <c r="G126" s="164" t="str">
        <f>CONCATENATE('3 pr-2'!G128)</f>
        <v>Druskininkų sav.</v>
      </c>
      <c r="H126" s="164" t="str">
        <f>CONCATENATE('3 pr-2'!H128)</f>
        <v>08.1.3-CPVA-R-609</v>
      </c>
      <c r="I126" s="164" t="str">
        <f>CONCATENATE('3 pr-2'!I128)</f>
        <v>R</v>
      </c>
      <c r="J126" s="164" t="str">
        <f>CONCATENATE('3 pr-2'!J128)</f>
        <v>-</v>
      </c>
      <c r="K126" s="1164">
        <f>SUM('3 pr-2'!L128)</f>
        <v>163532</v>
      </c>
      <c r="L126" s="1080">
        <f t="shared" si="159"/>
        <v>0</v>
      </c>
      <c r="M126" s="1082">
        <v>0</v>
      </c>
      <c r="N126" s="1082">
        <v>0</v>
      </c>
      <c r="O126" s="1082">
        <f t="shared" si="160"/>
        <v>0</v>
      </c>
      <c r="P126" s="1160">
        <f t="shared" si="161"/>
        <v>163532</v>
      </c>
      <c r="Q126" s="1164">
        <f>SUM('3 pr-2'!O128)</f>
        <v>0</v>
      </c>
      <c r="R126" s="1080">
        <f>SUMIF('mokėjimų ataskaita'!$I:$I,C126,'mokėjimų ataskaita'!$AU:$AU)/2</f>
        <v>0</v>
      </c>
      <c r="S126" s="1082"/>
      <c r="T126" s="1082"/>
      <c r="U126" s="1160">
        <f t="shared" si="162"/>
        <v>0</v>
      </c>
      <c r="V126" s="1164">
        <f>SUM('3 pr-2'!R128)</f>
        <v>12265</v>
      </c>
      <c r="W126" s="1080">
        <f>SUMIF('mokėjimų ataskaita'!$I:$I,C126,'mokėjimų ataskaita'!$AL:$AL)/2</f>
        <v>0</v>
      </c>
      <c r="X126" s="1082"/>
      <c r="Y126" s="1082"/>
      <c r="Z126" s="1160">
        <f t="shared" si="163"/>
        <v>12265</v>
      </c>
      <c r="AA126" s="1164">
        <f>SUM('3 pr-2'!U128)</f>
        <v>12265</v>
      </c>
      <c r="AB126" s="1080">
        <f>SUMIF('mokėjimų ataskaita'!$I:$I,'ketv. 7 '!C126,'mokėjimų ataskaita'!$AW:$AW)/2</f>
        <v>0</v>
      </c>
      <c r="AC126" s="1082"/>
      <c r="AD126" s="1082"/>
      <c r="AE126" s="1160">
        <f t="shared" si="164"/>
        <v>12265</v>
      </c>
      <c r="AF126" s="1164">
        <f>SUM('3 pr-2'!X128)</f>
        <v>0</v>
      </c>
      <c r="AG126" s="1080">
        <f>SUMIF('mokėjimų ataskaita'!$I:$I,'ketv. 7 '!C126,'mokėjimų ataskaita'!$AT:$AT)/2+SUMIF('mokėjimų ataskaita'!$I:$I,'ketv. 7 '!C126,'mokėjimų ataskaita'!$AV:$AV)/2</f>
        <v>0</v>
      </c>
      <c r="AH126" s="1082"/>
      <c r="AI126" s="1082"/>
      <c r="AJ126" s="1160">
        <f t="shared" si="165"/>
        <v>0</v>
      </c>
      <c r="AK126" s="1164">
        <f>SUM('3 pr-2'!AA128)</f>
        <v>139002</v>
      </c>
      <c r="AL126" s="1080">
        <f>SUMIF('mokėjimų ataskaita'!$I:$I,'ketv. 7 '!C126,'mokėjimų ataskaita'!$AK:$AK)/2</f>
        <v>0</v>
      </c>
      <c r="AM126" s="1082"/>
      <c r="AN126" s="1082"/>
      <c r="AO126" s="1167">
        <f t="shared" si="166"/>
        <v>139002</v>
      </c>
      <c r="AP126" s="1080">
        <f>SUM('3 pr-2'!AB128)</f>
        <v>0</v>
      </c>
      <c r="AQ126" s="1080">
        <v>0</v>
      </c>
    </row>
    <row r="127" spans="1:44" ht="48.75">
      <c r="A127" s="375" t="str">
        <f>CONCATENATE('3 pr-2'!A129)</f>
        <v>2.1.2.1.8</v>
      </c>
      <c r="B127" s="578" t="str">
        <f>CONCATENATE('3 pr-2'!B129)</f>
        <v>R01-6609-104700-2218</v>
      </c>
      <c r="C127" s="577" t="str">
        <f>CONCATENATE('ketv. 6 '!C128)</f>
        <v>08.1.3-CPVA-R-609-11-0006</v>
      </c>
      <c r="D127" s="231" t="str">
        <f>CONCATENATE('3 pr-2'!D129)</f>
        <v>UAB "Druskininkų šeimos klinika" asmens sveikatos priežiūros paslaugų prieinamumo ir efektyvumo didinimas</v>
      </c>
      <c r="E127" s="164" t="str">
        <f>CONCATENATE('3 pr-2'!E129)</f>
        <v>UAB „Druskininkų šeimos klinika“</v>
      </c>
      <c r="F127" s="164" t="str">
        <f>CONCATENATE('3 pr-2'!F129)</f>
        <v>Lietuvos Respublikos Sveikatos apsaugos ministerija</v>
      </c>
      <c r="G127" s="164" t="str">
        <f>CONCATENATE('3 pr-2'!G129)</f>
        <v>Druskininkų sav.</v>
      </c>
      <c r="H127" s="164" t="str">
        <f>CONCATENATE('3 pr-2'!H129)</f>
        <v>08.1.3-CPVA-R-609</v>
      </c>
      <c r="I127" s="164" t="str">
        <f>CONCATENATE('3 pr-2'!I129)</f>
        <v>R</v>
      </c>
      <c r="J127" s="164" t="str">
        <f>CONCATENATE('3 pr-2'!J129)</f>
        <v>-</v>
      </c>
      <c r="K127" s="1164">
        <f>SUM('3 pr-2'!L129)</f>
        <v>12289</v>
      </c>
      <c r="L127" s="1080">
        <f t="shared" si="159"/>
        <v>0</v>
      </c>
      <c r="M127" s="1082">
        <v>0</v>
      </c>
      <c r="N127" s="1082">
        <v>0</v>
      </c>
      <c r="O127" s="1082">
        <f t="shared" si="160"/>
        <v>0</v>
      </c>
      <c r="P127" s="1160">
        <f t="shared" si="161"/>
        <v>12289</v>
      </c>
      <c r="Q127" s="1164">
        <f>SUM('3 pr-2'!O129)</f>
        <v>0</v>
      </c>
      <c r="R127" s="1080">
        <f>SUMIF('mokėjimų ataskaita'!$I:$I,C127,'mokėjimų ataskaita'!$AU:$AU)/2</f>
        <v>0</v>
      </c>
      <c r="S127" s="1082"/>
      <c r="T127" s="1082"/>
      <c r="U127" s="1160">
        <f t="shared" si="162"/>
        <v>0</v>
      </c>
      <c r="V127" s="1164">
        <f>SUM('3 pr-2'!R129)</f>
        <v>922</v>
      </c>
      <c r="W127" s="1080">
        <f>SUMIF('mokėjimų ataskaita'!$I:$I,C127,'mokėjimų ataskaita'!$AL:$AL)/2</f>
        <v>0</v>
      </c>
      <c r="X127" s="1082"/>
      <c r="Y127" s="1082"/>
      <c r="Z127" s="1160">
        <f t="shared" si="163"/>
        <v>922</v>
      </c>
      <c r="AA127" s="1164">
        <f>SUM('3 pr-2'!U129)</f>
        <v>922</v>
      </c>
      <c r="AB127" s="1080">
        <f>SUMIF('mokėjimų ataskaita'!$I:$I,'ketv. 7 '!C127,'mokėjimų ataskaita'!$AW:$AW)/2</f>
        <v>0</v>
      </c>
      <c r="AC127" s="1082"/>
      <c r="AD127" s="1082"/>
      <c r="AE127" s="1160">
        <f t="shared" si="164"/>
        <v>922</v>
      </c>
      <c r="AF127" s="1164">
        <f>SUM('3 pr-2'!X129)</f>
        <v>0</v>
      </c>
      <c r="AG127" s="1080">
        <f>SUMIF('mokėjimų ataskaita'!$I:$I,'ketv. 7 '!C127,'mokėjimų ataskaita'!$AT:$AT)/2+SUMIF('mokėjimų ataskaita'!$I:$I,'ketv. 7 '!C127,'mokėjimų ataskaita'!$AV:$AV)/2</f>
        <v>0</v>
      </c>
      <c r="AH127" s="1082"/>
      <c r="AI127" s="1082"/>
      <c r="AJ127" s="1160">
        <f t="shared" si="165"/>
        <v>0</v>
      </c>
      <c r="AK127" s="1164">
        <f>SUM('3 pr-2'!AA129)</f>
        <v>10445</v>
      </c>
      <c r="AL127" s="1080">
        <f>SUMIF('mokėjimų ataskaita'!$I:$I,'ketv. 7 '!C127,'mokėjimų ataskaita'!$AK:$AK)/2</f>
        <v>0</v>
      </c>
      <c r="AM127" s="1082"/>
      <c r="AN127" s="1082"/>
      <c r="AO127" s="1167">
        <f t="shared" si="166"/>
        <v>10445</v>
      </c>
      <c r="AP127" s="1080">
        <f>SUM('3 pr-2'!AB129)</f>
        <v>0</v>
      </c>
      <c r="AQ127" s="1080">
        <v>0</v>
      </c>
    </row>
    <row r="128" spans="1:44" ht="60.75">
      <c r="A128" s="375" t="str">
        <f>CONCATENATE('3 pr-2'!A130)</f>
        <v>2.1.2.1.9</v>
      </c>
      <c r="B128" s="578" t="str">
        <f>CONCATENATE('3 pr-2'!B130)</f>
        <v>R01-6609-274710-2219</v>
      </c>
      <c r="C128" s="577" t="str">
        <f>CONCATENATE('ketv. 6 '!C129)</f>
        <v>08.1.3-CPVA-R-609-11-0001</v>
      </c>
      <c r="D128" s="231" t="str">
        <f>CONCATENATE('3 pr-2'!D130)</f>
        <v>I. S. Kavaliauskienės įmonės teikiamų pirminės ambulatorinės asmens sveikatos priežiūros paslaugų kokybės ir prieinamumo gerinimas</v>
      </c>
      <c r="E128" s="164" t="str">
        <f>CONCATENATE('3 pr-2'!E130)</f>
        <v>Irenos Stanislavos Kavaliauskienės įmonė</v>
      </c>
      <c r="F128" s="164" t="str">
        <f>CONCATENATE('3 pr-2'!F130)</f>
        <v>Lietuvos Respublikos Sveikatos apsaugos ministerija</v>
      </c>
      <c r="G128" s="164" t="str">
        <f>CONCATENATE('3 pr-2'!G130)</f>
        <v>Druskininkų sav.</v>
      </c>
      <c r="H128" s="164" t="str">
        <f>CONCATENATE('3 pr-2'!H130)</f>
        <v>08.1.3-CPVA-R-609</v>
      </c>
      <c r="I128" s="164" t="str">
        <f>CONCATENATE('3 pr-2'!I130)</f>
        <v>R</v>
      </c>
      <c r="J128" s="164" t="str">
        <f>CONCATENATE('3 pr-2'!J130)</f>
        <v>-</v>
      </c>
      <c r="K128" s="1164">
        <f>SUM('3 pr-2'!L130)</f>
        <v>25517</v>
      </c>
      <c r="L128" s="1080">
        <f t="shared" si="159"/>
        <v>0</v>
      </c>
      <c r="M128" s="1082">
        <v>0</v>
      </c>
      <c r="N128" s="1082">
        <v>0</v>
      </c>
      <c r="O128" s="1082">
        <f t="shared" si="160"/>
        <v>0</v>
      </c>
      <c r="P128" s="1160">
        <f t="shared" ref="P128:P131" si="167">SUM(K128-L128)</f>
        <v>25517</v>
      </c>
      <c r="Q128" s="1164">
        <f>SUM('3 pr-2'!O130)</f>
        <v>0</v>
      </c>
      <c r="R128" s="1080">
        <f>SUMIF('mokėjimų ataskaita'!$I:$I,C128,'mokėjimų ataskaita'!$AU:$AU)/2</f>
        <v>0</v>
      </c>
      <c r="S128" s="1082"/>
      <c r="T128" s="1082"/>
      <c r="U128" s="1160">
        <f t="shared" si="162"/>
        <v>0</v>
      </c>
      <c r="V128" s="1164">
        <f>SUM('3 pr-2'!R130)</f>
        <v>1913.55</v>
      </c>
      <c r="W128" s="1080">
        <f>SUMIF('mokėjimų ataskaita'!$I:$I,C128,'mokėjimų ataskaita'!$AL:$AL)/2</f>
        <v>0</v>
      </c>
      <c r="X128" s="1082"/>
      <c r="Y128" s="1082"/>
      <c r="Z128" s="1160">
        <f t="shared" ref="Z128:Z131" si="168">SUM(V128-W128)</f>
        <v>1913.55</v>
      </c>
      <c r="AA128" s="1164">
        <f>SUM('3 pr-2'!U130)</f>
        <v>1914</v>
      </c>
      <c r="AB128" s="1080">
        <f>SUMIF('mokėjimų ataskaita'!$I:$I,'ketv. 7 '!C128,'mokėjimų ataskaita'!$AW:$AW)/2</f>
        <v>0</v>
      </c>
      <c r="AC128" s="1082"/>
      <c r="AD128" s="1082"/>
      <c r="AE128" s="1160">
        <f t="shared" ref="AE128:AE131" si="169">SUM(AA128-AB128)</f>
        <v>1914</v>
      </c>
      <c r="AF128" s="1164">
        <f>SUM('3 pr-2'!X130)</f>
        <v>0</v>
      </c>
      <c r="AG128" s="1080">
        <f>SUMIF('mokėjimų ataskaita'!$I:$I,'ketv. 7 '!C128,'mokėjimų ataskaita'!$AT:$AT)/2+SUMIF('mokėjimų ataskaita'!$I:$I,'ketv. 7 '!C128,'mokėjimų ataskaita'!$AV:$AV)/2</f>
        <v>0</v>
      </c>
      <c r="AH128" s="1082"/>
      <c r="AI128" s="1082"/>
      <c r="AJ128" s="1160">
        <f t="shared" ref="AJ128:AJ131" si="170">SUM(AF128-AG128)</f>
        <v>0</v>
      </c>
      <c r="AK128" s="1164">
        <f>SUM('3 pr-2'!AA130)</f>
        <v>21689.45</v>
      </c>
      <c r="AL128" s="1080">
        <f>SUMIF('mokėjimų ataskaita'!$I:$I,'ketv. 7 '!C128,'mokėjimų ataskaita'!$AK:$AK)/2</f>
        <v>0</v>
      </c>
      <c r="AM128" s="1082"/>
      <c r="AN128" s="1082"/>
      <c r="AO128" s="1167">
        <f t="shared" si="166"/>
        <v>21689.45</v>
      </c>
      <c r="AP128" s="1080">
        <f>SUM('3 pr-2'!AB130)</f>
        <v>0</v>
      </c>
      <c r="AQ128" s="1080">
        <v>0</v>
      </c>
    </row>
    <row r="129" spans="1:44" ht="60.75">
      <c r="A129" s="375" t="str">
        <f>CONCATENATE('3 pr-2'!A131)</f>
        <v>2.1.2.1.10</v>
      </c>
      <c r="B129" s="578" t="str">
        <f>CONCATENATE('3 pr-2'!B131)</f>
        <v>R01-6609-274710-2220</v>
      </c>
      <c r="C129" s="577" t="str">
        <f>CONCATENATE('ketv. 6 '!C130)</f>
        <v>08.1.3-CPVA-R-609-11-0008</v>
      </c>
      <c r="D129" s="231" t="str">
        <f>CONCATENATE('3 pr-2'!D131)</f>
        <v>Pirminės ambulatorinės asmens sveikatos priežiūros efektyvumo didinimas R. Ambrazaitienės ir L. Puzinovienės šeimos gydytojų kabinetuose</v>
      </c>
      <c r="E129" s="164" t="str">
        <f>CONCATENATE('3 pr-2'!E131)</f>
        <v>UAB „Rasos Ambrazaitienės šeimos gydytojo kabinetas“</v>
      </c>
      <c r="F129" s="164" t="str">
        <f>CONCATENATE('3 pr-2'!F131)</f>
        <v>Lietuvos Respublikos Sveikatos apsaugos ministerija</v>
      </c>
      <c r="G129" s="164" t="str">
        <f>CONCATENATE('3 pr-2'!G131)</f>
        <v>Druskininkų sav.</v>
      </c>
      <c r="H129" s="164" t="str">
        <f>CONCATENATE('3 pr-2'!H131)</f>
        <v>08.1.3-CPVA-R-609</v>
      </c>
      <c r="I129" s="164" t="str">
        <f>CONCATENATE('3 pr-2'!I131)</f>
        <v>R</v>
      </c>
      <c r="J129" s="164" t="str">
        <f>CONCATENATE('3 pr-2'!J131)</f>
        <v>-</v>
      </c>
      <c r="K129" s="1164">
        <f>SUM('3 pr-2'!L131)</f>
        <v>27906</v>
      </c>
      <c r="L129" s="1080">
        <f t="shared" si="159"/>
        <v>0</v>
      </c>
      <c r="M129" s="1082">
        <v>0</v>
      </c>
      <c r="N129" s="1082">
        <v>0</v>
      </c>
      <c r="O129" s="1082">
        <f t="shared" si="160"/>
        <v>0</v>
      </c>
      <c r="P129" s="1160">
        <f t="shared" si="167"/>
        <v>27906</v>
      </c>
      <c r="Q129" s="1164">
        <f>SUM('3 pr-2'!O131)</f>
        <v>0</v>
      </c>
      <c r="R129" s="1080">
        <f>SUMIF('mokėjimų ataskaita'!$I:$I,C129,'mokėjimų ataskaita'!$AU:$AU)/2</f>
        <v>0</v>
      </c>
      <c r="S129" s="1082"/>
      <c r="T129" s="1082"/>
      <c r="U129" s="1160">
        <f t="shared" si="162"/>
        <v>0</v>
      </c>
      <c r="V129" s="1164">
        <f>SUM('3 pr-2'!R131)</f>
        <v>2093</v>
      </c>
      <c r="W129" s="1080">
        <f>SUMIF('mokėjimų ataskaita'!$I:$I,C129,'mokėjimų ataskaita'!$AL:$AL)/2</f>
        <v>0</v>
      </c>
      <c r="X129" s="1082"/>
      <c r="Y129" s="1082"/>
      <c r="Z129" s="1160">
        <f t="shared" si="168"/>
        <v>2093</v>
      </c>
      <c r="AA129" s="1164">
        <f>SUM('3 pr-2'!U131)</f>
        <v>2093</v>
      </c>
      <c r="AB129" s="1080">
        <f>SUMIF('mokėjimų ataskaita'!$I:$I,'ketv. 7 '!C129,'mokėjimų ataskaita'!$AW:$AW)/2</f>
        <v>0</v>
      </c>
      <c r="AC129" s="1082"/>
      <c r="AD129" s="1082"/>
      <c r="AE129" s="1160">
        <f t="shared" si="169"/>
        <v>2093</v>
      </c>
      <c r="AF129" s="1164">
        <f>SUM('3 pr-2'!X131)</f>
        <v>0</v>
      </c>
      <c r="AG129" s="1080">
        <f>SUMIF('mokėjimų ataskaita'!$I:$I,'ketv. 7 '!C129,'mokėjimų ataskaita'!$AT:$AT)/2+SUMIF('mokėjimų ataskaita'!$I:$I,'ketv. 7 '!C129,'mokėjimų ataskaita'!$AV:$AV)/2</f>
        <v>0</v>
      </c>
      <c r="AH129" s="1082"/>
      <c r="AI129" s="1082"/>
      <c r="AJ129" s="1160">
        <f t="shared" si="170"/>
        <v>0</v>
      </c>
      <c r="AK129" s="1164">
        <f>SUM('3 pr-2'!AA131)</f>
        <v>23720</v>
      </c>
      <c r="AL129" s="1080">
        <f>SUMIF('mokėjimų ataskaita'!$I:$I,'ketv. 7 '!C129,'mokėjimų ataskaita'!$AK:$AK)/2</f>
        <v>0</v>
      </c>
      <c r="AM129" s="1082"/>
      <c r="AN129" s="1082"/>
      <c r="AO129" s="1167">
        <f t="shared" si="166"/>
        <v>23720</v>
      </c>
      <c r="AP129" s="1080">
        <f>SUM('3 pr-2'!AB131)</f>
        <v>0</v>
      </c>
      <c r="AQ129" s="1080">
        <v>0</v>
      </c>
    </row>
    <row r="130" spans="1:44" ht="48.75">
      <c r="A130" s="375" t="str">
        <f>CONCATENATE('3 pr-2'!A132)</f>
        <v>2.1.2.1.11</v>
      </c>
      <c r="B130" s="578" t="str">
        <f>CONCATENATE('3 pr-2'!B132)</f>
        <v>R01-6609-274700-2221</v>
      </c>
      <c r="C130" s="577" t="str">
        <f>CONCATENATE('ketv. 6 '!C131)</f>
        <v>08.1.3-CPVA-R-609-11-0010</v>
      </c>
      <c r="D130" s="231" t="str">
        <f>CONCATENATE('3 pr-2'!D132)</f>
        <v>Pirminės asmens sveikatos priežiūros veiklos efektyvumo didinimas Lazdijų rajono savivaldybėje</v>
      </c>
      <c r="E130" s="164" t="str">
        <f>CONCATENATE('3 pr-2'!E132)</f>
        <v>Lazdijų rajono savivaldybės administracija</v>
      </c>
      <c r="F130" s="164" t="str">
        <f>CONCATENATE('3 pr-2'!F132)</f>
        <v>Lietuvos Respublikos Sveikatos apsaugos ministerija</v>
      </c>
      <c r="G130" s="164" t="str">
        <f>CONCATENATE('3 pr-2'!G132)</f>
        <v>Lazdijų r. sav.</v>
      </c>
      <c r="H130" s="164" t="str">
        <f>CONCATENATE('3 pr-2'!H132)</f>
        <v>08.1.3-CPVA-R-609</v>
      </c>
      <c r="I130" s="164" t="str">
        <f>CONCATENATE('3 pr-2'!I132)</f>
        <v>R</v>
      </c>
      <c r="J130" s="164" t="str">
        <f>CONCATENATE('3 pr-2'!J132)</f>
        <v>-</v>
      </c>
      <c r="K130" s="1164">
        <f>SUM('3 pr-2'!L132)</f>
        <v>192719</v>
      </c>
      <c r="L130" s="1080">
        <f t="shared" si="159"/>
        <v>0</v>
      </c>
      <c r="M130" s="1082">
        <v>0</v>
      </c>
      <c r="N130" s="1082">
        <v>0</v>
      </c>
      <c r="O130" s="1082">
        <f t="shared" si="160"/>
        <v>0</v>
      </c>
      <c r="P130" s="1160">
        <f t="shared" si="167"/>
        <v>192719</v>
      </c>
      <c r="Q130" s="1164">
        <f>SUM('3 pr-2'!O132)</f>
        <v>2983</v>
      </c>
      <c r="R130" s="1080">
        <f>SUMIF('mokėjimų ataskaita'!$I:$I,C130,'mokėjimų ataskaita'!$AU:$AU)/2</f>
        <v>0</v>
      </c>
      <c r="S130" s="1082"/>
      <c r="T130" s="1082"/>
      <c r="U130" s="1160">
        <f t="shared" si="162"/>
        <v>2983</v>
      </c>
      <c r="V130" s="1164">
        <f>SUM('3 pr-2'!R132)</f>
        <v>14454</v>
      </c>
      <c r="W130" s="1080">
        <f>SUMIF('mokėjimų ataskaita'!$I:$I,C130,'mokėjimų ataskaita'!$AL:$AL)/2</f>
        <v>0</v>
      </c>
      <c r="X130" s="1082"/>
      <c r="Y130" s="1082"/>
      <c r="Z130" s="1160">
        <f t="shared" si="168"/>
        <v>14454</v>
      </c>
      <c r="AA130" s="1164">
        <f>SUM('3 pr-2'!U132)</f>
        <v>11471</v>
      </c>
      <c r="AB130" s="1080">
        <f>SUMIF('mokėjimų ataskaita'!$I:$I,'ketv. 7 '!C130,'mokėjimų ataskaita'!$AW:$AW)/2</f>
        <v>0</v>
      </c>
      <c r="AC130" s="1082"/>
      <c r="AD130" s="1082"/>
      <c r="AE130" s="1160">
        <f t="shared" si="169"/>
        <v>11471</v>
      </c>
      <c r="AF130" s="1164">
        <f>SUM('3 pr-2'!X132)</f>
        <v>0</v>
      </c>
      <c r="AG130" s="1080">
        <f>SUMIF('mokėjimų ataskaita'!$I:$I,'ketv. 7 '!C130,'mokėjimų ataskaita'!$AT:$AT)/2+SUMIF('mokėjimų ataskaita'!$I:$I,'ketv. 7 '!C130,'mokėjimų ataskaita'!$AV:$AV)/2</f>
        <v>0</v>
      </c>
      <c r="AH130" s="1082"/>
      <c r="AI130" s="1082"/>
      <c r="AJ130" s="1160">
        <f t="shared" si="170"/>
        <v>0</v>
      </c>
      <c r="AK130" s="1164">
        <f>SUM('3 pr-2'!AA132)</f>
        <v>163811</v>
      </c>
      <c r="AL130" s="1080">
        <f>SUMIF('mokėjimų ataskaita'!$I:$I,'ketv. 7 '!C130,'mokėjimų ataskaita'!$AK:$AK)/2</f>
        <v>0</v>
      </c>
      <c r="AM130" s="1082"/>
      <c r="AN130" s="1082"/>
      <c r="AO130" s="1167">
        <f t="shared" si="166"/>
        <v>163811</v>
      </c>
      <c r="AP130" s="1080">
        <f>SUM('3 pr-2'!AB132)</f>
        <v>0</v>
      </c>
      <c r="AQ130" s="1080">
        <v>0</v>
      </c>
    </row>
    <row r="131" spans="1:44" ht="48.75">
      <c r="A131" s="375" t="str">
        <f>CONCATENATE('3 pr-2'!A133)</f>
        <v>2.1.2.1.12</v>
      </c>
      <c r="B131" s="578" t="str">
        <f>CONCATENATE('3 pr-2'!B133)</f>
        <v>R01-6609-274710-2222</v>
      </c>
      <c r="C131" s="577" t="str">
        <f>CONCATENATE('ketv. 6 '!C132)</f>
        <v>08.1.3-CPVA-R-609-11-0012</v>
      </c>
      <c r="D131" s="231" t="str">
        <f>CONCATENATE('3 pr-2'!D133)</f>
        <v>Pirminės asmens sveikatos priežiūros veiklos efektyvumo didinimas Varėnos rajono savivaldybėje</v>
      </c>
      <c r="E131" s="164" t="str">
        <f>CONCATENATE('3 pr-2'!E133)</f>
        <v>VšĮ Varėnos pirminės sveikatos priežiūros centras</v>
      </c>
      <c r="F131" s="164" t="str">
        <f>CONCATENATE('3 pr-2'!F133)</f>
        <v>Lietuvos Respublikos Sveikatos apsaugos ministerija</v>
      </c>
      <c r="G131" s="164" t="str">
        <f>CONCATENATE('3 pr-2'!G133)</f>
        <v>Varėnos r. sav.</v>
      </c>
      <c r="H131" s="164" t="str">
        <f>CONCATENATE('3 pr-2'!H133)</f>
        <v>08.1.3-CPVA-R-609</v>
      </c>
      <c r="I131" s="164" t="str">
        <f>CONCATENATE('3 pr-2'!I133)</f>
        <v>R</v>
      </c>
      <c r="J131" s="164" t="str">
        <f>CONCATENATE('3 pr-2'!J133)</f>
        <v>-</v>
      </c>
      <c r="K131" s="1164">
        <f>SUM('3 pr-2'!L133)</f>
        <v>192678</v>
      </c>
      <c r="L131" s="1080">
        <f t="shared" si="159"/>
        <v>0</v>
      </c>
      <c r="M131" s="1082">
        <v>0</v>
      </c>
      <c r="N131" s="1082">
        <v>0</v>
      </c>
      <c r="O131" s="1082">
        <f t="shared" si="160"/>
        <v>0</v>
      </c>
      <c r="P131" s="1160">
        <f t="shared" si="167"/>
        <v>192678</v>
      </c>
      <c r="Q131" s="1164">
        <f>SUM('3 pr-2'!O133)</f>
        <v>14451</v>
      </c>
      <c r="R131" s="1080">
        <f>SUMIF('mokėjimų ataskaita'!$I:$I,C131,'mokėjimų ataskaita'!$AU:$AU)/2</f>
        <v>0</v>
      </c>
      <c r="S131" s="1082"/>
      <c r="T131" s="1082"/>
      <c r="U131" s="1160">
        <f t="shared" si="162"/>
        <v>14451</v>
      </c>
      <c r="V131" s="1164">
        <f>SUM('3 pr-2'!R133)</f>
        <v>14451</v>
      </c>
      <c r="W131" s="1080">
        <f>SUMIF('mokėjimų ataskaita'!$I:$I,C131,'mokėjimų ataskaita'!$AL:$AL)/2</f>
        <v>0</v>
      </c>
      <c r="X131" s="1082"/>
      <c r="Y131" s="1082"/>
      <c r="Z131" s="1160">
        <f t="shared" si="168"/>
        <v>14451</v>
      </c>
      <c r="AA131" s="1164">
        <f>SUM('3 pr-2'!U133)</f>
        <v>0</v>
      </c>
      <c r="AB131" s="1080">
        <f>SUMIF('mokėjimų ataskaita'!$I:$I,'ketv. 7 '!C131,'mokėjimų ataskaita'!$AW:$AW)/2</f>
        <v>0</v>
      </c>
      <c r="AC131" s="1082"/>
      <c r="AD131" s="1082"/>
      <c r="AE131" s="1160">
        <f t="shared" si="169"/>
        <v>0</v>
      </c>
      <c r="AF131" s="1164">
        <f>SUM('3 pr-2'!X133)</f>
        <v>0</v>
      </c>
      <c r="AG131" s="1080">
        <f>SUMIF('mokėjimų ataskaita'!$I:$I,'ketv. 7 '!C131,'mokėjimų ataskaita'!$AT:$AT)/2+SUMIF('mokėjimų ataskaita'!$I:$I,'ketv. 7 '!C131,'mokėjimų ataskaita'!$AV:$AV)/2</f>
        <v>0</v>
      </c>
      <c r="AH131" s="1082"/>
      <c r="AI131" s="1082"/>
      <c r="AJ131" s="1160">
        <f t="shared" si="170"/>
        <v>0</v>
      </c>
      <c r="AK131" s="1164">
        <f>SUM('3 pr-2'!AA133)</f>
        <v>163776</v>
      </c>
      <c r="AL131" s="1080">
        <f>SUMIF('mokėjimų ataskaita'!$I:$I,'ketv. 7 '!C131,'mokėjimų ataskaita'!$AK:$AK)/2</f>
        <v>0</v>
      </c>
      <c r="AM131" s="1082"/>
      <c r="AN131" s="1082"/>
      <c r="AO131" s="1167">
        <f t="shared" si="166"/>
        <v>163776</v>
      </c>
      <c r="AP131" s="1080">
        <f>SUM('3 pr-2'!AB133)</f>
        <v>0</v>
      </c>
      <c r="AQ131" s="1080">
        <v>0</v>
      </c>
    </row>
    <row r="132" spans="1:44" ht="49.5" thickBot="1">
      <c r="A132" s="375" t="str">
        <f>CONCATENATE('3 pr-2'!A134)</f>
        <v>2.1.2.1.13</v>
      </c>
      <c r="B132" s="578" t="str">
        <f>CONCATENATE('3 pr-2'!B134)</f>
        <v>R01-6609-470000-2223</v>
      </c>
      <c r="C132" s="577" t="str">
        <f>CONCATENATE('ketv. 6 '!C133)</f>
        <v>-</v>
      </c>
      <c r="D132" s="231" t="str">
        <f>CONCATENATE('3 pr-2'!D134)</f>
        <v>Pirminės asmens sveikatos priežiūros veiklos efektyvumo didinimas N. Jarašienės personalinėje įmonėje</v>
      </c>
      <c r="E132" s="164" t="str">
        <f>CONCATENATE('3 pr-2'!E134)</f>
        <v>N. Jarašienės personalinė įmonė</v>
      </c>
      <c r="F132" s="164" t="str">
        <f>CONCATENATE('3 pr-2'!F134)</f>
        <v>Lietuvos Respublikos Sveikatos apsaugos ministerija</v>
      </c>
      <c r="G132" s="164" t="str">
        <f>CONCATENATE('3 pr-2'!G134)</f>
        <v>Varėnos r. sav.</v>
      </c>
      <c r="H132" s="164" t="str">
        <f>CONCATENATE('3 pr-2'!H134)</f>
        <v>08.1.3-CPVA-R-609</v>
      </c>
      <c r="I132" s="164" t="str">
        <f>CONCATENATE('3 pr-2'!I134)</f>
        <v>R</v>
      </c>
      <c r="J132" s="164" t="str">
        <f>CONCATENATE('3 pr-2'!J134)</f>
        <v>-</v>
      </c>
      <c r="K132" s="1164">
        <f>SUM('3 pr-2'!L134)</f>
        <v>8305</v>
      </c>
      <c r="L132" s="1080">
        <f t="shared" si="159"/>
        <v>0</v>
      </c>
      <c r="M132" s="1082">
        <v>0</v>
      </c>
      <c r="N132" s="1082">
        <v>0</v>
      </c>
      <c r="O132" s="1082">
        <f t="shared" si="160"/>
        <v>0</v>
      </c>
      <c r="P132" s="1160">
        <f t="shared" ref="P132" si="171">SUM(K132-L132)</f>
        <v>8305</v>
      </c>
      <c r="Q132" s="1164">
        <f>SUM('3 pr-2'!O134)</f>
        <v>0</v>
      </c>
      <c r="R132" s="1080">
        <f>SUMIF('mokėjimų ataskaita'!$I:$I,C132,'mokėjimų ataskaita'!$AU:$AU)/2</f>
        <v>0</v>
      </c>
      <c r="S132" s="1082"/>
      <c r="T132" s="1082"/>
      <c r="U132" s="1160">
        <f t="shared" ref="U132" si="172">SUM(Q132-R132)</f>
        <v>0</v>
      </c>
      <c r="V132" s="1164">
        <f>SUM('3 pr-2'!R134)</f>
        <v>623</v>
      </c>
      <c r="W132" s="1080">
        <f>SUMIF('mokėjimų ataskaita'!$I:$I,C132,'mokėjimų ataskaita'!$AL:$AL)/2</f>
        <v>0</v>
      </c>
      <c r="X132" s="1082"/>
      <c r="Y132" s="1082"/>
      <c r="Z132" s="1160">
        <f t="shared" ref="Z132" si="173">SUM(V132-W132)</f>
        <v>623</v>
      </c>
      <c r="AA132" s="1164">
        <f>SUM('3 pr-2'!U134)</f>
        <v>623</v>
      </c>
      <c r="AB132" s="1080">
        <f>SUMIF('mokėjimų ataskaita'!$I:$I,'ketv. 7 '!C132,'mokėjimų ataskaita'!$AW:$AW)/2</f>
        <v>0</v>
      </c>
      <c r="AC132" s="1082"/>
      <c r="AD132" s="1082"/>
      <c r="AE132" s="1160">
        <f t="shared" ref="AE132" si="174">SUM(AA132-AB132)</f>
        <v>623</v>
      </c>
      <c r="AF132" s="1164">
        <f>SUM('3 pr-2'!X134)</f>
        <v>0</v>
      </c>
      <c r="AG132" s="1080">
        <f>SUMIF('mokėjimų ataskaita'!$I:$I,'ketv. 7 '!C132,'mokėjimų ataskaita'!$AT:$AT)/2+SUMIF('mokėjimų ataskaita'!$I:$I,'ketv. 7 '!C132,'mokėjimų ataskaita'!$AV:$AV)/2</f>
        <v>0</v>
      </c>
      <c r="AH132" s="1082"/>
      <c r="AI132" s="1082"/>
      <c r="AJ132" s="1160">
        <f t="shared" ref="AJ132" si="175">SUM(AF132-AG132)</f>
        <v>0</v>
      </c>
      <c r="AK132" s="1164">
        <f>SUM('3 pr-2'!AA134)</f>
        <v>7059</v>
      </c>
      <c r="AL132" s="1080">
        <f>SUMIF('mokėjimų ataskaita'!$I:$I,'ketv. 7 '!C132,'mokėjimų ataskaita'!$AK:$AK)/2</f>
        <v>0</v>
      </c>
      <c r="AM132" s="1082"/>
      <c r="AN132" s="1082"/>
      <c r="AO132" s="1167">
        <f t="shared" ref="AO132" si="176">SUM(AK132-AL132)</f>
        <v>7059</v>
      </c>
      <c r="AP132" s="1080">
        <f>SUM('3 pr-2'!AB134)</f>
        <v>0</v>
      </c>
      <c r="AQ132" s="1080">
        <v>0</v>
      </c>
    </row>
    <row r="133" spans="1:44" ht="35.25" customHeight="1" thickBot="1">
      <c r="A133" s="296" t="str">
        <f>CONCATENATE('3 pr-2'!A135)</f>
        <v>2.1.2.2</v>
      </c>
      <c r="B133" s="2088" t="str">
        <f>CONCATENATE('3 pr-2'!B135)</f>
        <v>Priemonė:
Sveikos gyvensenos skatinimas regioniniu lygiu</v>
      </c>
      <c r="C133" s="2089"/>
      <c r="D133" s="2089"/>
      <c r="E133" s="2089"/>
      <c r="F133" s="2089"/>
      <c r="G133" s="2089"/>
      <c r="H133" s="2089"/>
      <c r="I133" s="2089"/>
      <c r="J133" s="2090"/>
      <c r="K133" s="1168">
        <f t="shared" ref="K133:AK133" si="177">SUM(K134:K138)</f>
        <v>994984.5399999998</v>
      </c>
      <c r="L133" s="1168">
        <f t="shared" si="177"/>
        <v>370788.67999999993</v>
      </c>
      <c r="M133" s="1168">
        <f t="shared" si="177"/>
        <v>0</v>
      </c>
      <c r="N133" s="1168">
        <f t="shared" si="177"/>
        <v>281544.38</v>
      </c>
      <c r="O133" s="1168"/>
      <c r="P133" s="1168">
        <f t="shared" si="177"/>
        <v>624195.86</v>
      </c>
      <c r="Q133" s="1168">
        <f t="shared" si="177"/>
        <v>74624.070000000007</v>
      </c>
      <c r="R133" s="1168">
        <f t="shared" si="177"/>
        <v>11687.669999999998</v>
      </c>
      <c r="S133" s="1168">
        <f t="shared" si="177"/>
        <v>0</v>
      </c>
      <c r="T133" s="1168">
        <f t="shared" si="177"/>
        <v>0</v>
      </c>
      <c r="U133" s="1168">
        <f t="shared" si="177"/>
        <v>62936.400000000009</v>
      </c>
      <c r="V133" s="1168">
        <f t="shared" si="177"/>
        <v>74623.62</v>
      </c>
      <c r="W133" s="1168">
        <f t="shared" si="177"/>
        <v>29116.23</v>
      </c>
      <c r="X133" s="1168">
        <f t="shared" si="177"/>
        <v>0</v>
      </c>
      <c r="Y133" s="1168">
        <f t="shared" si="177"/>
        <v>0</v>
      </c>
      <c r="Z133" s="1168">
        <f t="shared" si="177"/>
        <v>45507.39</v>
      </c>
      <c r="AA133" s="1168">
        <f t="shared" si="177"/>
        <v>0</v>
      </c>
      <c r="AB133" s="1168">
        <f t="shared" si="177"/>
        <v>0</v>
      </c>
      <c r="AC133" s="1168">
        <f t="shared" si="177"/>
        <v>0</v>
      </c>
      <c r="AD133" s="1168">
        <f t="shared" si="177"/>
        <v>0</v>
      </c>
      <c r="AE133" s="1168">
        <f t="shared" si="177"/>
        <v>0</v>
      </c>
      <c r="AF133" s="1168">
        <f t="shared" si="177"/>
        <v>0</v>
      </c>
      <c r="AG133" s="1168">
        <f t="shared" si="177"/>
        <v>0</v>
      </c>
      <c r="AH133" s="1168">
        <f t="shared" si="177"/>
        <v>0</v>
      </c>
      <c r="AI133" s="1168">
        <f t="shared" si="177"/>
        <v>0</v>
      </c>
      <c r="AJ133" s="1168">
        <f t="shared" si="177"/>
        <v>0</v>
      </c>
      <c r="AK133" s="1168">
        <f t="shared" si="177"/>
        <v>845736.85</v>
      </c>
      <c r="AL133" s="1168">
        <f>SUM(AL134:AL138)</f>
        <v>329984.77999999997</v>
      </c>
      <c r="AM133" s="1168">
        <f t="shared" ref="AM133:AQ133" si="178">SUM(AM134:AM138)</f>
        <v>0</v>
      </c>
      <c r="AN133" s="1168">
        <f t="shared" si="178"/>
        <v>0</v>
      </c>
      <c r="AO133" s="1168">
        <f t="shared" si="178"/>
        <v>515752.07000000007</v>
      </c>
      <c r="AP133" s="1168">
        <f t="shared" si="178"/>
        <v>0</v>
      </c>
      <c r="AQ133" s="1168">
        <f t="shared" si="178"/>
        <v>0</v>
      </c>
      <c r="AR133" s="233">
        <f>SUM(K133-'3 pr-2'!L135)</f>
        <v>0</v>
      </c>
    </row>
    <row r="134" spans="1:44" ht="48.75">
      <c r="A134" s="375" t="str">
        <f>CONCATENATE('3 pr-2'!A136)</f>
        <v>2.1.2.2.1</v>
      </c>
      <c r="B134" s="578" t="str">
        <f>CONCATENATE('3 pr-2'!B136)</f>
        <v>R01-6630-475000-2221</v>
      </c>
      <c r="C134" s="251" t="str">
        <f>CONCATENATE('ketv. 6 '!C135)</f>
        <v>08.4.2-ESFA-R-630-11-0004</v>
      </c>
      <c r="D134" s="575" t="str">
        <f>CONCATENATE('3 pr-2'!D136)</f>
        <v>Sveikos gyvensenos skatinimas Alytaus rajone</v>
      </c>
      <c r="E134" s="375" t="str">
        <f>CONCATENATE('3 pr-2'!E136)</f>
        <v>Alytaus rajono savivaldybės visuomenės sveikatos biuras</v>
      </c>
      <c r="F134" s="375" t="str">
        <f>CONCATENATE('3 pr-2'!F136)</f>
        <v>Lietuvos Respublikos Sveikatos apsaugos ministerija</v>
      </c>
      <c r="G134" s="375" t="str">
        <f>CONCATENATE('3 pr-2'!G136)</f>
        <v>Alytaus r. sav.</v>
      </c>
      <c r="H134" s="375" t="str">
        <f>CONCATENATE('3 pr-2'!H136)</f>
        <v>08.4.2-ESFA-R-630</v>
      </c>
      <c r="I134" s="375" t="str">
        <f>CONCATENATE('3 pr-2'!I136)</f>
        <v>R</v>
      </c>
      <c r="J134" s="375" t="str">
        <f>CONCATENATE('3 pr-2'!J136)</f>
        <v>-</v>
      </c>
      <c r="K134" s="1164">
        <f>SUM('3 pr-2'!L136)</f>
        <v>198997.18</v>
      </c>
      <c r="L134" s="1162">
        <f t="shared" ref="L134:L138" si="179">SUM(R134+W134+AB134+AG134+AL134)</f>
        <v>38409.060000000005</v>
      </c>
      <c r="M134" s="1197">
        <v>0</v>
      </c>
      <c r="N134" s="1197">
        <v>20300.61</v>
      </c>
      <c r="O134" s="1197">
        <f t="shared" si="160"/>
        <v>18108.450000000004</v>
      </c>
      <c r="P134" s="1174">
        <f t="shared" si="82"/>
        <v>160588.12</v>
      </c>
      <c r="Q134" s="1164">
        <f>SUM('3 pr-2'!O136)</f>
        <v>14924.79</v>
      </c>
      <c r="R134" s="1162">
        <f>SUMIF('mokėjimų ataskaita'!$I:$I,C134,'mokėjimų ataskaita'!$AU:$AU)/2</f>
        <v>1972.9</v>
      </c>
      <c r="S134" s="1197"/>
      <c r="T134" s="1197"/>
      <c r="U134" s="1174">
        <f>SUM(Q134-R134)</f>
        <v>12951.890000000001</v>
      </c>
      <c r="V134" s="1164">
        <f>SUM('3 pr-2'!R136)</f>
        <v>14924.79</v>
      </c>
      <c r="W134" s="1162">
        <f>SUMIF('mokėjimų ataskaita'!$I:$I,C134,'mokėjimų ataskaita'!$AL:$AL)/2</f>
        <v>2954.29</v>
      </c>
      <c r="X134" s="1197"/>
      <c r="Y134" s="1197"/>
      <c r="Z134" s="1174">
        <f t="shared" ref="Z134:Z138" si="180">SUM(V134-W134)</f>
        <v>11970.5</v>
      </c>
      <c r="AA134" s="1164">
        <f>SUM('3 pr-2'!U136)</f>
        <v>0</v>
      </c>
      <c r="AB134" s="1080">
        <f>SUMIF('mokėjimų ataskaita'!$I:$I,'ketv. 7 '!C134,'mokėjimų ataskaita'!$AW:$AW)/2</f>
        <v>0</v>
      </c>
      <c r="AC134" s="1197"/>
      <c r="AD134" s="1197"/>
      <c r="AE134" s="1174">
        <f t="shared" ref="AE134:AE138" si="181">SUM(AA134-AB134)</f>
        <v>0</v>
      </c>
      <c r="AF134" s="1164">
        <f>SUM('3 pr-2'!X136)</f>
        <v>0</v>
      </c>
      <c r="AG134" s="1173">
        <f>SUMIF('mokėjimų ataskaita'!$I:$I,'ketv. 7 '!C134,'mokėjimų ataskaita'!$AT:$AT)/2+SUMIF('mokėjimų ataskaita'!$I:$I,'ketv. 7 '!C134,'mokėjimų ataskaita'!$AV:$AV)/2</f>
        <v>0</v>
      </c>
      <c r="AH134" s="1197"/>
      <c r="AI134" s="1197"/>
      <c r="AJ134" s="1174">
        <f t="shared" ref="AJ134:AJ138" si="182">SUM(AF134-AG134)</f>
        <v>0</v>
      </c>
      <c r="AK134" s="1164">
        <f>SUM('3 pr-2'!AA136)</f>
        <v>169147.6</v>
      </c>
      <c r="AL134" s="1159">
        <f>SUMIF('mokėjimų ataskaita'!$I:$I,'ketv. 7 '!C134,'mokėjimų ataskaita'!$AK:$AK)/2</f>
        <v>33481.870000000003</v>
      </c>
      <c r="AM134" s="1197"/>
      <c r="AN134" s="1197"/>
      <c r="AO134" s="1167">
        <f>SUM(AK134-AL134)</f>
        <v>135665.73000000001</v>
      </c>
      <c r="AP134" s="1080">
        <f>SUM('3 pr-2'!AB136)</f>
        <v>0</v>
      </c>
      <c r="AQ134" s="1159">
        <v>0</v>
      </c>
    </row>
    <row r="135" spans="1:44" ht="36.75">
      <c r="A135" s="375" t="str">
        <f>CONCATENATE('3 pr-2'!A137)</f>
        <v>2.1.2.2.2</v>
      </c>
      <c r="B135" s="578" t="str">
        <f>CONCATENATE('3 pr-2'!B137)</f>
        <v>R01-6630-470000-2222</v>
      </c>
      <c r="C135" s="251" t="str">
        <f>CONCATENATE('ketv. 6 '!C136)</f>
        <v>08.4.2-ESFA-R-630-11-0001</v>
      </c>
      <c r="D135" s="575" t="str">
        <f>CONCATENATE('3 pr-2'!D137)</f>
        <v>Mažais žingsneliais – sveikos gyvensenos link</v>
      </c>
      <c r="E135" s="375" t="str">
        <f>CONCATENATE('3 pr-2'!E137)</f>
        <v>Alytaus miesto savivaldybės administracija</v>
      </c>
      <c r="F135" s="375" t="str">
        <f>CONCATENATE('3 pr-2'!F137)</f>
        <v>Lietuvos Respublikos Sveikatos apsaugos ministerija</v>
      </c>
      <c r="G135" s="375" t="str">
        <f>CONCATENATE('3 pr-2'!G137)</f>
        <v>Alytaus m. sav.</v>
      </c>
      <c r="H135" s="375" t="str">
        <f>CONCATENATE('3 pr-2'!H137)</f>
        <v>08.4.2-ESFA-R-630</v>
      </c>
      <c r="I135" s="375" t="str">
        <f>CONCATENATE('3 pr-2'!I137)</f>
        <v>R</v>
      </c>
      <c r="J135" s="375" t="str">
        <f>CONCATENATE('3 pr-2'!J137)</f>
        <v>-</v>
      </c>
      <c r="K135" s="1164">
        <f>SUM('3 pr-2'!L137)</f>
        <v>198996</v>
      </c>
      <c r="L135" s="1162">
        <f t="shared" si="179"/>
        <v>54037.99</v>
      </c>
      <c r="M135" s="1197">
        <v>0</v>
      </c>
      <c r="N135" s="1197">
        <v>46780.56</v>
      </c>
      <c r="O135" s="1197">
        <f t="shared" si="160"/>
        <v>7257.43</v>
      </c>
      <c r="P135" s="1174">
        <f t="shared" si="82"/>
        <v>144958.01</v>
      </c>
      <c r="Q135" s="1164">
        <f>SUM('3 pr-2'!O137)</f>
        <v>14924.7</v>
      </c>
      <c r="R135" s="1162">
        <f>SUMIF('mokėjimų ataskaita'!$I:$I,C135,'mokėjimų ataskaita'!$AU:$AU)/2</f>
        <v>641.09999999999991</v>
      </c>
      <c r="S135" s="1197"/>
      <c r="T135" s="1197"/>
      <c r="U135" s="1174">
        <f>SUM(Q135-R135)</f>
        <v>14283.6</v>
      </c>
      <c r="V135" s="1164">
        <f>SUM('3 pr-2'!R137)</f>
        <v>14924.7</v>
      </c>
      <c r="W135" s="1162">
        <f>SUMIF('mokėjimų ataskaita'!$I:$I,C135,'mokėjimų ataskaita'!$AL:$AL)/2</f>
        <v>4329.4799999999996</v>
      </c>
      <c r="X135" s="1197"/>
      <c r="Y135" s="1197"/>
      <c r="Z135" s="1174">
        <f t="shared" si="180"/>
        <v>10595.220000000001</v>
      </c>
      <c r="AA135" s="1164">
        <f>SUM('3 pr-2'!U137)</f>
        <v>0</v>
      </c>
      <c r="AB135" s="1080">
        <f>SUMIF('mokėjimų ataskaita'!$I:$I,'ketv. 7 '!C135,'mokėjimų ataskaita'!$AW:$AW)/2</f>
        <v>0</v>
      </c>
      <c r="AC135" s="1197"/>
      <c r="AD135" s="1197"/>
      <c r="AE135" s="1174">
        <f t="shared" si="181"/>
        <v>0</v>
      </c>
      <c r="AF135" s="1164">
        <f>SUM('3 pr-2'!X137)</f>
        <v>0</v>
      </c>
      <c r="AG135" s="1173">
        <f>SUMIF('mokėjimų ataskaita'!$I:$I,'ketv. 7 '!C135,'mokėjimų ataskaita'!$AT:$AT)/2+SUMIF('mokėjimų ataskaita'!$I:$I,'ketv. 7 '!C135,'mokėjimų ataskaita'!$AV:$AV)/2</f>
        <v>0</v>
      </c>
      <c r="AH135" s="1197"/>
      <c r="AI135" s="1197"/>
      <c r="AJ135" s="1174">
        <f t="shared" si="182"/>
        <v>0</v>
      </c>
      <c r="AK135" s="1164">
        <f>SUM('3 pr-2'!AA137)</f>
        <v>169146.6</v>
      </c>
      <c r="AL135" s="1159">
        <f>SUMIF('mokėjimų ataskaita'!$I:$I,'ketv. 7 '!C135,'mokėjimų ataskaita'!$AK:$AK)/2</f>
        <v>49067.409999999996</v>
      </c>
      <c r="AM135" s="1197"/>
      <c r="AN135" s="1197"/>
      <c r="AO135" s="1167">
        <f>SUM(AK135-AL135)</f>
        <v>120079.19</v>
      </c>
      <c r="AP135" s="1080">
        <f>SUM('3 pr-2'!AB137)</f>
        <v>0</v>
      </c>
      <c r="AQ135" s="1159">
        <v>0</v>
      </c>
    </row>
    <row r="136" spans="1:44" ht="48.75">
      <c r="A136" s="375" t="str">
        <f>CONCATENATE('3 pr-2'!A138)</f>
        <v>2.1.2.2.3</v>
      </c>
      <c r="B136" s="578" t="str">
        <f>CONCATENATE('3 pr-2'!B138)</f>
        <v>R01-6630-470000-2223</v>
      </c>
      <c r="C136" s="251" t="str">
        <f>CONCATENATE('ketv. 6 '!C137)</f>
        <v>08.4.2-ESFA-R-630-11-0005</v>
      </c>
      <c r="D136" s="575" t="str">
        <f>CONCATENATE('3 pr-2'!D138)</f>
        <v>Sveikos gyvensenos skatinimas Varėnos rajono savivaldybėje</v>
      </c>
      <c r="E136" s="375" t="str">
        <f>CONCATENATE('3 pr-2'!E138)</f>
        <v>Varėnos rajono savivaldybės visuomenės sveikatos biuras</v>
      </c>
      <c r="F136" s="375" t="str">
        <f>CONCATENATE('3 pr-2'!F138)</f>
        <v>Lietuvos Respublikos Sveikatos apsaugos ministerija</v>
      </c>
      <c r="G136" s="375" t="str">
        <f>CONCATENATE('3 pr-2'!G138)</f>
        <v>Varėnos r. sav.</v>
      </c>
      <c r="H136" s="375" t="str">
        <f>CONCATENATE('3 pr-2'!H138)</f>
        <v>08.4.2-ESFA-R-630</v>
      </c>
      <c r="I136" s="375" t="str">
        <f>CONCATENATE('3 pr-2'!I138)</f>
        <v>R</v>
      </c>
      <c r="J136" s="375" t="str">
        <f>CONCATENATE('3 pr-2'!J138)</f>
        <v>-</v>
      </c>
      <c r="K136" s="1164">
        <f>SUM('3 pr-2'!L138)</f>
        <v>198997</v>
      </c>
      <c r="L136" s="1162">
        <f t="shared" si="179"/>
        <v>72085.31</v>
      </c>
      <c r="M136" s="1197">
        <v>0</v>
      </c>
      <c r="N136" s="1197">
        <v>8206.89</v>
      </c>
      <c r="O136" s="1197">
        <f t="shared" si="160"/>
        <v>63878.42</v>
      </c>
      <c r="P136" s="1174">
        <f t="shared" si="82"/>
        <v>126911.69</v>
      </c>
      <c r="Q136" s="1164">
        <f>SUM('3 pr-2'!O138)</f>
        <v>14925</v>
      </c>
      <c r="R136" s="1162">
        <f>SUMIF('mokėjimų ataskaita'!$I:$I,C136,'mokėjimų ataskaita'!$AU:$AU)/2</f>
        <v>1871.0800000000002</v>
      </c>
      <c r="S136" s="1197"/>
      <c r="T136" s="1197"/>
      <c r="U136" s="1174">
        <f>SUM(Q136-R136)</f>
        <v>13053.92</v>
      </c>
      <c r="V136" s="1164">
        <f>SUM('3 pr-2'!R138)</f>
        <v>14924.55</v>
      </c>
      <c r="W136" s="1162">
        <f>SUMIF('mokėjimų ataskaita'!$I:$I,C136,'mokėjimų ataskaita'!$AL:$AL)/2</f>
        <v>5692.96</v>
      </c>
      <c r="X136" s="1197"/>
      <c r="Y136" s="1197"/>
      <c r="Z136" s="1174">
        <f t="shared" si="180"/>
        <v>9231.59</v>
      </c>
      <c r="AA136" s="1164">
        <f>SUM('3 pr-2'!U138)</f>
        <v>0</v>
      </c>
      <c r="AB136" s="1080">
        <f>SUMIF('mokėjimų ataskaita'!$I:$I,'ketv. 7 '!C136,'mokėjimų ataskaita'!$AW:$AW)/2</f>
        <v>0</v>
      </c>
      <c r="AC136" s="1197"/>
      <c r="AD136" s="1197"/>
      <c r="AE136" s="1174">
        <f t="shared" si="181"/>
        <v>0</v>
      </c>
      <c r="AF136" s="1164">
        <f>SUM('3 pr-2'!X138)</f>
        <v>0</v>
      </c>
      <c r="AG136" s="1173">
        <f>SUMIF('mokėjimų ataskaita'!$I:$I,'ketv. 7 '!C136,'mokėjimų ataskaita'!$AT:$AT)/2+SUMIF('mokėjimų ataskaita'!$I:$I,'ketv. 7 '!C136,'mokėjimų ataskaita'!$AV:$AV)/2</f>
        <v>0</v>
      </c>
      <c r="AH136" s="1197"/>
      <c r="AI136" s="1197"/>
      <c r="AJ136" s="1174">
        <f t="shared" si="182"/>
        <v>0</v>
      </c>
      <c r="AK136" s="1164">
        <f>SUM('3 pr-2'!AA138)</f>
        <v>169147.45</v>
      </c>
      <c r="AL136" s="1159">
        <f>SUMIF('mokėjimų ataskaita'!$I:$I,'ketv. 7 '!C136,'mokėjimų ataskaita'!$AK:$AK)/2</f>
        <v>64521.270000000004</v>
      </c>
      <c r="AM136" s="1197"/>
      <c r="AN136" s="1197"/>
      <c r="AO136" s="1167">
        <f>SUM(AK136-AL136)</f>
        <v>104626.18000000001</v>
      </c>
      <c r="AP136" s="1080">
        <f>SUM('3 pr-2'!AB138)</f>
        <v>0</v>
      </c>
      <c r="AQ136" s="1159">
        <v>0</v>
      </c>
    </row>
    <row r="137" spans="1:44" ht="48.75">
      <c r="A137" s="375" t="str">
        <f>CONCATENATE('3 pr-2'!A139)</f>
        <v>2.1.2.2.4.</v>
      </c>
      <c r="B137" s="578" t="str">
        <f>CONCATENATE('3 pr-2'!B139)</f>
        <v>R01-6630-470000-2224</v>
      </c>
      <c r="C137" s="251" t="str">
        <f>CONCATENATE('ketv. 6 '!C138)</f>
        <v>08.4.2-ESFA-R-630-11-0003</v>
      </c>
      <c r="D137" s="575" t="str">
        <f>CONCATENATE('3 pr-2'!D139)</f>
        <v>Sveika bendruomenė – stipri visuomenė</v>
      </c>
      <c r="E137" s="375" t="str">
        <f>CONCATENATE('3 pr-2'!E139)</f>
        <v>Druskininkų savivaldybės visuomenės sveikatos biuras</v>
      </c>
      <c r="F137" s="375" t="str">
        <f>CONCATENATE('3 pr-2'!F139)</f>
        <v>Lietuvos Respublikos Sveikatos apsaugos ministerija</v>
      </c>
      <c r="G137" s="375" t="str">
        <f>CONCATENATE('3 pr-2'!G139)</f>
        <v>Druskininkų sav.</v>
      </c>
      <c r="H137" s="375" t="str">
        <f>CONCATENATE('3 pr-2'!H139)</f>
        <v>08.4.2-ESFA-R-630</v>
      </c>
      <c r="I137" s="375" t="str">
        <f>CONCATENATE('3 pr-2'!I139)</f>
        <v>R</v>
      </c>
      <c r="J137" s="375" t="str">
        <f>CONCATENATE('3 pr-2'!J139)</f>
        <v>-</v>
      </c>
      <c r="K137" s="1164">
        <f>SUM('3 pr-2'!L139)</f>
        <v>198997.18</v>
      </c>
      <c r="L137" s="1162">
        <f t="shared" si="179"/>
        <v>125581.72</v>
      </c>
      <c r="M137" s="1197">
        <v>0</v>
      </c>
      <c r="N137" s="1197">
        <v>125581.72</v>
      </c>
      <c r="O137" s="1197">
        <f t="shared" si="160"/>
        <v>0</v>
      </c>
      <c r="P137" s="1174">
        <f t="shared" si="82"/>
        <v>73415.459999999992</v>
      </c>
      <c r="Q137" s="1164">
        <f>SUM('3 pr-2'!O139)</f>
        <v>14924.79</v>
      </c>
      <c r="R137" s="1162">
        <f>SUMIF('mokėjimų ataskaita'!$I:$I,C137,'mokėjimų ataskaita'!$AU:$AU)/2</f>
        <v>5293.63</v>
      </c>
      <c r="S137" s="1197"/>
      <c r="T137" s="1197"/>
      <c r="U137" s="1174">
        <f>SUM(Q137-R137)</f>
        <v>9631.16</v>
      </c>
      <c r="V137" s="1164">
        <f>SUM('3 pr-2'!R139)</f>
        <v>14924.79</v>
      </c>
      <c r="W137" s="1162">
        <f>SUMIF('mokėjimų ataskaita'!$I:$I,C137,'mokėjimų ataskaita'!$AL:$AL)/2</f>
        <v>9753.09</v>
      </c>
      <c r="X137" s="1197"/>
      <c r="Y137" s="1197"/>
      <c r="Z137" s="1174">
        <f t="shared" si="180"/>
        <v>5171.7000000000007</v>
      </c>
      <c r="AA137" s="1164">
        <f>SUM('3 pr-2'!U139)</f>
        <v>0</v>
      </c>
      <c r="AB137" s="1080">
        <f>SUMIF('mokėjimų ataskaita'!$I:$I,'ketv. 7 '!C137,'mokėjimų ataskaita'!$AW:$AW)/2</f>
        <v>0</v>
      </c>
      <c r="AC137" s="1197"/>
      <c r="AD137" s="1197"/>
      <c r="AE137" s="1174">
        <f t="shared" si="181"/>
        <v>0</v>
      </c>
      <c r="AF137" s="1164">
        <f>SUM('3 pr-2'!X139)</f>
        <v>0</v>
      </c>
      <c r="AG137" s="1173">
        <f>SUMIF('mokėjimų ataskaita'!$I:$I,'ketv. 7 '!C137,'mokėjimų ataskaita'!$AT:$AT)/2+SUMIF('mokėjimų ataskaita'!$I:$I,'ketv. 7 '!C137,'mokėjimų ataskaita'!$AV:$AV)/2</f>
        <v>0</v>
      </c>
      <c r="AH137" s="1197"/>
      <c r="AI137" s="1197"/>
      <c r="AJ137" s="1174">
        <f t="shared" si="182"/>
        <v>0</v>
      </c>
      <c r="AK137" s="1164">
        <f>SUM('3 pr-2'!AA139)</f>
        <v>169147.6</v>
      </c>
      <c r="AL137" s="1159">
        <f>SUMIF('mokėjimų ataskaita'!$I:$I,'ketv. 7 '!C137,'mokėjimų ataskaita'!$AK:$AK)/2</f>
        <v>110535</v>
      </c>
      <c r="AM137" s="1197"/>
      <c r="AN137" s="1197"/>
      <c r="AO137" s="1167">
        <f>SUM(AK137-AL137)</f>
        <v>58612.600000000006</v>
      </c>
      <c r="AP137" s="1080">
        <f>SUM('3 pr-2'!AB139)</f>
        <v>0</v>
      </c>
      <c r="AQ137" s="1159">
        <v>0</v>
      </c>
    </row>
    <row r="138" spans="1:44" ht="49.5" thickBot="1">
      <c r="A138" s="375" t="str">
        <f>CONCATENATE('3 pr-2'!A140)</f>
        <v>2.1.2.2.5</v>
      </c>
      <c r="B138" s="578" t="str">
        <f>CONCATENATE('3 pr-2'!B140)</f>
        <v>R01-6630-470000-2225</v>
      </c>
      <c r="C138" s="251" t="str">
        <f>CONCATENATE('ketv. 6 '!C139)</f>
        <v>08.4.2-ESFA-R-630-11-0002</v>
      </c>
      <c r="D138" s="575" t="str">
        <f>CONCATENATE('3 pr-2'!D140)</f>
        <v>Sveikos gyvensenos skatinimas Lazdijų rajono savivaldybėje</v>
      </c>
      <c r="E138" s="375" t="str">
        <f>CONCATENATE('3 pr-2'!E140)</f>
        <v>Lazdijų rajono savivaldybės visuomenės sveikatos biuras</v>
      </c>
      <c r="F138" s="375" t="str">
        <f>CONCATENATE('3 pr-2'!F140)</f>
        <v>Lietuvos Respublikos Sveikatos apsaugos ministerija</v>
      </c>
      <c r="G138" s="375" t="str">
        <f>CONCATENATE('3 pr-2'!G140)</f>
        <v>Lazdijų r. sav.</v>
      </c>
      <c r="H138" s="375" t="str">
        <f>CONCATENATE('3 pr-2'!H140)</f>
        <v>08.4.2-ESFA-R-630</v>
      </c>
      <c r="I138" s="375" t="str">
        <f>CONCATENATE('3 pr-2'!I140)</f>
        <v>R</v>
      </c>
      <c r="J138" s="375" t="str">
        <f>CONCATENATE('3 pr-2'!J140)</f>
        <v>-</v>
      </c>
      <c r="K138" s="1164">
        <f>SUM('3 pr-2'!L140)</f>
        <v>198997.18</v>
      </c>
      <c r="L138" s="1162">
        <f t="shared" si="179"/>
        <v>80674.599999999991</v>
      </c>
      <c r="M138" s="1197">
        <v>0</v>
      </c>
      <c r="N138" s="1197">
        <v>80674.599999999991</v>
      </c>
      <c r="O138" s="1197">
        <f t="shared" si="160"/>
        <v>0</v>
      </c>
      <c r="P138" s="1174">
        <f t="shared" si="82"/>
        <v>118322.58</v>
      </c>
      <c r="Q138" s="1164">
        <f>SUM('3 pr-2'!O140)</f>
        <v>14924.79</v>
      </c>
      <c r="R138" s="1162">
        <f>SUMIF('mokėjimų ataskaita'!$I:$I,C138,'mokėjimų ataskaita'!$AU:$AU)/2</f>
        <v>1908.96</v>
      </c>
      <c r="S138" s="1197"/>
      <c r="T138" s="1197"/>
      <c r="U138" s="1174">
        <f>SUM(Q138-R138)</f>
        <v>13015.830000000002</v>
      </c>
      <c r="V138" s="1164">
        <f>SUM('3 pr-2'!R140)</f>
        <v>14924.79</v>
      </c>
      <c r="W138" s="1162">
        <f>SUMIF('mokėjimų ataskaita'!$I:$I,C138,'mokėjimų ataskaita'!$AL:$AL)/2</f>
        <v>6386.4099999999989</v>
      </c>
      <c r="X138" s="1197"/>
      <c r="Y138" s="1197"/>
      <c r="Z138" s="1174">
        <f t="shared" si="180"/>
        <v>8538.380000000001</v>
      </c>
      <c r="AA138" s="1164">
        <f>SUM('3 pr-2'!U140)</f>
        <v>0</v>
      </c>
      <c r="AB138" s="1080">
        <f>SUMIF('mokėjimų ataskaita'!$I:$I,'ketv. 7 '!C138,'mokėjimų ataskaita'!$AW:$AW)/2</f>
        <v>0</v>
      </c>
      <c r="AC138" s="1197"/>
      <c r="AD138" s="1197"/>
      <c r="AE138" s="1174">
        <f t="shared" si="181"/>
        <v>0</v>
      </c>
      <c r="AF138" s="1164">
        <f>SUM('3 pr-2'!X140)</f>
        <v>0</v>
      </c>
      <c r="AG138" s="1173">
        <f>SUMIF('mokėjimų ataskaita'!$I:$I,'ketv. 7 '!C138,'mokėjimų ataskaita'!$AT:$AT)/2+SUMIF('mokėjimų ataskaita'!$I:$I,'ketv. 7 '!C138,'mokėjimų ataskaita'!$AV:$AV)/2</f>
        <v>0</v>
      </c>
      <c r="AH138" s="1197"/>
      <c r="AI138" s="1197"/>
      <c r="AJ138" s="1174">
        <f t="shared" si="182"/>
        <v>0</v>
      </c>
      <c r="AK138" s="1164">
        <f>SUM('3 pr-2'!AA140)</f>
        <v>169147.6</v>
      </c>
      <c r="AL138" s="1159">
        <f>SUMIF('mokėjimų ataskaita'!$I:$I,'ketv. 7 '!C138,'mokėjimų ataskaita'!$AK:$AK)/2</f>
        <v>72379.23</v>
      </c>
      <c r="AM138" s="1197"/>
      <c r="AN138" s="1197"/>
      <c r="AO138" s="1167">
        <f>SUM(AK138-AL138)</f>
        <v>96768.37000000001</v>
      </c>
      <c r="AP138" s="1080">
        <f>SUM('3 pr-2'!AB140)</f>
        <v>0</v>
      </c>
      <c r="AQ138" s="1159">
        <v>0</v>
      </c>
    </row>
    <row r="139" spans="1:44" ht="35.25" customHeight="1" thickBot="1">
      <c r="A139" s="296" t="str">
        <f>CONCATENATE('3 pr-2'!A141)</f>
        <v>2.1.2.3</v>
      </c>
      <c r="B139" s="2088" t="str">
        <f>CONCATENATE('3 pr-2'!B141)</f>
        <v>Priemonė:
Priemonių, gerinančių ambulatorinių sveikatos priežiūros paslaugų prieinamumą tuberkulioze sergantiems pacientams, įgyvendinimas</v>
      </c>
      <c r="C139" s="2089"/>
      <c r="D139" s="2089"/>
      <c r="E139" s="2089"/>
      <c r="F139" s="2089"/>
      <c r="G139" s="2089"/>
      <c r="H139" s="2089"/>
      <c r="I139" s="2089"/>
      <c r="J139" s="2090"/>
      <c r="K139" s="1168">
        <f t="shared" ref="K139:AK139" si="183">SUM(K140:K144)</f>
        <v>65213.18</v>
      </c>
      <c r="L139" s="1168">
        <f t="shared" si="183"/>
        <v>9390.7100000000009</v>
      </c>
      <c r="M139" s="1168">
        <f t="shared" si="183"/>
        <v>0</v>
      </c>
      <c r="N139" s="1168">
        <f t="shared" si="183"/>
        <v>6607.91</v>
      </c>
      <c r="O139" s="1168">
        <f t="shared" si="183"/>
        <v>2782.7999999999997</v>
      </c>
      <c r="P139" s="1168">
        <f t="shared" si="183"/>
        <v>55822.469999999994</v>
      </c>
      <c r="Q139" s="1168">
        <f t="shared" si="183"/>
        <v>3596.09</v>
      </c>
      <c r="R139" s="1168">
        <f t="shared" si="183"/>
        <v>95.09</v>
      </c>
      <c r="S139" s="1168">
        <f t="shared" si="183"/>
        <v>0</v>
      </c>
      <c r="T139" s="1168">
        <f t="shared" si="183"/>
        <v>0</v>
      </c>
      <c r="U139" s="1168">
        <f t="shared" si="183"/>
        <v>3501</v>
      </c>
      <c r="V139" s="1168">
        <f t="shared" si="183"/>
        <v>5556.4400000000005</v>
      </c>
      <c r="W139" s="1168">
        <f t="shared" si="183"/>
        <v>818.79</v>
      </c>
      <c r="X139" s="1168">
        <f t="shared" si="183"/>
        <v>0</v>
      </c>
      <c r="Y139" s="1168">
        <f t="shared" si="183"/>
        <v>0</v>
      </c>
      <c r="Z139" s="1168">
        <f t="shared" si="183"/>
        <v>4737.6500000000005</v>
      </c>
      <c r="AA139" s="1168">
        <f t="shared" si="183"/>
        <v>0</v>
      </c>
      <c r="AB139" s="1168">
        <f t="shared" si="183"/>
        <v>0</v>
      </c>
      <c r="AC139" s="1168">
        <f t="shared" si="183"/>
        <v>0</v>
      </c>
      <c r="AD139" s="1168">
        <f t="shared" si="183"/>
        <v>0</v>
      </c>
      <c r="AE139" s="1168">
        <f t="shared" si="183"/>
        <v>0</v>
      </c>
      <c r="AF139" s="1168">
        <f t="shared" si="183"/>
        <v>1299.95</v>
      </c>
      <c r="AG139" s="1168">
        <f t="shared" si="183"/>
        <v>46.72</v>
      </c>
      <c r="AH139" s="1168">
        <f t="shared" si="183"/>
        <v>0</v>
      </c>
      <c r="AI139" s="1168">
        <f t="shared" si="183"/>
        <v>0</v>
      </c>
      <c r="AJ139" s="1168">
        <f t="shared" si="183"/>
        <v>1253.23</v>
      </c>
      <c r="AK139" s="1168">
        <f t="shared" si="183"/>
        <v>54760.7</v>
      </c>
      <c r="AL139" s="1168">
        <f>SUM(AL140:AL144)</f>
        <v>8430.1099999999988</v>
      </c>
      <c r="AM139" s="1168">
        <f t="shared" ref="AM139:AQ139" si="184">SUM(AM140:AM144)</f>
        <v>0</v>
      </c>
      <c r="AN139" s="1168">
        <f t="shared" si="184"/>
        <v>0</v>
      </c>
      <c r="AO139" s="1168">
        <f t="shared" si="184"/>
        <v>46330.590000000004</v>
      </c>
      <c r="AP139" s="1168">
        <f t="shared" si="184"/>
        <v>0</v>
      </c>
      <c r="AQ139" s="1168">
        <f t="shared" si="184"/>
        <v>0</v>
      </c>
      <c r="AR139" s="233">
        <f>SUM(K139-'3 pr-2'!L141)</f>
        <v>0</v>
      </c>
    </row>
    <row r="140" spans="1:44" ht="72.75">
      <c r="A140" s="375" t="str">
        <f>CONCATENATE('3 pr-2'!A142)</f>
        <v>2.1.2.3.1</v>
      </c>
      <c r="B140" s="578" t="str">
        <f>CONCATENATE('3 pr-2'!B142)</f>
        <v>R01-6615-475000-2231</v>
      </c>
      <c r="C140" s="251" t="str">
        <f>CONCATENATE('ketv. 6 '!C141)</f>
        <v>08.4.2-ESFA-R-615-11-0004</v>
      </c>
      <c r="D140" s="575" t="str">
        <f>CONCATENATE('3 pr-2'!D142)</f>
        <v>Priemonių, gerinančių ambulatorinių sveikatos priežiūros paslaugų prieinamumą tuberkulioze sergantiems asmenims, Alytaus rajone, įgyvendinimas</v>
      </c>
      <c r="E140" s="375" t="str">
        <f>CONCATENATE('3 pr-2'!E142)</f>
        <v>VšĮ Alytaus rajono savivaldybės pirminės sveikatos priežiūros centras</v>
      </c>
      <c r="F140" s="375" t="str">
        <f>CONCATENATE('3 pr-2'!F142)</f>
        <v>Lietuvos Respublikos Sveikatos apsaugos ministerija</v>
      </c>
      <c r="G140" s="375" t="str">
        <f>CONCATENATE('3 pr-2'!G142)</f>
        <v>Alytaus r. sav.</v>
      </c>
      <c r="H140" s="375" t="str">
        <f>CONCATENATE('3 pr-2'!H142)</f>
        <v>08.4.2-ESFA-R-615</v>
      </c>
      <c r="I140" s="375" t="str">
        <f>CONCATENATE('3 pr-2'!I142)</f>
        <v>R</v>
      </c>
      <c r="J140" s="375" t="str">
        <f>CONCATENATE('3 pr-2'!J142)</f>
        <v>-</v>
      </c>
      <c r="K140" s="1164">
        <f>SUM('3 pr-2'!L142)</f>
        <v>10453</v>
      </c>
      <c r="L140" s="1173">
        <f t="shared" ref="L140:L144" si="185">SUM(R140+W140+AB140+AG140+AL140)</f>
        <v>1000</v>
      </c>
      <c r="M140" s="1197">
        <v>0</v>
      </c>
      <c r="N140" s="1197">
        <v>0</v>
      </c>
      <c r="O140" s="1197">
        <f t="shared" si="160"/>
        <v>1000</v>
      </c>
      <c r="P140" s="1174">
        <f t="shared" ref="P140:P144" si="186">SUM(K140-L140)</f>
        <v>9453</v>
      </c>
      <c r="Q140" s="1164">
        <f>SUM('3 pr-2'!O142)</f>
        <v>0</v>
      </c>
      <c r="R140" s="1173">
        <f>SUMIF('mokėjimų ataskaita'!$I:$I,C140,'mokėjimų ataskaita'!$AU:$AU)/2</f>
        <v>0</v>
      </c>
      <c r="S140" s="1197"/>
      <c r="T140" s="1197"/>
      <c r="U140" s="1174">
        <f t="shared" ref="U140:U144" si="187">SUM(Q140-R140)</f>
        <v>0</v>
      </c>
      <c r="V140" s="1164">
        <f>SUM('3 pr-2'!R142)</f>
        <v>1449.64</v>
      </c>
      <c r="W140" s="1173">
        <f>SUMIF('mokėjimų ataskaita'!$I:$I,C140,'mokėjimų ataskaita'!$AL:$AL)/2</f>
        <v>150</v>
      </c>
      <c r="X140" s="1197"/>
      <c r="Y140" s="1197"/>
      <c r="Z140" s="1174">
        <f t="shared" ref="Z140:Z144" si="188">SUM(V140-W140)</f>
        <v>1299.6400000000001</v>
      </c>
      <c r="AA140" s="1164">
        <f>SUM('3 pr-2'!U142)</f>
        <v>0</v>
      </c>
      <c r="AB140" s="1173">
        <f>SUMIF('mokėjimų ataskaita'!$I:$I,'ketv. 7 '!C140,'mokėjimų ataskaita'!$AW:$AW)/2</f>
        <v>0</v>
      </c>
      <c r="AC140" s="1197"/>
      <c r="AD140" s="1197"/>
      <c r="AE140" s="1174">
        <f t="shared" ref="AE140:AE144" si="189">SUM(AA140-AB140)</f>
        <v>0</v>
      </c>
      <c r="AF140" s="1164">
        <f>SUM('3 pr-2'!X142)</f>
        <v>788.75</v>
      </c>
      <c r="AG140" s="1173">
        <f>SUMIF('mokėjimų ataskaita'!$I:$I,'ketv. 7 '!C140,'mokėjimų ataskaita'!$AT:$AT)/2+SUMIF('mokėjimų ataskaita'!$I:$I,'ketv. 7 '!C140,'mokėjimų ataskaita'!$AV:$AV)/2</f>
        <v>0</v>
      </c>
      <c r="AH140" s="1197"/>
      <c r="AI140" s="1197"/>
      <c r="AJ140" s="1174">
        <f t="shared" ref="AJ140:AJ144" si="190">SUM(AF140-AG140)</f>
        <v>788.75</v>
      </c>
      <c r="AK140" s="1164">
        <f>SUM('3 pr-2'!AA142)</f>
        <v>8214.61</v>
      </c>
      <c r="AL140" s="1162">
        <f>SUMIF('mokėjimų ataskaita'!$I:$I,'ketv. 7 '!C140,'mokėjimų ataskaita'!$AK:$AK)/2</f>
        <v>850</v>
      </c>
      <c r="AM140" s="1197"/>
      <c r="AN140" s="1197"/>
      <c r="AO140" s="1167">
        <f t="shared" ref="AO140:AO144" si="191">SUM(AK140-AL140)</f>
        <v>7364.6100000000006</v>
      </c>
      <c r="AP140" s="1080">
        <f>SUM('3 pr-2'!AB142)</f>
        <v>0</v>
      </c>
      <c r="AQ140" s="1173">
        <v>0</v>
      </c>
    </row>
    <row r="141" spans="1:44" ht="48.75">
      <c r="A141" s="375" t="str">
        <f>CONCATENATE('3 pr-2'!A143)</f>
        <v>2.1.2.3.2</v>
      </c>
      <c r="B141" s="578" t="str">
        <f>CONCATENATE('3 pr-2'!B143)</f>
        <v>R01-6615-470000-2232</v>
      </c>
      <c r="C141" s="251" t="str">
        <f>CONCATENATE('ketv. 6 '!C142)</f>
        <v>08.4.2-ESFA-R-615-11-0005</v>
      </c>
      <c r="D141" s="575" t="str">
        <f>CONCATENATE('3 pr-2'!D143)</f>
        <v>Ambulatorinių sveikatos priežiūros paslaugų gerinimas tuberkulioze sergantiems asmenims</v>
      </c>
      <c r="E141" s="375" t="str">
        <f>CONCATENATE('3 pr-2'!E143)</f>
        <v>Alytaus miesto savivaldybės administracija</v>
      </c>
      <c r="F141" s="375" t="str">
        <f>CONCATENATE('3 pr-2'!F143)</f>
        <v>Lietuvos Respublikos Sveikatos apsaugos ministerija</v>
      </c>
      <c r="G141" s="375" t="str">
        <f>CONCATENATE('3 pr-2'!G143)</f>
        <v>Alytaus m. sav.</v>
      </c>
      <c r="H141" s="375" t="str">
        <f>CONCATENATE('3 pr-2'!H143)</f>
        <v>08.4.2-ESFA-R-615</v>
      </c>
      <c r="I141" s="375" t="str">
        <f>CONCATENATE('3 pr-2'!I143)</f>
        <v>R</v>
      </c>
      <c r="J141" s="375" t="str">
        <f>CONCATENATE('3 pr-2'!J143)</f>
        <v>-</v>
      </c>
      <c r="K141" s="1164">
        <f>SUM('3 pr-2'!L143)</f>
        <v>17041.18</v>
      </c>
      <c r="L141" s="1162">
        <f t="shared" si="185"/>
        <v>4700</v>
      </c>
      <c r="M141" s="1197">
        <v>0</v>
      </c>
      <c r="N141" s="1197">
        <v>4700</v>
      </c>
      <c r="O141" s="1197">
        <f t="shared" si="160"/>
        <v>0</v>
      </c>
      <c r="P141" s="1174">
        <f t="shared" si="186"/>
        <v>12341.18</v>
      </c>
      <c r="Q141" s="1164">
        <f>SUM('3 pr-2'!O143)</f>
        <v>1278.0899999999999</v>
      </c>
      <c r="R141" s="1162">
        <f>SUMIF('mokėjimų ataskaita'!$I:$I,C141,'mokėjimų ataskaita'!$AU:$AU)/2</f>
        <v>0</v>
      </c>
      <c r="S141" s="1197"/>
      <c r="T141" s="1197"/>
      <c r="U141" s="1174">
        <f t="shared" si="187"/>
        <v>1278.0899999999999</v>
      </c>
      <c r="V141" s="1164">
        <f>SUM('3 pr-2'!R143)</f>
        <v>1278</v>
      </c>
      <c r="W141" s="1162">
        <f>SUMIF('mokėjimų ataskaita'!$I:$I,C141,'mokėjimų ataskaita'!$AL:$AL)/2</f>
        <v>381.05</v>
      </c>
      <c r="X141" s="1197"/>
      <c r="Y141" s="1197"/>
      <c r="Z141" s="1174">
        <f t="shared" si="188"/>
        <v>896.95</v>
      </c>
      <c r="AA141" s="1164">
        <f>SUM('3 pr-2'!U143)</f>
        <v>0</v>
      </c>
      <c r="AB141" s="1162">
        <f>SUMIF('mokėjimų ataskaita'!$I:$I,'ketv. 7 '!C141,'mokėjimų ataskaita'!$AW:$AW)/2</f>
        <v>0</v>
      </c>
      <c r="AC141" s="1197"/>
      <c r="AD141" s="1197"/>
      <c r="AE141" s="1174">
        <f t="shared" si="189"/>
        <v>0</v>
      </c>
      <c r="AF141" s="1164">
        <f>SUM('3 pr-2'!X143)</f>
        <v>0</v>
      </c>
      <c r="AG141" s="1162">
        <f>SUMIF('mokėjimų ataskaita'!$I:$I,'ketv. 7 '!C141,'mokėjimų ataskaita'!$AT:$AT)/2+SUMIF('mokėjimų ataskaita'!$I:$I,'ketv. 7 '!C141,'mokėjimų ataskaita'!$AV:$AV)/2</f>
        <v>0</v>
      </c>
      <c r="AH141" s="1197"/>
      <c r="AI141" s="1197"/>
      <c r="AJ141" s="1174">
        <f t="shared" si="190"/>
        <v>0</v>
      </c>
      <c r="AK141" s="1164">
        <f>SUM('3 pr-2'!AA143)</f>
        <v>14485.09</v>
      </c>
      <c r="AL141" s="1162">
        <f>SUMIF('mokėjimų ataskaita'!$I:$I,'ketv. 7 '!C141,'mokėjimų ataskaita'!$AK:$AK)/2</f>
        <v>4318.95</v>
      </c>
      <c r="AM141" s="1197"/>
      <c r="AN141" s="1197"/>
      <c r="AO141" s="1167">
        <f t="shared" si="191"/>
        <v>10166.14</v>
      </c>
      <c r="AP141" s="1080">
        <f>SUM('3 pr-2'!AB143)</f>
        <v>0</v>
      </c>
      <c r="AQ141" s="1159">
        <v>0</v>
      </c>
    </row>
    <row r="142" spans="1:44" ht="36.75">
      <c r="A142" s="375" t="str">
        <f>CONCATENATE('3 pr-2'!A144)</f>
        <v>2.1.2.3.3</v>
      </c>
      <c r="B142" s="578" t="str">
        <f>CONCATENATE('3 pr-2'!B144)</f>
        <v>R01-6615-470000-2233</v>
      </c>
      <c r="C142" s="251" t="str">
        <f>CONCATENATE('ketv. 6 '!C143)</f>
        <v>08.4.2-ESFA-R-615-11-0001</v>
      </c>
      <c r="D142" s="575" t="str">
        <f>CONCATENATE('3 pr-2'!D144)</f>
        <v>Paslaugų tuberkulioze sergantiems asmenims gerinimas Lazdijų rajono savivaldybėje</v>
      </c>
      <c r="E142" s="375" t="str">
        <f>CONCATENATE('3 pr-2'!E144)</f>
        <v>Lazdijų rajono savivaldybės administracija</v>
      </c>
      <c r="F142" s="375" t="str">
        <f>CONCATENATE('3 pr-2'!F144)</f>
        <v>Lietuvos Respublikos Sveikatos apsaugos ministerija</v>
      </c>
      <c r="G142" s="375" t="str">
        <f>CONCATENATE('3 pr-2'!G144)</f>
        <v>Lazdijų r. sav.</v>
      </c>
      <c r="H142" s="375" t="str">
        <f>CONCATENATE('3 pr-2'!H144)</f>
        <v>08.4.2-ESFA-R-615</v>
      </c>
      <c r="I142" s="375" t="str">
        <f>CONCATENATE('3 pr-2'!I144)</f>
        <v>R</v>
      </c>
      <c r="J142" s="375" t="str">
        <f>CONCATENATE('3 pr-2'!J144)</f>
        <v>-</v>
      </c>
      <c r="K142" s="1164">
        <f>SUM('3 pr-2'!L144)</f>
        <v>15224</v>
      </c>
      <c r="L142" s="1162">
        <f t="shared" si="185"/>
        <v>1156.9000000000001</v>
      </c>
      <c r="M142" s="1197">
        <v>0</v>
      </c>
      <c r="N142" s="1197">
        <v>0</v>
      </c>
      <c r="O142" s="1197">
        <f t="shared" si="160"/>
        <v>1156.9000000000001</v>
      </c>
      <c r="P142" s="1174">
        <f t="shared" si="186"/>
        <v>14067.1</v>
      </c>
      <c r="Q142" s="1164">
        <f>SUM('3 pr-2'!O144)</f>
        <v>1142</v>
      </c>
      <c r="R142" s="1162">
        <f>SUMIF('mokėjimų ataskaita'!$I:$I,C142,'mokėjimų ataskaita'!$AU:$AU)/2</f>
        <v>86.78</v>
      </c>
      <c r="S142" s="1197"/>
      <c r="T142" s="1197"/>
      <c r="U142" s="1174">
        <f t="shared" si="187"/>
        <v>1055.22</v>
      </c>
      <c r="V142" s="1164">
        <f>SUM('3 pr-2'!R144)</f>
        <v>1141.5999999999999</v>
      </c>
      <c r="W142" s="1162">
        <f>SUMIF('mokėjimų ataskaita'!$I:$I,C142,'mokėjimų ataskaita'!$AL:$AL)/2</f>
        <v>86.75</v>
      </c>
      <c r="X142" s="1197"/>
      <c r="Y142" s="1197"/>
      <c r="Z142" s="1174">
        <f t="shared" si="188"/>
        <v>1054.8499999999999</v>
      </c>
      <c r="AA142" s="1164">
        <f>SUM('3 pr-2'!U144)</f>
        <v>0</v>
      </c>
      <c r="AB142" s="1162">
        <f>SUMIF('mokėjimų ataskaita'!$I:$I,'ketv. 7 '!C142,'mokėjimų ataskaita'!$AW:$AW)/2</f>
        <v>0</v>
      </c>
      <c r="AC142" s="1197"/>
      <c r="AD142" s="1197"/>
      <c r="AE142" s="1174">
        <f t="shared" si="189"/>
        <v>0</v>
      </c>
      <c r="AF142" s="1164">
        <f>SUM('3 pr-2'!X144)</f>
        <v>0</v>
      </c>
      <c r="AG142" s="1162">
        <f>SUMIF('mokėjimų ataskaita'!$I:$I,'ketv. 7 '!C142,'mokėjimų ataskaita'!$AT:$AT)/2+SUMIF('mokėjimų ataskaita'!$I:$I,'ketv. 7 '!C142,'mokėjimų ataskaita'!$AV:$AV)/2</f>
        <v>0</v>
      </c>
      <c r="AH142" s="1197"/>
      <c r="AI142" s="1197"/>
      <c r="AJ142" s="1174">
        <f t="shared" si="190"/>
        <v>0</v>
      </c>
      <c r="AK142" s="1164">
        <f>SUM('3 pr-2'!AA144)</f>
        <v>12940.4</v>
      </c>
      <c r="AL142" s="1162">
        <f>SUMIF('mokėjimų ataskaita'!$I:$I,'ketv. 7 '!C142,'mokėjimų ataskaita'!$AK:$AK)/2</f>
        <v>983.37</v>
      </c>
      <c r="AM142" s="1197"/>
      <c r="AN142" s="1197"/>
      <c r="AO142" s="1167">
        <f t="shared" si="191"/>
        <v>11957.029999999999</v>
      </c>
      <c r="AP142" s="1080">
        <f>SUM('3 pr-2'!AB144)</f>
        <v>0</v>
      </c>
      <c r="AQ142" s="1159">
        <v>0</v>
      </c>
    </row>
    <row r="143" spans="1:44" ht="60.75">
      <c r="A143" s="375" t="str">
        <f>CONCATENATE('3 pr-2'!A145)</f>
        <v>2.1.2.3.4</v>
      </c>
      <c r="B143" s="578" t="str">
        <f>CONCATENATE('3 pr-2'!B145)</f>
        <v>R01-6615-470000-2234</v>
      </c>
      <c r="C143" s="251" t="str">
        <f>CONCATENATE('ketv. 6 '!C144)</f>
        <v>08.4.2-ESFA-R-615-11-0002</v>
      </c>
      <c r="D143" s="575" t="str">
        <f>CONCATENATE('3 pr-2'!D145)</f>
        <v>Ambulatorinių sveikatos priežiūros paslaugų tuberkulioze sergantiems asmenims prieinamumo gerinimas Druskininkų savivaldybėje</v>
      </c>
      <c r="E143" s="375" t="str">
        <f>CONCATENATE('3 pr-2'!E145)</f>
        <v>Druskininkų pirminės sveikatos priežiūros centras</v>
      </c>
      <c r="F143" s="375" t="str">
        <f>CONCATENATE('3 pr-2'!F145)</f>
        <v>Lietuvos Respublikos Sveikatos apsaugos ministerija</v>
      </c>
      <c r="G143" s="375" t="str">
        <f>CONCATENATE('3 pr-2'!G145)</f>
        <v>Druskininkų sav.</v>
      </c>
      <c r="H143" s="375" t="str">
        <f>CONCATENATE('3 pr-2'!H145)</f>
        <v>08.4.2-ESFA-R-615</v>
      </c>
      <c r="I143" s="375" t="str">
        <f>CONCATENATE('3 pr-2'!I145)</f>
        <v>R</v>
      </c>
      <c r="J143" s="375" t="str">
        <f>CONCATENATE('3 pr-2'!J145)</f>
        <v>-</v>
      </c>
      <c r="K143" s="1164">
        <f>SUM('3 pr-2'!L145)</f>
        <v>6816</v>
      </c>
      <c r="L143" s="1162">
        <f t="shared" si="185"/>
        <v>2422.9399999999996</v>
      </c>
      <c r="M143" s="1197">
        <v>0</v>
      </c>
      <c r="N143" s="1197">
        <v>1907.9099999999999</v>
      </c>
      <c r="O143" s="1197">
        <f t="shared" si="160"/>
        <v>515.02999999999975</v>
      </c>
      <c r="P143" s="1174">
        <f t="shared" si="186"/>
        <v>4393.0600000000004</v>
      </c>
      <c r="Q143" s="1164">
        <f>SUM('3 pr-2'!O145)</f>
        <v>0</v>
      </c>
      <c r="R143" s="1162">
        <f>SUMIF('mokėjimų ataskaita'!$I:$I,C143,'mokėjimų ataskaita'!$AU:$AU)/2</f>
        <v>0</v>
      </c>
      <c r="S143" s="1197"/>
      <c r="T143" s="1197"/>
      <c r="U143" s="1174">
        <f t="shared" si="187"/>
        <v>0</v>
      </c>
      <c r="V143" s="1164">
        <f>SUM('3 pr-2'!R145)</f>
        <v>511.2</v>
      </c>
      <c r="W143" s="1162">
        <f>SUMIF('mokėjimų ataskaita'!$I:$I,C143,'mokėjimų ataskaita'!$AL:$AL)/2</f>
        <v>192.67</v>
      </c>
      <c r="X143" s="1197"/>
      <c r="Y143" s="1197"/>
      <c r="Z143" s="1174">
        <f t="shared" si="188"/>
        <v>318.52999999999997</v>
      </c>
      <c r="AA143" s="1164">
        <f>SUM('3 pr-2'!U145)</f>
        <v>0</v>
      </c>
      <c r="AB143" s="1162">
        <f>SUMIF('mokėjimų ataskaita'!$I:$I,'ketv. 7 '!C143,'mokėjimų ataskaita'!$AW:$AW)/2</f>
        <v>0</v>
      </c>
      <c r="AC143" s="1197"/>
      <c r="AD143" s="1197"/>
      <c r="AE143" s="1174">
        <f t="shared" si="189"/>
        <v>0</v>
      </c>
      <c r="AF143" s="1164">
        <f>SUM('3 pr-2'!X145)</f>
        <v>511.2</v>
      </c>
      <c r="AG143" s="1162">
        <f>SUMIF('mokėjimų ataskaita'!$I:$I,'ketv. 7 '!C143,'mokėjimų ataskaita'!$AT:$AT)/2+SUMIF('mokėjimų ataskaita'!$I:$I,'ketv. 7 '!C143,'mokėjimų ataskaita'!$AV:$AV)/2</f>
        <v>46.72</v>
      </c>
      <c r="AH143" s="1197"/>
      <c r="AI143" s="1197"/>
      <c r="AJ143" s="1174">
        <f t="shared" si="190"/>
        <v>464.48</v>
      </c>
      <c r="AK143" s="1164">
        <f>SUM('3 pr-2'!AA145)</f>
        <v>5793.6</v>
      </c>
      <c r="AL143" s="1162">
        <f>SUMIF('mokėjimų ataskaita'!$I:$I,'ketv. 7 '!C143,'mokėjimų ataskaita'!$AK:$AK)/2</f>
        <v>2183.5499999999997</v>
      </c>
      <c r="AM143" s="1197"/>
      <c r="AN143" s="1197"/>
      <c r="AO143" s="1167">
        <f t="shared" si="191"/>
        <v>3610.0500000000006</v>
      </c>
      <c r="AP143" s="1080">
        <f>SUM('3 pr-2'!AB145)</f>
        <v>0</v>
      </c>
      <c r="AQ143" s="1159">
        <v>0</v>
      </c>
    </row>
    <row r="144" spans="1:44" ht="61.5" thickBot="1">
      <c r="A144" s="375" t="str">
        <f>CONCATENATE('3 pr-2'!A146)</f>
        <v>2.1.2.3.5</v>
      </c>
      <c r="B144" s="578" t="str">
        <f>CONCATENATE('3 pr-2'!B146)</f>
        <v>R01-6615-470000-2235</v>
      </c>
      <c r="C144" s="251" t="str">
        <f>CONCATENATE('ketv. 6 '!C145)</f>
        <v>08.4.2-ESFA-R-615-11-0003</v>
      </c>
      <c r="D144" s="575" t="str">
        <f>CONCATENATE('3 pr-2'!D146)</f>
        <v>Ambulatorinių sveikatos priežiūros paslaugų prieinamumo gerinimas tuberkulioze sergantiems asmenims Varėnos rajono savivaldybėje</v>
      </c>
      <c r="E144" s="375" t="str">
        <f>CONCATENATE('3 pr-2'!E146)</f>
        <v>Varėnos rajono savivaldybės administracija</v>
      </c>
      <c r="F144" s="375" t="str">
        <f>CONCATENATE('3 pr-2'!F146)</f>
        <v>Lietuvos Respublikos Sveikatos apsaugos ministerija</v>
      </c>
      <c r="G144" s="375" t="str">
        <f>CONCATENATE('3 pr-2'!G146)</f>
        <v>Varėnos r. sav.</v>
      </c>
      <c r="H144" s="375" t="str">
        <f>CONCATENATE('3 pr-2'!H146)</f>
        <v>08.4.2-ESFA-R-615</v>
      </c>
      <c r="I144" s="375" t="str">
        <f>CONCATENATE('3 pr-2'!I146)</f>
        <v>R</v>
      </c>
      <c r="J144" s="375" t="str">
        <f>CONCATENATE('3 pr-2'!J146)</f>
        <v>-</v>
      </c>
      <c r="K144" s="1164">
        <f>SUM('3 pr-2'!L146)</f>
        <v>15679</v>
      </c>
      <c r="L144" s="1162">
        <f t="shared" si="185"/>
        <v>110.87</v>
      </c>
      <c r="M144" s="1197">
        <v>0</v>
      </c>
      <c r="N144" s="1197">
        <v>0</v>
      </c>
      <c r="O144" s="1197">
        <f t="shared" si="160"/>
        <v>110.87</v>
      </c>
      <c r="P144" s="1174">
        <f t="shared" si="186"/>
        <v>15568.13</v>
      </c>
      <c r="Q144" s="1164">
        <f>SUM('3 pr-2'!O146)</f>
        <v>1176</v>
      </c>
      <c r="R144" s="1162">
        <f>SUMIF('mokėjimų ataskaita'!$I:$I,C144,'mokėjimų ataskaita'!$AU:$AU)/2</f>
        <v>8.31</v>
      </c>
      <c r="S144" s="1197"/>
      <c r="T144" s="1197"/>
      <c r="U144" s="1174">
        <f t="shared" si="187"/>
        <v>1167.69</v>
      </c>
      <c r="V144" s="1164">
        <f>SUM('3 pr-2'!R146)</f>
        <v>1176</v>
      </c>
      <c r="W144" s="1162">
        <f>SUMIF('mokėjimų ataskaita'!$I:$I,C144,'mokėjimų ataskaita'!$AL:$AL)/2</f>
        <v>8.32</v>
      </c>
      <c r="X144" s="1197"/>
      <c r="Y144" s="1197"/>
      <c r="Z144" s="1174">
        <f t="shared" si="188"/>
        <v>1167.68</v>
      </c>
      <c r="AA144" s="1164">
        <f>SUM('3 pr-2'!U146)</f>
        <v>0</v>
      </c>
      <c r="AB144" s="1162">
        <f>SUMIF('mokėjimų ataskaita'!$I:$I,'ketv. 7 '!C144,'mokėjimų ataskaita'!$AW:$AW)/2</f>
        <v>0</v>
      </c>
      <c r="AC144" s="1197"/>
      <c r="AD144" s="1197"/>
      <c r="AE144" s="1174">
        <f t="shared" si="189"/>
        <v>0</v>
      </c>
      <c r="AF144" s="1164">
        <f>SUM('3 pr-2'!X146)</f>
        <v>0</v>
      </c>
      <c r="AG144" s="1162">
        <f>SUMIF('mokėjimų ataskaita'!$I:$I,'ketv. 7 '!C144,'mokėjimų ataskaita'!$AT:$AT)/2+SUMIF('mokėjimų ataskaita'!$I:$I,'ketv. 7 '!C144,'mokėjimų ataskaita'!$AV:$AV)/2</f>
        <v>0</v>
      </c>
      <c r="AH144" s="1197"/>
      <c r="AI144" s="1197"/>
      <c r="AJ144" s="1174">
        <f t="shared" si="190"/>
        <v>0</v>
      </c>
      <c r="AK144" s="1164">
        <f>SUM('3 pr-2'!AA146)</f>
        <v>13327</v>
      </c>
      <c r="AL144" s="1162">
        <f>SUMIF('mokėjimų ataskaita'!$I:$I,'ketv. 7 '!C144,'mokėjimų ataskaita'!$AK:$AK)/2</f>
        <v>94.24</v>
      </c>
      <c r="AM144" s="1197"/>
      <c r="AN144" s="1197"/>
      <c r="AO144" s="1167">
        <f t="shared" si="191"/>
        <v>13232.76</v>
      </c>
      <c r="AP144" s="1080">
        <f>SUM('3 pr-2'!AB146)</f>
        <v>0</v>
      </c>
      <c r="AQ144" s="1159">
        <v>0</v>
      </c>
    </row>
    <row r="145" spans="1:44" ht="53.25" customHeight="1" thickBot="1">
      <c r="A145" s="385" t="str">
        <f>CONCATENATE('3 pr-2'!A147)</f>
        <v>2.1.3.</v>
      </c>
      <c r="B145" s="2085" t="str">
        <f>CONCATENATE('3 pr-2'!B147)</f>
        <v>Uždavinys:
Socialinio būsto ir socialinių paslaugų prieinamumo pažeidžiamiausioms gyventojų grupėms padidinimas</v>
      </c>
      <c r="C145" s="2086"/>
      <c r="D145" s="2086"/>
      <c r="E145" s="2086"/>
      <c r="F145" s="2086"/>
      <c r="G145" s="2086"/>
      <c r="H145" s="2086"/>
      <c r="I145" s="2086"/>
      <c r="J145" s="2087"/>
      <c r="K145" s="1195">
        <f t="shared" ref="K145:AK145" si="192">SUM(K146+K152)</f>
        <v>4201522.92</v>
      </c>
      <c r="L145" s="1195">
        <f t="shared" si="192"/>
        <v>3228749.23</v>
      </c>
      <c r="M145" s="1195">
        <f t="shared" si="192"/>
        <v>1443767.56</v>
      </c>
      <c r="N145" s="1195">
        <f t="shared" si="192"/>
        <v>1536951.46</v>
      </c>
      <c r="O145" s="1195">
        <f t="shared" si="192"/>
        <v>248030.21000000002</v>
      </c>
      <c r="P145" s="1195">
        <f t="shared" si="192"/>
        <v>972773.69</v>
      </c>
      <c r="Q145" s="1195">
        <f t="shared" si="192"/>
        <v>772840.28</v>
      </c>
      <c r="R145" s="1195">
        <f t="shared" si="192"/>
        <v>548499.41</v>
      </c>
      <c r="S145" s="1195">
        <f t="shared" si="192"/>
        <v>139723</v>
      </c>
      <c r="T145" s="1195">
        <f t="shared" si="192"/>
        <v>408776.41</v>
      </c>
      <c r="U145" s="1195">
        <f t="shared" si="192"/>
        <v>224340.87</v>
      </c>
      <c r="V145" s="1195">
        <f t="shared" si="192"/>
        <v>21947.85</v>
      </c>
      <c r="W145" s="1195">
        <f t="shared" si="192"/>
        <v>21947.849999999995</v>
      </c>
      <c r="X145" s="1195">
        <f t="shared" si="192"/>
        <v>2764.7</v>
      </c>
      <c r="Y145" s="1195">
        <f t="shared" si="192"/>
        <v>19183.149999999994</v>
      </c>
      <c r="Z145" s="1195">
        <f t="shared" si="192"/>
        <v>3.637978807091713E-12</v>
      </c>
      <c r="AA145" s="1195">
        <f t="shared" si="192"/>
        <v>0</v>
      </c>
      <c r="AB145" s="1195">
        <f t="shared" si="192"/>
        <v>0</v>
      </c>
      <c r="AC145" s="1195">
        <f t="shared" si="192"/>
        <v>0</v>
      </c>
      <c r="AD145" s="1195">
        <f t="shared" si="192"/>
        <v>0</v>
      </c>
      <c r="AE145" s="1195">
        <f t="shared" si="192"/>
        <v>0</v>
      </c>
      <c r="AF145" s="1195">
        <f t="shared" si="192"/>
        <v>0</v>
      </c>
      <c r="AG145" s="1195">
        <f t="shared" si="192"/>
        <v>0</v>
      </c>
      <c r="AH145" s="1195">
        <f t="shared" si="192"/>
        <v>0</v>
      </c>
      <c r="AI145" s="1195">
        <f t="shared" si="192"/>
        <v>0</v>
      </c>
      <c r="AJ145" s="1195">
        <f t="shared" si="192"/>
        <v>0</v>
      </c>
      <c r="AK145" s="1195">
        <f t="shared" si="192"/>
        <v>3406734.7899999996</v>
      </c>
      <c r="AL145" s="1195">
        <f>SUM(AL146+AL152)</f>
        <v>1948752.0499999998</v>
      </c>
      <c r="AM145" s="1195">
        <f t="shared" ref="AM145:AQ145" si="193">SUM(AM146+AM152)</f>
        <v>1301279.8600000001</v>
      </c>
      <c r="AN145" s="1195">
        <f t="shared" si="193"/>
        <v>1357022.1099999999</v>
      </c>
      <c r="AO145" s="1195">
        <f t="shared" si="193"/>
        <v>748432.82000000007</v>
      </c>
      <c r="AP145" s="1195">
        <f t="shared" si="193"/>
        <v>0</v>
      </c>
      <c r="AQ145" s="1195">
        <f t="shared" si="193"/>
        <v>0</v>
      </c>
      <c r="AR145" s="233">
        <f>SUM(K145-'3 pr-2'!L147)</f>
        <v>0</v>
      </c>
    </row>
    <row r="146" spans="1:44" ht="36" customHeight="1" thickBot="1">
      <c r="A146" s="296" t="str">
        <f>CONCATENATE('3 pr-2'!A148)</f>
        <v>2.1.3.1</v>
      </c>
      <c r="B146" s="2088" t="str">
        <f>CONCATENATE('3 pr-2'!B148)</f>
        <v>Priemonė:
Socialinių paslaugų infrastruktūros plėtra</v>
      </c>
      <c r="C146" s="2089"/>
      <c r="D146" s="2089"/>
      <c r="E146" s="2089"/>
      <c r="F146" s="2089"/>
      <c r="G146" s="2089"/>
      <c r="H146" s="2089"/>
      <c r="I146" s="2089"/>
      <c r="J146" s="2090"/>
      <c r="K146" s="1077">
        <f t="shared" ref="K146:AK146" si="194">SUM(K147:K151)</f>
        <v>1235321.8</v>
      </c>
      <c r="L146" s="1077">
        <f t="shared" si="194"/>
        <v>1018306.1699999999</v>
      </c>
      <c r="M146" s="1077">
        <f t="shared" si="194"/>
        <v>25688.32</v>
      </c>
      <c r="N146" s="1077">
        <f t="shared" si="194"/>
        <v>942509.71999999986</v>
      </c>
      <c r="O146" s="1077">
        <f t="shared" si="194"/>
        <v>50108.129999999968</v>
      </c>
      <c r="P146" s="1077">
        <f t="shared" si="194"/>
        <v>217015.63000000018</v>
      </c>
      <c r="Q146" s="1077">
        <f t="shared" si="194"/>
        <v>327612.79999999999</v>
      </c>
      <c r="R146" s="1077">
        <f t="shared" si="194"/>
        <v>286808.40000000002</v>
      </c>
      <c r="S146" s="1077">
        <f t="shared" si="194"/>
        <v>0</v>
      </c>
      <c r="T146" s="1077">
        <f t="shared" si="194"/>
        <v>286808.40000000002</v>
      </c>
      <c r="U146" s="1077">
        <f t="shared" si="194"/>
        <v>40804.39999999998</v>
      </c>
      <c r="V146" s="1077">
        <f t="shared" si="194"/>
        <v>21947.85</v>
      </c>
      <c r="W146" s="1077">
        <f t="shared" si="194"/>
        <v>21947.849999999995</v>
      </c>
      <c r="X146" s="1077">
        <f t="shared" si="194"/>
        <v>2764.7</v>
      </c>
      <c r="Y146" s="1077">
        <f t="shared" si="194"/>
        <v>19183.149999999994</v>
      </c>
      <c r="Z146" s="1077">
        <f t="shared" si="194"/>
        <v>3.637978807091713E-12</v>
      </c>
      <c r="AA146" s="1077">
        <f t="shared" si="194"/>
        <v>0</v>
      </c>
      <c r="AB146" s="1077">
        <f t="shared" si="194"/>
        <v>0</v>
      </c>
      <c r="AC146" s="1077">
        <f t="shared" si="194"/>
        <v>0</v>
      </c>
      <c r="AD146" s="1077">
        <f t="shared" si="194"/>
        <v>0</v>
      </c>
      <c r="AE146" s="1077">
        <f t="shared" si="194"/>
        <v>0</v>
      </c>
      <c r="AF146" s="1077">
        <f t="shared" si="194"/>
        <v>0</v>
      </c>
      <c r="AG146" s="1077">
        <f t="shared" si="194"/>
        <v>0</v>
      </c>
      <c r="AH146" s="1077">
        <f t="shared" si="194"/>
        <v>0</v>
      </c>
      <c r="AI146" s="1077">
        <f t="shared" si="194"/>
        <v>0</v>
      </c>
      <c r="AJ146" s="1077">
        <f t="shared" si="194"/>
        <v>0</v>
      </c>
      <c r="AK146" s="1077">
        <f t="shared" si="194"/>
        <v>885761.15</v>
      </c>
      <c r="AL146" s="1077">
        <f>SUMIF('mokėjimų ataskaita'!$I:$I,'ketv. 7 '!C146,'mokėjimų ataskaita'!$AK:$AK)/2</f>
        <v>0</v>
      </c>
      <c r="AM146" s="1077">
        <f t="shared" ref="AM146:AQ146" si="195">SUM(AM147:AM151)</f>
        <v>22923.620000000003</v>
      </c>
      <c r="AN146" s="1077">
        <f t="shared" si="195"/>
        <v>686626.29999999993</v>
      </c>
      <c r="AO146" s="1077">
        <f t="shared" si="195"/>
        <v>176211.2300000001</v>
      </c>
      <c r="AP146" s="1077">
        <f t="shared" si="195"/>
        <v>0</v>
      </c>
      <c r="AQ146" s="1077">
        <f t="shared" si="195"/>
        <v>0</v>
      </c>
      <c r="AR146" s="233">
        <f>SUM(K146-'3 pr-2'!L148)</f>
        <v>0</v>
      </c>
    </row>
    <row r="147" spans="1:44" ht="36.75">
      <c r="A147" s="375" t="str">
        <f>CONCATENATE('3 pr-2'!A149)</f>
        <v>2.1.3.1.1</v>
      </c>
      <c r="B147" s="578" t="str">
        <f>CONCATENATE('3 pr-2'!B149)</f>
        <v>R01-4407-270000-2311</v>
      </c>
      <c r="C147" s="577" t="str">
        <f>CONCATENATE('ketv. 6 '!C148)</f>
        <v>08.1.1-CPVA-R-407-11-0002</v>
      </c>
      <c r="D147" s="231" t="str">
        <f>CONCATENATE('3 pr-2'!D149)</f>
        <v>Socialinių paslaugų infrastruktūros plėtra Varėnos rajono savivaldybėje</v>
      </c>
      <c r="E147" s="164" t="str">
        <f>CONCATENATE('3 pr-2'!E149)</f>
        <v>Varėnos rajono savivaldybės administracija</v>
      </c>
      <c r="F147" s="164" t="str">
        <f>CONCATENATE('3 pr-2'!F149)</f>
        <v>Lietuvos Respublikos socialinės apsaugos ir darbo ministerija</v>
      </c>
      <c r="G147" s="164" t="str">
        <f>CONCATENATE('3 pr-2'!G149)</f>
        <v>Varėnos r. sav.</v>
      </c>
      <c r="H147" s="164" t="str">
        <f>CONCATENATE('3 pr-2'!H149)</f>
        <v>08.1.1-CPVA-R-407</v>
      </c>
      <c r="I147" s="164" t="str">
        <f>CONCATENATE('3 pr-2'!I149)</f>
        <v>R</v>
      </c>
      <c r="J147" s="164" t="str">
        <f>CONCATENATE('3 pr-2'!J149)</f>
        <v>-</v>
      </c>
      <c r="K147" s="1164">
        <f>SUM('3 pr-2'!L149)</f>
        <v>148480</v>
      </c>
      <c r="L147" s="1159">
        <f t="shared" ref="L147:L151" si="196">SUM(R147+W147+AB147+AG147+AL147)</f>
        <v>63464.17</v>
      </c>
      <c r="M147" s="1082">
        <v>0</v>
      </c>
      <c r="N147" s="1082">
        <v>33464.17</v>
      </c>
      <c r="O147" s="1082">
        <f t="shared" ref="O147:O157" si="197">SUM(L147-M147-N147)</f>
        <v>30000</v>
      </c>
      <c r="P147" s="1160">
        <f>SUM(K147-L147)</f>
        <v>85015.83</v>
      </c>
      <c r="Q147" s="1164">
        <f>SUM('3 pr-2'!O149)</f>
        <v>22272</v>
      </c>
      <c r="R147" s="1159">
        <f>SUMIF('mokėjimų ataskaita'!$I:$I,C147,'mokėjimų ataskaita'!$AU:$AU)/2</f>
        <v>3856.5299999999997</v>
      </c>
      <c r="S147" s="1082">
        <v>0</v>
      </c>
      <c r="T147" s="1082">
        <f t="shared" ref="T147:T151" si="198">SUM(R147-S147)</f>
        <v>3856.5299999999997</v>
      </c>
      <c r="U147" s="1160">
        <f>SUM(Q147-R147)</f>
        <v>18415.47</v>
      </c>
      <c r="V147" s="1164">
        <f>SUM('3 pr-2'!R149)</f>
        <v>0</v>
      </c>
      <c r="W147" s="1080">
        <f>SUMIF('mokėjimų ataskaita'!$I:$I,C147,'mokėjimų ataskaita'!$AL:$AL)/2</f>
        <v>0</v>
      </c>
      <c r="X147" s="1082">
        <v>0</v>
      </c>
      <c r="Y147" s="1082">
        <f t="shared" ref="Y147:Y151" si="199">SUM(W147-X147)</f>
        <v>0</v>
      </c>
      <c r="Z147" s="1160">
        <f t="shared" ref="Z147:Z150" si="200">SUM(V147-W147)</f>
        <v>0</v>
      </c>
      <c r="AA147" s="1164">
        <f>SUM('3 pr-2'!U149)</f>
        <v>0</v>
      </c>
      <c r="AB147" s="1080">
        <f>SUMIF('mokėjimų ataskaita'!$I:$I,'ketv. 7 '!C147,'mokėjimų ataskaita'!$AW:$AW)/2</f>
        <v>0</v>
      </c>
      <c r="AC147" s="1082"/>
      <c r="AD147" s="1082"/>
      <c r="AE147" s="1160">
        <f t="shared" ref="AE147:AE151" si="201">SUM(AA147-AB147)</f>
        <v>0</v>
      </c>
      <c r="AF147" s="1164">
        <f>SUM('3 pr-2'!X149)</f>
        <v>0</v>
      </c>
      <c r="AG147" s="1080">
        <f>SUMIF('mokėjimų ataskaita'!$I:$I,'ketv. 7 '!C147,'mokėjimų ataskaita'!$AT:$AT)/2+SUMIF('mokėjimų ataskaita'!$I:$I,'ketv. 7 '!C147,'mokėjimų ataskaita'!$AV:$AV)/2</f>
        <v>0</v>
      </c>
      <c r="AH147" s="1082"/>
      <c r="AI147" s="1082"/>
      <c r="AJ147" s="1160">
        <f t="shared" ref="AJ147:AJ151" si="202">SUM(AF147-AG147)</f>
        <v>0</v>
      </c>
      <c r="AK147" s="1164">
        <f>SUM('3 pr-2'!AA149)</f>
        <v>126208</v>
      </c>
      <c r="AL147" s="1159">
        <f>SUMIF('mokėjimų ataskaita'!$I:$I,'ketv. 7 '!C147,'mokėjimų ataskaita'!$AK:$AK)/2</f>
        <v>59607.64</v>
      </c>
      <c r="AM147" s="1082">
        <v>0</v>
      </c>
      <c r="AN147" s="1082">
        <f t="shared" ref="AN147:AN151" si="203">SUM(AL147-AM147)</f>
        <v>59607.64</v>
      </c>
      <c r="AO147" s="1167">
        <f>SUM(AK147-AL147)</f>
        <v>66600.36</v>
      </c>
      <c r="AP147" s="1080">
        <f>SUM('3 pr-2'!AB312)</f>
        <v>0</v>
      </c>
      <c r="AQ147" s="1159">
        <v>0</v>
      </c>
    </row>
    <row r="148" spans="1:44" ht="36.75">
      <c r="A148" s="375" t="str">
        <f>CONCATENATE('3 pr-2'!A150)</f>
        <v>2.1.3.1.2</v>
      </c>
      <c r="B148" s="578" t="str">
        <f>CONCATENATE('3 pr-2'!B150)</f>
        <v>R01-4407-274800-2312</v>
      </c>
      <c r="C148" s="577" t="str">
        <f>CONCATENATE('ketv. 6 '!C149)</f>
        <v>08.1.1-CPVA-R-407-11-0004</v>
      </c>
      <c r="D148" s="231" t="str">
        <f>CONCATENATE('3 pr-2'!D150)</f>
        <v>Psichosocialinės pagalbos centro įkūrimas</v>
      </c>
      <c r="E148" s="164" t="str">
        <f>CONCATENATE('3 pr-2'!E150)</f>
        <v>Alytaus rajono savivaldybės administracija</v>
      </c>
      <c r="F148" s="164" t="str">
        <f>CONCATENATE('3 pr-2'!F150)</f>
        <v>Lietuvos Respublikos socialinės apsaugos ir darbo ministerija</v>
      </c>
      <c r="G148" s="164" t="str">
        <f>CONCATENATE('3 pr-2'!G150)</f>
        <v>Alytaus r. sav.</v>
      </c>
      <c r="H148" s="164" t="str">
        <f>CONCATENATE('3 pr-2'!H150)</f>
        <v>08.1.1-CPVA-R-407</v>
      </c>
      <c r="I148" s="164" t="str">
        <f>CONCATENATE('3 pr-2'!I150)</f>
        <v>R</v>
      </c>
      <c r="J148" s="164" t="str">
        <f>CONCATENATE('3 pr-2'!J150)</f>
        <v/>
      </c>
      <c r="K148" s="1164">
        <f>SUM('3 pr-2'!L150)</f>
        <v>188353</v>
      </c>
      <c r="L148" s="1159">
        <f t="shared" si="196"/>
        <v>176833.53999999995</v>
      </c>
      <c r="M148" s="1082">
        <v>0</v>
      </c>
      <c r="N148" s="1082">
        <v>174209.9</v>
      </c>
      <c r="O148" s="1082">
        <f t="shared" si="197"/>
        <v>2623.6399999999558</v>
      </c>
      <c r="P148" s="1160">
        <f t="shared" ref="P148:P172" si="204">SUM(K148-L148)</f>
        <v>11519.46000000005</v>
      </c>
      <c r="Q148" s="1164">
        <f>SUM('3 pr-2'!O150)</f>
        <v>28253</v>
      </c>
      <c r="R148" s="1159">
        <f>SUMIF('mokėjimų ataskaita'!$I:$I,C148,'mokėjimų ataskaita'!$AU:$AU)/2</f>
        <v>26525.079999999998</v>
      </c>
      <c r="S148" s="1082">
        <v>0</v>
      </c>
      <c r="T148" s="1082">
        <f t="shared" si="198"/>
        <v>26525.079999999998</v>
      </c>
      <c r="U148" s="1160">
        <f>SUM(Q148-R148)</f>
        <v>1727.9200000000019</v>
      </c>
      <c r="V148" s="1164">
        <f>SUM('3 pr-2'!R150)</f>
        <v>0</v>
      </c>
      <c r="W148" s="1080">
        <f>SUMIF('mokėjimų ataskaita'!$I:$I,C148,'mokėjimų ataskaita'!$AL:$AL)/2</f>
        <v>0</v>
      </c>
      <c r="X148" s="1082">
        <v>0</v>
      </c>
      <c r="Y148" s="1082">
        <f t="shared" si="199"/>
        <v>0</v>
      </c>
      <c r="Z148" s="1160">
        <f t="shared" si="200"/>
        <v>0</v>
      </c>
      <c r="AA148" s="1164">
        <f>SUM('3 pr-2'!U150)</f>
        <v>0</v>
      </c>
      <c r="AB148" s="1080">
        <f>SUMIF('mokėjimų ataskaita'!$I:$I,'ketv. 7 '!C148,'mokėjimų ataskaita'!$AW:$AW)/2</f>
        <v>0</v>
      </c>
      <c r="AC148" s="1082"/>
      <c r="AD148" s="1082"/>
      <c r="AE148" s="1160">
        <f t="shared" si="201"/>
        <v>0</v>
      </c>
      <c r="AF148" s="1164">
        <f>SUM('3 pr-2'!X150)</f>
        <v>0</v>
      </c>
      <c r="AG148" s="1080">
        <f>SUMIF('mokėjimų ataskaita'!$I:$I,'ketv. 7 '!C148,'mokėjimų ataskaita'!$AT:$AT)/2+SUMIF('mokėjimų ataskaita'!$I:$I,'ketv. 7 '!C148,'mokėjimų ataskaita'!$AV:$AV)/2</f>
        <v>0</v>
      </c>
      <c r="AH148" s="1082"/>
      <c r="AI148" s="1082"/>
      <c r="AJ148" s="1160">
        <f t="shared" si="202"/>
        <v>0</v>
      </c>
      <c r="AK148" s="1164">
        <f>SUM('3 pr-2'!AA150)</f>
        <v>160100</v>
      </c>
      <c r="AL148" s="1159">
        <f>SUMIF('mokėjimų ataskaita'!$I:$I,'ketv. 7 '!C148,'mokėjimų ataskaita'!$AK:$AK)/2</f>
        <v>150308.45999999996</v>
      </c>
      <c r="AM148" s="1082">
        <v>0</v>
      </c>
      <c r="AN148" s="1082">
        <f t="shared" si="203"/>
        <v>150308.45999999996</v>
      </c>
      <c r="AO148" s="1167">
        <f>SUM(AK148-AL148)</f>
        <v>9791.5400000000373</v>
      </c>
      <c r="AP148" s="1080">
        <f>SUM('3 pr-2'!AB313)</f>
        <v>0</v>
      </c>
      <c r="AQ148" s="1159">
        <v>0</v>
      </c>
    </row>
    <row r="149" spans="1:44" ht="36.75">
      <c r="A149" s="375" t="str">
        <f>CONCATENATE('3 pr-2'!A151)</f>
        <v>2.1.3.1.3</v>
      </c>
      <c r="B149" s="578" t="str">
        <f>CONCATENATE('3 pr-2'!B151)</f>
        <v>R01-4407-270000-2313</v>
      </c>
      <c r="C149" s="577" t="str">
        <f>CONCATENATE('ketv. 6 '!C150)</f>
        <v>08.1.1-CPVA-R-407-11-0005</v>
      </c>
      <c r="D149" s="231" t="str">
        <f>CONCATENATE('3 pr-2'!D151)</f>
        <v>Socialinių paslaugų plėtra Alytaus mieste</v>
      </c>
      <c r="E149" s="164" t="str">
        <f>CONCATENATE('3 pr-2'!E151)</f>
        <v>Alytaus miesto savivaldybės administracija</v>
      </c>
      <c r="F149" s="164" t="str">
        <f>CONCATENATE('3 pr-2'!F151)</f>
        <v>Lietuvos Respublikos socialinės apsaugos ir darbo ministerija</v>
      </c>
      <c r="G149" s="164" t="str">
        <f>CONCATENATE('3 pr-2'!G151)</f>
        <v>Alytaus m. sav.</v>
      </c>
      <c r="H149" s="164" t="str">
        <f>CONCATENATE('3 pr-2'!H151)</f>
        <v>08.1.1-CPVA-R-407</v>
      </c>
      <c r="I149" s="164" t="str">
        <f>CONCATENATE('3 pr-2'!I151)</f>
        <v>R</v>
      </c>
      <c r="J149" s="164" t="str">
        <f>CONCATENATE('3 pr-2'!J151)</f>
        <v>-</v>
      </c>
      <c r="K149" s="1164">
        <f>SUM('3 pr-2'!L151)</f>
        <v>600732.80000000005</v>
      </c>
      <c r="L149" s="1159">
        <f t="shared" si="196"/>
        <v>600732.79999999993</v>
      </c>
      <c r="M149" s="1082">
        <v>0</v>
      </c>
      <c r="N149" s="1082">
        <v>600732.79999999993</v>
      </c>
      <c r="O149" s="1082">
        <f t="shared" si="197"/>
        <v>0</v>
      </c>
      <c r="P149" s="1160">
        <f>SUM(K149-L149)</f>
        <v>1.1641532182693481E-10</v>
      </c>
      <c r="Q149" s="1164">
        <f>SUM('3 pr-2'!O151)</f>
        <v>254371.8</v>
      </c>
      <c r="R149" s="1159">
        <f>SUMIF('mokėjimų ataskaita'!$I:$I,C149,'mokėjimų ataskaita'!$AU:$AU)/2</f>
        <v>254371.80000000002</v>
      </c>
      <c r="S149" s="1082">
        <v>0</v>
      </c>
      <c r="T149" s="1082">
        <f t="shared" si="198"/>
        <v>254371.80000000002</v>
      </c>
      <c r="U149" s="1160">
        <f>SUM(Q149-R149)</f>
        <v>-2.9103830456733704E-11</v>
      </c>
      <c r="V149" s="1164">
        <f>SUM('3 pr-2'!R151)</f>
        <v>0</v>
      </c>
      <c r="W149" s="1080">
        <f>SUMIF('mokėjimų ataskaita'!$I:$I,C149,'mokėjimų ataskaita'!$AL:$AL)/2</f>
        <v>0</v>
      </c>
      <c r="X149" s="1082">
        <v>0</v>
      </c>
      <c r="Y149" s="1082">
        <f t="shared" si="199"/>
        <v>0</v>
      </c>
      <c r="Z149" s="1160">
        <f t="shared" si="200"/>
        <v>0</v>
      </c>
      <c r="AA149" s="1164">
        <f>SUM('3 pr-2'!U151)</f>
        <v>0</v>
      </c>
      <c r="AB149" s="1080">
        <f>SUMIF('mokėjimų ataskaita'!$I:$I,'ketv. 7 '!C149,'mokėjimų ataskaita'!$AW:$AW)/2</f>
        <v>0</v>
      </c>
      <c r="AC149" s="1082"/>
      <c r="AD149" s="1082"/>
      <c r="AE149" s="1160">
        <f t="shared" si="201"/>
        <v>0</v>
      </c>
      <c r="AF149" s="1164">
        <f>SUM('3 pr-2'!X151)</f>
        <v>0</v>
      </c>
      <c r="AG149" s="1080">
        <f>SUMIF('mokėjimų ataskaita'!$I:$I,'ketv. 7 '!C149,'mokėjimų ataskaita'!$AT:$AT)/2+SUMIF('mokėjimų ataskaita'!$I:$I,'ketv. 7 '!C149,'mokėjimų ataskaita'!$AV:$AV)/2</f>
        <v>0</v>
      </c>
      <c r="AH149" s="1082"/>
      <c r="AI149" s="1082"/>
      <c r="AJ149" s="1160">
        <f t="shared" si="202"/>
        <v>0</v>
      </c>
      <c r="AK149" s="1164">
        <f>SUM('3 pr-2'!AA151)</f>
        <v>346361</v>
      </c>
      <c r="AL149" s="1159">
        <f>SUMIF('mokėjimų ataskaita'!$I:$I,'ketv. 7 '!C149,'mokėjimų ataskaita'!$AK:$AK)/2</f>
        <v>346360.99999999994</v>
      </c>
      <c r="AM149" s="1082">
        <v>0</v>
      </c>
      <c r="AN149" s="1082">
        <f t="shared" si="203"/>
        <v>346360.99999999994</v>
      </c>
      <c r="AO149" s="1167">
        <f>SUM(AK149-AL149)</f>
        <v>5.8207660913467407E-11</v>
      </c>
      <c r="AP149" s="1080">
        <f>SUM('3 pr-2'!AB314)</f>
        <v>0</v>
      </c>
      <c r="AQ149" s="1159">
        <v>0</v>
      </c>
    </row>
    <row r="150" spans="1:44" ht="36.75">
      <c r="A150" s="375" t="str">
        <f>CONCATENATE('3 pr-2'!A152)</f>
        <v>2.1.3.1.4</v>
      </c>
      <c r="B150" s="578" t="str">
        <f>CONCATENATE('3 pr-2'!B152)</f>
        <v>R01-4407-270000-2314</v>
      </c>
      <c r="C150" s="577" t="str">
        <f>CONCATENATE('ketv. 6 '!C151)</f>
        <v>08.1.1-CPVA-R-407-11-0001</v>
      </c>
      <c r="D150" s="231" t="str">
        <f>CONCATENATE('3 pr-2'!D152)</f>
        <v>Socialinių paslaugų infrastruktūros plėtra Druskininkų savivaldybėje</v>
      </c>
      <c r="E150" s="164" t="str">
        <f>CONCATENATE('3 pr-2'!E152)</f>
        <v>Druskininkų savivaldybės administracija</v>
      </c>
      <c r="F150" s="164" t="str">
        <f>CONCATENATE('3 pr-2'!F152)</f>
        <v>Lietuvos Respublikos socialinės apsaugos ir darbo ministerija</v>
      </c>
      <c r="G150" s="164" t="str">
        <f>CONCATENATE('3 pr-2'!G152)</f>
        <v>Druskininkų sav.</v>
      </c>
      <c r="H150" s="164" t="str">
        <f>CONCATENATE('3 pr-2'!H152)</f>
        <v>08.1.1-CPVA-R-407</v>
      </c>
      <c r="I150" s="164" t="str">
        <f>CONCATENATE('3 pr-2'!I152)</f>
        <v>R</v>
      </c>
      <c r="J150" s="164" t="str">
        <f>CONCATENATE('3 pr-2'!J152)</f>
        <v>-</v>
      </c>
      <c r="K150" s="1164">
        <f>SUM('3 pr-2'!L152)</f>
        <v>151437</v>
      </c>
      <c r="L150" s="1159">
        <f t="shared" si="196"/>
        <v>30956.659999999996</v>
      </c>
      <c r="M150" s="1082">
        <v>7257</v>
      </c>
      <c r="N150" s="1082">
        <v>7257</v>
      </c>
      <c r="O150" s="1082">
        <f t="shared" si="197"/>
        <v>16442.659999999996</v>
      </c>
      <c r="P150" s="1160">
        <f>SUM(K150-L150)</f>
        <v>120480.34</v>
      </c>
      <c r="Q150" s="1164">
        <f>SUM('3 pr-2'!O152)</f>
        <v>22716</v>
      </c>
      <c r="R150" s="1159">
        <f>SUMIF('mokėjimų ataskaita'!$I:$I,C150,'mokėjimų ataskaita'!$AU:$AU)/2</f>
        <v>2054.9899999999998</v>
      </c>
      <c r="S150" s="1082">
        <v>0</v>
      </c>
      <c r="T150" s="1082">
        <f t="shared" si="198"/>
        <v>2054.9899999999998</v>
      </c>
      <c r="U150" s="1160">
        <f>SUM(Q150-R150)</f>
        <v>20661.010000000002</v>
      </c>
      <c r="V150" s="1164">
        <f>SUM('3 pr-2'!R152)</f>
        <v>0</v>
      </c>
      <c r="W150" s="1080">
        <f>SUMIF('mokėjimų ataskaita'!$I:$I,C150,'mokėjimų ataskaita'!$AL:$AL)/2</f>
        <v>0</v>
      </c>
      <c r="X150" s="1082">
        <v>0</v>
      </c>
      <c r="Y150" s="1082">
        <f t="shared" si="199"/>
        <v>0</v>
      </c>
      <c r="Z150" s="1160">
        <f t="shared" si="200"/>
        <v>0</v>
      </c>
      <c r="AA150" s="1164">
        <f>SUM('3 pr-2'!U152)</f>
        <v>0</v>
      </c>
      <c r="AB150" s="1080">
        <f>SUMIF('mokėjimų ataskaita'!$I:$I,'ketv. 7 '!C150,'mokėjimų ataskaita'!$AW:$AW)/2</f>
        <v>0</v>
      </c>
      <c r="AC150" s="1082"/>
      <c r="AD150" s="1082"/>
      <c r="AE150" s="1160">
        <f t="shared" si="201"/>
        <v>0</v>
      </c>
      <c r="AF150" s="1164">
        <f>SUM('3 pr-2'!X152)</f>
        <v>0</v>
      </c>
      <c r="AG150" s="1080">
        <f>SUMIF('mokėjimų ataskaita'!$I:$I,'ketv. 7 '!C150,'mokėjimų ataskaita'!$AT:$AT)/2+SUMIF('mokėjimų ataskaita'!$I:$I,'ketv. 7 '!C150,'mokėjimų ataskaita'!$AV:$AV)/2</f>
        <v>0</v>
      </c>
      <c r="AH150" s="1082"/>
      <c r="AI150" s="1082"/>
      <c r="AJ150" s="1160">
        <f t="shared" si="202"/>
        <v>0</v>
      </c>
      <c r="AK150" s="1164">
        <f>SUM('3 pr-2'!AA152)</f>
        <v>128721</v>
      </c>
      <c r="AL150" s="1159">
        <f>SUMIF('mokėjimų ataskaita'!$I:$I,'ketv. 7 '!C150,'mokėjimų ataskaita'!$AK:$AK)/2</f>
        <v>28901.67</v>
      </c>
      <c r="AM150" s="1082">
        <v>7257</v>
      </c>
      <c r="AN150" s="1082">
        <f t="shared" si="203"/>
        <v>21644.67</v>
      </c>
      <c r="AO150" s="1167">
        <f>SUM(AK150-AL150)</f>
        <v>99819.33</v>
      </c>
      <c r="AP150" s="1080">
        <f>SUM('3 pr-2'!AB315)</f>
        <v>0</v>
      </c>
      <c r="AQ150" s="1159">
        <v>0</v>
      </c>
    </row>
    <row r="151" spans="1:44" ht="49.5" thickBot="1">
      <c r="A151" s="375" t="str">
        <f>CONCATENATE('3 pr-2'!A153)</f>
        <v>2.1.3.1.5</v>
      </c>
      <c r="B151" s="578" t="str">
        <f>CONCATENATE('3 pr-2'!B153)</f>
        <v>R01-4407-270000-2315</v>
      </c>
      <c r="C151" s="577" t="str">
        <f>CONCATENATE('ketv. 6 '!C152)</f>
        <v>08.1.1-CPVA-R-407-11-0003</v>
      </c>
      <c r="D151" s="231" t="str">
        <f>CONCATENATE('3 pr-2'!D153)</f>
        <v>Socialinių paslaugų infrastruktūros modernizavimas ir plėtra VšĮ Kapčiamiesčio globos namuose</v>
      </c>
      <c r="E151" s="164" t="str">
        <f>CONCATENATE('3 pr-2'!E153)</f>
        <v>VšĮ Kapčiamiesčio globos namai</v>
      </c>
      <c r="F151" s="164" t="str">
        <f>CONCATENATE('3 pr-2'!F153)</f>
        <v>Lietuvos Respublikos socialinės apsaugos ir darbo ministerija</v>
      </c>
      <c r="G151" s="164" t="str">
        <f>CONCATENATE('3 pr-2'!G153)</f>
        <v>Lazdijų r. sav.</v>
      </c>
      <c r="H151" s="164" t="str">
        <f>CONCATENATE('3 pr-2'!H153)</f>
        <v>08.1.1-CPVA-R-407</v>
      </c>
      <c r="I151" s="164" t="str">
        <f>CONCATENATE('3 pr-2'!I153)</f>
        <v>R</v>
      </c>
      <c r="J151" s="164" t="str">
        <f>CONCATENATE('3 pr-2'!J153)</f>
        <v>-</v>
      </c>
      <c r="K151" s="1164">
        <f>SUM('3 pr-2'!L153)</f>
        <v>146319</v>
      </c>
      <c r="L151" s="1159">
        <f t="shared" si="196"/>
        <v>146319</v>
      </c>
      <c r="M151" s="1082">
        <v>18431.32</v>
      </c>
      <c r="N151" s="1082">
        <v>126845.84999999998</v>
      </c>
      <c r="O151" s="1082">
        <f t="shared" si="197"/>
        <v>1041.8300000000163</v>
      </c>
      <c r="P151" s="1160">
        <f t="shared" si="204"/>
        <v>0</v>
      </c>
      <c r="Q151" s="1164">
        <f>SUM('3 pr-2'!O153)</f>
        <v>0</v>
      </c>
      <c r="R151" s="1159">
        <f>SUMIF('mokėjimų ataskaita'!$I:$I,C151,'mokėjimų ataskaita'!$AU:$AU)/2</f>
        <v>0</v>
      </c>
      <c r="S151" s="1082">
        <v>0</v>
      </c>
      <c r="T151" s="1082">
        <f t="shared" si="198"/>
        <v>0</v>
      </c>
      <c r="U151" s="1160">
        <f>SUM(Q151-R151)</f>
        <v>0</v>
      </c>
      <c r="V151" s="1164">
        <f>SUM('3 pr-2'!R153)</f>
        <v>21947.85</v>
      </c>
      <c r="W151" s="1159">
        <f>SUMIF('mokėjimų ataskaita'!$I:$I,C151,'mokėjimų ataskaita'!$AL:$AL)/2</f>
        <v>21947.849999999995</v>
      </c>
      <c r="X151" s="1082">
        <v>2764.7</v>
      </c>
      <c r="Y151" s="1082">
        <f t="shared" si="199"/>
        <v>19183.149999999994</v>
      </c>
      <c r="Z151" s="1160">
        <f t="shared" ref="Z151:Z179" si="205">SUM(V151-W151)</f>
        <v>3.637978807091713E-12</v>
      </c>
      <c r="AA151" s="1164">
        <f>SUM('3 pr-2'!U153)</f>
        <v>0</v>
      </c>
      <c r="AB151" s="1080">
        <f>SUMIF('mokėjimų ataskaita'!$I:$I,'ketv. 7 '!C151,'mokėjimų ataskaita'!$AW:$AW)/2</f>
        <v>0</v>
      </c>
      <c r="AC151" s="1082"/>
      <c r="AD151" s="1082"/>
      <c r="AE151" s="1080">
        <f t="shared" si="201"/>
        <v>0</v>
      </c>
      <c r="AF151" s="1164">
        <f>SUM('3 pr-2'!X153)</f>
        <v>0</v>
      </c>
      <c r="AG151" s="1080">
        <f>SUMIF('mokėjimų ataskaita'!$I:$I,'ketv. 7 '!C151,'mokėjimų ataskaita'!$AT:$AT)/2+SUMIF('mokėjimų ataskaita'!$I:$I,'ketv. 7 '!C151,'mokėjimų ataskaita'!$AV:$AV)/2</f>
        <v>0</v>
      </c>
      <c r="AH151" s="1082"/>
      <c r="AI151" s="1082"/>
      <c r="AJ151" s="1080">
        <f t="shared" si="202"/>
        <v>0</v>
      </c>
      <c r="AK151" s="1164">
        <f>SUM('3 pr-2'!AA153)</f>
        <v>124371.15</v>
      </c>
      <c r="AL151" s="1159">
        <f>SUMIF('mokėjimų ataskaita'!$I:$I,'ketv. 7 '!C151,'mokėjimų ataskaita'!$AK:$AK)/2</f>
        <v>124371.15</v>
      </c>
      <c r="AM151" s="1082">
        <v>15666.62</v>
      </c>
      <c r="AN151" s="1082">
        <f t="shared" si="203"/>
        <v>108704.53</v>
      </c>
      <c r="AO151" s="1161">
        <f>SUM(AK151-AL151)</f>
        <v>0</v>
      </c>
      <c r="AP151" s="1080">
        <f>SUM('3 pr-2'!AB316)</f>
        <v>0</v>
      </c>
      <c r="AQ151" s="1159">
        <v>0</v>
      </c>
    </row>
    <row r="152" spans="1:44" ht="39.75" customHeight="1" thickBot="1">
      <c r="A152" s="296" t="str">
        <f>CONCATENATE('3 pr-2'!A154)</f>
        <v>2.1.3.2</v>
      </c>
      <c r="B152" s="2088" t="str">
        <f>CONCATENATE('3 pr-2'!B154)</f>
        <v>Priemonė:
Socialinio būsto fondo plėtra</v>
      </c>
      <c r="C152" s="2089"/>
      <c r="D152" s="2089"/>
      <c r="E152" s="2089"/>
      <c r="F152" s="2089"/>
      <c r="G152" s="2089"/>
      <c r="H152" s="2089"/>
      <c r="I152" s="2089"/>
      <c r="J152" s="2090"/>
      <c r="K152" s="1077">
        <f t="shared" ref="K152:AK152" si="206">SUM(K153:K157)</f>
        <v>2966201.12</v>
      </c>
      <c r="L152" s="1077">
        <f t="shared" si="206"/>
        <v>2210443.06</v>
      </c>
      <c r="M152" s="1077">
        <f t="shared" si="206"/>
        <v>1418079.24</v>
      </c>
      <c r="N152" s="1077">
        <f t="shared" si="206"/>
        <v>594441.74</v>
      </c>
      <c r="O152" s="1077">
        <f t="shared" si="206"/>
        <v>197922.08000000005</v>
      </c>
      <c r="P152" s="1077">
        <f t="shared" si="206"/>
        <v>755758.05999999982</v>
      </c>
      <c r="Q152" s="1077">
        <f t="shared" si="206"/>
        <v>445227.48000000004</v>
      </c>
      <c r="R152" s="1077">
        <f t="shared" si="206"/>
        <v>261691.01</v>
      </c>
      <c r="S152" s="1077">
        <f t="shared" si="206"/>
        <v>139723</v>
      </c>
      <c r="T152" s="1077">
        <f t="shared" si="206"/>
        <v>121968.00999999995</v>
      </c>
      <c r="U152" s="1077">
        <f t="shared" si="206"/>
        <v>183536.47000000003</v>
      </c>
      <c r="V152" s="1077">
        <f t="shared" si="206"/>
        <v>0</v>
      </c>
      <c r="W152" s="1077">
        <f t="shared" si="206"/>
        <v>0</v>
      </c>
      <c r="X152" s="1077">
        <f t="shared" si="206"/>
        <v>0</v>
      </c>
      <c r="Y152" s="1077">
        <f t="shared" si="206"/>
        <v>0</v>
      </c>
      <c r="Z152" s="1077">
        <f t="shared" si="206"/>
        <v>0</v>
      </c>
      <c r="AA152" s="1077">
        <f t="shared" si="206"/>
        <v>0</v>
      </c>
      <c r="AB152" s="1077">
        <f t="shared" si="206"/>
        <v>0</v>
      </c>
      <c r="AC152" s="1077">
        <f t="shared" si="206"/>
        <v>0</v>
      </c>
      <c r="AD152" s="1077">
        <f t="shared" si="206"/>
        <v>0</v>
      </c>
      <c r="AE152" s="1077">
        <f t="shared" si="206"/>
        <v>0</v>
      </c>
      <c r="AF152" s="1077">
        <f t="shared" si="206"/>
        <v>0</v>
      </c>
      <c r="AG152" s="1077">
        <f t="shared" si="206"/>
        <v>0</v>
      </c>
      <c r="AH152" s="1077">
        <f t="shared" si="206"/>
        <v>0</v>
      </c>
      <c r="AI152" s="1077">
        <f t="shared" si="206"/>
        <v>0</v>
      </c>
      <c r="AJ152" s="1077">
        <f t="shared" si="206"/>
        <v>0</v>
      </c>
      <c r="AK152" s="1077">
        <f t="shared" si="206"/>
        <v>2520973.6399999997</v>
      </c>
      <c r="AL152" s="1077">
        <f>SUM(AL153:AL157)</f>
        <v>1948752.0499999998</v>
      </c>
      <c r="AM152" s="1077">
        <f t="shared" ref="AM152:AQ152" si="207">SUM(AM153:AM157)</f>
        <v>1278356.24</v>
      </c>
      <c r="AN152" s="1077">
        <f t="shared" si="207"/>
        <v>670395.81000000006</v>
      </c>
      <c r="AO152" s="1077">
        <f t="shared" si="207"/>
        <v>572221.59</v>
      </c>
      <c r="AP152" s="1077">
        <f t="shared" si="207"/>
        <v>0</v>
      </c>
      <c r="AQ152" s="1077">
        <f t="shared" si="207"/>
        <v>0</v>
      </c>
      <c r="AR152" s="233">
        <f>SUM(K152-'3 pr-2'!L154)</f>
        <v>0</v>
      </c>
    </row>
    <row r="153" spans="1:44" ht="36.75">
      <c r="A153" s="375" t="str">
        <f>CONCATENATE('3 pr-2'!A155)</f>
        <v>2.1.3.2.1</v>
      </c>
      <c r="B153" s="578" t="str">
        <f>CONCATENATE('3 pr-2'!B155)</f>
        <v>R01-4408-260000-2321</v>
      </c>
      <c r="C153" s="577" t="str">
        <f>CONCATENATE('ketv. 6 '!C154)</f>
        <v>08.1.2-CPVA-R-408-11-0001</v>
      </c>
      <c r="D153" s="231" t="str">
        <f>CONCATENATE('3 pr-2'!D155)</f>
        <v>Socialinio būsto plėtra Varėnos rajone</v>
      </c>
      <c r="E153" s="164" t="str">
        <f>CONCATENATE('3 pr-2'!E155)</f>
        <v>Varėnos rajono savivaldybės administracija</v>
      </c>
      <c r="F153" s="164" t="str">
        <f>CONCATENATE('3 pr-2'!F155)</f>
        <v>Lietuvos Respublikos socialinės apsaugos ir darbo ministerija</v>
      </c>
      <c r="G153" s="164" t="str">
        <f>CONCATENATE('3 pr-2'!G155)</f>
        <v>Varėnos r. sav.</v>
      </c>
      <c r="H153" s="164" t="str">
        <f>CONCATENATE('3 pr-2'!H155)</f>
        <v>08.1.2-CPVA-R-408</v>
      </c>
      <c r="I153" s="164" t="str">
        <f>CONCATENATE('3 pr-2'!I155)</f>
        <v>R</v>
      </c>
      <c r="J153" s="164" t="str">
        <f>CONCATENATE('3 pr-2'!J155)</f>
        <v>-</v>
      </c>
      <c r="K153" s="1164">
        <f>SUM('3 pr-2'!L155)</f>
        <v>736499</v>
      </c>
      <c r="L153" s="1159">
        <f t="shared" ref="L153:L157" si="208">SUM(R153+W153+AB153+AG153+AL153)</f>
        <v>569403.63</v>
      </c>
      <c r="M153" s="1082">
        <v>418850.32</v>
      </c>
      <c r="N153" s="1082">
        <v>115454.78999999998</v>
      </c>
      <c r="O153" s="1082">
        <f t="shared" si="197"/>
        <v>35098.520000000019</v>
      </c>
      <c r="P153" s="1080">
        <f t="shared" si="204"/>
        <v>167095.37</v>
      </c>
      <c r="Q153" s="1164">
        <f>SUM('3 pr-2'!O155)</f>
        <v>110475</v>
      </c>
      <c r="R153" s="1159">
        <f>SUMIF('mokėjimų ataskaita'!$I:$I,C153,'mokėjimų ataskaita'!$AU:$AU)/2</f>
        <v>65421.949999999983</v>
      </c>
      <c r="S153" s="1082">
        <v>42838.93</v>
      </c>
      <c r="T153" s="1082">
        <f t="shared" ref="T153:T157" si="209">SUM(R153-S153)</f>
        <v>22583.019999999982</v>
      </c>
      <c r="U153" s="1080">
        <f t="shared" ref="U153:U157" si="210">SUM(Q153-R153)</f>
        <v>45053.050000000017</v>
      </c>
      <c r="V153" s="1164">
        <f>SUM('3 pr-2'!R155)</f>
        <v>0</v>
      </c>
      <c r="W153" s="1080">
        <f>SUMIF('mokėjimų ataskaita'!$I:$I,C153,'mokėjimų ataskaita'!$AL:$AL)/2</f>
        <v>0</v>
      </c>
      <c r="X153" s="1082"/>
      <c r="Y153" s="1082"/>
      <c r="Z153" s="1080">
        <f t="shared" ref="Z153:Z157" si="211">SUM(V153-W153)</f>
        <v>0</v>
      </c>
      <c r="AA153" s="1164">
        <f>SUM('3 pr-2'!U155)</f>
        <v>0</v>
      </c>
      <c r="AB153" s="1080">
        <f>SUMIF('mokėjimų ataskaita'!$I:$I,'ketv. 7 '!C153,'mokėjimų ataskaita'!$AW:$AW)/2</f>
        <v>0</v>
      </c>
      <c r="AC153" s="1082"/>
      <c r="AD153" s="1082"/>
      <c r="AE153" s="1080">
        <f t="shared" ref="AE153:AE157" si="212">SUM(AA153-AB153)</f>
        <v>0</v>
      </c>
      <c r="AF153" s="1164">
        <f>SUM('3 pr-2'!X155)</f>
        <v>0</v>
      </c>
      <c r="AG153" s="1080">
        <f>SUMIF('mokėjimų ataskaita'!$I:$I,'ketv. 7 '!C153,'mokėjimų ataskaita'!$AT:$AT)/2+SUMIF('mokėjimų ataskaita'!$I:$I,'ketv. 7 '!C153,'mokėjimų ataskaita'!$AV:$AV)/2</f>
        <v>0</v>
      </c>
      <c r="AH153" s="1082"/>
      <c r="AI153" s="1082"/>
      <c r="AJ153" s="1080">
        <f t="shared" ref="AJ153:AJ157" si="213">SUM(AF153-AG153)</f>
        <v>0</v>
      </c>
      <c r="AK153" s="1164">
        <f>SUM('3 pr-2'!AA155)</f>
        <v>626024</v>
      </c>
      <c r="AL153" s="1159">
        <f>SUMIF('mokėjimų ataskaita'!$I:$I,'ketv. 7 '!C153,'mokėjimų ataskaita'!$AK:$AK)/2</f>
        <v>503981.68</v>
      </c>
      <c r="AM153" s="1082">
        <v>376011.39</v>
      </c>
      <c r="AN153" s="1082">
        <f t="shared" ref="AN153:AN157" si="214">SUM(AL153-AM153)</f>
        <v>127970.28999999998</v>
      </c>
      <c r="AO153" s="1161">
        <f t="shared" ref="AO153:AO157" si="215">SUM(AK153-AL153)</f>
        <v>122042.32</v>
      </c>
      <c r="AP153" s="1080">
        <f>SUM('3 pr-2'!AB318)</f>
        <v>0</v>
      </c>
      <c r="AQ153" s="1159">
        <v>0</v>
      </c>
    </row>
    <row r="154" spans="1:44" ht="48.75">
      <c r="A154" s="375" t="str">
        <f>CONCATENATE('3 pr-2'!A156)</f>
        <v>2.1.3.2.2</v>
      </c>
      <c r="B154" s="578" t="str">
        <f>CONCATENATE('3 pr-2'!B156)</f>
        <v>R01-4408-250000-2322</v>
      </c>
      <c r="C154" s="577" t="str">
        <f>CONCATENATE('ketv. 6 '!C155)</f>
        <v>08.1.2-CPVA-R-408-11-0005</v>
      </c>
      <c r="D154" s="231" t="str">
        <f>CONCATENATE('3 pr-2'!D156)</f>
        <v>Būsto prieinamumo pažeidžiamoms gyventojų grupėms didinimas Alytaus rajone</v>
      </c>
      <c r="E154" s="164" t="str">
        <f>CONCATENATE('3 pr-2'!E156)</f>
        <v>Alytaus rajono savivaldybės administracija</v>
      </c>
      <c r="F154" s="164" t="str">
        <f>CONCATENATE('3 pr-2'!F156)</f>
        <v>Lietuvos Respublikos socialinės apsaugos ir darbo ministerija</v>
      </c>
      <c r="G154" s="164" t="str">
        <f>CONCATENATE('3 pr-2'!G156)</f>
        <v>Alytaus r. sav.</v>
      </c>
      <c r="H154" s="164" t="str">
        <f>CONCATENATE('3 pr-2'!H156)</f>
        <v>08.1.2-CPVA-R-408</v>
      </c>
      <c r="I154" s="164" t="str">
        <f>CONCATENATE('3 pr-2'!I156)</f>
        <v>R</v>
      </c>
      <c r="J154" s="164" t="str">
        <f>CONCATENATE('3 pr-2'!J156)</f>
        <v>-</v>
      </c>
      <c r="K154" s="1164">
        <f>SUM('3 pr-2'!L156)</f>
        <v>241889</v>
      </c>
      <c r="L154" s="1159">
        <f t="shared" si="208"/>
        <v>241889</v>
      </c>
      <c r="M154" s="1082">
        <v>104787.71</v>
      </c>
      <c r="N154" s="1082">
        <v>126993.06999999999</v>
      </c>
      <c r="O154" s="1082">
        <f t="shared" si="197"/>
        <v>10108.219999999987</v>
      </c>
      <c r="P154" s="1080">
        <f t="shared" ref="P154" si="216">SUM(K154-L154)</f>
        <v>0</v>
      </c>
      <c r="Q154" s="1164">
        <f>SUM('3 pr-2'!O156)</f>
        <v>36283.35</v>
      </c>
      <c r="R154" s="1159">
        <f>SUMIF('mokėjimų ataskaita'!$I:$I,C154,'mokėjimų ataskaita'!$AU:$AU)/2</f>
        <v>36283.35</v>
      </c>
      <c r="S154" s="1082">
        <v>15718.16</v>
      </c>
      <c r="T154" s="1082">
        <f t="shared" si="209"/>
        <v>20565.189999999999</v>
      </c>
      <c r="U154" s="1080">
        <f t="shared" si="210"/>
        <v>0</v>
      </c>
      <c r="V154" s="1164">
        <f>SUM('3 pr-2'!R156)</f>
        <v>0</v>
      </c>
      <c r="W154" s="1080">
        <f>SUMIF('mokėjimų ataskaita'!$I:$I,C154,'mokėjimų ataskaita'!$AL:$AL)/2</f>
        <v>0</v>
      </c>
      <c r="X154" s="1082"/>
      <c r="Y154" s="1082"/>
      <c r="Z154" s="1080">
        <f t="shared" si="211"/>
        <v>0</v>
      </c>
      <c r="AA154" s="1164">
        <f>SUM('3 pr-2'!U156)</f>
        <v>0</v>
      </c>
      <c r="AB154" s="1080">
        <f>SUMIF('mokėjimų ataskaita'!$I:$I,'ketv. 7 '!C154,'mokėjimų ataskaita'!$AW:$AW)/2</f>
        <v>0</v>
      </c>
      <c r="AC154" s="1082"/>
      <c r="AD154" s="1082"/>
      <c r="AE154" s="1080">
        <f t="shared" si="212"/>
        <v>0</v>
      </c>
      <c r="AF154" s="1164">
        <f>SUM('3 pr-2'!X156)</f>
        <v>0</v>
      </c>
      <c r="AG154" s="1080">
        <f>SUMIF('mokėjimų ataskaita'!$I:$I,'ketv. 7 '!C154,'mokėjimų ataskaita'!$AT:$AT)/2+SUMIF('mokėjimų ataskaita'!$I:$I,'ketv. 7 '!C154,'mokėjimų ataskaita'!$AV:$AV)/2</f>
        <v>0</v>
      </c>
      <c r="AH154" s="1082"/>
      <c r="AI154" s="1082"/>
      <c r="AJ154" s="1080">
        <f t="shared" si="213"/>
        <v>0</v>
      </c>
      <c r="AK154" s="1164">
        <f>SUM('3 pr-2'!AA156)</f>
        <v>205605.65</v>
      </c>
      <c r="AL154" s="1159">
        <f>SUMIF('mokėjimų ataskaita'!$I:$I,'ketv. 7 '!C154,'mokėjimų ataskaita'!$AK:$AK)/2</f>
        <v>205605.65</v>
      </c>
      <c r="AM154" s="1082">
        <v>89069.55</v>
      </c>
      <c r="AN154" s="1082">
        <f t="shared" si="214"/>
        <v>116536.09999999999</v>
      </c>
      <c r="AO154" s="1167">
        <f t="shared" si="215"/>
        <v>0</v>
      </c>
      <c r="AP154" s="1080">
        <f>SUM('3 pr-2'!AB319)</f>
        <v>0</v>
      </c>
      <c r="AQ154" s="1159">
        <v>0</v>
      </c>
    </row>
    <row r="155" spans="1:44" ht="36.75">
      <c r="A155" s="375" t="str">
        <f>CONCATENATE('3 pr-2'!A157)</f>
        <v>2.1.3.1.3</v>
      </c>
      <c r="B155" s="578" t="str">
        <f>CONCATENATE('3 pr-2'!B157)</f>
        <v>R01-4408-260000-2323</v>
      </c>
      <c r="C155" s="577" t="str">
        <f>CONCATENATE('ketv. 6 '!C156)</f>
        <v>08.1.2-CPVA-R-408-11-0002</v>
      </c>
      <c r="D155" s="231" t="str">
        <f>CONCATENATE('3 pr-2'!D157)</f>
        <v>Socialinio būsto plėtra Alytaus mieste</v>
      </c>
      <c r="E155" s="164" t="str">
        <f>CONCATENATE('3 pr-2'!E157)</f>
        <v>Alytaus miesto savivaldybės administracija</v>
      </c>
      <c r="F155" s="164" t="str">
        <f>CONCATENATE('3 pr-2'!F157)</f>
        <v>Lietuvos Respublikos socialinės apsaugos ir darbo ministerija</v>
      </c>
      <c r="G155" s="164" t="str">
        <f>CONCATENATE('3 pr-2'!G157)</f>
        <v>Alytaus m. sav.</v>
      </c>
      <c r="H155" s="164" t="str">
        <f>CONCATENATE('3 pr-2'!H157)</f>
        <v>08.1.2-CPVA-R-408</v>
      </c>
      <c r="I155" s="164" t="str">
        <f>CONCATENATE('3 pr-2'!I157)</f>
        <v>R</v>
      </c>
      <c r="J155" s="164" t="str">
        <f>CONCATENATE('3 pr-2'!J157)</f>
        <v>-</v>
      </c>
      <c r="K155" s="1164">
        <f>SUM('3 pr-2'!L157)</f>
        <v>891741.17999999993</v>
      </c>
      <c r="L155" s="1159">
        <f t="shared" si="208"/>
        <v>664377.61</v>
      </c>
      <c r="M155" s="1082">
        <v>591608.44999999995</v>
      </c>
      <c r="N155" s="1082">
        <v>72769.160000000033</v>
      </c>
      <c r="O155" s="1082">
        <f t="shared" si="197"/>
        <v>0</v>
      </c>
      <c r="P155" s="1080">
        <f t="shared" si="204"/>
        <v>227363.56999999995</v>
      </c>
      <c r="Q155" s="1164">
        <f>SUM('3 pr-2'!O157)</f>
        <v>133761.18</v>
      </c>
      <c r="R155" s="1159">
        <f>SUMIF('mokėjimų ataskaita'!$I:$I,C155,'mokėjimų ataskaita'!$AU:$AU)/2</f>
        <v>78520.14</v>
      </c>
      <c r="S155" s="1082">
        <v>67604.77</v>
      </c>
      <c r="T155" s="1082">
        <f t="shared" si="209"/>
        <v>10915.369999999995</v>
      </c>
      <c r="U155" s="1080">
        <f t="shared" si="210"/>
        <v>55241.039999999994</v>
      </c>
      <c r="V155" s="1164">
        <f>SUM('3 pr-2'!R157)</f>
        <v>0</v>
      </c>
      <c r="W155" s="1080">
        <f>SUMIF('mokėjimų ataskaita'!$I:$I,C155,'mokėjimų ataskaita'!$AL:$AL)/2</f>
        <v>0</v>
      </c>
      <c r="X155" s="1082"/>
      <c r="Y155" s="1082"/>
      <c r="Z155" s="1080">
        <f t="shared" si="211"/>
        <v>0</v>
      </c>
      <c r="AA155" s="1164">
        <f>SUM('3 pr-2'!U157)</f>
        <v>0</v>
      </c>
      <c r="AB155" s="1080">
        <f>SUMIF('mokėjimų ataskaita'!$I:$I,'ketv. 7 '!C155,'mokėjimų ataskaita'!$AW:$AW)/2</f>
        <v>0</v>
      </c>
      <c r="AC155" s="1082"/>
      <c r="AD155" s="1082"/>
      <c r="AE155" s="1080">
        <f t="shared" si="212"/>
        <v>0</v>
      </c>
      <c r="AF155" s="1164">
        <f>SUM('3 pr-2'!X157)</f>
        <v>0</v>
      </c>
      <c r="AG155" s="1080">
        <f>SUMIF('mokėjimų ataskaita'!$I:$I,'ketv. 7 '!C155,'mokėjimų ataskaita'!$AT:$AT)/2+SUMIF('mokėjimų ataskaita'!$I:$I,'ketv. 7 '!C155,'mokėjimų ataskaita'!$AV:$AV)/2</f>
        <v>0</v>
      </c>
      <c r="AH155" s="1082"/>
      <c r="AI155" s="1082"/>
      <c r="AJ155" s="1080">
        <f t="shared" si="213"/>
        <v>0</v>
      </c>
      <c r="AK155" s="1164">
        <f>SUM('3 pr-2'!AA157)</f>
        <v>757980</v>
      </c>
      <c r="AL155" s="1159">
        <f>SUMIF('mokėjimų ataskaita'!$I:$I,'ketv. 7 '!C155,'mokėjimų ataskaita'!$AK:$AK)/2</f>
        <v>585857.47</v>
      </c>
      <c r="AM155" s="1082">
        <v>524003.68</v>
      </c>
      <c r="AN155" s="1082">
        <f t="shared" si="214"/>
        <v>61853.789999999979</v>
      </c>
      <c r="AO155" s="1161">
        <f t="shared" si="215"/>
        <v>172122.53000000003</v>
      </c>
      <c r="AP155" s="1080">
        <f>SUM('3 pr-2'!AB320)</f>
        <v>0</v>
      </c>
      <c r="AQ155" s="1159">
        <v>0</v>
      </c>
    </row>
    <row r="156" spans="1:44" ht="36.75">
      <c r="A156" s="375" t="str">
        <f>CONCATENATE('3 pr-2'!A158)</f>
        <v>2.1.3.2.4</v>
      </c>
      <c r="B156" s="578" t="str">
        <f>CONCATENATE('3 pr-2'!B158)</f>
        <v>R01-4408-260000-2324</v>
      </c>
      <c r="C156" s="577" t="str">
        <f>CONCATENATE('ketv. 6 '!C157)</f>
        <v>08.1.2-CPVA-R-408-11-0003</v>
      </c>
      <c r="D156" s="231" t="str">
        <f>CONCATENATE('3 pr-2'!D158)</f>
        <v>Socialinio būsto fondo plėtra Druskininkų savivaldybėje</v>
      </c>
      <c r="E156" s="164" t="str">
        <f>CONCATENATE('3 pr-2'!E158)</f>
        <v>Druskininkų savivaldybės administracija</v>
      </c>
      <c r="F156" s="164" t="str">
        <f>CONCATENATE('3 pr-2'!F158)</f>
        <v>Lietuvos Respublikos socialinės apsaugos ir darbo ministerija</v>
      </c>
      <c r="G156" s="164" t="str">
        <f>CONCATENATE('3 pr-2'!G158)</f>
        <v>Druskininkų sav.</v>
      </c>
      <c r="H156" s="164" t="str">
        <f>CONCATENATE('3 pr-2'!H158)</f>
        <v>08.1.2-CPVA-R-408</v>
      </c>
      <c r="I156" s="164" t="str">
        <f>CONCATENATE('3 pr-2'!I158)</f>
        <v>R</v>
      </c>
      <c r="J156" s="164" t="str">
        <f>CONCATENATE('3 pr-2'!J158)</f>
        <v>-</v>
      </c>
      <c r="K156" s="1164">
        <f>SUM('3 pr-2'!L158)</f>
        <v>727472.94</v>
      </c>
      <c r="L156" s="1159">
        <f t="shared" si="208"/>
        <v>558716.63</v>
      </c>
      <c r="M156" s="1082">
        <v>153706.56</v>
      </c>
      <c r="N156" s="1082">
        <v>255935.46999999997</v>
      </c>
      <c r="O156" s="1082">
        <f t="shared" si="197"/>
        <v>149074.60000000003</v>
      </c>
      <c r="P156" s="1080">
        <f t="shared" si="204"/>
        <v>168756.30999999994</v>
      </c>
      <c r="Q156" s="1164">
        <f>SUM('3 pr-2'!O158)</f>
        <v>109120.95</v>
      </c>
      <c r="R156" s="1159">
        <f>SUMIF('mokėjimų ataskaita'!$I:$I,C156,'mokėjimų ataskaita'!$AU:$AU)/2</f>
        <v>63512.499999999993</v>
      </c>
      <c r="S156" s="1082">
        <v>2760.98</v>
      </c>
      <c r="T156" s="1082">
        <f t="shared" si="209"/>
        <v>60751.51999999999</v>
      </c>
      <c r="U156" s="1080">
        <f t="shared" si="210"/>
        <v>45608.450000000004</v>
      </c>
      <c r="V156" s="1164">
        <f>SUM('3 pr-2'!R158)</f>
        <v>0</v>
      </c>
      <c r="W156" s="1080">
        <f>SUMIF('mokėjimų ataskaita'!$I:$I,C156,'mokėjimų ataskaita'!$AL:$AL)/2</f>
        <v>0</v>
      </c>
      <c r="X156" s="1082"/>
      <c r="Y156" s="1082"/>
      <c r="Z156" s="1080">
        <f t="shared" si="211"/>
        <v>0</v>
      </c>
      <c r="AA156" s="1164">
        <f>SUM('3 pr-2'!U158)</f>
        <v>0</v>
      </c>
      <c r="AB156" s="1080">
        <f>SUMIF('mokėjimų ataskaita'!$I:$I,'ketv. 7 '!C156,'mokėjimų ataskaita'!$AW:$AW)/2</f>
        <v>0</v>
      </c>
      <c r="AC156" s="1082"/>
      <c r="AD156" s="1082"/>
      <c r="AE156" s="1080">
        <f t="shared" si="212"/>
        <v>0</v>
      </c>
      <c r="AF156" s="1164">
        <f>SUM('3 pr-2'!X158)</f>
        <v>0</v>
      </c>
      <c r="AG156" s="1080">
        <f>SUMIF('mokėjimų ataskaita'!$I:$I,'ketv. 7 '!C156,'mokėjimų ataskaita'!$AT:$AT)/2+SUMIF('mokėjimų ataskaita'!$I:$I,'ketv. 7 '!C156,'mokėjimų ataskaita'!$AV:$AV)/2</f>
        <v>0</v>
      </c>
      <c r="AH156" s="1082"/>
      <c r="AI156" s="1082"/>
      <c r="AJ156" s="1080">
        <f t="shared" si="213"/>
        <v>0</v>
      </c>
      <c r="AK156" s="1164">
        <f>SUM('3 pr-2'!AA158)</f>
        <v>618351.99</v>
      </c>
      <c r="AL156" s="1159">
        <f>SUMIF('mokėjimų ataskaita'!$I:$I,'ketv. 7 '!C156,'mokėjimų ataskaita'!$AK:$AK)/2</f>
        <v>495204.13</v>
      </c>
      <c r="AM156" s="1082">
        <v>150945.57999999999</v>
      </c>
      <c r="AN156" s="1082">
        <f t="shared" si="214"/>
        <v>344258.55000000005</v>
      </c>
      <c r="AO156" s="1161">
        <f t="shared" si="215"/>
        <v>123147.85999999999</v>
      </c>
      <c r="AP156" s="1080">
        <f>SUM('3 pr-2'!AB321)</f>
        <v>0</v>
      </c>
      <c r="AQ156" s="1159">
        <v>0</v>
      </c>
    </row>
    <row r="157" spans="1:44" ht="37.5" thickBot="1">
      <c r="A157" s="375" t="str">
        <f>CONCATENATE('3 pr-2'!A159)</f>
        <v>2.1.3.2.5</v>
      </c>
      <c r="B157" s="578" t="str">
        <f>CONCATENATE('3 pr-2'!B159)</f>
        <v>R01-4408-252600-2325</v>
      </c>
      <c r="C157" s="577" t="str">
        <f>CONCATENATE('ketv. 6 '!C158)</f>
        <v>08.1.2-CPVA-R-408-11-0004</v>
      </c>
      <c r="D157" s="231" t="str">
        <f>CONCATENATE('3 pr-2'!D159)</f>
        <v>Socialinio būsto fondo plėtra Lazdijų rajono savivaldybėje</v>
      </c>
      <c r="E157" s="164" t="str">
        <f>CONCATENATE('3 pr-2'!E159)</f>
        <v>Lazdijų rajono savivaldybės administracija</v>
      </c>
      <c r="F157" s="164" t="str">
        <f>CONCATENATE('3 pr-2'!F159)</f>
        <v>Lietuvos Respublikos socialinės apsaugos ir darbo ministerija</v>
      </c>
      <c r="G157" s="164" t="str">
        <f>CONCATENATE('3 pr-2'!G159)</f>
        <v>Lazdijų r. sav.</v>
      </c>
      <c r="H157" s="164" t="str">
        <f>CONCATENATE('3 pr-2'!H159)</f>
        <v>08.1.2-CPVA-R-408</v>
      </c>
      <c r="I157" s="164" t="str">
        <f>CONCATENATE('3 pr-2'!I159)</f>
        <v>R</v>
      </c>
      <c r="J157" s="164" t="str">
        <f>CONCATENATE('3 pr-2'!J159)</f>
        <v>-</v>
      </c>
      <c r="K157" s="1164">
        <f>SUM('3 pr-2'!L159)</f>
        <v>368599</v>
      </c>
      <c r="L157" s="1159">
        <f t="shared" si="208"/>
        <v>176056.19000000003</v>
      </c>
      <c r="M157" s="1082">
        <v>149126.20000000001</v>
      </c>
      <c r="N157" s="1082">
        <v>23289.25</v>
      </c>
      <c r="O157" s="1082">
        <f t="shared" si="197"/>
        <v>3640.7400000000198</v>
      </c>
      <c r="P157" s="1080">
        <f t="shared" si="204"/>
        <v>192542.80999999997</v>
      </c>
      <c r="Q157" s="1164">
        <f>SUM('3 pr-2'!O159)</f>
        <v>55587</v>
      </c>
      <c r="R157" s="1159">
        <f>SUMIF('mokėjimų ataskaita'!$I:$I,C157,'mokėjimų ataskaita'!$AU:$AU)/2</f>
        <v>17953.069999999996</v>
      </c>
      <c r="S157" s="1082">
        <v>10800.16</v>
      </c>
      <c r="T157" s="1082">
        <f t="shared" si="209"/>
        <v>7152.9099999999962</v>
      </c>
      <c r="U157" s="1080">
        <f t="shared" si="210"/>
        <v>37633.930000000008</v>
      </c>
      <c r="V157" s="1164">
        <f>SUM('3 pr-2'!R159)</f>
        <v>0</v>
      </c>
      <c r="W157" s="1080">
        <f>SUMIF('mokėjimų ataskaita'!$I:$I,C157,'mokėjimų ataskaita'!$AL:$AL)/2</f>
        <v>0</v>
      </c>
      <c r="X157" s="1082"/>
      <c r="Y157" s="1082"/>
      <c r="Z157" s="1080">
        <f t="shared" si="211"/>
        <v>0</v>
      </c>
      <c r="AA157" s="1164">
        <f>SUM('3 pr-2'!U159)</f>
        <v>0</v>
      </c>
      <c r="AB157" s="1080">
        <f>SUMIF('mokėjimų ataskaita'!$I:$I,'ketv. 7 '!C157,'mokėjimų ataskaita'!$AW:$AW)/2</f>
        <v>0</v>
      </c>
      <c r="AC157" s="1082"/>
      <c r="AD157" s="1082"/>
      <c r="AE157" s="1080">
        <f t="shared" si="212"/>
        <v>0</v>
      </c>
      <c r="AF157" s="1164">
        <f>SUM('3 pr-2'!X159)</f>
        <v>0</v>
      </c>
      <c r="AG157" s="1080">
        <f>SUMIF('mokėjimų ataskaita'!$I:$I,'ketv. 7 '!C157,'mokėjimų ataskaita'!$AT:$AT)/2+SUMIF('mokėjimų ataskaita'!$I:$I,'ketv. 7 '!C157,'mokėjimų ataskaita'!$AV:$AV)/2</f>
        <v>0</v>
      </c>
      <c r="AH157" s="1082"/>
      <c r="AI157" s="1082"/>
      <c r="AJ157" s="1080">
        <f t="shared" si="213"/>
        <v>0</v>
      </c>
      <c r="AK157" s="1164">
        <f>SUM('3 pr-2'!AA159)</f>
        <v>313012</v>
      </c>
      <c r="AL157" s="1159">
        <f>SUMIF('mokėjimų ataskaita'!$I:$I,'ketv. 7 '!C157,'mokėjimų ataskaita'!$AK:$AK)/2</f>
        <v>158103.12000000002</v>
      </c>
      <c r="AM157" s="1082">
        <v>138326.04</v>
      </c>
      <c r="AN157" s="1082">
        <f t="shared" si="214"/>
        <v>19777.080000000016</v>
      </c>
      <c r="AO157" s="1161">
        <f t="shared" si="215"/>
        <v>154908.87999999998</v>
      </c>
      <c r="AP157" s="1080">
        <f>SUM('3 pr-2'!AB322)</f>
        <v>0</v>
      </c>
      <c r="AQ157" s="1159">
        <v>0</v>
      </c>
    </row>
    <row r="158" spans="1:44" ht="49.5" customHeight="1" thickBot="1">
      <c r="A158" s="385" t="str">
        <f>CONCATENATE('3 pr-2'!A160)</f>
        <v>2.1.4.</v>
      </c>
      <c r="B158" s="2085" t="str">
        <f>CONCATENATE('3 pr-2'!B160)</f>
        <v>Uždavinys:
Visuomenei teikiamų paslaugų kokybės, didinant jų atitikimo visuomenės poreikiams pagerinimas</v>
      </c>
      <c r="C158" s="2086"/>
      <c r="D158" s="2086"/>
      <c r="E158" s="2086"/>
      <c r="F158" s="2086"/>
      <c r="G158" s="2086"/>
      <c r="H158" s="2086"/>
      <c r="I158" s="2086"/>
      <c r="J158" s="2087"/>
      <c r="K158" s="1195">
        <f t="shared" ref="K158:AK158" si="217">SUM(K159)</f>
        <v>1106987.73</v>
      </c>
      <c r="L158" s="1195">
        <f t="shared" si="217"/>
        <v>249209.41000000003</v>
      </c>
      <c r="M158" s="1195">
        <f t="shared" si="217"/>
        <v>0</v>
      </c>
      <c r="N158" s="1195">
        <f t="shared" si="217"/>
        <v>110596.05499999999</v>
      </c>
      <c r="O158" s="1195">
        <f t="shared" si="217"/>
        <v>138613.35500000001</v>
      </c>
      <c r="P158" s="1195">
        <f t="shared" si="217"/>
        <v>857778.32</v>
      </c>
      <c r="Q158" s="1195">
        <f t="shared" si="217"/>
        <v>166179.88999999998</v>
      </c>
      <c r="R158" s="1195">
        <f t="shared" si="217"/>
        <v>30039.98</v>
      </c>
      <c r="S158" s="1195">
        <f t="shared" si="217"/>
        <v>0</v>
      </c>
      <c r="T158" s="1195">
        <f t="shared" si="217"/>
        <v>0</v>
      </c>
      <c r="U158" s="1195">
        <f t="shared" si="217"/>
        <v>136139.91</v>
      </c>
      <c r="V158" s="1195">
        <f t="shared" si="217"/>
        <v>0</v>
      </c>
      <c r="W158" s="1195">
        <f t="shared" si="217"/>
        <v>0</v>
      </c>
      <c r="X158" s="1195">
        <f t="shared" si="217"/>
        <v>0</v>
      </c>
      <c r="Y158" s="1195">
        <f t="shared" si="217"/>
        <v>0</v>
      </c>
      <c r="Z158" s="1195">
        <f t="shared" si="217"/>
        <v>0</v>
      </c>
      <c r="AA158" s="1195">
        <f t="shared" si="217"/>
        <v>0</v>
      </c>
      <c r="AB158" s="1195">
        <f t="shared" si="217"/>
        <v>0</v>
      </c>
      <c r="AC158" s="1195">
        <f t="shared" si="217"/>
        <v>0</v>
      </c>
      <c r="AD158" s="1195">
        <f t="shared" si="217"/>
        <v>0</v>
      </c>
      <c r="AE158" s="1195">
        <f t="shared" si="217"/>
        <v>0</v>
      </c>
      <c r="AF158" s="1195">
        <f t="shared" si="217"/>
        <v>0</v>
      </c>
      <c r="AG158" s="1195">
        <f t="shared" si="217"/>
        <v>0</v>
      </c>
      <c r="AH158" s="1195">
        <f t="shared" si="217"/>
        <v>0</v>
      </c>
      <c r="AI158" s="1195">
        <f t="shared" si="217"/>
        <v>0</v>
      </c>
      <c r="AJ158" s="1195">
        <f t="shared" si="217"/>
        <v>0</v>
      </c>
      <c r="AK158" s="1195">
        <f t="shared" si="217"/>
        <v>940807.84000000008</v>
      </c>
      <c r="AL158" s="1195">
        <f>SUM(AL159)</f>
        <v>219169.43</v>
      </c>
      <c r="AM158" s="1195">
        <f t="shared" ref="AM158:AQ158" si="218">SUM(AM159)</f>
        <v>0</v>
      </c>
      <c r="AN158" s="1195">
        <f t="shared" si="218"/>
        <v>0</v>
      </c>
      <c r="AO158" s="1195">
        <f t="shared" si="218"/>
        <v>551638.40999999992</v>
      </c>
      <c r="AP158" s="1195">
        <f t="shared" si="218"/>
        <v>0</v>
      </c>
      <c r="AQ158" s="1195">
        <f t="shared" si="218"/>
        <v>0</v>
      </c>
      <c r="AR158" s="233">
        <f>SUM(K158-'3 pr-2'!L160)</f>
        <v>0</v>
      </c>
    </row>
    <row r="159" spans="1:44" ht="37.5" customHeight="1" thickBot="1">
      <c r="A159" s="296" t="str">
        <f>CONCATENATE('3 pr-2'!A161)</f>
        <v>2.1.4.1</v>
      </c>
      <c r="B159" s="2088" t="str">
        <f>CONCATENATE('3 pr-2'!B161)</f>
        <v>Priemonė:
Paslaugų teikimo ir asmenų aptarnavimo kokybės gerinimas savivaldybėse</v>
      </c>
      <c r="C159" s="2089"/>
      <c r="D159" s="2089"/>
      <c r="E159" s="2089"/>
      <c r="F159" s="2089"/>
      <c r="G159" s="2089"/>
      <c r="H159" s="2089"/>
      <c r="I159" s="2089"/>
      <c r="J159" s="2090"/>
      <c r="K159" s="1077">
        <f t="shared" ref="K159:AJ159" si="219">SUM(K160:K165)</f>
        <v>1106987.73</v>
      </c>
      <c r="L159" s="1077">
        <f t="shared" si="219"/>
        <v>249209.41000000003</v>
      </c>
      <c r="M159" s="1077">
        <f t="shared" si="219"/>
        <v>0</v>
      </c>
      <c r="N159" s="1077">
        <f t="shared" si="219"/>
        <v>110596.05499999999</v>
      </c>
      <c r="O159" s="1077">
        <f t="shared" si="219"/>
        <v>138613.35500000001</v>
      </c>
      <c r="P159" s="1077">
        <f t="shared" si="219"/>
        <v>857778.32</v>
      </c>
      <c r="Q159" s="1077">
        <f t="shared" si="219"/>
        <v>166179.88999999998</v>
      </c>
      <c r="R159" s="1077">
        <f t="shared" si="219"/>
        <v>30039.98</v>
      </c>
      <c r="S159" s="1077">
        <f t="shared" si="219"/>
        <v>0</v>
      </c>
      <c r="T159" s="1077">
        <f t="shared" si="219"/>
        <v>0</v>
      </c>
      <c r="U159" s="1077">
        <f t="shared" si="219"/>
        <v>136139.91</v>
      </c>
      <c r="V159" s="1077">
        <f t="shared" si="219"/>
        <v>0</v>
      </c>
      <c r="W159" s="1077">
        <f t="shared" si="219"/>
        <v>0</v>
      </c>
      <c r="X159" s="1077">
        <f t="shared" si="219"/>
        <v>0</v>
      </c>
      <c r="Y159" s="1077">
        <f t="shared" si="219"/>
        <v>0</v>
      </c>
      <c r="Z159" s="1077">
        <f t="shared" si="219"/>
        <v>0</v>
      </c>
      <c r="AA159" s="1077">
        <f t="shared" si="219"/>
        <v>0</v>
      </c>
      <c r="AB159" s="1077">
        <f t="shared" si="219"/>
        <v>0</v>
      </c>
      <c r="AC159" s="1077">
        <f t="shared" si="219"/>
        <v>0</v>
      </c>
      <c r="AD159" s="1077">
        <f t="shared" si="219"/>
        <v>0</v>
      </c>
      <c r="AE159" s="1077">
        <f t="shared" si="219"/>
        <v>0</v>
      </c>
      <c r="AF159" s="1077">
        <f t="shared" si="219"/>
        <v>0</v>
      </c>
      <c r="AG159" s="1077">
        <f t="shared" si="219"/>
        <v>0</v>
      </c>
      <c r="AH159" s="1077">
        <f t="shared" si="219"/>
        <v>0</v>
      </c>
      <c r="AI159" s="1077">
        <f t="shared" si="219"/>
        <v>0</v>
      </c>
      <c r="AJ159" s="1077">
        <f t="shared" si="219"/>
        <v>0</v>
      </c>
      <c r="AK159" s="1077">
        <f>SUM(AK160:AK165)</f>
        <v>940807.84000000008</v>
      </c>
      <c r="AL159" s="1077">
        <f t="shared" ref="AL159:AQ159" si="220">SUM(AL160:AL165)</f>
        <v>219169.43</v>
      </c>
      <c r="AM159" s="1077">
        <f t="shared" si="220"/>
        <v>0</v>
      </c>
      <c r="AN159" s="1077">
        <f t="shared" si="220"/>
        <v>0</v>
      </c>
      <c r="AO159" s="1077">
        <f t="shared" si="220"/>
        <v>551638.40999999992</v>
      </c>
      <c r="AP159" s="1077">
        <f t="shared" si="220"/>
        <v>0</v>
      </c>
      <c r="AQ159" s="1077">
        <f t="shared" si="220"/>
        <v>0</v>
      </c>
      <c r="AR159" s="233">
        <f>SUM(K159-'3 pr-2'!L161)</f>
        <v>0</v>
      </c>
    </row>
    <row r="160" spans="1:44" ht="36.75">
      <c r="A160" s="375" t="str">
        <f>CONCATENATE('3 pr-2'!A162)</f>
        <v>2.1.4.1.1</v>
      </c>
      <c r="B160" s="578" t="str">
        <f>CONCATENATE('3 pr-2'!B162)</f>
        <v>R01-9920-490000-2411</v>
      </c>
      <c r="C160" s="577" t="str">
        <f>CONCATENATE('ketv. 6 '!C161)</f>
        <v>10.1.3-ESFA-R-920-11-0001</v>
      </c>
      <c r="D160" s="231" t="str">
        <f>CONCATENATE('3 pr-2'!D162)</f>
        <v>Paslaugų teikimo ir asmenų aptarnavimo kokybės gerinimas Varėnos rajono savivaldybėje</v>
      </c>
      <c r="E160" s="164" t="str">
        <f>CONCATENATE('3 pr-2'!E162)</f>
        <v>Varėnos rajono savivaldybės administracija</v>
      </c>
      <c r="F160" s="164" t="str">
        <f>CONCATENATE('3 pr-2'!F162)</f>
        <v>Lietuvos Respublikos vidaus reikalų ministerija</v>
      </c>
      <c r="G160" s="164" t="str">
        <f>CONCATENATE('3 pr-2'!G162)</f>
        <v>Varėnos r. sav.</v>
      </c>
      <c r="H160" s="164" t="str">
        <f>CONCATENATE('3 pr-2'!H162)</f>
        <v>10.1.3-ESFA-R-920</v>
      </c>
      <c r="I160" s="164" t="str">
        <f>CONCATENATE('3 pr-2'!I162)</f>
        <v>R</v>
      </c>
      <c r="J160" s="164" t="str">
        <f>CONCATENATE('3 pr-2'!J162)</f>
        <v>-</v>
      </c>
      <c r="K160" s="1164">
        <f>SUM('3 pr-2'!L162)</f>
        <v>172733.52</v>
      </c>
      <c r="L160" s="1159">
        <f t="shared" ref="L160:L162" si="221">SUM(R160+W160+AB160+AG160+AL160)</f>
        <v>75765.820000000007</v>
      </c>
      <c r="M160" s="1082">
        <v>0</v>
      </c>
      <c r="N160" s="1082">
        <v>63677.5</v>
      </c>
      <c r="O160" s="1082">
        <f t="shared" ref="O160:O165" si="222">SUM(L160-M160-N160)</f>
        <v>12088.320000000007</v>
      </c>
      <c r="P160" s="1160">
        <f t="shared" si="204"/>
        <v>96967.699999999983</v>
      </c>
      <c r="Q160" s="1164">
        <f>SUM('3 pr-2'!O162)</f>
        <v>25910.03</v>
      </c>
      <c r="R160" s="1159">
        <f>SUMIF('mokėjimų ataskaita'!$I:$I,C160,'mokėjimų ataskaita'!$AU:$AU)/2</f>
        <v>10263.699999999999</v>
      </c>
      <c r="S160" s="1082"/>
      <c r="T160" s="1082"/>
      <c r="U160" s="1160">
        <f t="shared" ref="U160:U165" si="223">SUM(Q160-R160)</f>
        <v>15646.33</v>
      </c>
      <c r="V160" s="1164">
        <f>SUM('3 pr-2'!R162)</f>
        <v>0</v>
      </c>
      <c r="W160" s="1080">
        <f>SUMIF('mokėjimų ataskaita'!$I:$I,C160,'mokėjimų ataskaita'!$AL:$AL)/2</f>
        <v>0</v>
      </c>
      <c r="X160" s="1082"/>
      <c r="Y160" s="1082"/>
      <c r="Z160" s="1160">
        <f t="shared" ref="Z160:Z164" si="224">SUM(V160-W160)</f>
        <v>0</v>
      </c>
      <c r="AA160" s="1164">
        <f>SUM('3 pr-2'!U162)</f>
        <v>0</v>
      </c>
      <c r="AB160" s="1080">
        <f>SUMIF('mokėjimų ataskaita'!$I:$I,'ketv. 7 '!C160,'mokėjimų ataskaita'!$AW:$AW)/2</f>
        <v>0</v>
      </c>
      <c r="AC160" s="1082"/>
      <c r="AD160" s="1082"/>
      <c r="AE160" s="1160">
        <f t="shared" ref="AE160:AE164" si="225">SUM(AA160-AB160)</f>
        <v>0</v>
      </c>
      <c r="AF160" s="1164">
        <f>SUM('3 pr-2'!X162)</f>
        <v>0</v>
      </c>
      <c r="AG160" s="1080">
        <f>SUMIF('mokėjimų ataskaita'!$I:$I,'ketv. 7 '!C160,'mokėjimų ataskaita'!$AT:$AT)/2+SUMIF('mokėjimų ataskaita'!$I:$I,'ketv. 7 '!C160,'mokėjimų ataskaita'!$AV:$AV)/2</f>
        <v>0</v>
      </c>
      <c r="AH160" s="1082"/>
      <c r="AI160" s="1082"/>
      <c r="AJ160" s="1160">
        <f t="shared" ref="AJ160:AJ164" si="226">SUM(AF160-AG160)</f>
        <v>0</v>
      </c>
      <c r="AK160" s="1164">
        <f>SUM('3 pr-2'!AA162)</f>
        <v>146823.49</v>
      </c>
      <c r="AL160" s="1159">
        <f>SUMIF('mokėjimų ataskaita'!$I:$I,'ketv. 7 '!C160,'mokėjimų ataskaita'!$AK:$AK)/2</f>
        <v>65502.12000000001</v>
      </c>
      <c r="AM160" s="1082"/>
      <c r="AN160" s="1082"/>
      <c r="AO160" s="1167">
        <f>SUM(AK160-AL160)</f>
        <v>81321.369999999981</v>
      </c>
      <c r="AP160" s="1080">
        <f>SUM('3 pr-2'!AB325)</f>
        <v>0</v>
      </c>
      <c r="AQ160" s="1159">
        <v>0</v>
      </c>
    </row>
    <row r="161" spans="1:44" ht="36.75">
      <c r="A161" s="375" t="str">
        <f>CONCATENATE('3 pr-2'!A163)</f>
        <v>2.1.4.1.2</v>
      </c>
      <c r="B161" s="578" t="str">
        <f>CONCATENATE('3 pr-2'!B163)</f>
        <v>R01-9920-490000-2412</v>
      </c>
      <c r="C161" s="577" t="str">
        <f>CONCATENATE('ketv. 6 '!C162)</f>
        <v>10.1.3-ESFA-R-920-11-0005</v>
      </c>
      <c r="D161" s="231" t="str">
        <f>CONCATENATE('3 pr-2'!D163)</f>
        <v>Paslaugų ir asmenų aptarnavimo kokybės gerinimas Alytaus rajono savivaldybėje</v>
      </c>
      <c r="E161" s="164" t="str">
        <f>CONCATENATE('3 pr-2'!E163)</f>
        <v>Alytaus rajono savivaldybės administracija</v>
      </c>
      <c r="F161" s="164" t="str">
        <f>CONCATENATE('3 pr-2'!F163)</f>
        <v>Lietuvos Respublikos vidaus reikalų ministerija</v>
      </c>
      <c r="G161" s="164" t="str">
        <f>CONCATENATE('3 pr-2'!G163)</f>
        <v>Alytaus r. sav.</v>
      </c>
      <c r="H161" s="164" t="str">
        <f>CONCATENATE('3 pr-2'!H163)</f>
        <v>10.1.3-ESFA-R-920</v>
      </c>
      <c r="I161" s="164" t="str">
        <f>CONCATENATE('3 pr-2'!I163)</f>
        <v>R</v>
      </c>
      <c r="J161" s="164" t="str">
        <f>CONCATENATE('3 pr-2'!J163)</f>
        <v>-</v>
      </c>
      <c r="K161" s="1164">
        <f>SUM('3 pr-2'!L163)</f>
        <v>192832.21</v>
      </c>
      <c r="L161" s="1159">
        <f t="shared" si="221"/>
        <v>33340.54</v>
      </c>
      <c r="M161" s="1082">
        <v>0</v>
      </c>
      <c r="N161" s="1082">
        <v>0</v>
      </c>
      <c r="O161" s="1082">
        <f t="shared" si="222"/>
        <v>33340.54</v>
      </c>
      <c r="P161" s="1160">
        <f t="shared" si="204"/>
        <v>159491.66999999998</v>
      </c>
      <c r="Q161" s="1164">
        <f>SUM('3 pr-2'!O163)</f>
        <v>28924.84</v>
      </c>
      <c r="R161" s="1159">
        <f>SUMIF('mokėjimų ataskaita'!$I:$I,C161,'mokėjimų ataskaita'!$AU:$AU)/2</f>
        <v>5001.08</v>
      </c>
      <c r="S161" s="1082"/>
      <c r="T161" s="1082"/>
      <c r="U161" s="1160">
        <f t="shared" si="223"/>
        <v>23923.760000000002</v>
      </c>
      <c r="V161" s="1164">
        <f>SUM('3 pr-2'!R163)</f>
        <v>0</v>
      </c>
      <c r="W161" s="1080">
        <f>SUMIF('mokėjimų ataskaita'!$I:$I,C161,'mokėjimų ataskaita'!$AL:$AL)/2</f>
        <v>0</v>
      </c>
      <c r="X161" s="1082"/>
      <c r="Y161" s="1082"/>
      <c r="Z161" s="1160">
        <f t="shared" si="224"/>
        <v>0</v>
      </c>
      <c r="AA161" s="1164">
        <f>SUM('3 pr-2'!U163)</f>
        <v>0</v>
      </c>
      <c r="AB161" s="1080">
        <f>SUMIF('mokėjimų ataskaita'!$I:$I,'ketv. 7 '!C161,'mokėjimų ataskaita'!$AW:$AW)/2</f>
        <v>0</v>
      </c>
      <c r="AC161" s="1082"/>
      <c r="AD161" s="1082"/>
      <c r="AE161" s="1160">
        <f t="shared" si="225"/>
        <v>0</v>
      </c>
      <c r="AF161" s="1164">
        <f>SUM('3 pr-2'!X163)</f>
        <v>0</v>
      </c>
      <c r="AG161" s="1080">
        <f>SUMIF('mokėjimų ataskaita'!$I:$I,'ketv. 7 '!C161,'mokėjimų ataskaita'!$AT:$AT)/2+SUMIF('mokėjimų ataskaita'!$I:$I,'ketv. 7 '!C161,'mokėjimų ataskaita'!$AV:$AV)/2</f>
        <v>0</v>
      </c>
      <c r="AH161" s="1082"/>
      <c r="AI161" s="1082"/>
      <c r="AJ161" s="1160">
        <f t="shared" si="226"/>
        <v>0</v>
      </c>
      <c r="AK161" s="1164">
        <f>SUM('3 pr-2'!AA163)</f>
        <v>163907.37</v>
      </c>
      <c r="AL161" s="1159">
        <f>SUMIF('mokėjimų ataskaita'!$I:$I,'ketv. 7 '!C161,'mokėjimų ataskaita'!$AK:$AK)/2</f>
        <v>28339.46</v>
      </c>
      <c r="AM161" s="1082"/>
      <c r="AN161" s="1082"/>
      <c r="AO161" s="1167">
        <f>SUM(AK161-AL161)</f>
        <v>135567.91</v>
      </c>
      <c r="AP161" s="1080">
        <f>SUM('3 pr-2'!AB326)</f>
        <v>0</v>
      </c>
      <c r="AQ161" s="1159">
        <v>0</v>
      </c>
    </row>
    <row r="162" spans="1:44" ht="48.75">
      <c r="A162" s="375" t="str">
        <f>CONCATENATE('3 pr-2'!A164)</f>
        <v>2.1.4.1.3</v>
      </c>
      <c r="B162" s="578" t="str">
        <f>CONCATENATE('3 pr-2'!B164)</f>
        <v>R01-9920-490000-2413</v>
      </c>
      <c r="C162" s="577" t="str">
        <f>CONCATENATE('ketv. 6 '!C163)</f>
        <v>10.1.3-ESFA-R-920-11-0003</v>
      </c>
      <c r="D162" s="231" t="str">
        <f>CONCATENATE('3 pr-2'!D164)</f>
        <v>Lazdijų rajono savivaldybės administracijos ir jos viešojo valdymo institucijų teikiamų paslaugų procesų tobulinimas</v>
      </c>
      <c r="E162" s="164" t="str">
        <f>CONCATENATE('3 pr-2'!E164)</f>
        <v>Lazdijų rajono savivaldybės administracija</v>
      </c>
      <c r="F162" s="164" t="str">
        <f>CONCATENATE('3 pr-2'!F164)</f>
        <v>Lietuvos Respublikos vidaus reikalų ministerija</v>
      </c>
      <c r="G162" s="164" t="str">
        <f>CONCATENATE('3 pr-2'!G164)</f>
        <v>Lazdijų r. sav.</v>
      </c>
      <c r="H162" s="164" t="str">
        <f>CONCATENATE('3 pr-2'!H164)</f>
        <v>10.1.3-ESFA-R-920</v>
      </c>
      <c r="I162" s="164" t="str">
        <f>CONCATENATE('3 pr-2'!I164)</f>
        <v>R</v>
      </c>
      <c r="J162" s="164" t="str">
        <f>CONCATENATE('3 pr-2'!J164)</f>
        <v>-</v>
      </c>
      <c r="K162" s="1164">
        <f>SUM('3 pr-2'!L164)</f>
        <v>163986.88</v>
      </c>
      <c r="L162" s="1159">
        <f t="shared" si="221"/>
        <v>93837.11</v>
      </c>
      <c r="M162" s="1082">
        <v>0</v>
      </c>
      <c r="N162" s="1082">
        <v>46918.555</v>
      </c>
      <c r="O162" s="1082">
        <f t="shared" si="222"/>
        <v>46918.555</v>
      </c>
      <c r="P162" s="1160">
        <f t="shared" si="204"/>
        <v>70149.77</v>
      </c>
      <c r="Q162" s="1164">
        <f>SUM('3 pr-2'!O164)</f>
        <v>24598.880000000001</v>
      </c>
      <c r="R162" s="1159">
        <f>SUMIF('mokėjimų ataskaita'!$I:$I,C162,'mokėjimų ataskaita'!$AU:$AU)/2</f>
        <v>7803.38</v>
      </c>
      <c r="S162" s="1082"/>
      <c r="T162" s="1082"/>
      <c r="U162" s="1160">
        <f t="shared" si="223"/>
        <v>16795.5</v>
      </c>
      <c r="V162" s="1164">
        <f>SUM('3 pr-2'!R164)</f>
        <v>0</v>
      </c>
      <c r="W162" s="1080">
        <f>SUMIF('mokėjimų ataskaita'!$I:$I,C162,'mokėjimų ataskaita'!$AL:$AL)/2</f>
        <v>0</v>
      </c>
      <c r="X162" s="1082"/>
      <c r="Y162" s="1082"/>
      <c r="Z162" s="1160">
        <f t="shared" si="224"/>
        <v>0</v>
      </c>
      <c r="AA162" s="1164">
        <f>SUM('3 pr-2'!U164)</f>
        <v>0</v>
      </c>
      <c r="AB162" s="1080">
        <f>SUMIF('mokėjimų ataskaita'!$I:$I,'ketv. 7 '!C162,'mokėjimų ataskaita'!$AW:$AW)/2</f>
        <v>0</v>
      </c>
      <c r="AC162" s="1082"/>
      <c r="AD162" s="1082"/>
      <c r="AE162" s="1160">
        <f t="shared" si="225"/>
        <v>0</v>
      </c>
      <c r="AF162" s="1164">
        <f>SUM('3 pr-2'!X164)</f>
        <v>0</v>
      </c>
      <c r="AG162" s="1080">
        <f>SUMIF('mokėjimų ataskaita'!$I:$I,'ketv. 7 '!C162,'mokėjimų ataskaita'!$AT:$AT)/2+SUMIF('mokėjimų ataskaita'!$I:$I,'ketv. 7 '!C162,'mokėjimų ataskaita'!$AV:$AV)/2</f>
        <v>0</v>
      </c>
      <c r="AH162" s="1082"/>
      <c r="AI162" s="1082"/>
      <c r="AJ162" s="1160">
        <f t="shared" si="226"/>
        <v>0</v>
      </c>
      <c r="AK162" s="1164">
        <f>SUM('3 pr-2'!AA164)</f>
        <v>139388</v>
      </c>
      <c r="AL162" s="1159">
        <f>SUMIF('mokėjimų ataskaita'!$I:$I,'ketv. 7 '!C162,'mokėjimų ataskaita'!$AK:$AK)/2</f>
        <v>86033.73</v>
      </c>
      <c r="AM162" s="1082"/>
      <c r="AN162" s="1082"/>
      <c r="AO162" s="1167">
        <f>SUM(AK162-AL162)</f>
        <v>53354.270000000004</v>
      </c>
      <c r="AP162" s="1080">
        <f>SUM('3 pr-2'!AB327)</f>
        <v>0</v>
      </c>
      <c r="AQ162" s="1159">
        <v>0</v>
      </c>
    </row>
    <row r="163" spans="1:44" ht="72.75">
      <c r="A163" s="375" t="str">
        <f>CONCATENATE('3 pr-2'!A165)</f>
        <v>2.1.4.1.4</v>
      </c>
      <c r="B163" s="578" t="str">
        <f>CONCATENATE('3 pr-2'!B165)</f>
        <v>R01-9920-490000-2414</v>
      </c>
      <c r="C163" s="577" t="str">
        <f>CONCATENATE('ketv. 6 '!C164)</f>
        <v>10.1.3-ESFA-R-920-11-0007</v>
      </c>
      <c r="D163" s="231" t="str">
        <f>CONCATENATE('3 pr-2'!D165)</f>
        <v>Teikiamų paslaugų procesų tobulinimas ir asmenų aptarnavimo kokybės gerinimas Alytaus m. sav. administracijoje ir jai pavaldžiose įstaigose. I etapas</v>
      </c>
      <c r="E163" s="164" t="str">
        <f>CONCATENATE('3 pr-2'!E165)</f>
        <v>Alytaus miesto savivaldybės administracija</v>
      </c>
      <c r="F163" s="164" t="str">
        <f>CONCATENATE('3 pr-2'!F165)</f>
        <v>Lietuvos Respublikos vidaus reikalų ministerija</v>
      </c>
      <c r="G163" s="164" t="str">
        <f>CONCATENATE('3 pr-2'!G165)</f>
        <v>Alytaus m. sav.</v>
      </c>
      <c r="H163" s="164" t="str">
        <f>CONCATENATE('3 pr-2'!H165)</f>
        <v>10.1.3-ESFA-R-920</v>
      </c>
      <c r="I163" s="164" t="str">
        <f>CONCATENATE('3 pr-2'!I165)</f>
        <v>R</v>
      </c>
      <c r="J163" s="164" t="str">
        <f>CONCATENATE('3 pr-2'!J165)</f>
        <v>-</v>
      </c>
      <c r="K163" s="1164">
        <f>SUM('3 pr-2'!L165)</f>
        <v>215693.16</v>
      </c>
      <c r="L163" s="1159">
        <f>SUM(R163+W163+AB163+AG163+AL163)</f>
        <v>6801.68</v>
      </c>
      <c r="M163" s="1082">
        <v>0</v>
      </c>
      <c r="N163" s="1082">
        <v>0</v>
      </c>
      <c r="O163" s="1082">
        <f t="shared" si="222"/>
        <v>6801.68</v>
      </c>
      <c r="P163" s="1160">
        <f t="shared" si="204"/>
        <v>208891.48</v>
      </c>
      <c r="Q163" s="1164">
        <f>SUM('3 pr-2'!O165)</f>
        <v>32353.98</v>
      </c>
      <c r="R163" s="1159">
        <f>SUMIF('mokėjimų ataskaita'!$I:$I,C163,'mokėjimų ataskaita'!$AU:$AU)/2</f>
        <v>1020.25</v>
      </c>
      <c r="S163" s="1082"/>
      <c r="T163" s="1082"/>
      <c r="U163" s="1160">
        <f t="shared" si="223"/>
        <v>31333.73</v>
      </c>
      <c r="V163" s="1164">
        <f>SUM('3 pr-2'!R165)</f>
        <v>0</v>
      </c>
      <c r="W163" s="1080">
        <f>SUMIF('mokėjimų ataskaita'!$I:$I,C163,'mokėjimų ataskaita'!$AL:$AL)/2</f>
        <v>0</v>
      </c>
      <c r="X163" s="1082"/>
      <c r="Y163" s="1082"/>
      <c r="Z163" s="1160">
        <f t="shared" si="224"/>
        <v>0</v>
      </c>
      <c r="AA163" s="1164">
        <f>SUM('3 pr-2'!U165)</f>
        <v>0</v>
      </c>
      <c r="AB163" s="1080">
        <f>SUMIF('mokėjimų ataskaita'!$I:$I,'ketv. 7 '!C163,'mokėjimų ataskaita'!$AW:$AW)/2</f>
        <v>0</v>
      </c>
      <c r="AC163" s="1082"/>
      <c r="AD163" s="1082"/>
      <c r="AE163" s="1160">
        <f t="shared" si="225"/>
        <v>0</v>
      </c>
      <c r="AF163" s="1164">
        <f>SUM('3 pr-2'!X165)</f>
        <v>0</v>
      </c>
      <c r="AG163" s="1080">
        <f>SUMIF('mokėjimų ataskaita'!$I:$I,'ketv. 7 '!C163,'mokėjimų ataskaita'!$AT:$AT)/2+SUMIF('mokėjimų ataskaita'!$I:$I,'ketv. 7 '!C163,'mokėjimų ataskaita'!$AV:$AV)/2</f>
        <v>0</v>
      </c>
      <c r="AH163" s="1082"/>
      <c r="AI163" s="1082"/>
      <c r="AJ163" s="1160">
        <f t="shared" si="226"/>
        <v>0</v>
      </c>
      <c r="AK163" s="1164">
        <f>SUM('3 pr-2'!AA165)</f>
        <v>183339.18</v>
      </c>
      <c r="AL163" s="1159">
        <f>SUMIF('mokėjimų ataskaita'!$I:$I,'ketv. 7 '!C163,'mokėjimų ataskaita'!$AK:$AK)/2</f>
        <v>5781.43</v>
      </c>
      <c r="AM163" s="1082"/>
      <c r="AN163" s="1082"/>
      <c r="AO163" s="1167">
        <f>SUM(AK163-AL163)</f>
        <v>177557.75</v>
      </c>
      <c r="AP163" s="1080">
        <f>SUM('3 pr-2'!AB328)</f>
        <v>0</v>
      </c>
      <c r="AQ163" s="1159">
        <v>0</v>
      </c>
    </row>
    <row r="164" spans="1:44" ht="36.75">
      <c r="A164" s="375" t="str">
        <f>CONCATENATE('3 pr-2'!A166)</f>
        <v>2.1.4.1.5</v>
      </c>
      <c r="B164" s="578" t="str">
        <f>CONCATENATE('3 pr-2'!B166)</f>
        <v>R01-9920-490000-2415</v>
      </c>
      <c r="C164" s="577" t="str">
        <f>CONCATENATE('ketv. 6 '!C165)</f>
        <v>10.1.3-ESFA-R-920-11-0006</v>
      </c>
      <c r="D164" s="231" t="str">
        <f>CONCATENATE('3 pr-2'!D166)</f>
        <v>Paslaugų teikimo ir asmenų aptarnavimo kokybės gerinimas Druskininkų savivaldybėje</v>
      </c>
      <c r="E164" s="164" t="str">
        <f>CONCATENATE('3 pr-2'!E166)</f>
        <v>Druskininkų savivaldybės administracija</v>
      </c>
      <c r="F164" s="164" t="str">
        <f>CONCATENATE('3 pr-2'!F166)</f>
        <v>Lietuvos Respublikos vidaus reikalų ministerija</v>
      </c>
      <c r="G164" s="164" t="str">
        <f>CONCATENATE('3 pr-2'!G166)</f>
        <v>Druskininkų sav.</v>
      </c>
      <c r="H164" s="164" t="str">
        <f>CONCATENATE('3 pr-2'!H166)</f>
        <v>10.1.3-ESFA-R-920</v>
      </c>
      <c r="I164" s="164" t="str">
        <f>CONCATENATE('3 pr-2'!I166)</f>
        <v>R</v>
      </c>
      <c r="J164" s="164" t="str">
        <f>CONCATENATE('3 pr-2'!J166)</f>
        <v>-</v>
      </c>
      <c r="K164" s="1164">
        <f>SUM('3 pr-2'!L166)</f>
        <v>161741.96</v>
      </c>
      <c r="L164" s="1159">
        <f>SUM(R164+W164+AB164+AG164+AL164)</f>
        <v>39464.26</v>
      </c>
      <c r="M164" s="1082">
        <v>0</v>
      </c>
      <c r="N164" s="1082">
        <v>0</v>
      </c>
      <c r="O164" s="1082">
        <f t="shared" si="222"/>
        <v>39464.26</v>
      </c>
      <c r="P164" s="1160">
        <f t="shared" si="204"/>
        <v>122277.69999999998</v>
      </c>
      <c r="Q164" s="1164">
        <f>SUM('3 pr-2'!O166)</f>
        <v>24392.16</v>
      </c>
      <c r="R164" s="1159">
        <f>SUMIF('mokėjimų ataskaita'!$I:$I,C164,'mokėjimų ataskaita'!$AU:$AU)/2</f>
        <v>5951.57</v>
      </c>
      <c r="S164" s="1082"/>
      <c r="T164" s="1082"/>
      <c r="U164" s="1160">
        <f t="shared" si="223"/>
        <v>18440.59</v>
      </c>
      <c r="V164" s="1164">
        <f>SUM('3 pr-2'!R166)</f>
        <v>0</v>
      </c>
      <c r="W164" s="1080">
        <f>SUMIF('mokėjimų ataskaita'!$I:$I,C164,'mokėjimų ataskaita'!$AL:$AL)/2</f>
        <v>0</v>
      </c>
      <c r="X164" s="1082"/>
      <c r="Y164" s="1082"/>
      <c r="Z164" s="1160">
        <f t="shared" si="224"/>
        <v>0</v>
      </c>
      <c r="AA164" s="1164">
        <f>SUM('3 pr-2'!U166)</f>
        <v>0</v>
      </c>
      <c r="AB164" s="1080">
        <f>SUMIF('mokėjimų ataskaita'!$I:$I,'ketv. 7 '!C164,'mokėjimų ataskaita'!$AW:$AW)/2</f>
        <v>0</v>
      </c>
      <c r="AC164" s="1082"/>
      <c r="AD164" s="1082"/>
      <c r="AE164" s="1160">
        <f t="shared" si="225"/>
        <v>0</v>
      </c>
      <c r="AF164" s="1164">
        <f>SUM('3 pr-2'!X166)</f>
        <v>0</v>
      </c>
      <c r="AG164" s="1080">
        <f>SUMIF('mokėjimų ataskaita'!$I:$I,'ketv. 7 '!C164,'mokėjimų ataskaita'!$AT:$AT)/2+SUMIF('mokėjimų ataskaita'!$I:$I,'ketv. 7 '!C164,'mokėjimų ataskaita'!$AV:$AV)/2</f>
        <v>0</v>
      </c>
      <c r="AH164" s="1082"/>
      <c r="AI164" s="1082"/>
      <c r="AJ164" s="1160">
        <f t="shared" si="226"/>
        <v>0</v>
      </c>
      <c r="AK164" s="1164">
        <f>SUM('3 pr-2'!AA166)</f>
        <v>137349.79999999999</v>
      </c>
      <c r="AL164" s="1159">
        <f>SUMIF('mokėjimų ataskaita'!$I:$I,'ketv. 7 '!C164,'mokėjimų ataskaita'!$AK:$AK)/2</f>
        <v>33512.69</v>
      </c>
      <c r="AM164" s="1082"/>
      <c r="AN164" s="1082"/>
      <c r="AO164" s="1165">
        <f>SUM(AK164-AL164)</f>
        <v>103837.10999999999</v>
      </c>
      <c r="AP164" s="1080">
        <f>SUM('3 pr-2'!AB329)</f>
        <v>0</v>
      </c>
      <c r="AQ164" s="1159">
        <v>0</v>
      </c>
    </row>
    <row r="165" spans="1:44" ht="73.5" thickBot="1">
      <c r="A165" s="375" t="str">
        <f>CONCATENATE('3 pr-2'!A167)</f>
        <v>2.1.4.1.6</v>
      </c>
      <c r="B165" s="578" t="str">
        <f>CONCATENATE('3 pr-2'!B167)</f>
        <v>R01-9920-490000-2416</v>
      </c>
      <c r="C165" s="577" t="str">
        <f>CONCATENATE('ketv. 6 '!C166)</f>
        <v>-</v>
      </c>
      <c r="D165" s="231" t="str">
        <f>CONCATENATE('3 pr-2'!D167)</f>
        <v>Teikiamų paslaugų procesų tobulinimas ir asmenų aptarnavimo kokybės gerinimas Alytaus m. sav. administracijoje ir jai pavaldžiose įstaigose. II etapas</v>
      </c>
      <c r="E165" s="164" t="str">
        <f>CONCATENATE('3 pr-2'!E167)</f>
        <v>Alytaus miesto savivaldybės administracija</v>
      </c>
      <c r="F165" s="164" t="str">
        <f>CONCATENATE('3 pr-2'!F167)</f>
        <v>Lietuvos Respublikos vidaus reikalų ministerija</v>
      </c>
      <c r="G165" s="164" t="str">
        <f>CONCATENATE('3 pr-2'!G167)</f>
        <v>Alytaus m. sav.</v>
      </c>
      <c r="H165" s="164" t="str">
        <f>CONCATENATE('3 pr-2'!H167)</f>
        <v>10.1.3-ESFA-R-920</v>
      </c>
      <c r="I165" s="164" t="str">
        <f>CONCATENATE('3 pr-2'!I167)</f>
        <v>R</v>
      </c>
      <c r="J165" s="164" t="str">
        <f>CONCATENATE('3 pr-2'!J167)</f>
        <v>-</v>
      </c>
      <c r="K165" s="1164">
        <f>SUM('3 pr-2'!L167)</f>
        <v>200000</v>
      </c>
      <c r="L165" s="1080">
        <f>SUM(R165+W165+AB165+AG165+AL165)</f>
        <v>0</v>
      </c>
      <c r="M165" s="1082">
        <v>0</v>
      </c>
      <c r="N165" s="1082">
        <v>0</v>
      </c>
      <c r="O165" s="1082">
        <f t="shared" si="222"/>
        <v>0</v>
      </c>
      <c r="P165" s="1160">
        <f t="shared" ref="P165" si="227">SUM(K165-L165)</f>
        <v>200000</v>
      </c>
      <c r="Q165" s="1164">
        <f>SUM('3 pr-2'!O167)</f>
        <v>30000</v>
      </c>
      <c r="R165" s="1080">
        <f>SUMIF('mokėjimų ataskaita'!$I:$I,C165,'mokėjimų ataskaita'!$AU:$AU)/2</f>
        <v>0</v>
      </c>
      <c r="S165" s="1082"/>
      <c r="T165" s="1082"/>
      <c r="U165" s="1160">
        <f t="shared" si="223"/>
        <v>30000</v>
      </c>
      <c r="V165" s="1164">
        <f>SUM('3 pr-2'!R167)</f>
        <v>0</v>
      </c>
      <c r="W165" s="1080">
        <f>SUMIF('mokėjimų ataskaita'!$I:$I,C165,'mokėjimų ataskaita'!$AL:$AL)/2</f>
        <v>0</v>
      </c>
      <c r="X165" s="1082"/>
      <c r="Y165" s="1082"/>
      <c r="Z165" s="1160">
        <f t="shared" ref="Z165" si="228">SUM(V165-W165)</f>
        <v>0</v>
      </c>
      <c r="AA165" s="1164">
        <f>SUM('3 pr-2'!U167)</f>
        <v>0</v>
      </c>
      <c r="AB165" s="1080">
        <f>SUMIF('mokėjimų ataskaita'!$I:$I,'ketv. 7 '!C165,'mokėjimų ataskaita'!$AW:$AW)/2</f>
        <v>0</v>
      </c>
      <c r="AC165" s="1082"/>
      <c r="AD165" s="1082"/>
      <c r="AE165" s="1160">
        <f t="shared" ref="AE165" si="229">SUM(AA165-AB165)</f>
        <v>0</v>
      </c>
      <c r="AF165" s="1164">
        <f>SUM('3 pr-2'!X167)</f>
        <v>0</v>
      </c>
      <c r="AG165" s="1080">
        <f>SUMIF('mokėjimų ataskaita'!$I:$I,'ketv. 7 '!C165,'mokėjimų ataskaita'!$AT:$AT)/2+SUMIF('mokėjimų ataskaita'!$I:$I,'ketv. 7 '!C165,'mokėjimų ataskaita'!$AV:$AV)/2</f>
        <v>0</v>
      </c>
      <c r="AH165" s="1082"/>
      <c r="AI165" s="1082"/>
      <c r="AJ165" s="1160">
        <f t="shared" ref="AJ165" si="230">SUM(AF165-AG165)</f>
        <v>0</v>
      </c>
      <c r="AK165" s="1164">
        <f>SUM('3 pr-2'!AA167)</f>
        <v>170000</v>
      </c>
      <c r="AL165" s="1080">
        <f>SUMIF('mokėjimų ataskaita'!$I:$I,'ketv. 7 '!C165,'mokėjimų ataskaita'!$AK:$AK)/2</f>
        <v>0</v>
      </c>
      <c r="AM165" s="1082"/>
      <c r="AN165" s="1082"/>
      <c r="AO165" s="1194"/>
      <c r="AP165" s="1080">
        <f>SUM('3 pr-2'!AB330)</f>
        <v>0</v>
      </c>
      <c r="AQ165" s="1080">
        <v>0</v>
      </c>
    </row>
    <row r="166" spans="1:44" ht="46.5" customHeight="1" thickBot="1">
      <c r="A166" s="386" t="str">
        <f>CONCATENATE('3 pr-2'!A168)</f>
        <v>3.1.</v>
      </c>
      <c r="B166" s="2092" t="str">
        <f>CONCATENATE('3 pr-2'!B168)</f>
        <v>Tikslas: 
DARNIAI TVARKYTI IR VYSTYTI REGIONO TERITORIJĄ</v>
      </c>
      <c r="C166" s="2086"/>
      <c r="D166" s="2086"/>
      <c r="E166" s="2086"/>
      <c r="F166" s="2086"/>
      <c r="G166" s="2086"/>
      <c r="H166" s="2086"/>
      <c r="I166" s="2086"/>
      <c r="J166" s="2087"/>
      <c r="K166" s="1196">
        <f t="shared" ref="K166:AJ166" si="231">SUM(K167+K170)</f>
        <v>6638484.83117647</v>
      </c>
      <c r="L166" s="1196">
        <f t="shared" si="231"/>
        <v>1415015.39</v>
      </c>
      <c r="M166" s="1196">
        <f t="shared" si="231"/>
        <v>243134.93</v>
      </c>
      <c r="N166" s="1196">
        <f t="shared" si="231"/>
        <v>1171880.46</v>
      </c>
      <c r="O166" s="1196">
        <v>424048.07000000007</v>
      </c>
      <c r="P166" s="1196">
        <f t="shared" si="231"/>
        <v>5223469.4411764704</v>
      </c>
      <c r="Q166" s="1196">
        <f t="shared" si="231"/>
        <v>376170.03117647057</v>
      </c>
      <c r="R166" s="1196">
        <f t="shared" si="231"/>
        <v>83124.740000000005</v>
      </c>
      <c r="S166" s="1196">
        <f t="shared" si="231"/>
        <v>3196.9</v>
      </c>
      <c r="T166" s="1196">
        <f t="shared" si="231"/>
        <v>79927.839999999997</v>
      </c>
      <c r="U166" s="1196">
        <f t="shared" si="231"/>
        <v>293045.29117647058</v>
      </c>
      <c r="V166" s="1196">
        <f t="shared" si="231"/>
        <v>0</v>
      </c>
      <c r="W166" s="1196">
        <f t="shared" si="231"/>
        <v>0</v>
      </c>
      <c r="X166" s="1196">
        <f t="shared" si="231"/>
        <v>0</v>
      </c>
      <c r="Y166" s="1196">
        <f t="shared" si="231"/>
        <v>0</v>
      </c>
      <c r="Z166" s="1196">
        <f t="shared" si="231"/>
        <v>0</v>
      </c>
      <c r="AA166" s="1196">
        <f t="shared" si="231"/>
        <v>777879.2799999998</v>
      </c>
      <c r="AB166" s="1196">
        <f t="shared" si="231"/>
        <v>140829.68</v>
      </c>
      <c r="AC166" s="1196">
        <f t="shared" si="231"/>
        <v>0</v>
      </c>
      <c r="AD166" s="1196">
        <f t="shared" si="231"/>
        <v>0</v>
      </c>
      <c r="AE166" s="1196">
        <f t="shared" si="231"/>
        <v>637049.59999999986</v>
      </c>
      <c r="AF166" s="1196">
        <f t="shared" si="231"/>
        <v>0</v>
      </c>
      <c r="AG166" s="1196">
        <f t="shared" si="231"/>
        <v>0</v>
      </c>
      <c r="AH166" s="1196">
        <f t="shared" si="231"/>
        <v>0</v>
      </c>
      <c r="AI166" s="1196">
        <f t="shared" si="231"/>
        <v>0</v>
      </c>
      <c r="AJ166" s="1196">
        <f t="shared" si="231"/>
        <v>0</v>
      </c>
      <c r="AK166" s="1196">
        <f>SUM(AK167+AK170)</f>
        <v>5484435.5199999996</v>
      </c>
      <c r="AL166" s="1196">
        <f t="shared" ref="AL166:AQ166" si="232">SUM(AL167+AL170)</f>
        <v>1191060.97</v>
      </c>
      <c r="AM166" s="1196">
        <f t="shared" si="232"/>
        <v>239938.03</v>
      </c>
      <c r="AN166" s="1196">
        <f t="shared" si="232"/>
        <v>344120.23000000004</v>
      </c>
      <c r="AO166" s="1196">
        <f t="shared" si="232"/>
        <v>4293374.55</v>
      </c>
      <c r="AP166" s="1196">
        <f t="shared" si="232"/>
        <v>0</v>
      </c>
      <c r="AQ166" s="1196">
        <f t="shared" si="232"/>
        <v>0</v>
      </c>
      <c r="AR166" s="233">
        <f>SUM(K166-'3 pr-2'!L168)</f>
        <v>0</v>
      </c>
    </row>
    <row r="167" spans="1:44" ht="40.5" customHeight="1" thickBot="1">
      <c r="A167" s="238" t="str">
        <f>CONCATENATE('3 pr-2'!A169)</f>
        <v>3.1.1.</v>
      </c>
      <c r="B167" s="2085" t="str">
        <f>CONCATENATE('3 pr-2'!B169)</f>
        <v>Uždavinys:
Sumažinti sąvartynuose šalinamų komunalinių atliekų kiekį</v>
      </c>
      <c r="C167" s="2086"/>
      <c r="D167" s="2086"/>
      <c r="E167" s="2086"/>
      <c r="F167" s="2086"/>
      <c r="G167" s="2086"/>
      <c r="H167" s="2086"/>
      <c r="I167" s="2086"/>
      <c r="J167" s="2087"/>
      <c r="K167" s="1158">
        <f t="shared" ref="K167:AJ168" si="233">SUM(K168)</f>
        <v>4130687.05</v>
      </c>
      <c r="L167" s="1158">
        <f t="shared" si="233"/>
        <v>747832.3899999999</v>
      </c>
      <c r="M167" s="1158">
        <f t="shared" si="233"/>
        <v>0</v>
      </c>
      <c r="N167" s="1158">
        <f t="shared" si="233"/>
        <v>747832.3899999999</v>
      </c>
      <c r="O167" s="1158">
        <v>0</v>
      </c>
      <c r="P167" s="1158">
        <f t="shared" si="233"/>
        <v>3382854.66</v>
      </c>
      <c r="Q167" s="1158">
        <f t="shared" si="233"/>
        <v>0</v>
      </c>
      <c r="R167" s="1158">
        <f t="shared" si="233"/>
        <v>0</v>
      </c>
      <c r="S167" s="1158">
        <f t="shared" si="233"/>
        <v>0</v>
      </c>
      <c r="T167" s="1158">
        <f t="shared" si="233"/>
        <v>0</v>
      </c>
      <c r="U167" s="1158">
        <f t="shared" si="233"/>
        <v>0</v>
      </c>
      <c r="V167" s="1158">
        <f t="shared" si="233"/>
        <v>0</v>
      </c>
      <c r="W167" s="1158">
        <f t="shared" si="233"/>
        <v>0</v>
      </c>
      <c r="X167" s="1158">
        <f t="shared" si="233"/>
        <v>0</v>
      </c>
      <c r="Y167" s="1158">
        <f t="shared" si="233"/>
        <v>0</v>
      </c>
      <c r="Z167" s="1158">
        <f t="shared" si="233"/>
        <v>0</v>
      </c>
      <c r="AA167" s="1158">
        <f t="shared" si="233"/>
        <v>777879.2799999998</v>
      </c>
      <c r="AB167" s="1158">
        <f t="shared" si="233"/>
        <v>140829.68</v>
      </c>
      <c r="AC167" s="1158">
        <f t="shared" si="233"/>
        <v>0</v>
      </c>
      <c r="AD167" s="1158">
        <f t="shared" si="233"/>
        <v>0</v>
      </c>
      <c r="AE167" s="1158">
        <f t="shared" si="233"/>
        <v>637049.59999999986</v>
      </c>
      <c r="AF167" s="1158">
        <f t="shared" si="233"/>
        <v>0</v>
      </c>
      <c r="AG167" s="1158">
        <f t="shared" si="233"/>
        <v>0</v>
      </c>
      <c r="AH167" s="1158">
        <f t="shared" si="233"/>
        <v>0</v>
      </c>
      <c r="AI167" s="1158">
        <f t="shared" si="233"/>
        <v>0</v>
      </c>
      <c r="AJ167" s="1158">
        <f t="shared" si="233"/>
        <v>0</v>
      </c>
      <c r="AK167" s="1158">
        <f>SUM(AK168)</f>
        <v>3352807.77</v>
      </c>
      <c r="AL167" s="1158">
        <f t="shared" ref="AL167:AQ167" si="234">SUM(AL168)</f>
        <v>607002.71</v>
      </c>
      <c r="AM167" s="1158">
        <f t="shared" si="234"/>
        <v>0</v>
      </c>
      <c r="AN167" s="1158">
        <f t="shared" si="234"/>
        <v>0</v>
      </c>
      <c r="AO167" s="1158">
        <f t="shared" si="234"/>
        <v>2745805.06</v>
      </c>
      <c r="AP167" s="1158">
        <f t="shared" si="234"/>
        <v>0</v>
      </c>
      <c r="AQ167" s="1158">
        <f t="shared" si="234"/>
        <v>0</v>
      </c>
      <c r="AR167" s="233">
        <f>SUM(K167-'3 pr-2'!L169)</f>
        <v>0</v>
      </c>
    </row>
    <row r="168" spans="1:44" ht="36.75" customHeight="1" thickBot="1">
      <c r="A168" s="296" t="str">
        <f>CONCATENATE('3 pr-2'!A170)</f>
        <v>3.1.1.1</v>
      </c>
      <c r="B168" s="2088" t="str">
        <f>CONCATENATE('3 pr-2'!B170)</f>
        <v>Priemonė:
Komunalinių atliekų tvarkymo infrastruktūros plėtra</v>
      </c>
      <c r="C168" s="2089"/>
      <c r="D168" s="2089"/>
      <c r="E168" s="2089"/>
      <c r="F168" s="2089"/>
      <c r="G168" s="2089"/>
      <c r="H168" s="2089"/>
      <c r="I168" s="2089"/>
      <c r="J168" s="2090"/>
      <c r="K168" s="1077">
        <f t="shared" ref="K168:AJ168" si="235">SUM(K169)</f>
        <v>4130687.05</v>
      </c>
      <c r="L168" s="1077">
        <f t="shared" si="235"/>
        <v>747832.3899999999</v>
      </c>
      <c r="M168" s="1077">
        <f t="shared" si="233"/>
        <v>0</v>
      </c>
      <c r="N168" s="1077">
        <f t="shared" si="233"/>
        <v>747832.3899999999</v>
      </c>
      <c r="O168" s="1077">
        <v>0</v>
      </c>
      <c r="P168" s="1077">
        <f t="shared" si="235"/>
        <v>3382854.66</v>
      </c>
      <c r="Q168" s="1077">
        <f t="shared" si="235"/>
        <v>0</v>
      </c>
      <c r="R168" s="1077">
        <f t="shared" si="235"/>
        <v>0</v>
      </c>
      <c r="S168" s="1077">
        <f t="shared" si="235"/>
        <v>0</v>
      </c>
      <c r="T168" s="1077">
        <f t="shared" si="235"/>
        <v>0</v>
      </c>
      <c r="U168" s="1077">
        <f t="shared" si="235"/>
        <v>0</v>
      </c>
      <c r="V168" s="1077">
        <f t="shared" si="235"/>
        <v>0</v>
      </c>
      <c r="W168" s="1077">
        <f t="shared" si="235"/>
        <v>0</v>
      </c>
      <c r="X168" s="1077">
        <f t="shared" si="235"/>
        <v>0</v>
      </c>
      <c r="Y168" s="1077">
        <f t="shared" si="235"/>
        <v>0</v>
      </c>
      <c r="Z168" s="1077">
        <f t="shared" si="235"/>
        <v>0</v>
      </c>
      <c r="AA168" s="1077">
        <f t="shared" si="235"/>
        <v>777879.2799999998</v>
      </c>
      <c r="AB168" s="1077">
        <f t="shared" si="235"/>
        <v>140829.68</v>
      </c>
      <c r="AC168" s="1077">
        <f t="shared" si="235"/>
        <v>0</v>
      </c>
      <c r="AD168" s="1077">
        <f t="shared" si="235"/>
        <v>0</v>
      </c>
      <c r="AE168" s="1077">
        <f t="shared" si="235"/>
        <v>637049.59999999986</v>
      </c>
      <c r="AF168" s="1077">
        <f t="shared" si="235"/>
        <v>0</v>
      </c>
      <c r="AG168" s="1077">
        <f t="shared" si="235"/>
        <v>0</v>
      </c>
      <c r="AH168" s="1077">
        <f t="shared" si="235"/>
        <v>0</v>
      </c>
      <c r="AI168" s="1077">
        <f t="shared" si="235"/>
        <v>0</v>
      </c>
      <c r="AJ168" s="1077">
        <f t="shared" si="235"/>
        <v>0</v>
      </c>
      <c r="AK168" s="1077">
        <f>SUM(AK169)</f>
        <v>3352807.77</v>
      </c>
      <c r="AL168" s="1077">
        <f t="shared" ref="AL168:AO168" si="236">SUM(AL169)</f>
        <v>607002.71</v>
      </c>
      <c r="AM168" s="1077">
        <f t="shared" si="236"/>
        <v>0</v>
      </c>
      <c r="AN168" s="1077">
        <f t="shared" si="236"/>
        <v>0</v>
      </c>
      <c r="AO168" s="1077">
        <f t="shared" si="236"/>
        <v>2745805.06</v>
      </c>
      <c r="AP168" s="1077">
        <f t="shared" ref="AP168:AQ168" si="237">SUM(AP169)</f>
        <v>0</v>
      </c>
      <c r="AQ168" s="1077">
        <f t="shared" si="237"/>
        <v>0</v>
      </c>
      <c r="AR168" s="233">
        <f>SUM(K168-'3 pr-2'!L170)</f>
        <v>0</v>
      </c>
    </row>
    <row r="169" spans="1:44" ht="37.5" thickBot="1">
      <c r="A169" s="375" t="str">
        <f>CONCATENATE('3 pr-2'!A171)</f>
        <v>3.1.1.1.1</v>
      </c>
      <c r="B169" s="578" t="str">
        <f>CONCATENATE('3 pr-2'!B171)</f>
        <v>R01-0008-050000-3111</v>
      </c>
      <c r="C169" s="577" t="str">
        <f>CONCATENATE('ketv. 6 '!C170)</f>
        <v>05.2.1-APVA-R-008-11-0001</v>
      </c>
      <c r="D169" s="231" t="str">
        <f>CONCATENATE('3 pr-2'!D171)</f>
        <v>Komunalinių atliekų tvarkymo infrastruktūros plėtra Alytaus regione</v>
      </c>
      <c r="E169" s="164" t="str">
        <f>CONCATENATE('3 pr-2'!E171)</f>
        <v>Alytaus regiono atliekų tvarkymo centras</v>
      </c>
      <c r="F169" s="164" t="str">
        <f>CONCATENATE('3 pr-2'!F171)</f>
        <v>Lietuvos Respublikos aplinkos ministerija</v>
      </c>
      <c r="G169" s="164" t="str">
        <f>CONCATENATE('3 pr-2'!G171)</f>
        <v>Alytaus regionas</v>
      </c>
      <c r="H169" s="164" t="str">
        <f>CONCATENATE('3 pr-2'!H171)</f>
        <v>05.2.1-APVA-R-008</v>
      </c>
      <c r="I169" s="164" t="str">
        <f>CONCATENATE('3 pr-2'!I171)</f>
        <v>R</v>
      </c>
      <c r="J169" s="164" t="str">
        <f>CONCATENATE('3 pr-2'!J171)</f>
        <v>-</v>
      </c>
      <c r="K169" s="1164">
        <f>SUM('3 pr-2'!L171)</f>
        <v>4130687.05</v>
      </c>
      <c r="L169" s="1159">
        <f>SUM(R169+W169+AB169+AG169+AL169)</f>
        <v>747832.3899999999</v>
      </c>
      <c r="M169" s="1082">
        <v>0</v>
      </c>
      <c r="N169" s="1082">
        <v>747832.3899999999</v>
      </c>
      <c r="O169" s="1082">
        <f t="shared" ref="O169" si="238">SUM(L169-M169-N169)</f>
        <v>0</v>
      </c>
      <c r="P169" s="1160">
        <f t="shared" ref="P169" si="239">SUM(K169-L169)</f>
        <v>3382854.66</v>
      </c>
      <c r="Q169" s="1164">
        <f>SUM('3 pr-2'!O171)</f>
        <v>0</v>
      </c>
      <c r="R169" s="1159">
        <f>SUMIF('mokėjimų ataskaita'!$I:$I,C169,'mokėjimų ataskaita'!$AU:$AU)/2</f>
        <v>0</v>
      </c>
      <c r="S169" s="1082"/>
      <c r="T169" s="1082"/>
      <c r="U169" s="1160">
        <f>SUM(Q169-R169)</f>
        <v>0</v>
      </c>
      <c r="V169" s="1164">
        <f>SUM('3 pr-2'!R171)</f>
        <v>0</v>
      </c>
      <c r="W169" s="1080">
        <f>SUMIF('mokėjimų ataskaita'!$I:$I,C169,'mokėjimų ataskaita'!$AL:$AL)/2</f>
        <v>0</v>
      </c>
      <c r="X169" s="1082"/>
      <c r="Y169" s="1082"/>
      <c r="Z169" s="1160">
        <f t="shared" si="205"/>
        <v>0</v>
      </c>
      <c r="AA169" s="1164">
        <f>SUM('3 pr-2'!U171)</f>
        <v>777879.2799999998</v>
      </c>
      <c r="AB169" s="1294">
        <f>SUMIF('mokėjimų ataskaita'!$I:$I,'ketv. 7 '!C169,'mokėjimų ataskaita'!$AW:$AW)/2</f>
        <v>140829.68</v>
      </c>
      <c r="AC169" s="1082"/>
      <c r="AD169" s="1082"/>
      <c r="AE169" s="1160">
        <f t="shared" ref="AE169:AE179" si="240">SUM(AA169-AB169)</f>
        <v>637049.59999999986</v>
      </c>
      <c r="AF169" s="1164">
        <f>SUM('3 pr-2'!X171)</f>
        <v>0</v>
      </c>
      <c r="AG169" s="1080">
        <f>SUMIF('mokėjimų ataskaita'!$I:$I,'ketv. 7 '!C169,'mokėjimų ataskaita'!$AT:$AT)/2+SUMIF('mokėjimų ataskaita'!$I:$I,'ketv. 7 '!C169,'mokėjimų ataskaita'!$AV:$AV)/2</f>
        <v>0</v>
      </c>
      <c r="AH169" s="1082"/>
      <c r="AI169" s="1082"/>
      <c r="AJ169" s="1160">
        <f t="shared" ref="AJ169:AJ179" si="241">SUM(AF169-AG169)</f>
        <v>0</v>
      </c>
      <c r="AK169" s="1164">
        <f>SUM('3 pr-2'!AA171)</f>
        <v>3352807.77</v>
      </c>
      <c r="AL169" s="1159">
        <f>SUMIF('mokėjimų ataskaita'!$I:$I,'ketv. 7 '!C169,'mokėjimų ataskaita'!$AK:$AK)/2</f>
        <v>607002.71</v>
      </c>
      <c r="AM169" s="1082"/>
      <c r="AN169" s="1082"/>
      <c r="AO169" s="1165">
        <f>SUM(AK169-AL169)</f>
        <v>2745805.06</v>
      </c>
      <c r="AP169" s="1080">
        <f>SUM('3 pr-2'!AB334)</f>
        <v>0</v>
      </c>
      <c r="AQ169" s="1159">
        <v>0</v>
      </c>
    </row>
    <row r="170" spans="1:44" ht="36.75" customHeight="1" thickBot="1">
      <c r="A170" s="385" t="str">
        <f>CONCATENATE('3 pr-2'!A172)</f>
        <v>3.1.2.</v>
      </c>
      <c r="B170" s="2085" t="str">
        <f>CONCATENATE('3 pr-2'!B172)</f>
        <v>Uždavinys:
Kraštovaizdžio apsauga, planavimas ir tvarkymas</v>
      </c>
      <c r="C170" s="2086"/>
      <c r="D170" s="2086"/>
      <c r="E170" s="2086"/>
      <c r="F170" s="2086"/>
      <c r="G170" s="2086"/>
      <c r="H170" s="2086"/>
      <c r="I170" s="2086"/>
      <c r="J170" s="2087"/>
      <c r="K170" s="1195">
        <f t="shared" ref="K170:AJ170" si="242">SUM(K171)</f>
        <v>2507797.7811764702</v>
      </c>
      <c r="L170" s="1195">
        <f t="shared" si="242"/>
        <v>667183</v>
      </c>
      <c r="M170" s="1195">
        <f t="shared" si="242"/>
        <v>243134.93</v>
      </c>
      <c r="N170" s="1195">
        <f t="shared" si="242"/>
        <v>424048.07000000007</v>
      </c>
      <c r="O170" s="1195">
        <f t="shared" si="242"/>
        <v>0</v>
      </c>
      <c r="P170" s="1195">
        <f t="shared" si="242"/>
        <v>1840614.7811764707</v>
      </c>
      <c r="Q170" s="1195">
        <f t="shared" si="242"/>
        <v>376170.03117647057</v>
      </c>
      <c r="R170" s="1195">
        <f t="shared" si="242"/>
        <v>83124.740000000005</v>
      </c>
      <c r="S170" s="1195">
        <f t="shared" si="242"/>
        <v>3196.9</v>
      </c>
      <c r="T170" s="1195">
        <f t="shared" si="242"/>
        <v>79927.839999999997</v>
      </c>
      <c r="U170" s="1195">
        <f t="shared" si="242"/>
        <v>293045.29117647058</v>
      </c>
      <c r="V170" s="1195">
        <f t="shared" si="242"/>
        <v>0</v>
      </c>
      <c r="W170" s="1195">
        <f t="shared" si="242"/>
        <v>0</v>
      </c>
      <c r="X170" s="1195">
        <f t="shared" si="242"/>
        <v>0</v>
      </c>
      <c r="Y170" s="1195">
        <f t="shared" si="242"/>
        <v>0</v>
      </c>
      <c r="Z170" s="1195">
        <f t="shared" si="242"/>
        <v>0</v>
      </c>
      <c r="AA170" s="1195">
        <f t="shared" si="242"/>
        <v>0</v>
      </c>
      <c r="AB170" s="1195">
        <f t="shared" si="242"/>
        <v>0</v>
      </c>
      <c r="AC170" s="1195">
        <f t="shared" si="242"/>
        <v>0</v>
      </c>
      <c r="AD170" s="1195">
        <f t="shared" si="242"/>
        <v>0</v>
      </c>
      <c r="AE170" s="1195">
        <f t="shared" si="242"/>
        <v>0</v>
      </c>
      <c r="AF170" s="1195">
        <f t="shared" si="242"/>
        <v>0</v>
      </c>
      <c r="AG170" s="1195">
        <f t="shared" si="242"/>
        <v>0</v>
      </c>
      <c r="AH170" s="1195">
        <f t="shared" si="242"/>
        <v>0</v>
      </c>
      <c r="AI170" s="1195">
        <f t="shared" si="242"/>
        <v>0</v>
      </c>
      <c r="AJ170" s="1195">
        <f t="shared" si="242"/>
        <v>0</v>
      </c>
      <c r="AK170" s="1195">
        <f>SUM(AK171)</f>
        <v>2131627.75</v>
      </c>
      <c r="AL170" s="1195">
        <f t="shared" ref="AL170:AQ170" si="243">SUM(AL171)</f>
        <v>584058.26</v>
      </c>
      <c r="AM170" s="1195">
        <f t="shared" si="243"/>
        <v>239938.03</v>
      </c>
      <c r="AN170" s="1195">
        <f t="shared" si="243"/>
        <v>344120.23000000004</v>
      </c>
      <c r="AO170" s="1195">
        <f t="shared" si="243"/>
        <v>1547569.4899999998</v>
      </c>
      <c r="AP170" s="1195">
        <f t="shared" si="243"/>
        <v>0</v>
      </c>
      <c r="AQ170" s="1195">
        <f t="shared" si="243"/>
        <v>0</v>
      </c>
      <c r="AR170" s="233">
        <f>SUM(K170-'3 pr-2'!L172)</f>
        <v>0</v>
      </c>
    </row>
    <row r="171" spans="1:44" ht="40.5" customHeight="1" thickBot="1">
      <c r="A171" s="296" t="str">
        <f>CONCATENATE('3 pr-2'!A173)</f>
        <v>3.1.2.1</v>
      </c>
      <c r="B171" s="2088" t="str">
        <f>CONCATENATE('3 pr-2'!B173)</f>
        <v>Priemonė:
Kraštovaizdžio apsauga/plėtra</v>
      </c>
      <c r="C171" s="2089"/>
      <c r="D171" s="2089"/>
      <c r="E171" s="2089"/>
      <c r="F171" s="2089"/>
      <c r="G171" s="2089"/>
      <c r="H171" s="2089"/>
      <c r="I171" s="2089"/>
      <c r="J171" s="2090"/>
      <c r="K171" s="1077">
        <f t="shared" ref="K171:AJ171" si="244">SUM(K172:K180)</f>
        <v>2507797.7811764702</v>
      </c>
      <c r="L171" s="1077">
        <f t="shared" si="244"/>
        <v>667183</v>
      </c>
      <c r="M171" s="1077">
        <f t="shared" si="244"/>
        <v>243134.93</v>
      </c>
      <c r="N171" s="1077">
        <f t="shared" si="244"/>
        <v>424048.07000000007</v>
      </c>
      <c r="O171" s="1077">
        <f t="shared" si="244"/>
        <v>0</v>
      </c>
      <c r="P171" s="1077">
        <f t="shared" si="244"/>
        <v>1840614.7811764707</v>
      </c>
      <c r="Q171" s="1077">
        <f t="shared" si="244"/>
        <v>376170.03117647057</v>
      </c>
      <c r="R171" s="1077">
        <f t="shared" si="244"/>
        <v>83124.740000000005</v>
      </c>
      <c r="S171" s="1077">
        <f t="shared" si="244"/>
        <v>3196.9</v>
      </c>
      <c r="T171" s="1077">
        <f t="shared" si="244"/>
        <v>79927.839999999997</v>
      </c>
      <c r="U171" s="1077">
        <f t="shared" si="244"/>
        <v>293045.29117647058</v>
      </c>
      <c r="V171" s="1077">
        <f t="shared" si="244"/>
        <v>0</v>
      </c>
      <c r="W171" s="1077">
        <f t="shared" si="244"/>
        <v>0</v>
      </c>
      <c r="X171" s="1077">
        <f t="shared" si="244"/>
        <v>0</v>
      </c>
      <c r="Y171" s="1077">
        <f t="shared" si="244"/>
        <v>0</v>
      </c>
      <c r="Z171" s="1077">
        <f t="shared" si="244"/>
        <v>0</v>
      </c>
      <c r="AA171" s="1077">
        <f t="shared" si="244"/>
        <v>0</v>
      </c>
      <c r="AB171" s="1077">
        <f t="shared" si="244"/>
        <v>0</v>
      </c>
      <c r="AC171" s="1077">
        <f t="shared" si="244"/>
        <v>0</v>
      </c>
      <c r="AD171" s="1077">
        <f t="shared" si="244"/>
        <v>0</v>
      </c>
      <c r="AE171" s="1077">
        <f t="shared" si="244"/>
        <v>0</v>
      </c>
      <c r="AF171" s="1077">
        <f t="shared" si="244"/>
        <v>0</v>
      </c>
      <c r="AG171" s="1077">
        <f t="shared" si="244"/>
        <v>0</v>
      </c>
      <c r="AH171" s="1077">
        <f t="shared" si="244"/>
        <v>0</v>
      </c>
      <c r="AI171" s="1077">
        <f t="shared" si="244"/>
        <v>0</v>
      </c>
      <c r="AJ171" s="1077">
        <f t="shared" si="244"/>
        <v>0</v>
      </c>
      <c r="AK171" s="1077">
        <f>SUM(AK172:AK180)</f>
        <v>2131627.75</v>
      </c>
      <c r="AL171" s="1077">
        <f t="shared" ref="AL171:AQ171" si="245">SUM(AL172:AL180)</f>
        <v>584058.26</v>
      </c>
      <c r="AM171" s="1077">
        <f t="shared" si="245"/>
        <v>239938.03</v>
      </c>
      <c r="AN171" s="1077">
        <f t="shared" si="245"/>
        <v>344120.23000000004</v>
      </c>
      <c r="AO171" s="1077">
        <f t="shared" si="245"/>
        <v>1547569.4899999998</v>
      </c>
      <c r="AP171" s="1077">
        <f t="shared" si="245"/>
        <v>0</v>
      </c>
      <c r="AQ171" s="1077">
        <f t="shared" si="245"/>
        <v>0</v>
      </c>
      <c r="AR171" s="233">
        <f>SUM(K171-'3 pr-2'!L173)</f>
        <v>0</v>
      </c>
    </row>
    <row r="172" spans="1:44" ht="36.75">
      <c r="A172" s="375" t="str">
        <f>CONCATENATE('3 pr-2'!A174)</f>
        <v>3.1.2.1.1</v>
      </c>
      <c r="B172" s="578" t="str">
        <f>CONCATENATE('3 pr-2'!B174)</f>
        <v>R01-0019-380000-3211</v>
      </c>
      <c r="C172" s="577" t="str">
        <f>CONCATENATE('ketv. 6 '!C173)</f>
        <v>05.5.1-APVA-R-019-11-0002</v>
      </c>
      <c r="D172" s="231" t="str">
        <f>CONCATENATE('3 pr-2'!D174)</f>
        <v>Kraštovaizdžio formavimas ir tvarkymas Varėnos r. savivaldybėje (I etapas)</v>
      </c>
      <c r="E172" s="164" t="str">
        <f>CONCATENATE('3 pr-2'!E174)</f>
        <v>Varėnos rajono savivaldybės administracija</v>
      </c>
      <c r="F172" s="164" t="str">
        <f>CONCATENATE('3 pr-2'!F174)</f>
        <v>Lietuvos Respublikos aplinkos ministerija</v>
      </c>
      <c r="G172" s="164" t="str">
        <f>CONCATENATE('3 pr-2'!G174)</f>
        <v>Varėnos r. sav.</v>
      </c>
      <c r="H172" s="164" t="str">
        <f>CONCATENATE('3 pr-2'!H174)</f>
        <v>05.5.1-APVA-R-019</v>
      </c>
      <c r="I172" s="164" t="str">
        <f>CONCATENATE('3 pr-2'!I174)</f>
        <v>R</v>
      </c>
      <c r="J172" s="164" t="str">
        <f>CONCATENATE('3 pr-2'!J174)</f>
        <v>-</v>
      </c>
      <c r="K172" s="1164">
        <f>SUM('3 pr-2'!L174)</f>
        <v>309522</v>
      </c>
      <c r="L172" s="1159">
        <f>SUM(R172+W172+AL172)</f>
        <v>235665.95</v>
      </c>
      <c r="M172" s="1082">
        <v>89683.650000000009</v>
      </c>
      <c r="N172" s="1082">
        <v>145982.29999999999</v>
      </c>
      <c r="O172" s="1082">
        <f t="shared" ref="O172:O180" si="246">SUM(L172-M172-N172)</f>
        <v>0</v>
      </c>
      <c r="P172" s="1160">
        <f t="shared" si="204"/>
        <v>73856.049999999988</v>
      </c>
      <c r="Q172" s="1164">
        <f>SUM('3 pr-2'!O174)</f>
        <v>46428.3</v>
      </c>
      <c r="R172" s="1159">
        <f>SUMIF('mokėjimų ataskaita'!$I:$I,C172,'mokėjimų ataskaita'!$AU:$AU)/2</f>
        <v>35349.89</v>
      </c>
      <c r="S172" s="1082">
        <v>1613.33</v>
      </c>
      <c r="T172" s="1082">
        <f t="shared" ref="T172:T179" si="247">SUM(R172-S172)</f>
        <v>33736.559999999998</v>
      </c>
      <c r="U172" s="1160">
        <f t="shared" ref="U172:U180" si="248">SUM(Q172-R172)</f>
        <v>11078.410000000003</v>
      </c>
      <c r="V172" s="1164">
        <f>SUM('3 pr-2'!R174)</f>
        <v>0</v>
      </c>
      <c r="W172" s="1080">
        <f>SUMIF('mokėjimų ataskaita'!$I:$I,C172,'mokėjimų ataskaita'!$AL:$AL)/2</f>
        <v>0</v>
      </c>
      <c r="X172" s="1082"/>
      <c r="Y172" s="1082"/>
      <c r="Z172" s="1160">
        <f t="shared" si="205"/>
        <v>0</v>
      </c>
      <c r="AA172" s="1164">
        <f>SUM('3 pr-2'!U174)</f>
        <v>0</v>
      </c>
      <c r="AB172" s="1080">
        <f>SUMIF('mokėjimų ataskaita'!$I:$I,'ketv. 7 '!C172,'mokėjimų ataskaita'!$AW:$AW)/2</f>
        <v>0</v>
      </c>
      <c r="AC172" s="1082"/>
      <c r="AD172" s="1082"/>
      <c r="AE172" s="1160">
        <f t="shared" si="240"/>
        <v>0</v>
      </c>
      <c r="AF172" s="1164">
        <f>SUM('3 pr-2'!X174)</f>
        <v>0</v>
      </c>
      <c r="AG172" s="1080">
        <f>SUMIF('mokėjimų ataskaita'!$I:$I,'ketv. 7 '!C172,'mokėjimų ataskaita'!$AT:$AT)/2+SUMIF('mokėjimų ataskaita'!$I:$I,'ketv. 7 '!C172,'mokėjimų ataskaita'!$AV:$AV)/2</f>
        <v>0</v>
      </c>
      <c r="AH172" s="1082"/>
      <c r="AI172" s="1082"/>
      <c r="AJ172" s="1160">
        <f t="shared" si="241"/>
        <v>0</v>
      </c>
      <c r="AK172" s="1164">
        <f>SUM('3 pr-2'!AA174)</f>
        <v>263093.7</v>
      </c>
      <c r="AL172" s="1159">
        <f>SUMIF('mokėjimų ataskaita'!$I:$I,'ketv. 7 '!C172,'mokėjimų ataskaita'!$AK:$AK)/2</f>
        <v>200316.06</v>
      </c>
      <c r="AM172" s="1082">
        <v>88070.32</v>
      </c>
      <c r="AN172" s="1082">
        <f t="shared" ref="AN172:AN179" si="249">SUM(AL172-AM172)</f>
        <v>112245.73999999999</v>
      </c>
      <c r="AO172" s="1167">
        <f t="shared" ref="AO172:AO180" si="250">SUM(AK172-AL172)</f>
        <v>62777.640000000014</v>
      </c>
      <c r="AP172" s="1080">
        <f>SUM('3 pr-2'!AB337)</f>
        <v>0</v>
      </c>
      <c r="AQ172" s="1159">
        <v>0</v>
      </c>
    </row>
    <row r="173" spans="1:44" ht="36.75">
      <c r="A173" s="375" t="str">
        <f>CONCATENATE('3 pr-2'!A175)</f>
        <v>3.1.2.1.2</v>
      </c>
      <c r="B173" s="578" t="str">
        <f>CONCATENATE('3 pr-2'!B175)</f>
        <v>R01-0019-380000-3212</v>
      </c>
      <c r="C173" s="577" t="str">
        <f>CONCATENATE('ketv. 6 '!C174)</f>
        <v>-</v>
      </c>
      <c r="D173" s="231" t="str">
        <f>CONCATENATE('3 pr-2'!D175)</f>
        <v>Kraštovaizdžio formavimas ir tvarkymas Varėnos r. savivaldybėje (II etapas)</v>
      </c>
      <c r="E173" s="164" t="str">
        <f>CONCATENATE('3 pr-2'!E175)</f>
        <v>Varėnos rajono savivaldybės administracija</v>
      </c>
      <c r="F173" s="164" t="str">
        <f>CONCATENATE('3 pr-2'!F175)</f>
        <v>Lietuvos Respublikos aplinkos ministerija</v>
      </c>
      <c r="G173" s="164" t="str">
        <f>CONCATENATE('3 pr-2'!G175)</f>
        <v>Varėnos r. sav.</v>
      </c>
      <c r="H173" s="164" t="str">
        <f>CONCATENATE('3 pr-2'!H175)</f>
        <v>05.5.1-APVA-R-019</v>
      </c>
      <c r="I173" s="164" t="str">
        <f>CONCATENATE('3 pr-2'!I175)</f>
        <v>R</v>
      </c>
      <c r="J173" s="164" t="str">
        <f>CONCATENATE('3 pr-2'!J175)</f>
        <v>-</v>
      </c>
      <c r="K173" s="1164">
        <f>SUM('3 pr-2'!L175)</f>
        <v>554211</v>
      </c>
      <c r="L173" s="1080">
        <f t="shared" ref="L173:L180" si="251">SUM(R173+W173+AL173)</f>
        <v>0</v>
      </c>
      <c r="M173" s="1082">
        <v>0</v>
      </c>
      <c r="N173" s="1082">
        <v>0</v>
      </c>
      <c r="O173" s="1082">
        <f t="shared" si="246"/>
        <v>0</v>
      </c>
      <c r="P173" s="1160">
        <f t="shared" ref="P173:P179" si="252">SUM(K173-L173)</f>
        <v>554211</v>
      </c>
      <c r="Q173" s="1164">
        <f>SUM('3 pr-2'!O175)</f>
        <v>83132</v>
      </c>
      <c r="R173" s="1080">
        <f>SUMIF('mokėjimų ataskaita'!$I:$I,C173,'mokėjimų ataskaita'!$AU:$AU)/2</f>
        <v>0</v>
      </c>
      <c r="S173" s="1082">
        <v>0</v>
      </c>
      <c r="T173" s="1082">
        <f t="shared" si="247"/>
        <v>0</v>
      </c>
      <c r="U173" s="1160">
        <f t="shared" si="248"/>
        <v>83132</v>
      </c>
      <c r="V173" s="1164">
        <f>SUM('3 pr-2'!R175)</f>
        <v>0</v>
      </c>
      <c r="W173" s="1080">
        <f>SUMIF('mokėjimų ataskaita'!$I:$I,C173,'mokėjimų ataskaita'!$AL:$AL)/2</f>
        <v>0</v>
      </c>
      <c r="X173" s="1082"/>
      <c r="Y173" s="1082"/>
      <c r="Z173" s="1160">
        <f t="shared" si="205"/>
        <v>0</v>
      </c>
      <c r="AA173" s="1164">
        <f>SUM('3 pr-2'!U175)</f>
        <v>0</v>
      </c>
      <c r="AB173" s="1080">
        <f>SUMIF('mokėjimų ataskaita'!$I:$I,'ketv. 7 '!C173,'mokėjimų ataskaita'!$AW:$AW)/2</f>
        <v>0</v>
      </c>
      <c r="AC173" s="1082"/>
      <c r="AD173" s="1082"/>
      <c r="AE173" s="1160">
        <f t="shared" si="240"/>
        <v>0</v>
      </c>
      <c r="AF173" s="1164">
        <f>SUM('3 pr-2'!X175)</f>
        <v>0</v>
      </c>
      <c r="AG173" s="1080">
        <f>SUMIF('mokėjimų ataskaita'!$I:$I,'ketv. 7 '!C173,'mokėjimų ataskaita'!$AT:$AT)/2+SUMIF('mokėjimų ataskaita'!$I:$I,'ketv. 7 '!C173,'mokėjimų ataskaita'!$AV:$AV)/2</f>
        <v>0</v>
      </c>
      <c r="AH173" s="1082"/>
      <c r="AI173" s="1082"/>
      <c r="AJ173" s="1160">
        <f t="shared" si="241"/>
        <v>0</v>
      </c>
      <c r="AK173" s="1164">
        <f>SUM('3 pr-2'!AA175)</f>
        <v>471079</v>
      </c>
      <c r="AL173" s="1080">
        <f>SUMIF('mokėjimų ataskaita'!$I:$I,'ketv. 7 '!C173,'mokėjimų ataskaita'!$AK:$AK)/2</f>
        <v>0</v>
      </c>
      <c r="AM173" s="1082">
        <v>0</v>
      </c>
      <c r="AN173" s="1082">
        <f t="shared" si="249"/>
        <v>0</v>
      </c>
      <c r="AO173" s="1167">
        <f t="shared" si="250"/>
        <v>471079</v>
      </c>
      <c r="AP173" s="1080">
        <f>SUM('3 pr-2'!AB338)</f>
        <v>0</v>
      </c>
      <c r="AQ173" s="1080">
        <v>0</v>
      </c>
    </row>
    <row r="174" spans="1:44" ht="36.75">
      <c r="A174" s="375" t="str">
        <f>CONCATENATE('3 pr-2'!A176)</f>
        <v>3.1.2.1.3</v>
      </c>
      <c r="B174" s="578" t="str">
        <f>CONCATENATE('3 pr-2'!B176)</f>
        <v>R01-0019-380000-3213</v>
      </c>
      <c r="C174" s="577" t="str">
        <f>CONCATENATE('ketv. 6 '!C175)</f>
        <v>05.5.1-APVA-R-019-11-0001</v>
      </c>
      <c r="D174" s="231" t="str">
        <f>CONCATENATE('3 pr-2'!D176)</f>
        <v>Bešeimininkių apleistų pastatų ir įrenginių tvarkymas Alytaus rajono savivaldybėje</v>
      </c>
      <c r="E174" s="164" t="str">
        <f>CONCATENATE('3 pr-2'!E176)</f>
        <v>Alytaus rajono savivaldybės administracija</v>
      </c>
      <c r="F174" s="164" t="str">
        <f>CONCATENATE('3 pr-2'!F176)</f>
        <v>Lietuvos Respublikos aplinkos ministerija</v>
      </c>
      <c r="G174" s="164" t="str">
        <f>CONCATENATE('3 pr-2'!G176)</f>
        <v>Alytaus r. sav.</v>
      </c>
      <c r="H174" s="164" t="str">
        <f>CONCATENATE('3 pr-2'!H176)</f>
        <v>05.5.1-APVA-R-019</v>
      </c>
      <c r="I174" s="164" t="str">
        <f>CONCATENATE('3 pr-2'!I176)</f>
        <v>R</v>
      </c>
      <c r="J174" s="164" t="str">
        <f>CONCATENATE('3 pr-2'!J176)</f>
        <v/>
      </c>
      <c r="K174" s="1164">
        <f>SUM('3 pr-2'!L176)</f>
        <v>101765.7</v>
      </c>
      <c r="L174" s="1159">
        <f t="shared" si="251"/>
        <v>101765.7</v>
      </c>
      <c r="M174" s="1082">
        <v>0</v>
      </c>
      <c r="N174" s="1082">
        <v>101765.7</v>
      </c>
      <c r="O174" s="1082">
        <f t="shared" si="246"/>
        <v>0</v>
      </c>
      <c r="P174" s="1160">
        <f t="shared" si="252"/>
        <v>0</v>
      </c>
      <c r="Q174" s="1164">
        <f>SUM('3 pr-2'!O176)</f>
        <v>15264.9</v>
      </c>
      <c r="R174" s="1159">
        <f>SUMIF('mokėjimų ataskaita'!$I:$I,C174,'mokėjimų ataskaita'!$AU:$AU)/2</f>
        <v>15264.9</v>
      </c>
      <c r="S174" s="1082">
        <v>0</v>
      </c>
      <c r="T174" s="1082">
        <f t="shared" si="247"/>
        <v>15264.9</v>
      </c>
      <c r="U174" s="1160">
        <f t="shared" si="248"/>
        <v>0</v>
      </c>
      <c r="V174" s="1164">
        <f>SUM('3 pr-2'!R176)</f>
        <v>0</v>
      </c>
      <c r="W174" s="1080">
        <f>SUMIF('mokėjimų ataskaita'!$I:$I,C174,'mokėjimų ataskaita'!$AL:$AL)/2</f>
        <v>0</v>
      </c>
      <c r="X174" s="1082"/>
      <c r="Y174" s="1082"/>
      <c r="Z174" s="1160">
        <f t="shared" si="205"/>
        <v>0</v>
      </c>
      <c r="AA174" s="1164">
        <f>SUM('3 pr-2'!U176)</f>
        <v>0</v>
      </c>
      <c r="AB174" s="1080">
        <f>SUMIF('mokėjimų ataskaita'!$I:$I,'ketv. 7 '!C174,'mokėjimų ataskaita'!$AW:$AW)/2</f>
        <v>0</v>
      </c>
      <c r="AC174" s="1082"/>
      <c r="AD174" s="1082"/>
      <c r="AE174" s="1160">
        <f t="shared" si="240"/>
        <v>0</v>
      </c>
      <c r="AF174" s="1164">
        <f>SUM('3 pr-2'!X176)</f>
        <v>0</v>
      </c>
      <c r="AG174" s="1080">
        <f>SUMIF('mokėjimų ataskaita'!$I:$I,'ketv. 7 '!C174,'mokėjimų ataskaita'!$AT:$AT)/2+SUMIF('mokėjimų ataskaita'!$I:$I,'ketv. 7 '!C174,'mokėjimų ataskaita'!$AV:$AV)/2</f>
        <v>0</v>
      </c>
      <c r="AH174" s="1082"/>
      <c r="AI174" s="1082"/>
      <c r="AJ174" s="1160">
        <f t="shared" si="241"/>
        <v>0</v>
      </c>
      <c r="AK174" s="1164">
        <f>SUM('3 pr-2'!AA176)</f>
        <v>86500.800000000003</v>
      </c>
      <c r="AL174" s="1159">
        <f>SUMIF('mokėjimų ataskaita'!$I:$I,'ketv. 7 '!C174,'mokėjimų ataskaita'!$AK:$AK)/2</f>
        <v>86500.800000000003</v>
      </c>
      <c r="AM174" s="1082">
        <v>0</v>
      </c>
      <c r="AN174" s="1082">
        <f t="shared" si="249"/>
        <v>86500.800000000003</v>
      </c>
      <c r="AO174" s="1167">
        <f t="shared" si="250"/>
        <v>0</v>
      </c>
      <c r="AP174" s="1080">
        <f>SUM('3 pr-2'!AB339)</f>
        <v>0</v>
      </c>
      <c r="AQ174" s="1159">
        <v>0</v>
      </c>
    </row>
    <row r="175" spans="1:44" ht="60.75">
      <c r="A175" s="375" t="str">
        <f>CONCATENATE('3 pr-2'!A177)</f>
        <v>3.1.2.1.4</v>
      </c>
      <c r="B175" s="578" t="str">
        <f>CONCATENATE('3 pr-2'!B177)</f>
        <v>R01-0019-380000-3214</v>
      </c>
      <c r="C175" s="577" t="str">
        <f>CONCATENATE('ketv. 6 '!C176)</f>
        <v>05.5.1-APVA-R-019-11-0004</v>
      </c>
      <c r="D175" s="231" t="str">
        <f>CONCATENATE('3 pr-2'!D177)</f>
        <v>Alytaus miesto bendrojo plano korektūra zonuojant kraštovaizdžio struktūrą, nustatant reglamentus ir principus</v>
      </c>
      <c r="E175" s="164" t="str">
        <f>CONCATENATE('3 pr-2'!E177)</f>
        <v>Alytaus miesto savivaldybės administracija</v>
      </c>
      <c r="F175" s="164" t="str">
        <f>CONCATENATE('3 pr-2'!F177)</f>
        <v>Lietuvos Respublikos aplinkos ministerija</v>
      </c>
      <c r="G175" s="164" t="str">
        <f>CONCATENATE('3 pr-2'!G177)</f>
        <v>Alytaus m. sav.</v>
      </c>
      <c r="H175" s="164" t="str">
        <f>CONCATENATE('3 pr-2'!H177)</f>
        <v>05.5.1-APVA-R-019</v>
      </c>
      <c r="I175" s="164" t="str">
        <f>CONCATENATE('3 pr-2'!I177)</f>
        <v>R</v>
      </c>
      <c r="J175" s="164" t="str">
        <f>CONCATENATE('3 pr-2'!J177)</f>
        <v/>
      </c>
      <c r="K175" s="1164">
        <f>SUM('3 pr-2'!L177)</f>
        <v>3993</v>
      </c>
      <c r="L175" s="1159">
        <f t="shared" si="251"/>
        <v>1018.22</v>
      </c>
      <c r="M175" s="1082">
        <v>0</v>
      </c>
      <c r="N175" s="1082">
        <v>1018.22</v>
      </c>
      <c r="O175" s="1082">
        <f t="shared" si="246"/>
        <v>0</v>
      </c>
      <c r="P175" s="1160">
        <f t="shared" si="252"/>
        <v>2974.7799999999997</v>
      </c>
      <c r="Q175" s="1164">
        <f>SUM('3 pr-2'!O177)</f>
        <v>598.95000000000005</v>
      </c>
      <c r="R175" s="1159">
        <f>SUMIF('mokėjimų ataskaita'!$I:$I,C175,'mokėjimų ataskaita'!$AU:$AU)/2</f>
        <v>0</v>
      </c>
      <c r="S175" s="1082">
        <v>0</v>
      </c>
      <c r="T175" s="1082">
        <f t="shared" si="247"/>
        <v>0</v>
      </c>
      <c r="U175" s="1160">
        <f t="shared" si="248"/>
        <v>598.95000000000005</v>
      </c>
      <c r="V175" s="1164">
        <f>SUM('3 pr-2'!R177)</f>
        <v>0</v>
      </c>
      <c r="W175" s="1080">
        <f>SUMIF('mokėjimų ataskaita'!$I:$I,C175,'mokėjimų ataskaita'!$AL:$AL)/2</f>
        <v>0</v>
      </c>
      <c r="X175" s="1082"/>
      <c r="Y175" s="1082"/>
      <c r="Z175" s="1160">
        <f t="shared" si="205"/>
        <v>0</v>
      </c>
      <c r="AA175" s="1164">
        <f>SUM('3 pr-2'!U177)</f>
        <v>0</v>
      </c>
      <c r="AB175" s="1080">
        <f>SUMIF('mokėjimų ataskaita'!$I:$I,'ketv. 7 '!C175,'mokėjimų ataskaita'!$AW:$AW)/2</f>
        <v>0</v>
      </c>
      <c r="AC175" s="1082"/>
      <c r="AD175" s="1082"/>
      <c r="AE175" s="1160">
        <f t="shared" si="240"/>
        <v>0</v>
      </c>
      <c r="AF175" s="1164">
        <f>SUM('3 pr-2'!X177)</f>
        <v>0</v>
      </c>
      <c r="AG175" s="1080">
        <f>SUMIF('mokėjimų ataskaita'!$I:$I,'ketv. 7 '!C175,'mokėjimų ataskaita'!$AT:$AT)/2+SUMIF('mokėjimų ataskaita'!$I:$I,'ketv. 7 '!C175,'mokėjimų ataskaita'!$AV:$AV)/2</f>
        <v>0</v>
      </c>
      <c r="AH175" s="1082"/>
      <c r="AI175" s="1082"/>
      <c r="AJ175" s="1160">
        <f t="shared" si="241"/>
        <v>0</v>
      </c>
      <c r="AK175" s="1164">
        <f>SUM('3 pr-2'!AA177)</f>
        <v>3394.05</v>
      </c>
      <c r="AL175" s="1159">
        <f>SUMIF('mokėjimų ataskaita'!$I:$I,'ketv. 7 '!C175,'mokėjimų ataskaita'!$AK:$AK)/2</f>
        <v>1018.22</v>
      </c>
      <c r="AM175" s="1082">
        <v>0</v>
      </c>
      <c r="AN175" s="1082">
        <f t="shared" si="249"/>
        <v>1018.22</v>
      </c>
      <c r="AO175" s="1167">
        <f t="shared" si="250"/>
        <v>2375.83</v>
      </c>
      <c r="AP175" s="1080">
        <f>SUM('3 pr-2'!AB340)</f>
        <v>0</v>
      </c>
      <c r="AQ175" s="1159">
        <v>0</v>
      </c>
    </row>
    <row r="176" spans="1:44" ht="36.75">
      <c r="A176" s="375" t="str">
        <f>CONCATENATE('3 pr-2'!A178)</f>
        <v>3.1.2.1.5</v>
      </c>
      <c r="B176" s="578" t="str">
        <f>CONCATENATE('3 pr-2'!B178)</f>
        <v>R01-0019-380000-3215</v>
      </c>
      <c r="C176" s="577" t="str">
        <f>CONCATENATE('ketv. 6 '!C177)</f>
        <v>05.5.1-APVA-R-019-11-0005</v>
      </c>
      <c r="D176" s="231" t="str">
        <f>CONCATENATE('3 pr-2'!D178)</f>
        <v>Bešeimininkių apleistų pastatų Druskininkų savivaldybės teritorijoje likvidavimas</v>
      </c>
      <c r="E176" s="164" t="str">
        <f>CONCATENATE('3 pr-2'!E178)</f>
        <v>Druskininkų savivaldybės administracija</v>
      </c>
      <c r="F176" s="164" t="str">
        <f>CONCATENATE('3 pr-2'!F178)</f>
        <v>Lietuvos Respublikos aplinkos ministerija</v>
      </c>
      <c r="G176" s="164" t="str">
        <f>CONCATENATE('3 pr-2'!G178)</f>
        <v>Druskininkų sav.</v>
      </c>
      <c r="H176" s="164" t="str">
        <f>CONCATENATE('3 pr-2'!H178)</f>
        <v>05.5.1-APVA-R-019</v>
      </c>
      <c r="I176" s="164" t="str">
        <f>CONCATENATE('3 pr-2'!I178)</f>
        <v>R</v>
      </c>
      <c r="J176" s="164" t="str">
        <f>CONCATENATE('3 pr-2'!J178)</f>
        <v>-</v>
      </c>
      <c r="K176" s="1164">
        <f>SUM('3 pr-2'!L178)</f>
        <v>121153.53</v>
      </c>
      <c r="L176" s="1159">
        <f t="shared" si="251"/>
        <v>121153.53</v>
      </c>
      <c r="M176" s="1082">
        <v>37893.879999999997</v>
      </c>
      <c r="N176" s="1082">
        <v>83259.649999999994</v>
      </c>
      <c r="O176" s="1082">
        <f t="shared" si="246"/>
        <v>0</v>
      </c>
      <c r="P176" s="1160">
        <f t="shared" si="252"/>
        <v>0</v>
      </c>
      <c r="Q176" s="1164">
        <f>SUM('3 pr-2'!O178)</f>
        <v>18173.009999999998</v>
      </c>
      <c r="R176" s="1159">
        <f>SUMIF('mokėjimų ataskaita'!$I:$I,C176,'mokėjimų ataskaita'!$AU:$AU)/2</f>
        <v>18173.009999999998</v>
      </c>
      <c r="S176" s="1082">
        <v>1049.96</v>
      </c>
      <c r="T176" s="1082">
        <f t="shared" si="247"/>
        <v>17123.05</v>
      </c>
      <c r="U176" s="1160">
        <f t="shared" si="248"/>
        <v>0</v>
      </c>
      <c r="V176" s="1164">
        <f>SUM('3 pr-2'!R178)</f>
        <v>0</v>
      </c>
      <c r="W176" s="1080">
        <f>SUMIF('mokėjimų ataskaita'!$I:$I,C176,'mokėjimų ataskaita'!$AL:$AL)/2</f>
        <v>0</v>
      </c>
      <c r="X176" s="1082"/>
      <c r="Y176" s="1082"/>
      <c r="Z176" s="1160">
        <f t="shared" si="205"/>
        <v>0</v>
      </c>
      <c r="AA176" s="1164">
        <f>SUM('3 pr-2'!U178)</f>
        <v>0</v>
      </c>
      <c r="AB176" s="1080">
        <f>SUMIF('mokėjimų ataskaita'!$I:$I,'ketv. 7 '!C176,'mokėjimų ataskaita'!$AW:$AW)/2</f>
        <v>0</v>
      </c>
      <c r="AC176" s="1082"/>
      <c r="AD176" s="1082"/>
      <c r="AE176" s="1160">
        <f t="shared" si="240"/>
        <v>0</v>
      </c>
      <c r="AF176" s="1164">
        <f>SUM('3 pr-2'!X178)</f>
        <v>0</v>
      </c>
      <c r="AG176" s="1080">
        <f>SUMIF('mokėjimų ataskaita'!$I:$I,'ketv. 7 '!C176,'mokėjimų ataskaita'!$AT:$AT)/2+SUMIF('mokėjimų ataskaita'!$I:$I,'ketv. 7 '!C176,'mokėjimų ataskaita'!$AV:$AV)/2</f>
        <v>0</v>
      </c>
      <c r="AH176" s="1082"/>
      <c r="AI176" s="1082"/>
      <c r="AJ176" s="1160">
        <f t="shared" si="241"/>
        <v>0</v>
      </c>
      <c r="AK176" s="1164">
        <f>SUM('3 pr-2'!AA178)</f>
        <v>102980.52</v>
      </c>
      <c r="AL176" s="1159">
        <f>SUMIF('mokėjimų ataskaita'!$I:$I,'ketv. 7 '!C176,'mokėjimų ataskaita'!$AK:$AK)/2</f>
        <v>102980.52</v>
      </c>
      <c r="AM176" s="1082">
        <v>36843.919999999998</v>
      </c>
      <c r="AN176" s="1082">
        <f t="shared" si="249"/>
        <v>66136.600000000006</v>
      </c>
      <c r="AO176" s="1167">
        <f t="shared" si="250"/>
        <v>0</v>
      </c>
      <c r="AP176" s="1080">
        <f>SUM('3 pr-2'!AB341)</f>
        <v>0</v>
      </c>
      <c r="AQ176" s="1159">
        <v>0</v>
      </c>
    </row>
    <row r="177" spans="1:44" ht="36.75">
      <c r="A177" s="375" t="str">
        <f>CONCATENATE('3 pr-2'!A179)</f>
        <v>3.1.2.1.6</v>
      </c>
      <c r="B177" s="578" t="str">
        <f>CONCATENATE('3 pr-2'!B179)</f>
        <v>R01-0019-380000-3216</v>
      </c>
      <c r="C177" s="577" t="str">
        <f>CONCATENATE('ketv. 6 '!C178)</f>
        <v>05.5.1-APVA-R-019-11-0003</v>
      </c>
      <c r="D177" s="231" t="str">
        <f>CONCATENATE('3 pr-2'!D179)</f>
        <v>Kraštovaizdžio formavimas Lazdijų rajono savivaldybėje</v>
      </c>
      <c r="E177" s="164" t="str">
        <f>CONCATENATE('3 pr-2'!E179)</f>
        <v>Lazdijų rajono savivaldybės administracija</v>
      </c>
      <c r="F177" s="164" t="str">
        <f>CONCATENATE('3 pr-2'!F179)</f>
        <v>Lietuvos Respublikos aplinkos ministerija</v>
      </c>
      <c r="G177" s="164" t="str">
        <f>CONCATENATE('3 pr-2'!G179)</f>
        <v>Lazdijų r. sav.</v>
      </c>
      <c r="H177" s="164" t="str">
        <f>CONCATENATE('3 pr-2'!H179)</f>
        <v>05.5.1-APVA-R-019</v>
      </c>
      <c r="I177" s="164" t="str">
        <f>CONCATENATE('3 pr-2'!I179)</f>
        <v>R</v>
      </c>
      <c r="J177" s="164" t="str">
        <f>CONCATENATE('3 pr-2'!J179)</f>
        <v>-</v>
      </c>
      <c r="K177" s="1164">
        <f>SUM('3 pr-2'!L179)</f>
        <v>442298.58999999997</v>
      </c>
      <c r="L177" s="1159">
        <f t="shared" si="251"/>
        <v>207579.60000000003</v>
      </c>
      <c r="M177" s="1082">
        <v>115557.4</v>
      </c>
      <c r="N177" s="1082">
        <v>92022.200000000041</v>
      </c>
      <c r="O177" s="1082">
        <f t="shared" si="246"/>
        <v>0</v>
      </c>
      <c r="P177" s="1160">
        <f t="shared" si="252"/>
        <v>234718.98999999993</v>
      </c>
      <c r="Q177" s="1164">
        <f>SUM('3 pr-2'!O179)</f>
        <v>66344.78</v>
      </c>
      <c r="R177" s="1159">
        <f>SUMIF('mokėjimų ataskaita'!$I:$I,C177,'mokėjimų ataskaita'!$AU:$AU)/2</f>
        <v>14336.94</v>
      </c>
      <c r="S177" s="1082">
        <v>533.61</v>
      </c>
      <c r="T177" s="1082">
        <f t="shared" si="247"/>
        <v>13803.33</v>
      </c>
      <c r="U177" s="1160">
        <f t="shared" si="248"/>
        <v>52007.839999999997</v>
      </c>
      <c r="V177" s="1164">
        <f>SUM('3 pr-2'!R179)</f>
        <v>0</v>
      </c>
      <c r="W177" s="1080">
        <f>SUMIF('mokėjimų ataskaita'!$I:$I,C177,'mokėjimų ataskaita'!$AL:$AL)/2</f>
        <v>0</v>
      </c>
      <c r="X177" s="1082"/>
      <c r="Y177" s="1082"/>
      <c r="Z177" s="1080">
        <f t="shared" si="205"/>
        <v>0</v>
      </c>
      <c r="AA177" s="1164">
        <f>SUM('3 pr-2'!U179)</f>
        <v>0</v>
      </c>
      <c r="AB177" s="1080">
        <f>SUMIF('mokėjimų ataskaita'!$I:$I,'ketv. 7 '!C177,'mokėjimų ataskaita'!$AW:$AW)/2</f>
        <v>0</v>
      </c>
      <c r="AC177" s="1082"/>
      <c r="AD177" s="1082"/>
      <c r="AE177" s="1080">
        <f t="shared" si="240"/>
        <v>0</v>
      </c>
      <c r="AF177" s="1164">
        <f>SUM('3 pr-2'!X179)</f>
        <v>0</v>
      </c>
      <c r="AG177" s="1080">
        <f>SUMIF('mokėjimų ataskaita'!$I:$I,'ketv. 7 '!C177,'mokėjimų ataskaita'!$AT:$AT)/2+SUMIF('mokėjimų ataskaita'!$I:$I,'ketv. 7 '!C177,'mokėjimų ataskaita'!$AV:$AV)/2</f>
        <v>0</v>
      </c>
      <c r="AH177" s="1082"/>
      <c r="AI177" s="1082"/>
      <c r="AJ177" s="1080">
        <f t="shared" si="241"/>
        <v>0</v>
      </c>
      <c r="AK177" s="1164">
        <f>SUM('3 pr-2'!AA179)</f>
        <v>375953.81</v>
      </c>
      <c r="AL177" s="1159">
        <f>SUMIF('mokėjimų ataskaita'!$I:$I,'ketv. 7 '!C177,'mokėjimų ataskaita'!$AK:$AK)/2</f>
        <v>193242.66000000003</v>
      </c>
      <c r="AM177" s="1082">
        <v>115023.79</v>
      </c>
      <c r="AN177" s="1082">
        <f t="shared" si="249"/>
        <v>78218.870000000039</v>
      </c>
      <c r="AO177" s="1167">
        <f t="shared" si="250"/>
        <v>182711.14999999997</v>
      </c>
      <c r="AP177" s="1080">
        <f>SUM('3 pr-2'!AB342)</f>
        <v>0</v>
      </c>
      <c r="AQ177" s="1159">
        <v>0</v>
      </c>
    </row>
    <row r="178" spans="1:44" ht="36.75">
      <c r="A178" s="375" t="str">
        <f>CONCATENATE('3 pr-2'!A180)</f>
        <v>3.1.2.1.7</v>
      </c>
      <c r="B178" s="578" t="str">
        <f>CONCATENATE('3 pr-2'!B180)</f>
        <v>R01-0019-283800-3217</v>
      </c>
      <c r="C178" s="577" t="str">
        <f>CONCATENATE('ketv. 6 '!C179)</f>
        <v>-</v>
      </c>
      <c r="D178" s="231" t="str">
        <f>CONCATENATE('3 pr-2'!D180)</f>
        <v>Kraštovaizdžio formavimas Lazdijų rajono savivaldybėje (II etapas)</v>
      </c>
      <c r="E178" s="164" t="str">
        <f>CONCATENATE('3 pr-2'!E180)</f>
        <v>Lazdijų rajono savivaldybės administracija</v>
      </c>
      <c r="F178" s="164" t="str">
        <f>CONCATENATE('3 pr-2'!F180)</f>
        <v>Lietuvos Respublikos aplinkos ministerija</v>
      </c>
      <c r="G178" s="164" t="str">
        <f>CONCATENATE('3 pr-2'!G180)</f>
        <v>Lazdijų r. sav.</v>
      </c>
      <c r="H178" s="164" t="str">
        <f>CONCATENATE('3 pr-2'!H180)</f>
        <v>05.5.1-APVA-R-019</v>
      </c>
      <c r="I178" s="164" t="str">
        <f>CONCATENATE('3 pr-2'!I180)</f>
        <v>R</v>
      </c>
      <c r="J178" s="164" t="str">
        <f>CONCATENATE('3 pr-2'!J180)</f>
        <v>-</v>
      </c>
      <c r="K178" s="1164">
        <f>SUM('3 pr-2'!L180)</f>
        <v>149792.22</v>
      </c>
      <c r="L178" s="1080">
        <f t="shared" si="251"/>
        <v>0</v>
      </c>
      <c r="M178" s="1082">
        <v>0</v>
      </c>
      <c r="N178" s="1082">
        <v>0</v>
      </c>
      <c r="O178" s="1082">
        <f t="shared" si="246"/>
        <v>0</v>
      </c>
      <c r="P178" s="1160">
        <f t="shared" si="252"/>
        <v>149792.22</v>
      </c>
      <c r="Q178" s="1164">
        <f>SUM('3 pr-2'!O180)</f>
        <v>22468.83</v>
      </c>
      <c r="R178" s="1080">
        <f>SUMIF('mokėjimų ataskaita'!$I:$I,C178,'mokėjimų ataskaita'!$AU:$AU)/2</f>
        <v>0</v>
      </c>
      <c r="S178" s="1082">
        <v>0</v>
      </c>
      <c r="T178" s="1082">
        <f t="shared" si="247"/>
        <v>0</v>
      </c>
      <c r="U178" s="1160">
        <f t="shared" si="248"/>
        <v>22468.83</v>
      </c>
      <c r="V178" s="1164">
        <f>SUM('3 pr-2'!R180)</f>
        <v>0</v>
      </c>
      <c r="W178" s="1080">
        <f>SUMIF('mokėjimų ataskaita'!$I:$I,C178,'mokėjimų ataskaita'!$AL:$AL)/2</f>
        <v>0</v>
      </c>
      <c r="X178" s="1082"/>
      <c r="Y178" s="1082"/>
      <c r="Z178" s="1160">
        <f t="shared" si="205"/>
        <v>0</v>
      </c>
      <c r="AA178" s="1164">
        <f>SUM('3 pr-2'!U180)</f>
        <v>0</v>
      </c>
      <c r="AB178" s="1080">
        <f>SUMIF('mokėjimų ataskaita'!$I:$I,'ketv. 7 '!C178,'mokėjimų ataskaita'!$AW:$AW)/2</f>
        <v>0</v>
      </c>
      <c r="AC178" s="1082"/>
      <c r="AD178" s="1082"/>
      <c r="AE178" s="1160">
        <f t="shared" si="240"/>
        <v>0</v>
      </c>
      <c r="AF178" s="1164">
        <f>SUM('3 pr-2'!X180)</f>
        <v>0</v>
      </c>
      <c r="AG178" s="1080">
        <f>SUMIF('mokėjimų ataskaita'!$I:$I,'ketv. 7 '!C178,'mokėjimų ataskaita'!$AT:$AT)/2+SUMIF('mokėjimų ataskaita'!$I:$I,'ketv. 7 '!C178,'mokėjimų ataskaita'!$AV:$AV)/2</f>
        <v>0</v>
      </c>
      <c r="AH178" s="1082"/>
      <c r="AI178" s="1082"/>
      <c r="AJ178" s="1160">
        <f t="shared" si="241"/>
        <v>0</v>
      </c>
      <c r="AK178" s="1164">
        <f>SUM('3 pr-2'!AA180)</f>
        <v>127323.39</v>
      </c>
      <c r="AL178" s="1080">
        <f>SUMIF('mokėjimų ataskaita'!$I:$I,'ketv. 7 '!C178,'mokėjimų ataskaita'!$AK:$AK)/2</f>
        <v>0</v>
      </c>
      <c r="AM178" s="1082">
        <v>0</v>
      </c>
      <c r="AN178" s="1082">
        <f t="shared" si="249"/>
        <v>0</v>
      </c>
      <c r="AO178" s="1167">
        <f t="shared" si="250"/>
        <v>127323.39</v>
      </c>
      <c r="AP178" s="1080">
        <f>SUM('3 pr-2'!AB343)</f>
        <v>0</v>
      </c>
      <c r="AQ178" s="1080">
        <v>0</v>
      </c>
    </row>
    <row r="179" spans="1:44" ht="36.75">
      <c r="A179" s="375" t="str">
        <f>CONCATENATE('3 pr-2'!A181)</f>
        <v>3.1.2.1.8</v>
      </c>
      <c r="B179" s="578" t="str">
        <f>CONCATENATE('3 pr-2'!B181)</f>
        <v>R01-0019-380000-3218</v>
      </c>
      <c r="C179" s="577" t="str">
        <f>CONCATENATE('ketv. 6 '!C180)</f>
        <v>05.5.1-APVA-R-019-11-0006</v>
      </c>
      <c r="D179" s="231" t="str">
        <f>CONCATENATE('3 pr-2'!D181)</f>
        <v>Bešeimininkių apleistų pastatų ir įrenginių tvarkymas Alytaus rajono savivaldybėje (II etapas)</v>
      </c>
      <c r="E179" s="164" t="str">
        <f>CONCATENATE('3 pr-2'!E181)</f>
        <v>Alytaus rajono savivaldybės administracija</v>
      </c>
      <c r="F179" s="164" t="str">
        <f>CONCATENATE('3 pr-2'!F181)</f>
        <v>Lietuvos Respublikos aplinkos ministerija</v>
      </c>
      <c r="G179" s="164" t="str">
        <f>CONCATENATE('3 pr-2'!G181)</f>
        <v>Alytaus r. sav.</v>
      </c>
      <c r="H179" s="164" t="str">
        <f>CONCATENATE('3 pr-2'!H181)</f>
        <v>05.5.1-APVA-R-019</v>
      </c>
      <c r="I179" s="164" t="str">
        <f>CONCATENATE('3 pr-2'!I181)</f>
        <v>R</v>
      </c>
      <c r="J179" s="164" t="str">
        <f>CONCATENATE('3 pr-2'!J181)</f>
        <v>-</v>
      </c>
      <c r="K179" s="1164">
        <f>SUM('3 pr-2'!L181)</f>
        <v>736537.6470588235</v>
      </c>
      <c r="L179" s="1080">
        <f t="shared" si="251"/>
        <v>0</v>
      </c>
      <c r="M179" s="1082">
        <v>0</v>
      </c>
      <c r="N179" s="1082">
        <v>0</v>
      </c>
      <c r="O179" s="1082">
        <f t="shared" si="246"/>
        <v>0</v>
      </c>
      <c r="P179" s="1160">
        <f t="shared" si="252"/>
        <v>736537.6470588235</v>
      </c>
      <c r="Q179" s="1164">
        <f>SUM('3 pr-2'!O181)</f>
        <v>110480.64705882352</v>
      </c>
      <c r="R179" s="1080">
        <f>SUMIF('mokėjimų ataskaita'!$I:$I,C179,'mokėjimų ataskaita'!$AU:$AU)/2</f>
        <v>0</v>
      </c>
      <c r="S179" s="1082">
        <v>0</v>
      </c>
      <c r="T179" s="1082">
        <f t="shared" si="247"/>
        <v>0</v>
      </c>
      <c r="U179" s="1160">
        <f t="shared" si="248"/>
        <v>110480.64705882352</v>
      </c>
      <c r="V179" s="1164">
        <f>SUM('3 pr-2'!R181)</f>
        <v>0</v>
      </c>
      <c r="W179" s="1080">
        <f>SUMIF('mokėjimų ataskaita'!$I:$I,C179,'mokėjimų ataskaita'!$AL:$AL)/2</f>
        <v>0</v>
      </c>
      <c r="X179" s="1082"/>
      <c r="Y179" s="1082"/>
      <c r="Z179" s="1160">
        <f t="shared" si="205"/>
        <v>0</v>
      </c>
      <c r="AA179" s="1164">
        <f>SUM('3 pr-2'!U181)</f>
        <v>0</v>
      </c>
      <c r="AB179" s="1080">
        <f>SUMIF('mokėjimų ataskaita'!$I:$I,'ketv. 7 '!C179,'mokėjimų ataskaita'!$AW:$AW)/2</f>
        <v>0</v>
      </c>
      <c r="AC179" s="1082"/>
      <c r="AD179" s="1082"/>
      <c r="AE179" s="1160">
        <f t="shared" si="240"/>
        <v>0</v>
      </c>
      <c r="AF179" s="1164">
        <f>SUM('3 pr-2'!X181)</f>
        <v>0</v>
      </c>
      <c r="AG179" s="1080">
        <f>SUMIF('mokėjimų ataskaita'!$I:$I,'ketv. 7 '!C179,'mokėjimų ataskaita'!$AT:$AT)/2+SUMIF('mokėjimų ataskaita'!$I:$I,'ketv. 7 '!C179,'mokėjimų ataskaita'!$AV:$AV)/2</f>
        <v>0</v>
      </c>
      <c r="AH179" s="1082"/>
      <c r="AI179" s="1082"/>
      <c r="AJ179" s="1160">
        <f t="shared" si="241"/>
        <v>0</v>
      </c>
      <c r="AK179" s="1164">
        <f>SUM('3 pr-2'!AA181)</f>
        <v>626057</v>
      </c>
      <c r="AL179" s="1080">
        <f>SUMIF('mokėjimų ataskaita'!$I:$I,'ketv. 7 '!C179,'mokėjimų ataskaita'!$AK:$AK)/2</f>
        <v>0</v>
      </c>
      <c r="AM179" s="1082">
        <v>0</v>
      </c>
      <c r="AN179" s="1082">
        <f t="shared" si="249"/>
        <v>0</v>
      </c>
      <c r="AO179" s="1167">
        <f t="shared" si="250"/>
        <v>626057</v>
      </c>
      <c r="AP179" s="1080">
        <f>SUM('3 pr-2'!AB344)</f>
        <v>0</v>
      </c>
      <c r="AQ179" s="1159">
        <v>0</v>
      </c>
    </row>
    <row r="180" spans="1:44" ht="36.75">
      <c r="A180" s="375" t="str">
        <f>CONCATENATE('3 pr-2'!A182)</f>
        <v>3.1.2.1.9</v>
      </c>
      <c r="B180" s="578" t="str">
        <f>CONCATENATE('3 pr-2'!B182)</f>
        <v>R01-0019-380000-3219</v>
      </c>
      <c r="C180" s="577" t="str">
        <f>CONCATENATE('ketv. 6 '!C181)</f>
        <v>-</v>
      </c>
      <c r="D180" s="231" t="str">
        <f>CONCATENATE('3 pr-2'!D182)</f>
        <v>Etaloninio kraštovaizdžio formavimas Druskininkų savivaldybės pasienyje</v>
      </c>
      <c r="E180" s="164" t="str">
        <f>CONCATENATE('3 pr-2'!E182)</f>
        <v>Druskininkų savivaldybės administracija</v>
      </c>
      <c r="F180" s="164" t="str">
        <f>CONCATENATE('3 pr-2'!F182)</f>
        <v>Lietuvos Respublikos aplinkos ministerija</v>
      </c>
      <c r="G180" s="164" t="str">
        <f>CONCATENATE('3 pr-2'!G182)</f>
        <v>Druskininkų sav.</v>
      </c>
      <c r="H180" s="164" t="str">
        <f>CONCATENATE('3 pr-2'!H182)</f>
        <v>05.5.1-APVA-R-019</v>
      </c>
      <c r="I180" s="164" t="str">
        <f>CONCATENATE('3 pr-2'!I182)</f>
        <v>R</v>
      </c>
      <c r="J180" s="164" t="str">
        <f>CONCATENATE('3 pr-2'!J182)</f>
        <v>-</v>
      </c>
      <c r="K180" s="1164">
        <f>SUM('3 pr-2'!L182)</f>
        <v>88524.094117647051</v>
      </c>
      <c r="L180" s="1080">
        <f t="shared" si="251"/>
        <v>0</v>
      </c>
      <c r="M180" s="1082">
        <v>0</v>
      </c>
      <c r="N180" s="1082">
        <v>0</v>
      </c>
      <c r="O180" s="1082">
        <f t="shared" si="246"/>
        <v>0</v>
      </c>
      <c r="P180" s="1160">
        <f t="shared" ref="P180" si="253">SUM(K180-L180)</f>
        <v>88524.094117647051</v>
      </c>
      <c r="Q180" s="1164">
        <f>SUM('3 pr-2'!O182)</f>
        <v>13278.614117647059</v>
      </c>
      <c r="R180" s="1080">
        <f>SUMIF('mokėjimų ataskaita'!$I:$I,C180,'mokėjimų ataskaita'!$AU:$AU)/2</f>
        <v>0</v>
      </c>
      <c r="S180" s="1082">
        <v>0</v>
      </c>
      <c r="T180" s="1082">
        <f t="shared" ref="T180" si="254">SUM(R180-S180)</f>
        <v>0</v>
      </c>
      <c r="U180" s="1160">
        <f t="shared" si="248"/>
        <v>13278.614117647059</v>
      </c>
      <c r="V180" s="1164">
        <f>SUM('3 pr-2'!R182)</f>
        <v>0</v>
      </c>
      <c r="W180" s="1080">
        <f>SUMIF('mokėjimų ataskaita'!$I:$I,C180,'mokėjimų ataskaita'!$AL:$AL)/2</f>
        <v>0</v>
      </c>
      <c r="X180" s="1082"/>
      <c r="Y180" s="1082"/>
      <c r="Z180" s="1160">
        <f t="shared" ref="Z180" si="255">SUM(V180-W180)</f>
        <v>0</v>
      </c>
      <c r="AA180" s="1164">
        <f>SUM('3 pr-2'!U182)</f>
        <v>0</v>
      </c>
      <c r="AB180" s="1080">
        <f>SUMIF('mokėjimų ataskaita'!$I:$I,'ketv. 7 '!C180,'mokėjimų ataskaita'!$AW:$AW)/2</f>
        <v>0</v>
      </c>
      <c r="AC180" s="1082"/>
      <c r="AD180" s="1082"/>
      <c r="AE180" s="1160">
        <f t="shared" ref="AE180" si="256">SUM(AA180-AB180)</f>
        <v>0</v>
      </c>
      <c r="AF180" s="1164">
        <f>SUM('3 pr-2'!X182)</f>
        <v>0</v>
      </c>
      <c r="AG180" s="1080">
        <f>SUMIF('mokėjimų ataskaita'!$I:$I,'ketv. 7 '!C180,'mokėjimų ataskaita'!$AT:$AT)/2+SUMIF('mokėjimų ataskaita'!$I:$I,'ketv. 7 '!C180,'mokėjimų ataskaita'!$AV:$AV)/2</f>
        <v>0</v>
      </c>
      <c r="AH180" s="1082"/>
      <c r="AI180" s="1082"/>
      <c r="AJ180" s="1160">
        <f t="shared" ref="AJ180" si="257">SUM(AF180-AG180)</f>
        <v>0</v>
      </c>
      <c r="AK180" s="1164">
        <f>SUM('3 pr-2'!AA182)</f>
        <v>75245.48</v>
      </c>
      <c r="AL180" s="1080">
        <f>SUMIF('mokėjimų ataskaita'!$I:$I,'ketv. 7 '!C180,'mokėjimų ataskaita'!$AK:$AK)/2</f>
        <v>0</v>
      </c>
      <c r="AM180" s="1082">
        <v>0</v>
      </c>
      <c r="AN180" s="1082">
        <f t="shared" ref="AN180" si="258">SUM(AL180-AM180)</f>
        <v>0</v>
      </c>
      <c r="AO180" s="1167">
        <f t="shared" si="250"/>
        <v>75245.48</v>
      </c>
      <c r="AP180" s="1080">
        <f>SUM('3 pr-2'!AB345)</f>
        <v>0</v>
      </c>
      <c r="AQ180" s="1080">
        <v>0</v>
      </c>
    </row>
    <row r="181" spans="1:44" ht="19.5" hidden="1" thickBot="1">
      <c r="K181" s="388">
        <f t="shared" ref="K181:AO181" si="259">SUM(K5+K98+K166)</f>
        <v>67411206.668235272</v>
      </c>
      <c r="L181" s="388">
        <f t="shared" si="259"/>
        <v>26713684.730000004</v>
      </c>
      <c r="M181" s="1044"/>
      <c r="N181" s="1044"/>
      <c r="O181" s="1044"/>
      <c r="P181" s="280">
        <f t="shared" si="259"/>
        <v>40697521.938235298</v>
      </c>
      <c r="Q181" s="388">
        <f t="shared" si="259"/>
        <v>7859310.608235294</v>
      </c>
      <c r="R181" s="388">
        <f t="shared" si="259"/>
        <v>2180630.9300000002</v>
      </c>
      <c r="S181" s="1044"/>
      <c r="T181" s="1044"/>
      <c r="U181" s="388">
        <f t="shared" si="259"/>
        <v>5678679.6782352943</v>
      </c>
      <c r="V181" s="388">
        <f t="shared" ca="1" si="259"/>
        <v>1133920.1100000001</v>
      </c>
      <c r="W181" s="388">
        <f t="shared" si="259"/>
        <v>571370.13000000012</v>
      </c>
      <c r="X181" s="1044"/>
      <c r="Y181" s="1044"/>
      <c r="Z181" s="388">
        <f t="shared" ca="1" si="259"/>
        <v>562549.98</v>
      </c>
      <c r="AA181" s="388">
        <f t="shared" si="259"/>
        <v>9373204.9100000001</v>
      </c>
      <c r="AB181" s="388">
        <f t="shared" si="259"/>
        <v>3725350.9800000014</v>
      </c>
      <c r="AC181" s="1044"/>
      <c r="AD181" s="1044"/>
      <c r="AE181" s="388">
        <f t="shared" si="259"/>
        <v>5647853.9299999988</v>
      </c>
      <c r="AF181" s="388">
        <f t="shared" si="259"/>
        <v>416360.77</v>
      </c>
      <c r="AG181" s="388">
        <f t="shared" si="259"/>
        <v>366451.38999999996</v>
      </c>
      <c r="AH181" s="1044"/>
      <c r="AI181" s="1044"/>
      <c r="AJ181" s="388">
        <f t="shared" si="259"/>
        <v>49909.380000000005</v>
      </c>
      <c r="AK181" s="388">
        <f t="shared" si="259"/>
        <v>48628410.269999996</v>
      </c>
      <c r="AL181" s="388">
        <f t="shared" si="259"/>
        <v>19160331.379999995</v>
      </c>
      <c r="AM181" s="1044"/>
      <c r="AN181" s="1044"/>
      <c r="AO181" s="243">
        <f t="shared" si="259"/>
        <v>28176739.909999996</v>
      </c>
      <c r="AP181" s="1142"/>
      <c r="AQ181" s="1143"/>
      <c r="AR181" s="1198"/>
    </row>
    <row r="183" spans="1:44" hidden="1">
      <c r="K183" s="233">
        <f>SUM(K181-'3 pr-2'!L183)</f>
        <v>0</v>
      </c>
      <c r="L183" s="1198">
        <f>SUM(L181/K181)</f>
        <v>0.39627958095263882</v>
      </c>
      <c r="Q183" s="233">
        <f>SUM(Q181-'3 pr-2'!O183)</f>
        <v>0</v>
      </c>
      <c r="R183" s="1198">
        <f>SUM(R181/Q181)</f>
        <v>0.27745829611506251</v>
      </c>
      <c r="V183" s="233">
        <f ca="1">SUM(V181-'3 pr-2'!R183)</f>
        <v>0</v>
      </c>
      <c r="W183" s="1198">
        <f ca="1">SUM(W181/V181)</f>
        <v>0.50388922902161082</v>
      </c>
      <c r="AA183" s="233">
        <f>SUM(AA181-'3 pr-2'!U183)</f>
        <v>0</v>
      </c>
      <c r="AB183" s="1198">
        <f>SUM(AB181/AA181)</f>
        <v>0.39744687284341051</v>
      </c>
      <c r="AF183" s="233">
        <f>SUM(AF181-'3 pr-2'!X183)</f>
        <v>0</v>
      </c>
      <c r="AG183" s="1198">
        <f>SUM(AG181/AF181)</f>
        <v>0.88012948482154052</v>
      </c>
      <c r="AK183" s="233">
        <f>SUM(AK181-'3 pr-2'!AA183)</f>
        <v>0</v>
      </c>
      <c r="AL183" s="1198">
        <f>SUM(AL181/AK181)</f>
        <v>0.3940151708356473</v>
      </c>
    </row>
    <row r="185" spans="1:44" ht="15.75">
      <c r="A185" s="1103" t="s">
        <v>1787</v>
      </c>
    </row>
  </sheetData>
  <autoFilter ref="A4:AQ4" xr:uid="{00000000-0009-0000-0000-00001B000000}"/>
  <mergeCells count="45">
    <mergeCell ref="B168:J168"/>
    <mergeCell ref="B171:J171"/>
    <mergeCell ref="B167:J167"/>
    <mergeCell ref="B170:J170"/>
    <mergeCell ref="B31:J31"/>
    <mergeCell ref="B37:J37"/>
    <mergeCell ref="B44:J44"/>
    <mergeCell ref="B48:J48"/>
    <mergeCell ref="B54:J54"/>
    <mergeCell ref="B56:J56"/>
    <mergeCell ref="B60:J60"/>
    <mergeCell ref="B65:J65"/>
    <mergeCell ref="B72:J72"/>
    <mergeCell ref="B77:J77"/>
    <mergeCell ref="B84:J84"/>
    <mergeCell ref="B90:J90"/>
    <mergeCell ref="B100:J100"/>
    <mergeCell ref="B106:J106"/>
    <mergeCell ref="B166:J166"/>
    <mergeCell ref="B71:J71"/>
    <mergeCell ref="B99:J99"/>
    <mergeCell ref="B118:J118"/>
    <mergeCell ref="B145:J145"/>
    <mergeCell ref="B158:J158"/>
    <mergeCell ref="B112:J112"/>
    <mergeCell ref="B119:J119"/>
    <mergeCell ref="B133:J133"/>
    <mergeCell ref="B139:J139"/>
    <mergeCell ref="B146:J146"/>
    <mergeCell ref="B152:J152"/>
    <mergeCell ref="B159:J159"/>
    <mergeCell ref="B98:J98"/>
    <mergeCell ref="AP3:AQ3"/>
    <mergeCell ref="K2:AQ2"/>
    <mergeCell ref="B6:J6"/>
    <mergeCell ref="B7:J7"/>
    <mergeCell ref="A1:G1"/>
    <mergeCell ref="A2:J2"/>
    <mergeCell ref="K3:P3"/>
    <mergeCell ref="V3:Z3"/>
    <mergeCell ref="AA3:AE3"/>
    <mergeCell ref="AF3:AJ3"/>
    <mergeCell ref="AK3:AO3"/>
    <mergeCell ref="B5:J5"/>
    <mergeCell ref="Q3:U3"/>
  </mergeCells>
  <pageMargins left="0.23622047244094491" right="0.23622047244094491" top="0.74803149606299213" bottom="0.74803149606299213" header="0.31496062992125984" footer="0.31496062992125984"/>
  <pageSetup paperSize="8" scale="62" fitToHeight="0"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C29"/>
  <sheetViews>
    <sheetView workbookViewId="0">
      <selection activeCell="AG14" sqref="AG14"/>
    </sheetView>
  </sheetViews>
  <sheetFormatPr defaultRowHeight="15"/>
  <cols>
    <col min="1" max="1" width="25.7109375" customWidth="1"/>
    <col min="2" max="2" width="55.85546875" customWidth="1"/>
    <col min="3" max="3" width="9.42578125" hidden="1" customWidth="1"/>
    <col min="4" max="4" width="9.42578125" customWidth="1"/>
    <col min="5" max="5" width="11.140625" hidden="1" customWidth="1"/>
    <col min="6" max="6" width="9.42578125" hidden="1" customWidth="1"/>
    <col min="7" max="7" width="9.42578125" customWidth="1"/>
    <col min="8" max="8" width="10.5703125" hidden="1" customWidth="1"/>
    <col min="9" max="9" width="9.42578125" hidden="1" customWidth="1"/>
    <col min="10" max="10" width="9.42578125" customWidth="1"/>
    <col min="11" max="12" width="9.42578125" hidden="1" customWidth="1"/>
    <col min="13" max="13" width="9.42578125" customWidth="1"/>
    <col min="14" max="15" width="9.42578125" hidden="1" customWidth="1"/>
    <col min="16" max="16" width="9.42578125" customWidth="1"/>
    <col min="17" max="19" width="9.42578125" hidden="1" customWidth="1"/>
    <col min="20" max="20" width="10.5703125" hidden="1" customWidth="1"/>
    <col min="21" max="21" width="10.140625" hidden="1" customWidth="1"/>
    <col min="22" max="22" width="10.140625" customWidth="1"/>
    <col min="23" max="23" width="11.5703125" hidden="1" customWidth="1"/>
    <col min="24" max="24" width="13.140625" hidden="1" customWidth="1"/>
    <col min="25" max="25" width="12.42578125" hidden="1" customWidth="1"/>
    <col min="26" max="27" width="13.140625" hidden="1" customWidth="1"/>
    <col min="29" max="29" width="14.85546875" customWidth="1"/>
  </cols>
  <sheetData>
    <row r="1" spans="1:29" ht="33" customHeight="1" thickBot="1">
      <c r="A1" s="2082" t="s">
        <v>1791</v>
      </c>
      <c r="B1" s="2157"/>
      <c r="C1" s="2157"/>
      <c r="D1" s="2157"/>
      <c r="E1" s="2157"/>
      <c r="F1" s="2157"/>
      <c r="G1" s="2157"/>
      <c r="H1" s="2157"/>
      <c r="I1" s="2157"/>
      <c r="J1" s="2157"/>
      <c r="K1" s="2157"/>
      <c r="L1" s="2157"/>
      <c r="M1" s="2157"/>
      <c r="N1" s="2157"/>
      <c r="O1" s="2157"/>
      <c r="P1" s="2157"/>
      <c r="Q1" s="2157"/>
      <c r="R1" s="2157"/>
      <c r="S1" s="2157"/>
      <c r="T1" s="2157"/>
      <c r="U1" s="2157"/>
      <c r="V1" s="2157"/>
    </row>
    <row r="2" spans="1:29" ht="15.75" thickBot="1">
      <c r="A2" s="2155" t="s">
        <v>248</v>
      </c>
      <c r="B2" s="2155" t="s">
        <v>249</v>
      </c>
      <c r="C2" s="2143" t="s">
        <v>671</v>
      </c>
      <c r="D2" s="2144"/>
      <c r="E2" s="2144"/>
      <c r="F2" s="2144"/>
      <c r="G2" s="2144"/>
      <c r="H2" s="2144"/>
      <c r="I2" s="2144"/>
      <c r="J2" s="2144"/>
      <c r="K2" s="2144"/>
      <c r="L2" s="2144"/>
      <c r="M2" s="2144"/>
      <c r="N2" s="2144"/>
      <c r="O2" s="2144"/>
      <c r="P2" s="2144"/>
      <c r="Q2" s="2144"/>
      <c r="R2" s="2144"/>
      <c r="S2" s="2144"/>
      <c r="T2" s="2144"/>
      <c r="U2" s="2144"/>
      <c r="V2" s="2145"/>
      <c r="W2" s="2146"/>
    </row>
    <row r="3" spans="1:29" ht="43.5" thickBot="1">
      <c r="A3" s="2156"/>
      <c r="B3" s="2156"/>
      <c r="C3" s="1834" t="s">
        <v>745</v>
      </c>
      <c r="D3" s="1836">
        <v>2015</v>
      </c>
      <c r="E3" s="1835" t="s">
        <v>746</v>
      </c>
      <c r="F3" s="601" t="s">
        <v>747</v>
      </c>
      <c r="G3" s="1836">
        <v>2016</v>
      </c>
      <c r="H3" s="1836" t="s">
        <v>753</v>
      </c>
      <c r="I3" s="1836" t="s">
        <v>748</v>
      </c>
      <c r="J3" s="1836">
        <v>2017</v>
      </c>
      <c r="K3" s="1836" t="s">
        <v>754</v>
      </c>
      <c r="L3" s="1836" t="s">
        <v>749</v>
      </c>
      <c r="M3" s="1836">
        <v>2018</v>
      </c>
      <c r="N3" s="1836" t="s">
        <v>755</v>
      </c>
      <c r="O3" s="1836" t="s">
        <v>750</v>
      </c>
      <c r="P3" s="1836">
        <v>2019</v>
      </c>
      <c r="Q3" s="1836" t="s">
        <v>756</v>
      </c>
      <c r="R3" s="1836" t="s">
        <v>751</v>
      </c>
      <c r="S3" s="1836">
        <v>2020</v>
      </c>
      <c r="T3" s="1836" t="s">
        <v>757</v>
      </c>
      <c r="U3" s="1836" t="s">
        <v>752</v>
      </c>
      <c r="V3" s="1836" t="s">
        <v>9</v>
      </c>
      <c r="W3" s="1837" t="s">
        <v>759</v>
      </c>
      <c r="X3" s="249" t="s">
        <v>760</v>
      </c>
      <c r="Y3" s="250" t="s">
        <v>762</v>
      </c>
      <c r="Z3" s="250" t="s">
        <v>763</v>
      </c>
      <c r="AA3" s="250" t="s">
        <v>764</v>
      </c>
    </row>
    <row r="4" spans="1:29" ht="48" thickBot="1">
      <c r="A4" s="588" t="s">
        <v>744</v>
      </c>
      <c r="B4" s="588" t="s">
        <v>250</v>
      </c>
      <c r="C4" s="598">
        <f>SUM('3 pr-(5-6)'!C37)</f>
        <v>0</v>
      </c>
      <c r="D4" s="599">
        <v>0</v>
      </c>
      <c r="E4" s="600">
        <f>SUM(C4-D4)</f>
        <v>0</v>
      </c>
      <c r="F4" s="598">
        <f>SUM('3 pr-(5-6)'!D37)</f>
        <v>0</v>
      </c>
      <c r="G4" s="599">
        <f>SUM('ketv. 4 '!Q9)</f>
        <v>0</v>
      </c>
      <c r="H4" s="600">
        <f>SUM(F4-G4)</f>
        <v>0</v>
      </c>
      <c r="I4" s="598">
        <f>SUM('3 pr-(5-6)'!G37)</f>
        <v>2773893</v>
      </c>
      <c r="J4" s="599">
        <f>SUM('ketv. 4 '!R9)+G4</f>
        <v>0</v>
      </c>
      <c r="K4" s="600">
        <f>SUM(I4-J4)</f>
        <v>2773893</v>
      </c>
      <c r="L4" s="598">
        <f>SUM('3 pr-(5-6)'!F37)</f>
        <v>2773893</v>
      </c>
      <c r="M4" s="599">
        <f>SUM('ketv. 4 '!S9)/1000+J4</f>
        <v>3140.8087999999998</v>
      </c>
      <c r="N4" s="600">
        <f>SUM(L4-M4)</f>
        <v>2770752.1911999998</v>
      </c>
      <c r="O4" s="598">
        <f>SUM('3 pr-(5-6)'!G37)</f>
        <v>2773893</v>
      </c>
      <c r="P4" s="599">
        <f>SUM('ketv. 4 '!T9)/1000+M4</f>
        <v>3140.8087999999998</v>
      </c>
      <c r="Q4" s="600">
        <f>SUM(O4-P4)</f>
        <v>2770752.1911999998</v>
      </c>
      <c r="R4" s="598">
        <f>SUM('3 pr-(5-6)'!H37)</f>
        <v>2773893</v>
      </c>
      <c r="S4" s="599">
        <f>SUM(P4+'ketv. 4 '!U9)</f>
        <v>3140.8087999999998</v>
      </c>
      <c r="T4" s="600">
        <f>SUM(R4-S4)</f>
        <v>2770752.1911999998</v>
      </c>
      <c r="U4" s="602">
        <f>SUM('3 pr-(5-6)'!I37)-'ketv. 4 '!P32</f>
        <v>2773893</v>
      </c>
      <c r="V4" s="605">
        <f t="shared" ref="V4:V29" si="0">SUM(S4)</f>
        <v>3140.8087999999998</v>
      </c>
      <c r="W4" s="1241">
        <f>SUM(U4-V4)</f>
        <v>2770752.1911999998</v>
      </c>
      <c r="X4" s="1242">
        <v>2773894.25</v>
      </c>
      <c r="Y4" s="1243">
        <f t="shared" ref="Y4:Y12" si="1">SUM(X4-U4)</f>
        <v>1.25</v>
      </c>
      <c r="Z4" s="1243">
        <f>SUM('3 pr-2'!AE9)</f>
        <v>0</v>
      </c>
      <c r="AA4" s="1243">
        <f>SUM(Y4+Z4)</f>
        <v>1.25</v>
      </c>
    </row>
    <row r="5" spans="1:29" ht="17.25" thickTop="1" thickBot="1">
      <c r="A5" s="590" t="s">
        <v>146</v>
      </c>
      <c r="B5" s="590" t="s">
        <v>373</v>
      </c>
      <c r="C5" s="591">
        <f>SUM('3 pr-(5-6)'!C38)</f>
        <v>0</v>
      </c>
      <c r="D5" s="592">
        <v>0</v>
      </c>
      <c r="E5" s="593">
        <f t="shared" ref="E5:E29" si="2">SUM(C5-D5)</f>
        <v>0</v>
      </c>
      <c r="F5" s="591">
        <f>SUM('3 pr-(5-6)'!D38)</f>
        <v>0</v>
      </c>
      <c r="G5" s="592">
        <f>SUM('ketv. 4 '!Q33)</f>
        <v>0</v>
      </c>
      <c r="H5" s="593">
        <f t="shared" ref="H5:H29" si="3">SUM(F5-G5)</f>
        <v>0</v>
      </c>
      <c r="I5" s="591">
        <f>SUM('3 pr-(5-6)'!G38)</f>
        <v>2816450.64</v>
      </c>
      <c r="J5" s="592">
        <f>SUM('ketv. 4 '!R33)+G5</f>
        <v>0</v>
      </c>
      <c r="K5" s="593">
        <f t="shared" ref="K5:K29" si="4">SUM(I5-J5)</f>
        <v>2816450.64</v>
      </c>
      <c r="L5" s="591">
        <f>SUM('3 pr-(5-6)'!F38)</f>
        <v>1929504.6400000001</v>
      </c>
      <c r="M5" s="592">
        <f>SUM('ketv. 4 '!S33)/1000+J5</f>
        <v>1929.5046400000001</v>
      </c>
      <c r="N5" s="593">
        <f t="shared" ref="N5:N29" si="5">SUM(L5-M5)</f>
        <v>1927575.1353600002</v>
      </c>
      <c r="O5" s="591">
        <f>SUM('3 pr-(5-6)'!G38)</f>
        <v>2816450.64</v>
      </c>
      <c r="P5" s="592">
        <f>SUM('ketv. 4 '!T33)/1000+M5</f>
        <v>1929.5046400000001</v>
      </c>
      <c r="Q5" s="593">
        <f t="shared" ref="Q5:Q29" si="6">SUM(O5-P5)</f>
        <v>2814521.1353600002</v>
      </c>
      <c r="R5" s="591">
        <f>SUM('3 pr-(5-6)'!H38)</f>
        <v>2816450.64</v>
      </c>
      <c r="S5" s="592">
        <f>SUM('ketv. 4 '!U33)/1000+P5</f>
        <v>1929.5046400000001</v>
      </c>
      <c r="T5" s="593">
        <f t="shared" ref="T5:T29" si="7">SUM(R5-S5)</f>
        <v>2814521.1353600002</v>
      </c>
      <c r="U5" s="603">
        <f>SUM('3 pr-(5-6)'!I38)</f>
        <v>2816450.64</v>
      </c>
      <c r="V5" s="606">
        <f t="shared" si="0"/>
        <v>1929.5046400000001</v>
      </c>
      <c r="W5" s="1244">
        <f t="shared" ref="W5:W29" si="8">SUM(U5-V5)</f>
        <v>2814521.1353600002</v>
      </c>
      <c r="X5" s="1245">
        <v>2816452</v>
      </c>
      <c r="Y5" s="1243">
        <f t="shared" si="1"/>
        <v>1.3599999998696148</v>
      </c>
      <c r="Z5" s="1243">
        <f>SUM('3 pr-2'!AE33)</f>
        <v>0</v>
      </c>
      <c r="AA5" s="1243">
        <f t="shared" ref="AA5:AA29" si="9">SUM(Y5+Z5)</f>
        <v>1.3599999998696148</v>
      </c>
    </row>
    <row r="6" spans="1:29" ht="17.25" thickTop="1" thickBot="1">
      <c r="A6" s="590" t="s">
        <v>145</v>
      </c>
      <c r="B6" s="590" t="s">
        <v>374</v>
      </c>
      <c r="C6" s="591">
        <f>SUM('3 pr-(5-6)'!C39)</f>
        <v>0</v>
      </c>
      <c r="D6" s="592">
        <v>0</v>
      </c>
      <c r="E6" s="593">
        <f t="shared" si="2"/>
        <v>0</v>
      </c>
      <c r="F6" s="591">
        <f>SUM('3 pr-(5-6)'!D39)</f>
        <v>1289301.81</v>
      </c>
      <c r="G6" s="592">
        <f>SUM('ketv. 4 '!Q39)/1000</f>
        <v>1289.3018100000002</v>
      </c>
      <c r="H6" s="593">
        <f t="shared" si="3"/>
        <v>1288012.50819</v>
      </c>
      <c r="I6" s="591">
        <f>SUM('3 pr-(5-6)'!G39)</f>
        <v>3697299.46</v>
      </c>
      <c r="J6" s="592">
        <f>SUM('ketv. 4 '!R39)/1000+G6</f>
        <v>1974.6718100000003</v>
      </c>
      <c r="K6" s="593">
        <f t="shared" si="4"/>
        <v>3695324.7881899998</v>
      </c>
      <c r="L6" s="591">
        <f>SUM('3 pr-(5-6)'!F39)</f>
        <v>3697299.46</v>
      </c>
      <c r="M6" s="592">
        <f>SUM('ketv. 4 '!S39)/1000+J6</f>
        <v>3285.5104000000001</v>
      </c>
      <c r="N6" s="593">
        <f t="shared" si="5"/>
        <v>3694013.9495999999</v>
      </c>
      <c r="O6" s="591">
        <f>SUM('3 pr-(5-6)'!G39)</f>
        <v>3697299.46</v>
      </c>
      <c r="P6" s="592">
        <f>SUM('ketv. 4 '!T39)/1000+M6</f>
        <v>3285.5104000000001</v>
      </c>
      <c r="Q6" s="593">
        <f t="shared" si="6"/>
        <v>3694013.9495999999</v>
      </c>
      <c r="R6" s="591">
        <f>SUM('3 pr-(5-6)'!H39)</f>
        <v>3697299.46</v>
      </c>
      <c r="S6" s="592">
        <f>SUM('ketv. 4 '!U39)/1000+P6</f>
        <v>3285.5104000000001</v>
      </c>
      <c r="T6" s="593">
        <f t="shared" si="7"/>
        <v>3694013.9495999999</v>
      </c>
      <c r="U6" s="603">
        <f>SUM('3 pr-(5-6)'!I39)</f>
        <v>3697299.46</v>
      </c>
      <c r="V6" s="606">
        <f t="shared" si="0"/>
        <v>3285.5104000000001</v>
      </c>
      <c r="W6" s="1244">
        <f t="shared" si="8"/>
        <v>3694013.9495999999</v>
      </c>
      <c r="X6" s="1245">
        <v>3697302</v>
      </c>
      <c r="Y6" s="1243">
        <f t="shared" si="1"/>
        <v>2.5400000000372529</v>
      </c>
      <c r="Z6" s="1243">
        <f>SUM('3 pr-2'!AE39)</f>
        <v>284979.5399999998</v>
      </c>
      <c r="AA6" s="1243">
        <f t="shared" si="9"/>
        <v>284982.07999999984</v>
      </c>
    </row>
    <row r="7" spans="1:29" ht="17.25" thickTop="1" thickBot="1">
      <c r="A7" s="590" t="s">
        <v>267</v>
      </c>
      <c r="B7" s="590" t="s">
        <v>252</v>
      </c>
      <c r="C7" s="591">
        <f>SUM('3 pr-(5-6)'!C40)</f>
        <v>0</v>
      </c>
      <c r="D7" s="592">
        <v>0</v>
      </c>
      <c r="E7" s="593">
        <f t="shared" si="2"/>
        <v>0</v>
      </c>
      <c r="F7" s="591">
        <f>SUM('3 pr-(5-6)'!D40)</f>
        <v>575484.89</v>
      </c>
      <c r="G7" s="592">
        <f>SUM('ketv. 4 '!Q48+'ketv. 4 '!Q49)/1000</f>
        <v>575.48489000000006</v>
      </c>
      <c r="H7" s="593">
        <f t="shared" si="3"/>
        <v>574909.40511000005</v>
      </c>
      <c r="I7" s="591">
        <f>SUM('3 pr-(5-6)'!G40)</f>
        <v>575484.89</v>
      </c>
      <c r="J7" s="592">
        <f>SUM('ketv. 4 '!R48+'ketv. 4 '!R49)/1000+G7</f>
        <v>575.48489000000006</v>
      </c>
      <c r="K7" s="593">
        <f t="shared" si="4"/>
        <v>574909.40511000005</v>
      </c>
      <c r="L7" s="591">
        <f>SUM('3 pr-(5-6)'!F40)</f>
        <v>575484.89</v>
      </c>
      <c r="M7" s="592">
        <f>SUM('ketv. 4 '!S48+'ketv. 4 '!S49)/1000+J7</f>
        <v>575.48489000000006</v>
      </c>
      <c r="N7" s="593">
        <f t="shared" si="5"/>
        <v>574909.40511000005</v>
      </c>
      <c r="O7" s="591">
        <f>SUM('3 pr-(5-6)'!G40)</f>
        <v>575484.89</v>
      </c>
      <c r="P7" s="592">
        <f>SUM('ketv. 4 '!T48+'ketv. 4 '!T49)/1000+M7</f>
        <v>575.48489000000006</v>
      </c>
      <c r="Q7" s="593">
        <f t="shared" si="6"/>
        <v>574909.40511000005</v>
      </c>
      <c r="R7" s="591">
        <f>SUM('3 pr-(5-6)'!H40)</f>
        <v>575484.89</v>
      </c>
      <c r="S7" s="592">
        <f>SUM('ketv. 4 '!U48+'ketv. 4 '!U49)/1000+P7</f>
        <v>575.48489000000006</v>
      </c>
      <c r="T7" s="593">
        <f t="shared" si="7"/>
        <v>574909.40511000005</v>
      </c>
      <c r="U7" s="603">
        <f>SUM('3 pr-(5-6)'!I40)</f>
        <v>575484.89</v>
      </c>
      <c r="V7" s="606">
        <f t="shared" si="0"/>
        <v>575.48489000000006</v>
      </c>
      <c r="W7" s="1244">
        <f t="shared" si="8"/>
        <v>574909.40511000005</v>
      </c>
      <c r="X7" s="1245">
        <v>575485</v>
      </c>
      <c r="Y7" s="1243">
        <f t="shared" si="1"/>
        <v>0.10999999998603016</v>
      </c>
      <c r="Z7" s="1243">
        <f>SUM('3 pr-2'!AE48+'3 pr-2'!AE49)</f>
        <v>0</v>
      </c>
      <c r="AA7" s="1243">
        <f t="shared" si="9"/>
        <v>0.10999999998603016</v>
      </c>
    </row>
    <row r="8" spans="1:29" ht="17.25" thickTop="1" thickBot="1">
      <c r="A8" s="590" t="s">
        <v>178</v>
      </c>
      <c r="B8" s="590" t="s">
        <v>251</v>
      </c>
      <c r="C8" s="591">
        <f>SUM('3 pr-(5-6)'!C41)</f>
        <v>0</v>
      </c>
      <c r="D8" s="592">
        <v>0</v>
      </c>
      <c r="E8" s="593">
        <f t="shared" si="2"/>
        <v>0</v>
      </c>
      <c r="F8" s="591">
        <f>SUM('3 pr-(5-6)'!D41)</f>
        <v>1093151.6300000001</v>
      </c>
      <c r="G8" s="592">
        <f>SUM('ketv. 4 '!Q47)/1000</f>
        <v>0</v>
      </c>
      <c r="H8" s="593">
        <f t="shared" si="3"/>
        <v>1093151.6300000001</v>
      </c>
      <c r="I8" s="591">
        <f>SUM('3 pr-(5-6)'!G41)</f>
        <v>1093151.6300000001</v>
      </c>
      <c r="J8" s="592">
        <f>SUM('ketv. 4 '!R47)/1000+G8</f>
        <v>1093.1516300000001</v>
      </c>
      <c r="K8" s="593">
        <f t="shared" si="4"/>
        <v>1092058.4783700001</v>
      </c>
      <c r="L8" s="591">
        <f>SUM('3 pr-(5-6)'!F41)</f>
        <v>1093151.6300000001</v>
      </c>
      <c r="M8" s="592">
        <f>SUM('ketv. 4 '!S47)/1000+J8</f>
        <v>1093.1516300000001</v>
      </c>
      <c r="N8" s="593">
        <f t="shared" si="5"/>
        <v>1092058.4783700001</v>
      </c>
      <c r="O8" s="591">
        <f>SUM('3 pr-(5-6)'!G41)</f>
        <v>1093151.6300000001</v>
      </c>
      <c r="P8" s="592">
        <f>SUM('ketv. 4 '!T47)/1000+M8</f>
        <v>1093.1516300000001</v>
      </c>
      <c r="Q8" s="593">
        <f t="shared" si="6"/>
        <v>1092058.4783700001</v>
      </c>
      <c r="R8" s="591">
        <f>SUM('3 pr-(5-6)'!H41)</f>
        <v>1093151.6300000001</v>
      </c>
      <c r="S8" s="592">
        <f>SUM('ketv. 4 '!U47)/1000+P8</f>
        <v>1093.1516300000001</v>
      </c>
      <c r="T8" s="593">
        <f t="shared" si="7"/>
        <v>1092058.4783700001</v>
      </c>
      <c r="U8" s="603">
        <f>SUM('3 pr-(5-6)'!I41)</f>
        <v>1093151.6300000001</v>
      </c>
      <c r="V8" s="606">
        <f t="shared" si="0"/>
        <v>1093.1516300000001</v>
      </c>
      <c r="W8" s="1244">
        <f t="shared" si="8"/>
        <v>1092058.4783700001</v>
      </c>
      <c r="X8" s="1245">
        <v>1099672.68</v>
      </c>
      <c r="Y8" s="1243">
        <f t="shared" si="1"/>
        <v>6521.0499999998137</v>
      </c>
      <c r="Z8" s="1243">
        <f>SUM('3 pr-2'!AE47)</f>
        <v>0</v>
      </c>
      <c r="AA8" s="1243">
        <f t="shared" si="9"/>
        <v>6521.0499999998137</v>
      </c>
    </row>
    <row r="9" spans="1:29" ht="33" thickTop="1" thickBot="1">
      <c r="A9" s="590" t="s">
        <v>144</v>
      </c>
      <c r="B9" s="590" t="s">
        <v>375</v>
      </c>
      <c r="C9" s="591">
        <f>SUM('3 pr-(5-6)'!C42)</f>
        <v>0</v>
      </c>
      <c r="D9" s="592">
        <v>0</v>
      </c>
      <c r="E9" s="593">
        <f t="shared" si="2"/>
        <v>0</v>
      </c>
      <c r="F9" s="591">
        <f>SUM('3 pr-(5-6)'!D42)</f>
        <v>0</v>
      </c>
      <c r="G9" s="592">
        <f>SUM('ketv. 4 '!Q50)/1000</f>
        <v>2696.9843100000003</v>
      </c>
      <c r="H9" s="593">
        <f t="shared" si="3"/>
        <v>-2696.9843100000003</v>
      </c>
      <c r="I9" s="591">
        <f>SUM('3 pr-(5-6)'!G42)</f>
        <v>8901964.3000000007</v>
      </c>
      <c r="J9" s="592">
        <f>SUM('ketv. 4 '!R50)/1000+G9</f>
        <v>7981.4893000000011</v>
      </c>
      <c r="K9" s="593">
        <f t="shared" si="4"/>
        <v>8893982.8107000012</v>
      </c>
      <c r="L9" s="591">
        <f>SUM('3 pr-(5-6)'!F42)</f>
        <v>8901964.3000000007</v>
      </c>
      <c r="M9" s="592">
        <f>SUM('ketv. 4 '!S50)/1000+J9</f>
        <v>8901.9643000000015</v>
      </c>
      <c r="N9" s="593">
        <f t="shared" si="5"/>
        <v>8893062.3357000016</v>
      </c>
      <c r="O9" s="591">
        <f>SUM('3 pr-(5-6)'!G42)</f>
        <v>8901964.3000000007</v>
      </c>
      <c r="P9" s="592">
        <f>SUM('ketv. 4 '!T50)/1000+M9</f>
        <v>8901.9643000000015</v>
      </c>
      <c r="Q9" s="593">
        <f t="shared" si="6"/>
        <v>8893062.3357000016</v>
      </c>
      <c r="R9" s="591">
        <f>SUM('3 pr-(5-6)'!H42)</f>
        <v>8901964.3000000007</v>
      </c>
      <c r="S9" s="592">
        <f>SUM('ketv. 4 '!U50)/1000+P9</f>
        <v>8901.9643000000015</v>
      </c>
      <c r="T9" s="593">
        <f t="shared" si="7"/>
        <v>8893062.3357000016</v>
      </c>
      <c r="U9" s="603">
        <f>SUM('3 pr-(5-6)'!I42)</f>
        <v>8901964.3000000007</v>
      </c>
      <c r="V9" s="606">
        <f t="shared" si="0"/>
        <v>8901.9643000000015</v>
      </c>
      <c r="W9" s="1244">
        <f t="shared" si="8"/>
        <v>8893062.3357000016</v>
      </c>
      <c r="X9" s="1245">
        <v>8810673.5999999996</v>
      </c>
      <c r="Y9" s="1246">
        <f t="shared" si="1"/>
        <v>-91290.700000001118</v>
      </c>
      <c r="Z9" s="1246">
        <f>SUM('3 pr-2'!AE50)</f>
        <v>103719.06000000006</v>
      </c>
      <c r="AA9" s="1243">
        <f t="shared" si="9"/>
        <v>12428.359999998938</v>
      </c>
      <c r="AC9" s="233"/>
    </row>
    <row r="10" spans="1:29" ht="17.25" thickTop="1" thickBot="1">
      <c r="A10" s="590" t="s">
        <v>179</v>
      </c>
      <c r="B10" s="590" t="s">
        <v>253</v>
      </c>
      <c r="C10" s="591">
        <f>SUM('3 pr-(5-6)'!C43)</f>
        <v>0</v>
      </c>
      <c r="D10" s="592">
        <v>0</v>
      </c>
      <c r="E10" s="593">
        <f t="shared" si="2"/>
        <v>0</v>
      </c>
      <c r="F10" s="591">
        <f>SUM('3 pr-(5-6)'!D43)</f>
        <v>0</v>
      </c>
      <c r="G10" s="592">
        <f>SUM('ketv. 4 '!Q57)/1000</f>
        <v>0</v>
      </c>
      <c r="H10" s="593">
        <f t="shared" si="3"/>
        <v>0</v>
      </c>
      <c r="I10" s="591">
        <f>SUM('3 pr-(5-6)'!G43)</f>
        <v>3392312.19</v>
      </c>
      <c r="J10" s="592">
        <f>SUM('ketv. 4 '!R56)/1000+G10</f>
        <v>3392.3121900000001</v>
      </c>
      <c r="K10" s="593">
        <f t="shared" si="4"/>
        <v>3388919.87781</v>
      </c>
      <c r="L10" s="591">
        <f>SUM('3 pr-(5-6)'!F43)</f>
        <v>3392312.19</v>
      </c>
      <c r="M10" s="592">
        <f>SUM('ketv. 4 '!S56)/1000+J10</f>
        <v>3392.3121900000001</v>
      </c>
      <c r="N10" s="593">
        <f t="shared" si="5"/>
        <v>3388919.87781</v>
      </c>
      <c r="O10" s="591">
        <f>SUM('3 pr-(5-6)'!G43)</f>
        <v>3392312.19</v>
      </c>
      <c r="P10" s="592">
        <f>SUM('ketv. 4 '!T56)/1000+M10</f>
        <v>3392.3121900000001</v>
      </c>
      <c r="Q10" s="593">
        <f t="shared" si="6"/>
        <v>3388919.87781</v>
      </c>
      <c r="R10" s="591">
        <f>SUM('3 pr-(5-6)'!H43)</f>
        <v>3392312.19</v>
      </c>
      <c r="S10" s="592">
        <f>SUM('ketv. 4 '!U56)/1000+P10</f>
        <v>3392.3121900000001</v>
      </c>
      <c r="T10" s="593">
        <f t="shared" si="7"/>
        <v>3388919.87781</v>
      </c>
      <c r="U10" s="603">
        <f>SUM('3 pr-(5-6)'!I43)</f>
        <v>3392312.19</v>
      </c>
      <c r="V10" s="606">
        <f t="shared" si="0"/>
        <v>3392.3121900000001</v>
      </c>
      <c r="W10" s="1244">
        <f t="shared" si="8"/>
        <v>3388919.87781</v>
      </c>
      <c r="X10" s="1245">
        <v>3399493.48</v>
      </c>
      <c r="Y10" s="1246">
        <f t="shared" si="1"/>
        <v>7181.2900000000373</v>
      </c>
      <c r="Z10" s="1246">
        <f>SUM('3 pr-2'!AE56)</f>
        <v>0</v>
      </c>
      <c r="AA10" s="1243">
        <f t="shared" si="9"/>
        <v>7181.2900000000373</v>
      </c>
    </row>
    <row r="11" spans="1:29" ht="33" thickTop="1" thickBot="1">
      <c r="A11" s="590" t="s">
        <v>761</v>
      </c>
      <c r="B11" s="590" t="s">
        <v>133</v>
      </c>
      <c r="C11" s="591">
        <f>SUM('3 pr-(5-6)'!C44)</f>
        <v>0</v>
      </c>
      <c r="D11" s="592">
        <v>0</v>
      </c>
      <c r="E11" s="593">
        <f t="shared" si="2"/>
        <v>0</v>
      </c>
      <c r="F11" s="591">
        <f>SUM('3 pr-(5-6)'!D44)</f>
        <v>0</v>
      </c>
      <c r="G11" s="592">
        <f>SUM('ketv. 4 '!Q58)+D11</f>
        <v>0</v>
      </c>
      <c r="H11" s="593">
        <f t="shared" si="3"/>
        <v>0</v>
      </c>
      <c r="I11" s="591">
        <f>SUM('3 pr-(5-6)'!G44)</f>
        <v>611420</v>
      </c>
      <c r="J11" s="592">
        <f>SUM('ketv. 4 '!R58)/1000+G11</f>
        <v>421.88009999999997</v>
      </c>
      <c r="K11" s="593">
        <f t="shared" si="4"/>
        <v>610998.11990000005</v>
      </c>
      <c r="L11" s="591">
        <f>SUM('3 pr-(5-6)'!F44)</f>
        <v>421880.1</v>
      </c>
      <c r="M11" s="592">
        <f>SUM('ketv. 4 '!S58)/1000+J11</f>
        <v>421.88009999999997</v>
      </c>
      <c r="N11" s="593">
        <f t="shared" si="5"/>
        <v>421458.21989999997</v>
      </c>
      <c r="O11" s="591">
        <f>SUM('3 pr-(5-6)'!G44)</f>
        <v>611420</v>
      </c>
      <c r="P11" s="592">
        <f>SUM('ketv. 4 '!T58)/1000+M11</f>
        <v>421.88009999999997</v>
      </c>
      <c r="Q11" s="593">
        <f t="shared" si="6"/>
        <v>610998.11990000005</v>
      </c>
      <c r="R11" s="591">
        <f>SUM('3 pr-(5-6)'!H44)</f>
        <v>611420</v>
      </c>
      <c r="S11" s="592">
        <f>SUM('ketv. 4 '!U58)/1000+P11</f>
        <v>421.88009999999997</v>
      </c>
      <c r="T11" s="593">
        <f t="shared" si="7"/>
        <v>610998.11990000005</v>
      </c>
      <c r="U11" s="603">
        <f>SUM('3 pr-(5-6)'!I44)</f>
        <v>611420</v>
      </c>
      <c r="V11" s="606">
        <f t="shared" si="0"/>
        <v>421.88009999999997</v>
      </c>
      <c r="W11" s="1244">
        <f t="shared" si="8"/>
        <v>610998.11990000005</v>
      </c>
      <c r="X11" s="1245">
        <v>611420</v>
      </c>
      <c r="Y11" s="1246">
        <f t="shared" si="1"/>
        <v>0</v>
      </c>
      <c r="Z11" s="1246">
        <f>SUM('3 pr-2'!AE58)</f>
        <v>0</v>
      </c>
      <c r="AA11" s="1243">
        <f t="shared" si="9"/>
        <v>0</v>
      </c>
    </row>
    <row r="12" spans="1:29" ht="17.25" thickTop="1" thickBot="1">
      <c r="A12" s="590" t="s">
        <v>143</v>
      </c>
      <c r="B12" s="590" t="s">
        <v>254</v>
      </c>
      <c r="C12" s="591">
        <f>SUM('3 pr-(5-6)'!C45)</f>
        <v>0</v>
      </c>
      <c r="D12" s="592">
        <v>0</v>
      </c>
      <c r="E12" s="593">
        <f t="shared" si="2"/>
        <v>0</v>
      </c>
      <c r="F12" s="591">
        <f>SUM('3 pr-(5-6)'!D45)</f>
        <v>0</v>
      </c>
      <c r="G12" s="592">
        <f>SUM('ketv. 4 '!Q62)+D12</f>
        <v>0</v>
      </c>
      <c r="H12" s="593">
        <f t="shared" si="3"/>
        <v>0</v>
      </c>
      <c r="I12" s="591">
        <f>SUM('3 pr-(5-6)'!G45)</f>
        <v>1198163.7</v>
      </c>
      <c r="J12" s="592">
        <f>SUM('ketv. 4 '!R62)/1000+G12</f>
        <v>898.62270000000001</v>
      </c>
      <c r="K12" s="593">
        <f t="shared" si="4"/>
        <v>1197265.0773</v>
      </c>
      <c r="L12" s="591">
        <f>SUM('3 pr-(5-6)'!F45)</f>
        <v>1198163.7</v>
      </c>
      <c r="M12" s="592">
        <f>SUM('ketv. 4 '!S62)/1000+J12</f>
        <v>1198.1637000000001</v>
      </c>
      <c r="N12" s="593">
        <f t="shared" si="5"/>
        <v>1196965.5363</v>
      </c>
      <c r="O12" s="591">
        <f>SUM('3 pr-(5-6)'!G45)</f>
        <v>1198163.7</v>
      </c>
      <c r="P12" s="592">
        <f>SUM('ketv. 4 '!T62)/1000+M12</f>
        <v>1198.1637000000001</v>
      </c>
      <c r="Q12" s="593">
        <f t="shared" si="6"/>
        <v>1196965.5363</v>
      </c>
      <c r="R12" s="591">
        <f>SUM('3 pr-(5-6)'!H45)</f>
        <v>1198163.7</v>
      </c>
      <c r="S12" s="592">
        <f>SUM('ketv. 4 '!U62)/1000+P12</f>
        <v>1198.1637000000001</v>
      </c>
      <c r="T12" s="593">
        <f t="shared" si="7"/>
        <v>1196965.5363</v>
      </c>
      <c r="U12" s="603">
        <f>SUM('3 pr-(5-6)'!I45)</f>
        <v>1198163.7</v>
      </c>
      <c r="V12" s="606">
        <f t="shared" si="0"/>
        <v>1198.1637000000001</v>
      </c>
      <c r="W12" s="1244">
        <f t="shared" si="8"/>
        <v>1196965.5363</v>
      </c>
      <c r="X12" s="1245">
        <v>1198165.51</v>
      </c>
      <c r="Y12" s="1246">
        <f t="shared" si="1"/>
        <v>1.8100000000558794</v>
      </c>
      <c r="Z12" s="1246">
        <f>SUM('3 pr-2'!AE62)</f>
        <v>0</v>
      </c>
      <c r="AA12" s="1243">
        <f t="shared" si="9"/>
        <v>1.8100000000558794</v>
      </c>
    </row>
    <row r="13" spans="1:29" ht="17.25" thickTop="1" thickBot="1">
      <c r="A13" s="590" t="s">
        <v>182</v>
      </c>
      <c r="B13" s="590" t="s">
        <v>255</v>
      </c>
      <c r="C13" s="591">
        <f>SUM('3 pr-(5-6)'!C46)</f>
        <v>0</v>
      </c>
      <c r="D13" s="592">
        <v>0</v>
      </c>
      <c r="E13" s="593">
        <f t="shared" si="2"/>
        <v>0</v>
      </c>
      <c r="F13" s="591">
        <f>SUM('3 pr-(5-6)'!D46)</f>
        <v>0</v>
      </c>
      <c r="G13" s="592">
        <f>SUM('ketv. 4 '!Q67)+D13</f>
        <v>0</v>
      </c>
      <c r="H13" s="593">
        <f t="shared" si="3"/>
        <v>0</v>
      </c>
      <c r="I13" s="591">
        <f>SUM('3 pr-(5-6)'!G46)</f>
        <v>1023865.66</v>
      </c>
      <c r="J13" s="592">
        <f>SUM('ketv. 4 '!R67)/1000+G13</f>
        <v>0</v>
      </c>
      <c r="K13" s="593">
        <f t="shared" si="4"/>
        <v>1023865.66</v>
      </c>
      <c r="L13" s="591">
        <f>SUM('3 pr-(5-6)'!F46)</f>
        <v>1023865.66</v>
      </c>
      <c r="M13" s="592">
        <f>SUM('ketv. 4 '!S67)/1000+J13</f>
        <v>1023.86566</v>
      </c>
      <c r="N13" s="593">
        <f t="shared" si="5"/>
        <v>1022841.79434</v>
      </c>
      <c r="O13" s="591">
        <f>SUM('3 pr-(5-6)'!G46)</f>
        <v>1023865.66</v>
      </c>
      <c r="P13" s="592">
        <f>SUM('ketv. 4 '!T67)/1000+M13</f>
        <v>1023.86566</v>
      </c>
      <c r="Q13" s="593">
        <f t="shared" si="6"/>
        <v>1022841.79434</v>
      </c>
      <c r="R13" s="591">
        <f>SUM('3 pr-(5-6)'!H46)</f>
        <v>1023865.66</v>
      </c>
      <c r="S13" s="592">
        <f>SUM('ketv. 4 '!U67)/1000+P13</f>
        <v>1023.86566</v>
      </c>
      <c r="T13" s="593">
        <f t="shared" si="7"/>
        <v>1022841.79434</v>
      </c>
      <c r="U13" s="603">
        <f>SUM('3 pr-(5-6)'!I46)</f>
        <v>1023865.66</v>
      </c>
      <c r="V13" s="606">
        <f t="shared" si="0"/>
        <v>1023.86566</v>
      </c>
      <c r="W13" s="1244">
        <f t="shared" si="8"/>
        <v>1022841.79434</v>
      </c>
      <c r="X13" s="1245">
        <v>1030281.61</v>
      </c>
      <c r="Y13" s="1246">
        <f t="shared" ref="Y13:Y29" si="10">SUM(X13-U13)</f>
        <v>6415.9499999999534</v>
      </c>
      <c r="Z13" s="1246">
        <f>SUM('3 pr-2'!AE67)</f>
        <v>32141.279999999999</v>
      </c>
      <c r="AA13" s="1243">
        <f t="shared" si="9"/>
        <v>38557.229999999952</v>
      </c>
    </row>
    <row r="14" spans="1:29" ht="33" thickTop="1" thickBot="1">
      <c r="A14" s="590" t="s">
        <v>135</v>
      </c>
      <c r="B14" s="590" t="s">
        <v>256</v>
      </c>
      <c r="C14" s="591">
        <f>SUM('3 pr-(5-6)'!C47)</f>
        <v>0</v>
      </c>
      <c r="D14" s="592">
        <v>0</v>
      </c>
      <c r="E14" s="593">
        <f t="shared" si="2"/>
        <v>0</v>
      </c>
      <c r="F14" s="591">
        <f>SUM('3 pr-(5-6)'!D47)</f>
        <v>0</v>
      </c>
      <c r="G14" s="592">
        <f>SUM('ketv. 4 '!Q74)/1000+D14</f>
        <v>0</v>
      </c>
      <c r="H14" s="593">
        <f t="shared" si="3"/>
        <v>0</v>
      </c>
      <c r="I14" s="591">
        <f>SUM('3 pr-(5-6)'!G47)</f>
        <v>1263272</v>
      </c>
      <c r="J14" s="592">
        <f>SUM('ketv. 4 '!R74)/1000+G14</f>
        <v>0</v>
      </c>
      <c r="K14" s="593">
        <f t="shared" si="4"/>
        <v>1263272</v>
      </c>
      <c r="L14" s="591">
        <f>SUM('3 pr-(5-6)'!F47)</f>
        <v>640846</v>
      </c>
      <c r="M14" s="592">
        <f>SUM('ketv. 4 '!S74)/1000+J14</f>
        <v>0</v>
      </c>
      <c r="N14" s="593">
        <f t="shared" si="5"/>
        <v>640846</v>
      </c>
      <c r="O14" s="591">
        <f>SUM('3 pr-(5-6)'!G47)</f>
        <v>1263272</v>
      </c>
      <c r="P14" s="592">
        <f>SUM('ketv. 4 '!T74)/1000+M14</f>
        <v>640.846</v>
      </c>
      <c r="Q14" s="593">
        <f t="shared" si="6"/>
        <v>1262631.1540000001</v>
      </c>
      <c r="R14" s="591">
        <f>SUM('3 pr-(5-6)'!H47)</f>
        <v>1263272</v>
      </c>
      <c r="S14" s="592">
        <f>SUM('ketv. 4 '!U74)/1000+P14</f>
        <v>640.846</v>
      </c>
      <c r="T14" s="593">
        <f t="shared" si="7"/>
        <v>1262631.1540000001</v>
      </c>
      <c r="U14" s="603">
        <f>SUM('3 pr-(5-6)'!I47)</f>
        <v>1263272</v>
      </c>
      <c r="V14" s="606">
        <f t="shared" si="0"/>
        <v>640.846</v>
      </c>
      <c r="W14" s="1244">
        <f t="shared" si="8"/>
        <v>1262631.1540000001</v>
      </c>
      <c r="X14" s="1245">
        <v>1263272</v>
      </c>
      <c r="Y14" s="1246">
        <f t="shared" si="10"/>
        <v>0</v>
      </c>
      <c r="Z14" s="1246">
        <f>SUM('3 pr-2'!AE74)</f>
        <v>37862</v>
      </c>
      <c r="AA14" s="1243">
        <f t="shared" si="9"/>
        <v>37862</v>
      </c>
    </row>
    <row r="15" spans="1:29" ht="26.25" customHeight="1" thickTop="1" thickBot="1">
      <c r="A15" s="590" t="s">
        <v>147</v>
      </c>
      <c r="B15" s="590" t="s">
        <v>257</v>
      </c>
      <c r="C15" s="591">
        <f>SUM('3 pr-(5-6)'!C48)</f>
        <v>0</v>
      </c>
      <c r="D15" s="592">
        <v>0</v>
      </c>
      <c r="E15" s="593">
        <f t="shared" si="2"/>
        <v>0</v>
      </c>
      <c r="F15" s="591">
        <f>SUM('3 pr-(5-6)'!D48)</f>
        <v>0</v>
      </c>
      <c r="G15" s="592">
        <f>SUM('ketv. 4 '!Q80+'ketv. 4 '!Q82)/1000+D15</f>
        <v>0</v>
      </c>
      <c r="H15" s="593">
        <f t="shared" si="3"/>
        <v>0</v>
      </c>
      <c r="I15" s="591">
        <f>SUM('3 pr-(5-6)'!G48)</f>
        <v>1567659.8</v>
      </c>
      <c r="J15" s="592">
        <f>SUM('ketv. 4 '!R80+'ketv. 4 '!R82)/1000+G15</f>
        <v>0</v>
      </c>
      <c r="K15" s="593">
        <f t="shared" si="4"/>
        <v>1567659.8</v>
      </c>
      <c r="L15" s="591">
        <f>SUM('3 pr-(5-6)'!F48)</f>
        <v>0</v>
      </c>
      <c r="M15" s="592">
        <f>SUM('ketv. 4 '!S80+'ketv. 4 '!S82)/1000+J15</f>
        <v>0</v>
      </c>
      <c r="N15" s="593">
        <f t="shared" si="5"/>
        <v>0</v>
      </c>
      <c r="O15" s="591">
        <f>SUM('3 pr-(5-6)'!G48)</f>
        <v>1567659.8</v>
      </c>
      <c r="P15" s="592">
        <f>SUM('ketv. 4 '!T80+'ketv. 4 '!T82)/1000+M15</f>
        <v>0</v>
      </c>
      <c r="Q15" s="593">
        <f t="shared" si="6"/>
        <v>1567659.8</v>
      </c>
      <c r="R15" s="591">
        <f>SUM('3 pr-(5-6)'!H48)</f>
        <v>1567659.8</v>
      </c>
      <c r="S15" s="592">
        <f>SUM('ketv. 4 '!U80+'ketv. 4 '!U82)/1000+P15</f>
        <v>0</v>
      </c>
      <c r="T15" s="593">
        <f t="shared" si="7"/>
        <v>1567659.8</v>
      </c>
      <c r="U15" s="603">
        <f>SUM('3 pr-(5-6)'!I48)</f>
        <v>1567659.8</v>
      </c>
      <c r="V15" s="606">
        <f t="shared" si="0"/>
        <v>0</v>
      </c>
      <c r="W15" s="1244">
        <f t="shared" si="8"/>
        <v>1567659.8</v>
      </c>
      <c r="X15" s="1245">
        <v>1567660</v>
      </c>
      <c r="Y15" s="1246">
        <f t="shared" si="10"/>
        <v>0.19999999995343387</v>
      </c>
      <c r="Z15" s="1246">
        <f>SUM('3 pr-2'!AE80+'3 pr-2'!AE82)</f>
        <v>0</v>
      </c>
      <c r="AA15" s="1243">
        <f t="shared" si="9"/>
        <v>0.19999999995343387</v>
      </c>
    </row>
    <row r="16" spans="1:29" ht="17.25" thickTop="1" thickBot="1">
      <c r="A16" s="590" t="s">
        <v>269</v>
      </c>
      <c r="B16" s="590" t="s">
        <v>273</v>
      </c>
      <c r="C16" s="591">
        <f>SUM('3 pr-(5-6)'!C49)</f>
        <v>0</v>
      </c>
      <c r="D16" s="592">
        <v>0</v>
      </c>
      <c r="E16" s="593">
        <f t="shared" si="2"/>
        <v>0</v>
      </c>
      <c r="F16" s="591">
        <f>SUM('3 pr-(5-6)'!D49)</f>
        <v>0</v>
      </c>
      <c r="G16" s="592">
        <f>SUM('ketv. 4 '!Q81+'ketv. 4 '!Q83)/1000+D16</f>
        <v>0</v>
      </c>
      <c r="H16" s="593">
        <f t="shared" si="3"/>
        <v>0</v>
      </c>
      <c r="I16" s="591">
        <f>SUM('3 pr-(5-6)'!G49)</f>
        <v>43042.3</v>
      </c>
      <c r="J16" s="592">
        <f>SUM('ketv. 4 '!R81+'ketv. 4 '!R83)/1000+G16</f>
        <v>43.042300000000004</v>
      </c>
      <c r="K16" s="593">
        <f t="shared" si="4"/>
        <v>42999.257700000002</v>
      </c>
      <c r="L16" s="591">
        <f>SUM('3 pr-(5-6)'!F49)</f>
        <v>43042.3</v>
      </c>
      <c r="M16" s="592">
        <f>SUM('ketv. 4 '!S81+'ketv. 4 '!S83)/1000+J16</f>
        <v>43.042300000000004</v>
      </c>
      <c r="N16" s="593">
        <f t="shared" si="5"/>
        <v>42999.257700000002</v>
      </c>
      <c r="O16" s="591">
        <f>SUM('3 pr-(5-6)'!G49)</f>
        <v>43042.3</v>
      </c>
      <c r="P16" s="592">
        <f>SUM('ketv. 4 '!T81+'ketv. 4 '!T83)/1000+M16</f>
        <v>43.042300000000004</v>
      </c>
      <c r="Q16" s="593">
        <f t="shared" si="6"/>
        <v>42999.257700000002</v>
      </c>
      <c r="R16" s="591">
        <f>SUM('3 pr-(5-6)'!H49)</f>
        <v>43042.3</v>
      </c>
      <c r="S16" s="592">
        <f>SUM('ketv. 4 '!U81+'ketv. 4 '!U83)/1000+P16</f>
        <v>43.042300000000004</v>
      </c>
      <c r="T16" s="593">
        <f t="shared" si="7"/>
        <v>42999.257700000002</v>
      </c>
      <c r="U16" s="603">
        <f>SUM('3 pr-(5-6)'!I49)</f>
        <v>43042.3</v>
      </c>
      <c r="V16" s="606">
        <f t="shared" si="0"/>
        <v>43.042300000000004</v>
      </c>
      <c r="W16" s="1244">
        <f t="shared" si="8"/>
        <v>42999.257700000002</v>
      </c>
      <c r="X16" s="1245">
        <v>63920</v>
      </c>
      <c r="Y16" s="1246">
        <f t="shared" si="10"/>
        <v>20877.699999999997</v>
      </c>
      <c r="Z16" s="1246">
        <f>SUM('3 pr-2'!AE81+'3 pr-2'!AE83)</f>
        <v>0</v>
      </c>
      <c r="AA16" s="1243">
        <f t="shared" si="9"/>
        <v>20877.699999999997</v>
      </c>
    </row>
    <row r="17" spans="1:27" ht="17.25" thickTop="1" thickBot="1">
      <c r="A17" s="590" t="s">
        <v>148</v>
      </c>
      <c r="B17" s="590" t="s">
        <v>258</v>
      </c>
      <c r="C17" s="591">
        <f>SUM('3 pr-(5-6)'!C50)</f>
        <v>0</v>
      </c>
      <c r="D17" s="592">
        <v>0</v>
      </c>
      <c r="E17" s="593">
        <f t="shared" si="2"/>
        <v>0</v>
      </c>
      <c r="F17" s="591">
        <f>SUM('3 pr-(5-6)'!D50)</f>
        <v>0</v>
      </c>
      <c r="G17" s="592">
        <f>SUM('ketv. 4 '!Q86)/1000+D17</f>
        <v>0</v>
      </c>
      <c r="H17" s="593">
        <f t="shared" si="3"/>
        <v>0</v>
      </c>
      <c r="I17" s="591">
        <f>SUM('3 pr-(5-6)'!G50)</f>
        <v>415660.69</v>
      </c>
      <c r="J17" s="592">
        <f>SUM('ketv. 4 '!R86)/1000+G17</f>
        <v>113.61955999999999</v>
      </c>
      <c r="K17" s="593">
        <f t="shared" si="4"/>
        <v>415547.07043999998</v>
      </c>
      <c r="L17" s="591">
        <f>SUM('3 pr-(5-6)'!F50)</f>
        <v>359037.69</v>
      </c>
      <c r="M17" s="592">
        <f>SUM('ketv. 4 '!S86)/1000+J17</f>
        <v>359.03769</v>
      </c>
      <c r="N17" s="593">
        <f t="shared" si="5"/>
        <v>358678.65230999998</v>
      </c>
      <c r="O17" s="591">
        <f>SUM('3 pr-(5-6)'!G50)</f>
        <v>415660.69</v>
      </c>
      <c r="P17" s="592">
        <f>SUM('ketv. 4 '!T86)/1000+M17</f>
        <v>359.03769</v>
      </c>
      <c r="Q17" s="593">
        <f t="shared" si="6"/>
        <v>415301.65230999998</v>
      </c>
      <c r="R17" s="591">
        <f>SUM('3 pr-(5-6)'!H50)</f>
        <v>415660.69</v>
      </c>
      <c r="S17" s="592">
        <f>SUM('ketv. 4 '!U86)/1000+P17</f>
        <v>359.03769</v>
      </c>
      <c r="T17" s="593">
        <f t="shared" si="7"/>
        <v>415301.65230999998</v>
      </c>
      <c r="U17" s="603">
        <f>SUM('3 pr-(5-6)'!I50)</f>
        <v>415660.69</v>
      </c>
      <c r="V17" s="606">
        <f t="shared" si="0"/>
        <v>359.03769</v>
      </c>
      <c r="W17" s="1244">
        <f t="shared" si="8"/>
        <v>415301.65230999998</v>
      </c>
      <c r="X17" s="1245">
        <v>415732</v>
      </c>
      <c r="Y17" s="1246">
        <f t="shared" si="10"/>
        <v>71.309999999997672</v>
      </c>
      <c r="Z17" s="1246">
        <f>SUM('3 pr-2'!AE86)</f>
        <v>7000.0000000000146</v>
      </c>
      <c r="AA17" s="1243">
        <f t="shared" si="9"/>
        <v>7071.3100000000122</v>
      </c>
    </row>
    <row r="18" spans="1:27" ht="17.25" thickTop="1" thickBot="1">
      <c r="A18" s="590" t="s">
        <v>141</v>
      </c>
      <c r="B18" s="590" t="s">
        <v>292</v>
      </c>
      <c r="C18" s="591">
        <f>SUM('3 pr-(5-6)'!C51)</f>
        <v>0</v>
      </c>
      <c r="D18" s="592">
        <v>0</v>
      </c>
      <c r="E18" s="593">
        <f t="shared" si="2"/>
        <v>0</v>
      </c>
      <c r="F18" s="591">
        <f>SUM('3 pr-(5-6)'!D51)</f>
        <v>0</v>
      </c>
      <c r="G18" s="592">
        <f>SUM('ketv. 4 '!Q92)/1000+D18</f>
        <v>0</v>
      </c>
      <c r="H18" s="593">
        <f t="shared" si="3"/>
        <v>0</v>
      </c>
      <c r="I18" s="591">
        <f>SUM('3 pr-(5-6)'!G51)</f>
        <v>3035532.7800000003</v>
      </c>
      <c r="J18" s="592">
        <f>SUM('ketv. 4 '!R92)/1000+G18</f>
        <v>1458.0820000000001</v>
      </c>
      <c r="K18" s="593">
        <f t="shared" si="4"/>
        <v>3034074.6980000003</v>
      </c>
      <c r="L18" s="591">
        <f>SUM('3 pr-(5-6)'!F51)</f>
        <v>2922543.7800000003</v>
      </c>
      <c r="M18" s="592">
        <f>SUM('ketv. 4 '!S92)/1000+J18</f>
        <v>2922.54378</v>
      </c>
      <c r="N18" s="593">
        <f t="shared" si="5"/>
        <v>2919621.2362200003</v>
      </c>
      <c r="O18" s="591">
        <f>SUM('3 pr-(5-6)'!G51)</f>
        <v>3035532.7800000003</v>
      </c>
      <c r="P18" s="592">
        <f>SUM('ketv. 4 '!T92)/1000+M18</f>
        <v>2922.54378</v>
      </c>
      <c r="Q18" s="593">
        <f t="shared" si="6"/>
        <v>3032610.2362200003</v>
      </c>
      <c r="R18" s="591">
        <f>SUM('3 pr-(5-6)'!H51)</f>
        <v>3035532.7800000003</v>
      </c>
      <c r="S18" s="592">
        <f>SUM('ketv. 4 '!U92)/1000+P18</f>
        <v>2922.54378</v>
      </c>
      <c r="T18" s="593">
        <f t="shared" si="7"/>
        <v>3032610.2362200003</v>
      </c>
      <c r="U18" s="603">
        <f>SUM('3 pr-(5-6)'!I51)</f>
        <v>3035532.7800000003</v>
      </c>
      <c r="V18" s="606">
        <f t="shared" si="0"/>
        <v>2922.54378</v>
      </c>
      <c r="W18" s="1244">
        <f t="shared" si="8"/>
        <v>3032610.2362200003</v>
      </c>
      <c r="X18" s="1245">
        <v>3052809</v>
      </c>
      <c r="Y18" s="1246">
        <f t="shared" si="10"/>
        <v>17276.219999999739</v>
      </c>
      <c r="Z18" s="1246">
        <f>SUM('3 pr-2'!AE92)</f>
        <v>38464.900000000023</v>
      </c>
      <c r="AA18" s="1243">
        <f t="shared" si="9"/>
        <v>55741.119999999763</v>
      </c>
    </row>
    <row r="19" spans="1:27" ht="17.25" thickTop="1" thickBot="1">
      <c r="A19" s="590" t="s">
        <v>136</v>
      </c>
      <c r="B19" s="590" t="s">
        <v>376</v>
      </c>
      <c r="C19" s="591">
        <f>SUM('3 pr-(5-6)'!C52)</f>
        <v>0</v>
      </c>
      <c r="D19" s="592">
        <v>0</v>
      </c>
      <c r="E19" s="593">
        <f t="shared" si="2"/>
        <v>0</v>
      </c>
      <c r="F19" s="591">
        <f>SUM('3 pr-(5-6)'!D52)</f>
        <v>0</v>
      </c>
      <c r="G19" s="592">
        <f>SUM('ketv. 4 '!Q102)/1000+D19</f>
        <v>0</v>
      </c>
      <c r="H19" s="593">
        <f t="shared" si="3"/>
        <v>0</v>
      </c>
      <c r="I19" s="591">
        <f>SUM('3 pr-(5-6)'!G52)</f>
        <v>1142377</v>
      </c>
      <c r="J19" s="592">
        <f>SUM('ketv. 4 '!R102)/1000+G19</f>
        <v>139.29499999999999</v>
      </c>
      <c r="K19" s="593">
        <f t="shared" si="4"/>
        <v>1142237.7050000001</v>
      </c>
      <c r="L19" s="591">
        <f>SUM('3 pr-(5-6)'!F52)</f>
        <v>1142377</v>
      </c>
      <c r="M19" s="592">
        <f>SUM('ketv. 4 '!S102)/1000+J19</f>
        <v>1142.377</v>
      </c>
      <c r="N19" s="593">
        <f t="shared" si="5"/>
        <v>1141234.6229999999</v>
      </c>
      <c r="O19" s="591">
        <f>SUM('3 pr-(5-6)'!G52)</f>
        <v>1142377</v>
      </c>
      <c r="P19" s="592">
        <f>SUM('ketv. 4 '!T102)/1000+M19</f>
        <v>1142.377</v>
      </c>
      <c r="Q19" s="593">
        <f t="shared" si="6"/>
        <v>1141234.6229999999</v>
      </c>
      <c r="R19" s="591">
        <f>SUM('3 pr-(5-6)'!H52)</f>
        <v>1142377</v>
      </c>
      <c r="S19" s="592">
        <f>SUM('ketv. 4 '!U102)/1000+P19</f>
        <v>1142.377</v>
      </c>
      <c r="T19" s="593">
        <f t="shared" si="7"/>
        <v>1141234.6229999999</v>
      </c>
      <c r="U19" s="603">
        <f>SUM('3 pr-(5-6)'!I52)</f>
        <v>1142377</v>
      </c>
      <c r="V19" s="606">
        <f t="shared" si="0"/>
        <v>1142.377</v>
      </c>
      <c r="W19" s="1244">
        <f t="shared" si="8"/>
        <v>1141234.6229999999</v>
      </c>
      <c r="X19" s="1245">
        <v>1142378</v>
      </c>
      <c r="Y19" s="1246">
        <f t="shared" si="10"/>
        <v>1</v>
      </c>
      <c r="Z19" s="1246">
        <f>SUM('3 pr-2'!AE102)</f>
        <v>0</v>
      </c>
      <c r="AA19" s="1243">
        <f t="shared" si="9"/>
        <v>1</v>
      </c>
    </row>
    <row r="20" spans="1:27" ht="17.25" thickTop="1" thickBot="1">
      <c r="A20" s="590" t="s">
        <v>139</v>
      </c>
      <c r="B20" s="590" t="s">
        <v>259</v>
      </c>
      <c r="C20" s="591">
        <f>SUM('3 pr-(5-6)'!C53)</f>
        <v>0</v>
      </c>
      <c r="D20" s="592">
        <v>0</v>
      </c>
      <c r="E20" s="593">
        <f t="shared" si="2"/>
        <v>0</v>
      </c>
      <c r="F20" s="591">
        <f>SUM('3 pr-(5-6)'!D53)</f>
        <v>0</v>
      </c>
      <c r="G20" s="592">
        <f>SUM('ketv. 4 '!Q108)/1000+D20</f>
        <v>0</v>
      </c>
      <c r="H20" s="593">
        <f t="shared" si="3"/>
        <v>0</v>
      </c>
      <c r="I20" s="591">
        <f>SUM('3 pr-(5-6)'!G53)</f>
        <v>1486007</v>
      </c>
      <c r="J20" s="592">
        <f>SUM('ketv. 4 '!R108)/1000+G20</f>
        <v>611.625</v>
      </c>
      <c r="K20" s="593">
        <f t="shared" si="4"/>
        <v>1485395.375</v>
      </c>
      <c r="L20" s="591">
        <f>SUM('3 pr-(5-6)'!F53)</f>
        <v>1486007</v>
      </c>
      <c r="M20" s="592">
        <f>SUM('ketv. 4 '!S108)/1000+J20</f>
        <v>1486.0070000000001</v>
      </c>
      <c r="N20" s="593">
        <f t="shared" si="5"/>
        <v>1484520.993</v>
      </c>
      <c r="O20" s="591">
        <f>SUM('3 pr-(5-6)'!G53)</f>
        <v>1486007</v>
      </c>
      <c r="P20" s="592">
        <f>SUM('ketv. 4 '!T108)/1000+M20</f>
        <v>1486.0070000000001</v>
      </c>
      <c r="Q20" s="593">
        <f t="shared" si="6"/>
        <v>1484520.993</v>
      </c>
      <c r="R20" s="591">
        <f>SUM('3 pr-(5-6)'!H53)</f>
        <v>1486007</v>
      </c>
      <c r="S20" s="592">
        <f>SUM('ketv. 4 '!U108)/1000+P20</f>
        <v>1486.0070000000001</v>
      </c>
      <c r="T20" s="593">
        <f t="shared" si="7"/>
        <v>1484520.993</v>
      </c>
      <c r="U20" s="603">
        <f>SUM('3 pr-(5-6)'!I53)</f>
        <v>1486007</v>
      </c>
      <c r="V20" s="606">
        <f t="shared" si="0"/>
        <v>1486.0070000000001</v>
      </c>
      <c r="W20" s="1244">
        <f t="shared" si="8"/>
        <v>1484520.993</v>
      </c>
      <c r="X20" s="1245">
        <v>1486009</v>
      </c>
      <c r="Y20" s="1246">
        <f t="shared" si="10"/>
        <v>2</v>
      </c>
      <c r="Z20" s="1246">
        <f>SUM('3 pr-2'!AE108)</f>
        <v>0</v>
      </c>
      <c r="AA20" s="1243">
        <f t="shared" si="9"/>
        <v>2</v>
      </c>
    </row>
    <row r="21" spans="1:27" ht="33" thickTop="1" thickBot="1">
      <c r="A21" s="590" t="s">
        <v>140</v>
      </c>
      <c r="B21" s="590" t="s">
        <v>260</v>
      </c>
      <c r="C21" s="591">
        <f>SUM('3 pr-(5-6)'!C54)</f>
        <v>0</v>
      </c>
      <c r="D21" s="592">
        <v>0</v>
      </c>
      <c r="E21" s="593">
        <f t="shared" si="2"/>
        <v>0</v>
      </c>
      <c r="F21" s="591">
        <f>SUM('3 pr-(5-6)'!D54)</f>
        <v>0</v>
      </c>
      <c r="G21" s="592">
        <f>SUM('ketv. 4 '!Q114)+D21</f>
        <v>0</v>
      </c>
      <c r="H21" s="593">
        <f t="shared" si="3"/>
        <v>0</v>
      </c>
      <c r="I21" s="591">
        <f>SUM('3 pr-(5-6)'!G54)</f>
        <v>1138588</v>
      </c>
      <c r="J21" s="592">
        <f>SUM('ketv. 4 '!R114)/1000+G21</f>
        <v>0</v>
      </c>
      <c r="K21" s="593">
        <f t="shared" si="4"/>
        <v>1138588</v>
      </c>
      <c r="L21" s="591">
        <f>SUM('3 pr-(5-6)'!F54)</f>
        <v>1138588</v>
      </c>
      <c r="M21" s="592">
        <f>SUM('ketv. 4 '!S114)/1000+J21</f>
        <v>1138.588</v>
      </c>
      <c r="N21" s="593">
        <f t="shared" si="5"/>
        <v>1137449.412</v>
      </c>
      <c r="O21" s="591">
        <f>SUM('3 pr-(5-6)'!G54)</f>
        <v>1138588</v>
      </c>
      <c r="P21" s="592">
        <f>SUM('ketv. 4 '!T114)/1000+M21</f>
        <v>1138.588</v>
      </c>
      <c r="Q21" s="593">
        <f t="shared" si="6"/>
        <v>1137449.412</v>
      </c>
      <c r="R21" s="591">
        <f>SUM('3 pr-(5-6)'!H54)</f>
        <v>1138588</v>
      </c>
      <c r="S21" s="592">
        <f>SUM('ketv. 4 '!U114)/1000+P21</f>
        <v>1138.588</v>
      </c>
      <c r="T21" s="593">
        <f t="shared" si="7"/>
        <v>1137449.412</v>
      </c>
      <c r="U21" s="603">
        <f>SUM('3 pr-(5-6)'!I54)</f>
        <v>1138588</v>
      </c>
      <c r="V21" s="606">
        <f t="shared" si="0"/>
        <v>1138.588</v>
      </c>
      <c r="W21" s="1244">
        <f t="shared" si="8"/>
        <v>1137449.412</v>
      </c>
      <c r="X21" s="1245">
        <v>1138588</v>
      </c>
      <c r="Y21" s="1246">
        <f t="shared" si="10"/>
        <v>0</v>
      </c>
      <c r="Z21" s="1246">
        <f>SUM('3 pr-2'!AE114)</f>
        <v>0</v>
      </c>
      <c r="AA21" s="1243">
        <f t="shared" si="9"/>
        <v>0</v>
      </c>
    </row>
    <row r="22" spans="1:27" ht="33" thickTop="1" thickBot="1">
      <c r="A22" s="590" t="s">
        <v>153</v>
      </c>
      <c r="B22" s="590" t="s">
        <v>261</v>
      </c>
      <c r="C22" s="591">
        <f>SUM('3 pr-(5-6)'!C55)</f>
        <v>0</v>
      </c>
      <c r="D22" s="592">
        <v>0</v>
      </c>
      <c r="E22" s="593">
        <f t="shared" si="2"/>
        <v>0</v>
      </c>
      <c r="F22" s="591">
        <f>SUM('3 pr-(5-6)'!D55)</f>
        <v>0</v>
      </c>
      <c r="G22" s="592">
        <f>SUM('ketv. 4 '!Q121)+D22</f>
        <v>0</v>
      </c>
      <c r="H22" s="593">
        <f t="shared" si="3"/>
        <v>0</v>
      </c>
      <c r="I22" s="591">
        <f>SUM('3 pr-(5-6)'!G55)</f>
        <v>1230277.5299999998</v>
      </c>
      <c r="J22" s="592">
        <f>SUM('ketv. 4 '!R121)/1000+G22</f>
        <v>0</v>
      </c>
      <c r="K22" s="593">
        <f t="shared" si="4"/>
        <v>1230277.5299999998</v>
      </c>
      <c r="L22" s="591">
        <f>SUM('3 pr-(5-6)'!F55)</f>
        <v>700798.52999999991</v>
      </c>
      <c r="M22" s="592">
        <f>SUM('ketv. 4 '!S121)/1000+J22</f>
        <v>0</v>
      </c>
      <c r="N22" s="593">
        <f t="shared" si="5"/>
        <v>700798.52999999991</v>
      </c>
      <c r="O22" s="591">
        <f>SUM('3 pr-(5-6)'!G55)</f>
        <v>1230277.5299999998</v>
      </c>
      <c r="P22" s="592">
        <f>SUM('ketv. 4 '!T121)/1000+M22</f>
        <v>850.22208000000001</v>
      </c>
      <c r="Q22" s="593">
        <f t="shared" si="6"/>
        <v>1229427.3079199998</v>
      </c>
      <c r="R22" s="591">
        <f>SUM('3 pr-(5-6)'!H55)</f>
        <v>1230277.5299999998</v>
      </c>
      <c r="S22" s="592">
        <f>SUM('ketv. 4 '!U121)/1000+P22</f>
        <v>850.22208000000001</v>
      </c>
      <c r="T22" s="593">
        <f t="shared" si="7"/>
        <v>1229427.3079199998</v>
      </c>
      <c r="U22" s="603">
        <f>SUM('3 pr-(5-6)'!I55)</f>
        <v>1230277.5299999998</v>
      </c>
      <c r="V22" s="606">
        <f t="shared" si="0"/>
        <v>850.22208000000001</v>
      </c>
      <c r="W22" s="1244">
        <f t="shared" si="8"/>
        <v>1229427.3079199998</v>
      </c>
      <c r="X22" s="1245">
        <v>1230854</v>
      </c>
      <c r="Y22" s="1246">
        <f t="shared" si="10"/>
        <v>576.47000000020489</v>
      </c>
      <c r="Z22" s="1246">
        <f>SUM('3 pr-2'!AE121)</f>
        <v>-576.48999999997795</v>
      </c>
      <c r="AA22" s="1243">
        <f t="shared" si="9"/>
        <v>-1.9999999773062882E-2</v>
      </c>
    </row>
    <row r="23" spans="1:27" ht="48.75" thickTop="1" thickBot="1">
      <c r="A23" s="594" t="str">
        <f>CONCATENATE('ketv. 7 '!H142)</f>
        <v>08.4.2-ESFA-R-615</v>
      </c>
      <c r="B23" s="594" t="s">
        <v>1202</v>
      </c>
      <c r="C23" s="595"/>
      <c r="D23" s="596">
        <v>0</v>
      </c>
      <c r="E23" s="597">
        <f t="shared" ref="E23" si="11">SUM(C23-D23)</f>
        <v>0</v>
      </c>
      <c r="F23" s="595">
        <f>SUM('3 pr-(5-6)'!D55)</f>
        <v>0</v>
      </c>
      <c r="G23" s="596">
        <f>SUM('ketv. 4 '!Q141)+D23</f>
        <v>0</v>
      </c>
      <c r="H23" s="597">
        <f t="shared" ref="H23" si="12">SUM(F23-G23)</f>
        <v>0</v>
      </c>
      <c r="I23" s="595">
        <f>SUM('3 pr-(5-6)'!G55)</f>
        <v>1230277.5299999998</v>
      </c>
      <c r="J23" s="596">
        <f>SUM('ketv. 4 '!R141)/1000+G23</f>
        <v>0</v>
      </c>
      <c r="K23" s="597">
        <f t="shared" ref="K23" si="13">SUM(I23-J23)</f>
        <v>1230277.5299999998</v>
      </c>
      <c r="L23" s="595">
        <f>SUM('3 pr-(5-6)'!F55)</f>
        <v>700798.52999999991</v>
      </c>
      <c r="M23" s="596">
        <f>SUM('ketv. 4 '!S141)/1000+J23</f>
        <v>54.7607</v>
      </c>
      <c r="N23" s="597">
        <f t="shared" ref="N23" si="14">SUM(L23-M23)</f>
        <v>700743.76929999993</v>
      </c>
      <c r="O23" s="595">
        <f>SUM('3 pr-(5-6)'!G55)</f>
        <v>1230277.5299999998</v>
      </c>
      <c r="P23" s="596">
        <f>SUM('ketv. 4 '!T141)/1000+M23</f>
        <v>54.7607</v>
      </c>
      <c r="Q23" s="597">
        <f t="shared" ref="Q23" si="15">SUM(O23-P23)</f>
        <v>1230222.7692999998</v>
      </c>
      <c r="R23" s="595">
        <f>SUM('3 pr-(5-6)'!H55)</f>
        <v>1230277.5299999998</v>
      </c>
      <c r="S23" s="596">
        <f>SUM('ketv. 4 '!U141)/1000+P23</f>
        <v>54.7607</v>
      </c>
      <c r="T23" s="597">
        <f t="shared" ref="T23" si="16">SUM(R23-S23)</f>
        <v>1230222.7692999998</v>
      </c>
      <c r="U23" s="604">
        <f>SUM('3 pr-(5-6)'!I55)</f>
        <v>1230277.5299999998</v>
      </c>
      <c r="V23" s="607">
        <f t="shared" ref="V23" si="17">SUM(S23)</f>
        <v>54.7607</v>
      </c>
      <c r="W23" s="1244"/>
      <c r="X23" s="1245"/>
      <c r="Y23" s="1246"/>
      <c r="Z23" s="1246"/>
      <c r="AA23" s="1243"/>
    </row>
    <row r="24" spans="1:27" ht="17.25" thickTop="1" thickBot="1">
      <c r="A24" s="594" t="str">
        <f>CONCATENATE('ketv. 7 '!H134)</f>
        <v>08.4.2-ESFA-R-630</v>
      </c>
      <c r="B24" s="594" t="s">
        <v>1201</v>
      </c>
      <c r="C24" s="595">
        <f>SUM('3 pr-(5-6)'!C57)</f>
        <v>0</v>
      </c>
      <c r="D24" s="596">
        <v>0</v>
      </c>
      <c r="E24" s="597">
        <f t="shared" si="2"/>
        <v>0</v>
      </c>
      <c r="F24" s="595">
        <f>SUM('3 pr-(5-6)'!D57)</f>
        <v>0</v>
      </c>
      <c r="G24" s="596">
        <f>SUM('ketv. 4 '!Q135)+D24</f>
        <v>0</v>
      </c>
      <c r="H24" s="597">
        <f t="shared" si="3"/>
        <v>0</v>
      </c>
      <c r="I24" s="595">
        <f>SUM('3 pr-(5-6)'!G57)</f>
        <v>845736.85</v>
      </c>
      <c r="J24" s="596">
        <f>SUM('ketv. 4 '!R135)/1000+G24</f>
        <v>0</v>
      </c>
      <c r="K24" s="597">
        <f t="shared" si="4"/>
        <v>845736.85</v>
      </c>
      <c r="L24" s="595">
        <f>SUM('3 pr-(5-6)'!F57)</f>
        <v>845736.85</v>
      </c>
      <c r="M24" s="596">
        <f>SUM('ketv. 4 '!S135)/1000+J24</f>
        <v>845.73685</v>
      </c>
      <c r="N24" s="597">
        <f t="shared" si="5"/>
        <v>844891.11314999999</v>
      </c>
      <c r="O24" s="595">
        <f>SUM('3 pr-(5-6)'!G57)</f>
        <v>845736.85</v>
      </c>
      <c r="P24" s="596">
        <f>SUM('ketv. 4 '!T135)/1000+M24</f>
        <v>845.73685</v>
      </c>
      <c r="Q24" s="597">
        <f t="shared" si="6"/>
        <v>844891.11314999999</v>
      </c>
      <c r="R24" s="595">
        <f>SUM('3 pr-(5-6)'!H57)</f>
        <v>845736.85</v>
      </c>
      <c r="S24" s="596">
        <f>SUM('ketv. 4 '!U135)/1000+P24</f>
        <v>845.73685</v>
      </c>
      <c r="T24" s="597">
        <f t="shared" si="7"/>
        <v>844891.11314999999</v>
      </c>
      <c r="U24" s="604">
        <f>SUM('3 pr-(5-6)'!I57)</f>
        <v>845736.85</v>
      </c>
      <c r="V24" s="607">
        <f t="shared" si="0"/>
        <v>845.73685</v>
      </c>
      <c r="W24" s="1244">
        <f t="shared" si="8"/>
        <v>844891.11314999999</v>
      </c>
      <c r="X24" s="1245">
        <v>869000</v>
      </c>
      <c r="Y24" s="1246">
        <f t="shared" si="10"/>
        <v>23263.150000000023</v>
      </c>
      <c r="Z24" s="1246">
        <f>SUM('3 pr-2'!AE135)</f>
        <v>0</v>
      </c>
      <c r="AA24" s="1243">
        <f t="shared" si="9"/>
        <v>23263.150000000023</v>
      </c>
    </row>
    <row r="25" spans="1:27" ht="17.25" thickTop="1" thickBot="1">
      <c r="A25" s="590" t="s">
        <v>154</v>
      </c>
      <c r="B25" s="590" t="s">
        <v>262</v>
      </c>
      <c r="C25" s="591">
        <f>SUM('3 pr-(5-6)'!C58)</f>
        <v>0</v>
      </c>
      <c r="D25" s="592">
        <v>0</v>
      </c>
      <c r="E25" s="593">
        <f t="shared" si="2"/>
        <v>0</v>
      </c>
      <c r="F25" s="591">
        <f>SUM('3 pr-(5-6)'!D58)</f>
        <v>0</v>
      </c>
      <c r="G25" s="592">
        <f>SUM('ketv. 4 '!Q148)/1000+D25</f>
        <v>0</v>
      </c>
      <c r="H25" s="593">
        <f t="shared" si="3"/>
        <v>0</v>
      </c>
      <c r="I25" s="591">
        <f>SUM('3 pr-(5-6)'!G58)</f>
        <v>885761.15</v>
      </c>
      <c r="J25" s="592">
        <f>SUM('ketv. 4 '!R148)/1000+G25</f>
        <v>885.76115000000004</v>
      </c>
      <c r="K25" s="593">
        <f t="shared" si="4"/>
        <v>884875.38884999999</v>
      </c>
      <c r="L25" s="591">
        <f>SUM('3 pr-(5-6)'!F58)</f>
        <v>885761.15</v>
      </c>
      <c r="M25" s="592">
        <f>SUM('ketv. 4 '!S148)/1000+J25</f>
        <v>885.76115000000004</v>
      </c>
      <c r="N25" s="593">
        <f t="shared" si="5"/>
        <v>884875.38884999999</v>
      </c>
      <c r="O25" s="591">
        <f>SUM('3 pr-(5-6)'!G58)</f>
        <v>885761.15</v>
      </c>
      <c r="P25" s="592">
        <f>SUM('ketv. 4 '!T148)/1000+M25</f>
        <v>885.76115000000004</v>
      </c>
      <c r="Q25" s="593">
        <f t="shared" si="6"/>
        <v>884875.38884999999</v>
      </c>
      <c r="R25" s="591">
        <f>SUM('3 pr-(5-6)'!H58)</f>
        <v>885761.15</v>
      </c>
      <c r="S25" s="592">
        <f>SUM('ketv. 4 '!U148)/1000+P25</f>
        <v>885.76115000000004</v>
      </c>
      <c r="T25" s="593">
        <f t="shared" si="7"/>
        <v>884875.38884999999</v>
      </c>
      <c r="U25" s="603">
        <f>SUM('3 pr-(5-6)'!I58)</f>
        <v>885761.15</v>
      </c>
      <c r="V25" s="606">
        <f t="shared" si="0"/>
        <v>885.76115000000004</v>
      </c>
      <c r="W25" s="1244">
        <f t="shared" si="8"/>
        <v>884875.38884999999</v>
      </c>
      <c r="X25" s="1245">
        <v>885762</v>
      </c>
      <c r="Y25" s="1246">
        <f t="shared" si="10"/>
        <v>0.84999999997671694</v>
      </c>
      <c r="Z25" s="1246">
        <f>SUM('3 pr-2'!AE148)</f>
        <v>5.8207660913467407E-11</v>
      </c>
      <c r="AA25" s="1243">
        <f t="shared" si="9"/>
        <v>0.8500000000349246</v>
      </c>
    </row>
    <row r="26" spans="1:27" ht="17.25" thickTop="1" thickBot="1">
      <c r="A26" s="590" t="s">
        <v>155</v>
      </c>
      <c r="B26" s="590" t="s">
        <v>263</v>
      </c>
      <c r="C26" s="591">
        <f>SUM('3 pr-(5-6)'!C59)</f>
        <v>0</v>
      </c>
      <c r="D26" s="592">
        <v>0</v>
      </c>
      <c r="E26" s="593">
        <f t="shared" si="2"/>
        <v>0</v>
      </c>
      <c r="F26" s="591">
        <f>SUM('3 pr-(5-6)'!D59)</f>
        <v>2520973.6399999997</v>
      </c>
      <c r="G26" s="592">
        <f>SUM('ketv. 4 '!Q154)/1000+D26</f>
        <v>2520.9736399999997</v>
      </c>
      <c r="H26" s="593">
        <f t="shared" si="3"/>
        <v>2518452.6663599997</v>
      </c>
      <c r="I26" s="591">
        <f>SUM('3 pr-(5-6)'!G59)</f>
        <v>2520973.6399999997</v>
      </c>
      <c r="J26" s="592">
        <f>SUM('ketv. 4 '!R154)/1000+G26</f>
        <v>2520.9736399999997</v>
      </c>
      <c r="K26" s="593">
        <f t="shared" si="4"/>
        <v>2518452.6663599997</v>
      </c>
      <c r="L26" s="591">
        <f>SUM('3 pr-(5-6)'!F59)</f>
        <v>2520973.6399999997</v>
      </c>
      <c r="M26" s="592">
        <f>SUM('ketv. 4 '!S154)/1000+J26</f>
        <v>2520.9736399999997</v>
      </c>
      <c r="N26" s="593">
        <f t="shared" si="5"/>
        <v>2518452.6663599997</v>
      </c>
      <c r="O26" s="591">
        <f>SUM('3 pr-(5-6)'!G59)</f>
        <v>2520973.6399999997</v>
      </c>
      <c r="P26" s="592">
        <f>SUM('ketv. 4 '!T154)/1000+M26</f>
        <v>2520.9736399999997</v>
      </c>
      <c r="Q26" s="593">
        <f t="shared" si="6"/>
        <v>2518452.6663599997</v>
      </c>
      <c r="R26" s="591">
        <f>SUM('3 pr-(5-6)'!H59)</f>
        <v>2520973.6399999997</v>
      </c>
      <c r="S26" s="592">
        <f>SUM('ketv. 4 '!U154)/1000+P26</f>
        <v>2520.9736399999997</v>
      </c>
      <c r="T26" s="593">
        <f t="shared" si="7"/>
        <v>2518452.6663599997</v>
      </c>
      <c r="U26" s="603">
        <f>SUM('3 pr-(5-6)'!I59)</f>
        <v>2520973.6399999997</v>
      </c>
      <c r="V26" s="606">
        <f t="shared" si="0"/>
        <v>2520.9736399999997</v>
      </c>
      <c r="W26" s="1244">
        <f t="shared" si="8"/>
        <v>2518452.6663599997</v>
      </c>
      <c r="X26" s="1245">
        <v>2520974</v>
      </c>
      <c r="Y26" s="1246">
        <f t="shared" si="10"/>
        <v>0.36000000033527613</v>
      </c>
      <c r="Z26" s="1246">
        <f>SUM('3 pr-2'!AE154)</f>
        <v>0</v>
      </c>
      <c r="AA26" s="1243">
        <f t="shared" si="9"/>
        <v>0.36000000033527613</v>
      </c>
    </row>
    <row r="27" spans="1:27" ht="33" thickTop="1" thickBot="1">
      <c r="A27" s="590" t="s">
        <v>156</v>
      </c>
      <c r="B27" s="590" t="s">
        <v>264</v>
      </c>
      <c r="C27" s="591">
        <f>SUM('3 pr-(5-6)'!C60)</f>
        <v>0</v>
      </c>
      <c r="D27" s="592">
        <v>0</v>
      </c>
      <c r="E27" s="593">
        <f t="shared" si="2"/>
        <v>0</v>
      </c>
      <c r="F27" s="591">
        <f>SUM('3 pr-(5-6)'!D60)</f>
        <v>0</v>
      </c>
      <c r="G27" s="592">
        <f>SUM('ketv. 4 '!Q161)/1000+D27</f>
        <v>0</v>
      </c>
      <c r="H27" s="593">
        <f t="shared" si="3"/>
        <v>0</v>
      </c>
      <c r="I27" s="591">
        <f>SUM('3 pr-(5-6)'!G60)</f>
        <v>940807.84000000008</v>
      </c>
      <c r="J27" s="592">
        <f>SUM('ketv. 4 '!R161)/1000+G27</f>
        <v>0</v>
      </c>
      <c r="K27" s="593">
        <f t="shared" si="4"/>
        <v>940807.84000000008</v>
      </c>
      <c r="L27" s="591">
        <f>SUM('3 pr-(5-6)'!F60)</f>
        <v>770807.84000000008</v>
      </c>
      <c r="M27" s="592">
        <f>SUM('ketv. 4 '!S161)/1000+J27</f>
        <v>770.80784000000006</v>
      </c>
      <c r="N27" s="593">
        <f t="shared" si="5"/>
        <v>770037.03216000006</v>
      </c>
      <c r="O27" s="591">
        <f>SUM('3 pr-(5-6)'!G60)</f>
        <v>940807.84000000008</v>
      </c>
      <c r="P27" s="592">
        <f>SUM('ketv. 4 '!T161)/1000+M27</f>
        <v>770.80784000000006</v>
      </c>
      <c r="Q27" s="593">
        <f t="shared" si="6"/>
        <v>940037.03216000006</v>
      </c>
      <c r="R27" s="591">
        <f>SUM('3 pr-(5-6)'!H60)</f>
        <v>940807.84000000008</v>
      </c>
      <c r="S27" s="592">
        <f>SUM('ketv. 4 '!U161)/1000+P27</f>
        <v>770.80784000000006</v>
      </c>
      <c r="T27" s="593">
        <f t="shared" si="7"/>
        <v>940037.03216000006</v>
      </c>
      <c r="U27" s="603">
        <f>SUM('3 pr-(5-6)'!I60)</f>
        <v>940807.84000000008</v>
      </c>
      <c r="V27" s="606">
        <f t="shared" si="0"/>
        <v>770.80784000000006</v>
      </c>
      <c r="W27" s="1244">
        <f t="shared" si="8"/>
        <v>940037.03216000006</v>
      </c>
      <c r="X27" s="1245">
        <v>982761</v>
      </c>
      <c r="Y27" s="1246">
        <f t="shared" si="10"/>
        <v>41953.159999999916</v>
      </c>
      <c r="Z27" s="1246">
        <f>SUM('3 pr-2'!AE161)</f>
        <v>0</v>
      </c>
      <c r="AA27" s="1243">
        <f t="shared" si="9"/>
        <v>41953.159999999916</v>
      </c>
    </row>
    <row r="28" spans="1:27" ht="17.25" thickTop="1" thickBot="1">
      <c r="A28" s="590" t="s">
        <v>190</v>
      </c>
      <c r="B28" s="590" t="s">
        <v>265</v>
      </c>
      <c r="C28" s="591">
        <f>SUM('3 pr-(5-6)'!C61)</f>
        <v>0</v>
      </c>
      <c r="D28" s="592">
        <v>0</v>
      </c>
      <c r="E28" s="593">
        <f t="shared" si="2"/>
        <v>0</v>
      </c>
      <c r="F28" s="591">
        <f>SUM('3 pr-(5-6)'!D61)</f>
        <v>0</v>
      </c>
      <c r="G28" s="592">
        <f>SUM('ketv. 4 '!Q170)/1000+D28</f>
        <v>0</v>
      </c>
      <c r="H28" s="593">
        <f t="shared" si="3"/>
        <v>0</v>
      </c>
      <c r="I28" s="591">
        <f>SUM('3 pr-(5-6)'!G61)</f>
        <v>3352807.77</v>
      </c>
      <c r="J28" s="592">
        <f>SUM('ketv. 4 '!R170)/1000+G28</f>
        <v>3352.8077699999999</v>
      </c>
      <c r="K28" s="593">
        <f t="shared" si="4"/>
        <v>3349454.9622300002</v>
      </c>
      <c r="L28" s="591">
        <f>SUM('3 pr-(5-6)'!F61)</f>
        <v>3352807.77</v>
      </c>
      <c r="M28" s="592">
        <f>SUM('ketv. 4 '!S170)/1000+J28</f>
        <v>3352.8077699999999</v>
      </c>
      <c r="N28" s="593">
        <f t="shared" si="5"/>
        <v>3349454.9622300002</v>
      </c>
      <c r="O28" s="591">
        <f>SUM('3 pr-(5-6)'!G61)</f>
        <v>3352807.77</v>
      </c>
      <c r="P28" s="592">
        <f>SUM('ketv. 4 '!T170)/1000+M28</f>
        <v>3352.8077699999999</v>
      </c>
      <c r="Q28" s="593">
        <f t="shared" si="6"/>
        <v>3349454.9622300002</v>
      </c>
      <c r="R28" s="591">
        <f>SUM('3 pr-(5-6)'!H61)</f>
        <v>3352807.77</v>
      </c>
      <c r="S28" s="592">
        <f>SUM('ketv. 4 '!U170)/1000+P28</f>
        <v>3352.8077699999999</v>
      </c>
      <c r="T28" s="593">
        <f t="shared" si="7"/>
        <v>3349454.9622300002</v>
      </c>
      <c r="U28" s="603">
        <f>SUM('3 pr-(5-6)'!I61)</f>
        <v>3352807.77</v>
      </c>
      <c r="V28" s="606">
        <f t="shared" si="0"/>
        <v>3352.8077699999999</v>
      </c>
      <c r="W28" s="1244">
        <f t="shared" si="8"/>
        <v>3349454.9622300002</v>
      </c>
      <c r="X28" s="1245">
        <v>3352807.77</v>
      </c>
      <c r="Y28" s="1246">
        <f t="shared" si="10"/>
        <v>0</v>
      </c>
      <c r="Z28" s="1246">
        <f>SUM('3 pr-2'!AE170)</f>
        <v>0</v>
      </c>
      <c r="AA28" s="1243">
        <f t="shared" si="9"/>
        <v>0</v>
      </c>
    </row>
    <row r="29" spans="1:27" ht="17.25" thickTop="1" thickBot="1">
      <c r="A29" s="590" t="s">
        <v>192</v>
      </c>
      <c r="B29" s="590" t="s">
        <v>266</v>
      </c>
      <c r="C29" s="591">
        <f>SUM('3 pr-(5-6)'!C62)</f>
        <v>0</v>
      </c>
      <c r="D29" s="592">
        <v>0</v>
      </c>
      <c r="E29" s="593">
        <f t="shared" si="2"/>
        <v>0</v>
      </c>
      <c r="F29" s="591">
        <f>SUM('3 pr-(5-6)'!D62)</f>
        <v>0</v>
      </c>
      <c r="G29" s="592">
        <f>SUM('ketv. 4 '!Q173)/1000+D29</f>
        <v>0</v>
      </c>
      <c r="H29" s="593">
        <f t="shared" si="3"/>
        <v>0</v>
      </c>
      <c r="I29" s="591">
        <f>SUM('3 pr-(5-6)'!G62)</f>
        <v>2131627.75</v>
      </c>
      <c r="J29" s="592">
        <f>SUM('ketv. 4 '!R173)/1000+G29</f>
        <v>831.92287999999996</v>
      </c>
      <c r="K29" s="593">
        <f t="shared" si="4"/>
        <v>2130795.82712</v>
      </c>
      <c r="L29" s="591">
        <f>SUM('3 pr-(5-6)'!F62)</f>
        <v>1457979.88</v>
      </c>
      <c r="M29" s="592">
        <f>SUM('ketv. 4 '!S173)/1000+J29</f>
        <v>1457.9798799999999</v>
      </c>
      <c r="N29" s="593">
        <f t="shared" si="5"/>
        <v>1456521.9001199999</v>
      </c>
      <c r="O29" s="591">
        <f>SUM('3 pr-(5-6)'!G62)</f>
        <v>2131627.75</v>
      </c>
      <c r="P29" s="592">
        <f>SUM('ketv. 4 '!T173)/1000+M29</f>
        <v>1457.9798799999999</v>
      </c>
      <c r="Q29" s="593">
        <f t="shared" si="6"/>
        <v>2130169.77012</v>
      </c>
      <c r="R29" s="591">
        <f>SUM('3 pr-(5-6)'!H62)</f>
        <v>2131627.75</v>
      </c>
      <c r="S29" s="592">
        <f>SUM('ketv. 4 '!U173)/1000+P29</f>
        <v>1457.9798799999999</v>
      </c>
      <c r="T29" s="593">
        <f t="shared" si="7"/>
        <v>2130169.77012</v>
      </c>
      <c r="U29" s="603">
        <f>SUM('3 pr-(5-6)'!I62)</f>
        <v>2131627.75</v>
      </c>
      <c r="V29" s="608">
        <f t="shared" si="0"/>
        <v>1457.9798799999999</v>
      </c>
      <c r="W29" s="1244">
        <f t="shared" si="8"/>
        <v>2130169.77012</v>
      </c>
      <c r="X29" s="1245">
        <v>2131629</v>
      </c>
      <c r="Y29" s="1246">
        <f t="shared" si="10"/>
        <v>1.25</v>
      </c>
      <c r="Z29" s="1246">
        <f>SUM('3 pr-2'!AE173)</f>
        <v>400948.75</v>
      </c>
      <c r="AA29" s="1243">
        <f t="shared" si="9"/>
        <v>400950</v>
      </c>
    </row>
  </sheetData>
  <mergeCells count="4">
    <mergeCell ref="A2:A3"/>
    <mergeCell ref="B2:B3"/>
    <mergeCell ref="C2:W2"/>
    <mergeCell ref="A1:V1"/>
  </mergeCells>
  <pageMargins left="0.23622047244094491" right="0.23622047244094491" top="0.74803149606299213" bottom="0.74803149606299213" header="0.31496062992125984" footer="0.31496062992125984"/>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F38"/>
  <sheetViews>
    <sheetView workbookViewId="0">
      <pane ySplit="2190" activePane="bottomLeft"/>
      <selection activeCell="E1" sqref="E1:E1048576"/>
      <selection pane="bottomLeft" activeCell="L9" sqref="L9"/>
    </sheetView>
  </sheetViews>
  <sheetFormatPr defaultColWidth="9.140625" defaultRowHeight="15"/>
  <cols>
    <col min="1" max="1" width="9.28515625" style="21" bestFit="1" customWidth="1"/>
    <col min="2" max="2" width="61.42578125" style="21" customWidth="1"/>
    <col min="3" max="3" width="22.140625" style="21" hidden="1" customWidth="1"/>
    <col min="4" max="4" width="22.140625" style="21" customWidth="1"/>
    <col min="5" max="5" width="36.5703125" style="21" hidden="1" customWidth="1"/>
    <col min="6" max="6" width="36.5703125" style="21" bestFit="1" customWidth="1"/>
    <col min="7" max="16384" width="9.140625" style="21"/>
  </cols>
  <sheetData>
    <row r="1" spans="1:6" s="131" customFormat="1">
      <c r="A1" s="559" t="s">
        <v>741</v>
      </c>
    </row>
    <row r="2" spans="1:6" ht="15.75" thickBot="1"/>
    <row r="3" spans="1:6" ht="63.75" thickBot="1">
      <c r="A3" s="614" t="s">
        <v>366</v>
      </c>
      <c r="B3" s="1188" t="s">
        <v>367</v>
      </c>
      <c r="C3" s="1657" t="s">
        <v>369</v>
      </c>
      <c r="D3" s="1188" t="s">
        <v>369</v>
      </c>
      <c r="E3" s="1657" t="s">
        <v>742</v>
      </c>
      <c r="F3" s="1188" t="s">
        <v>742</v>
      </c>
    </row>
    <row r="4" spans="1:6" ht="15.75">
      <c r="A4" s="612">
        <v>1</v>
      </c>
      <c r="B4" s="613" t="s">
        <v>370</v>
      </c>
      <c r="C4" s="1658">
        <f>SUMIF('ketv. 5 '!$W$9:$W$181,"1",'ketv. 5 '!$X$9:$X$181)</f>
        <v>0</v>
      </c>
      <c r="D4" s="611" t="str">
        <f>IF(C4&gt;0,C4,"–")</f>
        <v>–</v>
      </c>
      <c r="E4" s="1659">
        <f>SUMIF('ketv. 5 '!$W$9:$W$181,"1",'ketv. 5 '!$K$9:$K$181)</f>
        <v>0</v>
      </c>
      <c r="F4" s="1247" t="str">
        <f>IF(E4&gt;0,E4,"–")</f>
        <v>–</v>
      </c>
    </row>
    <row r="5" spans="1:6" ht="15.75">
      <c r="A5" s="609">
        <v>2</v>
      </c>
      <c r="B5" s="610" t="s">
        <v>346</v>
      </c>
      <c r="C5" s="1658">
        <f>SUMIF('ketv. 5 '!$W$9:$W$181,"2",'ketv. 5 '!$X$9:$X$181)</f>
        <v>0</v>
      </c>
      <c r="D5" s="611" t="str">
        <f t="shared" ref="D5:D36" si="0">IF(C5&gt;0,C5,"–")</f>
        <v>–</v>
      </c>
      <c r="E5" s="1659">
        <f>SUMIF('ketv. 5 '!$W$9:$W$181,"2",'ketv. 5 '!$K$9:$K$181)</f>
        <v>0</v>
      </c>
      <c r="F5" s="1247" t="str">
        <f t="shared" ref="F5:F36" si="1">IF(E5&gt;0,E5,"–")</f>
        <v>–</v>
      </c>
    </row>
    <row r="6" spans="1:6" ht="31.5">
      <c r="A6" s="609">
        <v>5</v>
      </c>
      <c r="B6" s="610" t="s">
        <v>364</v>
      </c>
      <c r="C6" s="1658">
        <f>SUMIF('ketv. 5 '!$W$9:$W$181,"5",'ketv. 5 '!$X$9:$X$181)</f>
        <v>0</v>
      </c>
      <c r="D6" s="611" t="str">
        <f t="shared" si="0"/>
        <v>–</v>
      </c>
      <c r="E6" s="1659">
        <f>SUMIF('ketv. 5 '!$W$9:$W$181,"5",'ketv. 5 '!$K$9:$K$181)</f>
        <v>0</v>
      </c>
      <c r="F6" s="1247" t="str">
        <f t="shared" si="1"/>
        <v>–</v>
      </c>
    </row>
    <row r="7" spans="1:6" ht="31.5">
      <c r="A7" s="609">
        <v>6</v>
      </c>
      <c r="B7" s="610" t="s">
        <v>339</v>
      </c>
      <c r="C7" s="1658">
        <f>SUMIF('ketv. 5 '!$W$9:$W$181,"6",'ketv. 5 '!$X$9:$X$181)</f>
        <v>0</v>
      </c>
      <c r="D7" s="611" t="str">
        <f t="shared" si="0"/>
        <v>–</v>
      </c>
      <c r="E7" s="1659">
        <f>SUMIF('ketv. 5 '!$W$9:$W$181,"6",'ketv. 5 '!$K$9:$K$181)</f>
        <v>0</v>
      </c>
      <c r="F7" s="1247" t="str">
        <f t="shared" si="1"/>
        <v>–</v>
      </c>
    </row>
    <row r="8" spans="1:6" ht="15.75">
      <c r="A8" s="609">
        <v>8</v>
      </c>
      <c r="B8" s="610" t="s">
        <v>341</v>
      </c>
      <c r="C8" s="1658">
        <f>SUMIF('ketv. 5 '!$W$9:$W$181,"8",'ketv. 5 '!$X$9:$X$181)</f>
        <v>0</v>
      </c>
      <c r="D8" s="611" t="str">
        <f t="shared" si="0"/>
        <v>–</v>
      </c>
      <c r="E8" s="1659">
        <f>SUMIF('ketv. 5 '!$W$9:$W$181,"8",'ketv. 5 '!$K$9:$K$181)</f>
        <v>0</v>
      </c>
      <c r="F8" s="1247" t="str">
        <f t="shared" si="1"/>
        <v>–</v>
      </c>
    </row>
    <row r="9" spans="1:6" ht="15.75">
      <c r="A9" s="609">
        <v>9</v>
      </c>
      <c r="B9" s="610" t="s">
        <v>350</v>
      </c>
      <c r="C9" s="1658">
        <f>SUMIF('ketv. 5 '!$W$9:$W$181,"9",'ketv. 5 '!$X$9:$X$181)</f>
        <v>0</v>
      </c>
      <c r="D9" s="611" t="str">
        <f t="shared" si="0"/>
        <v>–</v>
      </c>
      <c r="E9" s="1659">
        <f>SUMIF('ketv. 5 '!$W$9:$W$181,"9",'ketv. 5 '!$K$9:$K$181)</f>
        <v>0</v>
      </c>
      <c r="F9" s="1247" t="str">
        <f t="shared" si="1"/>
        <v>–</v>
      </c>
    </row>
    <row r="10" spans="1:6" ht="15.75">
      <c r="A10" s="609">
        <v>10</v>
      </c>
      <c r="B10" s="610" t="s">
        <v>348</v>
      </c>
      <c r="C10" s="1658">
        <f>SUMIF('ketv. 5 '!$W$9:$W$181,"10",'ketv. 5 '!$X$9:$X$181)</f>
        <v>0</v>
      </c>
      <c r="D10" s="611" t="str">
        <f t="shared" si="0"/>
        <v>–</v>
      </c>
      <c r="E10" s="1659">
        <f>SUMIF('ketv. 5 '!$W$9:$W$181,"10",'ketv. 5 '!$K$9:$K$181)</f>
        <v>0</v>
      </c>
      <c r="F10" s="1247" t="str">
        <f t="shared" si="1"/>
        <v>–</v>
      </c>
    </row>
    <row r="11" spans="1:6" ht="15.75">
      <c r="A11" s="609">
        <v>11</v>
      </c>
      <c r="B11" s="610" t="s">
        <v>353</v>
      </c>
      <c r="C11" s="1658">
        <f>SUMIF('ketv. 5 '!$W$9:$W$181,"11",'ketv. 5 '!$X$9:$X$181)</f>
        <v>1</v>
      </c>
      <c r="D11" s="611">
        <f t="shared" si="0"/>
        <v>1</v>
      </c>
      <c r="E11" s="1659">
        <f>SUMIF('ketv. 5 '!$W$9:$W$181,"11",'ketv. 5 '!$K$9:$K$181)</f>
        <v>879927.06</v>
      </c>
      <c r="F11" s="1247">
        <f t="shared" si="1"/>
        <v>879927.06</v>
      </c>
    </row>
    <row r="12" spans="1:6" ht="15.75">
      <c r="A12" s="609">
        <v>12</v>
      </c>
      <c r="B12" s="610" t="s">
        <v>349</v>
      </c>
      <c r="C12" s="1658">
        <f>SUMIF('ketv. 5 '!$W$9:$W$181,"12",'ketv. 5 '!$X$9:$X$181)</f>
        <v>0</v>
      </c>
      <c r="D12" s="611" t="str">
        <f t="shared" si="0"/>
        <v>–</v>
      </c>
      <c r="E12" s="1659">
        <f>SUMIF('ketv. 5 '!$W$9:$W$181,"12",'ketv. 5 '!$K$9:$K$181)</f>
        <v>0</v>
      </c>
      <c r="F12" s="1247" t="str">
        <f t="shared" si="1"/>
        <v>–</v>
      </c>
    </row>
    <row r="13" spans="1:6" ht="16.5" thickBot="1">
      <c r="A13" s="796">
        <v>18</v>
      </c>
      <c r="B13" s="797" t="s">
        <v>1410</v>
      </c>
      <c r="C13" s="1658">
        <f>SUMIF('ketv. 5 '!$W$9:$W$181,"18",'ketv. 5 '!$X$9:$X$181)</f>
        <v>0</v>
      </c>
      <c r="D13" s="611" t="str">
        <f t="shared" si="0"/>
        <v>–</v>
      </c>
      <c r="E13" s="1659">
        <f>SUMIF('ketv. 5 '!$W$9:$W$181,"18",'ketv. 5 '!$K$9:$K$181)</f>
        <v>0</v>
      </c>
      <c r="F13" s="1247" t="str">
        <f t="shared" si="1"/>
        <v>–</v>
      </c>
    </row>
    <row r="14" spans="1:6" ht="47.25">
      <c r="A14" s="609">
        <v>19</v>
      </c>
      <c r="B14" s="610" t="s">
        <v>673</v>
      </c>
      <c r="C14" s="1658">
        <f>SUMIF('ketv. 5 '!$W$9:$W$181,"19",'ketv. 5 '!$X$9:$X$181)</f>
        <v>3</v>
      </c>
      <c r="D14" s="611">
        <f t="shared" si="0"/>
        <v>3</v>
      </c>
      <c r="E14" s="1659">
        <f>SUMIF('ketv. 5 '!$W$9:$W$181,"19",'ketv. 5 '!$K$9:$K$181)</f>
        <v>184308.07</v>
      </c>
      <c r="F14" s="1247">
        <f t="shared" si="1"/>
        <v>184308.07</v>
      </c>
    </row>
    <row r="15" spans="1:6" ht="15.75">
      <c r="A15" s="609">
        <v>22</v>
      </c>
      <c r="B15" s="610" t="s">
        <v>355</v>
      </c>
      <c r="C15" s="1658">
        <f>SUMIF('ketv. 5 '!$W$9:$W$181,"22",'ketv. 5 '!$X$9:$X$181)</f>
        <v>0</v>
      </c>
      <c r="D15" s="611" t="str">
        <f t="shared" si="0"/>
        <v>–</v>
      </c>
      <c r="E15" s="1659">
        <f>SUMIF('ketv. 5 '!$W$9:$W$181,"22",'ketv. 5 '!$K$9:$K$181)</f>
        <v>0</v>
      </c>
      <c r="F15" s="1247" t="str">
        <f t="shared" si="1"/>
        <v>–</v>
      </c>
    </row>
    <row r="16" spans="1:6" ht="15.75">
      <c r="A16" s="609">
        <v>23</v>
      </c>
      <c r="B16" s="610" t="s">
        <v>357</v>
      </c>
      <c r="C16" s="1658">
        <f>SUMIF('ketv. 5 '!$W$9:$W$181,"23",'ketv. 5 '!$X$9:$X$181)</f>
        <v>0</v>
      </c>
      <c r="D16" s="611" t="str">
        <f t="shared" si="0"/>
        <v>–</v>
      </c>
      <c r="E16" s="1659">
        <f>SUMIF('ketv. 5 '!$W$9:$W$181,"23",'ketv. 5 '!$K$9:$K$181)</f>
        <v>0</v>
      </c>
      <c r="F16" s="1247" t="str">
        <f t="shared" si="1"/>
        <v>–</v>
      </c>
    </row>
    <row r="17" spans="1:6" ht="15.75">
      <c r="A17" s="609">
        <v>24</v>
      </c>
      <c r="B17" s="610" t="s">
        <v>356</v>
      </c>
      <c r="C17" s="1658">
        <f>SUMIF('ketv. 5 '!$W$9:$W$181,"24",'ketv. 5 '!$X$9:$X$181)</f>
        <v>0</v>
      </c>
      <c r="D17" s="611" t="str">
        <f t="shared" si="0"/>
        <v>–</v>
      </c>
      <c r="E17" s="1659">
        <f>SUMIF('ketv. 5 '!$W$9:$W$181,"24",'ketv. 5 '!$K$9:$K$181)</f>
        <v>0</v>
      </c>
      <c r="F17" s="1247" t="str">
        <f t="shared" si="1"/>
        <v>–</v>
      </c>
    </row>
    <row r="18" spans="1:6" ht="15.75">
      <c r="A18" s="609">
        <v>25</v>
      </c>
      <c r="B18" s="610" t="s">
        <v>362</v>
      </c>
      <c r="C18" s="1658">
        <f>SUMIF('ketv. 5 '!$W$9:$W$181,"25",'ketv. 5 '!$X$9:$X$181)</f>
        <v>1</v>
      </c>
      <c r="D18" s="611">
        <f t="shared" si="0"/>
        <v>1</v>
      </c>
      <c r="E18" s="1659">
        <f>SUMIF('ketv. 5 '!$W$9:$W$181,"25",'ketv. 5 '!$K$9:$K$181)</f>
        <v>241889</v>
      </c>
      <c r="F18" s="1247">
        <f t="shared" si="1"/>
        <v>241889</v>
      </c>
    </row>
    <row r="19" spans="1:6" ht="15.75">
      <c r="A19" s="609">
        <v>26</v>
      </c>
      <c r="B19" s="610" t="s">
        <v>361</v>
      </c>
      <c r="C19" s="1658">
        <f>SUMIF('ketv. 5 '!$W$9:$W$181,"26",'ketv. 5 '!$X$9:$X$181)</f>
        <v>0</v>
      </c>
      <c r="D19" s="611" t="str">
        <f t="shared" si="0"/>
        <v>–</v>
      </c>
      <c r="E19" s="1659">
        <f>SUMIF('ketv. 5 '!$W$9:$W$181,"26",'ketv. 5 '!$K$9:$K$181)</f>
        <v>0</v>
      </c>
      <c r="F19" s="1247" t="str">
        <f t="shared" si="1"/>
        <v>–</v>
      </c>
    </row>
    <row r="20" spans="1:6" ht="15.75">
      <c r="A20" s="609">
        <v>27</v>
      </c>
      <c r="B20" s="610" t="s">
        <v>1432</v>
      </c>
      <c r="C20" s="1658">
        <f>SUMIF('ketv. 5 '!$W$9:$W$181,"27",'ketv. 5 '!$X$9:$X$181)</f>
        <v>2</v>
      </c>
      <c r="D20" s="611">
        <f t="shared" si="0"/>
        <v>2</v>
      </c>
      <c r="E20" s="1659">
        <f>SUMIF('ketv. 5 '!$W$9:$W$181,"27",'ketv. 5 '!$K$9:$K$181)</f>
        <v>747051.8</v>
      </c>
      <c r="F20" s="1247">
        <f t="shared" si="1"/>
        <v>747051.8</v>
      </c>
    </row>
    <row r="21" spans="1:6" ht="31.5">
      <c r="A21" s="609">
        <v>28</v>
      </c>
      <c r="B21" s="610" t="s">
        <v>336</v>
      </c>
      <c r="C21" s="1658">
        <f>SUMIF('ketv. 5 '!$W$9:$W$181,"28",'ketv. 5 '!$X$9:$X$181)</f>
        <v>0</v>
      </c>
      <c r="D21" s="611" t="str">
        <f t="shared" si="0"/>
        <v>–</v>
      </c>
      <c r="E21" s="1659">
        <f>SUMIF('ketv. 5 '!$W$9:$W$181,"28",'ketv. 5 '!$K$9:$K$181)</f>
        <v>0</v>
      </c>
      <c r="F21" s="1247" t="str">
        <f t="shared" si="1"/>
        <v>–</v>
      </c>
    </row>
    <row r="22" spans="1:6" ht="31.5">
      <c r="A22" s="609">
        <v>29</v>
      </c>
      <c r="B22" s="610" t="s">
        <v>334</v>
      </c>
      <c r="C22" s="1658">
        <f>SUMIF('ketv. 5 '!$W$9:$W$181,"29",'ketv. 5 '!$X$9:$X$181)</f>
        <v>1</v>
      </c>
      <c r="D22" s="611">
        <f t="shared" si="0"/>
        <v>1</v>
      </c>
      <c r="E22" s="1659">
        <f>SUMIF('ketv. 5 '!$W$9:$W$181,"29",'ketv. 5 '!$K$9:$K$181)</f>
        <v>1516825.67</v>
      </c>
      <c r="F22" s="1247">
        <f t="shared" si="1"/>
        <v>1516825.67</v>
      </c>
    </row>
    <row r="23" spans="1:6" ht="31.5">
      <c r="A23" s="609">
        <v>30</v>
      </c>
      <c r="B23" s="610" t="s">
        <v>333</v>
      </c>
      <c r="C23" s="1658">
        <f>SUMIF('ketv. 5 '!$W$9:$W$181,"30",'ketv. 5 '!$X$9:$X$181)</f>
        <v>0</v>
      </c>
      <c r="D23" s="611" t="str">
        <f t="shared" si="0"/>
        <v>–</v>
      </c>
      <c r="E23" s="1659">
        <f>SUMIF('ketv. 5 '!$W$9:$W$181,"30",'ketv. 5 '!$K$9:$K$181)</f>
        <v>0</v>
      </c>
      <c r="F23" s="1247" t="str">
        <f t="shared" si="1"/>
        <v>–</v>
      </c>
    </row>
    <row r="24" spans="1:6" ht="47.25">
      <c r="A24" s="609">
        <v>31</v>
      </c>
      <c r="B24" s="610" t="s">
        <v>338</v>
      </c>
      <c r="C24" s="1658">
        <f>SUMIF('ketv. 5 '!$W$9:$W$181,"31",'ketv. 5 '!$X$9:$X$181)</f>
        <v>1</v>
      </c>
      <c r="D24" s="611">
        <f t="shared" si="0"/>
        <v>1</v>
      </c>
      <c r="E24" s="1659">
        <f>SUMIF('ketv. 5 '!$W$9:$W$181,"31",'ketv. 5 '!$K$9:$K$181)</f>
        <v>1286060.7500000002</v>
      </c>
      <c r="F24" s="1247">
        <f t="shared" si="1"/>
        <v>1286060.7500000002</v>
      </c>
    </row>
    <row r="25" spans="1:6" ht="31.5">
      <c r="A25" s="609">
        <v>32</v>
      </c>
      <c r="B25" s="610" t="s">
        <v>358</v>
      </c>
      <c r="C25" s="1658">
        <f>SUMIF('ketv. 5 '!$W$9:$W$181,"32",'ketv. 5 '!$X$9:$X$181)</f>
        <v>0</v>
      </c>
      <c r="D25" s="611" t="str">
        <f t="shared" si="0"/>
        <v>–</v>
      </c>
      <c r="E25" s="1659">
        <f>SUMIF('ketv. 5 '!$W$9:$W$181,"32",'ketv. 5 '!$K$9:$K$181)</f>
        <v>0</v>
      </c>
      <c r="F25" s="1247" t="str">
        <f t="shared" si="1"/>
        <v>–</v>
      </c>
    </row>
    <row r="26" spans="1:6" ht="31.5">
      <c r="A26" s="609">
        <v>33</v>
      </c>
      <c r="B26" s="610" t="s">
        <v>344</v>
      </c>
      <c r="C26" s="1658">
        <f>SUMIF('ketv. 5 '!$W$9:$W$181,"33",'ketv. 5 '!$X$9:$X$181)</f>
        <v>0</v>
      </c>
      <c r="D26" s="611" t="str">
        <f t="shared" si="0"/>
        <v>–</v>
      </c>
      <c r="E26" s="1659">
        <f>SUMIF('ketv. 5 '!$W$9:$W$181,"33",'ketv. 5 '!$K$9:$K$181)</f>
        <v>0</v>
      </c>
      <c r="F26" s="1247" t="str">
        <f t="shared" si="1"/>
        <v>–</v>
      </c>
    </row>
    <row r="27" spans="1:6" ht="47.25">
      <c r="A27" s="609">
        <v>34</v>
      </c>
      <c r="B27" s="610" t="s">
        <v>335</v>
      </c>
      <c r="C27" s="1658">
        <f>SUMIF('ketv. 5 '!$W$9:$W$181,"34",'ketv. 5 '!$X$9:$X$181)</f>
        <v>0</v>
      </c>
      <c r="D27" s="611" t="str">
        <f t="shared" si="0"/>
        <v>–</v>
      </c>
      <c r="E27" s="1659">
        <f>SUMIF('ketv. 5 '!$W$9:$W$181,"34",'ketv. 5 '!$K$9:$K$181)</f>
        <v>0</v>
      </c>
      <c r="F27" s="1247" t="str">
        <f t="shared" si="1"/>
        <v>–</v>
      </c>
    </row>
    <row r="28" spans="1:6" ht="31.5">
      <c r="A28" s="609">
        <v>36</v>
      </c>
      <c r="B28" s="610" t="s">
        <v>337</v>
      </c>
      <c r="C28" s="1658">
        <f>SUMIF('ketv. 5 '!$W$9:$W$181,"36",'ketv. 5 '!$X$9:$X$181)</f>
        <v>0</v>
      </c>
      <c r="D28" s="611" t="str">
        <f t="shared" si="0"/>
        <v>–</v>
      </c>
      <c r="E28" s="1659">
        <f>SUMIF('ketv. 5 '!$W$9:$W$181,"36",'ketv. 5 '!$K$9:$K$181)</f>
        <v>0</v>
      </c>
      <c r="F28" s="1247" t="str">
        <f t="shared" si="1"/>
        <v>–</v>
      </c>
    </row>
    <row r="29" spans="1:6" ht="31.5">
      <c r="A29" s="609">
        <v>38</v>
      </c>
      <c r="B29" s="610" t="s">
        <v>365</v>
      </c>
      <c r="C29" s="1658">
        <f>SUMIF('ketv. 5 '!$W$9:$W$181,"38",'ketv. 5 '!$X$9:$X$181)</f>
        <v>2</v>
      </c>
      <c r="D29" s="611">
        <f t="shared" si="0"/>
        <v>2</v>
      </c>
      <c r="E29" s="1659">
        <f>SUMIF('ketv. 5 '!$W$9:$W$181,"38",'ketv. 5 '!$K$9:$K$181)</f>
        <v>222919.22999999998</v>
      </c>
      <c r="F29" s="1247">
        <f t="shared" si="1"/>
        <v>222919.22999999998</v>
      </c>
    </row>
    <row r="30" spans="1:6" ht="15.75">
      <c r="A30" s="609">
        <v>41</v>
      </c>
      <c r="B30" s="610" t="s">
        <v>352</v>
      </c>
      <c r="C30" s="1658">
        <f>SUMIF('ketv. 5 '!$W$9:$W$181,"41",'ketv. 5 '!$X$9:$X$181)</f>
        <v>0</v>
      </c>
      <c r="D30" s="611" t="str">
        <f t="shared" si="0"/>
        <v>–</v>
      </c>
      <c r="E30" s="1659">
        <f>SUMIF('ketv. 5 '!$W$9:$W$181,"41",'ketv. 5 '!$K$9:$K$181)</f>
        <v>0</v>
      </c>
      <c r="F30" s="1247" t="str">
        <f t="shared" si="1"/>
        <v>–</v>
      </c>
    </row>
    <row r="31" spans="1:6" ht="15.75">
      <c r="A31" s="609">
        <v>42</v>
      </c>
      <c r="B31" s="610" t="s">
        <v>343</v>
      </c>
      <c r="C31" s="1658">
        <f>SUMIF('ketv. 5 '!$W$9:$W$181,"42",'ketv. 5 '!$X$9:$X$181)</f>
        <v>0</v>
      </c>
      <c r="D31" s="611" t="str">
        <f t="shared" si="0"/>
        <v>–</v>
      </c>
      <c r="E31" s="1659">
        <f>SUMIF('ketv. 5 '!$W$9:$W$181,"42",'ketv. 5 '!$K$9:$K$181)</f>
        <v>0</v>
      </c>
      <c r="F31" s="1247" t="str">
        <f t="shared" si="1"/>
        <v>–</v>
      </c>
    </row>
    <row r="32" spans="1:6" ht="15.75">
      <c r="A32" s="609">
        <v>44</v>
      </c>
      <c r="B32" s="610" t="s">
        <v>347</v>
      </c>
      <c r="C32" s="1658">
        <f>SUMIF('ketv. 5 '!$W$9:$W$181,"44",'ketv. 5 '!$X$9:$X$181)</f>
        <v>0</v>
      </c>
      <c r="D32" s="611" t="str">
        <f t="shared" si="0"/>
        <v>–</v>
      </c>
      <c r="E32" s="1659">
        <f>SUMIF('ketv. 5 '!$W$9:$W$181,"44",'ketv. 5 '!$K$9:$K$181)</f>
        <v>0</v>
      </c>
      <c r="F32" s="1247" t="str">
        <f t="shared" si="1"/>
        <v>–</v>
      </c>
    </row>
    <row r="33" spans="1:6" ht="15.75">
      <c r="A33" s="609">
        <v>47</v>
      </c>
      <c r="B33" s="610" t="s">
        <v>359</v>
      </c>
      <c r="C33" s="1658">
        <f>SUMIF('ketv. 5 '!$W$9:$W$181,"47",'ketv. 5 '!$X$9:$X$181)</f>
        <v>0</v>
      </c>
      <c r="D33" s="611" t="str">
        <f t="shared" si="0"/>
        <v>–</v>
      </c>
      <c r="E33" s="1659">
        <f>SUMIF('ketv. 5 '!$W$9:$W$181,"47",'ketv. 5 '!$K$9:$K$181)</f>
        <v>0</v>
      </c>
      <c r="F33" s="1247" t="str">
        <f t="shared" si="1"/>
        <v>–</v>
      </c>
    </row>
    <row r="34" spans="1:6" ht="15.75">
      <c r="A34" s="609">
        <v>48</v>
      </c>
      <c r="B34" s="610" t="s">
        <v>360</v>
      </c>
      <c r="C34" s="1658">
        <f>SUMIF('ketv. 5 '!$W$9:$W$181,"48",'ketv. 5 '!$X$9:$X$181)</f>
        <v>0</v>
      </c>
      <c r="D34" s="611" t="str">
        <f t="shared" si="0"/>
        <v>–</v>
      </c>
      <c r="E34" s="1659">
        <f>SUMIF('ketv. 5 '!$W$9:$W$181,"48",'ketv. 5 '!$K$9:$K$181)</f>
        <v>0</v>
      </c>
      <c r="F34" s="1247" t="str">
        <f t="shared" si="1"/>
        <v>–</v>
      </c>
    </row>
    <row r="35" spans="1:6" ht="15.75">
      <c r="A35" s="609">
        <v>49</v>
      </c>
      <c r="B35" s="610" t="s">
        <v>363</v>
      </c>
      <c r="C35" s="1658">
        <f>SUMIF('ketv. 5 '!$W$9:$W$181,"49",'ketv. 5 '!$X$9:$X$181)</f>
        <v>0</v>
      </c>
      <c r="D35" s="611" t="str">
        <f t="shared" si="0"/>
        <v>–</v>
      </c>
      <c r="E35" s="1659">
        <f>SUMIF('ketv. 5 '!$W$9:$W$181,"49",'ketv. 5 '!$K$9:$K$181)</f>
        <v>0</v>
      </c>
      <c r="F35" s="1247" t="str">
        <f t="shared" si="1"/>
        <v>–</v>
      </c>
    </row>
    <row r="36" spans="1:6" ht="15.75">
      <c r="A36" s="609">
        <v>50</v>
      </c>
      <c r="B36" s="610" t="s">
        <v>354</v>
      </c>
      <c r="C36" s="1658">
        <f>SUMIF('ketv. 5 '!$W$9:$W$181,"50",'ketv. 5 '!$X$9:$X$181)</f>
        <v>0</v>
      </c>
      <c r="D36" s="611" t="str">
        <f t="shared" si="0"/>
        <v>–</v>
      </c>
      <c r="E36" s="1659">
        <f>SUMIF('ketv. 5 '!$W$9:$W$181,"50",'ketv. 5 '!$K$9:$K$181)</f>
        <v>0</v>
      </c>
      <c r="F36" s="1247" t="str">
        <f t="shared" si="1"/>
        <v>–</v>
      </c>
    </row>
    <row r="38" spans="1:6">
      <c r="E38" s="799">
        <f>SUM(E4:E37)</f>
        <v>5078981.58</v>
      </c>
      <c r="F38" s="799"/>
    </row>
  </sheetData>
  <pageMargins left="0.70866141732283472" right="0.70866141732283472" top="0.74803149606299213" bottom="0.74803149606299213" header="0.31496062992125984" footer="0.31496062992125984"/>
  <pageSetup paperSize="9" fitToHeight="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U54"/>
  <sheetViews>
    <sheetView topLeftCell="A2" workbookViewId="0">
      <pane ySplit="1575" activePane="bottomLeft"/>
      <selection sqref="A1:XFD1048576"/>
      <selection pane="bottomLeft" activeCell="B15" sqref="B15"/>
    </sheetView>
  </sheetViews>
  <sheetFormatPr defaultColWidth="9.140625" defaultRowHeight="15"/>
  <cols>
    <col min="1" max="1" width="9.140625" style="21" bestFit="1" customWidth="1"/>
    <col min="2" max="2" width="80.42578125" style="21" customWidth="1"/>
    <col min="3" max="3" width="7.5703125" style="21" bestFit="1" customWidth="1"/>
    <col min="4" max="4" width="5.7109375" style="21" hidden="1" customWidth="1"/>
    <col min="5" max="5" width="5.7109375" style="21" customWidth="1"/>
    <col min="6" max="6" width="7.28515625" style="21" hidden="1" customWidth="1"/>
    <col min="7" max="7" width="7.28515625" style="21" customWidth="1"/>
    <col min="8" max="8" width="7.28515625" style="21" hidden="1" customWidth="1"/>
    <col min="9" max="9" width="7.28515625" style="21" customWidth="1"/>
    <col min="10" max="10" width="9" style="21" hidden="1" customWidth="1"/>
    <col min="11" max="11" width="9" style="21" customWidth="1"/>
    <col min="12" max="12" width="9" style="21" hidden="1" customWidth="1"/>
    <col min="13" max="13" width="9" style="21" customWidth="1"/>
    <col min="14" max="21" width="9" style="21" hidden="1" customWidth="1"/>
    <col min="22" max="16384" width="9.140625" style="21"/>
  </cols>
  <sheetData>
    <row r="1" spans="1:21">
      <c r="A1" s="2158" t="s">
        <v>1792</v>
      </c>
      <c r="B1" s="1846"/>
      <c r="C1" s="1846"/>
      <c r="D1" s="1846"/>
      <c r="E1" s="1846"/>
      <c r="F1" s="1846"/>
      <c r="G1" s="1846"/>
      <c r="H1" s="1846"/>
      <c r="I1" s="1846"/>
      <c r="J1" s="1846"/>
      <c r="K1" s="1846"/>
      <c r="L1" s="1846"/>
      <c r="M1" s="1846"/>
      <c r="N1" s="1846"/>
      <c r="O1" s="1846"/>
      <c r="P1" s="1846"/>
    </row>
    <row r="2" spans="1:21" ht="15.75" thickBot="1"/>
    <row r="3" spans="1:21" ht="16.5" thickBot="1">
      <c r="A3" s="1179" t="s">
        <v>366</v>
      </c>
      <c r="B3" s="1180" t="s">
        <v>743</v>
      </c>
      <c r="C3" s="1180" t="s">
        <v>736</v>
      </c>
      <c r="D3" s="1649">
        <v>2015</v>
      </c>
      <c r="E3" s="1180">
        <v>2015</v>
      </c>
      <c r="F3" s="1649">
        <v>2016</v>
      </c>
      <c r="G3" s="1180">
        <v>2016</v>
      </c>
      <c r="H3" s="1649">
        <v>2017</v>
      </c>
      <c r="I3" s="1180">
        <v>2017</v>
      </c>
      <c r="J3" s="1649">
        <v>2018</v>
      </c>
      <c r="K3" s="1180">
        <v>2018</v>
      </c>
      <c r="L3" s="1649">
        <v>2019</v>
      </c>
      <c r="M3" s="1180">
        <v>2019</v>
      </c>
      <c r="N3" s="1649">
        <v>2020</v>
      </c>
      <c r="O3" s="1180">
        <v>2020</v>
      </c>
      <c r="P3" s="1649">
        <v>2021</v>
      </c>
      <c r="Q3" s="1180">
        <v>2021</v>
      </c>
      <c r="R3" s="1649">
        <v>2022</v>
      </c>
      <c r="S3" s="1180">
        <v>2022</v>
      </c>
      <c r="T3" s="1652">
        <v>2023</v>
      </c>
      <c r="U3" s="1181">
        <v>2023</v>
      </c>
    </row>
    <row r="4" spans="1:21" ht="30">
      <c r="A4" s="1182" t="s">
        <v>448</v>
      </c>
      <c r="B4" s="1655" t="s">
        <v>449</v>
      </c>
      <c r="C4" s="1183"/>
      <c r="D4" s="1650">
        <v>0</v>
      </c>
      <c r="E4" s="1183" t="str">
        <f>IF(D4&gt;0,D4,"–")</f>
        <v>–</v>
      </c>
      <c r="F4" s="1650">
        <v>0</v>
      </c>
      <c r="G4" s="1183" t="str">
        <f>IF(F4&gt;0,F4,"–")</f>
        <v>–</v>
      </c>
      <c r="H4" s="1650">
        <f ca="1">(SUMIF('3 pr-3'!$L$7:$AC$700,A4,'3 pr-3'!$N$7:$N$700)+SUMIF('3 pr-3'!$AF$7:$AF$700,A4,'3 pr-3'!$AH$7:$AH$700)+SUMIF('3 pr-3'!$AZ$7:$AZ$700,A4,'3 pr-3'!$BB$7:$BB$700)+SUMIF('3 pr-3'!$BT$7:$BT$700,A4,'3 pr-3'!$BV$7:$BV$700)+SUMIF('3 pr-3'!$CN$7:$CN$700,A4,'3 pr-3'!$CP$7:$CP$700))+F4</f>
        <v>0</v>
      </c>
      <c r="I4" s="1183" t="str">
        <f ca="1">IF(H4&gt;0,H4,"–")</f>
        <v>–</v>
      </c>
      <c r="J4" s="1650">
        <f ca="1">(SUMIF('3 pr-3'!$L$7:$AC$700,$A4,'3 pr-3'!$O$7:$O$700)+SUMIF('3 pr-3'!$AF$7:$AF$700,$A4,'3 pr-3'!$AI$7:$AI$700)+SUMIF('3 pr-3'!$AZ$7:$AZ$700,$A4,'3 pr-3'!$BC$7:$BC$700)+SUMIF('3 pr-3'!$BT$7:$BT$700,$A4,'3 pr-3'!$BW$7:$BW$700)+SUMIF('3 pr-3'!$CN$7:$CN$700,$A4,'3 pr-3'!$CQ$7:$CQ$700))+H4</f>
        <v>0</v>
      </c>
      <c r="K4" s="1183" t="str">
        <f ca="1">IF(J4&gt;0,J4,"–")</f>
        <v>–</v>
      </c>
      <c r="L4" s="1650">
        <f ca="1">(SUMIF('3 pr-3'!$L$7:$AC$700,$A4,'3 pr-3'!$P$7:$P$700)+SUMIF('3 pr-3'!$AF$7:$AF$700,$A4,'3 pr-3'!$AJ$7:$AJ$700)+SUMIF('3 pr-3'!$AZ$7:$AZ$700,$A4,'3 pr-3'!$BD$7:$BD$700)+SUMIF('3 pr-3'!$BT$7:$BT$700,$A4,'3 pr-3'!$BX$7:$BX$700)+SUMIF('3 pr-3'!$CN$7:$CN$700,$A4,'3 pr-3'!$CR$7:$CR$700))+J4</f>
        <v>0</v>
      </c>
      <c r="M4" s="1183" t="str">
        <f ca="1">IF(L4&gt;0,L4,"–")</f>
        <v>–</v>
      </c>
      <c r="N4" s="1650">
        <f ca="1">(SUMIF('3 pr-3'!$L$7:$AC$700,$A4,'3 pr-3'!$Q$7:$Q$700)+SUMIF('3 pr-3'!$AF$7:$AF$700,$A4,'3 pr-3'!$AK$7:$AK$700)+SUMIF('3 pr-3'!$AZ$7:$AZ$700,$A4,'3 pr-3'!$BE$7:$BE$700)+SUMIF('3 pr-3'!$BT$7:$BT$700,$A4,'3 pr-3'!$BY$7:$BY$700)+SUMIF('3 pr-3'!$CN$7:$CN$700,$A4,'3 pr-3'!$CS$7:$CS$700))+L4</f>
        <v>0</v>
      </c>
      <c r="O4" s="1183" t="str">
        <f ca="1">IF(N4&gt;0,N4,"–")</f>
        <v>–</v>
      </c>
      <c r="P4" s="1650">
        <f ca="1">(SUMIF('3 pr-3'!$L$7:$AC$700,$A4,'3 pr-3'!$R$7:$R$700)+SUMIF('3 pr-3'!$AF$7:$AF$700,$A4,'3 pr-3'!$AL$7:$AL$700)+SUMIF('3 pr-3'!$AZ$7:$AZ$700,$A4,'3 pr-3'!$BF$7:$BF$700)+SUMIF('3 pr-3'!$BT$7:$BT$700,$A4,'3 pr-3'!$BZ$7:$BZ$700)+SUMIF('3 pr-3'!$CN$7:$CN$700,$A4,'3 pr-3'!$CT$7:$CT$700))+N4</f>
        <v>0</v>
      </c>
      <c r="Q4" s="1183" t="str">
        <f ca="1">IF(P4&gt;0,P4,"–")</f>
        <v>–</v>
      </c>
      <c r="R4" s="1650">
        <f ca="1">(SUMIF('3 pr-3'!$L$7:$AC$700,$A4,'3 pr-3'!$S$7:$S$700)+SUMIF('3 pr-3'!$AF$7:$AF$700,$A4,'3 pr-3'!$AM$7:$AM$700)+SUMIF('3 pr-3'!$AZ$7:$AZ$700,$A4,'3 pr-3'!$BG$7:$BG$700)+SUMIF('3 pr-3'!$BT$7:$BT$700,$A4,'3 pr-3'!$CA$7:$CA$700)+SUMIF('3 pr-3'!$CN$7:$CN$700,$A4,'3 pr-3'!$CU$7:$CU$700))+P4</f>
        <v>0</v>
      </c>
      <c r="S4" s="1183" t="str">
        <f ca="1">IF(R4&gt;0,R4,"–")</f>
        <v>–</v>
      </c>
      <c r="T4" s="1650">
        <f ca="1">(SUMIF('3 pr-3'!$L$7:$AC$700,$A4,'3 pr-3'!$T$7:$T$700)+SUMIF('3 pr-3'!$AF$7:$AF$700,$A4,'3 pr-3'!$AN$7:$AN$700)+SUMIF('3 pr-3'!$AZ$7:$AZ$700,$A4,'3 pr-3'!$BH$7:$BH$700)+SUMIF('3 pr-3'!$BT$7:$BT$700,$A4,'3 pr-3'!$CB$7:$CB$700)+SUMIF('3 pr-3'!$CN$7:$CN$700,$A4,'3 pr-3'!$CV$7:$CV$700))+R4</f>
        <v>0</v>
      </c>
      <c r="U4" s="1183" t="str">
        <f ca="1">IF(T4&gt;0,T4,"–")</f>
        <v>–</v>
      </c>
    </row>
    <row r="5" spans="1:21" ht="30">
      <c r="A5" s="1184" t="s">
        <v>450</v>
      </c>
      <c r="B5" s="1656" t="s">
        <v>451</v>
      </c>
      <c r="C5" s="618"/>
      <c r="D5" s="1651">
        <v>0</v>
      </c>
      <c r="E5" s="1183" t="str">
        <f t="shared" ref="E5:E51" si="0">IF(D5&gt;0,D5,"–")</f>
        <v>–</v>
      </c>
      <c r="F5" s="1651">
        <v>0</v>
      </c>
      <c r="G5" s="1183" t="str">
        <f t="shared" ref="G5:G51" si="1">IF(F5&gt;0,F5,"–")</f>
        <v>–</v>
      </c>
      <c r="H5" s="1650">
        <f ca="1">(SUMIF('3 pr-3'!$L$7:$AC$700,A5,'3 pr-3'!$N$7:$N$700)+SUMIF('3 pr-3'!$AF$7:$AF$700,A5,'3 pr-3'!$AH$7:$AH$700)+SUMIF('3 pr-3'!$AZ$7:$AZ$700,A5,'3 pr-3'!$BB$7:$BB$700)+SUMIF('3 pr-3'!$BT$7:$BT$700,A5,'3 pr-3'!$BV$7:$BV$700)+SUMIF('3 pr-3'!$CN$7:$CN$700,A5,'3 pr-3'!$CP$7:$CP$700))+F5</f>
        <v>0</v>
      </c>
      <c r="I5" s="596" t="str">
        <f t="shared" ref="I5:I51" ca="1" si="2">IF(H5&gt;0,H5,"–")</f>
        <v>–</v>
      </c>
      <c r="J5" s="1650">
        <f ca="1">(SUMIF('3 pr-3'!$L$7:$AC$700,$A5,'3 pr-3'!$O$7:$O$700)+SUMIF('3 pr-3'!$AF$7:$AF$700,$A5,'3 pr-3'!$AI$7:$AI$700)+SUMIF('3 pr-3'!$AZ$7:$AZ$700,$A5,'3 pr-3'!$BC$7:$BC$700)+SUMIF('3 pr-3'!$BT$7:$BT$700,$A5,'3 pr-3'!$BW$7:$BW$700)+SUMIF('3 pr-3'!$CN$7:$CN$700,$A5,'3 pr-3'!$CQ$7:$CQ$700))+H5</f>
        <v>0</v>
      </c>
      <c r="K5" s="1183" t="str">
        <f t="shared" ref="K5:K51" ca="1" si="3">IF(J5&gt;0,J5,"–")</f>
        <v>–</v>
      </c>
      <c r="L5" s="1650">
        <f ca="1">(SUMIF('3 pr-3'!$L$7:$AC$700,$A5,'3 pr-3'!$P$7:$P$700)+SUMIF('3 pr-3'!$AF$7:$AF$700,$A5,'3 pr-3'!$AJ$7:$AJ$700)+SUMIF('3 pr-3'!$AZ$7:$AZ$700,$A5,'3 pr-3'!$BD$7:$BD$700)+SUMIF('3 pr-3'!$BT$7:$BT$700,$A5,'3 pr-3'!$BX$7:$BX$700)+SUMIF('3 pr-3'!$CN$7:$CN$700,$A5,'3 pr-3'!$CR$7:$CR$700))+J5</f>
        <v>0</v>
      </c>
      <c r="M5" s="1183" t="str">
        <f t="shared" ref="M5:M51" ca="1" si="4">IF(L5&gt;0,L5,"–")</f>
        <v>–</v>
      </c>
      <c r="N5" s="1650">
        <f ca="1">(SUMIF('3 pr-3'!$L$7:$AC$700,$A5,'3 pr-3'!$Q$7:$Q$700)+SUMIF('3 pr-3'!$AF$7:$AF$700,$A5,'3 pr-3'!$AK$7:$AK$700)+SUMIF('3 pr-3'!$AZ$7:$AZ$700,$A5,'3 pr-3'!$BE$7:$BE$700)+SUMIF('3 pr-3'!$BT$7:$BT$700,$A5,'3 pr-3'!$BY$7:$BY$700)+SUMIF('3 pr-3'!$CN$7:$CN$700,$A5,'3 pr-3'!$CS$7:$CS$700))+L5</f>
        <v>0</v>
      </c>
      <c r="O5" s="1183" t="str">
        <f t="shared" ref="O5:O51" ca="1" si="5">IF(N5&gt;0,N5,"–")</f>
        <v>–</v>
      </c>
      <c r="P5" s="1650">
        <f ca="1">(SUMIF('3 pr-3'!$L$7:$AC$700,$A5,'3 pr-3'!$R$7:$R$700)+SUMIF('3 pr-3'!$AF$7:$AF$700,$A5,'3 pr-3'!$AL$7:$AL$700)+SUMIF('3 pr-3'!$AZ$7:$AZ$700,$A5,'3 pr-3'!$BF$7:$BF$700)+SUMIF('3 pr-3'!$BT$7:$BT$700,$A5,'3 pr-3'!$BZ$7:$BZ$700)+SUMIF('3 pr-3'!$CN$7:$CN$700,$A5,'3 pr-3'!$CT$7:$CT$700))+N5</f>
        <v>0</v>
      </c>
      <c r="Q5" s="1183" t="str">
        <f t="shared" ref="Q5:Q51" ca="1" si="6">IF(P5&gt;0,P5,"–")</f>
        <v>–</v>
      </c>
      <c r="R5" s="1650">
        <f ca="1">(SUMIF('3 pr-3'!$L$7:$AC$700,$A5,'3 pr-3'!$S$7:$S$700)+SUMIF('3 pr-3'!$AF$7:$AF$700,$A5,'3 pr-3'!$AM$7:$AM$700)+SUMIF('3 pr-3'!$AZ$7:$AZ$700,$A5,'3 pr-3'!$BG$7:$BG$700)+SUMIF('3 pr-3'!$BT$7:$BT$700,$A5,'3 pr-3'!$CA$7:$CA$700)+SUMIF('3 pr-3'!$CN$7:$CN$700,$A5,'3 pr-3'!$CU$7:$CU$700))+P5</f>
        <v>0</v>
      </c>
      <c r="S5" s="1183" t="str">
        <f t="shared" ref="S5:S51" ca="1" si="7">IF(R5&gt;0,R5,"–")</f>
        <v>–</v>
      </c>
      <c r="T5" s="1650">
        <f ca="1">(SUMIF('3 pr-3'!$L$7:$AC$700,$A5,'3 pr-3'!$T$7:$T$700)+SUMIF('3 pr-3'!$AF$7:$AF$700,$A5,'3 pr-3'!$AN$7:$AN$700)+SUMIF('3 pr-3'!$AZ$7:$AZ$700,$A5,'3 pr-3'!$BH$7:$BH$700)+SUMIF('3 pr-3'!$BT$7:$BT$700,$A5,'3 pr-3'!$CB$7:$CB$700)+SUMIF('3 pr-3'!$CN$7:$CN$700,$A5,'3 pr-3'!$CV$7:$CV$700))+R5</f>
        <v>0</v>
      </c>
      <c r="U5" s="1183" t="str">
        <f t="shared" ref="U5:U51" ca="1" si="8">IF(T5&gt;0,T5,"–")</f>
        <v>–</v>
      </c>
    </row>
    <row r="6" spans="1:21" ht="30">
      <c r="A6" s="1184" t="s">
        <v>452</v>
      </c>
      <c r="B6" s="1656" t="s">
        <v>778</v>
      </c>
      <c r="C6" s="618"/>
      <c r="D6" s="1651">
        <v>0</v>
      </c>
      <c r="E6" s="1183" t="str">
        <f t="shared" si="0"/>
        <v>–</v>
      </c>
      <c r="F6" s="1651">
        <v>0</v>
      </c>
      <c r="G6" s="1183" t="str">
        <f t="shared" si="1"/>
        <v>–</v>
      </c>
      <c r="H6" s="1650">
        <f ca="1">(SUMIF('3 pr-3'!$L$7:$AC$700,A6,'3 pr-3'!$N$7:$N$700)+SUMIF('3 pr-3'!$AF$7:$AF$700,A6,'3 pr-3'!$AH$7:$AH$700)+SUMIF('3 pr-3'!$AZ$7:$AZ$700,A6,'3 pr-3'!$BB$7:$BB$700)+SUMIF('3 pr-3'!$BT$7:$BT$700,A6,'3 pr-3'!$BV$7:$BV$700)+SUMIF('3 pr-3'!$CN$7:$CN$700,A6,'3 pr-3'!$CP$7:$CP$700))+F6</f>
        <v>0</v>
      </c>
      <c r="I6" s="618" t="str">
        <f t="shared" ca="1" si="2"/>
        <v>–</v>
      </c>
      <c r="J6" s="1650">
        <f ca="1">(SUMIF('3 pr-3'!$L$7:$AC$700,$A6,'3 pr-3'!$O$7:$O$700)+SUMIF('3 pr-3'!$AF$7:$AF$700,$A6,'3 pr-3'!$AI$7:$AI$700)+SUMIF('3 pr-3'!$AZ$7:$AZ$700,$A6,'3 pr-3'!$BC$7:$BC$700)+SUMIF('3 pr-3'!$BT$7:$BT$700,$A6,'3 pr-3'!$BW$7:$BW$700)+SUMIF('3 pr-3'!$CN$7:$CN$700,$A6,'3 pr-3'!$CQ$7:$CQ$700))+H6</f>
        <v>0</v>
      </c>
      <c r="K6" s="1183" t="str">
        <f t="shared" ca="1" si="3"/>
        <v>–</v>
      </c>
      <c r="L6" s="1650">
        <f ca="1">(SUMIF('3 pr-3'!$L$7:$AC$700,$A6,'3 pr-3'!$P$7:$P$700)+SUMIF('3 pr-3'!$AF$7:$AF$700,$A6,'3 pr-3'!$AJ$7:$AJ$700)+SUMIF('3 pr-3'!$AZ$7:$AZ$700,$A6,'3 pr-3'!$BD$7:$BD$700)+SUMIF('3 pr-3'!$BT$7:$BT$700,$A6,'3 pr-3'!$BX$7:$BX$700)+SUMIF('3 pr-3'!$CN$7:$CN$700,$A6,'3 pr-3'!$CR$7:$CR$700))+J6</f>
        <v>0</v>
      </c>
      <c r="M6" s="1183" t="str">
        <f t="shared" ca="1" si="4"/>
        <v>–</v>
      </c>
      <c r="N6" s="1650">
        <f ca="1">(SUMIF('3 pr-3'!$L$7:$AC$700,$A6,'3 pr-3'!$Q$7:$Q$700)+SUMIF('3 pr-3'!$AF$7:$AF$700,$A6,'3 pr-3'!$AK$7:$AK$700)+SUMIF('3 pr-3'!$AZ$7:$AZ$700,$A6,'3 pr-3'!$BE$7:$BE$700)+SUMIF('3 pr-3'!$BT$7:$BT$700,$A6,'3 pr-3'!$BY$7:$BY$700)+SUMIF('3 pr-3'!$CN$7:$CN$700,$A6,'3 pr-3'!$CS$7:$CS$700))+L6</f>
        <v>0</v>
      </c>
      <c r="O6" s="1183" t="str">
        <f t="shared" ca="1" si="5"/>
        <v>–</v>
      </c>
      <c r="P6" s="1650">
        <f ca="1">(SUMIF('3 pr-3'!$L$7:$AC$700,$A6,'3 pr-3'!$R$7:$R$700)+SUMIF('3 pr-3'!$AF$7:$AF$700,$A6,'3 pr-3'!$AL$7:$AL$700)+SUMIF('3 pr-3'!$AZ$7:$AZ$700,$A6,'3 pr-3'!$BF$7:$BF$700)+SUMIF('3 pr-3'!$BT$7:$BT$700,$A6,'3 pr-3'!$BZ$7:$BZ$700)+SUMIF('3 pr-3'!$CN$7:$CN$700,$A6,'3 pr-3'!$CT$7:$CT$700))+N6</f>
        <v>0</v>
      </c>
      <c r="Q6" s="1183" t="str">
        <f t="shared" ca="1" si="6"/>
        <v>–</v>
      </c>
      <c r="R6" s="1650">
        <f ca="1">(SUMIF('3 pr-3'!$L$7:$AC$700,$A6,'3 pr-3'!$S$7:$S$700)+SUMIF('3 pr-3'!$AF$7:$AF$700,$A6,'3 pr-3'!$AM$7:$AM$700)+SUMIF('3 pr-3'!$AZ$7:$AZ$700,$A6,'3 pr-3'!$BG$7:$BG$700)+SUMIF('3 pr-3'!$BT$7:$BT$700,$A6,'3 pr-3'!$CA$7:$CA$700)+SUMIF('3 pr-3'!$CN$7:$CN$700,$A6,'3 pr-3'!$CU$7:$CU$700))+P6</f>
        <v>0</v>
      </c>
      <c r="S6" s="1183" t="str">
        <f t="shared" ca="1" si="7"/>
        <v>–</v>
      </c>
      <c r="T6" s="1650">
        <f ca="1">(SUMIF('3 pr-3'!$L$7:$AC$700,$A6,'3 pr-3'!$T$7:$T$700)+SUMIF('3 pr-3'!$AF$7:$AF$700,$A6,'3 pr-3'!$AN$7:$AN$700)+SUMIF('3 pr-3'!$AZ$7:$AZ$700,$A6,'3 pr-3'!$BH$7:$BH$700)+SUMIF('3 pr-3'!$BT$7:$BT$700,$A6,'3 pr-3'!$CB$7:$CB$700)+SUMIF('3 pr-3'!$CN$7:$CN$700,$A6,'3 pr-3'!$CV$7:$CV$700))+R6</f>
        <v>0</v>
      </c>
      <c r="U6" s="1183" t="str">
        <f t="shared" ca="1" si="8"/>
        <v>–</v>
      </c>
    </row>
    <row r="7" spans="1:21" ht="15.75">
      <c r="A7" s="619" t="s">
        <v>498</v>
      </c>
      <c r="B7" s="617" t="s">
        <v>499</v>
      </c>
      <c r="C7" s="594"/>
      <c r="D7" s="1651">
        <v>0</v>
      </c>
      <c r="E7" s="1183" t="str">
        <f t="shared" si="0"/>
        <v>–</v>
      </c>
      <c r="F7" s="1651">
        <v>0</v>
      </c>
      <c r="G7" s="1183" t="str">
        <f t="shared" si="1"/>
        <v>–</v>
      </c>
      <c r="H7" s="1650">
        <f ca="1">(SUMIF('3 pr-3'!$L$7:$AC$700,A7,'3 pr-3'!$N$7:$N$700)+SUMIF('3 pr-3'!$AF$7:$AF$700,A7,'3 pr-3'!$AH$7:$AH$700)+SUMIF('3 pr-3'!$AZ$7:$AZ$700,A7,'3 pr-3'!$BB$7:$BB$700)+SUMIF('3 pr-3'!$BT$7:$BT$700,A7,'3 pr-3'!$BV$7:$BV$700)+SUMIF('3 pr-3'!$CN$7:$CN$700,A7,'3 pr-3'!$CP$7:$CP$700))+F7</f>
        <v>0</v>
      </c>
      <c r="I7" s="594" t="str">
        <f t="shared" ca="1" si="2"/>
        <v>–</v>
      </c>
      <c r="J7" s="1650">
        <f ca="1">(SUMIF('3 pr-3'!$L$7:$AC$700,$A7,'3 pr-3'!$O$7:$O$700)+SUMIF('3 pr-3'!$AF$7:$AF$700,$A7,'3 pr-3'!$AI$7:$AI$700)+SUMIF('3 pr-3'!$AZ$7:$AZ$700,$A7,'3 pr-3'!$BC$7:$BC$700)+SUMIF('3 pr-3'!$BT$7:$BT$700,$A7,'3 pr-3'!$BW$7:$BW$700)+SUMIF('3 pr-3'!$CN$7:$CN$700,$A7,'3 pr-3'!$CQ$7:$CQ$700))+H7</f>
        <v>0</v>
      </c>
      <c r="K7" s="1183" t="str">
        <f t="shared" ca="1" si="3"/>
        <v>–</v>
      </c>
      <c r="L7" s="1650">
        <f ca="1">(SUMIF('3 pr-3'!$L$7:$AC$700,$A7,'3 pr-3'!$P$7:$P$700)+SUMIF('3 pr-3'!$AF$7:$AF$700,$A7,'3 pr-3'!$AJ$7:$AJ$700)+SUMIF('3 pr-3'!$AZ$7:$AZ$700,$A7,'3 pr-3'!$BD$7:$BD$700)+SUMIF('3 pr-3'!$BT$7:$BT$700,$A7,'3 pr-3'!$BX$7:$BX$700)+SUMIF('3 pr-3'!$CN$7:$CN$700,$A7,'3 pr-3'!$CR$7:$CR$700))+J7</f>
        <v>0</v>
      </c>
      <c r="M7" s="1183" t="str">
        <f t="shared" ca="1" si="4"/>
        <v>–</v>
      </c>
      <c r="N7" s="1650">
        <f ca="1">(SUMIF('3 pr-3'!$L$7:$AC$700,$A7,'3 pr-3'!$Q$7:$Q$700)+SUMIF('3 pr-3'!$AF$7:$AF$700,$A7,'3 pr-3'!$AK$7:$AK$700)+SUMIF('3 pr-3'!$AZ$7:$AZ$700,$A7,'3 pr-3'!$BE$7:$BE$700)+SUMIF('3 pr-3'!$BT$7:$BT$700,$A7,'3 pr-3'!$BY$7:$BY$700)+SUMIF('3 pr-3'!$CN$7:$CN$700,$A7,'3 pr-3'!$CS$7:$CS$700))+L7</f>
        <v>0</v>
      </c>
      <c r="O7" s="1183" t="str">
        <f t="shared" ca="1" si="5"/>
        <v>–</v>
      </c>
      <c r="P7" s="1650">
        <f ca="1">(SUMIF('3 pr-3'!$L$7:$AC$700,$A7,'3 pr-3'!$R$7:$R$700)+SUMIF('3 pr-3'!$AF$7:$AF$700,$A7,'3 pr-3'!$AL$7:$AL$700)+SUMIF('3 pr-3'!$AZ$7:$AZ$700,$A7,'3 pr-3'!$BF$7:$BF$700)+SUMIF('3 pr-3'!$BT$7:$BT$700,$A7,'3 pr-3'!$BZ$7:$BZ$700)+SUMIF('3 pr-3'!$CN$7:$CN$700,$A7,'3 pr-3'!$CT$7:$CT$700))+N7</f>
        <v>0</v>
      </c>
      <c r="Q7" s="1183" t="str">
        <f t="shared" ca="1" si="6"/>
        <v>–</v>
      </c>
      <c r="R7" s="1650">
        <f ca="1">(SUMIF('3 pr-3'!$L$7:$AC$700,$A7,'3 pr-3'!$S$7:$S$700)+SUMIF('3 pr-3'!$AF$7:$AF$700,$A7,'3 pr-3'!$AM$7:$AM$700)+SUMIF('3 pr-3'!$AZ$7:$AZ$700,$A7,'3 pr-3'!$BG$7:$BG$700)+SUMIF('3 pr-3'!$BT$7:$BT$700,$A7,'3 pr-3'!$CA$7:$CA$700)+SUMIF('3 pr-3'!$CN$7:$CN$700,$A7,'3 pr-3'!$CU$7:$CU$700))+P7</f>
        <v>0</v>
      </c>
      <c r="S7" s="1183" t="str">
        <f t="shared" ca="1" si="7"/>
        <v>–</v>
      </c>
      <c r="T7" s="1650">
        <f ca="1">(SUMIF('3 pr-3'!$L$7:$AC$700,$A7,'3 pr-3'!$T$7:$T$700)+SUMIF('3 pr-3'!$AF$7:$AF$700,$A7,'3 pr-3'!$AN$7:$AN$700)+SUMIF('3 pr-3'!$AZ$7:$AZ$700,$A7,'3 pr-3'!$BH$7:$BH$700)+SUMIF('3 pr-3'!$BT$7:$BT$700,$A7,'3 pr-3'!$CB$7:$CB$700)+SUMIF('3 pr-3'!$CN$7:$CN$700,$A7,'3 pr-3'!$CV$7:$CV$700))+R7</f>
        <v>0</v>
      </c>
      <c r="U7" s="1183" t="str">
        <f t="shared" ca="1" si="8"/>
        <v>–</v>
      </c>
    </row>
    <row r="8" spans="1:21" ht="15.75">
      <c r="A8" s="619" t="s">
        <v>506</v>
      </c>
      <c r="B8" s="617" t="s">
        <v>507</v>
      </c>
      <c r="C8" s="594"/>
      <c r="D8" s="1651">
        <v>0</v>
      </c>
      <c r="E8" s="1183" t="str">
        <f t="shared" si="0"/>
        <v>–</v>
      </c>
      <c r="F8" s="1651">
        <v>0</v>
      </c>
      <c r="G8" s="1183" t="str">
        <f t="shared" si="1"/>
        <v>–</v>
      </c>
      <c r="H8" s="1650">
        <f ca="1">(SUMIF('3 pr-3'!$L$7:$AC$700,A8,'3 pr-3'!$N$7:$N$700)+SUMIF('3 pr-3'!$AF$7:$AF$700,A8,'3 pr-3'!$AH$7:$AH$700)+SUMIF('3 pr-3'!$AZ$7:$AZ$700,A8,'3 pr-3'!$BB$7:$BB$700)+SUMIF('3 pr-3'!$BT$7:$BT$700,A8,'3 pr-3'!$BV$7:$BV$700)+SUMIF('3 pr-3'!$CN$7:$CN$700,A8,'3 pr-3'!$CP$7:$CP$700))+F8</f>
        <v>0</v>
      </c>
      <c r="I8" s="594" t="str">
        <f t="shared" ca="1" si="2"/>
        <v>–</v>
      </c>
      <c r="J8" s="1650">
        <f ca="1">(SUMIF('3 pr-3'!$L$7:$AC$700,$A8,'3 pr-3'!$O$7:$O$700)+SUMIF('3 pr-3'!$AF$7:$AF$700,$A8,'3 pr-3'!$AI$7:$AI$700)+SUMIF('3 pr-3'!$AZ$7:$AZ$700,$A8,'3 pr-3'!$BC$7:$BC$700)+SUMIF('3 pr-3'!$BT$7:$BT$700,$A8,'3 pr-3'!$BW$7:$BW$700)+SUMIF('3 pr-3'!$CN$7:$CN$700,$A8,'3 pr-3'!$CQ$7:$CQ$700))+H8</f>
        <v>0</v>
      </c>
      <c r="K8" s="1183" t="str">
        <f t="shared" ca="1" si="3"/>
        <v>–</v>
      </c>
      <c r="L8" s="1650">
        <f ca="1">(SUMIF('3 pr-3'!$L$7:$AC$700,$A8,'3 pr-3'!$P$7:$P$700)+SUMIF('3 pr-3'!$AF$7:$AF$700,$A8,'3 pr-3'!$AJ$7:$AJ$700)+SUMIF('3 pr-3'!$AZ$7:$AZ$700,$A8,'3 pr-3'!$BD$7:$BD$700)+SUMIF('3 pr-3'!$BT$7:$BT$700,$A8,'3 pr-3'!$BX$7:$BX$700)+SUMIF('3 pr-3'!$CN$7:$CN$700,$A8,'3 pr-3'!$CR$7:$CR$700))+J8</f>
        <v>0</v>
      </c>
      <c r="M8" s="1183" t="str">
        <f t="shared" ca="1" si="4"/>
        <v>–</v>
      </c>
      <c r="N8" s="1650">
        <f ca="1">(SUMIF('3 pr-3'!$L$7:$AC$700,$A8,'3 pr-3'!$Q$7:$Q$700)+SUMIF('3 pr-3'!$AF$7:$AF$700,$A8,'3 pr-3'!$AK$7:$AK$700)+SUMIF('3 pr-3'!$AZ$7:$AZ$700,$A8,'3 pr-3'!$BE$7:$BE$700)+SUMIF('3 pr-3'!$BT$7:$BT$700,$A8,'3 pr-3'!$BY$7:$BY$700)+SUMIF('3 pr-3'!$CN$7:$CN$700,$A8,'3 pr-3'!$CS$7:$CS$700))+L8</f>
        <v>0</v>
      </c>
      <c r="O8" s="1183" t="str">
        <f t="shared" ca="1" si="5"/>
        <v>–</v>
      </c>
      <c r="P8" s="1650">
        <f ca="1">(SUMIF('3 pr-3'!$L$7:$AC$700,$A8,'3 pr-3'!$R$7:$R$700)+SUMIF('3 pr-3'!$AF$7:$AF$700,$A8,'3 pr-3'!$AL$7:$AL$700)+SUMIF('3 pr-3'!$AZ$7:$AZ$700,$A8,'3 pr-3'!$BF$7:$BF$700)+SUMIF('3 pr-3'!$BT$7:$BT$700,$A8,'3 pr-3'!$BZ$7:$BZ$700)+SUMIF('3 pr-3'!$CN$7:$CN$700,$A8,'3 pr-3'!$CT$7:$CT$700))+N8</f>
        <v>0</v>
      </c>
      <c r="Q8" s="1183" t="str">
        <f t="shared" ca="1" si="6"/>
        <v>–</v>
      </c>
      <c r="R8" s="1650">
        <f ca="1">(SUMIF('3 pr-3'!$L$7:$AC$700,$A8,'3 pr-3'!$S$7:$S$700)+SUMIF('3 pr-3'!$AF$7:$AF$700,$A8,'3 pr-3'!$AM$7:$AM$700)+SUMIF('3 pr-3'!$AZ$7:$AZ$700,$A8,'3 pr-3'!$BG$7:$BG$700)+SUMIF('3 pr-3'!$BT$7:$BT$700,$A8,'3 pr-3'!$CA$7:$CA$700)+SUMIF('3 pr-3'!$CN$7:$CN$700,$A8,'3 pr-3'!$CU$7:$CU$700))+P8</f>
        <v>0</v>
      </c>
      <c r="S8" s="1183" t="str">
        <f t="shared" ca="1" si="7"/>
        <v>–</v>
      </c>
      <c r="T8" s="1650">
        <f ca="1">(SUMIF('3 pr-3'!$L$7:$AC$700,$A8,'3 pr-3'!$T$7:$T$700)+SUMIF('3 pr-3'!$AF$7:$AF$700,$A8,'3 pr-3'!$AN$7:$AN$700)+SUMIF('3 pr-3'!$AZ$7:$AZ$700,$A8,'3 pr-3'!$BH$7:$BH$700)+SUMIF('3 pr-3'!$BT$7:$BT$700,$A8,'3 pr-3'!$CB$7:$CB$700)+SUMIF('3 pr-3'!$CN$7:$CN$700,$A8,'3 pr-3'!$CV$7:$CV$700))+R8</f>
        <v>0</v>
      </c>
      <c r="U8" s="1183" t="str">
        <f t="shared" ca="1" si="8"/>
        <v>–</v>
      </c>
    </row>
    <row r="9" spans="1:21" ht="31.5">
      <c r="A9" s="619" t="s">
        <v>512</v>
      </c>
      <c r="B9" s="617" t="s">
        <v>542</v>
      </c>
      <c r="C9" s="594"/>
      <c r="D9" s="1651">
        <v>0</v>
      </c>
      <c r="E9" s="1183" t="str">
        <f t="shared" si="0"/>
        <v>–</v>
      </c>
      <c r="F9" s="1651">
        <v>0</v>
      </c>
      <c r="G9" s="1183" t="str">
        <f t="shared" si="1"/>
        <v>–</v>
      </c>
      <c r="H9" s="1650">
        <f ca="1">(SUMIF('3 pr-3'!$L$7:$AC$700,A9,'3 pr-3'!$N$7:$N$700)+SUMIF('3 pr-3'!$AF$7:$AF$700,A9,'3 pr-3'!$AH$7:$AH$700)+SUMIF('3 pr-3'!$AZ$7:$AZ$700,A9,'3 pr-3'!$BB$7:$BB$700)+SUMIF('3 pr-3'!$BT$7:$BT$700,A9,'3 pr-3'!$BV$7:$BV$700)+SUMIF('3 pr-3'!$CN$7:$CN$700,A9,'3 pr-3'!$CP$7:$CP$700))+F9</f>
        <v>0</v>
      </c>
      <c r="I9" s="594" t="str">
        <f t="shared" ca="1" si="2"/>
        <v>–</v>
      </c>
      <c r="J9" s="1650">
        <f ca="1">(SUMIF('3 pr-3'!$L$7:$AC$700,$A9,'3 pr-3'!$O$7:$O$700)+SUMIF('3 pr-3'!$AF$7:$AF$700,$A9,'3 pr-3'!$AI$7:$AI$700)+SUMIF('3 pr-3'!$AZ$7:$AZ$700,$A9,'3 pr-3'!$BC$7:$BC$700)+SUMIF('3 pr-3'!$BT$7:$BT$700,$A9,'3 pr-3'!$BW$7:$BW$700)+SUMIF('3 pr-3'!$CN$7:$CN$700,$A9,'3 pr-3'!$CQ$7:$CQ$700))+H9</f>
        <v>0</v>
      </c>
      <c r="K9" s="1183" t="str">
        <f t="shared" ca="1" si="3"/>
        <v>–</v>
      </c>
      <c r="L9" s="1650">
        <f ca="1">(SUMIF('3 pr-3'!$L$7:$AC$700,$A9,'3 pr-3'!$P$7:$P$700)+SUMIF('3 pr-3'!$AF$7:$AF$700,$A9,'3 pr-3'!$AJ$7:$AJ$700)+SUMIF('3 pr-3'!$AZ$7:$AZ$700,$A9,'3 pr-3'!$BD$7:$BD$700)+SUMIF('3 pr-3'!$BT$7:$BT$700,$A9,'3 pr-3'!$BX$7:$BX$700)+SUMIF('3 pr-3'!$CN$7:$CN$700,$A9,'3 pr-3'!$CR$7:$CR$700))+J9</f>
        <v>0</v>
      </c>
      <c r="M9" s="1183" t="str">
        <f t="shared" ca="1" si="4"/>
        <v>–</v>
      </c>
      <c r="N9" s="1650">
        <f ca="1">(SUMIF('3 pr-3'!$L$7:$AC$700,$A9,'3 pr-3'!$Q$7:$Q$700)+SUMIF('3 pr-3'!$AF$7:$AF$700,$A9,'3 pr-3'!$AK$7:$AK$700)+SUMIF('3 pr-3'!$AZ$7:$AZ$700,$A9,'3 pr-3'!$BE$7:$BE$700)+SUMIF('3 pr-3'!$BT$7:$BT$700,$A9,'3 pr-3'!$BY$7:$BY$700)+SUMIF('3 pr-3'!$CN$7:$CN$700,$A9,'3 pr-3'!$CS$7:$CS$700))+L9</f>
        <v>0</v>
      </c>
      <c r="O9" s="1183" t="str">
        <f t="shared" ca="1" si="5"/>
        <v>–</v>
      </c>
      <c r="P9" s="1650">
        <f ca="1">(SUMIF('3 pr-3'!$L$7:$AC$700,$A9,'3 pr-3'!$R$7:$R$700)+SUMIF('3 pr-3'!$AF$7:$AF$700,$A9,'3 pr-3'!$AL$7:$AL$700)+SUMIF('3 pr-3'!$AZ$7:$AZ$700,$A9,'3 pr-3'!$BF$7:$BF$700)+SUMIF('3 pr-3'!$BT$7:$BT$700,$A9,'3 pr-3'!$BZ$7:$BZ$700)+SUMIF('3 pr-3'!$CN$7:$CN$700,$A9,'3 pr-3'!$CT$7:$CT$700))+N9</f>
        <v>0</v>
      </c>
      <c r="Q9" s="1183" t="str">
        <f t="shared" ca="1" si="6"/>
        <v>–</v>
      </c>
      <c r="R9" s="1650">
        <f ca="1">(SUMIF('3 pr-3'!$L$7:$AC$700,$A9,'3 pr-3'!$S$7:$S$700)+SUMIF('3 pr-3'!$AF$7:$AF$700,$A9,'3 pr-3'!$AM$7:$AM$700)+SUMIF('3 pr-3'!$AZ$7:$AZ$700,$A9,'3 pr-3'!$BG$7:$BG$700)+SUMIF('3 pr-3'!$BT$7:$BT$700,$A9,'3 pr-3'!$CA$7:$CA$700)+SUMIF('3 pr-3'!$CN$7:$CN$700,$A9,'3 pr-3'!$CU$7:$CU$700))+P9</f>
        <v>0</v>
      </c>
      <c r="S9" s="1183" t="str">
        <f t="shared" ca="1" si="7"/>
        <v>–</v>
      </c>
      <c r="T9" s="1650">
        <f ca="1">(SUMIF('3 pr-3'!$L$7:$AC$700,$A9,'3 pr-3'!$T$7:$T$700)+SUMIF('3 pr-3'!$AF$7:$AF$700,$A9,'3 pr-3'!$AN$7:$AN$700)+SUMIF('3 pr-3'!$AZ$7:$AZ$700,$A9,'3 pr-3'!$BH$7:$BH$700)+SUMIF('3 pr-3'!$BT$7:$BT$700,$A9,'3 pr-3'!$CB$7:$CB$700)+SUMIF('3 pr-3'!$CN$7:$CN$700,$A9,'3 pr-3'!$CV$7:$CV$700))+R9</f>
        <v>0</v>
      </c>
      <c r="U9" s="1183" t="str">
        <f t="shared" ca="1" si="8"/>
        <v>–</v>
      </c>
    </row>
    <row r="10" spans="1:21" ht="15.75">
      <c r="A10" s="619" t="s">
        <v>459</v>
      </c>
      <c r="B10" s="617" t="s">
        <v>543</v>
      </c>
      <c r="C10" s="594"/>
      <c r="D10" s="1651">
        <v>0</v>
      </c>
      <c r="E10" s="1183" t="str">
        <f t="shared" si="0"/>
        <v>–</v>
      </c>
      <c r="F10" s="1651">
        <v>0</v>
      </c>
      <c r="G10" s="1183" t="str">
        <f t="shared" si="1"/>
        <v>–</v>
      </c>
      <c r="H10" s="1650">
        <f ca="1">(SUMIF('3 pr-3'!$L$7:$AC$700,A10,'3 pr-3'!$N$7:$N$700)+SUMIF('3 pr-3'!$AF$7:$AF$700,A10,'3 pr-3'!$AH$7:$AH$700)+SUMIF('3 pr-3'!$AZ$7:$AZ$700,A10,'3 pr-3'!$BB$7:$BB$700)+SUMIF('3 pr-3'!$BT$7:$BT$700,A10,'3 pr-3'!$BV$7:$BV$700)+SUMIF('3 pr-3'!$CN$7:$CN$700,A10,'3 pr-3'!$CP$7:$CP$700))+F10</f>
        <v>0</v>
      </c>
      <c r="I10" s="1185" t="str">
        <f t="shared" ca="1" si="2"/>
        <v>–</v>
      </c>
      <c r="J10" s="1650">
        <f ca="1">(SUMIF('3 pr-3'!$L$7:$AC$700,$A10,'3 pr-3'!$O$7:$O$700)+SUMIF('3 pr-3'!$AF$7:$AF$700,$A10,'3 pr-3'!$AI$7:$AI$700)+SUMIF('3 pr-3'!$AZ$7:$AZ$700,$A10,'3 pr-3'!$BC$7:$BC$700)+SUMIF('3 pr-3'!$BT$7:$BT$700,$A10,'3 pr-3'!$BW$7:$BW$700)+SUMIF('3 pr-3'!$CN$7:$CN$700,$A10,'3 pr-3'!$CQ$7:$CQ$700))+H10</f>
        <v>42593.21</v>
      </c>
      <c r="K10" s="1653">
        <f t="shared" ca="1" si="3"/>
        <v>42593.21</v>
      </c>
      <c r="L10" s="1654">
        <f ca="1">(SUMIF('3 pr-3'!$L$7:$AC$700,$A10,'3 pr-3'!$P$7:$P$700)+SUMIF('3 pr-3'!$AF$7:$AF$700,$A10,'3 pr-3'!$AJ$7:$AJ$700)+SUMIF('3 pr-3'!$AZ$7:$AZ$700,$A10,'3 pr-3'!$BD$7:$BD$700)+SUMIF('3 pr-3'!$BT$7:$BT$700,$A10,'3 pr-3'!$BX$7:$BX$700)+SUMIF('3 pr-3'!$CN$7:$CN$700,$A10,'3 pr-3'!$CR$7:$CR$700))+J10</f>
        <v>42593.21</v>
      </c>
      <c r="M10" s="1653">
        <f t="shared" ca="1" si="4"/>
        <v>42593.21</v>
      </c>
      <c r="N10" s="1654">
        <f ca="1">(SUMIF('3 pr-3'!$L$7:$AC$700,$A10,'3 pr-3'!$Q$7:$Q$700)+SUMIF('3 pr-3'!$AF$7:$AF$700,$A10,'3 pr-3'!$AK$7:$AK$700)+SUMIF('3 pr-3'!$AZ$7:$AZ$700,$A10,'3 pr-3'!$BE$7:$BE$700)+SUMIF('3 pr-3'!$BT$7:$BT$700,$A10,'3 pr-3'!$BY$7:$BY$700)+SUMIF('3 pr-3'!$CN$7:$CN$700,$A10,'3 pr-3'!$CS$7:$CS$700))+L10</f>
        <v>42593.21</v>
      </c>
      <c r="O10" s="1653">
        <f t="shared" ca="1" si="5"/>
        <v>42593.21</v>
      </c>
      <c r="P10" s="1654">
        <f ca="1">(SUMIF('3 pr-3'!$L$7:$AC$700,$A10,'3 pr-3'!$R$7:$R$700)+SUMIF('3 pr-3'!$AF$7:$AF$700,$A10,'3 pr-3'!$AL$7:$AL$700)+SUMIF('3 pr-3'!$AZ$7:$AZ$700,$A10,'3 pr-3'!$BF$7:$BF$700)+SUMIF('3 pr-3'!$BT$7:$BT$700,$A10,'3 pr-3'!$BZ$7:$BZ$700)+SUMIF('3 pr-3'!$CN$7:$CN$700,$A10,'3 pr-3'!$CT$7:$CT$700))+N10</f>
        <v>42593.21</v>
      </c>
      <c r="Q10" s="1653">
        <f t="shared" ca="1" si="6"/>
        <v>42593.21</v>
      </c>
      <c r="R10" s="1654">
        <f ca="1">(SUMIF('3 pr-3'!$L$7:$AC$700,$A10,'3 pr-3'!$S$7:$S$700)+SUMIF('3 pr-3'!$AF$7:$AF$700,$A10,'3 pr-3'!$AM$7:$AM$700)+SUMIF('3 pr-3'!$AZ$7:$AZ$700,$A10,'3 pr-3'!$BG$7:$BG$700)+SUMIF('3 pr-3'!$BT$7:$BT$700,$A10,'3 pr-3'!$CA$7:$CA$700)+SUMIF('3 pr-3'!$CN$7:$CN$700,$A10,'3 pr-3'!$CU$7:$CU$700))+P10</f>
        <v>42593.21</v>
      </c>
      <c r="S10" s="1653">
        <f t="shared" ca="1" si="7"/>
        <v>42593.21</v>
      </c>
      <c r="T10" s="1654">
        <f ca="1">(SUMIF('3 pr-3'!$L$7:$AC$700,$A10,'3 pr-3'!$T$7:$T$700)+SUMIF('3 pr-3'!$AF$7:$AF$700,$A10,'3 pr-3'!$AN$7:$AN$700)+SUMIF('3 pr-3'!$AZ$7:$AZ$700,$A10,'3 pr-3'!$BH$7:$BH$700)+SUMIF('3 pr-3'!$BT$7:$BT$700,$A10,'3 pr-3'!$CB$7:$CB$700)+SUMIF('3 pr-3'!$CN$7:$CN$700,$A10,'3 pr-3'!$CV$7:$CV$700))+R10</f>
        <v>42593.21</v>
      </c>
      <c r="U10" s="1653">
        <f t="shared" ca="1" si="8"/>
        <v>42593.21</v>
      </c>
    </row>
    <row r="11" spans="1:21" ht="15.75">
      <c r="A11" s="619" t="s">
        <v>461</v>
      </c>
      <c r="B11" s="617" t="s">
        <v>462</v>
      </c>
      <c r="C11" s="594"/>
      <c r="D11" s="1651">
        <v>0</v>
      </c>
      <c r="E11" s="1183" t="str">
        <f t="shared" si="0"/>
        <v>–</v>
      </c>
      <c r="F11" s="1651">
        <v>0</v>
      </c>
      <c r="G11" s="1183" t="str">
        <f t="shared" si="1"/>
        <v>–</v>
      </c>
      <c r="H11" s="1650">
        <f ca="1">(SUMIF('3 pr-3'!$L$7:$AC$700,A11,'3 pr-3'!$N$7:$N$700)+SUMIF('3 pr-3'!$AF$7:$AF$700,A11,'3 pr-3'!$AH$7:$AH$700)+SUMIF('3 pr-3'!$AZ$7:$AZ$700,A11,'3 pr-3'!$BB$7:$BB$700)+SUMIF('3 pr-3'!$BT$7:$BT$700,A11,'3 pr-3'!$BV$7:$BV$700)+SUMIF('3 pr-3'!$CN$7:$CN$700,A11,'3 pr-3'!$CP$7:$CP$700))+F11</f>
        <v>0</v>
      </c>
      <c r="I11" s="594" t="str">
        <f t="shared" ca="1" si="2"/>
        <v>–</v>
      </c>
      <c r="J11" s="1650">
        <f ca="1">(SUMIF('3 pr-3'!$L$7:$AC$700,$A11,'3 pr-3'!$O$7:$O$700)+SUMIF('3 pr-3'!$AF$7:$AF$700,$A11,'3 pr-3'!$AI$7:$AI$700)+SUMIF('3 pr-3'!$AZ$7:$AZ$700,$A11,'3 pr-3'!$BC$7:$BC$700)+SUMIF('3 pr-3'!$BT$7:$BT$700,$A11,'3 pr-3'!$BW$7:$BW$700)+SUMIF('3 pr-3'!$CN$7:$CN$700,$A11,'3 pr-3'!$CQ$7:$CQ$700))+H11</f>
        <v>34.049999999999997</v>
      </c>
      <c r="K11" s="1183">
        <f t="shared" ca="1" si="3"/>
        <v>34.049999999999997</v>
      </c>
      <c r="L11" s="1650">
        <f ca="1">(SUMIF('3 pr-3'!$L$7:$AC$700,$A11,'3 pr-3'!$P$7:$P$700)+SUMIF('3 pr-3'!$AF$7:$AF$700,$A11,'3 pr-3'!$AJ$7:$AJ$700)+SUMIF('3 pr-3'!$AZ$7:$AZ$700,$A11,'3 pr-3'!$BD$7:$BD$700)+SUMIF('3 pr-3'!$BT$7:$BT$700,$A11,'3 pr-3'!$BX$7:$BX$700)+SUMIF('3 pr-3'!$CN$7:$CN$700,$A11,'3 pr-3'!$CR$7:$CR$700))+J11</f>
        <v>34.049999999999997</v>
      </c>
      <c r="M11" s="1183">
        <f t="shared" ca="1" si="4"/>
        <v>34.049999999999997</v>
      </c>
      <c r="N11" s="1650">
        <f ca="1">(SUMIF('3 pr-3'!$L$7:$AC$700,$A11,'3 pr-3'!$Q$7:$Q$700)+SUMIF('3 pr-3'!$AF$7:$AF$700,$A11,'3 pr-3'!$AK$7:$AK$700)+SUMIF('3 pr-3'!$AZ$7:$AZ$700,$A11,'3 pr-3'!$BE$7:$BE$700)+SUMIF('3 pr-3'!$BT$7:$BT$700,$A11,'3 pr-3'!$BY$7:$BY$700)+SUMIF('3 pr-3'!$CN$7:$CN$700,$A11,'3 pr-3'!$CS$7:$CS$700))+L11</f>
        <v>34.049999999999997</v>
      </c>
      <c r="O11" s="1183">
        <f t="shared" ca="1" si="5"/>
        <v>34.049999999999997</v>
      </c>
      <c r="P11" s="1650">
        <f ca="1">(SUMIF('3 pr-3'!$L$7:$AC$700,$A11,'3 pr-3'!$R$7:$R$700)+SUMIF('3 pr-3'!$AF$7:$AF$700,$A11,'3 pr-3'!$AL$7:$AL$700)+SUMIF('3 pr-3'!$AZ$7:$AZ$700,$A11,'3 pr-3'!$BF$7:$BF$700)+SUMIF('3 pr-3'!$BT$7:$BT$700,$A11,'3 pr-3'!$BZ$7:$BZ$700)+SUMIF('3 pr-3'!$CN$7:$CN$700,$A11,'3 pr-3'!$CT$7:$CT$700))+N11</f>
        <v>34.049999999999997</v>
      </c>
      <c r="Q11" s="1183">
        <f t="shared" ca="1" si="6"/>
        <v>34.049999999999997</v>
      </c>
      <c r="R11" s="1650">
        <f ca="1">(SUMIF('3 pr-3'!$L$7:$AC$700,$A11,'3 pr-3'!$S$7:$S$700)+SUMIF('3 pr-3'!$AF$7:$AF$700,$A11,'3 pr-3'!$AM$7:$AM$700)+SUMIF('3 pr-3'!$AZ$7:$AZ$700,$A11,'3 pr-3'!$BG$7:$BG$700)+SUMIF('3 pr-3'!$BT$7:$BT$700,$A11,'3 pr-3'!$CA$7:$CA$700)+SUMIF('3 pr-3'!$CN$7:$CN$700,$A11,'3 pr-3'!$CU$7:$CU$700))+P11</f>
        <v>34.049999999999997</v>
      </c>
      <c r="S11" s="1183">
        <f t="shared" ca="1" si="7"/>
        <v>34.049999999999997</v>
      </c>
      <c r="T11" s="1650">
        <f ca="1">(SUMIF('3 pr-3'!$L$7:$AC$700,$A11,'3 pr-3'!$T$7:$T$700)+SUMIF('3 pr-3'!$AF$7:$AF$700,$A11,'3 pr-3'!$AN$7:$AN$700)+SUMIF('3 pr-3'!$AZ$7:$AZ$700,$A11,'3 pr-3'!$BH$7:$BH$700)+SUMIF('3 pr-3'!$BT$7:$BT$700,$A11,'3 pr-3'!$CB$7:$CB$700)+SUMIF('3 pr-3'!$CN$7:$CN$700,$A11,'3 pr-3'!$CV$7:$CV$700))+R11</f>
        <v>34.049999999999997</v>
      </c>
      <c r="U11" s="1183">
        <f t="shared" ca="1" si="8"/>
        <v>34.049999999999997</v>
      </c>
    </row>
    <row r="12" spans="1:21" s="998" customFormat="1" ht="15.75">
      <c r="A12" s="615" t="s">
        <v>479</v>
      </c>
      <c r="B12" s="616" t="s">
        <v>544</v>
      </c>
      <c r="C12" s="615"/>
      <c r="D12" s="1651">
        <v>0</v>
      </c>
      <c r="E12" s="1183" t="str">
        <f t="shared" si="0"/>
        <v>–</v>
      </c>
      <c r="F12" s="1651">
        <v>0</v>
      </c>
      <c r="G12" s="1183" t="str">
        <f t="shared" si="1"/>
        <v>–</v>
      </c>
      <c r="H12" s="1650">
        <f ca="1">(SUMIF('3 pr-3'!$L$7:$AC$700,A12,'3 pr-3'!$N$7:$N$700)+SUMIF('3 pr-3'!$AF$7:$AF$700,A12,'3 pr-3'!$AH$7:$AH$700)+SUMIF('3 pr-3'!$AZ$7:$AZ$700,A12,'3 pr-3'!$BB$7:$BB$700)+SUMIF('3 pr-3'!$BT$7:$BT$700,A12,'3 pr-3'!$BV$7:$BV$700)+SUMIF('3 pr-3'!$CN$7:$CN$700,A12,'3 pr-3'!$CP$7:$CP$700))+F12</f>
        <v>0</v>
      </c>
      <c r="I12" s="615" t="str">
        <f t="shared" ca="1" si="2"/>
        <v>–</v>
      </c>
      <c r="J12" s="1650">
        <f ca="1">(SUMIF('3 pr-3'!$L$7:$AC$700,$A12,'3 pr-3'!$O$7:$O$700)+SUMIF('3 pr-3'!$AF$7:$AF$700,$A12,'3 pr-3'!$AI$7:$AI$700)+SUMIF('3 pr-3'!$AZ$7:$AZ$700,$A12,'3 pr-3'!$BC$7:$BC$700)+SUMIF('3 pr-3'!$BT$7:$BT$700,$A12,'3 pr-3'!$BW$7:$BW$700)+SUMIF('3 pr-3'!$CN$7:$CN$700,$A12,'3 pr-3'!$CQ$7:$CQ$700))+H12</f>
        <v>0</v>
      </c>
      <c r="K12" s="1183" t="str">
        <f t="shared" ca="1" si="3"/>
        <v>–</v>
      </c>
      <c r="L12" s="1650">
        <f ca="1">(SUMIF('3 pr-3'!$L$7:$AC$700,$A12,'3 pr-3'!$P$7:$P$700)+SUMIF('3 pr-3'!$AF$7:$AF$700,$A12,'3 pr-3'!$AJ$7:$AJ$700)+SUMIF('3 pr-3'!$AZ$7:$AZ$700,$A12,'3 pr-3'!$BD$7:$BD$700)+SUMIF('3 pr-3'!$BT$7:$BT$700,$A12,'3 pr-3'!$BX$7:$BX$700)+SUMIF('3 pr-3'!$CN$7:$CN$700,$A12,'3 pr-3'!$CR$7:$CR$700))+J12</f>
        <v>0</v>
      </c>
      <c r="M12" s="1183" t="str">
        <f t="shared" ca="1" si="4"/>
        <v>–</v>
      </c>
      <c r="N12" s="1650">
        <f ca="1">(SUMIF('3 pr-3'!$L$7:$AC$700,$A12,'3 pr-3'!$Q$7:$Q$700)+SUMIF('3 pr-3'!$AF$7:$AF$700,$A12,'3 pr-3'!$AK$7:$AK$700)+SUMIF('3 pr-3'!$AZ$7:$AZ$700,$A12,'3 pr-3'!$BE$7:$BE$700)+SUMIF('3 pr-3'!$BT$7:$BT$700,$A12,'3 pr-3'!$BY$7:$BY$700)+SUMIF('3 pr-3'!$CN$7:$CN$700,$A12,'3 pr-3'!$CS$7:$CS$700))+L12</f>
        <v>0</v>
      </c>
      <c r="O12" s="1183" t="str">
        <f t="shared" ca="1" si="5"/>
        <v>–</v>
      </c>
      <c r="P12" s="1650">
        <f ca="1">(SUMIF('3 pr-3'!$L$7:$AC$700,$A12,'3 pr-3'!$R$7:$R$700)+SUMIF('3 pr-3'!$AF$7:$AF$700,$A12,'3 pr-3'!$AL$7:$AL$700)+SUMIF('3 pr-3'!$AZ$7:$AZ$700,$A12,'3 pr-3'!$BF$7:$BF$700)+SUMIF('3 pr-3'!$BT$7:$BT$700,$A12,'3 pr-3'!$BZ$7:$BZ$700)+SUMIF('3 pr-3'!$CN$7:$CN$700,$A12,'3 pr-3'!$CT$7:$CT$700))+N12</f>
        <v>0</v>
      </c>
      <c r="Q12" s="1183" t="str">
        <f t="shared" ca="1" si="6"/>
        <v>–</v>
      </c>
      <c r="R12" s="1650">
        <f ca="1">(SUMIF('3 pr-3'!$L$7:$AC$700,$A12,'3 pr-3'!$S$7:$S$700)+SUMIF('3 pr-3'!$AF$7:$AF$700,$A12,'3 pr-3'!$AM$7:$AM$700)+SUMIF('3 pr-3'!$AZ$7:$AZ$700,$A12,'3 pr-3'!$BG$7:$BG$700)+SUMIF('3 pr-3'!$BT$7:$BT$700,$A12,'3 pr-3'!$CA$7:$CA$700)+SUMIF('3 pr-3'!$CN$7:$CN$700,$A12,'3 pr-3'!$CU$7:$CU$700))+P12</f>
        <v>0</v>
      </c>
      <c r="S12" s="1183" t="str">
        <f t="shared" ca="1" si="7"/>
        <v>–</v>
      </c>
      <c r="T12" s="1650">
        <f ca="1">(SUMIF('3 pr-3'!$L$7:$AC$700,$A12,'3 pr-3'!$T$7:$T$700)+SUMIF('3 pr-3'!$AF$7:$AF$700,$A12,'3 pr-3'!$AN$7:$AN$700)+SUMIF('3 pr-3'!$AZ$7:$AZ$700,$A12,'3 pr-3'!$BH$7:$BH$700)+SUMIF('3 pr-3'!$BT$7:$BT$700,$A12,'3 pr-3'!$CB$7:$CB$700)+SUMIF('3 pr-3'!$CN$7:$CN$700,$A12,'3 pr-3'!$CV$7:$CV$700))+R12</f>
        <v>0</v>
      </c>
      <c r="U12" s="1183" t="str">
        <f t="shared" ca="1" si="8"/>
        <v>–</v>
      </c>
    </row>
    <row r="13" spans="1:21" ht="31.5">
      <c r="A13" s="619" t="s">
        <v>464</v>
      </c>
      <c r="B13" s="617" t="s">
        <v>545</v>
      </c>
      <c r="C13" s="594"/>
      <c r="D13" s="1651">
        <v>0</v>
      </c>
      <c r="E13" s="1183" t="str">
        <f t="shared" si="0"/>
        <v>–</v>
      </c>
      <c r="F13" s="1651">
        <v>0</v>
      </c>
      <c r="G13" s="1183" t="str">
        <f t="shared" si="1"/>
        <v>–</v>
      </c>
      <c r="H13" s="1650">
        <f ca="1">(SUMIF('3 pr-3'!$L$7:$AC$700,A13,'3 pr-3'!$N$7:$N$700)+SUMIF('3 pr-3'!$AF$7:$AF$700,A13,'3 pr-3'!$AH$7:$AH$700)+SUMIF('3 pr-3'!$AZ$7:$AZ$700,A13,'3 pr-3'!$BB$7:$BB$700)+SUMIF('3 pr-3'!$BT$7:$BT$700,A13,'3 pr-3'!$BV$7:$BV$700)+SUMIF('3 pr-3'!$CN$7:$CN$700,A13,'3 pr-3'!$CP$7:$CP$700))+F13</f>
        <v>0</v>
      </c>
      <c r="I13" s="594" t="str">
        <f t="shared" ca="1" si="2"/>
        <v>–</v>
      </c>
      <c r="J13" s="1650">
        <f ca="1">(SUMIF('3 pr-3'!$L$7:$AC$700,$A13,'3 pr-3'!$O$7:$O$700)+SUMIF('3 pr-3'!$AF$7:$AF$700,$A13,'3 pr-3'!$AI$7:$AI$700)+SUMIF('3 pr-3'!$AZ$7:$AZ$700,$A13,'3 pr-3'!$BC$7:$BC$700)+SUMIF('3 pr-3'!$BT$7:$BT$700,$A13,'3 pr-3'!$BW$7:$BW$700)+SUMIF('3 pr-3'!$CN$7:$CN$700,$A13,'3 pr-3'!$CQ$7:$CQ$700))+H13</f>
        <v>47</v>
      </c>
      <c r="K13" s="1183">
        <f t="shared" ca="1" si="3"/>
        <v>47</v>
      </c>
      <c r="L13" s="1650">
        <f ca="1">(SUMIF('3 pr-3'!$L$7:$AC$700,$A13,'3 pr-3'!$P$7:$P$700)+SUMIF('3 pr-3'!$AF$7:$AF$700,$A13,'3 pr-3'!$AJ$7:$AJ$700)+SUMIF('3 pr-3'!$AZ$7:$AZ$700,$A13,'3 pr-3'!$BD$7:$BD$700)+SUMIF('3 pr-3'!$BT$7:$BT$700,$A13,'3 pr-3'!$BX$7:$BX$700)+SUMIF('3 pr-3'!$CN$7:$CN$700,$A13,'3 pr-3'!$CR$7:$CR$700))+J13</f>
        <v>81</v>
      </c>
      <c r="M13" s="1183">
        <f t="shared" ca="1" si="4"/>
        <v>81</v>
      </c>
      <c r="N13" s="1650">
        <f ca="1">(SUMIF('3 pr-3'!$L$7:$AC$700,$A13,'3 pr-3'!$Q$7:$Q$700)+SUMIF('3 pr-3'!$AF$7:$AF$700,$A13,'3 pr-3'!$AK$7:$AK$700)+SUMIF('3 pr-3'!$AZ$7:$AZ$700,$A13,'3 pr-3'!$BE$7:$BE$700)+SUMIF('3 pr-3'!$BT$7:$BT$700,$A13,'3 pr-3'!$BY$7:$BY$700)+SUMIF('3 pr-3'!$CN$7:$CN$700,$A13,'3 pr-3'!$CS$7:$CS$700))+L13</f>
        <v>81</v>
      </c>
      <c r="O13" s="1183">
        <f t="shared" ca="1" si="5"/>
        <v>81</v>
      </c>
      <c r="P13" s="1650">
        <f ca="1">(SUMIF('3 pr-3'!$L$7:$AC$700,$A13,'3 pr-3'!$R$7:$R$700)+SUMIF('3 pr-3'!$AF$7:$AF$700,$A13,'3 pr-3'!$AL$7:$AL$700)+SUMIF('3 pr-3'!$AZ$7:$AZ$700,$A13,'3 pr-3'!$BF$7:$BF$700)+SUMIF('3 pr-3'!$BT$7:$BT$700,$A13,'3 pr-3'!$BZ$7:$BZ$700)+SUMIF('3 pr-3'!$CN$7:$CN$700,$A13,'3 pr-3'!$CT$7:$CT$700))+N13</f>
        <v>81</v>
      </c>
      <c r="Q13" s="1183">
        <f t="shared" ca="1" si="6"/>
        <v>81</v>
      </c>
      <c r="R13" s="1650">
        <f ca="1">(SUMIF('3 pr-3'!$L$7:$AC$700,$A13,'3 pr-3'!$S$7:$S$700)+SUMIF('3 pr-3'!$AF$7:$AF$700,$A13,'3 pr-3'!$AM$7:$AM$700)+SUMIF('3 pr-3'!$AZ$7:$AZ$700,$A13,'3 pr-3'!$BG$7:$BG$700)+SUMIF('3 pr-3'!$BT$7:$BT$700,$A13,'3 pr-3'!$CA$7:$CA$700)+SUMIF('3 pr-3'!$CN$7:$CN$700,$A13,'3 pr-3'!$CU$7:$CU$700))+P13</f>
        <v>81</v>
      </c>
      <c r="S13" s="1183">
        <f t="shared" ca="1" si="7"/>
        <v>81</v>
      </c>
      <c r="T13" s="1650">
        <f ca="1">(SUMIF('3 pr-3'!$L$7:$AC$700,$A13,'3 pr-3'!$T$7:$T$700)+SUMIF('3 pr-3'!$AF$7:$AF$700,$A13,'3 pr-3'!$AN$7:$AN$700)+SUMIF('3 pr-3'!$AZ$7:$AZ$700,$A13,'3 pr-3'!$BH$7:$BH$700)+SUMIF('3 pr-3'!$BT$7:$BT$700,$A13,'3 pr-3'!$CB$7:$CB$700)+SUMIF('3 pr-3'!$CN$7:$CN$700,$A13,'3 pr-3'!$CV$7:$CV$700))+R13</f>
        <v>81</v>
      </c>
      <c r="U13" s="1183">
        <f t="shared" ca="1" si="8"/>
        <v>81</v>
      </c>
    </row>
    <row r="14" spans="1:21" ht="31.5">
      <c r="A14" s="619" t="s">
        <v>472</v>
      </c>
      <c r="B14" s="617" t="s">
        <v>546</v>
      </c>
      <c r="C14" s="594"/>
      <c r="D14" s="1651">
        <v>0</v>
      </c>
      <c r="E14" s="1183" t="str">
        <f t="shared" si="0"/>
        <v>–</v>
      </c>
      <c r="F14" s="1651">
        <v>0</v>
      </c>
      <c r="G14" s="1183" t="str">
        <f t="shared" si="1"/>
        <v>–</v>
      </c>
      <c r="H14" s="1650">
        <f ca="1">(SUMIF('3 pr-3'!$L$7:$AC$700,A14,'3 pr-3'!$N$7:$N$700)+SUMIF('3 pr-3'!$AF$7:$AF$700,A14,'3 pr-3'!$AH$7:$AH$700)+SUMIF('3 pr-3'!$AZ$7:$AZ$700,A14,'3 pr-3'!$BB$7:$BB$700)+SUMIF('3 pr-3'!$BT$7:$BT$700,A14,'3 pr-3'!$BV$7:$BV$700)+SUMIF('3 pr-3'!$CN$7:$CN$700,A14,'3 pr-3'!$CP$7:$CP$700))+F14</f>
        <v>0</v>
      </c>
      <c r="I14" s="1185" t="str">
        <f t="shared" ca="1" si="2"/>
        <v>–</v>
      </c>
      <c r="J14" s="1650">
        <f ca="1">(SUMIF('3 pr-3'!$L$7:$AC$700,$A14,'3 pr-3'!$O$7:$O$700)+SUMIF('3 pr-3'!$AF$7:$AF$700,$A14,'3 pr-3'!$AI$7:$AI$700)+SUMIF('3 pr-3'!$AZ$7:$AZ$700,$A14,'3 pr-3'!$BC$7:$BC$700)+SUMIF('3 pr-3'!$BT$7:$BT$700,$A14,'3 pr-3'!$BW$7:$BW$700)+SUMIF('3 pr-3'!$CN$7:$CN$700,$A14,'3 pr-3'!$CQ$7:$CQ$700))+H14</f>
        <v>0</v>
      </c>
      <c r="K14" s="1183" t="str">
        <f t="shared" ca="1" si="3"/>
        <v>–</v>
      </c>
      <c r="L14" s="1650">
        <f ca="1">(SUMIF('3 pr-3'!$L$7:$AC$700,$A14,'3 pr-3'!$P$7:$P$700)+SUMIF('3 pr-3'!$AF$7:$AF$700,$A14,'3 pr-3'!$AJ$7:$AJ$700)+SUMIF('3 pr-3'!$AZ$7:$AZ$700,$A14,'3 pr-3'!$BD$7:$BD$700)+SUMIF('3 pr-3'!$BT$7:$BT$700,$A14,'3 pr-3'!$BX$7:$BX$700)+SUMIF('3 pr-3'!$CN$7:$CN$700,$A14,'3 pr-3'!$CR$7:$CR$700))+J14</f>
        <v>108</v>
      </c>
      <c r="M14" s="1183">
        <f t="shared" ca="1" si="4"/>
        <v>108</v>
      </c>
      <c r="N14" s="1650">
        <f ca="1">(SUMIF('3 pr-3'!$L$7:$AC$700,$A14,'3 pr-3'!$Q$7:$Q$700)+SUMIF('3 pr-3'!$AF$7:$AF$700,$A14,'3 pr-3'!$AK$7:$AK$700)+SUMIF('3 pr-3'!$AZ$7:$AZ$700,$A14,'3 pr-3'!$BE$7:$BE$700)+SUMIF('3 pr-3'!$BT$7:$BT$700,$A14,'3 pr-3'!$BY$7:$BY$700)+SUMIF('3 pr-3'!$CN$7:$CN$700,$A14,'3 pr-3'!$CS$7:$CS$700))+L14</f>
        <v>108</v>
      </c>
      <c r="O14" s="1183">
        <f t="shared" ca="1" si="5"/>
        <v>108</v>
      </c>
      <c r="P14" s="1650">
        <f ca="1">(SUMIF('3 pr-3'!$L$7:$AC$700,$A14,'3 pr-3'!$R$7:$R$700)+SUMIF('3 pr-3'!$AF$7:$AF$700,$A14,'3 pr-3'!$AL$7:$AL$700)+SUMIF('3 pr-3'!$AZ$7:$AZ$700,$A14,'3 pr-3'!$BF$7:$BF$700)+SUMIF('3 pr-3'!$BT$7:$BT$700,$A14,'3 pr-3'!$BZ$7:$BZ$700)+SUMIF('3 pr-3'!$CN$7:$CN$700,$A14,'3 pr-3'!$CT$7:$CT$700))+N14</f>
        <v>108</v>
      </c>
      <c r="Q14" s="1183">
        <f t="shared" ca="1" si="6"/>
        <v>108</v>
      </c>
      <c r="R14" s="1650">
        <f ca="1">(SUMIF('3 pr-3'!$L$7:$AC$700,$A14,'3 pr-3'!$S$7:$S$700)+SUMIF('3 pr-3'!$AF$7:$AF$700,$A14,'3 pr-3'!$AM$7:$AM$700)+SUMIF('3 pr-3'!$AZ$7:$AZ$700,$A14,'3 pr-3'!$BG$7:$BG$700)+SUMIF('3 pr-3'!$BT$7:$BT$700,$A14,'3 pr-3'!$CA$7:$CA$700)+SUMIF('3 pr-3'!$CN$7:$CN$700,$A14,'3 pr-3'!$CU$7:$CU$700))+P14</f>
        <v>108</v>
      </c>
      <c r="S14" s="1183">
        <f t="shared" ca="1" si="7"/>
        <v>108</v>
      </c>
      <c r="T14" s="1650">
        <f ca="1">(SUMIF('3 pr-3'!$L$7:$AC$700,$A14,'3 pr-3'!$T$7:$T$700)+SUMIF('3 pr-3'!$AF$7:$AF$700,$A14,'3 pr-3'!$AN$7:$AN$700)+SUMIF('3 pr-3'!$AZ$7:$AZ$700,$A14,'3 pr-3'!$BH$7:$BH$700)+SUMIF('3 pr-3'!$BT$7:$BT$700,$A14,'3 pr-3'!$CB$7:$CB$700)+SUMIF('3 pr-3'!$CN$7:$CN$700,$A14,'3 pr-3'!$CV$7:$CV$700))+R14</f>
        <v>108</v>
      </c>
      <c r="U14" s="1183">
        <f t="shared" ca="1" si="8"/>
        <v>108</v>
      </c>
    </row>
    <row r="15" spans="1:21" ht="31.5">
      <c r="A15" s="619" t="s">
        <v>466</v>
      </c>
      <c r="B15" s="617" t="s">
        <v>547</v>
      </c>
      <c r="C15" s="594"/>
      <c r="D15" s="1651">
        <v>0</v>
      </c>
      <c r="E15" s="1183" t="str">
        <f t="shared" si="0"/>
        <v>–</v>
      </c>
      <c r="F15" s="1651">
        <v>0</v>
      </c>
      <c r="G15" s="1183" t="str">
        <f t="shared" si="1"/>
        <v>–</v>
      </c>
      <c r="H15" s="1650">
        <f ca="1">(SUMIF('3 pr-3'!$L$7:$AC$700,A15,'3 pr-3'!$N$7:$N$700)+SUMIF('3 pr-3'!$AF$7:$AF$700,A15,'3 pr-3'!$AH$7:$AH$700)+SUMIF('3 pr-3'!$AZ$7:$AZ$700,A15,'3 pr-3'!$BB$7:$BB$700)+SUMIF('3 pr-3'!$BT$7:$BT$700,A15,'3 pr-3'!$BV$7:$BV$700)+SUMIF('3 pr-3'!$CN$7:$CN$700,A15,'3 pr-3'!$CP$7:$CP$700))+F15</f>
        <v>0</v>
      </c>
      <c r="I15" s="594" t="str">
        <f t="shared" ca="1" si="2"/>
        <v>–</v>
      </c>
      <c r="J15" s="1650">
        <f ca="1">(SUMIF('3 pr-3'!$L$7:$AC$700,$A15,'3 pr-3'!$O$7:$O$700)+SUMIF('3 pr-3'!$AF$7:$AF$700,$A15,'3 pr-3'!$AI$7:$AI$700)+SUMIF('3 pr-3'!$AZ$7:$AZ$700,$A15,'3 pr-3'!$BC$7:$BC$700)+SUMIF('3 pr-3'!$BT$7:$BT$700,$A15,'3 pr-3'!$BW$7:$BW$700)+SUMIF('3 pr-3'!$CN$7:$CN$700,$A15,'3 pr-3'!$CQ$7:$CQ$700))+H15</f>
        <v>4</v>
      </c>
      <c r="K15" s="1183">
        <f t="shared" ca="1" si="3"/>
        <v>4</v>
      </c>
      <c r="L15" s="1650">
        <f ca="1">(SUMIF('3 pr-3'!$L$7:$AC$700,$A15,'3 pr-3'!$P$7:$P$700)+SUMIF('3 pr-3'!$AF$7:$AF$700,$A15,'3 pr-3'!$AJ$7:$AJ$700)+SUMIF('3 pr-3'!$AZ$7:$AZ$700,$A15,'3 pr-3'!$BD$7:$BD$700)+SUMIF('3 pr-3'!$BT$7:$BT$700,$A15,'3 pr-3'!$BX$7:$BX$700)+SUMIF('3 pr-3'!$CN$7:$CN$700,$A15,'3 pr-3'!$CR$7:$CR$700))+J15</f>
        <v>13</v>
      </c>
      <c r="M15" s="1183">
        <f t="shared" ca="1" si="4"/>
        <v>13</v>
      </c>
      <c r="N15" s="1650">
        <f ca="1">(SUMIF('3 pr-3'!$L$7:$AC$700,$A15,'3 pr-3'!$Q$7:$Q$700)+SUMIF('3 pr-3'!$AF$7:$AF$700,$A15,'3 pr-3'!$AK$7:$AK$700)+SUMIF('3 pr-3'!$AZ$7:$AZ$700,$A15,'3 pr-3'!$BE$7:$BE$700)+SUMIF('3 pr-3'!$BT$7:$BT$700,$A15,'3 pr-3'!$BY$7:$BY$700)+SUMIF('3 pr-3'!$CN$7:$CN$700,$A15,'3 pr-3'!$CS$7:$CS$700))+L15</f>
        <v>13</v>
      </c>
      <c r="O15" s="1183">
        <f t="shared" ca="1" si="5"/>
        <v>13</v>
      </c>
      <c r="P15" s="1650">
        <f ca="1">(SUMIF('3 pr-3'!$L$7:$AC$700,$A15,'3 pr-3'!$R$7:$R$700)+SUMIF('3 pr-3'!$AF$7:$AF$700,$A15,'3 pr-3'!$AL$7:$AL$700)+SUMIF('3 pr-3'!$AZ$7:$AZ$700,$A15,'3 pr-3'!$BF$7:$BF$700)+SUMIF('3 pr-3'!$BT$7:$BT$700,$A15,'3 pr-3'!$BZ$7:$BZ$700)+SUMIF('3 pr-3'!$CN$7:$CN$700,$A15,'3 pr-3'!$CT$7:$CT$700))+N15</f>
        <v>13</v>
      </c>
      <c r="Q15" s="1183">
        <f t="shared" ca="1" si="6"/>
        <v>13</v>
      </c>
      <c r="R15" s="1650">
        <f ca="1">(SUMIF('3 pr-3'!$L$7:$AC$700,$A15,'3 pr-3'!$S$7:$S$700)+SUMIF('3 pr-3'!$AF$7:$AF$700,$A15,'3 pr-3'!$AM$7:$AM$700)+SUMIF('3 pr-3'!$AZ$7:$AZ$700,$A15,'3 pr-3'!$BG$7:$BG$700)+SUMIF('3 pr-3'!$BT$7:$BT$700,$A15,'3 pr-3'!$CA$7:$CA$700)+SUMIF('3 pr-3'!$CN$7:$CN$700,$A15,'3 pr-3'!$CU$7:$CU$700))+P15</f>
        <v>13</v>
      </c>
      <c r="S15" s="1183">
        <f t="shared" ca="1" si="7"/>
        <v>13</v>
      </c>
      <c r="T15" s="1650">
        <f ca="1">(SUMIF('3 pr-3'!$L$7:$AC$700,$A15,'3 pr-3'!$T$7:$T$700)+SUMIF('3 pr-3'!$AF$7:$AF$700,$A15,'3 pr-3'!$AN$7:$AN$700)+SUMIF('3 pr-3'!$AZ$7:$AZ$700,$A15,'3 pr-3'!$BH$7:$BH$700)+SUMIF('3 pr-3'!$BT$7:$BT$700,$A15,'3 pr-3'!$CB$7:$CB$700)+SUMIF('3 pr-3'!$CN$7:$CN$700,$A15,'3 pr-3'!$CV$7:$CV$700))+R15</f>
        <v>13</v>
      </c>
      <c r="U15" s="1183">
        <f t="shared" ca="1" si="8"/>
        <v>13</v>
      </c>
    </row>
    <row r="16" spans="1:21" ht="31.5">
      <c r="A16" s="619" t="s">
        <v>468</v>
      </c>
      <c r="B16" s="617" t="s">
        <v>548</v>
      </c>
      <c r="C16" s="594"/>
      <c r="D16" s="1651">
        <v>0</v>
      </c>
      <c r="E16" s="1183" t="str">
        <f t="shared" si="0"/>
        <v>–</v>
      </c>
      <c r="F16" s="1651">
        <v>0</v>
      </c>
      <c r="G16" s="1183" t="str">
        <f t="shared" si="1"/>
        <v>–</v>
      </c>
      <c r="H16" s="1650">
        <f ca="1">(SUMIF('3 pr-3'!$L$7:$AC$700,A16,'3 pr-3'!$N$7:$N$700)+SUMIF('3 pr-3'!$AF$7:$AF$700,A16,'3 pr-3'!$AH$7:$AH$700)+SUMIF('3 pr-3'!$AZ$7:$AZ$700,A16,'3 pr-3'!$BB$7:$BB$700)+SUMIF('3 pr-3'!$BT$7:$BT$700,A16,'3 pr-3'!$BV$7:$BV$700)+SUMIF('3 pr-3'!$CN$7:$CN$700,A16,'3 pr-3'!$CP$7:$CP$700))+F16</f>
        <v>0</v>
      </c>
      <c r="I16" s="594" t="str">
        <f t="shared" ca="1" si="2"/>
        <v>–</v>
      </c>
      <c r="J16" s="1650">
        <f ca="1">(SUMIF('3 pr-3'!$L$7:$AC$700,$A16,'3 pr-3'!$O$7:$O$700)+SUMIF('3 pr-3'!$AF$7:$AF$700,$A16,'3 pr-3'!$AI$7:$AI$700)+SUMIF('3 pr-3'!$AZ$7:$AZ$700,$A16,'3 pr-3'!$BC$7:$BC$700)+SUMIF('3 pr-3'!$BT$7:$BT$700,$A16,'3 pr-3'!$BW$7:$BW$700)+SUMIF('3 pr-3'!$CN$7:$CN$700,$A16,'3 pr-3'!$CQ$7:$CQ$700))+H16</f>
        <v>0.83</v>
      </c>
      <c r="K16" s="1183">
        <f t="shared" ca="1" si="3"/>
        <v>0.83</v>
      </c>
      <c r="L16" s="1650">
        <f ca="1">(SUMIF('3 pr-3'!$L$7:$AC$700,$A16,'3 pr-3'!$P$7:$P$700)+SUMIF('3 pr-3'!$AF$7:$AF$700,$A16,'3 pr-3'!$AJ$7:$AJ$700)+SUMIF('3 pr-3'!$AZ$7:$AZ$700,$A16,'3 pr-3'!$BD$7:$BD$700)+SUMIF('3 pr-3'!$BT$7:$BT$700,$A16,'3 pr-3'!$BX$7:$BX$700)+SUMIF('3 pr-3'!$CN$7:$CN$700,$A16,'3 pr-3'!$CR$7:$CR$700))+J16</f>
        <v>650.83000000000004</v>
      </c>
      <c r="M16" s="1183">
        <f t="shared" ca="1" si="4"/>
        <v>650.83000000000004</v>
      </c>
      <c r="N16" s="1650">
        <f ca="1">(SUMIF('3 pr-3'!$L$7:$AC$700,$A16,'3 pr-3'!$Q$7:$Q$700)+SUMIF('3 pr-3'!$AF$7:$AF$700,$A16,'3 pr-3'!$AK$7:$AK$700)+SUMIF('3 pr-3'!$AZ$7:$AZ$700,$A16,'3 pr-3'!$BE$7:$BE$700)+SUMIF('3 pr-3'!$BT$7:$BT$700,$A16,'3 pr-3'!$BY$7:$BY$700)+SUMIF('3 pr-3'!$CN$7:$CN$700,$A16,'3 pr-3'!$CS$7:$CS$700))+L16</f>
        <v>650.83000000000004</v>
      </c>
      <c r="O16" s="1183">
        <f t="shared" ca="1" si="5"/>
        <v>650.83000000000004</v>
      </c>
      <c r="P16" s="1650">
        <f ca="1">(SUMIF('3 pr-3'!$L$7:$AC$700,$A16,'3 pr-3'!$R$7:$R$700)+SUMIF('3 pr-3'!$AF$7:$AF$700,$A16,'3 pr-3'!$AL$7:$AL$700)+SUMIF('3 pr-3'!$AZ$7:$AZ$700,$A16,'3 pr-3'!$BF$7:$BF$700)+SUMIF('3 pr-3'!$BT$7:$BT$700,$A16,'3 pr-3'!$BZ$7:$BZ$700)+SUMIF('3 pr-3'!$CN$7:$CN$700,$A16,'3 pr-3'!$CT$7:$CT$700))+N16</f>
        <v>650.83000000000004</v>
      </c>
      <c r="Q16" s="1183">
        <f t="shared" ca="1" si="6"/>
        <v>650.83000000000004</v>
      </c>
      <c r="R16" s="1650">
        <f ca="1">(SUMIF('3 pr-3'!$L$7:$AC$700,$A16,'3 pr-3'!$S$7:$S$700)+SUMIF('3 pr-3'!$AF$7:$AF$700,$A16,'3 pr-3'!$AM$7:$AM$700)+SUMIF('3 pr-3'!$AZ$7:$AZ$700,$A16,'3 pr-3'!$BG$7:$BG$700)+SUMIF('3 pr-3'!$BT$7:$BT$700,$A16,'3 pr-3'!$CA$7:$CA$700)+SUMIF('3 pr-3'!$CN$7:$CN$700,$A16,'3 pr-3'!$CU$7:$CU$700))+P16</f>
        <v>650.83000000000004</v>
      </c>
      <c r="S16" s="1183">
        <f t="shared" ca="1" si="7"/>
        <v>650.83000000000004</v>
      </c>
      <c r="T16" s="1650">
        <f ca="1">(SUMIF('3 pr-3'!$L$7:$AC$700,$A16,'3 pr-3'!$T$7:$T$700)+SUMIF('3 pr-3'!$AF$7:$AF$700,$A16,'3 pr-3'!$AN$7:$AN$700)+SUMIF('3 pr-3'!$AZ$7:$AZ$700,$A16,'3 pr-3'!$BH$7:$BH$700)+SUMIF('3 pr-3'!$BT$7:$BT$700,$A16,'3 pr-3'!$CB$7:$CB$700)+SUMIF('3 pr-3'!$CN$7:$CN$700,$A16,'3 pr-3'!$CV$7:$CV$700))+R16</f>
        <v>650.83000000000004</v>
      </c>
      <c r="U16" s="1183">
        <f t="shared" ca="1" si="8"/>
        <v>650.83000000000004</v>
      </c>
    </row>
    <row r="17" spans="1:21" ht="31.5">
      <c r="A17" s="619" t="s">
        <v>536</v>
      </c>
      <c r="B17" s="617" t="s">
        <v>539</v>
      </c>
      <c r="C17" s="594"/>
      <c r="D17" s="1651">
        <v>0</v>
      </c>
      <c r="E17" s="1183" t="str">
        <f t="shared" si="0"/>
        <v>–</v>
      </c>
      <c r="F17" s="1651">
        <v>0</v>
      </c>
      <c r="G17" s="1183" t="str">
        <f t="shared" si="1"/>
        <v>–</v>
      </c>
      <c r="H17" s="1650">
        <f ca="1">(SUMIF('3 pr-3'!$L$7:$AC$700,A17,'3 pr-3'!$N$7:$N$700)+SUMIF('3 pr-3'!$AF$7:$AF$700,A17,'3 pr-3'!$AH$7:$AH$700)+SUMIF('3 pr-3'!$AZ$7:$AZ$700,A17,'3 pr-3'!$BB$7:$BB$700)+SUMIF('3 pr-3'!$BT$7:$BT$700,A17,'3 pr-3'!$BV$7:$BV$700)+SUMIF('3 pr-3'!$CN$7:$CN$700,A17,'3 pr-3'!$CP$7:$CP$700))+F17</f>
        <v>0</v>
      </c>
      <c r="I17" s="594" t="str">
        <f t="shared" ca="1" si="2"/>
        <v>–</v>
      </c>
      <c r="J17" s="1650">
        <f ca="1">(SUMIF('3 pr-3'!$L$7:$AC$700,$A17,'3 pr-3'!$O$7:$O$700)+SUMIF('3 pr-3'!$AF$7:$AF$700,$A17,'3 pr-3'!$AI$7:$AI$700)+SUMIF('3 pr-3'!$AZ$7:$AZ$700,$A17,'3 pr-3'!$BC$7:$BC$700)+SUMIF('3 pr-3'!$BT$7:$BT$700,$A17,'3 pr-3'!$BW$7:$BW$700)+SUMIF('3 pr-3'!$CN$7:$CN$700,$A17,'3 pr-3'!$CQ$7:$CQ$700))+H17</f>
        <v>0</v>
      </c>
      <c r="K17" s="1183" t="str">
        <f t="shared" ca="1" si="3"/>
        <v>–</v>
      </c>
      <c r="L17" s="1650">
        <f ca="1">(SUMIF('3 pr-3'!$L$7:$AC$700,$A17,'3 pr-3'!$P$7:$P$700)+SUMIF('3 pr-3'!$AF$7:$AF$700,$A17,'3 pr-3'!$AJ$7:$AJ$700)+SUMIF('3 pr-3'!$AZ$7:$AZ$700,$A17,'3 pr-3'!$BD$7:$BD$700)+SUMIF('3 pr-3'!$BT$7:$BT$700,$A17,'3 pr-3'!$BX$7:$BX$700)+SUMIF('3 pr-3'!$CN$7:$CN$700,$A17,'3 pr-3'!$CR$7:$CR$700))+J17</f>
        <v>0</v>
      </c>
      <c r="M17" s="1183" t="str">
        <f t="shared" ca="1" si="4"/>
        <v>–</v>
      </c>
      <c r="N17" s="1650">
        <f ca="1">(SUMIF('3 pr-3'!$L$7:$AC$700,$A17,'3 pr-3'!$Q$7:$Q$700)+SUMIF('3 pr-3'!$AF$7:$AF$700,$A17,'3 pr-3'!$AK$7:$AK$700)+SUMIF('3 pr-3'!$AZ$7:$AZ$700,$A17,'3 pr-3'!$BE$7:$BE$700)+SUMIF('3 pr-3'!$BT$7:$BT$700,$A17,'3 pr-3'!$BY$7:$BY$700)+SUMIF('3 pr-3'!$CN$7:$CN$700,$A17,'3 pr-3'!$CS$7:$CS$700))+L17</f>
        <v>0</v>
      </c>
      <c r="O17" s="1183" t="str">
        <f t="shared" ca="1" si="5"/>
        <v>–</v>
      </c>
      <c r="P17" s="1650">
        <f ca="1">(SUMIF('3 pr-3'!$L$7:$AC$700,$A17,'3 pr-3'!$R$7:$R$700)+SUMIF('3 pr-3'!$AF$7:$AF$700,$A17,'3 pr-3'!$AL$7:$AL$700)+SUMIF('3 pr-3'!$AZ$7:$AZ$700,$A17,'3 pr-3'!$BF$7:$BF$700)+SUMIF('3 pr-3'!$BT$7:$BT$700,$A17,'3 pr-3'!$BZ$7:$BZ$700)+SUMIF('3 pr-3'!$CN$7:$CN$700,$A17,'3 pr-3'!$CT$7:$CT$700))+N17</f>
        <v>0</v>
      </c>
      <c r="Q17" s="1183" t="str">
        <f t="shared" ca="1" si="6"/>
        <v>–</v>
      </c>
      <c r="R17" s="1650">
        <f ca="1">(SUMIF('3 pr-3'!$L$7:$AC$700,$A17,'3 pr-3'!$S$7:$S$700)+SUMIF('3 pr-3'!$AF$7:$AF$700,$A17,'3 pr-3'!$AM$7:$AM$700)+SUMIF('3 pr-3'!$AZ$7:$AZ$700,$A17,'3 pr-3'!$BG$7:$BG$700)+SUMIF('3 pr-3'!$BT$7:$BT$700,$A17,'3 pr-3'!$CA$7:$CA$700)+SUMIF('3 pr-3'!$CN$7:$CN$700,$A17,'3 pr-3'!$CU$7:$CU$700))+P17</f>
        <v>0</v>
      </c>
      <c r="S17" s="1183" t="str">
        <f t="shared" ca="1" si="7"/>
        <v>–</v>
      </c>
      <c r="T17" s="1650">
        <f ca="1">(SUMIF('3 pr-3'!$L$7:$AC$700,$A17,'3 pr-3'!$T$7:$T$700)+SUMIF('3 pr-3'!$AF$7:$AF$700,$A17,'3 pr-3'!$AN$7:$AN$700)+SUMIF('3 pr-3'!$AZ$7:$AZ$700,$A17,'3 pr-3'!$BH$7:$BH$700)+SUMIF('3 pr-3'!$BT$7:$BT$700,$A17,'3 pr-3'!$CB$7:$CB$700)+SUMIF('3 pr-3'!$CN$7:$CN$700,$A17,'3 pr-3'!$CV$7:$CV$700))+R17</f>
        <v>0</v>
      </c>
      <c r="U17" s="1183" t="str">
        <f t="shared" ca="1" si="8"/>
        <v>–</v>
      </c>
    </row>
    <row r="18" spans="1:21" ht="15.75">
      <c r="A18" s="619" t="s">
        <v>531</v>
      </c>
      <c r="B18" s="617" t="s">
        <v>549</v>
      </c>
      <c r="C18" s="594"/>
      <c r="D18" s="1651">
        <v>0</v>
      </c>
      <c r="E18" s="1183" t="str">
        <f t="shared" si="0"/>
        <v>–</v>
      </c>
      <c r="F18" s="1651">
        <v>0</v>
      </c>
      <c r="G18" s="1183" t="str">
        <f t="shared" si="1"/>
        <v>–</v>
      </c>
      <c r="H18" s="1650">
        <f ca="1">(SUMIF('3 pr-3'!$L$7:$AC$700,A18,'3 pr-3'!$N$7:$N$700)+SUMIF('3 pr-3'!$AF$7:$AF$700,A18,'3 pr-3'!$AH$7:$AH$700)+SUMIF('3 pr-3'!$AZ$7:$AZ$700,A18,'3 pr-3'!$BB$7:$BB$700)+SUMIF('3 pr-3'!$BT$7:$BT$700,A18,'3 pr-3'!$BV$7:$BV$700)+SUMIF('3 pr-3'!$CN$7:$CN$700,A18,'3 pr-3'!$CP$7:$CP$700))+F18</f>
        <v>0</v>
      </c>
      <c r="I18" s="594" t="str">
        <f t="shared" ca="1" si="2"/>
        <v>–</v>
      </c>
      <c r="J18" s="1650">
        <f ca="1">(SUMIF('3 pr-3'!$L$7:$AC$700,$A18,'3 pr-3'!$O$7:$O$700)+SUMIF('3 pr-3'!$AF$7:$AF$700,$A18,'3 pr-3'!$AI$7:$AI$700)+SUMIF('3 pr-3'!$AZ$7:$AZ$700,$A18,'3 pr-3'!$BC$7:$BC$700)+SUMIF('3 pr-3'!$BT$7:$BT$700,$A18,'3 pr-3'!$BW$7:$BW$700)+SUMIF('3 pr-3'!$CN$7:$CN$700,$A18,'3 pr-3'!$CQ$7:$CQ$700))+H18</f>
        <v>48</v>
      </c>
      <c r="K18" s="1183">
        <f t="shared" ca="1" si="3"/>
        <v>48</v>
      </c>
      <c r="L18" s="1650">
        <f ca="1">(SUMIF('3 pr-3'!$L$7:$AC$700,$A18,'3 pr-3'!$P$7:$P$700)+SUMIF('3 pr-3'!$AF$7:$AF$700,$A18,'3 pr-3'!$AJ$7:$AJ$700)+SUMIF('3 pr-3'!$AZ$7:$AZ$700,$A18,'3 pr-3'!$BD$7:$BD$700)+SUMIF('3 pr-3'!$BT$7:$BT$700,$A18,'3 pr-3'!$BX$7:$BX$700)+SUMIF('3 pr-3'!$CN$7:$CN$700,$A18,'3 pr-3'!$CR$7:$CR$700))+J18</f>
        <v>48</v>
      </c>
      <c r="M18" s="1183">
        <f t="shared" ca="1" si="4"/>
        <v>48</v>
      </c>
      <c r="N18" s="1650">
        <f ca="1">(SUMIF('3 pr-3'!$L$7:$AC$700,$A18,'3 pr-3'!$Q$7:$Q$700)+SUMIF('3 pr-3'!$AF$7:$AF$700,$A18,'3 pr-3'!$AK$7:$AK$700)+SUMIF('3 pr-3'!$AZ$7:$AZ$700,$A18,'3 pr-3'!$BE$7:$BE$700)+SUMIF('3 pr-3'!$BT$7:$BT$700,$A18,'3 pr-3'!$BY$7:$BY$700)+SUMIF('3 pr-3'!$CN$7:$CN$700,$A18,'3 pr-3'!$CS$7:$CS$700))+L18</f>
        <v>48</v>
      </c>
      <c r="O18" s="1183">
        <f t="shared" ca="1" si="5"/>
        <v>48</v>
      </c>
      <c r="P18" s="1650">
        <f ca="1">(SUMIF('3 pr-3'!$L$7:$AC$700,$A18,'3 pr-3'!$R$7:$R$700)+SUMIF('3 pr-3'!$AF$7:$AF$700,$A18,'3 pr-3'!$AL$7:$AL$700)+SUMIF('3 pr-3'!$AZ$7:$AZ$700,$A18,'3 pr-3'!$BF$7:$BF$700)+SUMIF('3 pr-3'!$BT$7:$BT$700,$A18,'3 pr-3'!$BZ$7:$BZ$700)+SUMIF('3 pr-3'!$CN$7:$CN$700,$A18,'3 pr-3'!$CT$7:$CT$700))+N18</f>
        <v>48</v>
      </c>
      <c r="Q18" s="1183">
        <f t="shared" ca="1" si="6"/>
        <v>48</v>
      </c>
      <c r="R18" s="1650">
        <f ca="1">(SUMIF('3 pr-3'!$L$7:$AC$700,$A18,'3 pr-3'!$S$7:$S$700)+SUMIF('3 pr-3'!$AF$7:$AF$700,$A18,'3 pr-3'!$AM$7:$AM$700)+SUMIF('3 pr-3'!$AZ$7:$AZ$700,$A18,'3 pr-3'!$BG$7:$BG$700)+SUMIF('3 pr-3'!$BT$7:$BT$700,$A18,'3 pr-3'!$CA$7:$CA$700)+SUMIF('3 pr-3'!$CN$7:$CN$700,$A18,'3 pr-3'!$CU$7:$CU$700))+P18</f>
        <v>48</v>
      </c>
      <c r="S18" s="1183">
        <f t="shared" ca="1" si="7"/>
        <v>48</v>
      </c>
      <c r="T18" s="1650">
        <f ca="1">(SUMIF('3 pr-3'!$L$7:$AC$700,$A18,'3 pr-3'!$T$7:$T$700)+SUMIF('3 pr-3'!$AF$7:$AF$700,$A18,'3 pr-3'!$AN$7:$AN$700)+SUMIF('3 pr-3'!$AZ$7:$AZ$700,$A18,'3 pr-3'!$BH$7:$BH$700)+SUMIF('3 pr-3'!$BT$7:$BT$700,$A18,'3 pr-3'!$CB$7:$CB$700)+SUMIF('3 pr-3'!$CN$7:$CN$700,$A18,'3 pr-3'!$CV$7:$CV$700))+R18</f>
        <v>48</v>
      </c>
      <c r="U18" s="1183">
        <f t="shared" ca="1" si="8"/>
        <v>48</v>
      </c>
    </row>
    <row r="19" spans="1:21" ht="15.75">
      <c r="A19" s="619" t="s">
        <v>532</v>
      </c>
      <c r="B19" s="617" t="s">
        <v>533</v>
      </c>
      <c r="C19" s="594"/>
      <c r="D19" s="1651">
        <v>0</v>
      </c>
      <c r="E19" s="1183" t="str">
        <f t="shared" si="0"/>
        <v>–</v>
      </c>
      <c r="F19" s="1651">
        <v>0</v>
      </c>
      <c r="G19" s="1183" t="str">
        <f t="shared" si="1"/>
        <v>–</v>
      </c>
      <c r="H19" s="1650">
        <f ca="1">(SUMIF('3 pr-3'!$L$7:$AC$700,A19,'3 pr-3'!$N$7:$N$700)+SUMIF('3 pr-3'!$AF$7:$AF$700,A19,'3 pr-3'!$AH$7:$AH$700)+SUMIF('3 pr-3'!$AZ$7:$AZ$700,A19,'3 pr-3'!$BB$7:$BB$700)+SUMIF('3 pr-3'!$BT$7:$BT$700,A19,'3 pr-3'!$BV$7:$BV$700)+SUMIF('3 pr-3'!$CN$7:$CN$700,A19,'3 pr-3'!$CP$7:$CP$700))+F19</f>
        <v>0</v>
      </c>
      <c r="I19" s="594" t="str">
        <f t="shared" ca="1" si="2"/>
        <v>–</v>
      </c>
      <c r="J19" s="1650">
        <f ca="1">(SUMIF('3 pr-3'!$L$7:$AC$700,$A19,'3 pr-3'!$O$7:$O$700)+SUMIF('3 pr-3'!$AF$7:$AF$700,$A19,'3 pr-3'!$AI$7:$AI$700)+SUMIF('3 pr-3'!$AZ$7:$AZ$700,$A19,'3 pr-3'!$BC$7:$BC$700)+SUMIF('3 pr-3'!$BT$7:$BT$700,$A19,'3 pr-3'!$BW$7:$BW$700)+SUMIF('3 pr-3'!$CN$7:$CN$700,$A19,'3 pr-3'!$CQ$7:$CQ$700))+H19</f>
        <v>3</v>
      </c>
      <c r="K19" s="1183">
        <f t="shared" ca="1" si="3"/>
        <v>3</v>
      </c>
      <c r="L19" s="1650">
        <f ca="1">(SUMIF('3 pr-3'!$L$7:$AC$700,$A19,'3 pr-3'!$P$7:$P$700)+SUMIF('3 pr-3'!$AF$7:$AF$700,$A19,'3 pr-3'!$AJ$7:$AJ$700)+SUMIF('3 pr-3'!$AZ$7:$AZ$700,$A19,'3 pr-3'!$BD$7:$BD$700)+SUMIF('3 pr-3'!$BT$7:$BT$700,$A19,'3 pr-3'!$BX$7:$BX$700)+SUMIF('3 pr-3'!$CN$7:$CN$700,$A19,'3 pr-3'!$CR$7:$CR$700))+J19</f>
        <v>3</v>
      </c>
      <c r="M19" s="1183">
        <f t="shared" ca="1" si="4"/>
        <v>3</v>
      </c>
      <c r="N19" s="1650">
        <f ca="1">(SUMIF('3 pr-3'!$L$7:$AC$700,$A19,'3 pr-3'!$Q$7:$Q$700)+SUMIF('3 pr-3'!$AF$7:$AF$700,$A19,'3 pr-3'!$AK$7:$AK$700)+SUMIF('3 pr-3'!$AZ$7:$AZ$700,$A19,'3 pr-3'!$BE$7:$BE$700)+SUMIF('3 pr-3'!$BT$7:$BT$700,$A19,'3 pr-3'!$BY$7:$BY$700)+SUMIF('3 pr-3'!$CN$7:$CN$700,$A19,'3 pr-3'!$CS$7:$CS$700))+L19</f>
        <v>3</v>
      </c>
      <c r="O19" s="1183">
        <f t="shared" ca="1" si="5"/>
        <v>3</v>
      </c>
      <c r="P19" s="1650">
        <f ca="1">(SUMIF('3 pr-3'!$L$7:$AC$700,$A19,'3 pr-3'!$R$7:$R$700)+SUMIF('3 pr-3'!$AF$7:$AF$700,$A19,'3 pr-3'!$AL$7:$AL$700)+SUMIF('3 pr-3'!$AZ$7:$AZ$700,$A19,'3 pr-3'!$BF$7:$BF$700)+SUMIF('3 pr-3'!$BT$7:$BT$700,$A19,'3 pr-3'!$BZ$7:$BZ$700)+SUMIF('3 pr-3'!$CN$7:$CN$700,$A19,'3 pr-3'!$CT$7:$CT$700))+N19</f>
        <v>3</v>
      </c>
      <c r="Q19" s="1183">
        <f t="shared" ca="1" si="6"/>
        <v>3</v>
      </c>
      <c r="R19" s="1650">
        <f ca="1">(SUMIF('3 pr-3'!$L$7:$AC$700,$A19,'3 pr-3'!$S$7:$S$700)+SUMIF('3 pr-3'!$AF$7:$AF$700,$A19,'3 pr-3'!$AM$7:$AM$700)+SUMIF('3 pr-3'!$AZ$7:$AZ$700,$A19,'3 pr-3'!$BG$7:$BG$700)+SUMIF('3 pr-3'!$BT$7:$BT$700,$A19,'3 pr-3'!$CA$7:$CA$700)+SUMIF('3 pr-3'!$CN$7:$CN$700,$A19,'3 pr-3'!$CU$7:$CU$700))+P19</f>
        <v>3</v>
      </c>
      <c r="S19" s="1183">
        <f t="shared" ca="1" si="7"/>
        <v>3</v>
      </c>
      <c r="T19" s="1650">
        <f ca="1">(SUMIF('3 pr-3'!$L$7:$AC$700,$A19,'3 pr-3'!$T$7:$T$700)+SUMIF('3 pr-3'!$AF$7:$AF$700,$A19,'3 pr-3'!$AN$7:$AN$700)+SUMIF('3 pr-3'!$AZ$7:$AZ$700,$A19,'3 pr-3'!$BH$7:$BH$700)+SUMIF('3 pr-3'!$BT$7:$BT$700,$A19,'3 pr-3'!$CB$7:$CB$700)+SUMIF('3 pr-3'!$CN$7:$CN$700,$A19,'3 pr-3'!$CV$7:$CV$700))+R19</f>
        <v>3</v>
      </c>
      <c r="U19" s="1183">
        <f t="shared" ca="1" si="8"/>
        <v>3</v>
      </c>
    </row>
    <row r="20" spans="1:21" ht="15.75">
      <c r="A20" s="619" t="s">
        <v>483</v>
      </c>
      <c r="B20" s="617" t="s">
        <v>550</v>
      </c>
      <c r="C20" s="594"/>
      <c r="D20" s="1651">
        <v>0</v>
      </c>
      <c r="E20" s="1183" t="str">
        <f t="shared" si="0"/>
        <v>–</v>
      </c>
      <c r="F20" s="1651">
        <v>0</v>
      </c>
      <c r="G20" s="1183" t="str">
        <f t="shared" si="1"/>
        <v>–</v>
      </c>
      <c r="H20" s="1650">
        <f ca="1">(SUMIF('3 pr-3'!$L$7:$AC$700,A20,'3 pr-3'!$N$7:$N$700)+SUMIF('3 pr-3'!$AF$7:$AF$700,A20,'3 pr-3'!$AH$7:$AH$700)+SUMIF('3 pr-3'!$AZ$7:$AZ$700,A20,'3 pr-3'!$BB$7:$BB$700)+SUMIF('3 pr-3'!$BT$7:$BT$700,A20,'3 pr-3'!$BV$7:$BV$700)+SUMIF('3 pr-3'!$CN$7:$CN$700,A20,'3 pr-3'!$CP$7:$CP$700))+F20</f>
        <v>0</v>
      </c>
      <c r="I20" s="594" t="str">
        <f t="shared" ca="1" si="2"/>
        <v>–</v>
      </c>
      <c r="J20" s="1650">
        <f ca="1">(SUMIF('3 pr-3'!$L$7:$AC$700,$A20,'3 pr-3'!$O$7:$O$700)+SUMIF('3 pr-3'!$AF$7:$AF$700,$A20,'3 pr-3'!$AI$7:$AI$700)+SUMIF('3 pr-3'!$AZ$7:$AZ$700,$A20,'3 pr-3'!$BC$7:$BC$700)+SUMIF('3 pr-3'!$BT$7:$BT$700,$A20,'3 pr-3'!$BW$7:$BW$700)+SUMIF('3 pr-3'!$CN$7:$CN$700,$A20,'3 pr-3'!$CQ$7:$CQ$700))+H20</f>
        <v>0</v>
      </c>
      <c r="K20" s="1183" t="str">
        <f t="shared" ca="1" si="3"/>
        <v>–</v>
      </c>
      <c r="L20" s="1650">
        <f ca="1">(SUMIF('3 pr-3'!$L$7:$AC$700,$A20,'3 pr-3'!$P$7:$P$700)+SUMIF('3 pr-3'!$AF$7:$AF$700,$A20,'3 pr-3'!$AJ$7:$AJ$700)+SUMIF('3 pr-3'!$AZ$7:$AZ$700,$A20,'3 pr-3'!$BD$7:$BD$700)+SUMIF('3 pr-3'!$BT$7:$BT$700,$A20,'3 pr-3'!$BX$7:$BX$700)+SUMIF('3 pr-3'!$CN$7:$CN$700,$A20,'3 pr-3'!$CR$7:$CR$700))+J20</f>
        <v>1</v>
      </c>
      <c r="M20" s="1183">
        <f t="shared" ca="1" si="4"/>
        <v>1</v>
      </c>
      <c r="N20" s="1650">
        <f ca="1">(SUMIF('3 pr-3'!$L$7:$AC$700,$A20,'3 pr-3'!$Q$7:$Q$700)+SUMIF('3 pr-3'!$AF$7:$AF$700,$A20,'3 pr-3'!$AK$7:$AK$700)+SUMIF('3 pr-3'!$AZ$7:$AZ$700,$A20,'3 pr-3'!$BE$7:$BE$700)+SUMIF('3 pr-3'!$BT$7:$BT$700,$A20,'3 pr-3'!$BY$7:$BY$700)+SUMIF('3 pr-3'!$CN$7:$CN$700,$A20,'3 pr-3'!$CS$7:$CS$700))+L20</f>
        <v>1</v>
      </c>
      <c r="O20" s="1183">
        <f t="shared" ca="1" si="5"/>
        <v>1</v>
      </c>
      <c r="P20" s="1650">
        <f ca="1">(SUMIF('3 pr-3'!$L$7:$AC$700,$A20,'3 pr-3'!$R$7:$R$700)+SUMIF('3 pr-3'!$AF$7:$AF$700,$A20,'3 pr-3'!$AL$7:$AL$700)+SUMIF('3 pr-3'!$AZ$7:$AZ$700,$A20,'3 pr-3'!$BF$7:$BF$700)+SUMIF('3 pr-3'!$BT$7:$BT$700,$A20,'3 pr-3'!$BZ$7:$BZ$700)+SUMIF('3 pr-3'!$CN$7:$CN$700,$A20,'3 pr-3'!$CT$7:$CT$700))+N20</f>
        <v>1</v>
      </c>
      <c r="Q20" s="1183">
        <f t="shared" ca="1" si="6"/>
        <v>1</v>
      </c>
      <c r="R20" s="1650">
        <f ca="1">(SUMIF('3 pr-3'!$L$7:$AC$700,$A20,'3 pr-3'!$S$7:$S$700)+SUMIF('3 pr-3'!$AF$7:$AF$700,$A20,'3 pr-3'!$AM$7:$AM$700)+SUMIF('3 pr-3'!$AZ$7:$AZ$700,$A20,'3 pr-3'!$BG$7:$BG$700)+SUMIF('3 pr-3'!$BT$7:$BT$700,$A20,'3 pr-3'!$CA$7:$CA$700)+SUMIF('3 pr-3'!$CN$7:$CN$700,$A20,'3 pr-3'!$CU$7:$CU$700))+P20</f>
        <v>1</v>
      </c>
      <c r="S20" s="1183">
        <f t="shared" ca="1" si="7"/>
        <v>1</v>
      </c>
      <c r="T20" s="1650">
        <f ca="1">(SUMIF('3 pr-3'!$L$7:$AC$700,$A20,'3 pr-3'!$T$7:$T$700)+SUMIF('3 pr-3'!$AF$7:$AF$700,$A20,'3 pr-3'!$AN$7:$AN$700)+SUMIF('3 pr-3'!$AZ$7:$AZ$700,$A20,'3 pr-3'!$BH$7:$BH$700)+SUMIF('3 pr-3'!$BT$7:$BT$700,$A20,'3 pr-3'!$CB$7:$CB$700)+SUMIF('3 pr-3'!$CN$7:$CN$700,$A20,'3 pr-3'!$CV$7:$CV$700))+R20</f>
        <v>1</v>
      </c>
      <c r="U20" s="1183">
        <f t="shared" ca="1" si="8"/>
        <v>1</v>
      </c>
    </row>
    <row r="21" spans="1:21" s="998" customFormat="1" ht="15.75">
      <c r="A21" s="615" t="s">
        <v>792</v>
      </c>
      <c r="B21" s="616" t="s">
        <v>793</v>
      </c>
      <c r="C21" s="615"/>
      <c r="D21" s="1651">
        <v>0</v>
      </c>
      <c r="E21" s="1183" t="str">
        <f t="shared" si="0"/>
        <v>–</v>
      </c>
      <c r="F21" s="1651">
        <v>0</v>
      </c>
      <c r="G21" s="1183" t="str">
        <f t="shared" si="1"/>
        <v>–</v>
      </c>
      <c r="H21" s="1650">
        <f ca="1">(SUMIF('3 pr-3'!$L$7:$AC$700,A21,'3 pr-3'!$N$7:$N$700)+SUMIF('3 pr-3'!$AF$7:$AF$700,A21,'3 pr-3'!$AH$7:$AH$700)+SUMIF('3 pr-3'!$AZ$7:$AZ$700,A21,'3 pr-3'!$BB$7:$BB$700)+SUMIF('3 pr-3'!$BT$7:$BT$700,A21,'3 pr-3'!$BV$7:$BV$700)+SUMIF('3 pr-3'!$CN$7:$CN$700,A21,'3 pr-3'!$CP$7:$CP$700))+F21</f>
        <v>1</v>
      </c>
      <c r="I21" s="615">
        <f t="shared" ca="1" si="2"/>
        <v>1</v>
      </c>
      <c r="J21" s="1650">
        <f ca="1">(SUMIF('3 pr-3'!$L$7:$AC$700,$A21,'3 pr-3'!$O$7:$O$700)+SUMIF('3 pr-3'!$AF$7:$AF$700,$A21,'3 pr-3'!$AI$7:$AI$700)+SUMIF('3 pr-3'!$AZ$7:$AZ$700,$A21,'3 pr-3'!$BC$7:$BC$700)+SUMIF('3 pr-3'!$BT$7:$BT$700,$A21,'3 pr-3'!$BW$7:$BW$700)+SUMIF('3 pr-3'!$CN$7:$CN$700,$A21,'3 pr-3'!$CQ$7:$CQ$700))+H21</f>
        <v>2</v>
      </c>
      <c r="K21" s="1183">
        <f t="shared" ca="1" si="3"/>
        <v>2</v>
      </c>
      <c r="L21" s="1650">
        <f ca="1">(SUMIF('3 pr-3'!$L$7:$AC$700,$A21,'3 pr-3'!$P$7:$P$700)+SUMIF('3 pr-3'!$AF$7:$AF$700,$A21,'3 pr-3'!$AJ$7:$AJ$700)+SUMIF('3 pr-3'!$AZ$7:$AZ$700,$A21,'3 pr-3'!$BD$7:$BD$700)+SUMIF('3 pr-3'!$BT$7:$BT$700,$A21,'3 pr-3'!$BX$7:$BX$700)+SUMIF('3 pr-3'!$CN$7:$CN$700,$A21,'3 pr-3'!$CR$7:$CR$700))+J21</f>
        <v>2</v>
      </c>
      <c r="M21" s="1183">
        <f t="shared" ca="1" si="4"/>
        <v>2</v>
      </c>
      <c r="N21" s="1650">
        <f ca="1">(SUMIF('3 pr-3'!$L$7:$AC$700,$A21,'3 pr-3'!$Q$7:$Q$700)+SUMIF('3 pr-3'!$AF$7:$AF$700,$A21,'3 pr-3'!$AK$7:$AK$700)+SUMIF('3 pr-3'!$AZ$7:$AZ$700,$A21,'3 pr-3'!$BE$7:$BE$700)+SUMIF('3 pr-3'!$BT$7:$BT$700,$A21,'3 pr-3'!$BY$7:$BY$700)+SUMIF('3 pr-3'!$CN$7:$CN$700,$A21,'3 pr-3'!$CS$7:$CS$700))+L21</f>
        <v>2</v>
      </c>
      <c r="O21" s="1183">
        <f t="shared" ca="1" si="5"/>
        <v>2</v>
      </c>
      <c r="P21" s="1650">
        <f ca="1">(SUMIF('3 pr-3'!$L$7:$AC$700,$A21,'3 pr-3'!$R$7:$R$700)+SUMIF('3 pr-3'!$AF$7:$AF$700,$A21,'3 pr-3'!$AL$7:$AL$700)+SUMIF('3 pr-3'!$AZ$7:$AZ$700,$A21,'3 pr-3'!$BF$7:$BF$700)+SUMIF('3 pr-3'!$BT$7:$BT$700,$A21,'3 pr-3'!$BZ$7:$BZ$700)+SUMIF('3 pr-3'!$CN$7:$CN$700,$A21,'3 pr-3'!$CT$7:$CT$700))+N21</f>
        <v>2</v>
      </c>
      <c r="Q21" s="1183">
        <f t="shared" ca="1" si="6"/>
        <v>2</v>
      </c>
      <c r="R21" s="1650">
        <f ca="1">(SUMIF('3 pr-3'!$L$7:$AC$700,$A21,'3 pr-3'!$S$7:$S$700)+SUMIF('3 pr-3'!$AF$7:$AF$700,$A21,'3 pr-3'!$AM$7:$AM$700)+SUMIF('3 pr-3'!$AZ$7:$AZ$700,$A21,'3 pr-3'!$BG$7:$BG$700)+SUMIF('3 pr-3'!$BT$7:$BT$700,$A21,'3 pr-3'!$CA$7:$CA$700)+SUMIF('3 pr-3'!$CN$7:$CN$700,$A21,'3 pr-3'!$CU$7:$CU$700))+P21</f>
        <v>2</v>
      </c>
      <c r="S21" s="1183">
        <f t="shared" ca="1" si="7"/>
        <v>2</v>
      </c>
      <c r="T21" s="1650">
        <f ca="1">(SUMIF('3 pr-3'!$L$7:$AC$700,$A21,'3 pr-3'!$T$7:$T$700)+SUMIF('3 pr-3'!$AF$7:$AF$700,$A21,'3 pr-3'!$AN$7:$AN$700)+SUMIF('3 pr-3'!$AZ$7:$AZ$700,$A21,'3 pr-3'!$BH$7:$BH$700)+SUMIF('3 pr-3'!$BT$7:$BT$700,$A21,'3 pr-3'!$CB$7:$CB$700)+SUMIF('3 pr-3'!$CN$7:$CN$700,$A21,'3 pr-3'!$CV$7:$CV$700))+R21</f>
        <v>2</v>
      </c>
      <c r="U21" s="1183">
        <f t="shared" ca="1" si="8"/>
        <v>2</v>
      </c>
    </row>
    <row r="22" spans="1:21" ht="15.75">
      <c r="A22" s="619" t="s">
        <v>502</v>
      </c>
      <c r="B22" s="617" t="s">
        <v>503</v>
      </c>
      <c r="C22" s="594"/>
      <c r="D22" s="1651">
        <v>0</v>
      </c>
      <c r="E22" s="1183" t="str">
        <f t="shared" si="0"/>
        <v>–</v>
      </c>
      <c r="F22" s="1651">
        <v>0</v>
      </c>
      <c r="G22" s="1183" t="str">
        <f t="shared" si="1"/>
        <v>–</v>
      </c>
      <c r="H22" s="1650">
        <f ca="1">(SUMIF('3 pr-3'!$L$7:$AC$700,A22,'3 pr-3'!$N$7:$N$700)+SUMIF('3 pr-3'!$AF$7:$AF$700,A22,'3 pr-3'!$AH$7:$AH$700)+SUMIF('3 pr-3'!$AZ$7:$AZ$700,A22,'3 pr-3'!$BB$7:$BB$700)+SUMIF('3 pr-3'!$BT$7:$BT$700,A22,'3 pr-3'!$BV$7:$BV$700)+SUMIF('3 pr-3'!$CN$7:$CN$700,A22,'3 pr-3'!$CP$7:$CP$700))+F22</f>
        <v>0</v>
      </c>
      <c r="I22" s="594" t="str">
        <f t="shared" ca="1" si="2"/>
        <v>–</v>
      </c>
      <c r="J22" s="1650">
        <f ca="1">(SUMIF('3 pr-3'!$L$7:$AC$700,$A22,'3 pr-3'!$O$7:$O$700)+SUMIF('3 pr-3'!$AF$7:$AF$700,$A22,'3 pr-3'!$AI$7:$AI$700)+SUMIF('3 pr-3'!$AZ$7:$AZ$700,$A22,'3 pr-3'!$BC$7:$BC$700)+SUMIF('3 pr-3'!$BT$7:$BT$700,$A22,'3 pr-3'!$BW$7:$BW$700)+SUMIF('3 pr-3'!$CN$7:$CN$700,$A22,'3 pr-3'!$CQ$7:$CQ$700))+H22</f>
        <v>0.72</v>
      </c>
      <c r="K22" s="1183">
        <f t="shared" ca="1" si="3"/>
        <v>0.72</v>
      </c>
      <c r="L22" s="1650">
        <f ca="1">(SUMIF('3 pr-3'!$L$7:$AC$700,$A22,'3 pr-3'!$P$7:$P$700)+SUMIF('3 pr-3'!$AF$7:$AF$700,$A22,'3 pr-3'!$AJ$7:$AJ$700)+SUMIF('3 pr-3'!$AZ$7:$AZ$700,$A22,'3 pr-3'!$BD$7:$BD$700)+SUMIF('3 pr-3'!$BT$7:$BT$700,$A22,'3 pr-3'!$BX$7:$BX$700)+SUMIF('3 pr-3'!$CN$7:$CN$700,$A22,'3 pr-3'!$CR$7:$CR$700))+J22</f>
        <v>0.72</v>
      </c>
      <c r="M22" s="1183">
        <f t="shared" ca="1" si="4"/>
        <v>0.72</v>
      </c>
      <c r="N22" s="1650">
        <f ca="1">(SUMIF('3 pr-3'!$L$7:$AC$700,$A22,'3 pr-3'!$Q$7:$Q$700)+SUMIF('3 pr-3'!$AF$7:$AF$700,$A22,'3 pr-3'!$AK$7:$AK$700)+SUMIF('3 pr-3'!$AZ$7:$AZ$700,$A22,'3 pr-3'!$BE$7:$BE$700)+SUMIF('3 pr-3'!$BT$7:$BT$700,$A22,'3 pr-3'!$BY$7:$BY$700)+SUMIF('3 pr-3'!$CN$7:$CN$700,$A22,'3 pr-3'!$CS$7:$CS$700))+L22</f>
        <v>0.72</v>
      </c>
      <c r="O22" s="1183">
        <f t="shared" ca="1" si="5"/>
        <v>0.72</v>
      </c>
      <c r="P22" s="1650">
        <f ca="1">(SUMIF('3 pr-3'!$L$7:$AC$700,$A22,'3 pr-3'!$R$7:$R$700)+SUMIF('3 pr-3'!$AF$7:$AF$700,$A22,'3 pr-3'!$AL$7:$AL$700)+SUMIF('3 pr-3'!$AZ$7:$AZ$700,$A22,'3 pr-3'!$BF$7:$BF$700)+SUMIF('3 pr-3'!$BT$7:$BT$700,$A22,'3 pr-3'!$BZ$7:$BZ$700)+SUMIF('3 pr-3'!$CN$7:$CN$700,$A22,'3 pr-3'!$CT$7:$CT$700))+N22</f>
        <v>0.72</v>
      </c>
      <c r="Q22" s="1183">
        <f t="shared" ca="1" si="6"/>
        <v>0.72</v>
      </c>
      <c r="R22" s="1650">
        <f ca="1">(SUMIF('3 pr-3'!$L$7:$AC$700,$A22,'3 pr-3'!$S$7:$S$700)+SUMIF('3 pr-3'!$AF$7:$AF$700,$A22,'3 pr-3'!$AM$7:$AM$700)+SUMIF('3 pr-3'!$AZ$7:$AZ$700,$A22,'3 pr-3'!$BG$7:$BG$700)+SUMIF('3 pr-3'!$BT$7:$BT$700,$A22,'3 pr-3'!$CA$7:$CA$700)+SUMIF('3 pr-3'!$CN$7:$CN$700,$A22,'3 pr-3'!$CU$7:$CU$700))+P22</f>
        <v>0.72</v>
      </c>
      <c r="S22" s="1183">
        <f t="shared" ca="1" si="7"/>
        <v>0.72</v>
      </c>
      <c r="T22" s="1650">
        <f ca="1">(SUMIF('3 pr-3'!$L$7:$AC$700,$A22,'3 pr-3'!$T$7:$T$700)+SUMIF('3 pr-3'!$AF$7:$AF$700,$A22,'3 pr-3'!$AN$7:$AN$700)+SUMIF('3 pr-3'!$AZ$7:$AZ$700,$A22,'3 pr-3'!$BH$7:$BH$700)+SUMIF('3 pr-3'!$BT$7:$BT$700,$A22,'3 pr-3'!$CB$7:$CB$700)+SUMIF('3 pr-3'!$CN$7:$CN$700,$A22,'3 pr-3'!$CV$7:$CV$700))+R22</f>
        <v>0.72</v>
      </c>
      <c r="U22" s="1183">
        <f t="shared" ca="1" si="8"/>
        <v>0.72</v>
      </c>
    </row>
    <row r="23" spans="1:21" ht="31.5">
      <c r="A23" s="594" t="s">
        <v>1193</v>
      </c>
      <c r="B23" s="617" t="s">
        <v>1194</v>
      </c>
      <c r="C23" s="594"/>
      <c r="D23" s="1651">
        <v>0</v>
      </c>
      <c r="E23" s="1183" t="str">
        <f t="shared" si="0"/>
        <v>–</v>
      </c>
      <c r="F23" s="1651">
        <v>0</v>
      </c>
      <c r="G23" s="1183" t="str">
        <f t="shared" si="1"/>
        <v>–</v>
      </c>
      <c r="H23" s="1650">
        <f ca="1">(SUMIF('3 pr-3'!$L$7:$AC$700,A23,'3 pr-3'!$N$7:$N$700)+SUMIF('3 pr-3'!$AF$7:$AF$700,A23,'3 pr-3'!$AH$7:$AH$700)+SUMIF('3 pr-3'!$AZ$7:$AZ$700,A23,'3 pr-3'!$BB$7:$BB$700)+SUMIF('3 pr-3'!$BT$7:$BT$700,A23,'3 pr-3'!$BV$7:$BV$700)+SUMIF('3 pr-3'!$CN$7:$CN$700,A23,'3 pr-3'!$CP$7:$CP$700))+F23</f>
        <v>0</v>
      </c>
      <c r="I23" s="594" t="str">
        <f t="shared" ca="1" si="2"/>
        <v>–</v>
      </c>
      <c r="J23" s="1650">
        <f ca="1">(SUMIF('3 pr-3'!$L$7:$AC$700,$A23,'3 pr-3'!$O$7:$O$700)+SUMIF('3 pr-3'!$AF$7:$AF$700,$A23,'3 pr-3'!$AI$7:$AI$700)+SUMIF('3 pr-3'!$AZ$7:$AZ$700,$A23,'3 pr-3'!$BC$7:$BC$700)+SUMIF('3 pr-3'!$BT$7:$BT$700,$A23,'3 pr-3'!$BW$7:$BW$700)+SUMIF('3 pr-3'!$CN$7:$CN$700,$A23,'3 pr-3'!$CQ$7:$CQ$700))+H23</f>
        <v>0</v>
      </c>
      <c r="K23" s="1183" t="str">
        <f t="shared" ca="1" si="3"/>
        <v>–</v>
      </c>
      <c r="L23" s="1650">
        <f ca="1">(SUMIF('3 pr-3'!$L$7:$AC$700,$A23,'3 pr-3'!$P$7:$P$700)+SUMIF('3 pr-3'!$AF$7:$AF$700,$A23,'3 pr-3'!$AJ$7:$AJ$700)+SUMIF('3 pr-3'!$AZ$7:$AZ$700,$A23,'3 pr-3'!$BD$7:$BD$700)+SUMIF('3 pr-3'!$BT$7:$BT$700,$A23,'3 pr-3'!$BX$7:$BX$700)+SUMIF('3 pr-3'!$CN$7:$CN$700,$A23,'3 pr-3'!$CR$7:$CR$700))+J23</f>
        <v>1</v>
      </c>
      <c r="M23" s="1183">
        <f t="shared" ca="1" si="4"/>
        <v>1</v>
      </c>
      <c r="N23" s="1650">
        <f ca="1">(SUMIF('3 pr-3'!$L$7:$AC$700,$A23,'3 pr-3'!$Q$7:$Q$700)+SUMIF('3 pr-3'!$AF$7:$AF$700,$A23,'3 pr-3'!$AK$7:$AK$700)+SUMIF('3 pr-3'!$AZ$7:$AZ$700,$A23,'3 pr-3'!$BE$7:$BE$700)+SUMIF('3 pr-3'!$BT$7:$BT$700,$A23,'3 pr-3'!$BY$7:$BY$700)+SUMIF('3 pr-3'!$CN$7:$CN$700,$A23,'3 pr-3'!$CS$7:$CS$700))+L23</f>
        <v>1</v>
      </c>
      <c r="O23" s="1183">
        <f t="shared" ca="1" si="5"/>
        <v>1</v>
      </c>
      <c r="P23" s="1650">
        <f ca="1">(SUMIF('3 pr-3'!$L$7:$AC$700,$A23,'3 pr-3'!$R$7:$R$700)+SUMIF('3 pr-3'!$AF$7:$AF$700,$A23,'3 pr-3'!$AL$7:$AL$700)+SUMIF('3 pr-3'!$AZ$7:$AZ$700,$A23,'3 pr-3'!$BF$7:$BF$700)+SUMIF('3 pr-3'!$BT$7:$BT$700,$A23,'3 pr-3'!$BZ$7:$BZ$700)+SUMIF('3 pr-3'!$CN$7:$CN$700,$A23,'3 pr-3'!$CT$7:$CT$700))+N23</f>
        <v>1</v>
      </c>
      <c r="Q23" s="1183">
        <f t="shared" ca="1" si="6"/>
        <v>1</v>
      </c>
      <c r="R23" s="1650">
        <f ca="1">(SUMIF('3 pr-3'!$L$7:$AC$700,$A23,'3 pr-3'!$S$7:$S$700)+SUMIF('3 pr-3'!$AF$7:$AF$700,$A23,'3 pr-3'!$AM$7:$AM$700)+SUMIF('3 pr-3'!$AZ$7:$AZ$700,$A23,'3 pr-3'!$BG$7:$BG$700)+SUMIF('3 pr-3'!$BT$7:$BT$700,$A23,'3 pr-3'!$CA$7:$CA$700)+SUMIF('3 pr-3'!$CN$7:$CN$700,$A23,'3 pr-3'!$CU$7:$CU$700))+P23</f>
        <v>1</v>
      </c>
      <c r="S23" s="1183">
        <f t="shared" ca="1" si="7"/>
        <v>1</v>
      </c>
      <c r="T23" s="1650">
        <f ca="1">(SUMIF('3 pr-3'!$L$7:$AC$700,$A23,'3 pr-3'!$T$7:$T$700)+SUMIF('3 pr-3'!$AF$7:$AF$700,$A23,'3 pr-3'!$AN$7:$AN$700)+SUMIF('3 pr-3'!$AZ$7:$AZ$700,$A23,'3 pr-3'!$BH$7:$BH$700)+SUMIF('3 pr-3'!$BT$7:$BT$700,$A23,'3 pr-3'!$CB$7:$CB$700)+SUMIF('3 pr-3'!$CN$7:$CN$700,$A23,'3 pr-3'!$CV$7:$CV$700))+R23</f>
        <v>1</v>
      </c>
      <c r="U23" s="1183">
        <f t="shared" ca="1" si="8"/>
        <v>1</v>
      </c>
    </row>
    <row r="24" spans="1:21" ht="15.75">
      <c r="A24" s="594" t="s">
        <v>1182</v>
      </c>
      <c r="B24" s="617" t="s">
        <v>1183</v>
      </c>
      <c r="C24" s="594"/>
      <c r="D24" s="1651">
        <v>0</v>
      </c>
      <c r="E24" s="1183" t="str">
        <f t="shared" si="0"/>
        <v>–</v>
      </c>
      <c r="F24" s="1651">
        <v>0</v>
      </c>
      <c r="G24" s="1183" t="str">
        <f t="shared" si="1"/>
        <v>–</v>
      </c>
      <c r="H24" s="1650">
        <f ca="1">(SUMIF('3 pr-3'!$L$7:$AC$700,A24,'3 pr-3'!$N$7:$N$700)+SUMIF('3 pr-3'!$AF$7:$AF$700,A24,'3 pr-3'!$AH$7:$AH$700)+SUMIF('3 pr-3'!$AZ$7:$AZ$700,A24,'3 pr-3'!$BB$7:$BB$700)+SUMIF('3 pr-3'!$BT$7:$BT$700,A24,'3 pr-3'!$BV$7:$BV$700)+SUMIF('3 pr-3'!$CN$7:$CN$700,A24,'3 pr-3'!$CP$7:$CP$700))+F24</f>
        <v>0</v>
      </c>
      <c r="I24" s="594" t="str">
        <f t="shared" ca="1" si="2"/>
        <v>–</v>
      </c>
      <c r="J24" s="1650">
        <f ca="1">(SUMIF('3 pr-3'!$L$7:$AC$700,$A24,'3 pr-3'!$O$7:$O$700)+SUMIF('3 pr-3'!$AF$7:$AF$700,$A24,'3 pr-3'!$AI$7:$AI$700)+SUMIF('3 pr-3'!$AZ$7:$AZ$700,$A24,'3 pr-3'!$BC$7:$BC$700)+SUMIF('3 pr-3'!$BT$7:$BT$700,$A24,'3 pr-3'!$BW$7:$BW$700)+SUMIF('3 pr-3'!$CN$7:$CN$700,$A24,'3 pr-3'!$CQ$7:$CQ$700))+H24</f>
        <v>0</v>
      </c>
      <c r="K24" s="1183" t="str">
        <f t="shared" ca="1" si="3"/>
        <v>–</v>
      </c>
      <c r="L24" s="1650">
        <f ca="1">(SUMIF('3 pr-3'!$L$7:$AC$700,$A24,'3 pr-3'!$P$7:$P$700)+SUMIF('3 pr-3'!$AF$7:$AF$700,$A24,'3 pr-3'!$AJ$7:$AJ$700)+SUMIF('3 pr-3'!$AZ$7:$AZ$700,$A24,'3 pr-3'!$BD$7:$BD$700)+SUMIF('3 pr-3'!$BT$7:$BT$700,$A24,'3 pr-3'!$BX$7:$BX$700)+SUMIF('3 pr-3'!$CN$7:$CN$700,$A24,'3 pr-3'!$CR$7:$CR$700))+J24</f>
        <v>0</v>
      </c>
      <c r="M24" s="1183" t="str">
        <f t="shared" ca="1" si="4"/>
        <v>–</v>
      </c>
      <c r="N24" s="1650">
        <f ca="1">(SUMIF('3 pr-3'!$L$7:$AC$700,$A24,'3 pr-3'!$Q$7:$Q$700)+SUMIF('3 pr-3'!$AF$7:$AF$700,$A24,'3 pr-3'!$AK$7:$AK$700)+SUMIF('3 pr-3'!$AZ$7:$AZ$700,$A24,'3 pr-3'!$BE$7:$BE$700)+SUMIF('3 pr-3'!$BT$7:$BT$700,$A24,'3 pr-3'!$BY$7:$BY$700)+SUMIF('3 pr-3'!$CN$7:$CN$700,$A24,'3 pr-3'!$CS$7:$CS$700))+L24</f>
        <v>0</v>
      </c>
      <c r="O24" s="1183" t="str">
        <f t="shared" ca="1" si="5"/>
        <v>–</v>
      </c>
      <c r="P24" s="1650">
        <f ca="1">(SUMIF('3 pr-3'!$L$7:$AC$700,$A24,'3 pr-3'!$R$7:$R$700)+SUMIF('3 pr-3'!$AF$7:$AF$700,$A24,'3 pr-3'!$AL$7:$AL$700)+SUMIF('3 pr-3'!$AZ$7:$AZ$700,$A24,'3 pr-3'!$BF$7:$BF$700)+SUMIF('3 pr-3'!$BT$7:$BT$700,$A24,'3 pr-3'!$BZ$7:$BZ$700)+SUMIF('3 pr-3'!$CN$7:$CN$700,$A24,'3 pr-3'!$CT$7:$CT$700))+N24</f>
        <v>0</v>
      </c>
      <c r="Q24" s="1183" t="str">
        <f t="shared" ca="1" si="6"/>
        <v>–</v>
      </c>
      <c r="R24" s="1650">
        <f ca="1">(SUMIF('3 pr-3'!$L$7:$AC$700,$A24,'3 pr-3'!$S$7:$S$700)+SUMIF('3 pr-3'!$AF$7:$AF$700,$A24,'3 pr-3'!$AM$7:$AM$700)+SUMIF('3 pr-3'!$AZ$7:$AZ$700,$A24,'3 pr-3'!$BG$7:$BG$700)+SUMIF('3 pr-3'!$BT$7:$BT$700,$A24,'3 pr-3'!$CA$7:$CA$700)+SUMIF('3 pr-3'!$CN$7:$CN$700,$A24,'3 pr-3'!$CU$7:$CU$700))+P24</f>
        <v>0</v>
      </c>
      <c r="S24" s="1183" t="str">
        <f t="shared" ca="1" si="7"/>
        <v>–</v>
      </c>
      <c r="T24" s="1650">
        <f ca="1">(SUMIF('3 pr-3'!$L$7:$AC$700,$A24,'3 pr-3'!$T$7:$T$700)+SUMIF('3 pr-3'!$AF$7:$AF$700,$A24,'3 pr-3'!$AN$7:$AN$700)+SUMIF('3 pr-3'!$AZ$7:$AZ$700,$A24,'3 pr-3'!$BH$7:$BH$700)+SUMIF('3 pr-3'!$BT$7:$BT$700,$A24,'3 pr-3'!$CB$7:$CB$700)+SUMIF('3 pr-3'!$CN$7:$CN$700,$A24,'3 pr-3'!$CV$7:$CV$700))+R24</f>
        <v>0</v>
      </c>
      <c r="U24" s="1183" t="str">
        <f t="shared" ca="1" si="8"/>
        <v>–</v>
      </c>
    </row>
    <row r="25" spans="1:21" ht="15.75">
      <c r="A25" s="619" t="s">
        <v>510</v>
      </c>
      <c r="B25" s="617" t="s">
        <v>551</v>
      </c>
      <c r="C25" s="594"/>
      <c r="D25" s="1651">
        <v>0</v>
      </c>
      <c r="E25" s="1183" t="str">
        <f t="shared" si="0"/>
        <v>–</v>
      </c>
      <c r="F25" s="1651">
        <v>0</v>
      </c>
      <c r="G25" s="1183" t="str">
        <f t="shared" si="1"/>
        <v>–</v>
      </c>
      <c r="H25" s="1650">
        <f ca="1">(SUMIF('3 pr-3'!$L$7:$AC$700,A25,'3 pr-3'!$N$7:$N$700)+SUMIF('3 pr-3'!$AF$7:$AF$700,A25,'3 pr-3'!$AH$7:$AH$700)+SUMIF('3 pr-3'!$AZ$7:$AZ$700,A25,'3 pr-3'!$BB$7:$BB$700)+SUMIF('3 pr-3'!$BT$7:$BT$700,A25,'3 pr-3'!$BV$7:$BV$700)+SUMIF('3 pr-3'!$CN$7:$CN$700,A25,'3 pr-3'!$CP$7:$CP$700))+F25</f>
        <v>0</v>
      </c>
      <c r="I25" s="594" t="str">
        <f t="shared" ca="1" si="2"/>
        <v>–</v>
      </c>
      <c r="J25" s="1650">
        <f ca="1">(SUMIF('3 pr-3'!$L$7:$AC$700,$A25,'3 pr-3'!$O$7:$O$700)+SUMIF('3 pr-3'!$AF$7:$AF$700,$A25,'3 pr-3'!$AI$7:$AI$700)+SUMIF('3 pr-3'!$AZ$7:$AZ$700,$A25,'3 pr-3'!$BC$7:$BC$700)+SUMIF('3 pr-3'!$BT$7:$BT$700,$A25,'3 pr-3'!$BW$7:$BW$700)+SUMIF('3 pr-3'!$CN$7:$CN$700,$A25,'3 pr-3'!$CQ$7:$CQ$700))+H25</f>
        <v>0</v>
      </c>
      <c r="K25" s="1183" t="str">
        <f t="shared" ca="1" si="3"/>
        <v>–</v>
      </c>
      <c r="L25" s="1650">
        <f ca="1">(SUMIF('3 pr-3'!$L$7:$AC$700,$A25,'3 pr-3'!$P$7:$P$700)+SUMIF('3 pr-3'!$AF$7:$AF$700,$A25,'3 pr-3'!$AJ$7:$AJ$700)+SUMIF('3 pr-3'!$AZ$7:$AZ$700,$A25,'3 pr-3'!$BD$7:$BD$700)+SUMIF('3 pr-3'!$BT$7:$BT$700,$A25,'3 pr-3'!$BX$7:$BX$700)+SUMIF('3 pr-3'!$CN$7:$CN$700,$A25,'3 pr-3'!$CR$7:$CR$700))+J25</f>
        <v>0</v>
      </c>
      <c r="M25" s="1183" t="str">
        <f t="shared" ca="1" si="4"/>
        <v>–</v>
      </c>
      <c r="N25" s="1650">
        <f ca="1">(SUMIF('3 pr-3'!$L$7:$AC$700,$A25,'3 pr-3'!$Q$7:$Q$700)+SUMIF('3 pr-3'!$AF$7:$AF$700,$A25,'3 pr-3'!$AK$7:$AK$700)+SUMIF('3 pr-3'!$AZ$7:$AZ$700,$A25,'3 pr-3'!$BE$7:$BE$700)+SUMIF('3 pr-3'!$BT$7:$BT$700,$A25,'3 pr-3'!$BY$7:$BY$700)+SUMIF('3 pr-3'!$CN$7:$CN$700,$A25,'3 pr-3'!$CS$7:$CS$700))+L25</f>
        <v>0</v>
      </c>
      <c r="O25" s="1183" t="str">
        <f t="shared" ca="1" si="5"/>
        <v>–</v>
      </c>
      <c r="P25" s="1650">
        <f ca="1">(SUMIF('3 pr-3'!$L$7:$AC$700,$A25,'3 pr-3'!$R$7:$R$700)+SUMIF('3 pr-3'!$AF$7:$AF$700,$A25,'3 pr-3'!$AL$7:$AL$700)+SUMIF('3 pr-3'!$AZ$7:$AZ$700,$A25,'3 pr-3'!$BF$7:$BF$700)+SUMIF('3 pr-3'!$BT$7:$BT$700,$A25,'3 pr-3'!$BZ$7:$BZ$700)+SUMIF('3 pr-3'!$CN$7:$CN$700,$A25,'3 pr-3'!$CT$7:$CT$700))+N25</f>
        <v>0</v>
      </c>
      <c r="Q25" s="1183" t="str">
        <f t="shared" ca="1" si="6"/>
        <v>–</v>
      </c>
      <c r="R25" s="1650">
        <f ca="1">(SUMIF('3 pr-3'!$L$7:$AC$700,$A25,'3 pr-3'!$S$7:$S$700)+SUMIF('3 pr-3'!$AF$7:$AF$700,$A25,'3 pr-3'!$AM$7:$AM$700)+SUMIF('3 pr-3'!$AZ$7:$AZ$700,$A25,'3 pr-3'!$BG$7:$BG$700)+SUMIF('3 pr-3'!$BT$7:$BT$700,$A25,'3 pr-3'!$CA$7:$CA$700)+SUMIF('3 pr-3'!$CN$7:$CN$700,$A25,'3 pr-3'!$CU$7:$CU$700))+P25</f>
        <v>0</v>
      </c>
      <c r="S25" s="1183" t="str">
        <f t="shared" ca="1" si="7"/>
        <v>–</v>
      </c>
      <c r="T25" s="1650">
        <f ca="1">(SUMIF('3 pr-3'!$L$7:$AC$700,$A25,'3 pr-3'!$T$7:$T$700)+SUMIF('3 pr-3'!$AF$7:$AF$700,$A25,'3 pr-3'!$AN$7:$AN$700)+SUMIF('3 pr-3'!$AZ$7:$AZ$700,$A25,'3 pr-3'!$BH$7:$BH$700)+SUMIF('3 pr-3'!$BT$7:$BT$700,$A25,'3 pr-3'!$CB$7:$CB$700)+SUMIF('3 pr-3'!$CN$7:$CN$700,$A25,'3 pr-3'!$CV$7:$CV$700))+R25</f>
        <v>0</v>
      </c>
      <c r="U25" s="1183" t="str">
        <f t="shared" ca="1" si="8"/>
        <v>–</v>
      </c>
    </row>
    <row r="26" spans="1:21" ht="15.75">
      <c r="A26" s="619" t="s">
        <v>552</v>
      </c>
      <c r="B26" s="617" t="s">
        <v>553</v>
      </c>
      <c r="C26" s="594"/>
      <c r="D26" s="1651">
        <v>0</v>
      </c>
      <c r="E26" s="1183" t="str">
        <f t="shared" si="0"/>
        <v>–</v>
      </c>
      <c r="F26" s="1651">
        <v>0</v>
      </c>
      <c r="G26" s="1183" t="str">
        <f t="shared" si="1"/>
        <v>–</v>
      </c>
      <c r="H26" s="1650">
        <f ca="1">(SUMIF('3 pr-3'!$L$7:$AC$700,A26,'3 pr-3'!$N$7:$N$700)+SUMIF('3 pr-3'!$AF$7:$AF$700,A26,'3 pr-3'!$AH$7:$AH$700)+SUMIF('3 pr-3'!$AZ$7:$AZ$700,A26,'3 pr-3'!$BB$7:$BB$700)+SUMIF('3 pr-3'!$BT$7:$BT$700,A26,'3 pr-3'!$BV$7:$BV$700)+SUMIF('3 pr-3'!$CN$7:$CN$700,A26,'3 pr-3'!$CP$7:$CP$700))+F26</f>
        <v>0</v>
      </c>
      <c r="I26" s="594" t="str">
        <f t="shared" ca="1" si="2"/>
        <v>–</v>
      </c>
      <c r="J26" s="1650">
        <f ca="1">(SUMIF('3 pr-3'!$L$7:$AC$700,$A26,'3 pr-3'!$O$7:$O$700)+SUMIF('3 pr-3'!$AF$7:$AF$700,$A26,'3 pr-3'!$AI$7:$AI$700)+SUMIF('3 pr-3'!$AZ$7:$AZ$700,$A26,'3 pr-3'!$BC$7:$BC$700)+SUMIF('3 pr-3'!$BT$7:$BT$700,$A26,'3 pr-3'!$BW$7:$BW$700)+SUMIF('3 pr-3'!$CN$7:$CN$700,$A26,'3 pr-3'!$CQ$7:$CQ$700))+H26</f>
        <v>0</v>
      </c>
      <c r="K26" s="1183" t="str">
        <f t="shared" ca="1" si="3"/>
        <v>–</v>
      </c>
      <c r="L26" s="1650">
        <f ca="1">(SUMIF('3 pr-3'!$L$7:$AC$700,$A26,'3 pr-3'!$P$7:$P$700)+SUMIF('3 pr-3'!$AF$7:$AF$700,$A26,'3 pr-3'!$AJ$7:$AJ$700)+SUMIF('3 pr-3'!$AZ$7:$AZ$700,$A26,'3 pr-3'!$BD$7:$BD$700)+SUMIF('3 pr-3'!$BT$7:$BT$700,$A26,'3 pr-3'!$BX$7:$BX$700)+SUMIF('3 pr-3'!$CN$7:$CN$700,$A26,'3 pr-3'!$CR$7:$CR$700))+J26</f>
        <v>0</v>
      </c>
      <c r="M26" s="1183" t="str">
        <f t="shared" ca="1" si="4"/>
        <v>–</v>
      </c>
      <c r="N26" s="1650">
        <f ca="1">(SUMIF('3 pr-3'!$L$7:$AC$700,$A26,'3 pr-3'!$Q$7:$Q$700)+SUMIF('3 pr-3'!$AF$7:$AF$700,$A26,'3 pr-3'!$AK$7:$AK$700)+SUMIF('3 pr-3'!$AZ$7:$AZ$700,$A26,'3 pr-3'!$BE$7:$BE$700)+SUMIF('3 pr-3'!$BT$7:$BT$700,$A26,'3 pr-3'!$BY$7:$BY$700)+SUMIF('3 pr-3'!$CN$7:$CN$700,$A26,'3 pr-3'!$CS$7:$CS$700))+L26</f>
        <v>0</v>
      </c>
      <c r="O26" s="1183" t="str">
        <f t="shared" ca="1" si="5"/>
        <v>–</v>
      </c>
      <c r="P26" s="1650">
        <f ca="1">(SUMIF('3 pr-3'!$L$7:$AC$700,$A26,'3 pr-3'!$R$7:$R$700)+SUMIF('3 pr-3'!$AF$7:$AF$700,$A26,'3 pr-3'!$AL$7:$AL$700)+SUMIF('3 pr-3'!$AZ$7:$AZ$700,$A26,'3 pr-3'!$BF$7:$BF$700)+SUMIF('3 pr-3'!$BT$7:$BT$700,$A26,'3 pr-3'!$BZ$7:$BZ$700)+SUMIF('3 pr-3'!$CN$7:$CN$700,$A26,'3 pr-3'!$CT$7:$CT$700))+N26</f>
        <v>0</v>
      </c>
      <c r="Q26" s="1183" t="str">
        <f t="shared" ca="1" si="6"/>
        <v>–</v>
      </c>
      <c r="R26" s="1650">
        <f ca="1">(SUMIF('3 pr-3'!$L$7:$AC$700,$A26,'3 pr-3'!$S$7:$S$700)+SUMIF('3 pr-3'!$AF$7:$AF$700,$A26,'3 pr-3'!$AM$7:$AM$700)+SUMIF('3 pr-3'!$AZ$7:$AZ$700,$A26,'3 pr-3'!$BG$7:$BG$700)+SUMIF('3 pr-3'!$BT$7:$BT$700,$A26,'3 pr-3'!$CA$7:$CA$700)+SUMIF('3 pr-3'!$CN$7:$CN$700,$A26,'3 pr-3'!$CU$7:$CU$700))+P26</f>
        <v>0</v>
      </c>
      <c r="S26" s="1183" t="str">
        <f t="shared" ca="1" si="7"/>
        <v>–</v>
      </c>
      <c r="T26" s="1650">
        <f ca="1">(SUMIF('3 pr-3'!$L$7:$AC$700,$A26,'3 pr-3'!$T$7:$T$700)+SUMIF('3 pr-3'!$AF$7:$AF$700,$A26,'3 pr-3'!$AN$7:$AN$700)+SUMIF('3 pr-3'!$AZ$7:$AZ$700,$A26,'3 pr-3'!$BH$7:$BH$700)+SUMIF('3 pr-3'!$BT$7:$BT$700,$A26,'3 pr-3'!$CB$7:$CB$700)+SUMIF('3 pr-3'!$CN$7:$CN$700,$A26,'3 pr-3'!$CV$7:$CV$700))+R26</f>
        <v>0</v>
      </c>
      <c r="U26" s="1183" t="str">
        <f t="shared" ca="1" si="8"/>
        <v>–</v>
      </c>
    </row>
    <row r="27" spans="1:21" ht="15.75">
      <c r="A27" s="619" t="s">
        <v>554</v>
      </c>
      <c r="B27" s="617" t="s">
        <v>555</v>
      </c>
      <c r="C27" s="594"/>
      <c r="D27" s="1651">
        <v>0</v>
      </c>
      <c r="E27" s="1183" t="str">
        <f t="shared" si="0"/>
        <v>–</v>
      </c>
      <c r="F27" s="1651">
        <v>0</v>
      </c>
      <c r="G27" s="1183" t="str">
        <f t="shared" si="1"/>
        <v>–</v>
      </c>
      <c r="H27" s="1650">
        <f ca="1">(SUMIF('3 pr-3'!$L$7:$AC$700,A27,'3 pr-3'!$N$7:$N$700)+SUMIF('3 pr-3'!$AF$7:$AF$700,A27,'3 pr-3'!$AH$7:$AH$700)+SUMIF('3 pr-3'!$AZ$7:$AZ$700,A27,'3 pr-3'!$BB$7:$BB$700)+SUMIF('3 pr-3'!$BT$7:$BT$700,A27,'3 pr-3'!$BV$7:$BV$700)+SUMIF('3 pr-3'!$CN$7:$CN$700,A27,'3 pr-3'!$CP$7:$CP$700))+F27</f>
        <v>0</v>
      </c>
      <c r="I27" s="594" t="str">
        <f t="shared" ca="1" si="2"/>
        <v>–</v>
      </c>
      <c r="J27" s="1650">
        <f ca="1">(SUMIF('3 pr-3'!$L$7:$AC$700,$A27,'3 pr-3'!$O$7:$O$700)+SUMIF('3 pr-3'!$AF$7:$AF$700,$A27,'3 pr-3'!$AI$7:$AI$700)+SUMIF('3 pr-3'!$AZ$7:$AZ$700,$A27,'3 pr-3'!$BC$7:$BC$700)+SUMIF('3 pr-3'!$BT$7:$BT$700,$A27,'3 pr-3'!$BW$7:$BW$700)+SUMIF('3 pr-3'!$CN$7:$CN$700,$A27,'3 pr-3'!$CQ$7:$CQ$700))+H27</f>
        <v>0</v>
      </c>
      <c r="K27" s="1183" t="str">
        <f t="shared" ca="1" si="3"/>
        <v>–</v>
      </c>
      <c r="L27" s="1650">
        <f ca="1">(SUMIF('3 pr-3'!$L$7:$AC$700,$A27,'3 pr-3'!$P$7:$P$700)+SUMIF('3 pr-3'!$AF$7:$AF$700,$A27,'3 pr-3'!$AJ$7:$AJ$700)+SUMIF('3 pr-3'!$AZ$7:$AZ$700,$A27,'3 pr-3'!$BD$7:$BD$700)+SUMIF('3 pr-3'!$BT$7:$BT$700,$A27,'3 pr-3'!$BX$7:$BX$700)+SUMIF('3 pr-3'!$CN$7:$CN$700,$A27,'3 pr-3'!$CR$7:$CR$700))+J27</f>
        <v>0</v>
      </c>
      <c r="M27" s="1183" t="str">
        <f t="shared" ca="1" si="4"/>
        <v>–</v>
      </c>
      <c r="N27" s="1650">
        <f ca="1">(SUMIF('3 pr-3'!$L$7:$AC$700,$A27,'3 pr-3'!$Q$7:$Q$700)+SUMIF('3 pr-3'!$AF$7:$AF$700,$A27,'3 pr-3'!$AK$7:$AK$700)+SUMIF('3 pr-3'!$AZ$7:$AZ$700,$A27,'3 pr-3'!$BE$7:$BE$700)+SUMIF('3 pr-3'!$BT$7:$BT$700,$A27,'3 pr-3'!$BY$7:$BY$700)+SUMIF('3 pr-3'!$CN$7:$CN$700,$A27,'3 pr-3'!$CS$7:$CS$700))+L27</f>
        <v>0</v>
      </c>
      <c r="O27" s="1183" t="str">
        <f t="shared" ca="1" si="5"/>
        <v>–</v>
      </c>
      <c r="P27" s="1650">
        <f ca="1">(SUMIF('3 pr-3'!$L$7:$AC$700,$A27,'3 pr-3'!$R$7:$R$700)+SUMIF('3 pr-3'!$AF$7:$AF$700,$A27,'3 pr-3'!$AL$7:$AL$700)+SUMIF('3 pr-3'!$AZ$7:$AZ$700,$A27,'3 pr-3'!$BF$7:$BF$700)+SUMIF('3 pr-3'!$BT$7:$BT$700,$A27,'3 pr-3'!$BZ$7:$BZ$700)+SUMIF('3 pr-3'!$CN$7:$CN$700,$A27,'3 pr-3'!$CT$7:$CT$700))+N27</f>
        <v>0</v>
      </c>
      <c r="Q27" s="1183" t="str">
        <f t="shared" ca="1" si="6"/>
        <v>–</v>
      </c>
      <c r="R27" s="1650">
        <f ca="1">(SUMIF('3 pr-3'!$L$7:$AC$700,$A27,'3 pr-3'!$S$7:$S$700)+SUMIF('3 pr-3'!$AF$7:$AF$700,$A27,'3 pr-3'!$AM$7:$AM$700)+SUMIF('3 pr-3'!$AZ$7:$AZ$700,$A27,'3 pr-3'!$BG$7:$BG$700)+SUMIF('3 pr-3'!$BT$7:$BT$700,$A27,'3 pr-3'!$CA$7:$CA$700)+SUMIF('3 pr-3'!$CN$7:$CN$700,$A27,'3 pr-3'!$CU$7:$CU$700))+P27</f>
        <v>0</v>
      </c>
      <c r="S27" s="1183" t="str">
        <f t="shared" ca="1" si="7"/>
        <v>–</v>
      </c>
      <c r="T27" s="1650">
        <f ca="1">(SUMIF('3 pr-3'!$L$7:$AC$700,$A27,'3 pr-3'!$T$7:$T$700)+SUMIF('3 pr-3'!$AF$7:$AF$700,$A27,'3 pr-3'!$AN$7:$AN$700)+SUMIF('3 pr-3'!$AZ$7:$AZ$700,$A27,'3 pr-3'!$BH$7:$BH$700)+SUMIF('3 pr-3'!$BT$7:$BT$700,$A27,'3 pr-3'!$CB$7:$CB$700)+SUMIF('3 pr-3'!$CN$7:$CN$700,$A27,'3 pr-3'!$CV$7:$CV$700))+R27</f>
        <v>0</v>
      </c>
      <c r="U27" s="1183" t="str">
        <f t="shared" ca="1" si="8"/>
        <v>–</v>
      </c>
    </row>
    <row r="28" spans="1:21" ht="31.5">
      <c r="A28" s="594" t="s">
        <v>589</v>
      </c>
      <c r="B28" s="617" t="s">
        <v>590</v>
      </c>
      <c r="C28" s="594"/>
      <c r="D28" s="1651">
        <v>0</v>
      </c>
      <c r="E28" s="1183" t="str">
        <f t="shared" si="0"/>
        <v>–</v>
      </c>
      <c r="F28" s="1651">
        <v>0</v>
      </c>
      <c r="G28" s="1183" t="str">
        <f t="shared" si="1"/>
        <v>–</v>
      </c>
      <c r="H28" s="1650">
        <f ca="1">(SUMIF('3 pr-3'!$L$7:$AC$700,A28,'3 pr-3'!$N$7:$N$700)+SUMIF('3 pr-3'!$AF$7:$AF$700,A28,'3 pr-3'!$AH$7:$AH$700)+SUMIF('3 pr-3'!$AZ$7:$AZ$700,A28,'3 pr-3'!$BB$7:$BB$700)+SUMIF('3 pr-3'!$BT$7:$BT$700,A28,'3 pr-3'!$BV$7:$BV$700)+SUMIF('3 pr-3'!$CN$7:$CN$700,A28,'3 pr-3'!$CP$7:$CP$700))+F28</f>
        <v>0</v>
      </c>
      <c r="I28" s="594" t="str">
        <f t="shared" ca="1" si="2"/>
        <v>–</v>
      </c>
      <c r="J28" s="1650">
        <f ca="1">(SUMIF('3 pr-3'!$L$7:$AC$700,$A28,'3 pr-3'!$O$7:$O$700)+SUMIF('3 pr-3'!$AF$7:$AF$700,$A28,'3 pr-3'!$AI$7:$AI$700)+SUMIF('3 pr-3'!$AZ$7:$AZ$700,$A28,'3 pr-3'!$BC$7:$BC$700)+SUMIF('3 pr-3'!$BT$7:$BT$700,$A28,'3 pr-3'!$BW$7:$BW$700)+SUMIF('3 pr-3'!$CN$7:$CN$700,$A28,'3 pr-3'!$CQ$7:$CQ$700))+H28</f>
        <v>0</v>
      </c>
      <c r="K28" s="1183" t="str">
        <f t="shared" ca="1" si="3"/>
        <v>–</v>
      </c>
      <c r="L28" s="1650">
        <f ca="1">(SUMIF('3 pr-3'!$L$7:$AC$700,$A28,'3 pr-3'!$P$7:$P$700)+SUMIF('3 pr-3'!$AF$7:$AF$700,$A28,'3 pr-3'!$AJ$7:$AJ$700)+SUMIF('3 pr-3'!$AZ$7:$AZ$700,$A28,'3 pr-3'!$BD$7:$BD$700)+SUMIF('3 pr-3'!$BT$7:$BT$700,$A28,'3 pr-3'!$BX$7:$BX$700)+SUMIF('3 pr-3'!$CN$7:$CN$700,$A28,'3 pr-3'!$CR$7:$CR$700))+J28</f>
        <v>0</v>
      </c>
      <c r="M28" s="1183" t="str">
        <f t="shared" ca="1" si="4"/>
        <v>–</v>
      </c>
      <c r="N28" s="1650">
        <f ca="1">(SUMIF('3 pr-3'!$L$7:$AC$700,$A28,'3 pr-3'!$Q$7:$Q$700)+SUMIF('3 pr-3'!$AF$7:$AF$700,$A28,'3 pr-3'!$AK$7:$AK$700)+SUMIF('3 pr-3'!$AZ$7:$AZ$700,$A28,'3 pr-3'!$BE$7:$BE$700)+SUMIF('3 pr-3'!$BT$7:$BT$700,$A28,'3 pr-3'!$BY$7:$BY$700)+SUMIF('3 pr-3'!$CN$7:$CN$700,$A28,'3 pr-3'!$CS$7:$CS$700))+L28</f>
        <v>0</v>
      </c>
      <c r="O28" s="1183" t="str">
        <f t="shared" ca="1" si="5"/>
        <v>–</v>
      </c>
      <c r="P28" s="1650">
        <f ca="1">(SUMIF('3 pr-3'!$L$7:$AC$700,$A28,'3 pr-3'!$R$7:$R$700)+SUMIF('3 pr-3'!$AF$7:$AF$700,$A28,'3 pr-3'!$AL$7:$AL$700)+SUMIF('3 pr-3'!$AZ$7:$AZ$700,$A28,'3 pr-3'!$BF$7:$BF$700)+SUMIF('3 pr-3'!$BT$7:$BT$700,$A28,'3 pr-3'!$BZ$7:$BZ$700)+SUMIF('3 pr-3'!$CN$7:$CN$700,$A28,'3 pr-3'!$CT$7:$CT$700))+N28</f>
        <v>0</v>
      </c>
      <c r="Q28" s="1183" t="str">
        <f t="shared" ca="1" si="6"/>
        <v>–</v>
      </c>
      <c r="R28" s="1650">
        <f ca="1">(SUMIF('3 pr-3'!$L$7:$AC$700,$A28,'3 pr-3'!$S$7:$S$700)+SUMIF('3 pr-3'!$AF$7:$AF$700,$A28,'3 pr-3'!$AM$7:$AM$700)+SUMIF('3 pr-3'!$AZ$7:$AZ$700,$A28,'3 pr-3'!$BG$7:$BG$700)+SUMIF('3 pr-3'!$BT$7:$BT$700,$A28,'3 pr-3'!$CA$7:$CA$700)+SUMIF('3 pr-3'!$CN$7:$CN$700,$A28,'3 pr-3'!$CU$7:$CU$700))+P28</f>
        <v>0</v>
      </c>
      <c r="S28" s="1183" t="str">
        <f t="shared" ca="1" si="7"/>
        <v>–</v>
      </c>
      <c r="T28" s="1650">
        <f ca="1">(SUMIF('3 pr-3'!$L$7:$AC$700,$A28,'3 pr-3'!$T$7:$T$700)+SUMIF('3 pr-3'!$AF$7:$AF$700,$A28,'3 pr-3'!$AN$7:$AN$700)+SUMIF('3 pr-3'!$AZ$7:$AZ$700,$A28,'3 pr-3'!$BH$7:$BH$700)+SUMIF('3 pr-3'!$BT$7:$BT$700,$A28,'3 pr-3'!$CB$7:$CB$700)+SUMIF('3 pr-3'!$CN$7:$CN$700,$A28,'3 pr-3'!$CV$7:$CV$700))+R28</f>
        <v>0</v>
      </c>
      <c r="U28" s="1183" t="str">
        <f t="shared" ca="1" si="8"/>
        <v>–</v>
      </c>
    </row>
    <row r="29" spans="1:21" ht="15.75">
      <c r="A29" s="619" t="s">
        <v>588</v>
      </c>
      <c r="B29" s="617" t="s">
        <v>482</v>
      </c>
      <c r="C29" s="594"/>
      <c r="D29" s="1651">
        <v>0</v>
      </c>
      <c r="E29" s="1183" t="str">
        <f t="shared" si="0"/>
        <v>–</v>
      </c>
      <c r="F29" s="1651">
        <v>0</v>
      </c>
      <c r="G29" s="1183" t="str">
        <f t="shared" si="1"/>
        <v>–</v>
      </c>
      <c r="H29" s="1650">
        <f ca="1">(SUMIF('3 pr-3'!$L$7:$AC$700,A29,'3 pr-3'!$N$7:$N$700)+SUMIF('3 pr-3'!$AF$7:$AF$700,A29,'3 pr-3'!$AH$7:$AH$700)+SUMIF('3 pr-3'!$AZ$7:$AZ$700,A29,'3 pr-3'!$BB$7:$BB$700)+SUMIF('3 pr-3'!$BT$7:$BT$700,A29,'3 pr-3'!$BV$7:$BV$700)+SUMIF('3 pr-3'!$CN$7:$CN$700,A29,'3 pr-3'!$CP$7:$CP$700))+F29</f>
        <v>0</v>
      </c>
      <c r="I29" s="594" t="str">
        <f t="shared" ca="1" si="2"/>
        <v>–</v>
      </c>
      <c r="J29" s="1650">
        <f ca="1">(SUMIF('3 pr-3'!$L$7:$AC$700,$A29,'3 pr-3'!$O$7:$O$700)+SUMIF('3 pr-3'!$AF$7:$AF$700,$A29,'3 pr-3'!$AI$7:$AI$700)+SUMIF('3 pr-3'!$AZ$7:$AZ$700,$A29,'3 pr-3'!$BC$7:$BC$700)+SUMIF('3 pr-3'!$BT$7:$BT$700,$A29,'3 pr-3'!$BW$7:$BW$700)+SUMIF('3 pr-3'!$CN$7:$CN$700,$A29,'3 pr-3'!$CQ$7:$CQ$700))+H29</f>
        <v>0</v>
      </c>
      <c r="K29" s="1183" t="str">
        <f t="shared" ca="1" si="3"/>
        <v>–</v>
      </c>
      <c r="L29" s="1650">
        <f ca="1">(SUMIF('3 pr-3'!$L$7:$AC$700,$A29,'3 pr-3'!$P$7:$P$700)+SUMIF('3 pr-3'!$AF$7:$AF$700,$A29,'3 pr-3'!$AJ$7:$AJ$700)+SUMIF('3 pr-3'!$AZ$7:$AZ$700,$A29,'3 pr-3'!$BD$7:$BD$700)+SUMIF('3 pr-3'!$BT$7:$BT$700,$A29,'3 pr-3'!$BX$7:$BX$700)+SUMIF('3 pr-3'!$CN$7:$CN$700,$A29,'3 pr-3'!$CR$7:$CR$700))+J29</f>
        <v>0</v>
      </c>
      <c r="M29" s="1183" t="str">
        <f t="shared" ca="1" si="4"/>
        <v>–</v>
      </c>
      <c r="N29" s="1650">
        <f ca="1">(SUMIF('3 pr-3'!$L$7:$AC$700,$A29,'3 pr-3'!$Q$7:$Q$700)+SUMIF('3 pr-3'!$AF$7:$AF$700,$A29,'3 pr-3'!$AK$7:$AK$700)+SUMIF('3 pr-3'!$AZ$7:$AZ$700,$A29,'3 pr-3'!$BE$7:$BE$700)+SUMIF('3 pr-3'!$BT$7:$BT$700,$A29,'3 pr-3'!$BY$7:$BY$700)+SUMIF('3 pr-3'!$CN$7:$CN$700,$A29,'3 pr-3'!$CS$7:$CS$700))+L29</f>
        <v>0</v>
      </c>
      <c r="O29" s="1183" t="str">
        <f t="shared" ca="1" si="5"/>
        <v>–</v>
      </c>
      <c r="P29" s="1650">
        <f ca="1">(SUMIF('3 pr-3'!$L$7:$AC$700,$A29,'3 pr-3'!$R$7:$R$700)+SUMIF('3 pr-3'!$AF$7:$AF$700,$A29,'3 pr-3'!$AL$7:$AL$700)+SUMIF('3 pr-3'!$AZ$7:$AZ$700,$A29,'3 pr-3'!$BF$7:$BF$700)+SUMIF('3 pr-3'!$BT$7:$BT$700,$A29,'3 pr-3'!$BZ$7:$BZ$700)+SUMIF('3 pr-3'!$CN$7:$CN$700,$A29,'3 pr-3'!$CT$7:$CT$700))+N29</f>
        <v>0</v>
      </c>
      <c r="Q29" s="1183" t="str">
        <f t="shared" ca="1" si="6"/>
        <v>–</v>
      </c>
      <c r="R29" s="1650">
        <f ca="1">(SUMIF('3 pr-3'!$L$7:$AC$700,$A29,'3 pr-3'!$S$7:$S$700)+SUMIF('3 pr-3'!$AF$7:$AF$700,$A29,'3 pr-3'!$AM$7:$AM$700)+SUMIF('3 pr-3'!$AZ$7:$AZ$700,$A29,'3 pr-3'!$BG$7:$BG$700)+SUMIF('3 pr-3'!$BT$7:$BT$700,$A29,'3 pr-3'!$CA$7:$CA$700)+SUMIF('3 pr-3'!$CN$7:$CN$700,$A29,'3 pr-3'!$CU$7:$CU$700))+P29</f>
        <v>0</v>
      </c>
      <c r="S29" s="1183" t="str">
        <f t="shared" ca="1" si="7"/>
        <v>–</v>
      </c>
      <c r="T29" s="1650">
        <f ca="1">(SUMIF('3 pr-3'!$L$7:$AC$700,$A29,'3 pr-3'!$T$7:$T$700)+SUMIF('3 pr-3'!$AF$7:$AF$700,$A29,'3 pr-3'!$AN$7:$AN$700)+SUMIF('3 pr-3'!$AZ$7:$AZ$700,$A29,'3 pr-3'!$BH$7:$BH$700)+SUMIF('3 pr-3'!$BT$7:$BT$700,$A29,'3 pr-3'!$CB$7:$CB$700)+SUMIF('3 pr-3'!$CN$7:$CN$700,$A29,'3 pr-3'!$CV$7:$CV$700))+R29</f>
        <v>0</v>
      </c>
      <c r="U29" s="1183" t="str">
        <f t="shared" ca="1" si="8"/>
        <v>–</v>
      </c>
    </row>
    <row r="30" spans="1:21" ht="15.75">
      <c r="A30" s="619" t="s">
        <v>779</v>
      </c>
      <c r="B30" s="617" t="s">
        <v>525</v>
      </c>
      <c r="C30" s="594"/>
      <c r="D30" s="1651">
        <v>0</v>
      </c>
      <c r="E30" s="1183" t="str">
        <f t="shared" si="0"/>
        <v>–</v>
      </c>
      <c r="F30" s="1651">
        <v>0</v>
      </c>
      <c r="G30" s="1183" t="str">
        <f t="shared" si="1"/>
        <v>–</v>
      </c>
      <c r="H30" s="1650">
        <f ca="1">(SUMIF('3 pr-3'!$L$7:$AC$700,A30,'3 pr-3'!$N$7:$N$700)+SUMIF('3 pr-3'!$AF$7:$AF$700,A30,'3 pr-3'!$AH$7:$AH$700)+SUMIF('3 pr-3'!$AZ$7:$AZ$700,A30,'3 pr-3'!$BB$7:$BB$700)+SUMIF('3 pr-3'!$BT$7:$BT$700,A30,'3 pr-3'!$BV$7:$BV$700)+SUMIF('3 pr-3'!$CN$7:$CN$700,A30,'3 pr-3'!$CP$7:$CP$700))+F30</f>
        <v>0</v>
      </c>
      <c r="I30" s="594" t="str">
        <f t="shared" ca="1" si="2"/>
        <v>–</v>
      </c>
      <c r="J30" s="1650">
        <f ca="1">(SUMIF('3 pr-3'!$L$7:$AC$700,$A30,'3 pr-3'!$O$7:$O$700)+SUMIF('3 pr-3'!$AF$7:$AF$700,$A30,'3 pr-3'!$AI$7:$AI$700)+SUMIF('3 pr-3'!$AZ$7:$AZ$700,$A30,'3 pr-3'!$BC$7:$BC$700)+SUMIF('3 pr-3'!$BT$7:$BT$700,$A30,'3 pr-3'!$BW$7:$BW$700)+SUMIF('3 pr-3'!$CN$7:$CN$700,$A30,'3 pr-3'!$CQ$7:$CQ$700))+H30</f>
        <v>0</v>
      </c>
      <c r="K30" s="1183" t="str">
        <f t="shared" ca="1" si="3"/>
        <v>–</v>
      </c>
      <c r="L30" s="1650">
        <f ca="1">(SUMIF('3 pr-3'!$L$7:$AC$700,$A30,'3 pr-3'!$P$7:$P$700)+SUMIF('3 pr-3'!$AF$7:$AF$700,$A30,'3 pr-3'!$AJ$7:$AJ$700)+SUMIF('3 pr-3'!$AZ$7:$AZ$700,$A30,'3 pr-3'!$BD$7:$BD$700)+SUMIF('3 pr-3'!$BT$7:$BT$700,$A30,'3 pr-3'!$BX$7:$BX$700)+SUMIF('3 pr-3'!$CN$7:$CN$700,$A30,'3 pr-3'!$CR$7:$CR$700))+J30</f>
        <v>0</v>
      </c>
      <c r="M30" s="1183" t="str">
        <f t="shared" ca="1" si="4"/>
        <v>–</v>
      </c>
      <c r="N30" s="1650">
        <f ca="1">(SUMIF('3 pr-3'!$L$7:$AC$700,$A30,'3 pr-3'!$Q$7:$Q$700)+SUMIF('3 pr-3'!$AF$7:$AF$700,$A30,'3 pr-3'!$AK$7:$AK$700)+SUMIF('3 pr-3'!$AZ$7:$AZ$700,$A30,'3 pr-3'!$BE$7:$BE$700)+SUMIF('3 pr-3'!$BT$7:$BT$700,$A30,'3 pr-3'!$BY$7:$BY$700)+SUMIF('3 pr-3'!$CN$7:$CN$700,$A30,'3 pr-3'!$CS$7:$CS$700))+L30</f>
        <v>0</v>
      </c>
      <c r="O30" s="1183" t="str">
        <f t="shared" ca="1" si="5"/>
        <v>–</v>
      </c>
      <c r="P30" s="1650">
        <f ca="1">(SUMIF('3 pr-3'!$L$7:$AC$700,$A30,'3 pr-3'!$R$7:$R$700)+SUMIF('3 pr-3'!$AF$7:$AF$700,$A30,'3 pr-3'!$AL$7:$AL$700)+SUMIF('3 pr-3'!$AZ$7:$AZ$700,$A30,'3 pr-3'!$BF$7:$BF$700)+SUMIF('3 pr-3'!$BT$7:$BT$700,$A30,'3 pr-3'!$BZ$7:$BZ$700)+SUMIF('3 pr-3'!$CN$7:$CN$700,$A30,'3 pr-3'!$CT$7:$CT$700))+N30</f>
        <v>0</v>
      </c>
      <c r="Q30" s="1183" t="str">
        <f t="shared" ca="1" si="6"/>
        <v>–</v>
      </c>
      <c r="R30" s="1650">
        <f ca="1">(SUMIF('3 pr-3'!$L$7:$AC$700,$A30,'3 pr-3'!$S$7:$S$700)+SUMIF('3 pr-3'!$AF$7:$AF$700,$A30,'3 pr-3'!$AM$7:$AM$700)+SUMIF('3 pr-3'!$AZ$7:$AZ$700,$A30,'3 pr-3'!$BG$7:$BG$700)+SUMIF('3 pr-3'!$BT$7:$BT$700,$A30,'3 pr-3'!$CA$7:$CA$700)+SUMIF('3 pr-3'!$CN$7:$CN$700,$A30,'3 pr-3'!$CU$7:$CU$700))+P30</f>
        <v>0</v>
      </c>
      <c r="S30" s="1183" t="str">
        <f t="shared" ca="1" si="7"/>
        <v>–</v>
      </c>
      <c r="T30" s="1650">
        <f ca="1">(SUMIF('3 pr-3'!$L$7:$AC$700,$A30,'3 pr-3'!$T$7:$T$700)+SUMIF('3 pr-3'!$AF$7:$AF$700,$A30,'3 pr-3'!$AN$7:$AN$700)+SUMIF('3 pr-3'!$AZ$7:$AZ$700,$A30,'3 pr-3'!$BH$7:$BH$700)+SUMIF('3 pr-3'!$BT$7:$BT$700,$A30,'3 pr-3'!$CB$7:$CB$700)+SUMIF('3 pr-3'!$CN$7:$CN$700,$A30,'3 pr-3'!$CV$7:$CV$700))+R30</f>
        <v>0</v>
      </c>
      <c r="U30" s="1183" t="str">
        <f t="shared" ca="1" si="8"/>
        <v>–</v>
      </c>
    </row>
    <row r="31" spans="1:21" ht="15.75">
      <c r="A31" s="619" t="s">
        <v>493</v>
      </c>
      <c r="B31" s="617" t="s">
        <v>557</v>
      </c>
      <c r="C31" s="594"/>
      <c r="D31" s="1651">
        <v>0</v>
      </c>
      <c r="E31" s="1183" t="str">
        <f t="shared" si="0"/>
        <v>–</v>
      </c>
      <c r="F31" s="1651">
        <v>0</v>
      </c>
      <c r="G31" s="1183" t="str">
        <f t="shared" si="1"/>
        <v>–</v>
      </c>
      <c r="H31" s="1650">
        <f ca="1">(SUMIF('3 pr-3'!$L$7:$AC$700,A31,'3 pr-3'!$N$7:$N$700)+SUMIF('3 pr-3'!$AF$7:$AF$700,A31,'3 pr-3'!$AH$7:$AH$700)+SUMIF('3 pr-3'!$AZ$7:$AZ$700,A31,'3 pr-3'!$BB$7:$BB$700)+SUMIF('3 pr-3'!$BT$7:$BT$700,A31,'3 pr-3'!$BV$7:$BV$700)+SUMIF('3 pr-3'!$CN$7:$CN$700,A31,'3 pr-3'!$CP$7:$CP$700))+F31</f>
        <v>0</v>
      </c>
      <c r="I31" s="594" t="str">
        <f t="shared" ca="1" si="2"/>
        <v>–</v>
      </c>
      <c r="J31" s="1650">
        <f ca="1">(SUMIF('3 pr-3'!$L$7:$AC$700,$A31,'3 pr-3'!$O$7:$O$700)+SUMIF('3 pr-3'!$AF$7:$AF$700,$A31,'3 pr-3'!$AI$7:$AI$700)+SUMIF('3 pr-3'!$AZ$7:$AZ$700,$A31,'3 pr-3'!$BC$7:$BC$700)+SUMIF('3 pr-3'!$BT$7:$BT$700,$A31,'3 pr-3'!$BW$7:$BW$700)+SUMIF('3 pr-3'!$CN$7:$CN$700,$A31,'3 pr-3'!$CQ$7:$CQ$700))+H31</f>
        <v>0.75</v>
      </c>
      <c r="K31" s="1183">
        <f t="shared" ca="1" si="3"/>
        <v>0.75</v>
      </c>
      <c r="L31" s="1650">
        <f ca="1">(SUMIF('3 pr-3'!$L$7:$AC$700,$A31,'3 pr-3'!$P$7:$P$700)+SUMIF('3 pr-3'!$AF$7:$AF$700,$A31,'3 pr-3'!$AJ$7:$AJ$700)+SUMIF('3 pr-3'!$AZ$7:$AZ$700,$A31,'3 pr-3'!$BD$7:$BD$700)+SUMIF('3 pr-3'!$BT$7:$BT$700,$A31,'3 pr-3'!$BX$7:$BX$700)+SUMIF('3 pr-3'!$CN$7:$CN$700,$A31,'3 pr-3'!$CR$7:$CR$700))+J31</f>
        <v>0.75</v>
      </c>
      <c r="M31" s="1183">
        <f t="shared" ca="1" si="4"/>
        <v>0.75</v>
      </c>
      <c r="N31" s="1650">
        <f ca="1">(SUMIF('3 pr-3'!$L$7:$AC$700,$A31,'3 pr-3'!$Q$7:$Q$700)+SUMIF('3 pr-3'!$AF$7:$AF$700,$A31,'3 pr-3'!$AK$7:$AK$700)+SUMIF('3 pr-3'!$AZ$7:$AZ$700,$A31,'3 pr-3'!$BE$7:$BE$700)+SUMIF('3 pr-3'!$BT$7:$BT$700,$A31,'3 pr-3'!$BY$7:$BY$700)+SUMIF('3 pr-3'!$CN$7:$CN$700,$A31,'3 pr-3'!$CS$7:$CS$700))+L31</f>
        <v>0.75</v>
      </c>
      <c r="O31" s="1183">
        <f t="shared" ca="1" si="5"/>
        <v>0.75</v>
      </c>
      <c r="P31" s="1650">
        <f ca="1">(SUMIF('3 pr-3'!$L$7:$AC$700,$A31,'3 pr-3'!$R$7:$R$700)+SUMIF('3 pr-3'!$AF$7:$AF$700,$A31,'3 pr-3'!$AL$7:$AL$700)+SUMIF('3 pr-3'!$AZ$7:$AZ$700,$A31,'3 pr-3'!$BF$7:$BF$700)+SUMIF('3 pr-3'!$BT$7:$BT$700,$A31,'3 pr-3'!$BZ$7:$BZ$700)+SUMIF('3 pr-3'!$CN$7:$CN$700,$A31,'3 pr-3'!$CT$7:$CT$700))+N31</f>
        <v>0.75</v>
      </c>
      <c r="Q31" s="1183">
        <f t="shared" ca="1" si="6"/>
        <v>0.75</v>
      </c>
      <c r="R31" s="1650">
        <f ca="1">(SUMIF('3 pr-3'!$L$7:$AC$700,$A31,'3 pr-3'!$S$7:$S$700)+SUMIF('3 pr-3'!$AF$7:$AF$700,$A31,'3 pr-3'!$AM$7:$AM$700)+SUMIF('3 pr-3'!$AZ$7:$AZ$700,$A31,'3 pr-3'!$BG$7:$BG$700)+SUMIF('3 pr-3'!$BT$7:$BT$700,$A31,'3 pr-3'!$CA$7:$CA$700)+SUMIF('3 pr-3'!$CN$7:$CN$700,$A31,'3 pr-3'!$CU$7:$CU$700))+P31</f>
        <v>0.75</v>
      </c>
      <c r="S31" s="1183">
        <f t="shared" ca="1" si="7"/>
        <v>0.75</v>
      </c>
      <c r="T31" s="1650">
        <f ca="1">(SUMIF('3 pr-3'!$L$7:$AC$700,$A31,'3 pr-3'!$T$7:$T$700)+SUMIF('3 pr-3'!$AF$7:$AF$700,$A31,'3 pr-3'!$AN$7:$AN$700)+SUMIF('3 pr-3'!$AZ$7:$AZ$700,$A31,'3 pr-3'!$BH$7:$BH$700)+SUMIF('3 pr-3'!$BT$7:$BT$700,$A31,'3 pr-3'!$CB$7:$CB$700)+SUMIF('3 pr-3'!$CN$7:$CN$700,$A31,'3 pr-3'!$CV$7:$CV$700))+R31</f>
        <v>0.75</v>
      </c>
      <c r="U31" s="1183">
        <f t="shared" ca="1" si="8"/>
        <v>0.75</v>
      </c>
    </row>
    <row r="32" spans="1:21" ht="15.75">
      <c r="A32" s="619" t="s">
        <v>496</v>
      </c>
      <c r="B32" s="617" t="s">
        <v>558</v>
      </c>
      <c r="C32" s="594"/>
      <c r="D32" s="1651">
        <v>0</v>
      </c>
      <c r="E32" s="1183" t="str">
        <f t="shared" si="0"/>
        <v>–</v>
      </c>
      <c r="F32" s="1651">
        <v>0</v>
      </c>
      <c r="G32" s="1183" t="str">
        <f t="shared" si="1"/>
        <v>–</v>
      </c>
      <c r="H32" s="1650">
        <f ca="1">(SUMIF('3 pr-3'!$L$7:$AC$700,A32,'3 pr-3'!$N$7:$N$700)+SUMIF('3 pr-3'!$AF$7:$AF$700,A32,'3 pr-3'!$AH$7:$AH$700)+SUMIF('3 pr-3'!$AZ$7:$AZ$700,A32,'3 pr-3'!$BB$7:$BB$700)+SUMIF('3 pr-3'!$BT$7:$BT$700,A32,'3 pr-3'!$BV$7:$BV$700)+SUMIF('3 pr-3'!$CN$7:$CN$700,A32,'3 pr-3'!$CP$7:$CP$700))+F32</f>
        <v>0</v>
      </c>
      <c r="I32" s="594" t="str">
        <f t="shared" ca="1" si="2"/>
        <v>–</v>
      </c>
      <c r="J32" s="1650">
        <f ca="1">(SUMIF('3 pr-3'!$L$7:$AC$700,$A32,'3 pr-3'!$O$7:$O$700)+SUMIF('3 pr-3'!$AF$7:$AF$700,$A32,'3 pr-3'!$AI$7:$AI$700)+SUMIF('3 pr-3'!$AZ$7:$AZ$700,$A32,'3 pr-3'!$BC$7:$BC$700)+SUMIF('3 pr-3'!$BT$7:$BT$700,$A32,'3 pr-3'!$BW$7:$BW$700)+SUMIF('3 pr-3'!$CN$7:$CN$700,$A32,'3 pr-3'!$CQ$7:$CQ$700))+H32</f>
        <v>0</v>
      </c>
      <c r="K32" s="1183" t="str">
        <f t="shared" ca="1" si="3"/>
        <v>–</v>
      </c>
      <c r="L32" s="1650">
        <f ca="1">(SUMIF('3 pr-3'!$L$7:$AC$700,$A32,'3 pr-3'!$P$7:$P$700)+SUMIF('3 pr-3'!$AF$7:$AF$700,$A32,'3 pr-3'!$AJ$7:$AJ$700)+SUMIF('3 pr-3'!$AZ$7:$AZ$700,$A32,'3 pr-3'!$BD$7:$BD$700)+SUMIF('3 pr-3'!$BT$7:$BT$700,$A32,'3 pr-3'!$BX$7:$BX$700)+SUMIF('3 pr-3'!$CN$7:$CN$700,$A32,'3 pr-3'!$CR$7:$CR$700))+J32</f>
        <v>0</v>
      </c>
      <c r="M32" s="1183" t="str">
        <f t="shared" ca="1" si="4"/>
        <v>–</v>
      </c>
      <c r="N32" s="1650">
        <f ca="1">(SUMIF('3 pr-3'!$L$7:$AC$700,$A32,'3 pr-3'!$Q$7:$Q$700)+SUMIF('3 pr-3'!$AF$7:$AF$700,$A32,'3 pr-3'!$AK$7:$AK$700)+SUMIF('3 pr-3'!$AZ$7:$AZ$700,$A32,'3 pr-3'!$BE$7:$BE$700)+SUMIF('3 pr-3'!$BT$7:$BT$700,$A32,'3 pr-3'!$BY$7:$BY$700)+SUMIF('3 pr-3'!$CN$7:$CN$700,$A32,'3 pr-3'!$CS$7:$CS$700))+L32</f>
        <v>0</v>
      </c>
      <c r="O32" s="1183" t="str">
        <f t="shared" ca="1" si="5"/>
        <v>–</v>
      </c>
      <c r="P32" s="1650">
        <f ca="1">(SUMIF('3 pr-3'!$L$7:$AC$700,$A32,'3 pr-3'!$R$7:$R$700)+SUMIF('3 pr-3'!$AF$7:$AF$700,$A32,'3 pr-3'!$AL$7:$AL$700)+SUMIF('3 pr-3'!$AZ$7:$AZ$700,$A32,'3 pr-3'!$BF$7:$BF$700)+SUMIF('3 pr-3'!$BT$7:$BT$700,$A32,'3 pr-3'!$BZ$7:$BZ$700)+SUMIF('3 pr-3'!$CN$7:$CN$700,$A32,'3 pr-3'!$CT$7:$CT$700))+N32</f>
        <v>0</v>
      </c>
      <c r="Q32" s="1183" t="str">
        <f t="shared" ca="1" si="6"/>
        <v>–</v>
      </c>
      <c r="R32" s="1650">
        <f ca="1">(SUMIF('3 pr-3'!$L$7:$AC$700,$A32,'3 pr-3'!$S$7:$S$700)+SUMIF('3 pr-3'!$AF$7:$AF$700,$A32,'3 pr-3'!$AM$7:$AM$700)+SUMIF('3 pr-3'!$AZ$7:$AZ$700,$A32,'3 pr-3'!$BG$7:$BG$700)+SUMIF('3 pr-3'!$BT$7:$BT$700,$A32,'3 pr-3'!$CA$7:$CA$700)+SUMIF('3 pr-3'!$CN$7:$CN$700,$A32,'3 pr-3'!$CU$7:$CU$700))+P32</f>
        <v>0</v>
      </c>
      <c r="S32" s="1183" t="str">
        <f t="shared" ca="1" si="7"/>
        <v>–</v>
      </c>
      <c r="T32" s="1650">
        <f ca="1">(SUMIF('3 pr-3'!$L$7:$AC$700,$A32,'3 pr-3'!$T$7:$T$700)+SUMIF('3 pr-3'!$AF$7:$AF$700,$A32,'3 pr-3'!$AN$7:$AN$700)+SUMIF('3 pr-3'!$AZ$7:$AZ$700,$A32,'3 pr-3'!$BH$7:$BH$700)+SUMIF('3 pr-3'!$BT$7:$BT$700,$A32,'3 pr-3'!$CB$7:$CB$700)+SUMIF('3 pr-3'!$CN$7:$CN$700,$A32,'3 pr-3'!$CV$7:$CV$700))+R32</f>
        <v>0</v>
      </c>
      <c r="U32" s="1183" t="str">
        <f t="shared" ca="1" si="8"/>
        <v>–</v>
      </c>
    </row>
    <row r="33" spans="1:21" ht="15.75">
      <c r="A33" s="619" t="s">
        <v>491</v>
      </c>
      <c r="B33" s="617" t="s">
        <v>559</v>
      </c>
      <c r="C33" s="619"/>
      <c r="D33" s="1651">
        <v>0</v>
      </c>
      <c r="E33" s="1183" t="str">
        <f t="shared" si="0"/>
        <v>–</v>
      </c>
      <c r="F33" s="1651">
        <v>0</v>
      </c>
      <c r="G33" s="1183" t="str">
        <f t="shared" si="1"/>
        <v>–</v>
      </c>
      <c r="H33" s="1650">
        <f ca="1">(SUMIF('3 pr-3'!$L$7:$AC$700,A33,'3 pr-3'!$N$7:$N$700)+SUMIF('3 pr-3'!$AF$7:$AF$700,A33,'3 pr-3'!$AH$7:$AH$700)+SUMIF('3 pr-3'!$AZ$7:$AZ$700,A33,'3 pr-3'!$BB$7:$BB$700)+SUMIF('3 pr-3'!$BT$7:$BT$700,A33,'3 pr-3'!$BV$7:$BV$700)+SUMIF('3 pr-3'!$CN$7:$CN$700,A33,'3 pr-3'!$CP$7:$CP$700))+F33</f>
        <v>0</v>
      </c>
      <c r="I33" s="594" t="str">
        <f t="shared" ca="1" si="2"/>
        <v>–</v>
      </c>
      <c r="J33" s="1650">
        <f ca="1">(SUMIF('3 pr-3'!$L$7:$AC$700,$A33,'3 pr-3'!$O$7:$O$700)+SUMIF('3 pr-3'!$AF$7:$AF$700,$A33,'3 pr-3'!$AI$7:$AI$700)+SUMIF('3 pr-3'!$AZ$7:$AZ$700,$A33,'3 pr-3'!$BC$7:$BC$700)+SUMIF('3 pr-3'!$BT$7:$BT$700,$A33,'3 pr-3'!$BW$7:$BW$700)+SUMIF('3 pr-3'!$CN$7:$CN$700,$A33,'3 pr-3'!$CQ$7:$CQ$700))+H33</f>
        <v>0</v>
      </c>
      <c r="K33" s="1183" t="str">
        <f t="shared" ca="1" si="3"/>
        <v>–</v>
      </c>
      <c r="L33" s="1650">
        <f ca="1">(SUMIF('3 pr-3'!$L$7:$AC$700,$A33,'3 pr-3'!$P$7:$P$700)+SUMIF('3 pr-3'!$AF$7:$AF$700,$A33,'3 pr-3'!$AJ$7:$AJ$700)+SUMIF('3 pr-3'!$AZ$7:$AZ$700,$A33,'3 pr-3'!$BD$7:$BD$700)+SUMIF('3 pr-3'!$BT$7:$BT$700,$A33,'3 pr-3'!$BX$7:$BX$700)+SUMIF('3 pr-3'!$CN$7:$CN$700,$A33,'3 pr-3'!$CR$7:$CR$700))+J33</f>
        <v>0</v>
      </c>
      <c r="M33" s="1183" t="str">
        <f t="shared" ca="1" si="4"/>
        <v>–</v>
      </c>
      <c r="N33" s="1650">
        <f ca="1">(SUMIF('3 pr-3'!$L$7:$AC$700,$A33,'3 pr-3'!$Q$7:$Q$700)+SUMIF('3 pr-3'!$AF$7:$AF$700,$A33,'3 pr-3'!$AK$7:$AK$700)+SUMIF('3 pr-3'!$AZ$7:$AZ$700,$A33,'3 pr-3'!$BE$7:$BE$700)+SUMIF('3 pr-3'!$BT$7:$BT$700,$A33,'3 pr-3'!$BY$7:$BY$700)+SUMIF('3 pr-3'!$CN$7:$CN$700,$A33,'3 pr-3'!$CS$7:$CS$700))+L33</f>
        <v>0</v>
      </c>
      <c r="O33" s="1183" t="str">
        <f t="shared" ca="1" si="5"/>
        <v>–</v>
      </c>
      <c r="P33" s="1650">
        <f ca="1">(SUMIF('3 pr-3'!$L$7:$AC$700,$A33,'3 pr-3'!$R$7:$R$700)+SUMIF('3 pr-3'!$AF$7:$AF$700,$A33,'3 pr-3'!$AL$7:$AL$700)+SUMIF('3 pr-3'!$AZ$7:$AZ$700,$A33,'3 pr-3'!$BF$7:$BF$700)+SUMIF('3 pr-3'!$BT$7:$BT$700,$A33,'3 pr-3'!$BZ$7:$BZ$700)+SUMIF('3 pr-3'!$CN$7:$CN$700,$A33,'3 pr-3'!$CT$7:$CT$700))+N33</f>
        <v>0</v>
      </c>
      <c r="Q33" s="1183" t="str">
        <f t="shared" ca="1" si="6"/>
        <v>–</v>
      </c>
      <c r="R33" s="1650">
        <f ca="1">(SUMIF('3 pr-3'!$L$7:$AC$700,$A33,'3 pr-3'!$S$7:$S$700)+SUMIF('3 pr-3'!$AF$7:$AF$700,$A33,'3 pr-3'!$AM$7:$AM$700)+SUMIF('3 pr-3'!$AZ$7:$AZ$700,$A33,'3 pr-3'!$BG$7:$BG$700)+SUMIF('3 pr-3'!$BT$7:$BT$700,$A33,'3 pr-3'!$CA$7:$CA$700)+SUMIF('3 pr-3'!$CN$7:$CN$700,$A33,'3 pr-3'!$CU$7:$CU$700))+P33</f>
        <v>0</v>
      </c>
      <c r="S33" s="1183" t="str">
        <f t="shared" ca="1" si="7"/>
        <v>–</v>
      </c>
      <c r="T33" s="1650">
        <f ca="1">(SUMIF('3 pr-3'!$L$7:$AC$700,$A33,'3 pr-3'!$T$7:$T$700)+SUMIF('3 pr-3'!$AF$7:$AF$700,$A33,'3 pr-3'!$AN$7:$AN$700)+SUMIF('3 pr-3'!$AZ$7:$AZ$700,$A33,'3 pr-3'!$BH$7:$BH$700)+SUMIF('3 pr-3'!$BT$7:$BT$700,$A33,'3 pr-3'!$CB$7:$CB$700)+SUMIF('3 pr-3'!$CN$7:$CN$700,$A33,'3 pr-3'!$CV$7:$CV$700))+R33</f>
        <v>0</v>
      </c>
      <c r="U33" s="1183" t="str">
        <f t="shared" ca="1" si="8"/>
        <v>–</v>
      </c>
    </row>
    <row r="34" spans="1:21" ht="15.75">
      <c r="A34" s="619" t="s">
        <v>1411</v>
      </c>
      <c r="B34" s="617" t="s">
        <v>1412</v>
      </c>
      <c r="C34" s="619"/>
      <c r="D34" s="1651">
        <v>0</v>
      </c>
      <c r="E34" s="1183" t="str">
        <f t="shared" si="0"/>
        <v>–</v>
      </c>
      <c r="F34" s="1651">
        <v>0</v>
      </c>
      <c r="G34" s="1183" t="str">
        <f t="shared" si="1"/>
        <v>–</v>
      </c>
      <c r="H34" s="1650">
        <f ca="1">(SUMIF('3 pr-3'!$L$7:$AC$700,A34,'3 pr-3'!$N$7:$N$700)+SUMIF('3 pr-3'!$AF$7:$AF$700,A34,'3 pr-3'!$AH$7:$AH$700)+SUMIF('3 pr-3'!$AZ$7:$AZ$700,A34,'3 pr-3'!$BB$7:$BB$700)+SUMIF('3 pr-3'!$BT$7:$BT$700,A34,'3 pr-3'!$BV$7:$BV$700)+SUMIF('3 pr-3'!$CN$7:$CN$700,A34,'3 pr-3'!$CP$7:$CP$700))+F34</f>
        <v>0</v>
      </c>
      <c r="I34" s="594" t="str">
        <f t="shared" ca="1" si="2"/>
        <v>–</v>
      </c>
      <c r="J34" s="1650">
        <f ca="1">(SUMIF('3 pr-3'!$L$7:$AC$700,$A34,'3 pr-3'!$O$7:$O$700)+SUMIF('3 pr-3'!$AF$7:$AF$700,$A34,'3 pr-3'!$AI$7:$AI$700)+SUMIF('3 pr-3'!$AZ$7:$AZ$700,$A34,'3 pr-3'!$BC$7:$BC$700)+SUMIF('3 pr-3'!$BT$7:$BT$700,$A34,'3 pr-3'!$BW$7:$BW$700)+SUMIF('3 pr-3'!$CN$7:$CN$700,$A34,'3 pr-3'!$CQ$7:$CQ$700))+H34</f>
        <v>0</v>
      </c>
      <c r="K34" s="1183" t="str">
        <f t="shared" ca="1" si="3"/>
        <v>–</v>
      </c>
      <c r="L34" s="1650">
        <f ca="1">(SUMIF('3 pr-3'!$L$7:$AC$700,$A34,'3 pr-3'!$P$7:$P$700)+SUMIF('3 pr-3'!$AF$7:$AF$700,$A34,'3 pr-3'!$AJ$7:$AJ$700)+SUMIF('3 pr-3'!$AZ$7:$AZ$700,$A34,'3 pr-3'!$BD$7:$BD$700)+SUMIF('3 pr-3'!$BT$7:$BT$700,$A34,'3 pr-3'!$BX$7:$BX$700)+SUMIF('3 pr-3'!$CN$7:$CN$700,$A34,'3 pr-3'!$CR$7:$CR$700))+J34</f>
        <v>0</v>
      </c>
      <c r="M34" s="1183" t="str">
        <f t="shared" ca="1" si="4"/>
        <v>–</v>
      </c>
      <c r="N34" s="1650">
        <f ca="1">(SUMIF('3 pr-3'!$L$7:$AC$700,$A34,'3 pr-3'!$Q$7:$Q$700)+SUMIF('3 pr-3'!$AF$7:$AF$700,$A34,'3 pr-3'!$AK$7:$AK$700)+SUMIF('3 pr-3'!$AZ$7:$AZ$700,$A34,'3 pr-3'!$BE$7:$BE$700)+SUMIF('3 pr-3'!$BT$7:$BT$700,$A34,'3 pr-3'!$BY$7:$BY$700)+SUMIF('3 pr-3'!$CN$7:$CN$700,$A34,'3 pr-3'!$CS$7:$CS$700))+L34</f>
        <v>0</v>
      </c>
      <c r="O34" s="1183" t="str">
        <f t="shared" ca="1" si="5"/>
        <v>–</v>
      </c>
      <c r="P34" s="1650">
        <f ca="1">(SUMIF('3 pr-3'!$L$7:$AC$700,$A34,'3 pr-3'!$R$7:$R$700)+SUMIF('3 pr-3'!$AF$7:$AF$700,$A34,'3 pr-3'!$AL$7:$AL$700)+SUMIF('3 pr-3'!$AZ$7:$AZ$700,$A34,'3 pr-3'!$BF$7:$BF$700)+SUMIF('3 pr-3'!$BT$7:$BT$700,$A34,'3 pr-3'!$BZ$7:$BZ$700)+SUMIF('3 pr-3'!$CN$7:$CN$700,$A34,'3 pr-3'!$CT$7:$CT$700))+N34</f>
        <v>0</v>
      </c>
      <c r="Q34" s="1183" t="str">
        <f t="shared" ca="1" si="6"/>
        <v>–</v>
      </c>
      <c r="R34" s="1650">
        <f ca="1">(SUMIF('3 pr-3'!$L$7:$AC$700,$A34,'3 pr-3'!$S$7:$S$700)+SUMIF('3 pr-3'!$AF$7:$AF$700,$A34,'3 pr-3'!$AM$7:$AM$700)+SUMIF('3 pr-3'!$AZ$7:$AZ$700,$A34,'3 pr-3'!$BG$7:$BG$700)+SUMIF('3 pr-3'!$BT$7:$BT$700,$A34,'3 pr-3'!$CA$7:$CA$700)+SUMIF('3 pr-3'!$CN$7:$CN$700,$A34,'3 pr-3'!$CU$7:$CU$700))+P34</f>
        <v>0</v>
      </c>
      <c r="S34" s="1183" t="str">
        <f t="shared" ca="1" si="7"/>
        <v>–</v>
      </c>
      <c r="T34" s="1650">
        <f ca="1">(SUMIF('3 pr-3'!$L$7:$AC$700,$A34,'3 pr-3'!$T$7:$T$700)+SUMIF('3 pr-3'!$AF$7:$AF$700,$A34,'3 pr-3'!$AN$7:$AN$700)+SUMIF('3 pr-3'!$AZ$7:$AZ$700,$A34,'3 pr-3'!$BH$7:$BH$700)+SUMIF('3 pr-3'!$BT$7:$BT$700,$A34,'3 pr-3'!$CB$7:$CB$700)+SUMIF('3 pr-3'!$CN$7:$CN$700,$A34,'3 pr-3'!$CV$7:$CV$700))+R34</f>
        <v>0</v>
      </c>
      <c r="U34" s="1183" t="str">
        <f t="shared" ca="1" si="8"/>
        <v>–</v>
      </c>
    </row>
    <row r="35" spans="1:21" ht="15.75">
      <c r="A35" s="619" t="s">
        <v>488</v>
      </c>
      <c r="B35" s="617" t="s">
        <v>560</v>
      </c>
      <c r="C35" s="619"/>
      <c r="D35" s="1651">
        <v>0</v>
      </c>
      <c r="E35" s="1183" t="str">
        <f t="shared" si="0"/>
        <v>–</v>
      </c>
      <c r="F35" s="1651">
        <v>0</v>
      </c>
      <c r="G35" s="1183" t="str">
        <f t="shared" si="1"/>
        <v>–</v>
      </c>
      <c r="H35" s="1650">
        <f ca="1">(SUMIF('3 pr-3'!$L$7:$AC$700,A35,'3 pr-3'!$N$7:$N$700)+SUMIF('3 pr-3'!$AF$7:$AF$700,A35,'3 pr-3'!$AH$7:$AH$700)+SUMIF('3 pr-3'!$AZ$7:$AZ$700,A35,'3 pr-3'!$BB$7:$BB$700)+SUMIF('3 pr-3'!$BT$7:$BT$700,A35,'3 pr-3'!$BV$7:$BV$700)+SUMIF('3 pr-3'!$CN$7:$CN$700,A35,'3 pr-3'!$CP$7:$CP$700))+F35</f>
        <v>0</v>
      </c>
      <c r="I35" s="594" t="str">
        <f t="shared" ca="1" si="2"/>
        <v>–</v>
      </c>
      <c r="J35" s="1650">
        <f ca="1">(SUMIF('3 pr-3'!$L$7:$AC$700,$A35,'3 pr-3'!$O$7:$O$700)+SUMIF('3 pr-3'!$AF$7:$AF$700,$A35,'3 pr-3'!$AI$7:$AI$700)+SUMIF('3 pr-3'!$AZ$7:$AZ$700,$A35,'3 pr-3'!$BC$7:$BC$700)+SUMIF('3 pr-3'!$BT$7:$BT$700,$A35,'3 pr-3'!$BW$7:$BW$700)+SUMIF('3 pr-3'!$CN$7:$CN$700,$A35,'3 pr-3'!$CQ$7:$CQ$700))+H35</f>
        <v>0</v>
      </c>
      <c r="K35" s="1183" t="str">
        <f t="shared" ca="1" si="3"/>
        <v>–</v>
      </c>
      <c r="L35" s="1650">
        <f ca="1">(SUMIF('3 pr-3'!$L$7:$AC$700,$A35,'3 pr-3'!$P$7:$P$700)+SUMIF('3 pr-3'!$AF$7:$AF$700,$A35,'3 pr-3'!$AJ$7:$AJ$700)+SUMIF('3 pr-3'!$AZ$7:$AZ$700,$A35,'3 pr-3'!$BD$7:$BD$700)+SUMIF('3 pr-3'!$BT$7:$BT$700,$A35,'3 pr-3'!$BX$7:$BX$700)+SUMIF('3 pr-3'!$CN$7:$CN$700,$A35,'3 pr-3'!$CR$7:$CR$700))+J35</f>
        <v>0</v>
      </c>
      <c r="M35" s="1183" t="str">
        <f t="shared" ca="1" si="4"/>
        <v>–</v>
      </c>
      <c r="N35" s="1650">
        <f ca="1">(SUMIF('3 pr-3'!$L$7:$AC$700,$A35,'3 pr-3'!$Q$7:$Q$700)+SUMIF('3 pr-3'!$AF$7:$AF$700,$A35,'3 pr-3'!$AK$7:$AK$700)+SUMIF('3 pr-3'!$AZ$7:$AZ$700,$A35,'3 pr-3'!$BE$7:$BE$700)+SUMIF('3 pr-3'!$BT$7:$BT$700,$A35,'3 pr-3'!$BY$7:$BY$700)+SUMIF('3 pr-3'!$CN$7:$CN$700,$A35,'3 pr-3'!$CS$7:$CS$700))+L35</f>
        <v>0</v>
      </c>
      <c r="O35" s="1183" t="str">
        <f t="shared" ca="1" si="5"/>
        <v>–</v>
      </c>
      <c r="P35" s="1650">
        <f ca="1">(SUMIF('3 pr-3'!$L$7:$AC$700,$A35,'3 pr-3'!$R$7:$R$700)+SUMIF('3 pr-3'!$AF$7:$AF$700,$A35,'3 pr-3'!$AL$7:$AL$700)+SUMIF('3 pr-3'!$AZ$7:$AZ$700,$A35,'3 pr-3'!$BF$7:$BF$700)+SUMIF('3 pr-3'!$BT$7:$BT$700,$A35,'3 pr-3'!$BZ$7:$BZ$700)+SUMIF('3 pr-3'!$CN$7:$CN$700,$A35,'3 pr-3'!$CT$7:$CT$700))+N35</f>
        <v>0</v>
      </c>
      <c r="Q35" s="1183" t="str">
        <f t="shared" ca="1" si="6"/>
        <v>–</v>
      </c>
      <c r="R35" s="1650">
        <f ca="1">(SUMIF('3 pr-3'!$L$7:$AC$700,$A35,'3 pr-3'!$S$7:$S$700)+SUMIF('3 pr-3'!$AF$7:$AF$700,$A35,'3 pr-3'!$AM$7:$AM$700)+SUMIF('3 pr-3'!$AZ$7:$AZ$700,$A35,'3 pr-3'!$BG$7:$BG$700)+SUMIF('3 pr-3'!$BT$7:$BT$700,$A35,'3 pr-3'!$CA$7:$CA$700)+SUMIF('3 pr-3'!$CN$7:$CN$700,$A35,'3 pr-3'!$CU$7:$CU$700))+P35</f>
        <v>0</v>
      </c>
      <c r="S35" s="1183" t="str">
        <f t="shared" ca="1" si="7"/>
        <v>–</v>
      </c>
      <c r="T35" s="1650">
        <f ca="1">(SUMIF('3 pr-3'!$L$7:$AC$700,$A35,'3 pr-3'!$T$7:$T$700)+SUMIF('3 pr-3'!$AF$7:$AF$700,$A35,'3 pr-3'!$AN$7:$AN$700)+SUMIF('3 pr-3'!$AZ$7:$AZ$700,$A35,'3 pr-3'!$BH$7:$BH$700)+SUMIF('3 pr-3'!$BT$7:$BT$700,$A35,'3 pr-3'!$CB$7:$CB$700)+SUMIF('3 pr-3'!$CN$7:$CN$700,$A35,'3 pr-3'!$CV$7:$CV$700))+R35</f>
        <v>0</v>
      </c>
      <c r="U35" s="1183" t="str">
        <f t="shared" ca="1" si="8"/>
        <v>–</v>
      </c>
    </row>
    <row r="36" spans="1:21" ht="31.5">
      <c r="A36" s="619" t="s">
        <v>477</v>
      </c>
      <c r="B36" s="617" t="s">
        <v>478</v>
      </c>
      <c r="C36" s="619"/>
      <c r="D36" s="1651">
        <v>0</v>
      </c>
      <c r="E36" s="1183" t="str">
        <f t="shared" si="0"/>
        <v>–</v>
      </c>
      <c r="F36" s="1651">
        <v>0</v>
      </c>
      <c r="G36" s="1183" t="str">
        <f t="shared" si="1"/>
        <v>–</v>
      </c>
      <c r="H36" s="1650">
        <f ca="1">(SUMIF('3 pr-3'!$L$7:$AC$700,A36,'3 pr-3'!$N$7:$N$700)+SUMIF('3 pr-3'!$AF$7:$AF$700,A36,'3 pr-3'!$AH$7:$AH$700)+SUMIF('3 pr-3'!$AZ$7:$AZ$700,A36,'3 pr-3'!$BB$7:$BB$700)+SUMIF('3 pr-3'!$BT$7:$BT$700,A36,'3 pr-3'!$BV$7:$BV$700)+SUMIF('3 pr-3'!$CN$7:$CN$700,A36,'3 pr-3'!$CP$7:$CP$700))+F36</f>
        <v>0</v>
      </c>
      <c r="I36" s="594" t="str">
        <f t="shared" ca="1" si="2"/>
        <v>–</v>
      </c>
      <c r="J36" s="1650">
        <f ca="1">(SUMIF('3 pr-3'!$L$7:$AC$700,$A36,'3 pr-3'!$O$7:$O$700)+SUMIF('3 pr-3'!$AF$7:$AF$700,$A36,'3 pr-3'!$AI$7:$AI$700)+SUMIF('3 pr-3'!$AZ$7:$AZ$700,$A36,'3 pr-3'!$BC$7:$BC$700)+SUMIF('3 pr-3'!$BT$7:$BT$700,$A36,'3 pr-3'!$BW$7:$BW$700)+SUMIF('3 pr-3'!$CN$7:$CN$700,$A36,'3 pr-3'!$CQ$7:$CQ$700))+H36</f>
        <v>101.4</v>
      </c>
      <c r="K36" s="1183">
        <f t="shared" ca="1" si="3"/>
        <v>101.4</v>
      </c>
      <c r="L36" s="1650">
        <f ca="1">(SUMIF('3 pr-3'!$L$7:$AC$700,$A36,'3 pr-3'!$P$7:$P$700)+SUMIF('3 pr-3'!$AF$7:$AF$700,$A36,'3 pr-3'!$AJ$7:$AJ$700)+SUMIF('3 pr-3'!$AZ$7:$AZ$700,$A36,'3 pr-3'!$BD$7:$BD$700)+SUMIF('3 pr-3'!$BT$7:$BT$700,$A36,'3 pr-3'!$BX$7:$BX$700)+SUMIF('3 pr-3'!$CN$7:$CN$700,$A36,'3 pr-3'!$CR$7:$CR$700))+J36</f>
        <v>101.4</v>
      </c>
      <c r="M36" s="1183">
        <f t="shared" ca="1" si="4"/>
        <v>101.4</v>
      </c>
      <c r="N36" s="1650">
        <f ca="1">(SUMIF('3 pr-3'!$L$7:$AC$700,$A36,'3 pr-3'!$Q$7:$Q$700)+SUMIF('3 pr-3'!$AF$7:$AF$700,$A36,'3 pr-3'!$AK$7:$AK$700)+SUMIF('3 pr-3'!$AZ$7:$AZ$700,$A36,'3 pr-3'!$BE$7:$BE$700)+SUMIF('3 pr-3'!$BT$7:$BT$700,$A36,'3 pr-3'!$BY$7:$BY$700)+SUMIF('3 pr-3'!$CN$7:$CN$700,$A36,'3 pr-3'!$CS$7:$CS$700))+L36</f>
        <v>101.4</v>
      </c>
      <c r="O36" s="1183">
        <f t="shared" ca="1" si="5"/>
        <v>101.4</v>
      </c>
      <c r="P36" s="1650">
        <f ca="1">(SUMIF('3 pr-3'!$L$7:$AC$700,$A36,'3 pr-3'!$R$7:$R$700)+SUMIF('3 pr-3'!$AF$7:$AF$700,$A36,'3 pr-3'!$AL$7:$AL$700)+SUMIF('3 pr-3'!$AZ$7:$AZ$700,$A36,'3 pr-3'!$BF$7:$BF$700)+SUMIF('3 pr-3'!$BT$7:$BT$700,$A36,'3 pr-3'!$BZ$7:$BZ$700)+SUMIF('3 pr-3'!$CN$7:$CN$700,$A36,'3 pr-3'!$CT$7:$CT$700))+N36</f>
        <v>101.4</v>
      </c>
      <c r="Q36" s="1183">
        <f t="shared" ca="1" si="6"/>
        <v>101.4</v>
      </c>
      <c r="R36" s="1650">
        <f ca="1">(SUMIF('3 pr-3'!$L$7:$AC$700,$A36,'3 pr-3'!$S$7:$S$700)+SUMIF('3 pr-3'!$AF$7:$AF$700,$A36,'3 pr-3'!$AM$7:$AM$700)+SUMIF('3 pr-3'!$AZ$7:$AZ$700,$A36,'3 pr-3'!$BG$7:$BG$700)+SUMIF('3 pr-3'!$BT$7:$BT$700,$A36,'3 pr-3'!$CA$7:$CA$700)+SUMIF('3 pr-3'!$CN$7:$CN$700,$A36,'3 pr-3'!$CU$7:$CU$700))+P36</f>
        <v>101.4</v>
      </c>
      <c r="S36" s="1183">
        <f t="shared" ca="1" si="7"/>
        <v>101.4</v>
      </c>
      <c r="T36" s="1650">
        <f ca="1">(SUMIF('3 pr-3'!$L$7:$AC$700,$A36,'3 pr-3'!$T$7:$T$700)+SUMIF('3 pr-3'!$AF$7:$AF$700,$A36,'3 pr-3'!$AN$7:$AN$700)+SUMIF('3 pr-3'!$AZ$7:$AZ$700,$A36,'3 pr-3'!$BH$7:$BH$700)+SUMIF('3 pr-3'!$BT$7:$BT$700,$A36,'3 pr-3'!$CB$7:$CB$700)+SUMIF('3 pr-3'!$CN$7:$CN$700,$A36,'3 pr-3'!$CV$7:$CV$700))+R36</f>
        <v>101.4</v>
      </c>
      <c r="U36" s="1183">
        <f t="shared" ca="1" si="8"/>
        <v>101.4</v>
      </c>
    </row>
    <row r="37" spans="1:21" ht="15.75">
      <c r="A37" s="619" t="s">
        <v>527</v>
      </c>
      <c r="B37" s="617" t="s">
        <v>561</v>
      </c>
      <c r="C37" s="619"/>
      <c r="D37" s="1651">
        <v>0</v>
      </c>
      <c r="E37" s="1183" t="str">
        <f t="shared" si="0"/>
        <v>–</v>
      </c>
      <c r="F37" s="1651">
        <v>0</v>
      </c>
      <c r="G37" s="1183" t="str">
        <f t="shared" si="1"/>
        <v>–</v>
      </c>
      <c r="H37" s="1650">
        <f ca="1">(SUMIF('3 pr-3'!$L$7:$AC$700,A37,'3 pr-3'!$N$7:$N$700)+SUMIF('3 pr-3'!$AF$7:$AF$700,A37,'3 pr-3'!$AH$7:$AH$700)+SUMIF('3 pr-3'!$AZ$7:$AZ$700,A37,'3 pr-3'!$BB$7:$BB$700)+SUMIF('3 pr-3'!$BT$7:$BT$700,A37,'3 pr-3'!$BV$7:$BV$700)+SUMIF('3 pr-3'!$CN$7:$CN$700,A37,'3 pr-3'!$CP$7:$CP$700))+F37</f>
        <v>0</v>
      </c>
      <c r="I37" s="594" t="str">
        <f t="shared" ca="1" si="2"/>
        <v>–</v>
      </c>
      <c r="J37" s="1650">
        <f ca="1">(SUMIF('3 pr-3'!$L$7:$AC$700,$A37,'3 pr-3'!$O$7:$O$700)+SUMIF('3 pr-3'!$AF$7:$AF$700,$A37,'3 pr-3'!$AI$7:$AI$700)+SUMIF('3 pr-3'!$AZ$7:$AZ$700,$A37,'3 pr-3'!$BC$7:$BC$700)+SUMIF('3 pr-3'!$BT$7:$BT$700,$A37,'3 pr-3'!$BW$7:$BW$700)+SUMIF('3 pr-3'!$CN$7:$CN$700,$A37,'3 pr-3'!$CQ$7:$CQ$700))+H37</f>
        <v>0</v>
      </c>
      <c r="K37" s="1183" t="str">
        <f t="shared" ca="1" si="3"/>
        <v>–</v>
      </c>
      <c r="L37" s="1650">
        <f ca="1">(SUMIF('3 pr-3'!$L$7:$AC$700,$A37,'3 pr-3'!$P$7:$P$700)+SUMIF('3 pr-3'!$AF$7:$AF$700,$A37,'3 pr-3'!$AJ$7:$AJ$700)+SUMIF('3 pr-3'!$AZ$7:$AZ$700,$A37,'3 pr-3'!$BD$7:$BD$700)+SUMIF('3 pr-3'!$BT$7:$BT$700,$A37,'3 pr-3'!$BX$7:$BX$700)+SUMIF('3 pr-3'!$CN$7:$CN$700,$A37,'3 pr-3'!$CR$7:$CR$700))+J37</f>
        <v>0</v>
      </c>
      <c r="M37" s="1183" t="str">
        <f t="shared" ca="1" si="4"/>
        <v>–</v>
      </c>
      <c r="N37" s="1650">
        <f ca="1">(SUMIF('3 pr-3'!$L$7:$AC$700,$A37,'3 pr-3'!$Q$7:$Q$700)+SUMIF('3 pr-3'!$AF$7:$AF$700,$A37,'3 pr-3'!$AK$7:$AK$700)+SUMIF('3 pr-3'!$AZ$7:$AZ$700,$A37,'3 pr-3'!$BE$7:$BE$700)+SUMIF('3 pr-3'!$BT$7:$BT$700,$A37,'3 pr-3'!$BY$7:$BY$700)+SUMIF('3 pr-3'!$CN$7:$CN$700,$A37,'3 pr-3'!$CS$7:$CS$700))+L37</f>
        <v>0</v>
      </c>
      <c r="O37" s="1183" t="str">
        <f t="shared" ca="1" si="5"/>
        <v>–</v>
      </c>
      <c r="P37" s="1650">
        <f ca="1">(SUMIF('3 pr-3'!$L$7:$AC$700,$A37,'3 pr-3'!$R$7:$R$700)+SUMIF('3 pr-3'!$AF$7:$AF$700,$A37,'3 pr-3'!$AL$7:$AL$700)+SUMIF('3 pr-3'!$AZ$7:$AZ$700,$A37,'3 pr-3'!$BF$7:$BF$700)+SUMIF('3 pr-3'!$BT$7:$BT$700,$A37,'3 pr-3'!$BZ$7:$BZ$700)+SUMIF('3 pr-3'!$CN$7:$CN$700,$A37,'3 pr-3'!$CT$7:$CT$700))+N37</f>
        <v>0</v>
      </c>
      <c r="Q37" s="1183" t="str">
        <f t="shared" ca="1" si="6"/>
        <v>–</v>
      </c>
      <c r="R37" s="1650">
        <f ca="1">(SUMIF('3 pr-3'!$L$7:$AC$700,$A37,'3 pr-3'!$S$7:$S$700)+SUMIF('3 pr-3'!$AF$7:$AF$700,$A37,'3 pr-3'!$AM$7:$AM$700)+SUMIF('3 pr-3'!$AZ$7:$AZ$700,$A37,'3 pr-3'!$BG$7:$BG$700)+SUMIF('3 pr-3'!$BT$7:$BT$700,$A37,'3 pr-3'!$CA$7:$CA$700)+SUMIF('3 pr-3'!$CN$7:$CN$700,$A37,'3 pr-3'!$CU$7:$CU$700))+P37</f>
        <v>0</v>
      </c>
      <c r="S37" s="1183" t="str">
        <f t="shared" ca="1" si="7"/>
        <v>–</v>
      </c>
      <c r="T37" s="1650">
        <f ca="1">(SUMIF('3 pr-3'!$L$7:$AC$700,$A37,'3 pr-3'!$T$7:$T$700)+SUMIF('3 pr-3'!$AF$7:$AF$700,$A37,'3 pr-3'!$AN$7:$AN$700)+SUMIF('3 pr-3'!$AZ$7:$AZ$700,$A37,'3 pr-3'!$BH$7:$BH$700)+SUMIF('3 pr-3'!$BT$7:$BT$700,$A37,'3 pr-3'!$CB$7:$CB$700)+SUMIF('3 pr-3'!$CN$7:$CN$700,$A37,'3 pr-3'!$CV$7:$CV$700))+R37</f>
        <v>0</v>
      </c>
      <c r="U37" s="1183" t="str">
        <f t="shared" ca="1" si="8"/>
        <v>–</v>
      </c>
    </row>
    <row r="38" spans="1:21" ht="15.75">
      <c r="A38" s="619" t="s">
        <v>470</v>
      </c>
      <c r="B38" s="617" t="s">
        <v>562</v>
      </c>
      <c r="C38" s="619"/>
      <c r="D38" s="1651">
        <v>0</v>
      </c>
      <c r="E38" s="1183" t="str">
        <f t="shared" si="0"/>
        <v>–</v>
      </c>
      <c r="F38" s="1651">
        <v>0</v>
      </c>
      <c r="G38" s="1183" t="str">
        <f t="shared" si="1"/>
        <v>–</v>
      </c>
      <c r="H38" s="1650">
        <f ca="1">(SUMIF('3 pr-3'!$L$7:$AC$700,A38,'3 pr-3'!$N$7:$N$700)+SUMIF('3 pr-3'!$AF$7:$AF$700,A38,'3 pr-3'!$AH$7:$AH$700)+SUMIF('3 pr-3'!$AZ$7:$AZ$700,A38,'3 pr-3'!$BB$7:$BB$700)+SUMIF('3 pr-3'!$BT$7:$BT$700,A38,'3 pr-3'!$BV$7:$BV$700)+SUMIF('3 pr-3'!$CN$7:$CN$700,A38,'3 pr-3'!$CP$7:$CP$700))+F38</f>
        <v>0</v>
      </c>
      <c r="I38" s="594" t="str">
        <f t="shared" ca="1" si="2"/>
        <v>–</v>
      </c>
      <c r="J38" s="1650">
        <f ca="1">(SUMIF('3 pr-3'!$L$7:$AC$700,$A38,'3 pr-3'!$O$7:$O$700)+SUMIF('3 pr-3'!$AF$7:$AF$700,$A38,'3 pr-3'!$AI$7:$AI$700)+SUMIF('3 pr-3'!$AZ$7:$AZ$700,$A38,'3 pr-3'!$BC$7:$BC$700)+SUMIF('3 pr-3'!$BT$7:$BT$700,$A38,'3 pr-3'!$BW$7:$BW$700)+SUMIF('3 pr-3'!$CN$7:$CN$700,$A38,'3 pr-3'!$CQ$7:$CQ$700))+H38</f>
        <v>13.479999999999999</v>
      </c>
      <c r="K38" s="1183">
        <f t="shared" ca="1" si="3"/>
        <v>13.479999999999999</v>
      </c>
      <c r="L38" s="1650">
        <f ca="1">(SUMIF('3 pr-3'!$L$7:$AC$700,$A38,'3 pr-3'!$P$7:$P$700)+SUMIF('3 pr-3'!$AF$7:$AF$700,$A38,'3 pr-3'!$AJ$7:$AJ$700)+SUMIF('3 pr-3'!$AZ$7:$AZ$700,$A38,'3 pr-3'!$BD$7:$BD$700)+SUMIF('3 pr-3'!$BT$7:$BT$700,$A38,'3 pr-3'!$BX$7:$BX$700)+SUMIF('3 pr-3'!$CN$7:$CN$700,$A38,'3 pr-3'!$CR$7:$CR$700))+J38</f>
        <v>15.139999999999999</v>
      </c>
      <c r="M38" s="1183">
        <f t="shared" ca="1" si="4"/>
        <v>15.139999999999999</v>
      </c>
      <c r="N38" s="1650">
        <f ca="1">(SUMIF('3 pr-3'!$L$7:$AC$700,$A38,'3 pr-3'!$Q$7:$Q$700)+SUMIF('3 pr-3'!$AF$7:$AF$700,$A38,'3 pr-3'!$AK$7:$AK$700)+SUMIF('3 pr-3'!$AZ$7:$AZ$700,$A38,'3 pr-3'!$BE$7:$BE$700)+SUMIF('3 pr-3'!$BT$7:$BT$700,$A38,'3 pr-3'!$BY$7:$BY$700)+SUMIF('3 pr-3'!$CN$7:$CN$700,$A38,'3 pr-3'!$CS$7:$CS$700))+L38</f>
        <v>15.139999999999999</v>
      </c>
      <c r="O38" s="1183">
        <f t="shared" ca="1" si="5"/>
        <v>15.139999999999999</v>
      </c>
      <c r="P38" s="1650">
        <f ca="1">(SUMIF('3 pr-3'!$L$7:$AC$700,$A38,'3 pr-3'!$R$7:$R$700)+SUMIF('3 pr-3'!$AF$7:$AF$700,$A38,'3 pr-3'!$AL$7:$AL$700)+SUMIF('3 pr-3'!$AZ$7:$AZ$700,$A38,'3 pr-3'!$BF$7:$BF$700)+SUMIF('3 pr-3'!$BT$7:$BT$700,$A38,'3 pr-3'!$BZ$7:$BZ$700)+SUMIF('3 pr-3'!$CN$7:$CN$700,$A38,'3 pr-3'!$CT$7:$CT$700))+N38</f>
        <v>15.139999999999999</v>
      </c>
      <c r="Q38" s="1183">
        <f t="shared" ca="1" si="6"/>
        <v>15.139999999999999</v>
      </c>
      <c r="R38" s="1650">
        <f ca="1">(SUMIF('3 pr-3'!$L$7:$AC$700,$A38,'3 pr-3'!$S$7:$S$700)+SUMIF('3 pr-3'!$AF$7:$AF$700,$A38,'3 pr-3'!$AM$7:$AM$700)+SUMIF('3 pr-3'!$AZ$7:$AZ$700,$A38,'3 pr-3'!$BG$7:$BG$700)+SUMIF('3 pr-3'!$BT$7:$BT$700,$A38,'3 pr-3'!$CA$7:$CA$700)+SUMIF('3 pr-3'!$CN$7:$CN$700,$A38,'3 pr-3'!$CU$7:$CU$700))+P38</f>
        <v>15.139999999999999</v>
      </c>
      <c r="S38" s="1183">
        <f t="shared" ca="1" si="7"/>
        <v>15.139999999999999</v>
      </c>
      <c r="T38" s="1650">
        <f ca="1">(SUMIF('3 pr-3'!$L$7:$AC$700,$A38,'3 pr-3'!$T$7:$T$700)+SUMIF('3 pr-3'!$AF$7:$AF$700,$A38,'3 pr-3'!$AN$7:$AN$700)+SUMIF('3 pr-3'!$AZ$7:$AZ$700,$A38,'3 pr-3'!$BH$7:$BH$700)+SUMIF('3 pr-3'!$BT$7:$BT$700,$A38,'3 pr-3'!$CB$7:$CB$700)+SUMIF('3 pr-3'!$CN$7:$CN$700,$A38,'3 pr-3'!$CV$7:$CV$700))+R38</f>
        <v>15.139999999999999</v>
      </c>
      <c r="U38" s="1183">
        <f t="shared" ca="1" si="8"/>
        <v>15.139999999999999</v>
      </c>
    </row>
    <row r="39" spans="1:21" ht="15.75">
      <c r="A39" s="619" t="s">
        <v>485</v>
      </c>
      <c r="B39" s="617" t="s">
        <v>486</v>
      </c>
      <c r="C39" s="619"/>
      <c r="D39" s="1651">
        <v>0</v>
      </c>
      <c r="E39" s="1183" t="str">
        <f t="shared" si="0"/>
        <v>–</v>
      </c>
      <c r="F39" s="1651">
        <v>0</v>
      </c>
      <c r="G39" s="1183" t="str">
        <f t="shared" si="1"/>
        <v>–</v>
      </c>
      <c r="H39" s="1650">
        <f ca="1">(SUMIF('3 pr-3'!$L$7:$AC$700,A39,'3 pr-3'!$N$7:$N$700)+SUMIF('3 pr-3'!$AF$7:$AF$700,A39,'3 pr-3'!$AH$7:$AH$700)+SUMIF('3 pr-3'!$AZ$7:$AZ$700,A39,'3 pr-3'!$BB$7:$BB$700)+SUMIF('3 pr-3'!$BT$7:$BT$700,A39,'3 pr-3'!$BV$7:$BV$700)+SUMIF('3 pr-3'!$CN$7:$CN$700,A39,'3 pr-3'!$CP$7:$CP$700))+F39</f>
        <v>0</v>
      </c>
      <c r="I39" s="594" t="str">
        <f t="shared" ca="1" si="2"/>
        <v>–</v>
      </c>
      <c r="J39" s="1650">
        <f ca="1">(SUMIF('3 pr-3'!$L$7:$AC$700,$A39,'3 pr-3'!$O$7:$O$700)+SUMIF('3 pr-3'!$AF$7:$AF$700,$A39,'3 pr-3'!$AI$7:$AI$700)+SUMIF('3 pr-3'!$AZ$7:$AZ$700,$A39,'3 pr-3'!$BC$7:$BC$700)+SUMIF('3 pr-3'!$BT$7:$BT$700,$A39,'3 pr-3'!$BW$7:$BW$700)+SUMIF('3 pr-3'!$CN$7:$CN$700,$A39,'3 pr-3'!$CQ$7:$CQ$700))+H39</f>
        <v>0</v>
      </c>
      <c r="K39" s="1183" t="str">
        <f t="shared" ca="1" si="3"/>
        <v>–</v>
      </c>
      <c r="L39" s="1650">
        <f ca="1">(SUMIF('3 pr-3'!$L$7:$AC$700,$A39,'3 pr-3'!$P$7:$P$700)+SUMIF('3 pr-3'!$AF$7:$AF$700,$A39,'3 pr-3'!$AJ$7:$AJ$700)+SUMIF('3 pr-3'!$AZ$7:$AZ$700,$A39,'3 pr-3'!$BD$7:$BD$700)+SUMIF('3 pr-3'!$BT$7:$BT$700,$A39,'3 pr-3'!$BX$7:$BX$700)+SUMIF('3 pr-3'!$CN$7:$CN$700,$A39,'3 pr-3'!$CR$7:$CR$700))+J39</f>
        <v>0</v>
      </c>
      <c r="M39" s="1183" t="str">
        <f t="shared" ca="1" si="4"/>
        <v>–</v>
      </c>
      <c r="N39" s="1650">
        <f ca="1">(SUMIF('3 pr-3'!$L$7:$AC$700,$A39,'3 pr-3'!$Q$7:$Q$700)+SUMIF('3 pr-3'!$AF$7:$AF$700,$A39,'3 pr-3'!$AK$7:$AK$700)+SUMIF('3 pr-3'!$AZ$7:$AZ$700,$A39,'3 pr-3'!$BE$7:$BE$700)+SUMIF('3 pr-3'!$BT$7:$BT$700,$A39,'3 pr-3'!$BY$7:$BY$700)+SUMIF('3 pr-3'!$CN$7:$CN$700,$A39,'3 pr-3'!$CS$7:$CS$700))+L39</f>
        <v>0</v>
      </c>
      <c r="O39" s="1183" t="str">
        <f t="shared" ca="1" si="5"/>
        <v>–</v>
      </c>
      <c r="P39" s="1650">
        <f ca="1">(SUMIF('3 pr-3'!$L$7:$AC$700,$A39,'3 pr-3'!$R$7:$R$700)+SUMIF('3 pr-3'!$AF$7:$AF$700,$A39,'3 pr-3'!$AL$7:$AL$700)+SUMIF('3 pr-3'!$AZ$7:$AZ$700,$A39,'3 pr-3'!$BF$7:$BF$700)+SUMIF('3 pr-3'!$BT$7:$BT$700,$A39,'3 pr-3'!$BZ$7:$BZ$700)+SUMIF('3 pr-3'!$CN$7:$CN$700,$A39,'3 pr-3'!$CT$7:$CT$700))+N39</f>
        <v>0</v>
      </c>
      <c r="Q39" s="1183" t="str">
        <f t="shared" ca="1" si="6"/>
        <v>–</v>
      </c>
      <c r="R39" s="1650">
        <f ca="1">(SUMIF('3 pr-3'!$L$7:$AC$700,$A39,'3 pr-3'!$S$7:$S$700)+SUMIF('3 pr-3'!$AF$7:$AF$700,$A39,'3 pr-3'!$AM$7:$AM$700)+SUMIF('3 pr-3'!$AZ$7:$AZ$700,$A39,'3 pr-3'!$BG$7:$BG$700)+SUMIF('3 pr-3'!$BT$7:$BT$700,$A39,'3 pr-3'!$CA$7:$CA$700)+SUMIF('3 pr-3'!$CN$7:$CN$700,$A39,'3 pr-3'!$CU$7:$CU$700))+P39</f>
        <v>0</v>
      </c>
      <c r="S39" s="1183" t="str">
        <f t="shared" ca="1" si="7"/>
        <v>–</v>
      </c>
      <c r="T39" s="1650">
        <f ca="1">(SUMIF('3 pr-3'!$L$7:$AC$700,$A39,'3 pr-3'!$T$7:$T$700)+SUMIF('3 pr-3'!$AF$7:$AF$700,$A39,'3 pr-3'!$AN$7:$AN$700)+SUMIF('3 pr-3'!$AZ$7:$AZ$700,$A39,'3 pr-3'!$BH$7:$BH$700)+SUMIF('3 pr-3'!$BT$7:$BT$700,$A39,'3 pr-3'!$CB$7:$CB$700)+SUMIF('3 pr-3'!$CN$7:$CN$700,$A39,'3 pr-3'!$CV$7:$CV$700))+R39</f>
        <v>0</v>
      </c>
      <c r="U39" s="1183" t="str">
        <f t="shared" ca="1" si="8"/>
        <v>–</v>
      </c>
    </row>
    <row r="40" spans="1:21" ht="15.75">
      <c r="A40" s="619" t="s">
        <v>534</v>
      </c>
      <c r="B40" s="617" t="s">
        <v>563</v>
      </c>
      <c r="C40" s="619"/>
      <c r="D40" s="1651">
        <v>0</v>
      </c>
      <c r="E40" s="1183" t="str">
        <f t="shared" si="0"/>
        <v>–</v>
      </c>
      <c r="F40" s="1651">
        <v>0</v>
      </c>
      <c r="G40" s="1183" t="str">
        <f t="shared" si="1"/>
        <v>–</v>
      </c>
      <c r="H40" s="1650">
        <f ca="1">(SUMIF('3 pr-3'!$L$7:$AC$700,A40,'3 pr-3'!$N$7:$N$700)+SUMIF('3 pr-3'!$AF$7:$AF$700,A40,'3 pr-3'!$AH$7:$AH$700)+SUMIF('3 pr-3'!$AZ$7:$AZ$700,A40,'3 pr-3'!$BB$7:$BB$700)+SUMIF('3 pr-3'!$BT$7:$BT$700,A40,'3 pr-3'!$BV$7:$BV$700)+SUMIF('3 pr-3'!$CN$7:$CN$700,A40,'3 pr-3'!$CP$7:$CP$700))+F40</f>
        <v>0</v>
      </c>
      <c r="I40" s="594" t="str">
        <f t="shared" ca="1" si="2"/>
        <v>–</v>
      </c>
      <c r="J40" s="1650">
        <f ca="1">(SUMIF('3 pr-3'!$L$7:$AC$700,$A40,'3 pr-3'!$O$7:$O$700)+SUMIF('3 pr-3'!$AF$7:$AF$700,$A40,'3 pr-3'!$AI$7:$AI$700)+SUMIF('3 pr-3'!$AZ$7:$AZ$700,$A40,'3 pr-3'!$BC$7:$BC$700)+SUMIF('3 pr-3'!$BT$7:$BT$700,$A40,'3 pr-3'!$BW$7:$BW$700)+SUMIF('3 pr-3'!$CN$7:$CN$700,$A40,'3 pr-3'!$CQ$7:$CQ$700))+H40</f>
        <v>0</v>
      </c>
      <c r="K40" s="1183" t="str">
        <f t="shared" ca="1" si="3"/>
        <v>–</v>
      </c>
      <c r="L40" s="1650">
        <f ca="1">(SUMIF('3 pr-3'!$L$7:$AC$700,$A40,'3 pr-3'!$P$7:$P$700)+SUMIF('3 pr-3'!$AF$7:$AF$700,$A40,'3 pr-3'!$AJ$7:$AJ$700)+SUMIF('3 pr-3'!$AZ$7:$AZ$700,$A40,'3 pr-3'!$BD$7:$BD$700)+SUMIF('3 pr-3'!$BT$7:$BT$700,$A40,'3 pr-3'!$BX$7:$BX$700)+SUMIF('3 pr-3'!$CN$7:$CN$700,$A40,'3 pr-3'!$CR$7:$CR$700))+J40</f>
        <v>0</v>
      </c>
      <c r="M40" s="1183" t="str">
        <f t="shared" ca="1" si="4"/>
        <v>–</v>
      </c>
      <c r="N40" s="1650">
        <f ca="1">(SUMIF('3 pr-3'!$L$7:$AC$700,$A40,'3 pr-3'!$Q$7:$Q$700)+SUMIF('3 pr-3'!$AF$7:$AF$700,$A40,'3 pr-3'!$AK$7:$AK$700)+SUMIF('3 pr-3'!$AZ$7:$AZ$700,$A40,'3 pr-3'!$BE$7:$BE$700)+SUMIF('3 pr-3'!$BT$7:$BT$700,$A40,'3 pr-3'!$BY$7:$BY$700)+SUMIF('3 pr-3'!$CN$7:$CN$700,$A40,'3 pr-3'!$CS$7:$CS$700))+L40</f>
        <v>0</v>
      </c>
      <c r="O40" s="1183" t="str">
        <f t="shared" ca="1" si="5"/>
        <v>–</v>
      </c>
      <c r="P40" s="1650">
        <f ca="1">(SUMIF('3 pr-3'!$L$7:$AC$700,$A40,'3 pr-3'!$R$7:$R$700)+SUMIF('3 pr-3'!$AF$7:$AF$700,$A40,'3 pr-3'!$AL$7:$AL$700)+SUMIF('3 pr-3'!$AZ$7:$AZ$700,$A40,'3 pr-3'!$BF$7:$BF$700)+SUMIF('3 pr-3'!$BT$7:$BT$700,$A40,'3 pr-3'!$BZ$7:$BZ$700)+SUMIF('3 pr-3'!$CN$7:$CN$700,$A40,'3 pr-3'!$CT$7:$CT$700))+N40</f>
        <v>0</v>
      </c>
      <c r="Q40" s="1183" t="str">
        <f t="shared" ca="1" si="6"/>
        <v>–</v>
      </c>
      <c r="R40" s="1650">
        <f ca="1">(SUMIF('3 pr-3'!$L$7:$AC$700,$A40,'3 pr-3'!$S$7:$S$700)+SUMIF('3 pr-3'!$AF$7:$AF$700,$A40,'3 pr-3'!$AM$7:$AM$700)+SUMIF('3 pr-3'!$AZ$7:$AZ$700,$A40,'3 pr-3'!$BG$7:$BG$700)+SUMIF('3 pr-3'!$BT$7:$BT$700,$A40,'3 pr-3'!$CA$7:$CA$700)+SUMIF('3 pr-3'!$CN$7:$CN$700,$A40,'3 pr-3'!$CU$7:$CU$700))+P40</f>
        <v>0</v>
      </c>
      <c r="S40" s="1183" t="str">
        <f t="shared" ca="1" si="7"/>
        <v>–</v>
      </c>
      <c r="T40" s="1650">
        <f ca="1">(SUMIF('3 pr-3'!$L$7:$AC$700,$A40,'3 pr-3'!$T$7:$T$700)+SUMIF('3 pr-3'!$AF$7:$AF$700,$A40,'3 pr-3'!$AN$7:$AN$700)+SUMIF('3 pr-3'!$AZ$7:$AZ$700,$A40,'3 pr-3'!$BH$7:$BH$700)+SUMIF('3 pr-3'!$BT$7:$BT$700,$A40,'3 pr-3'!$CB$7:$CB$700)+SUMIF('3 pr-3'!$CN$7:$CN$700,$A40,'3 pr-3'!$CV$7:$CV$700))+R40</f>
        <v>0</v>
      </c>
      <c r="U40" s="1183" t="str">
        <f t="shared" ca="1" si="8"/>
        <v>–</v>
      </c>
    </row>
    <row r="41" spans="1:21" ht="15.75">
      <c r="A41" s="619" t="s">
        <v>500</v>
      </c>
      <c r="B41" s="617" t="s">
        <v>501</v>
      </c>
      <c r="C41" s="619"/>
      <c r="D41" s="1651">
        <v>0</v>
      </c>
      <c r="E41" s="1183" t="str">
        <f t="shared" si="0"/>
        <v>–</v>
      </c>
      <c r="F41" s="1651">
        <v>0</v>
      </c>
      <c r="G41" s="1183" t="str">
        <f t="shared" si="1"/>
        <v>–</v>
      </c>
      <c r="H41" s="1650">
        <f ca="1">(SUMIF('3 pr-3'!$L$7:$AC$700,A41,'3 pr-3'!$N$7:$N$700)+SUMIF('3 pr-3'!$AF$7:$AF$700,A41,'3 pr-3'!$AH$7:$AH$700)+SUMIF('3 pr-3'!$AZ$7:$AZ$700,A41,'3 pr-3'!$BB$7:$BB$700)+SUMIF('3 pr-3'!$BT$7:$BT$700,A41,'3 pr-3'!$BV$7:$BV$700)+SUMIF('3 pr-3'!$CN$7:$CN$700,A41,'3 pr-3'!$CP$7:$CP$700))+F41</f>
        <v>0</v>
      </c>
      <c r="I41" s="594" t="str">
        <f t="shared" ca="1" si="2"/>
        <v>–</v>
      </c>
      <c r="J41" s="1650">
        <f ca="1">(SUMIF('3 pr-3'!$L$7:$AC$700,$A41,'3 pr-3'!$O$7:$O$700)+SUMIF('3 pr-3'!$AF$7:$AF$700,$A41,'3 pr-3'!$AI$7:$AI$700)+SUMIF('3 pr-3'!$AZ$7:$AZ$700,$A41,'3 pr-3'!$BC$7:$BC$700)+SUMIF('3 pr-3'!$BT$7:$BT$700,$A41,'3 pr-3'!$BW$7:$BW$700)+SUMIF('3 pr-3'!$CN$7:$CN$700,$A41,'3 pr-3'!$CQ$7:$CQ$700))+H41</f>
        <v>0</v>
      </c>
      <c r="K41" s="1183" t="str">
        <f t="shared" ca="1" si="3"/>
        <v>–</v>
      </c>
      <c r="L41" s="1650">
        <f ca="1">(SUMIF('3 pr-3'!$L$7:$AC$700,$A41,'3 pr-3'!$P$7:$P$700)+SUMIF('3 pr-3'!$AF$7:$AF$700,$A41,'3 pr-3'!$AJ$7:$AJ$700)+SUMIF('3 pr-3'!$AZ$7:$AZ$700,$A41,'3 pr-3'!$BD$7:$BD$700)+SUMIF('3 pr-3'!$BT$7:$BT$700,$A41,'3 pr-3'!$BX$7:$BX$700)+SUMIF('3 pr-3'!$CN$7:$CN$700,$A41,'3 pr-3'!$CR$7:$CR$700))+J41</f>
        <v>0</v>
      </c>
      <c r="M41" s="1183" t="str">
        <f t="shared" ca="1" si="4"/>
        <v>–</v>
      </c>
      <c r="N41" s="1650">
        <f ca="1">(SUMIF('3 pr-3'!$L$7:$AC$700,$A41,'3 pr-3'!$Q$7:$Q$700)+SUMIF('3 pr-3'!$AF$7:$AF$700,$A41,'3 pr-3'!$AK$7:$AK$700)+SUMIF('3 pr-3'!$AZ$7:$AZ$700,$A41,'3 pr-3'!$BE$7:$BE$700)+SUMIF('3 pr-3'!$BT$7:$BT$700,$A41,'3 pr-3'!$BY$7:$BY$700)+SUMIF('3 pr-3'!$CN$7:$CN$700,$A41,'3 pr-3'!$CS$7:$CS$700))+L41</f>
        <v>0</v>
      </c>
      <c r="O41" s="1183" t="str">
        <f t="shared" ca="1" si="5"/>
        <v>–</v>
      </c>
      <c r="P41" s="1650">
        <f ca="1">(SUMIF('3 pr-3'!$L$7:$AC$700,$A41,'3 pr-3'!$R$7:$R$700)+SUMIF('3 pr-3'!$AF$7:$AF$700,$A41,'3 pr-3'!$AL$7:$AL$700)+SUMIF('3 pr-3'!$AZ$7:$AZ$700,$A41,'3 pr-3'!$BF$7:$BF$700)+SUMIF('3 pr-3'!$BT$7:$BT$700,$A41,'3 pr-3'!$BZ$7:$BZ$700)+SUMIF('3 pr-3'!$CN$7:$CN$700,$A41,'3 pr-3'!$CT$7:$CT$700))+N41</f>
        <v>0</v>
      </c>
      <c r="Q41" s="1183" t="str">
        <f t="shared" ca="1" si="6"/>
        <v>–</v>
      </c>
      <c r="R41" s="1650">
        <f ca="1">(SUMIF('3 pr-3'!$L$7:$AC$700,$A41,'3 pr-3'!$S$7:$S$700)+SUMIF('3 pr-3'!$AF$7:$AF$700,$A41,'3 pr-3'!$AM$7:$AM$700)+SUMIF('3 pr-3'!$AZ$7:$AZ$700,$A41,'3 pr-3'!$BG$7:$BG$700)+SUMIF('3 pr-3'!$BT$7:$BT$700,$A41,'3 pr-3'!$CA$7:$CA$700)+SUMIF('3 pr-3'!$CN$7:$CN$700,$A41,'3 pr-3'!$CU$7:$CU$700))+P41</f>
        <v>0</v>
      </c>
      <c r="S41" s="1183" t="str">
        <f t="shared" ca="1" si="7"/>
        <v>–</v>
      </c>
      <c r="T41" s="1650">
        <f ca="1">(SUMIF('3 pr-3'!$L$7:$AC$700,$A41,'3 pr-3'!$T$7:$T$700)+SUMIF('3 pr-3'!$AF$7:$AF$700,$A41,'3 pr-3'!$AN$7:$AN$700)+SUMIF('3 pr-3'!$AZ$7:$AZ$700,$A41,'3 pr-3'!$BH$7:$BH$700)+SUMIF('3 pr-3'!$BT$7:$BT$700,$A41,'3 pr-3'!$CB$7:$CB$700)+SUMIF('3 pr-3'!$CN$7:$CN$700,$A41,'3 pr-3'!$CV$7:$CV$700))+R41</f>
        <v>0</v>
      </c>
      <c r="U41" s="1183" t="str">
        <f t="shared" ca="1" si="8"/>
        <v>–</v>
      </c>
    </row>
    <row r="42" spans="1:21" ht="15.75">
      <c r="A42" s="619" t="s">
        <v>515</v>
      </c>
      <c r="B42" s="617" t="s">
        <v>564</v>
      </c>
      <c r="C42" s="619"/>
      <c r="D42" s="1651">
        <v>0</v>
      </c>
      <c r="E42" s="1183" t="str">
        <f t="shared" si="0"/>
        <v>–</v>
      </c>
      <c r="F42" s="1651">
        <v>0</v>
      </c>
      <c r="G42" s="1183" t="str">
        <f t="shared" si="1"/>
        <v>–</v>
      </c>
      <c r="H42" s="1650">
        <f ca="1">(SUMIF('3 pr-3'!$L$7:$AC$700,A42,'3 pr-3'!$N$7:$N$700)+SUMIF('3 pr-3'!$AF$7:$AF$700,A42,'3 pr-3'!$AH$7:$AH$700)+SUMIF('3 pr-3'!$AZ$7:$AZ$700,A42,'3 pr-3'!$BB$7:$BB$700)+SUMIF('3 pr-3'!$BT$7:$BT$700,A42,'3 pr-3'!$BV$7:$BV$700)+SUMIF('3 pr-3'!$CN$7:$CN$700,A42,'3 pr-3'!$CP$7:$CP$700))+F42</f>
        <v>0</v>
      </c>
      <c r="I42" s="594" t="str">
        <f t="shared" ca="1" si="2"/>
        <v>–</v>
      </c>
      <c r="J42" s="1650">
        <f ca="1">(SUMIF('3 pr-3'!$L$7:$AC$700,$A42,'3 pr-3'!$O$7:$O$700)+SUMIF('3 pr-3'!$AF$7:$AF$700,$A42,'3 pr-3'!$AI$7:$AI$700)+SUMIF('3 pr-3'!$AZ$7:$AZ$700,$A42,'3 pr-3'!$BC$7:$BC$700)+SUMIF('3 pr-3'!$BT$7:$BT$700,$A42,'3 pr-3'!$BW$7:$BW$700)+SUMIF('3 pr-3'!$CN$7:$CN$700,$A42,'3 pr-3'!$CQ$7:$CQ$700))+H42</f>
        <v>2</v>
      </c>
      <c r="K42" s="1183">
        <f t="shared" ca="1" si="3"/>
        <v>2</v>
      </c>
      <c r="L42" s="1650">
        <f ca="1">(SUMIF('3 pr-3'!$L$7:$AC$700,$A42,'3 pr-3'!$P$7:$P$700)+SUMIF('3 pr-3'!$AF$7:$AF$700,$A42,'3 pr-3'!$AJ$7:$AJ$700)+SUMIF('3 pr-3'!$AZ$7:$AZ$700,$A42,'3 pr-3'!$BD$7:$BD$700)+SUMIF('3 pr-3'!$BT$7:$BT$700,$A42,'3 pr-3'!$BX$7:$BX$700)+SUMIF('3 pr-3'!$CN$7:$CN$700,$A42,'3 pr-3'!$CR$7:$CR$700))+J42</f>
        <v>2</v>
      </c>
      <c r="M42" s="1183">
        <f t="shared" ca="1" si="4"/>
        <v>2</v>
      </c>
      <c r="N42" s="1650">
        <f ca="1">(SUMIF('3 pr-3'!$L$7:$AC$700,$A42,'3 pr-3'!$Q$7:$Q$700)+SUMIF('3 pr-3'!$AF$7:$AF$700,$A42,'3 pr-3'!$AK$7:$AK$700)+SUMIF('3 pr-3'!$AZ$7:$AZ$700,$A42,'3 pr-3'!$BE$7:$BE$700)+SUMIF('3 pr-3'!$BT$7:$BT$700,$A42,'3 pr-3'!$BY$7:$BY$700)+SUMIF('3 pr-3'!$CN$7:$CN$700,$A42,'3 pr-3'!$CS$7:$CS$700))+L42</f>
        <v>2</v>
      </c>
      <c r="O42" s="1183">
        <f t="shared" ca="1" si="5"/>
        <v>2</v>
      </c>
      <c r="P42" s="1650">
        <f ca="1">(SUMIF('3 pr-3'!$L$7:$AC$700,$A42,'3 pr-3'!$R$7:$R$700)+SUMIF('3 pr-3'!$AF$7:$AF$700,$A42,'3 pr-3'!$AL$7:$AL$700)+SUMIF('3 pr-3'!$AZ$7:$AZ$700,$A42,'3 pr-3'!$BF$7:$BF$700)+SUMIF('3 pr-3'!$BT$7:$BT$700,$A42,'3 pr-3'!$BZ$7:$BZ$700)+SUMIF('3 pr-3'!$CN$7:$CN$700,$A42,'3 pr-3'!$CT$7:$CT$700))+N42</f>
        <v>2</v>
      </c>
      <c r="Q42" s="1183">
        <f t="shared" ca="1" si="6"/>
        <v>2</v>
      </c>
      <c r="R42" s="1650">
        <f ca="1">(SUMIF('3 pr-3'!$L$7:$AC$700,$A42,'3 pr-3'!$S$7:$S$700)+SUMIF('3 pr-3'!$AF$7:$AF$700,$A42,'3 pr-3'!$AM$7:$AM$700)+SUMIF('3 pr-3'!$AZ$7:$AZ$700,$A42,'3 pr-3'!$BG$7:$BG$700)+SUMIF('3 pr-3'!$BT$7:$BT$700,$A42,'3 pr-3'!$CA$7:$CA$700)+SUMIF('3 pr-3'!$CN$7:$CN$700,$A42,'3 pr-3'!$CU$7:$CU$700))+P42</f>
        <v>2</v>
      </c>
      <c r="S42" s="1183">
        <f t="shared" ca="1" si="7"/>
        <v>2</v>
      </c>
      <c r="T42" s="1650">
        <f ca="1">(SUMIF('3 pr-3'!$L$7:$AC$700,$A42,'3 pr-3'!$T$7:$T$700)+SUMIF('3 pr-3'!$AF$7:$AF$700,$A42,'3 pr-3'!$AN$7:$AN$700)+SUMIF('3 pr-3'!$AZ$7:$AZ$700,$A42,'3 pr-3'!$BH$7:$BH$700)+SUMIF('3 pr-3'!$BT$7:$BT$700,$A42,'3 pr-3'!$CB$7:$CB$700)+SUMIF('3 pr-3'!$CN$7:$CN$700,$A42,'3 pr-3'!$CV$7:$CV$700))+R42</f>
        <v>2</v>
      </c>
      <c r="U42" s="1183">
        <f t="shared" ca="1" si="8"/>
        <v>2</v>
      </c>
    </row>
    <row r="43" spans="1:21" s="998" customFormat="1" ht="15.75">
      <c r="A43" s="615" t="s">
        <v>518</v>
      </c>
      <c r="B43" s="616" t="s">
        <v>565</v>
      </c>
      <c r="C43" s="615"/>
      <c r="D43" s="1651">
        <v>0</v>
      </c>
      <c r="E43" s="1183" t="str">
        <f t="shared" si="0"/>
        <v>–</v>
      </c>
      <c r="F43" s="1651">
        <v>0</v>
      </c>
      <c r="G43" s="1183" t="str">
        <f t="shared" si="1"/>
        <v>–</v>
      </c>
      <c r="H43" s="1650">
        <f ca="1">(SUMIF('3 pr-3'!$L$7:$AC$700,A43,'3 pr-3'!$N$7:$N$700)+SUMIF('3 pr-3'!$AF$7:$AF$700,A43,'3 pr-3'!$AH$7:$AH$700)+SUMIF('3 pr-3'!$AZ$7:$AZ$700,A43,'3 pr-3'!$BB$7:$BB$700)+SUMIF('3 pr-3'!$BT$7:$BT$700,A43,'3 pr-3'!$BV$7:$BV$700)+SUMIF('3 pr-3'!$CN$7:$CN$700,A43,'3 pr-3'!$CP$7:$CP$700))+F43</f>
        <v>31</v>
      </c>
      <c r="I43" s="615">
        <f t="shared" ca="1" si="2"/>
        <v>31</v>
      </c>
      <c r="J43" s="1650">
        <f ca="1">(SUMIF('3 pr-3'!$L$7:$AC$700,$A43,'3 pr-3'!$O$7:$O$700)+SUMIF('3 pr-3'!$AF$7:$AF$700,$A43,'3 pr-3'!$AI$7:$AI$700)+SUMIF('3 pr-3'!$AZ$7:$AZ$700,$A43,'3 pr-3'!$BC$7:$BC$700)+SUMIF('3 pr-3'!$BT$7:$BT$700,$A43,'3 pr-3'!$BW$7:$BW$700)+SUMIF('3 pr-3'!$CN$7:$CN$700,$A43,'3 pr-3'!$CQ$7:$CQ$700))+H43</f>
        <v>71</v>
      </c>
      <c r="K43" s="1183">
        <f t="shared" ca="1" si="3"/>
        <v>71</v>
      </c>
      <c r="L43" s="1650">
        <f ca="1">(SUMIF('3 pr-3'!$L$7:$AC$700,$A43,'3 pr-3'!$P$7:$P$700)+SUMIF('3 pr-3'!$AF$7:$AF$700,$A43,'3 pr-3'!$AJ$7:$AJ$700)+SUMIF('3 pr-3'!$AZ$7:$AZ$700,$A43,'3 pr-3'!$BD$7:$BD$700)+SUMIF('3 pr-3'!$BT$7:$BT$700,$A43,'3 pr-3'!$BX$7:$BX$700)+SUMIF('3 pr-3'!$CN$7:$CN$700,$A43,'3 pr-3'!$CR$7:$CR$700))+J43</f>
        <v>81</v>
      </c>
      <c r="M43" s="1183">
        <f t="shared" ca="1" si="4"/>
        <v>81</v>
      </c>
      <c r="N43" s="1650">
        <f ca="1">(SUMIF('3 pr-3'!$L$7:$AC$700,$A43,'3 pr-3'!$Q$7:$Q$700)+SUMIF('3 pr-3'!$AF$7:$AF$700,$A43,'3 pr-3'!$AK$7:$AK$700)+SUMIF('3 pr-3'!$AZ$7:$AZ$700,$A43,'3 pr-3'!$BE$7:$BE$700)+SUMIF('3 pr-3'!$BT$7:$BT$700,$A43,'3 pr-3'!$BY$7:$BY$700)+SUMIF('3 pr-3'!$CN$7:$CN$700,$A43,'3 pr-3'!$CS$7:$CS$700))+L43</f>
        <v>81</v>
      </c>
      <c r="O43" s="1183">
        <f t="shared" ca="1" si="5"/>
        <v>81</v>
      </c>
      <c r="P43" s="1650">
        <f ca="1">(SUMIF('3 pr-3'!$L$7:$AC$700,$A43,'3 pr-3'!$R$7:$R$700)+SUMIF('3 pr-3'!$AF$7:$AF$700,$A43,'3 pr-3'!$AL$7:$AL$700)+SUMIF('3 pr-3'!$AZ$7:$AZ$700,$A43,'3 pr-3'!$BF$7:$BF$700)+SUMIF('3 pr-3'!$BT$7:$BT$700,$A43,'3 pr-3'!$BZ$7:$BZ$700)+SUMIF('3 pr-3'!$CN$7:$CN$700,$A43,'3 pr-3'!$CT$7:$CT$700))+N43</f>
        <v>81</v>
      </c>
      <c r="Q43" s="1183">
        <f t="shared" ca="1" si="6"/>
        <v>81</v>
      </c>
      <c r="R43" s="1650">
        <f ca="1">(SUMIF('3 pr-3'!$L$7:$AC$700,$A43,'3 pr-3'!$S$7:$S$700)+SUMIF('3 pr-3'!$AF$7:$AF$700,$A43,'3 pr-3'!$AM$7:$AM$700)+SUMIF('3 pr-3'!$AZ$7:$AZ$700,$A43,'3 pr-3'!$BG$7:$BG$700)+SUMIF('3 pr-3'!$BT$7:$BT$700,$A43,'3 pr-3'!$CA$7:$CA$700)+SUMIF('3 pr-3'!$CN$7:$CN$700,$A43,'3 pr-3'!$CU$7:$CU$700))+P43</f>
        <v>81</v>
      </c>
      <c r="S43" s="1183">
        <f t="shared" ca="1" si="7"/>
        <v>81</v>
      </c>
      <c r="T43" s="1650">
        <f ca="1">(SUMIF('3 pr-3'!$L$7:$AC$700,$A43,'3 pr-3'!$T$7:$T$700)+SUMIF('3 pr-3'!$AF$7:$AF$700,$A43,'3 pr-3'!$AN$7:$AN$700)+SUMIF('3 pr-3'!$AZ$7:$AZ$700,$A43,'3 pr-3'!$BH$7:$BH$700)+SUMIF('3 pr-3'!$BT$7:$BT$700,$A43,'3 pr-3'!$CB$7:$CB$700)+SUMIF('3 pr-3'!$CN$7:$CN$700,$A43,'3 pr-3'!$CV$7:$CV$700))+R43</f>
        <v>81</v>
      </c>
      <c r="U43" s="1183">
        <f t="shared" ca="1" si="8"/>
        <v>81</v>
      </c>
    </row>
    <row r="44" spans="1:21" s="998" customFormat="1" ht="31.5">
      <c r="A44" s="615" t="s">
        <v>1434</v>
      </c>
      <c r="B44" s="616" t="s">
        <v>1435</v>
      </c>
      <c r="C44" s="615"/>
      <c r="D44" s="1651">
        <v>0</v>
      </c>
      <c r="E44" s="1183" t="str">
        <f t="shared" si="0"/>
        <v>–</v>
      </c>
      <c r="F44" s="1651">
        <v>0</v>
      </c>
      <c r="G44" s="1183" t="str">
        <f t="shared" si="1"/>
        <v>–</v>
      </c>
      <c r="H44" s="1650">
        <f ca="1">(SUMIF('3 pr-3'!$L$7:$AC$700,A44,'3 pr-3'!$N$7:$N$700)+SUMIF('3 pr-3'!$AF$7:$AF$700,A44,'3 pr-3'!$AH$7:$AH$700)+SUMIF('3 pr-3'!$AZ$7:$AZ$700,A44,'3 pr-3'!$BB$7:$BB$700)+SUMIF('3 pr-3'!$BT$7:$BT$700,A44,'3 pr-3'!$BV$7:$BV$700)+SUMIF('3 pr-3'!$CN$7:$CN$700,A44,'3 pr-3'!$CP$7:$CP$700))+F44</f>
        <v>0</v>
      </c>
      <c r="I44" s="615" t="str">
        <f t="shared" ca="1" si="2"/>
        <v>–</v>
      </c>
      <c r="J44" s="1650">
        <f ca="1">(SUMIF('3 pr-3'!$L$7:$AC$700,$A44,'3 pr-3'!$O$7:$O$700)+SUMIF('3 pr-3'!$AF$7:$AF$700,$A44,'3 pr-3'!$AI$7:$AI$700)+SUMIF('3 pr-3'!$AZ$7:$AZ$700,$A44,'3 pr-3'!$BC$7:$BC$700)+SUMIF('3 pr-3'!$BT$7:$BT$700,$A44,'3 pr-3'!$BW$7:$BW$700)+SUMIF('3 pr-3'!$CN$7:$CN$700,$A44,'3 pr-3'!$CQ$7:$CQ$700))+H44</f>
        <v>0</v>
      </c>
      <c r="K44" s="1183" t="str">
        <f t="shared" ca="1" si="3"/>
        <v>–</v>
      </c>
      <c r="L44" s="1650">
        <f ca="1">(SUMIF('3 pr-3'!$L$7:$AC$700,$A44,'3 pr-3'!$P$7:$P$700)+SUMIF('3 pr-3'!$AF$7:$AF$700,$A44,'3 pr-3'!$AJ$7:$AJ$700)+SUMIF('3 pr-3'!$AZ$7:$AZ$700,$A44,'3 pr-3'!$BD$7:$BD$700)+SUMIF('3 pr-3'!$BT$7:$BT$700,$A44,'3 pr-3'!$BX$7:$BX$700)+SUMIF('3 pr-3'!$CN$7:$CN$700,$A44,'3 pr-3'!$CR$7:$CR$700))+J44</f>
        <v>0</v>
      </c>
      <c r="M44" s="1183" t="str">
        <f t="shared" ca="1" si="4"/>
        <v>–</v>
      </c>
      <c r="N44" s="1650">
        <f ca="1">(SUMIF('3 pr-3'!$L$7:$AC$700,$A44,'3 pr-3'!$Q$7:$Q$700)+SUMIF('3 pr-3'!$AF$7:$AF$700,$A44,'3 pr-3'!$AK$7:$AK$700)+SUMIF('3 pr-3'!$AZ$7:$AZ$700,$A44,'3 pr-3'!$BE$7:$BE$700)+SUMIF('3 pr-3'!$BT$7:$BT$700,$A44,'3 pr-3'!$BY$7:$BY$700)+SUMIF('3 pr-3'!$CN$7:$CN$700,$A44,'3 pr-3'!$CS$7:$CS$700))+L44</f>
        <v>0</v>
      </c>
      <c r="O44" s="1183" t="str">
        <f t="shared" ca="1" si="5"/>
        <v>–</v>
      </c>
      <c r="P44" s="1650">
        <f ca="1">(SUMIF('3 pr-3'!$L$7:$AC$700,$A44,'3 pr-3'!$R$7:$R$700)+SUMIF('3 pr-3'!$AF$7:$AF$700,$A44,'3 pr-3'!$AL$7:$AL$700)+SUMIF('3 pr-3'!$AZ$7:$AZ$700,$A44,'3 pr-3'!$BF$7:$BF$700)+SUMIF('3 pr-3'!$BT$7:$BT$700,$A44,'3 pr-3'!$BZ$7:$BZ$700)+SUMIF('3 pr-3'!$CN$7:$CN$700,$A44,'3 pr-3'!$CT$7:$CT$700))+N44</f>
        <v>0</v>
      </c>
      <c r="Q44" s="1183" t="str">
        <f t="shared" ca="1" si="6"/>
        <v>–</v>
      </c>
      <c r="R44" s="1650">
        <f ca="1">(SUMIF('3 pr-3'!$L$7:$AC$700,$A44,'3 pr-3'!$S$7:$S$700)+SUMIF('3 pr-3'!$AF$7:$AF$700,$A44,'3 pr-3'!$AM$7:$AM$700)+SUMIF('3 pr-3'!$AZ$7:$AZ$700,$A44,'3 pr-3'!$BG$7:$BG$700)+SUMIF('3 pr-3'!$BT$7:$BT$700,$A44,'3 pr-3'!$CA$7:$CA$700)+SUMIF('3 pr-3'!$CN$7:$CN$700,$A44,'3 pr-3'!$CU$7:$CU$700))+P44</f>
        <v>0</v>
      </c>
      <c r="S44" s="1183" t="str">
        <f t="shared" ca="1" si="7"/>
        <v>–</v>
      </c>
      <c r="T44" s="1650">
        <f ca="1">(SUMIF('3 pr-3'!$L$7:$AC$700,$A44,'3 pr-3'!$T$7:$T$700)+SUMIF('3 pr-3'!$AF$7:$AF$700,$A44,'3 pr-3'!$AN$7:$AN$700)+SUMIF('3 pr-3'!$AZ$7:$AZ$700,$A44,'3 pr-3'!$BH$7:$BH$700)+SUMIF('3 pr-3'!$BT$7:$BT$700,$A44,'3 pr-3'!$CB$7:$CB$700)+SUMIF('3 pr-3'!$CN$7:$CN$700,$A44,'3 pr-3'!$CV$7:$CV$700))+R44</f>
        <v>0</v>
      </c>
      <c r="U44" s="1183" t="str">
        <f t="shared" ca="1" si="8"/>
        <v>–</v>
      </c>
    </row>
    <row r="45" spans="1:21" ht="15.75">
      <c r="A45" s="619" t="s">
        <v>381</v>
      </c>
      <c r="B45" s="617" t="s">
        <v>780</v>
      </c>
      <c r="C45" s="619"/>
      <c r="D45" s="1651">
        <v>0</v>
      </c>
      <c r="E45" s="1183" t="str">
        <f t="shared" si="0"/>
        <v>–</v>
      </c>
      <c r="F45" s="1651">
        <v>0</v>
      </c>
      <c r="G45" s="1183" t="str">
        <f t="shared" si="1"/>
        <v>–</v>
      </c>
      <c r="H45" s="1650">
        <f ca="1">(SUMIF('3 pr-3'!$L$7:$AC$700,A45,'3 pr-3'!$N$7:$N$700)+SUMIF('3 pr-3'!$AF$7:$AF$700,A45,'3 pr-3'!$AH$7:$AH$700)+SUMIF('3 pr-3'!$AZ$7:$AZ$700,A45,'3 pr-3'!$BB$7:$BB$700)+SUMIF('3 pr-3'!$BT$7:$BT$700,A45,'3 pr-3'!$BV$7:$BV$700)+SUMIF('3 pr-3'!$CN$7:$CN$700,A45,'3 pr-3'!$CP$7:$CP$700))+F45</f>
        <v>0</v>
      </c>
      <c r="I45" s="594" t="str">
        <f t="shared" ca="1" si="2"/>
        <v>–</v>
      </c>
      <c r="J45" s="1650">
        <f ca="1">(SUMIF('3 pr-3'!$L$7:$AC$700,$A45,'3 pr-3'!$O$7:$O$700)+SUMIF('3 pr-3'!$AF$7:$AF$700,$A45,'3 pr-3'!$AI$7:$AI$700)+SUMIF('3 pr-3'!$AZ$7:$AZ$700,$A45,'3 pr-3'!$BC$7:$BC$700)+SUMIF('3 pr-3'!$BT$7:$BT$700,$A45,'3 pr-3'!$BW$7:$BW$700)+SUMIF('3 pr-3'!$CN$7:$CN$700,$A45,'3 pr-3'!$CQ$7:$CQ$700))+H45</f>
        <v>0</v>
      </c>
      <c r="K45" s="1183" t="str">
        <f t="shared" ca="1" si="3"/>
        <v>–</v>
      </c>
      <c r="L45" s="1650">
        <f ca="1">(SUMIF('3 pr-3'!$L$7:$AC$700,$A45,'3 pr-3'!$P$7:$P$700)+SUMIF('3 pr-3'!$AF$7:$AF$700,$A45,'3 pr-3'!$AJ$7:$AJ$700)+SUMIF('3 pr-3'!$AZ$7:$AZ$700,$A45,'3 pr-3'!$BD$7:$BD$700)+SUMIF('3 pr-3'!$BT$7:$BT$700,$A45,'3 pr-3'!$BX$7:$BX$700)+SUMIF('3 pr-3'!$CN$7:$CN$700,$A45,'3 pr-3'!$CR$7:$CR$700))+J45</f>
        <v>0</v>
      </c>
      <c r="M45" s="1183" t="str">
        <f t="shared" ca="1" si="4"/>
        <v>–</v>
      </c>
      <c r="N45" s="1650">
        <f ca="1">(SUMIF('3 pr-3'!$L$7:$AC$700,$A45,'3 pr-3'!$Q$7:$Q$700)+SUMIF('3 pr-3'!$AF$7:$AF$700,$A45,'3 pr-3'!$AK$7:$AK$700)+SUMIF('3 pr-3'!$AZ$7:$AZ$700,$A45,'3 pr-3'!$BE$7:$BE$700)+SUMIF('3 pr-3'!$BT$7:$BT$700,$A45,'3 pr-3'!$BY$7:$BY$700)+SUMIF('3 pr-3'!$CN$7:$CN$700,$A45,'3 pr-3'!$CS$7:$CS$700))+L45</f>
        <v>0</v>
      </c>
      <c r="O45" s="1183" t="str">
        <f t="shared" ca="1" si="5"/>
        <v>–</v>
      </c>
      <c r="P45" s="1650">
        <f ca="1">(SUMIF('3 pr-3'!$L$7:$AC$700,$A45,'3 pr-3'!$R$7:$R$700)+SUMIF('3 pr-3'!$AF$7:$AF$700,$A45,'3 pr-3'!$AL$7:$AL$700)+SUMIF('3 pr-3'!$AZ$7:$AZ$700,$A45,'3 pr-3'!$BF$7:$BF$700)+SUMIF('3 pr-3'!$BT$7:$BT$700,$A45,'3 pr-3'!$BZ$7:$BZ$700)+SUMIF('3 pr-3'!$CN$7:$CN$700,$A45,'3 pr-3'!$CT$7:$CT$700))+N45</f>
        <v>0</v>
      </c>
      <c r="Q45" s="1183" t="str">
        <f t="shared" ca="1" si="6"/>
        <v>–</v>
      </c>
      <c r="R45" s="1650">
        <f ca="1">(SUMIF('3 pr-3'!$L$7:$AC$700,$A45,'3 pr-3'!$S$7:$S$700)+SUMIF('3 pr-3'!$AF$7:$AF$700,$A45,'3 pr-3'!$AM$7:$AM$700)+SUMIF('3 pr-3'!$AZ$7:$AZ$700,$A45,'3 pr-3'!$BG$7:$BG$700)+SUMIF('3 pr-3'!$BT$7:$BT$700,$A45,'3 pr-3'!$CA$7:$CA$700)+SUMIF('3 pr-3'!$CN$7:$CN$700,$A45,'3 pr-3'!$CU$7:$CU$700))+P45</f>
        <v>0</v>
      </c>
      <c r="S45" s="1183" t="str">
        <f t="shared" ca="1" si="7"/>
        <v>–</v>
      </c>
      <c r="T45" s="1650">
        <f ca="1">(SUMIF('3 pr-3'!$L$7:$AC$700,$A45,'3 pr-3'!$T$7:$T$700)+SUMIF('3 pr-3'!$AF$7:$AF$700,$A45,'3 pr-3'!$AN$7:$AN$700)+SUMIF('3 pr-3'!$AZ$7:$AZ$700,$A45,'3 pr-3'!$BH$7:$BH$700)+SUMIF('3 pr-3'!$BT$7:$BT$700,$A45,'3 pr-3'!$CB$7:$CB$700)+SUMIF('3 pr-3'!$CN$7:$CN$700,$A45,'3 pr-3'!$CV$7:$CV$700))+R45</f>
        <v>0</v>
      </c>
      <c r="U45" s="1183" t="str">
        <f t="shared" ca="1" si="8"/>
        <v>–</v>
      </c>
    </row>
    <row r="46" spans="1:21" ht="31.5">
      <c r="A46" s="619" t="s">
        <v>382</v>
      </c>
      <c r="B46" s="617" t="s">
        <v>383</v>
      </c>
      <c r="C46" s="619"/>
      <c r="D46" s="1651">
        <v>0</v>
      </c>
      <c r="E46" s="1183" t="str">
        <f t="shared" si="0"/>
        <v>–</v>
      </c>
      <c r="F46" s="1651">
        <v>0</v>
      </c>
      <c r="G46" s="1183" t="str">
        <f t="shared" si="1"/>
        <v>–</v>
      </c>
      <c r="H46" s="1650">
        <f ca="1">(SUMIF('3 pr-3'!$L$7:$AC$700,A46,'3 pr-3'!$N$7:$N$700)+SUMIF('3 pr-3'!$AF$7:$AF$700,A46,'3 pr-3'!$AH$7:$AH$700)+SUMIF('3 pr-3'!$AZ$7:$AZ$700,A46,'3 pr-3'!$BB$7:$BB$700)+SUMIF('3 pr-3'!$BT$7:$BT$700,A46,'3 pr-3'!$BV$7:$BV$700)+SUMIF('3 pr-3'!$CN$7:$CN$700,A46,'3 pr-3'!$CP$7:$CP$700))+F46</f>
        <v>0</v>
      </c>
      <c r="I46" s="594" t="str">
        <f t="shared" ca="1" si="2"/>
        <v>–</v>
      </c>
      <c r="J46" s="1650">
        <f ca="1">(SUMIF('3 pr-3'!$L$7:$AC$700,$A46,'3 pr-3'!$O$7:$O$700)+SUMIF('3 pr-3'!$AF$7:$AF$700,$A46,'3 pr-3'!$AI$7:$AI$700)+SUMIF('3 pr-3'!$AZ$7:$AZ$700,$A46,'3 pr-3'!$BC$7:$BC$700)+SUMIF('3 pr-3'!$BT$7:$BT$700,$A46,'3 pr-3'!$BW$7:$BW$700)+SUMIF('3 pr-3'!$CN$7:$CN$700,$A46,'3 pr-3'!$CQ$7:$CQ$700))+H46</f>
        <v>0</v>
      </c>
      <c r="K46" s="1183" t="str">
        <f t="shared" ca="1" si="3"/>
        <v>–</v>
      </c>
      <c r="L46" s="1650">
        <f ca="1">(SUMIF('3 pr-3'!$L$7:$AC$700,$A46,'3 pr-3'!$P$7:$P$700)+SUMIF('3 pr-3'!$AF$7:$AF$700,$A46,'3 pr-3'!$AJ$7:$AJ$700)+SUMIF('3 pr-3'!$AZ$7:$AZ$700,$A46,'3 pr-3'!$BD$7:$BD$700)+SUMIF('3 pr-3'!$BT$7:$BT$700,$A46,'3 pr-3'!$BX$7:$BX$700)+SUMIF('3 pr-3'!$CN$7:$CN$700,$A46,'3 pr-3'!$CR$7:$CR$700))+J46</f>
        <v>0</v>
      </c>
      <c r="M46" s="1183" t="str">
        <f t="shared" ca="1" si="4"/>
        <v>–</v>
      </c>
      <c r="N46" s="1650">
        <f ca="1">(SUMIF('3 pr-3'!$L$7:$AC$700,$A46,'3 pr-3'!$Q$7:$Q$700)+SUMIF('3 pr-3'!$AF$7:$AF$700,$A46,'3 pr-3'!$AK$7:$AK$700)+SUMIF('3 pr-3'!$AZ$7:$AZ$700,$A46,'3 pr-3'!$BE$7:$BE$700)+SUMIF('3 pr-3'!$BT$7:$BT$700,$A46,'3 pr-3'!$BY$7:$BY$700)+SUMIF('3 pr-3'!$CN$7:$CN$700,$A46,'3 pr-3'!$CS$7:$CS$700))+L46</f>
        <v>0</v>
      </c>
      <c r="O46" s="1183" t="str">
        <f t="shared" ca="1" si="5"/>
        <v>–</v>
      </c>
      <c r="P46" s="1650">
        <f ca="1">(SUMIF('3 pr-3'!$L$7:$AC$700,$A46,'3 pr-3'!$R$7:$R$700)+SUMIF('3 pr-3'!$AF$7:$AF$700,$A46,'3 pr-3'!$AL$7:$AL$700)+SUMIF('3 pr-3'!$AZ$7:$AZ$700,$A46,'3 pr-3'!$BF$7:$BF$700)+SUMIF('3 pr-3'!$BT$7:$BT$700,$A46,'3 pr-3'!$BZ$7:$BZ$700)+SUMIF('3 pr-3'!$CN$7:$CN$700,$A46,'3 pr-3'!$CT$7:$CT$700))+N46</f>
        <v>0</v>
      </c>
      <c r="Q46" s="1183" t="str">
        <f t="shared" ca="1" si="6"/>
        <v>–</v>
      </c>
      <c r="R46" s="1650">
        <f ca="1">(SUMIF('3 pr-3'!$L$7:$AC$700,$A46,'3 pr-3'!$S$7:$S$700)+SUMIF('3 pr-3'!$AF$7:$AF$700,$A46,'3 pr-3'!$AM$7:$AM$700)+SUMIF('3 pr-3'!$AZ$7:$AZ$700,$A46,'3 pr-3'!$BG$7:$BG$700)+SUMIF('3 pr-3'!$BT$7:$BT$700,$A46,'3 pr-3'!$CA$7:$CA$700)+SUMIF('3 pr-3'!$CN$7:$CN$700,$A46,'3 pr-3'!$CU$7:$CU$700))+P46</f>
        <v>0</v>
      </c>
      <c r="S46" s="1183" t="str">
        <f t="shared" ca="1" si="7"/>
        <v>–</v>
      </c>
      <c r="T46" s="1650">
        <f ca="1">(SUMIF('3 pr-3'!$L$7:$AC$700,$A46,'3 pr-3'!$T$7:$T$700)+SUMIF('3 pr-3'!$AF$7:$AF$700,$A46,'3 pr-3'!$AN$7:$AN$700)+SUMIF('3 pr-3'!$AZ$7:$AZ$700,$A46,'3 pr-3'!$BH$7:$BH$700)+SUMIF('3 pr-3'!$BT$7:$BT$700,$A46,'3 pr-3'!$CB$7:$CB$700)+SUMIF('3 pr-3'!$CN$7:$CN$700,$A46,'3 pr-3'!$CV$7:$CV$700))+R46</f>
        <v>0</v>
      </c>
      <c r="U46" s="1183" t="str">
        <f t="shared" ca="1" si="8"/>
        <v>–</v>
      </c>
    </row>
    <row r="47" spans="1:21" ht="31.5">
      <c r="A47" s="619" t="s">
        <v>1180</v>
      </c>
      <c r="B47" s="617" t="s">
        <v>1181</v>
      </c>
      <c r="C47" s="619"/>
      <c r="D47" s="1651">
        <v>0</v>
      </c>
      <c r="E47" s="1183" t="str">
        <f t="shared" si="0"/>
        <v>–</v>
      </c>
      <c r="F47" s="1651">
        <v>0</v>
      </c>
      <c r="G47" s="1183" t="str">
        <f t="shared" si="1"/>
        <v>–</v>
      </c>
      <c r="H47" s="1650">
        <f ca="1">(SUMIF('3 pr-3'!$L$7:$AC$700,A47,'3 pr-3'!$N$7:$N$700)+SUMIF('3 pr-3'!$AF$7:$AF$700,A47,'3 pr-3'!$AH$7:$AH$700)+SUMIF('3 pr-3'!$AZ$7:$AZ$700,A47,'3 pr-3'!$BB$7:$BB$700)+SUMIF('3 pr-3'!$BT$7:$BT$700,A47,'3 pr-3'!$BV$7:$BV$700)+SUMIF('3 pr-3'!$CN$7:$CN$700,A47,'3 pr-3'!$CP$7:$CP$700))+F47</f>
        <v>0</v>
      </c>
      <c r="I47" s="594" t="str">
        <f t="shared" ca="1" si="2"/>
        <v>–</v>
      </c>
      <c r="J47" s="1650">
        <f ca="1">(SUMIF('3 pr-3'!$L$7:$AC$700,$A47,'3 pr-3'!$O$7:$O$700)+SUMIF('3 pr-3'!$AF$7:$AF$700,$A47,'3 pr-3'!$AI$7:$AI$700)+SUMIF('3 pr-3'!$AZ$7:$AZ$700,$A47,'3 pr-3'!$BC$7:$BC$700)+SUMIF('3 pr-3'!$BT$7:$BT$700,$A47,'3 pr-3'!$BW$7:$BW$700)+SUMIF('3 pr-3'!$CN$7:$CN$700,$A47,'3 pr-3'!$CQ$7:$CQ$700))+H47</f>
        <v>0</v>
      </c>
      <c r="K47" s="1183" t="str">
        <f t="shared" ca="1" si="3"/>
        <v>–</v>
      </c>
      <c r="L47" s="1650">
        <f ca="1">(SUMIF('3 pr-3'!$L$7:$AC$700,$A47,'3 pr-3'!$P$7:$P$700)+SUMIF('3 pr-3'!$AF$7:$AF$700,$A47,'3 pr-3'!$AJ$7:$AJ$700)+SUMIF('3 pr-3'!$AZ$7:$AZ$700,$A47,'3 pr-3'!$BD$7:$BD$700)+SUMIF('3 pr-3'!$BT$7:$BT$700,$A47,'3 pr-3'!$BX$7:$BX$700)+SUMIF('3 pr-3'!$CN$7:$CN$700,$A47,'3 pr-3'!$CR$7:$CR$700))+J47</f>
        <v>2155</v>
      </c>
      <c r="M47" s="1183">
        <f t="shared" ca="1" si="4"/>
        <v>2155</v>
      </c>
      <c r="N47" s="1650">
        <f ca="1">(SUMIF('3 pr-3'!$L$7:$AC$700,$A47,'3 pr-3'!$Q$7:$Q$700)+SUMIF('3 pr-3'!$AF$7:$AF$700,$A47,'3 pr-3'!$AK$7:$AK$700)+SUMIF('3 pr-3'!$AZ$7:$AZ$700,$A47,'3 pr-3'!$BE$7:$BE$700)+SUMIF('3 pr-3'!$BT$7:$BT$700,$A47,'3 pr-3'!$BY$7:$BY$700)+SUMIF('3 pr-3'!$CN$7:$CN$700,$A47,'3 pr-3'!$CS$7:$CS$700))+L47</f>
        <v>2155</v>
      </c>
      <c r="O47" s="1183">
        <f t="shared" ca="1" si="5"/>
        <v>2155</v>
      </c>
      <c r="P47" s="1650">
        <f ca="1">(SUMIF('3 pr-3'!$L$7:$AC$700,$A47,'3 pr-3'!$R$7:$R$700)+SUMIF('3 pr-3'!$AF$7:$AF$700,$A47,'3 pr-3'!$AL$7:$AL$700)+SUMIF('3 pr-3'!$AZ$7:$AZ$700,$A47,'3 pr-3'!$BF$7:$BF$700)+SUMIF('3 pr-3'!$BT$7:$BT$700,$A47,'3 pr-3'!$BZ$7:$BZ$700)+SUMIF('3 pr-3'!$CN$7:$CN$700,$A47,'3 pr-3'!$CT$7:$CT$700))+N47</f>
        <v>2155</v>
      </c>
      <c r="Q47" s="1183">
        <f t="shared" ca="1" si="6"/>
        <v>2155</v>
      </c>
      <c r="R47" s="1650">
        <f ca="1">(SUMIF('3 pr-3'!$L$7:$AC$700,$A47,'3 pr-3'!$S$7:$S$700)+SUMIF('3 pr-3'!$AF$7:$AF$700,$A47,'3 pr-3'!$AM$7:$AM$700)+SUMIF('3 pr-3'!$AZ$7:$AZ$700,$A47,'3 pr-3'!$BG$7:$BG$700)+SUMIF('3 pr-3'!$BT$7:$BT$700,$A47,'3 pr-3'!$CA$7:$CA$700)+SUMIF('3 pr-3'!$CN$7:$CN$700,$A47,'3 pr-3'!$CU$7:$CU$700))+P47</f>
        <v>2155</v>
      </c>
      <c r="S47" s="1183">
        <f t="shared" ca="1" si="7"/>
        <v>2155</v>
      </c>
      <c r="T47" s="1650">
        <f ca="1">(SUMIF('3 pr-3'!$L$7:$AC$700,$A47,'3 pr-3'!$T$7:$T$700)+SUMIF('3 pr-3'!$AF$7:$AF$700,$A47,'3 pr-3'!$AN$7:$AN$700)+SUMIF('3 pr-3'!$AZ$7:$AZ$700,$A47,'3 pr-3'!$BH$7:$BH$700)+SUMIF('3 pr-3'!$BT$7:$BT$700,$A47,'3 pr-3'!$CB$7:$CB$700)+SUMIF('3 pr-3'!$CN$7:$CN$700,$A47,'3 pr-3'!$CV$7:$CV$700))+R47</f>
        <v>2155</v>
      </c>
      <c r="U47" s="1183">
        <f t="shared" ca="1" si="8"/>
        <v>2155</v>
      </c>
    </row>
    <row r="48" spans="1:21" ht="31.5">
      <c r="A48" s="594" t="s">
        <v>783</v>
      </c>
      <c r="B48" s="617" t="s">
        <v>784</v>
      </c>
      <c r="C48" s="619"/>
      <c r="D48" s="1651">
        <v>0</v>
      </c>
      <c r="E48" s="1183" t="str">
        <f t="shared" si="0"/>
        <v>–</v>
      </c>
      <c r="F48" s="1651">
        <v>0</v>
      </c>
      <c r="G48" s="1183" t="str">
        <f t="shared" si="1"/>
        <v>–</v>
      </c>
      <c r="H48" s="1650">
        <f ca="1">(SUMIF('3 pr-3'!$L$7:$AC$700,A48,'3 pr-3'!$N$7:$N$700)+SUMIF('3 pr-3'!$AF$7:$AF$700,A48,'3 pr-3'!$AH$7:$AH$700)+SUMIF('3 pr-3'!$AZ$7:$AZ$700,A48,'3 pr-3'!$BB$7:$BB$700)+SUMIF('3 pr-3'!$BT$7:$BT$700,A48,'3 pr-3'!$BV$7:$BV$700)+SUMIF('3 pr-3'!$CN$7:$CN$700,A48,'3 pr-3'!$CP$7:$CP$700))+F48</f>
        <v>0</v>
      </c>
      <c r="I48" s="594" t="str">
        <f t="shared" ca="1" si="2"/>
        <v>–</v>
      </c>
      <c r="J48" s="1650">
        <f ca="1">(SUMIF('3 pr-3'!$L$7:$AC$700,$A48,'3 pr-3'!$O$7:$O$700)+SUMIF('3 pr-3'!$AF$7:$AF$700,$A48,'3 pr-3'!$AI$7:$AI$700)+SUMIF('3 pr-3'!$AZ$7:$AZ$700,$A48,'3 pr-3'!$BC$7:$BC$700)+SUMIF('3 pr-3'!$BT$7:$BT$700,$A48,'3 pr-3'!$BW$7:$BW$700)+SUMIF('3 pr-3'!$CN$7:$CN$700,$A48,'3 pr-3'!$CQ$7:$CQ$700))+H48</f>
        <v>0</v>
      </c>
      <c r="K48" s="1183" t="str">
        <f t="shared" ca="1" si="3"/>
        <v>–</v>
      </c>
      <c r="L48" s="1650">
        <f ca="1">(SUMIF('3 pr-3'!$L$7:$AC$700,$A48,'3 pr-3'!$P$7:$P$700)+SUMIF('3 pr-3'!$AF$7:$AF$700,$A48,'3 pr-3'!$AJ$7:$AJ$700)+SUMIF('3 pr-3'!$AZ$7:$AZ$700,$A48,'3 pr-3'!$BD$7:$BD$700)+SUMIF('3 pr-3'!$BT$7:$BT$700,$A48,'3 pr-3'!$BX$7:$BX$700)+SUMIF('3 pr-3'!$CN$7:$CN$700,$A48,'3 pr-3'!$CR$7:$CR$700))+J48</f>
        <v>0</v>
      </c>
      <c r="M48" s="1183" t="str">
        <f t="shared" ca="1" si="4"/>
        <v>–</v>
      </c>
      <c r="N48" s="1650">
        <f ca="1">(SUMIF('3 pr-3'!$L$7:$AC$700,$A48,'3 pr-3'!$Q$7:$Q$700)+SUMIF('3 pr-3'!$AF$7:$AF$700,$A48,'3 pr-3'!$AK$7:$AK$700)+SUMIF('3 pr-3'!$AZ$7:$AZ$700,$A48,'3 pr-3'!$BE$7:$BE$700)+SUMIF('3 pr-3'!$BT$7:$BT$700,$A48,'3 pr-3'!$BY$7:$BY$700)+SUMIF('3 pr-3'!$CN$7:$CN$700,$A48,'3 pr-3'!$CS$7:$CS$700))+L48</f>
        <v>0</v>
      </c>
      <c r="O48" s="1183" t="str">
        <f t="shared" ca="1" si="5"/>
        <v>–</v>
      </c>
      <c r="P48" s="1650">
        <f ca="1">(SUMIF('3 pr-3'!$L$7:$AC$700,$A48,'3 pr-3'!$R$7:$R$700)+SUMIF('3 pr-3'!$AF$7:$AF$700,$A48,'3 pr-3'!$AL$7:$AL$700)+SUMIF('3 pr-3'!$AZ$7:$AZ$700,$A48,'3 pr-3'!$BF$7:$BF$700)+SUMIF('3 pr-3'!$BT$7:$BT$700,$A48,'3 pr-3'!$BZ$7:$BZ$700)+SUMIF('3 pr-3'!$CN$7:$CN$700,$A48,'3 pr-3'!$CT$7:$CT$700))+N48</f>
        <v>0</v>
      </c>
      <c r="Q48" s="1183" t="str">
        <f t="shared" ca="1" si="6"/>
        <v>–</v>
      </c>
      <c r="R48" s="1650">
        <f ca="1">(SUMIF('3 pr-3'!$L$7:$AC$700,$A48,'3 pr-3'!$S$7:$S$700)+SUMIF('3 pr-3'!$AF$7:$AF$700,$A48,'3 pr-3'!$AM$7:$AM$700)+SUMIF('3 pr-3'!$AZ$7:$AZ$700,$A48,'3 pr-3'!$BG$7:$BG$700)+SUMIF('3 pr-3'!$BT$7:$BT$700,$A48,'3 pr-3'!$CA$7:$CA$700)+SUMIF('3 pr-3'!$CN$7:$CN$700,$A48,'3 pr-3'!$CU$7:$CU$700))+P48</f>
        <v>0</v>
      </c>
      <c r="S48" s="1183" t="str">
        <f t="shared" ca="1" si="7"/>
        <v>–</v>
      </c>
      <c r="T48" s="1650">
        <f ca="1">(SUMIF('3 pr-3'!$L$7:$AC$700,$A48,'3 pr-3'!$T$7:$T$700)+SUMIF('3 pr-3'!$AF$7:$AF$700,$A48,'3 pr-3'!$AN$7:$AN$700)+SUMIF('3 pr-3'!$AZ$7:$AZ$700,$A48,'3 pr-3'!$BH$7:$BH$700)+SUMIF('3 pr-3'!$BT$7:$BT$700,$A48,'3 pr-3'!$CB$7:$CB$700)+SUMIF('3 pr-3'!$CN$7:$CN$700,$A48,'3 pr-3'!$CV$7:$CV$700))+R48</f>
        <v>0</v>
      </c>
      <c r="U48" s="1183" t="str">
        <f t="shared" ca="1" si="8"/>
        <v>–</v>
      </c>
    </row>
    <row r="49" spans="1:21" ht="31.5">
      <c r="A49" s="619" t="s">
        <v>520</v>
      </c>
      <c r="B49" s="617" t="s">
        <v>566</v>
      </c>
      <c r="C49" s="619"/>
      <c r="D49" s="1651">
        <v>0</v>
      </c>
      <c r="E49" s="1183" t="str">
        <f t="shared" si="0"/>
        <v>–</v>
      </c>
      <c r="F49" s="1651">
        <v>0</v>
      </c>
      <c r="G49" s="1183" t="str">
        <f t="shared" si="1"/>
        <v>–</v>
      </c>
      <c r="H49" s="1650">
        <f ca="1">(SUMIF('3 pr-3'!$L$7:$AC$700,A49,'3 pr-3'!$N$7:$N$700)+SUMIF('3 pr-3'!$AF$7:$AF$700,A49,'3 pr-3'!$AH$7:$AH$700)+SUMIF('3 pr-3'!$AZ$7:$AZ$700,A49,'3 pr-3'!$BB$7:$BB$700)+SUMIF('3 pr-3'!$BT$7:$BT$700,A49,'3 pr-3'!$BV$7:$BV$700)+SUMIF('3 pr-3'!$CN$7:$CN$700,A49,'3 pr-3'!$CP$7:$CP$700))+F49</f>
        <v>0</v>
      </c>
      <c r="I49" s="594" t="str">
        <f t="shared" ca="1" si="2"/>
        <v>–</v>
      </c>
      <c r="J49" s="1650">
        <f ca="1">(SUMIF('3 pr-3'!$L$7:$AC$700,$A49,'3 pr-3'!$O$7:$O$700)+SUMIF('3 pr-3'!$AF$7:$AF$700,$A49,'3 pr-3'!$AI$7:$AI$700)+SUMIF('3 pr-3'!$AZ$7:$AZ$700,$A49,'3 pr-3'!$BC$7:$BC$700)+SUMIF('3 pr-3'!$BT$7:$BT$700,$A49,'3 pr-3'!$BW$7:$BW$700)+SUMIF('3 pr-3'!$CN$7:$CN$700,$A49,'3 pr-3'!$CQ$7:$CQ$700))+H49</f>
        <v>0</v>
      </c>
      <c r="K49" s="1183" t="str">
        <f t="shared" ca="1" si="3"/>
        <v>–</v>
      </c>
      <c r="L49" s="1650">
        <f ca="1">(SUMIF('3 pr-3'!$L$7:$AC$700,$A49,'3 pr-3'!$P$7:$P$700)+SUMIF('3 pr-3'!$AF$7:$AF$700,$A49,'3 pr-3'!$AJ$7:$AJ$700)+SUMIF('3 pr-3'!$AZ$7:$AZ$700,$A49,'3 pr-3'!$BD$7:$BD$700)+SUMIF('3 pr-3'!$BT$7:$BT$700,$A49,'3 pr-3'!$BX$7:$BX$700)+SUMIF('3 pr-3'!$CN$7:$CN$700,$A49,'3 pr-3'!$CR$7:$CR$700))+J49</f>
        <v>0</v>
      </c>
      <c r="M49" s="1183" t="str">
        <f t="shared" ca="1" si="4"/>
        <v>–</v>
      </c>
      <c r="N49" s="1650">
        <f ca="1">(SUMIF('3 pr-3'!$L$7:$AC$700,$A49,'3 pr-3'!$Q$7:$Q$700)+SUMIF('3 pr-3'!$AF$7:$AF$700,$A49,'3 pr-3'!$AK$7:$AK$700)+SUMIF('3 pr-3'!$AZ$7:$AZ$700,$A49,'3 pr-3'!$BE$7:$BE$700)+SUMIF('3 pr-3'!$BT$7:$BT$700,$A49,'3 pr-3'!$BY$7:$BY$700)+SUMIF('3 pr-3'!$CN$7:$CN$700,$A49,'3 pr-3'!$CS$7:$CS$700))+L49</f>
        <v>0</v>
      </c>
      <c r="O49" s="1183" t="str">
        <f t="shared" ca="1" si="5"/>
        <v>–</v>
      </c>
      <c r="P49" s="1650">
        <f ca="1">(SUMIF('3 pr-3'!$L$7:$AC$700,$A49,'3 pr-3'!$R$7:$R$700)+SUMIF('3 pr-3'!$AF$7:$AF$700,$A49,'3 pr-3'!$AL$7:$AL$700)+SUMIF('3 pr-3'!$AZ$7:$AZ$700,$A49,'3 pr-3'!$BF$7:$BF$700)+SUMIF('3 pr-3'!$BT$7:$BT$700,$A49,'3 pr-3'!$BZ$7:$BZ$700)+SUMIF('3 pr-3'!$CN$7:$CN$700,$A49,'3 pr-3'!$CT$7:$CT$700))+N49</f>
        <v>0</v>
      </c>
      <c r="Q49" s="1183" t="str">
        <f t="shared" ca="1" si="6"/>
        <v>–</v>
      </c>
      <c r="R49" s="1650">
        <f ca="1">(SUMIF('3 pr-3'!$L$7:$AC$700,$A49,'3 pr-3'!$S$7:$S$700)+SUMIF('3 pr-3'!$AF$7:$AF$700,$A49,'3 pr-3'!$AM$7:$AM$700)+SUMIF('3 pr-3'!$AZ$7:$AZ$700,$A49,'3 pr-3'!$BG$7:$BG$700)+SUMIF('3 pr-3'!$BT$7:$BT$700,$A49,'3 pr-3'!$CA$7:$CA$700)+SUMIF('3 pr-3'!$CN$7:$CN$700,$A49,'3 pr-3'!$CU$7:$CU$700))+P49</f>
        <v>0</v>
      </c>
      <c r="S49" s="1183" t="str">
        <f t="shared" ca="1" si="7"/>
        <v>–</v>
      </c>
      <c r="T49" s="1650">
        <f ca="1">(SUMIF('3 pr-3'!$L$7:$AC$700,$A49,'3 pr-3'!$T$7:$T$700)+SUMIF('3 pr-3'!$AF$7:$AF$700,$A49,'3 pr-3'!$AN$7:$AN$700)+SUMIF('3 pr-3'!$AZ$7:$AZ$700,$A49,'3 pr-3'!$BH$7:$BH$700)+SUMIF('3 pr-3'!$BT$7:$BT$700,$A49,'3 pr-3'!$CB$7:$CB$700)+SUMIF('3 pr-3'!$CN$7:$CN$700,$A49,'3 pr-3'!$CV$7:$CV$700))+R49</f>
        <v>0</v>
      </c>
      <c r="U49" s="1183" t="str">
        <f t="shared" ca="1" si="8"/>
        <v>–</v>
      </c>
    </row>
    <row r="50" spans="1:21" ht="47.25">
      <c r="A50" s="619" t="s">
        <v>522</v>
      </c>
      <c r="B50" s="617" t="s">
        <v>567</v>
      </c>
      <c r="C50" s="619"/>
      <c r="D50" s="1651">
        <v>0</v>
      </c>
      <c r="E50" s="1183" t="str">
        <f t="shared" si="0"/>
        <v>–</v>
      </c>
      <c r="F50" s="1651">
        <v>0</v>
      </c>
      <c r="G50" s="1183" t="str">
        <f t="shared" si="1"/>
        <v>–</v>
      </c>
      <c r="H50" s="1650">
        <f ca="1">(SUMIF('3 pr-3'!$L$7:$AC$700,A50,'3 pr-3'!$N$7:$N$700)+SUMIF('3 pr-3'!$AF$7:$AF$700,A50,'3 pr-3'!$AH$7:$AH$700)+SUMIF('3 pr-3'!$AZ$7:$AZ$700,A50,'3 pr-3'!$BB$7:$BB$700)+SUMIF('3 pr-3'!$BT$7:$BT$700,A50,'3 pr-3'!$BV$7:$BV$700)+SUMIF('3 pr-3'!$CN$7:$CN$700,A50,'3 pr-3'!$CP$7:$CP$700))+F50</f>
        <v>0</v>
      </c>
      <c r="I50" s="594" t="str">
        <f t="shared" ca="1" si="2"/>
        <v>–</v>
      </c>
      <c r="J50" s="1650">
        <f ca="1">(SUMIF('3 pr-3'!$L$7:$AC$700,$A50,'3 pr-3'!$O$7:$O$700)+SUMIF('3 pr-3'!$AF$7:$AF$700,$A50,'3 pr-3'!$AI$7:$AI$700)+SUMIF('3 pr-3'!$AZ$7:$AZ$700,$A50,'3 pr-3'!$BC$7:$BC$700)+SUMIF('3 pr-3'!$BT$7:$BT$700,$A50,'3 pr-3'!$BW$7:$BW$700)+SUMIF('3 pr-3'!$CN$7:$CN$700,$A50,'3 pr-3'!$CQ$7:$CQ$700))+H50</f>
        <v>0</v>
      </c>
      <c r="K50" s="1183" t="str">
        <f t="shared" ca="1" si="3"/>
        <v>–</v>
      </c>
      <c r="L50" s="1650">
        <f ca="1">(SUMIF('3 pr-3'!$L$7:$AC$700,$A50,'3 pr-3'!$P$7:$P$700)+SUMIF('3 pr-3'!$AF$7:$AF$700,$A50,'3 pr-3'!$AJ$7:$AJ$700)+SUMIF('3 pr-3'!$AZ$7:$AZ$700,$A50,'3 pr-3'!$BD$7:$BD$700)+SUMIF('3 pr-3'!$BT$7:$BT$700,$A50,'3 pr-3'!$BX$7:$BX$700)+SUMIF('3 pr-3'!$CN$7:$CN$700,$A50,'3 pr-3'!$CR$7:$CR$700))+J50</f>
        <v>0</v>
      </c>
      <c r="M50" s="1183" t="str">
        <f t="shared" ca="1" si="4"/>
        <v>–</v>
      </c>
      <c r="N50" s="1650">
        <f ca="1">(SUMIF('3 pr-3'!$L$7:$AC$700,$A50,'3 pr-3'!$Q$7:$Q$700)+SUMIF('3 pr-3'!$AF$7:$AF$700,$A50,'3 pr-3'!$AK$7:$AK$700)+SUMIF('3 pr-3'!$AZ$7:$AZ$700,$A50,'3 pr-3'!$BE$7:$BE$700)+SUMIF('3 pr-3'!$BT$7:$BT$700,$A50,'3 pr-3'!$BY$7:$BY$700)+SUMIF('3 pr-3'!$CN$7:$CN$700,$A50,'3 pr-3'!$CS$7:$CS$700))+L50</f>
        <v>0</v>
      </c>
      <c r="O50" s="1183" t="str">
        <f t="shared" ca="1" si="5"/>
        <v>–</v>
      </c>
      <c r="P50" s="1650">
        <f ca="1">(SUMIF('3 pr-3'!$L$7:$AC$700,$A50,'3 pr-3'!$R$7:$R$700)+SUMIF('3 pr-3'!$AF$7:$AF$700,$A50,'3 pr-3'!$AL$7:$AL$700)+SUMIF('3 pr-3'!$AZ$7:$AZ$700,$A50,'3 pr-3'!$BF$7:$BF$700)+SUMIF('3 pr-3'!$BT$7:$BT$700,$A50,'3 pr-3'!$BZ$7:$BZ$700)+SUMIF('3 pr-3'!$CN$7:$CN$700,$A50,'3 pr-3'!$CT$7:$CT$700))+N50</f>
        <v>0</v>
      </c>
      <c r="Q50" s="1183" t="str">
        <f t="shared" ca="1" si="6"/>
        <v>–</v>
      </c>
      <c r="R50" s="1650">
        <f ca="1">(SUMIF('3 pr-3'!$L$7:$AC$700,$A50,'3 pr-3'!$S$7:$S$700)+SUMIF('3 pr-3'!$AF$7:$AF$700,$A50,'3 pr-3'!$AM$7:$AM$700)+SUMIF('3 pr-3'!$AZ$7:$AZ$700,$A50,'3 pr-3'!$BG$7:$BG$700)+SUMIF('3 pr-3'!$BT$7:$BT$700,$A50,'3 pr-3'!$CA$7:$CA$700)+SUMIF('3 pr-3'!$CN$7:$CN$700,$A50,'3 pr-3'!$CU$7:$CU$700))+P50</f>
        <v>0</v>
      </c>
      <c r="S50" s="1183" t="str">
        <f t="shared" ca="1" si="7"/>
        <v>–</v>
      </c>
      <c r="T50" s="1650">
        <f ca="1">(SUMIF('3 pr-3'!$L$7:$AC$700,$A50,'3 pr-3'!$T$7:$T$700)+SUMIF('3 pr-3'!$AF$7:$AF$700,$A50,'3 pr-3'!$AN$7:$AN$700)+SUMIF('3 pr-3'!$AZ$7:$AZ$700,$A50,'3 pr-3'!$BH$7:$BH$700)+SUMIF('3 pr-3'!$BT$7:$BT$700,$A50,'3 pr-3'!$CB$7:$CB$700)+SUMIF('3 pr-3'!$CN$7:$CN$700,$A50,'3 pr-3'!$CV$7:$CV$700))+R50</f>
        <v>0</v>
      </c>
      <c r="U50" s="1183" t="str">
        <f t="shared" ca="1" si="8"/>
        <v>–</v>
      </c>
    </row>
    <row r="51" spans="1:21" ht="15.75">
      <c r="A51" s="619" t="s">
        <v>529</v>
      </c>
      <c r="B51" s="617" t="s">
        <v>568</v>
      </c>
      <c r="C51" s="619"/>
      <c r="D51" s="1651">
        <v>0</v>
      </c>
      <c r="E51" s="1183" t="str">
        <f t="shared" si="0"/>
        <v>–</v>
      </c>
      <c r="F51" s="1651">
        <v>0</v>
      </c>
      <c r="G51" s="1183" t="str">
        <f t="shared" si="1"/>
        <v>–</v>
      </c>
      <c r="H51" s="1650">
        <f ca="1">(SUMIF('3 pr-3'!$L$7:$AC$700,A51,'3 pr-3'!$N$7:$N$700)+SUMIF('3 pr-3'!$AF$7:$AF$700,A51,'3 pr-3'!$AH$7:$AH$700)+SUMIF('3 pr-3'!$AZ$7:$AZ$700,A51,'3 pr-3'!$BB$7:$BB$700)+SUMIF('3 pr-3'!$BT$7:$BT$700,A51,'3 pr-3'!$BV$7:$BV$700)+SUMIF('3 pr-3'!$CN$7:$CN$700,A51,'3 pr-3'!$CP$7:$CP$700))+F51</f>
        <v>0</v>
      </c>
      <c r="I51" s="594" t="str">
        <f t="shared" ca="1" si="2"/>
        <v>–</v>
      </c>
      <c r="J51" s="1650">
        <f ca="1">(SUMIF('3 pr-3'!$L$7:$AC$700,$A51,'3 pr-3'!$O$7:$O$700)+SUMIF('3 pr-3'!$AF$7:$AF$700,$A51,'3 pr-3'!$AI$7:$AI$700)+SUMIF('3 pr-3'!$AZ$7:$AZ$700,$A51,'3 pr-3'!$BC$7:$BC$700)+SUMIF('3 pr-3'!$BT$7:$BT$700,$A51,'3 pr-3'!$BW$7:$BW$700)+SUMIF('3 pr-3'!$CN$7:$CN$700,$A51,'3 pr-3'!$CQ$7:$CQ$700))+H51</f>
        <v>10.27</v>
      </c>
      <c r="K51" s="1183">
        <f t="shared" ca="1" si="3"/>
        <v>10.27</v>
      </c>
      <c r="L51" s="1650">
        <f ca="1">(SUMIF('3 pr-3'!$L$7:$AC$700,$A51,'3 pr-3'!$P$7:$P$700)+SUMIF('3 pr-3'!$AF$7:$AF$700,$A51,'3 pr-3'!$AJ$7:$AJ$700)+SUMIF('3 pr-3'!$AZ$7:$AZ$700,$A51,'3 pr-3'!$BD$7:$BD$700)+SUMIF('3 pr-3'!$BT$7:$BT$700,$A51,'3 pr-3'!$BX$7:$BX$700)+SUMIF('3 pr-3'!$CN$7:$CN$700,$A51,'3 pr-3'!$CR$7:$CR$700))+J51</f>
        <v>10.27</v>
      </c>
      <c r="M51" s="1183">
        <f t="shared" ca="1" si="4"/>
        <v>10.27</v>
      </c>
      <c r="N51" s="1650">
        <f ca="1">(SUMIF('3 pr-3'!$L$7:$AC$700,$A51,'3 pr-3'!$Q$7:$Q$700)+SUMIF('3 pr-3'!$AF$7:$AF$700,$A51,'3 pr-3'!$AK$7:$AK$700)+SUMIF('3 pr-3'!$AZ$7:$AZ$700,$A51,'3 pr-3'!$BE$7:$BE$700)+SUMIF('3 pr-3'!$BT$7:$BT$700,$A51,'3 pr-3'!$BY$7:$BY$700)+SUMIF('3 pr-3'!$CN$7:$CN$700,$A51,'3 pr-3'!$CS$7:$CS$700))+L51</f>
        <v>10.27</v>
      </c>
      <c r="O51" s="1183">
        <f t="shared" ca="1" si="5"/>
        <v>10.27</v>
      </c>
      <c r="P51" s="1650">
        <f ca="1">(SUMIF('3 pr-3'!$L$7:$AC$700,$A51,'3 pr-3'!$R$7:$R$700)+SUMIF('3 pr-3'!$AF$7:$AF$700,$A51,'3 pr-3'!$AL$7:$AL$700)+SUMIF('3 pr-3'!$AZ$7:$AZ$700,$A51,'3 pr-3'!$BF$7:$BF$700)+SUMIF('3 pr-3'!$BT$7:$BT$700,$A51,'3 pr-3'!$BZ$7:$BZ$700)+SUMIF('3 pr-3'!$CN$7:$CN$700,$A51,'3 pr-3'!$CT$7:$CT$700))+N51</f>
        <v>10.27</v>
      </c>
      <c r="Q51" s="1183">
        <f t="shared" ca="1" si="6"/>
        <v>10.27</v>
      </c>
      <c r="R51" s="1650">
        <f ca="1">(SUMIF('3 pr-3'!$L$7:$AC$700,$A51,'3 pr-3'!$S$7:$S$700)+SUMIF('3 pr-3'!$AF$7:$AF$700,$A51,'3 pr-3'!$AM$7:$AM$700)+SUMIF('3 pr-3'!$AZ$7:$AZ$700,$A51,'3 pr-3'!$BG$7:$BG$700)+SUMIF('3 pr-3'!$BT$7:$BT$700,$A51,'3 pr-3'!$CA$7:$CA$700)+SUMIF('3 pr-3'!$CN$7:$CN$700,$A51,'3 pr-3'!$CU$7:$CU$700))+P51</f>
        <v>10.27</v>
      </c>
      <c r="S51" s="1183">
        <f t="shared" ca="1" si="7"/>
        <v>10.27</v>
      </c>
      <c r="T51" s="1650">
        <f ca="1">(SUMIF('3 pr-3'!$L$7:$AC$700,$A51,'3 pr-3'!$T$7:$T$700)+SUMIF('3 pr-3'!$AF$7:$AF$700,$A51,'3 pr-3'!$AN$7:$AN$700)+SUMIF('3 pr-3'!$AZ$7:$AZ$700,$A51,'3 pr-3'!$BH$7:$BH$700)+SUMIF('3 pr-3'!$BT$7:$BT$700,$A51,'3 pr-3'!$CB$7:$CB$700)+SUMIF('3 pr-3'!$CN$7:$CN$700,$A51,'3 pr-3'!$CV$7:$CV$700))+R51</f>
        <v>10.27</v>
      </c>
      <c r="U51" s="1183">
        <f t="shared" ca="1" si="8"/>
        <v>10.27</v>
      </c>
    </row>
    <row r="52" spans="1:21" ht="31.5">
      <c r="A52" s="619" t="s">
        <v>781</v>
      </c>
      <c r="B52" s="619" t="s">
        <v>782</v>
      </c>
      <c r="C52" s="619"/>
      <c r="D52" s="618">
        <v>0</v>
      </c>
      <c r="E52" s="618"/>
      <c r="F52" s="618">
        <v>0</v>
      </c>
      <c r="G52" s="618"/>
      <c r="H52" s="594">
        <f>SUM('3 pr-3'!N174)+F52</f>
        <v>0</v>
      </c>
      <c r="I52" s="594"/>
      <c r="J52" s="594"/>
      <c r="K52" s="594"/>
      <c r="L52" s="594"/>
      <c r="M52" s="594"/>
      <c r="N52" s="594"/>
      <c r="O52" s="594"/>
      <c r="P52" s="594"/>
      <c r="Q52" s="594"/>
      <c r="R52" s="594"/>
      <c r="S52" s="594"/>
      <c r="T52" s="1186"/>
      <c r="U52" s="1186"/>
    </row>
    <row r="53" spans="1:21" ht="15.75">
      <c r="A53" s="1187" t="s">
        <v>679</v>
      </c>
      <c r="B53" s="97"/>
      <c r="C53" s="97"/>
      <c r="D53" s="97"/>
      <c r="E53" s="97"/>
      <c r="F53" s="97"/>
      <c r="G53" s="97"/>
      <c r="H53" s="97"/>
      <c r="I53" s="97"/>
      <c r="J53" s="97"/>
      <c r="K53" s="97"/>
      <c r="L53" s="97"/>
      <c r="M53" s="97"/>
      <c r="N53" s="97"/>
      <c r="O53" s="97"/>
      <c r="P53" s="97"/>
      <c r="Q53" s="97"/>
      <c r="R53" s="97"/>
      <c r="S53" s="97"/>
      <c r="T53" s="97"/>
      <c r="U53" s="97"/>
    </row>
    <row r="54" spans="1:21" ht="15.75">
      <c r="A54" s="1187" t="s">
        <v>679</v>
      </c>
      <c r="B54" s="97"/>
      <c r="C54" s="97"/>
      <c r="D54" s="97"/>
      <c r="E54" s="97"/>
      <c r="F54" s="97"/>
      <c r="G54" s="97"/>
      <c r="H54" s="97"/>
      <c r="I54" s="97"/>
      <c r="J54" s="97"/>
      <c r="K54" s="97"/>
      <c r="L54" s="97"/>
      <c r="M54" s="97"/>
      <c r="N54" s="97"/>
      <c r="O54" s="97"/>
      <c r="P54" s="97"/>
      <c r="Q54" s="97"/>
      <c r="R54" s="97"/>
      <c r="S54" s="97"/>
      <c r="T54" s="97"/>
      <c r="U54" s="97"/>
    </row>
  </sheetData>
  <mergeCells count="1">
    <mergeCell ref="A1:P1"/>
  </mergeCells>
  <pageMargins left="0.23622047244094491" right="0.23622047244094491" top="0.74803149606299213" bottom="0.74803149606299213" header="0.31496062992125984" footer="0.31496062992125984"/>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2:K34"/>
  <sheetViews>
    <sheetView workbookViewId="0">
      <selection activeCell="H9" sqref="H9"/>
    </sheetView>
  </sheetViews>
  <sheetFormatPr defaultRowHeight="15"/>
  <cols>
    <col min="2" max="2" width="42.85546875" customWidth="1"/>
    <col min="3" max="3" width="45.7109375" customWidth="1"/>
  </cols>
  <sheetData>
    <row r="2" spans="1:11">
      <c r="B2" s="1607"/>
      <c r="C2" s="1607"/>
      <c r="D2" s="1607">
        <v>2018</v>
      </c>
      <c r="E2" s="1607">
        <v>2019</v>
      </c>
      <c r="F2" s="1607">
        <v>2020</v>
      </c>
    </row>
    <row r="3" spans="1:11" ht="45">
      <c r="A3" s="1607"/>
      <c r="B3" s="1609" t="s">
        <v>4222</v>
      </c>
      <c r="C3" s="1609" t="s">
        <v>4223</v>
      </c>
      <c r="D3" s="1609"/>
      <c r="E3" s="1607"/>
      <c r="F3" s="1607"/>
      <c r="J3" s="1608" t="s">
        <v>4230</v>
      </c>
      <c r="K3" s="1608" t="s">
        <v>4231</v>
      </c>
    </row>
    <row r="4" spans="1:11" ht="45">
      <c r="A4" s="1607" t="s">
        <v>4221</v>
      </c>
      <c r="B4" s="1608" t="s">
        <v>903</v>
      </c>
      <c r="C4" s="1608" t="s">
        <v>4220</v>
      </c>
      <c r="D4" s="1607">
        <v>3.6</v>
      </c>
      <c r="E4" s="1607"/>
      <c r="F4" s="1607"/>
      <c r="J4" s="1608">
        <v>81374</v>
      </c>
      <c r="K4" s="1608">
        <v>19747</v>
      </c>
    </row>
    <row r="5" spans="1:11" ht="30.75" customHeight="1">
      <c r="A5" s="1607" t="s">
        <v>4221</v>
      </c>
      <c r="B5" s="1608" t="s">
        <v>903</v>
      </c>
      <c r="C5" s="1608" t="s">
        <v>4224</v>
      </c>
      <c r="D5" s="1607">
        <v>3.43</v>
      </c>
      <c r="E5" s="1607"/>
      <c r="F5" s="1607"/>
      <c r="J5" s="1608">
        <v>100</v>
      </c>
      <c r="K5" s="1608">
        <f>SUM(J5*K4/J4)</f>
        <v>24.26696487821663</v>
      </c>
    </row>
    <row r="6" spans="1:11" ht="45">
      <c r="A6" s="1607" t="s">
        <v>4221</v>
      </c>
      <c r="B6" s="1608" t="s">
        <v>903</v>
      </c>
      <c r="C6" s="1608" t="s">
        <v>4225</v>
      </c>
      <c r="D6" s="1607">
        <v>1.95</v>
      </c>
      <c r="E6" s="1607"/>
      <c r="F6" s="1607"/>
    </row>
    <row r="7" spans="1:11" ht="45">
      <c r="A7" s="1607" t="s">
        <v>4221</v>
      </c>
      <c r="B7" s="1608" t="s">
        <v>903</v>
      </c>
      <c r="C7" s="1608" t="s">
        <v>4226</v>
      </c>
      <c r="D7" s="1607">
        <v>1.29</v>
      </c>
      <c r="E7" s="1607"/>
      <c r="F7" s="1607"/>
    </row>
    <row r="8" spans="1:11" ht="60">
      <c r="A8" s="1607" t="s">
        <v>4221</v>
      </c>
      <c r="B8" s="1608" t="s">
        <v>903</v>
      </c>
      <c r="C8" s="1608" t="s">
        <v>4227</v>
      </c>
      <c r="D8" s="1607">
        <v>0</v>
      </c>
      <c r="E8" s="1607"/>
      <c r="F8" s="1607"/>
    </row>
    <row r="9" spans="1:11" ht="45">
      <c r="A9" s="1607" t="s">
        <v>4221</v>
      </c>
      <c r="B9" s="1608" t="s">
        <v>903</v>
      </c>
      <c r="C9" s="1608" t="s">
        <v>4228</v>
      </c>
      <c r="D9" s="1607">
        <v>0</v>
      </c>
      <c r="E9" s="1607"/>
      <c r="F9" s="1607"/>
    </row>
    <row r="10" spans="1:11" ht="15.75" customHeight="1">
      <c r="A10" s="1607"/>
      <c r="B10" s="1608"/>
      <c r="C10" s="1608"/>
      <c r="D10" s="1607"/>
      <c r="E10" s="1607"/>
      <c r="F10" s="1607"/>
    </row>
    <row r="11" spans="1:11" ht="15.75" customHeight="1">
      <c r="A11" s="1607"/>
      <c r="B11" s="1608"/>
      <c r="C11" s="1608"/>
      <c r="D11" s="1607"/>
      <c r="E11" s="1607"/>
      <c r="F11" s="1607"/>
    </row>
    <row r="12" spans="1:11" ht="15.75" customHeight="1">
      <c r="A12" s="1607"/>
      <c r="B12" s="1608"/>
      <c r="C12" s="1608"/>
      <c r="D12" s="1607"/>
      <c r="E12" s="1607"/>
      <c r="F12" s="1607"/>
    </row>
    <row r="13" spans="1:11" ht="15.75" customHeight="1">
      <c r="B13" s="1607"/>
      <c r="C13" s="1607"/>
      <c r="D13" s="1607"/>
      <c r="E13" s="1607"/>
      <c r="F13" s="1607"/>
    </row>
    <row r="14" spans="1:11" ht="15.75" customHeight="1">
      <c r="B14" s="1607"/>
      <c r="C14" s="1607"/>
      <c r="D14" s="1607"/>
      <c r="E14" s="1607"/>
      <c r="F14" s="1607"/>
    </row>
    <row r="15" spans="1:11">
      <c r="B15" s="1607"/>
      <c r="C15" s="1607"/>
      <c r="D15" s="1607"/>
      <c r="E15" s="1607"/>
      <c r="F15" s="1607"/>
    </row>
    <row r="16" spans="1:11">
      <c r="B16" s="1607"/>
      <c r="C16" s="1607"/>
      <c r="D16" s="1607"/>
      <c r="E16" s="1607"/>
      <c r="F16" s="1607"/>
    </row>
    <row r="17" spans="2:6">
      <c r="B17" s="1607"/>
      <c r="C17" s="1607"/>
      <c r="D17" s="1607"/>
      <c r="E17" s="1607"/>
      <c r="F17" s="1607"/>
    </row>
    <row r="18" spans="2:6">
      <c r="B18" s="1607"/>
      <c r="C18" s="1607"/>
      <c r="D18" s="1607"/>
      <c r="E18" s="1607"/>
      <c r="F18" s="1607"/>
    </row>
    <row r="19" spans="2:6">
      <c r="B19" s="1607"/>
      <c r="C19" s="1607"/>
      <c r="D19" s="1607"/>
      <c r="E19" s="1607"/>
      <c r="F19" s="1607"/>
    </row>
    <row r="20" spans="2:6">
      <c r="B20" s="1607"/>
      <c r="C20" s="1607"/>
      <c r="D20" s="1607"/>
      <c r="E20" s="1607"/>
      <c r="F20" s="1607"/>
    </row>
    <row r="21" spans="2:6">
      <c r="B21" s="1607"/>
      <c r="C21" s="1607"/>
      <c r="D21" s="1607"/>
      <c r="E21" s="1607"/>
      <c r="F21" s="1607"/>
    </row>
    <row r="22" spans="2:6">
      <c r="B22" s="1607"/>
      <c r="C22" s="1607"/>
      <c r="D22" s="1607"/>
      <c r="E22" s="1607"/>
      <c r="F22" s="1607"/>
    </row>
    <row r="23" spans="2:6">
      <c r="B23" s="1607"/>
      <c r="C23" s="1607"/>
      <c r="D23" s="1607"/>
      <c r="E23" s="1607"/>
      <c r="F23" s="1607"/>
    </row>
    <row r="24" spans="2:6">
      <c r="B24" s="1607"/>
      <c r="C24" s="1607"/>
      <c r="D24" s="1607"/>
      <c r="E24" s="1607"/>
      <c r="F24" s="1607"/>
    </row>
    <row r="25" spans="2:6">
      <c r="B25" s="1607"/>
      <c r="C25" s="1607"/>
      <c r="D25" s="1607"/>
      <c r="E25" s="1607"/>
      <c r="F25" s="1607"/>
    </row>
    <row r="26" spans="2:6">
      <c r="B26" s="1607"/>
      <c r="C26" s="1607"/>
      <c r="D26" s="1607"/>
      <c r="E26" s="1607"/>
      <c r="F26" s="1607"/>
    </row>
    <row r="27" spans="2:6">
      <c r="B27" s="1607"/>
      <c r="C27" s="1607"/>
      <c r="D27" s="1607"/>
      <c r="E27" s="1607"/>
      <c r="F27" s="1607"/>
    </row>
    <row r="28" spans="2:6">
      <c r="B28" s="1607"/>
      <c r="C28" s="1607"/>
      <c r="D28" s="1607"/>
      <c r="E28" s="1607"/>
      <c r="F28" s="1607"/>
    </row>
    <row r="29" spans="2:6">
      <c r="B29" s="1607"/>
      <c r="C29" s="1607"/>
      <c r="D29" s="1607"/>
      <c r="E29" s="1607"/>
      <c r="F29" s="1607"/>
    </row>
    <row r="30" spans="2:6">
      <c r="B30" s="1607"/>
      <c r="C30" s="1607"/>
      <c r="D30" s="1607"/>
      <c r="E30" s="1607"/>
      <c r="F30" s="1607"/>
    </row>
    <row r="31" spans="2:6">
      <c r="B31" s="1607"/>
      <c r="C31" s="1607"/>
      <c r="D31" s="1607"/>
      <c r="E31" s="1607"/>
      <c r="F31" s="1607"/>
    </row>
    <row r="32" spans="2:6">
      <c r="B32" s="1607"/>
      <c r="C32" s="1607"/>
      <c r="D32" s="1607"/>
      <c r="E32" s="1607"/>
      <c r="F32" s="1607"/>
    </row>
    <row r="33" spans="2:6">
      <c r="B33" s="1607"/>
      <c r="C33" s="1607"/>
      <c r="D33" s="1607"/>
      <c r="E33" s="1607"/>
      <c r="F33" s="1607"/>
    </row>
    <row r="34" spans="2:6">
      <c r="B34" s="1607"/>
      <c r="C34" s="1607"/>
      <c r="D34" s="1607"/>
      <c r="E34" s="1607"/>
      <c r="F34" s="1607"/>
    </row>
  </sheetData>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O201"/>
  <sheetViews>
    <sheetView workbookViewId="0">
      <pane ySplit="1260" topLeftCell="A118" activePane="bottomLeft"/>
      <selection activeCell="M1" sqref="M1:P1048576"/>
      <selection pane="bottomLeft" activeCell="I124" sqref="I124"/>
    </sheetView>
  </sheetViews>
  <sheetFormatPr defaultColWidth="9.140625" defaultRowHeight="15"/>
  <cols>
    <col min="1" max="1" width="9.140625" style="21" customWidth="1"/>
    <col min="2" max="2" width="32.7109375" style="21" customWidth="1"/>
    <col min="3" max="3" width="20.5703125" style="21" customWidth="1"/>
    <col min="4" max="4" width="20.42578125" style="21" customWidth="1"/>
    <col min="5" max="5" width="14.42578125" style="21" customWidth="1"/>
    <col min="6" max="6" width="15.140625" style="21" customWidth="1"/>
    <col min="7" max="7" width="13.7109375" style="21" bestFit="1" customWidth="1"/>
    <col min="8" max="9" width="13.42578125" style="21" customWidth="1"/>
    <col min="10" max="10" width="15.140625" style="21" customWidth="1"/>
    <col min="11" max="11" width="17.28515625" style="21" hidden="1" customWidth="1"/>
    <col min="12" max="12" width="16.42578125" style="21" hidden="1" customWidth="1"/>
    <col min="13" max="13" width="11.42578125" style="21" customWidth="1"/>
    <col min="14" max="14" width="10" style="21" customWidth="1"/>
    <col min="15" max="15" width="11.42578125" style="21" customWidth="1"/>
    <col min="16" max="16" width="9.140625" style="21" customWidth="1"/>
    <col min="17" max="16384" width="9.140625" style="21"/>
  </cols>
  <sheetData>
    <row r="1" spans="1:15" ht="48" thickBot="1">
      <c r="A1" s="1528" t="s">
        <v>1045</v>
      </c>
      <c r="B1" s="1528" t="s">
        <v>1794</v>
      </c>
      <c r="C1" s="1528" t="s">
        <v>1795</v>
      </c>
      <c r="D1" s="1528" t="s">
        <v>1772</v>
      </c>
      <c r="E1" s="1528" t="s">
        <v>1815</v>
      </c>
      <c r="F1" s="1529" t="s">
        <v>167</v>
      </c>
      <c r="G1" s="1528" t="s">
        <v>1796</v>
      </c>
      <c r="H1" s="1528" t="s">
        <v>1797</v>
      </c>
      <c r="I1" s="1528" t="s">
        <v>1798</v>
      </c>
      <c r="J1" s="1528" t="s">
        <v>1802</v>
      </c>
      <c r="K1" s="614" t="s">
        <v>1861</v>
      </c>
      <c r="L1" s="614" t="s">
        <v>1862</v>
      </c>
      <c r="M1" s="1530" t="s">
        <v>3860</v>
      </c>
      <c r="N1" s="1530" t="s">
        <v>3858</v>
      </c>
      <c r="O1" s="1530" t="s">
        <v>3859</v>
      </c>
    </row>
    <row r="2" spans="1:15" ht="37.5" thickBot="1">
      <c r="A2" s="376">
        <v>1</v>
      </c>
      <c r="B2" s="375" t="str">
        <f>CONCATENATE('3 pr-2'!D10)</f>
        <v xml:space="preserve">Druskininkų savivaldybės Viečiūnų seniūnijos Ilgio ir Raigardo seniūnaitijų kelių būklės gerinimas  </v>
      </c>
      <c r="C2" s="375" t="str">
        <f>CONCATENATE('3 pr-2'!H10)</f>
        <v xml:space="preserve">Pagrindinės paslaugos ir kaimų atnaujinimas kaimo vietovėse </v>
      </c>
      <c r="D2" s="375" t="str">
        <f>CONCATENATE('3 pr-2'!E10)</f>
        <v xml:space="preserve">Druskininkų savivaldybės administracija  </v>
      </c>
      <c r="E2" s="573" t="str">
        <f>CONCATENATE('3 pr-2'!G10)</f>
        <v>Druskininkų sav.</v>
      </c>
      <c r="F2" s="1481" t="str">
        <f>CONCATENATE('3 pr-2'!J10)</f>
        <v>-</v>
      </c>
      <c r="G2" s="1032">
        <f>SUM('3 pr-2'!AA10)</f>
        <v>159115</v>
      </c>
      <c r="H2" s="644">
        <f>SUM(KPP!J7)</f>
        <v>135247.75</v>
      </c>
      <c r="I2" s="644">
        <f>SUM('ketv. 6 '!AF9)</f>
        <v>159115</v>
      </c>
      <c r="J2" s="644">
        <f>SUM('ketv. 7 '!AL8)</f>
        <v>0</v>
      </c>
      <c r="K2" s="1296">
        <f>SUM(J2/H2)</f>
        <v>0</v>
      </c>
      <c r="L2" s="1495">
        <f>SUM(J2/G2)</f>
        <v>0</v>
      </c>
      <c r="M2" s="1531">
        <f>IF(I2=0,"–",H2-I2)</f>
        <v>-23867.25</v>
      </c>
      <c r="N2" s="1531">
        <f>IF(H2=0,"–",G2-H2)</f>
        <v>23867.25</v>
      </c>
      <c r="O2" s="1531">
        <f>IF(I2=0,"–",G2-I2)</f>
        <v>0</v>
      </c>
    </row>
    <row r="3" spans="1:15" ht="37.5" thickBot="1">
      <c r="A3" s="376">
        <f>ROW(A2)</f>
        <v>2</v>
      </c>
      <c r="B3" s="375" t="str">
        <f>CONCATENATE('3 pr-2'!D11)</f>
        <v>Druskininkų savivaldybės Viečiūnų seniūnijos Ratnyčėlės seniūnaitijos kelių būklės gerinimas</v>
      </c>
      <c r="C3" s="375" t="str">
        <f>CONCATENATE('3 pr-2'!H11)</f>
        <v xml:space="preserve">Pagrindinės paslaugos ir kaimų atnaujinimas kaimo vietovėse </v>
      </c>
      <c r="D3" s="375" t="str">
        <f>CONCATENATE('3 pr-2'!E11)</f>
        <v xml:space="preserve">Druskininkų savivaldybės administracija  </v>
      </c>
      <c r="E3" s="573" t="str">
        <f>CONCATENATE('3 pr-2'!G11)</f>
        <v>Druskininkų sav.</v>
      </c>
      <c r="F3" s="1481" t="str">
        <f>CONCATENATE('3 pr-2'!J11)</f>
        <v>-</v>
      </c>
      <c r="G3" s="1480">
        <f>SUM('3 pr-2'!AA11)</f>
        <v>121071</v>
      </c>
      <c r="H3" s="644">
        <f>SUM(KPP!J8)</f>
        <v>102910.35</v>
      </c>
      <c r="I3" s="644">
        <f>SUM('ketv. 6 '!AF10)</f>
        <v>121071</v>
      </c>
      <c r="J3" s="644">
        <f>SUM('ketv. 7 '!AL9)</f>
        <v>0</v>
      </c>
      <c r="K3" s="1296">
        <f t="shared" ref="K3:K66" si="0">SUM(J3/H3)</f>
        <v>0</v>
      </c>
      <c r="L3" s="1495">
        <f t="shared" ref="L3:L66" si="1">SUM(J3/G3)</f>
        <v>0</v>
      </c>
      <c r="M3" s="1531">
        <f t="shared" ref="M3:M66" si="2">IF(I3=0,"–",H3-I3)</f>
        <v>-18160.649999999994</v>
      </c>
      <c r="N3" s="1531">
        <f t="shared" ref="N3:N66" si="3">IF(H3=0,"–",G3-H3)</f>
        <v>18160.649999999994</v>
      </c>
      <c r="O3" s="1531">
        <f t="shared" ref="O3:O66" si="4">IF(I3=0,"–",G3-I3)</f>
        <v>0</v>
      </c>
    </row>
    <row r="4" spans="1:15" ht="37.5" thickBot="1">
      <c r="A4" s="376">
        <f t="shared" ref="A4:A34" si="5">ROW(A3)</f>
        <v>3</v>
      </c>
      <c r="B4" s="375" t="str">
        <f>CONCATENATE('3 pr-2'!D12)</f>
        <v>Druskininkų savivaldybės Leipalingio seniūnijos Klonio seniūnaitijos kelių būklės gerinimas</v>
      </c>
      <c r="C4" s="375" t="str">
        <f>CONCATENATE('3 pr-2'!H12)</f>
        <v xml:space="preserve">Pagrindinės paslaugos ir kaimų atnaujinimas kaimo vietovėse </v>
      </c>
      <c r="D4" s="375" t="str">
        <f>CONCATENATE('3 pr-2'!E12)</f>
        <v xml:space="preserve">Druskininkų savivaldybės administracija  </v>
      </c>
      <c r="E4" s="573" t="str">
        <f>CONCATENATE('3 pr-2'!G12)</f>
        <v>Druskininkų sav.</v>
      </c>
      <c r="F4" s="1481" t="str">
        <f>CONCATENATE('3 pr-2'!J12)</f>
        <v>-</v>
      </c>
      <c r="G4" s="1480">
        <f>SUM('3 pr-2'!AA12)</f>
        <v>154446</v>
      </c>
      <c r="H4" s="644">
        <f>SUM(KPP!J9)</f>
        <v>131279.1</v>
      </c>
      <c r="I4" s="644">
        <f>SUM('ketv. 6 '!AF11)</f>
        <v>154446</v>
      </c>
      <c r="J4" s="644">
        <f>SUM('ketv. 7 '!AL10)</f>
        <v>0</v>
      </c>
      <c r="K4" s="1296">
        <f t="shared" si="0"/>
        <v>0</v>
      </c>
      <c r="L4" s="1495">
        <f t="shared" si="1"/>
        <v>0</v>
      </c>
      <c r="M4" s="1531">
        <f t="shared" si="2"/>
        <v>-23166.899999999994</v>
      </c>
      <c r="N4" s="1531">
        <f t="shared" si="3"/>
        <v>23166.899999999994</v>
      </c>
      <c r="O4" s="1531">
        <f t="shared" si="4"/>
        <v>0</v>
      </c>
    </row>
    <row r="5" spans="1:15" ht="37.5" thickBot="1">
      <c r="A5" s="376">
        <f t="shared" si="5"/>
        <v>4</v>
      </c>
      <c r="B5" s="375" t="str">
        <f>CONCATENATE('3 pr-2'!D13)</f>
        <v>Rudaminos laisvalaikio salės pritaikymas bendruomenės poreikiams ir liaudies amatų plėtrai</v>
      </c>
      <c r="C5" s="375" t="str">
        <f>CONCATENATE('3 pr-2'!H13)</f>
        <v xml:space="preserve">Pagrindinės paslaugos ir kaimų atnaujinimas kaimo vietovėse </v>
      </c>
      <c r="D5" s="375" t="str">
        <f>CONCATENATE('3 pr-2'!E13)</f>
        <v>Viešoji įstaiga Lazdijų kultūros centras</v>
      </c>
      <c r="E5" s="573" t="str">
        <f>CONCATENATE('3 pr-2'!G13)</f>
        <v>Lazdijų r. sav.</v>
      </c>
      <c r="F5" s="1481" t="str">
        <f>CONCATENATE('3 pr-2'!J13)</f>
        <v>-</v>
      </c>
      <c r="G5" s="1480">
        <f>SUM('3 pr-2'!AA13)</f>
        <v>98528</v>
      </c>
      <c r="H5" s="644">
        <f>SUM(KPP!J10)</f>
        <v>83748.800000000003</v>
      </c>
      <c r="I5" s="644">
        <f>SUM('ketv. 6 '!AF12)</f>
        <v>98528</v>
      </c>
      <c r="J5" s="644">
        <f>SUM('ketv. 7 '!AL11)</f>
        <v>0</v>
      </c>
      <c r="K5" s="1296">
        <f t="shared" si="0"/>
        <v>0</v>
      </c>
      <c r="L5" s="1495">
        <f t="shared" si="1"/>
        <v>0</v>
      </c>
      <c r="M5" s="1531">
        <f t="shared" si="2"/>
        <v>-14779.199999999997</v>
      </c>
      <c r="N5" s="1531">
        <f t="shared" si="3"/>
        <v>14779.199999999997</v>
      </c>
      <c r="O5" s="1531">
        <f t="shared" si="4"/>
        <v>0</v>
      </c>
    </row>
    <row r="6" spans="1:15" ht="37.5" thickBot="1">
      <c r="A6" s="376">
        <f t="shared" si="5"/>
        <v>5</v>
      </c>
      <c r="B6" s="375" t="str">
        <f>CONCATENATE('3 pr-2'!D14)</f>
        <v>Druskininkų savivaldybės Leipalingio seniūnijos Bilso seniūnaitijos kelių būklės gerinimas</v>
      </c>
      <c r="C6" s="375" t="str">
        <f>CONCATENATE('3 pr-2'!H14)</f>
        <v xml:space="preserve">Pagrindinės paslaugos ir kaimų atnaujinimas kaimo vietovėse </v>
      </c>
      <c r="D6" s="375" t="str">
        <f>CONCATENATE('3 pr-2'!E14)</f>
        <v xml:space="preserve">Druskininkų savivaldybės administracija  </v>
      </c>
      <c r="E6" s="573" t="str">
        <f>CONCATENATE('3 pr-2'!G14)</f>
        <v>Druskininkų sav.</v>
      </c>
      <c r="F6" s="1481" t="str">
        <f>CONCATENATE('3 pr-2'!J14)</f>
        <v>-</v>
      </c>
      <c r="G6" s="1480">
        <f>SUM('3 pr-2'!AA14)</f>
        <v>128044</v>
      </c>
      <c r="H6" s="644">
        <f>SUM(KPP!J11)</f>
        <v>108837.4</v>
      </c>
      <c r="I6" s="644">
        <f>SUM('ketv. 6 '!AF13)</f>
        <v>128044</v>
      </c>
      <c r="J6" s="644">
        <f>SUM('ketv. 7 '!AL12)</f>
        <v>0</v>
      </c>
      <c r="K6" s="1296">
        <f t="shared" si="0"/>
        <v>0</v>
      </c>
      <c r="L6" s="1495">
        <f t="shared" si="1"/>
        <v>0</v>
      </c>
      <c r="M6" s="1531">
        <f t="shared" si="2"/>
        <v>-19206.600000000006</v>
      </c>
      <c r="N6" s="1531">
        <f t="shared" si="3"/>
        <v>19206.600000000006</v>
      </c>
      <c r="O6" s="1531">
        <f t="shared" si="4"/>
        <v>0</v>
      </c>
    </row>
    <row r="7" spans="1:15" ht="37.5" thickBot="1">
      <c r="A7" s="376">
        <f t="shared" si="5"/>
        <v>6</v>
      </c>
      <c r="B7" s="375" t="str">
        <f>CONCATENATE('3 pr-2'!D15)</f>
        <v>Lazdijų rajono kaimų patrauklumo didinimas atnaujinant bibliotekas</v>
      </c>
      <c r="C7" s="375" t="str">
        <f>CONCATENATE('3 pr-2'!H15)</f>
        <v xml:space="preserve">Pagrindinės paslaugos ir kaimų atnaujinimas kaimo vietovėse </v>
      </c>
      <c r="D7" s="375" t="str">
        <f>CONCATENATE('3 pr-2'!E15)</f>
        <v xml:space="preserve">Biudžetinė įstaiga Lazdijų rajono savivaldybės viešoji biblioteka </v>
      </c>
      <c r="E7" s="573" t="str">
        <f>CONCATENATE('3 pr-2'!G15)</f>
        <v>Lazdijų r. sav.</v>
      </c>
      <c r="F7" s="1481" t="str">
        <f>CONCATENATE('3 pr-2'!J15)</f>
        <v>-</v>
      </c>
      <c r="G7" s="1480">
        <f>SUM('3 pr-2'!AA15)</f>
        <v>159928</v>
      </c>
      <c r="H7" s="644">
        <f>SUM(KPP!J12)</f>
        <v>135938.79999999999</v>
      </c>
      <c r="I7" s="644">
        <f>SUM('ketv. 6 '!AF14)</f>
        <v>159928</v>
      </c>
      <c r="J7" s="644">
        <f>SUM('ketv. 7 '!AL13)</f>
        <v>0</v>
      </c>
      <c r="K7" s="1296">
        <f t="shared" si="0"/>
        <v>0</v>
      </c>
      <c r="L7" s="1495">
        <f t="shared" si="1"/>
        <v>0</v>
      </c>
      <c r="M7" s="1531">
        <f t="shared" si="2"/>
        <v>-23989.200000000012</v>
      </c>
      <c r="N7" s="1531">
        <f t="shared" si="3"/>
        <v>23989.200000000012</v>
      </c>
      <c r="O7" s="1531">
        <f t="shared" si="4"/>
        <v>0</v>
      </c>
    </row>
    <row r="8" spans="1:15" ht="37.5" thickBot="1">
      <c r="A8" s="376">
        <f t="shared" si="5"/>
        <v>7</v>
      </c>
      <c r="B8" s="375" t="str">
        <f>CONCATENATE('3 pr-2'!D16)</f>
        <v>Alytaus rajono Miroslavo kaimo multifunkcinės sporto aikštės įrengimas ir gatvių bei šaligatvių rekonstrukcija</v>
      </c>
      <c r="C8" s="375" t="str">
        <f>CONCATENATE('3 pr-2'!H16)</f>
        <v xml:space="preserve">Pagrindinės paslaugos ir kaimų atnaujinimas kaimo vietovėse </v>
      </c>
      <c r="D8" s="375" t="str">
        <f>CONCATENATE('3 pr-2'!E16)</f>
        <v>Alytaus rajono savivaldybės administracija</v>
      </c>
      <c r="E8" s="573" t="str">
        <f>CONCATENATE('3 pr-2'!G16)</f>
        <v>Alytaus r. sav.</v>
      </c>
      <c r="F8" s="1481" t="str">
        <f>CONCATENATE('3 pr-2'!J16)</f>
        <v>-</v>
      </c>
      <c r="G8" s="1480">
        <f>SUM('3 pr-2'!AA16)</f>
        <v>200000</v>
      </c>
      <c r="H8" s="644">
        <f>SUM(KPP!J13)</f>
        <v>170000</v>
      </c>
      <c r="I8" s="644">
        <f>SUM('ketv. 6 '!AF15)</f>
        <v>200000</v>
      </c>
      <c r="J8" s="644">
        <f>SUM('ketv. 7 '!AL14)</f>
        <v>0</v>
      </c>
      <c r="K8" s="1296">
        <f t="shared" si="0"/>
        <v>0</v>
      </c>
      <c r="L8" s="1495">
        <f t="shared" si="1"/>
        <v>0</v>
      </c>
      <c r="M8" s="1531">
        <f t="shared" si="2"/>
        <v>-30000</v>
      </c>
      <c r="N8" s="1531">
        <f t="shared" si="3"/>
        <v>30000</v>
      </c>
      <c r="O8" s="1531">
        <f t="shared" si="4"/>
        <v>0</v>
      </c>
    </row>
    <row r="9" spans="1:15" ht="37.5" thickBot="1">
      <c r="A9" s="376">
        <f t="shared" si="5"/>
        <v>8</v>
      </c>
      <c r="B9" s="375" t="str">
        <f>CONCATENATE('3 pr-2'!D17)</f>
        <v>Alytaus rajono Luksnėnų kaimo multifunkcinės sporto aikštės įrengimas ir gatvių rekonstrukcija</v>
      </c>
      <c r="C9" s="375" t="str">
        <f>CONCATENATE('3 pr-2'!H17)</f>
        <v xml:space="preserve">Pagrindinės paslaugos ir kaimų atnaujinimas kaimo vietovėse </v>
      </c>
      <c r="D9" s="375" t="str">
        <f>CONCATENATE('3 pr-2'!E17)</f>
        <v>Alytaus rajono savivaldybės administracija</v>
      </c>
      <c r="E9" s="573" t="str">
        <f>CONCATENATE('3 pr-2'!G17)</f>
        <v>Alytaus r. sav.</v>
      </c>
      <c r="F9" s="1481" t="str">
        <f>CONCATENATE('3 pr-2'!J17)</f>
        <v>-</v>
      </c>
      <c r="G9" s="1480">
        <f>SUM('3 pr-2'!AA17)</f>
        <v>200000</v>
      </c>
      <c r="H9" s="644">
        <f>SUM(KPP!J14)</f>
        <v>170000</v>
      </c>
      <c r="I9" s="644">
        <f>SUM('ketv. 6 '!AF16)</f>
        <v>200000</v>
      </c>
      <c r="J9" s="644">
        <f>SUM('ketv. 7 '!AL15)</f>
        <v>0</v>
      </c>
      <c r="K9" s="1296">
        <f t="shared" si="0"/>
        <v>0</v>
      </c>
      <c r="L9" s="1495">
        <f t="shared" si="1"/>
        <v>0</v>
      </c>
      <c r="M9" s="1531">
        <f t="shared" si="2"/>
        <v>-30000</v>
      </c>
      <c r="N9" s="1531">
        <f t="shared" si="3"/>
        <v>30000</v>
      </c>
      <c r="O9" s="1531">
        <f t="shared" si="4"/>
        <v>0</v>
      </c>
    </row>
    <row r="10" spans="1:15" ht="37.5" thickBot="1">
      <c r="A10" s="376">
        <f t="shared" si="5"/>
        <v>9</v>
      </c>
      <c r="B10" s="375" t="str">
        <f>CONCATENATE('3 pr-2'!D18)</f>
        <v>Krikštonių laisvalaikio salės pritaikymas bendruomenės poreikiams</v>
      </c>
      <c r="C10" s="375" t="str">
        <f>CONCATENATE('3 pr-2'!H18)</f>
        <v xml:space="preserve">Pagrindinės paslaugos ir kaimų atnaujinimas kaimo vietovėse </v>
      </c>
      <c r="D10" s="375" t="str">
        <f>CONCATENATE('3 pr-2'!E18)</f>
        <v xml:space="preserve">Viešoji įstaiga Lazdijų kultūros centras </v>
      </c>
      <c r="E10" s="573" t="str">
        <f>CONCATENATE('3 pr-2'!G18)</f>
        <v>Lazdijų r. sav.</v>
      </c>
      <c r="F10" s="1481" t="str">
        <f>CONCATENATE('3 pr-2'!J18)</f>
        <v>-</v>
      </c>
      <c r="G10" s="1480">
        <f>SUM('3 pr-2'!AA18)</f>
        <v>200000</v>
      </c>
      <c r="H10" s="644">
        <f>SUM(KPP!J15)</f>
        <v>170000</v>
      </c>
      <c r="I10" s="644">
        <f>SUM('ketv. 6 '!AF17)</f>
        <v>200000</v>
      </c>
      <c r="J10" s="644">
        <f>SUM('ketv. 7 '!AL16)</f>
        <v>0</v>
      </c>
      <c r="K10" s="1296">
        <f t="shared" si="0"/>
        <v>0</v>
      </c>
      <c r="L10" s="1495">
        <f t="shared" si="1"/>
        <v>0</v>
      </c>
      <c r="M10" s="1531">
        <f t="shared" si="2"/>
        <v>-30000</v>
      </c>
      <c r="N10" s="1531">
        <f t="shared" si="3"/>
        <v>30000</v>
      </c>
      <c r="O10" s="1531">
        <f t="shared" si="4"/>
        <v>0</v>
      </c>
    </row>
    <row r="11" spans="1:15" ht="37.5" thickBot="1">
      <c r="A11" s="376">
        <f t="shared" si="5"/>
        <v>10</v>
      </c>
      <c r="B11" s="375" t="str">
        <f>CONCATENATE('3 pr-2'!D19)</f>
        <v>Kučiūnų laisvalaikio salės pritaikymas bendruomenės poreikiams</v>
      </c>
      <c r="C11" s="375" t="str">
        <f>CONCATENATE('3 pr-2'!H19)</f>
        <v xml:space="preserve">Pagrindinės paslaugos ir kaimų atnaujinimas kaimo vietovėse </v>
      </c>
      <c r="D11" s="375" t="str">
        <f>CONCATENATE('3 pr-2'!E19)</f>
        <v xml:space="preserve">Viešoji įstaiga Lazdijų kultūros centras </v>
      </c>
      <c r="E11" s="573" t="str">
        <f>CONCATENATE('3 pr-2'!G19)</f>
        <v>Lazdijų r. sav.</v>
      </c>
      <c r="F11" s="1481" t="str">
        <f>CONCATENATE('3 pr-2'!J19)</f>
        <v>-</v>
      </c>
      <c r="G11" s="1480">
        <f>SUM('3 pr-2'!AA19)</f>
        <v>187540</v>
      </c>
      <c r="H11" s="644">
        <f>SUM(KPP!J16)</f>
        <v>159409</v>
      </c>
      <c r="I11" s="644">
        <f>SUM('ketv. 6 '!AF18)</f>
        <v>187540</v>
      </c>
      <c r="J11" s="644">
        <f>SUM('ketv. 7 '!AL17)</f>
        <v>0</v>
      </c>
      <c r="K11" s="1296">
        <f t="shared" si="0"/>
        <v>0</v>
      </c>
      <c r="L11" s="1495">
        <f t="shared" si="1"/>
        <v>0</v>
      </c>
      <c r="M11" s="1531">
        <f t="shared" si="2"/>
        <v>-28131</v>
      </c>
      <c r="N11" s="1531">
        <f t="shared" si="3"/>
        <v>28131</v>
      </c>
      <c r="O11" s="1531">
        <f t="shared" si="4"/>
        <v>0</v>
      </c>
    </row>
    <row r="12" spans="1:15" ht="37.5" thickBot="1">
      <c r="A12" s="376">
        <f t="shared" si="5"/>
        <v>11</v>
      </c>
      <c r="B12" s="375" t="str">
        <f>CONCATENATE('3 pr-2'!D20)</f>
        <v>Laisvalaikio infrastruktūros sukūrimas Lazdijų rajono kaimo gyvenamosiose vietovėse</v>
      </c>
      <c r="C12" s="375" t="str">
        <f>CONCATENATE('3 pr-2'!H20)</f>
        <v xml:space="preserve">Pagrindinės paslaugos ir kaimų atnaujinimas kaimo vietovėse </v>
      </c>
      <c r="D12" s="375" t="str">
        <f>CONCATENATE('3 pr-2'!E20)</f>
        <v>Lazdijų rajono savivaldybės administracija</v>
      </c>
      <c r="E12" s="573" t="str">
        <f>CONCATENATE('3 pr-2'!G20)</f>
        <v>Lazdijų r. sav.</v>
      </c>
      <c r="F12" s="1481" t="str">
        <f>CONCATENATE('3 pr-2'!J20)</f>
        <v>-</v>
      </c>
      <c r="G12" s="1480">
        <f>SUM('3 pr-2'!AA20)</f>
        <v>100000</v>
      </c>
      <c r="H12" s="644">
        <f>SUM(KPP!J17)</f>
        <v>85000</v>
      </c>
      <c r="I12" s="644">
        <f>SUM('ketv. 6 '!AF19)</f>
        <v>100000</v>
      </c>
      <c r="J12" s="644">
        <f>SUM('ketv. 7 '!AL18)</f>
        <v>0</v>
      </c>
      <c r="K12" s="1296">
        <f t="shared" si="0"/>
        <v>0</v>
      </c>
      <c r="L12" s="1495">
        <f t="shared" si="1"/>
        <v>0</v>
      </c>
      <c r="M12" s="1531">
        <f t="shared" si="2"/>
        <v>-15000</v>
      </c>
      <c r="N12" s="1531">
        <f t="shared" si="3"/>
        <v>15000</v>
      </c>
      <c r="O12" s="1531">
        <f t="shared" si="4"/>
        <v>0</v>
      </c>
    </row>
    <row r="13" spans="1:15" ht="37.5" thickBot="1">
      <c r="A13" s="376">
        <f t="shared" si="5"/>
        <v>12</v>
      </c>
      <c r="B13" s="375" t="str">
        <f>CONCATENATE('3 pr-2'!D21)</f>
        <v>Alytaus rajono Butrimonių miestelio šaligatvių kapitalinis remontas ir gyvenvietės apšvietimo įrengimas</v>
      </c>
      <c r="C13" s="375" t="str">
        <f>CONCATENATE('3 pr-2'!H21)</f>
        <v xml:space="preserve">Pagrindinės paslaugos ir kaimų atnaujinimas kaimo vietovėse </v>
      </c>
      <c r="D13" s="375" t="str">
        <f>CONCATENATE('3 pr-2'!E21)</f>
        <v>Alytaus rajono savivaldybės administracija</v>
      </c>
      <c r="E13" s="573" t="str">
        <f>CONCATENATE('3 pr-2'!G21)</f>
        <v>Alytaus r. sav.</v>
      </c>
      <c r="F13" s="1481" t="str">
        <f>CONCATENATE('3 pr-2'!J21)</f>
        <v>-</v>
      </c>
      <c r="G13" s="1480">
        <f>SUM('3 pr-2'!AA21)</f>
        <v>122852</v>
      </c>
      <c r="H13" s="644">
        <f>SUM(KPP!J18)</f>
        <v>104424.2</v>
      </c>
      <c r="I13" s="644">
        <f>SUM('ketv. 6 '!AF20)</f>
        <v>122852</v>
      </c>
      <c r="J13" s="644">
        <f>SUM('ketv. 7 '!AL19)</f>
        <v>0</v>
      </c>
      <c r="K13" s="1296">
        <f t="shared" si="0"/>
        <v>0</v>
      </c>
      <c r="L13" s="1495">
        <f t="shared" si="1"/>
        <v>0</v>
      </c>
      <c r="M13" s="1531">
        <f t="shared" si="2"/>
        <v>-18427.800000000003</v>
      </c>
      <c r="N13" s="1531">
        <f t="shared" si="3"/>
        <v>18427.800000000003</v>
      </c>
      <c r="O13" s="1531">
        <f t="shared" si="4"/>
        <v>0</v>
      </c>
    </row>
    <row r="14" spans="1:15" ht="37.5" thickBot="1">
      <c r="A14" s="376">
        <f t="shared" si="5"/>
        <v>13</v>
      </c>
      <c r="B14" s="375" t="str">
        <f>CONCATENATE('3 pr-2'!D22)</f>
        <v>Alytaus rajono Genių kaimo sporto aikštės įrengimas ir gatvių rekonstrukcija</v>
      </c>
      <c r="C14" s="375" t="str">
        <f>CONCATENATE('3 pr-2'!H22)</f>
        <v xml:space="preserve">Pagrindinės paslaugos ir kaimų atnaujinimas kaimo vietovėse </v>
      </c>
      <c r="D14" s="375" t="str">
        <f>CONCATENATE('3 pr-2'!E22)</f>
        <v>Alytaus rajono savivaldybės administracija</v>
      </c>
      <c r="E14" s="573" t="str">
        <f>CONCATENATE('3 pr-2'!G22)</f>
        <v>Alytaus r. sav.</v>
      </c>
      <c r="F14" s="1481" t="str">
        <f>CONCATENATE('3 pr-2'!J22)</f>
        <v>-</v>
      </c>
      <c r="G14" s="1480">
        <f>SUM('3 pr-2'!AA22)</f>
        <v>200000</v>
      </c>
      <c r="H14" s="644">
        <f>SUM(KPP!J19)</f>
        <v>170000</v>
      </c>
      <c r="I14" s="644">
        <f>SUM('ketv. 6 '!AF21)</f>
        <v>200000</v>
      </c>
      <c r="J14" s="644">
        <f>SUM('ketv. 7 '!AL20)</f>
        <v>0</v>
      </c>
      <c r="K14" s="1296">
        <f t="shared" si="0"/>
        <v>0</v>
      </c>
      <c r="L14" s="1495">
        <f t="shared" si="1"/>
        <v>0</v>
      </c>
      <c r="M14" s="1531">
        <f t="shared" si="2"/>
        <v>-30000</v>
      </c>
      <c r="N14" s="1531">
        <f t="shared" si="3"/>
        <v>30000</v>
      </c>
      <c r="O14" s="1531">
        <f t="shared" si="4"/>
        <v>0</v>
      </c>
    </row>
    <row r="15" spans="1:15" ht="37.5" thickBot="1">
      <c r="A15" s="376">
        <f t="shared" si="5"/>
        <v>14</v>
      </c>
      <c r="B15" s="375" t="str">
        <f>CONCATENATE('3 pr-2'!D23)</f>
        <v>Varėnos r. Dargužių kaimo Liepų gatvės ir viešosios erdvės įrengimas</v>
      </c>
      <c r="C15" s="375" t="str">
        <f>CONCATENATE('3 pr-2'!H23)</f>
        <v xml:space="preserve">Pagrindinės paslaugos ir kaimų atnaujinimas kaimo vietovėse </v>
      </c>
      <c r="D15" s="375" t="str">
        <f>CONCATENATE('3 pr-2'!E23)</f>
        <v xml:space="preserve">Varėnos rajono savivaldybės administracija </v>
      </c>
      <c r="E15" s="573" t="str">
        <f>CONCATENATE('3 pr-2'!G23)</f>
        <v>Varėnos r. sav.</v>
      </c>
      <c r="F15" s="1481" t="str">
        <f>CONCATENATE('3 pr-2'!J23)</f>
        <v>-</v>
      </c>
      <c r="G15" s="1480">
        <f>SUM('3 pr-2'!AA23)</f>
        <v>172500.8</v>
      </c>
      <c r="H15" s="644">
        <f>SUM(KPP!J20)</f>
        <v>146625.68</v>
      </c>
      <c r="I15" s="644">
        <f>SUM('ketv. 6 '!AF22)</f>
        <v>172500.8</v>
      </c>
      <c r="J15" s="644">
        <f>SUM('ketv. 7 '!AL21)</f>
        <v>0</v>
      </c>
      <c r="K15" s="1296">
        <f t="shared" si="0"/>
        <v>0</v>
      </c>
      <c r="L15" s="1495">
        <f t="shared" si="1"/>
        <v>0</v>
      </c>
      <c r="M15" s="1531">
        <f t="shared" si="2"/>
        <v>-25875.119999999995</v>
      </c>
      <c r="N15" s="1531">
        <f t="shared" si="3"/>
        <v>25875.119999999995</v>
      </c>
      <c r="O15" s="1531">
        <f t="shared" si="4"/>
        <v>0</v>
      </c>
    </row>
    <row r="16" spans="1:15" ht="37.5" thickBot="1">
      <c r="A16" s="376">
        <f t="shared" si="5"/>
        <v>15</v>
      </c>
      <c r="B16" s="375" t="str">
        <f>CONCATENATE('3 pr-2'!D24)</f>
        <v>Alytaus rajono Vaisodžių kaimo sporto aikštės įrengimas ir gatvių apšvietimo atnaujinimas bei plėtra</v>
      </c>
      <c r="C16" s="375" t="str">
        <f>CONCATENATE('3 pr-2'!H24)</f>
        <v xml:space="preserve">Pagrindinės paslaugos ir kaimų atnaujinimas kaimo vietovėse </v>
      </c>
      <c r="D16" s="375" t="str">
        <f>CONCATENATE('3 pr-2'!E24)</f>
        <v>Alytaus rajono savivaldybės administracija</v>
      </c>
      <c r="E16" s="573" t="str">
        <f>CONCATENATE('3 pr-2'!G24)</f>
        <v>Alytaus r. sav.</v>
      </c>
      <c r="F16" s="1481" t="str">
        <f>CONCATENATE('3 pr-2'!J24)</f>
        <v>-</v>
      </c>
      <c r="G16" s="1480">
        <f>SUM('3 pr-2'!AA24)</f>
        <v>60704</v>
      </c>
      <c r="H16" s="644">
        <f>SUM(KPP!J21)</f>
        <v>51598</v>
      </c>
      <c r="I16" s="644">
        <f>SUM('ketv. 6 '!AF23)</f>
        <v>60704</v>
      </c>
      <c r="J16" s="644">
        <f>SUM('ketv. 7 '!AL22)</f>
        <v>0</v>
      </c>
      <c r="K16" s="1296">
        <f t="shared" si="0"/>
        <v>0</v>
      </c>
      <c r="L16" s="1495">
        <f t="shared" si="1"/>
        <v>0</v>
      </c>
      <c r="M16" s="1531">
        <f t="shared" si="2"/>
        <v>-9106</v>
      </c>
      <c r="N16" s="1531">
        <f t="shared" si="3"/>
        <v>9106</v>
      </c>
      <c r="O16" s="1531">
        <f t="shared" si="4"/>
        <v>0</v>
      </c>
    </row>
    <row r="17" spans="1:15" ht="37.5" thickBot="1">
      <c r="A17" s="376">
        <f t="shared" si="5"/>
        <v>16</v>
      </c>
      <c r="B17" s="375" t="str">
        <f>CONCATENATE('3 pr-2'!D25)</f>
        <v>Alytaus rajono Talokių kaimo sporto aikštės įrengimas ir Plytinės gatvės apšvietimas</v>
      </c>
      <c r="C17" s="375" t="str">
        <f>CONCATENATE('3 pr-2'!H25)</f>
        <v xml:space="preserve">Pagrindinės paslaugos ir kaimų atnaujinimas kaimo vietovėse </v>
      </c>
      <c r="D17" s="375" t="str">
        <f>CONCATENATE('3 pr-2'!E25)</f>
        <v>Alytaus rajono savivaldybės administracija</v>
      </c>
      <c r="E17" s="573" t="str">
        <f>CONCATENATE('3 pr-2'!G25)</f>
        <v>Alytaus r. sav.</v>
      </c>
      <c r="F17" s="1481" t="str">
        <f>CONCATENATE('3 pr-2'!J25)</f>
        <v>-</v>
      </c>
      <c r="G17" s="1480">
        <f>SUM('3 pr-2'!AA25)</f>
        <v>96399</v>
      </c>
      <c r="H17" s="644">
        <f>SUM(KPP!J22)</f>
        <v>81939.149999999994</v>
      </c>
      <c r="I17" s="644">
        <f>SUM('ketv. 6 '!AF24)</f>
        <v>96399</v>
      </c>
      <c r="J17" s="644">
        <f>SUM('ketv. 7 '!AL23)</f>
        <v>0</v>
      </c>
      <c r="K17" s="1296">
        <f t="shared" si="0"/>
        <v>0</v>
      </c>
      <c r="L17" s="1495">
        <f t="shared" si="1"/>
        <v>0</v>
      </c>
      <c r="M17" s="1531">
        <f t="shared" si="2"/>
        <v>-14459.850000000006</v>
      </c>
      <c r="N17" s="1531">
        <f t="shared" si="3"/>
        <v>14459.850000000006</v>
      </c>
      <c r="O17" s="1531">
        <f t="shared" si="4"/>
        <v>0</v>
      </c>
    </row>
    <row r="18" spans="1:15" ht="37.5" thickBot="1">
      <c r="A18" s="376">
        <f t="shared" si="5"/>
        <v>17</v>
      </c>
      <c r="B18" s="375" t="str">
        <f>CONCATENATE('3 pr-2'!D26)</f>
        <v>Varėnos r. Rudnios kaimo Pušyno gatvės įrengimas</v>
      </c>
      <c r="C18" s="375" t="str">
        <f>CONCATENATE('3 pr-2'!H26)</f>
        <v xml:space="preserve">Pagrindinės paslaugos ir kaimų atnaujinimas kaimo vietovėse </v>
      </c>
      <c r="D18" s="375" t="str">
        <f>CONCATENATE('3 pr-2'!E26)</f>
        <v xml:space="preserve">Varėnos rajono savivaldybės administracija </v>
      </c>
      <c r="E18" s="573" t="str">
        <f>CONCATENATE('3 pr-2'!G26)</f>
        <v>Varėnos r. sav.</v>
      </c>
      <c r="F18" s="1481" t="str">
        <f>CONCATENATE('3 pr-2'!J26)</f>
        <v>-</v>
      </c>
      <c r="G18" s="1480">
        <f>SUM('3 pr-2'!AA26)</f>
        <v>92499</v>
      </c>
      <c r="H18" s="644">
        <f>SUM(KPP!J23)</f>
        <v>78624.149999999994</v>
      </c>
      <c r="I18" s="644">
        <f>SUM('ketv. 6 '!AF25)</f>
        <v>92499</v>
      </c>
      <c r="J18" s="644">
        <f>SUM('ketv. 7 '!AL24)</f>
        <v>0</v>
      </c>
      <c r="K18" s="1296">
        <f t="shared" si="0"/>
        <v>0</v>
      </c>
      <c r="L18" s="1495">
        <f t="shared" si="1"/>
        <v>0</v>
      </c>
      <c r="M18" s="1531">
        <f t="shared" si="2"/>
        <v>-13874.850000000006</v>
      </c>
      <c r="N18" s="1531">
        <f t="shared" si="3"/>
        <v>13874.850000000006</v>
      </c>
      <c r="O18" s="1531">
        <f t="shared" si="4"/>
        <v>0</v>
      </c>
    </row>
    <row r="19" spans="1:15" ht="37.5" thickBot="1">
      <c r="A19" s="376">
        <f t="shared" si="5"/>
        <v>18</v>
      </c>
      <c r="B19" s="375" t="str">
        <f>CONCATENATE('3 pr-2'!D27)</f>
        <v>Varėnos kultūros centro Žilinų filialo pastato atnaujinimas ir pritaikymas bendruomenės poreikiams</v>
      </c>
      <c r="C19" s="375" t="str">
        <f>CONCATENATE('3 pr-2'!H27)</f>
        <v xml:space="preserve">Pagrindinės paslaugos ir kaimų atnaujinimas kaimo vietovėse </v>
      </c>
      <c r="D19" s="375" t="str">
        <f>CONCATENATE('3 pr-2'!E27)</f>
        <v xml:space="preserve">Varėnos rajono savivaldybės administracija </v>
      </c>
      <c r="E19" s="573" t="str">
        <f>CONCATENATE('3 pr-2'!G27)</f>
        <v>Varėnos r. sav.</v>
      </c>
      <c r="F19" s="1481" t="str">
        <f>CONCATENATE('3 pr-2'!J27)</f>
        <v>-</v>
      </c>
      <c r="G19" s="1480">
        <f>SUM('3 pr-2'!AA27)</f>
        <v>200000</v>
      </c>
      <c r="H19" s="644">
        <f>SUM(KPP!J24)</f>
        <v>170000</v>
      </c>
      <c r="I19" s="644">
        <f>SUM('ketv. 6 '!AF26)</f>
        <v>200000</v>
      </c>
      <c r="J19" s="644">
        <f>SUM('ketv. 7 '!AL25)</f>
        <v>0</v>
      </c>
      <c r="K19" s="1296">
        <f t="shared" si="0"/>
        <v>0</v>
      </c>
      <c r="L19" s="1495">
        <f t="shared" si="1"/>
        <v>0</v>
      </c>
      <c r="M19" s="1531">
        <f t="shared" si="2"/>
        <v>-30000</v>
      </c>
      <c r="N19" s="1531">
        <f t="shared" si="3"/>
        <v>30000</v>
      </c>
      <c r="O19" s="1531">
        <f t="shared" si="4"/>
        <v>0</v>
      </c>
    </row>
    <row r="20" spans="1:15" ht="37.5" thickBot="1">
      <c r="A20" s="376">
        <f t="shared" si="5"/>
        <v>19</v>
      </c>
      <c r="B20" s="375" t="str">
        <f>CONCATENATE('3 pr-2'!D28)</f>
        <v>Alytaus rajono Pivašiūnų kaimo šaligatvių, laiptų kapitalinis remontas ir gyvenvietės apšvietimo įrengimas</v>
      </c>
      <c r="C20" s="375" t="str">
        <f>CONCATENATE('3 pr-2'!H28)</f>
        <v xml:space="preserve">Pagrindinės paslaugos ir kaimų atnaujinimas kaimo vietovėse </v>
      </c>
      <c r="D20" s="375" t="str">
        <f>CONCATENATE('3 pr-2'!E28)</f>
        <v>Alytaus rajono savivaldybės administracija</v>
      </c>
      <c r="E20" s="573" t="str">
        <f>CONCATENATE('3 pr-2'!G28)</f>
        <v>Alytaus r. sav.</v>
      </c>
      <c r="F20" s="1481" t="str">
        <f>CONCATENATE('3 pr-2'!J28)</f>
        <v>-</v>
      </c>
      <c r="G20" s="1480">
        <f>SUM('3 pr-2'!AA28)</f>
        <v>94389</v>
      </c>
      <c r="H20" s="644">
        <f>SUM(KPP!J25)</f>
        <v>80230.649999999994</v>
      </c>
      <c r="I20" s="644">
        <f>SUM('ketv. 6 '!AF27)</f>
        <v>94389</v>
      </c>
      <c r="J20" s="644">
        <f>SUM('ketv. 7 '!AL26)</f>
        <v>0</v>
      </c>
      <c r="K20" s="1296">
        <f t="shared" si="0"/>
        <v>0</v>
      </c>
      <c r="L20" s="1495">
        <f t="shared" si="1"/>
        <v>0</v>
      </c>
      <c r="M20" s="1531">
        <f t="shared" si="2"/>
        <v>-14158.350000000006</v>
      </c>
      <c r="N20" s="1531">
        <f t="shared" si="3"/>
        <v>14158.350000000006</v>
      </c>
      <c r="O20" s="1531">
        <f t="shared" si="4"/>
        <v>0</v>
      </c>
    </row>
    <row r="21" spans="1:15" ht="37.5" thickBot="1">
      <c r="A21" s="376">
        <f t="shared" si="5"/>
        <v>20</v>
      </c>
      <c r="B21" s="375" t="str">
        <f>CONCATENATE('3 pr-2'!D29)</f>
        <v>Pastato, esančio Pušelės g. 11, Naujųjų Valkininkų k., Varėnos r., atnaujinimas ir pritaikymas bendruomenės poreikiams</v>
      </c>
      <c r="C21" s="375" t="str">
        <f>CONCATENATE('3 pr-2'!H29)</f>
        <v xml:space="preserve">Pagrindinės paslaugos ir kaimų atnaujinimas kaimo vietovėse </v>
      </c>
      <c r="D21" s="375" t="str">
        <f>CONCATENATE('3 pr-2'!E29)</f>
        <v xml:space="preserve">Varėnos rajono savivaldybės administracija </v>
      </c>
      <c r="E21" s="573" t="str">
        <f>CONCATENATE('3 pr-2'!G29)</f>
        <v>Varėnos r. sav.</v>
      </c>
      <c r="F21" s="1481" t="str">
        <f>CONCATENATE('3 pr-2'!J29)</f>
        <v>-</v>
      </c>
      <c r="G21" s="1480">
        <f>SUM('3 pr-2'!AA29)</f>
        <v>200000</v>
      </c>
      <c r="H21" s="644">
        <f>SUM(KPP!J26)</f>
        <v>170000</v>
      </c>
      <c r="I21" s="644">
        <f>SUM('ketv. 6 '!AF28)</f>
        <v>200000</v>
      </c>
      <c r="J21" s="644">
        <f>SUM('ketv. 7 '!AL27)</f>
        <v>0</v>
      </c>
      <c r="K21" s="1296">
        <f t="shared" si="0"/>
        <v>0</v>
      </c>
      <c r="L21" s="1495">
        <f t="shared" si="1"/>
        <v>0</v>
      </c>
      <c r="M21" s="1531">
        <f t="shared" si="2"/>
        <v>-30000</v>
      </c>
      <c r="N21" s="1531">
        <f t="shared" si="3"/>
        <v>30000</v>
      </c>
      <c r="O21" s="1531">
        <f t="shared" si="4"/>
        <v>0</v>
      </c>
    </row>
    <row r="22" spans="1:15" ht="37.5" thickBot="1">
      <c r="A22" s="376">
        <f t="shared" si="5"/>
        <v>21</v>
      </c>
      <c r="B22" s="375" t="str">
        <f>CONCATENATE('3 pr-2'!D30)</f>
        <v>Kaimo gyvenamųjų vietovių Lazdijų rajono savivaldybėje patrauklumo gerinimas</v>
      </c>
      <c r="C22" s="375" t="str">
        <f>CONCATENATE('3 pr-2'!H30)</f>
        <v xml:space="preserve">Pagrindinės paslaugos ir kaimų atnaujinimas kaimo vietovėse </v>
      </c>
      <c r="D22" s="375" t="str">
        <f>CONCATENATE('3 pr-2'!E30)</f>
        <v>Lazdijų rajono savivaldybės administracija</v>
      </c>
      <c r="E22" s="573" t="str">
        <f>CONCATENATE('3 pr-2'!G30)</f>
        <v>Lazdijų r. sav.</v>
      </c>
      <c r="F22" s="1481" t="str">
        <f>CONCATENATE('3 pr-2'!J30)</f>
        <v>-</v>
      </c>
      <c r="G22" s="1480">
        <f>SUM('3 pr-2'!AA30)</f>
        <v>136000</v>
      </c>
      <c r="H22" s="644">
        <f>SUM(KPP!J27)</f>
        <v>115600</v>
      </c>
      <c r="I22" s="644">
        <f>SUM('ketv. 6 '!AF29)</f>
        <v>136000</v>
      </c>
      <c r="J22" s="644">
        <f>SUM('ketv. 7 '!AL28)</f>
        <v>0</v>
      </c>
      <c r="K22" s="1296">
        <f t="shared" si="0"/>
        <v>0</v>
      </c>
      <c r="L22" s="1495">
        <f t="shared" si="1"/>
        <v>0</v>
      </c>
      <c r="M22" s="1531">
        <f t="shared" si="2"/>
        <v>-20400</v>
      </c>
      <c r="N22" s="1531">
        <f t="shared" si="3"/>
        <v>20400</v>
      </c>
      <c r="O22" s="1531">
        <f t="shared" si="4"/>
        <v>0</v>
      </c>
    </row>
    <row r="23" spans="1:15" ht="37.5" thickBot="1">
      <c r="A23" s="376">
        <f t="shared" si="5"/>
        <v>22</v>
      </c>
      <c r="B23" s="375" t="str">
        <f>CONCATENATE('3 pr-2'!D31)</f>
        <v>Alytaus rajono Makniūnų kaimo šaligatvių atnaujinimas ir plėtra</v>
      </c>
      <c r="C23" s="375" t="str">
        <f>CONCATENATE('3 pr-2'!H31)</f>
        <v xml:space="preserve">Pagrindinės paslaugos ir kaimų atnaujinimas kaimo vietovėse </v>
      </c>
      <c r="D23" s="375" t="str">
        <f>CONCATENATE('3 pr-2'!E31)</f>
        <v>Alytaus rajono savivaldybės administracija</v>
      </c>
      <c r="E23" s="573" t="str">
        <f>CONCATENATE('3 pr-2'!G31)</f>
        <v>Alytaus r. sav.</v>
      </c>
      <c r="F23" s="1481" t="str">
        <f>CONCATENATE('3 pr-2'!J31)</f>
        <v>-</v>
      </c>
      <c r="G23" s="1480">
        <f>SUM('3 pr-2'!AA31)</f>
        <v>56793</v>
      </c>
      <c r="H23" s="644">
        <f>SUM(KPP!J28)</f>
        <v>48274.05</v>
      </c>
      <c r="I23" s="644">
        <f>SUM('ketv. 6 '!AF30)</f>
        <v>56793</v>
      </c>
      <c r="J23" s="644">
        <f>SUM('ketv. 7 '!AL29)</f>
        <v>0</v>
      </c>
      <c r="K23" s="1296">
        <f t="shared" si="0"/>
        <v>0</v>
      </c>
      <c r="L23" s="1495">
        <f t="shared" si="1"/>
        <v>0</v>
      </c>
      <c r="M23" s="1531">
        <f t="shared" si="2"/>
        <v>-8518.9499999999971</v>
      </c>
      <c r="N23" s="1531">
        <f t="shared" si="3"/>
        <v>8518.9499999999971</v>
      </c>
      <c r="O23" s="1531">
        <f t="shared" si="4"/>
        <v>0</v>
      </c>
    </row>
    <row r="24" spans="1:15" ht="37.5" thickBot="1">
      <c r="A24" s="376">
        <f t="shared" si="5"/>
        <v>23</v>
      </c>
      <c r="B24" s="375" t="str">
        <f>CONCATENATE('3 pr-2'!D32)</f>
        <v>Varėnos r. Vazgirdonių kaimo Klevų gatvės įrengimas</v>
      </c>
      <c r="C24" s="375" t="str">
        <f>CONCATENATE('3 pr-2'!H32)</f>
        <v xml:space="preserve">Pagrindinės paslaugos ir kaimų atnaujinimas kaimo vietovėse </v>
      </c>
      <c r="D24" s="375" t="str">
        <f>CONCATENATE('3 pr-2'!E32)</f>
        <v xml:space="preserve">Varėnos rajono savivaldybės administracija </v>
      </c>
      <c r="E24" s="573" t="str">
        <f>CONCATENATE('3 pr-2'!G32)</f>
        <v>Varėnos r. sav.</v>
      </c>
      <c r="F24" s="1481" t="str">
        <f>CONCATENATE('3 pr-2'!J32)</f>
        <v>-</v>
      </c>
      <c r="G24" s="1480">
        <f>SUM('3 pr-2'!AA32)</f>
        <v>122596.20000000001</v>
      </c>
      <c r="H24" s="644">
        <f>SUM(KPP!J29)</f>
        <v>104206.77</v>
      </c>
      <c r="I24" s="644">
        <f>SUM('ketv. 6 '!AF31)</f>
        <v>0</v>
      </c>
      <c r="J24" s="644">
        <f>SUM('ketv. 7 '!AL30)</f>
        <v>0</v>
      </c>
      <c r="K24" s="1296">
        <f t="shared" si="0"/>
        <v>0</v>
      </c>
      <c r="L24" s="1495">
        <f t="shared" si="1"/>
        <v>0</v>
      </c>
      <c r="M24" s="1531" t="str">
        <f t="shared" si="2"/>
        <v>–</v>
      </c>
      <c r="N24" s="1531">
        <f t="shared" si="3"/>
        <v>18389.430000000008</v>
      </c>
      <c r="O24" s="1531" t="str">
        <f t="shared" si="4"/>
        <v>–</v>
      </c>
    </row>
    <row r="25" spans="1:15" ht="37.5" thickBot="1">
      <c r="A25" s="376">
        <f t="shared" ref="A25" si="6">ROW(A24)</f>
        <v>24</v>
      </c>
      <c r="B25" s="375" t="str">
        <f>CONCATENATE('3 pr-2'!D34)</f>
        <v>Matuizų kaimo viešosios infrastruktūros atnaujinimas ir pritaikymas bendruomenės poreikiams</v>
      </c>
      <c r="C25" s="375" t="str">
        <f>CONCATENATE('3 pr-2'!H34)</f>
        <v>8.2.1-CPVA-R-908</v>
      </c>
      <c r="D25" s="375" t="str">
        <f>CONCATENATE('3 pr-2'!E34)</f>
        <v>Varėnos rajono savivaldybės administracija</v>
      </c>
      <c r="E25" s="573" t="str">
        <f>CONCATENATE('3 pr-2'!G34)</f>
        <v>Varėnos r. sav.</v>
      </c>
      <c r="F25" s="1481" t="str">
        <f>CONCATENATE('3 pr-2'!J34)</f>
        <v>-</v>
      </c>
      <c r="G25" s="1480">
        <f>SUM('3 pr-2'!AA34)</f>
        <v>487341</v>
      </c>
      <c r="H25" s="644">
        <f>SUMIF('908'!$C$21:$C$31,B25,'908'!$I$21:$I$31)</f>
        <v>487341</v>
      </c>
      <c r="I25" s="644">
        <f>SUM('ketv. 6 '!AF33)</f>
        <v>487341</v>
      </c>
      <c r="J25" s="644">
        <f>SUM('ketv. 7 '!AL32)</f>
        <v>2705.17</v>
      </c>
      <c r="K25" s="1296">
        <f t="shared" si="0"/>
        <v>5.5508771065845069E-3</v>
      </c>
      <c r="L25" s="1495">
        <f t="shared" si="1"/>
        <v>5.5508771065845069E-3</v>
      </c>
      <c r="M25" s="1531">
        <f t="shared" si="2"/>
        <v>0</v>
      </c>
      <c r="N25" s="1531">
        <f t="shared" si="3"/>
        <v>0</v>
      </c>
      <c r="O25" s="1531">
        <f t="shared" si="4"/>
        <v>0</v>
      </c>
    </row>
    <row r="26" spans="1:15" ht="37.5" thickBot="1">
      <c r="A26" s="376">
        <f t="shared" si="5"/>
        <v>25</v>
      </c>
      <c r="B26" s="375" t="str">
        <f>CONCATENATE('3 pr-2'!D35)</f>
        <v>Senosios Varėnos kaimo viešosios infrastruktūros atnaujinimas ir pritaikymas bendruomenės poreikiams</v>
      </c>
      <c r="C26" s="375" t="str">
        <f>CONCATENATE('3 pr-2'!H35)</f>
        <v>8.2.1-CPVA-R-908</v>
      </c>
      <c r="D26" s="375" t="str">
        <f>CONCATENATE('3 pr-2'!E35)</f>
        <v>Varėnos rajono savivaldybės administracija</v>
      </c>
      <c r="E26" s="573" t="str">
        <f>CONCATENATE('3 pr-2'!G35)</f>
        <v>Varėnos r. sav.</v>
      </c>
      <c r="F26" s="1481" t="str">
        <f>CONCATENATE('3 pr-2'!J35)</f>
        <v>-</v>
      </c>
      <c r="G26" s="1480">
        <f>SUM('3 pr-2'!AA35)</f>
        <v>514270.57</v>
      </c>
      <c r="H26" s="644">
        <f>SUMIF('908'!$C$21:$C$31,B26,'908'!$I$21:$I$31)</f>
        <v>514270.57</v>
      </c>
      <c r="I26" s="644">
        <f>SUM('ketv. 6 '!AF34)</f>
        <v>514270.57</v>
      </c>
      <c r="J26" s="644">
        <f>SUM('ketv. 7 '!AL33)</f>
        <v>140093.69</v>
      </c>
      <c r="K26" s="1296">
        <f t="shared" si="0"/>
        <v>0.27241241901126095</v>
      </c>
      <c r="L26" s="1495">
        <f t="shared" si="1"/>
        <v>0.27241241901126095</v>
      </c>
      <c r="M26" s="1531">
        <f t="shared" si="2"/>
        <v>0</v>
      </c>
      <c r="N26" s="1531">
        <f t="shared" si="3"/>
        <v>0</v>
      </c>
      <c r="O26" s="1531">
        <f t="shared" si="4"/>
        <v>0</v>
      </c>
    </row>
    <row r="27" spans="1:15" ht="25.5" thickBot="1">
      <c r="A27" s="376">
        <f t="shared" si="5"/>
        <v>26</v>
      </c>
      <c r="B27" s="375" t="str">
        <f>CONCATENATE('3 pr-2'!D36)</f>
        <v>Kompleksinė Miklusėnų gyvenvietės plėtra</v>
      </c>
      <c r="C27" s="375" t="str">
        <f>CONCATENATE('3 pr-2'!H36)</f>
        <v>8.2.1-CPVA-R-908</v>
      </c>
      <c r="D27" s="375" t="str">
        <f>CONCATENATE('3 pr-2'!E36)</f>
        <v>Alytaus rajono savivaldybės administracija</v>
      </c>
      <c r="E27" s="573" t="str">
        <f>CONCATENATE('3 pr-2'!G36)</f>
        <v>Alytaus r. sav.</v>
      </c>
      <c r="F27" s="1481" t="str">
        <f>CONCATENATE('3 pr-2'!J36)</f>
        <v>-</v>
      </c>
      <c r="G27" s="1480">
        <f>SUM('3 pr-2'!AA36)</f>
        <v>886946</v>
      </c>
      <c r="H27" s="644">
        <f>SUMIF('908'!$C$21:$C$31,B27,'908'!$I$21:$I$31)</f>
        <v>886946</v>
      </c>
      <c r="I27" s="644">
        <f>SUM('ketv. 6 '!AF35)</f>
        <v>0</v>
      </c>
      <c r="J27" s="644">
        <f>SUM('ketv. 7 '!AL34)</f>
        <v>0</v>
      </c>
      <c r="K27" s="1296">
        <f t="shared" si="0"/>
        <v>0</v>
      </c>
      <c r="L27" s="1495">
        <f t="shared" si="1"/>
        <v>0</v>
      </c>
      <c r="M27" s="1531" t="str">
        <f t="shared" si="2"/>
        <v>–</v>
      </c>
      <c r="N27" s="1531">
        <f t="shared" si="3"/>
        <v>0</v>
      </c>
      <c r="O27" s="1531" t="str">
        <f t="shared" si="4"/>
        <v>–</v>
      </c>
    </row>
    <row r="28" spans="1:15" ht="25.5" thickBot="1">
      <c r="A28" s="376">
        <f t="shared" si="5"/>
        <v>27</v>
      </c>
      <c r="B28" s="375" t="str">
        <f>CONCATENATE('3 pr-2'!D37)</f>
        <v>Leipalingio viešosios erdvės pritaikymas bendruomenės poreikiams</v>
      </c>
      <c r="C28" s="375" t="str">
        <f>CONCATENATE('3 pr-2'!H37)</f>
        <v>8.2.1-CPVA-R-908</v>
      </c>
      <c r="D28" s="375" t="str">
        <f>CONCATENATE('3 pr-2'!E37)</f>
        <v xml:space="preserve">Druskininkų savivaldybės administracija  </v>
      </c>
      <c r="E28" s="573" t="str">
        <f>CONCATENATE('3 pr-2'!G37)</f>
        <v>Druskininkų sav.</v>
      </c>
      <c r="F28" s="1481" t="str">
        <f>CONCATENATE('3 pr-2'!J37)</f>
        <v>-</v>
      </c>
      <c r="G28" s="1480">
        <f>SUM('3 pr-2'!AA37)</f>
        <v>355096.91</v>
      </c>
      <c r="H28" s="644">
        <f>SUMIF('908'!$C$21:$C$31,B28,'908'!$I$21:$I$31)</f>
        <v>355096.91</v>
      </c>
      <c r="I28" s="644">
        <f>SUM('ketv. 6 '!AF36)</f>
        <v>355096.91</v>
      </c>
      <c r="J28" s="644">
        <f>SUM('ketv. 7 '!AL35)</f>
        <v>313291.7</v>
      </c>
      <c r="K28" s="1296">
        <f t="shared" si="0"/>
        <v>0.88227098343379007</v>
      </c>
      <c r="L28" s="1495">
        <f t="shared" si="1"/>
        <v>0.88227098343379007</v>
      </c>
      <c r="M28" s="1531">
        <f t="shared" si="2"/>
        <v>0</v>
      </c>
      <c r="N28" s="1531">
        <f t="shared" si="3"/>
        <v>0</v>
      </c>
      <c r="O28" s="1531">
        <f t="shared" si="4"/>
        <v>0</v>
      </c>
    </row>
    <row r="29" spans="1:15" ht="25.5" thickBot="1">
      <c r="A29" s="376">
        <f t="shared" si="5"/>
        <v>28</v>
      </c>
      <c r="B29" s="375" t="str">
        <f>CONCATENATE('3 pr-2'!D38)</f>
        <v>Viečiūnų viešosios erdvės pritaikymas bendruomenės poreikiams</v>
      </c>
      <c r="C29" s="375" t="str">
        <f>CONCATENATE('3 pr-2'!H38)</f>
        <v>8.2.1-CPVA-R-908</v>
      </c>
      <c r="D29" s="375" t="str">
        <f>CONCATENATE('3 pr-2'!E38)</f>
        <v xml:space="preserve">Druskininkų savivaldybės administracija  </v>
      </c>
      <c r="E29" s="573" t="str">
        <f>CONCATENATE('3 pr-2'!G38)</f>
        <v>Druskininkų sav.</v>
      </c>
      <c r="F29" s="1481" t="str">
        <f>CONCATENATE('3 pr-2'!J38)</f>
        <v>-</v>
      </c>
      <c r="G29" s="1480">
        <f>SUM('3 pr-2'!AA38)</f>
        <v>572796.16000000003</v>
      </c>
      <c r="H29" s="644">
        <f>SUMIF('908'!$C$21:$C$31,B29,'908'!$I$21:$I$31)</f>
        <v>572796.16000000003</v>
      </c>
      <c r="I29" s="644">
        <f>SUM('ketv. 6 '!AF37)</f>
        <v>572796.16000000003</v>
      </c>
      <c r="J29" s="644">
        <f>SUM('ketv. 7 '!AL36)</f>
        <v>215019.31</v>
      </c>
      <c r="K29" s="1296">
        <f t="shared" si="0"/>
        <v>0.37538539015345351</v>
      </c>
      <c r="L29" s="1495">
        <f t="shared" si="1"/>
        <v>0.37538539015345351</v>
      </c>
      <c r="M29" s="1531">
        <f t="shared" si="2"/>
        <v>0</v>
      </c>
      <c r="N29" s="1531">
        <f t="shared" si="3"/>
        <v>0</v>
      </c>
      <c r="O29" s="1531">
        <f t="shared" si="4"/>
        <v>0</v>
      </c>
    </row>
    <row r="30" spans="1:15" ht="37.5" thickBot="1">
      <c r="A30" s="376">
        <f t="shared" si="5"/>
        <v>29</v>
      </c>
      <c r="B30" s="375" t="str">
        <f>CONCATENATE('3 pr-2'!D40)</f>
        <v>Varėnos miesto centrinės dalies modernizavimas ir pritaikymas visuomenės poreikiams (I etapas)</v>
      </c>
      <c r="C30" s="375" t="str">
        <f>CONCATENATE('3 pr-2'!H40)</f>
        <v xml:space="preserve">07.1.1-CPVA-R-905 </v>
      </c>
      <c r="D30" s="375" t="str">
        <f>CONCATENATE('3 pr-2'!E40)</f>
        <v>Varėnos rajono savivaldybės administracija</v>
      </c>
      <c r="E30" s="573" t="str">
        <f>CONCATENATE('3 pr-2'!G40)</f>
        <v>Varėnos r. sav.</v>
      </c>
      <c r="F30" s="1481" t="str">
        <f>CONCATENATE('3 pr-2'!J40)</f>
        <v>ITI</v>
      </c>
      <c r="G30" s="1480">
        <f>SUM('3 pr-2'!AA40)</f>
        <v>1289301.81</v>
      </c>
      <c r="H30" s="644">
        <f>SUMIF('905'!$C$21:$C$30,B30,'905'!$I$21:$I$30)</f>
        <v>1289301.81</v>
      </c>
      <c r="I30" s="644">
        <f>SUM('ketv. 6 '!AF39)</f>
        <v>1263024.5600000003</v>
      </c>
      <c r="J30" s="644">
        <f>SUM('ketv. 7 '!AL38)</f>
        <v>1263024.5600000003</v>
      </c>
      <c r="K30" s="1296">
        <f t="shared" si="0"/>
        <v>0.97961900790320011</v>
      </c>
      <c r="L30" s="1495">
        <f t="shared" si="1"/>
        <v>0.97961900790320011</v>
      </c>
      <c r="M30" s="1531">
        <f t="shared" si="2"/>
        <v>26277.249999999767</v>
      </c>
      <c r="N30" s="1531">
        <f t="shared" si="3"/>
        <v>0</v>
      </c>
      <c r="O30" s="1531">
        <f t="shared" si="4"/>
        <v>26277.249999999767</v>
      </c>
    </row>
    <row r="31" spans="1:15" ht="37.5" thickBot="1">
      <c r="A31" s="376">
        <f t="shared" si="5"/>
        <v>30</v>
      </c>
      <c r="B31" s="375" t="str">
        <f>CONCATENATE('3 pr-2'!D41)</f>
        <v>Varėnos miesto centrinės dalies modernizavimas ir pritaikymas visuomenės poreikiams (II etapas)</v>
      </c>
      <c r="C31" s="375" t="str">
        <f>CONCATENATE('3 pr-2'!H41)</f>
        <v xml:space="preserve">07.1.1-CPVA-R-905 </v>
      </c>
      <c r="D31" s="375" t="str">
        <f>CONCATENATE('3 pr-2'!E41)</f>
        <v>Varėnos rajono savivaldybės administracija</v>
      </c>
      <c r="E31" s="573" t="str">
        <f>CONCATENATE('3 pr-2'!G41)</f>
        <v>Varėnos r. sav.</v>
      </c>
      <c r="F31" s="1481" t="str">
        <f>CONCATENATE('3 pr-2'!J41)</f>
        <v>ITI</v>
      </c>
      <c r="G31" s="1480">
        <f>SUM('3 pr-2'!AA41)</f>
        <v>685370</v>
      </c>
      <c r="H31" s="644">
        <f>SUMIF('905'!$C$21:$C$30,B31,'905'!$I$21:$I$30)</f>
        <v>685370.28</v>
      </c>
      <c r="I31" s="644">
        <f>SUM('ketv. 6 '!AF40)</f>
        <v>685370.28</v>
      </c>
      <c r="J31" s="644">
        <f>SUM('ketv. 7 '!AL39)</f>
        <v>685370.28</v>
      </c>
      <c r="K31" s="1296">
        <f t="shared" si="0"/>
        <v>1</v>
      </c>
      <c r="L31" s="1495">
        <f t="shared" si="1"/>
        <v>1.0000004085384537</v>
      </c>
      <c r="M31" s="1531">
        <f t="shared" si="2"/>
        <v>0</v>
      </c>
      <c r="N31" s="1531">
        <f t="shared" si="3"/>
        <v>-0.28000000002793968</v>
      </c>
      <c r="O31" s="1531">
        <f t="shared" si="4"/>
        <v>-0.28000000002793968</v>
      </c>
    </row>
    <row r="32" spans="1:15" ht="37.5" thickBot="1">
      <c r="A32" s="376">
        <f t="shared" si="5"/>
        <v>31</v>
      </c>
      <c r="B32" s="375" t="str">
        <f>CONCATENATE('3 pr-2'!D42)</f>
        <v>Varėnos miesto Dainų slėnio infrastruktūros atnaujinimas ir pritaikymas visuomenės poreikiams</v>
      </c>
      <c r="C32" s="375" t="str">
        <f>CONCATENATE('3 pr-2'!H42)</f>
        <v xml:space="preserve">07.1.1-CPVA-R-905 </v>
      </c>
      <c r="D32" s="375" t="str">
        <f>CONCATENATE('3 pr-2'!E42)</f>
        <v>Varėnos rajono savivaldybės administracija</v>
      </c>
      <c r="E32" s="573" t="str">
        <f>CONCATENATE('3 pr-2'!G42)</f>
        <v>Varėnos r. sav.</v>
      </c>
      <c r="F32" s="1481" t="str">
        <f>CONCATENATE('3 pr-2'!J42)</f>
        <v>ITI</v>
      </c>
      <c r="G32" s="1480">
        <f>SUM('3 pr-2'!AA42)</f>
        <v>437449.44</v>
      </c>
      <c r="H32" s="644">
        <f>SUMIF('905'!$C$21:$C$30,B32,'905'!$I$21:$I$30)</f>
        <v>437449.44</v>
      </c>
      <c r="I32" s="644">
        <f>SUM('ketv. 6 '!AF41)</f>
        <v>437449.44</v>
      </c>
      <c r="J32" s="644">
        <f>SUM('ketv. 7 '!AL40)</f>
        <v>14429.59</v>
      </c>
      <c r="K32" s="1296">
        <f t="shared" si="0"/>
        <v>3.2985732019682093E-2</v>
      </c>
      <c r="L32" s="1495">
        <f t="shared" si="1"/>
        <v>3.2985732019682093E-2</v>
      </c>
      <c r="M32" s="1531">
        <f t="shared" si="2"/>
        <v>0</v>
      </c>
      <c r="N32" s="1531">
        <f t="shared" si="3"/>
        <v>0</v>
      </c>
      <c r="O32" s="1531">
        <f t="shared" si="4"/>
        <v>0</v>
      </c>
    </row>
    <row r="33" spans="1:15" ht="25.5" thickBot="1">
      <c r="A33" s="376">
        <f t="shared" si="5"/>
        <v>32</v>
      </c>
      <c r="B33" s="375" t="str">
        <f>CONCATENATE('3 pr-2'!D43)</f>
        <v>Karloniškės ežero ir jo prieigų sutvarkymas ir pritaikymas aktyviam poilsiui</v>
      </c>
      <c r="C33" s="375" t="str">
        <f>CONCATENATE('3 pr-2'!H43)</f>
        <v xml:space="preserve">07.1.1-CPVA-R-905 </v>
      </c>
      <c r="D33" s="375" t="str">
        <f>CONCATENATE('3 pr-2'!E43)</f>
        <v>Varėnos rajono savivaldybės administracija</v>
      </c>
      <c r="E33" s="573" t="str">
        <f>CONCATENATE('3 pr-2'!G43)</f>
        <v>Varėnos r. sav.</v>
      </c>
      <c r="F33" s="1481" t="str">
        <f>CONCATENATE('3 pr-2'!J43)</f>
        <v>ITI</v>
      </c>
      <c r="G33" s="1480">
        <f>SUM('3 pr-2'!AA43)</f>
        <v>745889.15</v>
      </c>
      <c r="H33" s="644">
        <f>SUMIF('905'!$C$21:$C$30,B33,'905'!$I$21:$I$30)</f>
        <v>745889.15</v>
      </c>
      <c r="I33" s="644">
        <f>SUM('ketv. 6 '!AF42)</f>
        <v>643658.59</v>
      </c>
      <c r="J33" s="644">
        <f>SUM('ketv. 7 '!AL41)</f>
        <v>164652.37</v>
      </c>
      <c r="K33" s="1296">
        <f t="shared" si="0"/>
        <v>0.22074643397078506</v>
      </c>
      <c r="L33" s="1495">
        <f t="shared" si="1"/>
        <v>0.22074643397078506</v>
      </c>
      <c r="M33" s="1531">
        <f t="shared" si="2"/>
        <v>102230.56000000006</v>
      </c>
      <c r="N33" s="1531">
        <f t="shared" si="3"/>
        <v>0</v>
      </c>
      <c r="O33" s="1531">
        <f t="shared" si="4"/>
        <v>102230.56000000006</v>
      </c>
    </row>
    <row r="34" spans="1:15" ht="25.5" thickBot="1">
      <c r="A34" s="376">
        <f t="shared" si="5"/>
        <v>33</v>
      </c>
      <c r="B34" s="375" t="str">
        <f>CONCATENATE('3 pr-2'!D44)</f>
        <v>Nenaudojamų teritorijų Varėnos mieste sutvarkymas ir pritaikymas verslui</v>
      </c>
      <c r="C34" s="375" t="str">
        <f>CONCATENATE('3 pr-2'!H44)</f>
        <v xml:space="preserve">07.1.1-CPVA-R-905 </v>
      </c>
      <c r="D34" s="375" t="str">
        <f>CONCATENATE('3 pr-2'!E44)</f>
        <v>Varėnos rajono savivaldybės administracija</v>
      </c>
      <c r="E34" s="573" t="str">
        <f>CONCATENATE('3 pr-2'!G44)</f>
        <v>Varėnos r. sav.</v>
      </c>
      <c r="F34" s="1481" t="str">
        <f>CONCATENATE('3 pr-2'!J44)</f>
        <v>ITI</v>
      </c>
      <c r="G34" s="1480">
        <f>SUM('3 pr-2'!AA44)</f>
        <v>127500</v>
      </c>
      <c r="H34" s="644">
        <f>SUMIF('905'!$C$21:$C$30,B34,'905'!$I$21:$I$30)</f>
        <v>127500</v>
      </c>
      <c r="I34" s="644">
        <f>SUM('ketv. 6 '!AF43)</f>
        <v>127500</v>
      </c>
      <c r="J34" s="644">
        <f>SUM('ketv. 7 '!AL42)</f>
        <v>2618.9299999999998</v>
      </c>
      <c r="K34" s="1296">
        <f t="shared" si="0"/>
        <v>2.0540627450980391E-2</v>
      </c>
      <c r="L34" s="1495">
        <f t="shared" si="1"/>
        <v>2.0540627450980391E-2</v>
      </c>
      <c r="M34" s="1531">
        <f t="shared" si="2"/>
        <v>0</v>
      </c>
      <c r="N34" s="1531">
        <f t="shared" si="3"/>
        <v>0</v>
      </c>
      <c r="O34" s="1531">
        <f t="shared" si="4"/>
        <v>0</v>
      </c>
    </row>
    <row r="35" spans="1:15" ht="37.5" thickBot="1">
      <c r="A35" s="376">
        <f t="shared" ref="A35:A63" si="7">ROW(A34)</f>
        <v>34</v>
      </c>
      <c r="B35" s="375" t="str">
        <f>CONCATENATE('3 pr-2'!D45)</f>
        <v>Teritorijų prie daugiabučių gyvenamųjų pastatų Varėnos mieste sutvarkymas ir pritaikymas visuomenės poreikiams</v>
      </c>
      <c r="C35" s="375" t="str">
        <f>CONCATENATE('3 pr-2'!H45)</f>
        <v xml:space="preserve">07.1.1-CPVA-R-905 </v>
      </c>
      <c r="D35" s="375" t="str">
        <f>CONCATENATE('3 pr-2'!E45)</f>
        <v>Varėnos rajono savivaldybės administracija</v>
      </c>
      <c r="E35" s="573" t="str">
        <f>CONCATENATE('3 pr-2'!G45)</f>
        <v>Varėnos r. sav.</v>
      </c>
      <c r="F35" s="1481" t="str">
        <f>CONCATENATE('3 pr-2'!J45)</f>
        <v>ITI</v>
      </c>
      <c r="G35" s="1480">
        <f>SUM('3 pr-2'!AA45)</f>
        <v>411789.06</v>
      </c>
      <c r="H35" s="644">
        <f>SUMIF('905'!$C$21:$C$30,B35,'905'!$I$21:$I$30)</f>
        <v>411789.06</v>
      </c>
      <c r="I35" s="644">
        <f>SUM('ketv. 6 '!AF44)</f>
        <v>255317.05</v>
      </c>
      <c r="J35" s="644">
        <f>SUM('ketv. 7 '!AL43)</f>
        <v>0</v>
      </c>
      <c r="K35" s="1296">
        <f t="shared" si="0"/>
        <v>0</v>
      </c>
      <c r="L35" s="1495">
        <f t="shared" si="1"/>
        <v>0</v>
      </c>
      <c r="M35" s="1531">
        <f t="shared" si="2"/>
        <v>156472.01</v>
      </c>
      <c r="N35" s="1531">
        <f t="shared" si="3"/>
        <v>0</v>
      </c>
      <c r="O35" s="1531">
        <f t="shared" si="4"/>
        <v>156472.01</v>
      </c>
    </row>
    <row r="36" spans="1:15" ht="25.5" thickBot="1">
      <c r="A36" s="376">
        <f t="shared" si="7"/>
        <v>35</v>
      </c>
      <c r="B36" s="375" t="str">
        <f>CONCATENATE('3 pr-2'!D48)</f>
        <v>Amatų centro „Menų kalvė“ Druskininkuose įkūrimas</v>
      </c>
      <c r="C36" s="375" t="str">
        <f>CONCATENATE('3 pr-2'!H48)</f>
        <v>07.1.1-CPVA-R-903</v>
      </c>
      <c r="D36" s="375" t="str">
        <f>CONCATENATE('3 pr-2'!E48)</f>
        <v xml:space="preserve">Druskininkų savivaldybės administracija  </v>
      </c>
      <c r="E36" s="573" t="str">
        <f>CONCATENATE('3 pr-2'!G48)</f>
        <v>Druskininkų sav.</v>
      </c>
      <c r="F36" s="1481" t="str">
        <f>CONCATENATE('3 pr-2'!J48)</f>
        <v>ITI</v>
      </c>
      <c r="G36" s="1480">
        <f>SUM('3 pr-2'!AA48)</f>
        <v>283503.94</v>
      </c>
      <c r="H36" s="644">
        <f ca="1">SUMIF('903'!$C$21:$C$30,B36,'903'!$I$21:$I$25)</f>
        <v>283503.94</v>
      </c>
      <c r="I36" s="644">
        <f>SUM('ketv. 6 '!AF47)</f>
        <v>283503.94</v>
      </c>
      <c r="J36" s="644">
        <f>SUM('ketv. 7 '!AL46)</f>
        <v>283407.53999999998</v>
      </c>
      <c r="K36" s="1296">
        <f t="shared" ca="1" si="0"/>
        <v>0.99965996945227631</v>
      </c>
      <c r="L36" s="1495">
        <f t="shared" si="1"/>
        <v>0.99965996945227631</v>
      </c>
      <c r="M36" s="1531">
        <f t="shared" ca="1" si="2"/>
        <v>0</v>
      </c>
      <c r="N36" s="1531">
        <f t="shared" ca="1" si="3"/>
        <v>0</v>
      </c>
      <c r="O36" s="1531">
        <f t="shared" si="4"/>
        <v>0</v>
      </c>
    </row>
    <row r="37" spans="1:15" ht="25.5" thickBot="1">
      <c r="A37" s="376">
        <f t="shared" si="7"/>
        <v>36</v>
      </c>
      <c r="B37" s="375" t="str">
        <f>CONCATENATE('3 pr-2'!D49)</f>
        <v>Lazdijų miesto kompleksinė infrastruktūros plėtra, III etapas</v>
      </c>
      <c r="C37" s="375" t="str">
        <f>CONCATENATE('3 pr-2'!H49)</f>
        <v>07.1.1-CPVA-R-903</v>
      </c>
      <c r="D37" s="375" t="str">
        <f>CONCATENATE('3 pr-2'!E49)</f>
        <v>Lazdijų rajono savivaldybės administracija</v>
      </c>
      <c r="E37" s="573" t="str">
        <f>CONCATENATE('3 pr-2'!G49)</f>
        <v>Lazdijų r. sav.</v>
      </c>
      <c r="F37" s="1481" t="str">
        <f>CONCATENATE('3 pr-2'!J49)</f>
        <v>ITI</v>
      </c>
      <c r="G37" s="1480">
        <f>SUM('3 pr-2'!AA49)</f>
        <v>291980.95</v>
      </c>
      <c r="H37" s="644">
        <f ca="1">SUMIF('903'!$C$21:$C$30,B37,'903'!$I$21:$I$25)</f>
        <v>291980.95</v>
      </c>
      <c r="I37" s="644">
        <f>SUM('ketv. 6 '!AF48)</f>
        <v>291980.95</v>
      </c>
      <c r="J37" s="644">
        <f>SUM('ketv. 7 '!AL47)</f>
        <v>176856.91</v>
      </c>
      <c r="K37" s="1296">
        <f t="shared" ca="1" si="0"/>
        <v>0.60571386592173226</v>
      </c>
      <c r="L37" s="1495">
        <f t="shared" si="1"/>
        <v>0.60571386592173226</v>
      </c>
      <c r="M37" s="1531">
        <f t="shared" ca="1" si="2"/>
        <v>0</v>
      </c>
      <c r="N37" s="1531">
        <f t="shared" ca="1" si="3"/>
        <v>0</v>
      </c>
      <c r="O37" s="1531">
        <f t="shared" si="4"/>
        <v>0</v>
      </c>
    </row>
    <row r="38" spans="1:15" ht="37.5" thickBot="1">
      <c r="A38" s="376">
        <f t="shared" si="7"/>
        <v>37</v>
      </c>
      <c r="B38" s="375" t="str">
        <f>CONCATENATE('3 pr-2'!D51)</f>
        <v>Geriamojo vandens tiekimo ir nuotekų tvarkymo sistemų renovavimas ir plėtra Varėnos rajone</v>
      </c>
      <c r="C38" s="375" t="str">
        <f>CONCATENATE('3 pr-2'!H51)</f>
        <v>05.3.2-APVA-R-014</v>
      </c>
      <c r="D38" s="375" t="str">
        <f>CONCATENATE('3 pr-2'!E51)</f>
        <v>UAB „Varėnos vandenys“</v>
      </c>
      <c r="E38" s="573" t="str">
        <f>CONCATENATE('3 pr-2'!G51)</f>
        <v>Varėnos r. sav.</v>
      </c>
      <c r="F38" s="1481" t="str">
        <f>CONCATENATE('3 pr-2'!J51)</f>
        <v>ITI</v>
      </c>
      <c r="G38" s="1480">
        <f>SUM('3 pr-2'!AA51)</f>
        <v>1614228.26</v>
      </c>
      <c r="H38" s="644">
        <f>SUMIF('014'!$C$21:$C$30,B38,'014'!$I$21:$I$30)</f>
        <v>1614228.26</v>
      </c>
      <c r="I38" s="644">
        <f>SUM('ketv. 6 '!AF50)</f>
        <v>1614228.26</v>
      </c>
      <c r="J38" s="644">
        <f>SUM('ketv. 7 '!AL49)</f>
        <v>1214116.9400000002</v>
      </c>
      <c r="K38" s="1296">
        <f t="shared" si="0"/>
        <v>0.75213460827404932</v>
      </c>
      <c r="L38" s="1495">
        <f t="shared" si="1"/>
        <v>0.75213460827404932</v>
      </c>
      <c r="M38" s="1531">
        <f t="shared" si="2"/>
        <v>0</v>
      </c>
      <c r="N38" s="1531">
        <f t="shared" si="3"/>
        <v>0</v>
      </c>
      <c r="O38" s="1531">
        <f t="shared" si="4"/>
        <v>0</v>
      </c>
    </row>
    <row r="39" spans="1:15" ht="25.5" thickBot="1">
      <c r="A39" s="376">
        <f t="shared" si="7"/>
        <v>38</v>
      </c>
      <c r="B39" s="375" t="str">
        <f>CONCATENATE('3 pr-2'!D52)</f>
        <v>Geriamojo vandens ir nuotekų tvarkymo sistemų renovavimas Alytaus mieste</v>
      </c>
      <c r="C39" s="375" t="str">
        <f>CONCATENATE('3 pr-2'!H52)</f>
        <v>05.3.2-APVA-R-014</v>
      </c>
      <c r="D39" s="375" t="str">
        <f>CONCATENATE('3 pr-2'!E52)</f>
        <v>UAB “Dzūkijos vandenys“</v>
      </c>
      <c r="E39" s="573" t="str">
        <f>CONCATENATE('3 pr-2'!G52)</f>
        <v>Alytaus m. sav.</v>
      </c>
      <c r="F39" s="1481" t="str">
        <f>CONCATENATE('3 pr-2'!J52)</f>
        <v>ITI</v>
      </c>
      <c r="G39" s="1480">
        <f>SUM('3 pr-2'!AA52)</f>
        <v>2696984.31</v>
      </c>
      <c r="H39" s="644">
        <f>SUMIF('014'!$C$21:$C$30,B39,'014'!$I$21:$I$30)</f>
        <v>2696984.31</v>
      </c>
      <c r="I39" s="644">
        <f>SUM('ketv. 6 '!AF51)</f>
        <v>2645996.25</v>
      </c>
      <c r="J39" s="644">
        <f>SUM('ketv. 7 '!AL50)</f>
        <v>1476827.27</v>
      </c>
      <c r="K39" s="1296">
        <f t="shared" si="0"/>
        <v>0.54758467245217302</v>
      </c>
      <c r="L39" s="1495">
        <f t="shared" si="1"/>
        <v>0.54758467245217302</v>
      </c>
      <c r="M39" s="1531">
        <f t="shared" si="2"/>
        <v>50988.060000000056</v>
      </c>
      <c r="N39" s="1531">
        <f t="shared" si="3"/>
        <v>0</v>
      </c>
      <c r="O39" s="1531">
        <f t="shared" si="4"/>
        <v>50988.060000000056</v>
      </c>
    </row>
    <row r="40" spans="1:15" ht="37.5" thickBot="1">
      <c r="A40" s="376">
        <f t="shared" si="7"/>
        <v>39</v>
      </c>
      <c r="B40" s="375" t="str">
        <f>CONCATENATE('3 pr-2'!D53)</f>
        <v>Geriamojo vandens tiekimo ir nuotekų tvarkymo sistemų renovavimas ir plėtra Lazdijų rajono savivaldybėje</v>
      </c>
      <c r="C40" s="375" t="str">
        <f>CONCATENATE('3 pr-2'!H53)</f>
        <v>05.3.2-APVA-R-014</v>
      </c>
      <c r="D40" s="375" t="str">
        <f>CONCATENATE('3 pr-2'!E53)</f>
        <v>UAB „Lazdijų vanduo“</v>
      </c>
      <c r="E40" s="573" t="str">
        <f>CONCATENATE('3 pr-2'!G53)</f>
        <v>Lazdijų r. sav.</v>
      </c>
      <c r="F40" s="1481" t="str">
        <f>CONCATENATE('3 pr-2'!J53)</f>
        <v>-</v>
      </c>
      <c r="G40" s="1480">
        <f>SUM('3 pr-2'!AA53)</f>
        <v>796102</v>
      </c>
      <c r="H40" s="644">
        <f>SUMIF('014'!$C$21:$C$30,B40,'014'!$I$21:$I$30)</f>
        <v>796102</v>
      </c>
      <c r="I40" s="644">
        <f>SUM('ketv. 6 '!AF52)</f>
        <v>796102</v>
      </c>
      <c r="J40" s="644">
        <f>SUM('ketv. 7 '!AL51)</f>
        <v>705970.12</v>
      </c>
      <c r="K40" s="1296">
        <f t="shared" si="0"/>
        <v>0.88678350261649885</v>
      </c>
      <c r="L40" s="1495">
        <f t="shared" si="1"/>
        <v>0.88678350261649885</v>
      </c>
      <c r="M40" s="1531">
        <f t="shared" si="2"/>
        <v>0</v>
      </c>
      <c r="N40" s="1531">
        <f t="shared" si="3"/>
        <v>0</v>
      </c>
      <c r="O40" s="1531">
        <f t="shared" si="4"/>
        <v>0</v>
      </c>
    </row>
    <row r="41" spans="1:15" ht="37.5" thickBot="1">
      <c r="A41" s="376">
        <f t="shared" si="7"/>
        <v>40</v>
      </c>
      <c r="B41" s="375" t="str">
        <f>CONCATENATE('3 pr-2'!D54)</f>
        <v>Vandens tiekimo ir nuotekų šalinimo infrastruktūros renovavimas ir plėtra Druskininkų savivaldybėje</v>
      </c>
      <c r="C41" s="375" t="str">
        <f>CONCATENATE('3 pr-2'!H54)</f>
        <v>05.3.2-APVA-R-014</v>
      </c>
      <c r="D41" s="375" t="str">
        <f>CONCATENATE('3 pr-2'!E54)</f>
        <v>UAB "Druskininkų vandenys"</v>
      </c>
      <c r="E41" s="573" t="str">
        <f>CONCATENATE('3 pr-2'!G54)</f>
        <v>Druskininkų sav.</v>
      </c>
      <c r="F41" s="1481" t="str">
        <f>CONCATENATE('3 pr-2'!J54)</f>
        <v>-</v>
      </c>
      <c r="G41" s="1480">
        <f>SUM('3 pr-2'!AA54)</f>
        <v>2874174.73</v>
      </c>
      <c r="H41" s="644">
        <f>SUMIF('014'!$C$21:$C$30,B41,'014'!$I$21:$I$30)</f>
        <v>2874174.73</v>
      </c>
      <c r="I41" s="644">
        <f>SUM('ketv. 6 '!AF53)</f>
        <v>2874174.73</v>
      </c>
      <c r="J41" s="644">
        <f>SUM('ketv. 7 '!AL52)</f>
        <v>744197.79</v>
      </c>
      <c r="K41" s="1296">
        <f t="shared" si="0"/>
        <v>0.25892572996075297</v>
      </c>
      <c r="L41" s="1495">
        <f t="shared" si="1"/>
        <v>0.25892572996075297</v>
      </c>
      <c r="M41" s="1531">
        <f t="shared" si="2"/>
        <v>0</v>
      </c>
      <c r="N41" s="1531">
        <f t="shared" si="3"/>
        <v>0</v>
      </c>
      <c r="O41" s="1531">
        <f t="shared" si="4"/>
        <v>0</v>
      </c>
    </row>
    <row r="42" spans="1:15" ht="37.5" thickBot="1">
      <c r="A42" s="376">
        <f t="shared" si="7"/>
        <v>41</v>
      </c>
      <c r="B42" s="375" t="str">
        <f>CONCATENATE('3 pr-2'!D55)</f>
        <v>Vandens tiekimo ir nuotekų tvarkymo infrastruktūros plėtra Alytaus rajone (Krokialaukyje)</v>
      </c>
      <c r="C42" s="375" t="str">
        <f>CONCATENATE('3 pr-2'!H55)</f>
        <v>05.3.2-APVA-R-014</v>
      </c>
      <c r="D42" s="375" t="str">
        <f>CONCATENATE('3 pr-2'!E55)</f>
        <v>SĮ „Simno komunalininkas“</v>
      </c>
      <c r="E42" s="573" t="str">
        <f>CONCATENATE('3 pr-2'!G55)</f>
        <v>Alytaus r. sav.</v>
      </c>
      <c r="F42" s="1481" t="str">
        <f>CONCATENATE('3 pr-2'!J55)</f>
        <v>-</v>
      </c>
      <c r="G42" s="1480">
        <f>SUM('3 pr-2'!AA55)</f>
        <v>920475</v>
      </c>
      <c r="H42" s="644">
        <f>SUMIF('014'!$C$21:$C$30,B42,'014'!$I$21:$I$30)</f>
        <v>920475</v>
      </c>
      <c r="I42" s="644">
        <f>SUM('ketv. 6 '!AF54)</f>
        <v>867744</v>
      </c>
      <c r="J42" s="644">
        <f>SUM('ketv. 7 '!AL53)</f>
        <v>46859.28</v>
      </c>
      <c r="K42" s="1296">
        <f t="shared" si="0"/>
        <v>5.0907716124826856E-2</v>
      </c>
      <c r="L42" s="1495">
        <f t="shared" si="1"/>
        <v>5.0907716124826856E-2</v>
      </c>
      <c r="M42" s="1531">
        <f t="shared" si="2"/>
        <v>52731</v>
      </c>
      <c r="N42" s="1531">
        <f t="shared" si="3"/>
        <v>0</v>
      </c>
      <c r="O42" s="1531">
        <f t="shared" si="4"/>
        <v>52731</v>
      </c>
    </row>
    <row r="43" spans="1:15" ht="25.5" thickBot="1">
      <c r="A43" s="376">
        <f t="shared" si="7"/>
        <v>42</v>
      </c>
      <c r="B43" s="375" t="str">
        <f>CONCATENATE('3 pr-2'!D57)</f>
        <v>Paviršinių nuotekų sistemų tvarkymas Alytaus mieste</v>
      </c>
      <c r="C43" s="375" t="str">
        <f>CONCATENATE('3 pr-2'!H57)</f>
        <v>05.1.1-APVA-R-007</v>
      </c>
      <c r="D43" s="375" t="str">
        <f>CONCATENATE('3 pr-2'!E57)</f>
        <v>UAB “Dzūkijos vandenys“</v>
      </c>
      <c r="E43" s="573" t="str">
        <f>CONCATENATE('3 pr-2'!G57)</f>
        <v>Alytaus m. sav.</v>
      </c>
      <c r="F43" s="1481" t="str">
        <f>CONCATENATE('3 pr-2'!J57)</f>
        <v>-</v>
      </c>
      <c r="G43" s="1480">
        <f>SUM('3 pr-2'!AA57)</f>
        <v>3392312.19</v>
      </c>
      <c r="H43" s="644">
        <f>SUMIF('007'!C21:C30,B43,'007'!I21:I30)</f>
        <v>3399493</v>
      </c>
      <c r="I43" s="644">
        <f>SUM('ketv. 6 '!AF56)</f>
        <v>3392312.19</v>
      </c>
      <c r="J43" s="644">
        <f>SUM('ketv. 7 '!AL55)</f>
        <v>1319973.5499999998</v>
      </c>
      <c r="K43" s="1296">
        <f t="shared" si="0"/>
        <v>0.38828541491334145</v>
      </c>
      <c r="L43" s="1495">
        <f t="shared" si="1"/>
        <v>0.38910733330825892</v>
      </c>
      <c r="M43" s="1531">
        <f t="shared" si="2"/>
        <v>7180.8100000000559</v>
      </c>
      <c r="N43" s="1531">
        <f t="shared" si="3"/>
        <v>-7180.8100000000559</v>
      </c>
      <c r="O43" s="1531">
        <f t="shared" si="4"/>
        <v>0</v>
      </c>
    </row>
    <row r="44" spans="1:15" ht="25.5" thickBot="1">
      <c r="A44" s="376">
        <f t="shared" si="7"/>
        <v>43</v>
      </c>
      <c r="B44" s="375" t="str">
        <f>CONCATENATE('3 pr-2'!D59)</f>
        <v>Alytaus regiono turizmo informacinės infrastruktūros plėtra</v>
      </c>
      <c r="C44" s="375" t="str">
        <f>CONCATENATE('3 pr-2'!H59)</f>
        <v>05.4.1-LVPA-R-821</v>
      </c>
      <c r="D44" s="375" t="str">
        <f>CONCATENATE('3 pr-2'!E59)</f>
        <v>Alytaus miesto savivaldybės administracija</v>
      </c>
      <c r="E44" s="573" t="str">
        <f>CONCATENATE('3 pr-2'!G59)</f>
        <v>Alytaus regionas</v>
      </c>
      <c r="F44" s="1481" t="str">
        <f>CONCATENATE('3 pr-2'!J59)</f>
        <v>-</v>
      </c>
      <c r="G44" s="1480">
        <f>SUM('3 pr-2'!AA59)</f>
        <v>176990</v>
      </c>
      <c r="H44" s="644">
        <f>SUMIF('821'!C21:C30,B44,'821'!I21:I30)</f>
        <v>176990</v>
      </c>
      <c r="I44" s="644">
        <f>SUM('ketv. 6 '!AF58)</f>
        <v>176990</v>
      </c>
      <c r="J44" s="644">
        <f>SUM('ketv. 7 '!AL57)</f>
        <v>7158.36</v>
      </c>
      <c r="K44" s="1296">
        <f t="shared" si="0"/>
        <v>4.0444996892479802E-2</v>
      </c>
      <c r="L44" s="1495">
        <f t="shared" si="1"/>
        <v>4.0444996892479802E-2</v>
      </c>
      <c r="M44" s="1531">
        <f t="shared" si="2"/>
        <v>0</v>
      </c>
      <c r="N44" s="1531">
        <f t="shared" si="3"/>
        <v>0</v>
      </c>
      <c r="O44" s="1531">
        <f t="shared" si="4"/>
        <v>0</v>
      </c>
    </row>
    <row r="45" spans="1:15" ht="49.5" thickBot="1">
      <c r="A45" s="376">
        <f t="shared" si="7"/>
        <v>44</v>
      </c>
      <c r="B45" s="375" t="str">
        <f>CONCATENATE('3 pr-2'!D60)</f>
        <v>Turizmo trasų ir maršrutų informacinės infrastruktūros plėtra Lazdijų, Varėnos rajonų ir Druskininkų savivaldybėse</v>
      </c>
      <c r="C45" s="375" t="str">
        <f>CONCATENATE('3 pr-2'!H60)</f>
        <v>05.4.1-LVPA-R-821</v>
      </c>
      <c r="D45" s="375" t="str">
        <f>CONCATENATE('3 pr-2'!E60)</f>
        <v>Lazdijų rajono savivaldybės administracija</v>
      </c>
      <c r="E45" s="573" t="str">
        <f>CONCATENATE('3 pr-2'!G60)</f>
        <v xml:space="preserve">Lazdijų, Varėnos rajonų ir Druskininkų savivaldybės </v>
      </c>
      <c r="F45" s="1481" t="str">
        <f>CONCATENATE('3 pr-2'!J60)</f>
        <v>-</v>
      </c>
      <c r="G45" s="1480">
        <f>SUM('3 pr-2'!AA60)</f>
        <v>244890.1</v>
      </c>
      <c r="H45" s="644">
        <f>SUMIF('821'!C22:C31,B45,'821'!I22:I31)</f>
        <v>244890.1</v>
      </c>
      <c r="I45" s="644">
        <f>SUM('ketv. 6 '!AF59)</f>
        <v>244890.1</v>
      </c>
      <c r="J45" s="644">
        <f>SUM('ketv. 7 '!AL58)</f>
        <v>47727.439999999995</v>
      </c>
      <c r="K45" s="1296">
        <f t="shared" si="0"/>
        <v>0.19489330111752168</v>
      </c>
      <c r="L45" s="1495">
        <f t="shared" si="1"/>
        <v>0.19489330111752168</v>
      </c>
      <c r="M45" s="1531">
        <f t="shared" si="2"/>
        <v>0</v>
      </c>
      <c r="N45" s="1531">
        <f t="shared" si="3"/>
        <v>0</v>
      </c>
      <c r="O45" s="1531">
        <f t="shared" si="4"/>
        <v>0</v>
      </c>
    </row>
    <row r="46" spans="1:15" ht="49.5" thickBot="1">
      <c r="A46" s="376">
        <f t="shared" si="7"/>
        <v>45</v>
      </c>
      <c r="B46" s="375" t="str">
        <f>CONCATENATE('3 pr-2'!D61)</f>
        <v>Turizmo trasų ir maršrutų informacinės infrastruktūros plėtra Lazdijų, Varėnos rajonų ir Druskininkų savivaldybėse, II etapas</v>
      </c>
      <c r="C46" s="375" t="str">
        <f>CONCATENATE('3 pr-2'!H61)</f>
        <v>05.4.1-LVPA-R-821</v>
      </c>
      <c r="D46" s="375" t="str">
        <f>CONCATENATE('3 pr-2'!E61)</f>
        <v>Lazdijų rajono savivaldybės administracija</v>
      </c>
      <c r="E46" s="573" t="str">
        <f>CONCATENATE('3 pr-2'!G61)</f>
        <v xml:space="preserve">Lazdijų, Varėnos rajonų ir Druskininkų savivaldybės </v>
      </c>
      <c r="F46" s="1481" t="str">
        <f>CONCATENATE('3 pr-2'!J61)</f>
        <v>-</v>
      </c>
      <c r="G46" s="1480">
        <f>SUM('3 pr-2'!AA61)</f>
        <v>189539.9</v>
      </c>
      <c r="H46" s="644">
        <f>SUMIF('821'!C23:C32,B46,'821'!I23:I32)</f>
        <v>189539.9</v>
      </c>
      <c r="I46" s="644">
        <f>SUM('ketv. 6 '!AF60)</f>
        <v>0</v>
      </c>
      <c r="J46" s="644">
        <f>SUM('ketv. 7 '!AL59)</f>
        <v>0</v>
      </c>
      <c r="K46" s="1296">
        <f t="shared" si="0"/>
        <v>0</v>
      </c>
      <c r="L46" s="1495">
        <f t="shared" si="1"/>
        <v>0</v>
      </c>
      <c r="M46" s="1531" t="str">
        <f t="shared" si="2"/>
        <v>–</v>
      </c>
      <c r="N46" s="1531">
        <f t="shared" si="3"/>
        <v>0</v>
      </c>
      <c r="O46" s="1531" t="str">
        <f t="shared" si="4"/>
        <v>–</v>
      </c>
    </row>
    <row r="47" spans="1:15" ht="25.5" thickBot="1">
      <c r="A47" s="376">
        <f t="shared" si="7"/>
        <v>46</v>
      </c>
      <c r="B47" s="375" t="str">
        <f>CONCATENATE('3 pr-2'!D63)</f>
        <v>Kultūros įstaigų infrastruktūros modernizavimas Varėnos mieste</v>
      </c>
      <c r="C47" s="375" t="str">
        <f>CONCATENATE('3 pr-2'!H63)</f>
        <v>07.1.1-CPVA-R-305</v>
      </c>
      <c r="D47" s="375" t="str">
        <f>CONCATENATE('3 pr-2'!E63)</f>
        <v>Varėnos rajono savivaldybės administracija</v>
      </c>
      <c r="E47" s="573" t="str">
        <f>CONCATENATE('3 pr-2'!G63)</f>
        <v>Varėnos r. sav.</v>
      </c>
      <c r="F47" s="1481" t="str">
        <f>CONCATENATE('3 pr-2'!J63)</f>
        <v>ITI</v>
      </c>
      <c r="G47" s="1480">
        <f>SUM('3 pr-2'!AA63)</f>
        <v>299540.84999999998</v>
      </c>
      <c r="H47" s="644">
        <f>SUMIF('305'!$C$21:$C$30,B47,'305'!$I$21:$I$30)</f>
        <v>299540.84999999998</v>
      </c>
      <c r="I47" s="644">
        <f>SUM('ketv. 6 '!AF62)</f>
        <v>299540.84999999998</v>
      </c>
      <c r="J47" s="644">
        <f>SUM('ketv. 7 '!AL61)</f>
        <v>295224.15000000002</v>
      </c>
      <c r="K47" s="1296">
        <f t="shared" si="0"/>
        <v>0.9855889438786064</v>
      </c>
      <c r="L47" s="1495">
        <f t="shared" si="1"/>
        <v>0.9855889438786064</v>
      </c>
      <c r="M47" s="1531">
        <f t="shared" si="2"/>
        <v>0</v>
      </c>
      <c r="N47" s="1531">
        <f t="shared" si="3"/>
        <v>0</v>
      </c>
      <c r="O47" s="1531">
        <f t="shared" si="4"/>
        <v>0</v>
      </c>
    </row>
    <row r="48" spans="1:15" ht="37.5" thickBot="1">
      <c r="A48" s="376">
        <f t="shared" si="7"/>
        <v>47</v>
      </c>
      <c r="B48" s="375" t="str">
        <f>CONCATENATE('3 pr-2'!D64)</f>
        <v>VšĮ Alytaus kultūros ir komunikacijos centro pastato Alytuje, Pramonės g. 1B, rekonstravimas</v>
      </c>
      <c r="C48" s="375" t="str">
        <f>CONCATENATE('3 pr-2'!H64)</f>
        <v>07.1.1-CPVA-R-305</v>
      </c>
      <c r="D48" s="375" t="str">
        <f>CONCATENATE('3 pr-2'!E64)</f>
        <v>Alytaus miesto savivaldybės administracija</v>
      </c>
      <c r="E48" s="573" t="str">
        <f>CONCATENATE('3 pr-2'!G64)</f>
        <v>Alytaus m. sav.</v>
      </c>
      <c r="F48" s="1481" t="str">
        <f>CONCATENATE('3 pr-2'!J64)</f>
        <v>ITI</v>
      </c>
      <c r="G48" s="1480">
        <f>SUM('3 pr-2'!AA64)</f>
        <v>299541</v>
      </c>
      <c r="H48" s="644">
        <f>SUMIF('305'!$C$21:$C$30,B48,'305'!$I$21:$I$30)</f>
        <v>299541</v>
      </c>
      <c r="I48" s="644">
        <f>SUM('ketv. 6 '!AF63)</f>
        <v>299541</v>
      </c>
      <c r="J48" s="644">
        <f>SUM('ketv. 7 '!AL62)</f>
        <v>295499.17999999993</v>
      </c>
      <c r="K48" s="1296">
        <f t="shared" si="0"/>
        <v>0.9865066217980174</v>
      </c>
      <c r="L48" s="1495">
        <f t="shared" si="1"/>
        <v>0.9865066217980174</v>
      </c>
      <c r="M48" s="1531">
        <f t="shared" si="2"/>
        <v>0</v>
      </c>
      <c r="N48" s="1531">
        <f t="shared" si="3"/>
        <v>0</v>
      </c>
      <c r="O48" s="1531">
        <f t="shared" si="4"/>
        <v>0</v>
      </c>
    </row>
    <row r="49" spans="1:15" ht="49.5" thickBot="1">
      <c r="A49" s="376">
        <f t="shared" si="7"/>
        <v>48</v>
      </c>
      <c r="B49" s="375" t="str">
        <f>CONCATENATE('3 pr-2'!D65)</f>
        <v>Druskininkų kultūros centro lauko scenos, Vilniaus al. 24, Druskininkai, modernizavimas ir pritaikymas kultūros poreikiams</v>
      </c>
      <c r="C49" s="375" t="str">
        <f>CONCATENATE('3 pr-2'!H65)</f>
        <v>07.1.1-CPVA-R-305</v>
      </c>
      <c r="D49" s="375" t="str">
        <f>CONCATENATE('3 pr-2'!E65)</f>
        <v xml:space="preserve">Druskininkų savivaldybės administracija  </v>
      </c>
      <c r="E49" s="573" t="str">
        <f>CONCATENATE('3 pr-2'!G65)</f>
        <v>Druskininkų sav.</v>
      </c>
      <c r="F49" s="1481" t="str">
        <f>CONCATENATE('3 pr-2'!J65)</f>
        <v>ITI</v>
      </c>
      <c r="G49" s="1480">
        <f>SUM('3 pr-2'!AA65)</f>
        <v>299540.84999999998</v>
      </c>
      <c r="H49" s="644">
        <f>SUMIF('305'!$C$21:$C$30,B49,'305'!$I$21:$I$30)</f>
        <v>299540.84999999998</v>
      </c>
      <c r="I49" s="644">
        <f>SUM('ketv. 6 '!AF64)</f>
        <v>299540.84999999998</v>
      </c>
      <c r="J49" s="644">
        <f>SUM('ketv. 7 '!AL63)</f>
        <v>176851.15</v>
      </c>
      <c r="K49" s="1296">
        <f t="shared" si="0"/>
        <v>0.59040745193852529</v>
      </c>
      <c r="L49" s="1495">
        <f t="shared" si="1"/>
        <v>0.59040745193852529</v>
      </c>
      <c r="M49" s="1531">
        <f t="shared" si="2"/>
        <v>0</v>
      </c>
      <c r="N49" s="1531">
        <f t="shared" si="3"/>
        <v>0</v>
      </c>
      <c r="O49" s="1531">
        <f t="shared" si="4"/>
        <v>0</v>
      </c>
    </row>
    <row r="50" spans="1:15" ht="37.5" thickBot="1">
      <c r="A50" s="376">
        <f t="shared" si="7"/>
        <v>49</v>
      </c>
      <c r="B50" s="375" t="str">
        <f>CONCATENATE('3 pr-2'!D66)</f>
        <v>Pastato rekonstrukcija ir pritaikymas kultūrinėms, muziejinėms ir edukacinėms reikmėms</v>
      </c>
      <c r="C50" s="375" t="str">
        <f>CONCATENATE('3 pr-2'!H66)</f>
        <v>07.1.1-CPVA-R-305</v>
      </c>
      <c r="D50" s="375" t="str">
        <f>CONCATENATE('3 pr-2'!E66)</f>
        <v>Lazdijų rajono savivaldybės administracija</v>
      </c>
      <c r="E50" s="573" t="str">
        <f>CONCATENATE('3 pr-2'!G66)</f>
        <v>Lazdijų r. sav.</v>
      </c>
      <c r="F50" s="1481" t="str">
        <f>CONCATENATE('3 pr-2'!J66)</f>
        <v>ITI</v>
      </c>
      <c r="G50" s="1480">
        <f>SUM('3 pr-2'!AA66)</f>
        <v>299541</v>
      </c>
      <c r="H50" s="644">
        <f>SUMIF('305'!$C$21:$C$30,B50,'305'!$I$21:$I$30)</f>
        <v>299541</v>
      </c>
      <c r="I50" s="644">
        <f>SUM('ketv. 6 '!AF65)</f>
        <v>299541</v>
      </c>
      <c r="J50" s="644">
        <f>SUM('ketv. 7 '!AL64)</f>
        <v>37975.51</v>
      </c>
      <c r="K50" s="1296">
        <f t="shared" si="0"/>
        <v>0.12677900521130664</v>
      </c>
      <c r="L50" s="1495">
        <f t="shared" si="1"/>
        <v>0.12677900521130664</v>
      </c>
      <c r="M50" s="1531">
        <f t="shared" si="2"/>
        <v>0</v>
      </c>
      <c r="N50" s="1531">
        <f t="shared" si="3"/>
        <v>0</v>
      </c>
      <c r="O50" s="1531">
        <f t="shared" si="4"/>
        <v>0</v>
      </c>
    </row>
    <row r="51" spans="1:15" ht="37.5" thickBot="1">
      <c r="A51" s="376">
        <f t="shared" si="7"/>
        <v>50</v>
      </c>
      <c r="B51" s="375" t="str">
        <f>CONCATENATE('3 pr-2'!D68)</f>
        <v>Buvusios sinagogos pastato Kauno g. 9A Alytuje rekonstravimas ir aplinkinės teritorijos sutvarkymas</v>
      </c>
      <c r="C51" s="375" t="str">
        <f>CONCATENATE('3 pr-2'!H68)</f>
        <v>05.4.1-CPVA-R-302</v>
      </c>
      <c r="D51" s="375" t="str">
        <f>CONCATENATE('3 pr-2'!E68)</f>
        <v>Alytaus miesto savivaldybės administracija</v>
      </c>
      <c r="E51" s="573" t="str">
        <f>CONCATENATE('3 pr-2'!G68)</f>
        <v>Alytaus m. sav.</v>
      </c>
      <c r="F51" s="1481" t="str">
        <f>CONCATENATE('3 pr-2'!J68)</f>
        <v>ITI</v>
      </c>
      <c r="G51" s="1480">
        <f>SUM('3 pr-2'!AA68)</f>
        <v>206056</v>
      </c>
      <c r="H51" s="644">
        <f>SUMIF('302'!$C$21:$C$30,B51,'302'!$I$21:$I$30)</f>
        <v>206056</v>
      </c>
      <c r="I51" s="644">
        <f>SUM('ketv. 6 '!AF67)</f>
        <v>206056</v>
      </c>
      <c r="J51" s="644">
        <f>SUM('ketv. 7 '!AL66)</f>
        <v>12222</v>
      </c>
      <c r="K51" s="1296">
        <f t="shared" si="0"/>
        <v>5.9313972900570722E-2</v>
      </c>
      <c r="L51" s="1495">
        <f t="shared" si="1"/>
        <v>5.9313972900570722E-2</v>
      </c>
      <c r="M51" s="1531">
        <f t="shared" si="2"/>
        <v>0</v>
      </c>
      <c r="N51" s="1531">
        <f t="shared" si="3"/>
        <v>0</v>
      </c>
      <c r="O51" s="1531">
        <f t="shared" si="4"/>
        <v>0</v>
      </c>
    </row>
    <row r="52" spans="1:15" ht="37.5" thickBot="1">
      <c r="A52" s="376">
        <f t="shared" si="7"/>
        <v>51</v>
      </c>
      <c r="B52" s="375" t="str">
        <f>CONCATENATE('3 pr-2'!D69)</f>
        <v>Mažosios dailės galerijos, M.K.Čiurlionio g. 37, Druskininkai, modernizavimas ir pritaikymas kultūros poreikiams</v>
      </c>
      <c r="C52" s="375" t="str">
        <f>CONCATENATE('3 pr-2'!H69)</f>
        <v>05.4.1-CPVA-R-302</v>
      </c>
      <c r="D52" s="375" t="str">
        <f>CONCATENATE('3 pr-2'!E69)</f>
        <v xml:space="preserve">Druskininkų savivaldybės administracija  </v>
      </c>
      <c r="E52" s="573" t="str">
        <f>CONCATENATE('3 pr-2'!G69)</f>
        <v>Druskininkų sav.</v>
      </c>
      <c r="F52" s="1481" t="str">
        <f>CONCATENATE('3 pr-2'!J69)</f>
        <v>-</v>
      </c>
      <c r="G52" s="1480">
        <f>SUM('3 pr-2'!AA69)</f>
        <v>206056</v>
      </c>
      <c r="H52" s="644">
        <f>SUMIF('302'!$C$21:$C$30,B52,'302'!$I$21:$I$30)</f>
        <v>206056</v>
      </c>
      <c r="I52" s="644">
        <f>SUM('ketv. 6 '!AF68)</f>
        <v>206056</v>
      </c>
      <c r="J52" s="644">
        <f>SUM('ketv. 7 '!AL67)</f>
        <v>7329.05</v>
      </c>
      <c r="K52" s="1296">
        <f t="shared" si="0"/>
        <v>3.5568243584268355E-2</v>
      </c>
      <c r="L52" s="1495">
        <f t="shared" si="1"/>
        <v>3.5568243584268355E-2</v>
      </c>
      <c r="M52" s="1531">
        <f t="shared" si="2"/>
        <v>0</v>
      </c>
      <c r="N52" s="1531">
        <f t="shared" si="3"/>
        <v>0</v>
      </c>
      <c r="O52" s="1531">
        <f t="shared" si="4"/>
        <v>0</v>
      </c>
    </row>
    <row r="53" spans="1:15" ht="25.5" thickBot="1">
      <c r="A53" s="376">
        <f t="shared" si="7"/>
        <v>52</v>
      </c>
      <c r="B53" s="375" t="str">
        <f>CONCATENATE('3 pr-2'!D70)</f>
        <v>Motiejaus Gustaičio memorialinio namo kompleksinis sutvarkymas</v>
      </c>
      <c r="C53" s="375" t="str">
        <f>CONCATENATE('3 pr-2'!H70)</f>
        <v>05.4.1-CPVA-R-302</v>
      </c>
      <c r="D53" s="375" t="str">
        <f>CONCATENATE('3 pr-2'!E70)</f>
        <v>Lazdijų rajono savivaldybės administracija</v>
      </c>
      <c r="E53" s="573" t="str">
        <f>CONCATENATE('3 pr-2'!G70)</f>
        <v>Lazdijų r. sav.</v>
      </c>
      <c r="F53" s="1481" t="str">
        <f>CONCATENATE('3 pr-2'!J70)</f>
        <v>ITI</v>
      </c>
      <c r="G53" s="1480">
        <f>SUM('3 pr-2'!AA70)</f>
        <v>206056</v>
      </c>
      <c r="H53" s="644">
        <f>SUMIF('302'!$C$21:$C$30,B53,'302'!$I$21:$I$30)</f>
        <v>206056</v>
      </c>
      <c r="I53" s="644">
        <f>SUM('ketv. 6 '!AF69)</f>
        <v>206056</v>
      </c>
      <c r="J53" s="644">
        <f>SUM('ketv. 7 '!AL68)</f>
        <v>16168.310000000001</v>
      </c>
      <c r="K53" s="1296">
        <f t="shared" si="0"/>
        <v>7.8465611290134726E-2</v>
      </c>
      <c r="L53" s="1495">
        <f t="shared" si="1"/>
        <v>7.8465611290134726E-2</v>
      </c>
      <c r="M53" s="1531">
        <f t="shared" si="2"/>
        <v>0</v>
      </c>
      <c r="N53" s="1531">
        <f t="shared" si="3"/>
        <v>0</v>
      </c>
      <c r="O53" s="1531">
        <f t="shared" si="4"/>
        <v>0</v>
      </c>
    </row>
    <row r="54" spans="1:15" ht="37.5" thickBot="1">
      <c r="A54" s="376">
        <f t="shared" si="7"/>
        <v>53</v>
      </c>
      <c r="B54" s="375" t="str">
        <f>CONCATENATE('3 pr-2'!D71)</f>
        <v>Kurnėnų Lauryno Radziukyno mokyklos pritaikymas kultūrinėms ir turistinėms reikmėms</v>
      </c>
      <c r="C54" s="375" t="str">
        <f>CONCATENATE('3 pr-2'!H71)</f>
        <v>05.4.1-CPVA-R-302</v>
      </c>
      <c r="D54" s="375" t="str">
        <f>CONCATENATE('3 pr-2'!E71)</f>
        <v>Alytaus rajono savivaldybės administracija</v>
      </c>
      <c r="E54" s="573" t="str">
        <f>CONCATENATE('3 pr-2'!G71)</f>
        <v>Alytaus r. sav.</v>
      </c>
      <c r="F54" s="1481" t="str">
        <f>CONCATENATE('3 pr-2'!J71)</f>
        <v>-</v>
      </c>
      <c r="G54" s="1480">
        <f>SUM('3 pr-2'!AA71)</f>
        <v>199641.66</v>
      </c>
      <c r="H54" s="644">
        <f>SUMIF('302'!$C$21:$C$30,B54,'302'!$I$21:$I$30)</f>
        <v>206056</v>
      </c>
      <c r="I54" s="644">
        <f>SUM('ketv. 6 '!AF70)</f>
        <v>199641.66</v>
      </c>
      <c r="J54" s="644">
        <f>SUM('ketv. 7 '!AL69)</f>
        <v>0</v>
      </c>
      <c r="K54" s="1296">
        <f t="shared" si="0"/>
        <v>0</v>
      </c>
      <c r="L54" s="1495">
        <f t="shared" si="1"/>
        <v>0</v>
      </c>
      <c r="M54" s="1531">
        <f t="shared" si="2"/>
        <v>6414.3399999999965</v>
      </c>
      <c r="N54" s="1531">
        <f t="shared" si="3"/>
        <v>-6414.3399999999965</v>
      </c>
      <c r="O54" s="1531">
        <f t="shared" si="4"/>
        <v>0</v>
      </c>
    </row>
    <row r="55" spans="1:15" ht="25.5" thickBot="1">
      <c r="A55" s="376">
        <f t="shared" si="7"/>
        <v>54</v>
      </c>
      <c r="B55" s="375" t="str">
        <f>CONCATENATE('3 pr-2'!D72)</f>
        <v>Vinco Krėvės-Mickevičiaus memorialinio muziejaus atnaujinimas</v>
      </c>
      <c r="C55" s="375" t="str">
        <f>CONCATENATE('3 pr-2'!H72)</f>
        <v>05.4.1-CPVA-R-302</v>
      </c>
      <c r="D55" s="375" t="str">
        <f>CONCATENATE('3 pr-2'!E72)</f>
        <v>Varėnos rajono savivaldybės administracija</v>
      </c>
      <c r="E55" s="573" t="str">
        <f>CONCATENATE('3 pr-2'!G72)</f>
        <v>Varėnos r. sav.</v>
      </c>
      <c r="F55" s="1481" t="str">
        <f>CONCATENATE('3 pr-2'!J72)</f>
        <v>-</v>
      </c>
      <c r="G55" s="1480">
        <f>SUM('3 pr-2'!AA72)</f>
        <v>206056</v>
      </c>
      <c r="H55" s="644">
        <f>SUMIF('302'!$C$21:$C$30,B55,'302'!$I$21:$I$30)</f>
        <v>206056</v>
      </c>
      <c r="I55" s="644">
        <f>SUM('ketv. 6 '!AF71)</f>
        <v>173914.72</v>
      </c>
      <c r="J55" s="644">
        <f>SUM('ketv. 7 '!AL70)</f>
        <v>14321.260000000002</v>
      </c>
      <c r="K55" s="1296">
        <f t="shared" si="0"/>
        <v>6.9501785922273573E-2</v>
      </c>
      <c r="L55" s="1495">
        <f t="shared" si="1"/>
        <v>6.9501785922273573E-2</v>
      </c>
      <c r="M55" s="1531">
        <f t="shared" si="2"/>
        <v>32141.279999999999</v>
      </c>
      <c r="N55" s="1531">
        <f t="shared" si="3"/>
        <v>0</v>
      </c>
      <c r="O55" s="1531">
        <f t="shared" si="4"/>
        <v>32141.279999999999</v>
      </c>
    </row>
    <row r="56" spans="1:15" ht="25.5" thickBot="1">
      <c r="A56" s="376">
        <f t="shared" si="7"/>
        <v>55</v>
      </c>
      <c r="B56" s="375" t="str">
        <f>CONCATENATE('3 pr-2'!D75)</f>
        <v>Nekenksmingų aplinkai viešojo transporto priemonių įsigijimas Alytaus mieste</v>
      </c>
      <c r="C56" s="375" t="str">
        <f>CONCATENATE('3 pr-2'!H75)</f>
        <v>04.5.1-TID-R-518</v>
      </c>
      <c r="D56" s="375" t="str">
        <f>CONCATENATE('3 pr-2'!E75)</f>
        <v>Alytaus miesto savivaldybės administracija</v>
      </c>
      <c r="E56" s="573" t="str">
        <f>CONCATENATE('3 pr-2'!G75)</f>
        <v>Alytaus m. sav.</v>
      </c>
      <c r="F56" s="1481" t="str">
        <f>CONCATENATE('3 pr-2'!J75)</f>
        <v>ITI</v>
      </c>
      <c r="G56" s="1480">
        <f>SUM('3 pr-2'!AA75)</f>
        <v>345177</v>
      </c>
      <c r="H56" s="644">
        <f>SUMIF('518'!$C$21:$C$30,B56,'518'!$I$21:$I$30)</f>
        <v>345177</v>
      </c>
      <c r="I56" s="644">
        <f>SUM('ketv. 6 '!AF74)</f>
        <v>0</v>
      </c>
      <c r="J56" s="644">
        <f>SUM('ketv. 7 '!AL73)</f>
        <v>0</v>
      </c>
      <c r="K56" s="1296">
        <f t="shared" si="0"/>
        <v>0</v>
      </c>
      <c r="L56" s="1495">
        <f t="shared" si="1"/>
        <v>0</v>
      </c>
      <c r="M56" s="1531" t="str">
        <f t="shared" si="2"/>
        <v>–</v>
      </c>
      <c r="N56" s="1531">
        <f t="shared" si="3"/>
        <v>0</v>
      </c>
      <c r="O56" s="1531" t="str">
        <f t="shared" si="4"/>
        <v>–</v>
      </c>
    </row>
    <row r="57" spans="1:15" ht="25.5" thickBot="1">
      <c r="A57" s="376">
        <f t="shared" si="7"/>
        <v>56</v>
      </c>
      <c r="B57" s="375" t="str">
        <f>CONCATENATE('3 pr-2'!D76)</f>
        <v>Vietinio susisiekimo transporto priemonių įsigijimas</v>
      </c>
      <c r="C57" s="375" t="str">
        <f>CONCATENATE('3 pr-2'!H76)</f>
        <v>04.5.1-TID-R-518</v>
      </c>
      <c r="D57" s="375" t="str">
        <f>CONCATENATE('3 pr-2'!E76)</f>
        <v>Alytaus rajono savivaldybės administracija</v>
      </c>
      <c r="E57" s="573" t="str">
        <f>CONCATENATE('3 pr-2'!G76)</f>
        <v>Alytaus r. sav.</v>
      </c>
      <c r="F57" s="1481" t="str">
        <f>CONCATENATE('3 pr-2'!J76)</f>
        <v>-</v>
      </c>
      <c r="G57" s="1480">
        <f>SUM('3 pr-2'!AA76)</f>
        <v>277249</v>
      </c>
      <c r="H57" s="644">
        <f>SUMIF('518'!$C$21:$C$30,B57,'518'!$I$21:$I$30)</f>
        <v>277249</v>
      </c>
      <c r="I57" s="644">
        <f>SUM('ketv. 6 '!AF75)</f>
        <v>0</v>
      </c>
      <c r="J57" s="644">
        <f>SUM('ketv. 7 '!AL74)</f>
        <v>0</v>
      </c>
      <c r="K57" s="1296">
        <f t="shared" si="0"/>
        <v>0</v>
      </c>
      <c r="L57" s="1495">
        <f t="shared" si="1"/>
        <v>0</v>
      </c>
      <c r="M57" s="1531" t="str">
        <f t="shared" si="2"/>
        <v>–</v>
      </c>
      <c r="N57" s="1531">
        <f t="shared" si="3"/>
        <v>0</v>
      </c>
      <c r="O57" s="1531" t="str">
        <f t="shared" si="4"/>
        <v>–</v>
      </c>
    </row>
    <row r="58" spans="1:15" ht="25.5" thickBot="1">
      <c r="A58" s="376">
        <f t="shared" si="7"/>
        <v>57</v>
      </c>
      <c r="B58" s="375" t="str">
        <f>CONCATENATE('3 pr-2'!D77)</f>
        <v>Ekologiškų transporto priemonių įsigijimas Druskininkų savivaldybėje</v>
      </c>
      <c r="C58" s="375" t="str">
        <f>CONCATENATE('3 pr-2'!H77)</f>
        <v>04.5.1-TID-R-518</v>
      </c>
      <c r="D58" s="375" t="str">
        <f>CONCATENATE('3 pr-2'!E77)</f>
        <v xml:space="preserve">Druskininkų savivaldybės administracija  </v>
      </c>
      <c r="E58" s="573" t="str">
        <f>CONCATENATE('3 pr-2'!G77)</f>
        <v>Druskininkų sav.</v>
      </c>
      <c r="F58" s="1481" t="str">
        <f>CONCATENATE('3 pr-2'!J77)</f>
        <v>-</v>
      </c>
      <c r="G58" s="1480">
        <f>SUM('3 pr-2'!AA77)</f>
        <v>417548</v>
      </c>
      <c r="H58" s="644">
        <f>SUMIF('518'!$C$21:$C$30,B58,'518'!$I$21:$I$30)</f>
        <v>417548</v>
      </c>
      <c r="I58" s="644">
        <f>SUM('ketv. 6 '!AF76)</f>
        <v>417548</v>
      </c>
      <c r="J58" s="644">
        <f>SUM('ketv. 7 '!AL75)</f>
        <v>0</v>
      </c>
      <c r="K58" s="1296">
        <f t="shared" si="0"/>
        <v>0</v>
      </c>
      <c r="L58" s="1495">
        <f t="shared" si="1"/>
        <v>0</v>
      </c>
      <c r="M58" s="1531">
        <f t="shared" si="2"/>
        <v>0</v>
      </c>
      <c r="N58" s="1531">
        <f t="shared" si="3"/>
        <v>0</v>
      </c>
      <c r="O58" s="1531">
        <f t="shared" si="4"/>
        <v>0</v>
      </c>
    </row>
    <row r="59" spans="1:15" ht="25.5" thickBot="1">
      <c r="A59" s="376">
        <f t="shared" si="7"/>
        <v>58</v>
      </c>
      <c r="B59" s="375" t="str">
        <f>CONCATENATE('3 pr-2'!D78)</f>
        <v>Ekologiškų transporto priemonių įsigijimas Lazdijų rajono savivaldybėje</v>
      </c>
      <c r="C59" s="375" t="str">
        <f>CONCATENATE('3 pr-2'!H78)</f>
        <v>04.5.1-TID-R-518</v>
      </c>
      <c r="D59" s="375" t="str">
        <f>CONCATENATE('3 pr-2'!E78)</f>
        <v>Lazdijų rajono savivaldybės administracija</v>
      </c>
      <c r="E59" s="573" t="str">
        <f>CONCATENATE('3 pr-2'!G78)</f>
        <v>Lazdijų r. sav.</v>
      </c>
      <c r="F59" s="1481" t="str">
        <f>CONCATENATE('3 pr-2'!J78)</f>
        <v>-</v>
      </c>
      <c r="G59" s="1480">
        <f>SUM('3 pr-2'!AA78)</f>
        <v>223298</v>
      </c>
      <c r="H59" s="644">
        <f>SUMIF('518'!$C$21:$C$30,B59,'518'!$I$21:$I$30)</f>
        <v>223297</v>
      </c>
      <c r="I59" s="644">
        <f>SUM('ketv. 6 '!AF77)</f>
        <v>185436</v>
      </c>
      <c r="J59" s="644">
        <f>SUM('ketv. 7 '!AL76)</f>
        <v>0</v>
      </c>
      <c r="K59" s="1296">
        <f t="shared" si="0"/>
        <v>0</v>
      </c>
      <c r="L59" s="1495">
        <f t="shared" si="1"/>
        <v>0</v>
      </c>
      <c r="M59" s="1531">
        <f t="shared" si="2"/>
        <v>37861</v>
      </c>
      <c r="N59" s="1531">
        <f t="shared" si="3"/>
        <v>1</v>
      </c>
      <c r="O59" s="1531">
        <f t="shared" si="4"/>
        <v>37862</v>
      </c>
    </row>
    <row r="60" spans="1:15" ht="33.75" customHeight="1" thickBot="1">
      <c r="A60" s="376">
        <f t="shared" si="7"/>
        <v>59</v>
      </c>
      <c r="B60" s="375" t="str">
        <f>CONCATENATE('3 pr-2'!D80)</f>
        <v>Darnaus judumo priemonių diegimas Alytaus mieste</v>
      </c>
      <c r="C60" s="375" t="str">
        <f>CONCATENATE('3 pr-2'!H80)</f>
        <v>04.5.1.-TID-R-514</v>
      </c>
      <c r="D60" s="375" t="str">
        <f>CONCATENATE('3 pr-2'!E80)</f>
        <v>Alytaus miesto savivaldybės administracija</v>
      </c>
      <c r="E60" s="573" t="str">
        <f>CONCATENATE('3 pr-2'!G80)</f>
        <v>Alytaus m. sav.</v>
      </c>
      <c r="F60" s="1481" t="str">
        <f>CONCATENATE('3 pr-2'!J80)</f>
        <v>ITI</v>
      </c>
      <c r="G60" s="1480">
        <f>SUM('3 pr-2'!AA80)</f>
        <v>971949</v>
      </c>
      <c r="H60" s="644">
        <f>SUMIF('514'!$C$21:$C$24,B60,'514'!$I$21:$I$24)</f>
        <v>971949</v>
      </c>
      <c r="I60" s="644">
        <f>SUM('ketv. 6 '!AF79)</f>
        <v>0</v>
      </c>
      <c r="J60" s="644">
        <f>SUM('ketv. 7 '!AL78)</f>
        <v>0</v>
      </c>
      <c r="K60" s="1296">
        <f t="shared" si="0"/>
        <v>0</v>
      </c>
      <c r="L60" s="1495">
        <f t="shared" si="1"/>
        <v>0</v>
      </c>
      <c r="M60" s="1531" t="str">
        <f t="shared" si="2"/>
        <v>–</v>
      </c>
      <c r="N60" s="1531">
        <f t="shared" si="3"/>
        <v>0</v>
      </c>
      <c r="O60" s="1531" t="str">
        <f t="shared" si="4"/>
        <v>–</v>
      </c>
    </row>
    <row r="61" spans="1:15" ht="36" customHeight="1" thickBot="1">
      <c r="A61" s="376">
        <f t="shared" si="7"/>
        <v>60</v>
      </c>
      <c r="B61" s="375" t="str">
        <f>CONCATENATE('3 pr-2'!D82)</f>
        <v>Intelektinių transporto sistemų diegimas Druskininkuose</v>
      </c>
      <c r="C61" s="375" t="str">
        <f>CONCATENATE('3 pr-2'!H82)</f>
        <v>04.5.1.-TID-R-514</v>
      </c>
      <c r="D61" s="375" t="str">
        <f>CONCATENATE('3 pr-2'!E82)</f>
        <v>Druskininkų savivaldybės administracija</v>
      </c>
      <c r="E61" s="573" t="str">
        <f>CONCATENATE('3 pr-2'!G82)</f>
        <v>Druskininkų sav.</v>
      </c>
      <c r="F61" s="1481" t="str">
        <f>CONCATENATE('3 pr-2'!J81)</f>
        <v>ITI</v>
      </c>
      <c r="G61" s="1480">
        <f>SUM('3 pr-2'!AA82)</f>
        <v>136710.79999999999</v>
      </c>
      <c r="H61" s="644">
        <f>SUMIF('514'!$C$21:$C$24,B61,'514'!$I$21:$I$24)</f>
        <v>136710.79999999999</v>
      </c>
      <c r="I61" s="644">
        <f>SUM('ketv. 6 '!AF81)</f>
        <v>0</v>
      </c>
      <c r="J61" s="644">
        <f>SUM('ketv. 7 '!AL80)</f>
        <v>0</v>
      </c>
      <c r="K61" s="1296">
        <f t="shared" si="0"/>
        <v>0</v>
      </c>
      <c r="L61" s="1495">
        <f t="shared" si="1"/>
        <v>0</v>
      </c>
      <c r="M61" s="1531" t="str">
        <f t="shared" si="2"/>
        <v>–</v>
      </c>
      <c r="N61" s="1531">
        <f t="shared" si="3"/>
        <v>0</v>
      </c>
      <c r="O61" s="1531" t="str">
        <f t="shared" si="4"/>
        <v>–</v>
      </c>
    </row>
    <row r="62" spans="1:15" ht="41.25" customHeight="1" thickBot="1">
      <c r="A62" s="376">
        <f t="shared" si="7"/>
        <v>61</v>
      </c>
      <c r="B62" s="375" t="str">
        <f>CONCATENATE('3 pr-2'!D84)</f>
        <v>Viešojo transporto organizavimo tobulinimas rekonstruojant Druskininkų miesto gatvių infrastruktūrą</v>
      </c>
      <c r="C62" s="375" t="str">
        <f>CONCATENATE('3 pr-2'!H84)</f>
        <v>04.5.1.-TID-R-514</v>
      </c>
      <c r="D62" s="375" t="str">
        <f>CONCATENATE('3 pr-2'!E84)</f>
        <v>Druskininkų savivaldybės administracija</v>
      </c>
      <c r="E62" s="573" t="str">
        <f>CONCATENATE('3 pr-2'!G84)</f>
        <v>Druskininkų sav.</v>
      </c>
      <c r="F62" s="1481" t="str">
        <f>CONCATENATE('3 pr-2'!J82)</f>
        <v>-</v>
      </c>
      <c r="G62" s="1480">
        <f>SUM('3 pr-2'!AA84)</f>
        <v>246500</v>
      </c>
      <c r="H62" s="644">
        <f>SUMIF('514'!$C$21:$C$24,B62,'514'!$I$21:$I$24)</f>
        <v>246500</v>
      </c>
      <c r="I62" s="644">
        <f>SUM('ketv. 6 '!AF83)</f>
        <v>0</v>
      </c>
      <c r="J62" s="644">
        <f>SUM('ketv. 7 '!AL82)</f>
        <v>0</v>
      </c>
      <c r="K62" s="1296">
        <f t="shared" si="0"/>
        <v>0</v>
      </c>
      <c r="L62" s="1495">
        <f t="shared" si="1"/>
        <v>0</v>
      </c>
      <c r="M62" s="1531" t="str">
        <f t="shared" si="2"/>
        <v>–</v>
      </c>
      <c r="N62" s="1531">
        <f t="shared" si="3"/>
        <v>0</v>
      </c>
      <c r="O62" s="1531" t="str">
        <f t="shared" si="4"/>
        <v>–</v>
      </c>
    </row>
    <row r="63" spans="1:15" ht="25.5" thickBot="1">
      <c r="A63" s="376">
        <f t="shared" si="7"/>
        <v>62</v>
      </c>
      <c r="B63" s="375" t="str">
        <f>CONCATENATE('3 pr-2'!D85)</f>
        <v>Vandens transporto infrastruktūros įrengimas skatinant kitų rūšių transportą</v>
      </c>
      <c r="C63" s="375" t="str">
        <f>CONCATENATE('3 pr-2'!H85)</f>
        <v>04.5.1.-TID-R-514</v>
      </c>
      <c r="D63" s="375" t="str">
        <f>CONCATENATE('3 pr-2'!E85)</f>
        <v>Druskininkų savivaldybės administracija</v>
      </c>
      <c r="E63" s="573" t="str">
        <f>CONCATENATE('3 pr-2'!G85)</f>
        <v>Druskininkų sav.</v>
      </c>
      <c r="F63" s="1481" t="str">
        <f>CONCATENATE('3 pr-2'!J83)</f>
        <v>ITI</v>
      </c>
      <c r="G63" s="1480">
        <f>SUM('3 pr-2'!AA85)</f>
        <v>212500</v>
      </c>
      <c r="H63" s="644">
        <f>SUMIF('514'!$C$21:$C$24,B63,'514'!$I$21:$I$24)</f>
        <v>212500</v>
      </c>
      <c r="I63" s="644">
        <f>SUM('ketv. 6 '!AF84)</f>
        <v>0</v>
      </c>
      <c r="J63" s="644">
        <f>SUM('ketv. 7 '!AL83)</f>
        <v>0</v>
      </c>
      <c r="K63" s="1296">
        <f t="shared" si="0"/>
        <v>0</v>
      </c>
      <c r="L63" s="1495">
        <f t="shared" si="1"/>
        <v>0</v>
      </c>
      <c r="M63" s="1531" t="str">
        <f t="shared" si="2"/>
        <v>–</v>
      </c>
      <c r="N63" s="1531">
        <f t="shared" si="3"/>
        <v>0</v>
      </c>
      <c r="O63" s="1531" t="str">
        <f t="shared" si="4"/>
        <v>–</v>
      </c>
    </row>
    <row r="64" spans="1:15" ht="25.5" thickBot="1">
      <c r="A64" s="376">
        <f t="shared" ref="A64:A97" si="8">ROW(A63)</f>
        <v>63</v>
      </c>
      <c r="B64" s="375" t="str">
        <f>CONCATENATE('3 pr-2'!D87)</f>
        <v>Dviračių ir pėsčiųjų takų įrengimas Varėnos miesto J. Basanavičiaus ir Žiedo gatvėse</v>
      </c>
      <c r="C64" s="375" t="str">
        <f>CONCATENATE('3 pr-2'!H87)</f>
        <v>04.5.1-TID-R-516</v>
      </c>
      <c r="D64" s="375" t="str">
        <f>CONCATENATE('3 pr-2'!E87)</f>
        <v>Varėnos rajono savivaldybės administracija</v>
      </c>
      <c r="E64" s="573" t="str">
        <f>CONCATENATE('3 pr-2'!G87)</f>
        <v>Varėnos r. sav.</v>
      </c>
      <c r="F64" s="1481" t="str">
        <f>CONCATENATE('3 pr-2'!J87)</f>
        <v>ITI</v>
      </c>
      <c r="G64" s="1480">
        <f>SUM('3 pr-2'!AA87)</f>
        <v>87810</v>
      </c>
      <c r="H64" s="644">
        <f>SUMIF('516'!$C$21:$C$30,B64,'516'!$G$21:$G$30)</f>
        <v>80810</v>
      </c>
      <c r="I64" s="644">
        <f>SUM('ketv. 6 '!AF86)</f>
        <v>80810</v>
      </c>
      <c r="J64" s="644">
        <f>SUM('ketv. 7 '!AL85)</f>
        <v>65766.759999999995</v>
      </c>
      <c r="K64" s="1296">
        <f t="shared" si="0"/>
        <v>0.81384432619725278</v>
      </c>
      <c r="L64" s="1495">
        <f t="shared" si="1"/>
        <v>0.74896663250199291</v>
      </c>
      <c r="M64" s="1531">
        <f t="shared" si="2"/>
        <v>0</v>
      </c>
      <c r="N64" s="1531">
        <f t="shared" si="3"/>
        <v>7000</v>
      </c>
      <c r="O64" s="1531">
        <f t="shared" si="4"/>
        <v>7000</v>
      </c>
    </row>
    <row r="65" spans="1:15" ht="37.5" thickBot="1">
      <c r="A65" s="376">
        <f t="shared" si="8"/>
        <v>64</v>
      </c>
      <c r="B65" s="375" t="str">
        <f>CONCATENATE('3 pr-2'!D88)</f>
        <v>Dviračių trasų infrastruktūros įrengimas nuo Putinų g. žiedo Pramonės gatvėje, Alytaus mieste</v>
      </c>
      <c r="C65" s="375" t="str">
        <f>CONCATENATE('3 pr-2'!H88)</f>
        <v>04.5.1-TID-R-516</v>
      </c>
      <c r="D65" s="375" t="str">
        <f>CONCATENATE('3 pr-2'!E88)</f>
        <v>Alytaus miesto savivaldybės administracija</v>
      </c>
      <c r="E65" s="573" t="str">
        <f>CONCATENATE('3 pr-2'!G88)</f>
        <v>Alytaus m. sav.</v>
      </c>
      <c r="F65" s="1481" t="str">
        <f>CONCATENATE('3 pr-2'!J88)</f>
        <v>ITI</v>
      </c>
      <c r="G65" s="1480">
        <f>SUM('3 pr-2'!AA88)</f>
        <v>113619.56</v>
      </c>
      <c r="H65" s="644">
        <f>SUMIF('516'!$C$21:$C$30,B65,'516'!$G$21:$G$30)</f>
        <v>113619.56</v>
      </c>
      <c r="I65" s="644">
        <f>SUM('ketv. 6 '!AF87)</f>
        <v>113619.55999999998</v>
      </c>
      <c r="J65" s="644">
        <f>SUM('ketv. 7 '!AL86)</f>
        <v>113619.55999999998</v>
      </c>
      <c r="K65" s="1296">
        <f t="shared" si="0"/>
        <v>0.99999999999999989</v>
      </c>
      <c r="L65" s="1495">
        <f t="shared" si="1"/>
        <v>0.99999999999999989</v>
      </c>
      <c r="M65" s="1531">
        <f t="shared" si="2"/>
        <v>1.4551915228366852E-11</v>
      </c>
      <c r="N65" s="1531">
        <f t="shared" si="3"/>
        <v>0</v>
      </c>
      <c r="O65" s="1531">
        <f t="shared" si="4"/>
        <v>1.4551915228366852E-11</v>
      </c>
    </row>
    <row r="66" spans="1:15" ht="37.5" thickBot="1">
      <c r="A66" s="376">
        <f t="shared" si="8"/>
        <v>65</v>
      </c>
      <c r="B66" s="375" t="str">
        <f>CONCATENATE('3 pr-2'!D89)</f>
        <v>Dviračių ir pėsčiųjų takų plėtra Lazdijų miesto Turistų gatvėje iki sodų bendrijos „Baltasis“ Lazdijų seniūnijoje</v>
      </c>
      <c r="C66" s="375" t="str">
        <f>CONCATENATE('3 pr-2'!H89)</f>
        <v>04.5.1-TID-R-516</v>
      </c>
      <c r="D66" s="375" t="str">
        <f>CONCATENATE('3 pr-2'!E89)</f>
        <v>Lazdijų rajono savivaldybės administracija</v>
      </c>
      <c r="E66" s="573" t="str">
        <f>CONCATENATE('3 pr-2'!G89)</f>
        <v>Lazdijų r. sav.</v>
      </c>
      <c r="F66" s="1481" t="str">
        <f>CONCATENATE('3 pr-2'!J89)</f>
        <v>ITI</v>
      </c>
      <c r="G66" s="1480">
        <f>SUM('3 pr-2'!AA89)</f>
        <v>73501</v>
      </c>
      <c r="H66" s="644">
        <f>SUMIF('516'!$C$21:$C$30,B66,'516'!$G$21:$G$30)</f>
        <v>73501</v>
      </c>
      <c r="I66" s="644">
        <f>SUM('ketv. 6 '!AF88)</f>
        <v>73501</v>
      </c>
      <c r="J66" s="644">
        <f>SUM('ketv. 7 '!AL87)</f>
        <v>45882.680000000008</v>
      </c>
      <c r="K66" s="1296">
        <f t="shared" si="0"/>
        <v>0.62424565652168007</v>
      </c>
      <c r="L66" s="1495">
        <f t="shared" si="1"/>
        <v>0.62424565652168007</v>
      </c>
      <c r="M66" s="1531">
        <f t="shared" si="2"/>
        <v>0</v>
      </c>
      <c r="N66" s="1531">
        <f t="shared" si="3"/>
        <v>0</v>
      </c>
      <c r="O66" s="1531">
        <f t="shared" si="4"/>
        <v>0</v>
      </c>
    </row>
    <row r="67" spans="1:15" ht="25.5" thickBot="1">
      <c r="A67" s="376">
        <f t="shared" si="8"/>
        <v>66</v>
      </c>
      <c r="B67" s="375" t="str">
        <f>CONCATENATE('3 pr-2'!D90)</f>
        <v>Pėsčiųjų ir dviračių takų plėtra Simno seniūnijoje</v>
      </c>
      <c r="C67" s="375" t="str">
        <f>CONCATENATE('3 pr-2'!H90)</f>
        <v>04.5.1-TID-R-516</v>
      </c>
      <c r="D67" s="375" t="str">
        <f>CONCATENATE('3 pr-2'!E90)</f>
        <v>Alytaus rajono savivaldybės administracija</v>
      </c>
      <c r="E67" s="573" t="str">
        <f>CONCATENATE('3 pr-2'!G90)</f>
        <v>Alytaus r. sav.</v>
      </c>
      <c r="F67" s="1481" t="str">
        <f>CONCATENATE('3 pr-2'!J90)</f>
        <v>-</v>
      </c>
      <c r="G67" s="1480">
        <f>SUM('3 pr-2'!AA90)</f>
        <v>84107.13</v>
      </c>
      <c r="H67" s="644">
        <f>SUMIF('516'!$C$21:$C$30,B67,'516'!$G$21:$G$30)</f>
        <v>84107.13</v>
      </c>
      <c r="I67" s="644">
        <f>SUM('ketv. 6 '!AF89)</f>
        <v>84107.13</v>
      </c>
      <c r="J67" s="644">
        <f>SUM('ketv. 7 '!AL88)</f>
        <v>77910.06</v>
      </c>
      <c r="K67" s="1296">
        <f t="shared" ref="K67:K130" si="9">SUM(J67/H67)</f>
        <v>0.92631932631633007</v>
      </c>
      <c r="L67" s="1495">
        <f t="shared" ref="L67:L130" si="10">SUM(J67/G67)</f>
        <v>0.92631932631633007</v>
      </c>
      <c r="M67" s="1531">
        <f t="shared" ref="M67:M130" si="11">IF(I67=0,"–",H67-I67)</f>
        <v>0</v>
      </c>
      <c r="N67" s="1531">
        <f t="shared" ref="N67:N130" si="12">IF(H67=0,"–",G67-H67)</f>
        <v>0</v>
      </c>
      <c r="O67" s="1531">
        <f t="shared" ref="O67:O130" si="13">IF(I67=0,"–",G67-I67)</f>
        <v>0</v>
      </c>
    </row>
    <row r="68" spans="1:15" ht="37.5" thickBot="1">
      <c r="A68" s="376">
        <f t="shared" si="8"/>
        <v>67</v>
      </c>
      <c r="B68" s="375" t="str">
        <f>CONCATENATE('3 pr-2'!D91)</f>
        <v>Dviračių ir pėsčiųjų tako, esančio šalia Ratnyčios upelio Druskininkų mieste, rekonstrukcija</v>
      </c>
      <c r="C68" s="375" t="str">
        <f>CONCATENATE('3 pr-2'!H91)</f>
        <v>04.5.1-TID-R-516</v>
      </c>
      <c r="D68" s="375" t="str">
        <f>CONCATENATE('3 pr-2'!E91)</f>
        <v xml:space="preserve">Druskininkų savivaldybės administracija  </v>
      </c>
      <c r="E68" s="573" t="str">
        <f>CONCATENATE('3 pr-2'!G91)</f>
        <v>Druskininkų sav.</v>
      </c>
      <c r="F68" s="1481" t="str">
        <f>CONCATENATE('3 pr-2'!J91)</f>
        <v>-</v>
      </c>
      <c r="G68" s="1480">
        <f>SUM('3 pr-2'!AA91)</f>
        <v>56623</v>
      </c>
      <c r="H68" s="644">
        <f>SUMIF('516'!$C$21:$C$30,B68,'516'!$G$21:$G$30)</f>
        <v>56623</v>
      </c>
      <c r="I68" s="644">
        <f>SUM('ketv. 6 '!AF90)</f>
        <v>0</v>
      </c>
      <c r="J68" s="644">
        <f>SUM('ketv. 7 '!AL89)</f>
        <v>0</v>
      </c>
      <c r="K68" s="1296">
        <f t="shared" si="9"/>
        <v>0</v>
      </c>
      <c r="L68" s="1495">
        <f t="shared" si="10"/>
        <v>0</v>
      </c>
      <c r="M68" s="1531" t="str">
        <f t="shared" si="11"/>
        <v>–</v>
      </c>
      <c r="N68" s="1531">
        <f t="shared" si="12"/>
        <v>0</v>
      </c>
      <c r="O68" s="1531" t="str">
        <f t="shared" si="13"/>
        <v>–</v>
      </c>
    </row>
    <row r="69" spans="1:15" ht="27.75" customHeight="1" thickBot="1">
      <c r="A69" s="376">
        <f t="shared" si="8"/>
        <v>68</v>
      </c>
      <c r="B69" s="375" t="str">
        <f>CONCATENATE('3 pr-2'!D93)</f>
        <v>Varėnos miesto J. Basanavičiaus, Savanorių, M. K. Čiurlionio gatvių rekonstrukcija</v>
      </c>
      <c r="C69" s="375" t="str">
        <f>CONCATENATE('3 pr-2'!H93)</f>
        <v>06.2.1-TID-R-511</v>
      </c>
      <c r="D69" s="375" t="str">
        <f>CONCATENATE('3 pr-2'!E93)</f>
        <v>Varėnos rajono savivaldybės administracija</v>
      </c>
      <c r="E69" s="573" t="str">
        <f>CONCATENATE('3 pr-2'!G93)</f>
        <v>Varėnos r. sav.</v>
      </c>
      <c r="F69" s="1481" t="str">
        <f>CONCATENATE('3 pr-2'!J93)</f>
        <v>ITI</v>
      </c>
      <c r="G69" s="1480">
        <f>SUM('3 pr-2'!AA93)</f>
        <v>710144</v>
      </c>
      <c r="H69" s="644">
        <f>SUMIF('511'!$C$21:$C$30,B69,'511'!$I$21:$I$30)</f>
        <v>710144</v>
      </c>
      <c r="I69" s="644">
        <f>SUM('ketv. 6 '!AF92)</f>
        <v>710144</v>
      </c>
      <c r="J69" s="644">
        <f>SUM('ketv. 7 '!AL91)</f>
        <v>710143.99999999988</v>
      </c>
      <c r="K69" s="1296">
        <f t="shared" si="9"/>
        <v>0.99999999999999989</v>
      </c>
      <c r="L69" s="1495">
        <f t="shared" si="10"/>
        <v>0.99999999999999989</v>
      </c>
      <c r="M69" s="1531">
        <f t="shared" si="11"/>
        <v>0</v>
      </c>
      <c r="N69" s="1531">
        <f t="shared" si="12"/>
        <v>0</v>
      </c>
      <c r="O69" s="1531">
        <f t="shared" si="13"/>
        <v>0</v>
      </c>
    </row>
    <row r="70" spans="1:15" ht="25.5" thickBot="1">
      <c r="A70" s="376">
        <f t="shared" si="8"/>
        <v>69</v>
      </c>
      <c r="B70" s="375" t="str">
        <f>CONCATENATE('3 pr-2'!D94)</f>
        <v>Perspektyvinės gatvės nuo Pramonės g. iki Naujosios g. Alytuje įrengimas</v>
      </c>
      <c r="C70" s="375" t="str">
        <f>CONCATENATE('3 pr-2'!H94)</f>
        <v>06.2.1-TID-R-511</v>
      </c>
      <c r="D70" s="375" t="str">
        <f>CONCATENATE('3 pr-2'!E94)</f>
        <v>Alytaus miesto savivaldybės administracija</v>
      </c>
      <c r="E70" s="573" t="str">
        <f>CONCATENATE('3 pr-2'!G94)</f>
        <v>Alytaus m. sav.</v>
      </c>
      <c r="F70" s="1481" t="str">
        <f>CONCATENATE('3 pr-2'!J94)</f>
        <v>ITI</v>
      </c>
      <c r="G70" s="1480">
        <f>SUM('3 pr-2'!AA94)</f>
        <v>747938</v>
      </c>
      <c r="H70" s="644">
        <f>SUMIF('511'!$C$21:$C$30,B70,'511'!$I$21:$I$30)</f>
        <v>747938</v>
      </c>
      <c r="I70" s="644">
        <f>SUM('ketv. 6 '!AF93)</f>
        <v>747938</v>
      </c>
      <c r="J70" s="644">
        <f>SUM('ketv. 7 '!AL92)</f>
        <v>747938</v>
      </c>
      <c r="K70" s="1296">
        <f t="shared" si="9"/>
        <v>1</v>
      </c>
      <c r="L70" s="1495">
        <f t="shared" si="10"/>
        <v>1</v>
      </c>
      <c r="M70" s="1531">
        <f t="shared" si="11"/>
        <v>0</v>
      </c>
      <c r="N70" s="1531">
        <f t="shared" si="12"/>
        <v>0</v>
      </c>
      <c r="O70" s="1531">
        <f t="shared" si="13"/>
        <v>0</v>
      </c>
    </row>
    <row r="71" spans="1:15" ht="25.5" thickBot="1">
      <c r="A71" s="376">
        <f t="shared" si="8"/>
        <v>70</v>
      </c>
      <c r="B71" s="375" t="str">
        <f>CONCATENATE('3 pr-2'!D95)</f>
        <v>Saugaus eismo priemonių diegimas Alytaus mieste</v>
      </c>
      <c r="C71" s="375" t="str">
        <f>CONCATENATE('3 pr-2'!H95)</f>
        <v>06.2.1-TID-R-511</v>
      </c>
      <c r="D71" s="375" t="str">
        <f>CONCATENATE('3 pr-2'!E95)</f>
        <v>Alytaus miesto savivaldybės administracija</v>
      </c>
      <c r="E71" s="573" t="str">
        <f>CONCATENATE('3 pr-2'!G95)</f>
        <v>Alytaus m. sav.</v>
      </c>
      <c r="F71" s="1481" t="str">
        <f>CONCATENATE('3 pr-2'!J95)</f>
        <v>-</v>
      </c>
      <c r="G71" s="1480">
        <f>SUM('3 pr-2'!AA95)</f>
        <v>233024.78</v>
      </c>
      <c r="H71" s="644">
        <f>SUMIF('511'!$C$21:$C$30,B71,'511'!$I$21:$I$30)</f>
        <v>250299</v>
      </c>
      <c r="I71" s="644">
        <f>SUM('ketv. 6 '!AF94)</f>
        <v>233024.78</v>
      </c>
      <c r="J71" s="644">
        <f>SUM('ketv. 7 '!AL93)</f>
        <v>0</v>
      </c>
      <c r="K71" s="1296">
        <f t="shared" si="9"/>
        <v>0</v>
      </c>
      <c r="L71" s="1495">
        <f t="shared" si="10"/>
        <v>0</v>
      </c>
      <c r="M71" s="1531">
        <f t="shared" si="11"/>
        <v>17274.22</v>
      </c>
      <c r="N71" s="1531">
        <f t="shared" si="12"/>
        <v>-17274.22</v>
      </c>
      <c r="O71" s="1531">
        <f t="shared" si="13"/>
        <v>0</v>
      </c>
    </row>
    <row r="72" spans="1:15" ht="25.5" thickBot="1">
      <c r="A72" s="376">
        <f t="shared" si="8"/>
        <v>71</v>
      </c>
      <c r="B72" s="375" t="str">
        <f>CONCATENATE('3 pr-2'!D96)</f>
        <v>Eismo saugos priemonių diegimas Alytaus rajono savivaldybėje</v>
      </c>
      <c r="C72" s="375" t="str">
        <f>CONCATENATE('3 pr-2'!H96)</f>
        <v>06.2.1-TID-R-511</v>
      </c>
      <c r="D72" s="375" t="str">
        <f>CONCATENATE('3 pr-2'!E96)</f>
        <v>Alytaus rajono savivaldybės administracija</v>
      </c>
      <c r="E72" s="573" t="str">
        <f>CONCATENATE('3 pr-2'!G96)</f>
        <v>Alytaus r. sav.</v>
      </c>
      <c r="F72" s="1481" t="str">
        <f>CONCATENATE('3 pr-2'!J96)</f>
        <v>-</v>
      </c>
      <c r="G72" s="1480">
        <f>SUM('3 pr-2'!AA96)</f>
        <v>200844</v>
      </c>
      <c r="H72" s="644">
        <f>SUMIF('511'!$C$21:$C$30,B72,'511'!$I$21:$I$30)</f>
        <v>200844</v>
      </c>
      <c r="I72" s="644">
        <f>SUM('ketv. 6 '!AF95)</f>
        <v>200844</v>
      </c>
      <c r="J72" s="644">
        <f>SUM('ketv. 7 '!AL94)</f>
        <v>141236.57999999999</v>
      </c>
      <c r="K72" s="1296">
        <f t="shared" si="9"/>
        <v>0.70321533130190594</v>
      </c>
      <c r="L72" s="1495">
        <f t="shared" si="10"/>
        <v>0.70321533130190594</v>
      </c>
      <c r="M72" s="1531">
        <f t="shared" si="11"/>
        <v>0</v>
      </c>
      <c r="N72" s="1531">
        <f t="shared" si="12"/>
        <v>0</v>
      </c>
      <c r="O72" s="1531">
        <f t="shared" si="13"/>
        <v>0</v>
      </c>
    </row>
    <row r="73" spans="1:15" ht="25.5" thickBot="1">
      <c r="A73" s="376">
        <f t="shared" si="8"/>
        <v>72</v>
      </c>
      <c r="B73" s="375" t="str">
        <f>CONCATENATE('3 pr-2'!D97)</f>
        <v>M.K. Čiurlionio gatvės atkarpos Druskininkų m. rekonstrukcija</v>
      </c>
      <c r="C73" s="375" t="str">
        <f>CONCATENATE('3 pr-2'!H97)</f>
        <v>06.2.1-TID-R-511</v>
      </c>
      <c r="D73" s="375" t="str">
        <f>CONCATENATE('3 pr-2'!E97)</f>
        <v xml:space="preserve">Druskininkų savivaldybės administracija  </v>
      </c>
      <c r="E73" s="573" t="str">
        <f>CONCATENATE('3 pr-2'!G97)</f>
        <v>Druskininkų sav.</v>
      </c>
      <c r="F73" s="1481" t="str">
        <f>CONCATENATE('3 pr-2'!J97)</f>
        <v>ITI</v>
      </c>
      <c r="G73" s="1480">
        <f>SUM('3 pr-2'!AA97)</f>
        <v>384649</v>
      </c>
      <c r="H73" s="644">
        <f>SUMIF('511'!$C$21:$C$30,B73,'511'!$I$21:$I$30)</f>
        <v>384649</v>
      </c>
      <c r="I73" s="644">
        <f>SUM('ketv. 6 '!AF96)</f>
        <v>346184.1</v>
      </c>
      <c r="J73" s="644">
        <f>SUM('ketv. 7 '!AL95)</f>
        <v>103855.23</v>
      </c>
      <c r="K73" s="1296">
        <f t="shared" si="9"/>
        <v>0.26999999999999996</v>
      </c>
      <c r="L73" s="1495">
        <f t="shared" si="10"/>
        <v>0.26999999999999996</v>
      </c>
      <c r="M73" s="1531">
        <f t="shared" si="11"/>
        <v>38464.900000000023</v>
      </c>
      <c r="N73" s="1531">
        <f t="shared" si="12"/>
        <v>0</v>
      </c>
      <c r="O73" s="1531">
        <f t="shared" si="13"/>
        <v>38464.900000000023</v>
      </c>
    </row>
    <row r="74" spans="1:15" ht="37.5" thickBot="1">
      <c r="A74" s="376">
        <f t="shared" si="8"/>
        <v>73</v>
      </c>
      <c r="B74" s="375" t="str">
        <f>CONCATENATE('3 pr-2'!D98)</f>
        <v>Lazdijų miesto Seinų ir Lazdijos gatvių bei vietinės reikšmės kelio nuo Janonio gatvės iki Lazdijų hipodromo rekonstravimas</v>
      </c>
      <c r="C74" s="375" t="str">
        <f>CONCATENATE('3 pr-2'!H98)</f>
        <v>06.2.1-TID-R-511</v>
      </c>
      <c r="D74" s="375" t="str">
        <f>CONCATENATE('3 pr-2'!E98)</f>
        <v>Lazdijų rajono savivaldybės administracija</v>
      </c>
      <c r="E74" s="573" t="str">
        <f>CONCATENATE('3 pr-2'!G98)</f>
        <v>Lazdijų r. sav.</v>
      </c>
      <c r="F74" s="1481" t="str">
        <f>CONCATENATE('3 pr-2'!J98)</f>
        <v>ITI</v>
      </c>
      <c r="G74" s="1480">
        <f>SUM('3 pr-2'!AA98)</f>
        <v>645944</v>
      </c>
      <c r="H74" s="644">
        <f>SUMIF('511'!$C$21:$C$30,B74,'511'!$I$21:$I$30)</f>
        <v>645944</v>
      </c>
      <c r="I74" s="644">
        <f>SUM('ketv. 6 '!AF97)</f>
        <v>645944</v>
      </c>
      <c r="J74" s="644">
        <f>SUM('ketv. 7 '!AL96)</f>
        <v>556085.34</v>
      </c>
      <c r="K74" s="1296">
        <f t="shared" si="9"/>
        <v>0.86088784786297257</v>
      </c>
      <c r="L74" s="1495">
        <f t="shared" si="10"/>
        <v>0.86088784786297257</v>
      </c>
      <c r="M74" s="1531">
        <f t="shared" si="11"/>
        <v>0</v>
      </c>
      <c r="N74" s="1531">
        <f t="shared" si="12"/>
        <v>0</v>
      </c>
      <c r="O74" s="1531">
        <f t="shared" si="13"/>
        <v>0</v>
      </c>
    </row>
    <row r="75" spans="1:15" ht="25.5" thickBot="1">
      <c r="A75" s="376">
        <f t="shared" si="8"/>
        <v>74</v>
      </c>
      <c r="B75" s="375" t="str">
        <f>CONCATENATE('3 pr-2'!D99)</f>
        <v>Eismo saugumo priemonių diegimas Druskininkų savivaldybėje</v>
      </c>
      <c r="C75" s="375" t="str">
        <f>CONCATENATE('3 pr-2'!H99)</f>
        <v>06.2.1-TID-R-511</v>
      </c>
      <c r="D75" s="375" t="str">
        <f>CONCATENATE('3 pr-2'!E99)</f>
        <v xml:space="preserve">Druskininkų savivaldybės administracija  </v>
      </c>
      <c r="E75" s="573" t="str">
        <f>CONCATENATE('3 pr-2'!G99)</f>
        <v>Druskininkų sav.</v>
      </c>
      <c r="F75" s="1481" t="str">
        <f>CONCATENATE('3 pr-2'!J99)</f>
        <v>-</v>
      </c>
      <c r="G75" s="1480">
        <f>SUM('3 pr-2'!AA99)</f>
        <v>112989</v>
      </c>
      <c r="H75" s="644">
        <f>SUMIF('511'!$C$21:$C$30,B75,'511'!$I$21:$I$30)</f>
        <v>112989</v>
      </c>
      <c r="I75" s="644">
        <f>SUM('ketv. 6 '!AF98)</f>
        <v>112989</v>
      </c>
      <c r="J75" s="644">
        <f>SUM('ketv. 7 '!AL97)</f>
        <v>0</v>
      </c>
      <c r="K75" s="1296">
        <f t="shared" si="9"/>
        <v>0</v>
      </c>
      <c r="L75" s="1495">
        <f t="shared" si="10"/>
        <v>0</v>
      </c>
      <c r="M75" s="1531">
        <f t="shared" si="11"/>
        <v>0</v>
      </c>
      <c r="N75" s="1531">
        <f t="shared" si="12"/>
        <v>0</v>
      </c>
      <c r="O75" s="1531">
        <f t="shared" si="13"/>
        <v>0</v>
      </c>
    </row>
    <row r="76" spans="1:15" ht="49.5" thickBot="1">
      <c r="A76" s="376">
        <f t="shared" si="8"/>
        <v>75</v>
      </c>
      <c r="B76" s="375" t="str">
        <f>CONCATENATE('3 pr-2'!D103)</f>
        <v>Varėnos r. Merkinės Vinco Krėvės gimnazijos laisvų patalpų pritaikymas ikimokyklinio ir priešmokyklinio ugdymo grupėms įrengti</v>
      </c>
      <c r="C76" s="375" t="str">
        <f>CONCATENATE('3 pr-2'!H103)</f>
        <v>09.1.3-CPVA-R-724</v>
      </c>
      <c r="D76" s="375" t="str">
        <f>CONCATENATE('3 pr-2'!E103)</f>
        <v>Varėnos rajono savivaldybės administracija</v>
      </c>
      <c r="E76" s="573" t="str">
        <f>CONCATENATE('3 pr-2'!G103)</f>
        <v>Varėnos r. sav.</v>
      </c>
      <c r="F76" s="1481" t="str">
        <f>CONCATENATE('3 pr-2'!J103)</f>
        <v>-</v>
      </c>
      <c r="G76" s="1480">
        <f>SUM('3 pr-2'!AA103)</f>
        <v>187385</v>
      </c>
      <c r="H76" s="644">
        <f>SUMIF('724'!$C$21:$C$30,B76,'724'!$G$21:$G$30)</f>
        <v>187385</v>
      </c>
      <c r="I76" s="644">
        <f>SUM('ketv. 6 '!AF102)</f>
        <v>187385</v>
      </c>
      <c r="J76" s="644">
        <f>SUM('ketv. 7 '!AL101)</f>
        <v>0</v>
      </c>
      <c r="K76" s="1296">
        <f t="shared" si="9"/>
        <v>0</v>
      </c>
      <c r="L76" s="1495">
        <f t="shared" si="10"/>
        <v>0</v>
      </c>
      <c r="M76" s="1531">
        <f t="shared" si="11"/>
        <v>0</v>
      </c>
      <c r="N76" s="1531">
        <f t="shared" si="12"/>
        <v>0</v>
      </c>
      <c r="O76" s="1531">
        <f t="shared" si="13"/>
        <v>0</v>
      </c>
    </row>
    <row r="77" spans="1:15" ht="37.5" thickBot="1">
      <c r="A77" s="376">
        <f t="shared" si="8"/>
        <v>76</v>
      </c>
      <c r="B77" s="375" t="str">
        <f>CONCATENATE('3 pr-2'!D104)</f>
        <v>Alytaus rajono bendrojo ugdymo įstaigų aprūpinimas gamtos, technologijų, menų ir kitų mokslų laboratorijų įranga</v>
      </c>
      <c r="C77" s="375" t="str">
        <f>CONCATENATE('3 pr-2'!H104)</f>
        <v>09.1.3-CPVA-R-724</v>
      </c>
      <c r="D77" s="375" t="str">
        <f>CONCATENATE('3 pr-2'!E104)</f>
        <v>Alytaus rajono savivaldybės administracija</v>
      </c>
      <c r="E77" s="573" t="str">
        <f>CONCATENATE('3 pr-2'!G104)</f>
        <v>Alytaus r. sav.</v>
      </c>
      <c r="F77" s="1481" t="str">
        <f>CONCATENATE('3 pr-2'!J104)</f>
        <v>-</v>
      </c>
      <c r="G77" s="1480">
        <f>SUM('3 pr-2'!AA104)</f>
        <v>90818</v>
      </c>
      <c r="H77" s="644">
        <f>SUMIF('724'!$C$21:$C$30,B77,'724'!$G$21:$G$30)</f>
        <v>90818</v>
      </c>
      <c r="I77" s="644">
        <f>SUM('ketv. 6 '!AF103)</f>
        <v>90818</v>
      </c>
      <c r="J77" s="644">
        <f>SUM('ketv. 7 '!AL102)</f>
        <v>50148.04</v>
      </c>
      <c r="K77" s="1296">
        <f t="shared" si="9"/>
        <v>0.55218172608954175</v>
      </c>
      <c r="L77" s="1495">
        <f t="shared" si="10"/>
        <v>0.55218172608954175</v>
      </c>
      <c r="M77" s="1531">
        <f t="shared" si="11"/>
        <v>0</v>
      </c>
      <c r="N77" s="1531">
        <f t="shared" si="12"/>
        <v>0</v>
      </c>
      <c r="O77" s="1531">
        <f t="shared" si="13"/>
        <v>0</v>
      </c>
    </row>
    <row r="78" spans="1:15" ht="25.5" thickBot="1">
      <c r="A78" s="376">
        <f t="shared" si="8"/>
        <v>77</v>
      </c>
      <c r="B78" s="375" t="str">
        <f>CONCATENATE('3 pr-2'!D105)</f>
        <v>Modernių ir saugių erdvių kūrimas Dzūkijos pagrindinėje mokykloje, Alytuje</v>
      </c>
      <c r="C78" s="375" t="str">
        <f>CONCATENATE('3 pr-2'!H105)</f>
        <v>09.1.3-CPVA-R-724</v>
      </c>
      <c r="D78" s="375" t="str">
        <f>CONCATENATE('3 pr-2'!E105)</f>
        <v>Alytaus miesto savivaldybės administracija</v>
      </c>
      <c r="E78" s="573" t="str">
        <f>CONCATENATE('3 pr-2'!G105)</f>
        <v>Alytaus m. sav.</v>
      </c>
      <c r="F78" s="1481" t="str">
        <f>CONCATENATE('3 pr-2'!J105)</f>
        <v>-</v>
      </c>
      <c r="G78" s="1480">
        <f>SUM('3 pr-2'!AA105)</f>
        <v>558467</v>
      </c>
      <c r="H78" s="644">
        <f>SUMIF('724'!$C$21:$C$30,B78,'724'!$G$21:$G$30)</f>
        <v>558467</v>
      </c>
      <c r="I78" s="644">
        <f>SUM('ketv. 6 '!AF104)</f>
        <v>558467</v>
      </c>
      <c r="J78" s="644">
        <f>SUM('ketv. 7 '!AL103)</f>
        <v>301803.58</v>
      </c>
      <c r="K78" s="1296">
        <f t="shared" si="9"/>
        <v>0.54041434856491077</v>
      </c>
      <c r="L78" s="1495">
        <f t="shared" si="10"/>
        <v>0.54041434856491077</v>
      </c>
      <c r="M78" s="1531">
        <f t="shared" si="11"/>
        <v>0</v>
      </c>
      <c r="N78" s="1531">
        <f t="shared" si="12"/>
        <v>0</v>
      </c>
      <c r="O78" s="1531">
        <f t="shared" si="13"/>
        <v>0</v>
      </c>
    </row>
    <row r="79" spans="1:15" ht="37.5" thickBot="1">
      <c r="A79" s="376">
        <f t="shared" si="8"/>
        <v>78</v>
      </c>
      <c r="B79" s="375" t="str">
        <f>CONCATENATE('3 pr-2'!D106)</f>
        <v>Modernių ir saugių erdvių sukūrimas bendrojo ugdymo mokyklose Druskininkų sav.</v>
      </c>
      <c r="C79" s="375" t="str">
        <f>CONCATENATE('3 pr-2'!H106)</f>
        <v>09.1.3-CPVA-R-724</v>
      </c>
      <c r="D79" s="375" t="str">
        <f>CONCATENATE('3 pr-2'!E106)</f>
        <v>Druskininkų savivaldybės administracija</v>
      </c>
      <c r="E79" s="573" t="str">
        <f>CONCATENATE('3 pr-2'!G106)</f>
        <v>Druskininkų sav.</v>
      </c>
      <c r="F79" s="1481" t="str">
        <f>CONCATENATE('3 pr-2'!J106)</f>
        <v>-</v>
      </c>
      <c r="G79" s="1480">
        <f>SUM('3 pr-2'!AA106)</f>
        <v>139295</v>
      </c>
      <c r="H79" s="644">
        <f>SUMIF('724'!$C$21:$C$30,B79,'724'!$G$21:$G$30)</f>
        <v>139295</v>
      </c>
      <c r="I79" s="644">
        <f>SUM('ketv. 6 '!AF105)</f>
        <v>139295</v>
      </c>
      <c r="J79" s="644">
        <f>SUM('ketv. 7 '!AL104)</f>
        <v>139228.57</v>
      </c>
      <c r="K79" s="1296">
        <f t="shared" si="9"/>
        <v>0.99952309846010268</v>
      </c>
      <c r="L79" s="1495">
        <f t="shared" si="10"/>
        <v>0.99952309846010268</v>
      </c>
      <c r="M79" s="1531">
        <f t="shared" si="11"/>
        <v>0</v>
      </c>
      <c r="N79" s="1531">
        <f t="shared" si="12"/>
        <v>0</v>
      </c>
      <c r="O79" s="1531">
        <f t="shared" si="13"/>
        <v>0</v>
      </c>
    </row>
    <row r="80" spans="1:15" ht="37.5" thickBot="1">
      <c r="A80" s="376">
        <f t="shared" si="8"/>
        <v>79</v>
      </c>
      <c r="B80" s="375" t="str">
        <f>CONCATENATE('3 pr-2'!D107)</f>
        <v>Modernių ir saugių erdvių sukūrimas bendrojo ugdymo įstaigose Lazdijų rajono savivaldybėje</v>
      </c>
      <c r="C80" s="375" t="str">
        <f>CONCATENATE('3 pr-2'!H107)</f>
        <v>09.1.3-CPVA-R-724</v>
      </c>
      <c r="D80" s="375" t="str">
        <f>CONCATENATE('3 pr-2'!E107)</f>
        <v>Lazdijų rajono savivaldybės administracija</v>
      </c>
      <c r="E80" s="573" t="str">
        <f>CONCATENATE('3 pr-2'!G107)</f>
        <v>Lazdijų r. sav.</v>
      </c>
      <c r="F80" s="1481" t="str">
        <f>CONCATENATE('3 pr-2'!J107)</f>
        <v>-</v>
      </c>
      <c r="G80" s="1480">
        <f>SUM('3 pr-2'!AA107)</f>
        <v>166412</v>
      </c>
      <c r="H80" s="644">
        <f>SUMIF('724'!$C$21:$C$30,B80,'724'!$G$21:$G$30)</f>
        <v>166412</v>
      </c>
      <c r="I80" s="644">
        <f>SUM('ketv. 6 '!AF106)</f>
        <v>166412</v>
      </c>
      <c r="J80" s="644">
        <f>SUM('ketv. 7 '!AL105)</f>
        <v>164082.42000000001</v>
      </c>
      <c r="K80" s="1296">
        <f t="shared" si="9"/>
        <v>0.98600112972622178</v>
      </c>
      <c r="L80" s="1495">
        <f t="shared" si="10"/>
        <v>0.98600112972622178</v>
      </c>
      <c r="M80" s="1531">
        <f t="shared" si="11"/>
        <v>0</v>
      </c>
      <c r="N80" s="1531">
        <f t="shared" si="12"/>
        <v>0</v>
      </c>
      <c r="O80" s="1531">
        <f t="shared" si="13"/>
        <v>0</v>
      </c>
    </row>
    <row r="81" spans="1:15" ht="37.5" thickBot="1">
      <c r="A81" s="376">
        <f t="shared" si="8"/>
        <v>80</v>
      </c>
      <c r="B81" s="375" t="str">
        <f>CONCATENATE('3 pr-2'!D109)</f>
        <v>Varėnos moksleivių kūrybos centro pastato J.Basanavičiaus g. 38, Varėnoje, modernizavimas</v>
      </c>
      <c r="C81" s="375" t="str">
        <f>CONCATENATE('3 pr-2'!H109)</f>
        <v>09.13.CPVA-R-725</v>
      </c>
      <c r="D81" s="375" t="str">
        <f>CONCATENATE('3 pr-2'!E109)</f>
        <v>Varėnos rajono savivaldybės administracija</v>
      </c>
      <c r="E81" s="573" t="str">
        <f>CONCATENATE('3 pr-2'!G109)</f>
        <v>Varėnos r. sav.</v>
      </c>
      <c r="F81" s="1481" t="str">
        <f>CONCATENATE('3 pr-2'!J109)</f>
        <v>-</v>
      </c>
      <c r="G81" s="1480">
        <f>SUM('3 pr-2'!AA109)</f>
        <v>371918</v>
      </c>
      <c r="H81" s="644">
        <f>SUMIF('725'!$C$21:$C$30,B81,'725'!$I$21:$I$30)</f>
        <v>371918</v>
      </c>
      <c r="I81" s="644">
        <f>SUM('ketv. 6 '!AF108)</f>
        <v>371918</v>
      </c>
      <c r="J81" s="644">
        <f>SUM('ketv. 7 '!AL107)</f>
        <v>21596.75</v>
      </c>
      <c r="K81" s="1296">
        <f t="shared" si="9"/>
        <v>5.8068579633144941E-2</v>
      </c>
      <c r="L81" s="1495">
        <f t="shared" si="10"/>
        <v>5.8068579633144941E-2</v>
      </c>
      <c r="M81" s="1531">
        <f t="shared" si="11"/>
        <v>0</v>
      </c>
      <c r="N81" s="1531">
        <f t="shared" si="12"/>
        <v>0</v>
      </c>
      <c r="O81" s="1531">
        <f t="shared" si="13"/>
        <v>0</v>
      </c>
    </row>
    <row r="82" spans="1:15" ht="25.5" thickBot="1">
      <c r="A82" s="376">
        <f t="shared" si="8"/>
        <v>81</v>
      </c>
      <c r="B82" s="375" t="str">
        <f>CONCATENATE('3 pr-2'!D110)</f>
        <v>Alytaus r. meno ir sporto mokyklos edukacinių erdvių įkūrimas ir atnaujinimas</v>
      </c>
      <c r="C82" s="375" t="str">
        <f>CONCATENATE('3 pr-2'!H110)</f>
        <v>09.13.CPVA-R-725</v>
      </c>
      <c r="D82" s="375" t="str">
        <f>CONCATENATE('3 pr-2'!E110)</f>
        <v>Alytaus rajono savivaldybės administracija</v>
      </c>
      <c r="E82" s="573" t="str">
        <f>CONCATENATE('3 pr-2'!G110)</f>
        <v>Alytaus r. sav.</v>
      </c>
      <c r="F82" s="1481" t="str">
        <f>CONCATENATE('3 pr-2'!J110)</f>
        <v>-</v>
      </c>
      <c r="G82" s="1480">
        <f>SUM('3 pr-2'!AA110)</f>
        <v>536611</v>
      </c>
      <c r="H82" s="644">
        <f>SUMIF('725'!$C$21:$C$30,B82,'725'!$I$21:$I$30)</f>
        <v>536611</v>
      </c>
      <c r="I82" s="644">
        <f>SUM('ketv. 6 '!AF109)</f>
        <v>536611</v>
      </c>
      <c r="J82" s="644">
        <f>SUM('ketv. 7 '!AL108)</f>
        <v>289669.20999999996</v>
      </c>
      <c r="K82" s="1296">
        <f t="shared" si="9"/>
        <v>0.53981228487675426</v>
      </c>
      <c r="L82" s="1495">
        <f t="shared" si="10"/>
        <v>0.53981228487675426</v>
      </c>
      <c r="M82" s="1531">
        <f t="shared" si="11"/>
        <v>0</v>
      </c>
      <c r="N82" s="1531">
        <f t="shared" si="12"/>
        <v>0</v>
      </c>
      <c r="O82" s="1531">
        <f t="shared" si="13"/>
        <v>0</v>
      </c>
    </row>
    <row r="83" spans="1:15" ht="37.5" thickBot="1">
      <c r="A83" s="376">
        <f t="shared" si="8"/>
        <v>82</v>
      </c>
      <c r="B83" s="375" t="str">
        <f>CONCATENATE('3 pr-2'!D111)</f>
        <v>Alytaus muzikos mokyklos pastato modernizavimas ir ugdymo aplinkos gerinimas</v>
      </c>
      <c r="C83" s="375" t="str">
        <f>CONCATENATE('3 pr-2'!H111)</f>
        <v>09.13.CPVA-R-725</v>
      </c>
      <c r="D83" s="375" t="str">
        <f>CONCATENATE('3 pr-2'!E111)</f>
        <v>Alytaus miesto savivaldybės administracija</v>
      </c>
      <c r="E83" s="573" t="str">
        <f>CONCATENATE('3 pr-2'!G111)</f>
        <v>Alytaus m. sav.</v>
      </c>
      <c r="F83" s="1481" t="str">
        <f>CONCATENATE('3 pr-2'!J111)</f>
        <v>-</v>
      </c>
      <c r="G83" s="1480">
        <f>SUM('3 pr-2'!AA111)</f>
        <v>337771</v>
      </c>
      <c r="H83" s="644">
        <f>SUMIF('725'!$C$21:$C$30,B83,'725'!$I$21:$I$30)</f>
        <v>337771</v>
      </c>
      <c r="I83" s="644">
        <f>SUM('ketv. 6 '!AF110)</f>
        <v>337771</v>
      </c>
      <c r="J83" s="644">
        <f>SUM('ketv. 7 '!AL109)</f>
        <v>333433.97000000003</v>
      </c>
      <c r="K83" s="1296">
        <f t="shared" si="9"/>
        <v>0.9871598509049031</v>
      </c>
      <c r="L83" s="1495">
        <f t="shared" si="10"/>
        <v>0.9871598509049031</v>
      </c>
      <c r="M83" s="1531">
        <f t="shared" si="11"/>
        <v>0</v>
      </c>
      <c r="N83" s="1531">
        <f t="shared" si="12"/>
        <v>0</v>
      </c>
      <c r="O83" s="1531">
        <f t="shared" si="13"/>
        <v>0</v>
      </c>
    </row>
    <row r="84" spans="1:15" ht="25.5" thickBot="1">
      <c r="A84" s="376">
        <f t="shared" si="8"/>
        <v>83</v>
      </c>
      <c r="B84" s="375" t="str">
        <f>CONCATENATE('3 pr-2'!D112)</f>
        <v>Druskininkų M. K. Čiurlionio meno mokyklos infrastruktūros tobulinimas</v>
      </c>
      <c r="C84" s="375" t="str">
        <f>CONCATENATE('3 pr-2'!H112)</f>
        <v>09.13.CPVA-R-725</v>
      </c>
      <c r="D84" s="375" t="str">
        <f>CONCATENATE('3 pr-2'!E112)</f>
        <v xml:space="preserve">Druskininkų savivaldybės administracija  </v>
      </c>
      <c r="E84" s="573" t="str">
        <f>CONCATENATE('3 pr-2'!G112)</f>
        <v>Druskininkų sav.</v>
      </c>
      <c r="F84" s="1481" t="str">
        <f>CONCATENATE('3 pr-2'!J112)</f>
        <v>-</v>
      </c>
      <c r="G84" s="1480">
        <f>SUM('3 pr-2'!AA112)</f>
        <v>124266</v>
      </c>
      <c r="H84" s="644">
        <f>SUMIF('725'!$C$21:$C$30,B84,'725'!$I$21:$I$30)</f>
        <v>124266</v>
      </c>
      <c r="I84" s="644">
        <f>SUM('ketv. 6 '!AF111)</f>
        <v>124266</v>
      </c>
      <c r="J84" s="644">
        <f>SUM('ketv. 7 '!AL110)</f>
        <v>107584.40000000001</v>
      </c>
      <c r="K84" s="1296">
        <f t="shared" si="9"/>
        <v>0.86575893647498114</v>
      </c>
      <c r="L84" s="1495">
        <f t="shared" si="10"/>
        <v>0.86575893647498114</v>
      </c>
      <c r="M84" s="1531">
        <f t="shared" si="11"/>
        <v>0</v>
      </c>
      <c r="N84" s="1531">
        <f t="shared" si="12"/>
        <v>0</v>
      </c>
      <c r="O84" s="1531">
        <f t="shared" si="13"/>
        <v>0</v>
      </c>
    </row>
    <row r="85" spans="1:15" ht="25.5" thickBot="1">
      <c r="A85" s="376">
        <f t="shared" si="8"/>
        <v>84</v>
      </c>
      <c r="B85" s="375" t="str">
        <f>CONCATENATE('3 pr-2'!D113)</f>
        <v>Neformaliojo švietimo įstaigų Lazdijų rajono savivaldybėje infrastruktūros tobulinimas</v>
      </c>
      <c r="C85" s="375" t="str">
        <f>CONCATENATE('3 pr-2'!H113)</f>
        <v>09.13.CPVA-R-725</v>
      </c>
      <c r="D85" s="375" t="str">
        <f>CONCATENATE('3 pr-2'!E113)</f>
        <v>VšĮ „Lazdijų sporto centras“</v>
      </c>
      <c r="E85" s="573" t="str">
        <f>CONCATENATE('3 pr-2'!G113)</f>
        <v>Lazdijų r. sav.</v>
      </c>
      <c r="F85" s="1481" t="str">
        <f>CONCATENATE('3 pr-2'!J113)</f>
        <v>-</v>
      </c>
      <c r="G85" s="1480">
        <f>SUM('3 pr-2'!AA113)</f>
        <v>115441</v>
      </c>
      <c r="H85" s="644">
        <f>SUMIF('725'!$C$21:$C$30,B85,'725'!$I$21:$I$30)</f>
        <v>115442</v>
      </c>
      <c r="I85" s="644">
        <f>SUM('ketv. 6 '!AF112)</f>
        <v>115441</v>
      </c>
      <c r="J85" s="644">
        <f>SUM('ketv. 7 '!AL111)</f>
        <v>114697.73000000001</v>
      </c>
      <c r="K85" s="1296">
        <f t="shared" si="9"/>
        <v>0.9935528663744565</v>
      </c>
      <c r="L85" s="1495">
        <f t="shared" si="10"/>
        <v>0.99356147296021358</v>
      </c>
      <c r="M85" s="1531">
        <f t="shared" si="11"/>
        <v>1</v>
      </c>
      <c r="N85" s="1531">
        <f t="shared" si="12"/>
        <v>-1</v>
      </c>
      <c r="O85" s="1531">
        <f t="shared" si="13"/>
        <v>0</v>
      </c>
    </row>
    <row r="86" spans="1:15" ht="25.5" thickBot="1">
      <c r="A86" s="376">
        <f t="shared" si="8"/>
        <v>85</v>
      </c>
      <c r="B86" s="375" t="str">
        <f>CONCATENATE('3 pr-2'!D115)</f>
        <v>Varėnos "Pasakos" vaikų lopšelio-darželio pastato modernizavimas</v>
      </c>
      <c r="C86" s="375" t="str">
        <f>CONCATENATE('3 pr-2'!H115)</f>
        <v>09.1.3-CPVA-R-705</v>
      </c>
      <c r="D86" s="375" t="str">
        <f>CONCATENATE('3 pr-2'!E115)</f>
        <v>Varėnos rajono savivaldybės administracija</v>
      </c>
      <c r="E86" s="573" t="str">
        <f>CONCATENATE('3 pr-2'!G115)</f>
        <v>Varėnos r. sav.</v>
      </c>
      <c r="F86" s="1481" t="str">
        <f>CONCATENATE('3 pr-2'!J115)</f>
        <v>-</v>
      </c>
      <c r="G86" s="1480">
        <f>SUM('3 pr-2'!AA115)</f>
        <v>287307</v>
      </c>
      <c r="H86" s="644">
        <f>SUMIF('705'!$C$21:$C$30,B86,'705'!$I$21:$I$30)</f>
        <v>287307</v>
      </c>
      <c r="I86" s="644">
        <f>SUM('ketv. 6 '!AF114)</f>
        <v>287307</v>
      </c>
      <c r="J86" s="644">
        <f>SUM('ketv. 7 '!AL113)</f>
        <v>17258.62</v>
      </c>
      <c r="K86" s="1296">
        <f t="shared" si="9"/>
        <v>6.0070308067676735E-2</v>
      </c>
      <c r="L86" s="1495">
        <f t="shared" si="10"/>
        <v>6.0070308067676735E-2</v>
      </c>
      <c r="M86" s="1531">
        <f t="shared" si="11"/>
        <v>0</v>
      </c>
      <c r="N86" s="1531">
        <f t="shared" si="12"/>
        <v>0</v>
      </c>
      <c r="O86" s="1531">
        <f t="shared" si="13"/>
        <v>0</v>
      </c>
    </row>
    <row r="87" spans="1:15" ht="37.5" thickBot="1">
      <c r="A87" s="376">
        <f t="shared" si="8"/>
        <v>86</v>
      </c>
      <c r="B87" s="375" t="str">
        <f>CONCATENATE('3 pr-2'!D116)</f>
        <v>Alytaus r. ikimokyklinio ir priešmokyklinio ugdymo prieinamumo didinimas įkuriant ir atnaujinant edukacines erdves</v>
      </c>
      <c r="C87" s="375" t="str">
        <f>CONCATENATE('3 pr-2'!H116)</f>
        <v>09.1.3-CPVA-R-705</v>
      </c>
      <c r="D87" s="375" t="str">
        <f>CONCATENATE('3 pr-2'!E116)</f>
        <v>Alytaus rajono savivaldybės administracija</v>
      </c>
      <c r="E87" s="573" t="str">
        <f>CONCATENATE('3 pr-2'!G116)</f>
        <v>Alytaus r. sav.</v>
      </c>
      <c r="F87" s="1481" t="str">
        <f>CONCATENATE('3 pr-2'!J116)</f>
        <v/>
      </c>
      <c r="G87" s="1480">
        <f>SUM('3 pr-2'!AA116)</f>
        <v>494007</v>
      </c>
      <c r="H87" s="644">
        <f>SUMIF('705'!$C$21:$C$30,B87,'705'!$I$21:$I$30)</f>
        <v>494007</v>
      </c>
      <c r="I87" s="644">
        <f>SUM('ketv. 6 '!AF115)</f>
        <v>494007</v>
      </c>
      <c r="J87" s="644">
        <f>SUM('ketv. 7 '!AL114)</f>
        <v>316749.76</v>
      </c>
      <c r="K87" s="1296">
        <f t="shared" si="9"/>
        <v>0.64118476053983042</v>
      </c>
      <c r="L87" s="1495">
        <f t="shared" si="10"/>
        <v>0.64118476053983042</v>
      </c>
      <c r="M87" s="1531">
        <f t="shared" si="11"/>
        <v>0</v>
      </c>
      <c r="N87" s="1531">
        <f t="shared" si="12"/>
        <v>0</v>
      </c>
      <c r="O87" s="1531">
        <f t="shared" si="13"/>
        <v>0</v>
      </c>
    </row>
    <row r="88" spans="1:15" ht="25.5" thickBot="1">
      <c r="A88" s="376">
        <f t="shared" si="8"/>
        <v>87</v>
      </c>
      <c r="B88" s="375" t="str">
        <f>CONCATENATE('3 pr-2'!D117)</f>
        <v>Alytaus lopšelio-darželio „Girinukas“ ugdymo aplinkos modernizavimas</v>
      </c>
      <c r="C88" s="375" t="str">
        <f>CONCATENATE('3 pr-2'!H117)</f>
        <v>09.1.3-CPVA-R-705</v>
      </c>
      <c r="D88" s="375" t="str">
        <f>CONCATENATE('3 pr-2'!E117)</f>
        <v>Alytaus miesto savivaldybės administracija</v>
      </c>
      <c r="E88" s="573" t="str">
        <f>CONCATENATE('3 pr-2'!G117)</f>
        <v>Alytaus m. sav.</v>
      </c>
      <c r="F88" s="1481" t="str">
        <f>CONCATENATE('3 pr-2'!J117)</f>
        <v>-</v>
      </c>
      <c r="G88" s="1480">
        <f>SUM('3 pr-2'!AA117)</f>
        <v>154688</v>
      </c>
      <c r="H88" s="644">
        <f>SUMIF('705'!$C$21:$C$30,B88,'705'!$I$21:$I$30)</f>
        <v>154688</v>
      </c>
      <c r="I88" s="644">
        <f>SUM('ketv. 6 '!AF116)</f>
        <v>154688</v>
      </c>
      <c r="J88" s="644">
        <f>SUM('ketv. 7 '!AL115)</f>
        <v>112683.00999999998</v>
      </c>
      <c r="K88" s="1296">
        <f t="shared" si="9"/>
        <v>0.72845346762515506</v>
      </c>
      <c r="L88" s="1495">
        <f t="shared" si="10"/>
        <v>0.72845346762515506</v>
      </c>
      <c r="M88" s="1531">
        <f t="shared" si="11"/>
        <v>0</v>
      </c>
      <c r="N88" s="1531">
        <f t="shared" si="12"/>
        <v>0</v>
      </c>
      <c r="O88" s="1531">
        <f t="shared" si="13"/>
        <v>0</v>
      </c>
    </row>
    <row r="89" spans="1:15" ht="37.5" thickBot="1">
      <c r="A89" s="376">
        <f t="shared" si="8"/>
        <v>88</v>
      </c>
      <c r="B89" s="375" t="str">
        <f>CONCATENATE('3 pr-2'!D118)</f>
        <v>Druskininkų sav. Viečiūnų progimnazijos ikimokyklinio ugdymo skyriaus „Linelis“ ugdymo prieinamumo didinimas</v>
      </c>
      <c r="C89" s="375" t="str">
        <f>CONCATENATE('3 pr-2'!H118)</f>
        <v>09.1.3-CPVA-R-705</v>
      </c>
      <c r="D89" s="375" t="str">
        <f>CONCATENATE('3 pr-2'!E118)</f>
        <v xml:space="preserve">Druskininkų savivaldybės administracija  </v>
      </c>
      <c r="E89" s="573" t="str">
        <f>CONCATENATE('3 pr-2'!G118)</f>
        <v>Druskininkų sav.</v>
      </c>
      <c r="F89" s="1481" t="str">
        <f>CONCATENATE('3 pr-2'!J118)</f>
        <v>-</v>
      </c>
      <c r="G89" s="1480">
        <f>SUM('3 pr-2'!AA118)</f>
        <v>89074</v>
      </c>
      <c r="H89" s="644">
        <f>SUMIF('705'!$C$21:$C$30,B89,'705'!$I$21:$I$30)</f>
        <v>89074</v>
      </c>
      <c r="I89" s="644">
        <f>SUM('ketv. 6 '!AF117)</f>
        <v>89074</v>
      </c>
      <c r="J89" s="644">
        <f>SUM('ketv. 7 '!AL116)</f>
        <v>4342.25</v>
      </c>
      <c r="K89" s="1296">
        <f t="shared" si="9"/>
        <v>4.874879313828951E-2</v>
      </c>
      <c r="L89" s="1495">
        <f t="shared" si="10"/>
        <v>4.874879313828951E-2</v>
      </c>
      <c r="M89" s="1531">
        <f t="shared" si="11"/>
        <v>0</v>
      </c>
      <c r="N89" s="1531">
        <f t="shared" si="12"/>
        <v>0</v>
      </c>
      <c r="O89" s="1531">
        <f t="shared" si="13"/>
        <v>0</v>
      </c>
    </row>
    <row r="90" spans="1:15" ht="37.5" thickBot="1">
      <c r="A90" s="376">
        <f t="shared" si="8"/>
        <v>89</v>
      </c>
      <c r="B90" s="375" t="str">
        <f>CONCATENATE('3 pr-2'!D119)</f>
        <v>Ikimokyklinio ir priešmokyklinio ugdymo įstaigų Lazdijų rajono savivaldybėje modernizavimas</v>
      </c>
      <c r="C90" s="375" t="str">
        <f>CONCATENATE('3 pr-2'!H119)</f>
        <v>09.1.3-CPVA-R-705</v>
      </c>
      <c r="D90" s="375" t="str">
        <f>CONCATENATE('3 pr-2'!E119)</f>
        <v>Lazdijų rajono savivaldybės administracija</v>
      </c>
      <c r="E90" s="573" t="str">
        <f>CONCATENATE('3 pr-2'!G119)</f>
        <v>Lazdijų r. sav.</v>
      </c>
      <c r="F90" s="1481" t="str">
        <f>CONCATENATE('3 pr-2'!J119)</f>
        <v>-</v>
      </c>
      <c r="G90" s="1480">
        <f>SUM('3 pr-2'!AA119)</f>
        <v>113512</v>
      </c>
      <c r="H90" s="644">
        <f>SUMIF('705'!$C$21:$C$30,B90,'705'!$I$21:$I$30)</f>
        <v>113512</v>
      </c>
      <c r="I90" s="644">
        <f>SUM('ketv. 6 '!AF118)</f>
        <v>113512</v>
      </c>
      <c r="J90" s="644">
        <f>SUM('ketv. 7 '!AL117)</f>
        <v>77440.679999999993</v>
      </c>
      <c r="K90" s="1296">
        <f t="shared" si="9"/>
        <v>0.68222461061385575</v>
      </c>
      <c r="L90" s="1495">
        <f t="shared" si="10"/>
        <v>0.68222461061385575</v>
      </c>
      <c r="M90" s="1531">
        <f t="shared" si="11"/>
        <v>0</v>
      </c>
      <c r="N90" s="1531">
        <f t="shared" si="12"/>
        <v>0</v>
      </c>
      <c r="O90" s="1531">
        <f t="shared" si="13"/>
        <v>0</v>
      </c>
    </row>
    <row r="91" spans="1:15" ht="37.5" thickBot="1">
      <c r="A91" s="376">
        <f t="shared" si="8"/>
        <v>90</v>
      </c>
      <c r="B91" s="375" t="str">
        <f>CONCATENATE('3 pr-2'!D122)</f>
        <v>Alytaus poliklinikos teikiamų pirminės sveikatos priežiūros paslaugų prieinamumo didinimas ir kokybės gerinimas</v>
      </c>
      <c r="C91" s="375" t="str">
        <f>CONCATENATE('3 pr-2'!H122)</f>
        <v>08.1.3-CPVA-R-609</v>
      </c>
      <c r="D91" s="375" t="str">
        <f>CONCATENATE('3 pr-2'!E122)</f>
        <v>VšĮ Alytaus poliklinika</v>
      </c>
      <c r="E91" s="573" t="str">
        <f>CONCATENATE('3 pr-2'!G122)</f>
        <v>Alytaus m. sav.</v>
      </c>
      <c r="F91" s="1481" t="str">
        <f>CONCATENATE('3 pr-2'!J122)</f>
        <v>-</v>
      </c>
      <c r="G91" s="1480">
        <f>SUM('3 pr-2'!AA122)</f>
        <v>389456</v>
      </c>
      <c r="H91" s="644">
        <f>SUMIF('609'!$C$21:$C$60,B91,'609'!$I$21:$I$60)</f>
        <v>389456</v>
      </c>
      <c r="I91" s="644">
        <f>SUM('ketv. 6 '!AF121)</f>
        <v>389456</v>
      </c>
      <c r="J91" s="644">
        <f>SUM('ketv. 7 '!AL120)</f>
        <v>0</v>
      </c>
      <c r="K91" s="1296">
        <f t="shared" si="9"/>
        <v>0</v>
      </c>
      <c r="L91" s="1495">
        <f t="shared" si="10"/>
        <v>0</v>
      </c>
      <c r="M91" s="1531">
        <f t="shared" si="11"/>
        <v>0</v>
      </c>
      <c r="N91" s="1531">
        <f t="shared" si="12"/>
        <v>0</v>
      </c>
      <c r="O91" s="1531">
        <f t="shared" si="13"/>
        <v>0</v>
      </c>
    </row>
    <row r="92" spans="1:15" ht="37.5" thickBot="1">
      <c r="A92" s="376">
        <f t="shared" si="8"/>
        <v>91</v>
      </c>
      <c r="B92" s="375" t="str">
        <f>CONCATENATE('3 pr-2'!D123)</f>
        <v>Sveikatos priežiūros paslaugų modernizavimas bei optimizavimas pirminės sveikatos priežiūros centre</v>
      </c>
      <c r="C92" s="375" t="str">
        <f>CONCATENATE('3 pr-2'!H123)</f>
        <v>08.1.3-CPVA-R-609</v>
      </c>
      <c r="D92" s="375" t="str">
        <f>CONCATENATE('3 pr-2'!E123)</f>
        <v xml:space="preserve">VšĮ Alytaus miesto savivaldybės pirminės sveikatos priežiūros centras </v>
      </c>
      <c r="E92" s="573" t="str">
        <f>CONCATENATE('3 pr-2'!G123)</f>
        <v>Alytaus m. sav.</v>
      </c>
      <c r="F92" s="1481" t="str">
        <f>CONCATENATE('3 pr-2'!J123)</f>
        <v>-</v>
      </c>
      <c r="G92" s="1480">
        <f>SUM('3 pr-2'!AA123)</f>
        <v>42802</v>
      </c>
      <c r="H92" s="644">
        <f>SUMIF('609'!$C$21:$C$60,B92,'609'!$I$21:$I$60)</f>
        <v>42802</v>
      </c>
      <c r="I92" s="644">
        <f>SUM('ketv. 6 '!AF122)</f>
        <v>42802</v>
      </c>
      <c r="J92" s="644">
        <f>SUM('ketv. 7 '!AL121)</f>
        <v>0</v>
      </c>
      <c r="K92" s="1296">
        <f t="shared" si="9"/>
        <v>0</v>
      </c>
      <c r="L92" s="1495">
        <f t="shared" si="10"/>
        <v>0</v>
      </c>
      <c r="M92" s="1531">
        <f t="shared" si="11"/>
        <v>0</v>
      </c>
      <c r="N92" s="1531">
        <f t="shared" si="12"/>
        <v>0</v>
      </c>
      <c r="O92" s="1531">
        <f t="shared" si="13"/>
        <v>0</v>
      </c>
    </row>
    <row r="93" spans="1:15" ht="49.5" thickBot="1">
      <c r="A93" s="376">
        <f t="shared" si="8"/>
        <v>92</v>
      </c>
      <c r="B93" s="375" t="str">
        <f>CONCATENATE('3 pr-2'!D124)</f>
        <v>UAB "MediCA klinika" teikiamų pirminės asmens sveikatos priežiūros paslaugų efektyvumo didinimas Alytaus miesto savivaldybėje</v>
      </c>
      <c r="C93" s="375" t="str">
        <f>CONCATENATE('3 pr-2'!H124)</f>
        <v>08.1.3-CPVA-R-609</v>
      </c>
      <c r="D93" s="375" t="str">
        <f>CONCATENATE('3 pr-2'!E124)</f>
        <v>UAB „MediCA klinika“</v>
      </c>
      <c r="E93" s="573" t="str">
        <f>CONCATENATE('3 pr-2'!G124)</f>
        <v>Alytaus m. sav.</v>
      </c>
      <c r="F93" s="1481" t="str">
        <f>CONCATENATE('3 pr-2'!J124)</f>
        <v>-</v>
      </c>
      <c r="G93" s="1480">
        <f>SUM('3 pr-2'!AA124)</f>
        <v>70948</v>
      </c>
      <c r="H93" s="644">
        <f>SUMIF('609'!$C$21:$C$60,B93,'609'!$I$21:$I$60)</f>
        <v>70498</v>
      </c>
      <c r="I93" s="644">
        <f>SUM('ketv. 6 '!AF123)</f>
        <v>70498</v>
      </c>
      <c r="J93" s="644">
        <f>SUM('ketv. 7 '!AL122)</f>
        <v>0</v>
      </c>
      <c r="K93" s="1296">
        <f t="shared" si="9"/>
        <v>0</v>
      </c>
      <c r="L93" s="1495">
        <f t="shared" si="10"/>
        <v>0</v>
      </c>
      <c r="M93" s="1531">
        <f t="shared" si="11"/>
        <v>0</v>
      </c>
      <c r="N93" s="1531">
        <f t="shared" si="12"/>
        <v>450</v>
      </c>
      <c r="O93" s="1531">
        <f t="shared" si="13"/>
        <v>450</v>
      </c>
    </row>
    <row r="94" spans="1:15" ht="25.5" thickBot="1">
      <c r="A94" s="376">
        <f t="shared" si="8"/>
        <v>93</v>
      </c>
      <c r="B94" s="375" t="str">
        <f>CONCATENATE('3 pr-2'!D125)</f>
        <v>UAB "Pagalba ligoniui" teikiamų paslaugų efektyvumo didinimas</v>
      </c>
      <c r="C94" s="375" t="str">
        <f>CONCATENATE('3 pr-2'!H125)</f>
        <v>08.1.3-CPVA-R-609</v>
      </c>
      <c r="D94" s="375" t="str">
        <f>CONCATENATE('3 pr-2'!E125)</f>
        <v>UAB „Pagalba ligoniui“, Alytaus filialas</v>
      </c>
      <c r="E94" s="573" t="str">
        <f>CONCATENATE('3 pr-2'!G125)</f>
        <v>Alytaus m. sav.</v>
      </c>
      <c r="F94" s="1481" t="str">
        <f>CONCATENATE('3 pr-2'!J125)</f>
        <v>-</v>
      </c>
      <c r="G94" s="1480">
        <f>SUM('3 pr-2'!AA125)</f>
        <v>36901.08</v>
      </c>
      <c r="H94" s="644">
        <f>SUMIF('609'!$C$21:$C$60,B94,'609'!$I$21:$I$60)</f>
        <v>36901.08</v>
      </c>
      <c r="I94" s="644">
        <f>SUM('ketv. 6 '!AF124)</f>
        <v>36901.08</v>
      </c>
      <c r="J94" s="644">
        <f>SUM('ketv. 7 '!AL123)</f>
        <v>23048.6</v>
      </c>
      <c r="K94" s="1296">
        <f t="shared" si="9"/>
        <v>0.62460502511037608</v>
      </c>
      <c r="L94" s="1495">
        <f t="shared" si="10"/>
        <v>0.62460502511037608</v>
      </c>
      <c r="M94" s="1531">
        <f t="shared" si="11"/>
        <v>0</v>
      </c>
      <c r="N94" s="1531">
        <f t="shared" si="12"/>
        <v>0</v>
      </c>
      <c r="O94" s="1531">
        <f t="shared" si="13"/>
        <v>0</v>
      </c>
    </row>
    <row r="95" spans="1:15" ht="37.5" thickBot="1">
      <c r="A95" s="376">
        <f t="shared" si="8"/>
        <v>94</v>
      </c>
      <c r="B95" s="375" t="str">
        <f>CONCATENATE('3 pr-2'!D126)</f>
        <v>Pirminės asmens sveikatos priežiūros veiklos efektyvumo didinimas Alytaus rajono savivaldybėje</v>
      </c>
      <c r="C95" s="375" t="str">
        <f>CONCATENATE('3 pr-2'!H126)</f>
        <v>08.1.3-CPVA-R-609</v>
      </c>
      <c r="D95" s="375" t="str">
        <f>CONCATENATE('3 pr-2'!E126)</f>
        <v>VšĮ Alytaus rajono savivaldybės pirminės sveikatos priežiūros centras</v>
      </c>
      <c r="E95" s="573" t="str">
        <f>CONCATENATE('3 pr-2'!G126)</f>
        <v>Alytaus r. sav.</v>
      </c>
      <c r="F95" s="1481" t="str">
        <f>CONCATENATE('3 pr-2'!J126)</f>
        <v>-</v>
      </c>
      <c r="G95" s="1480">
        <f>SUM('3 pr-2'!AA126)</f>
        <v>145890</v>
      </c>
      <c r="H95" s="644">
        <f>SUMIF('609'!$C$21:$C$60,B95,'609'!$I$21:$I$60)</f>
        <v>145890</v>
      </c>
      <c r="I95" s="644">
        <f>SUM('ketv. 6 '!AF125)</f>
        <v>145890</v>
      </c>
      <c r="J95" s="644">
        <f>SUM('ketv. 7 '!AL124)</f>
        <v>0</v>
      </c>
      <c r="K95" s="1296">
        <f t="shared" si="9"/>
        <v>0</v>
      </c>
      <c r="L95" s="1495">
        <f t="shared" si="10"/>
        <v>0</v>
      </c>
      <c r="M95" s="1531">
        <f t="shared" si="11"/>
        <v>0</v>
      </c>
      <c r="N95" s="1531">
        <f t="shared" si="12"/>
        <v>0</v>
      </c>
      <c r="O95" s="1531">
        <f t="shared" si="13"/>
        <v>0</v>
      </c>
    </row>
    <row r="96" spans="1:15" ht="25.5" thickBot="1">
      <c r="A96" s="376">
        <f t="shared" si="8"/>
        <v>95</v>
      </c>
      <c r="B96" s="375" t="str">
        <f>CONCATENATE('3 pr-2'!D127)</f>
        <v>Sveikatos priežiūros paslaugų gerinimas UAB „Disolis“</v>
      </c>
      <c r="C96" s="375" t="str">
        <f>CONCATENATE('3 pr-2'!H127)</f>
        <v>08.1.3-CPVA-R-609</v>
      </c>
      <c r="D96" s="375" t="str">
        <f>CONCATENATE('3 pr-2'!E127)</f>
        <v>UAB „Disolis“</v>
      </c>
      <c r="E96" s="573" t="str">
        <f>CONCATENATE('3 pr-2'!G127)</f>
        <v>Alytaus r. sav.</v>
      </c>
      <c r="F96" s="1481" t="str">
        <f>CONCATENATE('3 pr-2'!J127)</f>
        <v>-</v>
      </c>
      <c r="G96" s="1480">
        <f>SUM('3 pr-2'!AA127)</f>
        <v>14778</v>
      </c>
      <c r="H96" s="644">
        <f>SUMIF('609'!$C$21:$C$60,B96,'609'!$I$21:$I$60)</f>
        <v>14778</v>
      </c>
      <c r="I96" s="644">
        <f>SUM('ketv. 6 '!AF126)</f>
        <v>15815.88</v>
      </c>
      <c r="J96" s="644">
        <f>SUM('ketv. 7 '!AL125)</f>
        <v>10642.9</v>
      </c>
      <c r="K96" s="1296">
        <f t="shared" si="9"/>
        <v>0.72018541074570308</v>
      </c>
      <c r="L96" s="1495">
        <f t="shared" si="10"/>
        <v>0.72018541074570308</v>
      </c>
      <c r="M96" s="1531">
        <f t="shared" si="11"/>
        <v>-1037.8799999999992</v>
      </c>
      <c r="N96" s="1531">
        <f t="shared" si="12"/>
        <v>0</v>
      </c>
      <c r="O96" s="1531">
        <f t="shared" si="13"/>
        <v>-1037.8799999999992</v>
      </c>
    </row>
    <row r="97" spans="1:15" ht="37.5" thickBot="1">
      <c r="A97" s="376">
        <f t="shared" si="8"/>
        <v>96</v>
      </c>
      <c r="B97" s="375" t="str">
        <f>CONCATENATE('3 pr-2'!D128)</f>
        <v>Pirminės asmens sveikatos priežiūros kokybės ir prieinamumo gerinimas Druskininkų savivaldybėje</v>
      </c>
      <c r="C97" s="375" t="str">
        <f>CONCATENATE('3 pr-2'!H128)</f>
        <v>08.1.3-CPVA-R-609</v>
      </c>
      <c r="D97" s="375" t="str">
        <f>CONCATENATE('3 pr-2'!E128)</f>
        <v>VšĮ Druskininkų pirminės sveikatos priežiūros centras</v>
      </c>
      <c r="E97" s="573" t="str">
        <f>CONCATENATE('3 pr-2'!G128)</f>
        <v>Druskininkų sav.</v>
      </c>
      <c r="F97" s="1481" t="str">
        <f>CONCATENATE('3 pr-2'!J128)</f>
        <v>-</v>
      </c>
      <c r="G97" s="1480">
        <f>SUM('3 pr-2'!AA128)</f>
        <v>139002</v>
      </c>
      <c r="H97" s="644">
        <f>SUMIF('609'!$C$21:$C$60,B97,'609'!$I$21:$I$60)</f>
        <v>139002</v>
      </c>
      <c r="I97" s="644">
        <f>SUM('ketv. 6 '!AF127)</f>
        <v>139002</v>
      </c>
      <c r="J97" s="644">
        <f>SUM('ketv. 7 '!AL126)</f>
        <v>0</v>
      </c>
      <c r="K97" s="1296">
        <f t="shared" si="9"/>
        <v>0</v>
      </c>
      <c r="L97" s="1495">
        <f t="shared" si="10"/>
        <v>0</v>
      </c>
      <c r="M97" s="1531">
        <f t="shared" si="11"/>
        <v>0</v>
      </c>
      <c r="N97" s="1531">
        <f t="shared" si="12"/>
        <v>0</v>
      </c>
      <c r="O97" s="1531">
        <f t="shared" si="13"/>
        <v>0</v>
      </c>
    </row>
    <row r="98" spans="1:15" ht="37.5" thickBot="1">
      <c r="A98" s="376">
        <f t="shared" ref="A98:A108" si="14">ROW(A97)</f>
        <v>97</v>
      </c>
      <c r="B98" s="375" t="str">
        <f>CONCATENATE('3 pr-2'!D129)</f>
        <v>UAB "Druskininkų šeimos klinika" asmens sveikatos priežiūros paslaugų prieinamumo ir efektyvumo didinimas</v>
      </c>
      <c r="C98" s="375" t="str">
        <f>CONCATENATE('3 pr-2'!H129)</f>
        <v>08.1.3-CPVA-R-609</v>
      </c>
      <c r="D98" s="375" t="str">
        <f>CONCATENATE('3 pr-2'!E129)</f>
        <v>UAB „Druskininkų šeimos klinika“</v>
      </c>
      <c r="E98" s="573" t="str">
        <f>CONCATENATE('3 pr-2'!G129)</f>
        <v>Druskininkų sav.</v>
      </c>
      <c r="F98" s="1481" t="str">
        <f>CONCATENATE('3 pr-2'!J129)</f>
        <v>-</v>
      </c>
      <c r="G98" s="1480">
        <f>SUM('3 pr-2'!AA129)</f>
        <v>10445</v>
      </c>
      <c r="H98" s="644">
        <f>SUMIF('609'!$C$21:$C$60,B98,'609'!$I$21:$I$60)</f>
        <v>10445</v>
      </c>
      <c r="I98" s="644">
        <f>SUM('ketv. 6 '!AF128)</f>
        <v>10445</v>
      </c>
      <c r="J98" s="644">
        <f>SUM('ketv. 7 '!AL127)</f>
        <v>0</v>
      </c>
      <c r="K98" s="1296">
        <f t="shared" si="9"/>
        <v>0</v>
      </c>
      <c r="L98" s="1495">
        <f t="shared" si="10"/>
        <v>0</v>
      </c>
      <c r="M98" s="1531">
        <f t="shared" si="11"/>
        <v>0</v>
      </c>
      <c r="N98" s="1531">
        <f t="shared" si="12"/>
        <v>0</v>
      </c>
      <c r="O98" s="1531">
        <f t="shared" si="13"/>
        <v>0</v>
      </c>
    </row>
    <row r="99" spans="1:15" ht="49.5" thickBot="1">
      <c r="A99" s="376">
        <f t="shared" si="14"/>
        <v>98</v>
      </c>
      <c r="B99" s="375" t="str">
        <f>CONCATENATE('3 pr-2'!D130)</f>
        <v>I. S. Kavaliauskienės įmonės teikiamų pirminės ambulatorinės asmens sveikatos priežiūros paslaugų kokybės ir prieinamumo gerinimas</v>
      </c>
      <c r="C99" s="375" t="str">
        <f>CONCATENATE('3 pr-2'!H130)</f>
        <v>08.1.3-CPVA-R-609</v>
      </c>
      <c r="D99" s="375" t="str">
        <f>CONCATENATE('3 pr-2'!E130)</f>
        <v>Irenos Stanislavos Kavaliauskienės įmonė</v>
      </c>
      <c r="E99" s="573" t="str">
        <f>CONCATENATE('3 pr-2'!G130)</f>
        <v>Druskininkų sav.</v>
      </c>
      <c r="F99" s="1481" t="str">
        <f>CONCATENATE('3 pr-2'!J130)</f>
        <v>-</v>
      </c>
      <c r="G99" s="1480">
        <f>SUM('3 pr-2'!AA130)</f>
        <v>21689.45</v>
      </c>
      <c r="H99" s="644">
        <f>SUMIF('609'!$C$21:$C$60,B99,'609'!$I$21:$I$60)</f>
        <v>21689.45</v>
      </c>
      <c r="I99" s="644">
        <f>SUM('ketv. 6 '!AF129)</f>
        <v>21689.45</v>
      </c>
      <c r="J99" s="644">
        <f>SUM('ketv. 7 '!AL128)</f>
        <v>0</v>
      </c>
      <c r="K99" s="1296">
        <f t="shared" si="9"/>
        <v>0</v>
      </c>
      <c r="L99" s="1495">
        <f t="shared" si="10"/>
        <v>0</v>
      </c>
      <c r="M99" s="1531">
        <f t="shared" si="11"/>
        <v>0</v>
      </c>
      <c r="N99" s="1531">
        <f t="shared" si="12"/>
        <v>0</v>
      </c>
      <c r="O99" s="1531">
        <f t="shared" si="13"/>
        <v>0</v>
      </c>
    </row>
    <row r="100" spans="1:15" ht="49.5" thickBot="1">
      <c r="A100" s="376">
        <f t="shared" si="14"/>
        <v>99</v>
      </c>
      <c r="B100" s="375" t="str">
        <f>CONCATENATE('3 pr-2'!D131)</f>
        <v>Pirminės ambulatorinės asmens sveikatos priežiūros efektyvumo didinimas R. Ambrazaitienės ir L. Puzinovienės šeimos gydytojų kabinetuose</v>
      </c>
      <c r="C100" s="375" t="str">
        <f>CONCATENATE('3 pr-2'!H131)</f>
        <v>08.1.3-CPVA-R-609</v>
      </c>
      <c r="D100" s="375" t="str">
        <f>CONCATENATE('3 pr-2'!E131)</f>
        <v>UAB „Rasos Ambrazaitienės šeimos gydytojo kabinetas“</v>
      </c>
      <c r="E100" s="573" t="str">
        <f>CONCATENATE('3 pr-2'!G131)</f>
        <v>Druskininkų sav.</v>
      </c>
      <c r="F100" s="1481" t="str">
        <f>CONCATENATE('3 pr-2'!J131)</f>
        <v>-</v>
      </c>
      <c r="G100" s="1480">
        <f>SUM('3 pr-2'!AA131)</f>
        <v>23720</v>
      </c>
      <c r="H100" s="644">
        <f>SUMIF('609'!$C$21:$C$60,B100,'609'!$I$21:$I$60)</f>
        <v>23720</v>
      </c>
      <c r="I100" s="644">
        <f>SUM('ketv. 6 '!AF130)</f>
        <v>23720.1</v>
      </c>
      <c r="J100" s="644">
        <f>SUM('ketv. 7 '!AL129)</f>
        <v>0</v>
      </c>
      <c r="K100" s="1296">
        <f t="shared" si="9"/>
        <v>0</v>
      </c>
      <c r="L100" s="1495">
        <f t="shared" si="10"/>
        <v>0</v>
      </c>
      <c r="M100" s="1531">
        <f t="shared" si="11"/>
        <v>-9.9999999998544808E-2</v>
      </c>
      <c r="N100" s="1531">
        <f t="shared" si="12"/>
        <v>0</v>
      </c>
      <c r="O100" s="1531">
        <f t="shared" si="13"/>
        <v>-9.9999999998544808E-2</v>
      </c>
    </row>
    <row r="101" spans="1:15" ht="37.5" thickBot="1">
      <c r="A101" s="376">
        <f t="shared" si="14"/>
        <v>100</v>
      </c>
      <c r="B101" s="375" t="str">
        <f>CONCATENATE('3 pr-2'!D132)</f>
        <v>Pirminės asmens sveikatos priežiūros veiklos efektyvumo didinimas Lazdijų rajono savivaldybėje</v>
      </c>
      <c r="C101" s="375" t="str">
        <f>CONCATENATE('3 pr-2'!H132)</f>
        <v>08.1.3-CPVA-R-609</v>
      </c>
      <c r="D101" s="375" t="str">
        <f>CONCATENATE('3 pr-2'!E132)</f>
        <v>Lazdijų rajono savivaldybės administracija</v>
      </c>
      <c r="E101" s="573" t="str">
        <f>CONCATENATE('3 pr-2'!G132)</f>
        <v>Lazdijų r. sav.</v>
      </c>
      <c r="F101" s="1481" t="str">
        <f>CONCATENATE('3 pr-2'!J132)</f>
        <v>-</v>
      </c>
      <c r="G101" s="1480">
        <f>SUM('3 pr-2'!AA132)</f>
        <v>163811</v>
      </c>
      <c r="H101" s="644">
        <f>SUMIF('609'!$C$21:$C$60,B101,'609'!$I$21:$I$60)</f>
        <v>163810.96</v>
      </c>
      <c r="I101" s="644">
        <f>SUM('ketv. 6 '!AF131)</f>
        <v>163810.96</v>
      </c>
      <c r="J101" s="644">
        <f>SUM('ketv. 7 '!AL130)</f>
        <v>0</v>
      </c>
      <c r="K101" s="1296">
        <f t="shared" si="9"/>
        <v>0</v>
      </c>
      <c r="L101" s="1495">
        <f t="shared" si="10"/>
        <v>0</v>
      </c>
      <c r="M101" s="1531">
        <f t="shared" si="11"/>
        <v>0</v>
      </c>
      <c r="N101" s="1531">
        <f t="shared" si="12"/>
        <v>4.0000000008149073E-2</v>
      </c>
      <c r="O101" s="1531">
        <f t="shared" si="13"/>
        <v>4.0000000008149073E-2</v>
      </c>
    </row>
    <row r="102" spans="1:15" ht="37.5" thickBot="1">
      <c r="A102" s="376">
        <f t="shared" si="14"/>
        <v>101</v>
      </c>
      <c r="B102" s="375" t="str">
        <f>CONCATENATE('3 pr-2'!D133)</f>
        <v>Pirminės asmens sveikatos priežiūros veiklos efektyvumo didinimas Varėnos rajono savivaldybėje</v>
      </c>
      <c r="C102" s="375" t="str">
        <f>CONCATENATE('3 pr-2'!H133)</f>
        <v>08.1.3-CPVA-R-609</v>
      </c>
      <c r="D102" s="375" t="str">
        <f>CONCATENATE('3 pr-2'!E133)</f>
        <v>VšĮ Varėnos pirminės sveikatos priežiūros centras</v>
      </c>
      <c r="E102" s="573" t="str">
        <f>CONCATENATE('3 pr-2'!G133)</f>
        <v>Varėnos r. sav.</v>
      </c>
      <c r="F102" s="1481" t="str">
        <f>CONCATENATE('3 pr-2'!J133)</f>
        <v>-</v>
      </c>
      <c r="G102" s="1480">
        <f>SUM('3 pr-2'!AA133)</f>
        <v>163776</v>
      </c>
      <c r="H102" s="644">
        <f>SUMIF('609'!$C$21:$C$60,B102,'609'!$I$21:$I$60)</f>
        <v>163764.63</v>
      </c>
      <c r="I102" s="644">
        <f>SUM('ketv. 6 '!AF132)</f>
        <v>163764.54999999999</v>
      </c>
      <c r="J102" s="644">
        <f>SUM('ketv. 7 '!AL131)</f>
        <v>0</v>
      </c>
      <c r="K102" s="1296">
        <f t="shared" si="9"/>
        <v>0</v>
      </c>
      <c r="L102" s="1495">
        <f t="shared" si="10"/>
        <v>0</v>
      </c>
      <c r="M102" s="1531">
        <f t="shared" si="11"/>
        <v>8.0000000016298145E-2</v>
      </c>
      <c r="N102" s="1531">
        <f t="shared" si="12"/>
        <v>11.369999999995343</v>
      </c>
      <c r="O102" s="1531">
        <f t="shared" si="13"/>
        <v>11.450000000011642</v>
      </c>
    </row>
    <row r="103" spans="1:15" ht="37.5" thickBot="1">
      <c r="A103" s="376">
        <f t="shared" si="14"/>
        <v>102</v>
      </c>
      <c r="B103" s="375" t="str">
        <f>CONCATENATE('3 pr-2'!D134)</f>
        <v>Pirminės asmens sveikatos priežiūros veiklos efektyvumo didinimas N. Jarašienės personalinėje įmonėje</v>
      </c>
      <c r="C103" s="375" t="str">
        <f>CONCATENATE('3 pr-2'!H134)</f>
        <v>08.1.3-CPVA-R-609</v>
      </c>
      <c r="D103" s="375" t="str">
        <f>CONCATENATE('3 pr-2'!E134)</f>
        <v>N. Jarašienės personalinė įmonė</v>
      </c>
      <c r="E103" s="573" t="str">
        <f>CONCATENATE('3 pr-2'!G134)</f>
        <v>Varėnos r. sav.</v>
      </c>
      <c r="F103" s="1481" t="str">
        <f>CONCATENATE('3 pr-2'!J134)</f>
        <v>-</v>
      </c>
      <c r="G103" s="1480">
        <f>SUM('3 pr-2'!AA134)</f>
        <v>7059</v>
      </c>
      <c r="H103" s="644">
        <f>SUMIF('609'!$C$21:$C$60,B103,'609'!$I$21:$I$60)</f>
        <v>7059</v>
      </c>
      <c r="I103" s="644">
        <f>SUM('ketv. 6 '!AF133)</f>
        <v>0</v>
      </c>
      <c r="J103" s="644">
        <f>SUM('ketv. 7 '!AL132)</f>
        <v>0</v>
      </c>
      <c r="K103" s="1296">
        <f t="shared" si="9"/>
        <v>0</v>
      </c>
      <c r="L103" s="1495">
        <f t="shared" si="10"/>
        <v>0</v>
      </c>
      <c r="M103" s="1531" t="str">
        <f t="shared" si="11"/>
        <v>–</v>
      </c>
      <c r="N103" s="1531">
        <f t="shared" si="12"/>
        <v>0</v>
      </c>
      <c r="O103" s="1531" t="str">
        <f t="shared" si="13"/>
        <v>–</v>
      </c>
    </row>
    <row r="104" spans="1:15" ht="37.5" thickBot="1">
      <c r="A104" s="376">
        <f t="shared" si="14"/>
        <v>103</v>
      </c>
      <c r="B104" s="375" t="str">
        <f>CONCATENATE('3 pr-2'!D136)</f>
        <v>Sveikos gyvensenos skatinimas Alytaus rajone</v>
      </c>
      <c r="C104" s="375" t="str">
        <f>CONCATENATE('3 pr-2'!H136)</f>
        <v>08.4.2-ESFA-R-630</v>
      </c>
      <c r="D104" s="375" t="str">
        <f>CONCATENATE('3 pr-2'!E136)</f>
        <v>Alytaus rajono savivaldybės visuomenės sveikatos biuras</v>
      </c>
      <c r="E104" s="573" t="str">
        <f>CONCATENATE('3 pr-2'!G136)</f>
        <v>Alytaus r. sav.</v>
      </c>
      <c r="F104" s="1481" t="str">
        <f>CONCATENATE('3 pr-2'!J136)</f>
        <v>-</v>
      </c>
      <c r="G104" s="1480">
        <f>SUM('3 pr-2'!AA136)</f>
        <v>169147.6</v>
      </c>
      <c r="H104" s="644">
        <f>SUMIF('630'!$C$21:$C$25,B104,'630'!$G$21:$G$25)</f>
        <v>169147.6</v>
      </c>
      <c r="I104" s="644">
        <f>SUM('ketv. 6 '!AF135)</f>
        <v>169147.6</v>
      </c>
      <c r="J104" s="644">
        <f>SUM('ketv. 7 '!AL134)</f>
        <v>33481.870000000003</v>
      </c>
      <c r="K104" s="1296">
        <f t="shared" si="9"/>
        <v>0.19794469445620275</v>
      </c>
      <c r="L104" s="1495">
        <f t="shared" si="10"/>
        <v>0.19794469445620275</v>
      </c>
      <c r="M104" s="1531">
        <f t="shared" si="11"/>
        <v>0</v>
      </c>
      <c r="N104" s="1531">
        <f t="shared" si="12"/>
        <v>0</v>
      </c>
      <c r="O104" s="1531">
        <f t="shared" si="13"/>
        <v>0</v>
      </c>
    </row>
    <row r="105" spans="1:15" ht="25.5" thickBot="1">
      <c r="A105" s="376">
        <f t="shared" si="14"/>
        <v>104</v>
      </c>
      <c r="B105" s="375" t="str">
        <f>CONCATENATE('3 pr-2'!D137)</f>
        <v>Mažais žingsneliais – sveikos gyvensenos link</v>
      </c>
      <c r="C105" s="375" t="str">
        <f>CONCATENATE('3 pr-2'!H137)</f>
        <v>08.4.2-ESFA-R-630</v>
      </c>
      <c r="D105" s="375" t="str">
        <f>CONCATENATE('3 pr-2'!E137)</f>
        <v>Alytaus miesto savivaldybės administracija</v>
      </c>
      <c r="E105" s="573" t="str">
        <f>CONCATENATE('3 pr-2'!G137)</f>
        <v>Alytaus m. sav.</v>
      </c>
      <c r="F105" s="1481" t="str">
        <f>CONCATENATE('3 pr-2'!J137)</f>
        <v>-</v>
      </c>
      <c r="G105" s="1480">
        <f>SUM('3 pr-2'!AA137)</f>
        <v>169146.6</v>
      </c>
      <c r="H105" s="644">
        <f>SUMIF('630'!$C$21:$C$25,B105,'630'!$G$21:$G$25)</f>
        <v>169146.6</v>
      </c>
      <c r="I105" s="644">
        <f>SUM('ketv. 6 '!AF136)</f>
        <v>169146.6</v>
      </c>
      <c r="J105" s="644">
        <f>SUM('ketv. 7 '!AL135)</f>
        <v>49067.409999999996</v>
      </c>
      <c r="K105" s="1296">
        <f t="shared" si="9"/>
        <v>0.29008806561881822</v>
      </c>
      <c r="L105" s="1495">
        <f t="shared" si="10"/>
        <v>0.29008806561881822</v>
      </c>
      <c r="M105" s="1531">
        <f t="shared" si="11"/>
        <v>0</v>
      </c>
      <c r="N105" s="1531">
        <f t="shared" si="12"/>
        <v>0</v>
      </c>
      <c r="O105" s="1531">
        <f t="shared" si="13"/>
        <v>0</v>
      </c>
    </row>
    <row r="106" spans="1:15" ht="37.5" thickBot="1">
      <c r="A106" s="376">
        <f t="shared" si="14"/>
        <v>105</v>
      </c>
      <c r="B106" s="375" t="str">
        <f>CONCATENATE('3 pr-2'!D138)</f>
        <v>Sveikos gyvensenos skatinimas Varėnos rajono savivaldybėje</v>
      </c>
      <c r="C106" s="375" t="str">
        <f>CONCATENATE('3 pr-2'!H138)</f>
        <v>08.4.2-ESFA-R-630</v>
      </c>
      <c r="D106" s="375" t="str">
        <f>CONCATENATE('3 pr-2'!E138)</f>
        <v>Varėnos rajono savivaldybės visuomenės sveikatos biuras</v>
      </c>
      <c r="E106" s="573" t="str">
        <f>CONCATENATE('3 pr-2'!G138)</f>
        <v>Varėnos r. sav.</v>
      </c>
      <c r="F106" s="1481" t="str">
        <f>CONCATENATE('3 pr-2'!J138)</f>
        <v>-</v>
      </c>
      <c r="G106" s="1480">
        <f>SUM('3 pr-2'!AA138)</f>
        <v>169147.45</v>
      </c>
      <c r="H106" s="644">
        <f>SUMIF('630'!$C$21:$C$25,B106,'630'!$G$21:$G$25)</f>
        <v>169147.45</v>
      </c>
      <c r="I106" s="644">
        <f>SUM('ketv. 6 '!AF137)</f>
        <v>169147.45</v>
      </c>
      <c r="J106" s="644">
        <f>SUM('ketv. 7 '!AL136)</f>
        <v>64521.270000000004</v>
      </c>
      <c r="K106" s="1296">
        <f t="shared" si="9"/>
        <v>0.38144985336757958</v>
      </c>
      <c r="L106" s="1495">
        <f t="shared" si="10"/>
        <v>0.38144985336757958</v>
      </c>
      <c r="M106" s="1531">
        <f t="shared" si="11"/>
        <v>0</v>
      </c>
      <c r="N106" s="1531">
        <f t="shared" si="12"/>
        <v>0</v>
      </c>
      <c r="O106" s="1531">
        <f t="shared" si="13"/>
        <v>0</v>
      </c>
    </row>
    <row r="107" spans="1:15" ht="37.5" thickBot="1">
      <c r="A107" s="376">
        <f t="shared" si="14"/>
        <v>106</v>
      </c>
      <c r="B107" s="375" t="str">
        <f>CONCATENATE('3 pr-2'!D139)</f>
        <v>Sveika bendruomenė – stipri visuomenė</v>
      </c>
      <c r="C107" s="375" t="str">
        <f>CONCATENATE('3 pr-2'!H139)</f>
        <v>08.4.2-ESFA-R-630</v>
      </c>
      <c r="D107" s="375" t="str">
        <f>CONCATENATE('3 pr-2'!E139)</f>
        <v>Druskininkų savivaldybės visuomenės sveikatos biuras</v>
      </c>
      <c r="E107" s="573" t="str">
        <f>CONCATENATE('3 pr-2'!G139)</f>
        <v>Druskininkų sav.</v>
      </c>
      <c r="F107" s="1481" t="str">
        <f>CONCATENATE('3 pr-2'!J139)</f>
        <v>-</v>
      </c>
      <c r="G107" s="1480">
        <f>SUM('3 pr-2'!AA139)</f>
        <v>169147.6</v>
      </c>
      <c r="H107" s="644">
        <f>SUMIF('630'!$C$21:$C$25,B107,'630'!$G$21:$G$25)</f>
        <v>169147.6</v>
      </c>
      <c r="I107" s="644">
        <f>SUM('ketv. 6 '!AF138)</f>
        <v>169147.6</v>
      </c>
      <c r="J107" s="644">
        <f>SUM('ketv. 7 '!AL137)</f>
        <v>110535</v>
      </c>
      <c r="K107" s="1296">
        <f t="shared" si="9"/>
        <v>0.65348252059148337</v>
      </c>
      <c r="L107" s="1495">
        <f t="shared" si="10"/>
        <v>0.65348252059148337</v>
      </c>
      <c r="M107" s="1531">
        <f t="shared" si="11"/>
        <v>0</v>
      </c>
      <c r="N107" s="1531">
        <f t="shared" si="12"/>
        <v>0</v>
      </c>
      <c r="O107" s="1531">
        <f t="shared" si="13"/>
        <v>0</v>
      </c>
    </row>
    <row r="108" spans="1:15" ht="37.5" thickBot="1">
      <c r="A108" s="376">
        <f t="shared" si="14"/>
        <v>107</v>
      </c>
      <c r="B108" s="375" t="str">
        <f>CONCATENATE('3 pr-2'!D140)</f>
        <v>Sveikos gyvensenos skatinimas Lazdijų rajono savivaldybėje</v>
      </c>
      <c r="C108" s="375" t="str">
        <f>CONCATENATE('3 pr-2'!H140)</f>
        <v>08.4.2-ESFA-R-630</v>
      </c>
      <c r="D108" s="375" t="str">
        <f>CONCATENATE('3 pr-2'!E140)</f>
        <v>Lazdijų rajono savivaldybės visuomenės sveikatos biuras</v>
      </c>
      <c r="E108" s="573" t="str">
        <f>CONCATENATE('3 pr-2'!G140)</f>
        <v>Lazdijų r. sav.</v>
      </c>
      <c r="F108" s="1481" t="str">
        <f>CONCATENATE('3 pr-2'!J140)</f>
        <v>-</v>
      </c>
      <c r="G108" s="1480">
        <f>SUM('3 pr-2'!AA140)</f>
        <v>169147.6</v>
      </c>
      <c r="H108" s="644">
        <f>SUMIF('630'!$C$21:$C$25,B108,'630'!$G$21:$G$25)</f>
        <v>169147.6</v>
      </c>
      <c r="I108" s="644">
        <f>SUM('ketv. 6 '!AF139)</f>
        <v>169147.6</v>
      </c>
      <c r="J108" s="644">
        <f>SUM('ketv. 7 '!AL138)</f>
        <v>72379.23</v>
      </c>
      <c r="K108" s="1296">
        <f t="shared" si="9"/>
        <v>0.42790574622400784</v>
      </c>
      <c r="L108" s="1495">
        <f t="shared" si="10"/>
        <v>0.42790574622400784</v>
      </c>
      <c r="M108" s="1531">
        <f t="shared" si="11"/>
        <v>0</v>
      </c>
      <c r="N108" s="1531">
        <f t="shared" si="12"/>
        <v>0</v>
      </c>
      <c r="O108" s="1531">
        <f t="shared" si="13"/>
        <v>0</v>
      </c>
    </row>
    <row r="109" spans="1:15" ht="49.5" thickBot="1">
      <c r="A109" s="376">
        <f t="shared" ref="A109:A116" si="15">ROW(A108)</f>
        <v>108</v>
      </c>
      <c r="B109" s="375" t="str">
        <f>CONCATENATE('3 pr-2'!D142)</f>
        <v>Priemonių, gerinančių ambulatorinių sveikatos priežiūros paslaugų prieinamumą tuberkulioze sergantiems asmenims, Alytaus rajone, įgyvendinimas</v>
      </c>
      <c r="C109" s="375" t="str">
        <f>CONCATENATE('3 pr-2'!H142)</f>
        <v>08.4.2-ESFA-R-615</v>
      </c>
      <c r="D109" s="375" t="str">
        <f>CONCATENATE('3 pr-2'!E142)</f>
        <v>VšĮ Alytaus rajono savivaldybės pirminės sveikatos priežiūros centras</v>
      </c>
      <c r="E109" s="573" t="str">
        <f>CONCATENATE('3 pr-2'!G142)</f>
        <v>Alytaus r. sav.</v>
      </c>
      <c r="F109" s="1481" t="str">
        <f>CONCATENATE('3 pr-2'!J142)</f>
        <v>-</v>
      </c>
      <c r="G109" s="1480">
        <f>SUM('3 pr-2'!AA142)</f>
        <v>8214.61</v>
      </c>
      <c r="H109" s="644">
        <f>SUMIF('615'!$C$21:$C$30,B109,'615'!$I$21:$I$30)</f>
        <v>8214.61</v>
      </c>
      <c r="I109" s="644">
        <f>SUM('ketv. 6 '!AF141)</f>
        <v>8214.61</v>
      </c>
      <c r="J109" s="644">
        <f>SUM('ketv. 7 '!AL140)</f>
        <v>850</v>
      </c>
      <c r="K109" s="1296">
        <f t="shared" si="9"/>
        <v>0.10347417588905621</v>
      </c>
      <c r="L109" s="1495">
        <f t="shared" si="10"/>
        <v>0.10347417588905621</v>
      </c>
      <c r="M109" s="1531">
        <f t="shared" si="11"/>
        <v>0</v>
      </c>
      <c r="N109" s="1531">
        <f t="shared" si="12"/>
        <v>0</v>
      </c>
      <c r="O109" s="1531">
        <f t="shared" si="13"/>
        <v>0</v>
      </c>
    </row>
    <row r="110" spans="1:15" ht="25.5" thickBot="1">
      <c r="A110" s="376">
        <f t="shared" si="15"/>
        <v>109</v>
      </c>
      <c r="B110" s="375" t="str">
        <f>CONCATENATE('3 pr-2'!D143)</f>
        <v>Ambulatorinių sveikatos priežiūros paslaugų gerinimas tuberkulioze sergantiems asmenims</v>
      </c>
      <c r="C110" s="375" t="str">
        <f>CONCATENATE('3 pr-2'!H143)</f>
        <v>08.4.2-ESFA-R-615</v>
      </c>
      <c r="D110" s="375" t="str">
        <f>CONCATENATE('3 pr-2'!E143)</f>
        <v>Alytaus miesto savivaldybės administracija</v>
      </c>
      <c r="E110" s="573" t="str">
        <f>CONCATENATE('3 pr-2'!G143)</f>
        <v>Alytaus m. sav.</v>
      </c>
      <c r="F110" s="1481" t="str">
        <f>CONCATENATE('3 pr-2'!J143)</f>
        <v>-</v>
      </c>
      <c r="G110" s="1480">
        <f>SUM('3 pr-2'!AA143)</f>
        <v>14485.09</v>
      </c>
      <c r="H110" s="644">
        <f>SUMIF('615'!$C$21:$C$30,B110,'615'!$I$21:$I$30)</f>
        <v>14485.09</v>
      </c>
      <c r="I110" s="644">
        <f>SUM('ketv. 6 '!AF142)</f>
        <v>14485.09</v>
      </c>
      <c r="J110" s="644">
        <f>SUM('ketv. 7 '!AL141)</f>
        <v>4318.95</v>
      </c>
      <c r="K110" s="1296">
        <f t="shared" si="9"/>
        <v>0.2981652167849837</v>
      </c>
      <c r="L110" s="1495">
        <f t="shared" si="10"/>
        <v>0.2981652167849837</v>
      </c>
      <c r="M110" s="1531">
        <f t="shared" si="11"/>
        <v>0</v>
      </c>
      <c r="N110" s="1531">
        <f t="shared" si="12"/>
        <v>0</v>
      </c>
      <c r="O110" s="1531">
        <f t="shared" si="13"/>
        <v>0</v>
      </c>
    </row>
    <row r="111" spans="1:15" ht="25.5" thickBot="1">
      <c r="A111" s="376">
        <f t="shared" si="15"/>
        <v>110</v>
      </c>
      <c r="B111" s="375" t="str">
        <f>CONCATENATE('3 pr-2'!D144)</f>
        <v>Paslaugų tuberkulioze sergantiems asmenims gerinimas Lazdijų rajono savivaldybėje</v>
      </c>
      <c r="C111" s="375" t="str">
        <f>CONCATENATE('3 pr-2'!H144)</f>
        <v>08.4.2-ESFA-R-615</v>
      </c>
      <c r="D111" s="375" t="str">
        <f>CONCATENATE('3 pr-2'!E144)</f>
        <v>Lazdijų rajono savivaldybės administracija</v>
      </c>
      <c r="E111" s="573" t="str">
        <f>CONCATENATE('3 pr-2'!G144)</f>
        <v>Lazdijų r. sav.</v>
      </c>
      <c r="F111" s="1481" t="str">
        <f>CONCATENATE('3 pr-2'!J144)</f>
        <v>-</v>
      </c>
      <c r="G111" s="1480">
        <f>SUM('3 pr-2'!AA144)</f>
        <v>12940.4</v>
      </c>
      <c r="H111" s="644">
        <f>SUMIF('615'!$C$21:$C$30,B111,'615'!$I$21:$I$30)</f>
        <v>12940.4</v>
      </c>
      <c r="I111" s="644">
        <f>SUM('ketv. 6 '!AF143)</f>
        <v>12940.4</v>
      </c>
      <c r="J111" s="644">
        <f>SUM('ketv. 7 '!AL142)</f>
        <v>983.37</v>
      </c>
      <c r="K111" s="1296">
        <f t="shared" si="9"/>
        <v>7.5992241352662984E-2</v>
      </c>
      <c r="L111" s="1495">
        <f t="shared" si="10"/>
        <v>7.5992241352662984E-2</v>
      </c>
      <c r="M111" s="1531">
        <f t="shared" si="11"/>
        <v>0</v>
      </c>
      <c r="N111" s="1531">
        <f t="shared" si="12"/>
        <v>0</v>
      </c>
      <c r="O111" s="1531">
        <f t="shared" si="13"/>
        <v>0</v>
      </c>
    </row>
    <row r="112" spans="1:15" ht="49.5" thickBot="1">
      <c r="A112" s="376">
        <f t="shared" si="15"/>
        <v>111</v>
      </c>
      <c r="B112" s="375" t="str">
        <f>CONCATENATE('3 pr-2'!D145)</f>
        <v>Ambulatorinių sveikatos priežiūros paslaugų tuberkulioze sergantiems asmenims prieinamumo gerinimas Druskininkų savivaldybėje</v>
      </c>
      <c r="C112" s="375" t="str">
        <f>CONCATENATE('3 pr-2'!H145)</f>
        <v>08.4.2-ESFA-R-615</v>
      </c>
      <c r="D112" s="375" t="str">
        <f>CONCATENATE('3 pr-2'!E145)</f>
        <v>Druskininkų pirminės sveikatos priežiūros centras</v>
      </c>
      <c r="E112" s="573" t="str">
        <f>CONCATENATE('3 pr-2'!G145)</f>
        <v>Druskininkų sav.</v>
      </c>
      <c r="F112" s="1481" t="str">
        <f>CONCATENATE('3 pr-2'!J145)</f>
        <v>-</v>
      </c>
      <c r="G112" s="1480">
        <f>SUM('3 pr-2'!AA145)</f>
        <v>5793.6</v>
      </c>
      <c r="H112" s="644">
        <f>SUMIF('615'!$C$21:$C$30,B112,'615'!$I$21:$I$30)</f>
        <v>5793.6</v>
      </c>
      <c r="I112" s="644">
        <f>SUM('ketv. 6 '!AF144)</f>
        <v>5793.6</v>
      </c>
      <c r="J112" s="644">
        <f>SUM('ketv. 7 '!AL143)</f>
        <v>2183.5499999999997</v>
      </c>
      <c r="K112" s="1296">
        <f t="shared" si="9"/>
        <v>0.3768900165700082</v>
      </c>
      <c r="L112" s="1495">
        <f t="shared" si="10"/>
        <v>0.3768900165700082</v>
      </c>
      <c r="M112" s="1531">
        <f t="shared" si="11"/>
        <v>0</v>
      </c>
      <c r="N112" s="1531">
        <f t="shared" si="12"/>
        <v>0</v>
      </c>
      <c r="O112" s="1531">
        <f t="shared" si="13"/>
        <v>0</v>
      </c>
    </row>
    <row r="113" spans="1:15" ht="49.5" thickBot="1">
      <c r="A113" s="376">
        <f t="shared" si="15"/>
        <v>112</v>
      </c>
      <c r="B113" s="375" t="str">
        <f>CONCATENATE('3 pr-2'!D146)</f>
        <v>Ambulatorinių sveikatos priežiūros paslaugų prieinamumo gerinimas tuberkulioze sergantiems asmenims Varėnos rajono savivaldybėje</v>
      </c>
      <c r="C113" s="375" t="str">
        <f>CONCATENATE('3 pr-2'!H146)</f>
        <v>08.4.2-ESFA-R-615</v>
      </c>
      <c r="D113" s="375" t="str">
        <f>CONCATENATE('3 pr-2'!E146)</f>
        <v>Varėnos rajono savivaldybės administracija</v>
      </c>
      <c r="E113" s="573" t="str">
        <f>CONCATENATE('3 pr-2'!G146)</f>
        <v>Varėnos r. sav.</v>
      </c>
      <c r="F113" s="1481" t="str">
        <f>CONCATENATE('3 pr-2'!J146)</f>
        <v>-</v>
      </c>
      <c r="G113" s="1480">
        <f>SUM('3 pr-2'!AA146)</f>
        <v>13327</v>
      </c>
      <c r="H113" s="644">
        <f>SUMIF('615'!$C$21:$C$30,B113,'615'!$I$21:$I$30)</f>
        <v>13327</v>
      </c>
      <c r="I113" s="644">
        <f>SUM('ketv. 6 '!AF145)</f>
        <v>13327</v>
      </c>
      <c r="J113" s="644">
        <f>SUM('ketv. 7 '!AL144)</f>
        <v>94.24</v>
      </c>
      <c r="K113" s="1296">
        <f t="shared" si="9"/>
        <v>7.0713588954753508E-3</v>
      </c>
      <c r="L113" s="1495">
        <f t="shared" si="10"/>
        <v>7.0713588954753508E-3</v>
      </c>
      <c r="M113" s="1531">
        <f t="shared" si="11"/>
        <v>0</v>
      </c>
      <c r="N113" s="1531">
        <f t="shared" si="12"/>
        <v>0</v>
      </c>
      <c r="O113" s="1531">
        <f t="shared" si="13"/>
        <v>0</v>
      </c>
    </row>
    <row r="114" spans="1:15" ht="25.5" thickBot="1">
      <c r="A114" s="376">
        <f t="shared" si="15"/>
        <v>113</v>
      </c>
      <c r="B114" s="375" t="str">
        <f>CONCATENATE('3 pr-2'!D149)</f>
        <v>Socialinių paslaugų infrastruktūros plėtra Varėnos rajono savivaldybėje</v>
      </c>
      <c r="C114" s="375" t="str">
        <f>CONCATENATE('3 pr-2'!H149)</f>
        <v>08.1.1-CPVA-R-407</v>
      </c>
      <c r="D114" s="375" t="str">
        <f>CONCATENATE('3 pr-2'!E149)</f>
        <v>Varėnos rajono savivaldybės administracija</v>
      </c>
      <c r="E114" s="573" t="str">
        <f>CONCATENATE('3 pr-2'!G149)</f>
        <v>Varėnos r. sav.</v>
      </c>
      <c r="F114" s="1481" t="str">
        <f>CONCATENATE('3 pr-2'!J149)</f>
        <v>-</v>
      </c>
      <c r="G114" s="1480">
        <f>SUM('3 pr-2'!AA149)</f>
        <v>126208</v>
      </c>
      <c r="H114" s="644">
        <f>SUMIF('407'!$C$21:$C$30,B114,'407'!$I$21:$I$30)</f>
        <v>126208</v>
      </c>
      <c r="I114" s="644">
        <f>SUM('ketv. 6 '!AF148)</f>
        <v>126208</v>
      </c>
      <c r="J114" s="644">
        <f>SUM('ketv. 7 '!AL147)</f>
        <v>59607.64</v>
      </c>
      <c r="K114" s="1296">
        <f t="shared" si="9"/>
        <v>0.47229684330628802</v>
      </c>
      <c r="L114" s="1495">
        <f t="shared" si="10"/>
        <v>0.47229684330628802</v>
      </c>
      <c r="M114" s="1531">
        <f t="shared" si="11"/>
        <v>0</v>
      </c>
      <c r="N114" s="1531">
        <f t="shared" si="12"/>
        <v>0</v>
      </c>
      <c r="O114" s="1531">
        <f t="shared" si="13"/>
        <v>0</v>
      </c>
    </row>
    <row r="115" spans="1:15" ht="25.5" thickBot="1">
      <c r="A115" s="376">
        <f t="shared" si="15"/>
        <v>114</v>
      </c>
      <c r="B115" s="375" t="str">
        <f>CONCATENATE('3 pr-2'!D150)</f>
        <v>Psichosocialinės pagalbos centro įkūrimas</v>
      </c>
      <c r="C115" s="375" t="str">
        <f>CONCATENATE('3 pr-2'!H150)</f>
        <v>08.1.1-CPVA-R-407</v>
      </c>
      <c r="D115" s="375" t="str">
        <f>CONCATENATE('3 pr-2'!E150)</f>
        <v>Alytaus rajono savivaldybės administracija</v>
      </c>
      <c r="E115" s="573" t="str">
        <f>CONCATENATE('3 pr-2'!G150)</f>
        <v>Alytaus r. sav.</v>
      </c>
      <c r="F115" s="1481" t="str">
        <f>CONCATENATE('3 pr-2'!J150)</f>
        <v/>
      </c>
      <c r="G115" s="1480">
        <f>SUM('3 pr-2'!AA150)</f>
        <v>160100</v>
      </c>
      <c r="H115" s="644">
        <f>SUMIF('407'!$C$21:$C$30,B115,'407'!$I$21:$I$30)</f>
        <v>160100</v>
      </c>
      <c r="I115" s="644">
        <f>SUM('ketv. 6 '!AF149)</f>
        <v>160100</v>
      </c>
      <c r="J115" s="644">
        <f>SUM('ketv. 7 '!AL148)</f>
        <v>150308.45999999996</v>
      </c>
      <c r="K115" s="1296">
        <f t="shared" si="9"/>
        <v>0.93884109931292914</v>
      </c>
      <c r="L115" s="1495">
        <f t="shared" si="10"/>
        <v>0.93884109931292914</v>
      </c>
      <c r="M115" s="1531">
        <f t="shared" si="11"/>
        <v>0</v>
      </c>
      <c r="N115" s="1531">
        <f t="shared" si="12"/>
        <v>0</v>
      </c>
      <c r="O115" s="1531">
        <f t="shared" si="13"/>
        <v>0</v>
      </c>
    </row>
    <row r="116" spans="1:15" ht="25.5" thickBot="1">
      <c r="A116" s="376">
        <f t="shared" si="15"/>
        <v>115</v>
      </c>
      <c r="B116" s="375" t="str">
        <f>CONCATENATE('3 pr-2'!D151)</f>
        <v>Socialinių paslaugų plėtra Alytaus mieste</v>
      </c>
      <c r="C116" s="375" t="str">
        <f>CONCATENATE('3 pr-2'!H151)</f>
        <v>08.1.1-CPVA-R-407</v>
      </c>
      <c r="D116" s="375" t="str">
        <f>CONCATENATE('3 pr-2'!E151)</f>
        <v>Alytaus miesto savivaldybės administracija</v>
      </c>
      <c r="E116" s="573" t="str">
        <f>CONCATENATE('3 pr-2'!G151)</f>
        <v>Alytaus m. sav.</v>
      </c>
      <c r="F116" s="1481" t="str">
        <f>CONCATENATE('3 pr-2'!J151)</f>
        <v>-</v>
      </c>
      <c r="G116" s="1480">
        <f>SUM('3 pr-2'!AA151)</f>
        <v>346361</v>
      </c>
      <c r="H116" s="644">
        <f>SUMIF('407'!$C$21:$C$30,B116,'407'!$I$21:$I$30)</f>
        <v>346361</v>
      </c>
      <c r="I116" s="644">
        <f>SUM('ketv. 6 '!AF150)</f>
        <v>346360.99999999994</v>
      </c>
      <c r="J116" s="644">
        <f>SUM('ketv. 7 '!AL149)</f>
        <v>346360.99999999994</v>
      </c>
      <c r="K116" s="1296">
        <f t="shared" si="9"/>
        <v>0.99999999999999978</v>
      </c>
      <c r="L116" s="1495">
        <f t="shared" si="10"/>
        <v>0.99999999999999978</v>
      </c>
      <c r="M116" s="1531">
        <f t="shared" si="11"/>
        <v>5.8207660913467407E-11</v>
      </c>
      <c r="N116" s="1531">
        <f t="shared" si="12"/>
        <v>0</v>
      </c>
      <c r="O116" s="1531">
        <f t="shared" si="13"/>
        <v>5.8207660913467407E-11</v>
      </c>
    </row>
    <row r="117" spans="1:15" ht="25.5" thickBot="1">
      <c r="A117" s="376">
        <f t="shared" ref="A117:A126" si="16">ROW(A116)</f>
        <v>116</v>
      </c>
      <c r="B117" s="375" t="str">
        <f>CONCATENATE('3 pr-2'!D152)</f>
        <v>Socialinių paslaugų infrastruktūros plėtra Druskininkų savivaldybėje</v>
      </c>
      <c r="C117" s="375" t="str">
        <f>CONCATENATE('3 pr-2'!H152)</f>
        <v>08.1.1-CPVA-R-407</v>
      </c>
      <c r="D117" s="375" t="str">
        <f>CONCATENATE('3 pr-2'!E152)</f>
        <v>Druskininkų savivaldybės administracija</v>
      </c>
      <c r="E117" s="573" t="str">
        <f>CONCATENATE('3 pr-2'!G152)</f>
        <v>Druskininkų sav.</v>
      </c>
      <c r="F117" s="1481" t="str">
        <f>CONCATENATE('3 pr-2'!J152)</f>
        <v>-</v>
      </c>
      <c r="G117" s="1480">
        <f>SUM('3 pr-2'!AA152)</f>
        <v>128721</v>
      </c>
      <c r="H117" s="644">
        <f>SUMIF('407'!$C$21:$C$30,B117,'407'!$I$21:$I$30)</f>
        <v>128721</v>
      </c>
      <c r="I117" s="644">
        <f>SUM('ketv. 6 '!AF151)</f>
        <v>128721</v>
      </c>
      <c r="J117" s="644">
        <f>SUM('ketv. 7 '!AL150)</f>
        <v>28901.67</v>
      </c>
      <c r="K117" s="1296">
        <f t="shared" si="9"/>
        <v>0.22452956394061574</v>
      </c>
      <c r="L117" s="1495">
        <f t="shared" si="10"/>
        <v>0.22452956394061574</v>
      </c>
      <c r="M117" s="1531">
        <f t="shared" si="11"/>
        <v>0</v>
      </c>
      <c r="N117" s="1531">
        <f t="shared" si="12"/>
        <v>0</v>
      </c>
      <c r="O117" s="1531">
        <f t="shared" si="13"/>
        <v>0</v>
      </c>
    </row>
    <row r="118" spans="1:15" ht="37.5" thickBot="1">
      <c r="A118" s="376">
        <f t="shared" si="16"/>
        <v>117</v>
      </c>
      <c r="B118" s="375" t="str">
        <f>CONCATENATE('3 pr-2'!D153)</f>
        <v>Socialinių paslaugų infrastruktūros modernizavimas ir plėtra VšĮ Kapčiamiesčio globos namuose</v>
      </c>
      <c r="C118" s="375" t="str">
        <f>CONCATENATE('3 pr-2'!H153)</f>
        <v>08.1.1-CPVA-R-407</v>
      </c>
      <c r="D118" s="375" t="str">
        <f>CONCATENATE('3 pr-2'!E153)</f>
        <v>VšĮ Kapčiamiesčio globos namai</v>
      </c>
      <c r="E118" s="573" t="str">
        <f>CONCATENATE('3 pr-2'!G153)</f>
        <v>Lazdijų r. sav.</v>
      </c>
      <c r="F118" s="1481" t="str">
        <f>CONCATENATE('3 pr-2'!J153)</f>
        <v>-</v>
      </c>
      <c r="G118" s="1480">
        <f>SUM('3 pr-2'!AA153)</f>
        <v>124371.15</v>
      </c>
      <c r="H118" s="644">
        <f>SUMIF('407'!$C$21:$C$30,B118,'407'!$I$21:$I$30)</f>
        <v>124371.15</v>
      </c>
      <c r="I118" s="644">
        <f>SUM('ketv. 6 '!AF152)</f>
        <v>124371.15</v>
      </c>
      <c r="J118" s="644">
        <f>SUM('ketv. 7 '!AL151)</f>
        <v>124371.15</v>
      </c>
      <c r="K118" s="1296">
        <f t="shared" si="9"/>
        <v>1</v>
      </c>
      <c r="L118" s="1495">
        <f t="shared" si="10"/>
        <v>1</v>
      </c>
      <c r="M118" s="1531">
        <f t="shared" si="11"/>
        <v>0</v>
      </c>
      <c r="N118" s="1531">
        <f t="shared" si="12"/>
        <v>0</v>
      </c>
      <c r="O118" s="1531">
        <f t="shared" si="13"/>
        <v>0</v>
      </c>
    </row>
    <row r="119" spans="1:15" ht="25.5" thickBot="1">
      <c r="A119" s="376">
        <f t="shared" si="16"/>
        <v>118</v>
      </c>
      <c r="B119" s="375" t="str">
        <f>CONCATENATE('3 pr-2'!D155)</f>
        <v>Socialinio būsto plėtra Varėnos rajone</v>
      </c>
      <c r="C119" s="375" t="str">
        <f>CONCATENATE('3 pr-2'!H155)</f>
        <v>08.1.2-CPVA-R-408</v>
      </c>
      <c r="D119" s="375" t="str">
        <f>CONCATENATE('3 pr-2'!E155)</f>
        <v>Varėnos rajono savivaldybės administracija</v>
      </c>
      <c r="E119" s="573" t="str">
        <f>CONCATENATE('3 pr-2'!G155)</f>
        <v>Varėnos r. sav.</v>
      </c>
      <c r="F119" s="1481" t="str">
        <f>CONCATENATE('3 pr-2'!J155)</f>
        <v>-</v>
      </c>
      <c r="G119" s="1480">
        <f>SUM('3 pr-2'!AA155)</f>
        <v>626024</v>
      </c>
      <c r="H119" s="644">
        <f>SUMIF('408'!$C$21:$C$30,B119,'408'!$I$21:$I$30)</f>
        <v>626024</v>
      </c>
      <c r="I119" s="644">
        <f>SUM('ketv. 6 '!AF154)</f>
        <v>626024</v>
      </c>
      <c r="J119" s="644">
        <f>SUM('ketv. 7 '!AL153)</f>
        <v>503981.68</v>
      </c>
      <c r="K119" s="1296">
        <f t="shared" si="9"/>
        <v>0.80505169130895937</v>
      </c>
      <c r="L119" s="1495">
        <f t="shared" si="10"/>
        <v>0.80505169130895937</v>
      </c>
      <c r="M119" s="1531">
        <f t="shared" si="11"/>
        <v>0</v>
      </c>
      <c r="N119" s="1531">
        <f t="shared" si="12"/>
        <v>0</v>
      </c>
      <c r="O119" s="1531">
        <f t="shared" si="13"/>
        <v>0</v>
      </c>
    </row>
    <row r="120" spans="1:15" ht="25.5" thickBot="1">
      <c r="A120" s="376">
        <f t="shared" si="16"/>
        <v>119</v>
      </c>
      <c r="B120" s="375" t="str">
        <f>CONCATENATE('3 pr-2'!D156)</f>
        <v>Būsto prieinamumo pažeidžiamoms gyventojų grupėms didinimas Alytaus rajone</v>
      </c>
      <c r="C120" s="375" t="str">
        <f>CONCATENATE('3 pr-2'!H156)</f>
        <v>08.1.2-CPVA-R-408</v>
      </c>
      <c r="D120" s="375" t="str">
        <f>CONCATENATE('3 pr-2'!E156)</f>
        <v>Alytaus rajono savivaldybės administracija</v>
      </c>
      <c r="E120" s="573" t="str">
        <f>CONCATENATE('3 pr-2'!G156)</f>
        <v>Alytaus r. sav.</v>
      </c>
      <c r="F120" s="1481" t="str">
        <f>CONCATENATE('3 pr-2'!J156)</f>
        <v>-</v>
      </c>
      <c r="G120" s="1480">
        <f>SUM('3 pr-2'!AA156)</f>
        <v>205605.65</v>
      </c>
      <c r="H120" s="644">
        <f>SUMIF('408'!$C$21:$C$30,B120,'408'!$I$21:$I$30)</f>
        <v>205605.65</v>
      </c>
      <c r="I120" s="644">
        <f>SUM('ketv. 6 '!AF155)</f>
        <v>205605.65</v>
      </c>
      <c r="J120" s="644">
        <f>SUM('ketv. 7 '!AL154)</f>
        <v>205605.65</v>
      </c>
      <c r="K120" s="1296">
        <f t="shared" si="9"/>
        <v>1</v>
      </c>
      <c r="L120" s="1495">
        <f t="shared" si="10"/>
        <v>1</v>
      </c>
      <c r="M120" s="1531">
        <f t="shared" si="11"/>
        <v>0</v>
      </c>
      <c r="N120" s="1531">
        <f t="shared" si="12"/>
        <v>0</v>
      </c>
      <c r="O120" s="1531">
        <f t="shared" si="13"/>
        <v>0</v>
      </c>
    </row>
    <row r="121" spans="1:15" ht="25.5" thickBot="1">
      <c r="A121" s="376">
        <f t="shared" si="16"/>
        <v>120</v>
      </c>
      <c r="B121" s="375" t="str">
        <f>CONCATENATE('3 pr-2'!D157)</f>
        <v>Socialinio būsto plėtra Alytaus mieste</v>
      </c>
      <c r="C121" s="375" t="str">
        <f>CONCATENATE('3 pr-2'!H157)</f>
        <v>08.1.2-CPVA-R-408</v>
      </c>
      <c r="D121" s="375" t="str">
        <f>CONCATENATE('3 pr-2'!E157)</f>
        <v>Alytaus miesto savivaldybės administracija</v>
      </c>
      <c r="E121" s="573" t="str">
        <f>CONCATENATE('3 pr-2'!G157)</f>
        <v>Alytaus m. sav.</v>
      </c>
      <c r="F121" s="1481" t="str">
        <f>CONCATENATE('3 pr-2'!J157)</f>
        <v>-</v>
      </c>
      <c r="G121" s="1480">
        <f>SUM('3 pr-2'!AA157)</f>
        <v>757980</v>
      </c>
      <c r="H121" s="644">
        <f>SUMIF('408'!$C$21:$C$30,B121,'408'!$I$21:$I$30)</f>
        <v>757980</v>
      </c>
      <c r="I121" s="644">
        <f>SUM('ketv. 6 '!AF156)</f>
        <v>757980</v>
      </c>
      <c r="J121" s="644">
        <f>SUM('ketv. 7 '!AL155)</f>
        <v>585857.47</v>
      </c>
      <c r="K121" s="1296">
        <f t="shared" si="9"/>
        <v>0.77291943059183621</v>
      </c>
      <c r="L121" s="1495">
        <f t="shared" si="10"/>
        <v>0.77291943059183621</v>
      </c>
      <c r="M121" s="1531">
        <f t="shared" si="11"/>
        <v>0</v>
      </c>
      <c r="N121" s="1531">
        <f t="shared" si="12"/>
        <v>0</v>
      </c>
      <c r="O121" s="1531">
        <f t="shared" si="13"/>
        <v>0</v>
      </c>
    </row>
    <row r="122" spans="1:15" ht="25.5" thickBot="1">
      <c r="A122" s="376">
        <f t="shared" si="16"/>
        <v>121</v>
      </c>
      <c r="B122" s="375" t="str">
        <f>CONCATENATE('3 pr-2'!D158)</f>
        <v>Socialinio būsto fondo plėtra Druskininkų savivaldybėje</v>
      </c>
      <c r="C122" s="375" t="str">
        <f>CONCATENATE('3 pr-2'!H158)</f>
        <v>08.1.2-CPVA-R-408</v>
      </c>
      <c r="D122" s="375" t="str">
        <f>CONCATENATE('3 pr-2'!E158)</f>
        <v>Druskininkų savivaldybės administracija</v>
      </c>
      <c r="E122" s="573" t="str">
        <f>CONCATENATE('3 pr-2'!G158)</f>
        <v>Druskininkų sav.</v>
      </c>
      <c r="F122" s="1481" t="str">
        <f>CONCATENATE('3 pr-2'!J158)</f>
        <v>-</v>
      </c>
      <c r="G122" s="1480">
        <f>SUM('3 pr-2'!AA158)</f>
        <v>618351.99</v>
      </c>
      <c r="H122" s="644">
        <f>SUMIF('408'!$C$21:$C$30,B122,'408'!$I$21:$I$30)</f>
        <v>618351.99</v>
      </c>
      <c r="I122" s="644">
        <f>SUM('ketv. 6 '!AF157)</f>
        <v>618351.99</v>
      </c>
      <c r="J122" s="644">
        <f>SUM('ketv. 7 '!AL156)</f>
        <v>495204.13</v>
      </c>
      <c r="K122" s="1296">
        <f t="shared" si="9"/>
        <v>0.80084504943535484</v>
      </c>
      <c r="L122" s="1495">
        <f t="shared" si="10"/>
        <v>0.80084504943535484</v>
      </c>
      <c r="M122" s="1531">
        <f t="shared" si="11"/>
        <v>0</v>
      </c>
      <c r="N122" s="1531">
        <f t="shared" si="12"/>
        <v>0</v>
      </c>
      <c r="O122" s="1531">
        <f t="shared" si="13"/>
        <v>0</v>
      </c>
    </row>
    <row r="123" spans="1:15" ht="25.5" thickBot="1">
      <c r="A123" s="376">
        <f t="shared" si="16"/>
        <v>122</v>
      </c>
      <c r="B123" s="375" t="str">
        <f>CONCATENATE('3 pr-2'!D159)</f>
        <v>Socialinio būsto fondo plėtra Lazdijų rajono savivaldybėje</v>
      </c>
      <c r="C123" s="375" t="str">
        <f>CONCATENATE('3 pr-2'!H159)</f>
        <v>08.1.2-CPVA-R-408</v>
      </c>
      <c r="D123" s="375" t="str">
        <f>CONCATENATE('3 pr-2'!E159)</f>
        <v>Lazdijų rajono savivaldybės administracija</v>
      </c>
      <c r="E123" s="573" t="str">
        <f>CONCATENATE('3 pr-2'!G159)</f>
        <v>Lazdijų r. sav.</v>
      </c>
      <c r="F123" s="1481" t="str">
        <f>CONCATENATE('3 pr-2'!J159)</f>
        <v>-</v>
      </c>
      <c r="G123" s="1480">
        <f>SUM('3 pr-2'!AA159)</f>
        <v>313012</v>
      </c>
      <c r="H123" s="644">
        <f>SUMIF('408'!$C$21:$C$30,B123,'408'!$I$21:$I$30)</f>
        <v>313012</v>
      </c>
      <c r="I123" s="644">
        <f>SUM('ketv. 6 '!AF158)</f>
        <v>313012</v>
      </c>
      <c r="J123" s="644">
        <f>SUM('ketv. 7 '!AL157)</f>
        <v>158103.12000000002</v>
      </c>
      <c r="K123" s="1296">
        <f t="shared" si="9"/>
        <v>0.50510242418821016</v>
      </c>
      <c r="L123" s="1495">
        <f t="shared" si="10"/>
        <v>0.50510242418821016</v>
      </c>
      <c r="M123" s="1531">
        <f t="shared" si="11"/>
        <v>0</v>
      </c>
      <c r="N123" s="1531">
        <f t="shared" si="12"/>
        <v>0</v>
      </c>
      <c r="O123" s="1531">
        <f t="shared" si="13"/>
        <v>0</v>
      </c>
    </row>
    <row r="124" spans="1:15" ht="37.5" thickBot="1">
      <c r="A124" s="376">
        <f t="shared" si="16"/>
        <v>123</v>
      </c>
      <c r="B124" s="375" t="str">
        <f>CONCATENATE('3 pr-2'!D162)</f>
        <v>Paslaugų teikimo ir asmenų aptarnavimo kokybės gerinimas Varėnos rajono savivaldybėje</v>
      </c>
      <c r="C124" s="375" t="str">
        <f>CONCATENATE('3 pr-2'!H162)</f>
        <v>10.1.3-ESFA-R-920</v>
      </c>
      <c r="D124" s="375" t="str">
        <f>CONCATENATE('3 pr-2'!E162)</f>
        <v>Varėnos rajono savivaldybės administracija</v>
      </c>
      <c r="E124" s="573" t="str">
        <f>CONCATENATE('3 pr-2'!G162)</f>
        <v>Varėnos r. sav.</v>
      </c>
      <c r="F124" s="1481" t="str">
        <f>CONCATENATE('3 pr-2'!J162)</f>
        <v>-</v>
      </c>
      <c r="G124" s="1480">
        <f>SUM('3 pr-2'!AA162)</f>
        <v>146823.49</v>
      </c>
      <c r="H124" s="644">
        <f>SUMIF('920'!$C$21:$C$30,B124,'920'!$I$21:$I$30)</f>
        <v>146823.49</v>
      </c>
      <c r="I124" s="644">
        <f>SUM('ketv. 6 '!AF161)</f>
        <v>146823.49</v>
      </c>
      <c r="J124" s="644">
        <f>SUM('ketv. 7 '!AL160)</f>
        <v>65502.12000000001</v>
      </c>
      <c r="K124" s="1296">
        <f t="shared" si="9"/>
        <v>0.44612834090784803</v>
      </c>
      <c r="L124" s="1495">
        <f t="shared" si="10"/>
        <v>0.44612834090784803</v>
      </c>
      <c r="M124" s="1531">
        <f t="shared" si="11"/>
        <v>0</v>
      </c>
      <c r="N124" s="1531">
        <f t="shared" si="12"/>
        <v>0</v>
      </c>
      <c r="O124" s="1531">
        <f t="shared" si="13"/>
        <v>0</v>
      </c>
    </row>
    <row r="125" spans="1:15" ht="25.5" thickBot="1">
      <c r="A125" s="376">
        <f t="shared" si="16"/>
        <v>124</v>
      </c>
      <c r="B125" s="375" t="str">
        <f>CONCATENATE('3 pr-2'!D163)</f>
        <v>Paslaugų ir asmenų aptarnavimo kokybės gerinimas Alytaus rajono savivaldybėje</v>
      </c>
      <c r="C125" s="375" t="str">
        <f>CONCATENATE('3 pr-2'!H163)</f>
        <v>10.1.3-ESFA-R-920</v>
      </c>
      <c r="D125" s="375" t="str">
        <f>CONCATENATE('3 pr-2'!E163)</f>
        <v>Alytaus rajono savivaldybės administracija</v>
      </c>
      <c r="E125" s="573" t="str">
        <f>CONCATENATE('3 pr-2'!G163)</f>
        <v>Alytaus r. sav.</v>
      </c>
      <c r="F125" s="1481" t="str">
        <f>CONCATENATE('3 pr-2'!J163)</f>
        <v>-</v>
      </c>
      <c r="G125" s="1480">
        <f>SUM('3 pr-2'!AA163)</f>
        <v>163907.37</v>
      </c>
      <c r="H125" s="644">
        <f>SUMIF('920'!$C$21:$C$30,B125,'920'!$I$21:$I$30)</f>
        <v>163907.37</v>
      </c>
      <c r="I125" s="644">
        <f>SUM('ketv. 6 '!AF162)</f>
        <v>163907.37</v>
      </c>
      <c r="J125" s="644">
        <f>SUM('ketv. 7 '!AL161)</f>
        <v>28339.46</v>
      </c>
      <c r="K125" s="1296">
        <f t="shared" si="9"/>
        <v>0.17289924180956598</v>
      </c>
      <c r="L125" s="1495">
        <f t="shared" si="10"/>
        <v>0.17289924180956598</v>
      </c>
      <c r="M125" s="1531">
        <f t="shared" si="11"/>
        <v>0</v>
      </c>
      <c r="N125" s="1531">
        <f t="shared" si="12"/>
        <v>0</v>
      </c>
      <c r="O125" s="1531">
        <f t="shared" si="13"/>
        <v>0</v>
      </c>
    </row>
    <row r="126" spans="1:15" ht="37.5" thickBot="1">
      <c r="A126" s="376">
        <f t="shared" si="16"/>
        <v>125</v>
      </c>
      <c r="B126" s="375" t="str">
        <f>CONCATENATE('3 pr-2'!D164)</f>
        <v>Lazdijų rajono savivaldybės administracijos ir jos viešojo valdymo institucijų teikiamų paslaugų procesų tobulinimas</v>
      </c>
      <c r="C126" s="375" t="str">
        <f>CONCATENATE('3 pr-2'!H164)</f>
        <v>10.1.3-ESFA-R-920</v>
      </c>
      <c r="D126" s="375" t="str">
        <f>CONCATENATE('3 pr-2'!E164)</f>
        <v>Lazdijų rajono savivaldybės administracija</v>
      </c>
      <c r="E126" s="573" t="str">
        <f>CONCATENATE('3 pr-2'!G164)</f>
        <v>Lazdijų r. sav.</v>
      </c>
      <c r="F126" s="1481" t="str">
        <f>CONCATENATE('3 pr-2'!J164)</f>
        <v>-</v>
      </c>
      <c r="G126" s="1480">
        <f>SUM('3 pr-2'!AA164)</f>
        <v>139388</v>
      </c>
      <c r="H126" s="644">
        <f>SUMIF('920'!$C$21:$C$30,B126,'920'!$I$21:$I$30)</f>
        <v>139388</v>
      </c>
      <c r="I126" s="644">
        <f>SUM('ketv. 6 '!AF163)</f>
        <v>139388</v>
      </c>
      <c r="J126" s="644">
        <f>SUM('ketv. 7 '!AL162)</f>
        <v>86033.73</v>
      </c>
      <c r="K126" s="1296">
        <f t="shared" si="9"/>
        <v>0.61722479696960997</v>
      </c>
      <c r="L126" s="1495">
        <f t="shared" si="10"/>
        <v>0.61722479696960997</v>
      </c>
      <c r="M126" s="1531">
        <f t="shared" si="11"/>
        <v>0</v>
      </c>
      <c r="N126" s="1531">
        <f t="shared" si="12"/>
        <v>0</v>
      </c>
      <c r="O126" s="1531">
        <f t="shared" si="13"/>
        <v>0</v>
      </c>
    </row>
    <row r="127" spans="1:15" ht="49.5" thickBot="1">
      <c r="A127" s="376">
        <f t="shared" ref="A127:A132" si="17">ROW(A126)</f>
        <v>126</v>
      </c>
      <c r="B127" s="375" t="str">
        <f>CONCATENATE('3 pr-2'!D165)</f>
        <v>Teikiamų paslaugų procesų tobulinimas ir asmenų aptarnavimo kokybės gerinimas Alytaus m. sav. administracijoje ir jai pavaldžiose įstaigose. I etapas</v>
      </c>
      <c r="C127" s="375" t="str">
        <f>CONCATENATE('3 pr-2'!H165)</f>
        <v>10.1.3-ESFA-R-920</v>
      </c>
      <c r="D127" s="375" t="str">
        <f>CONCATENATE('3 pr-2'!E165)</f>
        <v>Alytaus miesto savivaldybės administracija</v>
      </c>
      <c r="E127" s="573" t="str">
        <f>CONCATENATE('3 pr-2'!G165)</f>
        <v>Alytaus m. sav.</v>
      </c>
      <c r="F127" s="1481" t="str">
        <f>CONCATENATE('3 pr-2'!J165)</f>
        <v>-</v>
      </c>
      <c r="G127" s="1480">
        <f>SUM('3 pr-2'!AA165)</f>
        <v>183339.18</v>
      </c>
      <c r="H127" s="644">
        <f>SUMIF('920'!$C$21:$C$30,B127,'920'!$I$21:$I$30)</f>
        <v>183339.18</v>
      </c>
      <c r="I127" s="644">
        <f>SUM('ketv. 6 '!AF164)</f>
        <v>183339.18</v>
      </c>
      <c r="J127" s="644">
        <f>SUM('ketv. 7 '!AL163)</f>
        <v>5781.43</v>
      </c>
      <c r="K127" s="1296">
        <f t="shared" si="9"/>
        <v>3.1534067077206303E-2</v>
      </c>
      <c r="L127" s="1495">
        <f t="shared" si="10"/>
        <v>3.1534067077206303E-2</v>
      </c>
      <c r="M127" s="1531">
        <f t="shared" si="11"/>
        <v>0</v>
      </c>
      <c r="N127" s="1531">
        <f t="shared" si="12"/>
        <v>0</v>
      </c>
      <c r="O127" s="1531">
        <f t="shared" si="13"/>
        <v>0</v>
      </c>
    </row>
    <row r="128" spans="1:15" ht="37.5" thickBot="1">
      <c r="A128" s="376">
        <f t="shared" si="17"/>
        <v>127</v>
      </c>
      <c r="B128" s="375" t="str">
        <f>CONCATENATE('3 pr-2'!D166)</f>
        <v>Paslaugų teikimo ir asmenų aptarnavimo kokybės gerinimas Druskininkų savivaldybėje</v>
      </c>
      <c r="C128" s="375" t="str">
        <f>CONCATENATE('3 pr-2'!H166)</f>
        <v>10.1.3-ESFA-R-920</v>
      </c>
      <c r="D128" s="375" t="str">
        <f>CONCATENATE('3 pr-2'!E166)</f>
        <v>Druskininkų savivaldybės administracija</v>
      </c>
      <c r="E128" s="573" t="str">
        <f>CONCATENATE('3 pr-2'!G166)</f>
        <v>Druskininkų sav.</v>
      </c>
      <c r="F128" s="1481" t="str">
        <f>CONCATENATE('3 pr-2'!J166)</f>
        <v>-</v>
      </c>
      <c r="G128" s="1480">
        <f>SUM('3 pr-2'!AA166)</f>
        <v>137349.79999999999</v>
      </c>
      <c r="H128" s="644">
        <f>SUMIF('920'!$C$21:$C$30,B128,'920'!$I$21:$I$30)</f>
        <v>137349.79999999999</v>
      </c>
      <c r="I128" s="644">
        <f>SUM('ketv. 6 '!AF165)</f>
        <v>137349.79999999999</v>
      </c>
      <c r="J128" s="644">
        <f>SUM('ketv. 7 '!AL164)</f>
        <v>33512.69</v>
      </c>
      <c r="K128" s="1296">
        <f t="shared" si="9"/>
        <v>0.24399518601410417</v>
      </c>
      <c r="L128" s="1495">
        <f t="shared" si="10"/>
        <v>0.24399518601410417</v>
      </c>
      <c r="M128" s="1531">
        <f t="shared" si="11"/>
        <v>0</v>
      </c>
      <c r="N128" s="1531">
        <f t="shared" si="12"/>
        <v>0</v>
      </c>
      <c r="O128" s="1531">
        <f t="shared" si="13"/>
        <v>0</v>
      </c>
    </row>
    <row r="129" spans="1:15" ht="49.5" thickBot="1">
      <c r="A129" s="376">
        <f t="shared" si="17"/>
        <v>128</v>
      </c>
      <c r="B129" s="375" t="str">
        <f>CONCATENATE('3 pr-2'!D167)</f>
        <v>Teikiamų paslaugų procesų tobulinimas ir asmenų aptarnavimo kokybės gerinimas Alytaus m. sav. administracijoje ir jai pavaldžiose įstaigose. II etapas</v>
      </c>
      <c r="C129" s="375" t="str">
        <f>CONCATENATE('3 pr-2'!H167)</f>
        <v>10.1.3-ESFA-R-920</v>
      </c>
      <c r="D129" s="375" t="str">
        <f>CONCATENATE('3 pr-2'!E167)</f>
        <v>Alytaus miesto savivaldybės administracija</v>
      </c>
      <c r="E129" s="573" t="str">
        <f>CONCATENATE('3 pr-2'!G167)</f>
        <v>Alytaus m. sav.</v>
      </c>
      <c r="F129" s="1481" t="str">
        <f>CONCATENATE('3 pr-2'!J167)</f>
        <v>-</v>
      </c>
      <c r="G129" s="1480">
        <f>SUM('3 pr-2'!AA167)</f>
        <v>170000</v>
      </c>
      <c r="H129" s="644">
        <f>SUMIF('920'!$C$21:$C$30,B129,'920'!$I$21:$I$30)</f>
        <v>0</v>
      </c>
      <c r="I129" s="644">
        <f>SUM('ketv. 6 '!AF166)</f>
        <v>0</v>
      </c>
      <c r="J129" s="644">
        <f>SUM('ketv. 7 '!AL165)</f>
        <v>0</v>
      </c>
      <c r="K129" s="1296" t="e">
        <f t="shared" si="9"/>
        <v>#DIV/0!</v>
      </c>
      <c r="L129" s="1495">
        <f t="shared" si="10"/>
        <v>0</v>
      </c>
      <c r="M129" s="1531" t="str">
        <f t="shared" si="11"/>
        <v>–</v>
      </c>
      <c r="N129" s="1531" t="str">
        <f t="shared" si="12"/>
        <v>–</v>
      </c>
      <c r="O129" s="1531" t="str">
        <f t="shared" si="13"/>
        <v>–</v>
      </c>
    </row>
    <row r="130" spans="1:15" ht="25.5" thickBot="1">
      <c r="A130" s="376">
        <f t="shared" si="17"/>
        <v>129</v>
      </c>
      <c r="B130" s="375" t="str">
        <f>CONCATENATE('3 pr-2'!D171)</f>
        <v>Komunalinių atliekų tvarkymo infrastruktūros plėtra Alytaus regione</v>
      </c>
      <c r="C130" s="375" t="str">
        <f>CONCATENATE('3 pr-2'!H171)</f>
        <v>05.2.1-APVA-R-008</v>
      </c>
      <c r="D130" s="375" t="str">
        <f>CONCATENATE('3 pr-2'!E171)</f>
        <v>Alytaus regiono atliekų tvarkymo centras</v>
      </c>
      <c r="E130" s="573" t="str">
        <f>CONCATENATE('3 pr-2'!G171)</f>
        <v>Alytaus regionas</v>
      </c>
      <c r="F130" s="1481" t="str">
        <f>CONCATENATE('3 pr-2'!J171)</f>
        <v>-</v>
      </c>
      <c r="G130" s="1480">
        <f>SUM('3 pr-2'!AA171)</f>
        <v>3352807.77</v>
      </c>
      <c r="H130" s="644">
        <f>SUMIF('008'!D18:D30,B130,'008'!F18:F30)</f>
        <v>3352807.77</v>
      </c>
      <c r="I130" s="644">
        <f>SUM('ketv. 6 '!AF170)</f>
        <v>3352807.77</v>
      </c>
      <c r="J130" s="644">
        <f>SUM('ketv. 7 '!AL169)</f>
        <v>607002.71</v>
      </c>
      <c r="K130" s="1296">
        <f t="shared" si="9"/>
        <v>0.18104309928868959</v>
      </c>
      <c r="L130" s="1495">
        <f t="shared" si="10"/>
        <v>0.18104309928868959</v>
      </c>
      <c r="M130" s="1531">
        <f t="shared" si="11"/>
        <v>0</v>
      </c>
      <c r="N130" s="1531">
        <f t="shared" si="12"/>
        <v>0</v>
      </c>
      <c r="O130" s="1531">
        <f t="shared" si="13"/>
        <v>0</v>
      </c>
    </row>
    <row r="131" spans="1:15" ht="25.5" thickBot="1">
      <c r="A131" s="376">
        <f t="shared" si="17"/>
        <v>130</v>
      </c>
      <c r="B131" s="375" t="str">
        <f>CONCATENATE('3 pr-2'!D174)</f>
        <v>Kraštovaizdžio formavimas ir tvarkymas Varėnos r. savivaldybėje (I etapas)</v>
      </c>
      <c r="C131" s="375" t="str">
        <f>CONCATENATE('3 pr-2'!H174)</f>
        <v>05.5.1-APVA-R-019</v>
      </c>
      <c r="D131" s="375" t="str">
        <f>CONCATENATE('3 pr-2'!E174)</f>
        <v>Varėnos rajono savivaldybės administracija</v>
      </c>
      <c r="E131" s="573" t="str">
        <f>CONCATENATE('3 pr-2'!G174)</f>
        <v>Varėnos r. sav.</v>
      </c>
      <c r="F131" s="1481" t="str">
        <f>CONCATENATE('3 pr-2'!J174)</f>
        <v>-</v>
      </c>
      <c r="G131" s="1480">
        <f>SUM('3 pr-2'!AA174)</f>
        <v>263093.7</v>
      </c>
      <c r="H131" s="644">
        <f>SUMIF('019'!$C$21:$C$40,B131,'019'!$I$21:$I$40)</f>
        <v>252177.35</v>
      </c>
      <c r="I131" s="644">
        <f>SUM('ketv. 6 '!AF173)</f>
        <v>252177.35</v>
      </c>
      <c r="J131" s="644">
        <f>SUM('ketv. 7 '!AL172)</f>
        <v>200316.06</v>
      </c>
      <c r="K131" s="1296">
        <f t="shared" ref="K131:K139" si="18">SUM(J131/H131)</f>
        <v>0.79434596326751783</v>
      </c>
      <c r="L131" s="1495">
        <f t="shared" ref="L131:L139" si="19">SUM(J131/G131)</f>
        <v>0.76138676068640176</v>
      </c>
      <c r="M131" s="1531">
        <f t="shared" ref="M131:M139" si="20">IF(I131=0,"–",H131-I131)</f>
        <v>0</v>
      </c>
      <c r="N131" s="1531">
        <f t="shared" ref="N131:N139" si="21">IF(H131=0,"–",G131-H131)</f>
        <v>10916.350000000006</v>
      </c>
      <c r="O131" s="1531">
        <f t="shared" ref="O131:O139" si="22">IF(I131=0,"–",G131-I131)</f>
        <v>10916.350000000006</v>
      </c>
    </row>
    <row r="132" spans="1:15" ht="25.5" thickBot="1">
      <c r="A132" s="376">
        <f t="shared" si="17"/>
        <v>131</v>
      </c>
      <c r="B132" s="375" t="str">
        <f>CONCATENATE('3 pr-2'!D175)</f>
        <v>Kraštovaizdžio formavimas ir tvarkymas Varėnos r. savivaldybėje (II etapas)</v>
      </c>
      <c r="C132" s="375" t="str">
        <f>CONCATENATE('3 pr-2'!H175)</f>
        <v>05.5.1-APVA-R-019</v>
      </c>
      <c r="D132" s="375" t="str">
        <f>CONCATENATE('3 pr-2'!E175)</f>
        <v>Varėnos rajono savivaldybės administracija</v>
      </c>
      <c r="E132" s="573" t="str">
        <f>CONCATENATE('3 pr-2'!G175)</f>
        <v>Varėnos r. sav.</v>
      </c>
      <c r="F132" s="1481" t="str">
        <f>CONCATENATE('3 pr-2'!J175)</f>
        <v>-</v>
      </c>
      <c r="G132" s="1480">
        <f>SUM('3 pr-2'!AA175)</f>
        <v>471079</v>
      </c>
      <c r="H132" s="644">
        <f>SUMIF('019'!$C$21:$C$40,B132,'019'!$I$21:$I$40)</f>
        <v>471079</v>
      </c>
      <c r="I132" s="644">
        <f>SUM('ketv. 6 '!AF174)</f>
        <v>0</v>
      </c>
      <c r="J132" s="644">
        <f>SUM('ketv. 7 '!AL173)</f>
        <v>0</v>
      </c>
      <c r="K132" s="1296">
        <f t="shared" si="18"/>
        <v>0</v>
      </c>
      <c r="L132" s="1495">
        <f t="shared" si="19"/>
        <v>0</v>
      </c>
      <c r="M132" s="1531" t="str">
        <f t="shared" si="20"/>
        <v>–</v>
      </c>
      <c r="N132" s="1531">
        <f t="shared" si="21"/>
        <v>0</v>
      </c>
      <c r="O132" s="1531" t="str">
        <f t="shared" si="22"/>
        <v>–</v>
      </c>
    </row>
    <row r="133" spans="1:15" ht="26.25" customHeight="1" thickBot="1">
      <c r="A133" s="376">
        <f t="shared" ref="A133:A138" si="23">ROW(A132)</f>
        <v>132</v>
      </c>
      <c r="B133" s="375" t="str">
        <f>CONCATENATE('3 pr-2'!D176)</f>
        <v>Bešeimininkių apleistų pastatų ir įrenginių tvarkymas Alytaus rajono savivaldybėje</v>
      </c>
      <c r="C133" s="375" t="str">
        <f>CONCATENATE('3 pr-2'!H176)</f>
        <v>05.5.1-APVA-R-019</v>
      </c>
      <c r="D133" s="375" t="str">
        <f>CONCATENATE('3 pr-2'!E176)</f>
        <v>Alytaus rajono savivaldybės administracija</v>
      </c>
      <c r="E133" s="573" t="str">
        <f>CONCATENATE('3 pr-2'!G176)</f>
        <v>Alytaus r. sav.</v>
      </c>
      <c r="F133" s="1481" t="str">
        <f>CONCATENATE('3 pr-2'!J176)</f>
        <v/>
      </c>
      <c r="G133" s="1480">
        <f>SUM('3 pr-2'!AA176)</f>
        <v>86500.800000000003</v>
      </c>
      <c r="H133" s="644">
        <f>SUMIF('019'!$C$21:$C$40,B133,'019'!$I$21:$I$40)</f>
        <v>86500.800000000003</v>
      </c>
      <c r="I133" s="644">
        <f>SUM('ketv. 6 '!AF175)</f>
        <v>86500.800000000003</v>
      </c>
      <c r="J133" s="644">
        <f>SUM('ketv. 7 '!AL174)</f>
        <v>86500.800000000003</v>
      </c>
      <c r="K133" s="1296">
        <f t="shared" si="18"/>
        <v>1</v>
      </c>
      <c r="L133" s="1495">
        <f t="shared" si="19"/>
        <v>1</v>
      </c>
      <c r="M133" s="1531">
        <f t="shared" si="20"/>
        <v>0</v>
      </c>
      <c r="N133" s="1531">
        <f t="shared" si="21"/>
        <v>0</v>
      </c>
      <c r="O133" s="1531">
        <f t="shared" si="22"/>
        <v>0</v>
      </c>
    </row>
    <row r="134" spans="1:15" ht="37.5" thickBot="1">
      <c r="A134" s="376">
        <f t="shared" si="23"/>
        <v>133</v>
      </c>
      <c r="B134" s="375" t="str">
        <f>CONCATENATE('3 pr-2'!D177)</f>
        <v>Alytaus miesto bendrojo plano korektūra zonuojant kraštovaizdžio struktūrą, nustatant reglamentus ir principus</v>
      </c>
      <c r="C134" s="375" t="str">
        <f>CONCATENATE('3 pr-2'!H177)</f>
        <v>05.5.1-APVA-R-019</v>
      </c>
      <c r="D134" s="375" t="str">
        <f>CONCATENATE('3 pr-2'!E177)</f>
        <v>Alytaus miesto savivaldybės administracija</v>
      </c>
      <c r="E134" s="573" t="str">
        <f>CONCATENATE('3 pr-2'!G177)</f>
        <v>Alytaus m. sav.</v>
      </c>
      <c r="F134" s="1481" t="str">
        <f>CONCATENATE('3 pr-2'!J177)</f>
        <v/>
      </c>
      <c r="G134" s="1480">
        <f>SUM('3 pr-2'!AA177)</f>
        <v>3394.05</v>
      </c>
      <c r="H134" s="644">
        <f>SUMIF('019'!$C$21:$C$40,B134,'019'!$I$21:$I$40)</f>
        <v>3394.05</v>
      </c>
      <c r="I134" s="644">
        <f>SUM('ketv. 6 '!AF176)</f>
        <v>3394.05</v>
      </c>
      <c r="J134" s="644">
        <f>SUM('ketv. 7 '!AL175)</f>
        <v>1018.22</v>
      </c>
      <c r="K134" s="1296">
        <f t="shared" si="18"/>
        <v>0.30000147316627629</v>
      </c>
      <c r="L134" s="1495">
        <f t="shared" si="19"/>
        <v>0.30000147316627629</v>
      </c>
      <c r="M134" s="1531">
        <f t="shared" si="20"/>
        <v>0</v>
      </c>
      <c r="N134" s="1531">
        <f t="shared" si="21"/>
        <v>0</v>
      </c>
      <c r="O134" s="1531">
        <f t="shared" si="22"/>
        <v>0</v>
      </c>
    </row>
    <row r="135" spans="1:15" ht="25.5" thickBot="1">
      <c r="A135" s="376">
        <f t="shared" si="23"/>
        <v>134</v>
      </c>
      <c r="B135" s="375" t="str">
        <f>CONCATENATE('3 pr-2'!D178)</f>
        <v>Bešeimininkių apleistų pastatų Druskininkų savivaldybės teritorijoje likvidavimas</v>
      </c>
      <c r="C135" s="375" t="str">
        <f>CONCATENATE('3 pr-2'!H178)</f>
        <v>05.5.1-APVA-R-019</v>
      </c>
      <c r="D135" s="375" t="str">
        <f>CONCATENATE('3 pr-2'!E178)</f>
        <v>Druskininkų savivaldybės administracija</v>
      </c>
      <c r="E135" s="573" t="str">
        <f>CONCATENATE('3 pr-2'!G178)</f>
        <v>Druskininkų sav.</v>
      </c>
      <c r="F135" s="1481" t="str">
        <f>CONCATENATE('3 pr-2'!J178)</f>
        <v>-</v>
      </c>
      <c r="G135" s="1480">
        <f>SUM('3 pr-2'!AA178)</f>
        <v>102980.52</v>
      </c>
      <c r="H135" s="644">
        <f>SUMIF('019'!$C$21:$C$40,B135,'019'!$I$21:$I$40)</f>
        <v>102980.52</v>
      </c>
      <c r="I135" s="644">
        <f>SUM('ketv. 6 '!AF177)</f>
        <v>102980.52</v>
      </c>
      <c r="J135" s="644">
        <f>SUM('ketv. 7 '!AL176)</f>
        <v>102980.52</v>
      </c>
      <c r="K135" s="1296">
        <f t="shared" si="18"/>
        <v>1</v>
      </c>
      <c r="L135" s="1495">
        <f t="shared" si="19"/>
        <v>1</v>
      </c>
      <c r="M135" s="1531">
        <f t="shared" si="20"/>
        <v>0</v>
      </c>
      <c r="N135" s="1531">
        <f t="shared" si="21"/>
        <v>0</v>
      </c>
      <c r="O135" s="1531">
        <f t="shared" si="22"/>
        <v>0</v>
      </c>
    </row>
    <row r="136" spans="1:15" ht="25.5" thickBot="1">
      <c r="A136" s="376">
        <f t="shared" si="23"/>
        <v>135</v>
      </c>
      <c r="B136" s="375" t="str">
        <f>CONCATENATE('3 pr-2'!D179)</f>
        <v>Kraštovaizdžio formavimas Lazdijų rajono savivaldybėje</v>
      </c>
      <c r="C136" s="375" t="str">
        <f>CONCATENATE('3 pr-2'!H179)</f>
        <v>05.5.1-APVA-R-019</v>
      </c>
      <c r="D136" s="375" t="str">
        <f>CONCATENATE('3 pr-2'!E179)</f>
        <v>Lazdijų rajono savivaldybės administracija</v>
      </c>
      <c r="E136" s="573" t="str">
        <f>CONCATENATE('3 pr-2'!G179)</f>
        <v>Lazdijų r. sav.</v>
      </c>
      <c r="F136" s="1481" t="str">
        <f>CONCATENATE('3 pr-2'!J179)</f>
        <v>-</v>
      </c>
      <c r="G136" s="1480">
        <f>SUM('3 pr-2'!AA179)</f>
        <v>375953.81</v>
      </c>
      <c r="H136" s="644">
        <f>SUMIF('019'!$C$21:$C$40,B136,'019'!$I$21:$I$40)</f>
        <v>375953.81</v>
      </c>
      <c r="I136" s="644">
        <f>SUM('ketv. 6 '!AF178)</f>
        <v>375953.81</v>
      </c>
      <c r="J136" s="644">
        <f>SUM('ketv. 7 '!AL177)</f>
        <v>193242.66000000003</v>
      </c>
      <c r="K136" s="1296">
        <f t="shared" si="18"/>
        <v>0.51400638817837763</v>
      </c>
      <c r="L136" s="1495">
        <f t="shared" si="19"/>
        <v>0.51400638817837763</v>
      </c>
      <c r="M136" s="1531">
        <f t="shared" si="20"/>
        <v>0</v>
      </c>
      <c r="N136" s="1531">
        <f t="shared" si="21"/>
        <v>0</v>
      </c>
      <c r="O136" s="1531">
        <f t="shared" si="22"/>
        <v>0</v>
      </c>
    </row>
    <row r="137" spans="1:15" ht="25.5" thickBot="1">
      <c r="A137" s="376">
        <f t="shared" si="23"/>
        <v>136</v>
      </c>
      <c r="B137" s="375" t="str">
        <f>CONCATENATE('3 pr-2'!D180)</f>
        <v>Kraštovaizdžio formavimas Lazdijų rajono savivaldybėje (II etapas)</v>
      </c>
      <c r="C137" s="375" t="str">
        <f>CONCATENATE('3 pr-2'!H180)</f>
        <v>05.5.1-APVA-R-019</v>
      </c>
      <c r="D137" s="375" t="str">
        <f>CONCATENATE('3 pr-2'!E180)</f>
        <v>Lazdijų rajono savivaldybės administracija</v>
      </c>
      <c r="E137" s="573" t="str">
        <f>CONCATENATE('3 pr-2'!G180)</f>
        <v>Lazdijų r. sav.</v>
      </c>
      <c r="F137" s="1481" t="str">
        <f>CONCATENATE('3 pr-2'!J180)</f>
        <v>-</v>
      </c>
      <c r="G137" s="1480">
        <f>SUM('3 pr-2'!AA180)</f>
        <v>127323.39</v>
      </c>
      <c r="H137" s="644">
        <f>SUMIF('019'!$C$21:$C$40,B137,'019'!$I$21:$I$40)</f>
        <v>127323</v>
      </c>
      <c r="I137" s="644">
        <f>SUM('ketv. 6 '!AF179)</f>
        <v>0</v>
      </c>
      <c r="J137" s="644">
        <f>SUM('ketv. 7 '!AL178)</f>
        <v>0</v>
      </c>
      <c r="K137" s="1296">
        <f t="shared" si="18"/>
        <v>0</v>
      </c>
      <c r="L137" s="1495">
        <f t="shared" si="19"/>
        <v>0</v>
      </c>
      <c r="M137" s="1531" t="str">
        <f t="shared" si="20"/>
        <v>–</v>
      </c>
      <c r="N137" s="1531">
        <f t="shared" si="21"/>
        <v>0.38999999999941792</v>
      </c>
      <c r="O137" s="1531" t="str">
        <f t="shared" si="22"/>
        <v>–</v>
      </c>
    </row>
    <row r="138" spans="1:15" ht="37.5" thickBot="1">
      <c r="A138" s="376">
        <f t="shared" si="23"/>
        <v>137</v>
      </c>
      <c r="B138" s="375" t="str">
        <f>CONCATENATE('3 pr-2'!D181)</f>
        <v>Bešeimininkių apleistų pastatų ir įrenginių tvarkymas Alytaus rajono savivaldybėje (II etapas)</v>
      </c>
      <c r="C138" s="375" t="str">
        <f>CONCATENATE('3 pr-2'!H181)</f>
        <v>05.5.1-APVA-R-019</v>
      </c>
      <c r="D138" s="375" t="str">
        <f>CONCATENATE('3 pr-2'!E181)</f>
        <v>Alytaus rajono savivaldybės administracija</v>
      </c>
      <c r="E138" s="573" t="str">
        <f>CONCATENATE('3 pr-2'!G181)</f>
        <v>Alytaus r. sav.</v>
      </c>
      <c r="F138" s="1481" t="str">
        <f>CONCATENATE('3 pr-2'!J181)</f>
        <v>-</v>
      </c>
      <c r="G138" s="1480">
        <f>SUM('3 pr-2'!AA181)</f>
        <v>626057</v>
      </c>
      <c r="H138" s="644">
        <f>SUMIF('019'!$C$21:$C$40,B138,'019'!$I$21:$I$40)</f>
        <v>626057</v>
      </c>
      <c r="I138" s="644">
        <f>SUM('ketv. 6 '!AF180)</f>
        <v>236024.6</v>
      </c>
      <c r="J138" s="644">
        <f>SUM('ketv. 7 '!AL179)</f>
        <v>0</v>
      </c>
      <c r="K138" s="1296">
        <f t="shared" si="18"/>
        <v>0</v>
      </c>
      <c r="L138" s="1495">
        <f t="shared" si="19"/>
        <v>0</v>
      </c>
      <c r="M138" s="1531">
        <f t="shared" si="20"/>
        <v>390032.4</v>
      </c>
      <c r="N138" s="1531">
        <f t="shared" si="21"/>
        <v>0</v>
      </c>
      <c r="O138" s="1531">
        <f t="shared" si="22"/>
        <v>390032.4</v>
      </c>
    </row>
    <row r="139" spans="1:15" ht="25.5" thickBot="1">
      <c r="A139" s="376">
        <f t="shared" ref="A139" si="24">ROW(A138)</f>
        <v>138</v>
      </c>
      <c r="B139" s="375" t="str">
        <f>CONCATENATE('3 pr-2'!D182)</f>
        <v>Etaloninio kraštovaizdžio formavimas Druskininkų savivaldybės pasienyje</v>
      </c>
      <c r="C139" s="375" t="str">
        <f>CONCATENATE('3 pr-2'!H182)</f>
        <v>05.5.1-APVA-R-019</v>
      </c>
      <c r="D139" s="375" t="str">
        <f>CONCATENATE('3 pr-2'!E182)</f>
        <v>Druskininkų savivaldybės administracija</v>
      </c>
      <c r="E139" s="573" t="str">
        <f>CONCATENATE('3 pr-2'!G182)</f>
        <v>Druskininkų sav.</v>
      </c>
      <c r="F139" s="1482" t="str">
        <f>CONCATENATE('3 pr-2'!J182)</f>
        <v>-</v>
      </c>
      <c r="G139" s="1480">
        <f>SUM('3 pr-2'!AA182)</f>
        <v>75245.48</v>
      </c>
      <c r="H139" s="644">
        <f>SUMIF('019'!$C$21:$C$40,B139,'019'!$I$21:$I$40)</f>
        <v>0</v>
      </c>
      <c r="I139" s="644">
        <f>SUM('ketv. 6 '!AF181)</f>
        <v>0</v>
      </c>
      <c r="J139" s="644">
        <f>SUM('ketv. 7 '!AL180)</f>
        <v>0</v>
      </c>
      <c r="K139" s="1296" t="e">
        <f t="shared" si="18"/>
        <v>#DIV/0!</v>
      </c>
      <c r="L139" s="1495">
        <f t="shared" si="19"/>
        <v>0</v>
      </c>
      <c r="M139" s="1531" t="str">
        <f t="shared" si="20"/>
        <v>–</v>
      </c>
      <c r="N139" s="1531" t="str">
        <f t="shared" si="21"/>
        <v>–</v>
      </c>
      <c r="O139" s="1531" t="str">
        <f t="shared" si="22"/>
        <v>–</v>
      </c>
    </row>
    <row r="140" spans="1:15" ht="32.25" thickBot="1">
      <c r="B140" s="1528" t="s">
        <v>1815</v>
      </c>
      <c r="C140" s="1528" t="s">
        <v>1796</v>
      </c>
      <c r="D140" s="1528" t="s">
        <v>1797</v>
      </c>
      <c r="E140" s="1528" t="s">
        <v>1798</v>
      </c>
      <c r="F140" s="614" t="s">
        <v>1802</v>
      </c>
      <c r="K140" s="1261"/>
    </row>
    <row r="141" spans="1:15" ht="15.75" thickBot="1">
      <c r="B141" s="1262" t="s">
        <v>1800</v>
      </c>
      <c r="C141" s="1264">
        <f t="shared" ref="C141:C147" si="25">SUMIF($E$2:$E$139,B141,$G$2:$G$139)</f>
        <v>12242340.839999998</v>
      </c>
      <c r="D141" s="1266">
        <f t="shared" ref="D141:D147" si="26">SUMIF($E$2:$E$139,B141,$H$2:$H$139)</f>
        <v>12096345.870000001</v>
      </c>
      <c r="E141" s="1264">
        <f t="shared" ref="E141:E147" si="27">SUMIF($E$2:$E$139,B141,$I$2:$I$139)</f>
        <v>10703776.779999999</v>
      </c>
      <c r="F141" s="1264">
        <f t="shared" ref="F141:F147" si="28">SUMIF($E$2:$E$139,B141,$J$2:$J$139)</f>
        <v>5729453.1999999983</v>
      </c>
      <c r="K141" s="1261"/>
    </row>
    <row r="142" spans="1:15" ht="15.75" thickBot="1">
      <c r="B142" s="1263" t="s">
        <v>1799</v>
      </c>
      <c r="C142" s="1265">
        <f t="shared" si="25"/>
        <v>6302036.8200000003</v>
      </c>
      <c r="D142" s="1267">
        <f t="shared" si="26"/>
        <v>6153780.21</v>
      </c>
      <c r="E142" s="1265">
        <f t="shared" si="27"/>
        <v>4696116.3</v>
      </c>
      <c r="F142" s="1265">
        <f t="shared" si="28"/>
        <v>1438302.0699999998</v>
      </c>
      <c r="K142" s="1261"/>
    </row>
    <row r="143" spans="1:15" ht="15.75" thickBot="1">
      <c r="B143" s="1262" t="s">
        <v>1444</v>
      </c>
      <c r="C143" s="1264">
        <f t="shared" si="25"/>
        <v>8506445.8300000001</v>
      </c>
      <c r="D143" s="1266">
        <f t="shared" ca="1" si="26"/>
        <v>8346798.9499999983</v>
      </c>
      <c r="E143" s="1264">
        <f t="shared" si="27"/>
        <v>7740401.7499999981</v>
      </c>
      <c r="F143" s="1264">
        <f t="shared" si="28"/>
        <v>2868424.55</v>
      </c>
      <c r="K143" s="1261"/>
    </row>
    <row r="144" spans="1:15" ht="15.75" thickBot="1">
      <c r="B144" s="1262" t="s">
        <v>1801</v>
      </c>
      <c r="C144" s="1265">
        <f t="shared" si="25"/>
        <v>5239731.3</v>
      </c>
      <c r="D144" s="1268">
        <f t="shared" ca="1" si="26"/>
        <v>5107431.47</v>
      </c>
      <c r="E144" s="1265">
        <f t="shared" si="27"/>
        <v>5074545.87</v>
      </c>
      <c r="F144" s="1265">
        <f t="shared" si="28"/>
        <v>2530272.96</v>
      </c>
      <c r="K144" s="1261"/>
    </row>
    <row r="145" spans="2:15" ht="15.75" thickBot="1">
      <c r="B145" s="1262" t="s">
        <v>1459</v>
      </c>
      <c r="C145" s="1264">
        <f t="shared" si="25"/>
        <v>11237433.779999999</v>
      </c>
      <c r="D145" s="1269">
        <f t="shared" si="26"/>
        <v>11101366.939999999</v>
      </c>
      <c r="E145" s="1264">
        <f t="shared" si="27"/>
        <v>10301650.960000001</v>
      </c>
      <c r="F145" s="1264">
        <f t="shared" si="28"/>
        <v>5505346.0799999991</v>
      </c>
      <c r="K145" s="1261"/>
    </row>
    <row r="146" spans="2:15" ht="15.75" thickBot="1">
      <c r="B146" s="1262" t="s">
        <v>185</v>
      </c>
      <c r="C146" s="1264">
        <f t="shared" si="25"/>
        <v>3529797.77</v>
      </c>
      <c r="D146" s="1269">
        <f t="shared" si="26"/>
        <v>3529797.77</v>
      </c>
      <c r="E146" s="1264">
        <f t="shared" si="27"/>
        <v>3529797.77</v>
      </c>
      <c r="F146" s="1264">
        <f t="shared" si="28"/>
        <v>614161.06999999995</v>
      </c>
      <c r="K146" s="1261"/>
    </row>
    <row r="147" spans="2:15" ht="30.75" thickBot="1">
      <c r="B147" s="1262" t="s">
        <v>309</v>
      </c>
      <c r="C147" s="1264">
        <f t="shared" si="25"/>
        <v>434430</v>
      </c>
      <c r="D147" s="1269">
        <f t="shared" si="26"/>
        <v>434430</v>
      </c>
      <c r="E147" s="1264">
        <f t="shared" si="27"/>
        <v>244890.1</v>
      </c>
      <c r="F147" s="1264">
        <f t="shared" si="28"/>
        <v>47727.439999999995</v>
      </c>
      <c r="K147" s="1261"/>
    </row>
    <row r="148" spans="2:15" ht="15.75" thickBot="1">
      <c r="C148" s="799"/>
      <c r="M148" s="799"/>
      <c r="O148" s="1532"/>
    </row>
    <row r="149" spans="2:15" ht="15.75" thickBot="1">
      <c r="B149" s="1262" t="s">
        <v>331</v>
      </c>
      <c r="C149" s="1264">
        <f>SUM(C141:C148)</f>
        <v>47492216.339999996</v>
      </c>
      <c r="D149" s="1269">
        <f ca="1">SUM(D141:D148)</f>
        <v>46769951.210000001</v>
      </c>
      <c r="E149" s="1264">
        <f>SUM(E141:E148)</f>
        <v>42291179.530000001</v>
      </c>
      <c r="F149" s="1264">
        <f>SUM(F141:F148)</f>
        <v>18733687.369999997</v>
      </c>
      <c r="M149" s="799"/>
    </row>
    <row r="150" spans="2:15">
      <c r="M150" s="799"/>
    </row>
    <row r="151" spans="2:15" ht="15.75" thickBot="1"/>
    <row r="152" spans="2:15" ht="63.75" thickBot="1">
      <c r="B152" s="1528" t="s">
        <v>1795</v>
      </c>
      <c r="C152" s="2133" t="s">
        <v>2643</v>
      </c>
      <c r="D152" s="2159"/>
      <c r="E152" s="1528" t="s">
        <v>1796</v>
      </c>
      <c r="F152" s="1528" t="s">
        <v>1797</v>
      </c>
      <c r="G152" s="1528" t="s">
        <v>1798</v>
      </c>
      <c r="H152" s="614" t="s">
        <v>1802</v>
      </c>
      <c r="I152" s="614" t="s">
        <v>1861</v>
      </c>
      <c r="J152" s="614" t="s">
        <v>1862</v>
      </c>
    </row>
    <row r="153" spans="2:15" ht="36" customHeight="1" thickBot="1">
      <c r="B153" s="1262" t="s">
        <v>437</v>
      </c>
      <c r="C153" s="2160" t="s">
        <v>3452</v>
      </c>
      <c r="D153" s="2136"/>
      <c r="E153" s="1264">
        <f t="shared" ref="E153:E176" si="29">SUMIF($C$2:$C$139,B153,$G$2:$G$139)</f>
        <v>3263405</v>
      </c>
      <c r="F153" s="1269">
        <f t="shared" ref="F153:F176" si="30">SUMIF($C$2:$C$139,B153,$H$2:$H$139)</f>
        <v>2773893.8499999996</v>
      </c>
      <c r="G153" s="1264">
        <f t="shared" ref="G153:G176" si="31">SUMIF($C$2:$C$139,B153,$I$2:$I$139)</f>
        <v>3140808.8</v>
      </c>
      <c r="H153" s="1264">
        <f t="shared" ref="H153:H176" si="32">SUMIF($C$2:$C$139,B153,$J$2:$J$139)</f>
        <v>0</v>
      </c>
      <c r="I153" s="1287">
        <f>SUM(H153/F153)</f>
        <v>0</v>
      </c>
      <c r="J153" s="1287">
        <f>SUM(H153/E153)</f>
        <v>0</v>
      </c>
      <c r="O153" s="799"/>
    </row>
    <row r="154" spans="2:15" ht="36" customHeight="1" thickBot="1">
      <c r="B154" s="1295" t="s">
        <v>146</v>
      </c>
      <c r="C154" s="2160" t="s">
        <v>3451</v>
      </c>
      <c r="D154" s="2136"/>
      <c r="E154" s="1264">
        <f t="shared" si="29"/>
        <v>2816450.64</v>
      </c>
      <c r="F154" s="1269">
        <f t="shared" si="30"/>
        <v>2816450.64</v>
      </c>
      <c r="G154" s="1264">
        <f t="shared" si="31"/>
        <v>1929504.6400000001</v>
      </c>
      <c r="H154" s="1264">
        <f t="shared" si="32"/>
        <v>671109.87000000011</v>
      </c>
      <c r="I154" s="1287">
        <f t="shared" ref="I154:I176" si="33">SUM(H154/F154)</f>
        <v>0.2382821344243406</v>
      </c>
      <c r="J154" s="1287">
        <f t="shared" ref="J154:J176" si="34">SUM(H154/E154)</f>
        <v>0.2382821344243406</v>
      </c>
    </row>
    <row r="155" spans="2:15" ht="36" customHeight="1" thickBot="1">
      <c r="B155" s="1295" t="s">
        <v>834</v>
      </c>
      <c r="C155" s="2160" t="s">
        <v>3453</v>
      </c>
      <c r="D155" s="2136"/>
      <c r="E155" s="1264">
        <f t="shared" si="29"/>
        <v>3697299.46</v>
      </c>
      <c r="F155" s="1269">
        <f t="shared" si="30"/>
        <v>3697299.74</v>
      </c>
      <c r="G155" s="1264">
        <f t="shared" si="31"/>
        <v>3412319.92</v>
      </c>
      <c r="H155" s="1264">
        <f t="shared" si="32"/>
        <v>2130095.7300000004</v>
      </c>
      <c r="I155" s="1287">
        <f t="shared" si="33"/>
        <v>0.57612200248606305</v>
      </c>
      <c r="J155" s="1287">
        <f t="shared" si="34"/>
        <v>0.57612204611632956</v>
      </c>
    </row>
    <row r="156" spans="2:15" ht="36" customHeight="1" thickBot="1">
      <c r="B156" s="1295" t="s">
        <v>267</v>
      </c>
      <c r="C156" s="2160" t="s">
        <v>3454</v>
      </c>
      <c r="D156" s="2136"/>
      <c r="E156" s="1264">
        <f t="shared" si="29"/>
        <v>575484.89</v>
      </c>
      <c r="F156" s="1269">
        <f t="shared" ca="1" si="30"/>
        <v>575484.89</v>
      </c>
      <c r="G156" s="1264">
        <f t="shared" si="31"/>
        <v>575484.89</v>
      </c>
      <c r="H156" s="1264">
        <f t="shared" si="32"/>
        <v>460264.44999999995</v>
      </c>
      <c r="I156" s="1287">
        <f t="shared" ca="1" si="33"/>
        <v>0.79978546439333953</v>
      </c>
      <c r="J156" s="1287">
        <f t="shared" si="34"/>
        <v>0.79978546439333953</v>
      </c>
    </row>
    <row r="157" spans="2:15" ht="36" customHeight="1" thickBot="1">
      <c r="B157" s="1295" t="s">
        <v>144</v>
      </c>
      <c r="C157" s="2160" t="s">
        <v>375</v>
      </c>
      <c r="D157" s="2136"/>
      <c r="E157" s="1264">
        <f t="shared" si="29"/>
        <v>8901964.3000000007</v>
      </c>
      <c r="F157" s="1269">
        <f t="shared" si="30"/>
        <v>8901964.3000000007</v>
      </c>
      <c r="G157" s="1264">
        <f t="shared" si="31"/>
        <v>8798245.2400000002</v>
      </c>
      <c r="H157" s="1264">
        <f t="shared" si="32"/>
        <v>4187971.4</v>
      </c>
      <c r="I157" s="1287">
        <f t="shared" si="33"/>
        <v>0.47045475120586583</v>
      </c>
      <c r="J157" s="1287">
        <f t="shared" si="34"/>
        <v>0.47045475120586583</v>
      </c>
    </row>
    <row r="158" spans="2:15" ht="36" customHeight="1" thickBot="1">
      <c r="B158" s="1295" t="s">
        <v>179</v>
      </c>
      <c r="C158" s="2160" t="s">
        <v>650</v>
      </c>
      <c r="D158" s="2136"/>
      <c r="E158" s="1264">
        <f t="shared" si="29"/>
        <v>3392312.19</v>
      </c>
      <c r="F158" s="1269">
        <f t="shared" si="30"/>
        <v>3399493</v>
      </c>
      <c r="G158" s="1264">
        <f t="shared" si="31"/>
        <v>3392312.19</v>
      </c>
      <c r="H158" s="1264">
        <f t="shared" si="32"/>
        <v>1319973.5499999998</v>
      </c>
      <c r="I158" s="1287">
        <f t="shared" si="33"/>
        <v>0.38828541491334145</v>
      </c>
      <c r="J158" s="1287">
        <f t="shared" si="34"/>
        <v>0.38910733330825892</v>
      </c>
    </row>
    <row r="159" spans="2:15" ht="36" customHeight="1" thickBot="1">
      <c r="B159" s="1295" t="s">
        <v>761</v>
      </c>
      <c r="C159" s="2160" t="s">
        <v>133</v>
      </c>
      <c r="D159" s="2136"/>
      <c r="E159" s="1264">
        <f t="shared" si="29"/>
        <v>611420</v>
      </c>
      <c r="F159" s="1269">
        <f t="shared" si="30"/>
        <v>611420</v>
      </c>
      <c r="G159" s="1264">
        <f t="shared" si="31"/>
        <v>421880.1</v>
      </c>
      <c r="H159" s="1264">
        <f t="shared" si="32"/>
        <v>54885.799999999996</v>
      </c>
      <c r="I159" s="1287">
        <f t="shared" si="33"/>
        <v>8.9767753753557292E-2</v>
      </c>
      <c r="J159" s="1287">
        <f t="shared" si="34"/>
        <v>8.9767753753557292E-2</v>
      </c>
    </row>
    <row r="160" spans="2:15" ht="36" customHeight="1" thickBot="1">
      <c r="B160" s="1295" t="s">
        <v>143</v>
      </c>
      <c r="C160" s="2160" t="s">
        <v>254</v>
      </c>
      <c r="D160" s="2136"/>
      <c r="E160" s="1264">
        <f t="shared" si="29"/>
        <v>1198163.7</v>
      </c>
      <c r="F160" s="1269">
        <f t="shared" si="30"/>
        <v>1198163.7</v>
      </c>
      <c r="G160" s="1264">
        <f t="shared" si="31"/>
        <v>1198163.7</v>
      </c>
      <c r="H160" s="1264">
        <f t="shared" si="32"/>
        <v>805549.99</v>
      </c>
      <c r="I160" s="1287">
        <f t="shared" si="33"/>
        <v>0.6723204767428691</v>
      </c>
      <c r="J160" s="1287">
        <f t="shared" si="34"/>
        <v>0.6723204767428691</v>
      </c>
    </row>
    <row r="161" spans="2:10" ht="36" customHeight="1" thickBot="1">
      <c r="B161" s="1295" t="s">
        <v>182</v>
      </c>
      <c r="C161" s="2160" t="s">
        <v>255</v>
      </c>
      <c r="D161" s="2136"/>
      <c r="E161" s="1264">
        <f t="shared" si="29"/>
        <v>1023865.66</v>
      </c>
      <c r="F161" s="1269">
        <f t="shared" si="30"/>
        <v>1030280</v>
      </c>
      <c r="G161" s="1264">
        <f t="shared" si="31"/>
        <v>991724.38</v>
      </c>
      <c r="H161" s="1264">
        <f t="shared" si="32"/>
        <v>50040.62</v>
      </c>
      <c r="I161" s="1287">
        <f t="shared" si="33"/>
        <v>4.8569922739449475E-2</v>
      </c>
      <c r="J161" s="1287">
        <f t="shared" si="34"/>
        <v>4.8874204844412891E-2</v>
      </c>
    </row>
    <row r="162" spans="2:10" ht="36" customHeight="1" thickBot="1">
      <c r="B162" s="1295" t="s">
        <v>135</v>
      </c>
      <c r="C162" s="2160" t="s">
        <v>3455</v>
      </c>
      <c r="D162" s="2136"/>
      <c r="E162" s="1264">
        <f t="shared" si="29"/>
        <v>1263272</v>
      </c>
      <c r="F162" s="1269">
        <f t="shared" si="30"/>
        <v>1263271</v>
      </c>
      <c r="G162" s="1264">
        <f t="shared" si="31"/>
        <v>602984</v>
      </c>
      <c r="H162" s="1264">
        <f t="shared" si="32"/>
        <v>0</v>
      </c>
      <c r="I162" s="1287">
        <f t="shared" si="33"/>
        <v>0</v>
      </c>
      <c r="J162" s="1287">
        <f t="shared" si="34"/>
        <v>0</v>
      </c>
    </row>
    <row r="163" spans="2:10" ht="36" customHeight="1" thickBot="1">
      <c r="B163" s="1295" t="s">
        <v>147</v>
      </c>
      <c r="C163" s="2160" t="s">
        <v>3456</v>
      </c>
      <c r="D163" s="2136"/>
      <c r="E163" s="1264">
        <f t="shared" si="29"/>
        <v>1567659.8</v>
      </c>
      <c r="F163" s="1269">
        <f t="shared" si="30"/>
        <v>1567659.8</v>
      </c>
      <c r="G163" s="1264">
        <f t="shared" si="31"/>
        <v>0</v>
      </c>
      <c r="H163" s="1264">
        <f t="shared" si="32"/>
        <v>0</v>
      </c>
      <c r="I163" s="1287">
        <f t="shared" si="33"/>
        <v>0</v>
      </c>
      <c r="J163" s="1287">
        <f t="shared" si="34"/>
        <v>0</v>
      </c>
    </row>
    <row r="164" spans="2:10" ht="36" customHeight="1" thickBot="1">
      <c r="B164" s="1295" t="s">
        <v>148</v>
      </c>
      <c r="C164" s="2160" t="s">
        <v>3457</v>
      </c>
      <c r="D164" s="2136"/>
      <c r="E164" s="1264">
        <f t="shared" si="29"/>
        <v>415660.69</v>
      </c>
      <c r="F164" s="1269">
        <f t="shared" si="30"/>
        <v>408660.69</v>
      </c>
      <c r="G164" s="1264">
        <f t="shared" si="31"/>
        <v>352037.69</v>
      </c>
      <c r="H164" s="1264">
        <f t="shared" si="32"/>
        <v>303179.06</v>
      </c>
      <c r="I164" s="1287">
        <f t="shared" si="33"/>
        <v>0.74188456932326918</v>
      </c>
      <c r="J164" s="1287">
        <f t="shared" si="34"/>
        <v>0.72939074416683469</v>
      </c>
    </row>
    <row r="165" spans="2:10" ht="36" customHeight="1" thickBot="1">
      <c r="B165" s="1295" t="s">
        <v>141</v>
      </c>
      <c r="C165" s="2160" t="s">
        <v>3458</v>
      </c>
      <c r="D165" s="2136"/>
      <c r="E165" s="1264">
        <f t="shared" si="29"/>
        <v>3035532.7800000003</v>
      </c>
      <c r="F165" s="1269">
        <f t="shared" si="30"/>
        <v>3052807</v>
      </c>
      <c r="G165" s="1264">
        <f t="shared" si="31"/>
        <v>2997067.88</v>
      </c>
      <c r="H165" s="1264">
        <f t="shared" si="32"/>
        <v>2259259.15</v>
      </c>
      <c r="I165" s="1287">
        <f t="shared" si="33"/>
        <v>0.74005960743669674</v>
      </c>
      <c r="J165" s="1287">
        <f t="shared" si="34"/>
        <v>0.74427104358266882</v>
      </c>
    </row>
    <row r="166" spans="2:10" ht="36" customHeight="1" thickBot="1">
      <c r="B166" s="1295" t="s">
        <v>136</v>
      </c>
      <c r="C166" s="2160" t="s">
        <v>376</v>
      </c>
      <c r="D166" s="2136"/>
      <c r="E166" s="1264">
        <f t="shared" si="29"/>
        <v>1142377</v>
      </c>
      <c r="F166" s="1269">
        <f t="shared" si="30"/>
        <v>1142377</v>
      </c>
      <c r="G166" s="1264">
        <f t="shared" si="31"/>
        <v>1142377</v>
      </c>
      <c r="H166" s="1264">
        <f t="shared" si="32"/>
        <v>655262.61</v>
      </c>
      <c r="I166" s="1287">
        <f t="shared" si="33"/>
        <v>0.57359576567105253</v>
      </c>
      <c r="J166" s="1287">
        <f t="shared" si="34"/>
        <v>0.57359576567105253</v>
      </c>
    </row>
    <row r="167" spans="2:10" ht="36" customHeight="1" thickBot="1">
      <c r="B167" s="1295" t="s">
        <v>139</v>
      </c>
      <c r="C167" s="2160" t="s">
        <v>3459</v>
      </c>
      <c r="D167" s="2136"/>
      <c r="E167" s="1264">
        <f t="shared" si="29"/>
        <v>1486007</v>
      </c>
      <c r="F167" s="1269">
        <f t="shared" si="30"/>
        <v>1486008</v>
      </c>
      <c r="G167" s="1264">
        <f t="shared" si="31"/>
        <v>1486007</v>
      </c>
      <c r="H167" s="1264">
        <f t="shared" si="32"/>
        <v>866982.05999999994</v>
      </c>
      <c r="I167" s="1287">
        <f t="shared" si="33"/>
        <v>0.5834302776297301</v>
      </c>
      <c r="J167" s="1287">
        <f t="shared" si="34"/>
        <v>0.58343067024583328</v>
      </c>
    </row>
    <row r="168" spans="2:10" ht="36" customHeight="1" thickBot="1">
      <c r="B168" s="1295" t="s">
        <v>140</v>
      </c>
      <c r="C168" s="2160" t="s">
        <v>260</v>
      </c>
      <c r="D168" s="2136"/>
      <c r="E168" s="1264">
        <f t="shared" si="29"/>
        <v>1138588</v>
      </c>
      <c r="F168" s="1269">
        <f t="shared" si="30"/>
        <v>1138588</v>
      </c>
      <c r="G168" s="1264">
        <f t="shared" si="31"/>
        <v>1138588</v>
      </c>
      <c r="H168" s="1264">
        <f t="shared" si="32"/>
        <v>528474.32000000007</v>
      </c>
      <c r="I168" s="1287">
        <f t="shared" si="33"/>
        <v>0.46414885805928052</v>
      </c>
      <c r="J168" s="1287">
        <f t="shared" si="34"/>
        <v>0.46414885805928052</v>
      </c>
    </row>
    <row r="169" spans="2:10" ht="36" customHeight="1" thickBot="1">
      <c r="B169" s="1295" t="s">
        <v>153</v>
      </c>
      <c r="C169" s="2160" t="s">
        <v>3460</v>
      </c>
      <c r="D169" s="2136"/>
      <c r="E169" s="1264">
        <f t="shared" si="29"/>
        <v>1230277.5299999998</v>
      </c>
      <c r="F169" s="1269">
        <f t="shared" si="30"/>
        <v>1229816.1200000001</v>
      </c>
      <c r="G169" s="1264">
        <f t="shared" si="31"/>
        <v>1223795.02</v>
      </c>
      <c r="H169" s="1264">
        <f t="shared" si="32"/>
        <v>33691.5</v>
      </c>
      <c r="I169" s="1287">
        <f t="shared" si="33"/>
        <v>2.7395558939331512E-2</v>
      </c>
      <c r="J169" s="1287">
        <f t="shared" si="34"/>
        <v>2.7385284359375404E-2</v>
      </c>
    </row>
    <row r="170" spans="2:10" ht="36" customHeight="1" thickBot="1">
      <c r="B170" s="1295" t="s">
        <v>1176</v>
      </c>
      <c r="C170" s="2160" t="s">
        <v>1201</v>
      </c>
      <c r="D170" s="2136"/>
      <c r="E170" s="1264">
        <f t="shared" si="29"/>
        <v>845736.85</v>
      </c>
      <c r="F170" s="1269">
        <f t="shared" si="30"/>
        <v>845736.85</v>
      </c>
      <c r="G170" s="1264">
        <f t="shared" si="31"/>
        <v>845736.85</v>
      </c>
      <c r="H170" s="1264">
        <f t="shared" si="32"/>
        <v>329984.77999999997</v>
      </c>
      <c r="I170" s="1287">
        <f t="shared" si="33"/>
        <v>0.39017429594087094</v>
      </c>
      <c r="J170" s="1287">
        <f t="shared" si="34"/>
        <v>0.39017429594087094</v>
      </c>
    </row>
    <row r="171" spans="2:10" ht="48" customHeight="1" thickBot="1">
      <c r="B171" s="1295" t="s">
        <v>1191</v>
      </c>
      <c r="C171" s="2160" t="s">
        <v>1206</v>
      </c>
      <c r="D171" s="2136"/>
      <c r="E171" s="1264">
        <f t="shared" si="29"/>
        <v>54760.7</v>
      </c>
      <c r="F171" s="1269">
        <f t="shared" si="30"/>
        <v>54760.7</v>
      </c>
      <c r="G171" s="1264">
        <f t="shared" si="31"/>
        <v>54760.7</v>
      </c>
      <c r="H171" s="1264">
        <f t="shared" si="32"/>
        <v>8430.1099999999988</v>
      </c>
      <c r="I171" s="1287">
        <f t="shared" si="33"/>
        <v>0.15394452591000479</v>
      </c>
      <c r="J171" s="1287">
        <f t="shared" si="34"/>
        <v>0.15394452591000479</v>
      </c>
    </row>
    <row r="172" spans="2:10" ht="36" customHeight="1" thickBot="1">
      <c r="B172" s="1295" t="s">
        <v>2259</v>
      </c>
      <c r="C172" s="2160" t="s">
        <v>3017</v>
      </c>
      <c r="D172" s="2136"/>
      <c r="E172" s="1264">
        <f t="shared" si="29"/>
        <v>885761.15</v>
      </c>
      <c r="F172" s="1269">
        <f t="shared" si="30"/>
        <v>885761.15</v>
      </c>
      <c r="G172" s="1264">
        <f t="shared" si="31"/>
        <v>885761.15</v>
      </c>
      <c r="H172" s="1264">
        <f t="shared" si="32"/>
        <v>709549.91999999993</v>
      </c>
      <c r="I172" s="1287">
        <f t="shared" si="33"/>
        <v>0.80106236314383383</v>
      </c>
      <c r="J172" s="1287">
        <f t="shared" si="34"/>
        <v>0.80106236314383383</v>
      </c>
    </row>
    <row r="173" spans="2:10" ht="36" customHeight="1" thickBot="1">
      <c r="B173" s="1295" t="s">
        <v>2293</v>
      </c>
      <c r="C173" s="2160" t="s">
        <v>263</v>
      </c>
      <c r="D173" s="2136"/>
      <c r="E173" s="1264">
        <f t="shared" si="29"/>
        <v>2520973.6399999997</v>
      </c>
      <c r="F173" s="1269">
        <f t="shared" si="30"/>
        <v>2520973.6399999997</v>
      </c>
      <c r="G173" s="1264">
        <f t="shared" si="31"/>
        <v>2520973.6399999997</v>
      </c>
      <c r="H173" s="1264">
        <f t="shared" si="32"/>
        <v>1948752.0499999998</v>
      </c>
      <c r="I173" s="1287">
        <f t="shared" si="33"/>
        <v>0.77301563930672434</v>
      </c>
      <c r="J173" s="1287">
        <f t="shared" si="34"/>
        <v>0.77301563930672434</v>
      </c>
    </row>
    <row r="174" spans="2:10" ht="36" customHeight="1" thickBot="1">
      <c r="B174" s="1295" t="s">
        <v>1122</v>
      </c>
      <c r="C174" s="2160" t="s">
        <v>3281</v>
      </c>
      <c r="D174" s="2136"/>
      <c r="E174" s="1264">
        <f t="shared" si="29"/>
        <v>940807.84000000008</v>
      </c>
      <c r="F174" s="1269">
        <f t="shared" si="30"/>
        <v>770807.84000000008</v>
      </c>
      <c r="G174" s="1264">
        <f t="shared" si="31"/>
        <v>770807.84000000008</v>
      </c>
      <c r="H174" s="1264">
        <f t="shared" si="32"/>
        <v>219169.43</v>
      </c>
      <c r="I174" s="1287">
        <f t="shared" si="33"/>
        <v>0.28433731291575859</v>
      </c>
      <c r="J174" s="1287">
        <f t="shared" si="34"/>
        <v>0.23295876233344312</v>
      </c>
    </row>
    <row r="175" spans="2:10" ht="36" customHeight="1" thickBot="1">
      <c r="B175" s="1295" t="s">
        <v>190</v>
      </c>
      <c r="C175" s="2160" t="s">
        <v>265</v>
      </c>
      <c r="D175" s="2136"/>
      <c r="E175" s="1264">
        <f t="shared" si="29"/>
        <v>3352807.77</v>
      </c>
      <c r="F175" s="1269">
        <f t="shared" si="30"/>
        <v>3352807.77</v>
      </c>
      <c r="G175" s="1264">
        <f t="shared" si="31"/>
        <v>3352807.77</v>
      </c>
      <c r="H175" s="1264">
        <f t="shared" si="32"/>
        <v>607002.71</v>
      </c>
      <c r="I175" s="1287">
        <f t="shared" si="33"/>
        <v>0.18104309928868959</v>
      </c>
      <c r="J175" s="1287">
        <f t="shared" si="34"/>
        <v>0.18104309928868959</v>
      </c>
    </row>
    <row r="176" spans="2:10" ht="36" customHeight="1" thickBot="1">
      <c r="B176" s="1295" t="s">
        <v>192</v>
      </c>
      <c r="C176" s="2160" t="s">
        <v>266</v>
      </c>
      <c r="D176" s="2136"/>
      <c r="E176" s="1264">
        <f t="shared" si="29"/>
        <v>2131627.75</v>
      </c>
      <c r="F176" s="1269">
        <f t="shared" si="30"/>
        <v>2045465.53</v>
      </c>
      <c r="G176" s="1264">
        <f t="shared" si="31"/>
        <v>1057031.1300000001</v>
      </c>
      <c r="H176" s="1264">
        <f t="shared" si="32"/>
        <v>584058.26</v>
      </c>
      <c r="I176" s="1287">
        <f t="shared" si="33"/>
        <v>0.28553806037494067</v>
      </c>
      <c r="J176" s="1287">
        <f t="shared" si="34"/>
        <v>0.27399636733008381</v>
      </c>
    </row>
    <row r="191" ht="30.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sheetData>
  <autoFilter ref="A1:O149" xr:uid="{00000000-0009-0000-0000-000020000000}"/>
  <mergeCells count="25">
    <mergeCell ref="C176:D176"/>
    <mergeCell ref="C153:D153"/>
    <mergeCell ref="C166:D166"/>
    <mergeCell ref="C167:D167"/>
    <mergeCell ref="C168:D168"/>
    <mergeCell ref="C169:D169"/>
    <mergeCell ref="C170:D170"/>
    <mergeCell ref="C171:D171"/>
    <mergeCell ref="C160:D160"/>
    <mergeCell ref="C161:D161"/>
    <mergeCell ref="C162:D162"/>
    <mergeCell ref="C163:D163"/>
    <mergeCell ref="C164:D164"/>
    <mergeCell ref="C165:D165"/>
    <mergeCell ref="C154:D154"/>
    <mergeCell ref="C155:D155"/>
    <mergeCell ref="C152:D152"/>
    <mergeCell ref="C172:D172"/>
    <mergeCell ref="C173:D173"/>
    <mergeCell ref="C174:D174"/>
    <mergeCell ref="C175:D175"/>
    <mergeCell ref="C156:D156"/>
    <mergeCell ref="C157:D157"/>
    <mergeCell ref="C158:D158"/>
    <mergeCell ref="C159:D159"/>
  </mergeCells>
  <pageMargins left="0.7" right="0.7" top="0.75" bottom="0.75" header="0.3" footer="0.3"/>
  <pageSetup paperSize="8"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Y140"/>
  <sheetViews>
    <sheetView workbookViewId="0">
      <pane ySplit="2205" topLeftCell="A28" activePane="bottomLeft"/>
      <selection activeCell="D1" sqref="D1"/>
      <selection pane="bottomLeft" activeCell="X4" sqref="X4:X140"/>
    </sheetView>
  </sheetViews>
  <sheetFormatPr defaultColWidth="9.140625" defaultRowHeight="15"/>
  <cols>
    <col min="1" max="1" width="6" customWidth="1"/>
    <col min="2" max="2" width="22" customWidth="1"/>
    <col min="3" max="3" width="18.140625" customWidth="1"/>
    <col min="4" max="4" width="22.7109375" customWidth="1"/>
    <col min="5" max="5" width="26.85546875" hidden="1" customWidth="1"/>
    <col min="6" max="6" width="6.7109375" customWidth="1"/>
    <col min="7" max="25" width="11.7109375" customWidth="1"/>
  </cols>
  <sheetData>
    <row r="1" spans="1:25" ht="15.75" thickBot="1"/>
    <row r="2" spans="1:25" ht="79.5" thickBot="1">
      <c r="A2" s="1528" t="s">
        <v>1045</v>
      </c>
      <c r="B2" s="1528" t="s">
        <v>1794</v>
      </c>
      <c r="C2" s="1528" t="s">
        <v>1795</v>
      </c>
      <c r="D2" s="1528" t="s">
        <v>1772</v>
      </c>
      <c r="E2" s="1528" t="s">
        <v>1815</v>
      </c>
      <c r="F2" s="614" t="s">
        <v>167</v>
      </c>
      <c r="G2" s="1528" t="s">
        <v>4196</v>
      </c>
      <c r="H2" s="1601" t="s">
        <v>4252</v>
      </c>
      <c r="I2" s="1603" t="s">
        <v>4253</v>
      </c>
      <c r="J2" s="1528" t="s">
        <v>4197</v>
      </c>
      <c r="K2" s="1601" t="s">
        <v>4259</v>
      </c>
      <c r="L2" s="1603" t="s">
        <v>4254</v>
      </c>
      <c r="M2" s="614" t="s">
        <v>4198</v>
      </c>
      <c r="N2" s="1601" t="s">
        <v>4260</v>
      </c>
      <c r="O2" s="1603" t="s">
        <v>4255</v>
      </c>
      <c r="P2" s="614" t="s">
        <v>4200</v>
      </c>
      <c r="Q2" s="1601" t="s">
        <v>4261</v>
      </c>
      <c r="R2" s="1603" t="s">
        <v>4256</v>
      </c>
      <c r="S2" s="614" t="s">
        <v>4201</v>
      </c>
      <c r="T2" s="1601" t="s">
        <v>4262</v>
      </c>
      <c r="U2" s="1603" t="s">
        <v>4257</v>
      </c>
      <c r="V2" s="614" t="s">
        <v>4202</v>
      </c>
      <c r="W2" s="1601" t="s">
        <v>4263</v>
      </c>
      <c r="X2" s="1603" t="s">
        <v>4258</v>
      </c>
      <c r="Y2" s="1605" t="s">
        <v>4212</v>
      </c>
    </row>
    <row r="3" spans="1:25" ht="48.75" thickBot="1">
      <c r="A3" s="376">
        <v>1</v>
      </c>
      <c r="B3" s="376" t="str">
        <f>'Sąrašų palyginimas su sutartimi'!B3</f>
        <v xml:space="preserve">Druskininkų savivaldybės Viečiūnų seniūnijos Ilgio ir Raigardo seniūnaitijų kelių būklės gerinimas  </v>
      </c>
      <c r="C3" s="376" t="str">
        <f>'Sąrašų palyginimas su sutartimi'!C3</f>
        <v xml:space="preserve">Pagrindinės paslaugos ir kaimų atnaujinimas kaimo vietovėse </v>
      </c>
      <c r="D3" s="376" t="str">
        <f>'Sąrašų palyginimas su sutartimi'!D3</f>
        <v xml:space="preserve">Druskininkų savivaldybės administracija  </v>
      </c>
      <c r="E3" s="376" t="str">
        <f>'Sąrašų palyginimas su sutartimi'!E3</f>
        <v>Druskininkų sav.</v>
      </c>
      <c r="F3" s="376" t="str">
        <f>'Sąrašų palyginimas su sutartimi'!F3</f>
        <v>-</v>
      </c>
      <c r="G3" s="1600">
        <f>'Sąrašų palyginimas su sutartimi'!G3</f>
        <v>250766</v>
      </c>
      <c r="H3" s="1602">
        <f ca="1">SUM(K3+N3+Q3+T3+W3)</f>
        <v>250766</v>
      </c>
      <c r="I3" s="1604">
        <f ca="1">IF(G3&gt;0,G3-H3,"–")</f>
        <v>0</v>
      </c>
      <c r="J3" s="1600">
        <f>'Sąrašų palyginimas su sutartimi'!J3</f>
        <v>159115</v>
      </c>
      <c r="K3" s="1602">
        <f>'ES lėšos'!G2</f>
        <v>159115</v>
      </c>
      <c r="L3" s="1604">
        <f>IF(J3&gt;0,J3-K3,"–")</f>
        <v>0</v>
      </c>
      <c r="M3" s="1600">
        <f>'Sąrašų palyginimas su sutartimi'!M3</f>
        <v>0</v>
      </c>
      <c r="N3" s="1602">
        <f ca="1">SUM('3 pr-2'!R10)</f>
        <v>0</v>
      </c>
      <c r="O3" s="1604" t="str">
        <f>IF(M3&gt;0,M3-N3,"–")</f>
        <v>–</v>
      </c>
      <c r="P3" s="1600">
        <f>'Sąrašų palyginimas su sutartimi'!P3</f>
        <v>91651</v>
      </c>
      <c r="Q3" s="1602">
        <f>SUM('3 pr-2'!O10)</f>
        <v>91651</v>
      </c>
      <c r="R3" s="1604">
        <f>IF(P3&gt;0,P3-Q3,"–")</f>
        <v>0</v>
      </c>
      <c r="S3" s="1600">
        <f>'Sąrašų palyginimas su sutartimi'!S3</f>
        <v>0</v>
      </c>
      <c r="T3" s="1602">
        <f>SUM('3 pr-2'!U10)</f>
        <v>0</v>
      </c>
      <c r="U3" s="1604" t="str">
        <f>IF(S3&gt;0,S3-T3,"–")</f>
        <v>–</v>
      </c>
      <c r="V3" s="1600">
        <f>'Sąrašų palyginimas su sutartimi'!V3</f>
        <v>0</v>
      </c>
      <c r="W3" s="1602">
        <f>SUM('3 pr-2'!X10)</f>
        <v>0</v>
      </c>
      <c r="X3" s="1604" t="str">
        <f>IF(V3&gt;0,V3-W3,"–")</f>
        <v>–</v>
      </c>
      <c r="Y3" s="1605" t="str">
        <f>'Sąrašų palyginimas su sutartimi'!Y3</f>
        <v>–</v>
      </c>
    </row>
    <row r="4" spans="1:25" ht="48.75" thickBot="1">
      <c r="A4" s="376">
        <f>ROW(A3)</f>
        <v>3</v>
      </c>
      <c r="B4" s="376" t="str">
        <f>'Sąrašų palyginimas su sutartimi'!B4</f>
        <v>Druskininkų savivaldybės Viečiūnų seniūnijos Ratnyčėlės seniūnaitijos kelių būklės gerinimas</v>
      </c>
      <c r="C4" s="376" t="str">
        <f>'Sąrašų palyginimas su sutartimi'!C4</f>
        <v xml:space="preserve">Pagrindinės paslaugos ir kaimų atnaujinimas kaimo vietovėse </v>
      </c>
      <c r="D4" s="376" t="str">
        <f>'Sąrašų palyginimas su sutartimi'!D4</f>
        <v xml:space="preserve">Druskininkų savivaldybės administracija  </v>
      </c>
      <c r="E4" s="376" t="str">
        <f>'Sąrašų palyginimas su sutartimi'!E4</f>
        <v>Druskininkų sav.</v>
      </c>
      <c r="F4" s="376" t="str">
        <f>'Sąrašų palyginimas su sutartimi'!F4</f>
        <v>-</v>
      </c>
      <c r="G4" s="1600">
        <f>'Sąrašų palyginimas su sutartimi'!G4</f>
        <v>188039</v>
      </c>
      <c r="H4" s="1602">
        <f t="shared" ref="H4:H67" ca="1" si="0">SUM(K4+N4+Q4+T4+W4)</f>
        <v>188039</v>
      </c>
      <c r="I4" s="1604">
        <f t="shared" ref="I4:I67" ca="1" si="1">IF(G4&gt;0,G4-H4,"–")</f>
        <v>0</v>
      </c>
      <c r="J4" s="1600">
        <f>'Sąrašų palyginimas su sutartimi'!J4</f>
        <v>121071</v>
      </c>
      <c r="K4" s="1602">
        <f>'ES lėšos'!G3</f>
        <v>121071</v>
      </c>
      <c r="L4" s="1604">
        <f t="shared" ref="L4:L67" si="2">IF(J4&gt;0,J4-K4,"–")</f>
        <v>0</v>
      </c>
      <c r="M4" s="1600">
        <f>'Sąrašų palyginimas su sutartimi'!M4</f>
        <v>0</v>
      </c>
      <c r="N4" s="1602">
        <f ca="1">SUM('3 pr-2'!R11)</f>
        <v>0</v>
      </c>
      <c r="O4" s="1604" t="str">
        <f t="shared" ref="O4:O67" si="3">IF(M4&gt;0,M4-N4,"–")</f>
        <v>–</v>
      </c>
      <c r="P4" s="1600">
        <f>'Sąrašų palyginimas su sutartimi'!P4</f>
        <v>66968</v>
      </c>
      <c r="Q4" s="1602">
        <f>SUM('3 pr-2'!O11)</f>
        <v>66968</v>
      </c>
      <c r="R4" s="1604">
        <f t="shared" ref="R4:R67" si="4">IF(P4&gt;0,P4-Q4,"–")</f>
        <v>0</v>
      </c>
      <c r="S4" s="1600">
        <f>'Sąrašų palyginimas su sutartimi'!S4</f>
        <v>0</v>
      </c>
      <c r="T4" s="1602">
        <f>SUM('3 pr-2'!U11)</f>
        <v>0</v>
      </c>
      <c r="U4" s="1604" t="str">
        <f t="shared" ref="U4:U67" si="5">IF(S4&gt;0,S4-T4,"–")</f>
        <v>–</v>
      </c>
      <c r="V4" s="1600">
        <f>'Sąrašų palyginimas su sutartimi'!V4</f>
        <v>0</v>
      </c>
      <c r="W4" s="1602">
        <f>SUM('3 pr-2'!X11)</f>
        <v>0</v>
      </c>
      <c r="X4" s="1604" t="str">
        <f t="shared" ref="X4:X67" si="6">IF(V4&gt;0,V4-W4,"–")</f>
        <v>–</v>
      </c>
      <c r="Y4" s="1605" t="str">
        <f>'Sąrašų palyginimas su sutartimi'!Y4</f>
        <v>–</v>
      </c>
    </row>
    <row r="5" spans="1:25" ht="48.75" thickBot="1">
      <c r="A5" s="376">
        <f t="shared" ref="A5:A68" si="7">ROW(A4)</f>
        <v>4</v>
      </c>
      <c r="B5" s="376" t="str">
        <f>'Sąrašų palyginimas su sutartimi'!B5</f>
        <v>Druskininkų savivaldybės Leipalingio seniūnijos Klonio seniūnaitijos kelių būklės gerinimas</v>
      </c>
      <c r="C5" s="376" t="str">
        <f>'Sąrašų palyginimas su sutartimi'!C5</f>
        <v xml:space="preserve">Pagrindinės paslaugos ir kaimų atnaujinimas kaimo vietovėse </v>
      </c>
      <c r="D5" s="376" t="str">
        <f>'Sąrašų palyginimas su sutartimi'!D5</f>
        <v xml:space="preserve">Druskininkų savivaldybės administracija  </v>
      </c>
      <c r="E5" s="376" t="str">
        <f>'Sąrašų palyginimas su sutartimi'!E5</f>
        <v>Druskininkų sav.</v>
      </c>
      <c r="F5" s="376" t="str">
        <f>'Sąrašų palyginimas su sutartimi'!F5</f>
        <v>-</v>
      </c>
      <c r="G5" s="1600">
        <f>'Sąrašų palyginimas su sutartimi'!G5</f>
        <v>222319</v>
      </c>
      <c r="H5" s="1602">
        <f t="shared" ca="1" si="0"/>
        <v>222319</v>
      </c>
      <c r="I5" s="1604">
        <f t="shared" ca="1" si="1"/>
        <v>0</v>
      </c>
      <c r="J5" s="1600">
        <f>'Sąrašų palyginimas su sutartimi'!J5</f>
        <v>154446</v>
      </c>
      <c r="K5" s="1602">
        <f>'ES lėšos'!G4</f>
        <v>154446</v>
      </c>
      <c r="L5" s="1604">
        <f t="shared" si="2"/>
        <v>0</v>
      </c>
      <c r="M5" s="1600">
        <f>'Sąrašų palyginimas su sutartimi'!M5</f>
        <v>0</v>
      </c>
      <c r="N5" s="1602">
        <f ca="1">SUM('3 pr-2'!R12)</f>
        <v>0</v>
      </c>
      <c r="O5" s="1604" t="str">
        <f t="shared" si="3"/>
        <v>–</v>
      </c>
      <c r="P5" s="1600">
        <f>'Sąrašų palyginimas su sutartimi'!P5</f>
        <v>67873</v>
      </c>
      <c r="Q5" s="1602">
        <f>SUM('3 pr-2'!O12)</f>
        <v>67873</v>
      </c>
      <c r="R5" s="1604">
        <f t="shared" si="4"/>
        <v>0</v>
      </c>
      <c r="S5" s="1600">
        <f>'Sąrašų palyginimas su sutartimi'!S5</f>
        <v>0</v>
      </c>
      <c r="T5" s="1602">
        <f>SUM('3 pr-2'!U12)</f>
        <v>0</v>
      </c>
      <c r="U5" s="1604" t="str">
        <f t="shared" si="5"/>
        <v>–</v>
      </c>
      <c r="V5" s="1600">
        <f>'Sąrašų palyginimas su sutartimi'!V5</f>
        <v>0</v>
      </c>
      <c r="W5" s="1602">
        <f>SUM('3 pr-2'!X12)</f>
        <v>0</v>
      </c>
      <c r="X5" s="1604" t="str">
        <f t="shared" si="6"/>
        <v>–</v>
      </c>
      <c r="Y5" s="1605" t="str">
        <f>'Sąrašų palyginimas su sutartimi'!Y5</f>
        <v>–</v>
      </c>
    </row>
    <row r="6" spans="1:25" ht="48.75" thickBot="1">
      <c r="A6" s="376">
        <f t="shared" si="7"/>
        <v>5</v>
      </c>
      <c r="B6" s="376" t="str">
        <f>'Sąrašų palyginimas su sutartimi'!B6</f>
        <v>Rudaminos laisvalaikio salės pritaikymas bendruomenės poreikiams ir liaudies amatų plėtrai</v>
      </c>
      <c r="C6" s="376" t="str">
        <f>'Sąrašų palyginimas su sutartimi'!C6</f>
        <v xml:space="preserve">Pagrindinės paslaugos ir kaimų atnaujinimas kaimo vietovėse </v>
      </c>
      <c r="D6" s="376" t="str">
        <f>'Sąrašų palyginimas su sutartimi'!D6</f>
        <v>Viešoji įstaiga Lazdijų kultūros centras</v>
      </c>
      <c r="E6" s="376" t="str">
        <f>'Sąrašų palyginimas su sutartimi'!E6</f>
        <v>Lazdijų r. sav.</v>
      </c>
      <c r="F6" s="376" t="str">
        <f>'Sąrašų palyginimas su sutartimi'!F6</f>
        <v>-</v>
      </c>
      <c r="G6" s="1600">
        <f>'Sąrašų palyginimas su sutartimi'!G6</f>
        <v>123160</v>
      </c>
      <c r="H6" s="1602">
        <f t="shared" ca="1" si="0"/>
        <v>123160</v>
      </c>
      <c r="I6" s="1604">
        <f t="shared" ca="1" si="1"/>
        <v>0</v>
      </c>
      <c r="J6" s="1600">
        <f>'Sąrašų palyginimas su sutartimi'!J6</f>
        <v>98528</v>
      </c>
      <c r="K6" s="1602">
        <f>'ES lėšos'!G5</f>
        <v>98528</v>
      </c>
      <c r="L6" s="1604">
        <f t="shared" si="2"/>
        <v>0</v>
      </c>
      <c r="M6" s="1600">
        <f>'Sąrašų palyginimas su sutartimi'!M6</f>
        <v>0</v>
      </c>
      <c r="N6" s="1602">
        <f ca="1">SUM('3 pr-2'!R13)</f>
        <v>0</v>
      </c>
      <c r="O6" s="1604" t="str">
        <f t="shared" si="3"/>
        <v>–</v>
      </c>
      <c r="P6" s="1600">
        <f>'Sąrašų palyginimas su sutartimi'!P6</f>
        <v>24632</v>
      </c>
      <c r="Q6" s="1602">
        <f>SUM('3 pr-2'!O13)</f>
        <v>24632</v>
      </c>
      <c r="R6" s="1604">
        <f t="shared" si="4"/>
        <v>0</v>
      </c>
      <c r="S6" s="1600">
        <f>'Sąrašų palyginimas su sutartimi'!S6</f>
        <v>0</v>
      </c>
      <c r="T6" s="1602">
        <f>SUM('3 pr-2'!U13)</f>
        <v>0</v>
      </c>
      <c r="U6" s="1604" t="str">
        <f t="shared" si="5"/>
        <v>–</v>
      </c>
      <c r="V6" s="1600">
        <f>'Sąrašų palyginimas su sutartimi'!V6</f>
        <v>0</v>
      </c>
      <c r="W6" s="1602">
        <f>SUM('3 pr-2'!X13)</f>
        <v>0</v>
      </c>
      <c r="X6" s="1604" t="str">
        <f t="shared" si="6"/>
        <v>–</v>
      </c>
      <c r="Y6" s="1605" t="str">
        <f>'Sąrašų palyginimas su sutartimi'!Y6</f>
        <v>–</v>
      </c>
    </row>
    <row r="7" spans="1:25" ht="48.75" thickBot="1">
      <c r="A7" s="376">
        <f t="shared" si="7"/>
        <v>6</v>
      </c>
      <c r="B7" s="376" t="str">
        <f>'Sąrašų palyginimas su sutartimi'!B7</f>
        <v>Druskininkų savivaldybės Leipalingio seniūnijos Bilso seniūnaitijos kelių būklės gerinimas</v>
      </c>
      <c r="C7" s="376" t="str">
        <f>'Sąrašų palyginimas su sutartimi'!C7</f>
        <v xml:space="preserve">Pagrindinės paslaugos ir kaimų atnaujinimas kaimo vietovėse </v>
      </c>
      <c r="D7" s="376" t="str">
        <f>'Sąrašų palyginimas su sutartimi'!D7</f>
        <v xml:space="preserve">Druskininkų savivaldybės administracija  </v>
      </c>
      <c r="E7" s="376" t="str">
        <f>'Sąrašų palyginimas su sutartimi'!E7</f>
        <v>Druskininkų sav.</v>
      </c>
      <c r="F7" s="376" t="str">
        <f>'Sąrašų palyginimas su sutartimi'!F7</f>
        <v>-</v>
      </c>
      <c r="G7" s="1600">
        <f>'Sąrašų palyginimas su sutartimi'!G7</f>
        <v>265076</v>
      </c>
      <c r="H7" s="1602">
        <f t="shared" ca="1" si="0"/>
        <v>265076</v>
      </c>
      <c r="I7" s="1604">
        <f t="shared" ca="1" si="1"/>
        <v>0</v>
      </c>
      <c r="J7" s="1600">
        <f>'Sąrašų palyginimas su sutartimi'!J7</f>
        <v>128044</v>
      </c>
      <c r="K7" s="1602">
        <f>'ES lėšos'!G6</f>
        <v>128044</v>
      </c>
      <c r="L7" s="1604">
        <f t="shared" si="2"/>
        <v>0</v>
      </c>
      <c r="M7" s="1600">
        <f>'Sąrašų palyginimas su sutartimi'!M7</f>
        <v>0</v>
      </c>
      <c r="N7" s="1602">
        <f ca="1">SUM('3 pr-2'!R14)</f>
        <v>0</v>
      </c>
      <c r="O7" s="1604" t="str">
        <f t="shared" si="3"/>
        <v>–</v>
      </c>
      <c r="P7" s="1600">
        <f>'Sąrašų palyginimas su sutartimi'!P7</f>
        <v>137032</v>
      </c>
      <c r="Q7" s="1602">
        <f>SUM('3 pr-2'!O14)</f>
        <v>137032</v>
      </c>
      <c r="R7" s="1604">
        <f t="shared" si="4"/>
        <v>0</v>
      </c>
      <c r="S7" s="1600">
        <f>'Sąrašų palyginimas su sutartimi'!S7</f>
        <v>0</v>
      </c>
      <c r="T7" s="1602">
        <f>SUM('3 pr-2'!U14)</f>
        <v>0</v>
      </c>
      <c r="U7" s="1604" t="str">
        <f t="shared" si="5"/>
        <v>–</v>
      </c>
      <c r="V7" s="1600">
        <f>'Sąrašų palyginimas su sutartimi'!V7</f>
        <v>0</v>
      </c>
      <c r="W7" s="1602">
        <f>SUM('3 pr-2'!X14)</f>
        <v>0</v>
      </c>
      <c r="X7" s="1604" t="str">
        <f t="shared" si="6"/>
        <v>–</v>
      </c>
      <c r="Y7" s="1605" t="str">
        <f>'Sąrašų palyginimas su sutartimi'!Y7</f>
        <v>–</v>
      </c>
    </row>
    <row r="8" spans="1:25" ht="36.75" thickBot="1">
      <c r="A8" s="376">
        <f t="shared" si="7"/>
        <v>7</v>
      </c>
      <c r="B8" s="376" t="str">
        <f>'Sąrašų palyginimas su sutartimi'!B8</f>
        <v>Lazdijų rajono kaimų patrauklumo didinimas atnaujinant bibliotekas</v>
      </c>
      <c r="C8" s="376" t="str">
        <f>'Sąrašų palyginimas su sutartimi'!C8</f>
        <v xml:space="preserve">Pagrindinės paslaugos ir kaimų atnaujinimas kaimo vietovėse </v>
      </c>
      <c r="D8" s="376" t="str">
        <f>'Sąrašų palyginimas su sutartimi'!D8</f>
        <v xml:space="preserve">Biudžetinė įstaiga Lazdijų rajono savivaldybės viešoji biblioteka </v>
      </c>
      <c r="E8" s="376" t="str">
        <f>'Sąrašų palyginimas su sutartimi'!E8</f>
        <v>Lazdijų r. sav.</v>
      </c>
      <c r="F8" s="376" t="str">
        <f>'Sąrašų palyginimas su sutartimi'!F8</f>
        <v>-</v>
      </c>
      <c r="G8" s="1600">
        <f>'Sąrašų palyginimas su sutartimi'!G8</f>
        <v>200999</v>
      </c>
      <c r="H8" s="1602">
        <f t="shared" ca="1" si="0"/>
        <v>200999</v>
      </c>
      <c r="I8" s="1604">
        <f t="shared" ca="1" si="1"/>
        <v>0</v>
      </c>
      <c r="J8" s="1600">
        <f>'Sąrašų palyginimas su sutartimi'!J8</f>
        <v>159928</v>
      </c>
      <c r="K8" s="1602">
        <f>'ES lėšos'!G7</f>
        <v>159928</v>
      </c>
      <c r="L8" s="1604">
        <f t="shared" si="2"/>
        <v>0</v>
      </c>
      <c r="M8" s="1600">
        <f>'Sąrašų palyginimas su sutartimi'!M8</f>
        <v>0</v>
      </c>
      <c r="N8" s="1602">
        <f ca="1">SUM('3 pr-2'!R15)</f>
        <v>0</v>
      </c>
      <c r="O8" s="1604" t="str">
        <f t="shared" si="3"/>
        <v>–</v>
      </c>
      <c r="P8" s="1600">
        <f>'Sąrašų palyginimas su sutartimi'!P8</f>
        <v>41071</v>
      </c>
      <c r="Q8" s="1602">
        <f>SUM('3 pr-2'!O15)</f>
        <v>41071</v>
      </c>
      <c r="R8" s="1604">
        <f t="shared" si="4"/>
        <v>0</v>
      </c>
      <c r="S8" s="1600">
        <f>'Sąrašų palyginimas su sutartimi'!S8</f>
        <v>0</v>
      </c>
      <c r="T8" s="1602">
        <f>SUM('3 pr-2'!U15)</f>
        <v>0</v>
      </c>
      <c r="U8" s="1604" t="str">
        <f t="shared" si="5"/>
        <v>–</v>
      </c>
      <c r="V8" s="1600">
        <f>'Sąrašų palyginimas su sutartimi'!V8</f>
        <v>0</v>
      </c>
      <c r="W8" s="1602">
        <f>SUM('3 pr-2'!X15)</f>
        <v>0</v>
      </c>
      <c r="X8" s="1604" t="str">
        <f t="shared" si="6"/>
        <v>–</v>
      </c>
      <c r="Y8" s="1605" t="str">
        <f>'Sąrašų palyginimas su sutartimi'!Y8</f>
        <v>–</v>
      </c>
    </row>
    <row r="9" spans="1:25" ht="48.75" thickBot="1">
      <c r="A9" s="376">
        <f t="shared" si="7"/>
        <v>8</v>
      </c>
      <c r="B9" s="376" t="str">
        <f>'Sąrašų palyginimas su sutartimi'!B9</f>
        <v>Alytaus rajono Miroslavo kaimo multifunkcinės sporto aikštės įrengimas ir gatvių bei šaligatvių rekonstrukcija</v>
      </c>
      <c r="C9" s="376" t="str">
        <f>'Sąrašų palyginimas su sutartimi'!C9</f>
        <v xml:space="preserve">Pagrindinės paslaugos ir kaimų atnaujinimas kaimo vietovėse </v>
      </c>
      <c r="D9" s="376" t="str">
        <f>'Sąrašų palyginimas su sutartimi'!D9</f>
        <v>Alytaus rajono savivaldybės administracija</v>
      </c>
      <c r="E9" s="376" t="str">
        <f>'Sąrašų palyginimas su sutartimi'!E9</f>
        <v>Alytaus r. sav.</v>
      </c>
      <c r="F9" s="376" t="str">
        <f>'Sąrašų palyginimas su sutartimi'!F9</f>
        <v>-</v>
      </c>
      <c r="G9" s="1600">
        <f>'Sąrašų palyginimas su sutartimi'!G9</f>
        <v>252211.6</v>
      </c>
      <c r="H9" s="1602">
        <f t="shared" ca="1" si="0"/>
        <v>252211.6</v>
      </c>
      <c r="I9" s="1604">
        <f t="shared" ca="1" si="1"/>
        <v>0</v>
      </c>
      <c r="J9" s="1600">
        <f>'Sąrašų palyginimas su sutartimi'!J9</f>
        <v>200000</v>
      </c>
      <c r="K9" s="1602">
        <f>'ES lėšos'!G8</f>
        <v>200000</v>
      </c>
      <c r="L9" s="1604">
        <f t="shared" si="2"/>
        <v>0</v>
      </c>
      <c r="M9" s="1600">
        <f>'Sąrašų palyginimas su sutartimi'!M9</f>
        <v>0</v>
      </c>
      <c r="N9" s="1602">
        <f ca="1">SUM('3 pr-2'!R16)</f>
        <v>0</v>
      </c>
      <c r="O9" s="1604" t="str">
        <f t="shared" si="3"/>
        <v>–</v>
      </c>
      <c r="P9" s="1600">
        <f>'Sąrašų palyginimas su sutartimi'!P9</f>
        <v>52211.6</v>
      </c>
      <c r="Q9" s="1602">
        <f>SUM('3 pr-2'!O16)</f>
        <v>52211.6</v>
      </c>
      <c r="R9" s="1604">
        <f t="shared" si="4"/>
        <v>0</v>
      </c>
      <c r="S9" s="1600">
        <f>'Sąrašų palyginimas su sutartimi'!S9</f>
        <v>0</v>
      </c>
      <c r="T9" s="1602">
        <f>SUM('3 pr-2'!U16)</f>
        <v>0</v>
      </c>
      <c r="U9" s="1604" t="str">
        <f t="shared" si="5"/>
        <v>–</v>
      </c>
      <c r="V9" s="1600">
        <f>'Sąrašų palyginimas su sutartimi'!V9</f>
        <v>0</v>
      </c>
      <c r="W9" s="1602">
        <f>SUM('3 pr-2'!X16)</f>
        <v>0</v>
      </c>
      <c r="X9" s="1604" t="str">
        <f t="shared" si="6"/>
        <v>–</v>
      </c>
      <c r="Y9" s="1605" t="str">
        <f>'Sąrašų palyginimas su sutartimi'!Y9</f>
        <v>–</v>
      </c>
    </row>
    <row r="10" spans="1:25" ht="48.75" thickBot="1">
      <c r="A10" s="376">
        <f t="shared" si="7"/>
        <v>9</v>
      </c>
      <c r="B10" s="376" t="str">
        <f>'Sąrašų palyginimas su sutartimi'!B10</f>
        <v>Alytaus rajono Luksnėnų kaimo multifunkcinės sporto aikštės įrengimas ir gatvių rekonstrukcija</v>
      </c>
      <c r="C10" s="376" t="str">
        <f>'Sąrašų palyginimas su sutartimi'!C10</f>
        <v xml:space="preserve">Pagrindinės paslaugos ir kaimų atnaujinimas kaimo vietovėse </v>
      </c>
      <c r="D10" s="376" t="str">
        <f>'Sąrašų palyginimas su sutartimi'!D10</f>
        <v>Alytaus rajono savivaldybės administracija</v>
      </c>
      <c r="E10" s="376" t="str">
        <f>'Sąrašų palyginimas su sutartimi'!E10</f>
        <v>Alytaus r. sav.</v>
      </c>
      <c r="F10" s="376" t="str">
        <f>'Sąrašų palyginimas su sutartimi'!F10</f>
        <v>-</v>
      </c>
      <c r="G10" s="1600">
        <f>'Sąrašų palyginimas su sutartimi'!G10</f>
        <v>250309.29</v>
      </c>
      <c r="H10" s="1602">
        <f t="shared" ca="1" si="0"/>
        <v>250309.29</v>
      </c>
      <c r="I10" s="1604">
        <f t="shared" ca="1" si="1"/>
        <v>0</v>
      </c>
      <c r="J10" s="1600">
        <f>'Sąrašų palyginimas su sutartimi'!J10</f>
        <v>200000</v>
      </c>
      <c r="K10" s="1602">
        <f>'ES lėšos'!G9</f>
        <v>200000</v>
      </c>
      <c r="L10" s="1604">
        <f t="shared" si="2"/>
        <v>0</v>
      </c>
      <c r="M10" s="1600">
        <f>'Sąrašų palyginimas su sutartimi'!M10</f>
        <v>0</v>
      </c>
      <c r="N10" s="1602">
        <f ca="1">SUM('3 pr-2'!R17)</f>
        <v>0</v>
      </c>
      <c r="O10" s="1604" t="str">
        <f t="shared" si="3"/>
        <v>–</v>
      </c>
      <c r="P10" s="1600">
        <f>'Sąrašų palyginimas su sutartimi'!P10</f>
        <v>50309.29</v>
      </c>
      <c r="Q10" s="1602">
        <f>SUM('3 pr-2'!O17)</f>
        <v>50309.29</v>
      </c>
      <c r="R10" s="1604">
        <f t="shared" si="4"/>
        <v>0</v>
      </c>
      <c r="S10" s="1600">
        <f>'Sąrašų palyginimas su sutartimi'!S10</f>
        <v>0</v>
      </c>
      <c r="T10" s="1602">
        <f>SUM('3 pr-2'!U17)</f>
        <v>0</v>
      </c>
      <c r="U10" s="1604" t="str">
        <f t="shared" si="5"/>
        <v>–</v>
      </c>
      <c r="V10" s="1600">
        <f>'Sąrašų palyginimas su sutartimi'!V10</f>
        <v>0</v>
      </c>
      <c r="W10" s="1602">
        <f>SUM('3 pr-2'!X17)</f>
        <v>0</v>
      </c>
      <c r="X10" s="1604" t="str">
        <f t="shared" si="6"/>
        <v>–</v>
      </c>
      <c r="Y10" s="1605" t="str">
        <f>'Sąrašų palyginimas su sutartimi'!Y10</f>
        <v>–</v>
      </c>
    </row>
    <row r="11" spans="1:25" ht="36.75" thickBot="1">
      <c r="A11" s="376">
        <f t="shared" si="7"/>
        <v>10</v>
      </c>
      <c r="B11" s="376" t="str">
        <f>'Sąrašų palyginimas su sutartimi'!B11</f>
        <v>Krikštonių laisvalaikio salės pritaikymas bendruomenės poreikiams</v>
      </c>
      <c r="C11" s="376" t="str">
        <f>'Sąrašų palyginimas su sutartimi'!C11</f>
        <v xml:space="preserve">Pagrindinės paslaugos ir kaimų atnaujinimas kaimo vietovėse </v>
      </c>
      <c r="D11" s="376" t="str">
        <f>'Sąrašų palyginimas su sutartimi'!D11</f>
        <v xml:space="preserve">Viešoji įstaiga Lazdijų kultūros centras </v>
      </c>
      <c r="E11" s="376" t="str">
        <f>'Sąrašų palyginimas su sutartimi'!E11</f>
        <v>Lazdijų r. sav.</v>
      </c>
      <c r="F11" s="376" t="str">
        <f>'Sąrašų palyginimas su sutartimi'!F11</f>
        <v>-</v>
      </c>
      <c r="G11" s="1600">
        <f>'Sąrašų palyginimas su sutartimi'!G11</f>
        <v>250000</v>
      </c>
      <c r="H11" s="1602">
        <f t="shared" ca="1" si="0"/>
        <v>250000</v>
      </c>
      <c r="I11" s="1604">
        <f t="shared" ca="1" si="1"/>
        <v>0</v>
      </c>
      <c r="J11" s="1600">
        <f>'Sąrašų palyginimas su sutartimi'!J11</f>
        <v>200000</v>
      </c>
      <c r="K11" s="1602">
        <f>'ES lėšos'!G10</f>
        <v>200000</v>
      </c>
      <c r="L11" s="1604">
        <f t="shared" si="2"/>
        <v>0</v>
      </c>
      <c r="M11" s="1600">
        <f>'Sąrašų palyginimas su sutartimi'!M11</f>
        <v>0</v>
      </c>
      <c r="N11" s="1602">
        <f ca="1">SUM('3 pr-2'!R18)</f>
        <v>0</v>
      </c>
      <c r="O11" s="1604" t="str">
        <f t="shared" si="3"/>
        <v>–</v>
      </c>
      <c r="P11" s="1600">
        <f>'Sąrašų palyginimas su sutartimi'!P11</f>
        <v>50000</v>
      </c>
      <c r="Q11" s="1602">
        <f>SUM('3 pr-2'!O18)</f>
        <v>50000</v>
      </c>
      <c r="R11" s="1604">
        <f t="shared" si="4"/>
        <v>0</v>
      </c>
      <c r="S11" s="1600">
        <f>'Sąrašų palyginimas su sutartimi'!S11</f>
        <v>0</v>
      </c>
      <c r="T11" s="1602">
        <f>SUM('3 pr-2'!U18)</f>
        <v>0</v>
      </c>
      <c r="U11" s="1604" t="str">
        <f t="shared" si="5"/>
        <v>–</v>
      </c>
      <c r="V11" s="1600">
        <f>'Sąrašų palyginimas su sutartimi'!V11</f>
        <v>0</v>
      </c>
      <c r="W11" s="1602">
        <f>SUM('3 pr-2'!X18)</f>
        <v>0</v>
      </c>
      <c r="X11" s="1604" t="str">
        <f t="shared" si="6"/>
        <v>–</v>
      </c>
      <c r="Y11" s="1605" t="str">
        <f>'Sąrašų palyginimas su sutartimi'!Y11</f>
        <v>–</v>
      </c>
    </row>
    <row r="12" spans="1:25" ht="36.75" thickBot="1">
      <c r="A12" s="376">
        <f t="shared" si="7"/>
        <v>11</v>
      </c>
      <c r="B12" s="376" t="str">
        <f>'Sąrašų palyginimas su sutartimi'!B12</f>
        <v>Kučiūnų laisvalaikio salės pritaikymas bendruomenės poreikiams</v>
      </c>
      <c r="C12" s="376" t="str">
        <f>'Sąrašų palyginimas su sutartimi'!C12</f>
        <v xml:space="preserve">Pagrindinės paslaugos ir kaimų atnaujinimas kaimo vietovėse </v>
      </c>
      <c r="D12" s="376" t="str">
        <f>'Sąrašų palyginimas su sutartimi'!D12</f>
        <v xml:space="preserve">Viešoji įstaiga Lazdijų kultūros centras </v>
      </c>
      <c r="E12" s="376" t="str">
        <f>'Sąrašų palyginimas su sutartimi'!E12</f>
        <v>Lazdijų r. sav.</v>
      </c>
      <c r="F12" s="376" t="str">
        <f>'Sąrašų palyginimas su sutartimi'!F12</f>
        <v>-</v>
      </c>
      <c r="G12" s="1600">
        <f>'Sąrašų palyginimas su sutartimi'!G12</f>
        <v>250000</v>
      </c>
      <c r="H12" s="1602">
        <f t="shared" ca="1" si="0"/>
        <v>250000</v>
      </c>
      <c r="I12" s="1604">
        <f t="shared" ca="1" si="1"/>
        <v>0</v>
      </c>
      <c r="J12" s="1600">
        <f>'Sąrašų palyginimas su sutartimi'!J12</f>
        <v>187540</v>
      </c>
      <c r="K12" s="1602">
        <f>'ES lėšos'!G11</f>
        <v>187540</v>
      </c>
      <c r="L12" s="1604">
        <f t="shared" si="2"/>
        <v>0</v>
      </c>
      <c r="M12" s="1600">
        <f>'Sąrašų palyginimas su sutartimi'!M12</f>
        <v>0</v>
      </c>
      <c r="N12" s="1602">
        <f ca="1">SUM('3 pr-2'!R19)</f>
        <v>0</v>
      </c>
      <c r="O12" s="1604" t="str">
        <f t="shared" si="3"/>
        <v>–</v>
      </c>
      <c r="P12" s="1600">
        <f>'Sąrašų palyginimas su sutartimi'!P12</f>
        <v>62460</v>
      </c>
      <c r="Q12" s="1602">
        <f>SUM('3 pr-2'!O19)</f>
        <v>62460</v>
      </c>
      <c r="R12" s="1604">
        <f t="shared" si="4"/>
        <v>0</v>
      </c>
      <c r="S12" s="1600">
        <f>'Sąrašų palyginimas su sutartimi'!S12</f>
        <v>0</v>
      </c>
      <c r="T12" s="1602">
        <f>SUM('3 pr-2'!U19)</f>
        <v>0</v>
      </c>
      <c r="U12" s="1604" t="str">
        <f t="shared" si="5"/>
        <v>–</v>
      </c>
      <c r="V12" s="1600">
        <f>'Sąrašų palyginimas su sutartimi'!V12</f>
        <v>0</v>
      </c>
      <c r="W12" s="1602">
        <f>SUM('3 pr-2'!X19)</f>
        <v>0</v>
      </c>
      <c r="X12" s="1604" t="str">
        <f t="shared" si="6"/>
        <v>–</v>
      </c>
      <c r="Y12" s="1605" t="str">
        <f>'Sąrašų palyginimas su sutartimi'!Y12</f>
        <v>–</v>
      </c>
    </row>
    <row r="13" spans="1:25" ht="48.75" thickBot="1">
      <c r="A13" s="376">
        <f t="shared" si="7"/>
        <v>12</v>
      </c>
      <c r="B13" s="376" t="str">
        <f>'Sąrašų palyginimas su sutartimi'!B13</f>
        <v>Laisvalaikio infrastruktūros sukūrimas Lazdijų rajono kaimo gyvenamosiose vietovėse</v>
      </c>
      <c r="C13" s="376" t="str">
        <f>'Sąrašų palyginimas su sutartimi'!C13</f>
        <v xml:space="preserve">Pagrindinės paslaugos ir kaimų atnaujinimas kaimo vietovėse </v>
      </c>
      <c r="D13" s="376" t="str">
        <f>'Sąrašų palyginimas su sutartimi'!D13</f>
        <v>Lazdijų rajono savivaldybės administracija</v>
      </c>
      <c r="E13" s="376" t="str">
        <f>'Sąrašų palyginimas su sutartimi'!E13</f>
        <v>Lazdijų r. sav.</v>
      </c>
      <c r="F13" s="376" t="str">
        <f>'Sąrašų palyginimas su sutartimi'!F13</f>
        <v>-</v>
      </c>
      <c r="G13" s="1600">
        <f>'Sąrašų palyginimas su sutartimi'!G13</f>
        <v>125000</v>
      </c>
      <c r="H13" s="1602">
        <f t="shared" ca="1" si="0"/>
        <v>125000</v>
      </c>
      <c r="I13" s="1604">
        <f t="shared" ca="1" si="1"/>
        <v>0</v>
      </c>
      <c r="J13" s="1600">
        <f>'Sąrašų palyginimas su sutartimi'!J13</f>
        <v>100000</v>
      </c>
      <c r="K13" s="1602">
        <f>'ES lėšos'!G12</f>
        <v>100000</v>
      </c>
      <c r="L13" s="1604">
        <f t="shared" si="2"/>
        <v>0</v>
      </c>
      <c r="M13" s="1600">
        <f>'Sąrašų palyginimas su sutartimi'!M13</f>
        <v>0</v>
      </c>
      <c r="N13" s="1602">
        <f ca="1">SUM('3 pr-2'!R20)</f>
        <v>0</v>
      </c>
      <c r="O13" s="1604" t="str">
        <f t="shared" si="3"/>
        <v>–</v>
      </c>
      <c r="P13" s="1600">
        <f>'Sąrašų palyginimas su sutartimi'!P13</f>
        <v>25000</v>
      </c>
      <c r="Q13" s="1602">
        <f>SUM('3 pr-2'!O20)</f>
        <v>25000</v>
      </c>
      <c r="R13" s="1604">
        <f t="shared" si="4"/>
        <v>0</v>
      </c>
      <c r="S13" s="1600">
        <f>'Sąrašų palyginimas su sutartimi'!S13</f>
        <v>0</v>
      </c>
      <c r="T13" s="1602">
        <f>SUM('3 pr-2'!U20)</f>
        <v>0</v>
      </c>
      <c r="U13" s="1604" t="str">
        <f t="shared" si="5"/>
        <v>–</v>
      </c>
      <c r="V13" s="1600">
        <f>'Sąrašų palyginimas su sutartimi'!V13</f>
        <v>0</v>
      </c>
      <c r="W13" s="1602">
        <f>SUM('3 pr-2'!X20)</f>
        <v>0</v>
      </c>
      <c r="X13" s="1604" t="str">
        <f t="shared" si="6"/>
        <v>–</v>
      </c>
      <c r="Y13" s="1605" t="str">
        <f>'Sąrašų palyginimas su sutartimi'!Y13</f>
        <v>–</v>
      </c>
    </row>
    <row r="14" spans="1:25" ht="48.75" thickBot="1">
      <c r="A14" s="376">
        <f t="shared" si="7"/>
        <v>13</v>
      </c>
      <c r="B14" s="376" t="str">
        <f>'Sąrašų palyginimas su sutartimi'!B14</f>
        <v>Alytaus rajono Butrimonių miestelio šaligatvių kapitalinis remontas ir gyvenvietės apšvietimo įrengimas</v>
      </c>
      <c r="C14" s="376" t="str">
        <f>'Sąrašų palyginimas su sutartimi'!C14</f>
        <v xml:space="preserve">Pagrindinės paslaugos ir kaimų atnaujinimas kaimo vietovėse </v>
      </c>
      <c r="D14" s="376" t="str">
        <f>'Sąrašų palyginimas su sutartimi'!D14</f>
        <v>Alytaus rajono savivaldybės administracija</v>
      </c>
      <c r="E14" s="376" t="str">
        <f>'Sąrašų palyginimas su sutartimi'!E14</f>
        <v>Alytaus r. sav.</v>
      </c>
      <c r="F14" s="376" t="str">
        <f>'Sąrašų palyginimas su sutartimi'!F14</f>
        <v>-</v>
      </c>
      <c r="G14" s="1600">
        <f>'Sąrašų palyginimas su sutartimi'!G14</f>
        <v>190756</v>
      </c>
      <c r="H14" s="1602">
        <f t="shared" ca="1" si="0"/>
        <v>190756</v>
      </c>
      <c r="I14" s="1604">
        <f t="shared" ca="1" si="1"/>
        <v>0</v>
      </c>
      <c r="J14" s="1600">
        <f>'Sąrašų palyginimas su sutartimi'!J14</f>
        <v>122852</v>
      </c>
      <c r="K14" s="1602">
        <f>'ES lėšos'!G13</f>
        <v>122852</v>
      </c>
      <c r="L14" s="1604">
        <f t="shared" si="2"/>
        <v>0</v>
      </c>
      <c r="M14" s="1600">
        <f>'Sąrašų palyginimas su sutartimi'!M14</f>
        <v>0</v>
      </c>
      <c r="N14" s="1602">
        <f ca="1">SUM('3 pr-2'!R21)</f>
        <v>0</v>
      </c>
      <c r="O14" s="1604" t="str">
        <f t="shared" si="3"/>
        <v>–</v>
      </c>
      <c r="P14" s="1600">
        <f>'Sąrašų palyginimas su sutartimi'!P14</f>
        <v>67904</v>
      </c>
      <c r="Q14" s="1602">
        <f>SUM('3 pr-2'!O21)</f>
        <v>67904</v>
      </c>
      <c r="R14" s="1604">
        <f t="shared" si="4"/>
        <v>0</v>
      </c>
      <c r="S14" s="1600">
        <f>'Sąrašų palyginimas su sutartimi'!S14</f>
        <v>0</v>
      </c>
      <c r="T14" s="1602">
        <f>SUM('3 pr-2'!U21)</f>
        <v>0</v>
      </c>
      <c r="U14" s="1604" t="str">
        <f t="shared" si="5"/>
        <v>–</v>
      </c>
      <c r="V14" s="1600">
        <f>'Sąrašų palyginimas su sutartimi'!V14</f>
        <v>0</v>
      </c>
      <c r="W14" s="1602">
        <f>SUM('3 pr-2'!X21)</f>
        <v>0</v>
      </c>
      <c r="X14" s="1604" t="str">
        <f t="shared" si="6"/>
        <v>–</v>
      </c>
      <c r="Y14" s="1605" t="str">
        <f>'Sąrašų palyginimas su sutartimi'!Y14</f>
        <v>–</v>
      </c>
    </row>
    <row r="15" spans="1:25" ht="36.75" thickBot="1">
      <c r="A15" s="376">
        <f t="shared" si="7"/>
        <v>14</v>
      </c>
      <c r="B15" s="376" t="str">
        <f>'Sąrašų palyginimas su sutartimi'!B15</f>
        <v>Alytaus rajono Genių kaimo sporto aikštės įrengimas ir gatvių rekonstrukcija</v>
      </c>
      <c r="C15" s="376" t="str">
        <f>'Sąrašų palyginimas su sutartimi'!C15</f>
        <v xml:space="preserve">Pagrindinės paslaugos ir kaimų atnaujinimas kaimo vietovėse </v>
      </c>
      <c r="D15" s="376" t="str">
        <f>'Sąrašų palyginimas su sutartimi'!D15</f>
        <v>Alytaus rajono savivaldybės administracija</v>
      </c>
      <c r="E15" s="376" t="str">
        <f>'Sąrašų palyginimas su sutartimi'!E15</f>
        <v>Alytaus r. sav.</v>
      </c>
      <c r="F15" s="376" t="str">
        <f>'Sąrašų palyginimas su sutartimi'!F15</f>
        <v>-</v>
      </c>
      <c r="G15" s="1600">
        <f>'Sąrašų palyginimas su sutartimi'!G15</f>
        <v>247392.46</v>
      </c>
      <c r="H15" s="1602">
        <f t="shared" ca="1" si="0"/>
        <v>247392.46</v>
      </c>
      <c r="I15" s="1604">
        <f t="shared" ca="1" si="1"/>
        <v>0</v>
      </c>
      <c r="J15" s="1600">
        <f>'Sąrašų palyginimas su sutartimi'!J15</f>
        <v>200000</v>
      </c>
      <c r="K15" s="1602">
        <f>'ES lėšos'!G14</f>
        <v>200000</v>
      </c>
      <c r="L15" s="1604">
        <f t="shared" si="2"/>
        <v>0</v>
      </c>
      <c r="M15" s="1600">
        <f>'Sąrašų palyginimas su sutartimi'!M15</f>
        <v>0</v>
      </c>
      <c r="N15" s="1602">
        <f ca="1">SUM('3 pr-2'!R22)</f>
        <v>0</v>
      </c>
      <c r="O15" s="1604" t="str">
        <f t="shared" si="3"/>
        <v>–</v>
      </c>
      <c r="P15" s="1600">
        <f>'Sąrašų palyginimas su sutartimi'!P15</f>
        <v>47392.46</v>
      </c>
      <c r="Q15" s="1602">
        <f>SUM('3 pr-2'!O22)</f>
        <v>47392.46</v>
      </c>
      <c r="R15" s="1604">
        <f t="shared" si="4"/>
        <v>0</v>
      </c>
      <c r="S15" s="1600">
        <f>'Sąrašų palyginimas su sutartimi'!S15</f>
        <v>0</v>
      </c>
      <c r="T15" s="1602">
        <f>SUM('3 pr-2'!U22)</f>
        <v>0</v>
      </c>
      <c r="U15" s="1604" t="str">
        <f t="shared" si="5"/>
        <v>–</v>
      </c>
      <c r="V15" s="1600">
        <f>'Sąrašų palyginimas su sutartimi'!V15</f>
        <v>0</v>
      </c>
      <c r="W15" s="1602">
        <f>SUM('3 pr-2'!X22)</f>
        <v>0</v>
      </c>
      <c r="X15" s="1604" t="str">
        <f t="shared" si="6"/>
        <v>–</v>
      </c>
      <c r="Y15" s="1605" t="str">
        <f>'Sąrašų palyginimas su sutartimi'!Y15</f>
        <v>–</v>
      </c>
    </row>
    <row r="16" spans="1:25" ht="36.75" thickBot="1">
      <c r="A16" s="376">
        <f t="shared" si="7"/>
        <v>15</v>
      </c>
      <c r="B16" s="376" t="str">
        <f>'Sąrašų palyginimas su sutartimi'!B16</f>
        <v>Varėnos r. Dargužių kaimo Liepų gatvės ir viešosios erdvės įrengimas</v>
      </c>
      <c r="C16" s="376" t="str">
        <f>'Sąrašų palyginimas su sutartimi'!C16</f>
        <v xml:space="preserve">Pagrindinės paslaugos ir kaimų atnaujinimas kaimo vietovėse </v>
      </c>
      <c r="D16" s="376" t="str">
        <f>'Sąrašų palyginimas su sutartimi'!D16</f>
        <v xml:space="preserve">Varėnos rajono savivaldybės administracija </v>
      </c>
      <c r="E16" s="376" t="str">
        <f>'Sąrašų palyginimas su sutartimi'!E16</f>
        <v>Varėnos r. sav.</v>
      </c>
      <c r="F16" s="376" t="str">
        <f>'Sąrašų palyginimas su sutartimi'!F16</f>
        <v>-</v>
      </c>
      <c r="G16" s="1600">
        <f>'Sąrašų palyginimas su sutartimi'!G16</f>
        <v>215626</v>
      </c>
      <c r="H16" s="1602">
        <f t="shared" ca="1" si="0"/>
        <v>215626</v>
      </c>
      <c r="I16" s="1604">
        <f t="shared" ca="1" si="1"/>
        <v>0</v>
      </c>
      <c r="J16" s="1600">
        <f>'Sąrašų palyginimas su sutartimi'!J16</f>
        <v>172500.8</v>
      </c>
      <c r="K16" s="1602">
        <f>'ES lėšos'!G15</f>
        <v>172500.8</v>
      </c>
      <c r="L16" s="1604">
        <f t="shared" si="2"/>
        <v>0</v>
      </c>
      <c r="M16" s="1600">
        <f>'Sąrašų palyginimas su sutartimi'!M16</f>
        <v>0</v>
      </c>
      <c r="N16" s="1602">
        <f ca="1">SUM('3 pr-2'!R23)</f>
        <v>0</v>
      </c>
      <c r="O16" s="1604" t="str">
        <f t="shared" si="3"/>
        <v>–</v>
      </c>
      <c r="P16" s="1600">
        <f>'Sąrašų palyginimas su sutartimi'!P16</f>
        <v>43125.2</v>
      </c>
      <c r="Q16" s="1602">
        <f>SUM('3 pr-2'!O23)</f>
        <v>43125.2</v>
      </c>
      <c r="R16" s="1604">
        <f t="shared" si="4"/>
        <v>0</v>
      </c>
      <c r="S16" s="1600">
        <f>'Sąrašų palyginimas su sutartimi'!S16</f>
        <v>0</v>
      </c>
      <c r="T16" s="1602">
        <f>SUM('3 pr-2'!U23)</f>
        <v>0</v>
      </c>
      <c r="U16" s="1604" t="str">
        <f t="shared" si="5"/>
        <v>–</v>
      </c>
      <c r="V16" s="1600">
        <f>'Sąrašų palyginimas su sutartimi'!V16</f>
        <v>0</v>
      </c>
      <c r="W16" s="1602">
        <f>SUM('3 pr-2'!X23)</f>
        <v>0</v>
      </c>
      <c r="X16" s="1604" t="str">
        <f t="shared" si="6"/>
        <v>–</v>
      </c>
      <c r="Y16" s="1605" t="str">
        <f>'Sąrašų palyginimas su sutartimi'!Y16</f>
        <v>–</v>
      </c>
    </row>
    <row r="17" spans="1:25" ht="48.75" thickBot="1">
      <c r="A17" s="376">
        <f t="shared" si="7"/>
        <v>16</v>
      </c>
      <c r="B17" s="376" t="str">
        <f>'Sąrašų palyginimas su sutartimi'!B17</f>
        <v>Alytaus rajono Vaisodžių kaimo sporto aikštės įrengimas ir gatvių apšvietimo atnaujinimas bei plėtra</v>
      </c>
      <c r="C17" s="376" t="str">
        <f>'Sąrašų palyginimas su sutartimi'!C17</f>
        <v xml:space="preserve">Pagrindinės paslaugos ir kaimų atnaujinimas kaimo vietovėse </v>
      </c>
      <c r="D17" s="376" t="str">
        <f>'Sąrašų palyginimas su sutartimi'!D17</f>
        <v>Alytaus rajono savivaldybės administracija</v>
      </c>
      <c r="E17" s="376" t="str">
        <f>'Sąrašų palyginimas su sutartimi'!E17</f>
        <v>Alytaus r. sav.</v>
      </c>
      <c r="F17" s="376" t="str">
        <f>'Sąrašų palyginimas su sutartimi'!F17</f>
        <v>-</v>
      </c>
      <c r="G17" s="1600">
        <f>'Sąrašų palyginimas su sutartimi'!G17</f>
        <v>75880</v>
      </c>
      <c r="H17" s="1602">
        <f t="shared" ca="1" si="0"/>
        <v>75880</v>
      </c>
      <c r="I17" s="1604">
        <f t="shared" ca="1" si="1"/>
        <v>0</v>
      </c>
      <c r="J17" s="1600">
        <f>'Sąrašų palyginimas su sutartimi'!J17</f>
        <v>60704</v>
      </c>
      <c r="K17" s="1602">
        <f>'ES lėšos'!G16</f>
        <v>60704</v>
      </c>
      <c r="L17" s="1604">
        <f t="shared" si="2"/>
        <v>0</v>
      </c>
      <c r="M17" s="1600">
        <f>'Sąrašų palyginimas su sutartimi'!M17</f>
        <v>0</v>
      </c>
      <c r="N17" s="1602">
        <f ca="1">SUM('3 pr-2'!R24)</f>
        <v>0</v>
      </c>
      <c r="O17" s="1604" t="str">
        <f t="shared" si="3"/>
        <v>–</v>
      </c>
      <c r="P17" s="1600">
        <f>'Sąrašų palyginimas su sutartimi'!P17</f>
        <v>15176</v>
      </c>
      <c r="Q17" s="1602">
        <f>SUM('3 pr-2'!O24)</f>
        <v>15176</v>
      </c>
      <c r="R17" s="1604">
        <f t="shared" si="4"/>
        <v>0</v>
      </c>
      <c r="S17" s="1600">
        <f>'Sąrašų palyginimas su sutartimi'!S17</f>
        <v>0</v>
      </c>
      <c r="T17" s="1602">
        <f>SUM('3 pr-2'!U24)</f>
        <v>0</v>
      </c>
      <c r="U17" s="1604" t="str">
        <f t="shared" si="5"/>
        <v>–</v>
      </c>
      <c r="V17" s="1600">
        <f>'Sąrašų palyginimas su sutartimi'!V17</f>
        <v>0</v>
      </c>
      <c r="W17" s="1602">
        <f>SUM('3 pr-2'!X24)</f>
        <v>0</v>
      </c>
      <c r="X17" s="1604" t="str">
        <f t="shared" si="6"/>
        <v>–</v>
      </c>
      <c r="Y17" s="1605" t="str">
        <f>'Sąrašų palyginimas su sutartimi'!Y17</f>
        <v>–</v>
      </c>
    </row>
    <row r="18" spans="1:25" ht="36.75" thickBot="1">
      <c r="A18" s="376">
        <f t="shared" si="7"/>
        <v>17</v>
      </c>
      <c r="B18" s="376" t="str">
        <f>'Sąrašų palyginimas su sutartimi'!B18</f>
        <v>Alytaus rajono Talokių kaimo sporto aikštės įrengimas ir Plytinės gatvės apšvietimas</v>
      </c>
      <c r="C18" s="376" t="str">
        <f>'Sąrašų palyginimas su sutartimi'!C18</f>
        <v xml:space="preserve">Pagrindinės paslaugos ir kaimų atnaujinimas kaimo vietovėse </v>
      </c>
      <c r="D18" s="376" t="str">
        <f>'Sąrašų palyginimas su sutartimi'!D18</f>
        <v>Alytaus rajono savivaldybės administracija</v>
      </c>
      <c r="E18" s="376" t="str">
        <f>'Sąrašų palyginimas su sutartimi'!E18</f>
        <v>Alytaus r. sav.</v>
      </c>
      <c r="F18" s="376" t="str">
        <f>'Sąrašų palyginimas su sutartimi'!F18</f>
        <v>-</v>
      </c>
      <c r="G18" s="1600">
        <f>'Sąrašų palyginimas su sutartimi'!G18</f>
        <v>141312</v>
      </c>
      <c r="H18" s="1602">
        <f t="shared" ca="1" si="0"/>
        <v>141312</v>
      </c>
      <c r="I18" s="1604">
        <f t="shared" ca="1" si="1"/>
        <v>0</v>
      </c>
      <c r="J18" s="1600">
        <f>'Sąrašų palyginimas su sutartimi'!J18</f>
        <v>96399</v>
      </c>
      <c r="K18" s="1602">
        <f>'ES lėšos'!G17</f>
        <v>96399</v>
      </c>
      <c r="L18" s="1604">
        <f t="shared" si="2"/>
        <v>0</v>
      </c>
      <c r="M18" s="1600">
        <f>'Sąrašų palyginimas su sutartimi'!M18</f>
        <v>0</v>
      </c>
      <c r="N18" s="1602">
        <f ca="1">SUM('3 pr-2'!R25)</f>
        <v>0</v>
      </c>
      <c r="O18" s="1604" t="str">
        <f t="shared" si="3"/>
        <v>–</v>
      </c>
      <c r="P18" s="1600">
        <f>'Sąrašų palyginimas su sutartimi'!P18</f>
        <v>44913</v>
      </c>
      <c r="Q18" s="1602">
        <f>SUM('3 pr-2'!O25)</f>
        <v>44913</v>
      </c>
      <c r="R18" s="1604">
        <f t="shared" si="4"/>
        <v>0</v>
      </c>
      <c r="S18" s="1600">
        <f>'Sąrašų palyginimas su sutartimi'!S18</f>
        <v>0</v>
      </c>
      <c r="T18" s="1602">
        <f>SUM('3 pr-2'!U25)</f>
        <v>0</v>
      </c>
      <c r="U18" s="1604" t="str">
        <f t="shared" si="5"/>
        <v>–</v>
      </c>
      <c r="V18" s="1600">
        <f>'Sąrašų palyginimas su sutartimi'!V18</f>
        <v>0</v>
      </c>
      <c r="W18" s="1602">
        <f>SUM('3 pr-2'!X25)</f>
        <v>0</v>
      </c>
      <c r="X18" s="1604" t="str">
        <f t="shared" si="6"/>
        <v>–</v>
      </c>
      <c r="Y18" s="1605" t="str">
        <f>'Sąrašų palyginimas su sutartimi'!Y18</f>
        <v>–</v>
      </c>
    </row>
    <row r="19" spans="1:25" ht="36.75" thickBot="1">
      <c r="A19" s="376">
        <f t="shared" si="7"/>
        <v>18</v>
      </c>
      <c r="B19" s="376" t="str">
        <f>'Sąrašų palyginimas su sutartimi'!B19</f>
        <v>Varėnos r. Rudnios kaimo Pušyno gatvės įrengimas</v>
      </c>
      <c r="C19" s="376" t="str">
        <f>'Sąrašų palyginimas su sutartimi'!C19</f>
        <v xml:space="preserve">Pagrindinės paslaugos ir kaimų atnaujinimas kaimo vietovėse </v>
      </c>
      <c r="D19" s="376" t="str">
        <f>'Sąrašų palyginimas su sutartimi'!D19</f>
        <v xml:space="preserve">Varėnos rajono savivaldybės administracija </v>
      </c>
      <c r="E19" s="376" t="str">
        <f>'Sąrašų palyginimas su sutartimi'!E19</f>
        <v>Varėnos r. sav.</v>
      </c>
      <c r="F19" s="376" t="str">
        <f>'Sąrašų palyginimas su sutartimi'!F19</f>
        <v>-</v>
      </c>
      <c r="G19" s="1600">
        <f>'Sąrašų palyginimas su sutartimi'!G19</f>
        <v>115624</v>
      </c>
      <c r="H19" s="1602">
        <f t="shared" ca="1" si="0"/>
        <v>115624</v>
      </c>
      <c r="I19" s="1604">
        <f t="shared" ca="1" si="1"/>
        <v>0</v>
      </c>
      <c r="J19" s="1600">
        <f>'Sąrašų palyginimas su sutartimi'!J19</f>
        <v>92499</v>
      </c>
      <c r="K19" s="1602">
        <f>'ES lėšos'!G18</f>
        <v>92499</v>
      </c>
      <c r="L19" s="1604">
        <f t="shared" si="2"/>
        <v>0</v>
      </c>
      <c r="M19" s="1600">
        <f>'Sąrašų palyginimas su sutartimi'!M19</f>
        <v>0</v>
      </c>
      <c r="N19" s="1602">
        <f ca="1">SUM('3 pr-2'!R26)</f>
        <v>0</v>
      </c>
      <c r="O19" s="1604" t="str">
        <f t="shared" si="3"/>
        <v>–</v>
      </c>
      <c r="P19" s="1600">
        <f>'Sąrašų palyginimas su sutartimi'!P19</f>
        <v>23125</v>
      </c>
      <c r="Q19" s="1602">
        <f>SUM('3 pr-2'!O26)</f>
        <v>23125</v>
      </c>
      <c r="R19" s="1604">
        <f t="shared" si="4"/>
        <v>0</v>
      </c>
      <c r="S19" s="1600">
        <f>'Sąrašų palyginimas su sutartimi'!S19</f>
        <v>0</v>
      </c>
      <c r="T19" s="1602">
        <f>SUM('3 pr-2'!U26)</f>
        <v>0</v>
      </c>
      <c r="U19" s="1604" t="str">
        <f t="shared" si="5"/>
        <v>–</v>
      </c>
      <c r="V19" s="1600">
        <f>'Sąrašų palyginimas su sutartimi'!V19</f>
        <v>0</v>
      </c>
      <c r="W19" s="1602">
        <f>SUM('3 pr-2'!X26)</f>
        <v>0</v>
      </c>
      <c r="X19" s="1604" t="str">
        <f t="shared" si="6"/>
        <v>–</v>
      </c>
      <c r="Y19" s="1605" t="str">
        <f>'Sąrašų palyginimas su sutartimi'!Y19</f>
        <v>–</v>
      </c>
    </row>
    <row r="20" spans="1:25" ht="48.75" thickBot="1">
      <c r="A20" s="376">
        <f t="shared" si="7"/>
        <v>19</v>
      </c>
      <c r="B20" s="376" t="str">
        <f>'Sąrašų palyginimas su sutartimi'!B20</f>
        <v>Varėnos kultūros centro Žilinų filialo pastato atnaujinimas ir pritaikymas bendruomenės poreikiams</v>
      </c>
      <c r="C20" s="376" t="str">
        <f>'Sąrašų palyginimas su sutartimi'!C20</f>
        <v xml:space="preserve">Pagrindinės paslaugos ir kaimų atnaujinimas kaimo vietovėse </v>
      </c>
      <c r="D20" s="376" t="str">
        <f>'Sąrašų palyginimas su sutartimi'!D20</f>
        <v xml:space="preserve">Varėnos rajono savivaldybės administracija </v>
      </c>
      <c r="E20" s="376" t="str">
        <f>'Sąrašų palyginimas su sutartimi'!E20</f>
        <v>Varėnos r. sav.</v>
      </c>
      <c r="F20" s="376" t="str">
        <f>'Sąrašų palyginimas su sutartimi'!F20</f>
        <v>-</v>
      </c>
      <c r="G20" s="1600">
        <f>'Sąrašų palyginimas su sutartimi'!G20</f>
        <v>250000</v>
      </c>
      <c r="H20" s="1602">
        <f t="shared" ca="1" si="0"/>
        <v>250000</v>
      </c>
      <c r="I20" s="1604">
        <f t="shared" ca="1" si="1"/>
        <v>0</v>
      </c>
      <c r="J20" s="1600">
        <f>'Sąrašų palyginimas su sutartimi'!J20</f>
        <v>200000</v>
      </c>
      <c r="K20" s="1602">
        <f>'ES lėšos'!G19</f>
        <v>200000</v>
      </c>
      <c r="L20" s="1604">
        <f t="shared" si="2"/>
        <v>0</v>
      </c>
      <c r="M20" s="1600">
        <f>'Sąrašų palyginimas su sutartimi'!M20</f>
        <v>0</v>
      </c>
      <c r="N20" s="1602">
        <f ca="1">SUM('3 pr-2'!R27)</f>
        <v>0</v>
      </c>
      <c r="O20" s="1604" t="str">
        <f t="shared" si="3"/>
        <v>–</v>
      </c>
      <c r="P20" s="1600">
        <f>'Sąrašų palyginimas su sutartimi'!P20</f>
        <v>50000</v>
      </c>
      <c r="Q20" s="1602">
        <f>SUM('3 pr-2'!O27)</f>
        <v>50000</v>
      </c>
      <c r="R20" s="1604">
        <f t="shared" si="4"/>
        <v>0</v>
      </c>
      <c r="S20" s="1600">
        <f>'Sąrašų palyginimas su sutartimi'!S20</f>
        <v>0</v>
      </c>
      <c r="T20" s="1602">
        <f>SUM('3 pr-2'!U27)</f>
        <v>0</v>
      </c>
      <c r="U20" s="1604" t="str">
        <f t="shared" si="5"/>
        <v>–</v>
      </c>
      <c r="V20" s="1600">
        <f>'Sąrašų palyginimas su sutartimi'!V20</f>
        <v>0</v>
      </c>
      <c r="W20" s="1602">
        <f>SUM('3 pr-2'!X27)</f>
        <v>0</v>
      </c>
      <c r="X20" s="1604" t="str">
        <f t="shared" si="6"/>
        <v>–</v>
      </c>
      <c r="Y20" s="1605" t="str">
        <f>'Sąrašų palyginimas su sutartimi'!Y20</f>
        <v>–</v>
      </c>
    </row>
    <row r="21" spans="1:25" ht="60.75" thickBot="1">
      <c r="A21" s="376">
        <f t="shared" si="7"/>
        <v>20</v>
      </c>
      <c r="B21" s="376" t="str">
        <f>'Sąrašų palyginimas su sutartimi'!B21</f>
        <v>Alytaus rajono Pivašiūnų kaimo šaligatvių, laiptų kapitalinis remontas ir gyvenvietės apšvietimo įrengimas</v>
      </c>
      <c r="C21" s="376" t="str">
        <f>'Sąrašų palyginimas su sutartimi'!C21</f>
        <v xml:space="preserve">Pagrindinės paslaugos ir kaimų atnaujinimas kaimo vietovėse </v>
      </c>
      <c r="D21" s="376" t="str">
        <f>'Sąrašų palyginimas su sutartimi'!D21</f>
        <v>Alytaus rajono savivaldybės administracija</v>
      </c>
      <c r="E21" s="376" t="str">
        <f>'Sąrašų palyginimas su sutartimi'!E21</f>
        <v>Alytaus r. sav.</v>
      </c>
      <c r="F21" s="376" t="str">
        <f>'Sąrašų palyginimas su sutartimi'!F21</f>
        <v>-</v>
      </c>
      <c r="G21" s="1600">
        <f>'Sąrašų palyginimas su sutartimi'!G21</f>
        <v>118362</v>
      </c>
      <c r="H21" s="1602">
        <f t="shared" ca="1" si="0"/>
        <v>118362</v>
      </c>
      <c r="I21" s="1604">
        <f t="shared" ca="1" si="1"/>
        <v>0</v>
      </c>
      <c r="J21" s="1600">
        <f>'Sąrašų palyginimas su sutartimi'!J21</f>
        <v>94389</v>
      </c>
      <c r="K21" s="1602">
        <f>'ES lėšos'!G20</f>
        <v>94389</v>
      </c>
      <c r="L21" s="1604">
        <f t="shared" si="2"/>
        <v>0</v>
      </c>
      <c r="M21" s="1600">
        <f>'Sąrašų palyginimas su sutartimi'!M21</f>
        <v>0</v>
      </c>
      <c r="N21" s="1602">
        <f ca="1">SUM('3 pr-2'!R28)</f>
        <v>0</v>
      </c>
      <c r="O21" s="1604" t="str">
        <f t="shared" si="3"/>
        <v>–</v>
      </c>
      <c r="P21" s="1600">
        <f>'Sąrašų palyginimas su sutartimi'!P21</f>
        <v>23973</v>
      </c>
      <c r="Q21" s="1602">
        <f>SUM('3 pr-2'!O28)</f>
        <v>23973</v>
      </c>
      <c r="R21" s="1604">
        <f t="shared" si="4"/>
        <v>0</v>
      </c>
      <c r="S21" s="1600">
        <f>'Sąrašų palyginimas su sutartimi'!S21</f>
        <v>0</v>
      </c>
      <c r="T21" s="1602">
        <f>SUM('3 pr-2'!U28)</f>
        <v>0</v>
      </c>
      <c r="U21" s="1604" t="str">
        <f t="shared" si="5"/>
        <v>–</v>
      </c>
      <c r="V21" s="1600">
        <f>'Sąrašų palyginimas su sutartimi'!V21</f>
        <v>0</v>
      </c>
      <c r="W21" s="1602">
        <f>SUM('3 pr-2'!X28)</f>
        <v>0</v>
      </c>
      <c r="X21" s="1604" t="str">
        <f t="shared" si="6"/>
        <v>–</v>
      </c>
      <c r="Y21" s="1605" t="str">
        <f>'Sąrašų palyginimas su sutartimi'!Y21</f>
        <v>–</v>
      </c>
    </row>
    <row r="22" spans="1:25" ht="60.75" thickBot="1">
      <c r="A22" s="376">
        <f t="shared" si="7"/>
        <v>21</v>
      </c>
      <c r="B22" s="376" t="str">
        <f>'Sąrašų palyginimas su sutartimi'!B22</f>
        <v>Pastato, esančio Pušelės g. 11, Naujųjų Valkininkų k., Varėnos r., atnaujinimas ir pritaikymas bendruomenės poreikiams</v>
      </c>
      <c r="C22" s="376" t="str">
        <f>'Sąrašų palyginimas su sutartimi'!C22</f>
        <v xml:space="preserve">Pagrindinės paslaugos ir kaimų atnaujinimas kaimo vietovėse </v>
      </c>
      <c r="D22" s="376" t="str">
        <f>'Sąrašų palyginimas su sutartimi'!D22</f>
        <v xml:space="preserve">Varėnos rajono savivaldybės administracija </v>
      </c>
      <c r="E22" s="376" t="str">
        <f>'Sąrašų palyginimas su sutartimi'!E22</f>
        <v>Varėnos r. sav.</v>
      </c>
      <c r="F22" s="376" t="str">
        <f>'Sąrašų palyginimas su sutartimi'!F22</f>
        <v>-</v>
      </c>
      <c r="G22" s="1600">
        <f>'Sąrašų palyginimas su sutartimi'!G22</f>
        <v>250000</v>
      </c>
      <c r="H22" s="1602">
        <f t="shared" ca="1" si="0"/>
        <v>250000</v>
      </c>
      <c r="I22" s="1604">
        <f t="shared" ca="1" si="1"/>
        <v>0</v>
      </c>
      <c r="J22" s="1600">
        <f>'Sąrašų palyginimas su sutartimi'!J22</f>
        <v>200000</v>
      </c>
      <c r="K22" s="1602">
        <f>'ES lėšos'!G21</f>
        <v>200000</v>
      </c>
      <c r="L22" s="1604">
        <f t="shared" si="2"/>
        <v>0</v>
      </c>
      <c r="M22" s="1600">
        <f>'Sąrašų palyginimas su sutartimi'!M22</f>
        <v>0</v>
      </c>
      <c r="N22" s="1602">
        <f ca="1">SUM('3 pr-2'!R29)</f>
        <v>0</v>
      </c>
      <c r="O22" s="1604" t="str">
        <f t="shared" si="3"/>
        <v>–</v>
      </c>
      <c r="P22" s="1600">
        <f>'Sąrašų palyginimas su sutartimi'!P22</f>
        <v>50000</v>
      </c>
      <c r="Q22" s="1602">
        <f>SUM('3 pr-2'!O29)</f>
        <v>50000</v>
      </c>
      <c r="R22" s="1604">
        <f t="shared" si="4"/>
        <v>0</v>
      </c>
      <c r="S22" s="1600">
        <f>'Sąrašų palyginimas su sutartimi'!S22</f>
        <v>0</v>
      </c>
      <c r="T22" s="1602">
        <f>SUM('3 pr-2'!U29)</f>
        <v>0</v>
      </c>
      <c r="U22" s="1604" t="str">
        <f t="shared" si="5"/>
        <v>–</v>
      </c>
      <c r="V22" s="1600">
        <f>'Sąrašų palyginimas su sutartimi'!V22</f>
        <v>0</v>
      </c>
      <c r="W22" s="1602">
        <f>SUM('3 pr-2'!X29)</f>
        <v>0</v>
      </c>
      <c r="X22" s="1604" t="str">
        <f t="shared" si="6"/>
        <v>–</v>
      </c>
      <c r="Y22" s="1605" t="str">
        <f>'Sąrašų palyginimas su sutartimi'!Y22</f>
        <v>–</v>
      </c>
    </row>
    <row r="23" spans="1:25" ht="36.75" thickBot="1">
      <c r="A23" s="376">
        <f t="shared" si="7"/>
        <v>22</v>
      </c>
      <c r="B23" s="376" t="str">
        <f>'Sąrašų palyginimas su sutartimi'!B23</f>
        <v>Kaimo gyvenamųjų vietovių Lazdijų rajono savivaldybėje patrauklumo gerinimas</v>
      </c>
      <c r="C23" s="376" t="str">
        <f>'Sąrašų palyginimas su sutartimi'!C23</f>
        <v xml:space="preserve">Pagrindinės paslaugos ir kaimų atnaujinimas kaimo vietovėse </v>
      </c>
      <c r="D23" s="376" t="str">
        <f>'Sąrašų palyginimas su sutartimi'!D23</f>
        <v>Lazdijų rajono savivaldybės administracija</v>
      </c>
      <c r="E23" s="376" t="str">
        <f>'Sąrašų palyginimas su sutartimi'!E23</f>
        <v>Lazdijų r. sav.</v>
      </c>
      <c r="F23" s="376" t="str">
        <f>'Sąrašų palyginimas su sutartimi'!F23</f>
        <v>-</v>
      </c>
      <c r="G23" s="1600">
        <f>'Sąrašų palyginimas su sutartimi'!G23</f>
        <v>170000</v>
      </c>
      <c r="H23" s="1602">
        <f t="shared" ca="1" si="0"/>
        <v>170000</v>
      </c>
      <c r="I23" s="1604">
        <f t="shared" ca="1" si="1"/>
        <v>0</v>
      </c>
      <c r="J23" s="1600">
        <f>'Sąrašų palyginimas su sutartimi'!J23</f>
        <v>136000</v>
      </c>
      <c r="K23" s="1602">
        <f>'ES lėšos'!G22</f>
        <v>136000</v>
      </c>
      <c r="L23" s="1604">
        <f t="shared" si="2"/>
        <v>0</v>
      </c>
      <c r="M23" s="1600">
        <f>'Sąrašų palyginimas su sutartimi'!M23</f>
        <v>0</v>
      </c>
      <c r="N23" s="1602">
        <f ca="1">SUM('3 pr-2'!R30)</f>
        <v>0</v>
      </c>
      <c r="O23" s="1604" t="str">
        <f t="shared" si="3"/>
        <v>–</v>
      </c>
      <c r="P23" s="1600">
        <f>'Sąrašų palyginimas su sutartimi'!P23</f>
        <v>34000</v>
      </c>
      <c r="Q23" s="1602">
        <f>SUM('3 pr-2'!O30)</f>
        <v>34000</v>
      </c>
      <c r="R23" s="1604">
        <f t="shared" si="4"/>
        <v>0</v>
      </c>
      <c r="S23" s="1600">
        <f>'Sąrašų palyginimas su sutartimi'!S23</f>
        <v>0</v>
      </c>
      <c r="T23" s="1602">
        <f>SUM('3 pr-2'!U30)</f>
        <v>0</v>
      </c>
      <c r="U23" s="1604" t="str">
        <f t="shared" si="5"/>
        <v>–</v>
      </c>
      <c r="V23" s="1600">
        <f>'Sąrašų palyginimas su sutartimi'!V23</f>
        <v>0</v>
      </c>
      <c r="W23" s="1602">
        <f>SUM('3 pr-2'!X30)</f>
        <v>0</v>
      </c>
      <c r="X23" s="1604" t="str">
        <f t="shared" si="6"/>
        <v>–</v>
      </c>
      <c r="Y23" s="1605" t="str">
        <f>'Sąrašų palyginimas su sutartimi'!Y23</f>
        <v>–</v>
      </c>
    </row>
    <row r="24" spans="1:25" ht="36.75" thickBot="1">
      <c r="A24" s="376">
        <f t="shared" si="7"/>
        <v>23</v>
      </c>
      <c r="B24" s="376" t="str">
        <f>'Sąrašų palyginimas su sutartimi'!B24</f>
        <v>Alytaus rajono Makniūnų kaimo šaligatvių atnaujinimas ir plėtra</v>
      </c>
      <c r="C24" s="376" t="str">
        <f>'Sąrašų palyginimas su sutartimi'!C24</f>
        <v xml:space="preserve">Pagrindinės paslaugos ir kaimų atnaujinimas kaimo vietovėse </v>
      </c>
      <c r="D24" s="376" t="str">
        <f>'Sąrašų palyginimas su sutartimi'!D24</f>
        <v>Alytaus rajono savivaldybės administracija</v>
      </c>
      <c r="E24" s="376" t="str">
        <f>'Sąrašų palyginimas su sutartimi'!E24</f>
        <v>Alytaus r. sav.</v>
      </c>
      <c r="F24" s="376" t="str">
        <f>'Sąrašų palyginimas su sutartimi'!F24</f>
        <v>-</v>
      </c>
      <c r="G24" s="1600">
        <f>'Sąrašų palyginimas su sutartimi'!G24</f>
        <v>145772</v>
      </c>
      <c r="H24" s="1602">
        <f t="shared" ca="1" si="0"/>
        <v>145772</v>
      </c>
      <c r="I24" s="1604">
        <f t="shared" ca="1" si="1"/>
        <v>0</v>
      </c>
      <c r="J24" s="1600">
        <f>'Sąrašų palyginimas su sutartimi'!J24</f>
        <v>56793</v>
      </c>
      <c r="K24" s="1602">
        <f>'ES lėšos'!G23</f>
        <v>56793</v>
      </c>
      <c r="L24" s="1604">
        <f t="shared" si="2"/>
        <v>0</v>
      </c>
      <c r="M24" s="1600">
        <f>'Sąrašų palyginimas su sutartimi'!M24</f>
        <v>0</v>
      </c>
      <c r="N24" s="1602">
        <f ca="1">SUM('3 pr-2'!R31)</f>
        <v>0</v>
      </c>
      <c r="O24" s="1604" t="str">
        <f t="shared" si="3"/>
        <v>–</v>
      </c>
      <c r="P24" s="1600">
        <f>'Sąrašų palyginimas su sutartimi'!P24</f>
        <v>88979</v>
      </c>
      <c r="Q24" s="1602">
        <f>SUM('3 pr-2'!O31)</f>
        <v>88979</v>
      </c>
      <c r="R24" s="1604">
        <f t="shared" si="4"/>
        <v>0</v>
      </c>
      <c r="S24" s="1600">
        <f>'Sąrašų palyginimas su sutartimi'!S24</f>
        <v>0</v>
      </c>
      <c r="T24" s="1602">
        <f>SUM('3 pr-2'!U31)</f>
        <v>0</v>
      </c>
      <c r="U24" s="1604" t="str">
        <f t="shared" si="5"/>
        <v>–</v>
      </c>
      <c r="V24" s="1600">
        <f>'Sąrašų palyginimas su sutartimi'!V24</f>
        <v>0</v>
      </c>
      <c r="W24" s="1602">
        <f>SUM('3 pr-2'!X31)</f>
        <v>0</v>
      </c>
      <c r="X24" s="1604" t="str">
        <f t="shared" si="6"/>
        <v>–</v>
      </c>
      <c r="Y24" s="1605" t="str">
        <f>'Sąrašų palyginimas su sutartimi'!Y24</f>
        <v>–</v>
      </c>
    </row>
    <row r="25" spans="1:25" ht="36.75" thickBot="1">
      <c r="A25" s="376">
        <f t="shared" si="7"/>
        <v>24</v>
      </c>
      <c r="B25" s="376" t="str">
        <f>'Sąrašų palyginimas su sutartimi'!B25</f>
        <v>Varėnos r. Vazgirdonių kaimo Klevų gatvės įrengimas</v>
      </c>
      <c r="C25" s="376" t="str">
        <f>'Sąrašų palyginimas su sutartimi'!C25</f>
        <v xml:space="preserve">Pagrindinės paslaugos ir kaimų atnaujinimas kaimo vietovėse </v>
      </c>
      <c r="D25" s="376" t="str">
        <f>'Sąrašų palyginimas su sutartimi'!D25</f>
        <v xml:space="preserve">Varėnos rajono savivaldybės administracija </v>
      </c>
      <c r="E25" s="376" t="str">
        <f>'Sąrašų palyginimas su sutartimi'!E25</f>
        <v>Varėnos r. sav.</v>
      </c>
      <c r="F25" s="376" t="str">
        <f>'Sąrašų palyginimas su sutartimi'!F25</f>
        <v>-</v>
      </c>
      <c r="G25" s="1600">
        <f>'Sąrašų palyginimas su sutartimi'!G25</f>
        <v>160048</v>
      </c>
      <c r="H25" s="1602">
        <f t="shared" ca="1" si="0"/>
        <v>160048</v>
      </c>
      <c r="I25" s="1604">
        <f t="shared" ca="1" si="1"/>
        <v>0</v>
      </c>
      <c r="J25" s="1600">
        <f>'Sąrašų palyginimas su sutartimi'!J25</f>
        <v>122596.20000000001</v>
      </c>
      <c r="K25" s="1602">
        <f>'ES lėšos'!G24</f>
        <v>122596.20000000001</v>
      </c>
      <c r="L25" s="1604">
        <f t="shared" si="2"/>
        <v>0</v>
      </c>
      <c r="M25" s="1600">
        <f>'Sąrašų palyginimas su sutartimi'!M25</f>
        <v>0</v>
      </c>
      <c r="N25" s="1602">
        <f ca="1">SUM('3 pr-2'!R32)</f>
        <v>0</v>
      </c>
      <c r="O25" s="1604" t="str">
        <f t="shared" si="3"/>
        <v>–</v>
      </c>
      <c r="P25" s="1600">
        <f>'Sąrašų palyginimas su sutartimi'!P25</f>
        <v>37451.800000000003</v>
      </c>
      <c r="Q25" s="1602">
        <f>SUM('3 pr-2'!O32)</f>
        <v>37451.800000000003</v>
      </c>
      <c r="R25" s="1604">
        <f t="shared" si="4"/>
        <v>0</v>
      </c>
      <c r="S25" s="1600">
        <f>'Sąrašų palyginimas su sutartimi'!S25</f>
        <v>0</v>
      </c>
      <c r="T25" s="1602">
        <f>SUM('3 pr-2'!U32)</f>
        <v>0</v>
      </c>
      <c r="U25" s="1604" t="str">
        <f t="shared" si="5"/>
        <v>–</v>
      </c>
      <c r="V25" s="1600">
        <f>'Sąrašų palyginimas su sutartimi'!V25</f>
        <v>0</v>
      </c>
      <c r="W25" s="1602">
        <f>SUM('3 pr-2'!X32)</f>
        <v>0</v>
      </c>
      <c r="X25" s="1604" t="str">
        <f t="shared" si="6"/>
        <v>–</v>
      </c>
      <c r="Y25" s="1605" t="str">
        <f>'Sąrašų palyginimas su sutartimi'!Y25</f>
        <v>–</v>
      </c>
    </row>
    <row r="26" spans="1:25" ht="48.75" thickBot="1">
      <c r="A26" s="376">
        <f t="shared" si="7"/>
        <v>25</v>
      </c>
      <c r="B26" s="376" t="str">
        <f>'Sąrašų palyginimas su sutartimi'!B26</f>
        <v>Matuizų kaimo viešosios infrastruktūros atnaujinimas ir pritaikymas bendruomenės poreikiams</v>
      </c>
      <c r="C26" s="376" t="str">
        <f>'Sąrašų palyginimas su sutartimi'!C26</f>
        <v>8.2.1-CPVA-R-908</v>
      </c>
      <c r="D26" s="376" t="str">
        <f>'Sąrašų palyginimas su sutartimi'!D26</f>
        <v>Varėnos rajono savivaldybės administracija</v>
      </c>
      <c r="E26" s="376" t="str">
        <f>'Sąrašų palyginimas su sutartimi'!E26</f>
        <v>Varėnos r. sav.</v>
      </c>
      <c r="F26" s="376" t="str">
        <f>'Sąrašų palyginimas su sutartimi'!F26</f>
        <v>-</v>
      </c>
      <c r="G26" s="1600">
        <f>'Sąrašų palyginimas su sutartimi'!G26</f>
        <v>815537.61</v>
      </c>
      <c r="H26" s="1602">
        <f t="shared" si="0"/>
        <v>815537.61</v>
      </c>
      <c r="I26" s="1604">
        <f t="shared" si="1"/>
        <v>0</v>
      </c>
      <c r="J26" s="1600">
        <f>'Sąrašų palyginimas su sutartimi'!J26</f>
        <v>487341</v>
      </c>
      <c r="K26" s="1602">
        <f>'ES lėšos'!G25</f>
        <v>487341</v>
      </c>
      <c r="L26" s="1604">
        <f t="shared" si="2"/>
        <v>0</v>
      </c>
      <c r="M26" s="1600">
        <f>'Sąrašų palyginimas su sutartimi'!M26</f>
        <v>43001</v>
      </c>
      <c r="N26" s="1602">
        <f>SUM('3 pr-2'!R34)</f>
        <v>43001</v>
      </c>
      <c r="O26" s="1604">
        <f t="shared" si="3"/>
        <v>0</v>
      </c>
      <c r="P26" s="1600">
        <f>'Sąrašų palyginimas su sutartimi'!P26</f>
        <v>285195.61</v>
      </c>
      <c r="Q26" s="1602">
        <f>SUM('3 pr-2'!O34)</f>
        <v>285195.61</v>
      </c>
      <c r="R26" s="1604">
        <f t="shared" si="4"/>
        <v>0</v>
      </c>
      <c r="S26" s="1600">
        <f>'Sąrašų palyginimas su sutartimi'!S26</f>
        <v>0</v>
      </c>
      <c r="T26" s="1602">
        <f>SUM('3 pr-2'!U34)</f>
        <v>0</v>
      </c>
      <c r="U26" s="1604" t="str">
        <f t="shared" si="5"/>
        <v>–</v>
      </c>
      <c r="V26" s="1600">
        <f>'Sąrašų palyginimas su sutartimi'!V26</f>
        <v>0</v>
      </c>
      <c r="W26" s="1602">
        <f>SUM('3 pr-2'!X34)</f>
        <v>0</v>
      </c>
      <c r="X26" s="1604" t="str">
        <f t="shared" si="6"/>
        <v>–</v>
      </c>
      <c r="Y26" s="1605" t="str">
        <f>'Sąrašų palyginimas su sutartimi'!Y26</f>
        <v>–</v>
      </c>
    </row>
    <row r="27" spans="1:25" ht="48.75" thickBot="1">
      <c r="A27" s="376">
        <f t="shared" si="7"/>
        <v>26</v>
      </c>
      <c r="B27" s="376" t="str">
        <f>'Sąrašų palyginimas su sutartimi'!B27</f>
        <v>Senosios Varėnos kaimo viešosios infrastruktūros atnaujinimas ir pritaikymas bendruomenės poreikiams</v>
      </c>
      <c r="C27" s="376" t="str">
        <f>'Sąrašų palyginimas su sutartimi'!C27</f>
        <v>8.2.1-CPVA-R-908</v>
      </c>
      <c r="D27" s="376" t="str">
        <f>'Sąrašų palyginimas su sutartimi'!D27</f>
        <v>Varėnos rajono savivaldybės administracija</v>
      </c>
      <c r="E27" s="376" t="str">
        <f>'Sąrašų palyginimas su sutartimi'!E27</f>
        <v>Varėnos r. sav.</v>
      </c>
      <c r="F27" s="376" t="str">
        <f>'Sąrašų palyginimas su sutartimi'!F27</f>
        <v>-</v>
      </c>
      <c r="G27" s="1600">
        <f>'Sąrašų palyginimas su sutartimi'!G27</f>
        <v>605024.19999999995</v>
      </c>
      <c r="H27" s="1602">
        <f t="shared" si="0"/>
        <v>605024.19999999995</v>
      </c>
      <c r="I27" s="1604">
        <f t="shared" si="1"/>
        <v>0</v>
      </c>
      <c r="J27" s="1600">
        <f>'Sąrašų palyginimas su sutartimi'!J27</f>
        <v>514270.57</v>
      </c>
      <c r="K27" s="1602">
        <f>'ES lėšos'!G26</f>
        <v>514270.57</v>
      </c>
      <c r="L27" s="1604">
        <f t="shared" si="2"/>
        <v>0</v>
      </c>
      <c r="M27" s="1600">
        <f>'Sąrašų palyginimas su sutartimi'!M27</f>
        <v>45376.81</v>
      </c>
      <c r="N27" s="1602">
        <f>SUM('3 pr-2'!R35)</f>
        <v>45376.81</v>
      </c>
      <c r="O27" s="1604">
        <f t="shared" si="3"/>
        <v>0</v>
      </c>
      <c r="P27" s="1600">
        <f>'Sąrašų palyginimas su sutartimi'!P27</f>
        <v>45376.82</v>
      </c>
      <c r="Q27" s="1602">
        <f>SUM('3 pr-2'!O35)</f>
        <v>45376.82</v>
      </c>
      <c r="R27" s="1604">
        <f t="shared" si="4"/>
        <v>0</v>
      </c>
      <c r="S27" s="1600">
        <f>'Sąrašų palyginimas su sutartimi'!S27</f>
        <v>0</v>
      </c>
      <c r="T27" s="1602">
        <f>SUM('3 pr-2'!U35)</f>
        <v>0</v>
      </c>
      <c r="U27" s="1604" t="str">
        <f t="shared" si="5"/>
        <v>–</v>
      </c>
      <c r="V27" s="1600">
        <f>'Sąrašų palyginimas su sutartimi'!V27</f>
        <v>0</v>
      </c>
      <c r="W27" s="1602">
        <f>SUM('3 pr-2'!X35)</f>
        <v>0</v>
      </c>
      <c r="X27" s="1604" t="str">
        <f t="shared" si="6"/>
        <v>–</v>
      </c>
      <c r="Y27" s="1605" t="str">
        <f>'Sąrašų palyginimas su sutartimi'!Y27</f>
        <v>–</v>
      </c>
    </row>
    <row r="28" spans="1:25" ht="24.75" thickBot="1">
      <c r="A28" s="376">
        <f t="shared" si="7"/>
        <v>27</v>
      </c>
      <c r="B28" s="376" t="str">
        <f>'Sąrašų palyginimas su sutartimi'!B28</f>
        <v>Kompleksinė Miklusėnų gyvenvietės plėtra</v>
      </c>
      <c r="C28" s="376" t="str">
        <f>'Sąrašų palyginimas su sutartimi'!C28</f>
        <v>8.2.1-CPVA-R-908</v>
      </c>
      <c r="D28" s="376" t="str">
        <f>'Sąrašų palyginimas su sutartimi'!D28</f>
        <v>Alytaus rajono savivaldybės administracija</v>
      </c>
      <c r="E28" s="376" t="str">
        <f>'Sąrašų palyginimas su sutartimi'!E28</f>
        <v>Alytaus r. sav.</v>
      </c>
      <c r="F28" s="376" t="str">
        <f>'Sąrašų palyginimas su sutartimi'!F28</f>
        <v>-</v>
      </c>
      <c r="G28" s="1600">
        <f>'Sąrašų palyginimas su sutartimi'!G28</f>
        <v>1043467</v>
      </c>
      <c r="H28" s="1602">
        <f t="shared" si="0"/>
        <v>1043467</v>
      </c>
      <c r="I28" s="1604">
        <f t="shared" si="1"/>
        <v>0</v>
      </c>
      <c r="J28" s="1600">
        <f>'Sąrašų palyginimas su sutartimi'!J28</f>
        <v>886946</v>
      </c>
      <c r="K28" s="1602">
        <f>'ES lėšos'!G27</f>
        <v>886946</v>
      </c>
      <c r="L28" s="1604">
        <f t="shared" si="2"/>
        <v>0</v>
      </c>
      <c r="M28" s="1600">
        <f>'Sąrašų palyginimas su sutartimi'!M28</f>
        <v>78260</v>
      </c>
      <c r="N28" s="1602">
        <f>SUM('3 pr-2'!R36)</f>
        <v>78260</v>
      </c>
      <c r="O28" s="1604">
        <f t="shared" si="3"/>
        <v>0</v>
      </c>
      <c r="P28" s="1600">
        <f>'Sąrašų palyginimas su sutartimi'!P28</f>
        <v>78261</v>
      </c>
      <c r="Q28" s="1602">
        <f>SUM('3 pr-2'!O36)</f>
        <v>78261</v>
      </c>
      <c r="R28" s="1604">
        <f t="shared" si="4"/>
        <v>0</v>
      </c>
      <c r="S28" s="1600">
        <f>'Sąrašų palyginimas su sutartimi'!S28</f>
        <v>0</v>
      </c>
      <c r="T28" s="1602">
        <f>SUM('3 pr-2'!U36)</f>
        <v>0</v>
      </c>
      <c r="U28" s="1604" t="str">
        <f t="shared" si="5"/>
        <v>–</v>
      </c>
      <c r="V28" s="1600">
        <f>'Sąrašų palyginimas su sutartimi'!V28</f>
        <v>0</v>
      </c>
      <c r="W28" s="1602">
        <f>SUM('3 pr-2'!X36)</f>
        <v>0</v>
      </c>
      <c r="X28" s="1604" t="str">
        <f t="shared" si="6"/>
        <v>–</v>
      </c>
      <c r="Y28" s="1605" t="str">
        <f>'Sąrašų palyginimas su sutartimi'!Y28</f>
        <v>–</v>
      </c>
    </row>
    <row r="29" spans="1:25" ht="36.75" thickBot="1">
      <c r="A29" s="376">
        <f t="shared" si="7"/>
        <v>28</v>
      </c>
      <c r="B29" s="376" t="str">
        <f>'Sąrašų palyginimas su sutartimi'!B29</f>
        <v>Leipalingio viešosios erdvės pritaikymas bendruomenės poreikiams</v>
      </c>
      <c r="C29" s="376" t="str">
        <f>'Sąrašų palyginimas su sutartimi'!C29</f>
        <v>8.2.1-CPVA-R-908</v>
      </c>
      <c r="D29" s="376" t="str">
        <f>'Sąrašų palyginimas su sutartimi'!D29</f>
        <v xml:space="preserve">Druskininkų savivaldybės administracija  </v>
      </c>
      <c r="E29" s="376" t="str">
        <f>'Sąrašų palyginimas su sutartimi'!E29</f>
        <v>Druskininkų sav.</v>
      </c>
      <c r="F29" s="376" t="str">
        <f>'Sąrašų palyginimas su sutartimi'!F29</f>
        <v>-</v>
      </c>
      <c r="G29" s="1600">
        <f>'Sąrašų palyginimas su sutartimi'!G29</f>
        <v>579418.99</v>
      </c>
      <c r="H29" s="1602">
        <f t="shared" si="0"/>
        <v>579418.99</v>
      </c>
      <c r="I29" s="1604">
        <f t="shared" si="1"/>
        <v>0</v>
      </c>
      <c r="J29" s="1600">
        <f>'Sąrašų palyginimas su sutartimi'!J29</f>
        <v>355096.91</v>
      </c>
      <c r="K29" s="1602">
        <f>'ES lėšos'!G28</f>
        <v>355096.91</v>
      </c>
      <c r="L29" s="1604">
        <f t="shared" si="2"/>
        <v>0</v>
      </c>
      <c r="M29" s="1600">
        <f>'Sąrašų palyginimas su sutartimi'!M29</f>
        <v>31332.09</v>
      </c>
      <c r="N29" s="1602">
        <f>SUM('3 pr-2'!R37)</f>
        <v>31332.09</v>
      </c>
      <c r="O29" s="1604">
        <f t="shared" si="3"/>
        <v>0</v>
      </c>
      <c r="P29" s="1600">
        <f>'Sąrašų palyginimas su sutartimi'!P29</f>
        <v>192989.99</v>
      </c>
      <c r="Q29" s="1602">
        <f>SUM('3 pr-2'!O37)</f>
        <v>192989.99</v>
      </c>
      <c r="R29" s="1604">
        <f t="shared" si="4"/>
        <v>0</v>
      </c>
      <c r="S29" s="1600">
        <f>'Sąrašų palyginimas su sutartimi'!S29</f>
        <v>0</v>
      </c>
      <c r="T29" s="1602">
        <f>SUM('3 pr-2'!U37)</f>
        <v>0</v>
      </c>
      <c r="U29" s="1604" t="str">
        <f t="shared" si="5"/>
        <v>–</v>
      </c>
      <c r="V29" s="1600">
        <f>'Sąrašų palyginimas su sutartimi'!V29</f>
        <v>0</v>
      </c>
      <c r="W29" s="1602">
        <f>SUM('3 pr-2'!X37)</f>
        <v>0</v>
      </c>
      <c r="X29" s="1604" t="str">
        <f t="shared" si="6"/>
        <v>–</v>
      </c>
      <c r="Y29" s="1605" t="str">
        <f>'Sąrašų palyginimas su sutartimi'!Y29</f>
        <v>–</v>
      </c>
    </row>
    <row r="30" spans="1:25" ht="36.75" thickBot="1">
      <c r="A30" s="376">
        <f t="shared" si="7"/>
        <v>29</v>
      </c>
      <c r="B30" s="376" t="str">
        <f>'Sąrašų palyginimas su sutartimi'!B30</f>
        <v>Viečiūnų viešosios erdvės pritaikymas bendruomenės poreikiams</v>
      </c>
      <c r="C30" s="376" t="str">
        <f>'Sąrašų palyginimas su sutartimi'!C30</f>
        <v>8.2.1-CPVA-R-908</v>
      </c>
      <c r="D30" s="376" t="str">
        <f>'Sąrašų palyginimas su sutartimi'!D30</f>
        <v xml:space="preserve">Druskininkų savivaldybės administracija  </v>
      </c>
      <c r="E30" s="376" t="str">
        <f>'Sąrašų palyginimas su sutartimi'!E30</f>
        <v>Druskininkų sav.</v>
      </c>
      <c r="F30" s="376" t="str">
        <f>'Sąrašų palyginimas su sutartimi'!F30</f>
        <v>-</v>
      </c>
      <c r="G30" s="1600">
        <f>'Sąrašų palyginimas su sutartimi'!G30</f>
        <v>673878</v>
      </c>
      <c r="H30" s="1602">
        <f t="shared" si="0"/>
        <v>673878</v>
      </c>
      <c r="I30" s="1604">
        <f t="shared" si="1"/>
        <v>0</v>
      </c>
      <c r="J30" s="1600">
        <f>'Sąrašų palyginimas su sutartimi'!J30</f>
        <v>572796.16000000003</v>
      </c>
      <c r="K30" s="1602">
        <f>'ES lėšos'!G29</f>
        <v>572796.16000000003</v>
      </c>
      <c r="L30" s="1604">
        <f t="shared" si="2"/>
        <v>0</v>
      </c>
      <c r="M30" s="1600">
        <f>'Sąrašų palyginimas su sutartimi'!M30</f>
        <v>50540.84</v>
      </c>
      <c r="N30" s="1602">
        <f>SUM('3 pr-2'!R38)</f>
        <v>50540.84</v>
      </c>
      <c r="O30" s="1604">
        <f t="shared" si="3"/>
        <v>0</v>
      </c>
      <c r="P30" s="1600">
        <f>'Sąrašų palyginimas su sutartimi'!P30</f>
        <v>50541</v>
      </c>
      <c r="Q30" s="1602">
        <f>SUM('3 pr-2'!O38)</f>
        <v>50541</v>
      </c>
      <c r="R30" s="1604">
        <f t="shared" si="4"/>
        <v>0</v>
      </c>
      <c r="S30" s="1600">
        <f>'Sąrašų palyginimas su sutartimi'!S30</f>
        <v>0</v>
      </c>
      <c r="T30" s="1602">
        <f>SUM('3 pr-2'!U38)</f>
        <v>0</v>
      </c>
      <c r="U30" s="1604" t="str">
        <f t="shared" si="5"/>
        <v>–</v>
      </c>
      <c r="V30" s="1600">
        <f>'Sąrašų palyginimas su sutartimi'!V30</f>
        <v>0</v>
      </c>
      <c r="W30" s="1602">
        <f>SUM('3 pr-2'!X38)</f>
        <v>0</v>
      </c>
      <c r="X30" s="1604" t="str">
        <f t="shared" si="6"/>
        <v>–</v>
      </c>
      <c r="Y30" s="1605" t="str">
        <f>'Sąrašų palyginimas su sutartimi'!Y30</f>
        <v>–</v>
      </c>
    </row>
    <row r="31" spans="1:25" ht="48.75" thickBot="1">
      <c r="A31" s="376">
        <f t="shared" si="7"/>
        <v>30</v>
      </c>
      <c r="B31" s="376" t="str">
        <f>'Sąrašų palyginimas su sutartimi'!B31</f>
        <v>Varėnos miesto centrinės dalies modernizavimas ir pritaikymas visuomenės poreikiams (I etapas)</v>
      </c>
      <c r="C31" s="376" t="str">
        <f>'Sąrašų palyginimas su sutartimi'!C31</f>
        <v xml:space="preserve">07.1.1-CPVA-R-905 </v>
      </c>
      <c r="D31" s="376" t="str">
        <f>'Sąrašų palyginimas su sutartimi'!D31</f>
        <v>Varėnos rajono savivaldybės administracija</v>
      </c>
      <c r="E31" s="376" t="str">
        <f>'Sąrašų palyginimas su sutartimi'!E31</f>
        <v>Varėnos r. sav.</v>
      </c>
      <c r="F31" s="376" t="str">
        <f>'Sąrašų palyginimas su sutartimi'!F31</f>
        <v>ITI</v>
      </c>
      <c r="G31" s="1600">
        <f>'Sąrašų palyginimas su sutartimi'!G31</f>
        <v>1516825.67</v>
      </c>
      <c r="H31" s="1602">
        <f t="shared" si="0"/>
        <v>1516825.67</v>
      </c>
      <c r="I31" s="1604">
        <f t="shared" si="1"/>
        <v>0</v>
      </c>
      <c r="J31" s="1600">
        <f>'Sąrašų palyginimas su sutartimi'!J31</f>
        <v>1289301.81</v>
      </c>
      <c r="K31" s="1602">
        <f>'ES lėšos'!G30</f>
        <v>1289301.81</v>
      </c>
      <c r="L31" s="1604">
        <f t="shared" si="2"/>
        <v>0</v>
      </c>
      <c r="M31" s="1600">
        <f>'Sąrašų palyginimas su sutartimi'!M31</f>
        <v>113761.92</v>
      </c>
      <c r="N31" s="1602">
        <f>'3 pr-2'!$R40</f>
        <v>113761.92</v>
      </c>
      <c r="O31" s="1604">
        <f t="shared" si="3"/>
        <v>0</v>
      </c>
      <c r="P31" s="1600">
        <f>'Sąrašų palyginimas su sutartimi'!P31</f>
        <v>113761.94</v>
      </c>
      <c r="Q31" s="1602">
        <f>SUM('3 pr-2'!O40)</f>
        <v>113761.94</v>
      </c>
      <c r="R31" s="1604">
        <f t="shared" si="4"/>
        <v>0</v>
      </c>
      <c r="S31" s="1600">
        <f>'Sąrašų palyginimas su sutartimi'!S31</f>
        <v>0</v>
      </c>
      <c r="T31" s="1602">
        <f>SUM('3 pr-2'!U40)</f>
        <v>0</v>
      </c>
      <c r="U31" s="1604" t="str">
        <f t="shared" si="5"/>
        <v>–</v>
      </c>
      <c r="V31" s="1600">
        <f>'Sąrašų palyginimas su sutartimi'!V31</f>
        <v>0</v>
      </c>
      <c r="W31" s="1602">
        <f>SUM('3 pr-2'!X40)</f>
        <v>0</v>
      </c>
      <c r="X31" s="1604" t="str">
        <f t="shared" si="6"/>
        <v>–</v>
      </c>
      <c r="Y31" s="1605" t="str">
        <f>'Sąrašų palyginimas su sutartimi'!Y31</f>
        <v>baigtas</v>
      </c>
    </row>
    <row r="32" spans="1:25" ht="48.75" thickBot="1">
      <c r="A32" s="376">
        <f t="shared" si="7"/>
        <v>31</v>
      </c>
      <c r="B32" s="376" t="str">
        <f>'Sąrašų palyginimas su sutartimi'!B32</f>
        <v>Varėnos miesto centrinės dalies modernizavimas ir pritaikymas visuomenės poreikiams (II etapas)</v>
      </c>
      <c r="C32" s="376" t="str">
        <f>'Sąrašų palyginimas su sutartimi'!C32</f>
        <v xml:space="preserve">07.1.1-CPVA-R-905 </v>
      </c>
      <c r="D32" s="376" t="str">
        <f>'Sąrašų palyginimas su sutartimi'!D32</f>
        <v>Varėnos rajono savivaldybės administracija</v>
      </c>
      <c r="E32" s="376" t="str">
        <f>'Sąrašų palyginimas su sutartimi'!E32</f>
        <v>Varėnos r. sav.</v>
      </c>
      <c r="F32" s="376" t="str">
        <f>'Sąrašų palyginimas su sutartimi'!F32</f>
        <v>ITI</v>
      </c>
      <c r="G32" s="1600">
        <f>'Sąrašų palyginimas su sutartimi'!G32</f>
        <v>806317.97</v>
      </c>
      <c r="H32" s="1602">
        <f t="shared" si="0"/>
        <v>815103</v>
      </c>
      <c r="I32" s="1604">
        <f t="shared" si="1"/>
        <v>-8785.0300000000279</v>
      </c>
      <c r="J32" s="1600">
        <f>'Sąrašų palyginimas su sutartimi'!J32</f>
        <v>685370.28</v>
      </c>
      <c r="K32" s="1602">
        <f>'ES lėšos'!G31</f>
        <v>685370</v>
      </c>
      <c r="L32" s="1604">
        <f t="shared" si="2"/>
        <v>0.28000000002793968</v>
      </c>
      <c r="M32" s="1600">
        <f>'Sąrašų palyginimas su sutartimi'!M32</f>
        <v>60473.84</v>
      </c>
      <c r="N32" s="1602">
        <f>'3 pr-2'!$R41</f>
        <v>60474</v>
      </c>
      <c r="O32" s="1604">
        <f t="shared" si="3"/>
        <v>-0.16000000000349246</v>
      </c>
      <c r="P32" s="1600">
        <f>'Sąrašų palyginimas su sutartimi'!P32</f>
        <v>60473.85</v>
      </c>
      <c r="Q32" s="1602">
        <f>SUM('3 pr-2'!O41)</f>
        <v>69259</v>
      </c>
      <c r="R32" s="1604">
        <f t="shared" si="4"/>
        <v>-8785.1500000000015</v>
      </c>
      <c r="S32" s="1600">
        <f>'Sąrašų palyginimas su sutartimi'!S32</f>
        <v>0</v>
      </c>
      <c r="T32" s="1602">
        <f>SUM('3 pr-2'!U41)</f>
        <v>0</v>
      </c>
      <c r="U32" s="1604" t="str">
        <f t="shared" si="5"/>
        <v>–</v>
      </c>
      <c r="V32" s="1600">
        <f>'Sąrašų palyginimas su sutartimi'!V32</f>
        <v>0</v>
      </c>
      <c r="W32" s="1602">
        <f>SUM('3 pr-2'!X41)</f>
        <v>0</v>
      </c>
      <c r="X32" s="1604" t="str">
        <f t="shared" si="6"/>
        <v>–</v>
      </c>
      <c r="Y32" s="1605" t="str">
        <f>'Sąrašų palyginimas su sutartimi'!Y32</f>
        <v>–</v>
      </c>
    </row>
    <row r="33" spans="1:25" ht="48.75" thickBot="1">
      <c r="A33" s="376">
        <f t="shared" si="7"/>
        <v>32</v>
      </c>
      <c r="B33" s="376" t="str">
        <f>'Sąrašų palyginimas su sutartimi'!B33</f>
        <v>Varėnos miesto Dainų slėnio infrastruktūros atnaujinimas ir pritaikymas visuomenės poreikiams</v>
      </c>
      <c r="C33" s="376" t="str">
        <f>'Sąrašų palyginimas su sutartimi'!C33</f>
        <v xml:space="preserve">07.1.1-CPVA-R-905 </v>
      </c>
      <c r="D33" s="376" t="str">
        <f>'Sąrašų palyginimas su sutartimi'!D33</f>
        <v>Varėnos rajono savivaldybės administracija</v>
      </c>
      <c r="E33" s="376" t="str">
        <f>'Sąrašų palyginimas su sutartimi'!E33</f>
        <v>Varėnos r. sav.</v>
      </c>
      <c r="F33" s="376" t="str">
        <f>'Sąrašų palyginimas su sutartimi'!F33</f>
        <v>ITI</v>
      </c>
      <c r="G33" s="1600">
        <f>'Sąrašų palyginimas su sutartimi'!G33</f>
        <v>514646.41</v>
      </c>
      <c r="H33" s="1602">
        <f t="shared" si="0"/>
        <v>514646.41</v>
      </c>
      <c r="I33" s="1604">
        <f t="shared" si="1"/>
        <v>0</v>
      </c>
      <c r="J33" s="1600">
        <f>'Sąrašų palyginimas su sutartimi'!J33</f>
        <v>437449.44</v>
      </c>
      <c r="K33" s="1602">
        <f>'ES lėšos'!G32</f>
        <v>437449.44</v>
      </c>
      <c r="L33" s="1604">
        <f t="shared" si="2"/>
        <v>0</v>
      </c>
      <c r="M33" s="1600">
        <f>'Sąrašų palyginimas su sutartimi'!M33</f>
        <v>38598.480000000003</v>
      </c>
      <c r="N33" s="1602">
        <f>'3 pr-2'!$R42</f>
        <v>38598.480000000003</v>
      </c>
      <c r="O33" s="1604">
        <f t="shared" si="3"/>
        <v>0</v>
      </c>
      <c r="P33" s="1600">
        <f>'Sąrašų palyginimas su sutartimi'!P33</f>
        <v>38598.49</v>
      </c>
      <c r="Q33" s="1602">
        <f>SUM('3 pr-2'!O42)</f>
        <v>38598.49</v>
      </c>
      <c r="R33" s="1604">
        <f t="shared" si="4"/>
        <v>0</v>
      </c>
      <c r="S33" s="1600">
        <f>'Sąrašų palyginimas su sutartimi'!S33</f>
        <v>0</v>
      </c>
      <c r="T33" s="1602">
        <f>SUM('3 pr-2'!U42)</f>
        <v>0</v>
      </c>
      <c r="U33" s="1604" t="str">
        <f t="shared" si="5"/>
        <v>–</v>
      </c>
      <c r="V33" s="1600">
        <f>'Sąrašų palyginimas su sutartimi'!V33</f>
        <v>0</v>
      </c>
      <c r="W33" s="1602">
        <f>SUM('3 pr-2'!X42)</f>
        <v>0</v>
      </c>
      <c r="X33" s="1604" t="str">
        <f t="shared" si="6"/>
        <v>–</v>
      </c>
      <c r="Y33" s="1605" t="str">
        <f>'Sąrašų palyginimas su sutartimi'!Y33</f>
        <v>–</v>
      </c>
    </row>
    <row r="34" spans="1:25" ht="36.75" thickBot="1">
      <c r="A34" s="376">
        <f t="shared" si="7"/>
        <v>33</v>
      </c>
      <c r="B34" s="376" t="str">
        <f>'Sąrašų palyginimas su sutartimi'!B34</f>
        <v>Karloniškės ežero ir jo prieigų sutvarkymas ir pritaikymas aktyviam poilsiui</v>
      </c>
      <c r="C34" s="376" t="str">
        <f>'Sąrašų palyginimas su sutartimi'!C34</f>
        <v xml:space="preserve">07.1.1-CPVA-R-905 </v>
      </c>
      <c r="D34" s="376" t="str">
        <f>'Sąrašų palyginimas su sutartimi'!D34</f>
        <v>Varėnos rajono savivaldybės administracija</v>
      </c>
      <c r="E34" s="376" t="str">
        <f>'Sąrašų palyginimas su sutartimi'!E34</f>
        <v>Varėnos r. sav.</v>
      </c>
      <c r="F34" s="376" t="str">
        <f>'Sąrašų palyginimas su sutartimi'!F34</f>
        <v>ITI</v>
      </c>
      <c r="G34" s="1600">
        <f>'Sąrašų palyginimas su sutartimi'!G34</f>
        <v>877516.65</v>
      </c>
      <c r="H34" s="1602">
        <f t="shared" si="0"/>
        <v>877516.65</v>
      </c>
      <c r="I34" s="1604">
        <f t="shared" si="1"/>
        <v>0</v>
      </c>
      <c r="J34" s="1600">
        <f>'Sąrašų palyginimas su sutartimi'!J34</f>
        <v>745889.15</v>
      </c>
      <c r="K34" s="1602">
        <f>'ES lėšos'!G33</f>
        <v>745889.15</v>
      </c>
      <c r="L34" s="1604">
        <f t="shared" si="2"/>
        <v>0</v>
      </c>
      <c r="M34" s="1600">
        <f>'Sąrašų palyginimas su sutartimi'!M34</f>
        <v>65813.75</v>
      </c>
      <c r="N34" s="1602">
        <f>'3 pr-2'!$R43</f>
        <v>65813.75</v>
      </c>
      <c r="O34" s="1604">
        <f t="shared" si="3"/>
        <v>0</v>
      </c>
      <c r="P34" s="1600">
        <f>'Sąrašų palyginimas su sutartimi'!P34</f>
        <v>65813.75</v>
      </c>
      <c r="Q34" s="1602">
        <f>SUM('3 pr-2'!O43)</f>
        <v>65813.75</v>
      </c>
      <c r="R34" s="1604">
        <f t="shared" si="4"/>
        <v>0</v>
      </c>
      <c r="S34" s="1600">
        <f>'Sąrašų palyginimas su sutartimi'!S34</f>
        <v>0</v>
      </c>
      <c r="T34" s="1602">
        <f>SUM('3 pr-2'!U43)</f>
        <v>0</v>
      </c>
      <c r="U34" s="1604" t="str">
        <f t="shared" si="5"/>
        <v>–</v>
      </c>
      <c r="V34" s="1600">
        <f>'Sąrašų palyginimas su sutartimi'!V34</f>
        <v>0</v>
      </c>
      <c r="W34" s="1602">
        <f>SUM('3 pr-2'!X43)</f>
        <v>0</v>
      </c>
      <c r="X34" s="1604" t="str">
        <f t="shared" si="6"/>
        <v>–</v>
      </c>
      <c r="Y34" s="1605" t="str">
        <f>'Sąrašų palyginimas su sutartimi'!Y34</f>
        <v>–</v>
      </c>
    </row>
    <row r="35" spans="1:25" ht="36.75" thickBot="1">
      <c r="A35" s="376">
        <f t="shared" si="7"/>
        <v>34</v>
      </c>
      <c r="B35" s="376" t="str">
        <f>'Sąrašų palyginimas su sutartimi'!B35</f>
        <v>Nenaudojamų teritorijų Varėnos mieste sutvarkymas ir pritaikymas verslui</v>
      </c>
      <c r="C35" s="376" t="str">
        <f>'Sąrašų palyginimas su sutartimi'!C35</f>
        <v xml:space="preserve">07.1.1-CPVA-R-905 </v>
      </c>
      <c r="D35" s="376" t="str">
        <f>'Sąrašų palyginimas su sutartimi'!D35</f>
        <v>Varėnos rajono savivaldybės administracija</v>
      </c>
      <c r="E35" s="376" t="str">
        <f>'Sąrašų palyginimas su sutartimi'!E35</f>
        <v>Varėnos r. sav.</v>
      </c>
      <c r="F35" s="376" t="str">
        <f>'Sąrašų palyginimas su sutartimi'!F35</f>
        <v>ITI</v>
      </c>
      <c r="G35" s="1600">
        <f>'Sąrašų palyginimas su sutartimi'!G35</f>
        <v>150000</v>
      </c>
      <c r="H35" s="1602">
        <f t="shared" si="0"/>
        <v>150000</v>
      </c>
      <c r="I35" s="1604">
        <f t="shared" si="1"/>
        <v>0</v>
      </c>
      <c r="J35" s="1600">
        <f>'Sąrašų palyginimas su sutartimi'!J35</f>
        <v>127500</v>
      </c>
      <c r="K35" s="1602">
        <f>'ES lėšos'!G34</f>
        <v>127500</v>
      </c>
      <c r="L35" s="1604">
        <f t="shared" si="2"/>
        <v>0</v>
      </c>
      <c r="M35" s="1600">
        <f>'Sąrašų palyginimas su sutartimi'!M35</f>
        <v>11250</v>
      </c>
      <c r="N35" s="1602">
        <f>'3 pr-2'!$R44</f>
        <v>11250</v>
      </c>
      <c r="O35" s="1604">
        <f t="shared" si="3"/>
        <v>0</v>
      </c>
      <c r="P35" s="1600">
        <f>'Sąrašų palyginimas su sutartimi'!P35</f>
        <v>11250</v>
      </c>
      <c r="Q35" s="1602">
        <f>SUM('3 pr-2'!O44)</f>
        <v>11250</v>
      </c>
      <c r="R35" s="1604">
        <f t="shared" si="4"/>
        <v>0</v>
      </c>
      <c r="S35" s="1600">
        <f>'Sąrašų palyginimas su sutartimi'!S35</f>
        <v>0</v>
      </c>
      <c r="T35" s="1602">
        <f>SUM('3 pr-2'!U44)</f>
        <v>0</v>
      </c>
      <c r="U35" s="1604" t="str">
        <f t="shared" si="5"/>
        <v>–</v>
      </c>
      <c r="V35" s="1600">
        <f>'Sąrašų palyginimas su sutartimi'!V35</f>
        <v>0</v>
      </c>
      <c r="W35" s="1602">
        <f>SUM('3 pr-2'!X44)</f>
        <v>0</v>
      </c>
      <c r="X35" s="1604" t="str">
        <f t="shared" si="6"/>
        <v>–</v>
      </c>
      <c r="Y35" s="1605" t="str">
        <f>'Sąrašų palyginimas su sutartimi'!Y35</f>
        <v>–</v>
      </c>
    </row>
    <row r="36" spans="1:25" ht="60.75" thickBot="1">
      <c r="A36" s="376">
        <f t="shared" si="7"/>
        <v>35</v>
      </c>
      <c r="B36" s="376" t="str">
        <f>'Sąrašų palyginimas su sutartimi'!B36</f>
        <v>Teritorijų prie daugiabučių gyvenamųjų pastatų Varėnos mieste sutvarkymas ir pritaikymas visuomenės poreikiams</v>
      </c>
      <c r="C36" s="376" t="str">
        <f>'Sąrašų palyginimas su sutartimi'!C36</f>
        <v xml:space="preserve">07.1.1-CPVA-R-905 </v>
      </c>
      <c r="D36" s="376" t="str">
        <f>'Sąrašų palyginimas su sutartimi'!D36</f>
        <v>Varėnos rajono savivaldybės administracija</v>
      </c>
      <c r="E36" s="376" t="str">
        <f>'Sąrašų palyginimas su sutartimi'!E36</f>
        <v>Varėnos r. sav.</v>
      </c>
      <c r="F36" s="376" t="str">
        <f>'Sąrašų palyginimas su sutartimi'!F36</f>
        <v>ITI</v>
      </c>
      <c r="G36" s="1600">
        <f>'Sąrašų palyginimas su sutartimi'!G36</f>
        <v>485640.4</v>
      </c>
      <c r="H36" s="1602">
        <f t="shared" si="0"/>
        <v>485640.39999999997</v>
      </c>
      <c r="I36" s="1604">
        <f t="shared" si="1"/>
        <v>5.8207660913467407E-11</v>
      </c>
      <c r="J36" s="1600">
        <f>'Sąrašų palyginimas su sutartimi'!J36</f>
        <v>411789.06</v>
      </c>
      <c r="K36" s="1602">
        <f>'ES lėšos'!G35</f>
        <v>411789.06</v>
      </c>
      <c r="L36" s="1604">
        <f t="shared" si="2"/>
        <v>0</v>
      </c>
      <c r="M36" s="1600">
        <f>'Sąrašų palyginimas su sutartimi'!M36</f>
        <v>36334.160000000003</v>
      </c>
      <c r="N36" s="1602">
        <f>'3 pr-2'!$R45</f>
        <v>36334.160000000003</v>
      </c>
      <c r="O36" s="1604">
        <f t="shared" si="3"/>
        <v>0</v>
      </c>
      <c r="P36" s="1600">
        <f>'Sąrašų palyginimas su sutartimi'!P36</f>
        <v>37517.18</v>
      </c>
      <c r="Q36" s="1602">
        <f>SUM('3 pr-2'!O45)</f>
        <v>37517.18</v>
      </c>
      <c r="R36" s="1604">
        <f t="shared" si="4"/>
        <v>0</v>
      </c>
      <c r="S36" s="1600">
        <f>'Sąrašų palyginimas su sutartimi'!S36</f>
        <v>0</v>
      </c>
      <c r="T36" s="1602">
        <f>SUM('3 pr-2'!U45)</f>
        <v>0</v>
      </c>
      <c r="U36" s="1604" t="str">
        <f t="shared" si="5"/>
        <v>–</v>
      </c>
      <c r="V36" s="1600">
        <f>'Sąrašų palyginimas su sutartimi'!V36</f>
        <v>0</v>
      </c>
      <c r="W36" s="1602">
        <f>SUM('3 pr-2'!X45)</f>
        <v>0</v>
      </c>
      <c r="X36" s="1604" t="str">
        <f t="shared" si="6"/>
        <v>–</v>
      </c>
      <c r="Y36" s="1605" t="str">
        <f>'Sąrašų palyginimas su sutartimi'!Y36</f>
        <v>–</v>
      </c>
    </row>
    <row r="37" spans="1:25" ht="24.75" thickBot="1">
      <c r="A37" s="376">
        <f t="shared" si="7"/>
        <v>36</v>
      </c>
      <c r="B37" s="376" t="str">
        <f>'Sąrašų palyginimas su sutartimi'!B37</f>
        <v>Amatų centro „Menų kalvė“ Druskininkuose įkūrimas</v>
      </c>
      <c r="C37" s="376" t="str">
        <f>'Sąrašų palyginimas su sutartimi'!C37</f>
        <v>07.1.1-CPVA-R-903</v>
      </c>
      <c r="D37" s="376" t="str">
        <f>'Sąrašų palyginimas su sutartimi'!D37</f>
        <v xml:space="preserve">Druskininkų savivaldybės administracija  </v>
      </c>
      <c r="E37" s="376" t="str">
        <f>'Sąrašų palyginimas su sutartimi'!E37</f>
        <v>Druskininkų sav.</v>
      </c>
      <c r="F37" s="376" t="str">
        <f>'Sąrašų palyginimas su sutartimi'!F37</f>
        <v>ITI</v>
      </c>
      <c r="G37" s="1600">
        <f>'Sąrašų palyginimas su sutartimi'!G37</f>
        <v>474784</v>
      </c>
      <c r="H37" s="1602">
        <f t="shared" si="0"/>
        <v>801950</v>
      </c>
      <c r="I37" s="1604">
        <f t="shared" si="1"/>
        <v>-327166</v>
      </c>
      <c r="J37" s="1600">
        <f>'Sąrašų palyginimas su sutartimi'!J37</f>
        <v>283503.94</v>
      </c>
      <c r="K37" s="1602">
        <f>'ES lėšos'!G36</f>
        <v>283503.94</v>
      </c>
      <c r="L37" s="1604">
        <f t="shared" si="2"/>
        <v>0</v>
      </c>
      <c r="M37" s="1600">
        <f>'Sąrašų palyginimas su sutartimi'!M37</f>
        <v>25015.06</v>
      </c>
      <c r="N37" s="1602">
        <f>'3 pr-2'!$R48</f>
        <v>25015.06</v>
      </c>
      <c r="O37" s="1604">
        <f t="shared" si="3"/>
        <v>0</v>
      </c>
      <c r="P37" s="1600">
        <f>'Sąrašų palyginimas su sutartimi'!P37</f>
        <v>166265</v>
      </c>
      <c r="Q37" s="1602">
        <f>SUM('3 pr-2'!O48)</f>
        <v>493431</v>
      </c>
      <c r="R37" s="1604">
        <f t="shared" si="4"/>
        <v>-327166</v>
      </c>
      <c r="S37" s="1600">
        <f>'Sąrašų palyginimas su sutartimi'!S37</f>
        <v>0</v>
      </c>
      <c r="T37" s="1602">
        <f>SUM('3 pr-2'!U48)</f>
        <v>0</v>
      </c>
      <c r="U37" s="1604" t="str">
        <f t="shared" si="5"/>
        <v>–</v>
      </c>
      <c r="V37" s="1600">
        <f>'Sąrašų palyginimas su sutartimi'!V37</f>
        <v>0</v>
      </c>
      <c r="W37" s="1602">
        <f>SUM('3 pr-2'!X48)</f>
        <v>0</v>
      </c>
      <c r="X37" s="1604" t="str">
        <f t="shared" si="6"/>
        <v>–</v>
      </c>
      <c r="Y37" s="1605" t="str">
        <f>'Sąrašų palyginimas su sutartimi'!Y37</f>
        <v>–</v>
      </c>
    </row>
    <row r="38" spans="1:25" ht="36.75" thickBot="1">
      <c r="A38" s="376">
        <f t="shared" si="7"/>
        <v>37</v>
      </c>
      <c r="B38" s="376" t="str">
        <f>'Sąrašų palyginimas su sutartimi'!B38</f>
        <v>Lazdijų miesto kompleksinė infrastruktūros plėtra, III etapas</v>
      </c>
      <c r="C38" s="376" t="str">
        <f>'Sąrašų palyginimas su sutartimi'!C38</f>
        <v>07.1.1-CPVA-R-903</v>
      </c>
      <c r="D38" s="376" t="str">
        <f>'Sąrašų palyginimas su sutartimi'!D38</f>
        <v>Lazdijų rajono savivaldybės administracija</v>
      </c>
      <c r="E38" s="376" t="str">
        <f>'Sąrašų palyginimas su sutartimi'!E38</f>
        <v>Lazdijų r. sav.</v>
      </c>
      <c r="F38" s="376" t="str">
        <f>'Sąrašų palyginimas su sutartimi'!F38</f>
        <v>ITI</v>
      </c>
      <c r="G38" s="1600">
        <f>'Sąrašų palyginimas su sutartimi'!G38</f>
        <v>343507</v>
      </c>
      <c r="H38" s="1602">
        <f t="shared" si="0"/>
        <v>343507</v>
      </c>
      <c r="I38" s="1604">
        <f t="shared" si="1"/>
        <v>0</v>
      </c>
      <c r="J38" s="1600">
        <f>'Sąrašų palyginimas su sutartimi'!J38</f>
        <v>291980.95</v>
      </c>
      <c r="K38" s="1602">
        <f>'ES lėšos'!G37</f>
        <v>291980.95</v>
      </c>
      <c r="L38" s="1604">
        <f t="shared" si="2"/>
        <v>0</v>
      </c>
      <c r="M38" s="1600">
        <f>'Sąrašų palyginimas su sutartimi'!M38</f>
        <v>25763.02</v>
      </c>
      <c r="N38" s="1602">
        <f>'3 pr-2'!$R49</f>
        <v>25763.02</v>
      </c>
      <c r="O38" s="1604">
        <f t="shared" si="3"/>
        <v>0</v>
      </c>
      <c r="P38" s="1600">
        <f>'Sąrašų palyginimas su sutartimi'!P38</f>
        <v>25763.03</v>
      </c>
      <c r="Q38" s="1602">
        <f>SUM('3 pr-2'!O49)</f>
        <v>25763.03</v>
      </c>
      <c r="R38" s="1604">
        <f t="shared" si="4"/>
        <v>0</v>
      </c>
      <c r="S38" s="1600">
        <f>'Sąrašų palyginimas su sutartimi'!S38</f>
        <v>0</v>
      </c>
      <c r="T38" s="1602">
        <f>SUM('3 pr-2'!U49)</f>
        <v>0</v>
      </c>
      <c r="U38" s="1604" t="str">
        <f t="shared" si="5"/>
        <v>–</v>
      </c>
      <c r="V38" s="1600">
        <f>'Sąrašų palyginimas su sutartimi'!V38</f>
        <v>0</v>
      </c>
      <c r="W38" s="1602">
        <f>SUM('3 pr-2'!X49)</f>
        <v>0</v>
      </c>
      <c r="X38" s="1604" t="str">
        <f t="shared" si="6"/>
        <v>–</v>
      </c>
      <c r="Y38" s="1605" t="str">
        <f>'Sąrašų palyginimas su sutartimi'!Y38</f>
        <v>–</v>
      </c>
    </row>
    <row r="39" spans="1:25" ht="48.75" thickBot="1">
      <c r="A39" s="376">
        <f t="shared" si="7"/>
        <v>38</v>
      </c>
      <c r="B39" s="376" t="str">
        <f>'Sąrašų palyginimas su sutartimi'!B39</f>
        <v>Geriamojo vandens tiekimo ir nuotekų tvarkymo sistemų renovavimas ir plėtra Varėnos rajone</v>
      </c>
      <c r="C39" s="376" t="str">
        <f>'Sąrašų palyginimas su sutartimi'!C39</f>
        <v>05.3.2-APVA-R-014</v>
      </c>
      <c r="D39" s="376" t="str">
        <f>'Sąrašų palyginimas su sutartimi'!D39</f>
        <v>UAB „Varėnos vandenys“</v>
      </c>
      <c r="E39" s="376" t="str">
        <f>'Sąrašų palyginimas su sutartimi'!E39</f>
        <v>Varėnos r. sav.</v>
      </c>
      <c r="F39" s="376" t="str">
        <f>'Sąrašų palyginimas su sutartimi'!F39</f>
        <v>ITI</v>
      </c>
      <c r="G39" s="1600">
        <f>'Sąrašų palyginimas su sutartimi'!G39</f>
        <v>2539908.79</v>
      </c>
      <c r="H39" s="1602">
        <f t="shared" si="0"/>
        <v>2474472.79</v>
      </c>
      <c r="I39" s="1604">
        <f t="shared" si="1"/>
        <v>65436</v>
      </c>
      <c r="J39" s="1600">
        <f>'Sąrašų palyginimas su sutartimi'!J39</f>
        <v>1614228.26</v>
      </c>
      <c r="K39" s="1602">
        <f>'ES lėšos'!G38</f>
        <v>1614228.26</v>
      </c>
      <c r="L39" s="1604">
        <f t="shared" si="2"/>
        <v>0</v>
      </c>
      <c r="M39" s="1600">
        <f>'Sąrašų palyginimas su sutartimi'!M39</f>
        <v>0</v>
      </c>
      <c r="N39" s="1602">
        <f>'3 pr-2'!$R51</f>
        <v>0</v>
      </c>
      <c r="O39" s="1604" t="str">
        <f t="shared" si="3"/>
        <v>–</v>
      </c>
      <c r="P39" s="1600">
        <f>'Sąrašų palyginimas su sutartimi'!P39</f>
        <v>0</v>
      </c>
      <c r="Q39" s="1602">
        <f>SUM('3 pr-2'!O51)</f>
        <v>0</v>
      </c>
      <c r="R39" s="1604" t="str">
        <f t="shared" si="4"/>
        <v>–</v>
      </c>
      <c r="S39" s="1600">
        <f>'Sąrašų palyginimas su sutartimi'!S39</f>
        <v>925680.53</v>
      </c>
      <c r="T39" s="1602">
        <f>SUM('3 pr-2'!U51)</f>
        <v>860244.53</v>
      </c>
      <c r="U39" s="1604">
        <f t="shared" si="5"/>
        <v>65436</v>
      </c>
      <c r="V39" s="1600">
        <f>'Sąrašų palyginimas su sutartimi'!V39</f>
        <v>0</v>
      </c>
      <c r="W39" s="1602">
        <f>SUM('3 pr-2'!X51)</f>
        <v>0</v>
      </c>
      <c r="X39" s="1604" t="str">
        <f t="shared" si="6"/>
        <v>–</v>
      </c>
      <c r="Y39" s="1605" t="str">
        <f>'Sąrašų palyginimas su sutartimi'!Y39</f>
        <v>–</v>
      </c>
    </row>
    <row r="40" spans="1:25" ht="36.75" thickBot="1">
      <c r="A40" s="376">
        <f t="shared" si="7"/>
        <v>39</v>
      </c>
      <c r="B40" s="376" t="str">
        <f>'Sąrašų palyginimas su sutartimi'!B40</f>
        <v>Geriamojo vandens ir nuotekų tvarkymo sistemų renovavimas Alytaus mieste</v>
      </c>
      <c r="C40" s="376" t="str">
        <f>'Sąrašų palyginimas su sutartimi'!C40</f>
        <v>05.3.2-APVA-R-014</v>
      </c>
      <c r="D40" s="376" t="str">
        <f>'Sąrašų palyginimas su sutartimi'!D40</f>
        <v>UAB “Dzūkijos vandenys“</v>
      </c>
      <c r="E40" s="376" t="str">
        <f>'Sąrašų palyginimas su sutartimi'!E40</f>
        <v>Alytaus m. sav.</v>
      </c>
      <c r="F40" s="376" t="str">
        <f>'Sąrašų palyginimas su sutartimi'!F40</f>
        <v>ITI</v>
      </c>
      <c r="G40" s="1600">
        <f>'Sąrašų palyginimas su sutartimi'!G40</f>
        <v>5706088</v>
      </c>
      <c r="H40" s="1602">
        <f t="shared" si="0"/>
        <v>5706088</v>
      </c>
      <c r="I40" s="1604">
        <f t="shared" si="1"/>
        <v>0</v>
      </c>
      <c r="J40" s="1600">
        <f>'Sąrašų palyginimas su sutartimi'!J40</f>
        <v>2696984.31</v>
      </c>
      <c r="K40" s="1602">
        <f>'ES lėšos'!G39</f>
        <v>2696984.31</v>
      </c>
      <c r="L40" s="1604">
        <f t="shared" si="2"/>
        <v>0</v>
      </c>
      <c r="M40" s="1600">
        <f>'Sąrašų palyginimas su sutartimi'!M40</f>
        <v>0</v>
      </c>
      <c r="N40" s="1602">
        <f>'3 pr-2'!$R52</f>
        <v>0</v>
      </c>
      <c r="O40" s="1604" t="str">
        <f t="shared" si="3"/>
        <v>–</v>
      </c>
      <c r="P40" s="1600">
        <f>'Sąrašų palyginimas su sutartimi'!P40</f>
        <v>0</v>
      </c>
      <c r="Q40" s="1602">
        <f>SUM('3 pr-2'!O52)</f>
        <v>0</v>
      </c>
      <c r="R40" s="1604" t="str">
        <f t="shared" si="4"/>
        <v>–</v>
      </c>
      <c r="S40" s="1600">
        <f>'Sąrašų palyginimas su sutartimi'!S40</f>
        <v>3009103.69</v>
      </c>
      <c r="T40" s="1602">
        <f>SUM('3 pr-2'!U52)</f>
        <v>3009103.69</v>
      </c>
      <c r="U40" s="1604">
        <f t="shared" si="5"/>
        <v>0</v>
      </c>
      <c r="V40" s="1600">
        <f>'Sąrašų palyginimas su sutartimi'!V40</f>
        <v>0</v>
      </c>
      <c r="W40" s="1602">
        <f>SUM('3 pr-2'!X52)</f>
        <v>0</v>
      </c>
      <c r="X40" s="1604" t="str">
        <f t="shared" si="6"/>
        <v>–</v>
      </c>
      <c r="Y40" s="1605" t="str">
        <f>'Sąrašų palyginimas su sutartimi'!Y40</f>
        <v>–</v>
      </c>
    </row>
    <row r="41" spans="1:25" ht="48.75" thickBot="1">
      <c r="A41" s="376">
        <f t="shared" si="7"/>
        <v>40</v>
      </c>
      <c r="B41" s="376" t="str">
        <f>'Sąrašų palyginimas su sutartimi'!B41</f>
        <v>Geriamojo vandens tiekimo ir nuotekų tvarkymo sistemų renovavimas ir plėtra Lazdijų rajono savivaldybėje</v>
      </c>
      <c r="C41" s="376" t="str">
        <f>'Sąrašų palyginimas su sutartimi'!C41</f>
        <v>05.3.2-APVA-R-014</v>
      </c>
      <c r="D41" s="376" t="str">
        <f>'Sąrašų palyginimas su sutartimi'!D41</f>
        <v>UAB „Lazdijų vanduo“</v>
      </c>
      <c r="E41" s="376" t="str">
        <f>'Sąrašų palyginimas su sutartimi'!E41</f>
        <v>Lazdijų r. sav.</v>
      </c>
      <c r="F41" s="376" t="str">
        <f>'Sąrašų palyginimas su sutartimi'!F41</f>
        <v>-</v>
      </c>
      <c r="G41" s="1600">
        <f>'Sąrašų palyginimas su sutartimi'!G41</f>
        <v>1434076.43</v>
      </c>
      <c r="H41" s="1602">
        <f t="shared" si="0"/>
        <v>1437425.74</v>
      </c>
      <c r="I41" s="1604">
        <f t="shared" si="1"/>
        <v>-3349.3100000000559</v>
      </c>
      <c r="J41" s="1600">
        <f>'Sąrašų palyginimas su sutartimi'!J41</f>
        <v>796102</v>
      </c>
      <c r="K41" s="1602">
        <f>'ES lėšos'!G40</f>
        <v>796102</v>
      </c>
      <c r="L41" s="1604">
        <f t="shared" si="2"/>
        <v>0</v>
      </c>
      <c r="M41" s="1600">
        <f>'Sąrašų palyginimas su sutartimi'!M41</f>
        <v>0</v>
      </c>
      <c r="N41" s="1602">
        <f>'3 pr-2'!$R53</f>
        <v>0</v>
      </c>
      <c r="O41" s="1604" t="str">
        <f t="shared" si="3"/>
        <v>–</v>
      </c>
      <c r="P41" s="1600">
        <f>'Sąrašų palyginimas su sutartimi'!P41</f>
        <v>0</v>
      </c>
      <c r="Q41" s="1602">
        <f>SUM('3 pr-2'!O53)</f>
        <v>0</v>
      </c>
      <c r="R41" s="1604" t="str">
        <f t="shared" si="4"/>
        <v>–</v>
      </c>
      <c r="S41" s="1600">
        <f>'Sąrašų palyginimas su sutartimi'!S41</f>
        <v>637974.43000000005</v>
      </c>
      <c r="T41" s="1602">
        <f>SUM('3 pr-2'!U53)</f>
        <v>641323.74</v>
      </c>
      <c r="U41" s="1604">
        <f t="shared" si="5"/>
        <v>-3349.3099999999395</v>
      </c>
      <c r="V41" s="1600">
        <f>'Sąrašų palyginimas su sutartimi'!V41</f>
        <v>0</v>
      </c>
      <c r="W41" s="1602">
        <f>SUM('3 pr-2'!X53)</f>
        <v>0</v>
      </c>
      <c r="X41" s="1604" t="str">
        <f t="shared" si="6"/>
        <v>–</v>
      </c>
      <c r="Y41" s="1605" t="str">
        <f>'Sąrašų palyginimas su sutartimi'!Y41</f>
        <v>–</v>
      </c>
    </row>
    <row r="42" spans="1:25" ht="48.75" thickBot="1">
      <c r="A42" s="376">
        <f t="shared" si="7"/>
        <v>41</v>
      </c>
      <c r="B42" s="376" t="str">
        <f>'Sąrašų palyginimas su sutartimi'!B42</f>
        <v>Vandens tiekimo ir nuotekų šalinimo infrastruktūros renovavimas ir plėtra Druskininkų savivaldybėje</v>
      </c>
      <c r="C42" s="376" t="str">
        <f>'Sąrašų palyginimas su sutartimi'!C42</f>
        <v>05.3.2-APVA-R-014</v>
      </c>
      <c r="D42" s="376" t="str">
        <f>'Sąrašų palyginimas su sutartimi'!D42</f>
        <v>UAB "Druskininkų vandenys"</v>
      </c>
      <c r="E42" s="376" t="str">
        <f>'Sąrašų palyginimas su sutartimi'!E42</f>
        <v>Druskininkų sav.</v>
      </c>
      <c r="F42" s="376" t="str">
        <f>'Sąrašų palyginimas su sutartimi'!F42</f>
        <v>-</v>
      </c>
      <c r="G42" s="1600">
        <f>'Sąrašų palyginimas su sutartimi'!G42</f>
        <v>5160736.5999999996</v>
      </c>
      <c r="H42" s="1602">
        <f t="shared" si="0"/>
        <v>5160736.5999999996</v>
      </c>
      <c r="I42" s="1604">
        <f t="shared" si="1"/>
        <v>0</v>
      </c>
      <c r="J42" s="1600">
        <f>'Sąrašų palyginimas su sutartimi'!J42</f>
        <v>2874174.73</v>
      </c>
      <c r="K42" s="1602">
        <f>'ES lėšos'!G41</f>
        <v>2874174.73</v>
      </c>
      <c r="L42" s="1604">
        <f t="shared" si="2"/>
        <v>0</v>
      </c>
      <c r="M42" s="1600">
        <f>'Sąrašų palyginimas su sutartimi'!M42</f>
        <v>0</v>
      </c>
      <c r="N42" s="1602">
        <f>'3 pr-2'!$R54</f>
        <v>0</v>
      </c>
      <c r="O42" s="1604" t="str">
        <f t="shared" si="3"/>
        <v>–</v>
      </c>
      <c r="P42" s="1600">
        <f>'Sąrašų palyginimas su sutartimi'!P42</f>
        <v>0</v>
      </c>
      <c r="Q42" s="1602">
        <f>SUM('3 pr-2'!O54)</f>
        <v>0</v>
      </c>
      <c r="R42" s="1604" t="str">
        <f t="shared" si="4"/>
        <v>–</v>
      </c>
      <c r="S42" s="1600">
        <f>'Sąrašų palyginimas su sutartimi'!S42</f>
        <v>2286561.87</v>
      </c>
      <c r="T42" s="1602">
        <f>SUM('3 pr-2'!U54)</f>
        <v>2286561.87</v>
      </c>
      <c r="U42" s="1604">
        <f t="shared" si="5"/>
        <v>0</v>
      </c>
      <c r="V42" s="1600">
        <f>'Sąrašų palyginimas su sutartimi'!V42</f>
        <v>0</v>
      </c>
      <c r="W42" s="1602">
        <f>SUM('3 pr-2'!X54)</f>
        <v>0</v>
      </c>
      <c r="X42" s="1604" t="str">
        <f t="shared" si="6"/>
        <v>–</v>
      </c>
      <c r="Y42" s="1605" t="str">
        <f>'Sąrašų palyginimas su sutartimi'!Y42</f>
        <v>–</v>
      </c>
    </row>
    <row r="43" spans="1:25" ht="48.75" thickBot="1">
      <c r="A43" s="376">
        <f t="shared" si="7"/>
        <v>42</v>
      </c>
      <c r="B43" s="376" t="str">
        <f>'Sąrašų palyginimas su sutartimi'!B43</f>
        <v>Vandens tiekimo ir nuotekų tvarkymo infrastruktūros plėtra Alytaus rajone (Krokialaukyje)</v>
      </c>
      <c r="C43" s="376" t="str">
        <f>'Sąrašų palyginimas su sutartimi'!C43</f>
        <v>05.3.2-APVA-R-014</v>
      </c>
      <c r="D43" s="376" t="str">
        <f>'Sąrašų palyginimas su sutartimi'!D43</f>
        <v>SĮ „Simno komunalininkas“</v>
      </c>
      <c r="E43" s="376" t="str">
        <f>'Sąrašų palyginimas su sutartimi'!E43</f>
        <v>Alytaus r. sav.</v>
      </c>
      <c r="F43" s="376" t="str">
        <f>'Sąrašų palyginimas su sutartimi'!F43</f>
        <v>-</v>
      </c>
      <c r="G43" s="1600">
        <f>'Sąrašų palyginimas su sutartimi'!G43</f>
        <v>1571000</v>
      </c>
      <c r="H43" s="1602">
        <f t="shared" si="0"/>
        <v>1571000</v>
      </c>
      <c r="I43" s="1604">
        <f t="shared" si="1"/>
        <v>0</v>
      </c>
      <c r="J43" s="1600">
        <f>'Sąrašų palyginimas su sutartimi'!J43</f>
        <v>920475</v>
      </c>
      <c r="K43" s="1602">
        <f>'ES lėšos'!G42</f>
        <v>920475</v>
      </c>
      <c r="L43" s="1604">
        <f t="shared" si="2"/>
        <v>0</v>
      </c>
      <c r="M43" s="1600">
        <f>'Sąrašų palyginimas su sutartimi'!M43</f>
        <v>0</v>
      </c>
      <c r="N43" s="1602">
        <f>'3 pr-2'!$R55</f>
        <v>0</v>
      </c>
      <c r="O43" s="1604" t="str">
        <f t="shared" si="3"/>
        <v>–</v>
      </c>
      <c r="P43" s="1600">
        <f>'Sąrašų palyginimas su sutartimi'!P43</f>
        <v>0</v>
      </c>
      <c r="Q43" s="1602">
        <f>SUM('3 pr-2'!O55)</f>
        <v>0</v>
      </c>
      <c r="R43" s="1604" t="str">
        <f t="shared" si="4"/>
        <v>–</v>
      </c>
      <c r="S43" s="1600">
        <f>'Sąrašų palyginimas su sutartimi'!S43</f>
        <v>650525</v>
      </c>
      <c r="T43" s="1602">
        <f>SUM('3 pr-2'!U55)</f>
        <v>650525</v>
      </c>
      <c r="U43" s="1604">
        <f t="shared" si="5"/>
        <v>0</v>
      </c>
      <c r="V43" s="1600">
        <f>'Sąrašų palyginimas su sutartimi'!V43</f>
        <v>0</v>
      </c>
      <c r="W43" s="1602">
        <f>SUM('3 pr-2'!X55)</f>
        <v>0</v>
      </c>
      <c r="X43" s="1604" t="str">
        <f t="shared" si="6"/>
        <v>–</v>
      </c>
      <c r="Y43" s="1605" t="str">
        <f>'Sąrašų palyginimas su sutartimi'!Y43</f>
        <v>–</v>
      </c>
    </row>
    <row r="44" spans="1:25" ht="24.75" thickBot="1">
      <c r="A44" s="376">
        <f t="shared" si="7"/>
        <v>43</v>
      </c>
      <c r="B44" s="376" t="str">
        <f>'Sąrašų palyginimas su sutartimi'!B44</f>
        <v>Paviršinių nuotekų sistemų tvarkymas Alytaus mieste</v>
      </c>
      <c r="C44" s="376" t="str">
        <f>'Sąrašų palyginimas su sutartimi'!C44</f>
        <v>05.1.1-APVA-R-007</v>
      </c>
      <c r="D44" s="376" t="str">
        <f>'Sąrašų palyginimas su sutartimi'!D44</f>
        <v>UAB “Dzūkijos vandenys“</v>
      </c>
      <c r="E44" s="376" t="str">
        <f>'Sąrašų palyginimas su sutartimi'!E44</f>
        <v>Alytaus m. sav.</v>
      </c>
      <c r="F44" s="376" t="str">
        <f>'Sąrašų palyginimas su sutartimi'!F44</f>
        <v>-</v>
      </c>
      <c r="G44" s="1600">
        <f>'Sąrašų palyginimas su sutartimi'!G44</f>
        <v>3999404</v>
      </c>
      <c r="H44" s="1602">
        <f t="shared" si="0"/>
        <v>3990955.51</v>
      </c>
      <c r="I44" s="1604">
        <f t="shared" si="1"/>
        <v>8448.4900000002235</v>
      </c>
      <c r="J44" s="1600">
        <f>'Sąrašų palyginimas su sutartimi'!J44</f>
        <v>3399493</v>
      </c>
      <c r="K44" s="1602">
        <f>'ES lėšos'!G43</f>
        <v>3392312.19</v>
      </c>
      <c r="L44" s="1604">
        <f t="shared" si="2"/>
        <v>7180.8100000000559</v>
      </c>
      <c r="M44" s="1600">
        <f>'Sąrašų palyginimas su sutartimi'!M44</f>
        <v>0</v>
      </c>
      <c r="N44" s="1602">
        <f>'3 pr-2'!$R57</f>
        <v>0</v>
      </c>
      <c r="O44" s="1604" t="str">
        <f t="shared" si="3"/>
        <v>–</v>
      </c>
      <c r="P44" s="1600">
        <f>'Sąrašų palyginimas su sutartimi'!P44</f>
        <v>0</v>
      </c>
      <c r="Q44" s="1602">
        <f>SUM('3 pr-2'!O57)</f>
        <v>0</v>
      </c>
      <c r="R44" s="1604" t="str">
        <f t="shared" si="4"/>
        <v>–</v>
      </c>
      <c r="S44" s="1600">
        <f>'Sąrašų palyginimas su sutartimi'!S44</f>
        <v>599911</v>
      </c>
      <c r="T44" s="1602">
        <f>SUM('3 pr-2'!U57)</f>
        <v>598643.31999999995</v>
      </c>
      <c r="U44" s="1604">
        <f t="shared" si="5"/>
        <v>1267.6800000000512</v>
      </c>
      <c r="V44" s="1600">
        <f>'Sąrašų palyginimas su sutartimi'!V44</f>
        <v>0</v>
      </c>
      <c r="W44" s="1602">
        <f>SUM('3 pr-2'!X57)</f>
        <v>0</v>
      </c>
      <c r="X44" s="1604" t="str">
        <f t="shared" si="6"/>
        <v>–</v>
      </c>
      <c r="Y44" s="1605" t="str">
        <f>'Sąrašų palyginimas su sutartimi'!Y44</f>
        <v>–</v>
      </c>
    </row>
    <row r="45" spans="1:25" ht="36.75" thickBot="1">
      <c r="A45" s="376">
        <f t="shared" si="7"/>
        <v>44</v>
      </c>
      <c r="B45" s="376" t="str">
        <f>'Sąrašų palyginimas su sutartimi'!B45</f>
        <v>Alytaus regiono turizmo informacinės infrastruktūros plėtra</v>
      </c>
      <c r="C45" s="376" t="str">
        <f>'Sąrašų palyginimas su sutartimi'!C45</f>
        <v>05.4.1-LVPA-R-821</v>
      </c>
      <c r="D45" s="376" t="str">
        <f>'Sąrašų palyginimas su sutartimi'!D45</f>
        <v>Alytaus miesto savivaldybės administracija</v>
      </c>
      <c r="E45" s="376" t="str">
        <f>'Sąrašų palyginimas su sutartimi'!E45</f>
        <v>Alytaus regionas</v>
      </c>
      <c r="F45" s="376" t="str">
        <f>'Sąrašų palyginimas su sutartimi'!F45</f>
        <v>-</v>
      </c>
      <c r="G45" s="1600">
        <f>'Sąrašų palyginimas su sutartimi'!G45</f>
        <v>208223.53</v>
      </c>
      <c r="H45" s="1602">
        <f t="shared" si="0"/>
        <v>208223.5294117647</v>
      </c>
      <c r="I45" s="1604">
        <f t="shared" si="1"/>
        <v>5.8823529980145395E-4</v>
      </c>
      <c r="J45" s="1600">
        <f>'Sąrašų palyginimas su sutartimi'!J45</f>
        <v>176990</v>
      </c>
      <c r="K45" s="1602">
        <f>'ES lėšos'!G44</f>
        <v>176990</v>
      </c>
      <c r="L45" s="1604">
        <f t="shared" si="2"/>
        <v>0</v>
      </c>
      <c r="M45" s="1600">
        <f>'Sąrašų palyginimas su sutartimi'!M45</f>
        <v>0</v>
      </c>
      <c r="N45" s="1602">
        <f>'3 pr-2'!$R59</f>
        <v>0</v>
      </c>
      <c r="O45" s="1604" t="str">
        <f t="shared" si="3"/>
        <v>–</v>
      </c>
      <c r="P45" s="1600">
        <f>'Sąrašų palyginimas su sutartimi'!P45</f>
        <v>31233.53</v>
      </c>
      <c r="Q45" s="1602">
        <f>SUM('3 pr-2'!O59)</f>
        <v>31233.529411764706</v>
      </c>
      <c r="R45" s="1604">
        <f t="shared" si="4"/>
        <v>5.8823529252549633E-4</v>
      </c>
      <c r="S45" s="1600">
        <f>'Sąrašų palyginimas su sutartimi'!S45</f>
        <v>0</v>
      </c>
      <c r="T45" s="1602">
        <f>SUM('3 pr-2'!U59)</f>
        <v>0</v>
      </c>
      <c r="U45" s="1604" t="str">
        <f t="shared" si="5"/>
        <v>–</v>
      </c>
      <c r="V45" s="1600">
        <f>'Sąrašų palyginimas su sutartimi'!V45</f>
        <v>0</v>
      </c>
      <c r="W45" s="1602">
        <f>SUM('3 pr-2'!X59)</f>
        <v>0</v>
      </c>
      <c r="X45" s="1604" t="str">
        <f t="shared" si="6"/>
        <v>–</v>
      </c>
      <c r="Y45" s="1605" t="str">
        <f>'Sąrašų palyginimas su sutartimi'!Y45</f>
        <v>–</v>
      </c>
    </row>
    <row r="46" spans="1:25" ht="60.75" thickBot="1">
      <c r="A46" s="376">
        <f t="shared" si="7"/>
        <v>45</v>
      </c>
      <c r="B46" s="376" t="str">
        <f>'Sąrašų palyginimas su sutartimi'!B46</f>
        <v>Turizmo trasų ir maršrutų informacinės infrastruktūros plėtra Lazdijų, Varėnos rajonų ir Druskininkų savivaldybėse</v>
      </c>
      <c r="C46" s="376" t="str">
        <f>'Sąrašų palyginimas su sutartimi'!C46</f>
        <v>05.4.1-LVPA-R-821</v>
      </c>
      <c r="D46" s="376" t="str">
        <f>'Sąrašų palyginimas su sutartimi'!D46</f>
        <v>Lazdijų rajono savivaldybės administracija</v>
      </c>
      <c r="E46" s="376" t="str">
        <f>'Sąrašų palyginimas su sutartimi'!E46</f>
        <v xml:space="preserve">Lazdijų, Varėnos rajonų ir Druskininkų savivaldybės </v>
      </c>
      <c r="F46" s="376" t="str">
        <f>'Sąrašų palyginimas su sutartimi'!F46</f>
        <v>-</v>
      </c>
      <c r="G46" s="1600">
        <f>'Sąrašų palyginimas su sutartimi'!G46</f>
        <v>288106</v>
      </c>
      <c r="H46" s="1602">
        <f t="shared" si="0"/>
        <v>288106</v>
      </c>
      <c r="I46" s="1604">
        <f t="shared" si="1"/>
        <v>0</v>
      </c>
      <c r="J46" s="1600">
        <f>'Sąrašų palyginimas su sutartimi'!J46</f>
        <v>244890.1</v>
      </c>
      <c r="K46" s="1602">
        <f>'ES lėšos'!G45</f>
        <v>244890.1</v>
      </c>
      <c r="L46" s="1604">
        <f t="shared" si="2"/>
        <v>0</v>
      </c>
      <c r="M46" s="1600">
        <f>'Sąrašų palyginimas su sutartimi'!M46</f>
        <v>0</v>
      </c>
      <c r="N46" s="1602">
        <f>'3 pr-2'!$R60</f>
        <v>0</v>
      </c>
      <c r="O46" s="1604" t="str">
        <f t="shared" si="3"/>
        <v>–</v>
      </c>
      <c r="P46" s="1600">
        <f>'Sąrašų palyginimas su sutartimi'!P46</f>
        <v>43215.9</v>
      </c>
      <c r="Q46" s="1602">
        <f>SUM('3 pr-2'!O60)</f>
        <v>43215.9</v>
      </c>
      <c r="R46" s="1604">
        <f t="shared" si="4"/>
        <v>0</v>
      </c>
      <c r="S46" s="1600">
        <f>'Sąrašų palyginimas su sutartimi'!S46</f>
        <v>0</v>
      </c>
      <c r="T46" s="1602">
        <f>SUM('3 pr-2'!U60)</f>
        <v>0</v>
      </c>
      <c r="U46" s="1604" t="str">
        <f t="shared" si="5"/>
        <v>–</v>
      </c>
      <c r="V46" s="1600">
        <f>'Sąrašų palyginimas su sutartimi'!V46</f>
        <v>0</v>
      </c>
      <c r="W46" s="1602">
        <f>SUM('3 pr-2'!X60)</f>
        <v>0</v>
      </c>
      <c r="X46" s="1604" t="str">
        <f t="shared" si="6"/>
        <v>–</v>
      </c>
      <c r="Y46" s="1605" t="str">
        <f>'Sąrašų palyginimas su sutartimi'!Y46</f>
        <v>–</v>
      </c>
    </row>
    <row r="47" spans="1:25" ht="60.75" thickBot="1">
      <c r="A47" s="376">
        <f t="shared" si="7"/>
        <v>46</v>
      </c>
      <c r="B47" s="376" t="str">
        <f>'Sąrašų palyginimas su sutartimi'!B47</f>
        <v>Turizmo trasų ir maršrutų informacinės infrastruktūros plėtra Lazdijų, Varėnos rajonų ir Druskininkų savivaldybėse, II etapas</v>
      </c>
      <c r="C47" s="376" t="str">
        <f>'Sąrašų palyginimas su sutartimi'!C47</f>
        <v>05.4.1-LVPA-R-821</v>
      </c>
      <c r="D47" s="376" t="str">
        <f>'Sąrašų palyginimas su sutartimi'!D47</f>
        <v>Lazdijų rajono savivaldybės administracija</v>
      </c>
      <c r="E47" s="376" t="str">
        <f>'Sąrašų palyginimas su sutartimi'!E47</f>
        <v xml:space="preserve">Lazdijų, Varėnos rajonų ir Druskininkų savivaldybės </v>
      </c>
      <c r="F47" s="376" t="str">
        <f>'Sąrašų palyginimas su sutartimi'!F47</f>
        <v>-</v>
      </c>
      <c r="G47" s="1600">
        <f>'Sąrašų palyginimas su sutartimi'!G47</f>
        <v>222988.12</v>
      </c>
      <c r="H47" s="1602">
        <f t="shared" si="0"/>
        <v>222988.11764705883</v>
      </c>
      <c r="I47" s="1604">
        <f t="shared" si="1"/>
        <v>2.3529411701019853E-3</v>
      </c>
      <c r="J47" s="1600">
        <f>'Sąrašų palyginimas su sutartimi'!J47</f>
        <v>189539.9</v>
      </c>
      <c r="K47" s="1602">
        <f>'ES lėšos'!G46</f>
        <v>189539.9</v>
      </c>
      <c r="L47" s="1604">
        <f t="shared" si="2"/>
        <v>0</v>
      </c>
      <c r="M47" s="1600">
        <f>'Sąrašų palyginimas su sutartimi'!M47</f>
        <v>0</v>
      </c>
      <c r="N47" s="1602">
        <f>'3 pr-2'!$R61</f>
        <v>0</v>
      </c>
      <c r="O47" s="1604" t="str">
        <f t="shared" si="3"/>
        <v>–</v>
      </c>
      <c r="P47" s="1600">
        <f>'Sąrašų palyginimas su sutartimi'!P47</f>
        <v>33448.22</v>
      </c>
      <c r="Q47" s="1602">
        <f>SUM('3 pr-2'!O61)</f>
        <v>33448.217647058824</v>
      </c>
      <c r="R47" s="1604">
        <f t="shared" si="4"/>
        <v>2.3529411773779429E-3</v>
      </c>
      <c r="S47" s="1600">
        <f>'Sąrašų palyginimas su sutartimi'!S47</f>
        <v>0</v>
      </c>
      <c r="T47" s="1602">
        <f>SUM('3 pr-2'!U61)</f>
        <v>0</v>
      </c>
      <c r="U47" s="1604" t="str">
        <f t="shared" si="5"/>
        <v>–</v>
      </c>
      <c r="V47" s="1600">
        <f>'Sąrašų palyginimas su sutartimi'!V47</f>
        <v>0</v>
      </c>
      <c r="W47" s="1602">
        <f>SUM('3 pr-2'!X61)</f>
        <v>0</v>
      </c>
      <c r="X47" s="1604" t="str">
        <f t="shared" si="6"/>
        <v>–</v>
      </c>
      <c r="Y47" s="1605" t="str">
        <f>'Sąrašų palyginimas su sutartimi'!Y47</f>
        <v>–</v>
      </c>
    </row>
    <row r="48" spans="1:25" ht="48.75" thickBot="1">
      <c r="A48" s="376">
        <f t="shared" si="7"/>
        <v>47</v>
      </c>
      <c r="B48" s="376" t="str">
        <f>'Sąrašų palyginimas su sutartimi'!B48</f>
        <v>Kultūros įstaigų infrastruktūros modernizavimas Varėnos mieste</v>
      </c>
      <c r="C48" s="376" t="str">
        <f>'Sąrašų palyginimas su sutartimi'!C48</f>
        <v>07.1.1-CPVA-R-305</v>
      </c>
      <c r="D48" s="376" t="str">
        <f>'Sąrašų palyginimas su sutartimi'!D48</f>
        <v>Varėnos rajono savivaldybės administracija</v>
      </c>
      <c r="E48" s="376" t="str">
        <f>'Sąrašų palyginimas su sutartimi'!E48</f>
        <v>Varėnos r. sav.</v>
      </c>
      <c r="F48" s="376" t="str">
        <f>'Sąrašų palyginimas su sutartimi'!F48</f>
        <v>ITI</v>
      </c>
      <c r="G48" s="1600">
        <f>'Sąrašų palyginimas su sutartimi'!G48</f>
        <v>352401</v>
      </c>
      <c r="H48" s="1602">
        <f t="shared" si="0"/>
        <v>352401</v>
      </c>
      <c r="I48" s="1604">
        <f t="shared" si="1"/>
        <v>0</v>
      </c>
      <c r="J48" s="1600">
        <f>'Sąrašų palyginimas su sutartimi'!J48</f>
        <v>299540.84999999998</v>
      </c>
      <c r="K48" s="1602">
        <f>'ES lėšos'!G47</f>
        <v>299540.84999999998</v>
      </c>
      <c r="L48" s="1604">
        <f t="shared" si="2"/>
        <v>0</v>
      </c>
      <c r="M48" s="1600">
        <f>'Sąrašų palyginimas su sutartimi'!M48</f>
        <v>0</v>
      </c>
      <c r="N48" s="1602">
        <f>'3 pr-2'!$R63</f>
        <v>0</v>
      </c>
      <c r="O48" s="1604" t="str">
        <f t="shared" si="3"/>
        <v>–</v>
      </c>
      <c r="P48" s="1600">
        <f>'Sąrašų palyginimas su sutartimi'!P48</f>
        <v>52860.15</v>
      </c>
      <c r="Q48" s="1602">
        <f>SUM('3 pr-2'!O63)</f>
        <v>52860.15</v>
      </c>
      <c r="R48" s="1604">
        <f t="shared" si="4"/>
        <v>0</v>
      </c>
      <c r="S48" s="1600">
        <f>'Sąrašų palyginimas su sutartimi'!S48</f>
        <v>0</v>
      </c>
      <c r="T48" s="1602">
        <f>SUM('3 pr-2'!U63)</f>
        <v>0</v>
      </c>
      <c r="U48" s="1604" t="str">
        <f t="shared" si="5"/>
        <v>–</v>
      </c>
      <c r="V48" s="1600">
        <f>'Sąrašų palyginimas su sutartimi'!V48</f>
        <v>0</v>
      </c>
      <c r="W48" s="1602">
        <f>SUM('3 pr-2'!X63)</f>
        <v>0</v>
      </c>
      <c r="X48" s="1604" t="str">
        <f t="shared" si="6"/>
        <v>–</v>
      </c>
      <c r="Y48" s="1605" t="str">
        <f>'Sąrašų palyginimas su sutartimi'!Y48</f>
        <v>–</v>
      </c>
    </row>
    <row r="49" spans="1:25" ht="48.75" thickBot="1">
      <c r="A49" s="376">
        <f t="shared" si="7"/>
        <v>48</v>
      </c>
      <c r="B49" s="376" t="str">
        <f>'Sąrašų palyginimas su sutartimi'!B49</f>
        <v>VšĮ Alytaus kultūros ir komunikacijos centro pastato Alytuje, Pramonės g. 1B, rekonstravimas</v>
      </c>
      <c r="C49" s="376" t="str">
        <f>'Sąrašų palyginimas su sutartimi'!C49</f>
        <v>07.1.1-CPVA-R-305</v>
      </c>
      <c r="D49" s="376" t="str">
        <f>'Sąrašų palyginimas su sutartimi'!D49</f>
        <v>Alytaus miesto savivaldybės administracija</v>
      </c>
      <c r="E49" s="376" t="str">
        <f>'Sąrašų palyginimas su sutartimi'!E49</f>
        <v>Alytaus m. sav.</v>
      </c>
      <c r="F49" s="376" t="str">
        <f>'Sąrašų palyginimas su sutartimi'!F49</f>
        <v>ITI</v>
      </c>
      <c r="G49" s="1600">
        <f>'Sąrašų palyginimas su sutartimi'!G49</f>
        <v>783264.16</v>
      </c>
      <c r="H49" s="1602">
        <f t="shared" si="0"/>
        <v>783264.15999999992</v>
      </c>
      <c r="I49" s="1604">
        <f t="shared" si="1"/>
        <v>1.1641532182693481E-10</v>
      </c>
      <c r="J49" s="1600">
        <f>'Sąrašų palyginimas su sutartimi'!J49</f>
        <v>299541</v>
      </c>
      <c r="K49" s="1602">
        <f>'ES lėšos'!G48</f>
        <v>299541</v>
      </c>
      <c r="L49" s="1604">
        <f t="shared" si="2"/>
        <v>0</v>
      </c>
      <c r="M49" s="1600">
        <f>'Sąrašų palyginimas su sutartimi'!M49</f>
        <v>352400.82</v>
      </c>
      <c r="N49" s="1602">
        <f>'3 pr-2'!$R64</f>
        <v>0</v>
      </c>
      <c r="O49" s="1604">
        <f t="shared" si="3"/>
        <v>352400.82</v>
      </c>
      <c r="P49" s="1600">
        <f>'Sąrašų palyginimas su sutartimi'!P49</f>
        <v>131322.34</v>
      </c>
      <c r="Q49" s="1602">
        <f>SUM('3 pr-2'!O64)</f>
        <v>131322.34</v>
      </c>
      <c r="R49" s="1604">
        <f t="shared" si="4"/>
        <v>0</v>
      </c>
      <c r="S49" s="1600">
        <f>'Sąrašų palyginimas su sutartimi'!S49</f>
        <v>0</v>
      </c>
      <c r="T49" s="1602">
        <f>SUM('3 pr-2'!U64)</f>
        <v>0</v>
      </c>
      <c r="U49" s="1604" t="str">
        <f t="shared" si="5"/>
        <v>–</v>
      </c>
      <c r="V49" s="1600">
        <f>'Sąrašų palyginimas su sutartimi'!V49</f>
        <v>0</v>
      </c>
      <c r="W49" s="1602">
        <f>SUM('3 pr-2'!X64)</f>
        <v>352400.82</v>
      </c>
      <c r="X49" s="1604" t="str">
        <f t="shared" si="6"/>
        <v>–</v>
      </c>
      <c r="Y49" s="1605" t="str">
        <f>'Sąrašų palyginimas su sutartimi'!Y49</f>
        <v>–</v>
      </c>
    </row>
    <row r="50" spans="1:25" ht="72.75" thickBot="1">
      <c r="A50" s="376">
        <f t="shared" si="7"/>
        <v>49</v>
      </c>
      <c r="B50" s="376" t="str">
        <f>'Sąrašų palyginimas su sutartimi'!B50</f>
        <v>Druskininkų kultūros centro lauko scenos, Vilniaus al. 24, Druskininkai, modernizavimas ir pritaikymas kultūros poreikiams</v>
      </c>
      <c r="C50" s="376" t="str">
        <f>'Sąrašų palyginimas su sutartimi'!C50</f>
        <v>07.1.1-CPVA-R-305</v>
      </c>
      <c r="D50" s="376" t="str">
        <f>'Sąrašų palyginimas su sutartimi'!D50</f>
        <v xml:space="preserve">Druskininkų savivaldybės administracija  </v>
      </c>
      <c r="E50" s="376" t="str">
        <f>'Sąrašų palyginimas su sutartimi'!E50</f>
        <v>Druskininkų sav.</v>
      </c>
      <c r="F50" s="376" t="str">
        <f>'Sąrašų palyginimas su sutartimi'!F50</f>
        <v>ITI</v>
      </c>
      <c r="G50" s="1600">
        <f>'Sąrašų palyginimas su sutartimi'!G50</f>
        <v>352401</v>
      </c>
      <c r="H50" s="1602">
        <f t="shared" si="0"/>
        <v>352401</v>
      </c>
      <c r="I50" s="1604">
        <f t="shared" si="1"/>
        <v>0</v>
      </c>
      <c r="J50" s="1600">
        <f>'Sąrašų palyginimas su sutartimi'!J50</f>
        <v>299540.84999999998</v>
      </c>
      <c r="K50" s="1602">
        <f>'ES lėšos'!G49</f>
        <v>299540.84999999998</v>
      </c>
      <c r="L50" s="1604">
        <f t="shared" si="2"/>
        <v>0</v>
      </c>
      <c r="M50" s="1600">
        <f>'Sąrašų palyginimas su sutartimi'!M50</f>
        <v>0</v>
      </c>
      <c r="N50" s="1602">
        <f>'3 pr-2'!$R65</f>
        <v>0</v>
      </c>
      <c r="O50" s="1604" t="str">
        <f t="shared" si="3"/>
        <v>–</v>
      </c>
      <c r="P50" s="1600">
        <f>'Sąrašų palyginimas su sutartimi'!P50</f>
        <v>52860.15</v>
      </c>
      <c r="Q50" s="1602">
        <f>SUM('3 pr-2'!O65)</f>
        <v>52860.15</v>
      </c>
      <c r="R50" s="1604">
        <f t="shared" si="4"/>
        <v>0</v>
      </c>
      <c r="S50" s="1600">
        <f>'Sąrašų palyginimas su sutartimi'!S50</f>
        <v>0</v>
      </c>
      <c r="T50" s="1602">
        <f>SUM('3 pr-2'!U65)</f>
        <v>0</v>
      </c>
      <c r="U50" s="1604" t="str">
        <f t="shared" si="5"/>
        <v>–</v>
      </c>
      <c r="V50" s="1600">
        <f>'Sąrašų palyginimas su sutartimi'!V50</f>
        <v>0</v>
      </c>
      <c r="W50" s="1602">
        <f>SUM('3 pr-2'!X65)</f>
        <v>0</v>
      </c>
      <c r="X50" s="1604" t="str">
        <f t="shared" si="6"/>
        <v>–</v>
      </c>
      <c r="Y50" s="1605" t="str">
        <f>'Sąrašų palyginimas su sutartimi'!Y50</f>
        <v>–</v>
      </c>
    </row>
    <row r="51" spans="1:25" ht="48.75" thickBot="1">
      <c r="A51" s="376">
        <f t="shared" si="7"/>
        <v>50</v>
      </c>
      <c r="B51" s="376" t="str">
        <f>'Sąrašų palyginimas su sutartimi'!B51</f>
        <v>Pastato rekonstrukcija ir pritaikymas kultūrinėms, muziejinėms ir edukacinėms reikmėms</v>
      </c>
      <c r="C51" s="376" t="str">
        <f>'Sąrašų palyginimas su sutartimi'!C51</f>
        <v>07.1.1-CPVA-R-305</v>
      </c>
      <c r="D51" s="376" t="str">
        <f>'Sąrašų palyginimas su sutartimi'!D51</f>
        <v>Lazdijų rajono savivaldybės administracija</v>
      </c>
      <c r="E51" s="376" t="str">
        <f>'Sąrašų palyginimas su sutartimi'!E51</f>
        <v>Lazdijų r. sav.</v>
      </c>
      <c r="F51" s="376" t="str">
        <f>'Sąrašų palyginimas su sutartimi'!F51</f>
        <v>ITI</v>
      </c>
      <c r="G51" s="1600">
        <f>'Sąrašų palyginimas su sutartimi'!G51</f>
        <v>484769.35</v>
      </c>
      <c r="H51" s="1602">
        <f t="shared" si="0"/>
        <v>484769.35</v>
      </c>
      <c r="I51" s="1604">
        <f t="shared" si="1"/>
        <v>0</v>
      </c>
      <c r="J51" s="1600">
        <f>'Sąrašų palyginimas su sutartimi'!J51</f>
        <v>299541</v>
      </c>
      <c r="K51" s="1602">
        <f>'ES lėšos'!G50</f>
        <v>299541</v>
      </c>
      <c r="L51" s="1604">
        <f t="shared" si="2"/>
        <v>0</v>
      </c>
      <c r="M51" s="1600">
        <f>'Sąrašų palyginimas su sutartimi'!M51</f>
        <v>0</v>
      </c>
      <c r="N51" s="1602">
        <f>'3 pr-2'!$R66</f>
        <v>0</v>
      </c>
      <c r="O51" s="1604" t="str">
        <f t="shared" si="3"/>
        <v>–</v>
      </c>
      <c r="P51" s="1600">
        <f>'Sąrašų palyginimas su sutartimi'!P51</f>
        <v>185228.35</v>
      </c>
      <c r="Q51" s="1602">
        <f>SUM('3 pr-2'!O66)</f>
        <v>185228.35</v>
      </c>
      <c r="R51" s="1604">
        <f t="shared" si="4"/>
        <v>0</v>
      </c>
      <c r="S51" s="1600">
        <f>'Sąrašų palyginimas su sutartimi'!S51</f>
        <v>0</v>
      </c>
      <c r="T51" s="1602">
        <f>SUM('3 pr-2'!U66)</f>
        <v>0</v>
      </c>
      <c r="U51" s="1604" t="str">
        <f t="shared" si="5"/>
        <v>–</v>
      </c>
      <c r="V51" s="1600">
        <f>'Sąrašų palyginimas su sutartimi'!V51</f>
        <v>0</v>
      </c>
      <c r="W51" s="1602">
        <f>SUM('3 pr-2'!X66)</f>
        <v>0</v>
      </c>
      <c r="X51" s="1604" t="str">
        <f t="shared" si="6"/>
        <v>–</v>
      </c>
      <c r="Y51" s="1605" t="str">
        <f>'Sąrašų palyginimas su sutartimi'!Y51</f>
        <v>–</v>
      </c>
    </row>
    <row r="52" spans="1:25" ht="48.75" thickBot="1">
      <c r="A52" s="376">
        <f t="shared" si="7"/>
        <v>51</v>
      </c>
      <c r="B52" s="376" t="str">
        <f>'Sąrašų palyginimas su sutartimi'!B52</f>
        <v>Buvusios sinagogos pastato Kauno g. 9A Alytuje rekonstravimas ir aplinkinės teritorijos sutvarkymas</v>
      </c>
      <c r="C52" s="376" t="str">
        <f>'Sąrašų palyginimas su sutartimi'!C52</f>
        <v>05.4.1-CPVA-R-302</v>
      </c>
      <c r="D52" s="376" t="str">
        <f>'Sąrašų palyginimas su sutartimi'!D52</f>
        <v>Alytaus miesto savivaldybės administracija</v>
      </c>
      <c r="E52" s="376" t="str">
        <f>'Sąrašų palyginimas su sutartimi'!E52</f>
        <v>Alytaus m. sav.</v>
      </c>
      <c r="F52" s="376" t="str">
        <f>'Sąrašų palyginimas su sutartimi'!F52</f>
        <v>ITI</v>
      </c>
      <c r="G52" s="1600">
        <f>'Sąrašų palyginimas su sutartimi'!G52</f>
        <v>444560.16</v>
      </c>
      <c r="H52" s="1602">
        <f t="shared" si="0"/>
        <v>444560.16000000003</v>
      </c>
      <c r="I52" s="1604">
        <f t="shared" si="1"/>
        <v>-5.8207660913467407E-11</v>
      </c>
      <c r="J52" s="1600">
        <f>'Sąrašų palyginimas su sutartimi'!J52</f>
        <v>206056</v>
      </c>
      <c r="K52" s="1602">
        <f>'ES lėšos'!G51</f>
        <v>206056</v>
      </c>
      <c r="L52" s="1604">
        <f t="shared" si="2"/>
        <v>0</v>
      </c>
      <c r="M52" s="1600">
        <f>'Sąrašų palyginimas su sutartimi'!M52</f>
        <v>0</v>
      </c>
      <c r="N52" s="1602">
        <f>'3 pr-2'!$R68</f>
        <v>0</v>
      </c>
      <c r="O52" s="1604" t="str">
        <f t="shared" si="3"/>
        <v>–</v>
      </c>
      <c r="P52" s="1600">
        <f>'Sąrašų palyginimas su sutartimi'!P52</f>
        <v>238504.16</v>
      </c>
      <c r="Q52" s="1602">
        <f>SUM('3 pr-2'!O68)</f>
        <v>238504.16</v>
      </c>
      <c r="R52" s="1604">
        <f t="shared" si="4"/>
        <v>0</v>
      </c>
      <c r="S52" s="1600">
        <f>'Sąrašų palyginimas su sutartimi'!S52</f>
        <v>0</v>
      </c>
      <c r="T52" s="1602">
        <f>SUM('3 pr-2'!U68)</f>
        <v>0</v>
      </c>
      <c r="U52" s="1604" t="str">
        <f t="shared" si="5"/>
        <v>–</v>
      </c>
      <c r="V52" s="1600">
        <f>'Sąrašų palyginimas su sutartimi'!V52</f>
        <v>0</v>
      </c>
      <c r="W52" s="1602">
        <f>SUM('3 pr-2'!X68)</f>
        <v>0</v>
      </c>
      <c r="X52" s="1604" t="str">
        <f t="shared" si="6"/>
        <v>–</v>
      </c>
      <c r="Y52" s="1605" t="str">
        <f>'Sąrašų palyginimas su sutartimi'!Y52</f>
        <v>–</v>
      </c>
    </row>
    <row r="53" spans="1:25" ht="72.75" thickBot="1">
      <c r="A53" s="376">
        <f t="shared" si="7"/>
        <v>52</v>
      </c>
      <c r="B53" s="376" t="str">
        <f>'Sąrašų palyginimas su sutartimi'!B53</f>
        <v>Mažosios dailės galerijos, M.K.Čiurlionio g. 37, Druskininkai, modernizavimas ir pritaikymas kultūros poreikiams</v>
      </c>
      <c r="C53" s="376" t="str">
        <f>'Sąrašų palyginimas su sutartimi'!C53</f>
        <v>05.4.1-CPVA-R-302</v>
      </c>
      <c r="D53" s="376" t="str">
        <f>'Sąrašų palyginimas su sutartimi'!D53</f>
        <v xml:space="preserve">Druskininkų savivaldybės administracija  </v>
      </c>
      <c r="E53" s="376" t="str">
        <f>'Sąrašų palyginimas su sutartimi'!E53</f>
        <v>Druskininkų sav.</v>
      </c>
      <c r="F53" s="376" t="str">
        <f>'Sąrašų palyginimas su sutartimi'!F53</f>
        <v>-</v>
      </c>
      <c r="G53" s="1600">
        <f>'Sąrašų palyginimas su sutartimi'!G53</f>
        <v>297670.40999999997</v>
      </c>
      <c r="H53" s="1602">
        <f t="shared" si="0"/>
        <v>297670.41000000003</v>
      </c>
      <c r="I53" s="1604">
        <f t="shared" si="1"/>
        <v>-5.8207660913467407E-11</v>
      </c>
      <c r="J53" s="1600">
        <f>'Sąrašų palyginimas su sutartimi'!J53</f>
        <v>206056</v>
      </c>
      <c r="K53" s="1602">
        <f>'ES lėšos'!G52</f>
        <v>206056</v>
      </c>
      <c r="L53" s="1604">
        <f t="shared" si="2"/>
        <v>0</v>
      </c>
      <c r="M53" s="1600">
        <f>'Sąrašų palyginimas su sutartimi'!M53</f>
        <v>0</v>
      </c>
      <c r="N53" s="1602">
        <f>'3 pr-2'!$R69</f>
        <v>0</v>
      </c>
      <c r="O53" s="1604" t="str">
        <f t="shared" si="3"/>
        <v>–</v>
      </c>
      <c r="P53" s="1600">
        <f>'Sąrašų palyginimas su sutartimi'!P53</f>
        <v>91614.41</v>
      </c>
      <c r="Q53" s="1602">
        <f>SUM('3 pr-2'!O69)</f>
        <v>91614.41</v>
      </c>
      <c r="R53" s="1604">
        <f t="shared" si="4"/>
        <v>0</v>
      </c>
      <c r="S53" s="1600">
        <f>'Sąrašų palyginimas su sutartimi'!S53</f>
        <v>0</v>
      </c>
      <c r="T53" s="1602">
        <f>SUM('3 pr-2'!U69)</f>
        <v>0</v>
      </c>
      <c r="U53" s="1604" t="str">
        <f t="shared" si="5"/>
        <v>–</v>
      </c>
      <c r="V53" s="1600">
        <f>'Sąrašų palyginimas su sutartimi'!V53</f>
        <v>0</v>
      </c>
      <c r="W53" s="1602">
        <f>SUM('3 pr-2'!X69)</f>
        <v>0</v>
      </c>
      <c r="X53" s="1604" t="str">
        <f t="shared" si="6"/>
        <v>–</v>
      </c>
      <c r="Y53" s="1605" t="str">
        <f>'Sąrašų palyginimas su sutartimi'!Y53</f>
        <v>–</v>
      </c>
    </row>
    <row r="54" spans="1:25" ht="36.75" thickBot="1">
      <c r="A54" s="376">
        <f t="shared" si="7"/>
        <v>53</v>
      </c>
      <c r="B54" s="376" t="str">
        <f>'Sąrašų palyginimas su sutartimi'!B54</f>
        <v>Motiejaus Gustaičio memorialinio namo kompleksinis sutvarkymas</v>
      </c>
      <c r="C54" s="376" t="str">
        <f>'Sąrašų palyginimas su sutartimi'!C54</f>
        <v>05.4.1-CPVA-R-302</v>
      </c>
      <c r="D54" s="376" t="str">
        <f>'Sąrašų palyginimas su sutartimi'!D54</f>
        <v>Lazdijų rajono savivaldybės administracija</v>
      </c>
      <c r="E54" s="376" t="str">
        <f>'Sąrašų palyginimas su sutartimi'!E54</f>
        <v>Lazdijų r. sav.</v>
      </c>
      <c r="F54" s="376" t="str">
        <f>'Sąrašų palyginimas su sutartimi'!F54</f>
        <v>ITI</v>
      </c>
      <c r="G54" s="1600">
        <f>'Sąrašų palyginimas su sutartimi'!G54</f>
        <v>242419</v>
      </c>
      <c r="H54" s="1602">
        <f t="shared" si="0"/>
        <v>242419</v>
      </c>
      <c r="I54" s="1604">
        <f t="shared" si="1"/>
        <v>0</v>
      </c>
      <c r="J54" s="1600">
        <f>'Sąrašų palyginimas su sutartimi'!J54</f>
        <v>206056</v>
      </c>
      <c r="K54" s="1602">
        <f>'ES lėšos'!G53</f>
        <v>206056</v>
      </c>
      <c r="L54" s="1604">
        <f t="shared" si="2"/>
        <v>0</v>
      </c>
      <c r="M54" s="1600">
        <f>'Sąrašų palyginimas su sutartimi'!M54</f>
        <v>0</v>
      </c>
      <c r="N54" s="1602">
        <f>'3 pr-2'!$R70</f>
        <v>0</v>
      </c>
      <c r="O54" s="1604" t="str">
        <f t="shared" si="3"/>
        <v>–</v>
      </c>
      <c r="P54" s="1600">
        <f>'Sąrašų palyginimas su sutartimi'!P54</f>
        <v>36363</v>
      </c>
      <c r="Q54" s="1602">
        <f>SUM('3 pr-2'!O70)</f>
        <v>36363</v>
      </c>
      <c r="R54" s="1604">
        <f t="shared" si="4"/>
        <v>0</v>
      </c>
      <c r="S54" s="1600">
        <f>'Sąrašų palyginimas su sutartimi'!S54</f>
        <v>0</v>
      </c>
      <c r="T54" s="1602">
        <f>SUM('3 pr-2'!U70)</f>
        <v>0</v>
      </c>
      <c r="U54" s="1604" t="str">
        <f t="shared" si="5"/>
        <v>–</v>
      </c>
      <c r="V54" s="1600">
        <f>'Sąrašų palyginimas su sutartimi'!V54</f>
        <v>0</v>
      </c>
      <c r="W54" s="1602">
        <f>SUM('3 pr-2'!X70)</f>
        <v>0</v>
      </c>
      <c r="X54" s="1604" t="str">
        <f t="shared" si="6"/>
        <v>–</v>
      </c>
      <c r="Y54" s="1605" t="str">
        <f>'Sąrašų palyginimas su sutartimi'!Y54</f>
        <v>–</v>
      </c>
    </row>
    <row r="55" spans="1:25" ht="48.75" thickBot="1">
      <c r="A55" s="376">
        <f t="shared" si="7"/>
        <v>54</v>
      </c>
      <c r="B55" s="376" t="str">
        <f>'Sąrašų palyginimas su sutartimi'!B55</f>
        <v>Kurnėnų Lauryno Radziukyno mokyklos pritaikymas kultūrinėms ir turistinėms reikmėms</v>
      </c>
      <c r="C55" s="376" t="str">
        <f>'Sąrašų palyginimas su sutartimi'!C55</f>
        <v>05.4.1-CPVA-R-302</v>
      </c>
      <c r="D55" s="376" t="str">
        <f>'Sąrašų palyginimas su sutartimi'!D55</f>
        <v>Alytaus rajono savivaldybės administracija</v>
      </c>
      <c r="E55" s="376" t="str">
        <f>'Sąrašų palyginimas su sutartimi'!E55</f>
        <v>Alytaus r. sav.</v>
      </c>
      <c r="F55" s="376" t="str">
        <f>'Sąrašų palyginimas su sutartimi'!F55</f>
        <v>-</v>
      </c>
      <c r="G55" s="1600">
        <f>'Sąrašų palyginimas su sutartimi'!G55</f>
        <v>260122</v>
      </c>
      <c r="H55" s="1602">
        <f t="shared" si="0"/>
        <v>234872.55</v>
      </c>
      <c r="I55" s="1604">
        <f t="shared" si="1"/>
        <v>25249.450000000012</v>
      </c>
      <c r="J55" s="1600">
        <f>'Sąrašų palyginimas su sutartimi'!J55</f>
        <v>206056</v>
      </c>
      <c r="K55" s="1602">
        <f>'ES lėšos'!G54</f>
        <v>199641.66</v>
      </c>
      <c r="L55" s="1604">
        <f t="shared" si="2"/>
        <v>6414.3399999999965</v>
      </c>
      <c r="M55" s="1600">
        <f>'Sąrašų palyginimas su sutartimi'!M55</f>
        <v>0</v>
      </c>
      <c r="N55" s="1602">
        <f>'3 pr-2'!$R71</f>
        <v>0</v>
      </c>
      <c r="O55" s="1604" t="str">
        <f t="shared" si="3"/>
        <v>–</v>
      </c>
      <c r="P55" s="1600">
        <f>'Sąrašų palyginimas su sutartimi'!P55</f>
        <v>54066</v>
      </c>
      <c r="Q55" s="1602">
        <f>SUM('3 pr-2'!O71)</f>
        <v>35230.89</v>
      </c>
      <c r="R55" s="1604">
        <f t="shared" si="4"/>
        <v>18835.11</v>
      </c>
      <c r="S55" s="1600">
        <f>'Sąrašų palyginimas su sutartimi'!S55</f>
        <v>0</v>
      </c>
      <c r="T55" s="1602">
        <f>SUM('3 pr-2'!U71)</f>
        <v>0</v>
      </c>
      <c r="U55" s="1604" t="str">
        <f t="shared" si="5"/>
        <v>–</v>
      </c>
      <c r="V55" s="1600">
        <f>'Sąrašų palyginimas su sutartimi'!V55</f>
        <v>0</v>
      </c>
      <c r="W55" s="1602">
        <f>SUM('3 pr-2'!X71)</f>
        <v>0</v>
      </c>
      <c r="X55" s="1604" t="str">
        <f t="shared" si="6"/>
        <v>–</v>
      </c>
      <c r="Y55" s="1605" t="str">
        <f>'Sąrašų palyginimas su sutartimi'!Y55</f>
        <v>–</v>
      </c>
    </row>
    <row r="56" spans="1:25" ht="36.75" thickBot="1">
      <c r="A56" s="376">
        <f t="shared" si="7"/>
        <v>55</v>
      </c>
      <c r="B56" s="376" t="str">
        <f>'Sąrašų palyginimas su sutartimi'!B56</f>
        <v>Vinco Krėvės-Mickevičiaus memorialinio muziejaus atnaujinimas</v>
      </c>
      <c r="C56" s="376" t="str">
        <f>'Sąrašų palyginimas su sutartimi'!C56</f>
        <v>05.4.1-CPVA-R-302</v>
      </c>
      <c r="D56" s="376" t="str">
        <f>'Sąrašų palyginimas su sutartimi'!D56</f>
        <v>Varėnos rajono savivaldybės administracija</v>
      </c>
      <c r="E56" s="376" t="str">
        <f>'Sąrašų palyginimas su sutartimi'!E56</f>
        <v>Varėnos r. sav.</v>
      </c>
      <c r="F56" s="376" t="str">
        <f>'Sąrašų palyginimas su sutartimi'!F56</f>
        <v>-</v>
      </c>
      <c r="G56" s="1600">
        <f>'Sąrašų palyginimas su sutartimi'!G56</f>
        <v>242419</v>
      </c>
      <c r="H56" s="1602">
        <f t="shared" si="0"/>
        <v>242419</v>
      </c>
      <c r="I56" s="1604">
        <f t="shared" si="1"/>
        <v>0</v>
      </c>
      <c r="J56" s="1600">
        <f>'Sąrašų palyginimas su sutartimi'!J56</f>
        <v>206056</v>
      </c>
      <c r="K56" s="1602">
        <f>'ES lėšos'!G55</f>
        <v>206056</v>
      </c>
      <c r="L56" s="1604">
        <f t="shared" si="2"/>
        <v>0</v>
      </c>
      <c r="M56" s="1600">
        <f>'Sąrašų palyginimas su sutartimi'!M56</f>
        <v>0</v>
      </c>
      <c r="N56" s="1602">
        <f>'3 pr-2'!$R72</f>
        <v>0</v>
      </c>
      <c r="O56" s="1604" t="str">
        <f t="shared" si="3"/>
        <v>–</v>
      </c>
      <c r="P56" s="1600">
        <f>'Sąrašų palyginimas su sutartimi'!P56</f>
        <v>36363</v>
      </c>
      <c r="Q56" s="1602">
        <f>SUM('3 pr-2'!O72)</f>
        <v>36363</v>
      </c>
      <c r="R56" s="1604">
        <f t="shared" si="4"/>
        <v>0</v>
      </c>
      <c r="S56" s="1600">
        <f>'Sąrašų palyginimas su sutartimi'!S56</f>
        <v>0</v>
      </c>
      <c r="T56" s="1602">
        <f>SUM('3 pr-2'!U72)</f>
        <v>0</v>
      </c>
      <c r="U56" s="1604" t="str">
        <f t="shared" si="5"/>
        <v>–</v>
      </c>
      <c r="V56" s="1600">
        <f>'Sąrašų palyginimas su sutartimi'!V56</f>
        <v>0</v>
      </c>
      <c r="W56" s="1602">
        <f>SUM('3 pr-2'!X72)</f>
        <v>0</v>
      </c>
      <c r="X56" s="1604" t="str">
        <f t="shared" si="6"/>
        <v>–</v>
      </c>
      <c r="Y56" s="1605" t="str">
        <f>'Sąrašų palyginimas su sutartimi'!Y56</f>
        <v>–</v>
      </c>
    </row>
    <row r="57" spans="1:25" ht="36.75" thickBot="1">
      <c r="A57" s="376">
        <f t="shared" si="7"/>
        <v>56</v>
      </c>
      <c r="B57" s="376" t="str">
        <f>'Sąrašų palyginimas su sutartimi'!B57</f>
        <v>Nekenksmingų aplinkai viešojo transporto priemonių įsigijimas Alytaus mieste</v>
      </c>
      <c r="C57" s="376" t="str">
        <f>'Sąrašų palyginimas su sutartimi'!C57</f>
        <v>04.5.1-TID-R-518</v>
      </c>
      <c r="D57" s="376" t="str">
        <f>'Sąrašų palyginimas su sutartimi'!D57</f>
        <v>Alytaus miesto savivaldybės administracija</v>
      </c>
      <c r="E57" s="376" t="str">
        <f>'Sąrašų palyginimas su sutartimi'!E57</f>
        <v>Alytaus m. sav.</v>
      </c>
      <c r="F57" s="376" t="str">
        <f>'Sąrašų palyginimas su sutartimi'!F57</f>
        <v>ITI</v>
      </c>
      <c r="G57" s="1600">
        <f>'Sąrašų palyginimas su sutartimi'!G57</f>
        <v>496813.9</v>
      </c>
      <c r="H57" s="1602">
        <f t="shared" si="0"/>
        <v>406091</v>
      </c>
      <c r="I57" s="1604">
        <f t="shared" si="1"/>
        <v>90722.900000000023</v>
      </c>
      <c r="J57" s="1600">
        <f>'Sąrašų palyginimas su sutartimi'!J57</f>
        <v>345177</v>
      </c>
      <c r="K57" s="1602">
        <f>'ES lėšos'!G56</f>
        <v>345177</v>
      </c>
      <c r="L57" s="1604">
        <f t="shared" si="2"/>
        <v>0</v>
      </c>
      <c r="M57" s="1600">
        <f>'Sąrašų palyginimas su sutartimi'!M57</f>
        <v>0</v>
      </c>
      <c r="N57" s="1602">
        <f>'3 pr-2'!$R75</f>
        <v>0</v>
      </c>
      <c r="O57" s="1604" t="str">
        <f t="shared" si="3"/>
        <v>–</v>
      </c>
      <c r="P57" s="1600">
        <f>'Sąrašų palyginimas su sutartimi'!P57</f>
        <v>151636.9</v>
      </c>
      <c r="Q57" s="1602">
        <f>SUM('3 pr-2'!O75)</f>
        <v>60914</v>
      </c>
      <c r="R57" s="1604">
        <f t="shared" si="4"/>
        <v>90722.9</v>
      </c>
      <c r="S57" s="1600">
        <f>'Sąrašų palyginimas su sutartimi'!S57</f>
        <v>0</v>
      </c>
      <c r="T57" s="1602">
        <f>SUM('3 pr-2'!U75)</f>
        <v>0</v>
      </c>
      <c r="U57" s="1604" t="str">
        <f t="shared" si="5"/>
        <v>–</v>
      </c>
      <c r="V57" s="1600">
        <f>'Sąrašų palyginimas su sutartimi'!V57</f>
        <v>0</v>
      </c>
      <c r="W57" s="1602">
        <f>SUM('3 pr-2'!X75)</f>
        <v>0</v>
      </c>
      <c r="X57" s="1604" t="str">
        <f t="shared" si="6"/>
        <v>–</v>
      </c>
      <c r="Y57" s="1605" t="str">
        <f>'Sąrašų palyginimas su sutartimi'!Y57</f>
        <v>–</v>
      </c>
    </row>
    <row r="58" spans="1:25" ht="36.75" thickBot="1">
      <c r="A58" s="376">
        <f t="shared" si="7"/>
        <v>57</v>
      </c>
      <c r="B58" s="376" t="str">
        <f>'Sąrašų palyginimas su sutartimi'!B58</f>
        <v>Vietinio susisiekimo transporto priemonių įsigijimas</v>
      </c>
      <c r="C58" s="376" t="str">
        <f>'Sąrašų palyginimas su sutartimi'!C58</f>
        <v>04.5.1-TID-R-518</v>
      </c>
      <c r="D58" s="376" t="str">
        <f>'Sąrašų palyginimas su sutartimi'!D58</f>
        <v>Alytaus rajono savivaldybės administracija</v>
      </c>
      <c r="E58" s="376" t="str">
        <f>'Sąrašų palyginimas su sutartimi'!E58</f>
        <v>Alytaus r. sav.</v>
      </c>
      <c r="F58" s="376" t="str">
        <f>'Sąrašų palyginimas su sutartimi'!F58</f>
        <v>-</v>
      </c>
      <c r="G58" s="1600">
        <f>'Sąrašų palyginimas su sutartimi'!G58</f>
        <v>496947</v>
      </c>
      <c r="H58" s="1602">
        <f t="shared" si="0"/>
        <v>496947</v>
      </c>
      <c r="I58" s="1604">
        <f t="shared" si="1"/>
        <v>0</v>
      </c>
      <c r="J58" s="1600">
        <f>'Sąrašų palyginimas su sutartimi'!J58</f>
        <v>277249</v>
      </c>
      <c r="K58" s="1602">
        <f>'ES lėšos'!G57</f>
        <v>277249</v>
      </c>
      <c r="L58" s="1604">
        <f t="shared" si="2"/>
        <v>0</v>
      </c>
      <c r="M58" s="1600">
        <f>'Sąrašų palyginimas su sutartimi'!M58</f>
        <v>0</v>
      </c>
      <c r="N58" s="1602">
        <f>'3 pr-2'!$R76</f>
        <v>0</v>
      </c>
      <c r="O58" s="1604" t="str">
        <f t="shared" si="3"/>
        <v>–</v>
      </c>
      <c r="P58" s="1600">
        <f>'Sąrašų palyginimas su sutartimi'!P58</f>
        <v>133574.5</v>
      </c>
      <c r="Q58" s="1602">
        <f>SUM('3 pr-2'!O76)</f>
        <v>133574.5</v>
      </c>
      <c r="R58" s="1604">
        <f t="shared" si="4"/>
        <v>0</v>
      </c>
      <c r="S58" s="1600">
        <f>'Sąrašų palyginimas su sutartimi'!S58</f>
        <v>86123.5</v>
      </c>
      <c r="T58" s="1602">
        <f>SUM('3 pr-2'!U76)</f>
        <v>86123.5</v>
      </c>
      <c r="U58" s="1604">
        <f t="shared" si="5"/>
        <v>0</v>
      </c>
      <c r="V58" s="1600">
        <f>'Sąrašų palyginimas su sutartimi'!V58</f>
        <v>0</v>
      </c>
      <c r="W58" s="1602">
        <f>SUM('3 pr-2'!X76)</f>
        <v>0</v>
      </c>
      <c r="X58" s="1604" t="str">
        <f t="shared" si="6"/>
        <v>–</v>
      </c>
      <c r="Y58" s="1605" t="str">
        <f>'Sąrašų palyginimas su sutartimi'!Y58</f>
        <v>–</v>
      </c>
    </row>
    <row r="59" spans="1:25" ht="36.75" thickBot="1">
      <c r="A59" s="376">
        <f t="shared" si="7"/>
        <v>58</v>
      </c>
      <c r="B59" s="376" t="str">
        <f>'Sąrašų palyginimas su sutartimi'!B59</f>
        <v>Ekologiškų transporto priemonių įsigijimas Druskininkų savivaldybėje</v>
      </c>
      <c r="C59" s="376" t="str">
        <f>'Sąrašų palyginimas su sutartimi'!C59</f>
        <v>04.5.1-TID-R-518</v>
      </c>
      <c r="D59" s="376" t="str">
        <f>'Sąrašų palyginimas su sutartimi'!D59</f>
        <v xml:space="preserve">Druskininkų savivaldybės administracija  </v>
      </c>
      <c r="E59" s="376" t="str">
        <f>'Sąrašų palyginimas su sutartimi'!E59</f>
        <v>Druskininkų sav.</v>
      </c>
      <c r="F59" s="376" t="str">
        <f>'Sąrašų palyginimas su sutartimi'!F59</f>
        <v>-</v>
      </c>
      <c r="G59" s="1600">
        <f>'Sąrašų palyginimas su sutartimi'!G59</f>
        <v>840036.45</v>
      </c>
      <c r="H59" s="1602">
        <f t="shared" si="0"/>
        <v>840240</v>
      </c>
      <c r="I59" s="1604">
        <f t="shared" si="1"/>
        <v>-203.55000000004657</v>
      </c>
      <c r="J59" s="1600">
        <f>'Sąrašų palyginimas su sutartimi'!J59</f>
        <v>417548</v>
      </c>
      <c r="K59" s="1602">
        <f>'ES lėšos'!G58</f>
        <v>417548</v>
      </c>
      <c r="L59" s="1604">
        <f t="shared" si="2"/>
        <v>0</v>
      </c>
      <c r="M59" s="1600">
        <f>'Sąrašų palyginimas su sutartimi'!M59</f>
        <v>0</v>
      </c>
      <c r="N59" s="1602">
        <f>'3 pr-2'!$R77</f>
        <v>0</v>
      </c>
      <c r="O59" s="1604" t="str">
        <f t="shared" si="3"/>
        <v>–</v>
      </c>
      <c r="P59" s="1600">
        <f>'Sąrašų palyginimas su sutartimi'!P59</f>
        <v>0</v>
      </c>
      <c r="Q59" s="1602">
        <f>SUM('3 pr-2'!O77)</f>
        <v>0</v>
      </c>
      <c r="R59" s="1604" t="str">
        <f t="shared" si="4"/>
        <v>–</v>
      </c>
      <c r="S59" s="1600">
        <f>'Sąrašų palyginimas su sutartimi'!S59</f>
        <v>422488.45</v>
      </c>
      <c r="T59" s="1602">
        <f>SUM('3 pr-2'!U77)</f>
        <v>422692</v>
      </c>
      <c r="U59" s="1604">
        <f t="shared" si="5"/>
        <v>-203.54999999998836</v>
      </c>
      <c r="V59" s="1600">
        <f>'Sąrašų palyginimas su sutartimi'!V59</f>
        <v>0</v>
      </c>
      <c r="W59" s="1602">
        <f>SUM('3 pr-2'!X77)</f>
        <v>0</v>
      </c>
      <c r="X59" s="1604" t="str">
        <f t="shared" si="6"/>
        <v>–</v>
      </c>
      <c r="Y59" s="1605" t="str">
        <f>'Sąrašų palyginimas su sutartimi'!Y59</f>
        <v>–</v>
      </c>
    </row>
    <row r="60" spans="1:25" ht="36.75" thickBot="1">
      <c r="A60" s="376">
        <f t="shared" si="7"/>
        <v>59</v>
      </c>
      <c r="B60" s="376" t="str">
        <f>'Sąrašų palyginimas su sutartimi'!B60</f>
        <v>Ekologiškų transporto priemonių įsigijimas Lazdijų rajono savivaldybėje</v>
      </c>
      <c r="C60" s="376" t="str">
        <f>'Sąrašų palyginimas su sutartimi'!C60</f>
        <v>04.5.1-TID-R-518</v>
      </c>
      <c r="D60" s="376" t="str">
        <f>'Sąrašų palyginimas su sutartimi'!D60</f>
        <v>Lazdijų rajono savivaldybės administracija</v>
      </c>
      <c r="E60" s="376" t="str">
        <f>'Sąrašų palyginimas su sutartimi'!E60</f>
        <v>Lazdijų r. sav.</v>
      </c>
      <c r="F60" s="376" t="str">
        <f>'Sąrašų palyginimas su sutartimi'!F60</f>
        <v>-</v>
      </c>
      <c r="G60" s="1600">
        <f>'Sąrašų palyginimas su sutartimi'!G60</f>
        <v>262703</v>
      </c>
      <c r="H60" s="1602">
        <f t="shared" si="0"/>
        <v>262704</v>
      </c>
      <c r="I60" s="1604">
        <f t="shared" si="1"/>
        <v>-1</v>
      </c>
      <c r="J60" s="1600">
        <f>'Sąrašų palyginimas su sutartimi'!J60</f>
        <v>223297</v>
      </c>
      <c r="K60" s="1602">
        <f>'ES lėšos'!G59</f>
        <v>223298</v>
      </c>
      <c r="L60" s="1604">
        <f t="shared" si="2"/>
        <v>-1</v>
      </c>
      <c r="M60" s="1600">
        <f>'Sąrašų palyginimas su sutartimi'!M60</f>
        <v>0</v>
      </c>
      <c r="N60" s="1602">
        <f>'3 pr-2'!$R78</f>
        <v>0</v>
      </c>
      <c r="O60" s="1604" t="str">
        <f t="shared" si="3"/>
        <v>–</v>
      </c>
      <c r="P60" s="1600">
        <f>'Sąrašų palyginimas su sutartimi'!P60</f>
        <v>39406</v>
      </c>
      <c r="Q60" s="1602">
        <f>SUM('3 pr-2'!O78)</f>
        <v>39406</v>
      </c>
      <c r="R60" s="1604">
        <f t="shared" si="4"/>
        <v>0</v>
      </c>
      <c r="S60" s="1600">
        <f>'Sąrašų palyginimas su sutartimi'!S60</f>
        <v>0</v>
      </c>
      <c r="T60" s="1602">
        <f>SUM('3 pr-2'!U78)</f>
        <v>0</v>
      </c>
      <c r="U60" s="1604" t="str">
        <f t="shared" si="5"/>
        <v>–</v>
      </c>
      <c r="V60" s="1600">
        <f>'Sąrašų palyginimas su sutartimi'!V60</f>
        <v>0</v>
      </c>
      <c r="W60" s="1602">
        <f>SUM('3 pr-2'!X78)</f>
        <v>0</v>
      </c>
      <c r="X60" s="1604" t="str">
        <f t="shared" si="6"/>
        <v>–</v>
      </c>
      <c r="Y60" s="1605" t="str">
        <f>'Sąrašų palyginimas su sutartimi'!Y60</f>
        <v>–</v>
      </c>
    </row>
    <row r="61" spans="1:25" ht="24.75" thickBot="1">
      <c r="A61" s="376">
        <f t="shared" si="7"/>
        <v>60</v>
      </c>
      <c r="B61" s="376" t="str">
        <f>'Sąrašų palyginimas su sutartimi'!B61</f>
        <v>Darnaus judumo priemonių diegimas Alytaus mieste</v>
      </c>
      <c r="C61" s="376" t="str">
        <f>'Sąrašų palyginimas su sutartimi'!C61</f>
        <v>04.5.1.-TID-R-514</v>
      </c>
      <c r="D61" s="376" t="str">
        <f>'Sąrašų palyginimas su sutartimi'!D61</f>
        <v>Alytaus miesto savivaldybės administracija</v>
      </c>
      <c r="E61" s="376" t="str">
        <f>'Sąrašų palyginimas su sutartimi'!E61</f>
        <v>Alytaus m. sav.</v>
      </c>
      <c r="F61" s="376" t="str">
        <f>'Sąrašų palyginimas su sutartimi'!F61</f>
        <v>ITI</v>
      </c>
      <c r="G61" s="1600">
        <f>'Sąrašų palyginimas su sutartimi'!G61</f>
        <v>1143469</v>
      </c>
      <c r="H61" s="1602">
        <f t="shared" si="0"/>
        <v>1143469</v>
      </c>
      <c r="I61" s="1604">
        <f t="shared" si="1"/>
        <v>0</v>
      </c>
      <c r="J61" s="1600">
        <f>'Sąrašų palyginimas su sutartimi'!J61</f>
        <v>971949</v>
      </c>
      <c r="K61" s="1602">
        <f>'ES lėšos'!G60</f>
        <v>971949</v>
      </c>
      <c r="L61" s="1604">
        <f t="shared" si="2"/>
        <v>0</v>
      </c>
      <c r="M61" s="1600">
        <f>'Sąrašų palyginimas su sutartimi'!M61</f>
        <v>0</v>
      </c>
      <c r="N61" s="1602">
        <f>'3 pr-2'!$R80</f>
        <v>0</v>
      </c>
      <c r="O61" s="1604" t="str">
        <f t="shared" si="3"/>
        <v>–</v>
      </c>
      <c r="P61" s="1600">
        <f>'Sąrašų palyginimas su sutartimi'!P61</f>
        <v>171520</v>
      </c>
      <c r="Q61" s="1602">
        <f>SUM('3 pr-2'!O80)</f>
        <v>171520</v>
      </c>
      <c r="R61" s="1604">
        <f t="shared" si="4"/>
        <v>0</v>
      </c>
      <c r="S61" s="1600">
        <f>'Sąrašų palyginimas su sutartimi'!S61</f>
        <v>0</v>
      </c>
      <c r="T61" s="1602">
        <f>SUM('3 pr-2'!U80)</f>
        <v>0</v>
      </c>
      <c r="U61" s="1604" t="str">
        <f t="shared" si="5"/>
        <v>–</v>
      </c>
      <c r="V61" s="1600">
        <f>'Sąrašų palyginimas su sutartimi'!V61</f>
        <v>0</v>
      </c>
      <c r="W61" s="1602">
        <f>SUM('3 pr-2'!X80)</f>
        <v>0</v>
      </c>
      <c r="X61" s="1604" t="str">
        <f t="shared" si="6"/>
        <v>–</v>
      </c>
      <c r="Y61" s="1605" t="str">
        <f>'Sąrašų palyginimas su sutartimi'!Y61</f>
        <v>–</v>
      </c>
    </row>
    <row r="62" spans="1:25" ht="36.75" thickBot="1">
      <c r="A62" s="376">
        <f t="shared" si="7"/>
        <v>61</v>
      </c>
      <c r="B62" s="376" t="str">
        <f>'Sąrašų palyginimas su sutartimi'!B62</f>
        <v>Intelektinių transporto sistemų diegimas Druskininkuose</v>
      </c>
      <c r="C62" s="376" t="str">
        <f>'Sąrašų palyginimas su sutartimi'!C62</f>
        <v>04.5.1.-TID-R-514</v>
      </c>
      <c r="D62" s="376" t="str">
        <f>'Sąrašų palyginimas su sutartimi'!D62</f>
        <v>Druskininkų savivaldybės administracija</v>
      </c>
      <c r="E62" s="376" t="str">
        <f>'Sąrašų palyginimas su sutartimi'!E62</f>
        <v>Druskininkų sav.</v>
      </c>
      <c r="F62" s="376" t="str">
        <f>'Sąrašų palyginimas su sutartimi'!F62</f>
        <v>ITI</v>
      </c>
      <c r="G62" s="1600">
        <f>'Sąrašų palyginimas su sutartimi'!G62</f>
        <v>160836.24</v>
      </c>
      <c r="H62" s="1602">
        <f t="shared" si="0"/>
        <v>160836.24</v>
      </c>
      <c r="I62" s="1604">
        <f t="shared" si="1"/>
        <v>0</v>
      </c>
      <c r="J62" s="1600">
        <f>'Sąrašų palyginimas su sutartimi'!J62</f>
        <v>136710.79999999999</v>
      </c>
      <c r="K62" s="1602">
        <f>'ES lėšos'!G61</f>
        <v>136710.79999999999</v>
      </c>
      <c r="L62" s="1604">
        <f t="shared" si="2"/>
        <v>0</v>
      </c>
      <c r="M62" s="1600">
        <f>'Sąrašų palyginimas su sutartimi'!M62</f>
        <v>0</v>
      </c>
      <c r="N62" s="1602">
        <f>'3 pr-2'!$R81</f>
        <v>0</v>
      </c>
      <c r="O62" s="1604" t="str">
        <f t="shared" si="3"/>
        <v>–</v>
      </c>
      <c r="P62" s="1600">
        <f>'Sąrašų palyginimas su sutartimi'!P62</f>
        <v>24125.439999999999</v>
      </c>
      <c r="Q62" s="1602">
        <f>SUM('3 pr-2'!O82)</f>
        <v>24125.439999999999</v>
      </c>
      <c r="R62" s="1604">
        <f t="shared" si="4"/>
        <v>0</v>
      </c>
      <c r="S62" s="1600">
        <f>'Sąrašų palyginimas su sutartimi'!S62</f>
        <v>0</v>
      </c>
      <c r="T62" s="1602">
        <f>SUM('3 pr-2'!U82)</f>
        <v>0</v>
      </c>
      <c r="U62" s="1604" t="str">
        <f t="shared" si="5"/>
        <v>–</v>
      </c>
      <c r="V62" s="1600">
        <f>'Sąrašų palyginimas su sutartimi'!V62</f>
        <v>0</v>
      </c>
      <c r="W62" s="1602">
        <f>SUM('3 pr-2'!X82)</f>
        <v>0</v>
      </c>
      <c r="X62" s="1604" t="str">
        <f t="shared" si="6"/>
        <v>–</v>
      </c>
      <c r="Y62" s="1605" t="str">
        <f>'Sąrašų palyginimas su sutartimi'!Y62</f>
        <v>–</v>
      </c>
    </row>
    <row r="63" spans="1:25" ht="48.75" thickBot="1">
      <c r="A63" s="376">
        <f t="shared" si="7"/>
        <v>62</v>
      </c>
      <c r="B63" s="376" t="str">
        <f>'Sąrašų palyginimas su sutartimi'!B63</f>
        <v>Viešojo transporto organizavimo tobulinimas rekonstruojant Druskininkų miesto gatvių infrastruktūrą</v>
      </c>
      <c r="C63" s="376" t="str">
        <f>'Sąrašų palyginimas su sutartimi'!C63</f>
        <v>04.5.1.-TID-R-514</v>
      </c>
      <c r="D63" s="376" t="str">
        <f>'Sąrašų palyginimas su sutartimi'!D63</f>
        <v>Druskininkų savivaldybės administracija</v>
      </c>
      <c r="E63" s="376" t="str">
        <f>'Sąrašų palyginimas su sutartimi'!E63</f>
        <v>Druskininkų sav.</v>
      </c>
      <c r="F63" s="376" t="str">
        <f>'Sąrašų palyginimas su sutartimi'!F63</f>
        <v>-</v>
      </c>
      <c r="G63" s="1600">
        <f>'Sąrašų palyginimas su sutartimi'!G63</f>
        <v>290000</v>
      </c>
      <c r="H63" s="1602">
        <f t="shared" si="0"/>
        <v>290000</v>
      </c>
      <c r="I63" s="1604">
        <f t="shared" si="1"/>
        <v>0</v>
      </c>
      <c r="J63" s="1600">
        <f>'Sąrašų palyginimas su sutartimi'!J63</f>
        <v>246500</v>
      </c>
      <c r="K63" s="1602">
        <f>'ES lėšos'!G62</f>
        <v>246500</v>
      </c>
      <c r="L63" s="1604">
        <f t="shared" si="2"/>
        <v>0</v>
      </c>
      <c r="M63" s="1600">
        <f>'Sąrašų palyginimas su sutartimi'!M63</f>
        <v>0</v>
      </c>
      <c r="N63" s="1602">
        <f>'3 pr-2'!$R82</f>
        <v>0</v>
      </c>
      <c r="O63" s="1604" t="str">
        <f t="shared" si="3"/>
        <v>–</v>
      </c>
      <c r="P63" s="1600">
        <f>'Sąrašų palyginimas su sutartimi'!P63</f>
        <v>43500</v>
      </c>
      <c r="Q63" s="1602">
        <f>SUM('3 pr-2'!O84)</f>
        <v>43500</v>
      </c>
      <c r="R63" s="1604">
        <f t="shared" si="4"/>
        <v>0</v>
      </c>
      <c r="S63" s="1600">
        <f>'Sąrašų palyginimas su sutartimi'!S63</f>
        <v>0</v>
      </c>
      <c r="T63" s="1602">
        <f>SUM('3 pr-2'!U84)</f>
        <v>0</v>
      </c>
      <c r="U63" s="1604" t="str">
        <f t="shared" si="5"/>
        <v>–</v>
      </c>
      <c r="V63" s="1600">
        <f>'Sąrašų palyginimas su sutartimi'!V63</f>
        <v>0</v>
      </c>
      <c r="W63" s="1602">
        <f>SUM('3 pr-2'!X84)</f>
        <v>0</v>
      </c>
      <c r="X63" s="1604" t="str">
        <f t="shared" si="6"/>
        <v>–</v>
      </c>
      <c r="Y63" s="1605" t="str">
        <f>'Sąrašų palyginimas su sutartimi'!Y63</f>
        <v>–</v>
      </c>
    </row>
    <row r="64" spans="1:25" ht="48.75" thickBot="1">
      <c r="A64" s="376">
        <f t="shared" si="7"/>
        <v>63</v>
      </c>
      <c r="B64" s="376" t="str">
        <f>'Sąrašų palyginimas su sutartimi'!B64</f>
        <v>Vandens transporto infrastruktūros įrengimas skatinant kitų rūšių transportą</v>
      </c>
      <c r="C64" s="376" t="str">
        <f>'Sąrašų palyginimas su sutartimi'!C64</f>
        <v>04.5.1.-TID-R-514</v>
      </c>
      <c r="D64" s="376" t="str">
        <f>'Sąrašų palyginimas su sutartimi'!D64</f>
        <v>Druskininkų savivaldybės administracija</v>
      </c>
      <c r="E64" s="376" t="str">
        <f>'Sąrašų palyginimas su sutartimi'!E64</f>
        <v>Druskininkų sav.</v>
      </c>
      <c r="F64" s="376" t="str">
        <f>'Sąrašų palyginimas su sutartimi'!F64</f>
        <v>ITI</v>
      </c>
      <c r="G64" s="1600">
        <f>'Sąrašų palyginimas su sutartimi'!G64</f>
        <v>250000</v>
      </c>
      <c r="H64" s="1602">
        <f t="shared" si="0"/>
        <v>250000</v>
      </c>
      <c r="I64" s="1604">
        <f t="shared" si="1"/>
        <v>0</v>
      </c>
      <c r="J64" s="1600">
        <f>'Sąrašų palyginimas su sutartimi'!J64</f>
        <v>212500</v>
      </c>
      <c r="K64" s="1602">
        <f>'ES lėšos'!G63</f>
        <v>212500</v>
      </c>
      <c r="L64" s="1604">
        <f t="shared" si="2"/>
        <v>0</v>
      </c>
      <c r="M64" s="1600">
        <f>'Sąrašų palyginimas su sutartimi'!M64</f>
        <v>0</v>
      </c>
      <c r="N64" s="1602">
        <f>'3 pr-2'!$R83</f>
        <v>0</v>
      </c>
      <c r="O64" s="1604" t="str">
        <f t="shared" si="3"/>
        <v>–</v>
      </c>
      <c r="P64" s="1600">
        <f>'Sąrašų palyginimas su sutartimi'!P64</f>
        <v>37500</v>
      </c>
      <c r="Q64" s="1602">
        <f>SUM('3 pr-2'!O85)</f>
        <v>37500</v>
      </c>
      <c r="R64" s="1604">
        <f t="shared" si="4"/>
        <v>0</v>
      </c>
      <c r="S64" s="1600">
        <f>'Sąrašų palyginimas su sutartimi'!S64</f>
        <v>0</v>
      </c>
      <c r="T64" s="1602">
        <f>SUM('3 pr-2'!U85)</f>
        <v>0</v>
      </c>
      <c r="U64" s="1604" t="str">
        <f t="shared" si="5"/>
        <v>–</v>
      </c>
      <c r="V64" s="1600">
        <f>'Sąrašų palyginimas su sutartimi'!V64</f>
        <v>0</v>
      </c>
      <c r="W64" s="1602">
        <f>SUM('3 pr-2'!X85)</f>
        <v>0</v>
      </c>
      <c r="X64" s="1604" t="str">
        <f t="shared" si="6"/>
        <v>–</v>
      </c>
      <c r="Y64" s="1605" t="str">
        <f>'Sąrašų palyginimas su sutartimi'!Y64</f>
        <v>–</v>
      </c>
    </row>
    <row r="65" spans="1:25" ht="48.75" thickBot="1">
      <c r="A65" s="376">
        <f t="shared" si="7"/>
        <v>64</v>
      </c>
      <c r="B65" s="376" t="str">
        <f>'Sąrašų palyginimas su sutartimi'!B65</f>
        <v>Dviračių ir pėsčiųjų takų įrengimas Varėnos miesto J. Basanavičiaus ir Žiedo gatvėse</v>
      </c>
      <c r="C65" s="376" t="str">
        <f>'Sąrašų palyginimas su sutartimi'!C65</f>
        <v>04.5.1-TID-R-516</v>
      </c>
      <c r="D65" s="376" t="str">
        <f>'Sąrašų palyginimas su sutartimi'!D65</f>
        <v>Varėnos rajono savivaldybės administracija</v>
      </c>
      <c r="E65" s="376" t="str">
        <f>'Sąrašų palyginimas su sutartimi'!E65</f>
        <v>Varėnos r. sav.</v>
      </c>
      <c r="F65" s="376" t="str">
        <f>'Sąrašų palyginimas su sutartimi'!F65</f>
        <v>ITI</v>
      </c>
      <c r="G65" s="1600">
        <f>'Sąrašų palyginimas su sutartimi'!G65</f>
        <v>95080</v>
      </c>
      <c r="H65" s="1602">
        <f t="shared" si="0"/>
        <v>103306</v>
      </c>
      <c r="I65" s="1604">
        <f t="shared" si="1"/>
        <v>-8226</v>
      </c>
      <c r="J65" s="1600">
        <f>'Sąrašų palyginimas su sutartimi'!J65</f>
        <v>80810</v>
      </c>
      <c r="K65" s="1602">
        <f>'ES lėšos'!G64</f>
        <v>87810</v>
      </c>
      <c r="L65" s="1604">
        <f t="shared" si="2"/>
        <v>-7000</v>
      </c>
      <c r="M65" s="1600">
        <f>'Sąrašų palyginimas su sutartimi'!M65</f>
        <v>0</v>
      </c>
      <c r="N65" s="1602">
        <f>'3 pr-2'!$R87</f>
        <v>0</v>
      </c>
      <c r="O65" s="1604" t="str">
        <f t="shared" si="3"/>
        <v>–</v>
      </c>
      <c r="P65" s="1600">
        <f>'Sąrašų palyginimas su sutartimi'!P65</f>
        <v>14270</v>
      </c>
      <c r="Q65" s="1602">
        <f>SUM('3 pr-2'!O87)</f>
        <v>15496</v>
      </c>
      <c r="R65" s="1604">
        <f t="shared" si="4"/>
        <v>-1226</v>
      </c>
      <c r="S65" s="1600">
        <f>'Sąrašų palyginimas su sutartimi'!S65</f>
        <v>0</v>
      </c>
      <c r="T65" s="1602">
        <f>SUM('3 pr-2'!U87)</f>
        <v>0</v>
      </c>
      <c r="U65" s="1604" t="str">
        <f t="shared" si="5"/>
        <v>–</v>
      </c>
      <c r="V65" s="1600">
        <f>'Sąrašų palyginimas su sutartimi'!V65</f>
        <v>0</v>
      </c>
      <c r="W65" s="1602">
        <f>SUM('3 pr-2'!X87)</f>
        <v>0</v>
      </c>
      <c r="X65" s="1604" t="str">
        <f t="shared" si="6"/>
        <v>–</v>
      </c>
      <c r="Y65" s="1605" t="str">
        <f>'Sąrašų palyginimas su sutartimi'!Y65</f>
        <v>–</v>
      </c>
    </row>
    <row r="66" spans="1:25" ht="48.75" thickBot="1">
      <c r="A66" s="376">
        <f t="shared" si="7"/>
        <v>65</v>
      </c>
      <c r="B66" s="376" t="str">
        <f>'Sąrašų palyginimas su sutartimi'!B66</f>
        <v>Dviračių trasų infrastruktūros įrengimas nuo Putinų g. žiedo Pramonės gatvėje, Alytaus mieste</v>
      </c>
      <c r="C66" s="376" t="str">
        <f>'Sąrašų palyginimas su sutartimi'!C66</f>
        <v>04.5.1-TID-R-516</v>
      </c>
      <c r="D66" s="376" t="str">
        <f>'Sąrašų palyginimas su sutartimi'!D66</f>
        <v>Alytaus miesto savivaldybės administracija</v>
      </c>
      <c r="E66" s="376" t="str">
        <f>'Sąrašų palyginimas su sutartimi'!E66</f>
        <v>Alytaus m. sav.</v>
      </c>
      <c r="F66" s="376" t="str">
        <f>'Sąrašų palyginimas su sutartimi'!F66</f>
        <v>ITI</v>
      </c>
      <c r="G66" s="1600">
        <f>'Sąrašų palyginimas su sutartimi'!G66</f>
        <v>133670.07</v>
      </c>
      <c r="H66" s="1602">
        <f t="shared" si="0"/>
        <v>133670.07</v>
      </c>
      <c r="I66" s="1604">
        <f t="shared" si="1"/>
        <v>0</v>
      </c>
      <c r="J66" s="1600">
        <f>'Sąrašų palyginimas su sutartimi'!J66</f>
        <v>113619.56</v>
      </c>
      <c r="K66" s="1602">
        <f>'ES lėšos'!G65</f>
        <v>113619.56</v>
      </c>
      <c r="L66" s="1604">
        <f t="shared" si="2"/>
        <v>0</v>
      </c>
      <c r="M66" s="1600">
        <f>'Sąrašų palyginimas su sutartimi'!M66</f>
        <v>0</v>
      </c>
      <c r="N66" s="1602">
        <f>'3 pr-2'!$R88</f>
        <v>0</v>
      </c>
      <c r="O66" s="1604" t="str">
        <f t="shared" si="3"/>
        <v>–</v>
      </c>
      <c r="P66" s="1600">
        <f>'Sąrašų palyginimas su sutartimi'!P66</f>
        <v>20050.509999999998</v>
      </c>
      <c r="Q66" s="1602">
        <f>SUM('3 pr-2'!O88)</f>
        <v>20050.509999999998</v>
      </c>
      <c r="R66" s="1604">
        <f t="shared" si="4"/>
        <v>0</v>
      </c>
      <c r="S66" s="1600">
        <f>'Sąrašų palyginimas su sutartimi'!S66</f>
        <v>0</v>
      </c>
      <c r="T66" s="1602">
        <f>SUM('3 pr-2'!U88)</f>
        <v>0</v>
      </c>
      <c r="U66" s="1604" t="str">
        <f t="shared" si="5"/>
        <v>–</v>
      </c>
      <c r="V66" s="1600">
        <f>'Sąrašų palyginimas su sutartimi'!V66</f>
        <v>0</v>
      </c>
      <c r="W66" s="1602">
        <f>SUM('3 pr-2'!X88)</f>
        <v>0</v>
      </c>
      <c r="X66" s="1604" t="str">
        <f t="shared" si="6"/>
        <v>–</v>
      </c>
      <c r="Y66" s="1605" t="str">
        <f>'Sąrašų palyginimas su sutartimi'!Y66</f>
        <v>baigtas</v>
      </c>
    </row>
    <row r="67" spans="1:25" ht="48.75" thickBot="1">
      <c r="A67" s="376">
        <f t="shared" si="7"/>
        <v>66</v>
      </c>
      <c r="B67" s="376" t="str">
        <f>'Sąrašų palyginimas su sutartimi'!B67</f>
        <v>Dviračių ir pėsčiųjų takų plėtra Lazdijų miesto Turistų gatvėje iki sodų bendrijos „Baltasis“ Lazdijų seniūnijoje</v>
      </c>
      <c r="C67" s="376" t="str">
        <f>'Sąrašų palyginimas su sutartimi'!C67</f>
        <v>04.5.1-TID-R-516</v>
      </c>
      <c r="D67" s="376" t="str">
        <f>'Sąrašų palyginimas su sutartimi'!D67</f>
        <v>Lazdijų rajono savivaldybės administracija</v>
      </c>
      <c r="E67" s="376" t="str">
        <f>'Sąrašų palyginimas su sutartimi'!E67</f>
        <v>Lazdijų r. sav.</v>
      </c>
      <c r="F67" s="376" t="str">
        <f>'Sąrašų palyginimas su sutartimi'!F67</f>
        <v>ITI</v>
      </c>
      <c r="G67" s="1600">
        <f>'Sąrašų palyginimas su sutartimi'!G67</f>
        <v>100658.08</v>
      </c>
      <c r="H67" s="1602">
        <f t="shared" si="0"/>
        <v>93938.42</v>
      </c>
      <c r="I67" s="1604">
        <f t="shared" si="1"/>
        <v>6719.6600000000035</v>
      </c>
      <c r="J67" s="1600">
        <f>'Sąrašų palyginimas su sutartimi'!J67</f>
        <v>73501</v>
      </c>
      <c r="K67" s="1602">
        <f>'ES lėšos'!G66</f>
        <v>73501</v>
      </c>
      <c r="L67" s="1604">
        <f t="shared" si="2"/>
        <v>0</v>
      </c>
      <c r="M67" s="1600">
        <f>'Sąrašų palyginimas su sutartimi'!M67</f>
        <v>0</v>
      </c>
      <c r="N67" s="1602">
        <f>'3 pr-2'!$R89</f>
        <v>0</v>
      </c>
      <c r="O67" s="1604" t="str">
        <f t="shared" si="3"/>
        <v>–</v>
      </c>
      <c r="P67" s="1600">
        <f>'Sąrašų palyginimas su sutartimi'!P67</f>
        <v>27157.08</v>
      </c>
      <c r="Q67" s="1602">
        <f>SUM('3 pr-2'!O89)</f>
        <v>20437.419999999998</v>
      </c>
      <c r="R67" s="1604">
        <f t="shared" si="4"/>
        <v>6719.6600000000035</v>
      </c>
      <c r="S67" s="1600">
        <f>'Sąrašų palyginimas su sutartimi'!S67</f>
        <v>0</v>
      </c>
      <c r="T67" s="1602">
        <f>SUM('3 pr-2'!U89)</f>
        <v>0</v>
      </c>
      <c r="U67" s="1604" t="str">
        <f t="shared" si="5"/>
        <v>–</v>
      </c>
      <c r="V67" s="1600">
        <f>'Sąrašų palyginimas su sutartimi'!V67</f>
        <v>0</v>
      </c>
      <c r="W67" s="1602">
        <f>SUM('3 pr-2'!X89)</f>
        <v>0</v>
      </c>
      <c r="X67" s="1604" t="str">
        <f t="shared" si="6"/>
        <v>–</v>
      </c>
      <c r="Y67" s="1605" t="str">
        <f>'Sąrašų palyginimas su sutartimi'!Y67</f>
        <v>–</v>
      </c>
    </row>
    <row r="68" spans="1:25" ht="24.75" thickBot="1">
      <c r="A68" s="376">
        <f t="shared" si="7"/>
        <v>67</v>
      </c>
      <c r="B68" s="376" t="str">
        <f>'Sąrašų palyginimas su sutartimi'!B68</f>
        <v>Pėsčiųjų ir dviračių takų plėtra Simno seniūnijoje</v>
      </c>
      <c r="C68" s="376" t="str">
        <f>'Sąrašų palyginimas su sutartimi'!C68</f>
        <v>04.5.1-TID-R-516</v>
      </c>
      <c r="D68" s="376" t="str">
        <f>'Sąrašų palyginimas su sutartimi'!D68</f>
        <v>Alytaus rajono savivaldybės administracija</v>
      </c>
      <c r="E68" s="376" t="str">
        <f>'Sąrašų palyginimas su sutartimi'!E68</f>
        <v>Alytaus r. sav.</v>
      </c>
      <c r="F68" s="376" t="str">
        <f>'Sąrašų palyginimas su sutartimi'!F68</f>
        <v>-</v>
      </c>
      <c r="G68" s="1600">
        <f>'Sąrašų palyginimas su sutartimi'!G68</f>
        <v>98949.56</v>
      </c>
      <c r="H68" s="1602">
        <f t="shared" ref="H68:H131" si="8">SUM(K68+N68+Q68+T68+W68)</f>
        <v>98949.56</v>
      </c>
      <c r="I68" s="1604">
        <f t="shared" ref="I68:I131" si="9">IF(G68&gt;0,G68-H68,"–")</f>
        <v>0</v>
      </c>
      <c r="J68" s="1600">
        <f>'Sąrašų palyginimas su sutartimi'!J68</f>
        <v>84107.13</v>
      </c>
      <c r="K68" s="1602">
        <f>'ES lėšos'!G67</f>
        <v>84107.13</v>
      </c>
      <c r="L68" s="1604">
        <f t="shared" ref="L68:L131" si="10">IF(J68&gt;0,J68-K68,"–")</f>
        <v>0</v>
      </c>
      <c r="M68" s="1600">
        <f>'Sąrašų palyginimas su sutartimi'!M68</f>
        <v>0</v>
      </c>
      <c r="N68" s="1602">
        <f>'3 pr-2'!$R90</f>
        <v>0</v>
      </c>
      <c r="O68" s="1604" t="str">
        <f t="shared" ref="O68:O131" si="11">IF(M68&gt;0,M68-N68,"–")</f>
        <v>–</v>
      </c>
      <c r="P68" s="1600">
        <f>'Sąrašų palyginimas su sutartimi'!P68</f>
        <v>14842.43</v>
      </c>
      <c r="Q68" s="1602">
        <f>SUM('3 pr-2'!O90)</f>
        <v>14842.43</v>
      </c>
      <c r="R68" s="1604">
        <f t="shared" ref="R68:R131" si="12">IF(P68&gt;0,P68-Q68,"–")</f>
        <v>0</v>
      </c>
      <c r="S68" s="1600">
        <f>'Sąrašų palyginimas su sutartimi'!S68</f>
        <v>0</v>
      </c>
      <c r="T68" s="1602">
        <f>SUM('3 pr-2'!U90)</f>
        <v>0</v>
      </c>
      <c r="U68" s="1604" t="str">
        <f t="shared" ref="U68:U131" si="13">IF(S68&gt;0,S68-T68,"–")</f>
        <v>–</v>
      </c>
      <c r="V68" s="1600">
        <f>'Sąrašų palyginimas su sutartimi'!V68</f>
        <v>0</v>
      </c>
      <c r="W68" s="1602">
        <f>SUM('3 pr-2'!X90)</f>
        <v>0</v>
      </c>
      <c r="X68" s="1604" t="str">
        <f t="shared" ref="X68:X131" si="14">IF(V68&gt;0,V68-W68,"–")</f>
        <v>–</v>
      </c>
      <c r="Y68" s="1605" t="str">
        <f>'Sąrašų palyginimas su sutartimi'!Y68</f>
        <v>–</v>
      </c>
    </row>
    <row r="69" spans="1:25" ht="48.75" thickBot="1">
      <c r="A69" s="376">
        <f t="shared" ref="A69:A132" si="15">ROW(A68)</f>
        <v>68</v>
      </c>
      <c r="B69" s="376" t="str">
        <f>'Sąrašų palyginimas su sutartimi'!B69</f>
        <v>Dviračių ir pėsčiųjų tako, esančio šalia Ratnyčios upelio Druskininkų mieste, rekonstrukcija</v>
      </c>
      <c r="C69" s="376" t="str">
        <f>'Sąrašų palyginimas su sutartimi'!C69</f>
        <v>04.5.1-TID-R-516</v>
      </c>
      <c r="D69" s="376" t="str">
        <f>'Sąrašų palyginimas su sutartimi'!D69</f>
        <v xml:space="preserve">Druskininkų savivaldybės administracija  </v>
      </c>
      <c r="E69" s="376" t="str">
        <f>'Sąrašų palyginimas su sutartimi'!E69</f>
        <v>Druskininkų sav.</v>
      </c>
      <c r="F69" s="376" t="str">
        <f>'Sąrašų palyginimas su sutartimi'!F69</f>
        <v>-</v>
      </c>
      <c r="G69" s="1600">
        <f>'Sąrašų palyginimas su sutartimi'!G69</f>
        <v>71089.02</v>
      </c>
      <c r="H69" s="1602">
        <f t="shared" si="8"/>
        <v>71089</v>
      </c>
      <c r="I69" s="1604">
        <f t="shared" si="9"/>
        <v>2.0000000004074536E-2</v>
      </c>
      <c r="J69" s="1600">
        <f>'Sąrašų palyginimas su sutartimi'!J69</f>
        <v>56623</v>
      </c>
      <c r="K69" s="1602">
        <f>'ES lėšos'!G68</f>
        <v>56623</v>
      </c>
      <c r="L69" s="1604">
        <f t="shared" si="10"/>
        <v>0</v>
      </c>
      <c r="M69" s="1600">
        <f>'Sąrašų palyginimas su sutartimi'!M69</f>
        <v>0</v>
      </c>
      <c r="N69" s="1602">
        <f>'3 pr-2'!$R91</f>
        <v>0</v>
      </c>
      <c r="O69" s="1604" t="str">
        <f t="shared" si="11"/>
        <v>–</v>
      </c>
      <c r="P69" s="1600">
        <f>'Sąrašų palyginimas su sutartimi'!P69</f>
        <v>14466.02</v>
      </c>
      <c r="Q69" s="1602">
        <f>SUM('3 pr-2'!O91)</f>
        <v>14466</v>
      </c>
      <c r="R69" s="1604">
        <f t="shared" si="12"/>
        <v>2.0000000000436557E-2</v>
      </c>
      <c r="S69" s="1600">
        <f>'Sąrašų palyginimas su sutartimi'!S69</f>
        <v>0</v>
      </c>
      <c r="T69" s="1602">
        <f>SUM('3 pr-2'!U91)</f>
        <v>0</v>
      </c>
      <c r="U69" s="1604" t="str">
        <f t="shared" si="13"/>
        <v>–</v>
      </c>
      <c r="V69" s="1600">
        <f>'Sąrašų palyginimas su sutartimi'!V69</f>
        <v>0</v>
      </c>
      <c r="W69" s="1602">
        <f>SUM('3 pr-2'!X91)</f>
        <v>0</v>
      </c>
      <c r="X69" s="1604" t="str">
        <f t="shared" si="14"/>
        <v>–</v>
      </c>
      <c r="Y69" s="1605" t="str">
        <f>'Sąrašų palyginimas su sutartimi'!Y69</f>
        <v>–</v>
      </c>
    </row>
    <row r="70" spans="1:25" ht="48.75" thickBot="1">
      <c r="A70" s="376">
        <f t="shared" si="15"/>
        <v>69</v>
      </c>
      <c r="B70" s="376" t="str">
        <f>'Sąrašų palyginimas su sutartimi'!B70</f>
        <v>Varėnos miesto J. Basanavičiaus, Savanorių, M. K. Čiurlionio gatvių rekonstrukcija</v>
      </c>
      <c r="C70" s="376" t="str">
        <f>'Sąrašų palyginimas su sutartimi'!C70</f>
        <v>06.2.1-TID-R-511</v>
      </c>
      <c r="D70" s="376" t="str">
        <f>'Sąrašų palyginimas su sutartimi'!D70</f>
        <v>Varėnos rajono savivaldybės administracija</v>
      </c>
      <c r="E70" s="376" t="str">
        <f>'Sąrašų palyginimas su sutartimi'!E70</f>
        <v>Varėnos r. sav.</v>
      </c>
      <c r="F70" s="376" t="str">
        <f>'Sąrašų palyginimas su sutartimi'!F70</f>
        <v>ITI</v>
      </c>
      <c r="G70" s="1600">
        <f>'Sąrašų palyginimas su sutartimi'!G70</f>
        <v>835464</v>
      </c>
      <c r="H70" s="1602">
        <f t="shared" si="8"/>
        <v>835464</v>
      </c>
      <c r="I70" s="1604">
        <f t="shared" si="9"/>
        <v>0</v>
      </c>
      <c r="J70" s="1600">
        <f>'Sąrašų palyginimas su sutartimi'!J70</f>
        <v>710144</v>
      </c>
      <c r="K70" s="1602">
        <f>'ES lėšos'!G69</f>
        <v>710144</v>
      </c>
      <c r="L70" s="1604">
        <f t="shared" si="10"/>
        <v>0</v>
      </c>
      <c r="M70" s="1600">
        <f>'Sąrašų palyginimas su sutartimi'!M70</f>
        <v>0</v>
      </c>
      <c r="N70" s="1602">
        <f>'3 pr-2'!$R93</f>
        <v>0</v>
      </c>
      <c r="O70" s="1604" t="str">
        <f t="shared" si="11"/>
        <v>–</v>
      </c>
      <c r="P70" s="1600">
        <f>'Sąrašų palyginimas su sutartimi'!P70</f>
        <v>62660</v>
      </c>
      <c r="Q70" s="1602">
        <f>SUM('3 pr-2'!O93)</f>
        <v>62660</v>
      </c>
      <c r="R70" s="1604">
        <f t="shared" si="12"/>
        <v>0</v>
      </c>
      <c r="S70" s="1600">
        <f>'Sąrašų palyginimas su sutartimi'!S70</f>
        <v>0</v>
      </c>
      <c r="T70" s="1602">
        <f>SUM('3 pr-2'!U93)</f>
        <v>0</v>
      </c>
      <c r="U70" s="1604" t="str">
        <f t="shared" si="13"/>
        <v>–</v>
      </c>
      <c r="V70" s="1600">
        <f>'Sąrašų palyginimas su sutartimi'!V70</f>
        <v>0</v>
      </c>
      <c r="W70" s="1602">
        <f>SUM('3 pr-2'!X93)</f>
        <v>62660</v>
      </c>
      <c r="X70" s="1604" t="str">
        <f t="shared" si="14"/>
        <v>–</v>
      </c>
      <c r="Y70" s="1605" t="str">
        <f>'Sąrašų palyginimas su sutartimi'!Y70</f>
        <v>–</v>
      </c>
    </row>
    <row r="71" spans="1:25" ht="36.75" thickBot="1">
      <c r="A71" s="376">
        <f t="shared" si="15"/>
        <v>70</v>
      </c>
      <c r="B71" s="376" t="str">
        <f>'Sąrašų palyginimas su sutartimi'!B71</f>
        <v>Perspektyvinės gatvės nuo Pramonės g. iki Naujosios g. Alytuje įrengimas</v>
      </c>
      <c r="C71" s="376" t="str">
        <f>'Sąrašų palyginimas su sutartimi'!C71</f>
        <v>06.2.1-TID-R-511</v>
      </c>
      <c r="D71" s="376" t="str">
        <f>'Sąrašų palyginimas su sutartimi'!D71</f>
        <v>Alytaus miesto savivaldybės administracija</v>
      </c>
      <c r="E71" s="376" t="str">
        <f>'Sąrašų palyginimas su sutartimi'!E71</f>
        <v>Alytaus m. sav.</v>
      </c>
      <c r="F71" s="376" t="str">
        <f>'Sąrašų palyginimas su sutartimi'!F71</f>
        <v>ITI</v>
      </c>
      <c r="G71" s="1600">
        <f>'Sąrašų palyginimas su sutartimi'!G71</f>
        <v>879927.06</v>
      </c>
      <c r="H71" s="1602">
        <f t="shared" si="8"/>
        <v>879927.06</v>
      </c>
      <c r="I71" s="1604">
        <f t="shared" si="9"/>
        <v>0</v>
      </c>
      <c r="J71" s="1600">
        <f>'Sąrašų palyginimas su sutartimi'!J71</f>
        <v>747938</v>
      </c>
      <c r="K71" s="1602">
        <f>'ES lėšos'!G70</f>
        <v>747938</v>
      </c>
      <c r="L71" s="1604">
        <f t="shared" si="10"/>
        <v>0</v>
      </c>
      <c r="M71" s="1600">
        <f>'Sąrašų palyginimas su sutartimi'!M71</f>
        <v>0</v>
      </c>
      <c r="N71" s="1602">
        <f>'3 pr-2'!$R94</f>
        <v>0</v>
      </c>
      <c r="O71" s="1604" t="str">
        <f t="shared" si="11"/>
        <v>–</v>
      </c>
      <c r="P71" s="1600">
        <f>'Sąrašų palyginimas su sutartimi'!P71</f>
        <v>131989.06</v>
      </c>
      <c r="Q71" s="1602">
        <f>SUM('3 pr-2'!O94)</f>
        <v>131989.06</v>
      </c>
      <c r="R71" s="1604">
        <f t="shared" si="12"/>
        <v>0</v>
      </c>
      <c r="S71" s="1600">
        <f>'Sąrašų palyginimas su sutartimi'!S71</f>
        <v>0</v>
      </c>
      <c r="T71" s="1602">
        <f>SUM('3 pr-2'!U94)</f>
        <v>0</v>
      </c>
      <c r="U71" s="1604" t="str">
        <f t="shared" si="13"/>
        <v>–</v>
      </c>
      <c r="V71" s="1600">
        <f>'Sąrašų palyginimas su sutartimi'!V71</f>
        <v>0</v>
      </c>
      <c r="W71" s="1602">
        <f>SUM('3 pr-2'!X94)</f>
        <v>0</v>
      </c>
      <c r="X71" s="1604" t="str">
        <f t="shared" si="14"/>
        <v>–</v>
      </c>
      <c r="Y71" s="1605" t="str">
        <f>'Sąrašų palyginimas su sutartimi'!Y71</f>
        <v>baigtas</v>
      </c>
    </row>
    <row r="72" spans="1:25" ht="24.75" thickBot="1">
      <c r="A72" s="376">
        <f t="shared" si="15"/>
        <v>71</v>
      </c>
      <c r="B72" s="376" t="str">
        <f>'Sąrašų palyginimas su sutartimi'!B72</f>
        <v>Saugaus eismo priemonių diegimas Alytaus mieste</v>
      </c>
      <c r="C72" s="376" t="str">
        <f>'Sąrašų palyginimas su sutartimi'!C72</f>
        <v>06.2.1-TID-R-511</v>
      </c>
      <c r="D72" s="376" t="str">
        <f>'Sąrašų palyginimas su sutartimi'!D72</f>
        <v>Alytaus miesto savivaldybės administracija</v>
      </c>
      <c r="E72" s="376" t="str">
        <f>'Sąrašų palyginimas su sutartimi'!E72</f>
        <v>Alytaus m. sav.</v>
      </c>
      <c r="F72" s="376" t="str">
        <f>'Sąrašų palyginimas su sutartimi'!F72</f>
        <v>-</v>
      </c>
      <c r="G72" s="1600">
        <f>'Sąrašų palyginimas su sutartimi'!G72</f>
        <v>315614.59999999998</v>
      </c>
      <c r="H72" s="1602">
        <f t="shared" si="8"/>
        <v>274146.8</v>
      </c>
      <c r="I72" s="1604">
        <f t="shared" si="9"/>
        <v>41467.799999999988</v>
      </c>
      <c r="J72" s="1600">
        <f>'Sąrašų palyginimas su sutartimi'!J72</f>
        <v>250299</v>
      </c>
      <c r="K72" s="1602">
        <f>'ES lėšos'!G71</f>
        <v>233024.78</v>
      </c>
      <c r="L72" s="1604">
        <f t="shared" si="10"/>
        <v>17274.22</v>
      </c>
      <c r="M72" s="1600">
        <f>'Sąrašų palyginimas su sutartimi'!M72</f>
        <v>0</v>
      </c>
      <c r="N72" s="1602">
        <f>'3 pr-2'!$R95</f>
        <v>0</v>
      </c>
      <c r="O72" s="1604" t="str">
        <f t="shared" si="11"/>
        <v>–</v>
      </c>
      <c r="P72" s="1600">
        <f>'Sąrašų palyginimas su sutartimi'!P72</f>
        <v>65315.6</v>
      </c>
      <c r="Q72" s="1602">
        <f>SUM('3 pr-2'!O95)</f>
        <v>41122.019999999997</v>
      </c>
      <c r="R72" s="1604">
        <f t="shared" si="12"/>
        <v>24193.58</v>
      </c>
      <c r="S72" s="1600">
        <f>'Sąrašų palyginimas su sutartimi'!S72</f>
        <v>0</v>
      </c>
      <c r="T72" s="1602">
        <f>SUM('3 pr-2'!U95)</f>
        <v>0</v>
      </c>
      <c r="U72" s="1604" t="str">
        <f t="shared" si="13"/>
        <v>–</v>
      </c>
      <c r="V72" s="1600">
        <f>'Sąrašų palyginimas su sutartimi'!V72</f>
        <v>0</v>
      </c>
      <c r="W72" s="1602">
        <f>SUM('3 pr-2'!X95)</f>
        <v>0</v>
      </c>
      <c r="X72" s="1604" t="str">
        <f t="shared" si="14"/>
        <v>–</v>
      </c>
      <c r="Y72" s="1605" t="str">
        <f>'Sąrašų palyginimas su sutartimi'!Y72</f>
        <v>–</v>
      </c>
    </row>
    <row r="73" spans="1:25" ht="36.75" thickBot="1">
      <c r="A73" s="376">
        <f t="shared" si="15"/>
        <v>72</v>
      </c>
      <c r="B73" s="376" t="str">
        <f>'Sąrašų palyginimas su sutartimi'!B73</f>
        <v>Eismo saugos priemonių diegimas Alytaus rajono savivaldybėje</v>
      </c>
      <c r="C73" s="376" t="str">
        <f>'Sąrašų palyginimas su sutartimi'!C73</f>
        <v>06.2.1-TID-R-511</v>
      </c>
      <c r="D73" s="376" t="str">
        <f>'Sąrašų palyginimas su sutartimi'!D73</f>
        <v>Alytaus rajono savivaldybės administracija</v>
      </c>
      <c r="E73" s="376" t="str">
        <f>'Sąrašų palyginimas su sutartimi'!E73</f>
        <v>Alytaus r. sav.</v>
      </c>
      <c r="F73" s="376" t="str">
        <f>'Sąrašų palyginimas su sutartimi'!F73</f>
        <v>-</v>
      </c>
      <c r="G73" s="1600">
        <f>'Sąrašų palyginimas su sutartimi'!G73</f>
        <v>274817.98</v>
      </c>
      <c r="H73" s="1602">
        <f t="shared" si="8"/>
        <v>274817.98</v>
      </c>
      <c r="I73" s="1604">
        <f t="shared" si="9"/>
        <v>0</v>
      </c>
      <c r="J73" s="1600">
        <f>'Sąrašų palyginimas su sutartimi'!J73</f>
        <v>200844</v>
      </c>
      <c r="K73" s="1602">
        <f>'ES lėšos'!G72</f>
        <v>200844</v>
      </c>
      <c r="L73" s="1604">
        <f t="shared" si="10"/>
        <v>0</v>
      </c>
      <c r="M73" s="1600">
        <f>'Sąrašų palyginimas su sutartimi'!M73</f>
        <v>0</v>
      </c>
      <c r="N73" s="1602">
        <f>'3 pr-2'!$R96</f>
        <v>0</v>
      </c>
      <c r="O73" s="1604" t="str">
        <f t="shared" si="11"/>
        <v>–</v>
      </c>
      <c r="P73" s="1600">
        <f>'Sąrašų palyginimas su sutartimi'!P73</f>
        <v>73973.98</v>
      </c>
      <c r="Q73" s="1602">
        <f>SUM('3 pr-2'!O96)</f>
        <v>73973.98</v>
      </c>
      <c r="R73" s="1604">
        <f t="shared" si="12"/>
        <v>0</v>
      </c>
      <c r="S73" s="1600">
        <f>'Sąrašų palyginimas su sutartimi'!S73</f>
        <v>0</v>
      </c>
      <c r="T73" s="1602">
        <f>SUM('3 pr-2'!U96)</f>
        <v>0</v>
      </c>
      <c r="U73" s="1604" t="str">
        <f t="shared" si="13"/>
        <v>–</v>
      </c>
      <c r="V73" s="1600">
        <f>'Sąrašų palyginimas su sutartimi'!V73</f>
        <v>0</v>
      </c>
      <c r="W73" s="1602">
        <f>SUM('3 pr-2'!X96)</f>
        <v>0</v>
      </c>
      <c r="X73" s="1604" t="str">
        <f t="shared" si="14"/>
        <v>–</v>
      </c>
      <c r="Y73" s="1605" t="str">
        <f>'Sąrašų palyginimas su sutartimi'!Y73</f>
        <v>–</v>
      </c>
    </row>
    <row r="74" spans="1:25" ht="36.75" thickBot="1">
      <c r="A74" s="376">
        <f t="shared" si="15"/>
        <v>73</v>
      </c>
      <c r="B74" s="376" t="str">
        <f>'Sąrašų palyginimas su sutartimi'!B74</f>
        <v>M.K. Čiurlionio gatvės atkarpos Druskininkų m. rekonstrukcija</v>
      </c>
      <c r="C74" s="376" t="str">
        <f>'Sąrašų palyginimas su sutartimi'!C74</f>
        <v>06.2.1-TID-R-511</v>
      </c>
      <c r="D74" s="376" t="str">
        <f>'Sąrašų palyginimas su sutartimi'!D74</f>
        <v xml:space="preserve">Druskininkų savivaldybės administracija  </v>
      </c>
      <c r="E74" s="376" t="str">
        <f>'Sąrašų palyginimas su sutartimi'!E74</f>
        <v>Druskininkų sav.</v>
      </c>
      <c r="F74" s="376" t="str">
        <f>'Sąrašų palyginimas su sutartimi'!F74</f>
        <v>ITI</v>
      </c>
      <c r="G74" s="1600">
        <f>'Sąrašų palyginimas su sutartimi'!G74</f>
        <v>1258144.24</v>
      </c>
      <c r="H74" s="1602">
        <f t="shared" si="8"/>
        <v>1156237</v>
      </c>
      <c r="I74" s="1604">
        <f t="shared" si="9"/>
        <v>101907.23999999999</v>
      </c>
      <c r="J74" s="1600">
        <f>'Sąrašų palyginimas su sutartimi'!J74</f>
        <v>384649</v>
      </c>
      <c r="K74" s="1602">
        <f>'ES lėšos'!G73</f>
        <v>384649</v>
      </c>
      <c r="L74" s="1604">
        <f t="shared" si="10"/>
        <v>0</v>
      </c>
      <c r="M74" s="1600">
        <f>'Sąrašų palyginimas su sutartimi'!M74</f>
        <v>0</v>
      </c>
      <c r="N74" s="1602">
        <f>'3 pr-2'!$R97</f>
        <v>0</v>
      </c>
      <c r="O74" s="1604" t="str">
        <f t="shared" si="11"/>
        <v>–</v>
      </c>
      <c r="P74" s="1600">
        <f>'Sąrašų palyginimas su sutartimi'!P74</f>
        <v>873495.24</v>
      </c>
      <c r="Q74" s="1602">
        <f>SUM('3 pr-2'!O97)</f>
        <v>771588</v>
      </c>
      <c r="R74" s="1604">
        <f t="shared" si="12"/>
        <v>101907.23999999999</v>
      </c>
      <c r="S74" s="1600">
        <f>'Sąrašų palyginimas su sutartimi'!S74</f>
        <v>0</v>
      </c>
      <c r="T74" s="1602">
        <f>SUM('3 pr-2'!U97)</f>
        <v>0</v>
      </c>
      <c r="U74" s="1604" t="str">
        <f t="shared" si="13"/>
        <v>–</v>
      </c>
      <c r="V74" s="1600">
        <f>'Sąrašų palyginimas su sutartimi'!V74</f>
        <v>0</v>
      </c>
      <c r="W74" s="1602">
        <f>SUM('3 pr-2'!X97)</f>
        <v>0</v>
      </c>
      <c r="X74" s="1604" t="str">
        <f t="shared" si="14"/>
        <v>–</v>
      </c>
      <c r="Y74" s="1605" t="str">
        <f>'Sąrašų palyginimas su sutartimi'!Y74</f>
        <v>–</v>
      </c>
    </row>
    <row r="75" spans="1:25" ht="60.75" thickBot="1">
      <c r="A75" s="376">
        <f t="shared" si="15"/>
        <v>74</v>
      </c>
      <c r="B75" s="376" t="str">
        <f>'Sąrašų palyginimas su sutartimi'!B75</f>
        <v>Lazdijų miesto Seinų ir Lazdijos gatvių bei vietinės reikšmės kelio nuo Janonio gatvės iki Lazdijų hipodromo rekonstravimas</v>
      </c>
      <c r="C75" s="376" t="str">
        <f>'Sąrašų palyginimas su sutartimi'!C75</f>
        <v>06.2.1-TID-R-511</v>
      </c>
      <c r="D75" s="376" t="str">
        <f>'Sąrašų palyginimas su sutartimi'!D75</f>
        <v>Lazdijų rajono savivaldybės administracija</v>
      </c>
      <c r="E75" s="376" t="str">
        <f>'Sąrašų palyginimas su sutartimi'!E75</f>
        <v>Lazdijų r. sav.</v>
      </c>
      <c r="F75" s="376" t="str">
        <f>'Sąrašų palyginimas su sutartimi'!F75</f>
        <v>ITI</v>
      </c>
      <c r="G75" s="1600">
        <f>'Sąrašų palyginimas su sutartimi'!G75</f>
        <v>759934</v>
      </c>
      <c r="H75" s="1602">
        <f t="shared" si="8"/>
        <v>759934</v>
      </c>
      <c r="I75" s="1604">
        <f t="shared" si="9"/>
        <v>0</v>
      </c>
      <c r="J75" s="1600">
        <f>'Sąrašų palyginimas su sutartimi'!J75</f>
        <v>645944</v>
      </c>
      <c r="K75" s="1602">
        <f>'ES lėšos'!G74</f>
        <v>645944</v>
      </c>
      <c r="L75" s="1604">
        <f t="shared" si="10"/>
        <v>0</v>
      </c>
      <c r="M75" s="1600">
        <f>'Sąrašų palyginimas su sutartimi'!M75</f>
        <v>0</v>
      </c>
      <c r="N75" s="1602">
        <f>'3 pr-2'!$R98</f>
        <v>0</v>
      </c>
      <c r="O75" s="1604" t="str">
        <f t="shared" si="11"/>
        <v>–</v>
      </c>
      <c r="P75" s="1600">
        <f>'Sąrašų palyginimas su sutartimi'!P75</f>
        <v>113990</v>
      </c>
      <c r="Q75" s="1602">
        <f>SUM('3 pr-2'!O98)</f>
        <v>113990</v>
      </c>
      <c r="R75" s="1604">
        <f t="shared" si="12"/>
        <v>0</v>
      </c>
      <c r="S75" s="1600">
        <f>'Sąrašų palyginimas su sutartimi'!S75</f>
        <v>0</v>
      </c>
      <c r="T75" s="1602">
        <f>SUM('3 pr-2'!U98)</f>
        <v>0</v>
      </c>
      <c r="U75" s="1604" t="str">
        <f t="shared" si="13"/>
        <v>–</v>
      </c>
      <c r="V75" s="1600">
        <f>'Sąrašų palyginimas su sutartimi'!V75</f>
        <v>0</v>
      </c>
      <c r="W75" s="1602">
        <f>SUM('3 pr-2'!X98)</f>
        <v>0</v>
      </c>
      <c r="X75" s="1604" t="str">
        <f t="shared" si="14"/>
        <v>–</v>
      </c>
      <c r="Y75" s="1605" t="str">
        <f>'Sąrašų palyginimas su sutartimi'!Y75</f>
        <v>–</v>
      </c>
    </row>
    <row r="76" spans="1:25" ht="36.75" thickBot="1">
      <c r="A76" s="376">
        <f t="shared" si="15"/>
        <v>75</v>
      </c>
      <c r="B76" s="376" t="str">
        <f>'Sąrašų palyginimas su sutartimi'!B76</f>
        <v>Eismo saugumo priemonių diegimas Druskininkų savivaldybėje</v>
      </c>
      <c r="C76" s="376" t="str">
        <f>'Sąrašų palyginimas su sutartimi'!C76</f>
        <v>06.2.1-TID-R-511</v>
      </c>
      <c r="D76" s="376" t="str">
        <f>'Sąrašų palyginimas su sutartimi'!D76</f>
        <v xml:space="preserve">Druskininkų savivaldybės administracija  </v>
      </c>
      <c r="E76" s="376" t="str">
        <f>'Sąrašų palyginimas su sutartimi'!E76</f>
        <v>Druskininkų sav.</v>
      </c>
      <c r="F76" s="376" t="str">
        <f>'Sąrašų palyginimas su sutartimi'!F76</f>
        <v>-</v>
      </c>
      <c r="G76" s="1600">
        <f>'Sąrašų palyginimas su sutartimi'!G76</f>
        <v>343390.47</v>
      </c>
      <c r="H76" s="1602">
        <f t="shared" si="8"/>
        <v>135352</v>
      </c>
      <c r="I76" s="1604">
        <f t="shared" si="9"/>
        <v>208038.46999999997</v>
      </c>
      <c r="J76" s="1600">
        <f>'Sąrašų palyginimas su sutartimi'!J76</f>
        <v>112989</v>
      </c>
      <c r="K76" s="1602">
        <f>'ES lėšos'!G75</f>
        <v>112989</v>
      </c>
      <c r="L76" s="1604">
        <f t="shared" si="10"/>
        <v>0</v>
      </c>
      <c r="M76" s="1600">
        <f>'Sąrašų palyginimas su sutartimi'!M76</f>
        <v>0</v>
      </c>
      <c r="N76" s="1602">
        <f>'3 pr-2'!$R99</f>
        <v>0</v>
      </c>
      <c r="O76" s="1604" t="str">
        <f t="shared" si="11"/>
        <v>–</v>
      </c>
      <c r="P76" s="1600">
        <f>'Sąrašų palyginimas su sutartimi'!P76</f>
        <v>230401.47</v>
      </c>
      <c r="Q76" s="1602">
        <f>SUM('3 pr-2'!O99)</f>
        <v>22363</v>
      </c>
      <c r="R76" s="1604">
        <f t="shared" si="12"/>
        <v>208038.47</v>
      </c>
      <c r="S76" s="1600">
        <f>'Sąrašų palyginimas su sutartimi'!S76</f>
        <v>0</v>
      </c>
      <c r="T76" s="1602">
        <f>SUM('3 pr-2'!U99)</f>
        <v>0</v>
      </c>
      <c r="U76" s="1604" t="str">
        <f t="shared" si="13"/>
        <v>–</v>
      </c>
      <c r="V76" s="1600">
        <f>'Sąrašų palyginimas su sutartimi'!V76</f>
        <v>0</v>
      </c>
      <c r="W76" s="1602">
        <f>SUM('3 pr-2'!X99)</f>
        <v>0</v>
      </c>
      <c r="X76" s="1604" t="str">
        <f t="shared" si="14"/>
        <v>–</v>
      </c>
      <c r="Y76" s="1605" t="str">
        <f>'Sąrašų palyginimas su sutartimi'!Y76</f>
        <v>–</v>
      </c>
    </row>
    <row r="77" spans="1:25" ht="72.75" thickBot="1">
      <c r="A77" s="376">
        <f t="shared" si="15"/>
        <v>76</v>
      </c>
      <c r="B77" s="376" t="str">
        <f>'Sąrašų palyginimas su sutartimi'!B77</f>
        <v>Varėnos r. Merkinės Vinco Krėvės gimnazijos laisvų patalpų pritaikymas ikimokyklinio ir priešmokyklinio ugdymo grupėms įrengti</v>
      </c>
      <c r="C77" s="376" t="str">
        <f>'Sąrašų palyginimas su sutartimi'!C77</f>
        <v>09.1.3-CPVA-R-724</v>
      </c>
      <c r="D77" s="376" t="str">
        <f>'Sąrašų palyginimas su sutartimi'!D77</f>
        <v>Varėnos rajono savivaldybės administracija</v>
      </c>
      <c r="E77" s="376" t="str">
        <f>'Sąrašų palyginimas su sutartimi'!E77</f>
        <v>Varėnos r. sav.</v>
      </c>
      <c r="F77" s="376" t="str">
        <f>'Sąrašų palyginimas su sutartimi'!F77</f>
        <v>-</v>
      </c>
      <c r="G77" s="1600">
        <f>'Sąrašų palyginimas su sutartimi'!G77</f>
        <v>220453</v>
      </c>
      <c r="H77" s="1602">
        <f t="shared" si="8"/>
        <v>220453</v>
      </c>
      <c r="I77" s="1604">
        <f t="shared" si="9"/>
        <v>0</v>
      </c>
      <c r="J77" s="1600">
        <f>'Sąrašų palyginimas su sutartimi'!J77</f>
        <v>187385</v>
      </c>
      <c r="K77" s="1602">
        <f>'ES lėšos'!G76</f>
        <v>187385</v>
      </c>
      <c r="L77" s="1604">
        <f t="shared" si="10"/>
        <v>0</v>
      </c>
      <c r="M77" s="1600">
        <f>'Sąrašų palyginimas su sutartimi'!M77</f>
        <v>16534</v>
      </c>
      <c r="N77" s="1602">
        <f>'3 pr-2'!$R103</f>
        <v>16534</v>
      </c>
      <c r="O77" s="1604">
        <f t="shared" si="11"/>
        <v>0</v>
      </c>
      <c r="P77" s="1600">
        <f>'Sąrašų palyginimas su sutartimi'!P77</f>
        <v>16534</v>
      </c>
      <c r="Q77" s="1602">
        <f>SUM('3 pr-2'!O103)</f>
        <v>16534</v>
      </c>
      <c r="R77" s="1604">
        <f t="shared" si="12"/>
        <v>0</v>
      </c>
      <c r="S77" s="1600">
        <f>'Sąrašų palyginimas su sutartimi'!S77</f>
        <v>0</v>
      </c>
      <c r="T77" s="1602">
        <f>SUM('3 pr-2'!U103)</f>
        <v>0</v>
      </c>
      <c r="U77" s="1604" t="str">
        <f t="shared" si="13"/>
        <v>–</v>
      </c>
      <c r="V77" s="1600">
        <f>'Sąrašų palyginimas su sutartimi'!V77</f>
        <v>0</v>
      </c>
      <c r="W77" s="1602">
        <f>SUM('3 pr-2'!X103)</f>
        <v>0</v>
      </c>
      <c r="X77" s="1604" t="str">
        <f t="shared" si="14"/>
        <v>–</v>
      </c>
      <c r="Y77" s="1605" t="str">
        <f>'Sąrašų palyginimas su sutartimi'!Y77</f>
        <v>–</v>
      </c>
    </row>
    <row r="78" spans="1:25" ht="60.75" thickBot="1">
      <c r="A78" s="376">
        <f t="shared" si="15"/>
        <v>77</v>
      </c>
      <c r="B78" s="376" t="str">
        <f>'Sąrašų palyginimas su sutartimi'!B78</f>
        <v>Alytaus rajono bendrojo ugdymo įstaigų aprūpinimas gamtos, technologijų, menų ir kitų mokslų laboratorijų įranga</v>
      </c>
      <c r="C78" s="376" t="str">
        <f>'Sąrašų palyginimas su sutartimi'!C78</f>
        <v>09.1.3-CPVA-R-724</v>
      </c>
      <c r="D78" s="376" t="str">
        <f>'Sąrašų palyginimas su sutartimi'!D78</f>
        <v>Alytaus rajono savivaldybės administracija</v>
      </c>
      <c r="E78" s="376" t="str">
        <f>'Sąrašų palyginimas su sutartimi'!E78</f>
        <v>Alytaus r. sav.</v>
      </c>
      <c r="F78" s="376" t="str">
        <f>'Sąrašų palyginimas su sutartimi'!F78</f>
        <v>-</v>
      </c>
      <c r="G78" s="1600">
        <f>'Sąrašų palyginimas su sutartimi'!G78</f>
        <v>106845</v>
      </c>
      <c r="H78" s="1602">
        <f t="shared" si="8"/>
        <v>106845.41</v>
      </c>
      <c r="I78" s="1604">
        <f t="shared" si="9"/>
        <v>-0.41000000000349246</v>
      </c>
      <c r="J78" s="1600">
        <f>'Sąrašų palyginimas su sutartimi'!J78</f>
        <v>90818</v>
      </c>
      <c r="K78" s="1602">
        <f>'ES lėšos'!G77</f>
        <v>90818</v>
      </c>
      <c r="L78" s="1604">
        <f t="shared" si="10"/>
        <v>0</v>
      </c>
      <c r="M78" s="1600">
        <f>'Sąrašų palyginimas su sutartimi'!M78</f>
        <v>8014</v>
      </c>
      <c r="N78" s="1602">
        <f>'3 pr-2'!$R104</f>
        <v>8014</v>
      </c>
      <c r="O78" s="1604">
        <f t="shared" si="11"/>
        <v>0</v>
      </c>
      <c r="P78" s="1600">
        <f>'Sąrašų palyginimas su sutartimi'!P78</f>
        <v>8013</v>
      </c>
      <c r="Q78" s="1602">
        <f>SUM('3 pr-2'!O104)</f>
        <v>8013.41</v>
      </c>
      <c r="R78" s="1604">
        <f t="shared" si="12"/>
        <v>-0.40999999999985448</v>
      </c>
      <c r="S78" s="1600">
        <f>'Sąrašų palyginimas su sutartimi'!S78</f>
        <v>0</v>
      </c>
      <c r="T78" s="1602">
        <f>SUM('3 pr-2'!U104)</f>
        <v>0</v>
      </c>
      <c r="U78" s="1604" t="str">
        <f t="shared" si="13"/>
        <v>–</v>
      </c>
      <c r="V78" s="1600">
        <f>'Sąrašų palyginimas su sutartimi'!V78</f>
        <v>0</v>
      </c>
      <c r="W78" s="1602">
        <f>SUM('3 pr-2'!X104)</f>
        <v>0</v>
      </c>
      <c r="X78" s="1604" t="str">
        <f t="shared" si="14"/>
        <v>–</v>
      </c>
      <c r="Y78" s="1605" t="str">
        <f>'Sąrašų palyginimas su sutartimi'!Y78</f>
        <v>–</v>
      </c>
    </row>
    <row r="79" spans="1:25" ht="48.75" thickBot="1">
      <c r="A79" s="376">
        <f t="shared" si="15"/>
        <v>78</v>
      </c>
      <c r="B79" s="376" t="str">
        <f>'Sąrašų palyginimas su sutartimi'!B79</f>
        <v>Modernių ir saugių erdvių kūrimas Dzūkijos pagrindinėje mokykloje, Alytuje</v>
      </c>
      <c r="C79" s="376" t="str">
        <f>'Sąrašų palyginimas su sutartimi'!C79</f>
        <v>09.1.3-CPVA-R-724</v>
      </c>
      <c r="D79" s="376" t="str">
        <f>'Sąrašų palyginimas su sutartimi'!D79</f>
        <v>Alytaus miesto savivaldybės administracija</v>
      </c>
      <c r="E79" s="376" t="str">
        <f>'Sąrašų palyginimas su sutartimi'!E79</f>
        <v>Alytaus m. sav.</v>
      </c>
      <c r="F79" s="376" t="str">
        <f>'Sąrašų palyginimas su sutartimi'!F79</f>
        <v>-</v>
      </c>
      <c r="G79" s="1600">
        <f>'Sąrašų palyginimas su sutartimi'!G79</f>
        <v>657021</v>
      </c>
      <c r="H79" s="1602">
        <f t="shared" si="8"/>
        <v>657021</v>
      </c>
      <c r="I79" s="1604">
        <f t="shared" si="9"/>
        <v>0</v>
      </c>
      <c r="J79" s="1600">
        <f>'Sąrašų palyginimas su sutartimi'!J79</f>
        <v>558467</v>
      </c>
      <c r="K79" s="1602">
        <f>'ES lėšos'!G78</f>
        <v>558467</v>
      </c>
      <c r="L79" s="1604">
        <f t="shared" si="10"/>
        <v>0</v>
      </c>
      <c r="M79" s="1600">
        <f>'Sąrašų palyginimas su sutartimi'!M79</f>
        <v>49277</v>
      </c>
      <c r="N79" s="1602">
        <f>'3 pr-2'!$R105</f>
        <v>49277</v>
      </c>
      <c r="O79" s="1604">
        <f t="shared" si="11"/>
        <v>0</v>
      </c>
      <c r="P79" s="1600">
        <f>'Sąrašų palyginimas su sutartimi'!P79</f>
        <v>49277</v>
      </c>
      <c r="Q79" s="1602">
        <f>SUM('3 pr-2'!O105)</f>
        <v>49277</v>
      </c>
      <c r="R79" s="1604">
        <f t="shared" si="12"/>
        <v>0</v>
      </c>
      <c r="S79" s="1600">
        <f>'Sąrašų palyginimas su sutartimi'!S79</f>
        <v>0</v>
      </c>
      <c r="T79" s="1602">
        <f>SUM('3 pr-2'!U105)</f>
        <v>0</v>
      </c>
      <c r="U79" s="1604" t="str">
        <f t="shared" si="13"/>
        <v>–</v>
      </c>
      <c r="V79" s="1600">
        <f>'Sąrašų palyginimas su sutartimi'!V79</f>
        <v>0</v>
      </c>
      <c r="W79" s="1602">
        <f>SUM('3 pr-2'!X105)</f>
        <v>0</v>
      </c>
      <c r="X79" s="1604" t="str">
        <f t="shared" si="14"/>
        <v>–</v>
      </c>
      <c r="Y79" s="1605" t="str">
        <f>'Sąrašų palyginimas su sutartimi'!Y79</f>
        <v>–</v>
      </c>
    </row>
    <row r="80" spans="1:25" ht="36.75" thickBot="1">
      <c r="A80" s="376">
        <f t="shared" si="15"/>
        <v>79</v>
      </c>
      <c r="B80" s="376" t="str">
        <f>'Sąrašų palyginimas su sutartimi'!B80</f>
        <v>Modernių ir saugių erdvių sukūrimas bendrojo ugdymo mokyklose Druskininkų sav.</v>
      </c>
      <c r="C80" s="376" t="str">
        <f>'Sąrašų palyginimas su sutartimi'!C80</f>
        <v>09.1.3-CPVA-R-724</v>
      </c>
      <c r="D80" s="376" t="str">
        <f>'Sąrašų palyginimas su sutartimi'!D80</f>
        <v>Druskininkų savivaldybės administracija</v>
      </c>
      <c r="E80" s="376" t="str">
        <f>'Sąrašų palyginimas su sutartimi'!E80</f>
        <v>Druskininkų sav.</v>
      </c>
      <c r="F80" s="376" t="str">
        <f>'Sąrašų palyginimas su sutartimi'!F80</f>
        <v>-</v>
      </c>
      <c r="G80" s="1600">
        <f>'Sąrašų palyginimas su sutartimi'!G80</f>
        <v>163877</v>
      </c>
      <c r="H80" s="1602">
        <f t="shared" si="8"/>
        <v>163877</v>
      </c>
      <c r="I80" s="1604">
        <f t="shared" si="9"/>
        <v>0</v>
      </c>
      <c r="J80" s="1600">
        <f>'Sąrašų palyginimas su sutartimi'!J80</f>
        <v>139295</v>
      </c>
      <c r="K80" s="1602">
        <f>'ES lėšos'!G79</f>
        <v>139295</v>
      </c>
      <c r="L80" s="1604">
        <f t="shared" si="10"/>
        <v>0</v>
      </c>
      <c r="M80" s="1600">
        <f>'Sąrašų palyginimas su sutartimi'!M80</f>
        <v>12291</v>
      </c>
      <c r="N80" s="1602">
        <f>'3 pr-2'!$R106</f>
        <v>12291</v>
      </c>
      <c r="O80" s="1604">
        <f t="shared" si="11"/>
        <v>0</v>
      </c>
      <c r="P80" s="1600">
        <f>'Sąrašų palyginimas su sutartimi'!P80</f>
        <v>12291</v>
      </c>
      <c r="Q80" s="1602">
        <f>SUM('3 pr-2'!O106)</f>
        <v>12291</v>
      </c>
      <c r="R80" s="1604">
        <f t="shared" si="12"/>
        <v>0</v>
      </c>
      <c r="S80" s="1600">
        <f>'Sąrašų palyginimas su sutartimi'!S80</f>
        <v>0</v>
      </c>
      <c r="T80" s="1602">
        <f>SUM('3 pr-2'!U106)</f>
        <v>0</v>
      </c>
      <c r="U80" s="1604" t="str">
        <f t="shared" si="13"/>
        <v>–</v>
      </c>
      <c r="V80" s="1600">
        <f>'Sąrašų palyginimas su sutartimi'!V80</f>
        <v>0</v>
      </c>
      <c r="W80" s="1602">
        <f>SUM('3 pr-2'!X106)</f>
        <v>0</v>
      </c>
      <c r="X80" s="1604" t="str">
        <f t="shared" si="14"/>
        <v>–</v>
      </c>
      <c r="Y80" s="1605" t="str">
        <f>'Sąrašų palyginimas su sutartimi'!Y80</f>
        <v>–</v>
      </c>
    </row>
    <row r="81" spans="1:25" ht="48.75" thickBot="1">
      <c r="A81" s="376">
        <f t="shared" si="15"/>
        <v>80</v>
      </c>
      <c r="B81" s="376" t="str">
        <f>'Sąrašų palyginimas su sutartimi'!B81</f>
        <v>Modernių ir saugių erdvių sukūrimas bendrojo ugdymo įstaigose Lazdijų rajono savivaldybėje</v>
      </c>
      <c r="C81" s="376" t="str">
        <f>'Sąrašų palyginimas su sutartimi'!C81</f>
        <v>09.1.3-CPVA-R-724</v>
      </c>
      <c r="D81" s="376" t="str">
        <f>'Sąrašų palyginimas su sutartimi'!D81</f>
        <v>Lazdijų rajono savivaldybės administracija</v>
      </c>
      <c r="E81" s="376" t="str">
        <f>'Sąrašų palyginimas su sutartimi'!E81</f>
        <v>Lazdijų r. sav.</v>
      </c>
      <c r="F81" s="376" t="str">
        <f>'Sąrašų palyginimas su sutartimi'!F81</f>
        <v>-</v>
      </c>
      <c r="G81" s="1600">
        <f>'Sąrašų palyginimas su sutartimi'!G81</f>
        <v>195778</v>
      </c>
      <c r="H81" s="1602">
        <f t="shared" si="8"/>
        <v>195779</v>
      </c>
      <c r="I81" s="1604">
        <f t="shared" si="9"/>
        <v>-1</v>
      </c>
      <c r="J81" s="1600">
        <f>'Sąrašų palyginimas su sutartimi'!J81</f>
        <v>166412</v>
      </c>
      <c r="K81" s="1602">
        <f>'ES lėšos'!G80</f>
        <v>166412</v>
      </c>
      <c r="L81" s="1604">
        <f t="shared" si="10"/>
        <v>0</v>
      </c>
      <c r="M81" s="1600">
        <f>'Sąrašų palyginimas su sutartimi'!M81</f>
        <v>14683</v>
      </c>
      <c r="N81" s="1602">
        <f>'3 pr-2'!$R107</f>
        <v>14683</v>
      </c>
      <c r="O81" s="1604">
        <f t="shared" si="11"/>
        <v>0</v>
      </c>
      <c r="P81" s="1600">
        <f>'Sąrašų palyginimas su sutartimi'!P81</f>
        <v>14683</v>
      </c>
      <c r="Q81" s="1602">
        <f>SUM('3 pr-2'!O107)</f>
        <v>14684</v>
      </c>
      <c r="R81" s="1604">
        <f t="shared" si="12"/>
        <v>-1</v>
      </c>
      <c r="S81" s="1600">
        <f>'Sąrašų palyginimas su sutartimi'!S81</f>
        <v>0</v>
      </c>
      <c r="T81" s="1602">
        <f>SUM('3 pr-2'!U107)</f>
        <v>0</v>
      </c>
      <c r="U81" s="1604" t="str">
        <f t="shared" si="13"/>
        <v>–</v>
      </c>
      <c r="V81" s="1600">
        <f>'Sąrašų palyginimas su sutartimi'!V81</f>
        <v>0</v>
      </c>
      <c r="W81" s="1602">
        <f>SUM('3 pr-2'!X107)</f>
        <v>0</v>
      </c>
      <c r="X81" s="1604" t="str">
        <f t="shared" si="14"/>
        <v>–</v>
      </c>
      <c r="Y81" s="1605" t="str">
        <f>'Sąrašų palyginimas su sutartimi'!Y81</f>
        <v>–</v>
      </c>
    </row>
    <row r="82" spans="1:25" ht="48.75" thickBot="1">
      <c r="A82" s="376">
        <f t="shared" si="15"/>
        <v>81</v>
      </c>
      <c r="B82" s="376" t="str">
        <f>'Sąrašų palyginimas su sutartimi'!B82</f>
        <v>Varėnos moksleivių kūrybos centro pastato J.Basanavičiaus g. 38, Varėnoje, modernizavimas</v>
      </c>
      <c r="C82" s="376" t="str">
        <f>'Sąrašų palyginimas su sutartimi'!C82</f>
        <v>09.13.CPVA-R-725</v>
      </c>
      <c r="D82" s="376" t="str">
        <f>'Sąrašų palyginimas su sutartimi'!D82</f>
        <v>Varėnos rajono savivaldybės administracija</v>
      </c>
      <c r="E82" s="376" t="str">
        <f>'Sąrašų palyginimas su sutartimi'!E82</f>
        <v>Varėnos r. sav.</v>
      </c>
      <c r="F82" s="376" t="str">
        <f>'Sąrašų palyginimas su sutartimi'!F82</f>
        <v>-</v>
      </c>
      <c r="G82" s="1600">
        <f>'Sąrašų palyginimas su sutartimi'!G82</f>
        <v>437551</v>
      </c>
      <c r="H82" s="1602">
        <f t="shared" si="8"/>
        <v>437551</v>
      </c>
      <c r="I82" s="1604">
        <f t="shared" si="9"/>
        <v>0</v>
      </c>
      <c r="J82" s="1600">
        <f>'Sąrašų palyginimas su sutartimi'!J82</f>
        <v>371918</v>
      </c>
      <c r="K82" s="1602">
        <f>'ES lėšos'!G81</f>
        <v>371918</v>
      </c>
      <c r="L82" s="1604">
        <f t="shared" si="10"/>
        <v>0</v>
      </c>
      <c r="M82" s="1600">
        <f>'Sąrašų palyginimas su sutartimi'!M82</f>
        <v>0</v>
      </c>
      <c r="N82" s="1602">
        <f>'3 pr-2'!$R109</f>
        <v>0</v>
      </c>
      <c r="O82" s="1604" t="str">
        <f t="shared" si="11"/>
        <v>–</v>
      </c>
      <c r="P82" s="1600">
        <f>'Sąrašų palyginimas su sutartimi'!P82</f>
        <v>65633</v>
      </c>
      <c r="Q82" s="1602">
        <f>SUM('3 pr-2'!O109)</f>
        <v>65633</v>
      </c>
      <c r="R82" s="1604">
        <f t="shared" si="12"/>
        <v>0</v>
      </c>
      <c r="S82" s="1600">
        <f>'Sąrašų palyginimas su sutartimi'!S82</f>
        <v>0</v>
      </c>
      <c r="T82" s="1602">
        <f>SUM('3 pr-2'!U109)</f>
        <v>0</v>
      </c>
      <c r="U82" s="1604" t="str">
        <f t="shared" si="13"/>
        <v>–</v>
      </c>
      <c r="V82" s="1600">
        <f>'Sąrašų palyginimas su sutartimi'!V82</f>
        <v>0</v>
      </c>
      <c r="W82" s="1602">
        <f>SUM('3 pr-2'!X109)</f>
        <v>0</v>
      </c>
      <c r="X82" s="1604" t="str">
        <f t="shared" si="14"/>
        <v>–</v>
      </c>
      <c r="Y82" s="1605" t="str">
        <f>'Sąrašų palyginimas su sutartimi'!Y82</f>
        <v>–</v>
      </c>
    </row>
    <row r="83" spans="1:25" ht="36.75" thickBot="1">
      <c r="A83" s="376">
        <f t="shared" si="15"/>
        <v>82</v>
      </c>
      <c r="B83" s="376" t="str">
        <f>'Sąrašų palyginimas su sutartimi'!B83</f>
        <v>Alytaus r. meno ir sporto mokyklos edukacinių erdvių įkūrimas ir atnaujinimas</v>
      </c>
      <c r="C83" s="376" t="str">
        <f>'Sąrašų palyginimas su sutartimi'!C83</f>
        <v>09.13.CPVA-R-725</v>
      </c>
      <c r="D83" s="376" t="str">
        <f>'Sąrašų palyginimas su sutartimi'!D83</f>
        <v>Alytaus rajono savivaldybės administracija</v>
      </c>
      <c r="E83" s="376" t="str">
        <f>'Sąrašų palyginimas su sutartimi'!E83</f>
        <v>Alytaus r. sav.</v>
      </c>
      <c r="F83" s="376" t="str">
        <f>'Sąrašų palyginimas su sutartimi'!F83</f>
        <v>-</v>
      </c>
      <c r="G83" s="1600">
        <f>'Sąrašų palyginimas su sutartimi'!G83</f>
        <v>856456.07</v>
      </c>
      <c r="H83" s="1602">
        <f t="shared" si="8"/>
        <v>856424.88</v>
      </c>
      <c r="I83" s="1604">
        <f t="shared" si="9"/>
        <v>31.189999999944121</v>
      </c>
      <c r="J83" s="1600">
        <f>'Sąrašų palyginimas su sutartimi'!J83</f>
        <v>536611</v>
      </c>
      <c r="K83" s="1602">
        <f>'ES lėšos'!G82</f>
        <v>536611</v>
      </c>
      <c r="L83" s="1604">
        <f t="shared" si="10"/>
        <v>0</v>
      </c>
      <c r="M83" s="1600">
        <f>'Sąrašų palyginimas su sutartimi'!M83</f>
        <v>0</v>
      </c>
      <c r="N83" s="1602">
        <f>'3 pr-2'!$R110</f>
        <v>0</v>
      </c>
      <c r="O83" s="1604" t="str">
        <f t="shared" si="11"/>
        <v>–</v>
      </c>
      <c r="P83" s="1600">
        <f>'Sąrašų palyginimas su sutartimi'!P83</f>
        <v>319845.07</v>
      </c>
      <c r="Q83" s="1602">
        <f>SUM('3 pr-2'!O110)</f>
        <v>319813.88</v>
      </c>
      <c r="R83" s="1604">
        <f t="shared" si="12"/>
        <v>31.190000000002328</v>
      </c>
      <c r="S83" s="1600">
        <f>'Sąrašų palyginimas su sutartimi'!S83</f>
        <v>0</v>
      </c>
      <c r="T83" s="1602">
        <f>SUM('3 pr-2'!U110)</f>
        <v>0</v>
      </c>
      <c r="U83" s="1604" t="str">
        <f t="shared" si="13"/>
        <v>–</v>
      </c>
      <c r="V83" s="1600">
        <f>'Sąrašų palyginimas su sutartimi'!V83</f>
        <v>0</v>
      </c>
      <c r="W83" s="1602">
        <f>SUM('3 pr-2'!X110)</f>
        <v>0</v>
      </c>
      <c r="X83" s="1604" t="str">
        <f t="shared" si="14"/>
        <v>–</v>
      </c>
      <c r="Y83" s="1605" t="str">
        <f>'Sąrašų palyginimas su sutartimi'!Y83</f>
        <v>–</v>
      </c>
    </row>
    <row r="84" spans="1:25" ht="36.75" thickBot="1">
      <c r="A84" s="376">
        <f t="shared" si="15"/>
        <v>83</v>
      </c>
      <c r="B84" s="376" t="str">
        <f>'Sąrašų palyginimas su sutartimi'!B84</f>
        <v>Alytaus muzikos mokyklos pastato modernizavimas ir ugdymo aplinkos gerinimas</v>
      </c>
      <c r="C84" s="376" t="str">
        <f>'Sąrašų palyginimas su sutartimi'!C84</f>
        <v>09.13.CPVA-R-725</v>
      </c>
      <c r="D84" s="376" t="str">
        <f>'Sąrašų palyginimas su sutartimi'!D84</f>
        <v>Alytaus miesto savivaldybės administracija</v>
      </c>
      <c r="E84" s="376" t="str">
        <f>'Sąrašų palyginimas su sutartimi'!E84</f>
        <v>Alytaus m. sav.</v>
      </c>
      <c r="F84" s="376" t="str">
        <f>'Sąrašų palyginimas su sutartimi'!F84</f>
        <v>-</v>
      </c>
      <c r="G84" s="1600">
        <f>'Sąrašų palyginimas su sutartimi'!G84</f>
        <v>397378</v>
      </c>
      <c r="H84" s="1602">
        <f t="shared" si="8"/>
        <v>397378</v>
      </c>
      <c r="I84" s="1604">
        <f t="shared" si="9"/>
        <v>0</v>
      </c>
      <c r="J84" s="1600">
        <f>'Sąrašų palyginimas su sutartimi'!J84</f>
        <v>337771</v>
      </c>
      <c r="K84" s="1602">
        <f>'ES lėšos'!G83</f>
        <v>337771</v>
      </c>
      <c r="L84" s="1604">
        <f t="shared" si="10"/>
        <v>0</v>
      </c>
      <c r="M84" s="1600">
        <f>'Sąrašų palyginimas su sutartimi'!M84</f>
        <v>0</v>
      </c>
      <c r="N84" s="1602">
        <f>'3 pr-2'!$R111</f>
        <v>0</v>
      </c>
      <c r="O84" s="1604" t="str">
        <f t="shared" si="11"/>
        <v>–</v>
      </c>
      <c r="P84" s="1600">
        <f>'Sąrašų palyginimas su sutartimi'!P84</f>
        <v>59607</v>
      </c>
      <c r="Q84" s="1602">
        <f>SUM('3 pr-2'!O111)</f>
        <v>59607</v>
      </c>
      <c r="R84" s="1604">
        <f t="shared" si="12"/>
        <v>0</v>
      </c>
      <c r="S84" s="1600">
        <f>'Sąrašų palyginimas su sutartimi'!S84</f>
        <v>0</v>
      </c>
      <c r="T84" s="1602">
        <f>SUM('3 pr-2'!U111)</f>
        <v>0</v>
      </c>
      <c r="U84" s="1604" t="str">
        <f t="shared" si="13"/>
        <v>–</v>
      </c>
      <c r="V84" s="1600">
        <f>'Sąrašų palyginimas su sutartimi'!V84</f>
        <v>0</v>
      </c>
      <c r="W84" s="1602">
        <f>SUM('3 pr-2'!X111)</f>
        <v>0</v>
      </c>
      <c r="X84" s="1604" t="str">
        <f t="shared" si="14"/>
        <v>–</v>
      </c>
      <c r="Y84" s="1605" t="str">
        <f>'Sąrašų palyginimas su sutartimi'!Y84</f>
        <v>–</v>
      </c>
    </row>
    <row r="85" spans="1:25" ht="36.75" thickBot="1">
      <c r="A85" s="376">
        <f t="shared" si="15"/>
        <v>84</v>
      </c>
      <c r="B85" s="376" t="str">
        <f>'Sąrašų palyginimas su sutartimi'!B85</f>
        <v>Druskininkų M. K. Čiurlionio meno mokyklos infrastruktūros tobulinimas</v>
      </c>
      <c r="C85" s="376" t="str">
        <f>'Sąrašų palyginimas su sutartimi'!C85</f>
        <v>09.13.CPVA-R-725</v>
      </c>
      <c r="D85" s="376" t="str">
        <f>'Sąrašų palyginimas su sutartimi'!D85</f>
        <v xml:space="preserve">Druskininkų savivaldybės administracija  </v>
      </c>
      <c r="E85" s="376" t="str">
        <f>'Sąrašų palyginimas su sutartimi'!E85</f>
        <v>Druskininkų sav.</v>
      </c>
      <c r="F85" s="376" t="str">
        <f>'Sąrašų palyginimas su sutartimi'!F85</f>
        <v>-</v>
      </c>
      <c r="G85" s="1600">
        <f>'Sąrašų palyginimas su sutartimi'!G85</f>
        <v>146195</v>
      </c>
      <c r="H85" s="1602">
        <f t="shared" si="8"/>
        <v>146702.29999999999</v>
      </c>
      <c r="I85" s="1604">
        <f t="shared" si="9"/>
        <v>-507.29999999998836</v>
      </c>
      <c r="J85" s="1600">
        <f>'Sąrašų palyginimas su sutartimi'!J85</f>
        <v>124266</v>
      </c>
      <c r="K85" s="1602">
        <f>'ES lėšos'!G84</f>
        <v>124266</v>
      </c>
      <c r="L85" s="1604">
        <f t="shared" si="10"/>
        <v>0</v>
      </c>
      <c r="M85" s="1600">
        <f>'Sąrašų palyginimas su sutartimi'!M85</f>
        <v>0</v>
      </c>
      <c r="N85" s="1602">
        <f>'3 pr-2'!$R112</f>
        <v>0</v>
      </c>
      <c r="O85" s="1604" t="str">
        <f t="shared" si="11"/>
        <v>–</v>
      </c>
      <c r="P85" s="1600">
        <f>'Sąrašų palyginimas su sutartimi'!P85</f>
        <v>21929</v>
      </c>
      <c r="Q85" s="1602">
        <f>SUM('3 pr-2'!O112)</f>
        <v>22436.3</v>
      </c>
      <c r="R85" s="1604">
        <f t="shared" si="12"/>
        <v>-507.29999999999927</v>
      </c>
      <c r="S85" s="1600">
        <f>'Sąrašų palyginimas su sutartimi'!S85</f>
        <v>0</v>
      </c>
      <c r="T85" s="1602">
        <f>SUM('3 pr-2'!U112)</f>
        <v>0</v>
      </c>
      <c r="U85" s="1604" t="str">
        <f t="shared" si="13"/>
        <v>–</v>
      </c>
      <c r="V85" s="1600">
        <f>'Sąrašų palyginimas su sutartimi'!V85</f>
        <v>0</v>
      </c>
      <c r="W85" s="1602">
        <f>SUM('3 pr-2'!X112)</f>
        <v>0</v>
      </c>
      <c r="X85" s="1604" t="str">
        <f t="shared" si="14"/>
        <v>–</v>
      </c>
      <c r="Y85" s="1605" t="str">
        <f>'Sąrašų palyginimas su sutartimi'!Y85</f>
        <v>–</v>
      </c>
    </row>
    <row r="86" spans="1:25" ht="36.75" thickBot="1">
      <c r="A86" s="376">
        <f t="shared" si="15"/>
        <v>85</v>
      </c>
      <c r="B86" s="376" t="str">
        <f>'Sąrašų palyginimas su sutartimi'!B86</f>
        <v>Neformaliojo švietimo įstaigų Lazdijų rajono savivaldybėje infrastruktūros tobulinimas</v>
      </c>
      <c r="C86" s="376" t="str">
        <f>'Sąrašų palyginimas su sutartimi'!C86</f>
        <v>09.13.CPVA-R-725</v>
      </c>
      <c r="D86" s="376" t="str">
        <f>'Sąrašų palyginimas su sutartimi'!D86</f>
        <v>VšĮ „Lazdijų sporto centras“</v>
      </c>
      <c r="E86" s="376" t="str">
        <f>'Sąrašų palyginimas su sutartimi'!E86</f>
        <v>Lazdijų r. sav.</v>
      </c>
      <c r="F86" s="376" t="str">
        <f>'Sąrašų palyginimas su sutartimi'!F86</f>
        <v>-</v>
      </c>
      <c r="G86" s="1600">
        <f>'Sąrašų palyginimas su sutartimi'!G86</f>
        <v>135814</v>
      </c>
      <c r="H86" s="1602">
        <f t="shared" si="8"/>
        <v>135814</v>
      </c>
      <c r="I86" s="1604">
        <f t="shared" si="9"/>
        <v>0</v>
      </c>
      <c r="J86" s="1600">
        <f>'Sąrašų palyginimas su sutartimi'!J86</f>
        <v>115442</v>
      </c>
      <c r="K86" s="1602">
        <f>'ES lėšos'!G85</f>
        <v>115441</v>
      </c>
      <c r="L86" s="1604">
        <f t="shared" si="10"/>
        <v>1</v>
      </c>
      <c r="M86" s="1600">
        <f>'Sąrašų palyginimas su sutartimi'!M86</f>
        <v>0</v>
      </c>
      <c r="N86" s="1602">
        <f>'3 pr-2'!$R113</f>
        <v>0</v>
      </c>
      <c r="O86" s="1604" t="str">
        <f t="shared" si="11"/>
        <v>–</v>
      </c>
      <c r="P86" s="1600">
        <f>'Sąrašų palyginimas su sutartimi'!P86</f>
        <v>20372</v>
      </c>
      <c r="Q86" s="1602">
        <f>SUM('3 pr-2'!O113)</f>
        <v>20373</v>
      </c>
      <c r="R86" s="1604">
        <f t="shared" si="12"/>
        <v>-1</v>
      </c>
      <c r="S86" s="1600">
        <f>'Sąrašų palyginimas su sutartimi'!S86</f>
        <v>0</v>
      </c>
      <c r="T86" s="1602">
        <f>SUM('3 pr-2'!U113)</f>
        <v>0</v>
      </c>
      <c r="U86" s="1604" t="str">
        <f t="shared" si="13"/>
        <v>–</v>
      </c>
      <c r="V86" s="1600">
        <f>'Sąrašų palyginimas su sutartimi'!V86</f>
        <v>0</v>
      </c>
      <c r="W86" s="1602">
        <f>SUM('3 pr-2'!X113)</f>
        <v>0</v>
      </c>
      <c r="X86" s="1604" t="str">
        <f t="shared" si="14"/>
        <v>–</v>
      </c>
      <c r="Y86" s="1605" t="str">
        <f>'Sąrašų palyginimas su sutartimi'!Y86</f>
        <v>–</v>
      </c>
    </row>
    <row r="87" spans="1:25" ht="36.75" thickBot="1">
      <c r="A87" s="376">
        <f t="shared" si="15"/>
        <v>86</v>
      </c>
      <c r="B87" s="376" t="str">
        <f>'Sąrašų palyginimas su sutartimi'!B87</f>
        <v>Varėnos "Pasakos" vaikų lopšelio-darželio pastato modernizavimas</v>
      </c>
      <c r="C87" s="376" t="str">
        <f>'Sąrašų palyginimas su sutartimi'!C87</f>
        <v>09.1.3-CPVA-R-705</v>
      </c>
      <c r="D87" s="376" t="str">
        <f>'Sąrašų palyginimas su sutartimi'!D87</f>
        <v>Varėnos rajono savivaldybės administracija</v>
      </c>
      <c r="E87" s="376" t="str">
        <f>'Sąrašų palyginimas su sutartimi'!E87</f>
        <v>Varėnos r. sav.</v>
      </c>
      <c r="F87" s="376" t="str">
        <f>'Sąrašų palyginimas su sutartimi'!F87</f>
        <v>-</v>
      </c>
      <c r="G87" s="1600">
        <f>'Sąrašų palyginimas su sutartimi'!G87</f>
        <v>370000</v>
      </c>
      <c r="H87" s="1602">
        <f t="shared" si="8"/>
        <v>370000</v>
      </c>
      <c r="I87" s="1604">
        <f t="shared" si="9"/>
        <v>0</v>
      </c>
      <c r="J87" s="1600">
        <f>'Sąrašų palyginimas su sutartimi'!J87</f>
        <v>287307</v>
      </c>
      <c r="K87" s="1602">
        <f>'ES lėšos'!G86</f>
        <v>287307</v>
      </c>
      <c r="L87" s="1604">
        <f t="shared" si="10"/>
        <v>0</v>
      </c>
      <c r="M87" s="1600">
        <f>'Sąrašų palyginimas su sutartimi'!M87</f>
        <v>25351</v>
      </c>
      <c r="N87" s="1602">
        <f>'3 pr-2'!$R115</f>
        <v>25351</v>
      </c>
      <c r="O87" s="1604">
        <f t="shared" si="11"/>
        <v>0</v>
      </c>
      <c r="P87" s="1600">
        <f>'Sąrašų palyginimas su sutartimi'!P87</f>
        <v>57342</v>
      </c>
      <c r="Q87" s="1602">
        <f>SUM('3 pr-2'!O115)</f>
        <v>57342</v>
      </c>
      <c r="R87" s="1604">
        <f t="shared" si="12"/>
        <v>0</v>
      </c>
      <c r="S87" s="1600">
        <f>'Sąrašų palyginimas su sutartimi'!S87</f>
        <v>0</v>
      </c>
      <c r="T87" s="1602">
        <f>SUM('3 pr-2'!U115)</f>
        <v>0</v>
      </c>
      <c r="U87" s="1604" t="str">
        <f t="shared" si="13"/>
        <v>–</v>
      </c>
      <c r="V87" s="1600">
        <f>'Sąrašų palyginimas su sutartimi'!V87</f>
        <v>0</v>
      </c>
      <c r="W87" s="1602">
        <f>SUM('3 pr-2'!X115)</f>
        <v>0</v>
      </c>
      <c r="X87" s="1604" t="str">
        <f t="shared" si="14"/>
        <v>–</v>
      </c>
      <c r="Y87" s="1605" t="str">
        <f>'Sąrašų palyginimas su sutartimi'!Y87</f>
        <v>–</v>
      </c>
    </row>
    <row r="88" spans="1:25" ht="60.75" thickBot="1">
      <c r="A88" s="376">
        <f t="shared" si="15"/>
        <v>87</v>
      </c>
      <c r="B88" s="376" t="str">
        <f>'Sąrašų palyginimas su sutartimi'!B88</f>
        <v>Alytaus r. ikimokyklinio ir priešmokyklinio ugdymo prieinamumo didinimas įkuriant ir atnaujinant edukacines erdves</v>
      </c>
      <c r="C88" s="376" t="str">
        <f>'Sąrašų palyginimas su sutartimi'!C88</f>
        <v>09.1.3-CPVA-R-705</v>
      </c>
      <c r="D88" s="376" t="str">
        <f>'Sąrašų palyginimas su sutartimi'!D88</f>
        <v>Alytaus rajono savivaldybės administracija</v>
      </c>
      <c r="E88" s="376" t="str">
        <f>'Sąrašų palyginimas su sutartimi'!E88</f>
        <v>Alytaus r. sav.</v>
      </c>
      <c r="F88" s="376" t="str">
        <f>'Sąrašų palyginimas su sutartimi'!F88</f>
        <v/>
      </c>
      <c r="G88" s="1600">
        <f>'Sąrašų palyginimas su sutartimi'!G88</f>
        <v>597457</v>
      </c>
      <c r="H88" s="1602">
        <f t="shared" si="8"/>
        <v>597456.88</v>
      </c>
      <c r="I88" s="1604">
        <f t="shared" si="9"/>
        <v>0.11999999999534339</v>
      </c>
      <c r="J88" s="1600">
        <f>'Sąrašų palyginimas su sutartimi'!J88</f>
        <v>494007</v>
      </c>
      <c r="K88" s="1602">
        <f>'ES lėšos'!G87</f>
        <v>494007</v>
      </c>
      <c r="L88" s="1604">
        <f t="shared" si="10"/>
        <v>0</v>
      </c>
      <c r="M88" s="1600">
        <f>'Sąrašų palyginimas su sutartimi'!M88</f>
        <v>43588</v>
      </c>
      <c r="N88" s="1602">
        <f>'3 pr-2'!$R116</f>
        <v>43588</v>
      </c>
      <c r="O88" s="1604">
        <f t="shared" si="11"/>
        <v>0</v>
      </c>
      <c r="P88" s="1600">
        <f>'Sąrašų palyginimas su sutartimi'!P88</f>
        <v>59862</v>
      </c>
      <c r="Q88" s="1602">
        <f>SUM('3 pr-2'!O116)</f>
        <v>59861.88</v>
      </c>
      <c r="R88" s="1604">
        <f t="shared" si="12"/>
        <v>0.12000000000261934</v>
      </c>
      <c r="S88" s="1600">
        <f>'Sąrašų palyginimas su sutartimi'!S88</f>
        <v>0</v>
      </c>
      <c r="T88" s="1602">
        <f>SUM('3 pr-2'!U116)</f>
        <v>0</v>
      </c>
      <c r="U88" s="1604" t="str">
        <f t="shared" si="13"/>
        <v>–</v>
      </c>
      <c r="V88" s="1600">
        <f>'Sąrašų palyginimas su sutartimi'!V88</f>
        <v>0</v>
      </c>
      <c r="W88" s="1602">
        <f>SUM('3 pr-2'!X116)</f>
        <v>0</v>
      </c>
      <c r="X88" s="1604" t="str">
        <f t="shared" si="14"/>
        <v>–</v>
      </c>
      <c r="Y88" s="1605" t="str">
        <f>'Sąrašų palyginimas su sutartimi'!Y88</f>
        <v>–</v>
      </c>
    </row>
    <row r="89" spans="1:25" ht="36.75" thickBot="1">
      <c r="A89" s="376">
        <f t="shared" si="15"/>
        <v>88</v>
      </c>
      <c r="B89" s="376" t="str">
        <f>'Sąrašų palyginimas su sutartimi'!B89</f>
        <v>Alytaus lopšelio-darželio „Girinukas“ ugdymo aplinkos modernizavimas</v>
      </c>
      <c r="C89" s="376" t="str">
        <f>'Sąrašų palyginimas su sutartimi'!C89</f>
        <v>09.1.3-CPVA-R-705</v>
      </c>
      <c r="D89" s="376" t="str">
        <f>'Sąrašų palyginimas su sutartimi'!D89</f>
        <v>Alytaus miesto savivaldybės administracija</v>
      </c>
      <c r="E89" s="376" t="str">
        <f>'Sąrašų palyginimas su sutartimi'!E89</f>
        <v>Alytaus m. sav.</v>
      </c>
      <c r="F89" s="376" t="str">
        <f>'Sąrašų palyginimas su sutartimi'!F89</f>
        <v>-</v>
      </c>
      <c r="G89" s="1600">
        <f>'Sąrašų palyginimas su sutartimi'!G89</f>
        <v>181986</v>
      </c>
      <c r="H89" s="1602">
        <f t="shared" si="8"/>
        <v>181986</v>
      </c>
      <c r="I89" s="1604">
        <f t="shared" si="9"/>
        <v>0</v>
      </c>
      <c r="J89" s="1600">
        <f>'Sąrašų palyginimas su sutartimi'!J89</f>
        <v>154688</v>
      </c>
      <c r="K89" s="1602">
        <f>'ES lėšos'!G88</f>
        <v>154688</v>
      </c>
      <c r="L89" s="1604">
        <f t="shared" si="10"/>
        <v>0</v>
      </c>
      <c r="M89" s="1600">
        <f>'Sąrašų palyginimas su sutartimi'!M89</f>
        <v>13649</v>
      </c>
      <c r="N89" s="1602">
        <f>'3 pr-2'!$R117</f>
        <v>13649</v>
      </c>
      <c r="O89" s="1604">
        <f t="shared" si="11"/>
        <v>0</v>
      </c>
      <c r="P89" s="1600">
        <f>'Sąrašų palyginimas su sutartimi'!P89</f>
        <v>13649</v>
      </c>
      <c r="Q89" s="1602">
        <f>SUM('3 pr-2'!O117)</f>
        <v>13649</v>
      </c>
      <c r="R89" s="1604">
        <f t="shared" si="12"/>
        <v>0</v>
      </c>
      <c r="S89" s="1600">
        <f>'Sąrašų palyginimas su sutartimi'!S89</f>
        <v>0</v>
      </c>
      <c r="T89" s="1602">
        <f>SUM('3 pr-2'!U117)</f>
        <v>0</v>
      </c>
      <c r="U89" s="1604" t="str">
        <f t="shared" si="13"/>
        <v>–</v>
      </c>
      <c r="V89" s="1600">
        <f>'Sąrašų palyginimas su sutartimi'!V89</f>
        <v>0</v>
      </c>
      <c r="W89" s="1602">
        <f>SUM('3 pr-2'!X117)</f>
        <v>0</v>
      </c>
      <c r="X89" s="1604" t="str">
        <f t="shared" si="14"/>
        <v>–</v>
      </c>
      <c r="Y89" s="1605" t="str">
        <f>'Sąrašų palyginimas su sutartimi'!Y89</f>
        <v>–</v>
      </c>
    </row>
    <row r="90" spans="1:25" ht="60.75" thickBot="1">
      <c r="A90" s="376">
        <f t="shared" si="15"/>
        <v>89</v>
      </c>
      <c r="B90" s="376" t="str">
        <f>'Sąrašų palyginimas su sutartimi'!B90</f>
        <v>Druskininkų sav. Viečiūnų progimnazijos ikimokyklinio ugdymo skyriaus „Linelis“ ugdymo prieinamumo didinimas</v>
      </c>
      <c r="C90" s="376" t="str">
        <f>'Sąrašų palyginimas su sutartimi'!C90</f>
        <v>09.1.3-CPVA-R-705</v>
      </c>
      <c r="D90" s="376" t="str">
        <f>'Sąrašų palyginimas su sutartimi'!D90</f>
        <v xml:space="preserve">Druskininkų savivaldybės administracija  </v>
      </c>
      <c r="E90" s="376" t="str">
        <f>'Sąrašų palyginimas su sutartimi'!E90</f>
        <v>Druskininkų sav.</v>
      </c>
      <c r="F90" s="376" t="str">
        <f>'Sąrašų palyginimas su sutartimi'!F90</f>
        <v>-</v>
      </c>
      <c r="G90" s="1600">
        <f>'Sąrašų palyginimas su sutartimi'!G90</f>
        <v>104792</v>
      </c>
      <c r="H90" s="1602">
        <f t="shared" si="8"/>
        <v>176024.68</v>
      </c>
      <c r="I90" s="1604">
        <f t="shared" si="9"/>
        <v>-71232.679999999993</v>
      </c>
      <c r="J90" s="1600">
        <f>'Sąrašų palyginimas su sutartimi'!J90</f>
        <v>89074</v>
      </c>
      <c r="K90" s="1602">
        <f>'ES lėšos'!G89</f>
        <v>89074</v>
      </c>
      <c r="L90" s="1604">
        <f t="shared" si="10"/>
        <v>0</v>
      </c>
      <c r="M90" s="1600">
        <f>'Sąrašų palyginimas su sutartimi'!M90</f>
        <v>7859</v>
      </c>
      <c r="N90" s="1602">
        <f>'3 pr-2'!$R118</f>
        <v>7859</v>
      </c>
      <c r="O90" s="1604">
        <f t="shared" si="11"/>
        <v>0</v>
      </c>
      <c r="P90" s="1600">
        <f>'Sąrašų palyginimas su sutartimi'!P90</f>
        <v>7859</v>
      </c>
      <c r="Q90" s="1602">
        <f>SUM('3 pr-2'!O118)</f>
        <v>79091.679999999993</v>
      </c>
      <c r="R90" s="1604">
        <f t="shared" si="12"/>
        <v>-71232.679999999993</v>
      </c>
      <c r="S90" s="1600">
        <f>'Sąrašų palyginimas su sutartimi'!S90</f>
        <v>0</v>
      </c>
      <c r="T90" s="1602">
        <f>SUM('3 pr-2'!U118)</f>
        <v>0</v>
      </c>
      <c r="U90" s="1604" t="str">
        <f t="shared" si="13"/>
        <v>–</v>
      </c>
      <c r="V90" s="1600">
        <f>'Sąrašų palyginimas su sutartimi'!V90</f>
        <v>0</v>
      </c>
      <c r="W90" s="1602">
        <f>SUM('3 pr-2'!X118)</f>
        <v>0</v>
      </c>
      <c r="X90" s="1604" t="str">
        <f t="shared" si="14"/>
        <v>–</v>
      </c>
      <c r="Y90" s="1605" t="str">
        <f>'Sąrašų palyginimas su sutartimi'!Y90</f>
        <v>–</v>
      </c>
    </row>
    <row r="91" spans="1:25" ht="60.75" thickBot="1">
      <c r="A91" s="376">
        <f t="shared" si="15"/>
        <v>90</v>
      </c>
      <c r="B91" s="376" t="str">
        <f>'Sąrašų palyginimas su sutartimi'!B91</f>
        <v>Ikimokyklinio ir priešmokyklinio ugdymo įstaigų Lazdijų rajono savivaldybėje modernizavimas</v>
      </c>
      <c r="C91" s="376" t="str">
        <f>'Sąrašų palyginimas su sutartimi'!C91</f>
        <v>09.1.3-CPVA-R-705</v>
      </c>
      <c r="D91" s="376" t="str">
        <f>'Sąrašų palyginimas su sutartimi'!D91</f>
        <v>Lazdijų rajono savivaldybės administracija</v>
      </c>
      <c r="E91" s="376" t="str">
        <f>'Sąrašų palyginimas su sutartimi'!E91</f>
        <v>Lazdijų r. sav.</v>
      </c>
      <c r="F91" s="376" t="str">
        <f>'Sąrašų palyginimas su sutartimi'!F91</f>
        <v>-</v>
      </c>
      <c r="G91" s="1600">
        <f>'Sąrašų palyginimas su sutartimi'!G91</f>
        <v>133544</v>
      </c>
      <c r="H91" s="1602">
        <f t="shared" si="8"/>
        <v>133554.21</v>
      </c>
      <c r="I91" s="1604">
        <f t="shared" si="9"/>
        <v>-10.209999999991851</v>
      </c>
      <c r="J91" s="1600">
        <f>'Sąrašų palyginimas su sutartimi'!J91</f>
        <v>113512</v>
      </c>
      <c r="K91" s="1602">
        <f>'ES lėšos'!G90</f>
        <v>113512</v>
      </c>
      <c r="L91" s="1604">
        <f t="shared" si="10"/>
        <v>0</v>
      </c>
      <c r="M91" s="1600">
        <f>'Sąrašų palyginimas su sutartimi'!M91</f>
        <v>10016</v>
      </c>
      <c r="N91" s="1602">
        <f>'3 pr-2'!$R119</f>
        <v>10016</v>
      </c>
      <c r="O91" s="1604">
        <f t="shared" si="11"/>
        <v>0</v>
      </c>
      <c r="P91" s="1600">
        <f>'Sąrašų palyginimas su sutartimi'!P91</f>
        <v>10016</v>
      </c>
      <c r="Q91" s="1602">
        <f>SUM('3 pr-2'!O119)</f>
        <v>10026.209999999999</v>
      </c>
      <c r="R91" s="1604">
        <f t="shared" si="12"/>
        <v>-10.209999999999127</v>
      </c>
      <c r="S91" s="1600">
        <f>'Sąrašų palyginimas su sutartimi'!S91</f>
        <v>0</v>
      </c>
      <c r="T91" s="1602">
        <f>SUM('3 pr-2'!U119)</f>
        <v>0</v>
      </c>
      <c r="U91" s="1604" t="str">
        <f t="shared" si="13"/>
        <v>–</v>
      </c>
      <c r="V91" s="1600">
        <f>'Sąrašų palyginimas su sutartimi'!V91</f>
        <v>0</v>
      </c>
      <c r="W91" s="1602">
        <f>SUM('3 pr-2'!X119)</f>
        <v>0</v>
      </c>
      <c r="X91" s="1604" t="str">
        <f t="shared" si="14"/>
        <v>–</v>
      </c>
      <c r="Y91" s="1605" t="str">
        <f>'Sąrašų palyginimas su sutartimi'!Y91</f>
        <v>–</v>
      </c>
    </row>
    <row r="92" spans="1:25" ht="60.75" thickBot="1">
      <c r="A92" s="376">
        <f t="shared" si="15"/>
        <v>91</v>
      </c>
      <c r="B92" s="376" t="str">
        <f>'Sąrašų palyginimas su sutartimi'!B92</f>
        <v>Alytaus poliklinikos teikiamų pirminės sveikatos priežiūros paslaugų prieinamumo didinimas ir kokybės gerinimas</v>
      </c>
      <c r="C92" s="376" t="str">
        <f>'Sąrašų palyginimas su sutartimi'!C92</f>
        <v>08.1.3-CPVA-R-609</v>
      </c>
      <c r="D92" s="376" t="str">
        <f>'Sąrašų palyginimas su sutartimi'!D92</f>
        <v>VšĮ Alytaus poliklinika</v>
      </c>
      <c r="E92" s="376" t="str">
        <f>'Sąrašų palyginimas su sutartimi'!E92</f>
        <v>Alytaus m. sav.</v>
      </c>
      <c r="F92" s="376" t="str">
        <f>'Sąrašų palyginimas su sutartimi'!F92</f>
        <v>-</v>
      </c>
      <c r="G92" s="1600">
        <f>'Sąrašų palyginimas su sutartimi'!G92</f>
        <v>466774.13</v>
      </c>
      <c r="H92" s="1602">
        <f t="shared" si="8"/>
        <v>458183</v>
      </c>
      <c r="I92" s="1604">
        <f t="shared" si="9"/>
        <v>8591.1300000000047</v>
      </c>
      <c r="J92" s="1600">
        <f>'Sąrašų palyginimas su sutartimi'!J92</f>
        <v>389456</v>
      </c>
      <c r="K92" s="1602">
        <f>'ES lėšos'!G91</f>
        <v>389456</v>
      </c>
      <c r="L92" s="1604">
        <f t="shared" si="10"/>
        <v>0</v>
      </c>
      <c r="M92" s="1600">
        <f>'Sąrašų palyginimas su sutartimi'!M92</f>
        <v>34364</v>
      </c>
      <c r="N92" s="1602">
        <f>'3 pr-2'!$R122</f>
        <v>34363</v>
      </c>
      <c r="O92" s="1604">
        <f t="shared" si="11"/>
        <v>1</v>
      </c>
      <c r="P92" s="1600">
        <f>'Sąrašų palyginimas su sutartimi'!P92</f>
        <v>42954.13</v>
      </c>
      <c r="Q92" s="1602">
        <f>SUM('3 pr-2'!O122)</f>
        <v>34364</v>
      </c>
      <c r="R92" s="1604">
        <f t="shared" si="12"/>
        <v>8590.1299999999974</v>
      </c>
      <c r="S92" s="1600">
        <f>'Sąrašų palyginimas su sutartimi'!S92</f>
        <v>0</v>
      </c>
      <c r="T92" s="1602">
        <f>SUM('3 pr-2'!U122)</f>
        <v>0</v>
      </c>
      <c r="U92" s="1604" t="str">
        <f t="shared" si="13"/>
        <v>–</v>
      </c>
      <c r="V92" s="1600">
        <f>'Sąrašų palyginimas su sutartimi'!V92</f>
        <v>0</v>
      </c>
      <c r="W92" s="1602">
        <f>SUM('3 pr-2'!X122)</f>
        <v>0</v>
      </c>
      <c r="X92" s="1604" t="str">
        <f t="shared" si="14"/>
        <v>–</v>
      </c>
      <c r="Y92" s="1605" t="str">
        <f>'Sąrašų palyginimas su sutartimi'!Y92</f>
        <v>–</v>
      </c>
    </row>
    <row r="93" spans="1:25" ht="48.75" thickBot="1">
      <c r="A93" s="376">
        <f t="shared" si="15"/>
        <v>92</v>
      </c>
      <c r="B93" s="376" t="str">
        <f>'Sąrašų palyginimas su sutartimi'!B93</f>
        <v>Sveikatos priežiūros paslaugų modernizavimas bei optimizavimas pirminės sveikatos priežiūros centre</v>
      </c>
      <c r="C93" s="376" t="str">
        <f>'Sąrašų palyginimas su sutartimi'!C93</f>
        <v>08.1.3-CPVA-R-609</v>
      </c>
      <c r="D93" s="376" t="str">
        <f>'Sąrašų palyginimas su sutartimi'!D93</f>
        <v xml:space="preserve">VšĮ Alytaus miesto savivaldybės pirminės sveikatos priežiūros centras </v>
      </c>
      <c r="E93" s="376" t="str">
        <f>'Sąrašų palyginimas su sutartimi'!E93</f>
        <v>Alytaus m. sav.</v>
      </c>
      <c r="F93" s="376" t="str">
        <f>'Sąrašų palyginimas su sutartimi'!F93</f>
        <v>-</v>
      </c>
      <c r="G93" s="1600">
        <f>'Sąrašų palyginimas su sutartimi'!G93</f>
        <v>50356</v>
      </c>
      <c r="H93" s="1602">
        <f t="shared" si="8"/>
        <v>50356</v>
      </c>
      <c r="I93" s="1604">
        <f t="shared" si="9"/>
        <v>0</v>
      </c>
      <c r="J93" s="1600">
        <f>'Sąrašų palyginimas su sutartimi'!J93</f>
        <v>42802</v>
      </c>
      <c r="K93" s="1602">
        <f>'ES lėšos'!G92</f>
        <v>42802</v>
      </c>
      <c r="L93" s="1604">
        <f t="shared" si="10"/>
        <v>0</v>
      </c>
      <c r="M93" s="1600">
        <f>'Sąrašų palyginimas su sutartimi'!M93</f>
        <v>3777</v>
      </c>
      <c r="N93" s="1602">
        <f>'3 pr-2'!$R123</f>
        <v>3777</v>
      </c>
      <c r="O93" s="1604">
        <f t="shared" si="11"/>
        <v>0</v>
      </c>
      <c r="P93" s="1600">
        <f>'Sąrašų palyginimas su sutartimi'!P93</f>
        <v>3777</v>
      </c>
      <c r="Q93" s="1602">
        <f>SUM('3 pr-2'!O123)</f>
        <v>3777</v>
      </c>
      <c r="R93" s="1604">
        <f t="shared" si="12"/>
        <v>0</v>
      </c>
      <c r="S93" s="1600">
        <f>'Sąrašų palyginimas su sutartimi'!S93</f>
        <v>0</v>
      </c>
      <c r="T93" s="1602">
        <f>SUM('3 pr-2'!U123)</f>
        <v>0</v>
      </c>
      <c r="U93" s="1604" t="str">
        <f t="shared" si="13"/>
        <v>–</v>
      </c>
      <c r="V93" s="1600">
        <f>'Sąrašų palyginimas su sutartimi'!V93</f>
        <v>0</v>
      </c>
      <c r="W93" s="1602">
        <f>SUM('3 pr-2'!X123)</f>
        <v>0</v>
      </c>
      <c r="X93" s="1604" t="str">
        <f t="shared" si="14"/>
        <v>–</v>
      </c>
      <c r="Y93" s="1605" t="str">
        <f>'Sąrašų palyginimas su sutartimi'!Y93</f>
        <v>–</v>
      </c>
    </row>
    <row r="94" spans="1:25" ht="60.75" thickBot="1">
      <c r="A94" s="376">
        <f t="shared" si="15"/>
        <v>93</v>
      </c>
      <c r="B94" s="376" t="str">
        <f>'Sąrašų palyginimas su sutartimi'!B94</f>
        <v>UAB "MediCA klinika" teikiamų pirminės asmens sveikatos priežiūros paslaugų efektyvumo didinimas Alytaus miesto savivaldybėje</v>
      </c>
      <c r="C94" s="376" t="str">
        <f>'Sąrašų palyginimas su sutartimi'!C94</f>
        <v>08.1.3-CPVA-R-609</v>
      </c>
      <c r="D94" s="376" t="str">
        <f>'Sąrašų palyginimas su sutartimi'!D94</f>
        <v>UAB „MediCA klinika“</v>
      </c>
      <c r="E94" s="376" t="str">
        <f>'Sąrašų palyginimas su sutartimi'!E94</f>
        <v>Alytaus m. sav.</v>
      </c>
      <c r="F94" s="376" t="str">
        <f>'Sąrašų palyginimas su sutartimi'!F94</f>
        <v>-</v>
      </c>
      <c r="G94" s="1600">
        <f>'Sąrašų palyginimas su sutartimi'!G94</f>
        <v>82938</v>
      </c>
      <c r="H94" s="1602">
        <f t="shared" si="8"/>
        <v>83468</v>
      </c>
      <c r="I94" s="1604">
        <f t="shared" si="9"/>
        <v>-530</v>
      </c>
      <c r="J94" s="1600">
        <f>'Sąrašų palyginimas su sutartimi'!J94</f>
        <v>70498</v>
      </c>
      <c r="K94" s="1602">
        <f>'ES lėšos'!G93</f>
        <v>70948</v>
      </c>
      <c r="L94" s="1604">
        <f t="shared" si="10"/>
        <v>-450</v>
      </c>
      <c r="M94" s="1600">
        <f>'Sąrašų palyginimas su sutartimi'!M94</f>
        <v>6220</v>
      </c>
      <c r="N94" s="1602">
        <f>'3 pr-2'!$R124</f>
        <v>6260</v>
      </c>
      <c r="O94" s="1604">
        <f t="shared" si="11"/>
        <v>-40</v>
      </c>
      <c r="P94" s="1600">
        <f>'Sąrašų palyginimas su sutartimi'!P94</f>
        <v>0</v>
      </c>
      <c r="Q94" s="1602">
        <f>SUM('3 pr-2'!O124)</f>
        <v>0</v>
      </c>
      <c r="R94" s="1604" t="str">
        <f t="shared" si="12"/>
        <v>–</v>
      </c>
      <c r="S94" s="1600">
        <f>'Sąrašų palyginimas su sutartimi'!S94</f>
        <v>6220</v>
      </c>
      <c r="T94" s="1602">
        <f>SUM('3 pr-2'!U124)</f>
        <v>6260</v>
      </c>
      <c r="U94" s="1604">
        <f t="shared" si="13"/>
        <v>-40</v>
      </c>
      <c r="V94" s="1600">
        <f>'Sąrašų palyginimas su sutartimi'!V94</f>
        <v>0</v>
      </c>
      <c r="W94" s="1602">
        <f>SUM('3 pr-2'!X124)</f>
        <v>0</v>
      </c>
      <c r="X94" s="1604" t="str">
        <f t="shared" si="14"/>
        <v>–</v>
      </c>
      <c r="Y94" s="1605" t="str">
        <f>'Sąrašų palyginimas su sutartimi'!Y94</f>
        <v>–</v>
      </c>
    </row>
    <row r="95" spans="1:25" ht="36.75" thickBot="1">
      <c r="A95" s="376">
        <f t="shared" si="15"/>
        <v>94</v>
      </c>
      <c r="B95" s="376" t="str">
        <f>'Sąrašų palyginimas su sutartimi'!B95</f>
        <v>UAB "Pagalba ligoniui" teikiamų paslaugų efektyvumo didinimas</v>
      </c>
      <c r="C95" s="376" t="str">
        <f>'Sąrašų palyginimas su sutartimi'!C95</f>
        <v>08.1.3-CPVA-R-609</v>
      </c>
      <c r="D95" s="376" t="str">
        <f>'Sąrašų palyginimas su sutartimi'!D95</f>
        <v>UAB „Pagalba ligoniui“, Alytaus filialas</v>
      </c>
      <c r="E95" s="376" t="str">
        <f>'Sąrašų palyginimas su sutartimi'!E95</f>
        <v>Alytaus m. sav.</v>
      </c>
      <c r="F95" s="376" t="str">
        <f>'Sąrašų palyginimas su sutartimi'!F95</f>
        <v>-</v>
      </c>
      <c r="G95" s="1600">
        <f>'Sąrašų palyginimas su sutartimi'!G95</f>
        <v>43413.030000000006</v>
      </c>
      <c r="H95" s="1602">
        <f t="shared" si="8"/>
        <v>43413.030000000006</v>
      </c>
      <c r="I95" s="1604">
        <f t="shared" si="9"/>
        <v>0</v>
      </c>
      <c r="J95" s="1600">
        <f>'Sąrašų palyginimas su sutartimi'!J95</f>
        <v>36901.08</v>
      </c>
      <c r="K95" s="1602">
        <f>'ES lėšos'!G94</f>
        <v>36901.08</v>
      </c>
      <c r="L95" s="1604">
        <f t="shared" si="10"/>
        <v>0</v>
      </c>
      <c r="M95" s="1600">
        <f>'Sąrašų palyginimas su sutartimi'!M95</f>
        <v>3255.97</v>
      </c>
      <c r="N95" s="1602">
        <f>'3 pr-2'!$R125</f>
        <v>3255.97</v>
      </c>
      <c r="O95" s="1604">
        <f t="shared" si="11"/>
        <v>0</v>
      </c>
      <c r="P95" s="1600">
        <f>'Sąrašų palyginimas su sutartimi'!P95</f>
        <v>0</v>
      </c>
      <c r="Q95" s="1602">
        <f>SUM('3 pr-2'!O125)</f>
        <v>0</v>
      </c>
      <c r="R95" s="1604" t="str">
        <f t="shared" si="12"/>
        <v>–</v>
      </c>
      <c r="S95" s="1600">
        <f>'Sąrašų palyginimas su sutartimi'!S95</f>
        <v>3255.98</v>
      </c>
      <c r="T95" s="1602">
        <f>SUM('3 pr-2'!U125)</f>
        <v>3255.98</v>
      </c>
      <c r="U95" s="1604">
        <f t="shared" si="13"/>
        <v>0</v>
      </c>
      <c r="V95" s="1600">
        <f>'Sąrašų palyginimas su sutartimi'!V95</f>
        <v>0</v>
      </c>
      <c r="W95" s="1602">
        <f>SUM('3 pr-2'!X125)</f>
        <v>0</v>
      </c>
      <c r="X95" s="1604" t="str">
        <f t="shared" si="14"/>
        <v>–</v>
      </c>
      <c r="Y95" s="1605" t="str">
        <f>'Sąrašų palyginimas su sutartimi'!Y95</f>
        <v>–</v>
      </c>
    </row>
    <row r="96" spans="1:25" ht="48.75" thickBot="1">
      <c r="A96" s="376">
        <f t="shared" si="15"/>
        <v>95</v>
      </c>
      <c r="B96" s="376" t="str">
        <f>'Sąrašų palyginimas su sutartimi'!B96</f>
        <v>Pirminės asmens sveikatos priežiūros veiklos efektyvumo didinimas Alytaus rajono savivaldybėje</v>
      </c>
      <c r="C96" s="376" t="str">
        <f>'Sąrašų palyginimas su sutartimi'!C96</f>
        <v>08.1.3-CPVA-R-609</v>
      </c>
      <c r="D96" s="376" t="str">
        <f>'Sąrašų palyginimas su sutartimi'!D96</f>
        <v>VšĮ Alytaus rajono savivaldybės pirminės sveikatos priežiūros centras</v>
      </c>
      <c r="E96" s="376" t="str">
        <f>'Sąrašų palyginimas su sutartimi'!E96</f>
        <v>Alytaus r. sav.</v>
      </c>
      <c r="F96" s="376" t="str">
        <f>'Sąrašų palyginimas su sutartimi'!F96</f>
        <v>-</v>
      </c>
      <c r="G96" s="1600">
        <f>'Sąrašų palyginimas su sutartimi'!G96</f>
        <v>171636</v>
      </c>
      <c r="H96" s="1602">
        <f t="shared" si="8"/>
        <v>171636</v>
      </c>
      <c r="I96" s="1604">
        <f t="shared" si="9"/>
        <v>0</v>
      </c>
      <c r="J96" s="1600">
        <f>'Sąrašų palyginimas su sutartimi'!J96</f>
        <v>145890</v>
      </c>
      <c r="K96" s="1602">
        <f>'ES lėšos'!G95</f>
        <v>145890</v>
      </c>
      <c r="L96" s="1604">
        <f t="shared" si="10"/>
        <v>0</v>
      </c>
      <c r="M96" s="1600">
        <f>'Sąrašų palyginimas su sutartimi'!M96</f>
        <v>12873</v>
      </c>
      <c r="N96" s="1602">
        <f>'3 pr-2'!$R126</f>
        <v>12873</v>
      </c>
      <c r="O96" s="1604">
        <f t="shared" si="11"/>
        <v>0</v>
      </c>
      <c r="P96" s="1600">
        <f>'Sąrašų palyginimas su sutartimi'!P96</f>
        <v>0</v>
      </c>
      <c r="Q96" s="1602">
        <f>SUM('3 pr-2'!O126)</f>
        <v>12873</v>
      </c>
      <c r="R96" s="1604" t="str">
        <f t="shared" si="12"/>
        <v>–</v>
      </c>
      <c r="S96" s="1600">
        <f>'Sąrašų palyginimas su sutartimi'!S96</f>
        <v>12873</v>
      </c>
      <c r="T96" s="1602">
        <f>SUM('3 pr-2'!U126)</f>
        <v>0</v>
      </c>
      <c r="U96" s="1604">
        <f t="shared" si="13"/>
        <v>12873</v>
      </c>
      <c r="V96" s="1600">
        <f>'Sąrašų palyginimas su sutartimi'!V96</f>
        <v>0</v>
      </c>
      <c r="W96" s="1602">
        <f>SUM('3 pr-2'!X126)</f>
        <v>0</v>
      </c>
      <c r="X96" s="1604" t="str">
        <f t="shared" si="14"/>
        <v>–</v>
      </c>
      <c r="Y96" s="1605" t="str">
        <f>'Sąrašų palyginimas su sutartimi'!Y96</f>
        <v>–</v>
      </c>
    </row>
    <row r="97" spans="1:25" ht="24.75" thickBot="1">
      <c r="A97" s="376">
        <f t="shared" si="15"/>
        <v>96</v>
      </c>
      <c r="B97" s="376" t="str">
        <f>'Sąrašų palyginimas su sutartimi'!B97</f>
        <v>Sveikatos priežiūros paslaugų gerinimas UAB „Disolis“</v>
      </c>
      <c r="C97" s="376" t="str">
        <f>'Sąrašų palyginimas su sutartimi'!C97</f>
        <v>08.1.3-CPVA-R-609</v>
      </c>
      <c r="D97" s="376" t="str">
        <f>'Sąrašų palyginimas su sutartimi'!D97</f>
        <v>UAB „Disolis“</v>
      </c>
      <c r="E97" s="376" t="str">
        <f>'Sąrašų palyginimas su sutartimi'!E97</f>
        <v>Alytaus r. sav.</v>
      </c>
      <c r="F97" s="376" t="str">
        <f>'Sąrašų palyginimas su sutartimi'!F97</f>
        <v>-</v>
      </c>
      <c r="G97" s="1600">
        <f>'Sąrašų palyginimas su sutartimi'!G97</f>
        <v>24107.8</v>
      </c>
      <c r="H97" s="1602">
        <f t="shared" si="8"/>
        <v>17386</v>
      </c>
      <c r="I97" s="1604">
        <f t="shared" si="9"/>
        <v>6721.7999999999993</v>
      </c>
      <c r="J97" s="1600">
        <f>'Sąrašų palyginimas su sutartimi'!J97</f>
        <v>14778</v>
      </c>
      <c r="K97" s="1602">
        <f>'ES lėšos'!G96</f>
        <v>14778</v>
      </c>
      <c r="L97" s="1604">
        <f t="shared" si="10"/>
        <v>0</v>
      </c>
      <c r="M97" s="1600">
        <f>'Sąrašų palyginimas su sutartimi'!M97</f>
        <v>1304</v>
      </c>
      <c r="N97" s="1602">
        <f>'3 pr-2'!$R127</f>
        <v>1304</v>
      </c>
      <c r="O97" s="1604">
        <f t="shared" si="11"/>
        <v>0</v>
      </c>
      <c r="P97" s="1600">
        <f>'Sąrašų palyginimas su sutartimi'!P97</f>
        <v>0</v>
      </c>
      <c r="Q97" s="1602">
        <f>SUM('3 pr-2'!O127)</f>
        <v>0</v>
      </c>
      <c r="R97" s="1604" t="str">
        <f t="shared" si="12"/>
        <v>–</v>
      </c>
      <c r="S97" s="1600">
        <f>'Sąrašų palyginimas su sutartimi'!S97</f>
        <v>8025.8</v>
      </c>
      <c r="T97" s="1602">
        <f>SUM('3 pr-2'!U127)</f>
        <v>1304</v>
      </c>
      <c r="U97" s="1604">
        <f t="shared" si="13"/>
        <v>6721.8</v>
      </c>
      <c r="V97" s="1600">
        <f>'Sąrašų palyginimas su sutartimi'!V97</f>
        <v>0</v>
      </c>
      <c r="W97" s="1602">
        <f>SUM('3 pr-2'!X127)</f>
        <v>0</v>
      </c>
      <c r="X97" s="1604" t="str">
        <f t="shared" si="14"/>
        <v>–</v>
      </c>
      <c r="Y97" s="1605" t="str">
        <f>'Sąrašų palyginimas su sutartimi'!Y97</f>
        <v>–</v>
      </c>
    </row>
    <row r="98" spans="1:25" ht="48.75" thickBot="1">
      <c r="A98" s="376">
        <f t="shared" si="15"/>
        <v>97</v>
      </c>
      <c r="B98" s="376" t="str">
        <f>'Sąrašų palyginimas su sutartimi'!B98</f>
        <v>Pirminės asmens sveikatos priežiūros kokybės ir prieinamumo gerinimas Druskininkų savivaldybėje</v>
      </c>
      <c r="C98" s="376" t="str">
        <f>'Sąrašų palyginimas su sutartimi'!C98</f>
        <v>08.1.3-CPVA-R-609</v>
      </c>
      <c r="D98" s="376" t="str">
        <f>'Sąrašų palyginimas su sutartimi'!D98</f>
        <v>VšĮ Druskininkų pirminės sveikatos priežiūros centras</v>
      </c>
      <c r="E98" s="376" t="str">
        <f>'Sąrašų palyginimas su sutartimi'!E98</f>
        <v>Druskininkų sav.</v>
      </c>
      <c r="F98" s="376" t="str">
        <f>'Sąrašų palyginimas su sutartimi'!F98</f>
        <v>-</v>
      </c>
      <c r="G98" s="1600">
        <f>'Sąrašų palyginimas su sutartimi'!G98</f>
        <v>163532</v>
      </c>
      <c r="H98" s="1602">
        <f t="shared" si="8"/>
        <v>163532</v>
      </c>
      <c r="I98" s="1604">
        <f t="shared" si="9"/>
        <v>0</v>
      </c>
      <c r="J98" s="1600">
        <f>'Sąrašų palyginimas su sutartimi'!J98</f>
        <v>139002</v>
      </c>
      <c r="K98" s="1602">
        <f>'ES lėšos'!G97</f>
        <v>139002</v>
      </c>
      <c r="L98" s="1604">
        <f t="shared" si="10"/>
        <v>0</v>
      </c>
      <c r="M98" s="1600">
        <f>'Sąrašų palyginimas su sutartimi'!M98</f>
        <v>12265</v>
      </c>
      <c r="N98" s="1602">
        <f>'3 pr-2'!$R128</f>
        <v>12265</v>
      </c>
      <c r="O98" s="1604">
        <f t="shared" si="11"/>
        <v>0</v>
      </c>
      <c r="P98" s="1600">
        <f>'Sąrašų palyginimas su sutartimi'!P98</f>
        <v>0</v>
      </c>
      <c r="Q98" s="1602">
        <f>SUM('3 pr-2'!O128)</f>
        <v>0</v>
      </c>
      <c r="R98" s="1604" t="str">
        <f t="shared" si="12"/>
        <v>–</v>
      </c>
      <c r="S98" s="1600">
        <f>'Sąrašų palyginimas su sutartimi'!S98</f>
        <v>0</v>
      </c>
      <c r="T98" s="1602">
        <f>SUM('3 pr-2'!U128)</f>
        <v>12265</v>
      </c>
      <c r="U98" s="1604" t="str">
        <f t="shared" si="13"/>
        <v>–</v>
      </c>
      <c r="V98" s="1600">
        <f>'Sąrašų palyginimas su sutartimi'!V98</f>
        <v>12265</v>
      </c>
      <c r="W98" s="1602">
        <f>SUM('3 pr-2'!X128)</f>
        <v>0</v>
      </c>
      <c r="X98" s="1604">
        <f t="shared" si="14"/>
        <v>12265</v>
      </c>
      <c r="Y98" s="1605" t="str">
        <f>'Sąrašų palyginimas su sutartimi'!Y98</f>
        <v>–</v>
      </c>
    </row>
    <row r="99" spans="1:25" ht="60.75" thickBot="1">
      <c r="A99" s="376">
        <f t="shared" si="15"/>
        <v>98</v>
      </c>
      <c r="B99" s="376" t="str">
        <f>'Sąrašų palyginimas su sutartimi'!B99</f>
        <v>UAB "Druskininkų šeimos klinika" asmens sveikatos priežiūros paslaugų prieinamumo ir efektyvumo didinimas</v>
      </c>
      <c r="C99" s="376" t="str">
        <f>'Sąrašų palyginimas su sutartimi'!C99</f>
        <v>08.1.3-CPVA-R-609</v>
      </c>
      <c r="D99" s="376" t="str">
        <f>'Sąrašų palyginimas su sutartimi'!D99</f>
        <v>UAB „Druskininkų šeimos klinika“</v>
      </c>
      <c r="E99" s="376" t="str">
        <f>'Sąrašų palyginimas su sutartimi'!E99</f>
        <v>Druskininkų sav.</v>
      </c>
      <c r="F99" s="376" t="str">
        <f>'Sąrašų palyginimas su sutartimi'!F99</f>
        <v>-</v>
      </c>
      <c r="G99" s="1600">
        <f>'Sąrašų palyginimas su sutartimi'!G99</f>
        <v>25000</v>
      </c>
      <c r="H99" s="1602">
        <f t="shared" si="8"/>
        <v>12289</v>
      </c>
      <c r="I99" s="1604">
        <f t="shared" si="9"/>
        <v>12711</v>
      </c>
      <c r="J99" s="1600">
        <f>'Sąrašų palyginimas su sutartimi'!J99</f>
        <v>10445</v>
      </c>
      <c r="K99" s="1602">
        <f>'ES lėšos'!G98</f>
        <v>10445</v>
      </c>
      <c r="L99" s="1604">
        <f t="shared" si="10"/>
        <v>0</v>
      </c>
      <c r="M99" s="1600">
        <f>'Sąrašų palyginimas su sutartimi'!M99</f>
        <v>922</v>
      </c>
      <c r="N99" s="1602">
        <f>'3 pr-2'!$R129</f>
        <v>922</v>
      </c>
      <c r="O99" s="1604">
        <f t="shared" si="11"/>
        <v>0</v>
      </c>
      <c r="P99" s="1600">
        <f>'Sąrašų palyginimas su sutartimi'!P99</f>
        <v>0</v>
      </c>
      <c r="Q99" s="1602">
        <f>SUM('3 pr-2'!O129)</f>
        <v>0</v>
      </c>
      <c r="R99" s="1604" t="str">
        <f t="shared" si="12"/>
        <v>–</v>
      </c>
      <c r="S99" s="1600">
        <f>'Sąrašų palyginimas su sutartimi'!S99</f>
        <v>13633</v>
      </c>
      <c r="T99" s="1602">
        <f>SUM('3 pr-2'!U129)</f>
        <v>922</v>
      </c>
      <c r="U99" s="1604">
        <f t="shared" si="13"/>
        <v>12711</v>
      </c>
      <c r="V99" s="1600">
        <f>'Sąrašų palyginimas su sutartimi'!V99</f>
        <v>0</v>
      </c>
      <c r="W99" s="1602">
        <f>SUM('3 pr-2'!X129)</f>
        <v>0</v>
      </c>
      <c r="X99" s="1604" t="str">
        <f t="shared" si="14"/>
        <v>–</v>
      </c>
      <c r="Y99" s="1605" t="str">
        <f>'Sąrašų palyginimas su sutartimi'!Y99</f>
        <v>–</v>
      </c>
    </row>
    <row r="100" spans="1:25" ht="72.75" thickBot="1">
      <c r="A100" s="376">
        <f t="shared" si="15"/>
        <v>99</v>
      </c>
      <c r="B100" s="376" t="str">
        <f>'Sąrašų palyginimas su sutartimi'!B100</f>
        <v>I. S. Kavaliauskienės įmonės teikiamų pirminės ambulatorinės asmens sveikatos priežiūros paslaugų kokybės ir prieinamumo gerinimas</v>
      </c>
      <c r="C100" s="376" t="str">
        <f>'Sąrašų palyginimas su sutartimi'!C100</f>
        <v>08.1.3-CPVA-R-609</v>
      </c>
      <c r="D100" s="376" t="str">
        <f>'Sąrašų palyginimas su sutartimi'!D100</f>
        <v>Irenos Stanislavos Kavaliauskienės įmonė</v>
      </c>
      <c r="E100" s="376" t="str">
        <f>'Sąrašų palyginimas su sutartimi'!E100</f>
        <v>Druskininkų sav.</v>
      </c>
      <c r="F100" s="376" t="str">
        <f>'Sąrašų palyginimas su sutartimi'!F100</f>
        <v>-</v>
      </c>
      <c r="G100" s="1600">
        <f>'Sąrašų palyginimas su sutartimi'!G100</f>
        <v>25517</v>
      </c>
      <c r="H100" s="1602">
        <f t="shared" si="8"/>
        <v>25517</v>
      </c>
      <c r="I100" s="1604">
        <f t="shared" si="9"/>
        <v>0</v>
      </c>
      <c r="J100" s="1600">
        <f>'Sąrašų palyginimas su sutartimi'!J100</f>
        <v>21689.45</v>
      </c>
      <c r="K100" s="1602">
        <f>'ES lėšos'!G99</f>
        <v>21689.45</v>
      </c>
      <c r="L100" s="1604">
        <f t="shared" si="10"/>
        <v>0</v>
      </c>
      <c r="M100" s="1600">
        <f>'Sąrašų palyginimas su sutartimi'!M100</f>
        <v>1913.55</v>
      </c>
      <c r="N100" s="1602">
        <f>'3 pr-2'!$R130</f>
        <v>1913.55</v>
      </c>
      <c r="O100" s="1604">
        <f t="shared" si="11"/>
        <v>0</v>
      </c>
      <c r="P100" s="1600">
        <f>'Sąrašų palyginimas su sutartimi'!P100</f>
        <v>0</v>
      </c>
      <c r="Q100" s="1602">
        <f>SUM('3 pr-2'!O130)</f>
        <v>0</v>
      </c>
      <c r="R100" s="1604" t="str">
        <f t="shared" si="12"/>
        <v>–</v>
      </c>
      <c r="S100" s="1600">
        <f>'Sąrašų palyginimas su sutartimi'!S100</f>
        <v>1914</v>
      </c>
      <c r="T100" s="1602">
        <f>SUM('3 pr-2'!U130)</f>
        <v>1914</v>
      </c>
      <c r="U100" s="1604">
        <f t="shared" si="13"/>
        <v>0</v>
      </c>
      <c r="V100" s="1600">
        <f>'Sąrašų palyginimas su sutartimi'!V100</f>
        <v>0</v>
      </c>
      <c r="W100" s="1602">
        <f>SUM('3 pr-2'!X130)</f>
        <v>0</v>
      </c>
      <c r="X100" s="1604" t="str">
        <f t="shared" si="14"/>
        <v>–</v>
      </c>
      <c r="Y100" s="1605" t="str">
        <f>'Sąrašų palyginimas su sutartimi'!Y100</f>
        <v>–</v>
      </c>
    </row>
    <row r="101" spans="1:25" ht="72.75" thickBot="1">
      <c r="A101" s="376">
        <f t="shared" si="15"/>
        <v>100</v>
      </c>
      <c r="B101" s="376" t="str">
        <f>'Sąrašų palyginimas su sutartimi'!B101</f>
        <v>Pirminės ambulatorinės asmens sveikatos priežiūros efektyvumo didinimas R. Ambrazaitienės ir L. Puzinovienės šeimos gydytojų kabinetuose</v>
      </c>
      <c r="C101" s="376" t="str">
        <f>'Sąrašų palyginimas su sutartimi'!C101</f>
        <v>08.1.3-CPVA-R-609</v>
      </c>
      <c r="D101" s="376" t="str">
        <f>'Sąrašų palyginimas su sutartimi'!D101</f>
        <v>UAB „Rasos Ambrazaitienės šeimos gydytojo kabinetas“</v>
      </c>
      <c r="E101" s="376" t="str">
        <f>'Sąrašų palyginimas su sutartimi'!E101</f>
        <v>Druskininkų sav.</v>
      </c>
      <c r="F101" s="376" t="str">
        <f>'Sąrašų palyginimas su sutartimi'!F101</f>
        <v>-</v>
      </c>
      <c r="G101" s="1600">
        <f>'Sąrašų palyginimas su sutartimi'!G101</f>
        <v>27906</v>
      </c>
      <c r="H101" s="1602">
        <f t="shared" si="8"/>
        <v>27906</v>
      </c>
      <c r="I101" s="1604">
        <f t="shared" si="9"/>
        <v>0</v>
      </c>
      <c r="J101" s="1600">
        <f>'Sąrašų palyginimas su sutartimi'!J101</f>
        <v>23720</v>
      </c>
      <c r="K101" s="1602">
        <f>'ES lėšos'!G100</f>
        <v>23720</v>
      </c>
      <c r="L101" s="1604">
        <f t="shared" si="10"/>
        <v>0</v>
      </c>
      <c r="M101" s="1600">
        <f>'Sąrašų palyginimas su sutartimi'!M101</f>
        <v>2093</v>
      </c>
      <c r="N101" s="1602">
        <f>'3 pr-2'!$R131</f>
        <v>2093</v>
      </c>
      <c r="O101" s="1604">
        <f t="shared" si="11"/>
        <v>0</v>
      </c>
      <c r="P101" s="1600">
        <f>'Sąrašų palyginimas su sutartimi'!P101</f>
        <v>0</v>
      </c>
      <c r="Q101" s="1602">
        <f>SUM('3 pr-2'!O131)</f>
        <v>0</v>
      </c>
      <c r="R101" s="1604" t="str">
        <f t="shared" si="12"/>
        <v>–</v>
      </c>
      <c r="S101" s="1600">
        <f>'Sąrašų palyginimas su sutartimi'!S101</f>
        <v>2093</v>
      </c>
      <c r="T101" s="1602">
        <f>SUM('3 pr-2'!U131)</f>
        <v>2093</v>
      </c>
      <c r="U101" s="1604">
        <f t="shared" si="13"/>
        <v>0</v>
      </c>
      <c r="V101" s="1600">
        <f>'Sąrašų palyginimas su sutartimi'!V101</f>
        <v>0</v>
      </c>
      <c r="W101" s="1602">
        <f>SUM('3 pr-2'!X131)</f>
        <v>0</v>
      </c>
      <c r="X101" s="1604" t="str">
        <f t="shared" si="14"/>
        <v>–</v>
      </c>
      <c r="Y101" s="1605" t="str">
        <f>'Sąrašų palyginimas su sutartimi'!Y101</f>
        <v>–</v>
      </c>
    </row>
    <row r="102" spans="1:25" ht="48.75" thickBot="1">
      <c r="A102" s="376">
        <f t="shared" si="15"/>
        <v>101</v>
      </c>
      <c r="B102" s="376" t="str">
        <f>'Sąrašų palyginimas su sutartimi'!B102</f>
        <v>Pirminės asmens sveikatos priežiūros veiklos efektyvumo didinimas Lazdijų rajono savivaldybėje</v>
      </c>
      <c r="C102" s="376" t="str">
        <f>'Sąrašų palyginimas su sutartimi'!C102</f>
        <v>08.1.3-CPVA-R-609</v>
      </c>
      <c r="D102" s="376" t="str">
        <f>'Sąrašų palyginimas su sutartimi'!D102</f>
        <v>Lazdijų rajono savivaldybės administracija</v>
      </c>
      <c r="E102" s="376" t="str">
        <f>'Sąrašų palyginimas su sutartimi'!E102</f>
        <v>Lazdijų r. sav.</v>
      </c>
      <c r="F102" s="376" t="str">
        <f>'Sąrašų palyginimas su sutartimi'!F102</f>
        <v>-</v>
      </c>
      <c r="G102" s="1600">
        <f>'Sąrašų palyginimas su sutartimi'!G102</f>
        <v>192718.96</v>
      </c>
      <c r="H102" s="1602">
        <f t="shared" si="8"/>
        <v>192719</v>
      </c>
      <c r="I102" s="1604">
        <f t="shared" si="9"/>
        <v>-4.0000000008149073E-2</v>
      </c>
      <c r="J102" s="1600">
        <f>'Sąrašų palyginimas su sutartimi'!J102</f>
        <v>163810.96</v>
      </c>
      <c r="K102" s="1602">
        <f>'ES lėšos'!G101</f>
        <v>163811</v>
      </c>
      <c r="L102" s="1604">
        <f t="shared" si="10"/>
        <v>-4.0000000008149073E-2</v>
      </c>
      <c r="M102" s="1600">
        <f>'Sąrašų palyginimas su sutartimi'!M102</f>
        <v>14454</v>
      </c>
      <c r="N102" s="1602">
        <f>'3 pr-2'!$R132</f>
        <v>14454</v>
      </c>
      <c r="O102" s="1604">
        <f t="shared" si="11"/>
        <v>0</v>
      </c>
      <c r="P102" s="1600">
        <f>'Sąrašų palyginimas su sutartimi'!P102</f>
        <v>8718.58</v>
      </c>
      <c r="Q102" s="1602">
        <f>SUM('3 pr-2'!O132)</f>
        <v>2983</v>
      </c>
      <c r="R102" s="1604">
        <f t="shared" si="12"/>
        <v>5735.58</v>
      </c>
      <c r="S102" s="1600">
        <f>'Sąrašų palyginimas su sutartimi'!S102</f>
        <v>5735.42</v>
      </c>
      <c r="T102" s="1602">
        <f>SUM('3 pr-2'!U132)</f>
        <v>11471</v>
      </c>
      <c r="U102" s="1604">
        <f t="shared" si="13"/>
        <v>-5735.58</v>
      </c>
      <c r="V102" s="1600">
        <f>'Sąrašų palyginimas su sutartimi'!V102</f>
        <v>0</v>
      </c>
      <c r="W102" s="1602">
        <f>SUM('3 pr-2'!X132)</f>
        <v>0</v>
      </c>
      <c r="X102" s="1604" t="str">
        <f t="shared" si="14"/>
        <v>–</v>
      </c>
      <c r="Y102" s="1605" t="str">
        <f>'Sąrašų palyginimas su sutartimi'!Y102</f>
        <v>–</v>
      </c>
    </row>
    <row r="103" spans="1:25" ht="48.75" thickBot="1">
      <c r="A103" s="376">
        <f t="shared" si="15"/>
        <v>102</v>
      </c>
      <c r="B103" s="376" t="str">
        <f>'Sąrašų palyginimas su sutartimi'!B103</f>
        <v>Pirminės asmens sveikatos priežiūros veiklos efektyvumo didinimas Varėnos rajono savivaldybėje</v>
      </c>
      <c r="C103" s="376" t="str">
        <f>'Sąrašų palyginimas su sutartimi'!C103</f>
        <v>08.1.3-CPVA-R-609</v>
      </c>
      <c r="D103" s="376" t="str">
        <f>'Sąrašų palyginimas su sutartimi'!D103</f>
        <v>VšĮ Varėnos pirminės sveikatos priežiūros centras</v>
      </c>
      <c r="E103" s="376" t="str">
        <f>'Sąrašų palyginimas su sutartimi'!E103</f>
        <v>Varėnos r. sav.</v>
      </c>
      <c r="F103" s="376" t="str">
        <f>'Sąrašų palyginimas su sutartimi'!F103</f>
        <v>-</v>
      </c>
      <c r="G103" s="1600">
        <f>'Sąrašų palyginimas su sutartimi'!G103</f>
        <v>192664.27000000002</v>
      </c>
      <c r="H103" s="1602">
        <f t="shared" si="8"/>
        <v>192678</v>
      </c>
      <c r="I103" s="1604">
        <f t="shared" si="9"/>
        <v>-13.729999999981374</v>
      </c>
      <c r="J103" s="1600">
        <f>'Sąrašų palyginimas su sutartimi'!J103</f>
        <v>163764.63</v>
      </c>
      <c r="K103" s="1602">
        <f>'ES lėšos'!G102</f>
        <v>163776</v>
      </c>
      <c r="L103" s="1604">
        <f t="shared" si="10"/>
        <v>-11.369999999995343</v>
      </c>
      <c r="M103" s="1600">
        <f>'Sąrašų palyginimas su sutartimi'!M103</f>
        <v>14449.82</v>
      </c>
      <c r="N103" s="1602">
        <f>'3 pr-2'!$R133</f>
        <v>14451</v>
      </c>
      <c r="O103" s="1604">
        <f t="shared" si="11"/>
        <v>-1.180000000000291</v>
      </c>
      <c r="P103" s="1600">
        <f>'Sąrašų palyginimas su sutartimi'!P103</f>
        <v>14449.82</v>
      </c>
      <c r="Q103" s="1602">
        <f>SUM('3 pr-2'!O133)</f>
        <v>14451</v>
      </c>
      <c r="R103" s="1604">
        <f t="shared" si="12"/>
        <v>-1.180000000000291</v>
      </c>
      <c r="S103" s="1600">
        <f>'Sąrašų palyginimas su sutartimi'!S103</f>
        <v>0</v>
      </c>
      <c r="T103" s="1602">
        <f>SUM('3 pr-2'!U133)</f>
        <v>0</v>
      </c>
      <c r="U103" s="1604" t="str">
        <f t="shared" si="13"/>
        <v>–</v>
      </c>
      <c r="V103" s="1600">
        <f>'Sąrašų palyginimas su sutartimi'!V103</f>
        <v>0</v>
      </c>
      <c r="W103" s="1602">
        <f>SUM('3 pr-2'!X133)</f>
        <v>0</v>
      </c>
      <c r="X103" s="1604" t="str">
        <f t="shared" si="14"/>
        <v>–</v>
      </c>
      <c r="Y103" s="1605" t="str">
        <f>'Sąrašų palyginimas su sutartimi'!Y103</f>
        <v>–</v>
      </c>
    </row>
    <row r="104" spans="1:25" ht="60.75" thickBot="1">
      <c r="A104" s="376">
        <f t="shared" si="15"/>
        <v>103</v>
      </c>
      <c r="B104" s="376" t="str">
        <f>'Sąrašų palyginimas su sutartimi'!B104</f>
        <v>Pirminės asmens sveikatos priežiūros veiklos efektyvumo didinimas N. Jarašienės personalinėje įmonėje</v>
      </c>
      <c r="C104" s="376" t="str">
        <f>'Sąrašų palyginimas su sutartimi'!C104</f>
        <v>08.1.3-CPVA-R-609</v>
      </c>
      <c r="D104" s="376" t="str">
        <f>'Sąrašų palyginimas su sutartimi'!D104</f>
        <v>N. Jarašienės personalinė įmonė</v>
      </c>
      <c r="E104" s="376" t="str">
        <f>'Sąrašų palyginimas su sutartimi'!E104</f>
        <v>Varėnos r. sav.</v>
      </c>
      <c r="F104" s="376" t="str">
        <f>'Sąrašų palyginimas su sutartimi'!F104</f>
        <v>-</v>
      </c>
      <c r="G104" s="1600">
        <f>'Sąrašų palyginimas su sutartimi'!G104</f>
        <v>8305</v>
      </c>
      <c r="H104" s="1602">
        <f t="shared" si="8"/>
        <v>8305</v>
      </c>
      <c r="I104" s="1604">
        <f t="shared" si="9"/>
        <v>0</v>
      </c>
      <c r="J104" s="1600">
        <f>'Sąrašų palyginimas su sutartimi'!J104</f>
        <v>7059</v>
      </c>
      <c r="K104" s="1602">
        <f>'ES lėšos'!G103</f>
        <v>7059</v>
      </c>
      <c r="L104" s="1604">
        <f t="shared" si="10"/>
        <v>0</v>
      </c>
      <c r="M104" s="1600">
        <f>'Sąrašų palyginimas su sutartimi'!M104</f>
        <v>622</v>
      </c>
      <c r="N104" s="1602">
        <f>'3 pr-2'!$R134</f>
        <v>623</v>
      </c>
      <c r="O104" s="1604">
        <f t="shared" si="11"/>
        <v>-1</v>
      </c>
      <c r="P104" s="1600">
        <f>'Sąrašų palyginimas su sutartimi'!P104</f>
        <v>0</v>
      </c>
      <c r="Q104" s="1602">
        <f>SUM('3 pr-2'!O134)</f>
        <v>0</v>
      </c>
      <c r="R104" s="1604" t="str">
        <f t="shared" si="12"/>
        <v>–</v>
      </c>
      <c r="S104" s="1600">
        <f>'Sąrašų palyginimas su sutartimi'!S104</f>
        <v>624</v>
      </c>
      <c r="T104" s="1602">
        <f>SUM('3 pr-2'!U134)</f>
        <v>623</v>
      </c>
      <c r="U104" s="1604">
        <f t="shared" si="13"/>
        <v>1</v>
      </c>
      <c r="V104" s="1600">
        <f>'Sąrašų palyginimas su sutartimi'!V104</f>
        <v>0</v>
      </c>
      <c r="W104" s="1602">
        <f>SUM('3 pr-2'!X134)</f>
        <v>0</v>
      </c>
      <c r="X104" s="1604" t="str">
        <f t="shared" si="14"/>
        <v>–</v>
      </c>
      <c r="Y104" s="1605" t="str">
        <f>'Sąrašų palyginimas su sutartimi'!Y104</f>
        <v>–</v>
      </c>
    </row>
    <row r="105" spans="1:25" ht="24.75" thickBot="1">
      <c r="A105" s="376">
        <f t="shared" si="15"/>
        <v>104</v>
      </c>
      <c r="B105" s="376" t="str">
        <f>'Sąrašų palyginimas su sutartimi'!B105</f>
        <v>Sveikos gyvensenos skatinimas Alytaus rajone</v>
      </c>
      <c r="C105" s="376" t="str">
        <f>'Sąrašų palyginimas su sutartimi'!C105</f>
        <v>08.4.2-ESFA-R-630</v>
      </c>
      <c r="D105" s="376" t="str">
        <f>'Sąrašų palyginimas su sutartimi'!D105</f>
        <v>Alytaus rajono savivaldybės visuomenės sveikatos biuras</v>
      </c>
      <c r="E105" s="376" t="str">
        <f>'Sąrašų palyginimas su sutartimi'!E105</f>
        <v>Alytaus r. sav.</v>
      </c>
      <c r="F105" s="376" t="str">
        <f>'Sąrašų palyginimas su sutartimi'!F105</f>
        <v>-</v>
      </c>
      <c r="G105" s="1600">
        <f>'Sąrašų palyginimas su sutartimi'!G105</f>
        <v>198997.18000000002</v>
      </c>
      <c r="H105" s="1602">
        <f t="shared" si="8"/>
        <v>198997.18000000002</v>
      </c>
      <c r="I105" s="1604">
        <f t="shared" si="9"/>
        <v>0</v>
      </c>
      <c r="J105" s="1600">
        <f>'Sąrašų palyginimas su sutartimi'!J105</f>
        <v>169147.6</v>
      </c>
      <c r="K105" s="1602">
        <f>'ES lėšos'!G104</f>
        <v>169147.6</v>
      </c>
      <c r="L105" s="1604">
        <f t="shared" si="10"/>
        <v>0</v>
      </c>
      <c r="M105" s="1600">
        <f>'Sąrašų palyginimas su sutartimi'!M105</f>
        <v>14924.79</v>
      </c>
      <c r="N105" s="1602">
        <f>'3 pr-2'!$R136</f>
        <v>14924.79</v>
      </c>
      <c r="O105" s="1604">
        <f t="shared" si="11"/>
        <v>0</v>
      </c>
      <c r="P105" s="1600">
        <f>'Sąrašų palyginimas su sutartimi'!P105</f>
        <v>14924.79</v>
      </c>
      <c r="Q105" s="1602">
        <f>SUM('3 pr-2'!O136)</f>
        <v>14924.79</v>
      </c>
      <c r="R105" s="1604">
        <f t="shared" si="12"/>
        <v>0</v>
      </c>
      <c r="S105" s="1600">
        <f>'Sąrašų palyginimas su sutartimi'!S105</f>
        <v>0</v>
      </c>
      <c r="T105" s="1602">
        <f>SUM('3 pr-2'!U136)</f>
        <v>0</v>
      </c>
      <c r="U105" s="1604" t="str">
        <f t="shared" si="13"/>
        <v>–</v>
      </c>
      <c r="V105" s="1600">
        <f>'Sąrašų palyginimas su sutartimi'!V105</f>
        <v>0</v>
      </c>
      <c r="W105" s="1602">
        <f>SUM('3 pr-2'!X136)</f>
        <v>0</v>
      </c>
      <c r="X105" s="1604" t="str">
        <f t="shared" si="14"/>
        <v>–</v>
      </c>
      <c r="Y105" s="1605" t="str">
        <f>'Sąrašų palyginimas su sutartimi'!Y105</f>
        <v>–</v>
      </c>
    </row>
    <row r="106" spans="1:25" ht="24.75" thickBot="1">
      <c r="A106" s="376">
        <f t="shared" si="15"/>
        <v>105</v>
      </c>
      <c r="B106" s="376" t="str">
        <f>'Sąrašų palyginimas su sutartimi'!B106</f>
        <v>Mažais žingsneliais – sveikos gyvensenos link</v>
      </c>
      <c r="C106" s="376" t="str">
        <f>'Sąrašų palyginimas su sutartimi'!C106</f>
        <v>08.4.2-ESFA-R-630</v>
      </c>
      <c r="D106" s="376" t="str">
        <f>'Sąrašų palyginimas su sutartimi'!D106</f>
        <v>Alytaus miesto savivaldybės administracija</v>
      </c>
      <c r="E106" s="376" t="str">
        <f>'Sąrašų palyginimas su sutartimi'!E106</f>
        <v>Alytaus m. sav.</v>
      </c>
      <c r="F106" s="376" t="str">
        <f>'Sąrašų palyginimas su sutartimi'!F106</f>
        <v>-</v>
      </c>
      <c r="G106" s="1600">
        <f>'Sąrašų palyginimas su sutartimi'!G106</f>
        <v>198996.00000000003</v>
      </c>
      <c r="H106" s="1602">
        <f t="shared" si="8"/>
        <v>198996.00000000003</v>
      </c>
      <c r="I106" s="1604">
        <f t="shared" si="9"/>
        <v>0</v>
      </c>
      <c r="J106" s="1600">
        <f>'Sąrašų palyginimas su sutartimi'!J106</f>
        <v>169146.6</v>
      </c>
      <c r="K106" s="1602">
        <f>'ES lėšos'!G105</f>
        <v>169146.6</v>
      </c>
      <c r="L106" s="1604">
        <f t="shared" si="10"/>
        <v>0</v>
      </c>
      <c r="M106" s="1600">
        <f>'Sąrašų palyginimas su sutartimi'!M106</f>
        <v>14924.7</v>
      </c>
      <c r="N106" s="1602">
        <f>'3 pr-2'!$R137</f>
        <v>14924.7</v>
      </c>
      <c r="O106" s="1604">
        <f t="shared" si="11"/>
        <v>0</v>
      </c>
      <c r="P106" s="1600">
        <f>'Sąrašų palyginimas su sutartimi'!P106</f>
        <v>14924.7</v>
      </c>
      <c r="Q106" s="1602">
        <f>SUM('3 pr-2'!O137)</f>
        <v>14924.7</v>
      </c>
      <c r="R106" s="1604">
        <f t="shared" si="12"/>
        <v>0</v>
      </c>
      <c r="S106" s="1600">
        <f>'Sąrašų palyginimas su sutartimi'!S106</f>
        <v>0</v>
      </c>
      <c r="T106" s="1602">
        <f>SUM('3 pr-2'!U137)</f>
        <v>0</v>
      </c>
      <c r="U106" s="1604" t="str">
        <f t="shared" si="13"/>
        <v>–</v>
      </c>
      <c r="V106" s="1600">
        <f>'Sąrašų palyginimas su sutartimi'!V106</f>
        <v>0</v>
      </c>
      <c r="W106" s="1602">
        <f>SUM('3 pr-2'!X137)</f>
        <v>0</v>
      </c>
      <c r="X106" s="1604" t="str">
        <f t="shared" si="14"/>
        <v>–</v>
      </c>
      <c r="Y106" s="1605" t="str">
        <f>'Sąrašų palyginimas su sutartimi'!Y106</f>
        <v>–</v>
      </c>
    </row>
    <row r="107" spans="1:25" ht="36.75" thickBot="1">
      <c r="A107" s="376">
        <f t="shared" si="15"/>
        <v>106</v>
      </c>
      <c r="B107" s="376" t="str">
        <f>'Sąrašų palyginimas su sutartimi'!B107</f>
        <v>Sveikos gyvensenos skatinimas Varėnos rajono savivaldybėje</v>
      </c>
      <c r="C107" s="376" t="str">
        <f>'Sąrašų palyginimas su sutartimi'!C107</f>
        <v>08.4.2-ESFA-R-630</v>
      </c>
      <c r="D107" s="376" t="str">
        <f>'Sąrašų palyginimas su sutartimi'!D107</f>
        <v>Varėnos rajono savivaldybės visuomenės sveikatos biuras</v>
      </c>
      <c r="E107" s="376" t="str">
        <f>'Sąrašų palyginimas su sutartimi'!E107</f>
        <v>Varėnos r. sav.</v>
      </c>
      <c r="F107" s="376" t="str">
        <f>'Sąrašų palyginimas su sutartimi'!F107</f>
        <v>-</v>
      </c>
      <c r="G107" s="1600">
        <f>'Sąrašų palyginimas su sutartimi'!G107</f>
        <v>198997</v>
      </c>
      <c r="H107" s="1602">
        <f t="shared" si="8"/>
        <v>198997</v>
      </c>
      <c r="I107" s="1604">
        <f t="shared" si="9"/>
        <v>0</v>
      </c>
      <c r="J107" s="1600">
        <f>'Sąrašų palyginimas su sutartimi'!J107</f>
        <v>169147.45</v>
      </c>
      <c r="K107" s="1602">
        <f>'ES lėšos'!G106</f>
        <v>169147.45</v>
      </c>
      <c r="L107" s="1604">
        <f t="shared" si="10"/>
        <v>0</v>
      </c>
      <c r="M107" s="1600">
        <f>'Sąrašų palyginimas su sutartimi'!M107</f>
        <v>14924.55</v>
      </c>
      <c r="N107" s="1602">
        <f>'3 pr-2'!$R138</f>
        <v>14924.55</v>
      </c>
      <c r="O107" s="1604">
        <f t="shared" si="11"/>
        <v>0</v>
      </c>
      <c r="P107" s="1600">
        <f>'Sąrašų palyginimas su sutartimi'!P107</f>
        <v>14925</v>
      </c>
      <c r="Q107" s="1602">
        <f>SUM('3 pr-2'!O138)</f>
        <v>14925</v>
      </c>
      <c r="R107" s="1604">
        <f t="shared" si="12"/>
        <v>0</v>
      </c>
      <c r="S107" s="1600">
        <f>'Sąrašų palyginimas su sutartimi'!S107</f>
        <v>0</v>
      </c>
      <c r="T107" s="1602">
        <f>SUM('3 pr-2'!U138)</f>
        <v>0</v>
      </c>
      <c r="U107" s="1604" t="str">
        <f t="shared" si="13"/>
        <v>–</v>
      </c>
      <c r="V107" s="1600">
        <f>'Sąrašų palyginimas su sutartimi'!V107</f>
        <v>0</v>
      </c>
      <c r="W107" s="1602">
        <f>SUM('3 pr-2'!X138)</f>
        <v>0</v>
      </c>
      <c r="X107" s="1604" t="str">
        <f t="shared" si="14"/>
        <v>–</v>
      </c>
      <c r="Y107" s="1605" t="str">
        <f>'Sąrašų palyginimas su sutartimi'!Y107</f>
        <v>–</v>
      </c>
    </row>
    <row r="108" spans="1:25" ht="24.75" thickBot="1">
      <c r="A108" s="376">
        <f t="shared" si="15"/>
        <v>107</v>
      </c>
      <c r="B108" s="376" t="str">
        <f>'Sąrašų palyginimas su sutartimi'!B108</f>
        <v>Sveika bendruomenė – stipri visuomenė</v>
      </c>
      <c r="C108" s="376" t="str">
        <f>'Sąrašų palyginimas su sutartimi'!C108</f>
        <v>08.4.2-ESFA-R-630</v>
      </c>
      <c r="D108" s="376" t="str">
        <f>'Sąrašų palyginimas su sutartimi'!D108</f>
        <v>Druskininkų savivaldybės visuomenės sveikatos biuras</v>
      </c>
      <c r="E108" s="376" t="str">
        <f>'Sąrašų palyginimas su sutartimi'!E108</f>
        <v>Druskininkų sav.</v>
      </c>
      <c r="F108" s="376" t="str">
        <f>'Sąrašų palyginimas su sutartimi'!F108</f>
        <v>-</v>
      </c>
      <c r="G108" s="1600">
        <f>'Sąrašų palyginimas su sutartimi'!G108</f>
        <v>198997.18000000002</v>
      </c>
      <c r="H108" s="1602">
        <f t="shared" si="8"/>
        <v>198997.18000000002</v>
      </c>
      <c r="I108" s="1604">
        <f t="shared" si="9"/>
        <v>0</v>
      </c>
      <c r="J108" s="1600">
        <f>'Sąrašų palyginimas su sutartimi'!J108</f>
        <v>169147.6</v>
      </c>
      <c r="K108" s="1602">
        <f>'ES lėšos'!G107</f>
        <v>169147.6</v>
      </c>
      <c r="L108" s="1604">
        <f t="shared" si="10"/>
        <v>0</v>
      </c>
      <c r="M108" s="1600">
        <f>'Sąrašų palyginimas su sutartimi'!M108</f>
        <v>14924.79</v>
      </c>
      <c r="N108" s="1602">
        <f>'3 pr-2'!$R139</f>
        <v>14924.79</v>
      </c>
      <c r="O108" s="1604">
        <f t="shared" si="11"/>
        <v>0</v>
      </c>
      <c r="P108" s="1600">
        <f>'Sąrašų palyginimas su sutartimi'!P108</f>
        <v>14924.79</v>
      </c>
      <c r="Q108" s="1602">
        <f>SUM('3 pr-2'!O139)</f>
        <v>14924.79</v>
      </c>
      <c r="R108" s="1604">
        <f t="shared" si="12"/>
        <v>0</v>
      </c>
      <c r="S108" s="1600">
        <f>'Sąrašų palyginimas su sutartimi'!S108</f>
        <v>0</v>
      </c>
      <c r="T108" s="1602">
        <f>SUM('3 pr-2'!U139)</f>
        <v>0</v>
      </c>
      <c r="U108" s="1604" t="str">
        <f t="shared" si="13"/>
        <v>–</v>
      </c>
      <c r="V108" s="1600">
        <f>'Sąrašų palyginimas su sutartimi'!V108</f>
        <v>0</v>
      </c>
      <c r="W108" s="1602">
        <f>SUM('3 pr-2'!X139)</f>
        <v>0</v>
      </c>
      <c r="X108" s="1604" t="str">
        <f t="shared" si="14"/>
        <v>–</v>
      </c>
      <c r="Y108" s="1605" t="str">
        <f>'Sąrašų palyginimas su sutartimi'!Y108</f>
        <v>–</v>
      </c>
    </row>
    <row r="109" spans="1:25" ht="36.75" thickBot="1">
      <c r="A109" s="376">
        <f t="shared" si="15"/>
        <v>108</v>
      </c>
      <c r="B109" s="376" t="str">
        <f>'Sąrašų palyginimas su sutartimi'!B109</f>
        <v>Sveikos gyvensenos skatinimas Lazdijų rajono savivaldybėje</v>
      </c>
      <c r="C109" s="376" t="str">
        <f>'Sąrašų palyginimas su sutartimi'!C109</f>
        <v>08.4.2-ESFA-R-630</v>
      </c>
      <c r="D109" s="376" t="str">
        <f>'Sąrašų palyginimas su sutartimi'!D109</f>
        <v>Lazdijų rajono savivaldybės visuomenės sveikatos biuras</v>
      </c>
      <c r="E109" s="376" t="str">
        <f>'Sąrašų palyginimas su sutartimi'!E109</f>
        <v>Lazdijų r. sav.</v>
      </c>
      <c r="F109" s="376" t="str">
        <f>'Sąrašų palyginimas su sutartimi'!F109</f>
        <v>-</v>
      </c>
      <c r="G109" s="1600">
        <f>'Sąrašų palyginimas su sutartimi'!G109</f>
        <v>198997.18000000002</v>
      </c>
      <c r="H109" s="1602">
        <f t="shared" si="8"/>
        <v>198997.18000000002</v>
      </c>
      <c r="I109" s="1604">
        <f t="shared" si="9"/>
        <v>0</v>
      </c>
      <c r="J109" s="1600">
        <f>'Sąrašų palyginimas su sutartimi'!J109</f>
        <v>169147.6</v>
      </c>
      <c r="K109" s="1602">
        <f>'ES lėšos'!G108</f>
        <v>169147.6</v>
      </c>
      <c r="L109" s="1604">
        <f t="shared" si="10"/>
        <v>0</v>
      </c>
      <c r="M109" s="1600">
        <f>'Sąrašų palyginimas su sutartimi'!M109</f>
        <v>14924.79</v>
      </c>
      <c r="N109" s="1602">
        <f>'3 pr-2'!$R140</f>
        <v>14924.79</v>
      </c>
      <c r="O109" s="1604">
        <f t="shared" si="11"/>
        <v>0</v>
      </c>
      <c r="P109" s="1600">
        <f>'Sąrašų palyginimas su sutartimi'!P109</f>
        <v>14924.79</v>
      </c>
      <c r="Q109" s="1602">
        <f>SUM('3 pr-2'!O140)</f>
        <v>14924.79</v>
      </c>
      <c r="R109" s="1604">
        <f t="shared" si="12"/>
        <v>0</v>
      </c>
      <c r="S109" s="1600">
        <f>'Sąrašų palyginimas su sutartimi'!S109</f>
        <v>0</v>
      </c>
      <c r="T109" s="1602">
        <f>SUM('3 pr-2'!U140)</f>
        <v>0</v>
      </c>
      <c r="U109" s="1604" t="str">
        <f t="shared" si="13"/>
        <v>–</v>
      </c>
      <c r="V109" s="1600">
        <f>'Sąrašų palyginimas su sutartimi'!V109</f>
        <v>0</v>
      </c>
      <c r="W109" s="1602">
        <f>SUM('3 pr-2'!X140)</f>
        <v>0</v>
      </c>
      <c r="X109" s="1604" t="str">
        <f t="shared" si="14"/>
        <v>–</v>
      </c>
      <c r="Y109" s="1605" t="str">
        <f>'Sąrašų palyginimas su sutartimi'!Y109</f>
        <v>–</v>
      </c>
    </row>
    <row r="110" spans="1:25" ht="84.75" thickBot="1">
      <c r="A110" s="376">
        <f t="shared" si="15"/>
        <v>109</v>
      </c>
      <c r="B110" s="376" t="str">
        <f>'Sąrašų palyginimas su sutartimi'!B110</f>
        <v>Priemonių, gerinančių ambulatorinių sveikatos priežiūros paslaugų prieinamumą tuberkulioze sergantiems asmenims, Alytaus rajone, įgyvendinimas</v>
      </c>
      <c r="C110" s="376" t="str">
        <f>'Sąrašų palyginimas su sutartimi'!C110</f>
        <v>08.4.2-ESFA-R-615</v>
      </c>
      <c r="D110" s="376" t="str">
        <f>'Sąrašų palyginimas su sutartimi'!D110</f>
        <v>VšĮ Alytaus rajono savivaldybės pirminės sveikatos priežiūros centras</v>
      </c>
      <c r="E110" s="376" t="str">
        <f>'Sąrašų palyginimas su sutartimi'!E110</f>
        <v>Alytaus r. sav.</v>
      </c>
      <c r="F110" s="376" t="str">
        <f>'Sąrašų palyginimas su sutartimi'!F110</f>
        <v>-</v>
      </c>
      <c r="G110" s="1600">
        <f>'Sąrašų palyginimas su sutartimi'!G110</f>
        <v>10453</v>
      </c>
      <c r="H110" s="1602">
        <f t="shared" si="8"/>
        <v>10453</v>
      </c>
      <c r="I110" s="1604">
        <f t="shared" si="9"/>
        <v>0</v>
      </c>
      <c r="J110" s="1600">
        <f>'Sąrašų palyginimas su sutartimi'!J110</f>
        <v>8214.61</v>
      </c>
      <c r="K110" s="1602">
        <f>'ES lėšos'!G109</f>
        <v>8214.61</v>
      </c>
      <c r="L110" s="1604">
        <f t="shared" si="10"/>
        <v>0</v>
      </c>
      <c r="M110" s="1600">
        <f>'Sąrašų palyginimas su sutartimi'!M110</f>
        <v>1449.64</v>
      </c>
      <c r="N110" s="1602">
        <f>'3 pr-2'!$R142</f>
        <v>1449.64</v>
      </c>
      <c r="O110" s="1604">
        <f t="shared" si="11"/>
        <v>0</v>
      </c>
      <c r="P110" s="1600">
        <f>'Sąrašų palyginimas su sutartimi'!P110</f>
        <v>0</v>
      </c>
      <c r="Q110" s="1602">
        <f>SUM('3 pr-2'!O142)</f>
        <v>0</v>
      </c>
      <c r="R110" s="1604" t="str">
        <f t="shared" si="12"/>
        <v>–</v>
      </c>
      <c r="S110" s="1600">
        <f>'Sąrašų palyginimas su sutartimi'!S110</f>
        <v>0</v>
      </c>
      <c r="T110" s="1602">
        <f>SUM('3 pr-2'!U142)</f>
        <v>0</v>
      </c>
      <c r="U110" s="1604" t="str">
        <f t="shared" si="13"/>
        <v>–</v>
      </c>
      <c r="V110" s="1600">
        <f>'Sąrašų palyginimas su sutartimi'!V110</f>
        <v>788.75</v>
      </c>
      <c r="W110" s="1602">
        <f>SUM('3 pr-2'!X142)</f>
        <v>788.75</v>
      </c>
      <c r="X110" s="1604">
        <f t="shared" si="14"/>
        <v>0</v>
      </c>
      <c r="Y110" s="1605" t="str">
        <f>'Sąrašų palyginimas su sutartimi'!Y110</f>
        <v>–</v>
      </c>
    </row>
    <row r="111" spans="1:25" ht="48.75" thickBot="1">
      <c r="A111" s="376">
        <f t="shared" si="15"/>
        <v>110</v>
      </c>
      <c r="B111" s="376" t="str">
        <f>'Sąrašų palyginimas su sutartimi'!B111</f>
        <v>Ambulatorinių sveikatos priežiūros paslaugų gerinimas tuberkulioze sergantiems asmenims</v>
      </c>
      <c r="C111" s="376" t="str">
        <f>'Sąrašų palyginimas su sutartimi'!C111</f>
        <v>08.4.2-ESFA-R-615</v>
      </c>
      <c r="D111" s="376" t="str">
        <f>'Sąrašų palyginimas su sutartimi'!D111</f>
        <v>Alytaus miesto savivaldybės administracija</v>
      </c>
      <c r="E111" s="376" t="str">
        <f>'Sąrašų palyginimas su sutartimi'!E111</f>
        <v>Alytaus m. sav.</v>
      </c>
      <c r="F111" s="376" t="str">
        <f>'Sąrašų palyginimas su sutartimi'!F111</f>
        <v>-</v>
      </c>
      <c r="G111" s="1600">
        <f>'Sąrašų palyginimas su sutartimi'!G111</f>
        <v>17041.18</v>
      </c>
      <c r="H111" s="1602">
        <f t="shared" si="8"/>
        <v>17041.18</v>
      </c>
      <c r="I111" s="1604">
        <f t="shared" si="9"/>
        <v>0</v>
      </c>
      <c r="J111" s="1600">
        <f>'Sąrašų palyginimas su sutartimi'!J111</f>
        <v>14485.09</v>
      </c>
      <c r="K111" s="1602">
        <f>'ES lėšos'!G110</f>
        <v>14485.09</v>
      </c>
      <c r="L111" s="1604">
        <f t="shared" si="10"/>
        <v>0</v>
      </c>
      <c r="M111" s="1600">
        <f>'Sąrašų palyginimas su sutartimi'!M111</f>
        <v>1278</v>
      </c>
      <c r="N111" s="1602">
        <f>'3 pr-2'!$R143</f>
        <v>1278</v>
      </c>
      <c r="O111" s="1604">
        <f t="shared" si="11"/>
        <v>0</v>
      </c>
      <c r="P111" s="1600">
        <f>'Sąrašų palyginimas su sutartimi'!P111</f>
        <v>1278.0899999999999</v>
      </c>
      <c r="Q111" s="1602">
        <f>SUM('3 pr-2'!O143)</f>
        <v>1278.0899999999999</v>
      </c>
      <c r="R111" s="1604">
        <f t="shared" si="12"/>
        <v>0</v>
      </c>
      <c r="S111" s="1600">
        <f>'Sąrašų palyginimas su sutartimi'!S111</f>
        <v>0</v>
      </c>
      <c r="T111" s="1602">
        <f>SUM('3 pr-2'!U143)</f>
        <v>0</v>
      </c>
      <c r="U111" s="1604" t="str">
        <f t="shared" si="13"/>
        <v>–</v>
      </c>
      <c r="V111" s="1600">
        <f>'Sąrašų palyginimas su sutartimi'!V111</f>
        <v>0</v>
      </c>
      <c r="W111" s="1602">
        <f>SUM('3 pr-2'!X143)</f>
        <v>0</v>
      </c>
      <c r="X111" s="1604" t="str">
        <f t="shared" si="14"/>
        <v>–</v>
      </c>
      <c r="Y111" s="1605" t="str">
        <f>'Sąrašų palyginimas su sutartimi'!Y111</f>
        <v>–</v>
      </c>
    </row>
    <row r="112" spans="1:25" ht="48.75" thickBot="1">
      <c r="A112" s="376">
        <f t="shared" si="15"/>
        <v>111</v>
      </c>
      <c r="B112" s="376" t="str">
        <f>'Sąrašų palyginimas su sutartimi'!B112</f>
        <v>Paslaugų tuberkulioze sergantiems asmenims gerinimas Lazdijų rajono savivaldybėje</v>
      </c>
      <c r="C112" s="376" t="str">
        <f>'Sąrašų palyginimas su sutartimi'!C112</f>
        <v>08.4.2-ESFA-R-615</v>
      </c>
      <c r="D112" s="376" t="str">
        <f>'Sąrašų palyginimas su sutartimi'!D112</f>
        <v>Lazdijų rajono savivaldybės administracija</v>
      </c>
      <c r="E112" s="376" t="str">
        <f>'Sąrašų palyginimas su sutartimi'!E112</f>
        <v>Lazdijų r. sav.</v>
      </c>
      <c r="F112" s="376" t="str">
        <f>'Sąrašų palyginimas su sutartimi'!F112</f>
        <v>-</v>
      </c>
      <c r="G112" s="1600">
        <f>'Sąrašų palyginimas su sutartimi'!G112</f>
        <v>15224</v>
      </c>
      <c r="H112" s="1602">
        <f t="shared" si="8"/>
        <v>15224</v>
      </c>
      <c r="I112" s="1604">
        <f t="shared" si="9"/>
        <v>0</v>
      </c>
      <c r="J112" s="1600">
        <f>'Sąrašų palyginimas su sutartimi'!J112</f>
        <v>12940.4</v>
      </c>
      <c r="K112" s="1602">
        <f>'ES lėšos'!G111</f>
        <v>12940.4</v>
      </c>
      <c r="L112" s="1604">
        <f t="shared" si="10"/>
        <v>0</v>
      </c>
      <c r="M112" s="1600">
        <f>'Sąrašų palyginimas su sutartimi'!M112</f>
        <v>1141.5999999999999</v>
      </c>
      <c r="N112" s="1602">
        <f>'3 pr-2'!$R144</f>
        <v>1141.5999999999999</v>
      </c>
      <c r="O112" s="1604">
        <f t="shared" si="11"/>
        <v>0</v>
      </c>
      <c r="P112" s="1600">
        <f>'Sąrašų palyginimas su sutartimi'!P112</f>
        <v>1142</v>
      </c>
      <c r="Q112" s="1602">
        <f>SUM('3 pr-2'!O144)</f>
        <v>1142</v>
      </c>
      <c r="R112" s="1604">
        <f t="shared" si="12"/>
        <v>0</v>
      </c>
      <c r="S112" s="1600">
        <f>'Sąrašų palyginimas su sutartimi'!S112</f>
        <v>0</v>
      </c>
      <c r="T112" s="1602">
        <f>SUM('3 pr-2'!U144)</f>
        <v>0</v>
      </c>
      <c r="U112" s="1604" t="str">
        <f t="shared" si="13"/>
        <v>–</v>
      </c>
      <c r="V112" s="1600">
        <f>'Sąrašų palyginimas su sutartimi'!V112</f>
        <v>0</v>
      </c>
      <c r="W112" s="1602">
        <f>SUM('3 pr-2'!X144)</f>
        <v>0</v>
      </c>
      <c r="X112" s="1604" t="str">
        <f t="shared" si="14"/>
        <v>–</v>
      </c>
      <c r="Y112" s="1605" t="str">
        <f>'Sąrašų palyginimas su sutartimi'!Y112</f>
        <v>–</v>
      </c>
    </row>
    <row r="113" spans="1:25" ht="72.75" thickBot="1">
      <c r="A113" s="376">
        <f t="shared" si="15"/>
        <v>112</v>
      </c>
      <c r="B113" s="376" t="str">
        <f>'Sąrašų palyginimas su sutartimi'!B113</f>
        <v>Ambulatorinių sveikatos priežiūros paslaugų tuberkulioze sergantiems asmenims prieinamumo gerinimas Druskininkų savivaldybėje</v>
      </c>
      <c r="C113" s="376" t="str">
        <f>'Sąrašų palyginimas su sutartimi'!C113</f>
        <v>08.4.2-ESFA-R-615</v>
      </c>
      <c r="D113" s="376" t="str">
        <f>'Sąrašų palyginimas su sutartimi'!D113</f>
        <v>Druskininkų pirminės sveikatos priežiūros centras</v>
      </c>
      <c r="E113" s="376" t="str">
        <f>'Sąrašų palyginimas su sutartimi'!E113</f>
        <v>Druskininkų sav.</v>
      </c>
      <c r="F113" s="376" t="str">
        <f>'Sąrašų palyginimas su sutartimi'!F113</f>
        <v>-</v>
      </c>
      <c r="G113" s="1600">
        <f>'Sąrašų palyginimas su sutartimi'!G113</f>
        <v>6816</v>
      </c>
      <c r="H113" s="1602">
        <f t="shared" si="8"/>
        <v>6816</v>
      </c>
      <c r="I113" s="1604">
        <f t="shared" si="9"/>
        <v>0</v>
      </c>
      <c r="J113" s="1600">
        <f>'Sąrašų palyginimas su sutartimi'!J113</f>
        <v>5793.6</v>
      </c>
      <c r="K113" s="1602">
        <f>'ES lėšos'!G112</f>
        <v>5793.6</v>
      </c>
      <c r="L113" s="1604">
        <f t="shared" si="10"/>
        <v>0</v>
      </c>
      <c r="M113" s="1600">
        <f>'Sąrašų palyginimas su sutartimi'!M113</f>
        <v>511.2</v>
      </c>
      <c r="N113" s="1602">
        <f>'3 pr-2'!$R145</f>
        <v>511.2</v>
      </c>
      <c r="O113" s="1604">
        <f t="shared" si="11"/>
        <v>0</v>
      </c>
      <c r="P113" s="1600">
        <f>'Sąrašų palyginimas su sutartimi'!P113</f>
        <v>0</v>
      </c>
      <c r="Q113" s="1602">
        <f>SUM('3 pr-2'!O145)</f>
        <v>0</v>
      </c>
      <c r="R113" s="1604" t="str">
        <f t="shared" si="12"/>
        <v>–</v>
      </c>
      <c r="S113" s="1600">
        <f>'Sąrašų palyginimas su sutartimi'!S113</f>
        <v>0</v>
      </c>
      <c r="T113" s="1602">
        <f>SUM('3 pr-2'!U145)</f>
        <v>0</v>
      </c>
      <c r="U113" s="1604" t="str">
        <f t="shared" si="13"/>
        <v>–</v>
      </c>
      <c r="V113" s="1600">
        <f>'Sąrašų palyginimas su sutartimi'!V113</f>
        <v>511.2</v>
      </c>
      <c r="W113" s="1602">
        <f>SUM('3 pr-2'!X145)</f>
        <v>511.2</v>
      </c>
      <c r="X113" s="1604">
        <f t="shared" si="14"/>
        <v>0</v>
      </c>
      <c r="Y113" s="1605" t="str">
        <f>'Sąrašų palyginimas su sutartimi'!Y113</f>
        <v>–</v>
      </c>
    </row>
    <row r="114" spans="1:25" ht="72.75" thickBot="1">
      <c r="A114" s="376">
        <f t="shared" si="15"/>
        <v>113</v>
      </c>
      <c r="B114" s="376" t="str">
        <f>'Sąrašų palyginimas su sutartimi'!B114</f>
        <v>Ambulatorinių sveikatos priežiūros paslaugų prieinamumo gerinimas tuberkulioze sergantiems asmenims Varėnos rajono savivaldybėje</v>
      </c>
      <c r="C114" s="376" t="str">
        <f>'Sąrašų palyginimas su sutartimi'!C114</f>
        <v>08.4.2-ESFA-R-615</v>
      </c>
      <c r="D114" s="376" t="str">
        <f>'Sąrašų palyginimas su sutartimi'!D114</f>
        <v>Varėnos rajono savivaldybės administracija</v>
      </c>
      <c r="E114" s="376" t="str">
        <f>'Sąrašų palyginimas su sutartimi'!E114</f>
        <v>Varėnos r. sav.</v>
      </c>
      <c r="F114" s="376" t="str">
        <f>'Sąrašų palyginimas su sutartimi'!F114</f>
        <v>-</v>
      </c>
      <c r="G114" s="1600">
        <f>'Sąrašų palyginimas su sutartimi'!G114</f>
        <v>15679</v>
      </c>
      <c r="H114" s="1602">
        <f t="shared" si="8"/>
        <v>15679</v>
      </c>
      <c r="I114" s="1604">
        <f t="shared" si="9"/>
        <v>0</v>
      </c>
      <c r="J114" s="1600">
        <f>'Sąrašų palyginimas su sutartimi'!J114</f>
        <v>13327</v>
      </c>
      <c r="K114" s="1602">
        <f>'ES lėšos'!G113</f>
        <v>13327</v>
      </c>
      <c r="L114" s="1604">
        <f t="shared" si="10"/>
        <v>0</v>
      </c>
      <c r="M114" s="1600">
        <f>'Sąrašų palyginimas su sutartimi'!M114</f>
        <v>1176</v>
      </c>
      <c r="N114" s="1602">
        <f>'3 pr-2'!$R146</f>
        <v>1176</v>
      </c>
      <c r="O114" s="1604">
        <f t="shared" si="11"/>
        <v>0</v>
      </c>
      <c r="P114" s="1600">
        <f>'Sąrašų palyginimas su sutartimi'!P114</f>
        <v>1176</v>
      </c>
      <c r="Q114" s="1602">
        <f>SUM('3 pr-2'!O146)</f>
        <v>1176</v>
      </c>
      <c r="R114" s="1604">
        <f t="shared" si="12"/>
        <v>0</v>
      </c>
      <c r="S114" s="1600">
        <f>'Sąrašų palyginimas su sutartimi'!S114</f>
        <v>0</v>
      </c>
      <c r="T114" s="1602">
        <f>SUM('3 pr-2'!U146)</f>
        <v>0</v>
      </c>
      <c r="U114" s="1604" t="str">
        <f t="shared" si="13"/>
        <v>–</v>
      </c>
      <c r="V114" s="1600">
        <f>'Sąrašų palyginimas su sutartimi'!V114</f>
        <v>0</v>
      </c>
      <c r="W114" s="1602">
        <f>SUM('3 pr-2'!X146)</f>
        <v>0</v>
      </c>
      <c r="X114" s="1604" t="str">
        <f t="shared" si="14"/>
        <v>–</v>
      </c>
      <c r="Y114" s="1605" t="str">
        <f>'Sąrašų palyginimas su sutartimi'!Y114</f>
        <v>–</v>
      </c>
    </row>
    <row r="115" spans="1:25" ht="36.75" thickBot="1">
      <c r="A115" s="376">
        <f t="shared" si="15"/>
        <v>114</v>
      </c>
      <c r="B115" s="376" t="str">
        <f>'Sąrašų palyginimas su sutartimi'!B115</f>
        <v>Socialinių paslaugų infrastruktūros plėtra Varėnos rajono savivaldybėje</v>
      </c>
      <c r="C115" s="376" t="str">
        <f>'Sąrašų palyginimas su sutartimi'!C115</f>
        <v>08.1.1-CPVA-R-407</v>
      </c>
      <c r="D115" s="376" t="str">
        <f>'Sąrašų palyginimas su sutartimi'!D115</f>
        <v>Varėnos rajono savivaldybės administracija</v>
      </c>
      <c r="E115" s="376" t="str">
        <f>'Sąrašų palyginimas su sutartimi'!E115</f>
        <v>Varėnos r. sav.</v>
      </c>
      <c r="F115" s="376" t="str">
        <f>'Sąrašų palyginimas su sutartimi'!F115</f>
        <v>-</v>
      </c>
      <c r="G115" s="1600">
        <f>'Sąrašų palyginimas su sutartimi'!G115</f>
        <v>148480</v>
      </c>
      <c r="H115" s="1602">
        <f t="shared" si="8"/>
        <v>148480</v>
      </c>
      <c r="I115" s="1604">
        <f t="shared" si="9"/>
        <v>0</v>
      </c>
      <c r="J115" s="1600">
        <f>'Sąrašų palyginimas su sutartimi'!J115</f>
        <v>126208</v>
      </c>
      <c r="K115" s="1602">
        <f>'ES lėšos'!G114</f>
        <v>126208</v>
      </c>
      <c r="L115" s="1604">
        <f t="shared" si="10"/>
        <v>0</v>
      </c>
      <c r="M115" s="1600">
        <f>'Sąrašų palyginimas su sutartimi'!M115</f>
        <v>0</v>
      </c>
      <c r="N115" s="1602">
        <f>'3 pr-2'!$R149</f>
        <v>0</v>
      </c>
      <c r="O115" s="1604" t="str">
        <f t="shared" si="11"/>
        <v>–</v>
      </c>
      <c r="P115" s="1600">
        <f>'Sąrašų palyginimas su sutartimi'!P115</f>
        <v>22272</v>
      </c>
      <c r="Q115" s="1602">
        <f>SUM('3 pr-2'!O149)</f>
        <v>22272</v>
      </c>
      <c r="R115" s="1604">
        <f t="shared" si="12"/>
        <v>0</v>
      </c>
      <c r="S115" s="1600">
        <f>'Sąrašų palyginimas su sutartimi'!S115</f>
        <v>0</v>
      </c>
      <c r="T115" s="1602">
        <f>SUM('3 pr-2'!U149)</f>
        <v>0</v>
      </c>
      <c r="U115" s="1604" t="str">
        <f t="shared" si="13"/>
        <v>–</v>
      </c>
      <c r="V115" s="1600">
        <f>'Sąrašų palyginimas su sutartimi'!V115</f>
        <v>0</v>
      </c>
      <c r="W115" s="1602">
        <f>SUM('3 pr-2'!X149)</f>
        <v>0</v>
      </c>
      <c r="X115" s="1604" t="str">
        <f t="shared" si="14"/>
        <v>–</v>
      </c>
      <c r="Y115" s="1605" t="str">
        <f>'Sąrašų palyginimas su sutartimi'!Y115</f>
        <v>–</v>
      </c>
    </row>
    <row r="116" spans="1:25" ht="24.75" thickBot="1">
      <c r="A116" s="376">
        <f t="shared" si="15"/>
        <v>115</v>
      </c>
      <c r="B116" s="376" t="str">
        <f>'Sąrašų palyginimas su sutartimi'!B116</f>
        <v>Psichosocialinės pagalbos centro įkūrimas</v>
      </c>
      <c r="C116" s="376" t="str">
        <f>'Sąrašų palyginimas su sutartimi'!C116</f>
        <v>08.1.1-CPVA-R-407</v>
      </c>
      <c r="D116" s="376" t="str">
        <f>'Sąrašų palyginimas su sutartimi'!D116</f>
        <v>Alytaus rajono savivaldybės administracija</v>
      </c>
      <c r="E116" s="376" t="str">
        <f>'Sąrašų palyginimas su sutartimi'!E116</f>
        <v>Alytaus r. sav.</v>
      </c>
      <c r="F116" s="376" t="str">
        <f>'Sąrašų palyginimas su sutartimi'!F116</f>
        <v/>
      </c>
      <c r="G116" s="1600">
        <f>'Sąrašų palyginimas su sutartimi'!G116</f>
        <v>188353</v>
      </c>
      <c r="H116" s="1602">
        <f t="shared" si="8"/>
        <v>188353</v>
      </c>
      <c r="I116" s="1604">
        <f t="shared" si="9"/>
        <v>0</v>
      </c>
      <c r="J116" s="1600">
        <f>'Sąrašų palyginimas su sutartimi'!J116</f>
        <v>160100</v>
      </c>
      <c r="K116" s="1602">
        <f>'ES lėšos'!G115</f>
        <v>160100</v>
      </c>
      <c r="L116" s="1604">
        <f t="shared" si="10"/>
        <v>0</v>
      </c>
      <c r="M116" s="1600">
        <f>'Sąrašų palyginimas su sutartimi'!M116</f>
        <v>0</v>
      </c>
      <c r="N116" s="1602">
        <f>'3 pr-2'!$R150</f>
        <v>0</v>
      </c>
      <c r="O116" s="1604" t="str">
        <f t="shared" si="11"/>
        <v>–</v>
      </c>
      <c r="P116" s="1600">
        <f>'Sąrašų palyginimas su sutartimi'!P116</f>
        <v>28253</v>
      </c>
      <c r="Q116" s="1602">
        <f>SUM('3 pr-2'!O150)</f>
        <v>28253</v>
      </c>
      <c r="R116" s="1604">
        <f t="shared" si="12"/>
        <v>0</v>
      </c>
      <c r="S116" s="1600">
        <f>'Sąrašų palyginimas su sutartimi'!S116</f>
        <v>0</v>
      </c>
      <c r="T116" s="1602">
        <f>SUM('3 pr-2'!U150)</f>
        <v>0</v>
      </c>
      <c r="U116" s="1604" t="str">
        <f t="shared" si="13"/>
        <v>–</v>
      </c>
      <c r="V116" s="1600">
        <f>'Sąrašų palyginimas su sutartimi'!V116</f>
        <v>0</v>
      </c>
      <c r="W116" s="1602">
        <f>SUM('3 pr-2'!X150)</f>
        <v>0</v>
      </c>
      <c r="X116" s="1604" t="str">
        <f t="shared" si="14"/>
        <v>–</v>
      </c>
      <c r="Y116" s="1605" t="str">
        <f>'Sąrašų palyginimas su sutartimi'!Y116</f>
        <v>–</v>
      </c>
    </row>
    <row r="117" spans="1:25" ht="24.75" thickBot="1">
      <c r="A117" s="376">
        <f t="shared" si="15"/>
        <v>116</v>
      </c>
      <c r="B117" s="376" t="str">
        <f>'Sąrašų palyginimas su sutartimi'!B117</f>
        <v>Socialinių paslaugų plėtra Alytaus mieste</v>
      </c>
      <c r="C117" s="376" t="str">
        <f>'Sąrašų palyginimas su sutartimi'!C117</f>
        <v>08.1.1-CPVA-R-407</v>
      </c>
      <c r="D117" s="376" t="str">
        <f>'Sąrašų palyginimas su sutartimi'!D117</f>
        <v>Alytaus miesto savivaldybės administracija</v>
      </c>
      <c r="E117" s="376" t="str">
        <f>'Sąrašų palyginimas su sutartimi'!E117</f>
        <v>Alytaus m. sav.</v>
      </c>
      <c r="F117" s="376" t="str">
        <f>'Sąrašų palyginimas su sutartimi'!F117</f>
        <v>-</v>
      </c>
      <c r="G117" s="1600">
        <f>'Sąrašų palyginimas su sutartimi'!G117</f>
        <v>600732.80000000005</v>
      </c>
      <c r="H117" s="1602">
        <f t="shared" si="8"/>
        <v>600732.80000000005</v>
      </c>
      <c r="I117" s="1604">
        <f t="shared" si="9"/>
        <v>0</v>
      </c>
      <c r="J117" s="1600">
        <f>'Sąrašų palyginimas su sutartimi'!J117</f>
        <v>346361</v>
      </c>
      <c r="K117" s="1602">
        <f>'ES lėšos'!G116</f>
        <v>346361</v>
      </c>
      <c r="L117" s="1604">
        <f t="shared" si="10"/>
        <v>0</v>
      </c>
      <c r="M117" s="1600">
        <f>'Sąrašų palyginimas su sutartimi'!M117</f>
        <v>0</v>
      </c>
      <c r="N117" s="1602">
        <f>'3 pr-2'!$R151</f>
        <v>0</v>
      </c>
      <c r="O117" s="1604" t="str">
        <f t="shared" si="11"/>
        <v>–</v>
      </c>
      <c r="P117" s="1600">
        <f>'Sąrašų palyginimas su sutartimi'!P117</f>
        <v>254371.8</v>
      </c>
      <c r="Q117" s="1602">
        <f>SUM('3 pr-2'!O151)</f>
        <v>254371.8</v>
      </c>
      <c r="R117" s="1604">
        <f t="shared" si="12"/>
        <v>0</v>
      </c>
      <c r="S117" s="1600">
        <f>'Sąrašų palyginimas su sutartimi'!S117</f>
        <v>0</v>
      </c>
      <c r="T117" s="1602">
        <f>SUM('3 pr-2'!U151)</f>
        <v>0</v>
      </c>
      <c r="U117" s="1604" t="str">
        <f t="shared" si="13"/>
        <v>–</v>
      </c>
      <c r="V117" s="1600">
        <f>'Sąrašų palyginimas su sutartimi'!V117</f>
        <v>0</v>
      </c>
      <c r="W117" s="1602">
        <f>SUM('3 pr-2'!X151)</f>
        <v>0</v>
      </c>
      <c r="X117" s="1604" t="str">
        <f t="shared" si="14"/>
        <v>–</v>
      </c>
      <c r="Y117" s="1605" t="str">
        <f>'Sąrašų palyginimas su sutartimi'!Y117</f>
        <v>baigtas</v>
      </c>
    </row>
    <row r="118" spans="1:25" ht="36.75" thickBot="1">
      <c r="A118" s="376">
        <f t="shared" si="15"/>
        <v>117</v>
      </c>
      <c r="B118" s="376" t="str">
        <f>'Sąrašų palyginimas su sutartimi'!B118</f>
        <v>Socialinių paslaugų infrastruktūros plėtra Druskininkų savivaldybėje</v>
      </c>
      <c r="C118" s="376" t="str">
        <f>'Sąrašų palyginimas su sutartimi'!C118</f>
        <v>08.1.1-CPVA-R-407</v>
      </c>
      <c r="D118" s="376" t="str">
        <f>'Sąrašų palyginimas su sutartimi'!D118</f>
        <v>Druskininkų savivaldybės administracija</v>
      </c>
      <c r="E118" s="376" t="str">
        <f>'Sąrašų palyginimas su sutartimi'!E118</f>
        <v>Druskininkų sav.</v>
      </c>
      <c r="F118" s="376" t="str">
        <f>'Sąrašų palyginimas su sutartimi'!F118</f>
        <v>-</v>
      </c>
      <c r="G118" s="1600">
        <f>'Sąrašų palyginimas su sutartimi'!G118</f>
        <v>151437</v>
      </c>
      <c r="H118" s="1602">
        <f t="shared" si="8"/>
        <v>151437</v>
      </c>
      <c r="I118" s="1604">
        <f t="shared" si="9"/>
        <v>0</v>
      </c>
      <c r="J118" s="1600">
        <f>'Sąrašų palyginimas su sutartimi'!J118</f>
        <v>128721</v>
      </c>
      <c r="K118" s="1602">
        <f>'ES lėšos'!G117</f>
        <v>128721</v>
      </c>
      <c r="L118" s="1604">
        <f t="shared" si="10"/>
        <v>0</v>
      </c>
      <c r="M118" s="1600">
        <f>'Sąrašų palyginimas su sutartimi'!M118</f>
        <v>0</v>
      </c>
      <c r="N118" s="1602">
        <f>'3 pr-2'!$R152</f>
        <v>0</v>
      </c>
      <c r="O118" s="1604" t="str">
        <f t="shared" si="11"/>
        <v>–</v>
      </c>
      <c r="P118" s="1600">
        <f>'Sąrašų palyginimas su sutartimi'!P118</f>
        <v>22716</v>
      </c>
      <c r="Q118" s="1602">
        <f>SUM('3 pr-2'!O152)</f>
        <v>22716</v>
      </c>
      <c r="R118" s="1604">
        <f t="shared" si="12"/>
        <v>0</v>
      </c>
      <c r="S118" s="1600">
        <f>'Sąrašų palyginimas su sutartimi'!S118</f>
        <v>0</v>
      </c>
      <c r="T118" s="1602">
        <f>SUM('3 pr-2'!U152)</f>
        <v>0</v>
      </c>
      <c r="U118" s="1604" t="str">
        <f t="shared" si="13"/>
        <v>–</v>
      </c>
      <c r="V118" s="1600">
        <f>'Sąrašų palyginimas su sutartimi'!V118</f>
        <v>0</v>
      </c>
      <c r="W118" s="1602">
        <f>SUM('3 pr-2'!X152)</f>
        <v>0</v>
      </c>
      <c r="X118" s="1604" t="str">
        <f t="shared" si="14"/>
        <v>–</v>
      </c>
      <c r="Y118" s="1605" t="str">
        <f>'Sąrašų palyginimas su sutartimi'!Y118</f>
        <v>–</v>
      </c>
    </row>
    <row r="119" spans="1:25" ht="60.75" thickBot="1">
      <c r="A119" s="376">
        <f t="shared" si="15"/>
        <v>118</v>
      </c>
      <c r="B119" s="376" t="str">
        <f>'Sąrašų palyginimas su sutartimi'!B119</f>
        <v>Socialinių paslaugų infrastruktūros modernizavimas ir plėtra VšĮ Kapčiamiesčio globos namuose</v>
      </c>
      <c r="C119" s="376" t="str">
        <f>'Sąrašų palyginimas su sutartimi'!C119</f>
        <v>08.1.1-CPVA-R-407</v>
      </c>
      <c r="D119" s="376" t="str">
        <f>'Sąrašų palyginimas su sutartimi'!D119</f>
        <v>VšĮ Kapčiamiesčio globos namai</v>
      </c>
      <c r="E119" s="376" t="str">
        <f>'Sąrašų palyginimas su sutartimi'!E119</f>
        <v>Lazdijų r. sav.</v>
      </c>
      <c r="F119" s="376" t="str">
        <f>'Sąrašų palyginimas su sutartimi'!F119</f>
        <v>-</v>
      </c>
      <c r="G119" s="1600">
        <f>'Sąrašų palyginimas su sutartimi'!G119</f>
        <v>146319</v>
      </c>
      <c r="H119" s="1602">
        <f t="shared" si="8"/>
        <v>146319</v>
      </c>
      <c r="I119" s="1604">
        <f t="shared" si="9"/>
        <v>0</v>
      </c>
      <c r="J119" s="1600">
        <f>'Sąrašų palyginimas su sutartimi'!J119</f>
        <v>124371.15</v>
      </c>
      <c r="K119" s="1602">
        <f>'ES lėšos'!G118</f>
        <v>124371.15</v>
      </c>
      <c r="L119" s="1604">
        <f t="shared" si="10"/>
        <v>0</v>
      </c>
      <c r="M119" s="1600">
        <f>'Sąrašų palyginimas su sutartimi'!M119</f>
        <v>21947.85</v>
      </c>
      <c r="N119" s="1602">
        <f>'3 pr-2'!$R153</f>
        <v>21947.85</v>
      </c>
      <c r="O119" s="1604">
        <f t="shared" si="11"/>
        <v>0</v>
      </c>
      <c r="P119" s="1600">
        <f>'Sąrašų palyginimas su sutartimi'!P119</f>
        <v>0</v>
      </c>
      <c r="Q119" s="1602">
        <f>SUM('3 pr-2'!O153)</f>
        <v>0</v>
      </c>
      <c r="R119" s="1604" t="str">
        <f t="shared" si="12"/>
        <v>–</v>
      </c>
      <c r="S119" s="1600">
        <f>'Sąrašų palyginimas su sutartimi'!S119</f>
        <v>0</v>
      </c>
      <c r="T119" s="1602">
        <f>SUM('3 pr-2'!U153)</f>
        <v>0</v>
      </c>
      <c r="U119" s="1604" t="str">
        <f t="shared" si="13"/>
        <v>–</v>
      </c>
      <c r="V119" s="1600">
        <f>'Sąrašų palyginimas su sutartimi'!V119</f>
        <v>0</v>
      </c>
      <c r="W119" s="1602">
        <f>SUM('3 pr-2'!X153)</f>
        <v>0</v>
      </c>
      <c r="X119" s="1604" t="str">
        <f t="shared" si="14"/>
        <v>–</v>
      </c>
      <c r="Y119" s="1605" t="str">
        <f>'Sąrašų palyginimas su sutartimi'!Y119</f>
        <v>baigtas</v>
      </c>
    </row>
    <row r="120" spans="1:25" ht="24.75" thickBot="1">
      <c r="A120" s="376">
        <f t="shared" si="15"/>
        <v>119</v>
      </c>
      <c r="B120" s="376" t="str">
        <f>'Sąrašų palyginimas su sutartimi'!B120</f>
        <v>Socialinio būsto plėtra Varėnos rajone</v>
      </c>
      <c r="C120" s="376" t="str">
        <f>'Sąrašų palyginimas su sutartimi'!C120</f>
        <v>08.1.2-CPVA-R-408</v>
      </c>
      <c r="D120" s="376" t="str">
        <f>'Sąrašų palyginimas su sutartimi'!D120</f>
        <v>Varėnos rajono savivaldybės administracija</v>
      </c>
      <c r="E120" s="376" t="str">
        <f>'Sąrašų palyginimas su sutartimi'!E120</f>
        <v>Varėnos r. sav.</v>
      </c>
      <c r="F120" s="376" t="str">
        <f>'Sąrašų palyginimas su sutartimi'!F120</f>
        <v>-</v>
      </c>
      <c r="G120" s="1600">
        <f>'Sąrašų palyginimas su sutartimi'!G120</f>
        <v>736499</v>
      </c>
      <c r="H120" s="1602">
        <f t="shared" si="8"/>
        <v>736499</v>
      </c>
      <c r="I120" s="1604">
        <f t="shared" si="9"/>
        <v>0</v>
      </c>
      <c r="J120" s="1600">
        <f>'Sąrašų palyginimas su sutartimi'!J120</f>
        <v>626024</v>
      </c>
      <c r="K120" s="1602">
        <f>'ES lėšos'!G119</f>
        <v>626024</v>
      </c>
      <c r="L120" s="1604">
        <f t="shared" si="10"/>
        <v>0</v>
      </c>
      <c r="M120" s="1600">
        <f>'Sąrašų palyginimas su sutartimi'!M120</f>
        <v>0</v>
      </c>
      <c r="N120" s="1602">
        <f>'3 pr-2'!$R155</f>
        <v>0</v>
      </c>
      <c r="O120" s="1604" t="str">
        <f t="shared" si="11"/>
        <v>–</v>
      </c>
      <c r="P120" s="1600">
        <f>'Sąrašų palyginimas su sutartimi'!P120</f>
        <v>110475</v>
      </c>
      <c r="Q120" s="1602">
        <f>SUM('3 pr-2'!O155)</f>
        <v>110475</v>
      </c>
      <c r="R120" s="1604">
        <f t="shared" si="12"/>
        <v>0</v>
      </c>
      <c r="S120" s="1600">
        <f>'Sąrašų palyginimas su sutartimi'!S120</f>
        <v>0</v>
      </c>
      <c r="T120" s="1602">
        <f>SUM('3 pr-2'!U155)</f>
        <v>0</v>
      </c>
      <c r="U120" s="1604" t="str">
        <f t="shared" si="13"/>
        <v>–</v>
      </c>
      <c r="V120" s="1600">
        <f>'Sąrašų palyginimas su sutartimi'!V120</f>
        <v>0</v>
      </c>
      <c r="W120" s="1602">
        <f>SUM('3 pr-2'!X155)</f>
        <v>0</v>
      </c>
      <c r="X120" s="1604" t="str">
        <f t="shared" si="14"/>
        <v>–</v>
      </c>
      <c r="Y120" s="1605" t="str">
        <f>'Sąrašų palyginimas su sutartimi'!Y120</f>
        <v>–</v>
      </c>
    </row>
    <row r="121" spans="1:25" ht="48.75" thickBot="1">
      <c r="A121" s="376">
        <f t="shared" si="15"/>
        <v>120</v>
      </c>
      <c r="B121" s="376" t="str">
        <f>'Sąrašų palyginimas su sutartimi'!B121</f>
        <v>Būsto prieinamumo pažeidžiamoms gyventojų grupėms didinimas Alytaus rajone</v>
      </c>
      <c r="C121" s="376" t="str">
        <f>'Sąrašų palyginimas su sutartimi'!C121</f>
        <v>08.1.2-CPVA-R-408</v>
      </c>
      <c r="D121" s="376" t="str">
        <f>'Sąrašų palyginimas su sutartimi'!D121</f>
        <v>Alytaus rajono savivaldybės administracija</v>
      </c>
      <c r="E121" s="376" t="str">
        <f>'Sąrašų palyginimas su sutartimi'!E121</f>
        <v>Alytaus r. sav.</v>
      </c>
      <c r="F121" s="376" t="str">
        <f>'Sąrašų palyginimas su sutartimi'!F121</f>
        <v>-</v>
      </c>
      <c r="G121" s="1600">
        <f>'Sąrašų palyginimas su sutartimi'!G121</f>
        <v>241889</v>
      </c>
      <c r="H121" s="1602">
        <f t="shared" si="8"/>
        <v>241889</v>
      </c>
      <c r="I121" s="1604">
        <f t="shared" si="9"/>
        <v>0</v>
      </c>
      <c r="J121" s="1600">
        <f>'Sąrašų palyginimas su sutartimi'!J121</f>
        <v>205605.65</v>
      </c>
      <c r="K121" s="1602">
        <f>'ES lėšos'!G120</f>
        <v>205605.65</v>
      </c>
      <c r="L121" s="1604">
        <f t="shared" si="10"/>
        <v>0</v>
      </c>
      <c r="M121" s="1600">
        <f>'Sąrašų palyginimas su sutartimi'!M121</f>
        <v>0</v>
      </c>
      <c r="N121" s="1602">
        <f>'3 pr-2'!$R156</f>
        <v>0</v>
      </c>
      <c r="O121" s="1604" t="str">
        <f t="shared" si="11"/>
        <v>–</v>
      </c>
      <c r="P121" s="1600">
        <f>'Sąrašų palyginimas su sutartimi'!P121</f>
        <v>36283.35</v>
      </c>
      <c r="Q121" s="1602">
        <f>SUM('3 pr-2'!O156)</f>
        <v>36283.35</v>
      </c>
      <c r="R121" s="1604">
        <f t="shared" si="12"/>
        <v>0</v>
      </c>
      <c r="S121" s="1600">
        <f>'Sąrašų palyginimas su sutartimi'!S121</f>
        <v>0</v>
      </c>
      <c r="T121" s="1602">
        <f>SUM('3 pr-2'!U156)</f>
        <v>0</v>
      </c>
      <c r="U121" s="1604" t="str">
        <f t="shared" si="13"/>
        <v>–</v>
      </c>
      <c r="V121" s="1600">
        <f>'Sąrašų palyginimas su sutartimi'!V121</f>
        <v>0</v>
      </c>
      <c r="W121" s="1602">
        <f>SUM('3 pr-2'!X156)</f>
        <v>0</v>
      </c>
      <c r="X121" s="1604" t="str">
        <f t="shared" si="14"/>
        <v>–</v>
      </c>
      <c r="Y121" s="1605" t="str">
        <f>'Sąrašų palyginimas su sutartimi'!Y121</f>
        <v>baigtas</v>
      </c>
    </row>
    <row r="122" spans="1:25" ht="24.75" thickBot="1">
      <c r="A122" s="376">
        <f t="shared" si="15"/>
        <v>121</v>
      </c>
      <c r="B122" s="376" t="str">
        <f>'Sąrašų palyginimas su sutartimi'!B122</f>
        <v>Socialinio būsto plėtra Alytaus mieste</v>
      </c>
      <c r="C122" s="376" t="str">
        <f>'Sąrašų palyginimas su sutartimi'!C122</f>
        <v>08.1.2-CPVA-R-408</v>
      </c>
      <c r="D122" s="376" t="str">
        <f>'Sąrašų palyginimas su sutartimi'!D122</f>
        <v>Alytaus miesto savivaldybės administracija</v>
      </c>
      <c r="E122" s="376" t="str">
        <f>'Sąrašų palyginimas su sutartimi'!E122</f>
        <v>Alytaus m. sav.</v>
      </c>
      <c r="F122" s="376" t="str">
        <f>'Sąrašų palyginimas su sutartimi'!F122</f>
        <v>-</v>
      </c>
      <c r="G122" s="1600">
        <f>'Sąrašų palyginimas su sutartimi'!G122</f>
        <v>891741.18</v>
      </c>
      <c r="H122" s="1602">
        <f t="shared" si="8"/>
        <v>891741.17999999993</v>
      </c>
      <c r="I122" s="1604">
        <f t="shared" si="9"/>
        <v>1.1641532182693481E-10</v>
      </c>
      <c r="J122" s="1600">
        <f>'Sąrašų palyginimas su sutartimi'!J122</f>
        <v>757980</v>
      </c>
      <c r="K122" s="1602">
        <f>'ES lėšos'!G121</f>
        <v>757980</v>
      </c>
      <c r="L122" s="1604">
        <f t="shared" si="10"/>
        <v>0</v>
      </c>
      <c r="M122" s="1600">
        <f>'Sąrašų palyginimas su sutartimi'!M122</f>
        <v>0</v>
      </c>
      <c r="N122" s="1602">
        <f>'3 pr-2'!$R157</f>
        <v>0</v>
      </c>
      <c r="O122" s="1604" t="str">
        <f t="shared" si="11"/>
        <v>–</v>
      </c>
      <c r="P122" s="1600">
        <f>'Sąrašų palyginimas su sutartimi'!P122</f>
        <v>133761.18</v>
      </c>
      <c r="Q122" s="1602">
        <f>SUM('3 pr-2'!O157)</f>
        <v>133761.18</v>
      </c>
      <c r="R122" s="1604">
        <f t="shared" si="12"/>
        <v>0</v>
      </c>
      <c r="S122" s="1600">
        <f>'Sąrašų palyginimas su sutartimi'!S122</f>
        <v>0</v>
      </c>
      <c r="T122" s="1602">
        <f>SUM('3 pr-2'!U157)</f>
        <v>0</v>
      </c>
      <c r="U122" s="1604" t="str">
        <f t="shared" si="13"/>
        <v>–</v>
      </c>
      <c r="V122" s="1600">
        <f>'Sąrašų palyginimas su sutartimi'!V122</f>
        <v>0</v>
      </c>
      <c r="W122" s="1602">
        <f>SUM('3 pr-2'!X157)</f>
        <v>0</v>
      </c>
      <c r="X122" s="1604" t="str">
        <f t="shared" si="14"/>
        <v>–</v>
      </c>
      <c r="Y122" s="1605" t="str">
        <f>'Sąrašų palyginimas su sutartimi'!Y122</f>
        <v>–</v>
      </c>
    </row>
    <row r="123" spans="1:25" ht="24.75" thickBot="1">
      <c r="A123" s="376">
        <f t="shared" si="15"/>
        <v>122</v>
      </c>
      <c r="B123" s="376" t="str">
        <f>'Sąrašų palyginimas su sutartimi'!B123</f>
        <v>Socialinio būsto fondo plėtra Druskininkų savivaldybėje</v>
      </c>
      <c r="C123" s="376" t="str">
        <f>'Sąrašų palyginimas su sutartimi'!C123</f>
        <v>08.1.2-CPVA-R-408</v>
      </c>
      <c r="D123" s="376" t="str">
        <f>'Sąrašų palyginimas su sutartimi'!D123</f>
        <v>Druskininkų savivaldybės administracija</v>
      </c>
      <c r="E123" s="376" t="str">
        <f>'Sąrašų palyginimas su sutartimi'!E123</f>
        <v>Druskininkų sav.</v>
      </c>
      <c r="F123" s="376" t="str">
        <f>'Sąrašų palyginimas su sutartimi'!F123</f>
        <v>-</v>
      </c>
      <c r="G123" s="1600">
        <f>'Sąrašų palyginimas su sutartimi'!G123</f>
        <v>727472.94</v>
      </c>
      <c r="H123" s="1602">
        <f t="shared" si="8"/>
        <v>727472.94</v>
      </c>
      <c r="I123" s="1604">
        <f t="shared" si="9"/>
        <v>0</v>
      </c>
      <c r="J123" s="1600">
        <f>'Sąrašų palyginimas su sutartimi'!J123</f>
        <v>618351.99</v>
      </c>
      <c r="K123" s="1602">
        <f>'ES lėšos'!G122</f>
        <v>618351.99</v>
      </c>
      <c r="L123" s="1604">
        <f t="shared" si="10"/>
        <v>0</v>
      </c>
      <c r="M123" s="1600">
        <f>'Sąrašų palyginimas su sutartimi'!M123</f>
        <v>0</v>
      </c>
      <c r="N123" s="1602">
        <f>'3 pr-2'!$R158</f>
        <v>0</v>
      </c>
      <c r="O123" s="1604" t="str">
        <f t="shared" si="11"/>
        <v>–</v>
      </c>
      <c r="P123" s="1600">
        <f>'Sąrašų palyginimas su sutartimi'!P123</f>
        <v>109120.95</v>
      </c>
      <c r="Q123" s="1602">
        <f>SUM('3 pr-2'!O158)</f>
        <v>109120.95</v>
      </c>
      <c r="R123" s="1604">
        <f t="shared" si="12"/>
        <v>0</v>
      </c>
      <c r="S123" s="1600">
        <f>'Sąrašų palyginimas su sutartimi'!S123</f>
        <v>0</v>
      </c>
      <c r="T123" s="1602">
        <f>SUM('3 pr-2'!U158)</f>
        <v>0</v>
      </c>
      <c r="U123" s="1604" t="str">
        <f t="shared" si="13"/>
        <v>–</v>
      </c>
      <c r="V123" s="1600">
        <f>'Sąrašų palyginimas su sutartimi'!V123</f>
        <v>0</v>
      </c>
      <c r="W123" s="1602">
        <f>SUM('3 pr-2'!X158)</f>
        <v>0</v>
      </c>
      <c r="X123" s="1604" t="str">
        <f t="shared" si="14"/>
        <v>–</v>
      </c>
      <c r="Y123" s="1605" t="str">
        <f>'Sąrašų palyginimas su sutartimi'!Y123</f>
        <v>–</v>
      </c>
    </row>
    <row r="124" spans="1:25" ht="24.75" thickBot="1">
      <c r="A124" s="376">
        <f t="shared" si="15"/>
        <v>123</v>
      </c>
      <c r="B124" s="376" t="str">
        <f>'Sąrašų palyginimas su sutartimi'!B124</f>
        <v>Socialinio būsto fondo plėtra Lazdijų rajono savivaldybėje</v>
      </c>
      <c r="C124" s="376" t="str">
        <f>'Sąrašų palyginimas su sutartimi'!C124</f>
        <v>08.1.2-CPVA-R-408</v>
      </c>
      <c r="D124" s="376" t="str">
        <f>'Sąrašų palyginimas su sutartimi'!D124</f>
        <v>Lazdijų rajono savivaldybės administracija</v>
      </c>
      <c r="E124" s="376" t="str">
        <f>'Sąrašų palyginimas su sutartimi'!E124</f>
        <v>Lazdijų r. sav.</v>
      </c>
      <c r="F124" s="376" t="str">
        <f>'Sąrašų palyginimas su sutartimi'!F124</f>
        <v>-</v>
      </c>
      <c r="G124" s="1600">
        <f>'Sąrašų palyginimas su sutartimi'!G124</f>
        <v>368599</v>
      </c>
      <c r="H124" s="1602">
        <f t="shared" si="8"/>
        <v>368599</v>
      </c>
      <c r="I124" s="1604">
        <f t="shared" si="9"/>
        <v>0</v>
      </c>
      <c r="J124" s="1600">
        <f>'Sąrašų palyginimas su sutartimi'!J124</f>
        <v>313012</v>
      </c>
      <c r="K124" s="1602">
        <f>'ES lėšos'!G123</f>
        <v>313012</v>
      </c>
      <c r="L124" s="1604">
        <f t="shared" si="10"/>
        <v>0</v>
      </c>
      <c r="M124" s="1600">
        <f>'Sąrašų palyginimas su sutartimi'!M124</f>
        <v>0</v>
      </c>
      <c r="N124" s="1602">
        <f>'3 pr-2'!$R159</f>
        <v>0</v>
      </c>
      <c r="O124" s="1604" t="str">
        <f t="shared" si="11"/>
        <v>–</v>
      </c>
      <c r="P124" s="1600">
        <f>'Sąrašų palyginimas su sutartimi'!P124</f>
        <v>55587</v>
      </c>
      <c r="Q124" s="1602">
        <f>SUM('3 pr-2'!O159)</f>
        <v>55587</v>
      </c>
      <c r="R124" s="1604">
        <f t="shared" si="12"/>
        <v>0</v>
      </c>
      <c r="S124" s="1600">
        <f>'Sąrašų palyginimas su sutartimi'!S124</f>
        <v>0</v>
      </c>
      <c r="T124" s="1602">
        <f>SUM('3 pr-2'!U159)</f>
        <v>0</v>
      </c>
      <c r="U124" s="1604" t="str">
        <f t="shared" si="13"/>
        <v>–</v>
      </c>
      <c r="V124" s="1600">
        <f>'Sąrašų palyginimas su sutartimi'!V124</f>
        <v>0</v>
      </c>
      <c r="W124" s="1602">
        <f>SUM('3 pr-2'!X159)</f>
        <v>0</v>
      </c>
      <c r="X124" s="1604" t="str">
        <f t="shared" si="14"/>
        <v>–</v>
      </c>
      <c r="Y124" s="1605" t="str">
        <f>'Sąrašų palyginimas su sutartimi'!Y124</f>
        <v>–</v>
      </c>
    </row>
    <row r="125" spans="1:25" ht="48.75" thickBot="1">
      <c r="A125" s="376">
        <f t="shared" si="15"/>
        <v>124</v>
      </c>
      <c r="B125" s="376" t="str">
        <f>'Sąrašų palyginimas su sutartimi'!B125</f>
        <v>Paslaugų teikimo ir asmenų aptarnavimo kokybės gerinimas Varėnos rajono savivaldybėje</v>
      </c>
      <c r="C125" s="376" t="str">
        <f>'Sąrašų palyginimas su sutartimi'!C125</f>
        <v>10.1.3-ESFA-R-920</v>
      </c>
      <c r="D125" s="376" t="str">
        <f>'Sąrašų palyginimas su sutartimi'!D125</f>
        <v>Varėnos rajono savivaldybės administracija</v>
      </c>
      <c r="E125" s="376" t="str">
        <f>'Sąrašų palyginimas su sutartimi'!E125</f>
        <v>Varėnos r. sav.</v>
      </c>
      <c r="F125" s="376" t="str">
        <f>'Sąrašų palyginimas su sutartimi'!F125</f>
        <v>-</v>
      </c>
      <c r="G125" s="1600">
        <f>'Sąrašų palyginimas su sutartimi'!G125</f>
        <v>172733.52</v>
      </c>
      <c r="H125" s="1602">
        <f t="shared" si="8"/>
        <v>172733.52</v>
      </c>
      <c r="I125" s="1604">
        <f t="shared" si="9"/>
        <v>0</v>
      </c>
      <c r="J125" s="1600">
        <f>'Sąrašų palyginimas su sutartimi'!J125</f>
        <v>146823.49</v>
      </c>
      <c r="K125" s="1602">
        <f>'ES lėšos'!G124</f>
        <v>146823.49</v>
      </c>
      <c r="L125" s="1604">
        <f t="shared" si="10"/>
        <v>0</v>
      </c>
      <c r="M125" s="1600">
        <f>'Sąrašų palyginimas su sutartimi'!M125</f>
        <v>0</v>
      </c>
      <c r="N125" s="1602">
        <f>'3 pr-2'!$R162</f>
        <v>0</v>
      </c>
      <c r="O125" s="1604" t="str">
        <f t="shared" si="11"/>
        <v>–</v>
      </c>
      <c r="P125" s="1600">
        <f>'Sąrašų palyginimas su sutartimi'!P125</f>
        <v>25910.03</v>
      </c>
      <c r="Q125" s="1602">
        <f>SUM('3 pr-2'!O162)</f>
        <v>25910.03</v>
      </c>
      <c r="R125" s="1604">
        <f t="shared" si="12"/>
        <v>0</v>
      </c>
      <c r="S125" s="1600">
        <f>'Sąrašų palyginimas su sutartimi'!S125</f>
        <v>0</v>
      </c>
      <c r="T125" s="1602">
        <f>SUM('3 pr-2'!U162)</f>
        <v>0</v>
      </c>
      <c r="U125" s="1604" t="str">
        <f t="shared" si="13"/>
        <v>–</v>
      </c>
      <c r="V125" s="1600">
        <f>'Sąrašų palyginimas su sutartimi'!V125</f>
        <v>0</v>
      </c>
      <c r="W125" s="1602">
        <f>SUM('3 pr-2'!X162)</f>
        <v>0</v>
      </c>
      <c r="X125" s="1604" t="str">
        <f t="shared" si="14"/>
        <v>–</v>
      </c>
      <c r="Y125" s="1605" t="str">
        <f>'Sąrašų palyginimas su sutartimi'!Y125</f>
        <v>–</v>
      </c>
    </row>
    <row r="126" spans="1:25" ht="48.75" thickBot="1">
      <c r="A126" s="376">
        <f t="shared" si="15"/>
        <v>125</v>
      </c>
      <c r="B126" s="376" t="str">
        <f>'Sąrašų palyginimas su sutartimi'!B126</f>
        <v>Paslaugų ir asmenų aptarnavimo kokybės gerinimas Alytaus rajono savivaldybėje</v>
      </c>
      <c r="C126" s="376" t="str">
        <f>'Sąrašų palyginimas su sutartimi'!C126</f>
        <v>10.1.3-ESFA-R-920</v>
      </c>
      <c r="D126" s="376" t="str">
        <f>'Sąrašų palyginimas su sutartimi'!D126</f>
        <v>Alytaus rajono savivaldybės administracija</v>
      </c>
      <c r="E126" s="376" t="str">
        <f>'Sąrašų palyginimas su sutartimi'!E126</f>
        <v>Alytaus r. sav.</v>
      </c>
      <c r="F126" s="376" t="str">
        <f>'Sąrašų palyginimas su sutartimi'!F126</f>
        <v>-</v>
      </c>
      <c r="G126" s="1600">
        <f>'Sąrašų palyginimas su sutartimi'!G126</f>
        <v>192832.21</v>
      </c>
      <c r="H126" s="1602">
        <f t="shared" si="8"/>
        <v>192832.21</v>
      </c>
      <c r="I126" s="1604">
        <f t="shared" si="9"/>
        <v>0</v>
      </c>
      <c r="J126" s="1600">
        <f>'Sąrašų palyginimas su sutartimi'!J126</f>
        <v>163907.37</v>
      </c>
      <c r="K126" s="1602">
        <f>'ES lėšos'!G125</f>
        <v>163907.37</v>
      </c>
      <c r="L126" s="1604">
        <f t="shared" si="10"/>
        <v>0</v>
      </c>
      <c r="M126" s="1600">
        <f>'Sąrašų palyginimas su sutartimi'!M126</f>
        <v>0</v>
      </c>
      <c r="N126" s="1602">
        <f>'3 pr-2'!$R163</f>
        <v>0</v>
      </c>
      <c r="O126" s="1604" t="str">
        <f t="shared" si="11"/>
        <v>–</v>
      </c>
      <c r="P126" s="1600">
        <f>'Sąrašų palyginimas su sutartimi'!P126</f>
        <v>28924.84</v>
      </c>
      <c r="Q126" s="1602">
        <f>SUM('3 pr-2'!O163)</f>
        <v>28924.84</v>
      </c>
      <c r="R126" s="1604">
        <f t="shared" si="12"/>
        <v>0</v>
      </c>
      <c r="S126" s="1600">
        <f>'Sąrašų palyginimas su sutartimi'!S126</f>
        <v>0</v>
      </c>
      <c r="T126" s="1602">
        <f>SUM('3 pr-2'!U163)</f>
        <v>0</v>
      </c>
      <c r="U126" s="1604" t="str">
        <f t="shared" si="13"/>
        <v>–</v>
      </c>
      <c r="V126" s="1600">
        <f>'Sąrašų palyginimas su sutartimi'!V126</f>
        <v>0</v>
      </c>
      <c r="W126" s="1602">
        <f>SUM('3 pr-2'!X163)</f>
        <v>0</v>
      </c>
      <c r="X126" s="1604" t="str">
        <f t="shared" si="14"/>
        <v>–</v>
      </c>
      <c r="Y126" s="1605" t="str">
        <f>'Sąrašų palyginimas su sutartimi'!Y126</f>
        <v>–</v>
      </c>
    </row>
    <row r="127" spans="1:25" ht="48.75" thickBot="1">
      <c r="A127" s="376">
        <f t="shared" si="15"/>
        <v>126</v>
      </c>
      <c r="B127" s="376" t="str">
        <f>'Sąrašų palyginimas su sutartimi'!B127</f>
        <v>Lazdijų rajono savivaldybės administracijos ir jos viešojo valdymo institucijų teikiamų paslaugų procesų tobulinimas</v>
      </c>
      <c r="C127" s="376" t="str">
        <f>'Sąrašų palyginimas su sutartimi'!C127</f>
        <v>10.1.3-ESFA-R-920</v>
      </c>
      <c r="D127" s="376" t="str">
        <f>'Sąrašų palyginimas su sutartimi'!D127</f>
        <v>Lazdijų rajono savivaldybės administracija</v>
      </c>
      <c r="E127" s="376" t="str">
        <f>'Sąrašų palyginimas su sutartimi'!E127</f>
        <v>Lazdijų r. sav.</v>
      </c>
      <c r="F127" s="376" t="str">
        <f>'Sąrašų palyginimas su sutartimi'!F127</f>
        <v>-</v>
      </c>
      <c r="G127" s="1600">
        <f>'Sąrašų palyginimas su sutartimi'!G127</f>
        <v>163986.88</v>
      </c>
      <c r="H127" s="1602">
        <f t="shared" si="8"/>
        <v>163986.88</v>
      </c>
      <c r="I127" s="1604">
        <f t="shared" si="9"/>
        <v>0</v>
      </c>
      <c r="J127" s="1600">
        <f>'Sąrašų palyginimas su sutartimi'!J127</f>
        <v>139388</v>
      </c>
      <c r="K127" s="1602">
        <f>'ES lėšos'!G126</f>
        <v>139388</v>
      </c>
      <c r="L127" s="1604">
        <f t="shared" si="10"/>
        <v>0</v>
      </c>
      <c r="M127" s="1600">
        <f>'Sąrašų palyginimas su sutartimi'!M127</f>
        <v>0</v>
      </c>
      <c r="N127" s="1602">
        <f>'3 pr-2'!$R164</f>
        <v>0</v>
      </c>
      <c r="O127" s="1604" t="str">
        <f t="shared" si="11"/>
        <v>–</v>
      </c>
      <c r="P127" s="1600">
        <f>'Sąrašų palyginimas su sutartimi'!P127</f>
        <v>24598.880000000001</v>
      </c>
      <c r="Q127" s="1602">
        <f>SUM('3 pr-2'!O164)</f>
        <v>24598.880000000001</v>
      </c>
      <c r="R127" s="1604">
        <f t="shared" si="12"/>
        <v>0</v>
      </c>
      <c r="S127" s="1600">
        <f>'Sąrašų palyginimas su sutartimi'!S127</f>
        <v>0</v>
      </c>
      <c r="T127" s="1602">
        <f>SUM('3 pr-2'!U164)</f>
        <v>0</v>
      </c>
      <c r="U127" s="1604" t="str">
        <f t="shared" si="13"/>
        <v>–</v>
      </c>
      <c r="V127" s="1600">
        <f>'Sąrašų palyginimas su sutartimi'!V127</f>
        <v>0</v>
      </c>
      <c r="W127" s="1602">
        <f>SUM('3 pr-2'!X164)</f>
        <v>0</v>
      </c>
      <c r="X127" s="1604" t="str">
        <f t="shared" si="14"/>
        <v>–</v>
      </c>
      <c r="Y127" s="1605" t="str">
        <f>'Sąrašų palyginimas su sutartimi'!Y127</f>
        <v>–</v>
      </c>
    </row>
    <row r="128" spans="1:25" ht="84.75" thickBot="1">
      <c r="A128" s="376">
        <f t="shared" si="15"/>
        <v>127</v>
      </c>
      <c r="B128" s="376" t="str">
        <f>'Sąrašų palyginimas su sutartimi'!B128</f>
        <v>Teikiamų paslaugų procesų tobulinimas ir asmenų aptarnavimo kokybės gerinimas Alytaus m. sav. administracijoje ir jai pavaldžiose įstaigose. I etapas</v>
      </c>
      <c r="C128" s="376" t="str">
        <f>'Sąrašų palyginimas su sutartimi'!C128</f>
        <v>10.1.3-ESFA-R-920</v>
      </c>
      <c r="D128" s="376" t="str">
        <f>'Sąrašų palyginimas su sutartimi'!D128</f>
        <v>Alytaus miesto savivaldybės administracija</v>
      </c>
      <c r="E128" s="376" t="str">
        <f>'Sąrašų palyginimas su sutartimi'!E128</f>
        <v>Alytaus m. sav.</v>
      </c>
      <c r="F128" s="376" t="str">
        <f>'Sąrašų palyginimas su sutartimi'!F128</f>
        <v>-</v>
      </c>
      <c r="G128" s="1600">
        <f>'Sąrašų palyginimas su sutartimi'!G128</f>
        <v>215693.16</v>
      </c>
      <c r="H128" s="1602">
        <f t="shared" si="8"/>
        <v>215693.16</v>
      </c>
      <c r="I128" s="1604">
        <f t="shared" si="9"/>
        <v>0</v>
      </c>
      <c r="J128" s="1600">
        <f>'Sąrašų palyginimas su sutartimi'!J128</f>
        <v>183339.18</v>
      </c>
      <c r="K128" s="1602">
        <f>'ES lėšos'!G127</f>
        <v>183339.18</v>
      </c>
      <c r="L128" s="1604">
        <f t="shared" si="10"/>
        <v>0</v>
      </c>
      <c r="M128" s="1600">
        <f>'Sąrašų palyginimas su sutartimi'!M128</f>
        <v>0</v>
      </c>
      <c r="N128" s="1602">
        <f>'3 pr-2'!$R165</f>
        <v>0</v>
      </c>
      <c r="O128" s="1604" t="str">
        <f t="shared" si="11"/>
        <v>–</v>
      </c>
      <c r="P128" s="1600">
        <f>'Sąrašų palyginimas su sutartimi'!P128</f>
        <v>32353.98</v>
      </c>
      <c r="Q128" s="1602">
        <f>SUM('3 pr-2'!O165)</f>
        <v>32353.98</v>
      </c>
      <c r="R128" s="1604">
        <f t="shared" si="12"/>
        <v>0</v>
      </c>
      <c r="S128" s="1600">
        <f>'Sąrašų palyginimas su sutartimi'!S128</f>
        <v>0</v>
      </c>
      <c r="T128" s="1602">
        <f>SUM('3 pr-2'!U165)</f>
        <v>0</v>
      </c>
      <c r="U128" s="1604" t="str">
        <f t="shared" si="13"/>
        <v>–</v>
      </c>
      <c r="V128" s="1600">
        <f>'Sąrašų palyginimas su sutartimi'!V128</f>
        <v>0</v>
      </c>
      <c r="W128" s="1602">
        <f>SUM('3 pr-2'!X165)</f>
        <v>0</v>
      </c>
      <c r="X128" s="1604" t="str">
        <f t="shared" si="14"/>
        <v>–</v>
      </c>
      <c r="Y128" s="1605" t="str">
        <f>'Sąrašų palyginimas su sutartimi'!Y128</f>
        <v>–</v>
      </c>
    </row>
    <row r="129" spans="1:25" ht="48.75" thickBot="1">
      <c r="A129" s="376">
        <f t="shared" si="15"/>
        <v>128</v>
      </c>
      <c r="B129" s="376" t="str">
        <f>'Sąrašų palyginimas su sutartimi'!B129</f>
        <v>Paslaugų teikimo ir asmenų aptarnavimo kokybės gerinimas Druskininkų savivaldybėje</v>
      </c>
      <c r="C129" s="376" t="str">
        <f>'Sąrašų palyginimas su sutartimi'!C129</f>
        <v>10.1.3-ESFA-R-920</v>
      </c>
      <c r="D129" s="376" t="str">
        <f>'Sąrašų palyginimas su sutartimi'!D129</f>
        <v>Druskininkų savivaldybės administracija</v>
      </c>
      <c r="E129" s="376" t="str">
        <f>'Sąrašų palyginimas su sutartimi'!E129</f>
        <v>Druskininkų sav.</v>
      </c>
      <c r="F129" s="376" t="str">
        <f>'Sąrašų palyginimas su sutartimi'!F129</f>
        <v>-</v>
      </c>
      <c r="G129" s="1600">
        <f>'Sąrašų palyginimas su sutartimi'!G129</f>
        <v>161741.96</v>
      </c>
      <c r="H129" s="1602">
        <f t="shared" si="8"/>
        <v>161741.96</v>
      </c>
      <c r="I129" s="1604">
        <f t="shared" si="9"/>
        <v>0</v>
      </c>
      <c r="J129" s="1600">
        <f>'Sąrašų palyginimas su sutartimi'!J129</f>
        <v>137349.79999999999</v>
      </c>
      <c r="K129" s="1602">
        <f>'ES lėšos'!G128</f>
        <v>137349.79999999999</v>
      </c>
      <c r="L129" s="1604">
        <f t="shared" si="10"/>
        <v>0</v>
      </c>
      <c r="M129" s="1600">
        <f>'Sąrašų palyginimas su sutartimi'!M129</f>
        <v>0</v>
      </c>
      <c r="N129" s="1602">
        <f>'3 pr-2'!$R166</f>
        <v>0</v>
      </c>
      <c r="O129" s="1604" t="str">
        <f t="shared" si="11"/>
        <v>–</v>
      </c>
      <c r="P129" s="1600">
        <f>'Sąrašų palyginimas su sutartimi'!P129</f>
        <v>24392.16</v>
      </c>
      <c r="Q129" s="1602">
        <f>SUM('3 pr-2'!O166)</f>
        <v>24392.16</v>
      </c>
      <c r="R129" s="1604">
        <f t="shared" si="12"/>
        <v>0</v>
      </c>
      <c r="S129" s="1600">
        <f>'Sąrašų palyginimas su sutartimi'!S129</f>
        <v>0</v>
      </c>
      <c r="T129" s="1602">
        <f>SUM('3 pr-2'!U166)</f>
        <v>0</v>
      </c>
      <c r="U129" s="1604" t="str">
        <f t="shared" si="13"/>
        <v>–</v>
      </c>
      <c r="V129" s="1600">
        <f>'Sąrašų palyginimas su sutartimi'!V129</f>
        <v>0</v>
      </c>
      <c r="W129" s="1602">
        <f>SUM('3 pr-2'!X166)</f>
        <v>0</v>
      </c>
      <c r="X129" s="1604" t="str">
        <f t="shared" si="14"/>
        <v>–</v>
      </c>
      <c r="Y129" s="1605" t="str">
        <f>'Sąrašų palyginimas su sutartimi'!Y129</f>
        <v>–</v>
      </c>
    </row>
    <row r="130" spans="1:25" ht="84.75" thickBot="1">
      <c r="A130" s="376">
        <f t="shared" si="15"/>
        <v>129</v>
      </c>
      <c r="B130" s="376" t="str">
        <f>'Sąrašų palyginimas su sutartimi'!B130</f>
        <v>Teikiamų paslaugų procesų tobulinimas ir asmenų aptarnavimo kokybės gerinimas Alytaus m. sav. administracijoje ir jai pavaldžiose įstaigose. II etapas</v>
      </c>
      <c r="C130" s="376" t="str">
        <f>'Sąrašų palyginimas su sutartimi'!C130</f>
        <v>10.1.3-ESFA-R-920</v>
      </c>
      <c r="D130" s="376" t="str">
        <f>'Sąrašų palyginimas su sutartimi'!D130</f>
        <v>Alytaus miesto savivaldybės administracija</v>
      </c>
      <c r="E130" s="376" t="str">
        <f>'Sąrašų palyginimas su sutartimi'!E130</f>
        <v>Alytaus m. sav.</v>
      </c>
      <c r="F130" s="376" t="str">
        <f>'Sąrašų palyginimas su sutartimi'!F130</f>
        <v>-</v>
      </c>
      <c r="G130" s="1600">
        <f>'Sąrašų palyginimas su sutartimi'!G130</f>
        <v>0</v>
      </c>
      <c r="H130" s="1602">
        <f t="shared" si="8"/>
        <v>200000</v>
      </c>
      <c r="I130" s="1604" t="str">
        <f t="shared" si="9"/>
        <v>–</v>
      </c>
      <c r="J130" s="1600">
        <f>'Sąrašų palyginimas su sutartimi'!J130</f>
        <v>0</v>
      </c>
      <c r="K130" s="1602">
        <f>'ES lėšos'!G129</f>
        <v>170000</v>
      </c>
      <c r="L130" s="1604" t="str">
        <f t="shared" si="10"/>
        <v>–</v>
      </c>
      <c r="M130" s="1600">
        <f>'Sąrašų palyginimas su sutartimi'!M130</f>
        <v>0</v>
      </c>
      <c r="N130" s="1602">
        <f>'3 pr-2'!$R167</f>
        <v>0</v>
      </c>
      <c r="O130" s="1604" t="str">
        <f t="shared" si="11"/>
        <v>–</v>
      </c>
      <c r="P130" s="1600">
        <f>'Sąrašų palyginimas su sutartimi'!P130</f>
        <v>0</v>
      </c>
      <c r="Q130" s="1602">
        <f>SUM('3 pr-2'!O167)</f>
        <v>30000</v>
      </c>
      <c r="R130" s="1604" t="str">
        <f t="shared" si="12"/>
        <v>–</v>
      </c>
      <c r="S130" s="1600">
        <f>'Sąrašų palyginimas su sutartimi'!S130</f>
        <v>0</v>
      </c>
      <c r="T130" s="1602">
        <f>SUM('3 pr-2'!U167)</f>
        <v>0</v>
      </c>
      <c r="U130" s="1604" t="str">
        <f t="shared" si="13"/>
        <v>–</v>
      </c>
      <c r="V130" s="1600">
        <f>'Sąrašų palyginimas su sutartimi'!V130</f>
        <v>0</v>
      </c>
      <c r="W130" s="1602">
        <f>SUM('3 pr-2'!X167)</f>
        <v>0</v>
      </c>
      <c r="X130" s="1604" t="str">
        <f t="shared" si="14"/>
        <v>–</v>
      </c>
      <c r="Y130" s="1605" t="str">
        <f>'Sąrašų palyginimas su sutartimi'!Y130</f>
        <v>–</v>
      </c>
    </row>
    <row r="131" spans="1:25" ht="36.75" thickBot="1">
      <c r="A131" s="376">
        <f t="shared" si="15"/>
        <v>130</v>
      </c>
      <c r="B131" s="376" t="str">
        <f>'Sąrašų palyginimas su sutartimi'!B131</f>
        <v>Komunalinių atliekų tvarkymo infrastruktūros plėtra Alytaus regione</v>
      </c>
      <c r="C131" s="376" t="str">
        <f>'Sąrašų palyginimas su sutartimi'!C131</f>
        <v>05.2.1-APVA-R-008</v>
      </c>
      <c r="D131" s="376" t="str">
        <f>'Sąrašų palyginimas su sutartimi'!D131</f>
        <v>Alytaus regiono atliekų tvarkymo centras</v>
      </c>
      <c r="E131" s="376" t="str">
        <f>'Sąrašų palyginimas su sutartimi'!E131</f>
        <v>Alytaus regionas</v>
      </c>
      <c r="F131" s="376" t="str">
        <f>'Sąrašų palyginimas su sutartimi'!F131</f>
        <v>-</v>
      </c>
      <c r="G131" s="1600">
        <f>'Sąrašų palyginimas su sutartimi'!G131</f>
        <v>4325492</v>
      </c>
      <c r="H131" s="1602">
        <f t="shared" si="8"/>
        <v>4130687.05</v>
      </c>
      <c r="I131" s="1604">
        <f t="shared" si="9"/>
        <v>194804.95000000019</v>
      </c>
      <c r="J131" s="1600">
        <f>'Sąrašų palyginimas su sutartimi'!J131</f>
        <v>3352807.77</v>
      </c>
      <c r="K131" s="1602">
        <f>'ES lėšos'!G130</f>
        <v>3352807.77</v>
      </c>
      <c r="L131" s="1604">
        <f t="shared" si="10"/>
        <v>0</v>
      </c>
      <c r="M131" s="1600">
        <f>'Sąrašų palyginimas su sutartimi'!M131</f>
        <v>0</v>
      </c>
      <c r="N131" s="1602">
        <f>'3 pr-2'!$R171</f>
        <v>0</v>
      </c>
      <c r="O131" s="1604" t="str">
        <f t="shared" si="11"/>
        <v>–</v>
      </c>
      <c r="P131" s="1600">
        <f>'Sąrašų palyginimas su sutartimi'!P131</f>
        <v>0</v>
      </c>
      <c r="Q131" s="1602">
        <f>SUM('3 pr-2'!O170)</f>
        <v>0</v>
      </c>
      <c r="R131" s="1604" t="str">
        <f t="shared" si="12"/>
        <v>–</v>
      </c>
      <c r="S131" s="1600">
        <f>'Sąrašų palyginimas su sutartimi'!S131</f>
        <v>972684.23</v>
      </c>
      <c r="T131" s="1602">
        <f>SUM('3 pr-2'!U171)</f>
        <v>777879.2799999998</v>
      </c>
      <c r="U131" s="1604">
        <f t="shared" si="13"/>
        <v>194804.95000000019</v>
      </c>
      <c r="V131" s="1600">
        <f>'Sąrašų palyginimas su sutartimi'!V131</f>
        <v>0</v>
      </c>
      <c r="W131" s="1602">
        <f>SUM('3 pr-2'!X171)</f>
        <v>0</v>
      </c>
      <c r="X131" s="1604" t="str">
        <f t="shared" si="14"/>
        <v>–</v>
      </c>
      <c r="Y131" s="1605" t="str">
        <f>'Sąrašų palyginimas su sutartimi'!Y131</f>
        <v>–</v>
      </c>
    </row>
    <row r="132" spans="1:25" ht="36.75" thickBot="1">
      <c r="A132" s="376">
        <f t="shared" si="15"/>
        <v>131</v>
      </c>
      <c r="B132" s="376" t="str">
        <f>'Sąrašų palyginimas su sutartimi'!B132</f>
        <v>Kraštovaizdžio formavimas ir tvarkymas Varėnos r. savivaldybėje (I etapas)</v>
      </c>
      <c r="C132" s="376" t="str">
        <f>'Sąrašų palyginimas su sutartimi'!C132</f>
        <v>05.5.1-APVA-R-019</v>
      </c>
      <c r="D132" s="376" t="str">
        <f>'Sąrašų palyginimas su sutartimi'!D132</f>
        <v>Varėnos rajono savivaldybės administracija</v>
      </c>
      <c r="E132" s="376" t="str">
        <f>'Sąrašų palyginimas su sutartimi'!E132</f>
        <v>Varėnos r. sav.</v>
      </c>
      <c r="F132" s="376" t="str">
        <f>'Sąrašų palyginimas su sutartimi'!F132</f>
        <v>-</v>
      </c>
      <c r="G132" s="1600">
        <f>'Sąrašų palyginimas su sutartimi'!G132</f>
        <v>296679.24</v>
      </c>
      <c r="H132" s="1602">
        <f t="shared" ref="H132:H140" si="16">SUM(K132+N132+Q132+T132+W132)</f>
        <v>309522</v>
      </c>
      <c r="I132" s="1604">
        <f t="shared" ref="I132:I140" si="17">IF(G132&gt;0,G132-H132,"–")</f>
        <v>-12842.760000000009</v>
      </c>
      <c r="J132" s="1600">
        <f>'Sąrašų palyginimas su sutartimi'!J132</f>
        <v>252177.35</v>
      </c>
      <c r="K132" s="1602">
        <f>'ES lėšos'!G131</f>
        <v>263093.7</v>
      </c>
      <c r="L132" s="1604">
        <f t="shared" ref="L132:L140" si="18">IF(J132&gt;0,J132-K132,"–")</f>
        <v>-10916.350000000006</v>
      </c>
      <c r="M132" s="1600">
        <f>'Sąrašų palyginimas su sutartimi'!M132</f>
        <v>0</v>
      </c>
      <c r="N132" s="1602">
        <f>'3 pr-2'!$R174</f>
        <v>0</v>
      </c>
      <c r="O132" s="1604" t="str">
        <f t="shared" ref="O132:O140" si="19">IF(M132&gt;0,M132-N132,"–")</f>
        <v>–</v>
      </c>
      <c r="P132" s="1600">
        <f>'Sąrašų palyginimas su sutartimi'!P132</f>
        <v>44501.89</v>
      </c>
      <c r="Q132" s="1602">
        <f>SUM('3 pr-2'!O174)</f>
        <v>46428.3</v>
      </c>
      <c r="R132" s="1604">
        <f t="shared" ref="R132:R140" si="20">IF(P132&gt;0,P132-Q132,"–")</f>
        <v>-1926.4100000000035</v>
      </c>
      <c r="S132" s="1600">
        <f>'Sąrašų palyginimas su sutartimi'!S132</f>
        <v>0</v>
      </c>
      <c r="T132" s="1602">
        <f>SUM('3 pr-2'!U174)</f>
        <v>0</v>
      </c>
      <c r="U132" s="1604" t="str">
        <f t="shared" ref="U132:U140" si="21">IF(S132&gt;0,S132-T132,"–")</f>
        <v>–</v>
      </c>
      <c r="V132" s="1600">
        <f>'Sąrašų palyginimas su sutartimi'!V132</f>
        <v>0</v>
      </c>
      <c r="W132" s="1602">
        <f>SUM('3 pr-2'!X174)</f>
        <v>0</v>
      </c>
      <c r="X132" s="1604" t="str">
        <f t="shared" ref="X132:X140" si="22">IF(V132&gt;0,V132-W132,"–")</f>
        <v>–</v>
      </c>
      <c r="Y132" s="1605" t="str">
        <f>'Sąrašų palyginimas su sutartimi'!Y132</f>
        <v>–</v>
      </c>
    </row>
    <row r="133" spans="1:25" ht="36.75" thickBot="1">
      <c r="A133" s="376">
        <f t="shared" ref="A133:A140" si="23">ROW(A132)</f>
        <v>132</v>
      </c>
      <c r="B133" s="376" t="str">
        <f>'Sąrašų palyginimas su sutartimi'!B133</f>
        <v>Kraštovaizdžio formavimas ir tvarkymas Varėnos r. savivaldybėje (II etapas)</v>
      </c>
      <c r="C133" s="376" t="str">
        <f>'Sąrašų palyginimas su sutartimi'!C133</f>
        <v>05.5.1-APVA-R-019</v>
      </c>
      <c r="D133" s="376" t="str">
        <f>'Sąrašų palyginimas su sutartimi'!D133</f>
        <v>Varėnos rajono savivaldybės administracija</v>
      </c>
      <c r="E133" s="376" t="str">
        <f>'Sąrašų palyginimas su sutartimi'!E133</f>
        <v>Varėnos r. sav.</v>
      </c>
      <c r="F133" s="376" t="str">
        <f>'Sąrašų palyginimas su sutartimi'!F133</f>
        <v>-</v>
      </c>
      <c r="G133" s="1600">
        <f>'Sąrašų palyginimas su sutartimi'!G133</f>
        <v>554211</v>
      </c>
      <c r="H133" s="1602">
        <f t="shared" si="16"/>
        <v>554211</v>
      </c>
      <c r="I133" s="1604">
        <f t="shared" si="17"/>
        <v>0</v>
      </c>
      <c r="J133" s="1600">
        <f>'Sąrašų palyginimas su sutartimi'!J133</f>
        <v>471079</v>
      </c>
      <c r="K133" s="1602">
        <f>'ES lėšos'!G132</f>
        <v>471079</v>
      </c>
      <c r="L133" s="1604">
        <f t="shared" si="18"/>
        <v>0</v>
      </c>
      <c r="M133" s="1600">
        <f>'Sąrašų palyginimas su sutartimi'!M133</f>
        <v>0</v>
      </c>
      <c r="N133" s="1602">
        <f>'3 pr-2'!$R175</f>
        <v>0</v>
      </c>
      <c r="O133" s="1604" t="str">
        <f t="shared" si="19"/>
        <v>–</v>
      </c>
      <c r="P133" s="1600">
        <f>'Sąrašų palyginimas su sutartimi'!P133</f>
        <v>83132</v>
      </c>
      <c r="Q133" s="1602">
        <f>SUM('3 pr-2'!O175)</f>
        <v>83132</v>
      </c>
      <c r="R133" s="1604">
        <f t="shared" si="20"/>
        <v>0</v>
      </c>
      <c r="S133" s="1600">
        <f>'Sąrašų palyginimas su sutartimi'!S133</f>
        <v>0</v>
      </c>
      <c r="T133" s="1602">
        <f>SUM('3 pr-2'!U175)</f>
        <v>0</v>
      </c>
      <c r="U133" s="1604" t="str">
        <f t="shared" si="21"/>
        <v>–</v>
      </c>
      <c r="V133" s="1600">
        <f>'Sąrašų palyginimas su sutartimi'!V133</f>
        <v>0</v>
      </c>
      <c r="W133" s="1602">
        <f>SUM('3 pr-2'!X175)</f>
        <v>0</v>
      </c>
      <c r="X133" s="1604" t="str">
        <f t="shared" si="22"/>
        <v>–</v>
      </c>
      <c r="Y133" s="1605" t="str">
        <f>'Sąrašų palyginimas su sutartimi'!Y133</f>
        <v>–</v>
      </c>
    </row>
    <row r="134" spans="1:25" ht="36.75" thickBot="1">
      <c r="A134" s="376">
        <f t="shared" si="23"/>
        <v>133</v>
      </c>
      <c r="B134" s="376" t="str">
        <f>'Sąrašų palyginimas su sutartimi'!B134</f>
        <v>Bešeimininkių apleistų pastatų ir įrenginių tvarkymas Alytaus rajono savivaldybėje</v>
      </c>
      <c r="C134" s="376" t="str">
        <f>'Sąrašų palyginimas su sutartimi'!C134</f>
        <v>05.5.1-APVA-R-019</v>
      </c>
      <c r="D134" s="376" t="str">
        <f>'Sąrašų palyginimas su sutartimi'!D134</f>
        <v>Alytaus rajono savivaldybės administracija</v>
      </c>
      <c r="E134" s="376" t="str">
        <f>'Sąrašų palyginimas su sutartimi'!E134</f>
        <v>Alytaus r. sav.</v>
      </c>
      <c r="F134" s="376" t="str">
        <f>'Sąrašų palyginimas su sutartimi'!F134</f>
        <v/>
      </c>
      <c r="G134" s="1600">
        <f>'Sąrašų palyginimas su sutartimi'!G134</f>
        <v>101765.7</v>
      </c>
      <c r="H134" s="1602">
        <f t="shared" si="16"/>
        <v>101765.7</v>
      </c>
      <c r="I134" s="1604">
        <f t="shared" si="17"/>
        <v>0</v>
      </c>
      <c r="J134" s="1600">
        <f>'Sąrašų palyginimas su sutartimi'!J134</f>
        <v>86500.800000000003</v>
      </c>
      <c r="K134" s="1602">
        <f>'ES lėšos'!G133</f>
        <v>86500.800000000003</v>
      </c>
      <c r="L134" s="1604">
        <f t="shared" si="18"/>
        <v>0</v>
      </c>
      <c r="M134" s="1600">
        <f>'Sąrašų palyginimas su sutartimi'!M134</f>
        <v>0</v>
      </c>
      <c r="N134" s="1602">
        <f>'3 pr-2'!$R176</f>
        <v>0</v>
      </c>
      <c r="O134" s="1604" t="str">
        <f t="shared" si="19"/>
        <v>–</v>
      </c>
      <c r="P134" s="1600">
        <f>'Sąrašų palyginimas su sutartimi'!P134</f>
        <v>15264.9</v>
      </c>
      <c r="Q134" s="1602">
        <f>SUM('3 pr-2'!O176)</f>
        <v>15264.9</v>
      </c>
      <c r="R134" s="1604">
        <f t="shared" si="20"/>
        <v>0</v>
      </c>
      <c r="S134" s="1600">
        <f>'Sąrašų palyginimas su sutartimi'!S134</f>
        <v>0</v>
      </c>
      <c r="T134" s="1602">
        <f>SUM('3 pr-2'!U176)</f>
        <v>0</v>
      </c>
      <c r="U134" s="1604" t="str">
        <f t="shared" si="21"/>
        <v>–</v>
      </c>
      <c r="V134" s="1600">
        <f>'Sąrašų palyginimas su sutartimi'!V134</f>
        <v>0</v>
      </c>
      <c r="W134" s="1602">
        <f>SUM('3 pr-2'!X176)</f>
        <v>0</v>
      </c>
      <c r="X134" s="1604" t="str">
        <f t="shared" si="22"/>
        <v>–</v>
      </c>
      <c r="Y134" s="1605" t="str">
        <f>'Sąrašų palyginimas su sutartimi'!Y134</f>
        <v>baigtas</v>
      </c>
    </row>
    <row r="135" spans="1:25" ht="60.75" thickBot="1">
      <c r="A135" s="376">
        <f t="shared" si="23"/>
        <v>134</v>
      </c>
      <c r="B135" s="376" t="str">
        <f>'Sąrašų palyginimas su sutartimi'!B135</f>
        <v>Alytaus miesto bendrojo plano korektūra zonuojant kraštovaizdžio struktūrą, nustatant reglamentus ir principus</v>
      </c>
      <c r="C135" s="376" t="str">
        <f>'Sąrašų palyginimas su sutartimi'!C135</f>
        <v>05.5.1-APVA-R-019</v>
      </c>
      <c r="D135" s="376" t="str">
        <f>'Sąrašų palyginimas su sutartimi'!D135</f>
        <v>Alytaus miesto savivaldybės administracija</v>
      </c>
      <c r="E135" s="376" t="str">
        <f>'Sąrašų palyginimas su sutartimi'!E135</f>
        <v>Alytaus m. sav.</v>
      </c>
      <c r="F135" s="376" t="str">
        <f>'Sąrašų palyginimas su sutartimi'!F135</f>
        <v/>
      </c>
      <c r="G135" s="1600">
        <f>'Sąrašų palyginimas su sutartimi'!G135</f>
        <v>3993</v>
      </c>
      <c r="H135" s="1602">
        <f t="shared" si="16"/>
        <v>3993</v>
      </c>
      <c r="I135" s="1604">
        <f t="shared" si="17"/>
        <v>0</v>
      </c>
      <c r="J135" s="1600">
        <f>'Sąrašų palyginimas su sutartimi'!J135</f>
        <v>3394.05</v>
      </c>
      <c r="K135" s="1602">
        <f>'ES lėšos'!G134</f>
        <v>3394.05</v>
      </c>
      <c r="L135" s="1604">
        <f t="shared" si="18"/>
        <v>0</v>
      </c>
      <c r="M135" s="1600">
        <f>'Sąrašų palyginimas su sutartimi'!M135</f>
        <v>0</v>
      </c>
      <c r="N135" s="1602">
        <f>'3 pr-2'!$R177</f>
        <v>0</v>
      </c>
      <c r="O135" s="1604" t="str">
        <f t="shared" si="19"/>
        <v>–</v>
      </c>
      <c r="P135" s="1600">
        <f>'Sąrašų palyginimas su sutartimi'!P135</f>
        <v>598.95000000000005</v>
      </c>
      <c r="Q135" s="1602">
        <f>SUM('3 pr-2'!O177)</f>
        <v>598.95000000000005</v>
      </c>
      <c r="R135" s="1604">
        <f t="shared" si="20"/>
        <v>0</v>
      </c>
      <c r="S135" s="1600">
        <f>'Sąrašų palyginimas su sutartimi'!S135</f>
        <v>0</v>
      </c>
      <c r="T135" s="1602">
        <f>SUM('3 pr-2'!U177)</f>
        <v>0</v>
      </c>
      <c r="U135" s="1604" t="str">
        <f t="shared" si="21"/>
        <v>–</v>
      </c>
      <c r="V135" s="1600">
        <f>'Sąrašų palyginimas su sutartimi'!V135</f>
        <v>0</v>
      </c>
      <c r="W135" s="1602">
        <f>SUM('3 pr-2'!X177)</f>
        <v>0</v>
      </c>
      <c r="X135" s="1604" t="str">
        <f t="shared" si="22"/>
        <v>–</v>
      </c>
      <c r="Y135" s="1605" t="str">
        <f>'Sąrašų palyginimas su sutartimi'!Y135</f>
        <v>–</v>
      </c>
    </row>
    <row r="136" spans="1:25" ht="48.75" thickBot="1">
      <c r="A136" s="376">
        <f t="shared" si="23"/>
        <v>135</v>
      </c>
      <c r="B136" s="376" t="str">
        <f>'Sąrašų palyginimas su sutartimi'!B136</f>
        <v>Bešeimininkių apleistų pastatų Druskininkų savivaldybės teritorijoje likvidavimas</v>
      </c>
      <c r="C136" s="376" t="str">
        <f>'Sąrašų palyginimas su sutartimi'!C136</f>
        <v>05.5.1-APVA-R-019</v>
      </c>
      <c r="D136" s="376" t="str">
        <f>'Sąrašų palyginimas su sutartimi'!D136</f>
        <v>Druskininkų savivaldybės administracija</v>
      </c>
      <c r="E136" s="376" t="str">
        <f>'Sąrašų palyginimas su sutartimi'!E136</f>
        <v>Druskininkų sav.</v>
      </c>
      <c r="F136" s="376" t="str">
        <f>'Sąrašų palyginimas su sutartimi'!F136</f>
        <v>-</v>
      </c>
      <c r="G136" s="1600">
        <f>'Sąrašų palyginimas su sutartimi'!G136</f>
        <v>121153.53</v>
      </c>
      <c r="H136" s="1602">
        <f t="shared" si="16"/>
        <v>121153.53</v>
      </c>
      <c r="I136" s="1604">
        <f t="shared" si="17"/>
        <v>0</v>
      </c>
      <c r="J136" s="1600">
        <f>'Sąrašų palyginimas su sutartimi'!J136</f>
        <v>102980.52</v>
      </c>
      <c r="K136" s="1602">
        <f>'ES lėšos'!G135</f>
        <v>102980.52</v>
      </c>
      <c r="L136" s="1604">
        <f t="shared" si="18"/>
        <v>0</v>
      </c>
      <c r="M136" s="1600">
        <f>'Sąrašų palyginimas su sutartimi'!M136</f>
        <v>0</v>
      </c>
      <c r="N136" s="1602">
        <f>'3 pr-2'!$R178</f>
        <v>0</v>
      </c>
      <c r="O136" s="1604" t="str">
        <f t="shared" si="19"/>
        <v>–</v>
      </c>
      <c r="P136" s="1600">
        <f>'Sąrašų palyginimas su sutartimi'!P136</f>
        <v>18173.009999999998</v>
      </c>
      <c r="Q136" s="1602">
        <f>SUM('3 pr-2'!O178)</f>
        <v>18173.009999999998</v>
      </c>
      <c r="R136" s="1604">
        <f t="shared" si="20"/>
        <v>0</v>
      </c>
      <c r="S136" s="1600">
        <f>'Sąrašų palyginimas su sutartimi'!S136</f>
        <v>0</v>
      </c>
      <c r="T136" s="1602">
        <f>SUM('3 pr-2'!U178)</f>
        <v>0</v>
      </c>
      <c r="U136" s="1604" t="str">
        <f t="shared" si="21"/>
        <v>–</v>
      </c>
      <c r="V136" s="1600">
        <f>'Sąrašų palyginimas su sutartimi'!V136</f>
        <v>0</v>
      </c>
      <c r="W136" s="1602">
        <f>SUM('3 pr-2'!X178)</f>
        <v>0</v>
      </c>
      <c r="X136" s="1604" t="str">
        <f t="shared" si="22"/>
        <v>–</v>
      </c>
      <c r="Y136" s="1605" t="str">
        <f>'Sąrašų palyginimas su sutartimi'!Y136</f>
        <v>baigtas</v>
      </c>
    </row>
    <row r="137" spans="1:25" ht="24.75" thickBot="1">
      <c r="A137" s="376">
        <f t="shared" si="23"/>
        <v>136</v>
      </c>
      <c r="B137" s="376" t="str">
        <f>'Sąrašų palyginimas su sutartimi'!B137</f>
        <v>Kraštovaizdžio formavimas Lazdijų rajono savivaldybėje</v>
      </c>
      <c r="C137" s="376" t="str">
        <f>'Sąrašų palyginimas su sutartimi'!C137</f>
        <v>05.5.1-APVA-R-019</v>
      </c>
      <c r="D137" s="376" t="str">
        <f>'Sąrašų palyginimas su sutartimi'!D137</f>
        <v>Lazdijų rajono savivaldybės administracija</v>
      </c>
      <c r="E137" s="376" t="str">
        <f>'Sąrašų palyginimas su sutartimi'!E137</f>
        <v>Lazdijų r. sav.</v>
      </c>
      <c r="F137" s="376" t="str">
        <f>'Sąrašų palyginimas su sutartimi'!F137</f>
        <v>-</v>
      </c>
      <c r="G137" s="1600">
        <f>'Sąrašų palyginimas su sutartimi'!G137</f>
        <v>442298.59</v>
      </c>
      <c r="H137" s="1602">
        <f t="shared" si="16"/>
        <v>442298.58999999997</v>
      </c>
      <c r="I137" s="1604">
        <f t="shared" si="17"/>
        <v>5.8207660913467407E-11</v>
      </c>
      <c r="J137" s="1600">
        <f>'Sąrašų palyginimas su sutartimi'!J137</f>
        <v>375953.81</v>
      </c>
      <c r="K137" s="1602">
        <f>'ES lėšos'!G136</f>
        <v>375953.81</v>
      </c>
      <c r="L137" s="1604">
        <f t="shared" si="18"/>
        <v>0</v>
      </c>
      <c r="M137" s="1600">
        <f>'Sąrašų palyginimas su sutartimi'!M137</f>
        <v>0</v>
      </c>
      <c r="N137" s="1602">
        <f>'3 pr-2'!$R179</f>
        <v>0</v>
      </c>
      <c r="O137" s="1604" t="str">
        <f t="shared" si="19"/>
        <v>–</v>
      </c>
      <c r="P137" s="1600">
        <f>'Sąrašų palyginimas su sutartimi'!P137</f>
        <v>66344.78</v>
      </c>
      <c r="Q137" s="1602">
        <f>SUM('3 pr-2'!O179)</f>
        <v>66344.78</v>
      </c>
      <c r="R137" s="1604">
        <f t="shared" si="20"/>
        <v>0</v>
      </c>
      <c r="S137" s="1600">
        <f>'Sąrašų palyginimas su sutartimi'!S137</f>
        <v>0</v>
      </c>
      <c r="T137" s="1602">
        <f>SUM('3 pr-2'!U179)</f>
        <v>0</v>
      </c>
      <c r="U137" s="1604" t="str">
        <f t="shared" si="21"/>
        <v>–</v>
      </c>
      <c r="V137" s="1600">
        <f>'Sąrašų palyginimas su sutartimi'!V137</f>
        <v>0</v>
      </c>
      <c r="W137" s="1602">
        <f>SUM('3 pr-2'!X179)</f>
        <v>0</v>
      </c>
      <c r="X137" s="1604" t="str">
        <f t="shared" si="22"/>
        <v>–</v>
      </c>
      <c r="Y137" s="1605" t="str">
        <f>'Sąrašų palyginimas su sutartimi'!Y137</f>
        <v>–</v>
      </c>
    </row>
    <row r="138" spans="1:25" ht="36.75" thickBot="1">
      <c r="A138" s="376">
        <f t="shared" si="23"/>
        <v>137</v>
      </c>
      <c r="B138" s="376" t="str">
        <f>'Sąrašų palyginimas su sutartimi'!B138</f>
        <v>Kraštovaizdžio formavimas Lazdijų rajono savivaldybėje (II etapas)</v>
      </c>
      <c r="C138" s="376" t="str">
        <f>'Sąrašų palyginimas su sutartimi'!C138</f>
        <v>05.5.1-APVA-R-019</v>
      </c>
      <c r="D138" s="376" t="str">
        <f>'Sąrašų palyginimas su sutartimi'!D138</f>
        <v>Lazdijų rajono savivaldybės administracija</v>
      </c>
      <c r="E138" s="376" t="str">
        <f>'Sąrašų palyginimas su sutartimi'!E138</f>
        <v>Lazdijų r. sav.</v>
      </c>
      <c r="F138" s="376" t="str">
        <f>'Sąrašų palyginimas su sutartimi'!F138</f>
        <v>-</v>
      </c>
      <c r="G138" s="1600">
        <f>'Sąrašų palyginimas su sutartimi'!G138</f>
        <v>149792</v>
      </c>
      <c r="H138" s="1602">
        <f t="shared" si="16"/>
        <v>149792.22</v>
      </c>
      <c r="I138" s="1604">
        <f t="shared" si="17"/>
        <v>-0.22000000000116415</v>
      </c>
      <c r="J138" s="1600">
        <f>'Sąrašų palyginimas su sutartimi'!J138</f>
        <v>127323</v>
      </c>
      <c r="K138" s="1602">
        <f>'ES lėšos'!G137</f>
        <v>127323.39</v>
      </c>
      <c r="L138" s="1604">
        <f t="shared" si="18"/>
        <v>-0.38999999999941792</v>
      </c>
      <c r="M138" s="1600">
        <f>'Sąrašų palyginimas su sutartimi'!M138</f>
        <v>0</v>
      </c>
      <c r="N138" s="1602">
        <f>'3 pr-2'!$R180</f>
        <v>0</v>
      </c>
      <c r="O138" s="1604" t="str">
        <f t="shared" si="19"/>
        <v>–</v>
      </c>
      <c r="P138" s="1600">
        <f>'Sąrašų palyginimas su sutartimi'!P138</f>
        <v>22469</v>
      </c>
      <c r="Q138" s="1602">
        <f>SUM('3 pr-2'!O180)</f>
        <v>22468.83</v>
      </c>
      <c r="R138" s="1604">
        <f t="shared" si="20"/>
        <v>0.16999999999825377</v>
      </c>
      <c r="S138" s="1600">
        <f>'Sąrašų palyginimas su sutartimi'!S138</f>
        <v>0</v>
      </c>
      <c r="T138" s="1602">
        <f>SUM('3 pr-2'!U180)</f>
        <v>0</v>
      </c>
      <c r="U138" s="1604" t="str">
        <f t="shared" si="21"/>
        <v>–</v>
      </c>
      <c r="V138" s="1600">
        <f>'Sąrašų palyginimas su sutartimi'!V138</f>
        <v>0</v>
      </c>
      <c r="W138" s="1602">
        <f>SUM('3 pr-2'!X180)</f>
        <v>0</v>
      </c>
      <c r="X138" s="1604" t="str">
        <f t="shared" si="22"/>
        <v>–</v>
      </c>
      <c r="Y138" s="1605" t="str">
        <f>'Sąrašų palyginimas su sutartimi'!Y138</f>
        <v>–</v>
      </c>
    </row>
    <row r="139" spans="1:25" ht="48.75" thickBot="1">
      <c r="A139" s="376">
        <f t="shared" si="23"/>
        <v>138</v>
      </c>
      <c r="B139" s="376" t="str">
        <f>'Sąrašų palyginimas su sutartimi'!B139</f>
        <v>Bešeimininkių apleistų pastatų ir įrenginių tvarkymas Alytaus rajono savivaldybėje (II etapas)</v>
      </c>
      <c r="C139" s="376" t="str">
        <f>'Sąrašų palyginimas su sutartimi'!C139</f>
        <v>05.5.1-APVA-R-019</v>
      </c>
      <c r="D139" s="376" t="str">
        <f>'Sąrašų palyginimas su sutartimi'!D139</f>
        <v>Alytaus rajono savivaldybės administracija</v>
      </c>
      <c r="E139" s="376" t="str">
        <f>'Sąrašų palyginimas su sutartimi'!E139</f>
        <v>Alytaus r. sav.</v>
      </c>
      <c r="F139" s="376" t="str">
        <f>'Sąrašų palyginimas su sutartimi'!F139</f>
        <v>-</v>
      </c>
      <c r="G139" s="1600">
        <f>'Sąrašų palyginimas su sutartimi'!G139</f>
        <v>736538</v>
      </c>
      <c r="H139" s="1602">
        <f t="shared" si="16"/>
        <v>736537.6470588235</v>
      </c>
      <c r="I139" s="1604">
        <f t="shared" si="17"/>
        <v>0.35294117650482804</v>
      </c>
      <c r="J139" s="1600">
        <f>'Sąrašų palyginimas su sutartimi'!J139</f>
        <v>626057</v>
      </c>
      <c r="K139" s="1602">
        <f>'ES lėšos'!G138</f>
        <v>626057</v>
      </c>
      <c r="L139" s="1604">
        <f t="shared" si="18"/>
        <v>0</v>
      </c>
      <c r="M139" s="1600">
        <f>'Sąrašų palyginimas su sutartimi'!M139</f>
        <v>0</v>
      </c>
      <c r="N139" s="1602">
        <f>'3 pr-2'!$R181</f>
        <v>0</v>
      </c>
      <c r="O139" s="1604" t="str">
        <f t="shared" si="19"/>
        <v>–</v>
      </c>
      <c r="P139" s="1600">
        <f>'Sąrašų palyginimas su sutartimi'!P139</f>
        <v>110481</v>
      </c>
      <c r="Q139" s="1602">
        <f>SUM('3 pr-2'!O181)</f>
        <v>110480.64705882352</v>
      </c>
      <c r="R139" s="1604">
        <f t="shared" si="20"/>
        <v>0.35294117647572421</v>
      </c>
      <c r="S139" s="1600">
        <f>'Sąrašų palyginimas su sutartimi'!S139</f>
        <v>0</v>
      </c>
      <c r="T139" s="1602">
        <f>SUM('3 pr-2'!U181)</f>
        <v>0</v>
      </c>
      <c r="U139" s="1604" t="str">
        <f t="shared" si="21"/>
        <v>–</v>
      </c>
      <c r="V139" s="1600">
        <f>'Sąrašų palyginimas su sutartimi'!V139</f>
        <v>0</v>
      </c>
      <c r="W139" s="1602">
        <f>SUM('3 pr-2'!X181)</f>
        <v>0</v>
      </c>
      <c r="X139" s="1604" t="str">
        <f t="shared" si="22"/>
        <v>–</v>
      </c>
      <c r="Y139" s="1605" t="str">
        <f>'Sąrašų palyginimas su sutartimi'!Y139</f>
        <v>–</v>
      </c>
    </row>
    <row r="140" spans="1:25" ht="36.75" thickBot="1">
      <c r="A140" s="376">
        <f t="shared" si="23"/>
        <v>139</v>
      </c>
      <c r="B140" s="376" t="str">
        <f>'Sąrašų palyginimas su sutartimi'!B140</f>
        <v>Etaloninio kraštovaizdžio formavimas Druskininkų savivaldybės pasienyje</v>
      </c>
      <c r="C140" s="376" t="str">
        <f>'Sąrašų palyginimas su sutartimi'!C140</f>
        <v>05.5.1-APVA-R-019</v>
      </c>
      <c r="D140" s="376" t="str">
        <f>'Sąrašų palyginimas su sutartimi'!D140</f>
        <v>Druskininkų savivaldybės administracija</v>
      </c>
      <c r="E140" s="376" t="str">
        <f>'Sąrašų palyginimas su sutartimi'!E140</f>
        <v>Druskininkų sav.</v>
      </c>
      <c r="F140" s="376" t="str">
        <f>'Sąrašų palyginimas su sutartimi'!F140</f>
        <v>-</v>
      </c>
      <c r="G140" s="1600">
        <f>'Sąrašų palyginimas su sutartimi'!G140</f>
        <v>0</v>
      </c>
      <c r="H140" s="1602">
        <f t="shared" si="16"/>
        <v>88524.094117647051</v>
      </c>
      <c r="I140" s="1604" t="str">
        <f t="shared" si="17"/>
        <v>–</v>
      </c>
      <c r="J140" s="1600">
        <f>'Sąrašų palyginimas su sutartimi'!J140</f>
        <v>0</v>
      </c>
      <c r="K140" s="1602">
        <f>'ES lėšos'!G139</f>
        <v>75245.48</v>
      </c>
      <c r="L140" s="1604" t="str">
        <f t="shared" si="18"/>
        <v>–</v>
      </c>
      <c r="M140" s="1600">
        <f>'Sąrašų palyginimas su sutartimi'!M140</f>
        <v>0</v>
      </c>
      <c r="N140" s="1602">
        <f>'3 pr-2'!$R182</f>
        <v>0</v>
      </c>
      <c r="O140" s="1604" t="str">
        <f t="shared" si="19"/>
        <v>–</v>
      </c>
      <c r="P140" s="1600">
        <f>'Sąrašų palyginimas su sutartimi'!P140</f>
        <v>0</v>
      </c>
      <c r="Q140" s="1602">
        <f>SUM('3 pr-2'!O182)</f>
        <v>13278.614117647059</v>
      </c>
      <c r="R140" s="1604" t="str">
        <f t="shared" si="20"/>
        <v>–</v>
      </c>
      <c r="S140" s="1600">
        <f>'Sąrašų palyginimas su sutartimi'!S140</f>
        <v>0</v>
      </c>
      <c r="T140" s="1602">
        <f>SUM('3 pr-2'!U182)</f>
        <v>0</v>
      </c>
      <c r="U140" s="1604" t="str">
        <f t="shared" si="21"/>
        <v>–</v>
      </c>
      <c r="V140" s="1600">
        <f>'Sąrašų palyginimas su sutartimi'!V140</f>
        <v>0</v>
      </c>
      <c r="W140" s="1602">
        <f>SUM('3 pr-2'!X182)</f>
        <v>0</v>
      </c>
      <c r="X140" s="1604" t="str">
        <f t="shared" si="22"/>
        <v>–</v>
      </c>
      <c r="Y140" s="1605" t="str">
        <f>'Sąrašų palyginimas su sutartimi'!Y140</f>
        <v>–</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Y140"/>
  <sheetViews>
    <sheetView workbookViewId="0">
      <pane ySplit="2520" activePane="bottomLeft"/>
      <selection sqref="A1:A1048576"/>
      <selection pane="bottomLeft" activeCell="L3" sqref="L3"/>
    </sheetView>
  </sheetViews>
  <sheetFormatPr defaultRowHeight="15"/>
  <cols>
    <col min="1" max="1" width="6" customWidth="1"/>
    <col min="2" max="2" width="22" customWidth="1"/>
    <col min="3" max="3" width="18.140625" customWidth="1"/>
    <col min="4" max="4" width="22.7109375" customWidth="1"/>
    <col min="5" max="5" width="26.85546875" hidden="1" customWidth="1"/>
    <col min="6" max="6" width="6.7109375" customWidth="1"/>
    <col min="7" max="25" width="11.7109375" customWidth="1"/>
  </cols>
  <sheetData>
    <row r="1" spans="1:25" ht="15.75" thickBot="1"/>
    <row r="2" spans="1:25" ht="95.25" thickBot="1">
      <c r="A2" s="1528" t="s">
        <v>1045</v>
      </c>
      <c r="B2" s="1528" t="s">
        <v>1794</v>
      </c>
      <c r="C2" s="1528" t="s">
        <v>1795</v>
      </c>
      <c r="D2" s="1528" t="s">
        <v>1772</v>
      </c>
      <c r="E2" s="1528" t="s">
        <v>1815</v>
      </c>
      <c r="F2" s="614" t="s">
        <v>167</v>
      </c>
      <c r="G2" s="1528" t="s">
        <v>4196</v>
      </c>
      <c r="H2" s="1601" t="s">
        <v>4204</v>
      </c>
      <c r="I2" s="1603" t="s">
        <v>4203</v>
      </c>
      <c r="J2" s="1528" t="s">
        <v>4197</v>
      </c>
      <c r="K2" s="1601" t="s">
        <v>4205</v>
      </c>
      <c r="L2" s="1603" t="s">
        <v>4206</v>
      </c>
      <c r="M2" s="614" t="s">
        <v>4198</v>
      </c>
      <c r="N2" s="1601" t="s">
        <v>4208</v>
      </c>
      <c r="O2" s="1603" t="s">
        <v>4207</v>
      </c>
      <c r="P2" s="614" t="s">
        <v>4200</v>
      </c>
      <c r="Q2" s="1601" t="s">
        <v>4209</v>
      </c>
      <c r="R2" s="1603" t="s">
        <v>4210</v>
      </c>
      <c r="S2" s="614" t="s">
        <v>4201</v>
      </c>
      <c r="T2" s="1601" t="s">
        <v>4213</v>
      </c>
      <c r="U2" s="1603" t="s">
        <v>4211</v>
      </c>
      <c r="V2" s="614" t="s">
        <v>4202</v>
      </c>
      <c r="W2" s="1601" t="s">
        <v>4214</v>
      </c>
      <c r="X2" s="1603" t="s">
        <v>61</v>
      </c>
      <c r="Y2" s="1605" t="s">
        <v>4212</v>
      </c>
    </row>
    <row r="3" spans="1:25" ht="48.75" thickBot="1">
      <c r="A3" s="376">
        <v>1</v>
      </c>
      <c r="B3" s="376" t="str">
        <f>CONCATENATE('ES lėšos'!B2)</f>
        <v xml:space="preserve">Druskininkų savivaldybės Viečiūnų seniūnijos Ilgio ir Raigardo seniūnaitijų kelių būklės gerinimas  </v>
      </c>
      <c r="C3" s="376" t="str">
        <f>CONCATENATE('ES lėšos'!C2)</f>
        <v xml:space="preserve">Pagrindinės paslaugos ir kaimų atnaujinimas kaimo vietovėse </v>
      </c>
      <c r="D3" s="376" t="str">
        <f>CONCATENATE('ES lėšos'!D2)</f>
        <v xml:space="preserve">Druskininkų savivaldybės administracija  </v>
      </c>
      <c r="E3" s="376" t="str">
        <f>CONCATENATE('ES lėšos'!E2)</f>
        <v>Druskininkų sav.</v>
      </c>
      <c r="F3" s="376" t="str">
        <f>CONCATENATE('ES lėšos'!F2)</f>
        <v>-</v>
      </c>
      <c r="G3" s="1600">
        <f>SUMIF(KPP!$D$7:$D$100,B3,KPP!$H$7:$H$100)</f>
        <v>250766</v>
      </c>
      <c r="H3" s="1602">
        <f>IF('ketv. 5 '!U9&gt;0,'ketv. 7 '!L8,'ketv. 6 '!L9)</f>
        <v>250766</v>
      </c>
      <c r="I3" s="1604">
        <f>IF(H3&gt;0,G3-H3,"–")</f>
        <v>0</v>
      </c>
      <c r="J3" s="1600">
        <f>SUMIF(KPP!D7:D700,B3,KPP!N7:N700)</f>
        <v>159115</v>
      </c>
      <c r="K3" s="1602">
        <f>IF('ketv. 5 '!U9&gt;0,'ketv. 7 '!AL8,'ketv. 6 '!AF9)</f>
        <v>159115</v>
      </c>
      <c r="L3" s="1604">
        <f>IF(K3&gt;0,J3-K3,"–")</f>
        <v>0</v>
      </c>
      <c r="M3" s="1600">
        <f>SUMIF(KPP!$D$7:$D$100,B3,KPP!$O$7:$O$100)</f>
        <v>0</v>
      </c>
      <c r="N3" s="1602">
        <f>IF('ketv. 5 '!U9&gt;0,'ketv. 7 '!W8,'ketv. 6 '!T9)</f>
        <v>0</v>
      </c>
      <c r="O3" s="1604" t="str">
        <f>IF(N3&gt;0,M3-N3,"–")</f>
        <v>–</v>
      </c>
      <c r="P3" s="1600">
        <f>SUMIF(KPP!$D$7:$D$100,B3,KPP!$P$7:$P$100)</f>
        <v>91651</v>
      </c>
      <c r="Q3" s="1602">
        <f>IF('ketv. 5 '!U9&gt;0,'ketv. 7 '!R8,'ketv. 6 '!P9)</f>
        <v>91651</v>
      </c>
      <c r="R3" s="1604">
        <f>IF(Q3&gt;0,P3-Q3,"–")</f>
        <v>0</v>
      </c>
      <c r="S3" s="1600">
        <f>SUMIF(KPP!$D$7:$D$100,B3,KPP!$T$7:$T$100)</f>
        <v>0</v>
      </c>
      <c r="T3" s="1602">
        <f>IF('ketv. 5 '!U9&gt;0,'ketv. 7 '!AB8,'ketv. 6 '!X9)</f>
        <v>0</v>
      </c>
      <c r="U3" s="1604" t="str">
        <f>IF(T3&gt;0,S3-T3,"–")</f>
        <v>–</v>
      </c>
      <c r="V3" s="1600">
        <f>SUMIF(KPP!$D$7:$D$100,B3,KPP!$R$7:$R$100)</f>
        <v>0</v>
      </c>
      <c r="W3" s="1602">
        <f>IF('ketv. 5 '!U9&gt;0,'ketv. 7 '!AG8,'ketv. 6 '!AB9)</f>
        <v>0</v>
      </c>
      <c r="X3" s="1604" t="str">
        <f>IF(W3&gt;0,V3-W3,"–")</f>
        <v>–</v>
      </c>
      <c r="Y3" s="1605" t="str">
        <f>IF('ketv. 5 '!U9&gt;0,"baigtas","–")</f>
        <v>–</v>
      </c>
    </row>
    <row r="4" spans="1:25" ht="48.75" thickBot="1">
      <c r="A4" s="376">
        <f>ROW(A3)</f>
        <v>3</v>
      </c>
      <c r="B4" s="376" t="str">
        <f>CONCATENATE('ES lėšos'!B3)</f>
        <v>Druskininkų savivaldybės Viečiūnų seniūnijos Ratnyčėlės seniūnaitijos kelių būklės gerinimas</v>
      </c>
      <c r="C4" s="376" t="str">
        <f>CONCATENATE('ES lėšos'!C3)</f>
        <v xml:space="preserve">Pagrindinės paslaugos ir kaimų atnaujinimas kaimo vietovėse </v>
      </c>
      <c r="D4" s="376" t="str">
        <f>CONCATENATE('ES lėšos'!D3)</f>
        <v xml:space="preserve">Druskininkų savivaldybės administracija  </v>
      </c>
      <c r="E4" s="376" t="str">
        <f>CONCATENATE('ES lėšos'!E3)</f>
        <v>Druskininkų sav.</v>
      </c>
      <c r="F4" s="376" t="str">
        <f>CONCATENATE('ES lėšos'!F3)</f>
        <v>-</v>
      </c>
      <c r="G4" s="1600">
        <f>SUMIF(KPP!$D$7:$D$100,B4,KPP!$H$7:$H$100)</f>
        <v>188039</v>
      </c>
      <c r="H4" s="1602">
        <f>IF('ketv. 5 '!U10&gt;0,'ketv. 7 '!L9,'ketv. 6 '!L10)</f>
        <v>188039</v>
      </c>
      <c r="I4" s="1604">
        <f t="shared" ref="I4:I67" si="0">IF(H4&gt;0,G4-H4,"–")</f>
        <v>0</v>
      </c>
      <c r="J4" s="1600">
        <f>SUMIF(KPP!D8:D701,B4,KPP!N8:N701)</f>
        <v>121071</v>
      </c>
      <c r="K4" s="1602">
        <f>IF('ketv. 5 '!U10&gt;0,'ketv. 7 '!AL9,'ketv. 6 '!AF10)</f>
        <v>121071</v>
      </c>
      <c r="L4" s="1604">
        <f t="shared" ref="L4:L67" si="1">IF(K4&gt;0,J4-K4,"–")</f>
        <v>0</v>
      </c>
      <c r="M4" s="1600">
        <f>SUMIF(KPP!$D$7:$D$100,B4,KPP!$O$7:$O$100)</f>
        <v>0</v>
      </c>
      <c r="N4" s="1602">
        <f>IF('ketv. 5 '!U10&gt;0,'ketv. 7 '!W9,'ketv. 6 '!T10)</f>
        <v>0</v>
      </c>
      <c r="O4" s="1604" t="str">
        <f t="shared" ref="O4:O67" si="2">IF(N4&gt;0,M4-N4,"–")</f>
        <v>–</v>
      </c>
      <c r="P4" s="1600">
        <f>SUMIF(KPP!$D$7:$D$100,B4,KPP!$P$7:$P$100)</f>
        <v>66968</v>
      </c>
      <c r="Q4" s="1602">
        <f>IF('ketv. 5 '!U10&gt;0,'ketv. 7 '!R9,'ketv. 6 '!P10)</f>
        <v>66968</v>
      </c>
      <c r="R4" s="1604">
        <f t="shared" ref="R4:R67" si="3">IF(Q4&gt;0,P4-Q4,"–")</f>
        <v>0</v>
      </c>
      <c r="S4" s="1600">
        <f>SUMIF(KPP!$D$7:$D$100,B4,KPP!$T$7:$T$100)</f>
        <v>0</v>
      </c>
      <c r="T4" s="1602">
        <f>IF('ketv. 5 '!U10&gt;0,'ketv. 7 '!AB9,'ketv. 6 '!X10)</f>
        <v>0</v>
      </c>
      <c r="U4" s="1604" t="str">
        <f t="shared" ref="U4:U67" si="4">IF(T4&gt;0,S4-T4,"–")</f>
        <v>–</v>
      </c>
      <c r="V4" s="1600">
        <f>SUMIF(KPP!$D$7:$D$100,B4,KPP!$R$7:$R$100)</f>
        <v>0</v>
      </c>
      <c r="W4" s="1602">
        <f>IF('ketv. 5 '!U10&gt;0,'ketv. 7 '!AG9,'ketv. 6 '!AB10)</f>
        <v>0</v>
      </c>
      <c r="X4" s="1604" t="str">
        <f t="shared" ref="X4:X67" si="5">IF(W4&gt;0,V4-W4,"–")</f>
        <v>–</v>
      </c>
      <c r="Y4" s="1605" t="str">
        <f>IF('ketv. 5 '!U10&gt;0,"baigtas","–")</f>
        <v>–</v>
      </c>
    </row>
    <row r="5" spans="1:25" ht="48.75" thickBot="1">
      <c r="A5" s="376">
        <f t="shared" ref="A5:A68" si="6">ROW(A4)</f>
        <v>4</v>
      </c>
      <c r="B5" s="376" t="str">
        <f>CONCATENATE('ES lėšos'!B4)</f>
        <v>Druskininkų savivaldybės Leipalingio seniūnijos Klonio seniūnaitijos kelių būklės gerinimas</v>
      </c>
      <c r="C5" s="376" t="str">
        <f>CONCATENATE('ES lėšos'!C4)</f>
        <v xml:space="preserve">Pagrindinės paslaugos ir kaimų atnaujinimas kaimo vietovėse </v>
      </c>
      <c r="D5" s="376" t="str">
        <f>CONCATENATE('ES lėšos'!D4)</f>
        <v xml:space="preserve">Druskininkų savivaldybės administracija  </v>
      </c>
      <c r="E5" s="376" t="str">
        <f>CONCATENATE('ES lėšos'!E4)</f>
        <v>Druskininkų sav.</v>
      </c>
      <c r="F5" s="376" t="str">
        <f>CONCATENATE('ES lėšos'!F4)</f>
        <v>-</v>
      </c>
      <c r="G5" s="1600">
        <f>SUMIF(KPP!$D$7:$D$100,B5,KPP!$H$7:$H$100)</f>
        <v>222319</v>
      </c>
      <c r="H5" s="1602">
        <f>IF('ketv. 5 '!U11&gt;0,'ketv. 7 '!L10,'ketv. 6 '!L11)</f>
        <v>222319</v>
      </c>
      <c r="I5" s="1604">
        <f t="shared" si="0"/>
        <v>0</v>
      </c>
      <c r="J5" s="1600">
        <f>SUMIF(KPP!D9:D702,B5,KPP!N9:N702)</f>
        <v>154446</v>
      </c>
      <c r="K5" s="1602">
        <f>IF('ketv. 5 '!U11&gt;0,'ketv. 7 '!AL10,'ketv. 6 '!AF11)</f>
        <v>154446</v>
      </c>
      <c r="L5" s="1604">
        <f t="shared" si="1"/>
        <v>0</v>
      </c>
      <c r="M5" s="1600">
        <f>SUMIF(KPP!$D$7:$D$100,B5,KPP!$O$7:$O$100)</f>
        <v>0</v>
      </c>
      <c r="N5" s="1602">
        <f>IF('ketv. 5 '!U11&gt;0,'ketv. 7 '!W10,'ketv. 6 '!T11)</f>
        <v>0</v>
      </c>
      <c r="O5" s="1604" t="str">
        <f t="shared" si="2"/>
        <v>–</v>
      </c>
      <c r="P5" s="1600">
        <f>SUMIF(KPP!$D$7:$D$100,B5,KPP!$P$7:$P$100)</f>
        <v>67873</v>
      </c>
      <c r="Q5" s="1602">
        <f>IF('ketv. 5 '!U11&gt;0,'ketv. 7 '!R10,'ketv. 6 '!P11)</f>
        <v>67873</v>
      </c>
      <c r="R5" s="1604">
        <f t="shared" si="3"/>
        <v>0</v>
      </c>
      <c r="S5" s="1600">
        <f>SUMIF(KPP!$D$7:$D$100,B5,KPP!$T$7:$T$100)</f>
        <v>0</v>
      </c>
      <c r="T5" s="1602">
        <f>IF('ketv. 5 '!U11&gt;0,'ketv. 7 '!AB10,'ketv. 6 '!X11)</f>
        <v>0</v>
      </c>
      <c r="U5" s="1604" t="str">
        <f t="shared" si="4"/>
        <v>–</v>
      </c>
      <c r="V5" s="1600">
        <f>SUMIF(KPP!$D$7:$D$100,B5,KPP!$R$7:$R$100)</f>
        <v>0</v>
      </c>
      <c r="W5" s="1602">
        <f>IF('ketv. 5 '!U11&gt;0,'ketv. 7 '!AG10,'ketv. 6 '!AB11)</f>
        <v>0</v>
      </c>
      <c r="X5" s="1604" t="str">
        <f t="shared" si="5"/>
        <v>–</v>
      </c>
      <c r="Y5" s="1605" t="str">
        <f>IF('ketv. 5 '!U11&gt;0,"baigtas","–")</f>
        <v>–</v>
      </c>
    </row>
    <row r="6" spans="1:25" ht="48.75" thickBot="1">
      <c r="A6" s="376">
        <f t="shared" si="6"/>
        <v>5</v>
      </c>
      <c r="B6" s="376" t="str">
        <f>CONCATENATE('ES lėšos'!B5)</f>
        <v>Rudaminos laisvalaikio salės pritaikymas bendruomenės poreikiams ir liaudies amatų plėtrai</v>
      </c>
      <c r="C6" s="376" t="str">
        <f>CONCATENATE('ES lėšos'!C5)</f>
        <v xml:space="preserve">Pagrindinės paslaugos ir kaimų atnaujinimas kaimo vietovėse </v>
      </c>
      <c r="D6" s="376" t="str">
        <f>CONCATENATE('ES lėšos'!D5)</f>
        <v>Viešoji įstaiga Lazdijų kultūros centras</v>
      </c>
      <c r="E6" s="376" t="str">
        <f>CONCATENATE('ES lėšos'!E5)</f>
        <v>Lazdijų r. sav.</v>
      </c>
      <c r="F6" s="376" t="str">
        <f>CONCATENATE('ES lėšos'!F5)</f>
        <v>-</v>
      </c>
      <c r="G6" s="1600">
        <f>SUMIF(KPP!$D$7:$D$100,B6,KPP!$H$7:$H$100)</f>
        <v>123160</v>
      </c>
      <c r="H6" s="1602">
        <f>IF('ketv. 5 '!U12&gt;0,'ketv. 7 '!L11,'ketv. 6 '!L12)</f>
        <v>123160</v>
      </c>
      <c r="I6" s="1604">
        <f t="shared" si="0"/>
        <v>0</v>
      </c>
      <c r="J6" s="1600">
        <f>SUMIF(KPP!D10:D703,B6,KPP!N10:N703)</f>
        <v>98528</v>
      </c>
      <c r="K6" s="1602">
        <f>IF('ketv. 5 '!U12&gt;0,'ketv. 7 '!AL11,'ketv. 6 '!AF12)</f>
        <v>98528</v>
      </c>
      <c r="L6" s="1604">
        <f t="shared" si="1"/>
        <v>0</v>
      </c>
      <c r="M6" s="1600">
        <f>SUMIF(KPP!$D$7:$D$100,B6,KPP!$O$7:$O$100)</f>
        <v>0</v>
      </c>
      <c r="N6" s="1602">
        <f>IF('ketv. 5 '!U12&gt;0,'ketv. 7 '!W11,'ketv. 6 '!T12)</f>
        <v>0</v>
      </c>
      <c r="O6" s="1604" t="str">
        <f t="shared" si="2"/>
        <v>–</v>
      </c>
      <c r="P6" s="1600">
        <f>SUMIF(KPP!$D$7:$D$100,B6,KPP!$P$7:$P$100)</f>
        <v>24632</v>
      </c>
      <c r="Q6" s="1602">
        <f>IF('ketv. 5 '!U12&gt;0,'ketv. 7 '!R11,'ketv. 6 '!P12)</f>
        <v>24632</v>
      </c>
      <c r="R6" s="1604">
        <f t="shared" si="3"/>
        <v>0</v>
      </c>
      <c r="S6" s="1600">
        <f>SUMIF(KPP!$D$7:$D$100,B6,KPP!$T$7:$T$100)</f>
        <v>0</v>
      </c>
      <c r="T6" s="1602">
        <f>IF('ketv. 5 '!U12&gt;0,'ketv. 7 '!AB11,'ketv. 6 '!X12)</f>
        <v>0</v>
      </c>
      <c r="U6" s="1604" t="str">
        <f t="shared" si="4"/>
        <v>–</v>
      </c>
      <c r="V6" s="1600">
        <f>SUMIF(KPP!$D$7:$D$100,B6,KPP!$R$7:$R$100)</f>
        <v>0</v>
      </c>
      <c r="W6" s="1602">
        <f>IF('ketv. 5 '!U12&gt;0,'ketv. 7 '!AG11,'ketv. 6 '!AB12)</f>
        <v>0</v>
      </c>
      <c r="X6" s="1604" t="str">
        <f t="shared" si="5"/>
        <v>–</v>
      </c>
      <c r="Y6" s="1605" t="str">
        <f>IF('ketv. 5 '!U12&gt;0,"baigtas","–")</f>
        <v>–</v>
      </c>
    </row>
    <row r="7" spans="1:25" ht="48.75" thickBot="1">
      <c r="A7" s="376">
        <f t="shared" si="6"/>
        <v>6</v>
      </c>
      <c r="B7" s="376" t="str">
        <f>CONCATENATE('ES lėšos'!B6)</f>
        <v>Druskininkų savivaldybės Leipalingio seniūnijos Bilso seniūnaitijos kelių būklės gerinimas</v>
      </c>
      <c r="C7" s="376" t="str">
        <f>CONCATENATE('ES lėšos'!C6)</f>
        <v xml:space="preserve">Pagrindinės paslaugos ir kaimų atnaujinimas kaimo vietovėse </v>
      </c>
      <c r="D7" s="376" t="str">
        <f>CONCATENATE('ES lėšos'!D6)</f>
        <v xml:space="preserve">Druskininkų savivaldybės administracija  </v>
      </c>
      <c r="E7" s="376" t="str">
        <f>CONCATENATE('ES lėšos'!E6)</f>
        <v>Druskininkų sav.</v>
      </c>
      <c r="F7" s="376" t="str">
        <f>CONCATENATE('ES lėšos'!F6)</f>
        <v>-</v>
      </c>
      <c r="G7" s="1600">
        <f>SUMIF(KPP!$D$7:$D$100,B7,KPP!$H$7:$H$100)</f>
        <v>265076</v>
      </c>
      <c r="H7" s="1602">
        <f>IF('ketv. 5 '!U13&gt;0,'ketv. 7 '!L12,'ketv. 6 '!L13)</f>
        <v>265076</v>
      </c>
      <c r="I7" s="1604">
        <f t="shared" si="0"/>
        <v>0</v>
      </c>
      <c r="J7" s="1600">
        <f>SUMIF(KPP!D11:D704,B7,KPP!N11:N704)</f>
        <v>128044</v>
      </c>
      <c r="K7" s="1602">
        <f>IF('ketv. 5 '!U13&gt;0,'ketv. 7 '!AL12,'ketv. 6 '!AF13)</f>
        <v>128044</v>
      </c>
      <c r="L7" s="1604">
        <f t="shared" si="1"/>
        <v>0</v>
      </c>
      <c r="M7" s="1600">
        <f>SUMIF(KPP!$D$7:$D$100,B7,KPP!$O$7:$O$100)</f>
        <v>0</v>
      </c>
      <c r="N7" s="1602">
        <f>IF('ketv. 5 '!U13&gt;0,'ketv. 7 '!W12,'ketv. 6 '!T13)</f>
        <v>0</v>
      </c>
      <c r="O7" s="1604" t="str">
        <f t="shared" si="2"/>
        <v>–</v>
      </c>
      <c r="P7" s="1600">
        <f>SUMIF(KPP!$D$7:$D$100,B7,KPP!$P$7:$P$100)</f>
        <v>137032</v>
      </c>
      <c r="Q7" s="1602">
        <f>IF('ketv. 5 '!U13&gt;0,'ketv. 7 '!R12,'ketv. 6 '!P13)</f>
        <v>137032</v>
      </c>
      <c r="R7" s="1604">
        <f t="shared" si="3"/>
        <v>0</v>
      </c>
      <c r="S7" s="1600">
        <f>SUMIF(KPP!$D$7:$D$100,B7,KPP!$T$7:$T$100)</f>
        <v>0</v>
      </c>
      <c r="T7" s="1602">
        <f>IF('ketv. 5 '!U13&gt;0,'ketv. 7 '!AB12,'ketv. 6 '!X13)</f>
        <v>0</v>
      </c>
      <c r="U7" s="1604" t="str">
        <f t="shared" si="4"/>
        <v>–</v>
      </c>
      <c r="V7" s="1600">
        <f>SUMIF(KPP!$D$7:$D$100,B7,KPP!$R$7:$R$100)</f>
        <v>0</v>
      </c>
      <c r="W7" s="1602">
        <f>IF('ketv. 5 '!U13&gt;0,'ketv. 7 '!AG12,'ketv. 6 '!AB13)</f>
        <v>0</v>
      </c>
      <c r="X7" s="1604" t="str">
        <f t="shared" si="5"/>
        <v>–</v>
      </c>
      <c r="Y7" s="1605" t="str">
        <f>IF('ketv. 5 '!U13&gt;0,"baigtas","–")</f>
        <v>–</v>
      </c>
    </row>
    <row r="8" spans="1:25" ht="36.75" thickBot="1">
      <c r="A8" s="376">
        <f t="shared" si="6"/>
        <v>7</v>
      </c>
      <c r="B8" s="376" t="str">
        <f>CONCATENATE('ES lėšos'!B7)</f>
        <v>Lazdijų rajono kaimų patrauklumo didinimas atnaujinant bibliotekas</v>
      </c>
      <c r="C8" s="376" t="str">
        <f>CONCATENATE('ES lėšos'!C7)</f>
        <v xml:space="preserve">Pagrindinės paslaugos ir kaimų atnaujinimas kaimo vietovėse </v>
      </c>
      <c r="D8" s="376" t="str">
        <f>CONCATENATE('ES lėšos'!D7)</f>
        <v xml:space="preserve">Biudžetinė įstaiga Lazdijų rajono savivaldybės viešoji biblioteka </v>
      </c>
      <c r="E8" s="376" t="str">
        <f>CONCATENATE('ES lėšos'!E7)</f>
        <v>Lazdijų r. sav.</v>
      </c>
      <c r="F8" s="376" t="str">
        <f>CONCATENATE('ES lėšos'!F7)</f>
        <v>-</v>
      </c>
      <c r="G8" s="1600">
        <f>SUMIF(KPP!$D$7:$D$100,B8,KPP!$H$7:$H$100)</f>
        <v>200999</v>
      </c>
      <c r="H8" s="1602">
        <f>IF('ketv. 5 '!U14&gt;0,'ketv. 7 '!L13,'ketv. 6 '!L14)</f>
        <v>200999</v>
      </c>
      <c r="I8" s="1604">
        <f t="shared" si="0"/>
        <v>0</v>
      </c>
      <c r="J8" s="1600">
        <f>SUMIF(KPP!D12:D705,B8,KPP!N12:N705)</f>
        <v>159928</v>
      </c>
      <c r="K8" s="1602">
        <f>IF('ketv. 5 '!U14&gt;0,'ketv. 7 '!AL13,'ketv. 6 '!AF14)</f>
        <v>159928</v>
      </c>
      <c r="L8" s="1604">
        <f t="shared" si="1"/>
        <v>0</v>
      </c>
      <c r="M8" s="1600">
        <f>SUMIF(KPP!$D$7:$D$100,B8,KPP!$O$7:$O$100)</f>
        <v>0</v>
      </c>
      <c r="N8" s="1602">
        <f>IF('ketv. 5 '!U14&gt;0,'ketv. 7 '!W13,'ketv. 6 '!T14)</f>
        <v>0</v>
      </c>
      <c r="O8" s="1604" t="str">
        <f t="shared" si="2"/>
        <v>–</v>
      </c>
      <c r="P8" s="1600">
        <f>SUMIF(KPP!$D$7:$D$100,B8,KPP!$P$7:$P$100)</f>
        <v>41071</v>
      </c>
      <c r="Q8" s="1602">
        <f>IF('ketv. 5 '!U14&gt;0,'ketv. 7 '!R13,'ketv. 6 '!P14)</f>
        <v>41071</v>
      </c>
      <c r="R8" s="1604">
        <f t="shared" si="3"/>
        <v>0</v>
      </c>
      <c r="S8" s="1600">
        <f>SUMIF(KPP!$D$7:$D$100,B8,KPP!$T$7:$T$100)</f>
        <v>0</v>
      </c>
      <c r="T8" s="1602">
        <f>IF('ketv. 5 '!U14&gt;0,'ketv. 7 '!AB13,'ketv. 6 '!X14)</f>
        <v>0</v>
      </c>
      <c r="U8" s="1604" t="str">
        <f t="shared" si="4"/>
        <v>–</v>
      </c>
      <c r="V8" s="1600">
        <f>SUMIF(KPP!$D$7:$D$100,B8,KPP!$R$7:$R$100)</f>
        <v>0</v>
      </c>
      <c r="W8" s="1602">
        <f>IF('ketv. 5 '!U14&gt;0,'ketv. 7 '!AG13,'ketv. 6 '!AB14)</f>
        <v>0</v>
      </c>
      <c r="X8" s="1604" t="str">
        <f t="shared" si="5"/>
        <v>–</v>
      </c>
      <c r="Y8" s="1605" t="str">
        <f>IF('ketv. 5 '!U14&gt;0,"baigtas","–")</f>
        <v>–</v>
      </c>
    </row>
    <row r="9" spans="1:25" ht="48.75" thickBot="1">
      <c r="A9" s="376">
        <f t="shared" si="6"/>
        <v>8</v>
      </c>
      <c r="B9" s="376" t="str">
        <f>CONCATENATE('ES lėšos'!B8)</f>
        <v>Alytaus rajono Miroslavo kaimo multifunkcinės sporto aikštės įrengimas ir gatvių bei šaligatvių rekonstrukcija</v>
      </c>
      <c r="C9" s="376" t="str">
        <f>CONCATENATE('ES lėšos'!C8)</f>
        <v xml:space="preserve">Pagrindinės paslaugos ir kaimų atnaujinimas kaimo vietovėse </v>
      </c>
      <c r="D9" s="376" t="str">
        <f>CONCATENATE('ES lėšos'!D8)</f>
        <v>Alytaus rajono savivaldybės administracija</v>
      </c>
      <c r="E9" s="376" t="str">
        <f>CONCATENATE('ES lėšos'!E8)</f>
        <v>Alytaus r. sav.</v>
      </c>
      <c r="F9" s="376" t="str">
        <f>CONCATENATE('ES lėšos'!F8)</f>
        <v>-</v>
      </c>
      <c r="G9" s="1600">
        <f>SUMIF(KPP!$D$7:$D$100,B9,KPP!$H$7:$H$100)</f>
        <v>252211.6</v>
      </c>
      <c r="H9" s="1602">
        <f>IF('ketv. 5 '!U15&gt;0,'ketv. 7 '!L14,'ketv. 6 '!L15)</f>
        <v>252211.6</v>
      </c>
      <c r="I9" s="1604">
        <f t="shared" si="0"/>
        <v>0</v>
      </c>
      <c r="J9" s="1600">
        <f>SUMIF(KPP!D13:D706,B9,KPP!N13:N706)</f>
        <v>200000</v>
      </c>
      <c r="K9" s="1602">
        <f>IF('ketv. 5 '!U15&gt;0,'ketv. 7 '!AL14,'ketv. 6 '!AF15)</f>
        <v>200000</v>
      </c>
      <c r="L9" s="1604">
        <f t="shared" si="1"/>
        <v>0</v>
      </c>
      <c r="M9" s="1600">
        <f>SUMIF(KPP!$D$7:$D$100,B9,KPP!$O$7:$O$100)</f>
        <v>0</v>
      </c>
      <c r="N9" s="1602">
        <f>IF('ketv. 5 '!U15&gt;0,'ketv. 7 '!W14,'ketv. 6 '!T15)</f>
        <v>0</v>
      </c>
      <c r="O9" s="1604" t="str">
        <f t="shared" si="2"/>
        <v>–</v>
      </c>
      <c r="P9" s="1600">
        <f>SUMIF(KPP!$D$7:$D$100,B9,KPP!$P$7:$P$100)</f>
        <v>52211.6</v>
      </c>
      <c r="Q9" s="1602">
        <f>IF('ketv. 5 '!U15&gt;0,'ketv. 7 '!R14,'ketv. 6 '!P15)</f>
        <v>52211.6</v>
      </c>
      <c r="R9" s="1604">
        <f t="shared" si="3"/>
        <v>0</v>
      </c>
      <c r="S9" s="1600">
        <f>SUMIF(KPP!$D$7:$D$100,B9,KPP!$T$7:$T$100)</f>
        <v>0</v>
      </c>
      <c r="T9" s="1602">
        <f>IF('ketv. 5 '!U15&gt;0,'ketv. 7 '!AB14,'ketv. 6 '!X15)</f>
        <v>0</v>
      </c>
      <c r="U9" s="1604" t="str">
        <f t="shared" si="4"/>
        <v>–</v>
      </c>
      <c r="V9" s="1600">
        <f>SUMIF(KPP!$D$7:$D$100,B9,KPP!$R$7:$R$100)</f>
        <v>0</v>
      </c>
      <c r="W9" s="1602">
        <f>IF('ketv. 5 '!U15&gt;0,'ketv. 7 '!AG14,'ketv. 6 '!AB15)</f>
        <v>0</v>
      </c>
      <c r="X9" s="1604" t="str">
        <f t="shared" si="5"/>
        <v>–</v>
      </c>
      <c r="Y9" s="1605" t="str">
        <f>IF('ketv. 5 '!U15&gt;0,"baigtas","–")</f>
        <v>–</v>
      </c>
    </row>
    <row r="10" spans="1:25" ht="48.75" thickBot="1">
      <c r="A10" s="376">
        <f t="shared" si="6"/>
        <v>9</v>
      </c>
      <c r="B10" s="376" t="str">
        <f>CONCATENATE('ES lėšos'!B9)</f>
        <v>Alytaus rajono Luksnėnų kaimo multifunkcinės sporto aikštės įrengimas ir gatvių rekonstrukcija</v>
      </c>
      <c r="C10" s="376" t="str">
        <f>CONCATENATE('ES lėšos'!C9)</f>
        <v xml:space="preserve">Pagrindinės paslaugos ir kaimų atnaujinimas kaimo vietovėse </v>
      </c>
      <c r="D10" s="376" t="str">
        <f>CONCATENATE('ES lėšos'!D9)</f>
        <v>Alytaus rajono savivaldybės administracija</v>
      </c>
      <c r="E10" s="376" t="str">
        <f>CONCATENATE('ES lėšos'!E9)</f>
        <v>Alytaus r. sav.</v>
      </c>
      <c r="F10" s="376" t="str">
        <f>CONCATENATE('ES lėšos'!F9)</f>
        <v>-</v>
      </c>
      <c r="G10" s="1600">
        <f>SUMIF(KPP!$D$7:$D$100,B10,KPP!$H$7:$H$100)</f>
        <v>250309.29</v>
      </c>
      <c r="H10" s="1602">
        <f>IF('ketv. 5 '!U16&gt;0,'ketv. 7 '!L15,'ketv. 6 '!L16)</f>
        <v>250309.29</v>
      </c>
      <c r="I10" s="1604">
        <f t="shared" si="0"/>
        <v>0</v>
      </c>
      <c r="J10" s="1600">
        <f>SUMIF(KPP!D14:D707,B10,KPP!N14:N707)</f>
        <v>200000</v>
      </c>
      <c r="K10" s="1602">
        <f>IF('ketv. 5 '!U16&gt;0,'ketv. 7 '!AL15,'ketv. 6 '!AF16)</f>
        <v>200000</v>
      </c>
      <c r="L10" s="1604">
        <f t="shared" si="1"/>
        <v>0</v>
      </c>
      <c r="M10" s="1600">
        <f>SUMIF(KPP!$D$7:$D$100,B10,KPP!$O$7:$O$100)</f>
        <v>0</v>
      </c>
      <c r="N10" s="1602">
        <f>IF('ketv. 5 '!U16&gt;0,'ketv. 7 '!W15,'ketv. 6 '!T16)</f>
        <v>0</v>
      </c>
      <c r="O10" s="1604" t="str">
        <f t="shared" si="2"/>
        <v>–</v>
      </c>
      <c r="P10" s="1600">
        <f>SUMIF(KPP!$D$7:$D$100,B10,KPP!$P$7:$P$100)</f>
        <v>50309.29</v>
      </c>
      <c r="Q10" s="1602">
        <f>IF('ketv. 5 '!U16&gt;0,'ketv. 7 '!R15,'ketv. 6 '!P16)</f>
        <v>50309.29</v>
      </c>
      <c r="R10" s="1604">
        <f t="shared" si="3"/>
        <v>0</v>
      </c>
      <c r="S10" s="1600">
        <f>SUMIF(KPP!$D$7:$D$100,B10,KPP!$T$7:$T$100)</f>
        <v>0</v>
      </c>
      <c r="T10" s="1602">
        <f>IF('ketv. 5 '!U16&gt;0,'ketv. 7 '!AB15,'ketv. 6 '!X16)</f>
        <v>0</v>
      </c>
      <c r="U10" s="1604" t="str">
        <f t="shared" si="4"/>
        <v>–</v>
      </c>
      <c r="V10" s="1600">
        <f>SUMIF(KPP!$D$7:$D$100,B10,KPP!$R$7:$R$100)</f>
        <v>0</v>
      </c>
      <c r="W10" s="1602">
        <f>IF('ketv. 5 '!U16&gt;0,'ketv. 7 '!AG15,'ketv. 6 '!AB16)</f>
        <v>0</v>
      </c>
      <c r="X10" s="1604" t="str">
        <f t="shared" si="5"/>
        <v>–</v>
      </c>
      <c r="Y10" s="1605" t="str">
        <f>IF('ketv. 5 '!U16&gt;0,"baigtas","–")</f>
        <v>–</v>
      </c>
    </row>
    <row r="11" spans="1:25" ht="36.75" thickBot="1">
      <c r="A11" s="376">
        <f t="shared" si="6"/>
        <v>10</v>
      </c>
      <c r="B11" s="376" t="str">
        <f>CONCATENATE('ES lėšos'!B10)</f>
        <v>Krikštonių laisvalaikio salės pritaikymas bendruomenės poreikiams</v>
      </c>
      <c r="C11" s="376" t="str">
        <f>CONCATENATE('ES lėšos'!C10)</f>
        <v xml:space="preserve">Pagrindinės paslaugos ir kaimų atnaujinimas kaimo vietovėse </v>
      </c>
      <c r="D11" s="376" t="str">
        <f>CONCATENATE('ES lėšos'!D10)</f>
        <v xml:space="preserve">Viešoji įstaiga Lazdijų kultūros centras </v>
      </c>
      <c r="E11" s="376" t="str">
        <f>CONCATENATE('ES lėšos'!E10)</f>
        <v>Lazdijų r. sav.</v>
      </c>
      <c r="F11" s="376" t="str">
        <f>CONCATENATE('ES lėšos'!F10)</f>
        <v>-</v>
      </c>
      <c r="G11" s="1600">
        <f>SUMIF(KPP!$D$7:$D$100,B11,KPP!$H$7:$H$100)</f>
        <v>250000</v>
      </c>
      <c r="H11" s="1602">
        <f>IF('ketv. 5 '!U17&gt;0,'ketv. 7 '!L16,'ketv. 6 '!L17)</f>
        <v>250000</v>
      </c>
      <c r="I11" s="1604">
        <f t="shared" si="0"/>
        <v>0</v>
      </c>
      <c r="J11" s="1600">
        <f>SUMIF(KPP!D15:D708,B11,KPP!N15:N708)</f>
        <v>200000</v>
      </c>
      <c r="K11" s="1602">
        <f>IF('ketv. 5 '!U17&gt;0,'ketv. 7 '!AL16,'ketv. 6 '!AF17)</f>
        <v>200000</v>
      </c>
      <c r="L11" s="1604">
        <f t="shared" si="1"/>
        <v>0</v>
      </c>
      <c r="M11" s="1600">
        <f>SUMIF(KPP!$D$7:$D$100,B11,KPP!$O$7:$O$100)</f>
        <v>0</v>
      </c>
      <c r="N11" s="1602">
        <f>IF('ketv. 5 '!U17&gt;0,'ketv. 7 '!W16,'ketv. 6 '!T17)</f>
        <v>0</v>
      </c>
      <c r="O11" s="1604" t="str">
        <f t="shared" si="2"/>
        <v>–</v>
      </c>
      <c r="P11" s="1600">
        <f>SUMIF(KPP!$D$7:$D$100,B11,KPP!$P$7:$P$100)</f>
        <v>50000</v>
      </c>
      <c r="Q11" s="1602">
        <f>IF('ketv. 5 '!U17&gt;0,'ketv. 7 '!R16,'ketv. 6 '!P17)</f>
        <v>50000</v>
      </c>
      <c r="R11" s="1604">
        <f t="shared" si="3"/>
        <v>0</v>
      </c>
      <c r="S11" s="1600">
        <f>SUMIF(KPP!$D$7:$D$100,B11,KPP!$T$7:$T$100)</f>
        <v>0</v>
      </c>
      <c r="T11" s="1602">
        <f>IF('ketv. 5 '!U17&gt;0,'ketv. 7 '!AB16,'ketv. 6 '!X17)</f>
        <v>0</v>
      </c>
      <c r="U11" s="1604" t="str">
        <f t="shared" si="4"/>
        <v>–</v>
      </c>
      <c r="V11" s="1600">
        <f>SUMIF(KPP!$D$7:$D$100,B11,KPP!$R$7:$R$100)</f>
        <v>0</v>
      </c>
      <c r="W11" s="1602">
        <f>IF('ketv. 5 '!U17&gt;0,'ketv. 7 '!AG16,'ketv. 6 '!AB17)</f>
        <v>0</v>
      </c>
      <c r="X11" s="1604" t="str">
        <f t="shared" si="5"/>
        <v>–</v>
      </c>
      <c r="Y11" s="1605" t="str">
        <f>IF('ketv. 5 '!U17&gt;0,"baigtas","–")</f>
        <v>–</v>
      </c>
    </row>
    <row r="12" spans="1:25" ht="36.75" thickBot="1">
      <c r="A12" s="376">
        <f t="shared" si="6"/>
        <v>11</v>
      </c>
      <c r="B12" s="376" t="str">
        <f>CONCATENATE('ES lėšos'!B11)</f>
        <v>Kučiūnų laisvalaikio salės pritaikymas bendruomenės poreikiams</v>
      </c>
      <c r="C12" s="376" t="str">
        <f>CONCATENATE('ES lėšos'!C11)</f>
        <v xml:space="preserve">Pagrindinės paslaugos ir kaimų atnaujinimas kaimo vietovėse </v>
      </c>
      <c r="D12" s="376" t="str">
        <f>CONCATENATE('ES lėšos'!D11)</f>
        <v xml:space="preserve">Viešoji įstaiga Lazdijų kultūros centras </v>
      </c>
      <c r="E12" s="376" t="str">
        <f>CONCATENATE('ES lėšos'!E11)</f>
        <v>Lazdijų r. sav.</v>
      </c>
      <c r="F12" s="376" t="str">
        <f>CONCATENATE('ES lėšos'!F11)</f>
        <v>-</v>
      </c>
      <c r="G12" s="1600">
        <f>SUMIF(KPP!$D$7:$D$100,B12,KPP!$H$7:$H$100)</f>
        <v>250000</v>
      </c>
      <c r="H12" s="1602">
        <f>IF('ketv. 5 '!U18&gt;0,'ketv. 7 '!L17,'ketv. 6 '!L18)</f>
        <v>250000</v>
      </c>
      <c r="I12" s="1604">
        <f t="shared" si="0"/>
        <v>0</v>
      </c>
      <c r="J12" s="1600">
        <f>SUMIF(KPP!D16:D709,B12,KPP!N16:N709)</f>
        <v>187540</v>
      </c>
      <c r="K12" s="1602">
        <f>IF('ketv. 5 '!U18&gt;0,'ketv. 7 '!AL17,'ketv. 6 '!AF18)</f>
        <v>187540</v>
      </c>
      <c r="L12" s="1604">
        <f t="shared" si="1"/>
        <v>0</v>
      </c>
      <c r="M12" s="1600">
        <f>SUMIF(KPP!$D$7:$D$100,B12,KPP!$O$7:$O$100)</f>
        <v>0</v>
      </c>
      <c r="N12" s="1602">
        <f>IF('ketv. 5 '!U18&gt;0,'ketv. 7 '!W17,'ketv. 6 '!T18)</f>
        <v>0</v>
      </c>
      <c r="O12" s="1604" t="str">
        <f t="shared" si="2"/>
        <v>–</v>
      </c>
      <c r="P12" s="1600">
        <f>SUMIF(KPP!$D$7:$D$100,B12,KPP!$P$7:$P$100)</f>
        <v>62460</v>
      </c>
      <c r="Q12" s="1602">
        <f>IF('ketv. 5 '!U18&gt;0,'ketv. 7 '!R17,'ketv. 6 '!P18)</f>
        <v>62460</v>
      </c>
      <c r="R12" s="1604">
        <f t="shared" si="3"/>
        <v>0</v>
      </c>
      <c r="S12" s="1600">
        <f>SUMIF(KPP!$D$7:$D$100,B12,KPP!$T$7:$T$100)</f>
        <v>0</v>
      </c>
      <c r="T12" s="1602">
        <f>IF('ketv. 5 '!U18&gt;0,'ketv. 7 '!AB17,'ketv. 6 '!X18)</f>
        <v>0</v>
      </c>
      <c r="U12" s="1604" t="str">
        <f t="shared" si="4"/>
        <v>–</v>
      </c>
      <c r="V12" s="1600">
        <f>SUMIF(KPP!$D$7:$D$100,B12,KPP!$R$7:$R$100)</f>
        <v>0</v>
      </c>
      <c r="W12" s="1602">
        <f>IF('ketv. 5 '!U18&gt;0,'ketv. 7 '!AG17,'ketv. 6 '!AB18)</f>
        <v>0</v>
      </c>
      <c r="X12" s="1604" t="str">
        <f t="shared" si="5"/>
        <v>–</v>
      </c>
      <c r="Y12" s="1605" t="str">
        <f>IF('ketv. 5 '!U18&gt;0,"baigtas","–")</f>
        <v>–</v>
      </c>
    </row>
    <row r="13" spans="1:25" ht="48.75" thickBot="1">
      <c r="A13" s="376">
        <f t="shared" si="6"/>
        <v>12</v>
      </c>
      <c r="B13" s="376" t="str">
        <f>CONCATENATE('ES lėšos'!B12)</f>
        <v>Laisvalaikio infrastruktūros sukūrimas Lazdijų rajono kaimo gyvenamosiose vietovėse</v>
      </c>
      <c r="C13" s="376" t="str">
        <f>CONCATENATE('ES lėšos'!C12)</f>
        <v xml:space="preserve">Pagrindinės paslaugos ir kaimų atnaujinimas kaimo vietovėse </v>
      </c>
      <c r="D13" s="376" t="str">
        <f>CONCATENATE('ES lėšos'!D12)</f>
        <v>Lazdijų rajono savivaldybės administracija</v>
      </c>
      <c r="E13" s="376" t="str">
        <f>CONCATENATE('ES lėšos'!E12)</f>
        <v>Lazdijų r. sav.</v>
      </c>
      <c r="F13" s="376" t="str">
        <f>CONCATENATE('ES lėšos'!F12)</f>
        <v>-</v>
      </c>
      <c r="G13" s="1600">
        <f>SUMIF(KPP!$D$7:$D$100,B13,KPP!$H$7:$H$100)</f>
        <v>125000</v>
      </c>
      <c r="H13" s="1602">
        <f>IF('ketv. 5 '!U19&gt;0,'ketv. 7 '!L18,'ketv. 6 '!L19)</f>
        <v>125000</v>
      </c>
      <c r="I13" s="1604">
        <f t="shared" si="0"/>
        <v>0</v>
      </c>
      <c r="J13" s="1600">
        <f>SUMIF(KPP!D17:D710,B13,KPP!N17:N710)</f>
        <v>100000</v>
      </c>
      <c r="K13" s="1602">
        <f>IF('ketv. 5 '!U19&gt;0,'ketv. 7 '!AL18,'ketv. 6 '!AF19)</f>
        <v>100000</v>
      </c>
      <c r="L13" s="1604">
        <f t="shared" si="1"/>
        <v>0</v>
      </c>
      <c r="M13" s="1600">
        <f>SUMIF(KPP!$D$7:$D$100,B13,KPP!$O$7:$O$100)</f>
        <v>0</v>
      </c>
      <c r="N13" s="1602">
        <f>IF('ketv. 5 '!U19&gt;0,'ketv. 7 '!W18,'ketv. 6 '!T19)</f>
        <v>0</v>
      </c>
      <c r="O13" s="1604" t="str">
        <f t="shared" si="2"/>
        <v>–</v>
      </c>
      <c r="P13" s="1600">
        <f>SUMIF(KPP!$D$7:$D$100,B13,KPP!$P$7:$P$100)</f>
        <v>25000</v>
      </c>
      <c r="Q13" s="1602">
        <f>IF('ketv. 5 '!U19&gt;0,'ketv. 7 '!R18,'ketv. 6 '!P19)</f>
        <v>25000</v>
      </c>
      <c r="R13" s="1604">
        <f t="shared" si="3"/>
        <v>0</v>
      </c>
      <c r="S13" s="1600">
        <f>SUMIF(KPP!$D$7:$D$100,B13,KPP!$T$7:$T$100)</f>
        <v>0</v>
      </c>
      <c r="T13" s="1602">
        <f>IF('ketv. 5 '!U19&gt;0,'ketv. 7 '!AB18,'ketv. 6 '!X19)</f>
        <v>0</v>
      </c>
      <c r="U13" s="1604" t="str">
        <f t="shared" si="4"/>
        <v>–</v>
      </c>
      <c r="V13" s="1600">
        <f>SUMIF(KPP!$D$7:$D$100,B13,KPP!$R$7:$R$100)</f>
        <v>0</v>
      </c>
      <c r="W13" s="1602">
        <f>IF('ketv. 5 '!U19&gt;0,'ketv. 7 '!AG18,'ketv. 6 '!AB19)</f>
        <v>0</v>
      </c>
      <c r="X13" s="1604" t="str">
        <f t="shared" si="5"/>
        <v>–</v>
      </c>
      <c r="Y13" s="1605" t="str">
        <f>IF('ketv. 5 '!U19&gt;0,"baigtas","–")</f>
        <v>–</v>
      </c>
    </row>
    <row r="14" spans="1:25" ht="48.75" thickBot="1">
      <c r="A14" s="376">
        <f t="shared" si="6"/>
        <v>13</v>
      </c>
      <c r="B14" s="376" t="str">
        <f>CONCATENATE('ES lėšos'!B13)</f>
        <v>Alytaus rajono Butrimonių miestelio šaligatvių kapitalinis remontas ir gyvenvietės apšvietimo įrengimas</v>
      </c>
      <c r="C14" s="376" t="str">
        <f>CONCATENATE('ES lėšos'!C13)</f>
        <v xml:space="preserve">Pagrindinės paslaugos ir kaimų atnaujinimas kaimo vietovėse </v>
      </c>
      <c r="D14" s="376" t="str">
        <f>CONCATENATE('ES lėšos'!D13)</f>
        <v>Alytaus rajono savivaldybės administracija</v>
      </c>
      <c r="E14" s="376" t="str">
        <f>CONCATENATE('ES lėšos'!E13)</f>
        <v>Alytaus r. sav.</v>
      </c>
      <c r="F14" s="376" t="str">
        <f>CONCATENATE('ES lėšos'!F13)</f>
        <v>-</v>
      </c>
      <c r="G14" s="1600">
        <f>SUMIF(KPP!$D$7:$D$100,B14,KPP!$H$7:$H$100)</f>
        <v>190756</v>
      </c>
      <c r="H14" s="1602">
        <f>IF('ketv. 5 '!U20&gt;0,'ketv. 7 '!L19,'ketv. 6 '!L20)</f>
        <v>190756</v>
      </c>
      <c r="I14" s="1604">
        <f t="shared" si="0"/>
        <v>0</v>
      </c>
      <c r="J14" s="1600">
        <f>SUMIF(KPP!D18:D711,B14,KPP!N18:N711)</f>
        <v>122852</v>
      </c>
      <c r="K14" s="1602">
        <f>IF('ketv. 5 '!U20&gt;0,'ketv. 7 '!AL19,'ketv. 6 '!AF20)</f>
        <v>122852</v>
      </c>
      <c r="L14" s="1604">
        <f t="shared" si="1"/>
        <v>0</v>
      </c>
      <c r="M14" s="1600">
        <f>SUMIF(KPP!$D$7:$D$100,B14,KPP!$O$7:$O$100)</f>
        <v>0</v>
      </c>
      <c r="N14" s="1602">
        <f>IF('ketv. 5 '!U20&gt;0,'ketv. 7 '!W19,'ketv. 6 '!T20)</f>
        <v>0</v>
      </c>
      <c r="O14" s="1604" t="str">
        <f t="shared" si="2"/>
        <v>–</v>
      </c>
      <c r="P14" s="1600">
        <f>SUMIF(KPP!$D$7:$D$100,B14,KPP!$P$7:$P$100)</f>
        <v>67904</v>
      </c>
      <c r="Q14" s="1602">
        <f>IF('ketv. 5 '!U20&gt;0,'ketv. 7 '!R19,'ketv. 6 '!P20)</f>
        <v>67904</v>
      </c>
      <c r="R14" s="1604">
        <f t="shared" si="3"/>
        <v>0</v>
      </c>
      <c r="S14" s="1600">
        <f>SUMIF(KPP!$D$7:$D$100,B14,KPP!$T$7:$T$100)</f>
        <v>0</v>
      </c>
      <c r="T14" s="1602">
        <f>IF('ketv. 5 '!U20&gt;0,'ketv. 7 '!AB19,'ketv. 6 '!X20)</f>
        <v>0</v>
      </c>
      <c r="U14" s="1604" t="str">
        <f t="shared" si="4"/>
        <v>–</v>
      </c>
      <c r="V14" s="1600">
        <f>SUMIF(KPP!$D$7:$D$100,B14,KPP!$R$7:$R$100)</f>
        <v>0</v>
      </c>
      <c r="W14" s="1602">
        <f>IF('ketv. 5 '!U20&gt;0,'ketv. 7 '!AG19,'ketv. 6 '!AB20)</f>
        <v>0</v>
      </c>
      <c r="X14" s="1604" t="str">
        <f t="shared" si="5"/>
        <v>–</v>
      </c>
      <c r="Y14" s="1605" t="str">
        <f>IF('ketv. 5 '!U20&gt;0,"baigtas","–")</f>
        <v>–</v>
      </c>
    </row>
    <row r="15" spans="1:25" ht="36.75" thickBot="1">
      <c r="A15" s="376">
        <f t="shared" si="6"/>
        <v>14</v>
      </c>
      <c r="B15" s="376" t="str">
        <f>CONCATENATE('ES lėšos'!B14)</f>
        <v>Alytaus rajono Genių kaimo sporto aikštės įrengimas ir gatvių rekonstrukcija</v>
      </c>
      <c r="C15" s="376" t="str">
        <f>CONCATENATE('ES lėšos'!C14)</f>
        <v xml:space="preserve">Pagrindinės paslaugos ir kaimų atnaujinimas kaimo vietovėse </v>
      </c>
      <c r="D15" s="376" t="str">
        <f>CONCATENATE('ES lėšos'!D14)</f>
        <v>Alytaus rajono savivaldybės administracija</v>
      </c>
      <c r="E15" s="376" t="str">
        <f>CONCATENATE('ES lėšos'!E14)</f>
        <v>Alytaus r. sav.</v>
      </c>
      <c r="F15" s="376" t="str">
        <f>CONCATENATE('ES lėšos'!F14)</f>
        <v>-</v>
      </c>
      <c r="G15" s="1600">
        <f>SUMIF(KPP!$D$7:$D$100,B15,KPP!$H$7:$H$100)</f>
        <v>247392.46</v>
      </c>
      <c r="H15" s="1602">
        <f>IF('ketv. 5 '!U21&gt;0,'ketv. 7 '!L20,'ketv. 6 '!L21)</f>
        <v>247392.46</v>
      </c>
      <c r="I15" s="1604">
        <f t="shared" si="0"/>
        <v>0</v>
      </c>
      <c r="J15" s="1600">
        <f>SUMIF(KPP!D19:D712,B15,KPP!N19:N712)</f>
        <v>200000</v>
      </c>
      <c r="K15" s="1602">
        <f>IF('ketv. 5 '!U21&gt;0,'ketv. 7 '!AL20,'ketv. 6 '!AF21)</f>
        <v>200000</v>
      </c>
      <c r="L15" s="1604">
        <f t="shared" si="1"/>
        <v>0</v>
      </c>
      <c r="M15" s="1600">
        <f>SUMIF(KPP!$D$7:$D$100,B15,KPP!$O$7:$O$100)</f>
        <v>0</v>
      </c>
      <c r="N15" s="1602">
        <f>IF('ketv. 5 '!U21&gt;0,'ketv. 7 '!W20,'ketv. 6 '!T21)</f>
        <v>0</v>
      </c>
      <c r="O15" s="1604" t="str">
        <f t="shared" si="2"/>
        <v>–</v>
      </c>
      <c r="P15" s="1600">
        <f>SUMIF(KPP!$D$7:$D$100,B15,KPP!$P$7:$P$100)</f>
        <v>47392.46</v>
      </c>
      <c r="Q15" s="1602">
        <f>IF('ketv. 5 '!U21&gt;0,'ketv. 7 '!R20,'ketv. 6 '!P21)</f>
        <v>47392.46</v>
      </c>
      <c r="R15" s="1604">
        <f t="shared" si="3"/>
        <v>0</v>
      </c>
      <c r="S15" s="1600">
        <f>SUMIF(KPP!$D$7:$D$100,B15,KPP!$T$7:$T$100)</f>
        <v>0</v>
      </c>
      <c r="T15" s="1602">
        <f>IF('ketv. 5 '!U21&gt;0,'ketv. 7 '!AB20,'ketv. 6 '!X21)</f>
        <v>0</v>
      </c>
      <c r="U15" s="1604" t="str">
        <f t="shared" si="4"/>
        <v>–</v>
      </c>
      <c r="V15" s="1600">
        <f>SUMIF(KPP!$D$7:$D$100,B15,KPP!$R$7:$R$100)</f>
        <v>0</v>
      </c>
      <c r="W15" s="1602">
        <f>IF('ketv. 5 '!U21&gt;0,'ketv. 7 '!AG20,'ketv. 6 '!AB21)</f>
        <v>0</v>
      </c>
      <c r="X15" s="1604" t="str">
        <f t="shared" si="5"/>
        <v>–</v>
      </c>
      <c r="Y15" s="1605" t="str">
        <f>IF('ketv. 5 '!U21&gt;0,"baigtas","–")</f>
        <v>–</v>
      </c>
    </row>
    <row r="16" spans="1:25" ht="36.75" thickBot="1">
      <c r="A16" s="376">
        <f t="shared" si="6"/>
        <v>15</v>
      </c>
      <c r="B16" s="376" t="str">
        <f>CONCATENATE('ES lėšos'!B15)</f>
        <v>Varėnos r. Dargužių kaimo Liepų gatvės ir viešosios erdvės įrengimas</v>
      </c>
      <c r="C16" s="376" t="str">
        <f>CONCATENATE('ES lėšos'!C15)</f>
        <v xml:space="preserve">Pagrindinės paslaugos ir kaimų atnaujinimas kaimo vietovėse </v>
      </c>
      <c r="D16" s="376" t="str">
        <f>CONCATENATE('ES lėšos'!D15)</f>
        <v xml:space="preserve">Varėnos rajono savivaldybės administracija </v>
      </c>
      <c r="E16" s="376" t="str">
        <f>CONCATENATE('ES lėšos'!E15)</f>
        <v>Varėnos r. sav.</v>
      </c>
      <c r="F16" s="376" t="str">
        <f>CONCATENATE('ES lėšos'!F15)</f>
        <v>-</v>
      </c>
      <c r="G16" s="1600">
        <f>SUMIF(KPP!$D$7:$D$100,B16,KPP!$H$7:$H$100)</f>
        <v>215626</v>
      </c>
      <c r="H16" s="1602">
        <f>IF('ketv. 5 '!U22&gt;0,'ketv. 7 '!L21,'ketv. 6 '!L22)</f>
        <v>215626</v>
      </c>
      <c r="I16" s="1604">
        <f t="shared" si="0"/>
        <v>0</v>
      </c>
      <c r="J16" s="1600">
        <f>SUMIF(KPP!D20:D713,B16,KPP!N20:N713)</f>
        <v>172500.8</v>
      </c>
      <c r="K16" s="1602">
        <f>IF('ketv. 5 '!U22&gt;0,'ketv. 7 '!AL21,'ketv. 6 '!AF22)</f>
        <v>172500.8</v>
      </c>
      <c r="L16" s="1604">
        <f t="shared" si="1"/>
        <v>0</v>
      </c>
      <c r="M16" s="1600">
        <f>SUMIF(KPP!$D$7:$D$100,B16,KPP!$O$7:$O$100)</f>
        <v>0</v>
      </c>
      <c r="N16" s="1602">
        <f>IF('ketv. 5 '!U22&gt;0,'ketv. 7 '!W21,'ketv. 6 '!T22)</f>
        <v>0</v>
      </c>
      <c r="O16" s="1604" t="str">
        <f t="shared" si="2"/>
        <v>–</v>
      </c>
      <c r="P16" s="1600">
        <f>SUMIF(KPP!$D$7:$D$100,B16,KPP!$P$7:$P$100)</f>
        <v>43125.2</v>
      </c>
      <c r="Q16" s="1602">
        <f>IF('ketv. 5 '!U22&gt;0,'ketv. 7 '!R21,'ketv. 6 '!P22)</f>
        <v>43125.2</v>
      </c>
      <c r="R16" s="1604">
        <f t="shared" si="3"/>
        <v>0</v>
      </c>
      <c r="S16" s="1600">
        <f>SUMIF(KPP!$D$7:$D$100,B16,KPP!$T$7:$T$100)</f>
        <v>0</v>
      </c>
      <c r="T16" s="1602">
        <f>IF('ketv. 5 '!U22&gt;0,'ketv. 7 '!AB21,'ketv. 6 '!X22)</f>
        <v>0</v>
      </c>
      <c r="U16" s="1604" t="str">
        <f t="shared" si="4"/>
        <v>–</v>
      </c>
      <c r="V16" s="1600">
        <f>SUMIF(KPP!$D$7:$D$100,B16,KPP!$R$7:$R$100)</f>
        <v>0</v>
      </c>
      <c r="W16" s="1602">
        <f>IF('ketv. 5 '!U22&gt;0,'ketv. 7 '!AG21,'ketv. 6 '!AB22)</f>
        <v>0</v>
      </c>
      <c r="X16" s="1604" t="str">
        <f t="shared" si="5"/>
        <v>–</v>
      </c>
      <c r="Y16" s="1605" t="str">
        <f>IF('ketv. 5 '!U22&gt;0,"baigtas","–")</f>
        <v>–</v>
      </c>
    </row>
    <row r="17" spans="1:25" ht="48.75" thickBot="1">
      <c r="A17" s="376">
        <f t="shared" si="6"/>
        <v>16</v>
      </c>
      <c r="B17" s="376" t="str">
        <f>CONCATENATE('ES lėšos'!B16)</f>
        <v>Alytaus rajono Vaisodžių kaimo sporto aikštės įrengimas ir gatvių apšvietimo atnaujinimas bei plėtra</v>
      </c>
      <c r="C17" s="376" t="str">
        <f>CONCATENATE('ES lėšos'!C16)</f>
        <v xml:space="preserve">Pagrindinės paslaugos ir kaimų atnaujinimas kaimo vietovėse </v>
      </c>
      <c r="D17" s="376" t="str">
        <f>CONCATENATE('ES lėšos'!D16)</f>
        <v>Alytaus rajono savivaldybės administracija</v>
      </c>
      <c r="E17" s="376" t="str">
        <f>CONCATENATE('ES lėšos'!E16)</f>
        <v>Alytaus r. sav.</v>
      </c>
      <c r="F17" s="376" t="str">
        <f>CONCATENATE('ES lėšos'!F16)</f>
        <v>-</v>
      </c>
      <c r="G17" s="1600">
        <f>SUMIF(KPP!$D$7:$D$100,B17,KPP!$H$7:$H$100)</f>
        <v>75880</v>
      </c>
      <c r="H17" s="1602">
        <f>IF('ketv. 5 '!U23&gt;0,'ketv. 7 '!L22,'ketv. 6 '!L23)</f>
        <v>75880</v>
      </c>
      <c r="I17" s="1604">
        <f t="shared" si="0"/>
        <v>0</v>
      </c>
      <c r="J17" s="1600">
        <f>SUMIF(KPP!D21:D714,B17,KPP!N21:N714)</f>
        <v>60704</v>
      </c>
      <c r="K17" s="1602">
        <f>IF('ketv. 5 '!U23&gt;0,'ketv. 7 '!AL22,'ketv. 6 '!AF23)</f>
        <v>60704</v>
      </c>
      <c r="L17" s="1604">
        <f t="shared" si="1"/>
        <v>0</v>
      </c>
      <c r="M17" s="1600">
        <f>SUMIF(KPP!$D$7:$D$100,B17,KPP!$O$7:$O$100)</f>
        <v>0</v>
      </c>
      <c r="N17" s="1602">
        <f>IF('ketv. 5 '!U23&gt;0,'ketv. 7 '!W22,'ketv. 6 '!T23)</f>
        <v>0</v>
      </c>
      <c r="O17" s="1604" t="str">
        <f t="shared" si="2"/>
        <v>–</v>
      </c>
      <c r="P17" s="1600">
        <f>SUMIF(KPP!$D$7:$D$100,B17,KPP!$P$7:$P$100)</f>
        <v>15176</v>
      </c>
      <c r="Q17" s="1602">
        <f>IF('ketv. 5 '!U23&gt;0,'ketv. 7 '!R22,'ketv. 6 '!P23)</f>
        <v>15176</v>
      </c>
      <c r="R17" s="1604">
        <f t="shared" si="3"/>
        <v>0</v>
      </c>
      <c r="S17" s="1600">
        <f>SUMIF(KPP!$D$7:$D$100,B17,KPP!$T$7:$T$100)</f>
        <v>0</v>
      </c>
      <c r="T17" s="1602">
        <f>IF('ketv. 5 '!U23&gt;0,'ketv. 7 '!AB22,'ketv. 6 '!X23)</f>
        <v>0</v>
      </c>
      <c r="U17" s="1604" t="str">
        <f t="shared" si="4"/>
        <v>–</v>
      </c>
      <c r="V17" s="1600">
        <f>SUMIF(KPP!$D$7:$D$100,B17,KPP!$R$7:$R$100)</f>
        <v>0</v>
      </c>
      <c r="W17" s="1602">
        <f>IF('ketv. 5 '!U23&gt;0,'ketv. 7 '!AG22,'ketv. 6 '!AB23)</f>
        <v>0</v>
      </c>
      <c r="X17" s="1604" t="str">
        <f t="shared" si="5"/>
        <v>–</v>
      </c>
      <c r="Y17" s="1605" t="str">
        <f>IF('ketv. 5 '!U23&gt;0,"baigtas","–")</f>
        <v>–</v>
      </c>
    </row>
    <row r="18" spans="1:25" ht="36.75" thickBot="1">
      <c r="A18" s="376">
        <f t="shared" si="6"/>
        <v>17</v>
      </c>
      <c r="B18" s="376" t="str">
        <f>CONCATENATE('ES lėšos'!B17)</f>
        <v>Alytaus rajono Talokių kaimo sporto aikštės įrengimas ir Plytinės gatvės apšvietimas</v>
      </c>
      <c r="C18" s="376" t="str">
        <f>CONCATENATE('ES lėšos'!C17)</f>
        <v xml:space="preserve">Pagrindinės paslaugos ir kaimų atnaujinimas kaimo vietovėse </v>
      </c>
      <c r="D18" s="376" t="str">
        <f>CONCATENATE('ES lėšos'!D17)</f>
        <v>Alytaus rajono savivaldybės administracija</v>
      </c>
      <c r="E18" s="376" t="str">
        <f>CONCATENATE('ES lėšos'!E17)</f>
        <v>Alytaus r. sav.</v>
      </c>
      <c r="F18" s="376" t="str">
        <f>CONCATENATE('ES lėšos'!F17)</f>
        <v>-</v>
      </c>
      <c r="G18" s="1600">
        <f>SUMIF(KPP!$D$7:$D$100,B18,KPP!$H$7:$H$100)</f>
        <v>141312</v>
      </c>
      <c r="H18" s="1602">
        <f>IF('ketv. 5 '!U24&gt;0,'ketv. 7 '!L23,'ketv. 6 '!L24)</f>
        <v>141312</v>
      </c>
      <c r="I18" s="1604">
        <f t="shared" si="0"/>
        <v>0</v>
      </c>
      <c r="J18" s="1600">
        <f>SUMIF(KPP!D22:D715,B18,KPP!N22:N715)</f>
        <v>96399</v>
      </c>
      <c r="K18" s="1602">
        <f>IF('ketv. 5 '!U24&gt;0,'ketv. 7 '!AL23,'ketv. 6 '!AF24)</f>
        <v>96399</v>
      </c>
      <c r="L18" s="1604">
        <f t="shared" si="1"/>
        <v>0</v>
      </c>
      <c r="M18" s="1600">
        <f>SUMIF(KPP!$D$7:$D$100,B18,KPP!$O$7:$O$100)</f>
        <v>0</v>
      </c>
      <c r="N18" s="1602">
        <f>IF('ketv. 5 '!U24&gt;0,'ketv. 7 '!W23,'ketv. 6 '!T24)</f>
        <v>0</v>
      </c>
      <c r="O18" s="1604" t="str">
        <f t="shared" si="2"/>
        <v>–</v>
      </c>
      <c r="P18" s="1600">
        <f>SUMIF(KPP!$D$7:$D$100,B18,KPP!$P$7:$P$100)</f>
        <v>44913</v>
      </c>
      <c r="Q18" s="1602">
        <f>IF('ketv. 5 '!U24&gt;0,'ketv. 7 '!R23,'ketv. 6 '!P24)</f>
        <v>44913</v>
      </c>
      <c r="R18" s="1604">
        <f t="shared" si="3"/>
        <v>0</v>
      </c>
      <c r="S18" s="1600">
        <f>SUMIF(KPP!$D$7:$D$100,B18,KPP!$T$7:$T$100)</f>
        <v>0</v>
      </c>
      <c r="T18" s="1602">
        <f>IF('ketv. 5 '!U24&gt;0,'ketv. 7 '!AB23,'ketv. 6 '!X24)</f>
        <v>0</v>
      </c>
      <c r="U18" s="1604" t="str">
        <f t="shared" si="4"/>
        <v>–</v>
      </c>
      <c r="V18" s="1600">
        <f>SUMIF(KPP!$D$7:$D$100,B18,KPP!$R$7:$R$100)</f>
        <v>0</v>
      </c>
      <c r="W18" s="1602">
        <f>IF('ketv. 5 '!U24&gt;0,'ketv. 7 '!AG23,'ketv. 6 '!AB24)</f>
        <v>0</v>
      </c>
      <c r="X18" s="1604" t="str">
        <f t="shared" si="5"/>
        <v>–</v>
      </c>
      <c r="Y18" s="1605" t="str">
        <f>IF('ketv. 5 '!U24&gt;0,"baigtas","–")</f>
        <v>–</v>
      </c>
    </row>
    <row r="19" spans="1:25" ht="36.75" thickBot="1">
      <c r="A19" s="376">
        <f t="shared" si="6"/>
        <v>18</v>
      </c>
      <c r="B19" s="376" t="str">
        <f>CONCATENATE('ES lėšos'!B18)</f>
        <v>Varėnos r. Rudnios kaimo Pušyno gatvės įrengimas</v>
      </c>
      <c r="C19" s="376" t="str">
        <f>CONCATENATE('ES lėšos'!C18)</f>
        <v xml:space="preserve">Pagrindinės paslaugos ir kaimų atnaujinimas kaimo vietovėse </v>
      </c>
      <c r="D19" s="376" t="str">
        <f>CONCATENATE('ES lėšos'!D18)</f>
        <v xml:space="preserve">Varėnos rajono savivaldybės administracija </v>
      </c>
      <c r="E19" s="376" t="str">
        <f>CONCATENATE('ES lėšos'!E18)</f>
        <v>Varėnos r. sav.</v>
      </c>
      <c r="F19" s="376" t="str">
        <f>CONCATENATE('ES lėšos'!F18)</f>
        <v>-</v>
      </c>
      <c r="G19" s="1600">
        <f>SUMIF(KPP!$D$7:$D$100,B19,KPP!$H$7:$H$100)</f>
        <v>115624</v>
      </c>
      <c r="H19" s="1602">
        <f>IF('ketv. 5 '!U25&gt;0,'ketv. 7 '!L24,'ketv. 6 '!L25)</f>
        <v>115624</v>
      </c>
      <c r="I19" s="1604">
        <f t="shared" si="0"/>
        <v>0</v>
      </c>
      <c r="J19" s="1600">
        <f>SUMIF(KPP!D23:D716,B19,KPP!N23:N716)</f>
        <v>92499</v>
      </c>
      <c r="K19" s="1602">
        <f>IF('ketv. 5 '!U25&gt;0,'ketv. 7 '!AL24,'ketv. 6 '!AF25)</f>
        <v>92499</v>
      </c>
      <c r="L19" s="1604">
        <f t="shared" si="1"/>
        <v>0</v>
      </c>
      <c r="M19" s="1600">
        <f>SUMIF(KPP!$D$7:$D$100,B19,KPP!$O$7:$O$100)</f>
        <v>0</v>
      </c>
      <c r="N19" s="1602">
        <f>IF('ketv. 5 '!U25&gt;0,'ketv. 7 '!W24,'ketv. 6 '!T25)</f>
        <v>0</v>
      </c>
      <c r="O19" s="1604" t="str">
        <f t="shared" si="2"/>
        <v>–</v>
      </c>
      <c r="P19" s="1600">
        <f>SUMIF(KPP!$D$7:$D$100,B19,KPP!$P$7:$P$100)</f>
        <v>23125</v>
      </c>
      <c r="Q19" s="1602">
        <f>IF('ketv. 5 '!U25&gt;0,'ketv. 7 '!R24,'ketv. 6 '!P25)</f>
        <v>23125</v>
      </c>
      <c r="R19" s="1604">
        <f t="shared" si="3"/>
        <v>0</v>
      </c>
      <c r="S19" s="1600">
        <f>SUMIF(KPP!$D$7:$D$100,B19,KPP!$T$7:$T$100)</f>
        <v>0</v>
      </c>
      <c r="T19" s="1602">
        <f>IF('ketv. 5 '!U25&gt;0,'ketv. 7 '!AB24,'ketv. 6 '!X25)</f>
        <v>0</v>
      </c>
      <c r="U19" s="1604" t="str">
        <f t="shared" si="4"/>
        <v>–</v>
      </c>
      <c r="V19" s="1600">
        <f>SUMIF(KPP!$D$7:$D$100,B19,KPP!$R$7:$R$100)</f>
        <v>0</v>
      </c>
      <c r="W19" s="1602">
        <f>IF('ketv. 5 '!U25&gt;0,'ketv. 7 '!AG24,'ketv. 6 '!AB25)</f>
        <v>0</v>
      </c>
      <c r="X19" s="1604" t="str">
        <f t="shared" si="5"/>
        <v>–</v>
      </c>
      <c r="Y19" s="1605" t="str">
        <f>IF('ketv. 5 '!U25&gt;0,"baigtas","–")</f>
        <v>–</v>
      </c>
    </row>
    <row r="20" spans="1:25" ht="48.75" thickBot="1">
      <c r="A20" s="376">
        <f t="shared" si="6"/>
        <v>19</v>
      </c>
      <c r="B20" s="376" t="str">
        <f>CONCATENATE('ES lėšos'!B19)</f>
        <v>Varėnos kultūros centro Žilinų filialo pastato atnaujinimas ir pritaikymas bendruomenės poreikiams</v>
      </c>
      <c r="C20" s="376" t="str">
        <f>CONCATENATE('ES lėšos'!C19)</f>
        <v xml:space="preserve">Pagrindinės paslaugos ir kaimų atnaujinimas kaimo vietovėse </v>
      </c>
      <c r="D20" s="376" t="str">
        <f>CONCATENATE('ES lėšos'!D19)</f>
        <v xml:space="preserve">Varėnos rajono savivaldybės administracija </v>
      </c>
      <c r="E20" s="376" t="str">
        <f>CONCATENATE('ES lėšos'!E19)</f>
        <v>Varėnos r. sav.</v>
      </c>
      <c r="F20" s="376" t="str">
        <f>CONCATENATE('ES lėšos'!F19)</f>
        <v>-</v>
      </c>
      <c r="G20" s="1600">
        <f>SUMIF(KPP!$D$7:$D$100,B20,KPP!$H$7:$H$100)</f>
        <v>250000</v>
      </c>
      <c r="H20" s="1602">
        <f>IF('ketv. 5 '!U26&gt;0,'ketv. 7 '!L25,'ketv. 6 '!L26)</f>
        <v>250000</v>
      </c>
      <c r="I20" s="1604">
        <f t="shared" si="0"/>
        <v>0</v>
      </c>
      <c r="J20" s="1600">
        <f>SUMIF(KPP!D24:D717,B20,KPP!N24:N717)</f>
        <v>200000</v>
      </c>
      <c r="K20" s="1602">
        <f>IF('ketv. 5 '!U26&gt;0,'ketv. 7 '!AL25,'ketv. 6 '!AF26)</f>
        <v>200000</v>
      </c>
      <c r="L20" s="1604">
        <f t="shared" si="1"/>
        <v>0</v>
      </c>
      <c r="M20" s="1600">
        <f>SUMIF(KPP!$D$7:$D$100,B20,KPP!$O$7:$O$100)</f>
        <v>0</v>
      </c>
      <c r="N20" s="1602">
        <f>IF('ketv. 5 '!U26&gt;0,'ketv. 7 '!W25,'ketv. 6 '!T26)</f>
        <v>0</v>
      </c>
      <c r="O20" s="1604" t="str">
        <f t="shared" si="2"/>
        <v>–</v>
      </c>
      <c r="P20" s="1600">
        <f>SUMIF(KPP!$D$7:$D$100,B20,KPP!$P$7:$P$100)</f>
        <v>50000</v>
      </c>
      <c r="Q20" s="1602">
        <f>IF('ketv. 5 '!U26&gt;0,'ketv. 7 '!R25,'ketv. 6 '!P26)</f>
        <v>50000</v>
      </c>
      <c r="R20" s="1604">
        <f t="shared" si="3"/>
        <v>0</v>
      </c>
      <c r="S20" s="1600">
        <f>SUMIF(KPP!$D$7:$D$100,B20,KPP!$T$7:$T$100)</f>
        <v>0</v>
      </c>
      <c r="T20" s="1602">
        <f>IF('ketv. 5 '!U26&gt;0,'ketv. 7 '!AB25,'ketv. 6 '!X26)</f>
        <v>0</v>
      </c>
      <c r="U20" s="1604" t="str">
        <f t="shared" si="4"/>
        <v>–</v>
      </c>
      <c r="V20" s="1600">
        <f>SUMIF(KPP!$D$7:$D$100,B20,KPP!$R$7:$R$100)</f>
        <v>0</v>
      </c>
      <c r="W20" s="1602">
        <f>IF('ketv. 5 '!U26&gt;0,'ketv. 7 '!AG25,'ketv. 6 '!AB26)</f>
        <v>0</v>
      </c>
      <c r="X20" s="1604" t="str">
        <f t="shared" si="5"/>
        <v>–</v>
      </c>
      <c r="Y20" s="1605" t="str">
        <f>IF('ketv. 5 '!U26&gt;0,"baigtas","–")</f>
        <v>–</v>
      </c>
    </row>
    <row r="21" spans="1:25" ht="60.75" thickBot="1">
      <c r="A21" s="376">
        <f t="shared" si="6"/>
        <v>20</v>
      </c>
      <c r="B21" s="376" t="str">
        <f>CONCATENATE('ES lėšos'!B20)</f>
        <v>Alytaus rajono Pivašiūnų kaimo šaligatvių, laiptų kapitalinis remontas ir gyvenvietės apšvietimo įrengimas</v>
      </c>
      <c r="C21" s="376" t="str">
        <f>CONCATENATE('ES lėšos'!C20)</f>
        <v xml:space="preserve">Pagrindinės paslaugos ir kaimų atnaujinimas kaimo vietovėse </v>
      </c>
      <c r="D21" s="376" t="str">
        <f>CONCATENATE('ES lėšos'!D20)</f>
        <v>Alytaus rajono savivaldybės administracija</v>
      </c>
      <c r="E21" s="376" t="str">
        <f>CONCATENATE('ES lėšos'!E20)</f>
        <v>Alytaus r. sav.</v>
      </c>
      <c r="F21" s="376" t="str">
        <f>CONCATENATE('ES lėšos'!F20)</f>
        <v>-</v>
      </c>
      <c r="G21" s="1600">
        <f>SUMIF(KPP!$D$7:$D$100,B21,KPP!$H$7:$H$100)</f>
        <v>118362</v>
      </c>
      <c r="H21" s="1602">
        <f>IF('ketv. 5 '!U27&gt;0,'ketv. 7 '!L26,'ketv. 6 '!L27)</f>
        <v>118362</v>
      </c>
      <c r="I21" s="1604">
        <f t="shared" si="0"/>
        <v>0</v>
      </c>
      <c r="J21" s="1600">
        <f>SUMIF(KPP!D25:D718,B21,KPP!N25:N718)</f>
        <v>94389</v>
      </c>
      <c r="K21" s="1602">
        <f>IF('ketv. 5 '!U27&gt;0,'ketv. 7 '!AL26,'ketv. 6 '!AF27)</f>
        <v>94389</v>
      </c>
      <c r="L21" s="1604">
        <f t="shared" si="1"/>
        <v>0</v>
      </c>
      <c r="M21" s="1600">
        <f>SUMIF(KPP!$D$7:$D$100,B21,KPP!$O$7:$O$100)</f>
        <v>0</v>
      </c>
      <c r="N21" s="1602">
        <f>IF('ketv. 5 '!U27&gt;0,'ketv. 7 '!W26,'ketv. 6 '!T27)</f>
        <v>0</v>
      </c>
      <c r="O21" s="1604" t="str">
        <f t="shared" si="2"/>
        <v>–</v>
      </c>
      <c r="P21" s="1600">
        <f>SUMIF(KPP!$D$7:$D$100,B21,KPP!$P$7:$P$100)</f>
        <v>23973</v>
      </c>
      <c r="Q21" s="1602">
        <f>IF('ketv. 5 '!U27&gt;0,'ketv. 7 '!R26,'ketv. 6 '!P27)</f>
        <v>23973</v>
      </c>
      <c r="R21" s="1604">
        <f t="shared" si="3"/>
        <v>0</v>
      </c>
      <c r="S21" s="1600">
        <f>SUMIF(KPP!$D$7:$D$100,B21,KPP!$T$7:$T$100)</f>
        <v>0</v>
      </c>
      <c r="T21" s="1602">
        <f>IF('ketv. 5 '!U27&gt;0,'ketv. 7 '!AB26,'ketv. 6 '!X27)</f>
        <v>0</v>
      </c>
      <c r="U21" s="1604" t="str">
        <f t="shared" si="4"/>
        <v>–</v>
      </c>
      <c r="V21" s="1600">
        <f>SUMIF(KPP!$D$7:$D$100,B21,KPP!$R$7:$R$100)</f>
        <v>0</v>
      </c>
      <c r="W21" s="1602">
        <f>IF('ketv. 5 '!U27&gt;0,'ketv. 7 '!AG26,'ketv. 6 '!AB27)</f>
        <v>0</v>
      </c>
      <c r="X21" s="1604" t="str">
        <f t="shared" si="5"/>
        <v>–</v>
      </c>
      <c r="Y21" s="1605" t="str">
        <f>IF('ketv. 5 '!U27&gt;0,"baigtas","–")</f>
        <v>–</v>
      </c>
    </row>
    <row r="22" spans="1:25" ht="60.75" thickBot="1">
      <c r="A22" s="376">
        <f t="shared" si="6"/>
        <v>21</v>
      </c>
      <c r="B22" s="376" t="str">
        <f>CONCATENATE('ES lėšos'!B21)</f>
        <v>Pastato, esančio Pušelės g. 11, Naujųjų Valkininkų k., Varėnos r., atnaujinimas ir pritaikymas bendruomenės poreikiams</v>
      </c>
      <c r="C22" s="376" t="str">
        <f>CONCATENATE('ES lėšos'!C21)</f>
        <v xml:space="preserve">Pagrindinės paslaugos ir kaimų atnaujinimas kaimo vietovėse </v>
      </c>
      <c r="D22" s="376" t="str">
        <f>CONCATENATE('ES lėšos'!D21)</f>
        <v xml:space="preserve">Varėnos rajono savivaldybės administracija </v>
      </c>
      <c r="E22" s="376" t="str">
        <f>CONCATENATE('ES lėšos'!E21)</f>
        <v>Varėnos r. sav.</v>
      </c>
      <c r="F22" s="376" t="str">
        <f>CONCATENATE('ES lėšos'!F21)</f>
        <v>-</v>
      </c>
      <c r="G22" s="1600">
        <f>SUMIF(KPP!$D$7:$D$100,B22,KPP!$H$7:$H$100)</f>
        <v>250000</v>
      </c>
      <c r="H22" s="1602">
        <f>IF('ketv. 5 '!U28&gt;0,'ketv. 7 '!L27,'ketv. 6 '!L28)</f>
        <v>250000</v>
      </c>
      <c r="I22" s="1604">
        <f t="shared" si="0"/>
        <v>0</v>
      </c>
      <c r="J22" s="1600">
        <f>SUMIF(KPP!D26:D719,B22,KPP!N26:N719)</f>
        <v>200000</v>
      </c>
      <c r="K22" s="1602">
        <f>IF('ketv. 5 '!U28&gt;0,'ketv. 7 '!AL27,'ketv. 6 '!AF28)</f>
        <v>200000</v>
      </c>
      <c r="L22" s="1604">
        <f t="shared" si="1"/>
        <v>0</v>
      </c>
      <c r="M22" s="1600">
        <f>SUMIF(KPP!$D$7:$D$100,B22,KPP!$O$7:$O$100)</f>
        <v>0</v>
      </c>
      <c r="N22" s="1602">
        <f>IF('ketv. 5 '!U28&gt;0,'ketv. 7 '!W27,'ketv. 6 '!T28)</f>
        <v>0</v>
      </c>
      <c r="O22" s="1604" t="str">
        <f t="shared" si="2"/>
        <v>–</v>
      </c>
      <c r="P22" s="1600">
        <f>SUMIF(KPP!$D$7:$D$100,B22,KPP!$P$7:$P$100)</f>
        <v>50000</v>
      </c>
      <c r="Q22" s="1602">
        <f>IF('ketv. 5 '!U28&gt;0,'ketv. 7 '!R27,'ketv. 6 '!P28)</f>
        <v>50000</v>
      </c>
      <c r="R22" s="1604">
        <f t="shared" si="3"/>
        <v>0</v>
      </c>
      <c r="S22" s="1600">
        <f>SUMIF(KPP!$D$7:$D$100,B22,KPP!$T$7:$T$100)</f>
        <v>0</v>
      </c>
      <c r="T22" s="1602">
        <f>IF('ketv. 5 '!U28&gt;0,'ketv. 7 '!AB27,'ketv. 6 '!X28)</f>
        <v>0</v>
      </c>
      <c r="U22" s="1604" t="str">
        <f t="shared" si="4"/>
        <v>–</v>
      </c>
      <c r="V22" s="1600">
        <f>SUMIF(KPP!$D$7:$D$100,B22,KPP!$R$7:$R$100)</f>
        <v>0</v>
      </c>
      <c r="W22" s="1602">
        <f>IF('ketv. 5 '!U28&gt;0,'ketv. 7 '!AG27,'ketv. 6 '!AB28)</f>
        <v>0</v>
      </c>
      <c r="X22" s="1604" t="str">
        <f t="shared" si="5"/>
        <v>–</v>
      </c>
      <c r="Y22" s="1605" t="str">
        <f>IF('ketv. 5 '!U28&gt;0,"baigtas","–")</f>
        <v>–</v>
      </c>
    </row>
    <row r="23" spans="1:25" ht="36.75" thickBot="1">
      <c r="A23" s="376">
        <f t="shared" si="6"/>
        <v>22</v>
      </c>
      <c r="B23" s="376" t="str">
        <f>CONCATENATE('ES lėšos'!B22)</f>
        <v>Kaimo gyvenamųjų vietovių Lazdijų rajono savivaldybėje patrauklumo gerinimas</v>
      </c>
      <c r="C23" s="376" t="str">
        <f>CONCATENATE('ES lėšos'!C22)</f>
        <v xml:space="preserve">Pagrindinės paslaugos ir kaimų atnaujinimas kaimo vietovėse </v>
      </c>
      <c r="D23" s="376" t="str">
        <f>CONCATENATE('ES lėšos'!D22)</f>
        <v>Lazdijų rajono savivaldybės administracija</v>
      </c>
      <c r="E23" s="376" t="str">
        <f>CONCATENATE('ES lėšos'!E22)</f>
        <v>Lazdijų r. sav.</v>
      </c>
      <c r="F23" s="376" t="str">
        <f>CONCATENATE('ES lėšos'!F22)</f>
        <v>-</v>
      </c>
      <c r="G23" s="1600">
        <f>SUMIF(KPP!$D$7:$D$100,B23,KPP!$H$7:$H$100)</f>
        <v>170000</v>
      </c>
      <c r="H23" s="1602">
        <f>IF('ketv. 5 '!U29&gt;0,'ketv. 7 '!L28,'ketv. 6 '!L29)</f>
        <v>170000</v>
      </c>
      <c r="I23" s="1604">
        <f t="shared" si="0"/>
        <v>0</v>
      </c>
      <c r="J23" s="1600">
        <f>SUMIF(KPP!D27:D720,B23,KPP!N27:N720)</f>
        <v>136000</v>
      </c>
      <c r="K23" s="1602">
        <f>IF('ketv. 5 '!U29&gt;0,'ketv. 7 '!AL28,'ketv. 6 '!AF29)</f>
        <v>136000</v>
      </c>
      <c r="L23" s="1604">
        <f t="shared" si="1"/>
        <v>0</v>
      </c>
      <c r="M23" s="1600">
        <f>SUMIF(KPP!$D$7:$D$100,B23,KPP!$O$7:$O$100)</f>
        <v>0</v>
      </c>
      <c r="N23" s="1602">
        <f>IF('ketv. 5 '!U29&gt;0,'ketv. 7 '!W28,'ketv. 6 '!T29)</f>
        <v>0</v>
      </c>
      <c r="O23" s="1604" t="str">
        <f t="shared" si="2"/>
        <v>–</v>
      </c>
      <c r="P23" s="1600">
        <f>SUMIF(KPP!$D$7:$D$100,B23,KPP!$P$7:$P$100)</f>
        <v>34000</v>
      </c>
      <c r="Q23" s="1602">
        <f>IF('ketv. 5 '!U29&gt;0,'ketv. 7 '!R28,'ketv. 6 '!P29)</f>
        <v>34000</v>
      </c>
      <c r="R23" s="1604">
        <f t="shared" si="3"/>
        <v>0</v>
      </c>
      <c r="S23" s="1600">
        <f>SUMIF(KPP!$D$7:$D$100,B23,KPP!$T$7:$T$100)</f>
        <v>0</v>
      </c>
      <c r="T23" s="1602">
        <f>IF('ketv. 5 '!U29&gt;0,'ketv. 7 '!AB28,'ketv. 6 '!X29)</f>
        <v>0</v>
      </c>
      <c r="U23" s="1604" t="str">
        <f t="shared" si="4"/>
        <v>–</v>
      </c>
      <c r="V23" s="1600">
        <f>SUMIF(KPP!$D$7:$D$100,B23,KPP!$R$7:$R$100)</f>
        <v>0</v>
      </c>
      <c r="W23" s="1602">
        <f>IF('ketv. 5 '!U29&gt;0,'ketv. 7 '!AG28,'ketv. 6 '!AB29)</f>
        <v>0</v>
      </c>
      <c r="X23" s="1604" t="str">
        <f t="shared" si="5"/>
        <v>–</v>
      </c>
      <c r="Y23" s="1605" t="str">
        <f>IF('ketv. 5 '!U29&gt;0,"baigtas","–")</f>
        <v>–</v>
      </c>
    </row>
    <row r="24" spans="1:25" ht="36.75" thickBot="1">
      <c r="A24" s="376">
        <f t="shared" si="6"/>
        <v>23</v>
      </c>
      <c r="B24" s="376" t="str">
        <f>CONCATENATE('ES lėšos'!B23)</f>
        <v>Alytaus rajono Makniūnų kaimo šaligatvių atnaujinimas ir plėtra</v>
      </c>
      <c r="C24" s="376" t="str">
        <f>CONCATENATE('ES lėšos'!C23)</f>
        <v xml:space="preserve">Pagrindinės paslaugos ir kaimų atnaujinimas kaimo vietovėse </v>
      </c>
      <c r="D24" s="376" t="str">
        <f>CONCATENATE('ES lėšos'!D23)</f>
        <v>Alytaus rajono savivaldybės administracija</v>
      </c>
      <c r="E24" s="376" t="str">
        <f>CONCATENATE('ES lėšos'!E23)</f>
        <v>Alytaus r. sav.</v>
      </c>
      <c r="F24" s="376" t="str">
        <f>CONCATENATE('ES lėšos'!F23)</f>
        <v>-</v>
      </c>
      <c r="G24" s="1600">
        <f>SUMIF(KPP!$D$7:$D$100,B24,KPP!$H$7:$H$100)</f>
        <v>145772</v>
      </c>
      <c r="H24" s="1602">
        <f>IF('ketv. 5 '!U30&gt;0,'ketv. 7 '!L29,'ketv. 6 '!L30)</f>
        <v>145772</v>
      </c>
      <c r="I24" s="1604">
        <f t="shared" si="0"/>
        <v>0</v>
      </c>
      <c r="J24" s="1600">
        <f>SUMIF(KPP!D28:D721,B24,KPP!N28:N721)</f>
        <v>56793</v>
      </c>
      <c r="K24" s="1602">
        <f>IF('ketv. 5 '!U30&gt;0,'ketv. 7 '!AL29,'ketv. 6 '!AF30)</f>
        <v>56793</v>
      </c>
      <c r="L24" s="1604">
        <f t="shared" si="1"/>
        <v>0</v>
      </c>
      <c r="M24" s="1600">
        <f>SUMIF(KPP!$D$7:$D$100,B24,KPP!$O$7:$O$100)</f>
        <v>0</v>
      </c>
      <c r="N24" s="1602">
        <f>IF('ketv. 5 '!U30&gt;0,'ketv. 7 '!W29,'ketv. 6 '!T30)</f>
        <v>0</v>
      </c>
      <c r="O24" s="1604" t="str">
        <f t="shared" si="2"/>
        <v>–</v>
      </c>
      <c r="P24" s="1600">
        <f>SUMIF(KPP!$D$7:$D$100,B24,KPP!$P$7:$P$100)</f>
        <v>88979</v>
      </c>
      <c r="Q24" s="1602">
        <f>IF('ketv. 5 '!U30&gt;0,'ketv. 7 '!R29,'ketv. 6 '!P30)</f>
        <v>88979</v>
      </c>
      <c r="R24" s="1604">
        <f t="shared" si="3"/>
        <v>0</v>
      </c>
      <c r="S24" s="1600">
        <f>SUMIF(KPP!$D$7:$D$100,B24,KPP!$T$7:$T$100)</f>
        <v>0</v>
      </c>
      <c r="T24" s="1602">
        <f>IF('ketv. 5 '!U30&gt;0,'ketv. 7 '!AB29,'ketv. 6 '!X30)</f>
        <v>0</v>
      </c>
      <c r="U24" s="1604" t="str">
        <f t="shared" si="4"/>
        <v>–</v>
      </c>
      <c r="V24" s="1600">
        <f>SUMIF(KPP!$D$7:$D$100,B24,KPP!$R$7:$R$100)</f>
        <v>0</v>
      </c>
      <c r="W24" s="1602">
        <f>IF('ketv. 5 '!U30&gt;0,'ketv. 7 '!AG29,'ketv. 6 '!AB30)</f>
        <v>0</v>
      </c>
      <c r="X24" s="1604" t="str">
        <f t="shared" si="5"/>
        <v>–</v>
      </c>
      <c r="Y24" s="1605" t="str">
        <f>IF('ketv. 5 '!U30&gt;0,"baigtas","–")</f>
        <v>–</v>
      </c>
    </row>
    <row r="25" spans="1:25" ht="36.75" thickBot="1">
      <c r="A25" s="376">
        <f t="shared" si="6"/>
        <v>24</v>
      </c>
      <c r="B25" s="376" t="str">
        <f>CONCATENATE('ES lėšos'!B24)</f>
        <v>Varėnos r. Vazgirdonių kaimo Klevų gatvės įrengimas</v>
      </c>
      <c r="C25" s="376" t="str">
        <f>CONCATENATE('ES lėšos'!C24)</f>
        <v xml:space="preserve">Pagrindinės paslaugos ir kaimų atnaujinimas kaimo vietovėse </v>
      </c>
      <c r="D25" s="376" t="str">
        <f>CONCATENATE('ES lėšos'!D24)</f>
        <v xml:space="preserve">Varėnos rajono savivaldybės administracija </v>
      </c>
      <c r="E25" s="376" t="str">
        <f>CONCATENATE('ES lėšos'!E24)</f>
        <v>Varėnos r. sav.</v>
      </c>
      <c r="F25" s="376" t="str">
        <f>CONCATENATE('ES lėšos'!F24)</f>
        <v>-</v>
      </c>
      <c r="G25" s="1600">
        <f>SUMIF(KPP!$D$7:$D$100,B25,KPP!$H$7:$H$100)</f>
        <v>160048</v>
      </c>
      <c r="H25" s="1602">
        <f>IF('ketv. 5 '!U31&gt;0,'ketv. 7 '!L30,'ketv. 6 '!L31)</f>
        <v>0</v>
      </c>
      <c r="I25" s="1604" t="str">
        <f t="shared" si="0"/>
        <v>–</v>
      </c>
      <c r="J25" s="1600">
        <f>SUMIF(KPP!D29:D722,B25,KPP!N29:N722)</f>
        <v>122596.20000000001</v>
      </c>
      <c r="K25" s="1602">
        <f>IF('ketv. 5 '!U31&gt;0,'ketv. 7 '!AL30,'ketv. 6 '!AF31)</f>
        <v>0</v>
      </c>
      <c r="L25" s="1604" t="str">
        <f t="shared" si="1"/>
        <v>–</v>
      </c>
      <c r="M25" s="1600">
        <f>SUMIF(KPP!$D$7:$D$100,B25,KPP!$O$7:$O$100)</f>
        <v>0</v>
      </c>
      <c r="N25" s="1602">
        <f>IF('ketv. 5 '!U31&gt;0,'ketv. 7 '!W30,'ketv. 6 '!T31)</f>
        <v>0</v>
      </c>
      <c r="O25" s="1604" t="str">
        <f t="shared" si="2"/>
        <v>–</v>
      </c>
      <c r="P25" s="1600">
        <f>SUMIF(KPP!$D$7:$D$100,B25,KPP!$P$7:$P$100)</f>
        <v>37451.800000000003</v>
      </c>
      <c r="Q25" s="1602">
        <f>IF('ketv. 5 '!U31&gt;0,'ketv. 7 '!R30,'ketv. 6 '!P31)</f>
        <v>0</v>
      </c>
      <c r="R25" s="1604" t="str">
        <f t="shared" si="3"/>
        <v>–</v>
      </c>
      <c r="S25" s="1600">
        <f>SUMIF(KPP!$D$7:$D$100,B25,KPP!$T$7:$T$100)</f>
        <v>0</v>
      </c>
      <c r="T25" s="1602">
        <f>IF('ketv. 5 '!U31&gt;0,'ketv. 7 '!AB30,'ketv. 6 '!X31)</f>
        <v>0</v>
      </c>
      <c r="U25" s="1604" t="str">
        <f t="shared" si="4"/>
        <v>–</v>
      </c>
      <c r="V25" s="1600">
        <f>SUMIF(KPP!$D$7:$D$100,B25,KPP!$R$7:$R$100)</f>
        <v>0</v>
      </c>
      <c r="W25" s="1602">
        <f>IF('ketv. 5 '!U31&gt;0,'ketv. 7 '!AG30,'ketv. 6 '!AB31)</f>
        <v>0</v>
      </c>
      <c r="X25" s="1604" t="str">
        <f t="shared" si="5"/>
        <v>–</v>
      </c>
      <c r="Y25" s="1605" t="str">
        <f>IF('ketv. 5 '!U31&gt;0,"baigtas","–")</f>
        <v>–</v>
      </c>
    </row>
    <row r="26" spans="1:25" ht="48.75" thickBot="1">
      <c r="A26" s="376">
        <f t="shared" si="6"/>
        <v>25</v>
      </c>
      <c r="B26" s="376" t="str">
        <f>CONCATENATE('ES lėšos'!B25)</f>
        <v>Matuizų kaimo viešosios infrastruktūros atnaujinimas ir pritaikymas bendruomenės poreikiams</v>
      </c>
      <c r="C26" s="376" t="str">
        <f>CONCATENATE('ES lėšos'!C25)</f>
        <v>8.2.1-CPVA-R-908</v>
      </c>
      <c r="D26" s="376" t="str">
        <f>CONCATENATE('ES lėšos'!D25)</f>
        <v>Varėnos rajono savivaldybės administracija</v>
      </c>
      <c r="E26" s="376" t="str">
        <f>CONCATENATE('ES lėšos'!E25)</f>
        <v>Varėnos r. sav.</v>
      </c>
      <c r="F26" s="376" t="str">
        <f>CONCATENATE('ES lėšos'!F25)</f>
        <v>-</v>
      </c>
      <c r="G26" s="1600">
        <f>SUMIF('908'!$C$21:$C$100,B26,'908'!$G$21:$G$100)</f>
        <v>815537.61</v>
      </c>
      <c r="H26" s="1602">
        <f>IF('ketv. 5 '!U33&gt;0,'ketv. 7 '!L32,'ketv. 6 '!L33)</f>
        <v>815537.61</v>
      </c>
      <c r="I26" s="1604">
        <f t="shared" si="0"/>
        <v>0</v>
      </c>
      <c r="J26" s="1600">
        <f>SUMIF('908'!$C$21:$C$100,B26,'908'!$I$21:$I$100)</f>
        <v>487341</v>
      </c>
      <c r="K26" s="1602">
        <f>IF('ketv. 5 '!U33&gt;0,'ketv. 7 '!AL32,'ketv. 6 '!AF33)</f>
        <v>487341</v>
      </c>
      <c r="L26" s="1604">
        <f t="shared" si="1"/>
        <v>0</v>
      </c>
      <c r="M26" s="1600">
        <f>SUMIF('908'!$C$7:$C$100,B26,'908'!$J$7:$J$100)</f>
        <v>43001</v>
      </c>
      <c r="N26" s="1602">
        <f>IF('ketv. 5 '!U33&gt;0,'ketv. 7 '!W32,'ketv. 6 '!T33)</f>
        <v>43001</v>
      </c>
      <c r="O26" s="1604">
        <f t="shared" si="2"/>
        <v>0</v>
      </c>
      <c r="P26" s="1600">
        <f>SUMIF('908'!$C$7:$C$100,B26,'908'!$N$7:$N$100)</f>
        <v>285195.61</v>
      </c>
      <c r="Q26" s="1602">
        <f>IF('ketv. 5 '!U33&gt;0,'ketv. 7 '!R32,'ketv. 6 '!P33)</f>
        <v>285195.61</v>
      </c>
      <c r="R26" s="1604">
        <f t="shared" si="3"/>
        <v>0</v>
      </c>
      <c r="S26" s="1600">
        <f>SUMIF('908'!$C$7:$C$100,B26,'908'!$R$7:$R$100)</f>
        <v>0</v>
      </c>
      <c r="T26" s="1602">
        <f>IF('ketv. 5 '!U33&gt;0,'ketv. 7 '!AB32,'ketv. 6 '!X33)</f>
        <v>0</v>
      </c>
      <c r="U26" s="1604" t="str">
        <f t="shared" si="4"/>
        <v>–</v>
      </c>
      <c r="V26" s="1600">
        <f>SUMIF('908'!$C$7:$C$100,B26,'908'!$P$7:$P$100)</f>
        <v>0</v>
      </c>
      <c r="W26" s="1602">
        <f>IF('ketv. 5 '!U33&gt;0,'ketv. 7 '!AG32,'ketv. 6 '!AB33)</f>
        <v>0</v>
      </c>
      <c r="X26" s="1604" t="str">
        <f t="shared" si="5"/>
        <v>–</v>
      </c>
      <c r="Y26" s="1605" t="str">
        <f>IF('ketv. 5 '!U33&gt;0,"baigtas","–")</f>
        <v>–</v>
      </c>
    </row>
    <row r="27" spans="1:25" ht="48.75" thickBot="1">
      <c r="A27" s="376">
        <f t="shared" si="6"/>
        <v>26</v>
      </c>
      <c r="B27" s="376" t="str">
        <f>CONCATENATE('ES lėšos'!B26)</f>
        <v>Senosios Varėnos kaimo viešosios infrastruktūros atnaujinimas ir pritaikymas bendruomenės poreikiams</v>
      </c>
      <c r="C27" s="376" t="str">
        <f>CONCATENATE('ES lėšos'!C26)</f>
        <v>8.2.1-CPVA-R-908</v>
      </c>
      <c r="D27" s="376" t="str">
        <f>CONCATENATE('ES lėšos'!D26)</f>
        <v>Varėnos rajono savivaldybės administracija</v>
      </c>
      <c r="E27" s="376" t="str">
        <f>CONCATENATE('ES lėšos'!E26)</f>
        <v>Varėnos r. sav.</v>
      </c>
      <c r="F27" s="376" t="str">
        <f>CONCATENATE('ES lėšos'!F26)</f>
        <v>-</v>
      </c>
      <c r="G27" s="1600">
        <f>SUMIF('908'!$C$21:$C$100,B27,'908'!$G$21:$G$100)</f>
        <v>605024.19999999995</v>
      </c>
      <c r="H27" s="1602">
        <f>IF('ketv. 5 '!U34&gt;0,'ketv. 7 '!L33,'ketv. 6 '!L34)</f>
        <v>605024.19999999995</v>
      </c>
      <c r="I27" s="1604">
        <f t="shared" si="0"/>
        <v>0</v>
      </c>
      <c r="J27" s="1600">
        <f>SUMIF('908'!$C$21:$C$100,B27,'908'!$I$21:$I$100)</f>
        <v>514270.57</v>
      </c>
      <c r="K27" s="1602">
        <f>IF('ketv. 5 '!U34&gt;0,'ketv. 7 '!AL33,'ketv. 6 '!AF34)</f>
        <v>514270.57</v>
      </c>
      <c r="L27" s="1604">
        <f t="shared" si="1"/>
        <v>0</v>
      </c>
      <c r="M27" s="1600">
        <f>SUMIF('908'!$C$7:$C$100,B27,'908'!$J$7:$J$100)</f>
        <v>45376.81</v>
      </c>
      <c r="N27" s="1602">
        <f>IF('ketv. 5 '!U34&gt;0,'ketv. 7 '!W33,'ketv. 6 '!T34)</f>
        <v>45376.81</v>
      </c>
      <c r="O27" s="1604">
        <f t="shared" si="2"/>
        <v>0</v>
      </c>
      <c r="P27" s="1600">
        <f>SUMIF('908'!$C$7:$C$100,B27,'908'!$N$7:$N$100)</f>
        <v>45376.82</v>
      </c>
      <c r="Q27" s="1602">
        <f>IF('ketv. 5 '!U34&gt;0,'ketv. 7 '!R33,'ketv. 6 '!P34)</f>
        <v>45376.82</v>
      </c>
      <c r="R27" s="1604">
        <f t="shared" si="3"/>
        <v>0</v>
      </c>
      <c r="S27" s="1600">
        <f>SUMIF('908'!$C$7:$C$100,B27,'908'!$R$7:$R$100)</f>
        <v>0</v>
      </c>
      <c r="T27" s="1602">
        <f>IF('ketv. 5 '!U34&gt;0,'ketv. 7 '!AB33,'ketv. 6 '!X34)</f>
        <v>0</v>
      </c>
      <c r="U27" s="1604" t="str">
        <f t="shared" si="4"/>
        <v>–</v>
      </c>
      <c r="V27" s="1600">
        <f>SUMIF('908'!$C$7:$C$100,B27,'908'!$P$7:$P$100)</f>
        <v>0</v>
      </c>
      <c r="W27" s="1602">
        <f>IF('ketv. 5 '!U34&gt;0,'ketv. 7 '!AG33,'ketv. 6 '!AB34)</f>
        <v>0</v>
      </c>
      <c r="X27" s="1604" t="str">
        <f t="shared" si="5"/>
        <v>–</v>
      </c>
      <c r="Y27" s="1605" t="str">
        <f>IF('ketv. 5 '!U34&gt;0,"baigtas","–")</f>
        <v>–</v>
      </c>
    </row>
    <row r="28" spans="1:25" ht="24.75" thickBot="1">
      <c r="A28" s="376">
        <f t="shared" si="6"/>
        <v>27</v>
      </c>
      <c r="B28" s="376" t="str">
        <f>CONCATENATE('ES lėšos'!B27)</f>
        <v>Kompleksinė Miklusėnų gyvenvietės plėtra</v>
      </c>
      <c r="C28" s="376" t="str">
        <f>CONCATENATE('ES lėšos'!C27)</f>
        <v>8.2.1-CPVA-R-908</v>
      </c>
      <c r="D28" s="376" t="str">
        <f>CONCATENATE('ES lėšos'!D27)</f>
        <v>Alytaus rajono savivaldybės administracija</v>
      </c>
      <c r="E28" s="376" t="str">
        <f>CONCATENATE('ES lėšos'!E27)</f>
        <v>Alytaus r. sav.</v>
      </c>
      <c r="F28" s="376" t="str">
        <f>CONCATENATE('ES lėšos'!F27)</f>
        <v>-</v>
      </c>
      <c r="G28" s="1600">
        <f>SUMIF('908'!$C$21:$C$100,B28,'908'!$G$21:$G$100)</f>
        <v>1043467</v>
      </c>
      <c r="H28" s="1602">
        <f>IF('ketv. 5 '!U35&gt;0,'ketv. 7 '!L34,'ketv. 6 '!L35)</f>
        <v>0</v>
      </c>
      <c r="I28" s="1604" t="str">
        <f t="shared" si="0"/>
        <v>–</v>
      </c>
      <c r="J28" s="1600">
        <f>SUMIF('908'!$C$21:$C$100,B28,'908'!$I$21:$I$100)</f>
        <v>886946</v>
      </c>
      <c r="K28" s="1602">
        <f>IF('ketv. 5 '!U35&gt;0,'ketv. 7 '!AL34,'ketv. 6 '!AF35)</f>
        <v>0</v>
      </c>
      <c r="L28" s="1604" t="str">
        <f t="shared" si="1"/>
        <v>–</v>
      </c>
      <c r="M28" s="1600">
        <f>SUMIF('908'!$C$7:$C$100,B28,'908'!$J$7:$J$100)</f>
        <v>78260</v>
      </c>
      <c r="N28" s="1602">
        <f>IF('ketv. 5 '!U35&gt;0,'ketv. 7 '!W34,'ketv. 6 '!T35)</f>
        <v>0</v>
      </c>
      <c r="O28" s="1604" t="str">
        <f t="shared" si="2"/>
        <v>–</v>
      </c>
      <c r="P28" s="1600">
        <f>SUMIF('908'!$C$7:$C$100,B28,'908'!$N$7:$N$100)</f>
        <v>78261</v>
      </c>
      <c r="Q28" s="1602">
        <f>IF('ketv. 5 '!U35&gt;0,'ketv. 7 '!R34,'ketv. 6 '!P35)</f>
        <v>0</v>
      </c>
      <c r="R28" s="1604" t="str">
        <f t="shared" si="3"/>
        <v>–</v>
      </c>
      <c r="S28" s="1600">
        <f>SUMIF('908'!$C$7:$C$100,B28,'908'!$R$7:$R$100)</f>
        <v>0</v>
      </c>
      <c r="T28" s="1602">
        <f>IF('ketv. 5 '!U35&gt;0,'ketv. 7 '!AB34,'ketv. 6 '!X35)</f>
        <v>0</v>
      </c>
      <c r="U28" s="1604" t="str">
        <f t="shared" si="4"/>
        <v>–</v>
      </c>
      <c r="V28" s="1600">
        <f>SUMIF('908'!$C$7:$C$100,B28,'908'!$P$7:$P$100)</f>
        <v>0</v>
      </c>
      <c r="W28" s="1602">
        <f>IF('ketv. 5 '!U35&gt;0,'ketv. 7 '!AG34,'ketv. 6 '!AB35)</f>
        <v>0</v>
      </c>
      <c r="X28" s="1604" t="str">
        <f t="shared" si="5"/>
        <v>–</v>
      </c>
      <c r="Y28" s="1605" t="str">
        <f>IF('ketv. 5 '!U35&gt;0,"baigtas","–")</f>
        <v>–</v>
      </c>
    </row>
    <row r="29" spans="1:25" ht="36.75" thickBot="1">
      <c r="A29" s="376">
        <f t="shared" si="6"/>
        <v>28</v>
      </c>
      <c r="B29" s="376" t="str">
        <f>CONCATENATE('ES lėšos'!B28)</f>
        <v>Leipalingio viešosios erdvės pritaikymas bendruomenės poreikiams</v>
      </c>
      <c r="C29" s="376" t="str">
        <f>CONCATENATE('ES lėšos'!C28)</f>
        <v>8.2.1-CPVA-R-908</v>
      </c>
      <c r="D29" s="376" t="str">
        <f>CONCATENATE('ES lėšos'!D28)</f>
        <v xml:space="preserve">Druskininkų savivaldybės administracija  </v>
      </c>
      <c r="E29" s="376" t="str">
        <f>CONCATENATE('ES lėšos'!E28)</f>
        <v>Druskininkų sav.</v>
      </c>
      <c r="F29" s="376" t="str">
        <f>CONCATENATE('ES lėšos'!F28)</f>
        <v>-</v>
      </c>
      <c r="G29" s="1600">
        <f>SUMIF('908'!$C$21:$C$100,B29,'908'!$G$21:$G$100)</f>
        <v>579418.99</v>
      </c>
      <c r="H29" s="1602">
        <f>IF('ketv. 5 '!U36&gt;0,'ketv. 7 '!L35,'ketv. 6 '!L36)</f>
        <v>579418.99</v>
      </c>
      <c r="I29" s="1604">
        <f t="shared" si="0"/>
        <v>0</v>
      </c>
      <c r="J29" s="1600">
        <f>SUMIF('908'!$C$21:$C$100,B29,'908'!$I$21:$I$100)</f>
        <v>355096.91</v>
      </c>
      <c r="K29" s="1602">
        <f>IF('ketv. 5 '!U36&gt;0,'ketv. 7 '!AL35,'ketv. 6 '!AF36)</f>
        <v>355096.91</v>
      </c>
      <c r="L29" s="1604">
        <f t="shared" si="1"/>
        <v>0</v>
      </c>
      <c r="M29" s="1600">
        <f>SUMIF('908'!$C$7:$C$100,B29,'908'!$J$7:$J$100)</f>
        <v>31332.09</v>
      </c>
      <c r="N29" s="1602">
        <f>IF('ketv. 5 '!U36&gt;0,'ketv. 7 '!W35,'ketv. 6 '!T36)</f>
        <v>31332.09</v>
      </c>
      <c r="O29" s="1604">
        <f t="shared" si="2"/>
        <v>0</v>
      </c>
      <c r="P29" s="1600">
        <f>SUMIF('908'!$C$7:$C$100,B29,'908'!$N$7:$N$100)</f>
        <v>192989.99</v>
      </c>
      <c r="Q29" s="1602">
        <f>IF('ketv. 5 '!U36&gt;0,'ketv. 7 '!R35,'ketv. 6 '!P36)</f>
        <v>192989.99</v>
      </c>
      <c r="R29" s="1604">
        <f t="shared" si="3"/>
        <v>0</v>
      </c>
      <c r="S29" s="1600">
        <f>SUMIF('908'!$C$7:$C$100,B29,'908'!$R$7:$R$100)</f>
        <v>0</v>
      </c>
      <c r="T29" s="1602">
        <f>IF('ketv. 5 '!U36&gt;0,'ketv. 7 '!AB35,'ketv. 6 '!X36)</f>
        <v>0</v>
      </c>
      <c r="U29" s="1604" t="str">
        <f t="shared" si="4"/>
        <v>–</v>
      </c>
      <c r="V29" s="1600">
        <f>SUMIF('908'!$C$7:$C$100,B29,'908'!$P$7:$P$100)</f>
        <v>0</v>
      </c>
      <c r="W29" s="1602">
        <f>IF('ketv. 5 '!U36&gt;0,'ketv. 7 '!AG35,'ketv. 6 '!AB36)</f>
        <v>0</v>
      </c>
      <c r="X29" s="1604" t="str">
        <f t="shared" si="5"/>
        <v>–</v>
      </c>
      <c r="Y29" s="1605" t="str">
        <f>IF('ketv. 5 '!U36&gt;0,"baigtas","–")</f>
        <v>–</v>
      </c>
    </row>
    <row r="30" spans="1:25" ht="36.75" thickBot="1">
      <c r="A30" s="376">
        <f t="shared" si="6"/>
        <v>29</v>
      </c>
      <c r="B30" s="376" t="str">
        <f>CONCATENATE('ES lėšos'!B29)</f>
        <v>Viečiūnų viešosios erdvės pritaikymas bendruomenės poreikiams</v>
      </c>
      <c r="C30" s="376" t="str">
        <f>CONCATENATE('ES lėšos'!C29)</f>
        <v>8.2.1-CPVA-R-908</v>
      </c>
      <c r="D30" s="376" t="str">
        <f>CONCATENATE('ES lėšos'!D29)</f>
        <v xml:space="preserve">Druskininkų savivaldybės administracija  </v>
      </c>
      <c r="E30" s="376" t="str">
        <f>CONCATENATE('ES lėšos'!E29)</f>
        <v>Druskininkų sav.</v>
      </c>
      <c r="F30" s="376" t="str">
        <f>CONCATENATE('ES lėšos'!F29)</f>
        <v>-</v>
      </c>
      <c r="G30" s="1600">
        <f>SUMIF('908'!$C$21:$C$100,B30,'908'!$G$21:$G$100)</f>
        <v>673878</v>
      </c>
      <c r="H30" s="1602">
        <f>IF('ketv. 5 '!U37&gt;0,'ketv. 7 '!L36,'ketv. 6 '!L37)</f>
        <v>673878</v>
      </c>
      <c r="I30" s="1604">
        <f t="shared" si="0"/>
        <v>0</v>
      </c>
      <c r="J30" s="1600">
        <f>SUMIF('908'!$C$21:$C$100,B30,'908'!$I$21:$I$100)</f>
        <v>572796.16000000003</v>
      </c>
      <c r="K30" s="1602">
        <f>IF('ketv. 5 '!U37&gt;0,'ketv. 7 '!AL36,'ketv. 6 '!AF37)</f>
        <v>572796.16000000003</v>
      </c>
      <c r="L30" s="1604">
        <f t="shared" si="1"/>
        <v>0</v>
      </c>
      <c r="M30" s="1600">
        <f>SUMIF('908'!$C$7:$C$100,B30,'908'!$J$7:$J$100)</f>
        <v>50540.84</v>
      </c>
      <c r="N30" s="1602">
        <f>IF('ketv. 5 '!U37&gt;0,'ketv. 7 '!W36,'ketv. 6 '!T37)</f>
        <v>50540.84</v>
      </c>
      <c r="O30" s="1604">
        <f t="shared" si="2"/>
        <v>0</v>
      </c>
      <c r="P30" s="1600">
        <f>SUMIF('908'!$C$7:$C$100,B30,'908'!$N$7:$N$100)</f>
        <v>50541</v>
      </c>
      <c r="Q30" s="1602">
        <f>IF('ketv. 5 '!U37&gt;0,'ketv. 7 '!R36,'ketv. 6 '!P37)</f>
        <v>50541</v>
      </c>
      <c r="R30" s="1604">
        <f t="shared" si="3"/>
        <v>0</v>
      </c>
      <c r="S30" s="1600">
        <f>SUMIF('908'!$C$7:$C$100,B30,'908'!$R$7:$R$100)</f>
        <v>0</v>
      </c>
      <c r="T30" s="1602">
        <f>IF('ketv. 5 '!U37&gt;0,'ketv. 7 '!AB36,'ketv. 6 '!X37)</f>
        <v>0</v>
      </c>
      <c r="U30" s="1604" t="str">
        <f t="shared" si="4"/>
        <v>–</v>
      </c>
      <c r="V30" s="1600">
        <f>SUMIF('908'!$C$7:$C$100,B30,'908'!$P$7:$P$100)</f>
        <v>0</v>
      </c>
      <c r="W30" s="1602">
        <f>IF('ketv. 5 '!U37&gt;0,'ketv. 7 '!AG36,'ketv. 6 '!AB37)</f>
        <v>0</v>
      </c>
      <c r="X30" s="1604" t="str">
        <f t="shared" si="5"/>
        <v>–</v>
      </c>
      <c r="Y30" s="1605" t="str">
        <f>IF('ketv. 5 '!U37&gt;0,"baigtas","–")</f>
        <v>–</v>
      </c>
    </row>
    <row r="31" spans="1:25" ht="48.75" thickBot="1">
      <c r="A31" s="376">
        <f t="shared" si="6"/>
        <v>30</v>
      </c>
      <c r="B31" s="376" t="str">
        <f>CONCATENATE('ES lėšos'!B30)</f>
        <v>Varėnos miesto centrinės dalies modernizavimas ir pritaikymas visuomenės poreikiams (I etapas)</v>
      </c>
      <c r="C31" s="376" t="str">
        <f>CONCATENATE('ES lėšos'!C30)</f>
        <v xml:space="preserve">07.1.1-CPVA-R-905 </v>
      </c>
      <c r="D31" s="376" t="str">
        <f>CONCATENATE('ES lėšos'!D30)</f>
        <v>Varėnos rajono savivaldybės administracija</v>
      </c>
      <c r="E31" s="376" t="str">
        <f>CONCATENATE('ES lėšos'!E30)</f>
        <v>Varėnos r. sav.</v>
      </c>
      <c r="F31" s="376" t="str">
        <f>CONCATENATE('ES lėšos'!F30)</f>
        <v>ITI</v>
      </c>
      <c r="G31" s="1600">
        <f>SUMIF('905'!$C$21:$C$100,B31,'905'!$G$21:$G$100)</f>
        <v>1516825.67</v>
      </c>
      <c r="H31" s="1602">
        <f>IF('ketv. 5 '!U39&gt;0,'ketv. 7 '!L38,'ketv. 6 '!L39)</f>
        <v>1516825.6700000004</v>
      </c>
      <c r="I31" s="1604">
        <f t="shared" si="0"/>
        <v>-4.6566128730773926E-10</v>
      </c>
      <c r="J31" s="1600">
        <f>SUMIF('905'!$C$21:$C$100,B31,'905'!$I$21:$I$100)</f>
        <v>1289301.81</v>
      </c>
      <c r="K31" s="1602">
        <f>IF('ketv. 5 '!U39&gt;0,'ketv. 7 '!AL38,'ketv. 6 '!AF39)</f>
        <v>1263024.5600000003</v>
      </c>
      <c r="L31" s="1604">
        <f t="shared" si="1"/>
        <v>26277.249999999767</v>
      </c>
      <c r="M31" s="1600">
        <f>SUMIF('905'!$C$7:$C$100,B31,'905'!$J$7:$J$100)</f>
        <v>113761.92</v>
      </c>
      <c r="N31" s="1602">
        <f>IF('ketv. 5 '!U39&gt;0,'ketv. 7 '!W38,'ketv. 6 '!T39)</f>
        <v>140039.17000000001</v>
      </c>
      <c r="O31" s="1604">
        <f t="shared" si="2"/>
        <v>-26277.250000000015</v>
      </c>
      <c r="P31" s="1600">
        <f>SUMIF('905'!$C$7:$C$100,B31,'905'!$N$7:$N$100)</f>
        <v>113761.94</v>
      </c>
      <c r="Q31" s="1602">
        <f>IF('ketv. 5 '!U39&gt;0,'ketv. 7 '!R38,'ketv. 6 '!P39)</f>
        <v>113761.94</v>
      </c>
      <c r="R31" s="1604">
        <f t="shared" si="3"/>
        <v>0</v>
      </c>
      <c r="S31" s="1600">
        <f>SUMIF('905'!$C$7:$C$100,B31,'905'!$R$7:$R$100)</f>
        <v>0</v>
      </c>
      <c r="T31" s="1602">
        <f>IF('ketv. 5 '!U39&gt;0,'ketv. 7 '!AB38,'ketv. 6 '!X39)</f>
        <v>0</v>
      </c>
      <c r="U31" s="1604" t="str">
        <f t="shared" si="4"/>
        <v>–</v>
      </c>
      <c r="V31" s="1600">
        <f>SUMIF('905'!$C$7:$C$100,B31,'905'!$P$7:$P$100)</f>
        <v>0</v>
      </c>
      <c r="W31" s="1602">
        <f>IF('ketv. 5 '!U39&gt;0,'ketv. 7 '!AG38,'ketv. 6 '!AB39)</f>
        <v>0</v>
      </c>
      <c r="X31" s="1604" t="str">
        <f t="shared" si="5"/>
        <v>–</v>
      </c>
      <c r="Y31" s="1605" t="str">
        <f>IF('ketv. 5 '!U39&gt;0,"baigtas","–")</f>
        <v>baigtas</v>
      </c>
    </row>
    <row r="32" spans="1:25" ht="48.75" thickBot="1">
      <c r="A32" s="376">
        <f t="shared" si="6"/>
        <v>31</v>
      </c>
      <c r="B32" s="376" t="str">
        <f>CONCATENATE('ES lėšos'!B31)</f>
        <v>Varėnos miesto centrinės dalies modernizavimas ir pritaikymas visuomenės poreikiams (II etapas)</v>
      </c>
      <c r="C32" s="376" t="str">
        <f>CONCATENATE('ES lėšos'!C31)</f>
        <v xml:space="preserve">07.1.1-CPVA-R-905 </v>
      </c>
      <c r="D32" s="376" t="str">
        <f>CONCATENATE('ES lėšos'!D31)</f>
        <v>Varėnos rajono savivaldybės administracija</v>
      </c>
      <c r="E32" s="376" t="str">
        <f>CONCATENATE('ES lėšos'!E31)</f>
        <v>Varėnos r. sav.</v>
      </c>
      <c r="F32" s="376" t="str">
        <f>CONCATENATE('ES lėšos'!F31)</f>
        <v>ITI</v>
      </c>
      <c r="G32" s="1600">
        <f>SUMIF('905'!$C$21:$C$100,B32,'905'!$G$21:$G$100)</f>
        <v>806317.97</v>
      </c>
      <c r="H32" s="1602">
        <f>IF('ketv. 5 '!U40&gt;0,'ketv. 7 '!L39,'ketv. 6 '!L40)</f>
        <v>806317.97</v>
      </c>
      <c r="I32" s="1604">
        <f t="shared" si="0"/>
        <v>0</v>
      </c>
      <c r="J32" s="1600">
        <f>SUMIF('905'!$C$21:$C$100,B32,'905'!$I$21:$I$100)</f>
        <v>685370.28</v>
      </c>
      <c r="K32" s="1602">
        <f>IF('ketv. 5 '!U40&gt;0,'ketv. 7 '!AL39,'ketv. 6 '!AF40)</f>
        <v>685370.28</v>
      </c>
      <c r="L32" s="1604">
        <f t="shared" si="1"/>
        <v>0</v>
      </c>
      <c r="M32" s="1600">
        <f>SUMIF('905'!$C$7:$C$100,B32,'905'!$J$7:$J$100)</f>
        <v>60473.84</v>
      </c>
      <c r="N32" s="1602">
        <f>IF('ketv. 5 '!U40&gt;0,'ketv. 7 '!W39,'ketv. 6 '!T40)</f>
        <v>60473.84</v>
      </c>
      <c r="O32" s="1604">
        <f t="shared" si="2"/>
        <v>0</v>
      </c>
      <c r="P32" s="1600">
        <f>SUMIF('905'!$C$7:$C$100,B32,'905'!$N$7:$N$100)</f>
        <v>60473.85</v>
      </c>
      <c r="Q32" s="1602">
        <f>IF('ketv. 5 '!U40&gt;0,'ketv. 7 '!R39,'ketv. 6 '!P40)</f>
        <v>60473.85</v>
      </c>
      <c r="R32" s="1604">
        <f t="shared" si="3"/>
        <v>0</v>
      </c>
      <c r="S32" s="1600">
        <f>SUMIF('905'!$C$7:$C$100,B32,'905'!$R$7:$R$100)</f>
        <v>0</v>
      </c>
      <c r="T32" s="1602">
        <f>IF('ketv. 5 '!U40&gt;0,'ketv. 7 '!AB39,'ketv. 6 '!X40)</f>
        <v>0</v>
      </c>
      <c r="U32" s="1604" t="str">
        <f t="shared" si="4"/>
        <v>–</v>
      </c>
      <c r="V32" s="1600">
        <f>SUMIF('905'!$C$7:$C$100,B32,'905'!$P$7:$P$100)</f>
        <v>0</v>
      </c>
      <c r="W32" s="1602">
        <f>IF('ketv. 5 '!U40&gt;0,'ketv. 7 '!AG39,'ketv. 6 '!AB40)</f>
        <v>0</v>
      </c>
      <c r="X32" s="1604" t="str">
        <f t="shared" si="5"/>
        <v>–</v>
      </c>
      <c r="Y32" s="1605" t="str">
        <f>IF('ketv. 5 '!U40&gt;0,"baigtas","–")</f>
        <v>–</v>
      </c>
    </row>
    <row r="33" spans="1:25" ht="48.75" thickBot="1">
      <c r="A33" s="376">
        <f t="shared" si="6"/>
        <v>32</v>
      </c>
      <c r="B33" s="376" t="str">
        <f>CONCATENATE('ES lėšos'!B32)</f>
        <v>Varėnos miesto Dainų slėnio infrastruktūros atnaujinimas ir pritaikymas visuomenės poreikiams</v>
      </c>
      <c r="C33" s="376" t="str">
        <f>CONCATENATE('ES lėšos'!C32)</f>
        <v xml:space="preserve">07.1.1-CPVA-R-905 </v>
      </c>
      <c r="D33" s="376" t="str">
        <f>CONCATENATE('ES lėšos'!D32)</f>
        <v>Varėnos rajono savivaldybės administracija</v>
      </c>
      <c r="E33" s="376" t="str">
        <f>CONCATENATE('ES lėšos'!E32)</f>
        <v>Varėnos r. sav.</v>
      </c>
      <c r="F33" s="376" t="str">
        <f>CONCATENATE('ES lėšos'!F32)</f>
        <v>ITI</v>
      </c>
      <c r="G33" s="1600">
        <f>SUMIF('905'!$C$21:$C$100,B33,'905'!$G$21:$G$100)</f>
        <v>514646.41</v>
      </c>
      <c r="H33" s="1602">
        <f>IF('ketv. 5 '!U41&gt;0,'ketv. 7 '!L40,'ketv. 6 '!L41)</f>
        <v>514646.41000000003</v>
      </c>
      <c r="I33" s="1604">
        <f t="shared" si="0"/>
        <v>-5.8207660913467407E-11</v>
      </c>
      <c r="J33" s="1600">
        <f>SUMIF('905'!$C$21:$C$100,B33,'905'!$I$21:$I$100)</f>
        <v>437449.44</v>
      </c>
      <c r="K33" s="1602">
        <f>IF('ketv. 5 '!U41&gt;0,'ketv. 7 '!AL40,'ketv. 6 '!AF41)</f>
        <v>437449.44</v>
      </c>
      <c r="L33" s="1604">
        <f t="shared" si="1"/>
        <v>0</v>
      </c>
      <c r="M33" s="1600">
        <f>SUMIF('905'!$C$7:$C$100,B33,'905'!$J$7:$J$100)</f>
        <v>38598.480000000003</v>
      </c>
      <c r="N33" s="1602">
        <f>IF('ketv. 5 '!U41&gt;0,'ketv. 7 '!W40,'ketv. 6 '!T41)</f>
        <v>38598.480000000003</v>
      </c>
      <c r="O33" s="1604">
        <f t="shared" si="2"/>
        <v>0</v>
      </c>
      <c r="P33" s="1600">
        <f>SUMIF('905'!$C$7:$C$100,B33,'905'!$N$7:$N$100)</f>
        <v>38598.49</v>
      </c>
      <c r="Q33" s="1602">
        <f>IF('ketv. 5 '!U41&gt;0,'ketv. 7 '!R40,'ketv. 6 '!P41)</f>
        <v>38598.49</v>
      </c>
      <c r="R33" s="1604">
        <f t="shared" si="3"/>
        <v>0</v>
      </c>
      <c r="S33" s="1600">
        <f>SUMIF('905'!$C$7:$C$100,B33,'905'!$R$7:$R$100)</f>
        <v>0</v>
      </c>
      <c r="T33" s="1602">
        <f>IF('ketv. 5 '!U41&gt;0,'ketv. 7 '!AB40,'ketv. 6 '!X41)</f>
        <v>0</v>
      </c>
      <c r="U33" s="1604" t="str">
        <f t="shared" si="4"/>
        <v>–</v>
      </c>
      <c r="V33" s="1600">
        <f>SUMIF('905'!$C$7:$C$100,B33,'905'!$P$7:$P$100)</f>
        <v>0</v>
      </c>
      <c r="W33" s="1602">
        <f>IF('ketv. 5 '!U41&gt;0,'ketv. 7 '!AG40,'ketv. 6 '!AB41)</f>
        <v>0</v>
      </c>
      <c r="X33" s="1604" t="str">
        <f t="shared" si="5"/>
        <v>–</v>
      </c>
      <c r="Y33" s="1605" t="str">
        <f>IF('ketv. 5 '!U41&gt;0,"baigtas","–")</f>
        <v>–</v>
      </c>
    </row>
    <row r="34" spans="1:25" ht="36.75" thickBot="1">
      <c r="A34" s="376">
        <f t="shared" si="6"/>
        <v>33</v>
      </c>
      <c r="B34" s="376" t="str">
        <f>CONCATENATE('ES lėšos'!B33)</f>
        <v>Karloniškės ežero ir jo prieigų sutvarkymas ir pritaikymas aktyviam poilsiui</v>
      </c>
      <c r="C34" s="376" t="str">
        <f>CONCATENATE('ES lėšos'!C33)</f>
        <v xml:space="preserve">07.1.1-CPVA-R-905 </v>
      </c>
      <c r="D34" s="376" t="str">
        <f>CONCATENATE('ES lėšos'!D33)</f>
        <v>Varėnos rajono savivaldybės administracija</v>
      </c>
      <c r="E34" s="376" t="str">
        <f>CONCATENATE('ES lėšos'!E33)</f>
        <v>Varėnos r. sav.</v>
      </c>
      <c r="F34" s="376" t="str">
        <f>CONCATENATE('ES lėšos'!F33)</f>
        <v>ITI</v>
      </c>
      <c r="G34" s="1600">
        <f>SUMIF('905'!$C$21:$C$100,B34,'905'!$G$21:$G$100)</f>
        <v>877516.65</v>
      </c>
      <c r="H34" s="1602">
        <f>IF('ketv. 5 '!U42&gt;0,'ketv. 7 '!L41,'ketv. 6 '!L42)</f>
        <v>877516.64999999991</v>
      </c>
      <c r="I34" s="1604">
        <f t="shared" si="0"/>
        <v>1.1641532182693481E-10</v>
      </c>
      <c r="J34" s="1600">
        <f>SUMIF('905'!$C$21:$C$100,B34,'905'!$I$21:$I$100)</f>
        <v>745889.15</v>
      </c>
      <c r="K34" s="1602">
        <f>IF('ketv. 5 '!U42&gt;0,'ketv. 7 '!AL41,'ketv. 6 '!AF42)</f>
        <v>643658.59</v>
      </c>
      <c r="L34" s="1604">
        <f t="shared" si="1"/>
        <v>102230.56000000006</v>
      </c>
      <c r="M34" s="1600">
        <f>SUMIF('905'!$C$7:$C$100,B34,'905'!$J$7:$J$100)</f>
        <v>65813.75</v>
      </c>
      <c r="N34" s="1602">
        <f>IF('ketv. 5 '!U42&gt;0,'ketv. 7 '!W41,'ketv. 6 '!T42)</f>
        <v>56793.41</v>
      </c>
      <c r="O34" s="1604">
        <f t="shared" si="2"/>
        <v>9020.3399999999965</v>
      </c>
      <c r="P34" s="1600">
        <f>SUMIF('905'!$C$7:$C$100,B34,'905'!$N$7:$N$100)</f>
        <v>65813.75</v>
      </c>
      <c r="Q34" s="1602">
        <f>IF('ketv. 5 '!U42&gt;0,'ketv. 7 '!R41,'ketv. 6 '!P42)</f>
        <v>177064.65</v>
      </c>
      <c r="R34" s="1604">
        <f t="shared" si="3"/>
        <v>-111250.9</v>
      </c>
      <c r="S34" s="1600">
        <f>SUMIF('905'!$C$7:$C$100,B34,'905'!$R$7:$R$100)</f>
        <v>0</v>
      </c>
      <c r="T34" s="1602">
        <f>IF('ketv. 5 '!U42&gt;0,'ketv. 7 '!AB41,'ketv. 6 '!X42)</f>
        <v>0</v>
      </c>
      <c r="U34" s="1604" t="str">
        <f t="shared" si="4"/>
        <v>–</v>
      </c>
      <c r="V34" s="1600">
        <f>SUMIF('905'!$C$7:$C$100,B34,'905'!$P$7:$P$100)</f>
        <v>0</v>
      </c>
      <c r="W34" s="1602">
        <f>IF('ketv. 5 '!U42&gt;0,'ketv. 7 '!AG41,'ketv. 6 '!AB42)</f>
        <v>0</v>
      </c>
      <c r="X34" s="1604" t="str">
        <f t="shared" si="5"/>
        <v>–</v>
      </c>
      <c r="Y34" s="1605" t="str">
        <f>IF('ketv. 5 '!U42&gt;0,"baigtas","–")</f>
        <v>–</v>
      </c>
    </row>
    <row r="35" spans="1:25" ht="36.75" thickBot="1">
      <c r="A35" s="376">
        <f t="shared" si="6"/>
        <v>34</v>
      </c>
      <c r="B35" s="376" t="str">
        <f>CONCATENATE('ES lėšos'!B34)</f>
        <v>Nenaudojamų teritorijų Varėnos mieste sutvarkymas ir pritaikymas verslui</v>
      </c>
      <c r="C35" s="376" t="str">
        <f>CONCATENATE('ES lėšos'!C34)</f>
        <v xml:space="preserve">07.1.1-CPVA-R-905 </v>
      </c>
      <c r="D35" s="376" t="str">
        <f>CONCATENATE('ES lėšos'!D34)</f>
        <v>Varėnos rajono savivaldybės administracija</v>
      </c>
      <c r="E35" s="376" t="str">
        <f>CONCATENATE('ES lėšos'!E34)</f>
        <v>Varėnos r. sav.</v>
      </c>
      <c r="F35" s="376" t="str">
        <f>CONCATENATE('ES lėšos'!F34)</f>
        <v>ITI</v>
      </c>
      <c r="G35" s="1600">
        <f>SUMIF('905'!$C$21:$C$100,B35,'905'!$G$21:$G$100)</f>
        <v>150000</v>
      </c>
      <c r="H35" s="1602">
        <f>IF('ketv. 5 '!U43&gt;0,'ketv. 7 '!L42,'ketv. 6 '!L43)</f>
        <v>173605.66999999998</v>
      </c>
      <c r="I35" s="1604">
        <f t="shared" si="0"/>
        <v>-23605.669999999984</v>
      </c>
      <c r="J35" s="1600">
        <f>SUMIF('905'!$C$21:$C$100,B35,'905'!$I$21:$I$100)</f>
        <v>127500</v>
      </c>
      <c r="K35" s="1602">
        <f>IF('ketv. 5 '!U43&gt;0,'ketv. 7 '!AL42,'ketv. 6 '!AF43)</f>
        <v>127500</v>
      </c>
      <c r="L35" s="1604">
        <f t="shared" si="1"/>
        <v>0</v>
      </c>
      <c r="M35" s="1600">
        <f>SUMIF('905'!$C$7:$C$100,B35,'905'!$J$7:$J$100)</f>
        <v>11250</v>
      </c>
      <c r="N35" s="1602">
        <f>IF('ketv. 5 '!U43&gt;0,'ketv. 7 '!W42,'ketv. 6 '!T43)</f>
        <v>11250</v>
      </c>
      <c r="O35" s="1604">
        <f t="shared" si="2"/>
        <v>0</v>
      </c>
      <c r="P35" s="1600">
        <f>SUMIF('905'!$C$7:$C$100,B35,'905'!$N$7:$N$100)</f>
        <v>11250</v>
      </c>
      <c r="Q35" s="1602">
        <f>IF('ketv. 5 '!U43&gt;0,'ketv. 7 '!R42,'ketv. 6 '!P43)</f>
        <v>34855.67</v>
      </c>
      <c r="R35" s="1604">
        <f t="shared" si="3"/>
        <v>-23605.67</v>
      </c>
      <c r="S35" s="1600">
        <f>SUMIF('905'!$C$7:$C$100,B35,'905'!$R$7:$R$100)</f>
        <v>0</v>
      </c>
      <c r="T35" s="1602">
        <f>IF('ketv. 5 '!U43&gt;0,'ketv. 7 '!AB42,'ketv. 6 '!X43)</f>
        <v>0</v>
      </c>
      <c r="U35" s="1604" t="str">
        <f t="shared" si="4"/>
        <v>–</v>
      </c>
      <c r="V35" s="1600">
        <f>SUMIF('905'!$C$7:$C$100,B35,'905'!$P$7:$P$100)</f>
        <v>0</v>
      </c>
      <c r="W35" s="1602">
        <f>IF('ketv. 5 '!U43&gt;0,'ketv. 7 '!AG42,'ketv. 6 '!AB43)</f>
        <v>0</v>
      </c>
      <c r="X35" s="1604" t="str">
        <f t="shared" si="5"/>
        <v>–</v>
      </c>
      <c r="Y35" s="1605" t="str">
        <f>IF('ketv. 5 '!U43&gt;0,"baigtas","–")</f>
        <v>–</v>
      </c>
    </row>
    <row r="36" spans="1:25" ht="60.75" thickBot="1">
      <c r="A36" s="376">
        <f t="shared" si="6"/>
        <v>35</v>
      </c>
      <c r="B36" s="376" t="str">
        <f>CONCATENATE('ES lėšos'!B35)</f>
        <v>Teritorijų prie daugiabučių gyvenamųjų pastatų Varėnos mieste sutvarkymas ir pritaikymas visuomenės poreikiams</v>
      </c>
      <c r="C36" s="376" t="str">
        <f>CONCATENATE('ES lėšos'!C35)</f>
        <v xml:space="preserve">07.1.1-CPVA-R-905 </v>
      </c>
      <c r="D36" s="376" t="str">
        <f>CONCATENATE('ES lėšos'!D35)</f>
        <v>Varėnos rajono savivaldybės administracija</v>
      </c>
      <c r="E36" s="376" t="str">
        <f>CONCATENATE('ES lėšos'!E35)</f>
        <v>Varėnos r. sav.</v>
      </c>
      <c r="F36" s="376" t="str">
        <f>CONCATENATE('ES lėšos'!F35)</f>
        <v>ITI</v>
      </c>
      <c r="G36" s="1600">
        <f>SUMIF('905'!$C$21:$C$100,B36,'905'!$G$21:$G$100)</f>
        <v>485640.4</v>
      </c>
      <c r="H36" s="1602">
        <f>IF('ketv. 5 '!U44&gt;0,'ketv. 7 '!L43,'ketv. 6 '!L44)</f>
        <v>485640.4</v>
      </c>
      <c r="I36" s="1604">
        <f t="shared" si="0"/>
        <v>0</v>
      </c>
      <c r="J36" s="1600">
        <f>SUMIF('905'!$C$21:$C$100,B36,'905'!$I$21:$I$100)</f>
        <v>411789.06</v>
      </c>
      <c r="K36" s="1602">
        <f>IF('ketv. 5 '!U44&gt;0,'ketv. 7 '!AL43,'ketv. 6 '!AF44)</f>
        <v>255317.05</v>
      </c>
      <c r="L36" s="1604">
        <f t="shared" si="1"/>
        <v>156472.01</v>
      </c>
      <c r="M36" s="1600">
        <f>SUMIF('905'!$C$7:$C$100,B36,'905'!$J$7:$J$100)</f>
        <v>36334.160000000003</v>
      </c>
      <c r="N36" s="1602">
        <f>IF('ketv. 5 '!U44&gt;0,'ketv. 7 '!W43,'ketv. 6 '!T44)</f>
        <v>22527.97</v>
      </c>
      <c r="O36" s="1604">
        <f t="shared" si="2"/>
        <v>13806.190000000002</v>
      </c>
      <c r="P36" s="1600">
        <f>SUMIF('905'!$C$7:$C$100,B36,'905'!$N$7:$N$100)</f>
        <v>37517.18</v>
      </c>
      <c r="Q36" s="1602">
        <f>IF('ketv. 5 '!U44&gt;0,'ketv. 7 '!R43,'ketv. 6 '!P44)</f>
        <v>207795.38</v>
      </c>
      <c r="R36" s="1604">
        <f t="shared" si="3"/>
        <v>-170278.2</v>
      </c>
      <c r="S36" s="1600">
        <f>SUMIF('905'!$C$7:$C$100,B36,'905'!$R$7:$R$100)</f>
        <v>0</v>
      </c>
      <c r="T36" s="1602">
        <f>IF('ketv. 5 '!U44&gt;0,'ketv. 7 '!AB43,'ketv. 6 '!X44)</f>
        <v>0</v>
      </c>
      <c r="U36" s="1604" t="str">
        <f t="shared" si="4"/>
        <v>–</v>
      </c>
      <c r="V36" s="1600">
        <f>SUMIF('905'!$C$7:$C$100,B36,'905'!$P$7:$P$100)</f>
        <v>0</v>
      </c>
      <c r="W36" s="1602">
        <f>IF('ketv. 5 '!U44&gt;0,'ketv. 7 '!AG43,'ketv. 6 '!AB44)</f>
        <v>0</v>
      </c>
      <c r="X36" s="1604" t="str">
        <f t="shared" si="5"/>
        <v>–</v>
      </c>
      <c r="Y36" s="1605" t="str">
        <f>IF('ketv. 5 '!U44&gt;0,"baigtas","–")</f>
        <v>–</v>
      </c>
    </row>
    <row r="37" spans="1:25" ht="24.75" thickBot="1">
      <c r="A37" s="376">
        <f t="shared" si="6"/>
        <v>36</v>
      </c>
      <c r="B37" s="376" t="str">
        <f>CONCATENATE('ES lėšos'!B36)</f>
        <v>Amatų centro „Menų kalvė“ Druskininkuose įkūrimas</v>
      </c>
      <c r="C37" s="376" t="str">
        <f>CONCATENATE('ES lėšos'!C36)</f>
        <v>07.1.1-CPVA-R-903</v>
      </c>
      <c r="D37" s="376" t="str">
        <f>CONCATENATE('ES lėšos'!D36)</f>
        <v xml:space="preserve">Druskininkų savivaldybės administracija  </v>
      </c>
      <c r="E37" s="376" t="str">
        <f>CONCATENATE('ES lėšos'!E36)</f>
        <v>Druskininkų sav.</v>
      </c>
      <c r="F37" s="376" t="str">
        <f>CONCATENATE('ES lėšos'!F36)</f>
        <v>ITI</v>
      </c>
      <c r="G37" s="1600">
        <f>SUMIF('903'!$C$21:$C$100,B37,'903'!$G$21:$G$100)</f>
        <v>474784</v>
      </c>
      <c r="H37" s="1602">
        <f>IF('ketv. 5 '!U47&gt;0,'ketv. 7 '!L46,'ketv. 6 '!L47)</f>
        <v>474784</v>
      </c>
      <c r="I37" s="1604">
        <f t="shared" si="0"/>
        <v>0</v>
      </c>
      <c r="J37" s="1600">
        <f>SUMIF('903'!$C$21:$C$100,B37,'903'!$I$21:$I$100)</f>
        <v>283503.94</v>
      </c>
      <c r="K37" s="1602">
        <f>IF('ketv. 5 '!U47&gt;0,'ketv. 7 '!AL46,'ketv. 6 '!AF47)</f>
        <v>283503.94</v>
      </c>
      <c r="L37" s="1604">
        <f t="shared" si="1"/>
        <v>0</v>
      </c>
      <c r="M37" s="1600">
        <f>SUMIF('903'!$C$7:$C$100,B37,'903'!$J$7:$J$100)</f>
        <v>25015.06</v>
      </c>
      <c r="N37" s="1602">
        <f>IF('ketv. 5 '!U47&gt;0,'ketv. 7 '!W46,'ketv. 6 '!T47)</f>
        <v>25015.06</v>
      </c>
      <c r="O37" s="1604">
        <f t="shared" si="2"/>
        <v>0</v>
      </c>
      <c r="P37" s="1600">
        <f>SUMIF('903'!$C$7:$C$100,B37,'903'!$N$7:$N$100)</f>
        <v>166265</v>
      </c>
      <c r="Q37" s="1602">
        <f>IF('ketv. 5 '!U47&gt;0,'ketv. 7 '!R46,'ketv. 6 '!P47)</f>
        <v>166265</v>
      </c>
      <c r="R37" s="1604">
        <f t="shared" si="3"/>
        <v>0</v>
      </c>
      <c r="S37" s="1600">
        <f>SUMIF('903'!$C$7:$C$100,B37,'903'!$R$7:$R$100)</f>
        <v>0</v>
      </c>
      <c r="T37" s="1602">
        <f>IF('ketv. 5 '!U47&gt;0,'ketv. 7 '!AB46,'ketv. 6 '!X47)</f>
        <v>0</v>
      </c>
      <c r="U37" s="1604" t="str">
        <f t="shared" si="4"/>
        <v>–</v>
      </c>
      <c r="V37" s="1600">
        <f>SUMIF('903'!$C$7:$C$100,B37,'903'!$P$7:$P$100)</f>
        <v>0</v>
      </c>
      <c r="W37" s="1602">
        <f>IF('ketv. 5 '!U47&gt;0,'ketv. 7 '!AG46,'ketv. 6 '!AB47)</f>
        <v>0</v>
      </c>
      <c r="X37" s="1604" t="str">
        <f t="shared" si="5"/>
        <v>–</v>
      </c>
      <c r="Y37" s="1605" t="str">
        <f>IF('ketv. 5 '!U47&gt;0,"baigtas","–")</f>
        <v>–</v>
      </c>
    </row>
    <row r="38" spans="1:25" ht="36.75" thickBot="1">
      <c r="A38" s="376">
        <f t="shared" si="6"/>
        <v>37</v>
      </c>
      <c r="B38" s="376" t="str">
        <f>CONCATENATE('ES lėšos'!B37)</f>
        <v>Lazdijų miesto kompleksinė infrastruktūros plėtra, III etapas</v>
      </c>
      <c r="C38" s="376" t="str">
        <f>CONCATENATE('ES lėšos'!C37)</f>
        <v>07.1.1-CPVA-R-903</v>
      </c>
      <c r="D38" s="376" t="str">
        <f>CONCATENATE('ES lėšos'!D37)</f>
        <v>Lazdijų rajono savivaldybės administracija</v>
      </c>
      <c r="E38" s="376" t="str">
        <f>CONCATENATE('ES lėšos'!E37)</f>
        <v>Lazdijų r. sav.</v>
      </c>
      <c r="F38" s="376" t="str">
        <f>CONCATENATE('ES lėšos'!F37)</f>
        <v>ITI</v>
      </c>
      <c r="G38" s="1600">
        <f>SUMIF('903'!$C$21:$C$100,B38,'903'!$G$21:$G$100)</f>
        <v>343507</v>
      </c>
      <c r="H38" s="1602">
        <f>IF('ketv. 5 '!U48&gt;0,'ketv. 7 '!L47,'ketv. 6 '!L48)</f>
        <v>343507</v>
      </c>
      <c r="I38" s="1604">
        <f t="shared" si="0"/>
        <v>0</v>
      </c>
      <c r="J38" s="1600">
        <f>SUMIF('903'!$C$21:$C$100,B38,'903'!$I$21:$I$100)</f>
        <v>291980.95</v>
      </c>
      <c r="K38" s="1602">
        <f>IF('ketv. 5 '!U48&gt;0,'ketv. 7 '!AL47,'ketv. 6 '!AF48)</f>
        <v>291980.95</v>
      </c>
      <c r="L38" s="1604">
        <f t="shared" si="1"/>
        <v>0</v>
      </c>
      <c r="M38" s="1600">
        <f>SUMIF('903'!$C$7:$C$100,B38,'903'!$J$7:$J$100)</f>
        <v>25763.02</v>
      </c>
      <c r="N38" s="1602">
        <f>IF('ketv. 5 '!U48&gt;0,'ketv. 7 '!W47,'ketv. 6 '!T48)</f>
        <v>25763.02</v>
      </c>
      <c r="O38" s="1604">
        <f t="shared" si="2"/>
        <v>0</v>
      </c>
      <c r="P38" s="1600">
        <f>SUMIF('903'!$C$7:$C$100,B38,'903'!$N$7:$N$100)</f>
        <v>25763.03</v>
      </c>
      <c r="Q38" s="1602">
        <f>IF('ketv. 5 '!U48&gt;0,'ketv. 7 '!R47,'ketv. 6 '!P48)</f>
        <v>25763.03</v>
      </c>
      <c r="R38" s="1604">
        <f t="shared" si="3"/>
        <v>0</v>
      </c>
      <c r="S38" s="1600">
        <f>SUMIF('903'!$C$7:$C$100,B38,'903'!$R$7:$R$100)</f>
        <v>0</v>
      </c>
      <c r="T38" s="1602">
        <f>IF('ketv. 5 '!U48&gt;0,'ketv. 7 '!AB47,'ketv. 6 '!X48)</f>
        <v>0</v>
      </c>
      <c r="U38" s="1604" t="str">
        <f t="shared" si="4"/>
        <v>–</v>
      </c>
      <c r="V38" s="1600">
        <f>SUMIF('903'!$C$7:$C$100,B38,'903'!$P$7:$P$100)</f>
        <v>0</v>
      </c>
      <c r="W38" s="1602">
        <f>IF('ketv. 5 '!U48&gt;0,'ketv. 7 '!AG47,'ketv. 6 '!AB48)</f>
        <v>0</v>
      </c>
      <c r="X38" s="1604" t="str">
        <f t="shared" si="5"/>
        <v>–</v>
      </c>
      <c r="Y38" s="1605" t="str">
        <f>IF('ketv. 5 '!U48&gt;0,"baigtas","–")</f>
        <v>–</v>
      </c>
    </row>
    <row r="39" spans="1:25" ht="48.75" thickBot="1">
      <c r="A39" s="376">
        <f t="shared" si="6"/>
        <v>38</v>
      </c>
      <c r="B39" s="376" t="str">
        <f>CONCATENATE('ES lėšos'!B38)</f>
        <v>Geriamojo vandens tiekimo ir nuotekų tvarkymo sistemų renovavimas ir plėtra Varėnos rajone</v>
      </c>
      <c r="C39" s="376" t="str">
        <f>CONCATENATE('ES lėšos'!C38)</f>
        <v>05.3.2-APVA-R-014</v>
      </c>
      <c r="D39" s="376" t="str">
        <f>CONCATENATE('ES lėšos'!D38)</f>
        <v>UAB „Varėnos vandenys“</v>
      </c>
      <c r="E39" s="376" t="str">
        <f>CONCATENATE('ES lėšos'!E38)</f>
        <v>Varėnos r. sav.</v>
      </c>
      <c r="F39" s="376" t="str">
        <f>CONCATENATE('ES lėšos'!F38)</f>
        <v>ITI</v>
      </c>
      <c r="G39" s="1600">
        <f>SUMIF('014'!$C$21:$C$100,B39,'014'!$G$21:$G$100)</f>
        <v>2539908.79</v>
      </c>
      <c r="H39" s="1602">
        <f>IF('ketv. 5 '!U50&gt;0,'ketv. 7 '!L49,'ketv. 6 '!L50)</f>
        <v>2474472.79</v>
      </c>
      <c r="I39" s="1604">
        <f t="shared" si="0"/>
        <v>65436</v>
      </c>
      <c r="J39" s="1600">
        <f>SUMIF('014'!$C$21:$C$100,B39,'014'!$I$21:$I$100)</f>
        <v>1614228.26</v>
      </c>
      <c r="K39" s="1602">
        <f>IF('ketv. 5 '!U50&gt;0,'ketv. 7 '!AL49,'ketv. 6 '!AF50)</f>
        <v>1614228.26</v>
      </c>
      <c r="L39" s="1604">
        <f t="shared" si="1"/>
        <v>0</v>
      </c>
      <c r="M39" s="1600">
        <f>SUMIF('014'!$C$7:$C$100,B39,'014'!$J$7:$J$100)</f>
        <v>0</v>
      </c>
      <c r="N39" s="1602">
        <f>IF('ketv. 5 '!U50&gt;0,'ketv. 7 '!W49,'ketv. 6 '!T50)</f>
        <v>0</v>
      </c>
      <c r="O39" s="1604" t="str">
        <f t="shared" si="2"/>
        <v>–</v>
      </c>
      <c r="P39" s="1600">
        <f>SUMIF('014'!$C$7:$C$100,B39,'014'!$N$7:$N$100)</f>
        <v>0</v>
      </c>
      <c r="Q39" s="1602">
        <f>IF('ketv. 5 '!U50&gt;0,'ketv. 7 '!R49,'ketv. 6 '!P50)</f>
        <v>0</v>
      </c>
      <c r="R39" s="1604" t="str">
        <f t="shared" si="3"/>
        <v>–</v>
      </c>
      <c r="S39" s="1600">
        <f>SUMIF('014'!$C$7:$C$100,B39,'014'!$R$7:$R$100)</f>
        <v>925680.53</v>
      </c>
      <c r="T39" s="1602">
        <f>IF('ketv. 5 '!U50&gt;0,'ketv. 7 '!AB49,'ketv. 6 '!X50)</f>
        <v>860244.53</v>
      </c>
      <c r="U39" s="1604">
        <f t="shared" si="4"/>
        <v>65436</v>
      </c>
      <c r="V39" s="1600">
        <f>SUMIF('014'!$C$7:$C$100,B39,'014'!$P$7:$P$100)</f>
        <v>0</v>
      </c>
      <c r="W39" s="1602">
        <f>IF('ketv. 5 '!U50&gt;0,'ketv. 7 '!AG49,'ketv. 6 '!AB50)</f>
        <v>0</v>
      </c>
      <c r="X39" s="1604" t="str">
        <f t="shared" si="5"/>
        <v>–</v>
      </c>
      <c r="Y39" s="1605" t="str">
        <f>IF('ketv. 5 '!U50&gt;0,"baigtas","–")</f>
        <v>–</v>
      </c>
    </row>
    <row r="40" spans="1:25" ht="36.75" thickBot="1">
      <c r="A40" s="376">
        <f t="shared" si="6"/>
        <v>39</v>
      </c>
      <c r="B40" s="376" t="str">
        <f>CONCATENATE('ES lėšos'!B39)</f>
        <v>Geriamojo vandens ir nuotekų tvarkymo sistemų renovavimas Alytaus mieste</v>
      </c>
      <c r="C40" s="376" t="str">
        <f>CONCATENATE('ES lėšos'!C39)</f>
        <v>05.3.2-APVA-R-014</v>
      </c>
      <c r="D40" s="376" t="str">
        <f>CONCATENATE('ES lėšos'!D39)</f>
        <v>UAB “Dzūkijos vandenys“</v>
      </c>
      <c r="E40" s="376" t="str">
        <f>CONCATENATE('ES lėšos'!E39)</f>
        <v>Alytaus m. sav.</v>
      </c>
      <c r="F40" s="376" t="str">
        <f>CONCATENATE('ES lėšos'!F39)</f>
        <v>ITI</v>
      </c>
      <c r="G40" s="1600">
        <f>SUMIF('014'!$C$21:$C$100,B40,'014'!$G$21:$G$100)</f>
        <v>5706088</v>
      </c>
      <c r="H40" s="1602">
        <f>IF('ketv. 5 '!U51&gt;0,'ketv. 7 '!L50,'ketv. 6 '!L51)</f>
        <v>5598211</v>
      </c>
      <c r="I40" s="1604">
        <f t="shared" si="0"/>
        <v>107877</v>
      </c>
      <c r="J40" s="1600">
        <f>SUMIF('014'!$C$21:$C$100,B40,'014'!$I$21:$I$100)</f>
        <v>2696984.31</v>
      </c>
      <c r="K40" s="1602">
        <f>IF('ketv. 5 '!U51&gt;0,'ketv. 7 '!AL50,'ketv. 6 '!AF51)</f>
        <v>2645996.25</v>
      </c>
      <c r="L40" s="1604">
        <f t="shared" si="1"/>
        <v>50988.060000000056</v>
      </c>
      <c r="M40" s="1600">
        <f>SUMIF('014'!$C$7:$C$100,B40,'014'!$J$7:$J$100)</f>
        <v>0</v>
      </c>
      <c r="N40" s="1602">
        <f>IF('ketv. 5 '!U51&gt;0,'ketv. 7 '!W50,'ketv. 6 '!T51)</f>
        <v>0</v>
      </c>
      <c r="O40" s="1604" t="str">
        <f t="shared" si="2"/>
        <v>–</v>
      </c>
      <c r="P40" s="1600">
        <f>SUMIF('014'!$C$7:$C$100,B40,'014'!$N$7:$N$100)</f>
        <v>0</v>
      </c>
      <c r="Q40" s="1602">
        <f>IF('ketv. 5 '!U51&gt;0,'ketv. 7 '!R50,'ketv. 6 '!P51)</f>
        <v>0</v>
      </c>
      <c r="R40" s="1604" t="str">
        <f t="shared" si="3"/>
        <v>–</v>
      </c>
      <c r="S40" s="1600">
        <f>SUMIF('014'!$C$7:$C$100,B40,'014'!$R$7:$R$100)</f>
        <v>3009103.69</v>
      </c>
      <c r="T40" s="1602">
        <f>IF('ketv. 5 '!U51&gt;0,'ketv. 7 '!AB50,'ketv. 6 '!X51)</f>
        <v>2952214.75</v>
      </c>
      <c r="U40" s="1604">
        <f t="shared" si="4"/>
        <v>56888.939999999944</v>
      </c>
      <c r="V40" s="1600">
        <f>SUMIF('014'!$C$7:$C$100,B40,'014'!$P$7:$P$100)</f>
        <v>0</v>
      </c>
      <c r="W40" s="1602">
        <f>IF('ketv. 5 '!U51&gt;0,'ketv. 7 '!AG50,'ketv. 6 '!AB51)</f>
        <v>0</v>
      </c>
      <c r="X40" s="1604" t="str">
        <f t="shared" si="5"/>
        <v>–</v>
      </c>
      <c r="Y40" s="1605" t="str">
        <f>IF('ketv. 5 '!U51&gt;0,"baigtas","–")</f>
        <v>–</v>
      </c>
    </row>
    <row r="41" spans="1:25" ht="48.75" thickBot="1">
      <c r="A41" s="376">
        <f t="shared" si="6"/>
        <v>40</v>
      </c>
      <c r="B41" s="376" t="str">
        <f>CONCATENATE('ES lėšos'!B40)</f>
        <v>Geriamojo vandens tiekimo ir nuotekų tvarkymo sistemų renovavimas ir plėtra Lazdijų rajono savivaldybėje</v>
      </c>
      <c r="C41" s="376" t="str">
        <f>CONCATENATE('ES lėšos'!C40)</f>
        <v>05.3.2-APVA-R-014</v>
      </c>
      <c r="D41" s="376" t="str">
        <f>CONCATENATE('ES lėšos'!D40)</f>
        <v>UAB „Lazdijų vanduo“</v>
      </c>
      <c r="E41" s="376" t="str">
        <f>CONCATENATE('ES lėšos'!E40)</f>
        <v>Lazdijų r. sav.</v>
      </c>
      <c r="F41" s="376" t="str">
        <f>CONCATENATE('ES lėšos'!F40)</f>
        <v>-</v>
      </c>
      <c r="G41" s="1600">
        <f>SUMIF('014'!$C$21:$C$100,B41,'014'!$G$21:$G$100)</f>
        <v>1434076.43</v>
      </c>
      <c r="H41" s="1602">
        <f>IF('ketv. 5 '!U52&gt;0,'ketv. 7 '!L51,'ketv. 6 '!L52)</f>
        <v>1298773.75</v>
      </c>
      <c r="I41" s="1604">
        <f t="shared" si="0"/>
        <v>135302.67999999993</v>
      </c>
      <c r="J41" s="1600">
        <f>SUMIF('014'!$C$21:$C$100,B41,'014'!$I$21:$I$100)</f>
        <v>796102</v>
      </c>
      <c r="K41" s="1602">
        <f>IF('ketv. 5 '!U52&gt;0,'ketv. 7 '!AL51,'ketv. 6 '!AF52)</f>
        <v>796102</v>
      </c>
      <c r="L41" s="1604">
        <f t="shared" si="1"/>
        <v>0</v>
      </c>
      <c r="M41" s="1600">
        <f>SUMIF('014'!$C$7:$C$100,B41,'014'!$J$7:$J$100)</f>
        <v>0</v>
      </c>
      <c r="N41" s="1602">
        <f>IF('ketv. 5 '!U52&gt;0,'ketv. 7 '!W51,'ketv. 6 '!T52)</f>
        <v>0</v>
      </c>
      <c r="O41" s="1604" t="str">
        <f t="shared" si="2"/>
        <v>–</v>
      </c>
      <c r="P41" s="1600">
        <f>SUMIF('014'!$C$7:$C$100,B41,'014'!$N$7:$N$100)</f>
        <v>0</v>
      </c>
      <c r="Q41" s="1602">
        <f>IF('ketv. 5 '!U52&gt;0,'ketv. 7 '!R51,'ketv. 6 '!P52)</f>
        <v>0</v>
      </c>
      <c r="R41" s="1604" t="str">
        <f t="shared" si="3"/>
        <v>–</v>
      </c>
      <c r="S41" s="1600">
        <f>SUMIF('014'!$C$7:$C$100,B41,'014'!$R$7:$R$100)</f>
        <v>637974.43000000005</v>
      </c>
      <c r="T41" s="1602">
        <f>IF('ketv. 5 '!U52&gt;0,'ketv. 7 '!AB51,'ketv. 6 '!X52)</f>
        <v>502671.75</v>
      </c>
      <c r="U41" s="1604">
        <f t="shared" si="4"/>
        <v>135302.68000000005</v>
      </c>
      <c r="V41" s="1600">
        <f>SUMIF('014'!$C$7:$C$100,B41,'014'!$P$7:$P$100)</f>
        <v>0</v>
      </c>
      <c r="W41" s="1602">
        <f>IF('ketv. 5 '!U52&gt;0,'ketv. 7 '!AG51,'ketv. 6 '!AB52)</f>
        <v>0</v>
      </c>
      <c r="X41" s="1604" t="str">
        <f t="shared" si="5"/>
        <v>–</v>
      </c>
      <c r="Y41" s="1605" t="str">
        <f>IF('ketv. 5 '!U52&gt;0,"baigtas","–")</f>
        <v>–</v>
      </c>
    </row>
    <row r="42" spans="1:25" ht="48.75" thickBot="1">
      <c r="A42" s="376">
        <f t="shared" si="6"/>
        <v>41</v>
      </c>
      <c r="B42" s="376" t="str">
        <f>CONCATENATE('ES lėšos'!B41)</f>
        <v>Vandens tiekimo ir nuotekų šalinimo infrastruktūros renovavimas ir plėtra Druskininkų savivaldybėje</v>
      </c>
      <c r="C42" s="376" t="str">
        <f>CONCATENATE('ES lėšos'!C41)</f>
        <v>05.3.2-APVA-R-014</v>
      </c>
      <c r="D42" s="376" t="str">
        <f>CONCATENATE('ES lėšos'!D41)</f>
        <v>UAB "Druskininkų vandenys"</v>
      </c>
      <c r="E42" s="376" t="str">
        <f>CONCATENATE('ES lėšos'!E41)</f>
        <v>Druskininkų sav.</v>
      </c>
      <c r="F42" s="376" t="str">
        <f>CONCATENATE('ES lėšos'!F41)</f>
        <v>-</v>
      </c>
      <c r="G42" s="1600">
        <f>SUMIF('014'!$C$21:$C$100,B42,'014'!$G$21:$G$100)</f>
        <v>5160736.5999999996</v>
      </c>
      <c r="H42" s="1602">
        <f>IF('ketv. 5 '!U53&gt;0,'ketv. 7 '!L52,'ketv. 6 '!L53)</f>
        <v>5160736.5999999996</v>
      </c>
      <c r="I42" s="1604">
        <f t="shared" si="0"/>
        <v>0</v>
      </c>
      <c r="J42" s="1600">
        <f>SUMIF('014'!$C$21:$C$100,B42,'014'!$I$21:$I$100)</f>
        <v>2874174.73</v>
      </c>
      <c r="K42" s="1602">
        <f>IF('ketv. 5 '!U53&gt;0,'ketv. 7 '!AL52,'ketv. 6 '!AF53)</f>
        <v>2874174.73</v>
      </c>
      <c r="L42" s="1604">
        <f t="shared" si="1"/>
        <v>0</v>
      </c>
      <c r="M42" s="1600">
        <f>SUMIF('014'!$C$7:$C$100,B42,'014'!$J$7:$J$100)</f>
        <v>0</v>
      </c>
      <c r="N42" s="1602">
        <f>IF('ketv. 5 '!U53&gt;0,'ketv. 7 '!W52,'ketv. 6 '!T53)</f>
        <v>0</v>
      </c>
      <c r="O42" s="1604" t="str">
        <f t="shared" si="2"/>
        <v>–</v>
      </c>
      <c r="P42" s="1600">
        <f>SUMIF('014'!$C$7:$C$100,B42,'014'!$N$7:$N$100)</f>
        <v>0</v>
      </c>
      <c r="Q42" s="1602">
        <f>IF('ketv. 5 '!U53&gt;0,'ketv. 7 '!R52,'ketv. 6 '!P53)</f>
        <v>0</v>
      </c>
      <c r="R42" s="1604" t="str">
        <f t="shared" si="3"/>
        <v>–</v>
      </c>
      <c r="S42" s="1600">
        <f>SUMIF('014'!$C$7:$C$100,B42,'014'!$R$7:$R$100)</f>
        <v>2286561.87</v>
      </c>
      <c r="T42" s="1602">
        <f>IF('ketv. 5 '!U53&gt;0,'ketv. 7 '!AB52,'ketv. 6 '!X53)</f>
        <v>2286561.87</v>
      </c>
      <c r="U42" s="1604">
        <f t="shared" si="4"/>
        <v>0</v>
      </c>
      <c r="V42" s="1600">
        <f>SUMIF('014'!$C$7:$C$100,B42,'014'!$P$7:$P$100)</f>
        <v>0</v>
      </c>
      <c r="W42" s="1602">
        <f>IF('ketv. 5 '!U53&gt;0,'ketv. 7 '!AG52,'ketv. 6 '!AB53)</f>
        <v>0</v>
      </c>
      <c r="X42" s="1604" t="str">
        <f t="shared" si="5"/>
        <v>–</v>
      </c>
      <c r="Y42" s="1605" t="str">
        <f>IF('ketv. 5 '!U53&gt;0,"baigtas","–")</f>
        <v>–</v>
      </c>
    </row>
    <row r="43" spans="1:25" ht="48.75" thickBot="1">
      <c r="A43" s="376">
        <f t="shared" si="6"/>
        <v>42</v>
      </c>
      <c r="B43" s="376" t="str">
        <f>CONCATENATE('ES lėšos'!B42)</f>
        <v>Vandens tiekimo ir nuotekų tvarkymo infrastruktūros plėtra Alytaus rajone (Krokialaukyje)</v>
      </c>
      <c r="C43" s="376" t="str">
        <f>CONCATENATE('ES lėšos'!C42)</f>
        <v>05.3.2-APVA-R-014</v>
      </c>
      <c r="D43" s="376" t="str">
        <f>CONCATENATE('ES lėšos'!D42)</f>
        <v>SĮ „Simno komunalininkas“</v>
      </c>
      <c r="E43" s="376" t="str">
        <f>CONCATENATE('ES lėšos'!E42)</f>
        <v>Alytaus r. sav.</v>
      </c>
      <c r="F43" s="376" t="str">
        <f>CONCATENATE('ES lėšos'!F42)</f>
        <v>-</v>
      </c>
      <c r="G43" s="1600">
        <f>SUMIF('014'!$C$21:$C$100,B43,'014'!$G$21:$G$100)</f>
        <v>1571000</v>
      </c>
      <c r="H43" s="1602">
        <f>IF('ketv. 5 '!U54&gt;0,'ketv. 7 '!L53,'ketv. 6 '!L54)</f>
        <v>1481000</v>
      </c>
      <c r="I43" s="1604">
        <f t="shared" si="0"/>
        <v>90000</v>
      </c>
      <c r="J43" s="1600">
        <f>SUMIF('014'!$C$21:$C$100,B43,'014'!$I$21:$I$100)</f>
        <v>920475</v>
      </c>
      <c r="K43" s="1602">
        <f>IF('ketv. 5 '!U54&gt;0,'ketv. 7 '!AL53,'ketv. 6 '!AF54)</f>
        <v>867744</v>
      </c>
      <c r="L43" s="1604">
        <f t="shared" si="1"/>
        <v>52731</v>
      </c>
      <c r="M43" s="1600">
        <f>SUMIF('014'!$C$7:$C$100,B43,'014'!$J$7:$J$100)</f>
        <v>0</v>
      </c>
      <c r="N43" s="1602">
        <f>IF('ketv. 5 '!U54&gt;0,'ketv. 7 '!W53,'ketv. 6 '!T54)</f>
        <v>0</v>
      </c>
      <c r="O43" s="1604" t="str">
        <f t="shared" si="2"/>
        <v>–</v>
      </c>
      <c r="P43" s="1600">
        <f>SUMIF('014'!$C$7:$C$100,B43,'014'!$N$7:$N$100)</f>
        <v>0</v>
      </c>
      <c r="Q43" s="1602">
        <f>IF('ketv. 5 '!U54&gt;0,'ketv. 7 '!R53,'ketv. 6 '!P54)</f>
        <v>0</v>
      </c>
      <c r="R43" s="1604" t="str">
        <f t="shared" si="3"/>
        <v>–</v>
      </c>
      <c r="S43" s="1600">
        <f>SUMIF('014'!$C$7:$C$100,B43,'014'!$R$7:$R$100)</f>
        <v>650525</v>
      </c>
      <c r="T43" s="1602">
        <f>IF('ketv. 5 '!U54&gt;0,'ketv. 7 '!AB53,'ketv. 6 '!X54)</f>
        <v>613256</v>
      </c>
      <c r="U43" s="1604">
        <f t="shared" si="4"/>
        <v>37269</v>
      </c>
      <c r="V43" s="1600">
        <f>SUMIF('014'!$C$7:$C$100,B43,'014'!$P$7:$P$100)</f>
        <v>0</v>
      </c>
      <c r="W43" s="1602">
        <f>IF('ketv. 5 '!U54&gt;0,'ketv. 7 '!AG53,'ketv. 6 '!AB54)</f>
        <v>0</v>
      </c>
      <c r="X43" s="1604" t="str">
        <f t="shared" si="5"/>
        <v>–</v>
      </c>
      <c r="Y43" s="1605" t="str">
        <f>IF('ketv. 5 '!U54&gt;0,"baigtas","–")</f>
        <v>–</v>
      </c>
    </row>
    <row r="44" spans="1:25" ht="24.75" thickBot="1">
      <c r="A44" s="376">
        <f t="shared" si="6"/>
        <v>43</v>
      </c>
      <c r="B44" s="376" t="str">
        <f>CONCATENATE('ES lėšos'!B43)</f>
        <v>Paviršinių nuotekų sistemų tvarkymas Alytaus mieste</v>
      </c>
      <c r="C44" s="376" t="str">
        <f>CONCATENATE('ES lėšos'!C43)</f>
        <v>05.1.1-APVA-R-007</v>
      </c>
      <c r="D44" s="376" t="str">
        <f>CONCATENATE('ES lėšos'!D43)</f>
        <v>UAB “Dzūkijos vandenys“</v>
      </c>
      <c r="E44" s="376" t="str">
        <f>CONCATENATE('ES lėšos'!E43)</f>
        <v>Alytaus m. sav.</v>
      </c>
      <c r="F44" s="376" t="str">
        <f>CONCATENATE('ES lėšos'!F43)</f>
        <v>-</v>
      </c>
      <c r="G44" s="1600">
        <f>SUMIF('007'!$C$21:$C$100,B44,'007'!$G$21:$G$100)</f>
        <v>3999404</v>
      </c>
      <c r="H44" s="1602">
        <f>IF('ketv. 5 '!U56&gt;0,'ketv. 7 '!L55,'ketv. 6 '!L56)</f>
        <v>3990955.51</v>
      </c>
      <c r="I44" s="1604">
        <f t="shared" si="0"/>
        <v>8448.4900000002235</v>
      </c>
      <c r="J44" s="1600">
        <f>SUMIF('007'!$C$21:$C$100,B44,'007'!$I$21:$I$100)</f>
        <v>3399493</v>
      </c>
      <c r="K44" s="1602">
        <f>IF('ketv. 5 '!U56&gt;0,'ketv. 7 '!AL55,'ketv. 6 '!AF56)</f>
        <v>3392312.19</v>
      </c>
      <c r="L44" s="1604">
        <f t="shared" si="1"/>
        <v>7180.8100000000559</v>
      </c>
      <c r="M44" s="1600">
        <f>SUMIF('007'!$C$7:$C$100,B44,'007'!$J$7:$J$100)</f>
        <v>0</v>
      </c>
      <c r="N44" s="1602">
        <f>IF('ketv. 5 '!U56&gt;0,'ketv. 7 '!W55,'ketv. 6 '!T56)</f>
        <v>0</v>
      </c>
      <c r="O44" s="1604" t="str">
        <f t="shared" si="2"/>
        <v>–</v>
      </c>
      <c r="P44" s="1600">
        <f>SUMIF('007'!$C$7:$C$100,B44,'007'!$N$7:$N$100)</f>
        <v>0</v>
      </c>
      <c r="Q44" s="1602">
        <f>IF('ketv. 5 '!U56&gt;0,'ketv. 7 '!R55,'ketv. 6 '!P56)</f>
        <v>0</v>
      </c>
      <c r="R44" s="1604" t="str">
        <f t="shared" si="3"/>
        <v>–</v>
      </c>
      <c r="S44" s="1600">
        <f>SUMIF('007'!$C$7:$C$100,B44,'007'!$R$7:$R$100)</f>
        <v>599911</v>
      </c>
      <c r="T44" s="1602">
        <f>IF('ketv. 5 '!U56&gt;0,'ketv. 7 '!AB55,'ketv. 6 '!X56)</f>
        <v>598643.31999999995</v>
      </c>
      <c r="U44" s="1604">
        <f t="shared" si="4"/>
        <v>1267.6800000000512</v>
      </c>
      <c r="V44" s="1600">
        <f>SUMIF('007'!$C$7:$C$100,B44,'007'!$P$7:$P$100)</f>
        <v>0</v>
      </c>
      <c r="W44" s="1602">
        <f>IF('ketv. 5 '!U56&gt;0,'ketv. 7 '!AG55,'ketv. 6 '!AB56)</f>
        <v>0</v>
      </c>
      <c r="X44" s="1604" t="str">
        <f t="shared" si="5"/>
        <v>–</v>
      </c>
      <c r="Y44" s="1605" t="str">
        <f>IF('ketv. 5 '!U56&gt;0,"baigtas","–")</f>
        <v>–</v>
      </c>
    </row>
    <row r="45" spans="1:25" ht="36.75" thickBot="1">
      <c r="A45" s="376">
        <f t="shared" si="6"/>
        <v>44</v>
      </c>
      <c r="B45" s="376" t="str">
        <f>CONCATENATE('ES lėšos'!B44)</f>
        <v>Alytaus regiono turizmo informacinės infrastruktūros plėtra</v>
      </c>
      <c r="C45" s="376" t="str">
        <f>CONCATENATE('ES lėšos'!C44)</f>
        <v>05.4.1-LVPA-R-821</v>
      </c>
      <c r="D45" s="376" t="str">
        <f>CONCATENATE('ES lėšos'!D44)</f>
        <v>Alytaus miesto savivaldybės administracija</v>
      </c>
      <c r="E45" s="376" t="str">
        <f>CONCATENATE('ES lėšos'!E44)</f>
        <v>Alytaus regionas</v>
      </c>
      <c r="F45" s="376" t="str">
        <f>CONCATENATE('ES lėšos'!F44)</f>
        <v>-</v>
      </c>
      <c r="G45" s="1600">
        <f>SUMIF('821'!$C$21:$C$100,B45,'821'!$G$21:$G$100)</f>
        <v>208223.53</v>
      </c>
      <c r="H45" s="1602">
        <f>IF('ketv. 5 '!U58&gt;0,'ketv. 7 '!L57,'ketv. 6 '!L58)</f>
        <v>208223.53</v>
      </c>
      <c r="I45" s="1604">
        <f t="shared" si="0"/>
        <v>0</v>
      </c>
      <c r="J45" s="1600">
        <f>SUMIF('821'!$C$21:$C$100,B45,'821'!$I$21:$I$100)</f>
        <v>176990</v>
      </c>
      <c r="K45" s="1602">
        <f>IF('ketv. 5 '!U58&gt;0,'ketv. 7 '!AL57,'ketv. 6 '!AF58)</f>
        <v>176990</v>
      </c>
      <c r="L45" s="1604">
        <f t="shared" si="1"/>
        <v>0</v>
      </c>
      <c r="M45" s="1600">
        <f>SUMIF('821'!$C$7:$C$100,B45,'821'!$J$7:$J$100)</f>
        <v>0</v>
      </c>
      <c r="N45" s="1602">
        <f>IF('ketv. 5 '!U58&gt;0,'ketv. 7 '!W57,'ketv. 6 '!T58)</f>
        <v>0</v>
      </c>
      <c r="O45" s="1604" t="str">
        <f t="shared" si="2"/>
        <v>–</v>
      </c>
      <c r="P45" s="1600">
        <f>SUMIF('821'!$C$7:$C$100,B45,'821'!$N$7:$N$100)</f>
        <v>31233.53</v>
      </c>
      <c r="Q45" s="1602">
        <f>IF('ketv. 5 '!U58&gt;0,'ketv. 7 '!R57,'ketv. 6 '!P58)</f>
        <v>31233.53</v>
      </c>
      <c r="R45" s="1604">
        <f t="shared" si="3"/>
        <v>0</v>
      </c>
      <c r="S45" s="1600">
        <f>SUMIF('821'!$C$7:$C$100,B45,'821'!$R$7:$R$100)</f>
        <v>0</v>
      </c>
      <c r="T45" s="1602">
        <f>IF('ketv. 5 '!U58&gt;0,'ketv. 7 '!AB57,'ketv. 6 '!X58)</f>
        <v>0</v>
      </c>
      <c r="U45" s="1604" t="str">
        <f t="shared" si="4"/>
        <v>–</v>
      </c>
      <c r="V45" s="1600">
        <f>SUMIF('821'!$C$7:$C$100,B45,'821'!$P$7:$P$100)</f>
        <v>0</v>
      </c>
      <c r="W45" s="1602">
        <f>IF('ketv. 5 '!U58&gt;0,'ketv. 7 '!AG57,'ketv. 6 '!AB58)</f>
        <v>0</v>
      </c>
      <c r="X45" s="1604" t="str">
        <f t="shared" si="5"/>
        <v>–</v>
      </c>
      <c r="Y45" s="1605" t="str">
        <f>IF('ketv. 5 '!U58&gt;0,"baigtas","–")</f>
        <v>–</v>
      </c>
    </row>
    <row r="46" spans="1:25" ht="60.75" thickBot="1">
      <c r="A46" s="376">
        <f t="shared" si="6"/>
        <v>45</v>
      </c>
      <c r="B46" s="376" t="str">
        <f>CONCATENATE('ES lėšos'!B45)</f>
        <v>Turizmo trasų ir maršrutų informacinės infrastruktūros plėtra Lazdijų, Varėnos rajonų ir Druskininkų savivaldybėse</v>
      </c>
      <c r="C46" s="376" t="str">
        <f>CONCATENATE('ES lėšos'!C45)</f>
        <v>05.4.1-LVPA-R-821</v>
      </c>
      <c r="D46" s="376" t="str">
        <f>CONCATENATE('ES lėšos'!D45)</f>
        <v>Lazdijų rajono savivaldybės administracija</v>
      </c>
      <c r="E46" s="376" t="str">
        <f>CONCATENATE('ES lėšos'!E45)</f>
        <v xml:space="preserve">Lazdijų, Varėnos rajonų ir Druskininkų savivaldybės </v>
      </c>
      <c r="F46" s="376" t="str">
        <f>CONCATENATE('ES lėšos'!F45)</f>
        <v>-</v>
      </c>
      <c r="G46" s="1600">
        <f>SUMIF('821'!$C$21:$C$100,B46,'821'!$G$21:$G$100)</f>
        <v>288106</v>
      </c>
      <c r="H46" s="1602">
        <f>IF('ketv. 5 '!U59&gt;0,'ketv. 7 '!L58,'ketv. 6 '!L59)</f>
        <v>288106</v>
      </c>
      <c r="I46" s="1604">
        <f t="shared" si="0"/>
        <v>0</v>
      </c>
      <c r="J46" s="1600">
        <f>SUMIF('821'!$C$21:$C$100,B46,'821'!$I$21:$I$100)</f>
        <v>244890.1</v>
      </c>
      <c r="K46" s="1602">
        <f>IF('ketv. 5 '!U59&gt;0,'ketv. 7 '!AL58,'ketv. 6 '!AF59)</f>
        <v>244890.1</v>
      </c>
      <c r="L46" s="1604">
        <f t="shared" si="1"/>
        <v>0</v>
      </c>
      <c r="M46" s="1600">
        <f>SUMIF('821'!$C$7:$C$100,B46,'821'!$J$7:$J$100)</f>
        <v>0</v>
      </c>
      <c r="N46" s="1602">
        <f>IF('ketv. 5 '!U59&gt;0,'ketv. 7 '!W58,'ketv. 6 '!T59)</f>
        <v>0</v>
      </c>
      <c r="O46" s="1604" t="str">
        <f t="shared" si="2"/>
        <v>–</v>
      </c>
      <c r="P46" s="1600">
        <f>SUMIF('821'!$C$7:$C$100,B46,'821'!$N$7:$N$100)</f>
        <v>43215.9</v>
      </c>
      <c r="Q46" s="1602">
        <f>IF('ketv. 5 '!U59&gt;0,'ketv. 7 '!R58,'ketv. 6 '!P59)</f>
        <v>43215.9</v>
      </c>
      <c r="R46" s="1604">
        <f t="shared" si="3"/>
        <v>0</v>
      </c>
      <c r="S46" s="1600">
        <f>SUMIF('821'!$C$7:$C$100,B46,'821'!$R$7:$R$100)</f>
        <v>0</v>
      </c>
      <c r="T46" s="1602">
        <f>IF('ketv. 5 '!U59&gt;0,'ketv. 7 '!AB58,'ketv. 6 '!X59)</f>
        <v>0</v>
      </c>
      <c r="U46" s="1604" t="str">
        <f t="shared" si="4"/>
        <v>–</v>
      </c>
      <c r="V46" s="1600">
        <f>SUMIF('821'!$C$7:$C$100,B46,'821'!$P$7:$P$100)</f>
        <v>0</v>
      </c>
      <c r="W46" s="1602">
        <f>IF('ketv. 5 '!U59&gt;0,'ketv. 7 '!AG58,'ketv. 6 '!AB59)</f>
        <v>0</v>
      </c>
      <c r="X46" s="1604" t="str">
        <f t="shared" si="5"/>
        <v>–</v>
      </c>
      <c r="Y46" s="1605" t="str">
        <f>IF('ketv. 5 '!U59&gt;0,"baigtas","–")</f>
        <v>–</v>
      </c>
    </row>
    <row r="47" spans="1:25" ht="60.75" thickBot="1">
      <c r="A47" s="376">
        <f t="shared" si="6"/>
        <v>46</v>
      </c>
      <c r="B47" s="376" t="str">
        <f>CONCATENATE('ES lėšos'!B46)</f>
        <v>Turizmo trasų ir maršrutų informacinės infrastruktūros plėtra Lazdijų, Varėnos rajonų ir Druskininkų savivaldybėse, II etapas</v>
      </c>
      <c r="C47" s="376" t="str">
        <f>CONCATENATE('ES lėšos'!C46)</f>
        <v>05.4.1-LVPA-R-821</v>
      </c>
      <c r="D47" s="376" t="str">
        <f>CONCATENATE('ES lėšos'!D46)</f>
        <v>Lazdijų rajono savivaldybės administracija</v>
      </c>
      <c r="E47" s="376" t="str">
        <f>CONCATENATE('ES lėšos'!E46)</f>
        <v xml:space="preserve">Lazdijų, Varėnos rajonų ir Druskininkų savivaldybės </v>
      </c>
      <c r="F47" s="376" t="str">
        <f>CONCATENATE('ES lėšos'!F46)</f>
        <v>-</v>
      </c>
      <c r="G47" s="1600">
        <f>SUMIF('821'!$C$21:$C$100,B47,'821'!$G$21:$G$100)</f>
        <v>222988.12</v>
      </c>
      <c r="H47" s="1602">
        <f>IF('ketv. 5 '!U60&gt;0,'ketv. 7 '!L59,'ketv. 6 '!L60)</f>
        <v>0</v>
      </c>
      <c r="I47" s="1604" t="str">
        <f t="shared" si="0"/>
        <v>–</v>
      </c>
      <c r="J47" s="1600">
        <f>SUMIF('821'!$C$21:$C$100,B47,'821'!$I$21:$I$100)</f>
        <v>189539.9</v>
      </c>
      <c r="K47" s="1602">
        <f>IF('ketv. 5 '!U60&gt;0,'ketv. 7 '!AL59,'ketv. 6 '!AF60)</f>
        <v>0</v>
      </c>
      <c r="L47" s="1604" t="str">
        <f t="shared" si="1"/>
        <v>–</v>
      </c>
      <c r="M47" s="1600">
        <f>SUMIF('821'!$C$7:$C$100,B47,'821'!$J$7:$J$100)</f>
        <v>0</v>
      </c>
      <c r="N47" s="1602">
        <f>IF('ketv. 5 '!U60&gt;0,'ketv. 7 '!W59,'ketv. 6 '!T60)</f>
        <v>0</v>
      </c>
      <c r="O47" s="1604" t="str">
        <f t="shared" si="2"/>
        <v>–</v>
      </c>
      <c r="P47" s="1600">
        <f>SUMIF('821'!$C$7:$C$100,B47,'821'!$N$7:$N$100)</f>
        <v>33448.22</v>
      </c>
      <c r="Q47" s="1602">
        <f>IF('ketv. 5 '!U60&gt;0,'ketv. 7 '!R59,'ketv. 6 '!P60)</f>
        <v>0</v>
      </c>
      <c r="R47" s="1604" t="str">
        <f t="shared" si="3"/>
        <v>–</v>
      </c>
      <c r="S47" s="1600">
        <f>SUMIF('821'!$C$7:$C$100,B47,'821'!$R$7:$R$100)</f>
        <v>0</v>
      </c>
      <c r="T47" s="1602">
        <f>IF('ketv. 5 '!U60&gt;0,'ketv. 7 '!AB59,'ketv. 6 '!X60)</f>
        <v>0</v>
      </c>
      <c r="U47" s="1604" t="str">
        <f t="shared" si="4"/>
        <v>–</v>
      </c>
      <c r="V47" s="1600">
        <f>SUMIF('821'!$C$7:$C$100,B47,'821'!$P$7:$P$100)</f>
        <v>0</v>
      </c>
      <c r="W47" s="1602">
        <f>IF('ketv. 5 '!U60&gt;0,'ketv. 7 '!AG59,'ketv. 6 '!AB60)</f>
        <v>0</v>
      </c>
      <c r="X47" s="1604" t="str">
        <f t="shared" si="5"/>
        <v>–</v>
      </c>
      <c r="Y47" s="1605" t="str">
        <f>IF('ketv. 5 '!U60&gt;0,"baigtas","–")</f>
        <v>–</v>
      </c>
    </row>
    <row r="48" spans="1:25" ht="48.75" thickBot="1">
      <c r="A48" s="376">
        <f t="shared" si="6"/>
        <v>47</v>
      </c>
      <c r="B48" s="376" t="str">
        <f>CONCATENATE('ES lėšos'!B47)</f>
        <v>Kultūros įstaigų infrastruktūros modernizavimas Varėnos mieste</v>
      </c>
      <c r="C48" s="376" t="str">
        <f>CONCATENATE('ES lėšos'!C47)</f>
        <v>07.1.1-CPVA-R-305</v>
      </c>
      <c r="D48" s="376" t="str">
        <f>CONCATENATE('ES lėšos'!D47)</f>
        <v>Varėnos rajono savivaldybės administracija</v>
      </c>
      <c r="E48" s="376" t="str">
        <f>CONCATENATE('ES lėšos'!E47)</f>
        <v>Varėnos r. sav.</v>
      </c>
      <c r="F48" s="376" t="str">
        <f>CONCATENATE('ES lėšos'!F47)</f>
        <v>ITI</v>
      </c>
      <c r="G48" s="1600">
        <f>SUMIF('305'!$C$21:$C$100,B48,'305'!$G$21:$G$100)</f>
        <v>352401</v>
      </c>
      <c r="H48" s="1602">
        <f>IF('ketv. 5 '!U62&gt;0,'ketv. 7 '!L61,'ketv. 6 '!L62)</f>
        <v>352401</v>
      </c>
      <c r="I48" s="1604">
        <f t="shared" si="0"/>
        <v>0</v>
      </c>
      <c r="J48" s="1600">
        <f>SUMIF('305'!$C$21:$C$100,B48,'305'!$I$21:$I$100)</f>
        <v>299540.84999999998</v>
      </c>
      <c r="K48" s="1602">
        <f>IF('ketv. 5 '!U62&gt;0,'ketv. 7 '!AL61,'ketv. 6 '!AF62)</f>
        <v>299540.84999999998</v>
      </c>
      <c r="L48" s="1604">
        <f t="shared" si="1"/>
        <v>0</v>
      </c>
      <c r="M48" s="1600">
        <f>SUMIF('305'!$C$7:$C$100,B48,'305'!$J$7:$J$100)</f>
        <v>0</v>
      </c>
      <c r="N48" s="1602">
        <f>IF('ketv. 5 '!U62&gt;0,'ketv. 7 '!W61,'ketv. 6 '!T62)</f>
        <v>0</v>
      </c>
      <c r="O48" s="1604" t="str">
        <f t="shared" si="2"/>
        <v>–</v>
      </c>
      <c r="P48" s="1600">
        <f>SUMIF('305'!$C$7:$C$100,B48,'305'!$N$7:$N$100)</f>
        <v>52860.15</v>
      </c>
      <c r="Q48" s="1602">
        <f>IF('ketv. 5 '!U62&gt;0,'ketv. 7 '!R61,'ketv. 6 '!P62)</f>
        <v>52860.15</v>
      </c>
      <c r="R48" s="1604">
        <f t="shared" si="3"/>
        <v>0</v>
      </c>
      <c r="S48" s="1600">
        <f>SUMIF('305'!$C$7:$C$100,B48,'305'!$R$7:$R$100)</f>
        <v>0</v>
      </c>
      <c r="T48" s="1602">
        <f>IF('ketv. 5 '!U62&gt;0,'ketv. 7 '!AB61,'ketv. 6 '!X62)</f>
        <v>0</v>
      </c>
      <c r="U48" s="1604" t="str">
        <f t="shared" si="4"/>
        <v>–</v>
      </c>
      <c r="V48" s="1600">
        <f>SUMIF('305'!$C$7:$C$100,B48,'305'!$P$7:$P$100)</f>
        <v>0</v>
      </c>
      <c r="W48" s="1602">
        <f>IF('ketv. 5 '!U62&gt;0,'ketv. 7 '!AG61,'ketv. 6 '!AB62)</f>
        <v>0</v>
      </c>
      <c r="X48" s="1604" t="str">
        <f t="shared" si="5"/>
        <v>–</v>
      </c>
      <c r="Y48" s="1605" t="str">
        <f>IF('ketv. 5 '!U62&gt;0,"baigtas","–")</f>
        <v>–</v>
      </c>
    </row>
    <row r="49" spans="1:25" ht="48.75" thickBot="1">
      <c r="A49" s="376">
        <f t="shared" si="6"/>
        <v>48</v>
      </c>
      <c r="B49" s="376" t="str">
        <f>CONCATENATE('ES lėšos'!B48)</f>
        <v>VšĮ Alytaus kultūros ir komunikacijos centro pastato Alytuje, Pramonės g. 1B, rekonstravimas</v>
      </c>
      <c r="C49" s="376" t="str">
        <f>CONCATENATE('ES lėšos'!C48)</f>
        <v>07.1.1-CPVA-R-305</v>
      </c>
      <c r="D49" s="376" t="str">
        <f>CONCATENATE('ES lėšos'!D48)</f>
        <v>Alytaus miesto savivaldybės administracija</v>
      </c>
      <c r="E49" s="376" t="str">
        <f>CONCATENATE('ES lėšos'!E48)</f>
        <v>Alytaus m. sav.</v>
      </c>
      <c r="F49" s="376" t="str">
        <f>CONCATENATE('ES lėšos'!F48)</f>
        <v>ITI</v>
      </c>
      <c r="G49" s="1600">
        <f>SUMIF('305'!$C$21:$C$100,B49,'305'!$G$21:$G$100)</f>
        <v>783264.16</v>
      </c>
      <c r="H49" s="1602">
        <f>IF('ketv. 5 '!U63&gt;0,'ketv. 7 '!L62,'ketv. 6 '!L63)</f>
        <v>783264.16</v>
      </c>
      <c r="I49" s="1604">
        <f t="shared" si="0"/>
        <v>0</v>
      </c>
      <c r="J49" s="1600">
        <f>SUMIF('305'!$C$21:$C$100,B49,'305'!$I$21:$I$100)</f>
        <v>299541</v>
      </c>
      <c r="K49" s="1602">
        <f>IF('ketv. 5 '!U63&gt;0,'ketv. 7 '!AL62,'ketv. 6 '!AF63)</f>
        <v>299541</v>
      </c>
      <c r="L49" s="1604">
        <f t="shared" si="1"/>
        <v>0</v>
      </c>
      <c r="M49" s="1600">
        <f>SUMIF('305'!$C$7:$C$100,B49,'305'!$J$7:$J$100)</f>
        <v>352400.82</v>
      </c>
      <c r="N49" s="1602">
        <f>IF('ketv. 5 '!U63&gt;0,'ketv. 7 '!W62,'ketv. 6 '!T63)</f>
        <v>0</v>
      </c>
      <c r="O49" s="1604" t="str">
        <f t="shared" si="2"/>
        <v>–</v>
      </c>
      <c r="P49" s="1600">
        <f>SUMIF('305'!$C$7:$C$100,B49,'305'!$N$7:$N$100)</f>
        <v>131322.34</v>
      </c>
      <c r="Q49" s="1602">
        <f>IF('ketv. 5 '!U63&gt;0,'ketv. 7 '!R62,'ketv. 6 '!P63)</f>
        <v>131322.34</v>
      </c>
      <c r="R49" s="1604">
        <f t="shared" si="3"/>
        <v>0</v>
      </c>
      <c r="S49" s="1600">
        <f>SUMIF('305'!$C$7:$C$100,B49,'305'!$R$7:$R$100)</f>
        <v>0</v>
      </c>
      <c r="T49" s="1602">
        <f>IF('ketv. 5 '!U63&gt;0,'ketv. 7 '!AB62,'ketv. 6 '!X63)</f>
        <v>0</v>
      </c>
      <c r="U49" s="1604" t="str">
        <f t="shared" si="4"/>
        <v>–</v>
      </c>
      <c r="V49" s="1600">
        <f>SUMIF('305'!$C$7:$C$100,B49,'305'!$P$7:$P$100)</f>
        <v>0</v>
      </c>
      <c r="W49" s="1602">
        <f>IF('ketv. 5 '!U63&gt;0,'ketv. 7 '!AG62,'ketv. 6 '!AB63)</f>
        <v>352400.82</v>
      </c>
      <c r="X49" s="1604">
        <f t="shared" si="5"/>
        <v>-352400.82</v>
      </c>
      <c r="Y49" s="1605" t="str">
        <f>IF('ketv. 5 '!U63&gt;0,"baigtas","–")</f>
        <v>–</v>
      </c>
    </row>
    <row r="50" spans="1:25" ht="72.75" thickBot="1">
      <c r="A50" s="376">
        <f t="shared" si="6"/>
        <v>49</v>
      </c>
      <c r="B50" s="376" t="str">
        <f>CONCATENATE('ES lėšos'!B49)</f>
        <v>Druskininkų kultūros centro lauko scenos, Vilniaus al. 24, Druskininkai, modernizavimas ir pritaikymas kultūros poreikiams</v>
      </c>
      <c r="C50" s="376" t="str">
        <f>CONCATENATE('ES lėšos'!C49)</f>
        <v>07.1.1-CPVA-R-305</v>
      </c>
      <c r="D50" s="376" t="str">
        <f>CONCATENATE('ES lėšos'!D49)</f>
        <v xml:space="preserve">Druskininkų savivaldybės administracija  </v>
      </c>
      <c r="E50" s="376" t="str">
        <f>CONCATENATE('ES lėšos'!E49)</f>
        <v>Druskininkų sav.</v>
      </c>
      <c r="F50" s="376" t="str">
        <f>CONCATENATE('ES lėšos'!F49)</f>
        <v>ITI</v>
      </c>
      <c r="G50" s="1600">
        <f>SUMIF('305'!$C$21:$C$100,B50,'305'!$G$21:$G$100)</f>
        <v>352401</v>
      </c>
      <c r="H50" s="1602">
        <f>IF('ketv. 5 '!U64&gt;0,'ketv. 7 '!L63,'ketv. 6 '!L64)</f>
        <v>352401</v>
      </c>
      <c r="I50" s="1604">
        <f t="shared" si="0"/>
        <v>0</v>
      </c>
      <c r="J50" s="1600">
        <f>SUMIF('305'!$C$21:$C$100,B50,'305'!$I$21:$I$100)</f>
        <v>299540.84999999998</v>
      </c>
      <c r="K50" s="1602">
        <f>IF('ketv. 5 '!U64&gt;0,'ketv. 7 '!AL63,'ketv. 6 '!AF64)</f>
        <v>299540.84999999998</v>
      </c>
      <c r="L50" s="1604">
        <f t="shared" si="1"/>
        <v>0</v>
      </c>
      <c r="M50" s="1600">
        <f>SUMIF('305'!$C$7:$C$100,B50,'305'!$J$7:$J$100)</f>
        <v>0</v>
      </c>
      <c r="N50" s="1602">
        <f>IF('ketv. 5 '!U64&gt;0,'ketv. 7 '!W63,'ketv. 6 '!T64)</f>
        <v>0</v>
      </c>
      <c r="O50" s="1604" t="str">
        <f t="shared" si="2"/>
        <v>–</v>
      </c>
      <c r="P50" s="1600">
        <f>SUMIF('305'!$C$7:$C$100,B50,'305'!$N$7:$N$100)</f>
        <v>52860.15</v>
      </c>
      <c r="Q50" s="1602">
        <f>IF('ketv. 5 '!U64&gt;0,'ketv. 7 '!R63,'ketv. 6 '!P64)</f>
        <v>52860.15</v>
      </c>
      <c r="R50" s="1604">
        <f t="shared" si="3"/>
        <v>0</v>
      </c>
      <c r="S50" s="1600">
        <f>SUMIF('305'!$C$7:$C$100,B50,'305'!$R$7:$R$100)</f>
        <v>0</v>
      </c>
      <c r="T50" s="1602">
        <f>IF('ketv. 5 '!U64&gt;0,'ketv. 7 '!AB63,'ketv. 6 '!X64)</f>
        <v>0</v>
      </c>
      <c r="U50" s="1604" t="str">
        <f t="shared" si="4"/>
        <v>–</v>
      </c>
      <c r="V50" s="1600">
        <f>SUMIF('305'!$C$7:$C$100,B50,'305'!$P$7:$P$100)</f>
        <v>0</v>
      </c>
      <c r="W50" s="1602">
        <f>IF('ketv. 5 '!U64&gt;0,'ketv. 7 '!AG63,'ketv. 6 '!AB64)</f>
        <v>0</v>
      </c>
      <c r="X50" s="1604" t="str">
        <f t="shared" si="5"/>
        <v>–</v>
      </c>
      <c r="Y50" s="1605" t="str">
        <f>IF('ketv. 5 '!U64&gt;0,"baigtas","–")</f>
        <v>–</v>
      </c>
    </row>
    <row r="51" spans="1:25" ht="48.75" thickBot="1">
      <c r="A51" s="376">
        <f t="shared" si="6"/>
        <v>50</v>
      </c>
      <c r="B51" s="376" t="str">
        <f>CONCATENATE('ES lėšos'!B50)</f>
        <v>Pastato rekonstrukcija ir pritaikymas kultūrinėms, muziejinėms ir edukacinėms reikmėms</v>
      </c>
      <c r="C51" s="376" t="str">
        <f>CONCATENATE('ES lėšos'!C50)</f>
        <v>07.1.1-CPVA-R-305</v>
      </c>
      <c r="D51" s="376" t="str">
        <f>CONCATENATE('ES lėšos'!D50)</f>
        <v>Lazdijų rajono savivaldybės administracija</v>
      </c>
      <c r="E51" s="376" t="str">
        <f>CONCATENATE('ES lėšos'!E50)</f>
        <v>Lazdijų r. sav.</v>
      </c>
      <c r="F51" s="376" t="str">
        <f>CONCATENATE('ES lėšos'!F50)</f>
        <v>ITI</v>
      </c>
      <c r="G51" s="1600">
        <f>SUMIF('305'!$C$21:$C$100,B51,'305'!$G$21:$G$100)</f>
        <v>484769.35</v>
      </c>
      <c r="H51" s="1602">
        <f>IF('ketv. 5 '!U65&gt;0,'ketv. 7 '!L64,'ketv. 6 '!L65)</f>
        <v>484769.35</v>
      </c>
      <c r="I51" s="1604">
        <f t="shared" si="0"/>
        <v>0</v>
      </c>
      <c r="J51" s="1600">
        <f>SUMIF('305'!$C$21:$C$100,B51,'305'!$I$21:$I$100)</f>
        <v>299541</v>
      </c>
      <c r="K51" s="1602">
        <f>IF('ketv. 5 '!U65&gt;0,'ketv. 7 '!AL64,'ketv. 6 '!AF65)</f>
        <v>299541</v>
      </c>
      <c r="L51" s="1604">
        <f t="shared" si="1"/>
        <v>0</v>
      </c>
      <c r="M51" s="1600">
        <f>SUMIF('305'!$C$7:$C$100,B51,'305'!$J$7:$J$100)</f>
        <v>0</v>
      </c>
      <c r="N51" s="1602">
        <f>IF('ketv. 5 '!U65&gt;0,'ketv. 7 '!W64,'ketv. 6 '!T65)</f>
        <v>0</v>
      </c>
      <c r="O51" s="1604" t="str">
        <f t="shared" si="2"/>
        <v>–</v>
      </c>
      <c r="P51" s="1600">
        <f>SUMIF('305'!$C$7:$C$100,B51,'305'!$N$7:$N$100)</f>
        <v>185228.35</v>
      </c>
      <c r="Q51" s="1602">
        <f>IF('ketv. 5 '!U65&gt;0,'ketv. 7 '!R64,'ketv. 6 '!P65)</f>
        <v>185228.35</v>
      </c>
      <c r="R51" s="1604">
        <f t="shared" si="3"/>
        <v>0</v>
      </c>
      <c r="S51" s="1600">
        <f>SUMIF('305'!$C$7:$C$100,B51,'305'!$R$7:$R$100)</f>
        <v>0</v>
      </c>
      <c r="T51" s="1602">
        <f>IF('ketv. 5 '!U65&gt;0,'ketv. 7 '!AB64,'ketv. 6 '!X65)</f>
        <v>0</v>
      </c>
      <c r="U51" s="1604" t="str">
        <f t="shared" si="4"/>
        <v>–</v>
      </c>
      <c r="V51" s="1600">
        <f>SUMIF('305'!$C$7:$C$100,B51,'305'!$P$7:$P$100)</f>
        <v>0</v>
      </c>
      <c r="W51" s="1602">
        <f>IF('ketv. 5 '!U65&gt;0,'ketv. 7 '!AG64,'ketv. 6 '!AB65)</f>
        <v>0</v>
      </c>
      <c r="X51" s="1604" t="str">
        <f t="shared" si="5"/>
        <v>–</v>
      </c>
      <c r="Y51" s="1605" t="str">
        <f>IF('ketv. 5 '!U65&gt;0,"baigtas","–")</f>
        <v>–</v>
      </c>
    </row>
    <row r="52" spans="1:25" ht="48.75" thickBot="1">
      <c r="A52" s="376">
        <f t="shared" si="6"/>
        <v>51</v>
      </c>
      <c r="B52" s="376" t="str">
        <f>CONCATENATE('ES lėšos'!B51)</f>
        <v>Buvusios sinagogos pastato Kauno g. 9A Alytuje rekonstravimas ir aplinkinės teritorijos sutvarkymas</v>
      </c>
      <c r="C52" s="376" t="str">
        <f>CONCATENATE('ES lėšos'!C51)</f>
        <v>05.4.1-CPVA-R-302</v>
      </c>
      <c r="D52" s="376" t="str">
        <f>CONCATENATE('ES lėšos'!D51)</f>
        <v>Alytaus miesto savivaldybės administracija</v>
      </c>
      <c r="E52" s="376" t="str">
        <f>CONCATENATE('ES lėšos'!E51)</f>
        <v>Alytaus m. sav.</v>
      </c>
      <c r="F52" s="376" t="str">
        <f>CONCATENATE('ES lėšos'!F51)</f>
        <v>ITI</v>
      </c>
      <c r="G52" s="1600">
        <f>SUMIF('302'!$C$21:$C$100,B52,'302'!$G$21:$G$100)</f>
        <v>444560.16</v>
      </c>
      <c r="H52" s="1602">
        <f>IF('ketv. 5 '!U67&gt;0,'ketv. 7 '!L66,'ketv. 6 '!L67)</f>
        <v>444560.16000000003</v>
      </c>
      <c r="I52" s="1604">
        <f t="shared" si="0"/>
        <v>-5.8207660913467407E-11</v>
      </c>
      <c r="J52" s="1600">
        <f>SUMIF('302'!$C$21:$C$100,B52,'302'!$I$21:$I$100)</f>
        <v>206056</v>
      </c>
      <c r="K52" s="1602">
        <f>IF('ketv. 5 '!U67&gt;0,'ketv. 7 '!AL66,'ketv. 6 '!AF67)</f>
        <v>206056</v>
      </c>
      <c r="L52" s="1604">
        <f t="shared" si="1"/>
        <v>0</v>
      </c>
      <c r="M52" s="1600">
        <f>SUMIF('302'!$C$7:$C$100,B52,'302'!$J$7:$J$100)</f>
        <v>0</v>
      </c>
      <c r="N52" s="1602">
        <f>IF('ketv. 5 '!U67&gt;0,'ketv. 7 '!W66,'ketv. 6 '!T67)</f>
        <v>0</v>
      </c>
      <c r="O52" s="1604" t="str">
        <f t="shared" si="2"/>
        <v>–</v>
      </c>
      <c r="P52" s="1600">
        <f>SUMIF('302'!$C$7:$C$100,B52,'302'!$N$7:$N$100)</f>
        <v>238504.16</v>
      </c>
      <c r="Q52" s="1602">
        <f>IF('ketv. 5 '!U67&gt;0,'ketv. 7 '!R66,'ketv. 6 '!P67)</f>
        <v>238504.16</v>
      </c>
      <c r="R52" s="1604">
        <f t="shared" si="3"/>
        <v>0</v>
      </c>
      <c r="S52" s="1600">
        <f>SUMIF('302'!$C$7:$C$100,B52,'302'!$R$7:$R$100)</f>
        <v>0</v>
      </c>
      <c r="T52" s="1602">
        <f>IF('ketv. 5 '!U67&gt;0,'ketv. 7 '!AB66,'ketv. 6 '!X67)</f>
        <v>0</v>
      </c>
      <c r="U52" s="1604" t="str">
        <f t="shared" si="4"/>
        <v>–</v>
      </c>
      <c r="V52" s="1600">
        <f>SUMIF('302'!$C$7:$C$100,B52,'302'!$P$7:$P$100)</f>
        <v>0</v>
      </c>
      <c r="W52" s="1602">
        <f>IF('ketv. 5 '!U67&gt;0,'ketv. 7 '!AG66,'ketv. 6 '!AB67)</f>
        <v>0</v>
      </c>
      <c r="X52" s="1604" t="str">
        <f t="shared" si="5"/>
        <v>–</v>
      </c>
      <c r="Y52" s="1605" t="str">
        <f>IF('ketv. 5 '!U67&gt;0,"baigtas","–")</f>
        <v>–</v>
      </c>
    </row>
    <row r="53" spans="1:25" ht="72.75" thickBot="1">
      <c r="A53" s="376">
        <f t="shared" si="6"/>
        <v>52</v>
      </c>
      <c r="B53" s="376" t="str">
        <f>CONCATENATE('ES lėšos'!B52)</f>
        <v>Mažosios dailės galerijos, M.K.Čiurlionio g. 37, Druskininkai, modernizavimas ir pritaikymas kultūros poreikiams</v>
      </c>
      <c r="C53" s="376" t="str">
        <f>CONCATENATE('ES lėšos'!C52)</f>
        <v>05.4.1-CPVA-R-302</v>
      </c>
      <c r="D53" s="376" t="str">
        <f>CONCATENATE('ES lėšos'!D52)</f>
        <v xml:space="preserve">Druskininkų savivaldybės administracija  </v>
      </c>
      <c r="E53" s="376" t="str">
        <f>CONCATENATE('ES lėšos'!E52)</f>
        <v>Druskininkų sav.</v>
      </c>
      <c r="F53" s="376" t="str">
        <f>CONCATENATE('ES lėšos'!F52)</f>
        <v>-</v>
      </c>
      <c r="G53" s="1600">
        <f>SUMIF('302'!$C$21:$C$100,B53,'302'!$G$21:$G$100)</f>
        <v>297670.40999999997</v>
      </c>
      <c r="H53" s="1602">
        <f>IF('ketv. 5 '!U68&gt;0,'ketv. 7 '!L67,'ketv. 6 '!L68)</f>
        <v>297670.41000000003</v>
      </c>
      <c r="I53" s="1604">
        <f t="shared" si="0"/>
        <v>-5.8207660913467407E-11</v>
      </c>
      <c r="J53" s="1600">
        <f>SUMIF('302'!$C$21:$C$100,B53,'302'!$I$21:$I$100)</f>
        <v>206056</v>
      </c>
      <c r="K53" s="1602">
        <f>IF('ketv. 5 '!U68&gt;0,'ketv. 7 '!AL67,'ketv. 6 '!AF68)</f>
        <v>206056</v>
      </c>
      <c r="L53" s="1604">
        <f t="shared" si="1"/>
        <v>0</v>
      </c>
      <c r="M53" s="1600">
        <f>SUMIF('302'!$C$7:$C$100,B53,'302'!$J$7:$J$100)</f>
        <v>0</v>
      </c>
      <c r="N53" s="1602">
        <f>IF('ketv. 5 '!U68&gt;0,'ketv. 7 '!W67,'ketv. 6 '!T68)</f>
        <v>0</v>
      </c>
      <c r="O53" s="1604" t="str">
        <f t="shared" si="2"/>
        <v>–</v>
      </c>
      <c r="P53" s="1600">
        <f>SUMIF('302'!$C$7:$C$100,B53,'302'!$N$7:$N$100)</f>
        <v>91614.41</v>
      </c>
      <c r="Q53" s="1602">
        <f>IF('ketv. 5 '!U68&gt;0,'ketv. 7 '!R67,'ketv. 6 '!P68)</f>
        <v>91614.41</v>
      </c>
      <c r="R53" s="1604">
        <f t="shared" si="3"/>
        <v>0</v>
      </c>
      <c r="S53" s="1600">
        <f>SUMIF('302'!$C$7:$C$100,B53,'302'!$R$7:$R$100)</f>
        <v>0</v>
      </c>
      <c r="T53" s="1602">
        <f>IF('ketv. 5 '!U68&gt;0,'ketv. 7 '!AB67,'ketv. 6 '!X68)</f>
        <v>0</v>
      </c>
      <c r="U53" s="1604" t="str">
        <f t="shared" si="4"/>
        <v>–</v>
      </c>
      <c r="V53" s="1600">
        <f>SUMIF('302'!$C$7:$C$100,B53,'302'!$P$7:$P$100)</f>
        <v>0</v>
      </c>
      <c r="W53" s="1602">
        <f>IF('ketv. 5 '!U68&gt;0,'ketv. 7 '!AG67,'ketv. 6 '!AB68)</f>
        <v>0</v>
      </c>
      <c r="X53" s="1604" t="str">
        <f t="shared" si="5"/>
        <v>–</v>
      </c>
      <c r="Y53" s="1605" t="str">
        <f>IF('ketv. 5 '!U68&gt;0,"baigtas","–")</f>
        <v>–</v>
      </c>
    </row>
    <row r="54" spans="1:25" ht="36.75" thickBot="1">
      <c r="A54" s="376">
        <f t="shared" si="6"/>
        <v>53</v>
      </c>
      <c r="B54" s="376" t="str">
        <f>CONCATENATE('ES lėšos'!B53)</f>
        <v>Motiejaus Gustaičio memorialinio namo kompleksinis sutvarkymas</v>
      </c>
      <c r="C54" s="376" t="str">
        <f>CONCATENATE('ES lėšos'!C53)</f>
        <v>05.4.1-CPVA-R-302</v>
      </c>
      <c r="D54" s="376" t="str">
        <f>CONCATENATE('ES lėšos'!D53)</f>
        <v>Lazdijų rajono savivaldybės administracija</v>
      </c>
      <c r="E54" s="376" t="str">
        <f>CONCATENATE('ES lėšos'!E53)</f>
        <v>Lazdijų r. sav.</v>
      </c>
      <c r="F54" s="376" t="str">
        <f>CONCATENATE('ES lėšos'!F53)</f>
        <v>ITI</v>
      </c>
      <c r="G54" s="1600">
        <f>SUMIF('302'!$C$21:$C$100,B54,'302'!$G$21:$G$100)</f>
        <v>242419</v>
      </c>
      <c r="H54" s="1602">
        <f>IF('ketv. 5 '!U69&gt;0,'ketv. 7 '!L68,'ketv. 6 '!L69)</f>
        <v>242419</v>
      </c>
      <c r="I54" s="1604">
        <f t="shared" si="0"/>
        <v>0</v>
      </c>
      <c r="J54" s="1600">
        <f>SUMIF('302'!$C$21:$C$100,B54,'302'!$I$21:$I$100)</f>
        <v>206056</v>
      </c>
      <c r="K54" s="1602">
        <f>IF('ketv. 5 '!U69&gt;0,'ketv. 7 '!AL68,'ketv. 6 '!AF69)</f>
        <v>206056</v>
      </c>
      <c r="L54" s="1604">
        <f t="shared" si="1"/>
        <v>0</v>
      </c>
      <c r="M54" s="1600">
        <f>SUMIF('302'!$C$7:$C$100,B54,'302'!$J$7:$J$100)</f>
        <v>0</v>
      </c>
      <c r="N54" s="1602">
        <f>IF('ketv. 5 '!U69&gt;0,'ketv. 7 '!W68,'ketv. 6 '!T69)</f>
        <v>0</v>
      </c>
      <c r="O54" s="1604" t="str">
        <f t="shared" si="2"/>
        <v>–</v>
      </c>
      <c r="P54" s="1600">
        <f>SUMIF('302'!$C$7:$C$100,B54,'302'!$N$7:$N$100)</f>
        <v>36363</v>
      </c>
      <c r="Q54" s="1602">
        <f>IF('ketv. 5 '!U69&gt;0,'ketv. 7 '!R68,'ketv. 6 '!P69)</f>
        <v>36363</v>
      </c>
      <c r="R54" s="1604">
        <f t="shared" si="3"/>
        <v>0</v>
      </c>
      <c r="S54" s="1600">
        <f>SUMIF('302'!$C$7:$C$100,B54,'302'!$R$7:$R$100)</f>
        <v>0</v>
      </c>
      <c r="T54" s="1602">
        <f>IF('ketv. 5 '!U69&gt;0,'ketv. 7 '!AB68,'ketv. 6 '!X69)</f>
        <v>0</v>
      </c>
      <c r="U54" s="1604" t="str">
        <f t="shared" si="4"/>
        <v>–</v>
      </c>
      <c r="V54" s="1600">
        <f>SUMIF('302'!$C$7:$C$100,B54,'302'!$P$7:$P$100)</f>
        <v>0</v>
      </c>
      <c r="W54" s="1602">
        <f>IF('ketv. 5 '!U69&gt;0,'ketv. 7 '!AG68,'ketv. 6 '!AB69)</f>
        <v>0</v>
      </c>
      <c r="X54" s="1604" t="str">
        <f t="shared" si="5"/>
        <v>–</v>
      </c>
      <c r="Y54" s="1605" t="str">
        <f>IF('ketv. 5 '!U69&gt;0,"baigtas","–")</f>
        <v>–</v>
      </c>
    </row>
    <row r="55" spans="1:25" ht="48.75" thickBot="1">
      <c r="A55" s="376">
        <f t="shared" si="6"/>
        <v>54</v>
      </c>
      <c r="B55" s="376" t="str">
        <f>CONCATENATE('ES lėšos'!B54)</f>
        <v>Kurnėnų Lauryno Radziukyno mokyklos pritaikymas kultūrinėms ir turistinėms reikmėms</v>
      </c>
      <c r="C55" s="376" t="str">
        <f>CONCATENATE('ES lėšos'!C54)</f>
        <v>05.4.1-CPVA-R-302</v>
      </c>
      <c r="D55" s="376" t="str">
        <f>CONCATENATE('ES lėšos'!D54)</f>
        <v>Alytaus rajono savivaldybės administracija</v>
      </c>
      <c r="E55" s="376" t="str">
        <f>CONCATENATE('ES lėšos'!E54)</f>
        <v>Alytaus r. sav.</v>
      </c>
      <c r="F55" s="376" t="str">
        <f>CONCATENATE('ES lėšos'!F54)</f>
        <v>-</v>
      </c>
      <c r="G55" s="1600">
        <f>SUMIF('302'!$C$21:$C$100,B55,'302'!$G$21:$G$100)</f>
        <v>260122</v>
      </c>
      <c r="H55" s="1602">
        <f>IF('ketv. 5 '!U70&gt;0,'ketv. 7 '!L69,'ketv. 6 '!L70)</f>
        <v>234872.55</v>
      </c>
      <c r="I55" s="1604">
        <f t="shared" si="0"/>
        <v>25249.450000000012</v>
      </c>
      <c r="J55" s="1600">
        <f>SUMIF('302'!$C$21:$C$100,B55,'302'!$I$21:$I$100)</f>
        <v>206056</v>
      </c>
      <c r="K55" s="1602">
        <f>IF('ketv. 5 '!U70&gt;0,'ketv. 7 '!AL69,'ketv. 6 '!AF70)</f>
        <v>199641.66</v>
      </c>
      <c r="L55" s="1604">
        <f t="shared" si="1"/>
        <v>6414.3399999999965</v>
      </c>
      <c r="M55" s="1600">
        <f>SUMIF('302'!$C$7:$C$100,B55,'302'!$J$7:$J$100)</f>
        <v>0</v>
      </c>
      <c r="N55" s="1602">
        <f>IF('ketv. 5 '!U70&gt;0,'ketv. 7 '!W69,'ketv. 6 '!T70)</f>
        <v>0</v>
      </c>
      <c r="O55" s="1604" t="str">
        <f t="shared" si="2"/>
        <v>–</v>
      </c>
      <c r="P55" s="1600">
        <f>SUMIF('302'!$C$7:$C$100,B55,'302'!$N$7:$N$100)</f>
        <v>54066</v>
      </c>
      <c r="Q55" s="1602">
        <f>IF('ketv. 5 '!U70&gt;0,'ketv. 7 '!R69,'ketv. 6 '!P70)</f>
        <v>35230.89</v>
      </c>
      <c r="R55" s="1604">
        <f t="shared" si="3"/>
        <v>18835.11</v>
      </c>
      <c r="S55" s="1600">
        <f>SUMIF('302'!$C$7:$C$100,B55,'302'!$R$7:$R$100)</f>
        <v>0</v>
      </c>
      <c r="T55" s="1602">
        <f>IF('ketv. 5 '!U70&gt;0,'ketv. 7 '!AB69,'ketv. 6 '!X70)</f>
        <v>0</v>
      </c>
      <c r="U55" s="1604" t="str">
        <f t="shared" si="4"/>
        <v>–</v>
      </c>
      <c r="V55" s="1600">
        <f>SUMIF('302'!$C$7:$C$100,B55,'302'!$P$7:$P$100)</f>
        <v>0</v>
      </c>
      <c r="W55" s="1602">
        <f>IF('ketv. 5 '!U70&gt;0,'ketv. 7 '!AG69,'ketv. 6 '!AB70)</f>
        <v>0</v>
      </c>
      <c r="X55" s="1604" t="str">
        <f t="shared" si="5"/>
        <v>–</v>
      </c>
      <c r="Y55" s="1605" t="str">
        <f>IF('ketv. 5 '!U70&gt;0,"baigtas","–")</f>
        <v>–</v>
      </c>
    </row>
    <row r="56" spans="1:25" ht="36.75" thickBot="1">
      <c r="A56" s="376">
        <f t="shared" si="6"/>
        <v>55</v>
      </c>
      <c r="B56" s="376" t="str">
        <f>CONCATENATE('ES lėšos'!B55)</f>
        <v>Vinco Krėvės-Mickevičiaus memorialinio muziejaus atnaujinimas</v>
      </c>
      <c r="C56" s="376" t="str">
        <f>CONCATENATE('ES lėšos'!C55)</f>
        <v>05.4.1-CPVA-R-302</v>
      </c>
      <c r="D56" s="376" t="str">
        <f>CONCATENATE('ES lėšos'!D55)</f>
        <v>Varėnos rajono savivaldybės administracija</v>
      </c>
      <c r="E56" s="376" t="str">
        <f>CONCATENATE('ES lėšos'!E55)</f>
        <v>Varėnos r. sav.</v>
      </c>
      <c r="F56" s="376" t="str">
        <f>CONCATENATE('ES lėšos'!F55)</f>
        <v>-</v>
      </c>
      <c r="G56" s="1600">
        <f>SUMIF('302'!$C$21:$C$100,B56,'302'!$G$21:$G$100)</f>
        <v>242419</v>
      </c>
      <c r="H56" s="1602">
        <f>IF('ketv. 5 '!U71&gt;0,'ketv. 7 '!L70,'ketv. 6 '!L71)</f>
        <v>204605.56</v>
      </c>
      <c r="I56" s="1604">
        <f t="shared" si="0"/>
        <v>37813.440000000002</v>
      </c>
      <c r="J56" s="1600">
        <f>SUMIF('302'!$C$21:$C$100,B56,'302'!$I$21:$I$100)</f>
        <v>206056</v>
      </c>
      <c r="K56" s="1602">
        <f>IF('ketv. 5 '!U71&gt;0,'ketv. 7 '!AL70,'ketv. 6 '!AF71)</f>
        <v>173914.72</v>
      </c>
      <c r="L56" s="1604">
        <f t="shared" si="1"/>
        <v>32141.279999999999</v>
      </c>
      <c r="M56" s="1600">
        <f>SUMIF('302'!$C$7:$C$100,B56,'302'!$J$7:$J$100)</f>
        <v>0</v>
      </c>
      <c r="N56" s="1602">
        <f>IF('ketv. 5 '!U71&gt;0,'ketv. 7 '!W70,'ketv. 6 '!T71)</f>
        <v>0</v>
      </c>
      <c r="O56" s="1604" t="str">
        <f t="shared" si="2"/>
        <v>–</v>
      </c>
      <c r="P56" s="1600">
        <f>SUMIF('302'!$C$7:$C$100,B56,'302'!$N$7:$N$100)</f>
        <v>36363</v>
      </c>
      <c r="Q56" s="1602">
        <f>IF('ketv. 5 '!U71&gt;0,'ketv. 7 '!R70,'ketv. 6 '!P71)</f>
        <v>30690.84</v>
      </c>
      <c r="R56" s="1604">
        <f t="shared" si="3"/>
        <v>5672.16</v>
      </c>
      <c r="S56" s="1600">
        <f>SUMIF('302'!$C$7:$C$100,B56,'302'!$R$7:$R$100)</f>
        <v>0</v>
      </c>
      <c r="T56" s="1602">
        <f>IF('ketv. 5 '!U71&gt;0,'ketv. 7 '!AB70,'ketv. 6 '!X71)</f>
        <v>0</v>
      </c>
      <c r="U56" s="1604" t="str">
        <f t="shared" si="4"/>
        <v>–</v>
      </c>
      <c r="V56" s="1600">
        <f>SUMIF('302'!$C$7:$C$100,B56,'302'!$P$7:$P$100)</f>
        <v>0</v>
      </c>
      <c r="W56" s="1602">
        <f>IF('ketv. 5 '!U71&gt;0,'ketv. 7 '!AG70,'ketv. 6 '!AB71)</f>
        <v>0</v>
      </c>
      <c r="X56" s="1604" t="str">
        <f t="shared" si="5"/>
        <v>–</v>
      </c>
      <c r="Y56" s="1605" t="str">
        <f>IF('ketv. 5 '!U71&gt;0,"baigtas","–")</f>
        <v>–</v>
      </c>
    </row>
    <row r="57" spans="1:25" ht="36.75" thickBot="1">
      <c r="A57" s="376">
        <f t="shared" si="6"/>
        <v>56</v>
      </c>
      <c r="B57" s="376" t="str">
        <f>CONCATENATE('ES lėšos'!B56)</f>
        <v>Nekenksmingų aplinkai viešojo transporto priemonių įsigijimas Alytaus mieste</v>
      </c>
      <c r="C57" s="376" t="str">
        <f>CONCATENATE('ES lėšos'!C56)</f>
        <v>04.5.1-TID-R-518</v>
      </c>
      <c r="D57" s="376" t="str">
        <f>CONCATENATE('ES lėšos'!D56)</f>
        <v>Alytaus miesto savivaldybės administracija</v>
      </c>
      <c r="E57" s="376" t="str">
        <f>CONCATENATE('ES lėšos'!E56)</f>
        <v>Alytaus m. sav.</v>
      </c>
      <c r="F57" s="376" t="str">
        <f>CONCATENATE('ES lėšos'!F56)</f>
        <v>ITI</v>
      </c>
      <c r="G57" s="1600">
        <f>SUMIF('518'!$C$21:$C$100,B57,'518'!$G$21:$G$100)</f>
        <v>496813.9</v>
      </c>
      <c r="H57" s="1602">
        <f>IF('ketv. 5 '!U74&gt;0,'ketv. 7 '!L73,'ketv. 6 '!L74)</f>
        <v>0</v>
      </c>
      <c r="I57" s="1604" t="str">
        <f t="shared" si="0"/>
        <v>–</v>
      </c>
      <c r="J57" s="1600">
        <f>SUMIF('518'!$C$21:$C$100,B57,'518'!$I$21:$I$100)</f>
        <v>345177</v>
      </c>
      <c r="K57" s="1602">
        <f>IF('ketv. 5 '!U74&gt;0,'ketv. 7 '!AL73,'ketv. 6 '!AF74)</f>
        <v>0</v>
      </c>
      <c r="L57" s="1604" t="str">
        <f t="shared" si="1"/>
        <v>–</v>
      </c>
      <c r="M57" s="1600">
        <f>SUMIF('518'!$C$7:$C$100,B57,'518'!$J$7:$J$100)</f>
        <v>0</v>
      </c>
      <c r="N57" s="1602">
        <f>IF('ketv. 5 '!U74&gt;0,'ketv. 7 '!W73,'ketv. 6 '!T74)</f>
        <v>0</v>
      </c>
      <c r="O57" s="1604" t="str">
        <f t="shared" si="2"/>
        <v>–</v>
      </c>
      <c r="P57" s="1600">
        <f>SUMIF('518'!$C$7:$C$100,B57,'518'!$N$7:$N$100)</f>
        <v>151636.9</v>
      </c>
      <c r="Q57" s="1602">
        <f>IF('ketv. 5 '!U74&gt;0,'ketv. 7 '!R73,'ketv. 6 '!P74)</f>
        <v>0</v>
      </c>
      <c r="R57" s="1604" t="str">
        <f t="shared" si="3"/>
        <v>–</v>
      </c>
      <c r="S57" s="1600">
        <f>SUMIF('518'!$C$7:$C$100,B57,'518'!$R$7:$R$100)</f>
        <v>0</v>
      </c>
      <c r="T57" s="1602">
        <f>IF('ketv. 5 '!U74&gt;0,'ketv. 7 '!AB73,'ketv. 6 '!X74)</f>
        <v>0</v>
      </c>
      <c r="U57" s="1604" t="str">
        <f t="shared" si="4"/>
        <v>–</v>
      </c>
      <c r="V57" s="1600">
        <f>SUMIF('518'!$C$7:$C$100,B57,'518'!$P$7:$P$100)</f>
        <v>0</v>
      </c>
      <c r="W57" s="1602">
        <f>IF('ketv. 5 '!U74&gt;0,'ketv. 7 '!AG73,'ketv. 6 '!AB74)</f>
        <v>0</v>
      </c>
      <c r="X57" s="1604" t="str">
        <f t="shared" si="5"/>
        <v>–</v>
      </c>
      <c r="Y57" s="1605" t="str">
        <f>IF('ketv. 5 '!U74&gt;0,"baigtas","–")</f>
        <v>–</v>
      </c>
    </row>
    <row r="58" spans="1:25" ht="36.75" thickBot="1">
      <c r="A58" s="376">
        <f t="shared" si="6"/>
        <v>57</v>
      </c>
      <c r="B58" s="376" t="str">
        <f>CONCATENATE('ES lėšos'!B57)</f>
        <v>Vietinio susisiekimo transporto priemonių įsigijimas</v>
      </c>
      <c r="C58" s="376" t="str">
        <f>CONCATENATE('ES lėšos'!C57)</f>
        <v>04.5.1-TID-R-518</v>
      </c>
      <c r="D58" s="376" t="str">
        <f>CONCATENATE('ES lėšos'!D57)</f>
        <v>Alytaus rajono savivaldybės administracija</v>
      </c>
      <c r="E58" s="376" t="str">
        <f>CONCATENATE('ES lėšos'!E57)</f>
        <v>Alytaus r. sav.</v>
      </c>
      <c r="F58" s="376" t="str">
        <f>CONCATENATE('ES lėšos'!F57)</f>
        <v>-</v>
      </c>
      <c r="G58" s="1600">
        <f>SUMIF('518'!$C$21:$C$100,B58,'518'!$G$21:$G$100)</f>
        <v>496947</v>
      </c>
      <c r="H58" s="1602">
        <f>IF('ketv. 5 '!U75&gt;0,'ketv. 7 '!L74,'ketv. 6 '!L75)</f>
        <v>0</v>
      </c>
      <c r="I58" s="1604" t="str">
        <f t="shared" si="0"/>
        <v>–</v>
      </c>
      <c r="J58" s="1600">
        <f>SUMIF('518'!$C$21:$C$100,B58,'518'!$I$21:$I$100)</f>
        <v>277249</v>
      </c>
      <c r="K58" s="1602">
        <f>IF('ketv. 5 '!U75&gt;0,'ketv. 7 '!AL74,'ketv. 6 '!AF75)</f>
        <v>0</v>
      </c>
      <c r="L58" s="1604" t="str">
        <f t="shared" si="1"/>
        <v>–</v>
      </c>
      <c r="M58" s="1600">
        <f>SUMIF('518'!$C$7:$C$100,B58,'518'!$J$7:$J$100)</f>
        <v>0</v>
      </c>
      <c r="N58" s="1602">
        <f>IF('ketv. 5 '!U75&gt;0,'ketv. 7 '!W74,'ketv. 6 '!T75)</f>
        <v>0</v>
      </c>
      <c r="O58" s="1604" t="str">
        <f t="shared" si="2"/>
        <v>–</v>
      </c>
      <c r="P58" s="1600">
        <f>SUMIF('518'!$C$7:$C$100,B58,'518'!$N$7:$N$100)</f>
        <v>133574.5</v>
      </c>
      <c r="Q58" s="1602">
        <f>IF('ketv. 5 '!U75&gt;0,'ketv. 7 '!R74,'ketv. 6 '!P75)</f>
        <v>0</v>
      </c>
      <c r="R58" s="1604" t="str">
        <f t="shared" si="3"/>
        <v>–</v>
      </c>
      <c r="S58" s="1600">
        <f>SUMIF('518'!$C$7:$C$100,B58,'518'!$R$7:$R$100)</f>
        <v>86123.5</v>
      </c>
      <c r="T58" s="1602">
        <f>IF('ketv. 5 '!U75&gt;0,'ketv. 7 '!AB74,'ketv. 6 '!X75)</f>
        <v>0</v>
      </c>
      <c r="U58" s="1604" t="str">
        <f t="shared" si="4"/>
        <v>–</v>
      </c>
      <c r="V58" s="1600">
        <f>SUMIF('518'!$C$7:$C$100,B58,'518'!$P$7:$P$100)</f>
        <v>0</v>
      </c>
      <c r="W58" s="1602">
        <f>IF('ketv. 5 '!U75&gt;0,'ketv. 7 '!AG74,'ketv. 6 '!AB75)</f>
        <v>0</v>
      </c>
      <c r="X58" s="1604" t="str">
        <f t="shared" si="5"/>
        <v>–</v>
      </c>
      <c r="Y58" s="1605" t="str">
        <f>IF('ketv. 5 '!U75&gt;0,"baigtas","–")</f>
        <v>–</v>
      </c>
    </row>
    <row r="59" spans="1:25" ht="36.75" thickBot="1">
      <c r="A59" s="376">
        <f t="shared" si="6"/>
        <v>58</v>
      </c>
      <c r="B59" s="376" t="str">
        <f>CONCATENATE('ES lėšos'!B58)</f>
        <v>Ekologiškų transporto priemonių įsigijimas Druskininkų savivaldybėje</v>
      </c>
      <c r="C59" s="376" t="str">
        <f>CONCATENATE('ES lėšos'!C58)</f>
        <v>04.5.1-TID-R-518</v>
      </c>
      <c r="D59" s="376" t="str">
        <f>CONCATENATE('ES lėšos'!D58)</f>
        <v xml:space="preserve">Druskininkų savivaldybės administracija  </v>
      </c>
      <c r="E59" s="376" t="str">
        <f>CONCATENATE('ES lėšos'!E58)</f>
        <v>Druskininkų sav.</v>
      </c>
      <c r="F59" s="376" t="str">
        <f>CONCATENATE('ES lėšos'!F58)</f>
        <v>-</v>
      </c>
      <c r="G59" s="1600">
        <f>SUMIF('518'!$C$21:$C$100,B59,'518'!$G$21:$G$100)</f>
        <v>840036.45</v>
      </c>
      <c r="H59" s="1602">
        <f>IF('ketv. 5 '!U76&gt;0,'ketv. 7 '!L75,'ketv. 6 '!L76)</f>
        <v>694245</v>
      </c>
      <c r="I59" s="1604">
        <f t="shared" si="0"/>
        <v>145791.44999999995</v>
      </c>
      <c r="J59" s="1600">
        <f>SUMIF('518'!$C$21:$C$100,B59,'518'!$I$21:$I$100)</f>
        <v>417548</v>
      </c>
      <c r="K59" s="1602">
        <f>IF('ketv. 5 '!U76&gt;0,'ketv. 7 '!AL75,'ketv. 6 '!AF76)</f>
        <v>417548</v>
      </c>
      <c r="L59" s="1604">
        <f t="shared" si="1"/>
        <v>0</v>
      </c>
      <c r="M59" s="1600">
        <f>SUMIF('518'!$C$7:$C$100,B59,'518'!$J$7:$J$100)</f>
        <v>0</v>
      </c>
      <c r="N59" s="1602">
        <f>IF('ketv. 5 '!U76&gt;0,'ketv. 7 '!W75,'ketv. 6 '!T76)</f>
        <v>0</v>
      </c>
      <c r="O59" s="1604" t="str">
        <f t="shared" si="2"/>
        <v>–</v>
      </c>
      <c r="P59" s="1600">
        <f>SUMIF('518'!$C$7:$C$100,B59,'518'!$N$7:$N$100)</f>
        <v>0</v>
      </c>
      <c r="Q59" s="1602">
        <f>IF('ketv. 5 '!U76&gt;0,'ketv. 7 '!R75,'ketv. 6 '!P76)</f>
        <v>0</v>
      </c>
      <c r="R59" s="1604" t="str">
        <f t="shared" si="3"/>
        <v>–</v>
      </c>
      <c r="S59" s="1600">
        <f>SUMIF('518'!$C$7:$C$100,B59,'518'!$R$7:$R$100)</f>
        <v>422488.45</v>
      </c>
      <c r="T59" s="1602">
        <f>IF('ketv. 5 '!U76&gt;0,'ketv. 7 '!AB75,'ketv. 6 '!X76)</f>
        <v>276697</v>
      </c>
      <c r="U59" s="1604">
        <f t="shared" si="4"/>
        <v>145791.45000000001</v>
      </c>
      <c r="V59" s="1600">
        <f>SUMIF('518'!$C$7:$C$100,B59,'518'!$P$7:$P$100)</f>
        <v>0</v>
      </c>
      <c r="W59" s="1602">
        <f>IF('ketv. 5 '!U76&gt;0,'ketv. 7 '!AG75,'ketv. 6 '!AB76)</f>
        <v>0</v>
      </c>
      <c r="X59" s="1604" t="str">
        <f t="shared" si="5"/>
        <v>–</v>
      </c>
      <c r="Y59" s="1605" t="str">
        <f>IF('ketv. 5 '!U76&gt;0,"baigtas","–")</f>
        <v>–</v>
      </c>
    </row>
    <row r="60" spans="1:25" ht="41.25" customHeight="1" thickBot="1">
      <c r="A60" s="376">
        <f t="shared" si="6"/>
        <v>59</v>
      </c>
      <c r="B60" s="376" t="str">
        <f>CONCATENATE('ES lėšos'!B59)</f>
        <v>Ekologiškų transporto priemonių įsigijimas Lazdijų rajono savivaldybėje</v>
      </c>
      <c r="C60" s="376" t="str">
        <f>CONCATENATE('ES lėšos'!C59)</f>
        <v>04.5.1-TID-R-518</v>
      </c>
      <c r="D60" s="376" t="str">
        <f>CONCATENATE('ES lėšos'!D59)</f>
        <v>Lazdijų rajono savivaldybės administracija</v>
      </c>
      <c r="E60" s="376" t="str">
        <f>CONCATENATE('ES lėšos'!E59)</f>
        <v>Lazdijų r. sav.</v>
      </c>
      <c r="F60" s="376" t="str">
        <f>CONCATENATE('ES lėšos'!F59)</f>
        <v>-</v>
      </c>
      <c r="G60" s="1600">
        <f>SUMIF('518'!$C$21:$C$100,B60,'518'!$G$21:$G$100)</f>
        <v>262703</v>
      </c>
      <c r="H60" s="1602">
        <f>IF('ketv. 5 '!U77&gt;0,'ketv. 7 '!L76,'ketv. 6 '!L77)</f>
        <v>218160</v>
      </c>
      <c r="I60" s="1604">
        <f t="shared" si="0"/>
        <v>44543</v>
      </c>
      <c r="J60" s="1600">
        <f>SUMIF('518'!$C$21:$C$100,B60,'518'!$I$21:$I$100)</f>
        <v>223297</v>
      </c>
      <c r="K60" s="1602">
        <f>IF('ketv. 5 '!U77&gt;0,'ketv. 7 '!AL76,'ketv. 6 '!AF77)</f>
        <v>185436</v>
      </c>
      <c r="L60" s="1604">
        <f t="shared" si="1"/>
        <v>37861</v>
      </c>
      <c r="M60" s="1600">
        <f>SUMIF('518'!$C$7:$C$100,B60,'518'!$J$7:$J$100)</f>
        <v>0</v>
      </c>
      <c r="N60" s="1602">
        <f>IF('ketv. 5 '!U77&gt;0,'ketv. 7 '!W76,'ketv. 6 '!T77)</f>
        <v>0</v>
      </c>
      <c r="O60" s="1604" t="str">
        <f t="shared" si="2"/>
        <v>–</v>
      </c>
      <c r="P60" s="1600">
        <f>SUMIF('518'!$C$7:$C$100,B60,'518'!$N$7:$N$100)</f>
        <v>39406</v>
      </c>
      <c r="Q60" s="1602">
        <f>IF('ketv. 5 '!U77&gt;0,'ketv. 7 '!R76,'ketv. 6 '!P77)</f>
        <v>32724</v>
      </c>
      <c r="R60" s="1604">
        <f t="shared" si="3"/>
        <v>6682</v>
      </c>
      <c r="S60" s="1600">
        <f>SUMIF('518'!$C$7:$C$100,B60,'518'!$R$7:$R$100)</f>
        <v>0</v>
      </c>
      <c r="T60" s="1602">
        <f>IF('ketv. 5 '!U77&gt;0,'ketv. 7 '!AB76,'ketv. 6 '!X77)</f>
        <v>0</v>
      </c>
      <c r="U60" s="1604" t="str">
        <f t="shared" si="4"/>
        <v>–</v>
      </c>
      <c r="V60" s="1600">
        <f>SUMIF('518'!$C$7:$C$100,B60,'518'!$P$7:$P$100)</f>
        <v>0</v>
      </c>
      <c r="W60" s="1602">
        <f>IF('ketv. 5 '!U77&gt;0,'ketv. 7 '!AG76,'ketv. 6 '!AB77)</f>
        <v>0</v>
      </c>
      <c r="X60" s="1604" t="str">
        <f t="shared" si="5"/>
        <v>–</v>
      </c>
      <c r="Y60" s="1605" t="str">
        <f>IF('ketv. 5 '!U77&gt;0,"baigtas","–")</f>
        <v>–</v>
      </c>
    </row>
    <row r="61" spans="1:25" ht="24.75" thickBot="1">
      <c r="A61" s="376">
        <f t="shared" si="6"/>
        <v>60</v>
      </c>
      <c r="B61" s="376" t="str">
        <f>CONCATENATE('ES lėšos'!B60)</f>
        <v>Darnaus judumo priemonių diegimas Alytaus mieste</v>
      </c>
      <c r="C61" s="376" t="str">
        <f>CONCATENATE('ES lėšos'!C60)</f>
        <v>04.5.1.-TID-R-514</v>
      </c>
      <c r="D61" s="376" t="str">
        <f>CONCATENATE('ES lėšos'!D60)</f>
        <v>Alytaus miesto savivaldybės administracija</v>
      </c>
      <c r="E61" s="376" t="str">
        <f>CONCATENATE('ES lėšos'!E60)</f>
        <v>Alytaus m. sav.</v>
      </c>
      <c r="F61" s="376" t="str">
        <f>CONCATENATE('ES lėšos'!F60)</f>
        <v>ITI</v>
      </c>
      <c r="G61" s="1600">
        <f>SUMIF('514'!$C$21:$C$100,B61,'514'!$G$21:$G$100)</f>
        <v>1143469</v>
      </c>
      <c r="H61" s="1602">
        <f>IF('ketv. 5 '!U79&gt;0,'ketv. 7 '!L78,'ketv. 6 '!L79)</f>
        <v>0</v>
      </c>
      <c r="I61" s="1604" t="str">
        <f t="shared" si="0"/>
        <v>–</v>
      </c>
      <c r="J61" s="1600">
        <f>SUMIF('514'!$C$21:$C$100,B61,'514'!$I$21:$I$100)</f>
        <v>971949</v>
      </c>
      <c r="K61" s="1602">
        <f>IF('ketv. 5 '!U79&gt;0,'ketv. 7 '!AL78,'ketv. 6 '!AF79)</f>
        <v>0</v>
      </c>
      <c r="L61" s="1604" t="str">
        <f t="shared" si="1"/>
        <v>–</v>
      </c>
      <c r="M61" s="1600">
        <f>SUMIF('514'!$C$7:$C$100,B61,'514'!$J$7:$J$100)</f>
        <v>0</v>
      </c>
      <c r="N61" s="1602">
        <f>IF('ketv. 5 '!U79&gt;0,'ketv. 7 '!W78,'ketv. 6 '!T79)</f>
        <v>0</v>
      </c>
      <c r="O61" s="1604" t="str">
        <f t="shared" si="2"/>
        <v>–</v>
      </c>
      <c r="P61" s="1600">
        <f>SUMIF('514'!$C$7:$C$100,B61,'514'!$N$7:$N$100)</f>
        <v>171520</v>
      </c>
      <c r="Q61" s="1602">
        <f>IF('ketv. 5 '!U79&gt;0,'ketv. 7 '!R78,'ketv. 6 '!P79)</f>
        <v>0</v>
      </c>
      <c r="R61" s="1604" t="str">
        <f t="shared" si="3"/>
        <v>–</v>
      </c>
      <c r="S61" s="1600">
        <f>SUMIF('514'!$C$7:$C$100,B61,'514'!$R$7:$R$100)</f>
        <v>0</v>
      </c>
      <c r="T61" s="1602">
        <f>IF('ketv. 5 '!U79&gt;0,'ketv. 7 '!AB78,'ketv. 6 '!X79)</f>
        <v>0</v>
      </c>
      <c r="U61" s="1604" t="str">
        <f t="shared" si="4"/>
        <v>–</v>
      </c>
      <c r="V61" s="1600">
        <f>SUMIF('514'!$C$7:$C$100,B61,'514'!$P$7:$P$100)</f>
        <v>0</v>
      </c>
      <c r="W61" s="1602">
        <f>IF('ketv. 5 '!U79&gt;0,'ketv. 7 '!AG78,'ketv. 6 '!AB79)</f>
        <v>0</v>
      </c>
      <c r="X61" s="1604" t="str">
        <f t="shared" si="5"/>
        <v>–</v>
      </c>
      <c r="Y61" s="1605" t="str">
        <f>IF('ketv. 5 '!U79&gt;0,"baigtas","–")</f>
        <v>–</v>
      </c>
    </row>
    <row r="62" spans="1:25" ht="36.75" thickBot="1">
      <c r="A62" s="376">
        <f t="shared" si="6"/>
        <v>61</v>
      </c>
      <c r="B62" s="376" t="str">
        <f>CONCATENATE('ES lėšos'!B61)</f>
        <v>Intelektinių transporto sistemų diegimas Druskininkuose</v>
      </c>
      <c r="C62" s="376" t="str">
        <f>CONCATENATE('ES lėšos'!C61)</f>
        <v>04.5.1.-TID-R-514</v>
      </c>
      <c r="D62" s="376" t="str">
        <f>CONCATENATE('ES lėšos'!D61)</f>
        <v>Druskininkų savivaldybės administracija</v>
      </c>
      <c r="E62" s="376" t="str">
        <f>CONCATENATE('ES lėšos'!E61)</f>
        <v>Druskininkų sav.</v>
      </c>
      <c r="F62" s="376" t="str">
        <f>CONCATENATE('ES lėšos'!F61)</f>
        <v>ITI</v>
      </c>
      <c r="G62" s="1600">
        <f>SUMIF('514'!$C$21:$C$100,B62,'514'!$G$21:$G$100)</f>
        <v>160836.24</v>
      </c>
      <c r="H62" s="1602">
        <f>IF('ketv. 5 '!U81&gt;0,'ketv. 7 '!L80,'ketv. 6 '!L81)</f>
        <v>0</v>
      </c>
      <c r="I62" s="1604" t="str">
        <f t="shared" si="0"/>
        <v>–</v>
      </c>
      <c r="J62" s="1600">
        <f>SUMIF('514'!$C$21:$C$100,B62,'514'!$I$21:$I$100)</f>
        <v>136710.79999999999</v>
      </c>
      <c r="K62" s="1602">
        <f>IF('ketv. 5 '!U81&gt;0,'ketv. 7 '!AL80,'ketv. 6 '!AF81)</f>
        <v>0</v>
      </c>
      <c r="L62" s="1604" t="str">
        <f t="shared" si="1"/>
        <v>–</v>
      </c>
      <c r="M62" s="1600">
        <f>SUMIF('514'!$C$7:$C$100,B62,'514'!$J$7:$J$100)</f>
        <v>0</v>
      </c>
      <c r="N62" s="1602">
        <f>IF('ketv. 5 '!U81&gt;0,'ketv. 7 '!W80,'ketv. 6 '!T81)</f>
        <v>0</v>
      </c>
      <c r="O62" s="1604" t="str">
        <f t="shared" si="2"/>
        <v>–</v>
      </c>
      <c r="P62" s="1600">
        <f>SUMIF('514'!$C$7:$C$100,B62,'514'!$N$7:$N$100)</f>
        <v>24125.439999999999</v>
      </c>
      <c r="Q62" s="1602">
        <f>IF('ketv. 5 '!U81&gt;0,'ketv. 7 '!R80,'ketv. 6 '!P81)</f>
        <v>0</v>
      </c>
      <c r="R62" s="1604" t="str">
        <f t="shared" si="3"/>
        <v>–</v>
      </c>
      <c r="S62" s="1600">
        <f>SUMIF('514'!$C$7:$C$100,B62,'514'!$R$7:$R$100)</f>
        <v>0</v>
      </c>
      <c r="T62" s="1602">
        <f>IF('ketv. 5 '!U81&gt;0,'ketv. 7 '!AB80,'ketv. 6 '!X81)</f>
        <v>0</v>
      </c>
      <c r="U62" s="1604" t="str">
        <f t="shared" si="4"/>
        <v>–</v>
      </c>
      <c r="V62" s="1600">
        <f>SUMIF('514'!$C$7:$C$100,B62,'514'!$P$7:$P$100)</f>
        <v>0</v>
      </c>
      <c r="W62" s="1602">
        <f>IF('ketv. 5 '!U81&gt;0,'ketv. 7 '!AG80,'ketv. 6 '!AB81)</f>
        <v>0</v>
      </c>
      <c r="X62" s="1604" t="str">
        <f t="shared" si="5"/>
        <v>–</v>
      </c>
      <c r="Y62" s="1605" t="str">
        <f>IF('ketv. 5 '!U81&gt;0,"baigtas","–")</f>
        <v>–</v>
      </c>
    </row>
    <row r="63" spans="1:25" ht="48.75" thickBot="1">
      <c r="A63" s="376">
        <f t="shared" si="6"/>
        <v>62</v>
      </c>
      <c r="B63" s="376" t="str">
        <f>CONCATENATE('ES lėšos'!B62)</f>
        <v>Viešojo transporto organizavimo tobulinimas rekonstruojant Druskininkų miesto gatvių infrastruktūrą</v>
      </c>
      <c r="C63" s="376" t="str">
        <f>CONCATENATE('ES lėšos'!C62)</f>
        <v>04.5.1.-TID-R-514</v>
      </c>
      <c r="D63" s="376" t="str">
        <f>CONCATENATE('ES lėšos'!D62)</f>
        <v>Druskininkų savivaldybės administracija</v>
      </c>
      <c r="E63" s="376" t="str">
        <f>CONCATENATE('ES lėšos'!E62)</f>
        <v>Druskininkų sav.</v>
      </c>
      <c r="F63" s="376" t="str">
        <f>CONCATENATE('ES lėšos'!F62)</f>
        <v>-</v>
      </c>
      <c r="G63" s="1600">
        <f>SUMIF('514'!$C$21:$C$100,B63,'514'!$G$21:$G$100)</f>
        <v>290000</v>
      </c>
      <c r="H63" s="1602">
        <f>IF('ketv. 5 '!U83&gt;0,'ketv. 7 '!L82,'ketv. 6 '!L83)</f>
        <v>0</v>
      </c>
      <c r="I63" s="1604" t="str">
        <f t="shared" si="0"/>
        <v>–</v>
      </c>
      <c r="J63" s="1600">
        <f>SUMIF('514'!$C$21:$C$100,B63,'514'!$I$21:$I$100)</f>
        <v>246500</v>
      </c>
      <c r="K63" s="1602">
        <f>IF('ketv. 5 '!U83&gt;0,'ketv. 7 '!AL82,'ketv. 6 '!AF83)</f>
        <v>0</v>
      </c>
      <c r="L63" s="1604" t="str">
        <f t="shared" si="1"/>
        <v>–</v>
      </c>
      <c r="M63" s="1600">
        <f>SUMIF('514'!$C$7:$C$100,B63,'514'!$J$7:$J$100)</f>
        <v>0</v>
      </c>
      <c r="N63" s="1602">
        <f>IF('ketv. 5 '!U83&gt;0,'ketv. 7 '!W82,'ketv. 6 '!T83)</f>
        <v>0</v>
      </c>
      <c r="O63" s="1604" t="str">
        <f t="shared" si="2"/>
        <v>–</v>
      </c>
      <c r="P63" s="1600">
        <f>SUMIF('514'!$C$7:$C$100,B63,'514'!$N$7:$N$100)</f>
        <v>43500</v>
      </c>
      <c r="Q63" s="1602">
        <f>IF('ketv. 5 '!U83&gt;0,'ketv. 7 '!R82,'ketv. 6 '!P83)</f>
        <v>0</v>
      </c>
      <c r="R63" s="1604" t="str">
        <f t="shared" si="3"/>
        <v>–</v>
      </c>
      <c r="S63" s="1600">
        <f>SUMIF('514'!$C$7:$C$100,B63,'514'!$R$7:$R$100)</f>
        <v>0</v>
      </c>
      <c r="T63" s="1602">
        <f>IF('ketv. 5 '!U83&gt;0,'ketv. 7 '!AB82,'ketv. 6 '!X83)</f>
        <v>0</v>
      </c>
      <c r="U63" s="1604" t="str">
        <f t="shared" si="4"/>
        <v>–</v>
      </c>
      <c r="V63" s="1600">
        <f>SUMIF('514'!$C$7:$C$100,B63,'514'!$P$7:$P$100)</f>
        <v>0</v>
      </c>
      <c r="W63" s="1602">
        <f>IF('ketv. 5 '!U83&gt;0,'ketv. 7 '!AG82,'ketv. 6 '!AB83)</f>
        <v>0</v>
      </c>
      <c r="X63" s="1604" t="str">
        <f t="shared" si="5"/>
        <v>–</v>
      </c>
      <c r="Y63" s="1605" t="str">
        <f>IF('ketv. 5 '!U83&gt;0,"baigtas","–")</f>
        <v>–</v>
      </c>
    </row>
    <row r="64" spans="1:25" ht="48.75" thickBot="1">
      <c r="A64" s="376">
        <f t="shared" si="6"/>
        <v>63</v>
      </c>
      <c r="B64" s="376" t="str">
        <f>CONCATENATE('ES lėšos'!B63)</f>
        <v>Vandens transporto infrastruktūros įrengimas skatinant kitų rūšių transportą</v>
      </c>
      <c r="C64" s="376" t="str">
        <f>CONCATENATE('ES lėšos'!C63)</f>
        <v>04.5.1.-TID-R-514</v>
      </c>
      <c r="D64" s="376" t="str">
        <f>CONCATENATE('ES lėšos'!D63)</f>
        <v>Druskininkų savivaldybės administracija</v>
      </c>
      <c r="E64" s="376" t="str">
        <f>CONCATENATE('ES lėšos'!E63)</f>
        <v>Druskininkų sav.</v>
      </c>
      <c r="F64" s="376" t="str">
        <f>CONCATENATE('ES lėšos'!F63)</f>
        <v>ITI</v>
      </c>
      <c r="G64" s="1600">
        <f>SUMIF('514'!$C$21:$C$100,B64,'514'!$G$21:$G$100)</f>
        <v>250000</v>
      </c>
      <c r="H64" s="1602">
        <f>IF('ketv. 5 '!U84&gt;0,'ketv. 7 '!L83,'ketv. 6 '!L84)</f>
        <v>0</v>
      </c>
      <c r="I64" s="1604" t="str">
        <f t="shared" si="0"/>
        <v>–</v>
      </c>
      <c r="J64" s="1600">
        <f>SUMIF('514'!$C$21:$C$100,B64,'514'!$I$21:$I$100)</f>
        <v>212500</v>
      </c>
      <c r="K64" s="1602">
        <f>IF('ketv. 5 '!U84&gt;0,'ketv. 7 '!AL83,'ketv. 6 '!AF84)</f>
        <v>0</v>
      </c>
      <c r="L64" s="1604" t="str">
        <f t="shared" si="1"/>
        <v>–</v>
      </c>
      <c r="M64" s="1600">
        <f>SUMIF('514'!$C$7:$C$100,B64,'514'!$J$7:$J$100)</f>
        <v>0</v>
      </c>
      <c r="N64" s="1602">
        <f>IF('ketv. 5 '!U84&gt;0,'ketv. 7 '!W83,'ketv. 6 '!T84)</f>
        <v>0</v>
      </c>
      <c r="O64" s="1604" t="str">
        <f t="shared" si="2"/>
        <v>–</v>
      </c>
      <c r="P64" s="1600">
        <f>SUMIF('514'!$C$7:$C$100,B64,'514'!$N$7:$N$100)</f>
        <v>37500</v>
      </c>
      <c r="Q64" s="1602">
        <f>IF('ketv. 5 '!U84&gt;0,'ketv. 7 '!R83,'ketv. 6 '!P84)</f>
        <v>0</v>
      </c>
      <c r="R64" s="1604" t="str">
        <f t="shared" si="3"/>
        <v>–</v>
      </c>
      <c r="S64" s="1600">
        <f>SUMIF('514'!$C$7:$C$100,B64,'514'!$R$7:$R$100)</f>
        <v>0</v>
      </c>
      <c r="T64" s="1602">
        <f>IF('ketv. 5 '!U84&gt;0,'ketv. 7 '!AB83,'ketv. 6 '!X84)</f>
        <v>0</v>
      </c>
      <c r="U64" s="1604" t="str">
        <f t="shared" si="4"/>
        <v>–</v>
      </c>
      <c r="V64" s="1600">
        <f>SUMIF('514'!$C$7:$C$100,B64,'514'!$P$7:$P$100)</f>
        <v>0</v>
      </c>
      <c r="W64" s="1602">
        <f>IF('ketv. 5 '!U84&gt;0,'ketv. 7 '!AG83,'ketv. 6 '!AB84)</f>
        <v>0</v>
      </c>
      <c r="X64" s="1604" t="str">
        <f t="shared" si="5"/>
        <v>–</v>
      </c>
      <c r="Y64" s="1605" t="str">
        <f>IF('ketv. 5 '!U84&gt;0,"baigtas","–")</f>
        <v>–</v>
      </c>
    </row>
    <row r="65" spans="1:25" ht="48.75" thickBot="1">
      <c r="A65" s="376">
        <f t="shared" si="6"/>
        <v>64</v>
      </c>
      <c r="B65" s="376" t="str">
        <f>CONCATENATE('ES lėšos'!B64)</f>
        <v>Dviračių ir pėsčiųjų takų įrengimas Varėnos miesto J. Basanavičiaus ir Žiedo gatvėse</v>
      </c>
      <c r="C65" s="376" t="str">
        <f>CONCATENATE('ES lėšos'!C64)</f>
        <v>04.5.1-TID-R-516</v>
      </c>
      <c r="D65" s="376" t="str">
        <f>CONCATENATE('ES lėšos'!D64)</f>
        <v>Varėnos rajono savivaldybės administracija</v>
      </c>
      <c r="E65" s="376" t="str">
        <f>CONCATENATE('ES lėšos'!E64)</f>
        <v>Varėnos r. sav.</v>
      </c>
      <c r="F65" s="376" t="str">
        <f>CONCATENATE('ES lėšos'!F64)</f>
        <v>ITI</v>
      </c>
      <c r="G65" s="1600">
        <f>SUMIF('516'!$C$21:$C$100,B65,'516'!$E$21:$E$100)</f>
        <v>95080</v>
      </c>
      <c r="H65" s="1602">
        <f>IF('ketv. 5 '!U86&gt;0,'ketv. 7 '!L85,'ketv. 6 '!L86)</f>
        <v>95080</v>
      </c>
      <c r="I65" s="1604">
        <f t="shared" si="0"/>
        <v>0</v>
      </c>
      <c r="J65" s="1600">
        <f>SUMIF('516'!$C$21:$C$100,B65,'516'!$G$21:$G$100)</f>
        <v>80810</v>
      </c>
      <c r="K65" s="1602">
        <f>IF('ketv. 5 '!U86&gt;0,'ketv. 7 '!AL85,'ketv. 6 '!AF86)</f>
        <v>80810</v>
      </c>
      <c r="L65" s="1604">
        <f t="shared" si="1"/>
        <v>0</v>
      </c>
      <c r="M65" s="1600">
        <f>SUMIF('516'!$C$7:$C$100,B65,'516'!$H$7:$H$100)</f>
        <v>0</v>
      </c>
      <c r="N65" s="1602">
        <f>IF('ketv. 5 '!U86&gt;0,'ketv. 7 '!W85,'ketv. 6 '!T86)</f>
        <v>0</v>
      </c>
      <c r="O65" s="1604" t="str">
        <f t="shared" si="2"/>
        <v>–</v>
      </c>
      <c r="P65" s="1600">
        <f>SUMIF('516'!$C$7:$C$100,B65,'516'!$L$7:$L$100)</f>
        <v>14270</v>
      </c>
      <c r="Q65" s="1602">
        <f>IF('ketv. 5 '!U86&gt;0,'ketv. 7 '!R85,'ketv. 6 '!P86)</f>
        <v>14270</v>
      </c>
      <c r="R65" s="1604">
        <f t="shared" si="3"/>
        <v>0</v>
      </c>
      <c r="S65" s="1600">
        <f>SUMIF('514'!$C$7:$C$100,B65,'514'!$P$7:$PR$100)</f>
        <v>0</v>
      </c>
      <c r="T65" s="1602">
        <f>IF('ketv. 5 '!U86&gt;0,'ketv. 7 '!AB85,'ketv. 6 '!X86)</f>
        <v>0</v>
      </c>
      <c r="U65" s="1604" t="str">
        <f t="shared" si="4"/>
        <v>–</v>
      </c>
      <c r="V65" s="1600">
        <f>SUMIF('514'!$C$7:$C$100,B65,'514'!$N$7:$N$100)</f>
        <v>0</v>
      </c>
      <c r="W65" s="1602">
        <f>IF('ketv. 5 '!U86&gt;0,'ketv. 7 '!AG85,'ketv. 6 '!AB86)</f>
        <v>0</v>
      </c>
      <c r="X65" s="1604" t="str">
        <f t="shared" si="5"/>
        <v>–</v>
      </c>
      <c r="Y65" s="1605" t="str">
        <f>IF('ketv. 5 '!U86&gt;0,"baigtas","–")</f>
        <v>–</v>
      </c>
    </row>
    <row r="66" spans="1:25" ht="48.75" thickBot="1">
      <c r="A66" s="376">
        <f t="shared" si="6"/>
        <v>65</v>
      </c>
      <c r="B66" s="376" t="str">
        <f>CONCATENATE('ES lėšos'!B65)</f>
        <v>Dviračių trasų infrastruktūros įrengimas nuo Putinų g. žiedo Pramonės gatvėje, Alytaus mieste</v>
      </c>
      <c r="C66" s="376" t="str">
        <f>CONCATENATE('ES lėšos'!C65)</f>
        <v>04.5.1-TID-R-516</v>
      </c>
      <c r="D66" s="376" t="str">
        <f>CONCATENATE('ES lėšos'!D65)</f>
        <v>Alytaus miesto savivaldybės administracija</v>
      </c>
      <c r="E66" s="376" t="str">
        <f>CONCATENATE('ES lėšos'!E65)</f>
        <v>Alytaus m. sav.</v>
      </c>
      <c r="F66" s="376" t="str">
        <f>CONCATENATE('ES lėšos'!F65)</f>
        <v>ITI</v>
      </c>
      <c r="G66" s="1600">
        <f>SUMIF('516'!$C$21:$C$100,B66,'516'!$E$21:$E$100)</f>
        <v>133670.07</v>
      </c>
      <c r="H66" s="1602">
        <f>IF('ketv. 5 '!U87&gt;0,'ketv. 7 '!L86,'ketv. 6 '!L87)</f>
        <v>133670.06999999998</v>
      </c>
      <c r="I66" s="1604">
        <f t="shared" si="0"/>
        <v>2.9103830456733704E-11</v>
      </c>
      <c r="J66" s="1600">
        <f>SUMIF('516'!$C$21:$C$100,B66,'516'!$G$21:$G$100)</f>
        <v>113619.56</v>
      </c>
      <c r="K66" s="1602">
        <f>IF('ketv. 5 '!U87&gt;0,'ketv. 7 '!AL86,'ketv. 6 '!AF87)</f>
        <v>113619.55999999998</v>
      </c>
      <c r="L66" s="1604">
        <f t="shared" si="1"/>
        <v>1.4551915228366852E-11</v>
      </c>
      <c r="M66" s="1600">
        <f>SUMIF('516'!$C$7:$C$100,B66,'516'!$H$7:$H$100)</f>
        <v>0</v>
      </c>
      <c r="N66" s="1602">
        <f>IF('ketv. 5 '!U87&gt;0,'ketv. 7 '!W86,'ketv. 6 '!T87)</f>
        <v>0</v>
      </c>
      <c r="O66" s="1604" t="str">
        <f t="shared" si="2"/>
        <v>–</v>
      </c>
      <c r="P66" s="1600">
        <f>SUMIF('516'!$C$7:$C$100,B66,'516'!$L$7:$L$100)</f>
        <v>20050.509999999998</v>
      </c>
      <c r="Q66" s="1602">
        <f>IF('ketv. 5 '!U87&gt;0,'ketv. 7 '!R86,'ketv. 6 '!P87)</f>
        <v>20050.510000000002</v>
      </c>
      <c r="R66" s="1604">
        <f t="shared" si="3"/>
        <v>-3.637978807091713E-12</v>
      </c>
      <c r="S66" s="1600">
        <f>SUMIF('514'!$C$7:$C$100,B66,'514'!$P$7:$PR$100)</f>
        <v>0</v>
      </c>
      <c r="T66" s="1602">
        <f>IF('ketv. 5 '!U87&gt;0,'ketv. 7 '!AB86,'ketv. 6 '!X87)</f>
        <v>0</v>
      </c>
      <c r="U66" s="1604" t="str">
        <f t="shared" si="4"/>
        <v>–</v>
      </c>
      <c r="V66" s="1600">
        <f>SUMIF('514'!$C$7:$C$100,B66,'514'!$N$7:$N$100)</f>
        <v>0</v>
      </c>
      <c r="W66" s="1602">
        <f>IF('ketv. 5 '!U87&gt;0,'ketv. 7 '!AG86,'ketv. 6 '!AB87)</f>
        <v>0</v>
      </c>
      <c r="X66" s="1604" t="str">
        <f t="shared" si="5"/>
        <v>–</v>
      </c>
      <c r="Y66" s="1605" t="str">
        <f>IF('ketv. 5 '!U87&gt;0,"baigtas","–")</f>
        <v>baigtas</v>
      </c>
    </row>
    <row r="67" spans="1:25" ht="48.75" thickBot="1">
      <c r="A67" s="376">
        <f t="shared" si="6"/>
        <v>66</v>
      </c>
      <c r="B67" s="376" t="str">
        <f>CONCATENATE('ES lėšos'!B66)</f>
        <v>Dviračių ir pėsčiųjų takų plėtra Lazdijų miesto Turistų gatvėje iki sodų bendrijos „Baltasis“ Lazdijų seniūnijoje</v>
      </c>
      <c r="C67" s="376" t="str">
        <f>CONCATENATE('ES lėšos'!C66)</f>
        <v>04.5.1-TID-R-516</v>
      </c>
      <c r="D67" s="376" t="str">
        <f>CONCATENATE('ES lėšos'!D66)</f>
        <v>Lazdijų rajono savivaldybės administracija</v>
      </c>
      <c r="E67" s="376" t="str">
        <f>CONCATENATE('ES lėšos'!E66)</f>
        <v>Lazdijų r. sav.</v>
      </c>
      <c r="F67" s="376" t="str">
        <f>CONCATENATE('ES lėšos'!F66)</f>
        <v>ITI</v>
      </c>
      <c r="G67" s="1600">
        <f>SUMIF('516'!$C$21:$C$100,B67,'516'!$E$21:$E$100)</f>
        <v>100658.08</v>
      </c>
      <c r="H67" s="1602">
        <f>IF('ketv. 5 '!U88&gt;0,'ketv. 7 '!L87,'ketv. 6 '!L88)</f>
        <v>93938.42</v>
      </c>
      <c r="I67" s="1604">
        <f t="shared" si="0"/>
        <v>6719.6600000000035</v>
      </c>
      <c r="J67" s="1600">
        <f>SUMIF('516'!$C$21:$C$100,B67,'516'!$G$21:$G$100)</f>
        <v>73501</v>
      </c>
      <c r="K67" s="1602">
        <f>IF('ketv. 5 '!U88&gt;0,'ketv. 7 '!AL87,'ketv. 6 '!AF88)</f>
        <v>73501</v>
      </c>
      <c r="L67" s="1604">
        <f t="shared" si="1"/>
        <v>0</v>
      </c>
      <c r="M67" s="1600">
        <f>SUMIF('516'!$C$7:$C$100,B67,'516'!$H$7:$H$100)</f>
        <v>0</v>
      </c>
      <c r="N67" s="1602">
        <f>IF('ketv. 5 '!U88&gt;0,'ketv. 7 '!W87,'ketv. 6 '!T88)</f>
        <v>0</v>
      </c>
      <c r="O67" s="1604" t="str">
        <f t="shared" si="2"/>
        <v>–</v>
      </c>
      <c r="P67" s="1600">
        <f>SUMIF('516'!$C$7:$C$100,B67,'516'!$L$7:$L$100)</f>
        <v>27157.08</v>
      </c>
      <c r="Q67" s="1602">
        <f>IF('ketv. 5 '!U88&gt;0,'ketv. 7 '!R87,'ketv. 6 '!P88)</f>
        <v>20437.419999999998</v>
      </c>
      <c r="R67" s="1604">
        <f t="shared" si="3"/>
        <v>6719.6600000000035</v>
      </c>
      <c r="S67" s="1600">
        <f>SUMIF('514'!$C$7:$C$100,B67,'514'!$P$7:$PR$100)</f>
        <v>0</v>
      </c>
      <c r="T67" s="1602">
        <f>IF('ketv. 5 '!U88&gt;0,'ketv. 7 '!AB87,'ketv. 6 '!X88)</f>
        <v>0</v>
      </c>
      <c r="U67" s="1604" t="str">
        <f t="shared" si="4"/>
        <v>–</v>
      </c>
      <c r="V67" s="1600">
        <f>SUMIF('514'!$C$7:$C$100,B67,'514'!$N$7:$N$100)</f>
        <v>0</v>
      </c>
      <c r="W67" s="1602">
        <f>IF('ketv. 5 '!U88&gt;0,'ketv. 7 '!AG87,'ketv. 6 '!AB88)</f>
        <v>0</v>
      </c>
      <c r="X67" s="1604" t="str">
        <f t="shared" si="5"/>
        <v>–</v>
      </c>
      <c r="Y67" s="1605" t="str">
        <f>IF('ketv. 5 '!U88&gt;0,"baigtas","–")</f>
        <v>–</v>
      </c>
    </row>
    <row r="68" spans="1:25" ht="24.75" thickBot="1">
      <c r="A68" s="376">
        <f t="shared" si="6"/>
        <v>67</v>
      </c>
      <c r="B68" s="376" t="str">
        <f>CONCATENATE('ES lėšos'!B67)</f>
        <v>Pėsčiųjų ir dviračių takų plėtra Simno seniūnijoje</v>
      </c>
      <c r="C68" s="376" t="str">
        <f>CONCATENATE('ES lėšos'!C67)</f>
        <v>04.5.1-TID-R-516</v>
      </c>
      <c r="D68" s="376" t="str">
        <f>CONCATENATE('ES lėšos'!D67)</f>
        <v>Alytaus rajono savivaldybės administracija</v>
      </c>
      <c r="E68" s="376" t="str">
        <f>CONCATENATE('ES lėšos'!E67)</f>
        <v>Alytaus r. sav.</v>
      </c>
      <c r="F68" s="376" t="str">
        <f>CONCATENATE('ES lėšos'!F67)</f>
        <v>-</v>
      </c>
      <c r="G68" s="1600">
        <f>SUMIF('516'!$C$21:$C$100,B68,'516'!$E$21:$E$100)</f>
        <v>98949.56</v>
      </c>
      <c r="H68" s="1602">
        <f>IF('ketv. 5 '!U89&gt;0,'ketv. 7 '!L88,'ketv. 6 '!L89)</f>
        <v>98949.56</v>
      </c>
      <c r="I68" s="1604">
        <f t="shared" ref="I68:I131" si="7">IF(H68&gt;0,G68-H68,"–")</f>
        <v>0</v>
      </c>
      <c r="J68" s="1600">
        <f>SUMIF('516'!$C$21:$C$100,B68,'516'!$G$21:$G$100)</f>
        <v>84107.13</v>
      </c>
      <c r="K68" s="1602">
        <f>IF('ketv. 5 '!U89&gt;0,'ketv. 7 '!AL88,'ketv. 6 '!AF89)</f>
        <v>84107.13</v>
      </c>
      <c r="L68" s="1604">
        <f t="shared" ref="L68:L131" si="8">IF(K68&gt;0,J68-K68,"–")</f>
        <v>0</v>
      </c>
      <c r="M68" s="1600">
        <f>SUMIF('516'!$C$7:$C$100,B68,'516'!$H$7:$H$100)</f>
        <v>0</v>
      </c>
      <c r="N68" s="1602">
        <f>IF('ketv. 5 '!U89&gt;0,'ketv. 7 '!W88,'ketv. 6 '!T89)</f>
        <v>0</v>
      </c>
      <c r="O68" s="1604" t="str">
        <f t="shared" ref="O68:O131" si="9">IF(N68&gt;0,M68-N68,"–")</f>
        <v>–</v>
      </c>
      <c r="P68" s="1600">
        <f>SUMIF('516'!$C$7:$C$100,B68,'516'!$L$7:$L$100)</f>
        <v>14842.43</v>
      </c>
      <c r="Q68" s="1602">
        <f>IF('ketv. 5 '!U89&gt;0,'ketv. 7 '!R88,'ketv. 6 '!P89)</f>
        <v>14842.43</v>
      </c>
      <c r="R68" s="1604">
        <f t="shared" ref="R68:R131" si="10">IF(Q68&gt;0,P68-Q68,"–")</f>
        <v>0</v>
      </c>
      <c r="S68" s="1600">
        <f>SUMIF('514'!$C$7:$C$100,B68,'514'!$P$7:$PR$100)</f>
        <v>0</v>
      </c>
      <c r="T68" s="1602">
        <f>IF('ketv. 5 '!U89&gt;0,'ketv. 7 '!AB88,'ketv. 6 '!X89)</f>
        <v>0</v>
      </c>
      <c r="U68" s="1604" t="str">
        <f t="shared" ref="U68:U131" si="11">IF(T68&gt;0,S68-T68,"–")</f>
        <v>–</v>
      </c>
      <c r="V68" s="1600">
        <f>SUMIF('514'!$C$7:$C$100,B68,'514'!$N$7:$N$100)</f>
        <v>0</v>
      </c>
      <c r="W68" s="1602">
        <f>IF('ketv. 5 '!U89&gt;0,'ketv. 7 '!AG88,'ketv. 6 '!AB89)</f>
        <v>0</v>
      </c>
      <c r="X68" s="1604" t="str">
        <f t="shared" ref="X68:X131" si="12">IF(W68&gt;0,V68-W68,"–")</f>
        <v>–</v>
      </c>
      <c r="Y68" s="1605" t="str">
        <f>IF('ketv. 5 '!U89&gt;0,"baigtas","–")</f>
        <v>–</v>
      </c>
    </row>
    <row r="69" spans="1:25" ht="48.75" thickBot="1">
      <c r="A69" s="376">
        <f t="shared" ref="A69:A132" si="13">ROW(A68)</f>
        <v>68</v>
      </c>
      <c r="B69" s="376" t="str">
        <f>CONCATENATE('ES lėšos'!B68)</f>
        <v>Dviračių ir pėsčiųjų tako, esančio šalia Ratnyčios upelio Druskininkų mieste, rekonstrukcija</v>
      </c>
      <c r="C69" s="376" t="str">
        <f>CONCATENATE('ES lėšos'!C68)</f>
        <v>04.5.1-TID-R-516</v>
      </c>
      <c r="D69" s="376" t="str">
        <f>CONCATENATE('ES lėšos'!D68)</f>
        <v xml:space="preserve">Druskininkų savivaldybės administracija  </v>
      </c>
      <c r="E69" s="376" t="str">
        <f>CONCATENATE('ES lėšos'!E68)</f>
        <v>Druskininkų sav.</v>
      </c>
      <c r="F69" s="376" t="str">
        <f>CONCATENATE('ES lėšos'!F68)</f>
        <v>-</v>
      </c>
      <c r="G69" s="1600">
        <f>SUMIF('516'!$C$21:$C$100,B69,'516'!$E$21:$E$100)</f>
        <v>71089.02</v>
      </c>
      <c r="H69" s="1602">
        <f>IF('ketv. 5 '!U90&gt;0,'ketv. 7 '!L89,'ketv. 6 '!L90)</f>
        <v>0</v>
      </c>
      <c r="I69" s="1604" t="str">
        <f t="shared" si="7"/>
        <v>–</v>
      </c>
      <c r="J69" s="1600">
        <f>SUMIF('516'!$C$21:$C$100,B69,'516'!$G$21:$G$100)</f>
        <v>56623</v>
      </c>
      <c r="K69" s="1602">
        <f>IF('ketv. 5 '!U90&gt;0,'ketv. 7 '!AL89,'ketv. 6 '!AF90)</f>
        <v>0</v>
      </c>
      <c r="L69" s="1604" t="str">
        <f t="shared" si="8"/>
        <v>–</v>
      </c>
      <c r="M69" s="1600">
        <f>SUMIF('516'!$C$7:$C$100,B69,'516'!$H$7:$H$100)</f>
        <v>0</v>
      </c>
      <c r="N69" s="1602">
        <f>IF('ketv. 5 '!U90&gt;0,'ketv. 7 '!W89,'ketv. 6 '!T90)</f>
        <v>0</v>
      </c>
      <c r="O69" s="1604" t="str">
        <f t="shared" si="9"/>
        <v>–</v>
      </c>
      <c r="P69" s="1600">
        <f>SUMIF('516'!$C$7:$C$100,B69,'516'!$L$7:$L$100)</f>
        <v>14466.02</v>
      </c>
      <c r="Q69" s="1602">
        <f>IF('ketv. 5 '!U90&gt;0,'ketv. 7 '!R89,'ketv. 6 '!P90)</f>
        <v>0</v>
      </c>
      <c r="R69" s="1604" t="str">
        <f t="shared" si="10"/>
        <v>–</v>
      </c>
      <c r="S69" s="1600">
        <f>SUMIF('514'!$C$7:$C$100,B69,'514'!$P$7:$PR$100)</f>
        <v>0</v>
      </c>
      <c r="T69" s="1602">
        <f>IF('ketv. 5 '!U90&gt;0,'ketv. 7 '!AB89,'ketv. 6 '!X90)</f>
        <v>0</v>
      </c>
      <c r="U69" s="1604" t="str">
        <f t="shared" si="11"/>
        <v>–</v>
      </c>
      <c r="V69" s="1600">
        <f>SUMIF('514'!$C$7:$C$100,B69,'514'!$N$7:$N$100)</f>
        <v>0</v>
      </c>
      <c r="W69" s="1602">
        <f>IF('ketv. 5 '!U90&gt;0,'ketv. 7 '!AG89,'ketv. 6 '!AB90)</f>
        <v>0</v>
      </c>
      <c r="X69" s="1604" t="str">
        <f t="shared" si="12"/>
        <v>–</v>
      </c>
      <c r="Y69" s="1605" t="str">
        <f>IF('ketv. 5 '!U90&gt;0,"baigtas","–")</f>
        <v>–</v>
      </c>
    </row>
    <row r="70" spans="1:25" ht="48.75" thickBot="1">
      <c r="A70" s="376">
        <f t="shared" si="13"/>
        <v>69</v>
      </c>
      <c r="B70" s="376" t="str">
        <f>CONCATENATE('ES lėšos'!B69)</f>
        <v>Varėnos miesto J. Basanavičiaus, Savanorių, M. K. Čiurlionio gatvių rekonstrukcija</v>
      </c>
      <c r="C70" s="376" t="str">
        <f>CONCATENATE('ES lėšos'!C69)</f>
        <v>06.2.1-TID-R-511</v>
      </c>
      <c r="D70" s="376" t="str">
        <f>CONCATENATE('ES lėšos'!D69)</f>
        <v>Varėnos rajono savivaldybės administracija</v>
      </c>
      <c r="E70" s="376" t="str">
        <f>CONCATENATE('ES lėšos'!E69)</f>
        <v>Varėnos r. sav.</v>
      </c>
      <c r="F70" s="376" t="str">
        <f>CONCATENATE('ES lėšos'!F69)</f>
        <v>ITI</v>
      </c>
      <c r="G70" s="1600">
        <f>SUMIF('511'!$C$21:$C$100,B70,'511'!$G$21:$G$100)</f>
        <v>835464</v>
      </c>
      <c r="H70" s="1602">
        <f>IF('ketv. 5 '!U92&gt;0,'ketv. 7 '!L91,'ketv. 6 '!L92)</f>
        <v>835464</v>
      </c>
      <c r="I70" s="1604">
        <f t="shared" si="7"/>
        <v>0</v>
      </c>
      <c r="J70" s="1600">
        <f>SUMIF('511'!$C$21:$C$100,B70,'511'!$I$21:$I$100)</f>
        <v>710144</v>
      </c>
      <c r="K70" s="1602">
        <f>IF('ketv. 5 '!U92&gt;0,'ketv. 7 '!AL91,'ketv. 6 '!AF92)</f>
        <v>710144</v>
      </c>
      <c r="L70" s="1604">
        <f t="shared" si="8"/>
        <v>0</v>
      </c>
      <c r="M70" s="1600">
        <f>SUMIF('511'!$C$7:$C$100,B70,'511'!$J$7:$J$100)</f>
        <v>0</v>
      </c>
      <c r="N70" s="1602">
        <f>IF('ketv. 5 '!U92&gt;0,'ketv. 7 '!W91,'ketv. 6 '!T92)</f>
        <v>0</v>
      </c>
      <c r="O70" s="1604" t="str">
        <f t="shared" si="9"/>
        <v>–</v>
      </c>
      <c r="P70" s="1600">
        <f>SUMIF('511'!$C$7:$C$100,B70,'511'!$N$7:$N$100)</f>
        <v>62660</v>
      </c>
      <c r="Q70" s="1602">
        <f>IF('ketv. 5 '!U92&gt;0,'ketv. 7 '!R91,'ketv. 6 '!P92)</f>
        <v>62660</v>
      </c>
      <c r="R70" s="1604">
        <f t="shared" si="10"/>
        <v>0</v>
      </c>
      <c r="S70" s="1600">
        <f>SUMIF('511'!$C$7:$C$100,B70,'511'!$R$7:$R$100)</f>
        <v>0</v>
      </c>
      <c r="T70" s="1602">
        <f>IF('ketv. 5 '!U92&gt;0,'ketv. 7 '!AB91,'ketv. 6 '!X92)</f>
        <v>0</v>
      </c>
      <c r="U70" s="1604" t="str">
        <f t="shared" si="11"/>
        <v>–</v>
      </c>
      <c r="V70" s="1600">
        <f>SUMIF('511'!$C$7:$C$100,B70,'511'!$P$7:$P$100)</f>
        <v>0</v>
      </c>
      <c r="W70" s="1602">
        <f>IF('ketv. 5 '!U92&gt;0,'ketv. 7 '!AG91,'ketv. 6 '!AB92)</f>
        <v>62660</v>
      </c>
      <c r="X70" s="1604">
        <f t="shared" si="12"/>
        <v>-62660</v>
      </c>
      <c r="Y70" s="1605" t="str">
        <f>IF('ketv. 5 '!U92&gt;0,"baigtas","–")</f>
        <v>–</v>
      </c>
    </row>
    <row r="71" spans="1:25" ht="36.75" thickBot="1">
      <c r="A71" s="376">
        <f t="shared" si="13"/>
        <v>70</v>
      </c>
      <c r="B71" s="376" t="str">
        <f>CONCATENATE('ES lėšos'!B70)</f>
        <v>Perspektyvinės gatvės nuo Pramonės g. iki Naujosios g. Alytuje įrengimas</v>
      </c>
      <c r="C71" s="376" t="str">
        <f>CONCATENATE('ES lėšos'!C70)</f>
        <v>06.2.1-TID-R-511</v>
      </c>
      <c r="D71" s="376" t="str">
        <f>CONCATENATE('ES lėšos'!D70)</f>
        <v>Alytaus miesto savivaldybės administracija</v>
      </c>
      <c r="E71" s="376" t="str">
        <f>CONCATENATE('ES lėšos'!E70)</f>
        <v>Alytaus m. sav.</v>
      </c>
      <c r="F71" s="376" t="str">
        <f>CONCATENATE('ES lėšos'!F70)</f>
        <v>ITI</v>
      </c>
      <c r="G71" s="1600">
        <f>SUMIF('511'!$C$21:$C$100,B71,'511'!$G$21:$G$100)</f>
        <v>879927.06</v>
      </c>
      <c r="H71" s="1602">
        <f>IF('ketv. 5 '!U93&gt;0,'ketv. 7 '!L92,'ketv. 6 '!L93)</f>
        <v>879927.06</v>
      </c>
      <c r="I71" s="1604">
        <f t="shared" si="7"/>
        <v>0</v>
      </c>
      <c r="J71" s="1600">
        <f>SUMIF('511'!$C$21:$C$100,B71,'511'!$I$21:$I$100)</f>
        <v>747938</v>
      </c>
      <c r="K71" s="1602">
        <f>IF('ketv. 5 '!U93&gt;0,'ketv. 7 '!AL92,'ketv. 6 '!AF93)</f>
        <v>747938</v>
      </c>
      <c r="L71" s="1604">
        <f t="shared" si="8"/>
        <v>0</v>
      </c>
      <c r="M71" s="1600">
        <f>SUMIF('511'!$C$7:$C$100,B71,'511'!$J$7:$J$100)</f>
        <v>0</v>
      </c>
      <c r="N71" s="1602">
        <f>IF('ketv. 5 '!U93&gt;0,'ketv. 7 '!W92,'ketv. 6 '!T93)</f>
        <v>0</v>
      </c>
      <c r="O71" s="1604" t="str">
        <f t="shared" si="9"/>
        <v>–</v>
      </c>
      <c r="P71" s="1600">
        <f>SUMIF('511'!$C$7:$C$100,B71,'511'!$N$7:$N$100)</f>
        <v>131989.06</v>
      </c>
      <c r="Q71" s="1602">
        <f>IF('ketv. 5 '!U93&gt;0,'ketv. 7 '!R92,'ketv. 6 '!P93)</f>
        <v>131989.06</v>
      </c>
      <c r="R71" s="1604">
        <f t="shared" si="10"/>
        <v>0</v>
      </c>
      <c r="S71" s="1600">
        <f>SUMIF('511'!$C$7:$C$100,B71,'511'!$R$7:$R$100)</f>
        <v>0</v>
      </c>
      <c r="T71" s="1602">
        <f>IF('ketv. 5 '!U93&gt;0,'ketv. 7 '!AB92,'ketv. 6 '!X93)</f>
        <v>0</v>
      </c>
      <c r="U71" s="1604" t="str">
        <f t="shared" si="11"/>
        <v>–</v>
      </c>
      <c r="V71" s="1600">
        <f>SUMIF('511'!$C$7:$C$100,B71,'511'!$P$7:$P$100)</f>
        <v>0</v>
      </c>
      <c r="W71" s="1602">
        <f>IF('ketv. 5 '!U93&gt;0,'ketv. 7 '!AG92,'ketv. 6 '!AB93)</f>
        <v>0</v>
      </c>
      <c r="X71" s="1604" t="str">
        <f t="shared" si="12"/>
        <v>–</v>
      </c>
      <c r="Y71" s="1605" t="str">
        <f>IF('ketv. 5 '!U93&gt;0,"baigtas","–")</f>
        <v>baigtas</v>
      </c>
    </row>
    <row r="72" spans="1:25" ht="24.75" thickBot="1">
      <c r="A72" s="376">
        <f t="shared" si="13"/>
        <v>71</v>
      </c>
      <c r="B72" s="376" t="str">
        <f>CONCATENATE('ES lėšos'!B71)</f>
        <v>Saugaus eismo priemonių diegimas Alytaus mieste</v>
      </c>
      <c r="C72" s="376" t="str">
        <f>CONCATENATE('ES lėšos'!C71)</f>
        <v>06.2.1-TID-R-511</v>
      </c>
      <c r="D72" s="376" t="str">
        <f>CONCATENATE('ES lėšos'!D71)</f>
        <v>Alytaus miesto savivaldybės administracija</v>
      </c>
      <c r="E72" s="376" t="str">
        <f>CONCATENATE('ES lėšos'!E71)</f>
        <v>Alytaus m. sav.</v>
      </c>
      <c r="F72" s="376" t="str">
        <f>CONCATENATE('ES lėšos'!F71)</f>
        <v>-</v>
      </c>
      <c r="G72" s="1600">
        <f>SUMIF('511'!$C$21:$C$100,B72,'511'!$G$21:$G$100)</f>
        <v>315614.59999999998</v>
      </c>
      <c r="H72" s="1602">
        <f>IF('ketv. 5 '!U94&gt;0,'ketv. 7 '!L93,'ketv. 6 '!L94)</f>
        <v>274146.8</v>
      </c>
      <c r="I72" s="1604">
        <f t="shared" si="7"/>
        <v>41467.799999999988</v>
      </c>
      <c r="J72" s="1600">
        <f>SUMIF('511'!$C$21:$C$100,B72,'511'!$I$21:$I$100)</f>
        <v>250299</v>
      </c>
      <c r="K72" s="1602">
        <f>IF('ketv. 5 '!U94&gt;0,'ketv. 7 '!AL93,'ketv. 6 '!AF94)</f>
        <v>233024.78</v>
      </c>
      <c r="L72" s="1604">
        <f t="shared" si="8"/>
        <v>17274.22</v>
      </c>
      <c r="M72" s="1600">
        <f>SUMIF('511'!$C$7:$C$100,B72,'511'!$J$7:$J$100)</f>
        <v>0</v>
      </c>
      <c r="N72" s="1602">
        <f>IF('ketv. 5 '!U94&gt;0,'ketv. 7 '!W93,'ketv. 6 '!T94)</f>
        <v>0</v>
      </c>
      <c r="O72" s="1604" t="str">
        <f t="shared" si="9"/>
        <v>–</v>
      </c>
      <c r="P72" s="1600">
        <f>SUMIF('511'!$C$7:$C$100,B72,'511'!$N$7:$N$100)</f>
        <v>65315.6</v>
      </c>
      <c r="Q72" s="1602">
        <f>IF('ketv. 5 '!U94&gt;0,'ketv. 7 '!R93,'ketv. 6 '!P94)</f>
        <v>41122.019999999997</v>
      </c>
      <c r="R72" s="1604">
        <f t="shared" si="10"/>
        <v>24193.58</v>
      </c>
      <c r="S72" s="1600">
        <f>SUMIF('511'!$C$7:$C$100,B72,'511'!$R$7:$R$100)</f>
        <v>0</v>
      </c>
      <c r="T72" s="1602">
        <f>IF('ketv. 5 '!U94&gt;0,'ketv. 7 '!AB93,'ketv. 6 '!X94)</f>
        <v>0</v>
      </c>
      <c r="U72" s="1604" t="str">
        <f t="shared" si="11"/>
        <v>–</v>
      </c>
      <c r="V72" s="1600">
        <f>SUMIF('511'!$C$7:$C$100,B72,'511'!$P$7:$P$100)</f>
        <v>0</v>
      </c>
      <c r="W72" s="1602">
        <f>IF('ketv. 5 '!U94&gt;0,'ketv. 7 '!AG93,'ketv. 6 '!AB94)</f>
        <v>0</v>
      </c>
      <c r="X72" s="1604" t="str">
        <f t="shared" si="12"/>
        <v>–</v>
      </c>
      <c r="Y72" s="1605" t="str">
        <f>IF('ketv. 5 '!U94&gt;0,"baigtas","–")</f>
        <v>–</v>
      </c>
    </row>
    <row r="73" spans="1:25" ht="36.75" thickBot="1">
      <c r="A73" s="376">
        <f t="shared" si="13"/>
        <v>72</v>
      </c>
      <c r="B73" s="376" t="str">
        <f>CONCATENATE('ES lėšos'!B72)</f>
        <v>Eismo saugos priemonių diegimas Alytaus rajono savivaldybėje</v>
      </c>
      <c r="C73" s="376" t="str">
        <f>CONCATENATE('ES lėšos'!C72)</f>
        <v>06.2.1-TID-R-511</v>
      </c>
      <c r="D73" s="376" t="str">
        <f>CONCATENATE('ES lėšos'!D72)</f>
        <v>Alytaus rajono savivaldybės administracija</v>
      </c>
      <c r="E73" s="376" t="str">
        <f>CONCATENATE('ES lėšos'!E72)</f>
        <v>Alytaus r. sav.</v>
      </c>
      <c r="F73" s="376" t="str">
        <f>CONCATENATE('ES lėšos'!F72)</f>
        <v>-</v>
      </c>
      <c r="G73" s="1600">
        <f>SUMIF('511'!$C$21:$C$100,B73,'511'!$G$21:$G$100)</f>
        <v>274817.98</v>
      </c>
      <c r="H73" s="1602">
        <f>IF('ketv. 5 '!U95&gt;0,'ketv. 7 '!L94,'ketv. 6 '!L95)</f>
        <v>274817.98</v>
      </c>
      <c r="I73" s="1604">
        <f t="shared" si="7"/>
        <v>0</v>
      </c>
      <c r="J73" s="1600">
        <f>SUMIF('511'!$C$21:$C$100,B73,'511'!$I$21:$I$100)</f>
        <v>200844</v>
      </c>
      <c r="K73" s="1602">
        <f>IF('ketv. 5 '!U95&gt;0,'ketv. 7 '!AL94,'ketv. 6 '!AF95)</f>
        <v>200844</v>
      </c>
      <c r="L73" s="1604">
        <f t="shared" si="8"/>
        <v>0</v>
      </c>
      <c r="M73" s="1600">
        <f>SUMIF('511'!$C$7:$C$100,B73,'511'!$J$7:$J$100)</f>
        <v>0</v>
      </c>
      <c r="N73" s="1602">
        <f>IF('ketv. 5 '!U95&gt;0,'ketv. 7 '!W94,'ketv. 6 '!T95)</f>
        <v>0</v>
      </c>
      <c r="O73" s="1604" t="str">
        <f t="shared" si="9"/>
        <v>–</v>
      </c>
      <c r="P73" s="1600">
        <f>SUMIF('511'!$C$7:$C$100,B73,'511'!$N$7:$N$100)</f>
        <v>73973.98</v>
      </c>
      <c r="Q73" s="1602">
        <f>IF('ketv. 5 '!U95&gt;0,'ketv. 7 '!R94,'ketv. 6 '!P95)</f>
        <v>73973.98</v>
      </c>
      <c r="R73" s="1604">
        <f t="shared" si="10"/>
        <v>0</v>
      </c>
      <c r="S73" s="1600">
        <f>SUMIF('511'!$C$7:$C$100,B73,'511'!$R$7:$R$100)</f>
        <v>0</v>
      </c>
      <c r="T73" s="1602">
        <f>IF('ketv. 5 '!U95&gt;0,'ketv. 7 '!AB94,'ketv. 6 '!X95)</f>
        <v>0</v>
      </c>
      <c r="U73" s="1604" t="str">
        <f t="shared" si="11"/>
        <v>–</v>
      </c>
      <c r="V73" s="1600">
        <f>SUMIF('511'!$C$7:$C$100,B73,'511'!$P$7:$P$100)</f>
        <v>0</v>
      </c>
      <c r="W73" s="1602">
        <f>IF('ketv. 5 '!U95&gt;0,'ketv. 7 '!AG94,'ketv. 6 '!AB95)</f>
        <v>0</v>
      </c>
      <c r="X73" s="1604" t="str">
        <f t="shared" si="12"/>
        <v>–</v>
      </c>
      <c r="Y73" s="1605" t="str">
        <f>IF('ketv. 5 '!U95&gt;0,"baigtas","–")</f>
        <v>–</v>
      </c>
    </row>
    <row r="74" spans="1:25" ht="36.75" thickBot="1">
      <c r="A74" s="376">
        <f t="shared" si="13"/>
        <v>73</v>
      </c>
      <c r="B74" s="376" t="str">
        <f>CONCATENATE('ES lėšos'!B73)</f>
        <v>M.K. Čiurlionio gatvės atkarpos Druskininkų m. rekonstrukcija</v>
      </c>
      <c r="C74" s="376" t="str">
        <f>CONCATENATE('ES lėšos'!C73)</f>
        <v>06.2.1-TID-R-511</v>
      </c>
      <c r="D74" s="376" t="str">
        <f>CONCATENATE('ES lėšos'!D73)</f>
        <v xml:space="preserve">Druskininkų savivaldybės administracija  </v>
      </c>
      <c r="E74" s="376" t="str">
        <f>CONCATENATE('ES lėšos'!E73)</f>
        <v>Druskininkų sav.</v>
      </c>
      <c r="F74" s="376" t="str">
        <f>CONCATENATE('ES lėšos'!F73)</f>
        <v>ITI</v>
      </c>
      <c r="G74" s="1600">
        <f>SUMIF('511'!$C$21:$C$100,B74,'511'!$G$21:$G$100)</f>
        <v>1258144.24</v>
      </c>
      <c r="H74" s="1602">
        <f>IF('ketv. 5 '!U96&gt;0,'ketv. 7 '!L95,'ketv. 6 '!L96)</f>
        <v>916566.48</v>
      </c>
      <c r="I74" s="1604">
        <f t="shared" si="7"/>
        <v>341577.76</v>
      </c>
      <c r="J74" s="1600">
        <f>SUMIF('511'!$C$21:$C$100,B74,'511'!$I$21:$I$100)</f>
        <v>384649</v>
      </c>
      <c r="K74" s="1602">
        <f>IF('ketv. 5 '!U96&gt;0,'ketv. 7 '!AL95,'ketv. 6 '!AF96)</f>
        <v>346184.1</v>
      </c>
      <c r="L74" s="1604">
        <f t="shared" si="8"/>
        <v>38464.900000000023</v>
      </c>
      <c r="M74" s="1600">
        <f>SUMIF('511'!$C$7:$C$100,B74,'511'!$J$7:$J$100)</f>
        <v>0</v>
      </c>
      <c r="N74" s="1602">
        <f>IF('ketv. 5 '!U96&gt;0,'ketv. 7 '!W95,'ketv. 6 '!T96)</f>
        <v>0</v>
      </c>
      <c r="O74" s="1604" t="str">
        <f t="shared" si="9"/>
        <v>–</v>
      </c>
      <c r="P74" s="1600">
        <f>SUMIF('511'!$C$7:$C$100,B74,'511'!$N$7:$N$100)</f>
        <v>873495.24</v>
      </c>
      <c r="Q74" s="1602">
        <f>IF('ketv. 5 '!U96&gt;0,'ketv. 7 '!R95,'ketv. 6 '!P96)</f>
        <v>570382.38</v>
      </c>
      <c r="R74" s="1604">
        <f t="shared" si="10"/>
        <v>303112.86</v>
      </c>
      <c r="S74" s="1600">
        <f>SUMIF('511'!$C$7:$C$100,B74,'511'!$R$7:$R$100)</f>
        <v>0</v>
      </c>
      <c r="T74" s="1602">
        <f>IF('ketv. 5 '!U96&gt;0,'ketv. 7 '!AB95,'ketv. 6 '!X96)</f>
        <v>0</v>
      </c>
      <c r="U74" s="1604" t="str">
        <f t="shared" si="11"/>
        <v>–</v>
      </c>
      <c r="V74" s="1600">
        <f>SUMIF('511'!$C$7:$C$100,B74,'511'!$P$7:$P$100)</f>
        <v>0</v>
      </c>
      <c r="W74" s="1602">
        <f>IF('ketv. 5 '!U96&gt;0,'ketv. 7 '!AG95,'ketv. 6 '!AB96)</f>
        <v>0</v>
      </c>
      <c r="X74" s="1604" t="str">
        <f t="shared" si="12"/>
        <v>–</v>
      </c>
      <c r="Y74" s="1605" t="str">
        <f>IF('ketv. 5 '!U96&gt;0,"baigtas","–")</f>
        <v>–</v>
      </c>
    </row>
    <row r="75" spans="1:25" ht="60.75" thickBot="1">
      <c r="A75" s="376">
        <f t="shared" si="13"/>
        <v>74</v>
      </c>
      <c r="B75" s="376" t="str">
        <f>CONCATENATE('ES lėšos'!B74)</f>
        <v>Lazdijų miesto Seinų ir Lazdijos gatvių bei vietinės reikšmės kelio nuo Janonio gatvės iki Lazdijų hipodromo rekonstravimas</v>
      </c>
      <c r="C75" s="376" t="str">
        <f>CONCATENATE('ES lėšos'!C74)</f>
        <v>06.2.1-TID-R-511</v>
      </c>
      <c r="D75" s="376" t="str">
        <f>CONCATENATE('ES lėšos'!D74)</f>
        <v>Lazdijų rajono savivaldybės administracija</v>
      </c>
      <c r="E75" s="376" t="str">
        <f>CONCATENATE('ES lėšos'!E74)</f>
        <v>Lazdijų r. sav.</v>
      </c>
      <c r="F75" s="376" t="str">
        <f>CONCATENATE('ES lėšos'!F74)</f>
        <v>ITI</v>
      </c>
      <c r="G75" s="1600">
        <f>SUMIF('511'!$C$21:$C$100,B75,'511'!$G$21:$G$100)</f>
        <v>759934</v>
      </c>
      <c r="H75" s="1602">
        <f>IF('ketv. 5 '!U97&gt;0,'ketv. 7 '!L96,'ketv. 6 '!L97)</f>
        <v>759934</v>
      </c>
      <c r="I75" s="1604">
        <f t="shared" si="7"/>
        <v>0</v>
      </c>
      <c r="J75" s="1600">
        <f>SUMIF('511'!$C$21:$C$100,B75,'511'!$I$21:$I$100)</f>
        <v>645944</v>
      </c>
      <c r="K75" s="1602">
        <f>IF('ketv. 5 '!U97&gt;0,'ketv. 7 '!AL96,'ketv. 6 '!AF97)</f>
        <v>645944</v>
      </c>
      <c r="L75" s="1604">
        <f t="shared" si="8"/>
        <v>0</v>
      </c>
      <c r="M75" s="1600">
        <f>SUMIF('511'!$C$7:$C$100,B75,'511'!$J$7:$J$100)</f>
        <v>0</v>
      </c>
      <c r="N75" s="1602">
        <f>IF('ketv. 5 '!U97&gt;0,'ketv. 7 '!W96,'ketv. 6 '!T97)</f>
        <v>0</v>
      </c>
      <c r="O75" s="1604" t="str">
        <f t="shared" si="9"/>
        <v>–</v>
      </c>
      <c r="P75" s="1600">
        <f>SUMIF('511'!$C$7:$C$100,B75,'511'!$N$7:$N$100)</f>
        <v>113990</v>
      </c>
      <c r="Q75" s="1602">
        <f>IF('ketv. 5 '!U97&gt;0,'ketv. 7 '!R96,'ketv. 6 '!P97)</f>
        <v>113990</v>
      </c>
      <c r="R75" s="1604">
        <f t="shared" si="10"/>
        <v>0</v>
      </c>
      <c r="S75" s="1600">
        <f>SUMIF('511'!$C$7:$C$100,B75,'511'!$R$7:$R$100)</f>
        <v>0</v>
      </c>
      <c r="T75" s="1602">
        <f>IF('ketv. 5 '!U97&gt;0,'ketv. 7 '!AB96,'ketv. 6 '!X97)</f>
        <v>0</v>
      </c>
      <c r="U75" s="1604" t="str">
        <f t="shared" si="11"/>
        <v>–</v>
      </c>
      <c r="V75" s="1600">
        <f>SUMIF('511'!$C$7:$C$100,B75,'511'!$P$7:$P$100)</f>
        <v>0</v>
      </c>
      <c r="W75" s="1602">
        <f>IF('ketv. 5 '!U97&gt;0,'ketv. 7 '!AG96,'ketv. 6 '!AB97)</f>
        <v>0</v>
      </c>
      <c r="X75" s="1604" t="str">
        <f t="shared" si="12"/>
        <v>–</v>
      </c>
      <c r="Y75" s="1605" t="str">
        <f>IF('ketv. 5 '!U97&gt;0,"baigtas","–")</f>
        <v>–</v>
      </c>
    </row>
    <row r="76" spans="1:25" ht="36.75" thickBot="1">
      <c r="A76" s="376">
        <f t="shared" si="13"/>
        <v>75</v>
      </c>
      <c r="B76" s="376" t="str">
        <f>CONCATENATE('ES lėšos'!B75)</f>
        <v>Eismo saugumo priemonių diegimas Druskininkų savivaldybėje</v>
      </c>
      <c r="C76" s="376" t="str">
        <f>CONCATENATE('ES lėšos'!C75)</f>
        <v>06.2.1-TID-R-511</v>
      </c>
      <c r="D76" s="376" t="str">
        <f>CONCATENATE('ES lėšos'!D75)</f>
        <v xml:space="preserve">Druskininkų savivaldybės administracija  </v>
      </c>
      <c r="E76" s="376" t="str">
        <f>CONCATENATE('ES lėšos'!E75)</f>
        <v>Druskininkų sav.</v>
      </c>
      <c r="F76" s="376" t="str">
        <f>CONCATENATE('ES lėšos'!F75)</f>
        <v>-</v>
      </c>
      <c r="G76" s="1600">
        <f>SUMIF('511'!$C$21:$C$100,B76,'511'!$G$21:$G$100)</f>
        <v>343390.47</v>
      </c>
      <c r="H76" s="1602">
        <f>IF('ketv. 5 '!U98&gt;0,'ketv. 7 '!L97,'ketv. 6 '!L98)</f>
        <v>320671.49</v>
      </c>
      <c r="I76" s="1604">
        <f t="shared" si="7"/>
        <v>22718.979999999981</v>
      </c>
      <c r="J76" s="1600">
        <f>SUMIF('511'!$C$21:$C$100,B76,'511'!$I$21:$I$100)</f>
        <v>112989</v>
      </c>
      <c r="K76" s="1602">
        <f>IF('ketv. 5 '!U98&gt;0,'ketv. 7 '!AL97,'ketv. 6 '!AF98)</f>
        <v>112989</v>
      </c>
      <c r="L76" s="1604">
        <f t="shared" si="8"/>
        <v>0</v>
      </c>
      <c r="M76" s="1600">
        <f>SUMIF('511'!$C$7:$C$100,B76,'511'!$J$7:$J$100)</f>
        <v>0</v>
      </c>
      <c r="N76" s="1602">
        <f>IF('ketv. 5 '!U98&gt;0,'ketv. 7 '!W97,'ketv. 6 '!T98)</f>
        <v>0</v>
      </c>
      <c r="O76" s="1604" t="str">
        <f t="shared" si="9"/>
        <v>–</v>
      </c>
      <c r="P76" s="1600">
        <f>SUMIF('511'!$C$7:$C$100,B76,'511'!$N$7:$N$100)</f>
        <v>230401.47</v>
      </c>
      <c r="Q76" s="1602">
        <f>IF('ketv. 5 '!U98&gt;0,'ketv. 7 '!R97,'ketv. 6 '!P98)</f>
        <v>207682.49</v>
      </c>
      <c r="R76" s="1604">
        <f t="shared" si="10"/>
        <v>22718.98000000001</v>
      </c>
      <c r="S76" s="1600">
        <f>SUMIF('511'!$C$7:$C$100,B76,'511'!$R$7:$R$100)</f>
        <v>0</v>
      </c>
      <c r="T76" s="1602">
        <f>IF('ketv. 5 '!U98&gt;0,'ketv. 7 '!AB97,'ketv. 6 '!X98)</f>
        <v>0</v>
      </c>
      <c r="U76" s="1604" t="str">
        <f t="shared" si="11"/>
        <v>–</v>
      </c>
      <c r="V76" s="1600">
        <f>SUMIF('511'!$C$7:$C$100,B76,'511'!$P$7:$P$100)</f>
        <v>0</v>
      </c>
      <c r="W76" s="1602">
        <f>IF('ketv. 5 '!U98&gt;0,'ketv. 7 '!AG97,'ketv. 6 '!AB98)</f>
        <v>0</v>
      </c>
      <c r="X76" s="1604" t="str">
        <f t="shared" si="12"/>
        <v>–</v>
      </c>
      <c r="Y76" s="1605" t="str">
        <f>IF('ketv. 5 '!U98&gt;0,"baigtas","–")</f>
        <v>–</v>
      </c>
    </row>
    <row r="77" spans="1:25" ht="72.75" thickBot="1">
      <c r="A77" s="376">
        <f t="shared" si="13"/>
        <v>76</v>
      </c>
      <c r="B77" s="376" t="str">
        <f>CONCATENATE('ES lėšos'!B76)</f>
        <v>Varėnos r. Merkinės Vinco Krėvės gimnazijos laisvų patalpų pritaikymas ikimokyklinio ir priešmokyklinio ugdymo grupėms įrengti</v>
      </c>
      <c r="C77" s="376" t="str">
        <f>CONCATENATE('ES lėšos'!C76)</f>
        <v>09.1.3-CPVA-R-724</v>
      </c>
      <c r="D77" s="376" t="str">
        <f>CONCATENATE('ES lėšos'!D76)</f>
        <v>Varėnos rajono savivaldybės administracija</v>
      </c>
      <c r="E77" s="376" t="str">
        <f>CONCATENATE('ES lėšos'!E76)</f>
        <v>Varėnos r. sav.</v>
      </c>
      <c r="F77" s="376" t="str">
        <f>CONCATENATE('ES lėšos'!F76)</f>
        <v>-</v>
      </c>
      <c r="G77" s="1600">
        <f>SUMIF('724'!$C$21:$C$100,B77,'724'!$E$21:$E$100)</f>
        <v>220453</v>
      </c>
      <c r="H77" s="1602">
        <f>IF('ketv. 5 '!U102&gt;0,'ketv. 7 '!L101,'ketv. 6 '!L102)</f>
        <v>220453</v>
      </c>
      <c r="I77" s="1604">
        <f t="shared" si="7"/>
        <v>0</v>
      </c>
      <c r="J77" s="1600">
        <f>SUMIF('724'!$C$21:$C$100,B77,'724'!$G$21:$G$100)</f>
        <v>187385</v>
      </c>
      <c r="K77" s="1602">
        <f>IF('ketv. 5 '!U102&gt;0,'ketv. 7 '!AL101,'ketv. 6 '!AF102)</f>
        <v>187385</v>
      </c>
      <c r="L77" s="1604">
        <f t="shared" si="8"/>
        <v>0</v>
      </c>
      <c r="M77" s="1600">
        <f>SUMIF('724'!$C$7:$C$100,B77,'724'!$H$7:$H$100)</f>
        <v>16534</v>
      </c>
      <c r="N77" s="1602">
        <f>IF('ketv. 5 '!U102&gt;0,'ketv. 7 '!W101,'ketv. 6 '!T102)</f>
        <v>16534</v>
      </c>
      <c r="O77" s="1604">
        <f t="shared" si="9"/>
        <v>0</v>
      </c>
      <c r="P77" s="1600">
        <f>SUMIF('724'!$C$7:$C$100,B77,'724'!$L$7:$L$100)</f>
        <v>16534</v>
      </c>
      <c r="Q77" s="1602">
        <f>IF('ketv. 5 '!U102&gt;0,'ketv. 7 '!R101,'ketv. 6 '!P102)</f>
        <v>16534</v>
      </c>
      <c r="R77" s="1604">
        <f t="shared" si="10"/>
        <v>0</v>
      </c>
      <c r="S77" s="1600">
        <f>SUMIF('724'!$C$7:$C$100,B77,'724'!$P$7:$P$100)</f>
        <v>0</v>
      </c>
      <c r="T77" s="1602">
        <f>IF('ketv. 5 '!U102&gt;0,'ketv. 7 '!AB101,'ketv. 6 '!X102)</f>
        <v>0</v>
      </c>
      <c r="U77" s="1604" t="str">
        <f t="shared" si="11"/>
        <v>–</v>
      </c>
      <c r="V77" s="1600">
        <f>SUMIF('724'!$C$7:$C$100,B77,'724'!$N$7:$N$100)</f>
        <v>0</v>
      </c>
      <c r="W77" s="1602">
        <f>IF('ketv. 5 '!U102&gt;0,'ketv. 7 '!AG101,'ketv. 6 '!AB102)</f>
        <v>0</v>
      </c>
      <c r="X77" s="1604" t="str">
        <f t="shared" si="12"/>
        <v>–</v>
      </c>
      <c r="Y77" s="1605" t="str">
        <f>IF('ketv. 5 '!U102&gt;0,"baigtas","–")</f>
        <v>–</v>
      </c>
    </row>
    <row r="78" spans="1:25" ht="60.75" thickBot="1">
      <c r="A78" s="376">
        <f t="shared" si="13"/>
        <v>77</v>
      </c>
      <c r="B78" s="376" t="str">
        <f>CONCATENATE('ES lėšos'!B77)</f>
        <v>Alytaus rajono bendrojo ugdymo įstaigų aprūpinimas gamtos, technologijų, menų ir kitų mokslų laboratorijų įranga</v>
      </c>
      <c r="C78" s="376" t="str">
        <f>CONCATENATE('ES lėšos'!C77)</f>
        <v>09.1.3-CPVA-R-724</v>
      </c>
      <c r="D78" s="376" t="str">
        <f>CONCATENATE('ES lėšos'!D77)</f>
        <v>Alytaus rajono savivaldybės administracija</v>
      </c>
      <c r="E78" s="376" t="str">
        <f>CONCATENATE('ES lėšos'!E77)</f>
        <v>Alytaus r. sav.</v>
      </c>
      <c r="F78" s="376" t="str">
        <f>CONCATENATE('ES lėšos'!F77)</f>
        <v>-</v>
      </c>
      <c r="G78" s="1600">
        <f>SUMIF('724'!$C$21:$C$100,B78,'724'!$E$21:$E$100)</f>
        <v>106845</v>
      </c>
      <c r="H78" s="1602">
        <f>IF('ketv. 5 '!U103&gt;0,'ketv. 7 '!L102,'ketv. 6 '!L103)</f>
        <v>106845.41</v>
      </c>
      <c r="I78" s="1604">
        <f t="shared" si="7"/>
        <v>-0.41000000000349246</v>
      </c>
      <c r="J78" s="1600">
        <f>SUMIF('724'!$C$21:$C$100,B78,'724'!$G$21:$G$100)</f>
        <v>90818</v>
      </c>
      <c r="K78" s="1602">
        <f>IF('ketv. 5 '!U103&gt;0,'ketv. 7 '!AL102,'ketv. 6 '!AF103)</f>
        <v>90818</v>
      </c>
      <c r="L78" s="1604">
        <f t="shared" si="8"/>
        <v>0</v>
      </c>
      <c r="M78" s="1600">
        <f>SUMIF('724'!$C$7:$C$100,B78,'724'!$H$7:$H$100)</f>
        <v>8014</v>
      </c>
      <c r="N78" s="1602">
        <f>IF('ketv. 5 '!U103&gt;0,'ketv. 7 '!W102,'ketv. 6 '!T103)</f>
        <v>8014</v>
      </c>
      <c r="O78" s="1604">
        <f t="shared" si="9"/>
        <v>0</v>
      </c>
      <c r="P78" s="1600">
        <f>SUMIF('724'!$C$7:$C$100,B78,'724'!$L$7:$L$100)</f>
        <v>8013</v>
      </c>
      <c r="Q78" s="1602">
        <f>IF('ketv. 5 '!U103&gt;0,'ketv. 7 '!R102,'ketv. 6 '!P103)</f>
        <v>8013.41</v>
      </c>
      <c r="R78" s="1604">
        <f t="shared" si="10"/>
        <v>-0.40999999999985448</v>
      </c>
      <c r="S78" s="1600">
        <f>SUMIF('724'!$C$7:$C$100,B78,'724'!$P$7:$P$100)</f>
        <v>0</v>
      </c>
      <c r="T78" s="1602">
        <f>IF('ketv. 5 '!U103&gt;0,'ketv. 7 '!AB102,'ketv. 6 '!X103)</f>
        <v>0</v>
      </c>
      <c r="U78" s="1604" t="str">
        <f t="shared" si="11"/>
        <v>–</v>
      </c>
      <c r="V78" s="1600">
        <f>SUMIF('724'!$C$7:$C$100,B78,'724'!$N$7:$N$100)</f>
        <v>0</v>
      </c>
      <c r="W78" s="1602">
        <f>IF('ketv. 5 '!U103&gt;0,'ketv. 7 '!AG102,'ketv. 6 '!AB103)</f>
        <v>0</v>
      </c>
      <c r="X78" s="1604" t="str">
        <f t="shared" si="12"/>
        <v>–</v>
      </c>
      <c r="Y78" s="1605" t="str">
        <f>IF('ketv. 5 '!U103&gt;0,"baigtas","–")</f>
        <v>–</v>
      </c>
    </row>
    <row r="79" spans="1:25" ht="48.75" thickBot="1">
      <c r="A79" s="376">
        <f t="shared" si="13"/>
        <v>78</v>
      </c>
      <c r="B79" s="376" t="str">
        <f>CONCATENATE('ES lėšos'!B78)</f>
        <v>Modernių ir saugių erdvių kūrimas Dzūkijos pagrindinėje mokykloje, Alytuje</v>
      </c>
      <c r="C79" s="376" t="str">
        <f>CONCATENATE('ES lėšos'!C78)</f>
        <v>09.1.3-CPVA-R-724</v>
      </c>
      <c r="D79" s="376" t="str">
        <f>CONCATENATE('ES lėšos'!D78)</f>
        <v>Alytaus miesto savivaldybės administracija</v>
      </c>
      <c r="E79" s="376" t="str">
        <f>CONCATENATE('ES lėšos'!E78)</f>
        <v>Alytaus m. sav.</v>
      </c>
      <c r="F79" s="376" t="str">
        <f>CONCATENATE('ES lėšos'!F78)</f>
        <v>-</v>
      </c>
      <c r="G79" s="1600">
        <f>SUMIF('724'!$C$21:$C$100,B79,'724'!$E$21:$E$100)</f>
        <v>657021</v>
      </c>
      <c r="H79" s="1602">
        <f>IF('ketv. 5 '!U104&gt;0,'ketv. 7 '!L103,'ketv. 6 '!L104)</f>
        <v>657021</v>
      </c>
      <c r="I79" s="1604">
        <f t="shared" si="7"/>
        <v>0</v>
      </c>
      <c r="J79" s="1600">
        <f>SUMIF('724'!$C$21:$C$100,B79,'724'!$G$21:$G$100)</f>
        <v>558467</v>
      </c>
      <c r="K79" s="1602">
        <f>IF('ketv. 5 '!U104&gt;0,'ketv. 7 '!AL103,'ketv. 6 '!AF104)</f>
        <v>558467</v>
      </c>
      <c r="L79" s="1604">
        <f t="shared" si="8"/>
        <v>0</v>
      </c>
      <c r="M79" s="1600">
        <f>SUMIF('724'!$C$7:$C$100,B79,'724'!$H$7:$H$100)</f>
        <v>49277</v>
      </c>
      <c r="N79" s="1602">
        <f>IF('ketv. 5 '!U104&gt;0,'ketv. 7 '!W103,'ketv. 6 '!T104)</f>
        <v>49277</v>
      </c>
      <c r="O79" s="1604">
        <f t="shared" si="9"/>
        <v>0</v>
      </c>
      <c r="P79" s="1600">
        <f>SUMIF('724'!$C$7:$C$100,B79,'724'!$L$7:$L$100)</f>
        <v>49277</v>
      </c>
      <c r="Q79" s="1602">
        <f>IF('ketv. 5 '!U104&gt;0,'ketv. 7 '!R103,'ketv. 6 '!P104)</f>
        <v>49277</v>
      </c>
      <c r="R79" s="1604">
        <f t="shared" si="10"/>
        <v>0</v>
      </c>
      <c r="S79" s="1600">
        <f>SUMIF('724'!$C$7:$C$100,B79,'724'!$P$7:$P$100)</f>
        <v>0</v>
      </c>
      <c r="T79" s="1602">
        <f>IF('ketv. 5 '!U104&gt;0,'ketv. 7 '!AB103,'ketv. 6 '!X104)</f>
        <v>0</v>
      </c>
      <c r="U79" s="1604" t="str">
        <f t="shared" si="11"/>
        <v>–</v>
      </c>
      <c r="V79" s="1600">
        <f>SUMIF('724'!$C$7:$C$100,B79,'724'!$N$7:$N$100)</f>
        <v>0</v>
      </c>
      <c r="W79" s="1602">
        <f>IF('ketv. 5 '!U104&gt;0,'ketv. 7 '!AG103,'ketv. 6 '!AB104)</f>
        <v>0</v>
      </c>
      <c r="X79" s="1604" t="str">
        <f t="shared" si="12"/>
        <v>–</v>
      </c>
      <c r="Y79" s="1605" t="str">
        <f>IF('ketv. 5 '!U104&gt;0,"baigtas","–")</f>
        <v>–</v>
      </c>
    </row>
    <row r="80" spans="1:25" ht="36.75" thickBot="1">
      <c r="A80" s="376">
        <f t="shared" si="13"/>
        <v>79</v>
      </c>
      <c r="B80" s="376" t="str">
        <f>CONCATENATE('ES lėšos'!B79)</f>
        <v>Modernių ir saugių erdvių sukūrimas bendrojo ugdymo mokyklose Druskininkų sav.</v>
      </c>
      <c r="C80" s="376" t="str">
        <f>CONCATENATE('ES lėšos'!C79)</f>
        <v>09.1.3-CPVA-R-724</v>
      </c>
      <c r="D80" s="376" t="str">
        <f>CONCATENATE('ES lėšos'!D79)</f>
        <v>Druskininkų savivaldybės administracija</v>
      </c>
      <c r="E80" s="376" t="str">
        <f>CONCATENATE('ES lėšos'!E79)</f>
        <v>Druskininkų sav.</v>
      </c>
      <c r="F80" s="376" t="str">
        <f>CONCATENATE('ES lėšos'!F79)</f>
        <v>-</v>
      </c>
      <c r="G80" s="1600">
        <f>SUMIF('724'!$C$21:$C$100,B80,'724'!$E$21:$E$100)</f>
        <v>163877</v>
      </c>
      <c r="H80" s="1602">
        <f>IF('ketv. 5 '!U105&gt;0,'ketv. 7 '!L104,'ketv. 6 '!L105)</f>
        <v>163877</v>
      </c>
      <c r="I80" s="1604">
        <f t="shared" si="7"/>
        <v>0</v>
      </c>
      <c r="J80" s="1600">
        <f>SUMIF('724'!$C$21:$C$100,B80,'724'!$G$21:$G$100)</f>
        <v>139295</v>
      </c>
      <c r="K80" s="1602">
        <f>IF('ketv. 5 '!U105&gt;0,'ketv. 7 '!AL104,'ketv. 6 '!AF105)</f>
        <v>139295</v>
      </c>
      <c r="L80" s="1604">
        <f t="shared" si="8"/>
        <v>0</v>
      </c>
      <c r="M80" s="1600">
        <f>SUMIF('724'!$C$7:$C$100,B80,'724'!$H$7:$H$100)</f>
        <v>12291</v>
      </c>
      <c r="N80" s="1602">
        <f>IF('ketv. 5 '!U105&gt;0,'ketv. 7 '!W104,'ketv. 6 '!T105)</f>
        <v>12291</v>
      </c>
      <c r="O80" s="1604">
        <f t="shared" si="9"/>
        <v>0</v>
      </c>
      <c r="P80" s="1600">
        <f>SUMIF('724'!$C$7:$C$100,B80,'724'!$L$7:$L$100)</f>
        <v>12291</v>
      </c>
      <c r="Q80" s="1602">
        <f>IF('ketv. 5 '!U105&gt;0,'ketv. 7 '!R104,'ketv. 6 '!P105)</f>
        <v>12291</v>
      </c>
      <c r="R80" s="1604">
        <f t="shared" si="10"/>
        <v>0</v>
      </c>
      <c r="S80" s="1600">
        <f>SUMIF('724'!$C$7:$C$100,B80,'724'!$P$7:$P$100)</f>
        <v>0</v>
      </c>
      <c r="T80" s="1602">
        <f>IF('ketv. 5 '!U105&gt;0,'ketv. 7 '!AB104,'ketv. 6 '!X105)</f>
        <v>0</v>
      </c>
      <c r="U80" s="1604" t="str">
        <f t="shared" si="11"/>
        <v>–</v>
      </c>
      <c r="V80" s="1600">
        <f>SUMIF('724'!$C$7:$C$100,B80,'724'!$N$7:$N$100)</f>
        <v>0</v>
      </c>
      <c r="W80" s="1602">
        <f>IF('ketv. 5 '!U105&gt;0,'ketv. 7 '!AG104,'ketv. 6 '!AB105)</f>
        <v>0</v>
      </c>
      <c r="X80" s="1604" t="str">
        <f t="shared" si="12"/>
        <v>–</v>
      </c>
      <c r="Y80" s="1605" t="str">
        <f>IF('ketv. 5 '!U105&gt;0,"baigtas","–")</f>
        <v>–</v>
      </c>
    </row>
    <row r="81" spans="1:25" ht="48.75" thickBot="1">
      <c r="A81" s="376">
        <f t="shared" si="13"/>
        <v>80</v>
      </c>
      <c r="B81" s="376" t="str">
        <f>CONCATENATE('ES lėšos'!B80)</f>
        <v>Modernių ir saugių erdvių sukūrimas bendrojo ugdymo įstaigose Lazdijų rajono savivaldybėje</v>
      </c>
      <c r="C81" s="376" t="str">
        <f>CONCATENATE('ES lėšos'!C80)</f>
        <v>09.1.3-CPVA-R-724</v>
      </c>
      <c r="D81" s="376" t="str">
        <f>CONCATENATE('ES lėšos'!D80)</f>
        <v>Lazdijų rajono savivaldybės administracija</v>
      </c>
      <c r="E81" s="376" t="str">
        <f>CONCATENATE('ES lėšos'!E80)</f>
        <v>Lazdijų r. sav.</v>
      </c>
      <c r="F81" s="376" t="str">
        <f>CONCATENATE('ES lėšos'!F80)</f>
        <v>-</v>
      </c>
      <c r="G81" s="1600">
        <f>SUMIF('724'!$C$21:$C$100,B81,'724'!$E$21:$E$100)</f>
        <v>195778</v>
      </c>
      <c r="H81" s="1602">
        <f>IF('ketv. 5 '!U106&gt;0,'ketv. 7 '!L105,'ketv. 6 '!L106)</f>
        <v>195779</v>
      </c>
      <c r="I81" s="1604">
        <f t="shared" si="7"/>
        <v>-1</v>
      </c>
      <c r="J81" s="1600">
        <f>SUMIF('724'!$C$21:$C$100,B81,'724'!$G$21:$G$100)</f>
        <v>166412</v>
      </c>
      <c r="K81" s="1602">
        <f>IF('ketv. 5 '!U106&gt;0,'ketv. 7 '!AL105,'ketv. 6 '!AF106)</f>
        <v>166412</v>
      </c>
      <c r="L81" s="1604">
        <f t="shared" si="8"/>
        <v>0</v>
      </c>
      <c r="M81" s="1600">
        <f>SUMIF('724'!$C$7:$C$100,B81,'724'!$H$7:$H$100)</f>
        <v>14683</v>
      </c>
      <c r="N81" s="1602">
        <f>IF('ketv. 5 '!U106&gt;0,'ketv. 7 '!W105,'ketv. 6 '!T106)</f>
        <v>14683</v>
      </c>
      <c r="O81" s="1604">
        <f t="shared" si="9"/>
        <v>0</v>
      </c>
      <c r="P81" s="1600">
        <f>SUMIF('724'!$C$7:$C$100,B81,'724'!$L$7:$L$100)</f>
        <v>14683</v>
      </c>
      <c r="Q81" s="1602">
        <f>IF('ketv. 5 '!U106&gt;0,'ketv. 7 '!R105,'ketv. 6 '!P106)</f>
        <v>14684</v>
      </c>
      <c r="R81" s="1604">
        <f t="shared" si="10"/>
        <v>-1</v>
      </c>
      <c r="S81" s="1600">
        <f>SUMIF('724'!$C$7:$C$100,B81,'724'!$P$7:$P$100)</f>
        <v>0</v>
      </c>
      <c r="T81" s="1602">
        <f>IF('ketv. 5 '!U106&gt;0,'ketv. 7 '!AB105,'ketv. 6 '!X106)</f>
        <v>0</v>
      </c>
      <c r="U81" s="1604" t="str">
        <f t="shared" si="11"/>
        <v>–</v>
      </c>
      <c r="V81" s="1600">
        <f>SUMIF('724'!$C$7:$C$100,B81,'724'!$N$7:$N$100)</f>
        <v>0</v>
      </c>
      <c r="W81" s="1602">
        <f>IF('ketv. 5 '!U106&gt;0,'ketv. 7 '!AG105,'ketv. 6 '!AB106)</f>
        <v>0</v>
      </c>
      <c r="X81" s="1604" t="str">
        <f t="shared" si="12"/>
        <v>–</v>
      </c>
      <c r="Y81" s="1605" t="str">
        <f>IF('ketv. 5 '!U106&gt;0,"baigtas","–")</f>
        <v>–</v>
      </c>
    </row>
    <row r="82" spans="1:25" ht="48.75" thickBot="1">
      <c r="A82" s="376">
        <f t="shared" si="13"/>
        <v>81</v>
      </c>
      <c r="B82" s="376" t="str">
        <f>CONCATENATE('ES lėšos'!B81)</f>
        <v>Varėnos moksleivių kūrybos centro pastato J.Basanavičiaus g. 38, Varėnoje, modernizavimas</v>
      </c>
      <c r="C82" s="376" t="str">
        <f>CONCATENATE('ES lėšos'!C81)</f>
        <v>09.13.CPVA-R-725</v>
      </c>
      <c r="D82" s="376" t="str">
        <f>CONCATENATE('ES lėšos'!D81)</f>
        <v>Varėnos rajono savivaldybės administracija</v>
      </c>
      <c r="E82" s="376" t="str">
        <f>CONCATENATE('ES lėšos'!E81)</f>
        <v>Varėnos r. sav.</v>
      </c>
      <c r="F82" s="376" t="str">
        <f>CONCATENATE('ES lėšos'!F81)</f>
        <v>-</v>
      </c>
      <c r="G82" s="1600">
        <f>SUMIF('725'!$C$21:$C$100,B82,'725'!$G$21:$G$100)</f>
        <v>437551</v>
      </c>
      <c r="H82" s="1602">
        <f>IF('ketv. 5 '!U108&gt;0,'ketv. 7 '!L107,'ketv. 6 '!L108)</f>
        <v>437551</v>
      </c>
      <c r="I82" s="1604">
        <f t="shared" si="7"/>
        <v>0</v>
      </c>
      <c r="J82" s="1600">
        <f>SUMIF('725'!$C$21:$C$100,B82,'725'!$I$21:$I$100)</f>
        <v>371918</v>
      </c>
      <c r="K82" s="1602">
        <f>IF('ketv. 5 '!U108&gt;0,'ketv. 7 '!AL107,'ketv. 6 '!AF108)</f>
        <v>371918</v>
      </c>
      <c r="L82" s="1604">
        <f t="shared" si="8"/>
        <v>0</v>
      </c>
      <c r="M82" s="1600">
        <f>SUMIF('725'!$C$7:$C$100,B82,'725'!$J$7:$J$100)</f>
        <v>0</v>
      </c>
      <c r="N82" s="1602">
        <f>IF('ketv. 5 '!U108&gt;0,'ketv. 7 '!W107,'ketv. 6 '!T108)</f>
        <v>0</v>
      </c>
      <c r="O82" s="1604" t="str">
        <f t="shared" si="9"/>
        <v>–</v>
      </c>
      <c r="P82" s="1600">
        <f>SUMIF('725'!$C$7:$C$100,B82,'725'!$N$7:$N$100)</f>
        <v>65633</v>
      </c>
      <c r="Q82" s="1602">
        <f>IF('ketv. 5 '!U108&gt;0,'ketv. 7 '!R107,'ketv. 6 '!P108)</f>
        <v>65633</v>
      </c>
      <c r="R82" s="1604">
        <f t="shared" si="10"/>
        <v>0</v>
      </c>
      <c r="S82" s="1600">
        <f>SUMIF('725'!$C$7:$C$100,B82,'725'!$R$7:$R$100)</f>
        <v>0</v>
      </c>
      <c r="T82" s="1602">
        <f>IF('ketv. 5 '!U108&gt;0,'ketv. 7 '!AB107,'ketv. 6 '!X108)</f>
        <v>0</v>
      </c>
      <c r="U82" s="1604" t="str">
        <f t="shared" si="11"/>
        <v>–</v>
      </c>
      <c r="V82" s="1600">
        <f>SUMIF('725'!$C$7:$C$100,B82,'725'!$P$7:$P$100)</f>
        <v>0</v>
      </c>
      <c r="W82" s="1602">
        <f>IF('ketv. 5 '!U108&gt;0,'ketv. 7 '!AG107,'ketv. 6 '!AB108)</f>
        <v>0</v>
      </c>
      <c r="X82" s="1604" t="str">
        <f t="shared" si="12"/>
        <v>–</v>
      </c>
      <c r="Y82" s="1605" t="str">
        <f>IF('ketv. 5 '!U108&gt;0,"baigtas","–")</f>
        <v>–</v>
      </c>
    </row>
    <row r="83" spans="1:25" ht="36.75" thickBot="1">
      <c r="A83" s="376">
        <f t="shared" si="13"/>
        <v>82</v>
      </c>
      <c r="B83" s="376" t="str">
        <f>CONCATENATE('ES lėšos'!B82)</f>
        <v>Alytaus r. meno ir sporto mokyklos edukacinių erdvių įkūrimas ir atnaujinimas</v>
      </c>
      <c r="C83" s="376" t="str">
        <f>CONCATENATE('ES lėšos'!C82)</f>
        <v>09.13.CPVA-R-725</v>
      </c>
      <c r="D83" s="376" t="str">
        <f>CONCATENATE('ES lėšos'!D82)</f>
        <v>Alytaus rajono savivaldybės administracija</v>
      </c>
      <c r="E83" s="376" t="str">
        <f>CONCATENATE('ES lėšos'!E82)</f>
        <v>Alytaus r. sav.</v>
      </c>
      <c r="F83" s="376" t="str">
        <f>CONCATENATE('ES lėšos'!F82)</f>
        <v>-</v>
      </c>
      <c r="G83" s="1600">
        <f>SUMIF('725'!$C$21:$C$100,B83,'725'!$G$21:$G$100)</f>
        <v>856456.07</v>
      </c>
      <c r="H83" s="1602">
        <f>IF('ketv. 5 '!U109&gt;0,'ketv. 7 '!L108,'ketv. 6 '!L109)</f>
        <v>856424.88</v>
      </c>
      <c r="I83" s="1604">
        <f t="shared" si="7"/>
        <v>31.189999999944121</v>
      </c>
      <c r="J83" s="1600">
        <f>SUMIF('725'!$C$21:$C$100,B83,'725'!$I$21:$I$100)</f>
        <v>536611</v>
      </c>
      <c r="K83" s="1602">
        <f>IF('ketv. 5 '!U109&gt;0,'ketv. 7 '!AL108,'ketv. 6 '!AF109)</f>
        <v>536611</v>
      </c>
      <c r="L83" s="1604">
        <f t="shared" si="8"/>
        <v>0</v>
      </c>
      <c r="M83" s="1600">
        <f>SUMIF('725'!$C$7:$C$100,B83,'725'!$J$7:$J$100)</f>
        <v>0</v>
      </c>
      <c r="N83" s="1602">
        <f>IF('ketv. 5 '!U109&gt;0,'ketv. 7 '!W108,'ketv. 6 '!T109)</f>
        <v>0</v>
      </c>
      <c r="O83" s="1604" t="str">
        <f t="shared" si="9"/>
        <v>–</v>
      </c>
      <c r="P83" s="1600">
        <f>SUMIF('725'!$C$7:$C$100,B83,'725'!$N$7:$N$100)</f>
        <v>319845.07</v>
      </c>
      <c r="Q83" s="1602">
        <f>IF('ketv. 5 '!U109&gt;0,'ketv. 7 '!R108,'ketv. 6 '!P109)</f>
        <v>319813.88</v>
      </c>
      <c r="R83" s="1604">
        <f t="shared" si="10"/>
        <v>31.190000000002328</v>
      </c>
      <c r="S83" s="1600">
        <f>SUMIF('725'!$C$7:$C$100,B83,'725'!$R$7:$R$100)</f>
        <v>0</v>
      </c>
      <c r="T83" s="1602">
        <f>IF('ketv. 5 '!U109&gt;0,'ketv. 7 '!AB108,'ketv. 6 '!X109)</f>
        <v>0</v>
      </c>
      <c r="U83" s="1604" t="str">
        <f t="shared" si="11"/>
        <v>–</v>
      </c>
      <c r="V83" s="1600">
        <f>SUMIF('725'!$C$7:$C$100,B83,'725'!$P$7:$P$100)</f>
        <v>0</v>
      </c>
      <c r="W83" s="1602">
        <f>IF('ketv. 5 '!U109&gt;0,'ketv. 7 '!AG108,'ketv. 6 '!AB109)</f>
        <v>0</v>
      </c>
      <c r="X83" s="1604" t="str">
        <f t="shared" si="12"/>
        <v>–</v>
      </c>
      <c r="Y83" s="1605" t="str">
        <f>IF('ketv. 5 '!U109&gt;0,"baigtas","–")</f>
        <v>–</v>
      </c>
    </row>
    <row r="84" spans="1:25" ht="36.75" thickBot="1">
      <c r="A84" s="376">
        <f t="shared" si="13"/>
        <v>83</v>
      </c>
      <c r="B84" s="376" t="str">
        <f>CONCATENATE('ES lėšos'!B83)</f>
        <v>Alytaus muzikos mokyklos pastato modernizavimas ir ugdymo aplinkos gerinimas</v>
      </c>
      <c r="C84" s="376" t="str">
        <f>CONCATENATE('ES lėšos'!C83)</f>
        <v>09.13.CPVA-R-725</v>
      </c>
      <c r="D84" s="376" t="str">
        <f>CONCATENATE('ES lėšos'!D83)</f>
        <v>Alytaus miesto savivaldybės administracija</v>
      </c>
      <c r="E84" s="376" t="str">
        <f>CONCATENATE('ES lėšos'!E83)</f>
        <v>Alytaus m. sav.</v>
      </c>
      <c r="F84" s="376" t="str">
        <f>CONCATENATE('ES lėšos'!F83)</f>
        <v>-</v>
      </c>
      <c r="G84" s="1600">
        <f>SUMIF('725'!$C$21:$C$100,B84,'725'!$G$21:$G$100)</f>
        <v>397378</v>
      </c>
      <c r="H84" s="1602">
        <f>IF('ketv. 5 '!U110&gt;0,'ketv. 7 '!L109,'ketv. 6 '!L110)</f>
        <v>397378</v>
      </c>
      <c r="I84" s="1604">
        <f t="shared" si="7"/>
        <v>0</v>
      </c>
      <c r="J84" s="1600">
        <f>SUMIF('725'!$C$21:$C$100,B84,'725'!$I$21:$I$100)</f>
        <v>337771</v>
      </c>
      <c r="K84" s="1602">
        <f>IF('ketv. 5 '!U110&gt;0,'ketv. 7 '!AL109,'ketv. 6 '!AF110)</f>
        <v>337771</v>
      </c>
      <c r="L84" s="1604">
        <f t="shared" si="8"/>
        <v>0</v>
      </c>
      <c r="M84" s="1600">
        <f>SUMIF('725'!$C$7:$C$100,B84,'725'!$J$7:$J$100)</f>
        <v>0</v>
      </c>
      <c r="N84" s="1602">
        <f>IF('ketv. 5 '!U110&gt;0,'ketv. 7 '!W109,'ketv. 6 '!T110)</f>
        <v>0</v>
      </c>
      <c r="O84" s="1604" t="str">
        <f t="shared" si="9"/>
        <v>–</v>
      </c>
      <c r="P84" s="1600">
        <f>SUMIF('725'!$C$7:$C$100,B84,'725'!$N$7:$N$100)</f>
        <v>59607</v>
      </c>
      <c r="Q84" s="1602">
        <f>IF('ketv. 5 '!U110&gt;0,'ketv. 7 '!R109,'ketv. 6 '!P110)</f>
        <v>59607</v>
      </c>
      <c r="R84" s="1604">
        <f t="shared" si="10"/>
        <v>0</v>
      </c>
      <c r="S84" s="1600">
        <f>SUMIF('725'!$C$7:$C$100,B84,'725'!$R$7:$R$100)</f>
        <v>0</v>
      </c>
      <c r="T84" s="1602">
        <f>IF('ketv. 5 '!U110&gt;0,'ketv. 7 '!AB109,'ketv. 6 '!X110)</f>
        <v>0</v>
      </c>
      <c r="U84" s="1604" t="str">
        <f t="shared" si="11"/>
        <v>–</v>
      </c>
      <c r="V84" s="1600">
        <f>SUMIF('725'!$C$7:$C$100,B84,'725'!$P$7:$P$100)</f>
        <v>0</v>
      </c>
      <c r="W84" s="1602">
        <f>IF('ketv. 5 '!U110&gt;0,'ketv. 7 '!AG109,'ketv. 6 '!AB110)</f>
        <v>0</v>
      </c>
      <c r="X84" s="1604" t="str">
        <f t="shared" si="12"/>
        <v>–</v>
      </c>
      <c r="Y84" s="1605" t="str">
        <f>IF('ketv. 5 '!U110&gt;0,"baigtas","–")</f>
        <v>–</v>
      </c>
    </row>
    <row r="85" spans="1:25" ht="36.75" thickBot="1">
      <c r="A85" s="376">
        <f t="shared" si="13"/>
        <v>84</v>
      </c>
      <c r="B85" s="376" t="str">
        <f>CONCATENATE('ES lėšos'!B84)</f>
        <v>Druskininkų M. K. Čiurlionio meno mokyklos infrastruktūros tobulinimas</v>
      </c>
      <c r="C85" s="376" t="str">
        <f>CONCATENATE('ES lėšos'!C84)</f>
        <v>09.13.CPVA-R-725</v>
      </c>
      <c r="D85" s="376" t="str">
        <f>CONCATENATE('ES lėšos'!D84)</f>
        <v xml:space="preserve">Druskininkų savivaldybės administracija  </v>
      </c>
      <c r="E85" s="376" t="str">
        <f>CONCATENATE('ES lėšos'!E84)</f>
        <v>Druskininkų sav.</v>
      </c>
      <c r="F85" s="376" t="str">
        <f>CONCATENATE('ES lėšos'!F84)</f>
        <v>-</v>
      </c>
      <c r="G85" s="1600">
        <f>SUMIF('725'!$C$21:$C$100,B85,'725'!$G$21:$G$100)</f>
        <v>146195</v>
      </c>
      <c r="H85" s="1602">
        <f>IF('ketv. 5 '!U111&gt;0,'ketv. 7 '!L110,'ketv. 6 '!L111)</f>
        <v>146702.29999999999</v>
      </c>
      <c r="I85" s="1604">
        <f t="shared" si="7"/>
        <v>-507.29999999998836</v>
      </c>
      <c r="J85" s="1600">
        <f>SUMIF('725'!$C$21:$C$100,B85,'725'!$I$21:$I$100)</f>
        <v>124266</v>
      </c>
      <c r="K85" s="1602">
        <f>IF('ketv. 5 '!U111&gt;0,'ketv. 7 '!AL110,'ketv. 6 '!AF111)</f>
        <v>124266</v>
      </c>
      <c r="L85" s="1604">
        <f t="shared" si="8"/>
        <v>0</v>
      </c>
      <c r="M85" s="1600">
        <f>SUMIF('725'!$C$7:$C$100,B85,'725'!$J$7:$J$100)</f>
        <v>0</v>
      </c>
      <c r="N85" s="1602">
        <f>IF('ketv. 5 '!U111&gt;0,'ketv. 7 '!W110,'ketv. 6 '!T111)</f>
        <v>0</v>
      </c>
      <c r="O85" s="1604" t="str">
        <f t="shared" si="9"/>
        <v>–</v>
      </c>
      <c r="P85" s="1600">
        <f>SUMIF('725'!$C$7:$C$100,B85,'725'!$N$7:$N$100)</f>
        <v>21929</v>
      </c>
      <c r="Q85" s="1602">
        <f>IF('ketv. 5 '!U111&gt;0,'ketv. 7 '!R110,'ketv. 6 '!P111)</f>
        <v>22436.3</v>
      </c>
      <c r="R85" s="1604">
        <f t="shared" si="10"/>
        <v>-507.29999999999927</v>
      </c>
      <c r="S85" s="1600">
        <f>SUMIF('725'!$C$7:$C$100,B85,'725'!$R$7:$R$100)</f>
        <v>0</v>
      </c>
      <c r="T85" s="1602">
        <f>IF('ketv. 5 '!U111&gt;0,'ketv. 7 '!AB110,'ketv. 6 '!X111)</f>
        <v>0</v>
      </c>
      <c r="U85" s="1604" t="str">
        <f t="shared" si="11"/>
        <v>–</v>
      </c>
      <c r="V85" s="1600">
        <f>SUMIF('725'!$C$7:$C$100,B85,'725'!$P$7:$P$100)</f>
        <v>0</v>
      </c>
      <c r="W85" s="1602">
        <f>IF('ketv. 5 '!U111&gt;0,'ketv. 7 '!AG110,'ketv. 6 '!AB111)</f>
        <v>0</v>
      </c>
      <c r="X85" s="1604" t="str">
        <f t="shared" si="12"/>
        <v>–</v>
      </c>
      <c r="Y85" s="1605" t="str">
        <f>IF('ketv. 5 '!U111&gt;0,"baigtas","–")</f>
        <v>–</v>
      </c>
    </row>
    <row r="86" spans="1:25" ht="36.75" thickBot="1">
      <c r="A86" s="376">
        <f t="shared" si="13"/>
        <v>85</v>
      </c>
      <c r="B86" s="376" t="str">
        <f>CONCATENATE('ES lėšos'!B85)</f>
        <v>Neformaliojo švietimo įstaigų Lazdijų rajono savivaldybėje infrastruktūros tobulinimas</v>
      </c>
      <c r="C86" s="376" t="str">
        <f>CONCATENATE('ES lėšos'!C85)</f>
        <v>09.13.CPVA-R-725</v>
      </c>
      <c r="D86" s="376" t="str">
        <f>CONCATENATE('ES lėšos'!D85)</f>
        <v>VšĮ „Lazdijų sporto centras“</v>
      </c>
      <c r="E86" s="376" t="str">
        <f>CONCATENATE('ES lėšos'!E85)</f>
        <v>Lazdijų r. sav.</v>
      </c>
      <c r="F86" s="376" t="str">
        <f>CONCATENATE('ES lėšos'!F85)</f>
        <v>-</v>
      </c>
      <c r="G86" s="1600">
        <f>SUMIF('725'!$C$21:$C$100,B86,'725'!$G$21:$G$100)</f>
        <v>135814</v>
      </c>
      <c r="H86" s="1602">
        <f>IF('ketv. 5 '!U112&gt;0,'ketv. 7 '!L111,'ketv. 6 '!L112)</f>
        <v>135814</v>
      </c>
      <c r="I86" s="1604">
        <f t="shared" si="7"/>
        <v>0</v>
      </c>
      <c r="J86" s="1600">
        <f>SUMIF('725'!$C$21:$C$100,B86,'725'!$I$21:$I$100)</f>
        <v>115442</v>
      </c>
      <c r="K86" s="1602">
        <f>IF('ketv. 5 '!U112&gt;0,'ketv. 7 '!AL111,'ketv. 6 '!AF112)</f>
        <v>115441</v>
      </c>
      <c r="L86" s="1604">
        <f t="shared" si="8"/>
        <v>1</v>
      </c>
      <c r="M86" s="1600">
        <f>SUMIF('725'!$C$7:$C$100,B86,'725'!$J$7:$J$100)</f>
        <v>0</v>
      </c>
      <c r="N86" s="1602">
        <f>IF('ketv. 5 '!U112&gt;0,'ketv. 7 '!W111,'ketv. 6 '!T112)</f>
        <v>0</v>
      </c>
      <c r="O86" s="1604" t="str">
        <f t="shared" si="9"/>
        <v>–</v>
      </c>
      <c r="P86" s="1600">
        <f>SUMIF('725'!$C$7:$C$100,B86,'725'!$N$7:$N$100)</f>
        <v>20372</v>
      </c>
      <c r="Q86" s="1602">
        <f>IF('ketv. 5 '!U112&gt;0,'ketv. 7 '!R111,'ketv. 6 '!P112)</f>
        <v>20373</v>
      </c>
      <c r="R86" s="1604">
        <f t="shared" si="10"/>
        <v>-1</v>
      </c>
      <c r="S86" s="1600">
        <f>SUMIF('725'!$C$7:$C$100,B86,'725'!$R$7:$R$100)</f>
        <v>0</v>
      </c>
      <c r="T86" s="1602">
        <f>IF('ketv. 5 '!U112&gt;0,'ketv. 7 '!AB111,'ketv. 6 '!X112)</f>
        <v>0</v>
      </c>
      <c r="U86" s="1604" t="str">
        <f t="shared" si="11"/>
        <v>–</v>
      </c>
      <c r="V86" s="1600">
        <f>SUMIF('725'!$C$7:$C$100,B86,'725'!$P$7:$P$100)</f>
        <v>0</v>
      </c>
      <c r="W86" s="1602">
        <f>IF('ketv. 5 '!U112&gt;0,'ketv. 7 '!AG111,'ketv. 6 '!AB112)</f>
        <v>0</v>
      </c>
      <c r="X86" s="1604" t="str">
        <f t="shared" si="12"/>
        <v>–</v>
      </c>
      <c r="Y86" s="1605" t="str">
        <f>IF('ketv. 5 '!U112&gt;0,"baigtas","–")</f>
        <v>–</v>
      </c>
    </row>
    <row r="87" spans="1:25" ht="36.75" thickBot="1">
      <c r="A87" s="376">
        <f t="shared" si="13"/>
        <v>86</v>
      </c>
      <c r="B87" s="376" t="str">
        <f>CONCATENATE('ES lėšos'!B86)</f>
        <v>Varėnos "Pasakos" vaikų lopšelio-darželio pastato modernizavimas</v>
      </c>
      <c r="C87" s="376" t="str">
        <f>CONCATENATE('ES lėšos'!C86)</f>
        <v>09.1.3-CPVA-R-705</v>
      </c>
      <c r="D87" s="376" t="str">
        <f>CONCATENATE('ES lėšos'!D86)</f>
        <v>Varėnos rajono savivaldybės administracija</v>
      </c>
      <c r="E87" s="376" t="str">
        <f>CONCATENATE('ES lėšos'!E86)</f>
        <v>Varėnos r. sav.</v>
      </c>
      <c r="F87" s="376" t="str">
        <f>CONCATENATE('ES lėšos'!F86)</f>
        <v>-</v>
      </c>
      <c r="G87" s="1600">
        <f>SUMIF('705'!$C$21:$C$100,B87,'705'!$G$21:$G$100)</f>
        <v>370000</v>
      </c>
      <c r="H87" s="1602">
        <f>IF('ketv. 5 '!U114&gt;0,'ketv. 7 '!L113,'ketv. 6 '!L114)</f>
        <v>370000</v>
      </c>
      <c r="I87" s="1604">
        <f t="shared" si="7"/>
        <v>0</v>
      </c>
      <c r="J87" s="1600">
        <f>SUMIF('705'!$C$21:$C$100,B87,'705'!$I$21:$I$100)</f>
        <v>287307</v>
      </c>
      <c r="K87" s="1602">
        <f>IF('ketv. 5 '!U114&gt;0,'ketv. 7 '!AL113,'ketv. 6 '!AF114)</f>
        <v>287307</v>
      </c>
      <c r="L87" s="1604">
        <f t="shared" si="8"/>
        <v>0</v>
      </c>
      <c r="M87" s="1600">
        <f>SUMIF('705'!$C$7:$C$100,B87,'705'!$J$7:$J$100)</f>
        <v>25351</v>
      </c>
      <c r="N87" s="1602">
        <f>IF('ketv. 5 '!U114&gt;0,'ketv. 7 '!W113,'ketv. 6 '!T114)</f>
        <v>25351</v>
      </c>
      <c r="O87" s="1604">
        <f t="shared" si="9"/>
        <v>0</v>
      </c>
      <c r="P87" s="1600">
        <f>SUMIF('705'!$C$7:$C$100,B87,'705'!$N$7:$N$100)</f>
        <v>57342</v>
      </c>
      <c r="Q87" s="1602">
        <f>IF('ketv. 5 '!U114&gt;0,'ketv. 7 '!R113,'ketv. 6 '!P114)</f>
        <v>57342</v>
      </c>
      <c r="R87" s="1604">
        <f t="shared" si="10"/>
        <v>0</v>
      </c>
      <c r="S87" s="1600">
        <f>SUMIF('705'!$C$7:$C$100,B87,'705'!$R$7:$R$100)</f>
        <v>0</v>
      </c>
      <c r="T87" s="1602">
        <f>IF('ketv. 5 '!U114&gt;0,'ketv. 7 '!AB113,'ketv. 6 '!X114)</f>
        <v>0</v>
      </c>
      <c r="U87" s="1604" t="str">
        <f t="shared" si="11"/>
        <v>–</v>
      </c>
      <c r="V87" s="1600">
        <f>SUMIF('705'!$C$7:$C$100,B87,'705'!$P$7:$P$100)</f>
        <v>0</v>
      </c>
      <c r="W87" s="1602">
        <f>IF('ketv. 5 '!U114&gt;0,'ketv. 7 '!AG113,'ketv. 6 '!AB114)</f>
        <v>0</v>
      </c>
      <c r="X87" s="1604" t="str">
        <f t="shared" si="12"/>
        <v>–</v>
      </c>
      <c r="Y87" s="1605" t="str">
        <f>IF('ketv. 5 '!U114&gt;0,"baigtas","–")</f>
        <v>–</v>
      </c>
    </row>
    <row r="88" spans="1:25" ht="60.75" thickBot="1">
      <c r="A88" s="376">
        <f t="shared" si="13"/>
        <v>87</v>
      </c>
      <c r="B88" s="376" t="str">
        <f>CONCATENATE('ES lėšos'!B87)</f>
        <v>Alytaus r. ikimokyklinio ir priešmokyklinio ugdymo prieinamumo didinimas įkuriant ir atnaujinant edukacines erdves</v>
      </c>
      <c r="C88" s="376" t="str">
        <f>CONCATENATE('ES lėšos'!C87)</f>
        <v>09.1.3-CPVA-R-705</v>
      </c>
      <c r="D88" s="376" t="str">
        <f>CONCATENATE('ES lėšos'!D87)</f>
        <v>Alytaus rajono savivaldybės administracija</v>
      </c>
      <c r="E88" s="376" t="str">
        <f>CONCATENATE('ES lėšos'!E87)</f>
        <v>Alytaus r. sav.</v>
      </c>
      <c r="F88" s="376" t="str">
        <f>CONCATENATE('ES lėšos'!F87)</f>
        <v/>
      </c>
      <c r="G88" s="1600">
        <f>SUMIF('705'!$C$21:$C$100,B88,'705'!$G$21:$G$100)</f>
        <v>597457</v>
      </c>
      <c r="H88" s="1602">
        <f>IF('ketv. 5 '!U115&gt;0,'ketv. 7 '!L114,'ketv. 6 '!L115)</f>
        <v>597456.88</v>
      </c>
      <c r="I88" s="1604">
        <f t="shared" si="7"/>
        <v>0.11999999999534339</v>
      </c>
      <c r="J88" s="1600">
        <f>SUMIF('705'!$C$21:$C$100,B88,'705'!$I$21:$I$100)</f>
        <v>494007</v>
      </c>
      <c r="K88" s="1602">
        <f>IF('ketv. 5 '!U115&gt;0,'ketv. 7 '!AL114,'ketv. 6 '!AF115)</f>
        <v>494007</v>
      </c>
      <c r="L88" s="1604">
        <f t="shared" si="8"/>
        <v>0</v>
      </c>
      <c r="M88" s="1600">
        <f>SUMIF('705'!$C$7:$C$100,B88,'705'!$J$7:$J$100)</f>
        <v>43588</v>
      </c>
      <c r="N88" s="1602">
        <f>IF('ketv. 5 '!U115&gt;0,'ketv. 7 '!W114,'ketv. 6 '!T115)</f>
        <v>43588</v>
      </c>
      <c r="O88" s="1604">
        <f t="shared" si="9"/>
        <v>0</v>
      </c>
      <c r="P88" s="1600">
        <f>SUMIF('705'!$C$7:$C$100,B88,'705'!$N$7:$N$100)</f>
        <v>59862</v>
      </c>
      <c r="Q88" s="1602">
        <f>IF('ketv. 5 '!U115&gt;0,'ketv. 7 '!R114,'ketv. 6 '!P115)</f>
        <v>59861.88</v>
      </c>
      <c r="R88" s="1604">
        <f t="shared" si="10"/>
        <v>0.12000000000261934</v>
      </c>
      <c r="S88" s="1600">
        <f>SUMIF('705'!$C$7:$C$100,B88,'705'!$R$7:$R$100)</f>
        <v>0</v>
      </c>
      <c r="T88" s="1602">
        <f>IF('ketv. 5 '!U115&gt;0,'ketv. 7 '!AB114,'ketv. 6 '!X115)</f>
        <v>0</v>
      </c>
      <c r="U88" s="1604" t="str">
        <f t="shared" si="11"/>
        <v>–</v>
      </c>
      <c r="V88" s="1600">
        <f>SUMIF('705'!$C$7:$C$100,B88,'705'!$P$7:$P$100)</f>
        <v>0</v>
      </c>
      <c r="W88" s="1602">
        <f>IF('ketv. 5 '!U115&gt;0,'ketv. 7 '!AG114,'ketv. 6 '!AB115)</f>
        <v>0</v>
      </c>
      <c r="X88" s="1604" t="str">
        <f t="shared" si="12"/>
        <v>–</v>
      </c>
      <c r="Y88" s="1605" t="str">
        <f>IF('ketv. 5 '!U115&gt;0,"baigtas","–")</f>
        <v>–</v>
      </c>
    </row>
    <row r="89" spans="1:25" ht="36.75" thickBot="1">
      <c r="A89" s="376">
        <f t="shared" si="13"/>
        <v>88</v>
      </c>
      <c r="B89" s="376" t="str">
        <f>CONCATENATE('ES lėšos'!B88)</f>
        <v>Alytaus lopšelio-darželio „Girinukas“ ugdymo aplinkos modernizavimas</v>
      </c>
      <c r="C89" s="376" t="str">
        <f>CONCATENATE('ES lėšos'!C88)</f>
        <v>09.1.3-CPVA-R-705</v>
      </c>
      <c r="D89" s="376" t="str">
        <f>CONCATENATE('ES lėšos'!D88)</f>
        <v>Alytaus miesto savivaldybės administracija</v>
      </c>
      <c r="E89" s="376" t="str">
        <f>CONCATENATE('ES lėšos'!E88)</f>
        <v>Alytaus m. sav.</v>
      </c>
      <c r="F89" s="376" t="str">
        <f>CONCATENATE('ES lėšos'!F88)</f>
        <v>-</v>
      </c>
      <c r="G89" s="1600">
        <f>SUMIF('705'!$C$21:$C$100,B89,'705'!$G$21:$G$100)</f>
        <v>181986</v>
      </c>
      <c r="H89" s="1602">
        <f>IF('ketv. 5 '!U116&gt;0,'ketv. 7 '!L115,'ketv. 6 '!L116)</f>
        <v>181986</v>
      </c>
      <c r="I89" s="1604">
        <f t="shared" si="7"/>
        <v>0</v>
      </c>
      <c r="J89" s="1600">
        <f>SUMIF('705'!$C$21:$C$100,B89,'705'!$I$21:$I$100)</f>
        <v>154688</v>
      </c>
      <c r="K89" s="1602">
        <f>IF('ketv. 5 '!U116&gt;0,'ketv. 7 '!AL115,'ketv. 6 '!AF116)</f>
        <v>154688</v>
      </c>
      <c r="L89" s="1604">
        <f t="shared" si="8"/>
        <v>0</v>
      </c>
      <c r="M89" s="1600">
        <f>SUMIF('705'!$C$7:$C$100,B89,'705'!$J$7:$J$100)</f>
        <v>13649</v>
      </c>
      <c r="N89" s="1602">
        <f>IF('ketv. 5 '!U116&gt;0,'ketv. 7 '!W115,'ketv. 6 '!T116)</f>
        <v>13649</v>
      </c>
      <c r="O89" s="1604">
        <f t="shared" si="9"/>
        <v>0</v>
      </c>
      <c r="P89" s="1600">
        <f>SUMIF('705'!$C$7:$C$100,B89,'705'!$N$7:$N$100)</f>
        <v>13649</v>
      </c>
      <c r="Q89" s="1602">
        <f>IF('ketv. 5 '!U116&gt;0,'ketv. 7 '!R115,'ketv. 6 '!P116)</f>
        <v>13649</v>
      </c>
      <c r="R89" s="1604">
        <f t="shared" si="10"/>
        <v>0</v>
      </c>
      <c r="S89" s="1600">
        <f>SUMIF('705'!$C$7:$C$100,B89,'705'!$R$7:$R$100)</f>
        <v>0</v>
      </c>
      <c r="T89" s="1602">
        <f>IF('ketv. 5 '!U116&gt;0,'ketv. 7 '!AB115,'ketv. 6 '!X116)</f>
        <v>0</v>
      </c>
      <c r="U89" s="1604" t="str">
        <f t="shared" si="11"/>
        <v>–</v>
      </c>
      <c r="V89" s="1600">
        <f>SUMIF('705'!$C$7:$C$100,B89,'705'!$P$7:$P$100)</f>
        <v>0</v>
      </c>
      <c r="W89" s="1602">
        <f>IF('ketv. 5 '!U116&gt;0,'ketv. 7 '!AG115,'ketv. 6 '!AB116)</f>
        <v>0</v>
      </c>
      <c r="X89" s="1604" t="str">
        <f t="shared" si="12"/>
        <v>–</v>
      </c>
      <c r="Y89" s="1605" t="str">
        <f>IF('ketv. 5 '!U116&gt;0,"baigtas","–")</f>
        <v>–</v>
      </c>
    </row>
    <row r="90" spans="1:25" ht="60.75" thickBot="1">
      <c r="A90" s="376">
        <f t="shared" si="13"/>
        <v>89</v>
      </c>
      <c r="B90" s="376" t="str">
        <f>CONCATENATE('ES lėšos'!B89)</f>
        <v>Druskininkų sav. Viečiūnų progimnazijos ikimokyklinio ugdymo skyriaus „Linelis“ ugdymo prieinamumo didinimas</v>
      </c>
      <c r="C90" s="376" t="str">
        <f>CONCATENATE('ES lėšos'!C89)</f>
        <v>09.1.3-CPVA-R-705</v>
      </c>
      <c r="D90" s="376" t="str">
        <f>CONCATENATE('ES lėšos'!D89)</f>
        <v xml:space="preserve">Druskininkų savivaldybės administracija  </v>
      </c>
      <c r="E90" s="376" t="str">
        <f>CONCATENATE('ES lėšos'!E89)</f>
        <v>Druskininkų sav.</v>
      </c>
      <c r="F90" s="376" t="str">
        <f>CONCATENATE('ES lėšos'!F89)</f>
        <v>-</v>
      </c>
      <c r="G90" s="1600">
        <f>SUMIF('705'!$C$21:$C$100,B90,'705'!$G$21:$G$100)</f>
        <v>104792</v>
      </c>
      <c r="H90" s="1602">
        <f>IF('ketv. 5 '!U117&gt;0,'ketv. 7 '!L116,'ketv. 6 '!L117)</f>
        <v>176024.68</v>
      </c>
      <c r="I90" s="1604">
        <f t="shared" si="7"/>
        <v>-71232.679999999993</v>
      </c>
      <c r="J90" s="1600">
        <f>SUMIF('705'!$C$21:$C$100,B90,'705'!$I$21:$I$100)</f>
        <v>89074</v>
      </c>
      <c r="K90" s="1602">
        <f>IF('ketv. 5 '!U117&gt;0,'ketv. 7 '!AL116,'ketv. 6 '!AF117)</f>
        <v>89074</v>
      </c>
      <c r="L90" s="1604">
        <f t="shared" si="8"/>
        <v>0</v>
      </c>
      <c r="M90" s="1600">
        <f>SUMIF('705'!$C$7:$C$100,B90,'705'!$J$7:$J$100)</f>
        <v>7859</v>
      </c>
      <c r="N90" s="1602">
        <f>IF('ketv. 5 '!U117&gt;0,'ketv. 7 '!W116,'ketv. 6 '!T117)</f>
        <v>7859</v>
      </c>
      <c r="O90" s="1604">
        <f t="shared" si="9"/>
        <v>0</v>
      </c>
      <c r="P90" s="1600">
        <f>SUMIF('705'!$C$7:$C$100,B90,'705'!$N$7:$N$100)</f>
        <v>7859</v>
      </c>
      <c r="Q90" s="1602">
        <f>IF('ketv. 5 '!U117&gt;0,'ketv. 7 '!R116,'ketv. 6 '!P117)</f>
        <v>79091.679999999993</v>
      </c>
      <c r="R90" s="1604">
        <f t="shared" si="10"/>
        <v>-71232.679999999993</v>
      </c>
      <c r="S90" s="1600">
        <f>SUMIF('705'!$C$7:$C$100,B90,'705'!$R$7:$R$100)</f>
        <v>0</v>
      </c>
      <c r="T90" s="1602">
        <f>IF('ketv. 5 '!U117&gt;0,'ketv. 7 '!AB116,'ketv. 6 '!X117)</f>
        <v>0</v>
      </c>
      <c r="U90" s="1604" t="str">
        <f t="shared" si="11"/>
        <v>–</v>
      </c>
      <c r="V90" s="1600">
        <f>SUMIF('705'!$C$7:$C$100,B90,'705'!$P$7:$P$100)</f>
        <v>0</v>
      </c>
      <c r="W90" s="1602">
        <f>IF('ketv. 5 '!U117&gt;0,'ketv. 7 '!AG116,'ketv. 6 '!AB117)</f>
        <v>0</v>
      </c>
      <c r="X90" s="1604" t="str">
        <f t="shared" si="12"/>
        <v>–</v>
      </c>
      <c r="Y90" s="1605" t="str">
        <f>IF('ketv. 5 '!U117&gt;0,"baigtas","–")</f>
        <v>–</v>
      </c>
    </row>
    <row r="91" spans="1:25" ht="60.75" thickBot="1">
      <c r="A91" s="376">
        <f t="shared" si="13"/>
        <v>90</v>
      </c>
      <c r="B91" s="376" t="str">
        <f>CONCATENATE('ES lėšos'!B90)</f>
        <v>Ikimokyklinio ir priešmokyklinio ugdymo įstaigų Lazdijų rajono savivaldybėje modernizavimas</v>
      </c>
      <c r="C91" s="376" t="str">
        <f>CONCATENATE('ES lėšos'!C90)</f>
        <v>09.1.3-CPVA-R-705</v>
      </c>
      <c r="D91" s="376" t="str">
        <f>CONCATENATE('ES lėšos'!D90)</f>
        <v>Lazdijų rajono savivaldybės administracija</v>
      </c>
      <c r="E91" s="376" t="str">
        <f>CONCATENATE('ES lėšos'!E90)</f>
        <v>Lazdijų r. sav.</v>
      </c>
      <c r="F91" s="376" t="str">
        <f>CONCATENATE('ES lėšos'!F90)</f>
        <v>-</v>
      </c>
      <c r="G91" s="1600">
        <f>SUMIF('705'!$C$21:$C$100,B91,'705'!$G$21:$G$100)</f>
        <v>133544</v>
      </c>
      <c r="H91" s="1602">
        <f>IF('ketv. 5 '!U118&gt;0,'ketv. 7 '!L117,'ketv. 6 '!L118)</f>
        <v>133554.21</v>
      </c>
      <c r="I91" s="1604">
        <f t="shared" si="7"/>
        <v>-10.209999999991851</v>
      </c>
      <c r="J91" s="1600">
        <f>SUMIF('705'!$C$21:$C$100,B91,'705'!$I$21:$I$100)</f>
        <v>113512</v>
      </c>
      <c r="K91" s="1602">
        <f>IF('ketv. 5 '!U118&gt;0,'ketv. 7 '!AL117,'ketv. 6 '!AF118)</f>
        <v>113512</v>
      </c>
      <c r="L91" s="1604">
        <f t="shared" si="8"/>
        <v>0</v>
      </c>
      <c r="M91" s="1600">
        <f>SUMIF('705'!$C$7:$C$100,B91,'705'!$J$7:$J$100)</f>
        <v>10016</v>
      </c>
      <c r="N91" s="1602">
        <f>IF('ketv. 5 '!U118&gt;0,'ketv. 7 '!W117,'ketv. 6 '!T118)</f>
        <v>10016</v>
      </c>
      <c r="O91" s="1604">
        <f t="shared" si="9"/>
        <v>0</v>
      </c>
      <c r="P91" s="1600">
        <f>SUMIF('705'!$C$7:$C$100,B91,'705'!$N$7:$N$100)</f>
        <v>10016</v>
      </c>
      <c r="Q91" s="1602">
        <f>IF('ketv. 5 '!U118&gt;0,'ketv. 7 '!R117,'ketv. 6 '!P118)</f>
        <v>10026.209999999999</v>
      </c>
      <c r="R91" s="1604">
        <f t="shared" si="10"/>
        <v>-10.209999999999127</v>
      </c>
      <c r="S91" s="1600">
        <f>SUMIF('705'!$C$7:$C$100,B91,'705'!$R$7:$R$100)</f>
        <v>0</v>
      </c>
      <c r="T91" s="1602">
        <f>IF('ketv. 5 '!U118&gt;0,'ketv. 7 '!AB117,'ketv. 6 '!X118)</f>
        <v>0</v>
      </c>
      <c r="U91" s="1604" t="str">
        <f t="shared" si="11"/>
        <v>–</v>
      </c>
      <c r="V91" s="1600">
        <f>SUMIF('705'!$C$7:$C$100,B91,'705'!$P$7:$P$100)</f>
        <v>0</v>
      </c>
      <c r="W91" s="1602">
        <f>IF('ketv. 5 '!U118&gt;0,'ketv. 7 '!AG117,'ketv. 6 '!AB118)</f>
        <v>0</v>
      </c>
      <c r="X91" s="1604" t="str">
        <f t="shared" si="12"/>
        <v>–</v>
      </c>
      <c r="Y91" s="1605" t="str">
        <f>IF('ketv. 5 '!U118&gt;0,"baigtas","–")</f>
        <v>–</v>
      </c>
    </row>
    <row r="92" spans="1:25" ht="60.75" thickBot="1">
      <c r="A92" s="376">
        <f t="shared" si="13"/>
        <v>91</v>
      </c>
      <c r="B92" s="376" t="str">
        <f>CONCATENATE('ES lėšos'!B91)</f>
        <v>Alytaus poliklinikos teikiamų pirminės sveikatos priežiūros paslaugų prieinamumo didinimas ir kokybės gerinimas</v>
      </c>
      <c r="C92" s="376" t="str">
        <f>CONCATENATE('ES lėšos'!C91)</f>
        <v>08.1.3-CPVA-R-609</v>
      </c>
      <c r="D92" s="376" t="str">
        <f>CONCATENATE('ES lėšos'!D91)</f>
        <v>VšĮ Alytaus poliklinika</v>
      </c>
      <c r="E92" s="376" t="str">
        <f>CONCATENATE('ES lėšos'!E91)</f>
        <v>Alytaus m. sav.</v>
      </c>
      <c r="F92" s="376" t="str">
        <f>CONCATENATE('ES lėšos'!F91)</f>
        <v>-</v>
      </c>
      <c r="G92" s="1600">
        <f>SUMIF('609'!$C$21:$C$100,B92,'609'!$G$21:$G$100)</f>
        <v>466774.13</v>
      </c>
      <c r="H92" s="1602">
        <f>IF('ketv. 5 '!U121&gt;0,'ketv. 7 '!L120,'ketv. 6 '!L121)</f>
        <v>466768.66000000003</v>
      </c>
      <c r="I92" s="1604">
        <f t="shared" si="7"/>
        <v>5.4699999999720603</v>
      </c>
      <c r="J92" s="1600">
        <f>SUMIF('609'!$C$21:$C$100,B92,'609'!$I$21:$I$100)</f>
        <v>389456</v>
      </c>
      <c r="K92" s="1602">
        <f>IF('ketv. 5 '!U121&gt;0,'ketv. 7 '!AL120,'ketv. 6 '!AF121)</f>
        <v>389456</v>
      </c>
      <c r="L92" s="1604">
        <f t="shared" si="8"/>
        <v>0</v>
      </c>
      <c r="M92" s="1600">
        <f>SUMIF('609'!$C$7:$C$100,B92,'609'!$J$7:$J$100)</f>
        <v>34364</v>
      </c>
      <c r="N92" s="1602">
        <f>IF('ketv. 5 '!U121&gt;0,'ketv. 7 '!W120,'ketv. 6 '!T121)</f>
        <v>34364</v>
      </c>
      <c r="O92" s="1604">
        <f t="shared" si="9"/>
        <v>0</v>
      </c>
      <c r="P92" s="1600">
        <f>SUMIF('609'!$C$7:$C$100,B92,'609'!$N$7:$N$100)</f>
        <v>42954.13</v>
      </c>
      <c r="Q92" s="1602">
        <f>IF('ketv. 5 '!U121&gt;0,'ketv. 7 '!R120,'ketv. 6 '!P121)</f>
        <v>0</v>
      </c>
      <c r="R92" s="1604" t="str">
        <f t="shared" si="10"/>
        <v>–</v>
      </c>
      <c r="S92" s="1600">
        <f>SUMIF('609'!$C$7:$C$100,B92,'609'!$R$7:$R$100)</f>
        <v>0</v>
      </c>
      <c r="T92" s="1602">
        <f>IF('ketv. 5 '!U121&gt;0,'ketv. 7 '!AB120,'ketv. 6 '!X121)</f>
        <v>0</v>
      </c>
      <c r="U92" s="1604" t="str">
        <f t="shared" si="11"/>
        <v>–</v>
      </c>
      <c r="V92" s="1600">
        <f>SUMIF('609'!$C$7:$C$100,B92,'609'!$P$7:$P$100)</f>
        <v>0</v>
      </c>
      <c r="W92" s="1602">
        <f>IF('ketv. 5 '!U121&gt;0,'ketv. 7 '!AG120,'ketv. 6 '!AB121)</f>
        <v>42948.66</v>
      </c>
      <c r="X92" s="1604">
        <f t="shared" si="12"/>
        <v>-42948.66</v>
      </c>
      <c r="Y92" s="1605" t="str">
        <f>IF('ketv. 5 '!U121&gt;0,"baigtas","–")</f>
        <v>–</v>
      </c>
    </row>
    <row r="93" spans="1:25" ht="48.75" thickBot="1">
      <c r="A93" s="376">
        <f t="shared" si="13"/>
        <v>92</v>
      </c>
      <c r="B93" s="376" t="str">
        <f>CONCATENATE('ES lėšos'!B92)</f>
        <v>Sveikatos priežiūros paslaugų modernizavimas bei optimizavimas pirminės sveikatos priežiūros centre</v>
      </c>
      <c r="C93" s="376" t="str">
        <f>CONCATENATE('ES lėšos'!C92)</f>
        <v>08.1.3-CPVA-R-609</v>
      </c>
      <c r="D93" s="376" t="str">
        <f>CONCATENATE('ES lėšos'!D92)</f>
        <v xml:space="preserve">VšĮ Alytaus miesto savivaldybės pirminės sveikatos priežiūros centras </v>
      </c>
      <c r="E93" s="376" t="str">
        <f>CONCATENATE('ES lėšos'!E92)</f>
        <v>Alytaus m. sav.</v>
      </c>
      <c r="F93" s="376" t="str">
        <f>CONCATENATE('ES lėšos'!F92)</f>
        <v>-</v>
      </c>
      <c r="G93" s="1600">
        <f>SUMIF('609'!$C$21:$C$100,B93,'609'!$G$21:$G$100)</f>
        <v>50356</v>
      </c>
      <c r="H93" s="1602">
        <f>IF('ketv. 5 '!U122&gt;0,'ketv. 7 '!L121,'ketv. 6 '!L122)</f>
        <v>50356</v>
      </c>
      <c r="I93" s="1604">
        <f t="shared" si="7"/>
        <v>0</v>
      </c>
      <c r="J93" s="1600">
        <f>SUMIF('609'!$C$21:$C$100,B93,'609'!$I$21:$I$100)</f>
        <v>42802</v>
      </c>
      <c r="K93" s="1602">
        <f>IF('ketv. 5 '!U122&gt;0,'ketv. 7 '!AL121,'ketv. 6 '!AF122)</f>
        <v>42802</v>
      </c>
      <c r="L93" s="1604">
        <f t="shared" si="8"/>
        <v>0</v>
      </c>
      <c r="M93" s="1600">
        <f>SUMIF('609'!$C$7:$C$100,B93,'609'!$J$7:$J$100)</f>
        <v>3777</v>
      </c>
      <c r="N93" s="1602">
        <f>IF('ketv. 5 '!U122&gt;0,'ketv. 7 '!W121,'ketv. 6 '!T122)</f>
        <v>3777</v>
      </c>
      <c r="O93" s="1604">
        <f t="shared" si="9"/>
        <v>0</v>
      </c>
      <c r="P93" s="1600">
        <f>SUMIF('609'!$C$7:$C$100,B93,'609'!$N$7:$N$100)</f>
        <v>3777</v>
      </c>
      <c r="Q93" s="1602">
        <f>IF('ketv. 5 '!U122&gt;0,'ketv. 7 '!R121,'ketv. 6 '!P122)</f>
        <v>0</v>
      </c>
      <c r="R93" s="1604" t="str">
        <f t="shared" si="10"/>
        <v>–</v>
      </c>
      <c r="S93" s="1600">
        <f>SUMIF('609'!$C$7:$C$100,B93,'609'!$R$7:$R$100)</f>
        <v>0</v>
      </c>
      <c r="T93" s="1602">
        <f>IF('ketv. 5 '!U122&gt;0,'ketv. 7 '!AB121,'ketv. 6 '!X122)</f>
        <v>0</v>
      </c>
      <c r="U93" s="1604" t="str">
        <f t="shared" si="11"/>
        <v>–</v>
      </c>
      <c r="V93" s="1600">
        <f>SUMIF('609'!$C$7:$C$100,B93,'609'!$P$7:$P$100)</f>
        <v>0</v>
      </c>
      <c r="W93" s="1602">
        <f>IF('ketv. 5 '!U122&gt;0,'ketv. 7 '!AG121,'ketv. 6 '!AB122)</f>
        <v>3777</v>
      </c>
      <c r="X93" s="1604">
        <f t="shared" si="12"/>
        <v>-3777</v>
      </c>
      <c r="Y93" s="1605" t="str">
        <f>IF('ketv. 5 '!U122&gt;0,"baigtas","–")</f>
        <v>–</v>
      </c>
    </row>
    <row r="94" spans="1:25" ht="60.75" thickBot="1">
      <c r="A94" s="376">
        <f t="shared" si="13"/>
        <v>93</v>
      </c>
      <c r="B94" s="376" t="str">
        <f>CONCATENATE('ES lėšos'!B93)</f>
        <v>UAB "MediCA klinika" teikiamų pirminės asmens sveikatos priežiūros paslaugų efektyvumo didinimas Alytaus miesto savivaldybėje</v>
      </c>
      <c r="C94" s="376" t="str">
        <f>CONCATENATE('ES lėšos'!C93)</f>
        <v>08.1.3-CPVA-R-609</v>
      </c>
      <c r="D94" s="376" t="str">
        <f>CONCATENATE('ES lėšos'!D93)</f>
        <v>UAB „MediCA klinika“</v>
      </c>
      <c r="E94" s="376" t="str">
        <f>CONCATENATE('ES lėšos'!E93)</f>
        <v>Alytaus m. sav.</v>
      </c>
      <c r="F94" s="376" t="str">
        <f>CONCATENATE('ES lėšos'!F93)</f>
        <v>-</v>
      </c>
      <c r="G94" s="1600">
        <f>SUMIF('609'!$C$21:$C$100,B94,'609'!$G$21:$G$100)</f>
        <v>82938</v>
      </c>
      <c r="H94" s="1602">
        <f>IF('ketv. 5 '!U123&gt;0,'ketv. 7 '!L122,'ketv. 6 '!L123)</f>
        <v>82938</v>
      </c>
      <c r="I94" s="1604">
        <f t="shared" si="7"/>
        <v>0</v>
      </c>
      <c r="J94" s="1600">
        <f>SUMIF('609'!$C$21:$C$100,B94,'609'!$I$21:$I$100)</f>
        <v>70498</v>
      </c>
      <c r="K94" s="1602">
        <f>IF('ketv. 5 '!U123&gt;0,'ketv. 7 '!AL122,'ketv. 6 '!AF123)</f>
        <v>70498</v>
      </c>
      <c r="L94" s="1604">
        <f t="shared" si="8"/>
        <v>0</v>
      </c>
      <c r="M94" s="1600">
        <f>SUMIF('609'!$C$7:$C$100,B94,'609'!$J$7:$J$100)</f>
        <v>6220</v>
      </c>
      <c r="N94" s="1602">
        <f>IF('ketv. 5 '!U123&gt;0,'ketv. 7 '!W122,'ketv. 6 '!T123)</f>
        <v>6220</v>
      </c>
      <c r="O94" s="1604">
        <f t="shared" si="9"/>
        <v>0</v>
      </c>
      <c r="P94" s="1600">
        <f>SUMIF('609'!$C$7:$C$100,B94,'609'!$N$7:$N$100)</f>
        <v>0</v>
      </c>
      <c r="Q94" s="1602">
        <f>IF('ketv. 5 '!U123&gt;0,'ketv. 7 '!R122,'ketv. 6 '!P123)</f>
        <v>0</v>
      </c>
      <c r="R94" s="1604" t="str">
        <f t="shared" si="10"/>
        <v>–</v>
      </c>
      <c r="S94" s="1600">
        <f>SUMIF('609'!$C$7:$C$100,B94,'609'!$R$7:$R$100)</f>
        <v>6220</v>
      </c>
      <c r="T94" s="1602">
        <f>IF('ketv. 5 '!U123&gt;0,'ketv. 7 '!AB122,'ketv. 6 '!X123)</f>
        <v>6220</v>
      </c>
      <c r="U94" s="1604">
        <f t="shared" si="11"/>
        <v>0</v>
      </c>
      <c r="V94" s="1600">
        <f>SUMIF('609'!$C$7:$C$100,B94,'609'!$P$7:$P$100)</f>
        <v>0</v>
      </c>
      <c r="W94" s="1602">
        <f>IF('ketv. 5 '!U123&gt;0,'ketv. 7 '!AG122,'ketv. 6 '!AB123)</f>
        <v>0</v>
      </c>
      <c r="X94" s="1604" t="str">
        <f t="shared" si="12"/>
        <v>–</v>
      </c>
      <c r="Y94" s="1605" t="str">
        <f>IF('ketv. 5 '!U123&gt;0,"baigtas","–")</f>
        <v>–</v>
      </c>
    </row>
    <row r="95" spans="1:25" ht="36.75" thickBot="1">
      <c r="A95" s="376">
        <f t="shared" si="13"/>
        <v>94</v>
      </c>
      <c r="B95" s="376" t="str">
        <f>CONCATENATE('ES lėšos'!B94)</f>
        <v>UAB "Pagalba ligoniui" teikiamų paslaugų efektyvumo didinimas</v>
      </c>
      <c r="C95" s="376" t="str">
        <f>CONCATENATE('ES lėšos'!C94)</f>
        <v>08.1.3-CPVA-R-609</v>
      </c>
      <c r="D95" s="376" t="str">
        <f>CONCATENATE('ES lėšos'!D94)</f>
        <v>UAB „Pagalba ligoniui“, Alytaus filialas</v>
      </c>
      <c r="E95" s="376" t="str">
        <f>CONCATENATE('ES lėšos'!E94)</f>
        <v>Alytaus m. sav.</v>
      </c>
      <c r="F95" s="376" t="str">
        <f>CONCATENATE('ES lėšos'!F94)</f>
        <v>-</v>
      </c>
      <c r="G95" s="1600">
        <f>SUMIF('609'!$C$21:$C$100,B95,'609'!$G$21:$G$100)</f>
        <v>43413.030000000006</v>
      </c>
      <c r="H95" s="1602">
        <f>IF('ketv. 5 '!U124&gt;0,'ketv. 7 '!L123,'ketv. 6 '!L124)</f>
        <v>43413.03</v>
      </c>
      <c r="I95" s="1604">
        <f t="shared" si="7"/>
        <v>7.2759576141834259E-12</v>
      </c>
      <c r="J95" s="1600">
        <f>SUMIF('609'!$C$21:$C$100,B95,'609'!$I$21:$I$100)</f>
        <v>36901.08</v>
      </c>
      <c r="K95" s="1602">
        <f>IF('ketv. 5 '!U124&gt;0,'ketv. 7 '!AL123,'ketv. 6 '!AF124)</f>
        <v>36901.08</v>
      </c>
      <c r="L95" s="1604">
        <f t="shared" si="8"/>
        <v>0</v>
      </c>
      <c r="M95" s="1600">
        <f>SUMIF('609'!$C$7:$C$100,B95,'609'!$J$7:$J$100)</f>
        <v>3255.97</v>
      </c>
      <c r="N95" s="1602">
        <f>IF('ketv. 5 '!U124&gt;0,'ketv. 7 '!W123,'ketv. 6 '!T124)</f>
        <v>3255.97</v>
      </c>
      <c r="O95" s="1604">
        <f t="shared" si="9"/>
        <v>0</v>
      </c>
      <c r="P95" s="1600">
        <f>SUMIF('609'!$C$7:$C$100,B95,'609'!$N$7:$N$100)</f>
        <v>0</v>
      </c>
      <c r="Q95" s="1602">
        <f>IF('ketv. 5 '!U124&gt;0,'ketv. 7 '!R123,'ketv. 6 '!P124)</f>
        <v>0</v>
      </c>
      <c r="R95" s="1604" t="str">
        <f t="shared" si="10"/>
        <v>–</v>
      </c>
      <c r="S95" s="1600">
        <f>SUMIF('609'!$C$7:$C$100,B95,'609'!$R$7:$R$100)</f>
        <v>3255.98</v>
      </c>
      <c r="T95" s="1602">
        <f>IF('ketv. 5 '!U124&gt;0,'ketv. 7 '!AB123,'ketv. 6 '!X124)</f>
        <v>3255.98</v>
      </c>
      <c r="U95" s="1604">
        <f t="shared" si="11"/>
        <v>0</v>
      </c>
      <c r="V95" s="1600">
        <f>SUMIF('609'!$C$7:$C$100,B95,'609'!$P$7:$P$100)</f>
        <v>0</v>
      </c>
      <c r="W95" s="1602">
        <f>IF('ketv. 5 '!U124&gt;0,'ketv. 7 '!AG123,'ketv. 6 '!AB124)</f>
        <v>0</v>
      </c>
      <c r="X95" s="1604" t="str">
        <f t="shared" si="12"/>
        <v>–</v>
      </c>
      <c r="Y95" s="1605" t="str">
        <f>IF('ketv. 5 '!U124&gt;0,"baigtas","–")</f>
        <v>–</v>
      </c>
    </row>
    <row r="96" spans="1:25" ht="48.75" thickBot="1">
      <c r="A96" s="376">
        <f t="shared" si="13"/>
        <v>95</v>
      </c>
      <c r="B96" s="376" t="str">
        <f>CONCATENATE('ES lėšos'!B95)</f>
        <v>Pirminės asmens sveikatos priežiūros veiklos efektyvumo didinimas Alytaus rajono savivaldybėje</v>
      </c>
      <c r="C96" s="376" t="str">
        <f>CONCATENATE('ES lėšos'!C95)</f>
        <v>08.1.3-CPVA-R-609</v>
      </c>
      <c r="D96" s="376" t="str">
        <f>CONCATENATE('ES lėšos'!D95)</f>
        <v>VšĮ Alytaus rajono savivaldybės pirminės sveikatos priežiūros centras</v>
      </c>
      <c r="E96" s="376" t="str">
        <f>CONCATENATE('ES lėšos'!E95)</f>
        <v>Alytaus r. sav.</v>
      </c>
      <c r="F96" s="376" t="str">
        <f>CONCATENATE('ES lėšos'!F95)</f>
        <v>-</v>
      </c>
      <c r="G96" s="1600">
        <f>SUMIF('609'!$C$21:$C$100,B96,'609'!$G$21:$G$100)</f>
        <v>171636</v>
      </c>
      <c r="H96" s="1602">
        <f>IF('ketv. 5 '!U125&gt;0,'ketv. 7 '!L124,'ketv. 6 '!L125)</f>
        <v>172142.73</v>
      </c>
      <c r="I96" s="1604">
        <f t="shared" si="7"/>
        <v>-506.73000000001048</v>
      </c>
      <c r="J96" s="1600">
        <f>SUMIF('609'!$C$21:$C$100,B96,'609'!$I$21:$I$100)</f>
        <v>145890</v>
      </c>
      <c r="K96" s="1602">
        <f>IF('ketv. 5 '!U125&gt;0,'ketv. 7 '!AL124,'ketv. 6 '!AF125)</f>
        <v>145890</v>
      </c>
      <c r="L96" s="1604">
        <f t="shared" si="8"/>
        <v>0</v>
      </c>
      <c r="M96" s="1600">
        <f>SUMIF('609'!$C$7:$C$100,B96,'609'!$J$7:$J$100)</f>
        <v>12873</v>
      </c>
      <c r="N96" s="1602">
        <f>IF('ketv. 5 '!U125&gt;0,'ketv. 7 '!W124,'ketv. 6 '!T125)</f>
        <v>12873</v>
      </c>
      <c r="O96" s="1604">
        <f t="shared" si="9"/>
        <v>0</v>
      </c>
      <c r="P96" s="1600">
        <f>SUMIF('609'!$C$7:$C$100,B96,'609'!$N$7:$N$100)</f>
        <v>0</v>
      </c>
      <c r="Q96" s="1602">
        <f>IF('ketv. 5 '!U125&gt;0,'ketv. 7 '!R124,'ketv. 6 '!P125)</f>
        <v>0</v>
      </c>
      <c r="R96" s="1604" t="str">
        <f t="shared" si="10"/>
        <v>–</v>
      </c>
      <c r="S96" s="1600">
        <f>SUMIF('609'!$C$7:$C$100,B96,'609'!$R$7:$R$100)</f>
        <v>12873</v>
      </c>
      <c r="T96" s="1602">
        <f>IF('ketv. 5 '!U125&gt;0,'ketv. 7 '!AB124,'ketv. 6 '!X125)</f>
        <v>0</v>
      </c>
      <c r="U96" s="1604" t="str">
        <f t="shared" si="11"/>
        <v>–</v>
      </c>
      <c r="V96" s="1600">
        <f>SUMIF('609'!$C$7:$C$100,B96,'609'!$P$7:$P$100)</f>
        <v>0</v>
      </c>
      <c r="W96" s="1602">
        <f>IF('ketv. 5 '!U125&gt;0,'ketv. 7 '!AG124,'ketv. 6 '!AB125)</f>
        <v>13379.73</v>
      </c>
      <c r="X96" s="1604">
        <f t="shared" si="12"/>
        <v>-13379.73</v>
      </c>
      <c r="Y96" s="1605" t="str">
        <f>IF('ketv. 5 '!U125&gt;0,"baigtas","–")</f>
        <v>–</v>
      </c>
    </row>
    <row r="97" spans="1:25" ht="24.75" thickBot="1">
      <c r="A97" s="376">
        <f t="shared" si="13"/>
        <v>96</v>
      </c>
      <c r="B97" s="376" t="str">
        <f>CONCATENATE('ES lėšos'!B96)</f>
        <v>Sveikatos priežiūros paslaugų gerinimas UAB „Disolis“</v>
      </c>
      <c r="C97" s="376" t="str">
        <f>CONCATENATE('ES lėšos'!C96)</f>
        <v>08.1.3-CPVA-R-609</v>
      </c>
      <c r="D97" s="376" t="str">
        <f>CONCATENATE('ES lėšos'!D96)</f>
        <v>UAB „Disolis“</v>
      </c>
      <c r="E97" s="376" t="str">
        <f>CONCATENATE('ES lėšos'!E96)</f>
        <v>Alytaus r. sav.</v>
      </c>
      <c r="F97" s="376" t="str">
        <f>CONCATENATE('ES lėšos'!F96)</f>
        <v>-</v>
      </c>
      <c r="G97" s="1600">
        <f>SUMIF('609'!$C$21:$C$100,B97,'609'!$G$21:$G$100)</f>
        <v>24107.8</v>
      </c>
      <c r="H97" s="1602">
        <f>IF('ketv. 5 '!U126&gt;0,'ketv. 7 '!L125,'ketv. 6 '!L126)</f>
        <v>23990.78</v>
      </c>
      <c r="I97" s="1604">
        <f t="shared" si="7"/>
        <v>117.02000000000044</v>
      </c>
      <c r="J97" s="1600">
        <f>SUMIF('609'!$C$21:$C$100,B97,'609'!$I$21:$I$100)</f>
        <v>14778</v>
      </c>
      <c r="K97" s="1602">
        <f>IF('ketv. 5 '!U126&gt;0,'ketv. 7 '!AL125,'ketv. 6 '!AF126)</f>
        <v>15815.88</v>
      </c>
      <c r="L97" s="1604">
        <f t="shared" si="8"/>
        <v>-1037.8799999999992</v>
      </c>
      <c r="M97" s="1600">
        <f>SUMIF('609'!$C$7:$C$100,B97,'609'!$J$7:$J$100)</f>
        <v>1304</v>
      </c>
      <c r="N97" s="1602">
        <f>IF('ketv. 5 '!U126&gt;0,'ketv. 7 '!W125,'ketv. 6 '!T126)</f>
        <v>266.12</v>
      </c>
      <c r="O97" s="1604">
        <f t="shared" si="9"/>
        <v>1037.8800000000001</v>
      </c>
      <c r="P97" s="1600">
        <f>SUMIF('609'!$C$7:$C$100,B97,'609'!$N$7:$N$100)</f>
        <v>0</v>
      </c>
      <c r="Q97" s="1602">
        <f>IF('ketv. 5 '!U126&gt;0,'ketv. 7 '!R125,'ketv. 6 '!P126)</f>
        <v>0</v>
      </c>
      <c r="R97" s="1604" t="str">
        <f t="shared" si="10"/>
        <v>–</v>
      </c>
      <c r="S97" s="1600">
        <f>SUMIF('609'!$C$7:$C$100,B97,'609'!$R$7:$R$100)</f>
        <v>8025.8</v>
      </c>
      <c r="T97" s="1602">
        <f>IF('ketv. 5 '!U126&gt;0,'ketv. 7 '!AB125,'ketv. 6 '!X126)</f>
        <v>7908.78</v>
      </c>
      <c r="U97" s="1604">
        <f t="shared" si="11"/>
        <v>117.02000000000044</v>
      </c>
      <c r="V97" s="1600">
        <f>SUMIF('609'!$C$7:$C$100,B97,'609'!$P$7:$P$100)</f>
        <v>0</v>
      </c>
      <c r="W97" s="1602">
        <f>IF('ketv. 5 '!U126&gt;0,'ketv. 7 '!AG125,'ketv. 6 '!AB126)</f>
        <v>0</v>
      </c>
      <c r="X97" s="1604" t="str">
        <f t="shared" si="12"/>
        <v>–</v>
      </c>
      <c r="Y97" s="1605" t="str">
        <f>IF('ketv. 5 '!U126&gt;0,"baigtas","–")</f>
        <v>–</v>
      </c>
    </row>
    <row r="98" spans="1:25" ht="48.75" thickBot="1">
      <c r="A98" s="376">
        <f t="shared" si="13"/>
        <v>97</v>
      </c>
      <c r="B98" s="376" t="str">
        <f>CONCATENATE('ES lėšos'!B97)</f>
        <v>Pirminės asmens sveikatos priežiūros kokybės ir prieinamumo gerinimas Druskininkų savivaldybėje</v>
      </c>
      <c r="C98" s="376" t="str">
        <f>CONCATENATE('ES lėšos'!C97)</f>
        <v>08.1.3-CPVA-R-609</v>
      </c>
      <c r="D98" s="376" t="str">
        <f>CONCATENATE('ES lėšos'!D97)</f>
        <v>VšĮ Druskininkų pirminės sveikatos priežiūros centras</v>
      </c>
      <c r="E98" s="376" t="str">
        <f>CONCATENATE('ES lėšos'!E97)</f>
        <v>Druskininkų sav.</v>
      </c>
      <c r="F98" s="376" t="str">
        <f>CONCATENATE('ES lėšos'!F97)</f>
        <v>-</v>
      </c>
      <c r="G98" s="1600">
        <f>SUMIF('609'!$C$21:$C$100,B98,'609'!$G$21:$G$100)</f>
        <v>163532</v>
      </c>
      <c r="H98" s="1602">
        <f>IF('ketv. 5 '!U127&gt;0,'ketv. 7 '!L126,'ketv. 6 '!L127)</f>
        <v>163532</v>
      </c>
      <c r="I98" s="1604">
        <f t="shared" si="7"/>
        <v>0</v>
      </c>
      <c r="J98" s="1600">
        <f>SUMIF('609'!$C$21:$C$100,B98,'609'!$I$21:$I$100)</f>
        <v>139002</v>
      </c>
      <c r="K98" s="1602">
        <f>IF('ketv. 5 '!U127&gt;0,'ketv. 7 '!AL126,'ketv. 6 '!AF127)</f>
        <v>139002</v>
      </c>
      <c r="L98" s="1604">
        <f t="shared" si="8"/>
        <v>0</v>
      </c>
      <c r="M98" s="1600">
        <f>SUMIF('609'!$C$7:$C$100,B98,'609'!$J$7:$J$100)</f>
        <v>12265</v>
      </c>
      <c r="N98" s="1602">
        <f>IF('ketv. 5 '!U127&gt;0,'ketv. 7 '!W126,'ketv. 6 '!T127)</f>
        <v>12265</v>
      </c>
      <c r="O98" s="1604">
        <f t="shared" si="9"/>
        <v>0</v>
      </c>
      <c r="P98" s="1600">
        <f>SUMIF('609'!$C$7:$C$100,B98,'609'!$N$7:$N$100)</f>
        <v>0</v>
      </c>
      <c r="Q98" s="1602">
        <f>IF('ketv. 5 '!U127&gt;0,'ketv. 7 '!R126,'ketv. 6 '!P127)</f>
        <v>0</v>
      </c>
      <c r="R98" s="1604" t="str">
        <f t="shared" si="10"/>
        <v>–</v>
      </c>
      <c r="S98" s="1600">
        <f>SUMIF('609'!$C$7:$C$100,B98,'609'!$R$7:$R$100)</f>
        <v>0</v>
      </c>
      <c r="T98" s="1602">
        <f>IF('ketv. 5 '!U127&gt;0,'ketv. 7 '!AB126,'ketv. 6 '!X127)</f>
        <v>0</v>
      </c>
      <c r="U98" s="1604" t="str">
        <f t="shared" si="11"/>
        <v>–</v>
      </c>
      <c r="V98" s="1600">
        <f>SUMIF('609'!$C$7:$C$100,B98,'609'!$P$7:$P$100)</f>
        <v>12265</v>
      </c>
      <c r="W98" s="1602">
        <f>IF('ketv. 5 '!U127&gt;0,'ketv. 7 '!AG126,'ketv. 6 '!AB127)</f>
        <v>12265</v>
      </c>
      <c r="X98" s="1604">
        <f t="shared" si="12"/>
        <v>0</v>
      </c>
      <c r="Y98" s="1605" t="str">
        <f>IF('ketv. 5 '!U127&gt;0,"baigtas","–")</f>
        <v>–</v>
      </c>
    </row>
    <row r="99" spans="1:25" ht="60.75" thickBot="1">
      <c r="A99" s="376">
        <f t="shared" si="13"/>
        <v>98</v>
      </c>
      <c r="B99" s="376" t="str">
        <f>CONCATENATE('ES lėšos'!B98)</f>
        <v>UAB "Druskininkų šeimos klinika" asmens sveikatos priežiūros paslaugų prieinamumo ir efektyvumo didinimas</v>
      </c>
      <c r="C99" s="376" t="str">
        <f>CONCATENATE('ES lėšos'!C98)</f>
        <v>08.1.3-CPVA-R-609</v>
      </c>
      <c r="D99" s="376" t="str">
        <f>CONCATENATE('ES lėšos'!D98)</f>
        <v>UAB „Druskininkų šeimos klinika“</v>
      </c>
      <c r="E99" s="376" t="str">
        <f>CONCATENATE('ES lėšos'!E98)</f>
        <v>Druskininkų sav.</v>
      </c>
      <c r="F99" s="376" t="str">
        <f>CONCATENATE('ES lėšos'!F98)</f>
        <v>-</v>
      </c>
      <c r="G99" s="1600">
        <f>SUMIF('609'!$C$21:$C$100,B99,'609'!$G$21:$G$100)</f>
        <v>25000</v>
      </c>
      <c r="H99" s="1602">
        <f>IF('ketv. 5 '!U128&gt;0,'ketv. 7 '!L127,'ketv. 6 '!L128)</f>
        <v>29990</v>
      </c>
      <c r="I99" s="1604">
        <f t="shared" si="7"/>
        <v>-4990</v>
      </c>
      <c r="J99" s="1600">
        <f>SUMIF('609'!$C$21:$C$100,B99,'609'!$I$21:$I$100)</f>
        <v>10445</v>
      </c>
      <c r="K99" s="1602">
        <f>IF('ketv. 5 '!U128&gt;0,'ketv. 7 '!AL127,'ketv. 6 '!AF128)</f>
        <v>10445</v>
      </c>
      <c r="L99" s="1604">
        <f t="shared" si="8"/>
        <v>0</v>
      </c>
      <c r="M99" s="1600">
        <f>SUMIF('609'!$C$7:$C$100,B99,'609'!$J$7:$J$100)</f>
        <v>922</v>
      </c>
      <c r="N99" s="1602">
        <f>IF('ketv. 5 '!U128&gt;0,'ketv. 7 '!W127,'ketv. 6 '!T128)</f>
        <v>922</v>
      </c>
      <c r="O99" s="1604">
        <f t="shared" si="9"/>
        <v>0</v>
      </c>
      <c r="P99" s="1600">
        <f>SUMIF('609'!$C$7:$C$100,B99,'609'!$N$7:$N$100)</f>
        <v>0</v>
      </c>
      <c r="Q99" s="1602">
        <f>IF('ketv. 5 '!U128&gt;0,'ketv. 7 '!R127,'ketv. 6 '!P128)</f>
        <v>0</v>
      </c>
      <c r="R99" s="1604" t="str">
        <f t="shared" si="10"/>
        <v>–</v>
      </c>
      <c r="S99" s="1600">
        <f>SUMIF('609'!$C$7:$C$100,B99,'609'!$R$7:$R$100)</f>
        <v>13633</v>
      </c>
      <c r="T99" s="1602">
        <f>IF('ketv. 5 '!U128&gt;0,'ketv. 7 '!AB127,'ketv. 6 '!X128)</f>
        <v>18623</v>
      </c>
      <c r="U99" s="1604">
        <f t="shared" si="11"/>
        <v>-4990</v>
      </c>
      <c r="V99" s="1600">
        <f>SUMIF('609'!$C$7:$C$100,B99,'609'!$P$7:$P$100)</f>
        <v>0</v>
      </c>
      <c r="W99" s="1602">
        <f>IF('ketv. 5 '!U128&gt;0,'ketv. 7 '!AG127,'ketv. 6 '!AB128)</f>
        <v>0</v>
      </c>
      <c r="X99" s="1604" t="str">
        <f t="shared" si="12"/>
        <v>–</v>
      </c>
      <c r="Y99" s="1605" t="str">
        <f>IF('ketv. 5 '!U128&gt;0,"baigtas","–")</f>
        <v>–</v>
      </c>
    </row>
    <row r="100" spans="1:25" ht="72.75" thickBot="1">
      <c r="A100" s="376">
        <f t="shared" si="13"/>
        <v>99</v>
      </c>
      <c r="B100" s="376" t="str">
        <f>CONCATENATE('ES lėšos'!B99)</f>
        <v>I. S. Kavaliauskienės įmonės teikiamų pirminės ambulatorinės asmens sveikatos priežiūros paslaugų kokybės ir prieinamumo gerinimas</v>
      </c>
      <c r="C100" s="376" t="str">
        <f>CONCATENATE('ES lėšos'!C99)</f>
        <v>08.1.3-CPVA-R-609</v>
      </c>
      <c r="D100" s="376" t="str">
        <f>CONCATENATE('ES lėšos'!D99)</f>
        <v>Irenos Stanislavos Kavaliauskienės įmonė</v>
      </c>
      <c r="E100" s="376" t="str">
        <f>CONCATENATE('ES lėšos'!E99)</f>
        <v>Druskininkų sav.</v>
      </c>
      <c r="F100" s="376" t="str">
        <f>CONCATENATE('ES lėšos'!F99)</f>
        <v>-</v>
      </c>
      <c r="G100" s="1600">
        <f>SUMIF('609'!$C$21:$C$100,B100,'609'!$G$21:$G$100)</f>
        <v>25517</v>
      </c>
      <c r="H100" s="1602">
        <f>IF('ketv. 5 '!U129&gt;0,'ketv. 7 '!L128,'ketv. 6 '!L129)</f>
        <v>25517</v>
      </c>
      <c r="I100" s="1604">
        <f t="shared" si="7"/>
        <v>0</v>
      </c>
      <c r="J100" s="1600">
        <f>SUMIF('609'!$C$21:$C$100,B100,'609'!$I$21:$I$100)</f>
        <v>21689.45</v>
      </c>
      <c r="K100" s="1602">
        <f>IF('ketv. 5 '!U129&gt;0,'ketv. 7 '!AL128,'ketv. 6 '!AF129)</f>
        <v>21689.45</v>
      </c>
      <c r="L100" s="1604">
        <f t="shared" si="8"/>
        <v>0</v>
      </c>
      <c r="M100" s="1600">
        <f>SUMIF('609'!$C$7:$C$100,B100,'609'!$J$7:$J$100)</f>
        <v>1913.55</v>
      </c>
      <c r="N100" s="1602">
        <f>IF('ketv. 5 '!U129&gt;0,'ketv. 7 '!W128,'ketv. 6 '!T129)</f>
        <v>1913.55</v>
      </c>
      <c r="O100" s="1604">
        <f t="shared" si="9"/>
        <v>0</v>
      </c>
      <c r="P100" s="1600">
        <f>SUMIF('609'!$C$7:$C$100,B100,'609'!$N$7:$N$100)</f>
        <v>0</v>
      </c>
      <c r="Q100" s="1602">
        <f>IF('ketv. 5 '!U129&gt;0,'ketv. 7 '!R128,'ketv. 6 '!P129)</f>
        <v>0</v>
      </c>
      <c r="R100" s="1604" t="str">
        <f t="shared" si="10"/>
        <v>–</v>
      </c>
      <c r="S100" s="1600">
        <f>SUMIF('609'!$C$7:$C$100,B100,'609'!$R$7:$R$100)</f>
        <v>1914</v>
      </c>
      <c r="T100" s="1602">
        <f>IF('ketv. 5 '!U129&gt;0,'ketv. 7 '!AB128,'ketv. 6 '!X129)</f>
        <v>1914</v>
      </c>
      <c r="U100" s="1604">
        <f t="shared" si="11"/>
        <v>0</v>
      </c>
      <c r="V100" s="1600">
        <f>SUMIF('609'!$C$7:$C$100,B100,'609'!$P$7:$P$100)</f>
        <v>0</v>
      </c>
      <c r="W100" s="1602">
        <f>IF('ketv. 5 '!U129&gt;0,'ketv. 7 '!AG128,'ketv. 6 '!AB129)</f>
        <v>0</v>
      </c>
      <c r="X100" s="1604" t="str">
        <f t="shared" si="12"/>
        <v>–</v>
      </c>
      <c r="Y100" s="1605" t="str">
        <f>IF('ketv. 5 '!U129&gt;0,"baigtas","–")</f>
        <v>–</v>
      </c>
    </row>
    <row r="101" spans="1:25" ht="72.75" thickBot="1">
      <c r="A101" s="376">
        <f t="shared" si="13"/>
        <v>100</v>
      </c>
      <c r="B101" s="376" t="str">
        <f>CONCATENATE('ES lėšos'!B100)</f>
        <v>Pirminės ambulatorinės asmens sveikatos priežiūros efektyvumo didinimas R. Ambrazaitienės ir L. Puzinovienės šeimos gydytojų kabinetuose</v>
      </c>
      <c r="C101" s="376" t="str">
        <f>CONCATENATE('ES lėšos'!C100)</f>
        <v>08.1.3-CPVA-R-609</v>
      </c>
      <c r="D101" s="376" t="str">
        <f>CONCATENATE('ES lėšos'!D100)</f>
        <v>UAB „Rasos Ambrazaitienės šeimos gydytojo kabinetas“</v>
      </c>
      <c r="E101" s="376" t="str">
        <f>CONCATENATE('ES lėšos'!E100)</f>
        <v>Druskininkų sav.</v>
      </c>
      <c r="F101" s="376" t="str">
        <f>CONCATENATE('ES lėšos'!F100)</f>
        <v>-</v>
      </c>
      <c r="G101" s="1600">
        <f>SUMIF('609'!$C$21:$C$100,B101,'609'!$G$21:$G$100)</f>
        <v>27906</v>
      </c>
      <c r="H101" s="1602">
        <f>IF('ketv. 5 '!U130&gt;0,'ketv. 7 '!L129,'ketv. 6 '!L130)</f>
        <v>27906</v>
      </c>
      <c r="I101" s="1604">
        <f t="shared" si="7"/>
        <v>0</v>
      </c>
      <c r="J101" s="1600">
        <f>SUMIF('609'!$C$21:$C$100,B101,'609'!$I$21:$I$100)</f>
        <v>23720</v>
      </c>
      <c r="K101" s="1602">
        <f>IF('ketv. 5 '!U130&gt;0,'ketv. 7 '!AL129,'ketv. 6 '!AF130)</f>
        <v>23720.1</v>
      </c>
      <c r="L101" s="1604">
        <f t="shared" si="8"/>
        <v>-9.9999999998544808E-2</v>
      </c>
      <c r="M101" s="1600">
        <f>SUMIF('609'!$C$7:$C$100,B101,'609'!$J$7:$J$100)</f>
        <v>2093</v>
      </c>
      <c r="N101" s="1602">
        <f>IF('ketv. 5 '!U130&gt;0,'ketv. 7 '!W129,'ketv. 6 '!T130)</f>
        <v>2092.9</v>
      </c>
      <c r="O101" s="1604">
        <f t="shared" si="9"/>
        <v>9.9999999999909051E-2</v>
      </c>
      <c r="P101" s="1600">
        <f>SUMIF('609'!$C$7:$C$100,B101,'609'!$N$7:$N$100)</f>
        <v>0</v>
      </c>
      <c r="Q101" s="1602">
        <f>IF('ketv. 5 '!U130&gt;0,'ketv. 7 '!R129,'ketv. 6 '!P130)</f>
        <v>0</v>
      </c>
      <c r="R101" s="1604" t="str">
        <f t="shared" si="10"/>
        <v>–</v>
      </c>
      <c r="S101" s="1600">
        <f>SUMIF('609'!$C$7:$C$100,B101,'609'!$R$7:$R$100)</f>
        <v>2093</v>
      </c>
      <c r="T101" s="1602">
        <f>IF('ketv. 5 '!U130&gt;0,'ketv. 7 '!AB129,'ketv. 6 '!X130)</f>
        <v>2093</v>
      </c>
      <c r="U101" s="1604">
        <f t="shared" si="11"/>
        <v>0</v>
      </c>
      <c r="V101" s="1600">
        <f>SUMIF('609'!$C$7:$C$100,B101,'609'!$P$7:$P$100)</f>
        <v>0</v>
      </c>
      <c r="W101" s="1602">
        <f>IF('ketv. 5 '!U130&gt;0,'ketv. 7 '!AG129,'ketv. 6 '!AB130)</f>
        <v>0</v>
      </c>
      <c r="X101" s="1604" t="str">
        <f t="shared" si="12"/>
        <v>–</v>
      </c>
      <c r="Y101" s="1605" t="str">
        <f>IF('ketv. 5 '!U130&gt;0,"baigtas","–")</f>
        <v>–</v>
      </c>
    </row>
    <row r="102" spans="1:25" ht="48.75" thickBot="1">
      <c r="A102" s="376">
        <f t="shared" si="13"/>
        <v>101</v>
      </c>
      <c r="B102" s="376" t="str">
        <f>CONCATENATE('ES lėšos'!B101)</f>
        <v>Pirminės asmens sveikatos priežiūros veiklos efektyvumo didinimas Lazdijų rajono savivaldybėje</v>
      </c>
      <c r="C102" s="376" t="str">
        <f>CONCATENATE('ES lėšos'!C101)</f>
        <v>08.1.3-CPVA-R-609</v>
      </c>
      <c r="D102" s="376" t="str">
        <f>CONCATENATE('ES lėšos'!D101)</f>
        <v>Lazdijų rajono savivaldybės administracija</v>
      </c>
      <c r="E102" s="376" t="str">
        <f>CONCATENATE('ES lėšos'!E101)</f>
        <v>Lazdijų r. sav.</v>
      </c>
      <c r="F102" s="376" t="str">
        <f>CONCATENATE('ES lėšos'!F101)</f>
        <v>-</v>
      </c>
      <c r="G102" s="1600">
        <f>SUMIF('609'!$C$21:$C$100,B102,'609'!$G$21:$G$100)</f>
        <v>192718.96</v>
      </c>
      <c r="H102" s="1602">
        <f>IF('ketv. 5 '!U131&gt;0,'ketv. 7 '!L130,'ketv. 6 '!L131)</f>
        <v>193823.02</v>
      </c>
      <c r="I102" s="1604">
        <f t="shared" si="7"/>
        <v>-1104.0599999999977</v>
      </c>
      <c r="J102" s="1600">
        <f>SUMIF('609'!$C$21:$C$100,B102,'609'!$I$21:$I$100)</f>
        <v>163810.96</v>
      </c>
      <c r="K102" s="1602">
        <f>IF('ketv. 5 '!U131&gt;0,'ketv. 7 '!AL130,'ketv. 6 '!AF131)</f>
        <v>163810.96</v>
      </c>
      <c r="L102" s="1604">
        <f t="shared" si="8"/>
        <v>0</v>
      </c>
      <c r="M102" s="1600">
        <f>SUMIF('609'!$C$7:$C$100,B102,'609'!$J$7:$J$100)</f>
        <v>14454</v>
      </c>
      <c r="N102" s="1602">
        <f>IF('ketv. 5 '!U131&gt;0,'ketv. 7 '!W130,'ketv. 6 '!T131)</f>
        <v>14454</v>
      </c>
      <c r="O102" s="1604">
        <f t="shared" si="9"/>
        <v>0</v>
      </c>
      <c r="P102" s="1600">
        <f>SUMIF('609'!$C$7:$C$100,B102,'609'!$N$7:$N$100)</f>
        <v>8718.58</v>
      </c>
      <c r="Q102" s="1602">
        <f>IF('ketv. 5 '!U131&gt;0,'ketv. 7 '!R130,'ketv. 6 '!P131)</f>
        <v>8714.7999999999993</v>
      </c>
      <c r="R102" s="1604">
        <f t="shared" si="10"/>
        <v>3.7800000000006548</v>
      </c>
      <c r="S102" s="1600">
        <f>SUMIF('609'!$C$7:$C$100,B102,'609'!$R$7:$R$100)</f>
        <v>5735.42</v>
      </c>
      <c r="T102" s="1602">
        <f>IF('ketv. 5 '!U131&gt;0,'ketv. 7 '!AB130,'ketv. 6 '!X131)</f>
        <v>6843.26</v>
      </c>
      <c r="U102" s="1604">
        <f t="shared" si="11"/>
        <v>-1107.8400000000001</v>
      </c>
      <c r="V102" s="1600">
        <f>SUMIF('609'!$C$7:$C$100,B102,'609'!$P$7:$P$100)</f>
        <v>0</v>
      </c>
      <c r="W102" s="1602">
        <f>IF('ketv. 5 '!U131&gt;0,'ketv. 7 '!AG130,'ketv. 6 '!AB131)</f>
        <v>0</v>
      </c>
      <c r="X102" s="1604" t="str">
        <f t="shared" si="12"/>
        <v>–</v>
      </c>
      <c r="Y102" s="1605" t="str">
        <f>IF('ketv. 5 '!U131&gt;0,"baigtas","–")</f>
        <v>–</v>
      </c>
    </row>
    <row r="103" spans="1:25" ht="48.75" thickBot="1">
      <c r="A103" s="376">
        <f t="shared" si="13"/>
        <v>102</v>
      </c>
      <c r="B103" s="376" t="str">
        <f>CONCATENATE('ES lėšos'!B102)</f>
        <v>Pirminės asmens sveikatos priežiūros veiklos efektyvumo didinimas Varėnos rajono savivaldybėje</v>
      </c>
      <c r="C103" s="376" t="str">
        <f>CONCATENATE('ES lėšos'!C102)</f>
        <v>08.1.3-CPVA-R-609</v>
      </c>
      <c r="D103" s="376" t="str">
        <f>CONCATENATE('ES lėšos'!D102)</f>
        <v>VšĮ Varėnos pirminės sveikatos priežiūros centras</v>
      </c>
      <c r="E103" s="376" t="str">
        <f>CONCATENATE('ES lėšos'!E102)</f>
        <v>Varėnos r. sav.</v>
      </c>
      <c r="F103" s="376" t="str">
        <f>CONCATENATE('ES lėšos'!F102)</f>
        <v>-</v>
      </c>
      <c r="G103" s="1600">
        <f>SUMIF('609'!$C$21:$C$100,B103,'609'!$G$21:$G$100)</f>
        <v>192664.27000000002</v>
      </c>
      <c r="H103" s="1602">
        <f>IF('ketv. 5 '!U132&gt;0,'ketv. 7 '!L131,'ketv. 6 '!L132)</f>
        <v>192664.18</v>
      </c>
      <c r="I103" s="1604">
        <f t="shared" si="7"/>
        <v>9.0000000025611371E-2</v>
      </c>
      <c r="J103" s="1600">
        <f>SUMIF('609'!$C$21:$C$100,B103,'609'!$I$21:$I$100)</f>
        <v>163764.63</v>
      </c>
      <c r="K103" s="1602">
        <f>IF('ketv. 5 '!U132&gt;0,'ketv. 7 '!AL131,'ketv. 6 '!AF132)</f>
        <v>163764.54999999999</v>
      </c>
      <c r="L103" s="1604">
        <f t="shared" si="8"/>
        <v>8.0000000016298145E-2</v>
      </c>
      <c r="M103" s="1600">
        <f>SUMIF('609'!$C$7:$C$100,B103,'609'!$J$7:$J$100)</f>
        <v>14449.82</v>
      </c>
      <c r="N103" s="1602">
        <f>IF('ketv. 5 '!U132&gt;0,'ketv. 7 '!W131,'ketv. 6 '!T132)</f>
        <v>14449.82</v>
      </c>
      <c r="O103" s="1604">
        <f t="shared" si="9"/>
        <v>0</v>
      </c>
      <c r="P103" s="1600">
        <f>SUMIF('609'!$C$7:$C$100,B103,'609'!$N$7:$N$100)</f>
        <v>14449.82</v>
      </c>
      <c r="Q103" s="1602">
        <f>IF('ketv. 5 '!U132&gt;0,'ketv. 7 '!R131,'ketv. 6 '!P132)</f>
        <v>14449.81</v>
      </c>
      <c r="R103" s="1604">
        <f t="shared" si="10"/>
        <v>1.0000000000218279E-2</v>
      </c>
      <c r="S103" s="1600">
        <f>SUMIF('609'!$C$7:$C$100,B103,'609'!$R$7:$R$100)</f>
        <v>0</v>
      </c>
      <c r="T103" s="1602">
        <f>IF('ketv. 5 '!U132&gt;0,'ketv. 7 '!AB131,'ketv. 6 '!X132)</f>
        <v>0</v>
      </c>
      <c r="U103" s="1604" t="str">
        <f t="shared" si="11"/>
        <v>–</v>
      </c>
      <c r="V103" s="1600">
        <f>SUMIF('609'!$C$7:$C$100,B103,'609'!$P$7:$P$100)</f>
        <v>0</v>
      </c>
      <c r="W103" s="1602">
        <f>IF('ketv. 5 '!U132&gt;0,'ketv. 7 '!AG131,'ketv. 6 '!AB132)</f>
        <v>0</v>
      </c>
      <c r="X103" s="1604" t="str">
        <f t="shared" si="12"/>
        <v>–</v>
      </c>
      <c r="Y103" s="1605" t="str">
        <f>IF('ketv. 5 '!U132&gt;0,"baigtas","–")</f>
        <v>–</v>
      </c>
    </row>
    <row r="104" spans="1:25" ht="60.75" thickBot="1">
      <c r="A104" s="376">
        <f t="shared" si="13"/>
        <v>103</v>
      </c>
      <c r="B104" s="376" t="str">
        <f>CONCATENATE('ES lėšos'!B103)</f>
        <v>Pirminės asmens sveikatos priežiūros veiklos efektyvumo didinimas N. Jarašienės personalinėje įmonėje</v>
      </c>
      <c r="C104" s="376" t="str">
        <f>CONCATENATE('ES lėšos'!C103)</f>
        <v>08.1.3-CPVA-R-609</v>
      </c>
      <c r="D104" s="376" t="str">
        <f>CONCATENATE('ES lėšos'!D103)</f>
        <v>N. Jarašienės personalinė įmonė</v>
      </c>
      <c r="E104" s="376" t="str">
        <f>CONCATENATE('ES lėšos'!E103)</f>
        <v>Varėnos r. sav.</v>
      </c>
      <c r="F104" s="376" t="str">
        <f>CONCATENATE('ES lėšos'!F103)</f>
        <v>-</v>
      </c>
      <c r="G104" s="1600">
        <f>SUMIF('609'!$C$21:$C$100,B104,'609'!$G$21:$G$100)</f>
        <v>8305</v>
      </c>
      <c r="H104" s="1602">
        <f>IF('ketv. 5 '!U133&gt;0,'ketv. 7 '!L132,'ketv. 6 '!L133)</f>
        <v>0</v>
      </c>
      <c r="I104" s="1604" t="str">
        <f t="shared" si="7"/>
        <v>–</v>
      </c>
      <c r="J104" s="1600">
        <f>SUMIF('609'!$C$21:$C$100,B104,'609'!$I$21:$I$100)</f>
        <v>7059</v>
      </c>
      <c r="K104" s="1602">
        <f>IF('ketv. 5 '!U133&gt;0,'ketv. 7 '!AL132,'ketv. 6 '!AF133)</f>
        <v>0</v>
      </c>
      <c r="L104" s="1604" t="str">
        <f t="shared" si="8"/>
        <v>–</v>
      </c>
      <c r="M104" s="1600">
        <f>SUMIF('609'!$C$7:$C$100,B104,'609'!$J$7:$J$100)</f>
        <v>622</v>
      </c>
      <c r="N104" s="1602">
        <f>IF('ketv. 5 '!U133&gt;0,'ketv. 7 '!W132,'ketv. 6 '!T133)</f>
        <v>0</v>
      </c>
      <c r="O104" s="1604" t="str">
        <f t="shared" si="9"/>
        <v>–</v>
      </c>
      <c r="P104" s="1600">
        <f>SUMIF('609'!$C$7:$C$100,B104,'609'!$N$7:$N$100)</f>
        <v>0</v>
      </c>
      <c r="Q104" s="1602">
        <f>IF('ketv. 5 '!U133&gt;0,'ketv. 7 '!R132,'ketv. 6 '!P133)</f>
        <v>0</v>
      </c>
      <c r="R104" s="1604" t="str">
        <f t="shared" si="10"/>
        <v>–</v>
      </c>
      <c r="S104" s="1600">
        <f>SUMIF('609'!$C$7:$C$100,B104,'609'!$R$7:$R$100)</f>
        <v>624</v>
      </c>
      <c r="T104" s="1602">
        <f>IF('ketv. 5 '!U133&gt;0,'ketv. 7 '!AB132,'ketv. 6 '!X133)</f>
        <v>0</v>
      </c>
      <c r="U104" s="1604" t="str">
        <f t="shared" si="11"/>
        <v>–</v>
      </c>
      <c r="V104" s="1600">
        <f>SUMIF('609'!$C$7:$C$100,B104,'609'!$P$7:$P$100)</f>
        <v>0</v>
      </c>
      <c r="W104" s="1602">
        <f>IF('ketv. 5 '!U133&gt;0,'ketv. 7 '!AG132,'ketv. 6 '!AB133)</f>
        <v>0</v>
      </c>
      <c r="X104" s="1604" t="str">
        <f t="shared" si="12"/>
        <v>–</v>
      </c>
      <c r="Y104" s="1605" t="str">
        <f>IF('ketv. 5 '!U133&gt;0,"baigtas","–")</f>
        <v>–</v>
      </c>
    </row>
    <row r="105" spans="1:25" ht="24.75" thickBot="1">
      <c r="A105" s="376">
        <f t="shared" si="13"/>
        <v>104</v>
      </c>
      <c r="B105" s="376" t="str">
        <f>CONCATENATE('ES lėšos'!B104)</f>
        <v>Sveikos gyvensenos skatinimas Alytaus rajone</v>
      </c>
      <c r="C105" s="376" t="str">
        <f>CONCATENATE('ES lėšos'!C104)</f>
        <v>08.4.2-ESFA-R-630</v>
      </c>
      <c r="D105" s="376" t="str">
        <f>CONCATENATE('ES lėšos'!D104)</f>
        <v>Alytaus rajono savivaldybės visuomenės sveikatos biuras</v>
      </c>
      <c r="E105" s="376" t="str">
        <f>CONCATENATE('ES lėšos'!E104)</f>
        <v>Alytaus r. sav.</v>
      </c>
      <c r="F105" s="376" t="str">
        <f>CONCATENATE('ES lėšos'!F104)</f>
        <v>-</v>
      </c>
      <c r="G105" s="1600">
        <f>SUMIF('630'!$C$21:$C$100,B105,'630'!$E$21:$E$100)</f>
        <v>198997.18000000002</v>
      </c>
      <c r="H105" s="1602">
        <f>IF('ketv. 5 '!U135&gt;0,'ketv. 7 '!L134,'ketv. 6 '!L135)</f>
        <v>198997.18</v>
      </c>
      <c r="I105" s="1604">
        <f t="shared" si="7"/>
        <v>2.9103830456733704E-11</v>
      </c>
      <c r="J105" s="1600">
        <f>SUMIF('630'!$C$21:$C$100,B105,'630'!$G$21:$G$100)</f>
        <v>169147.6</v>
      </c>
      <c r="K105" s="1602">
        <f>IF('ketv. 5 '!U135&gt;0,'ketv. 7 '!AL134,'ketv. 6 '!AF135)</f>
        <v>169147.6</v>
      </c>
      <c r="L105" s="1604">
        <f t="shared" si="8"/>
        <v>0</v>
      </c>
      <c r="M105" s="1600">
        <f>SUMIF('630'!$C$21:$C$100,B105,'630'!$H$21:$H$100)</f>
        <v>14924.79</v>
      </c>
      <c r="N105" s="1602">
        <f>IF('ketv. 5 '!U135&gt;0,'ketv. 7 '!W134,'ketv. 6 '!T135)</f>
        <v>14924.79</v>
      </c>
      <c r="O105" s="1604">
        <f t="shared" si="9"/>
        <v>0</v>
      </c>
      <c r="P105" s="1600">
        <f>SUMIF('630'!$C$21:$C$100,B105,'630'!$L$21:$L$100)</f>
        <v>14924.79</v>
      </c>
      <c r="Q105" s="1602">
        <f>IF('ketv. 5 '!U135&gt;0,'ketv. 7 '!R134,'ketv. 6 '!P135)</f>
        <v>14924.79</v>
      </c>
      <c r="R105" s="1604">
        <f t="shared" si="10"/>
        <v>0</v>
      </c>
      <c r="S105" s="1600">
        <f>SUMIF('630'!$C$21:$C$100,B105,'630'!$P$21:$PL$100)</f>
        <v>0</v>
      </c>
      <c r="T105" s="1602">
        <f>IF('ketv. 5 '!U135&gt;0,'ketv. 7 '!AB134,'ketv. 6 '!X135)</f>
        <v>0</v>
      </c>
      <c r="U105" s="1604" t="str">
        <f t="shared" si="11"/>
        <v>–</v>
      </c>
      <c r="V105" s="1600">
        <f>SUMIF('630'!$C$21:$C$100,B105,'630'!$N$21:$PN$100)</f>
        <v>0</v>
      </c>
      <c r="W105" s="1602">
        <f>IF('ketv. 5 '!U135&gt;0,'ketv. 7 '!AG134,'ketv. 6 '!AB135)</f>
        <v>0</v>
      </c>
      <c r="X105" s="1604" t="str">
        <f t="shared" si="12"/>
        <v>–</v>
      </c>
      <c r="Y105" s="1605" t="str">
        <f>IF('ketv. 5 '!U135&gt;0,"baigtas","–")</f>
        <v>–</v>
      </c>
    </row>
    <row r="106" spans="1:25" ht="24.75" thickBot="1">
      <c r="A106" s="376">
        <f t="shared" si="13"/>
        <v>105</v>
      </c>
      <c r="B106" s="376" t="str">
        <f>CONCATENATE('ES lėšos'!B105)</f>
        <v>Mažais žingsneliais – sveikos gyvensenos link</v>
      </c>
      <c r="C106" s="376" t="str">
        <f>CONCATENATE('ES lėšos'!C105)</f>
        <v>08.4.2-ESFA-R-630</v>
      </c>
      <c r="D106" s="376" t="str">
        <f>CONCATENATE('ES lėšos'!D105)</f>
        <v>Alytaus miesto savivaldybės administracija</v>
      </c>
      <c r="E106" s="376" t="str">
        <f>CONCATENATE('ES lėšos'!E105)</f>
        <v>Alytaus m. sav.</v>
      </c>
      <c r="F106" s="376" t="str">
        <f>CONCATENATE('ES lėšos'!F105)</f>
        <v>-</v>
      </c>
      <c r="G106" s="1600">
        <f>SUMIF('630'!$C$21:$C$100,B106,'630'!$E$21:$E$100)</f>
        <v>198996.00000000003</v>
      </c>
      <c r="H106" s="1602">
        <f>IF('ketv. 5 '!U136&gt;0,'ketv. 7 '!L135,'ketv. 6 '!L136)</f>
        <v>198996</v>
      </c>
      <c r="I106" s="1604">
        <f t="shared" si="7"/>
        <v>2.9103830456733704E-11</v>
      </c>
      <c r="J106" s="1600">
        <f>SUMIF('630'!$C$21:$C$100,B106,'630'!$G$21:$G$100)</f>
        <v>169146.6</v>
      </c>
      <c r="K106" s="1602">
        <f>IF('ketv. 5 '!U136&gt;0,'ketv. 7 '!AL135,'ketv. 6 '!AF136)</f>
        <v>169146.6</v>
      </c>
      <c r="L106" s="1604">
        <f t="shared" si="8"/>
        <v>0</v>
      </c>
      <c r="M106" s="1600">
        <f>SUMIF('630'!$C$21:$C$100,B106,'630'!$H$21:$H$100)</f>
        <v>14924.7</v>
      </c>
      <c r="N106" s="1602">
        <f>IF('ketv. 5 '!U136&gt;0,'ketv. 7 '!W135,'ketv. 6 '!T136)</f>
        <v>14924.7</v>
      </c>
      <c r="O106" s="1604">
        <f t="shared" si="9"/>
        <v>0</v>
      </c>
      <c r="P106" s="1600">
        <f>SUMIF('630'!$C$21:$C$100,B106,'630'!$L$21:$L$100)</f>
        <v>14924.7</v>
      </c>
      <c r="Q106" s="1602">
        <f>IF('ketv. 5 '!U136&gt;0,'ketv. 7 '!R135,'ketv. 6 '!P136)</f>
        <v>14924.7</v>
      </c>
      <c r="R106" s="1604">
        <f t="shared" si="10"/>
        <v>0</v>
      </c>
      <c r="S106" s="1600">
        <f>SUMIF('630'!$C$21:$C$100,B106,'630'!$P$21:$PL$100)</f>
        <v>0</v>
      </c>
      <c r="T106" s="1602">
        <f>IF('ketv. 5 '!U136&gt;0,'ketv. 7 '!AB135,'ketv. 6 '!X136)</f>
        <v>0</v>
      </c>
      <c r="U106" s="1604" t="str">
        <f t="shared" si="11"/>
        <v>–</v>
      </c>
      <c r="V106" s="1600">
        <f>SUMIF('630'!$C$21:$C$100,B106,'630'!$N$21:$PN$100)</f>
        <v>0</v>
      </c>
      <c r="W106" s="1602">
        <f>IF('ketv. 5 '!U136&gt;0,'ketv. 7 '!AG135,'ketv. 6 '!AB136)</f>
        <v>0</v>
      </c>
      <c r="X106" s="1604" t="str">
        <f t="shared" si="12"/>
        <v>–</v>
      </c>
      <c r="Y106" s="1605" t="str">
        <f>IF('ketv. 5 '!U136&gt;0,"baigtas","–")</f>
        <v>–</v>
      </c>
    </row>
    <row r="107" spans="1:25" ht="36.75" thickBot="1">
      <c r="A107" s="376">
        <f t="shared" si="13"/>
        <v>106</v>
      </c>
      <c r="B107" s="376" t="str">
        <f>CONCATENATE('ES lėšos'!B106)</f>
        <v>Sveikos gyvensenos skatinimas Varėnos rajono savivaldybėje</v>
      </c>
      <c r="C107" s="376" t="str">
        <f>CONCATENATE('ES lėšos'!C106)</f>
        <v>08.4.2-ESFA-R-630</v>
      </c>
      <c r="D107" s="376" t="str">
        <f>CONCATENATE('ES lėšos'!D106)</f>
        <v>Varėnos rajono savivaldybės visuomenės sveikatos biuras</v>
      </c>
      <c r="E107" s="376" t="str">
        <f>CONCATENATE('ES lėšos'!E106)</f>
        <v>Varėnos r. sav.</v>
      </c>
      <c r="F107" s="376" t="str">
        <f>CONCATENATE('ES lėšos'!F106)</f>
        <v>-</v>
      </c>
      <c r="G107" s="1600">
        <f>SUMIF('630'!$C$21:$C$100,B107,'630'!$E$21:$E$100)</f>
        <v>198997</v>
      </c>
      <c r="H107" s="1602">
        <f>IF('ketv. 5 '!U137&gt;0,'ketv. 7 '!L136,'ketv. 6 '!L137)</f>
        <v>198997</v>
      </c>
      <c r="I107" s="1604">
        <f t="shared" si="7"/>
        <v>0</v>
      </c>
      <c r="J107" s="1600">
        <f>SUMIF('630'!$C$21:$C$100,B107,'630'!$G$21:$G$100)</f>
        <v>169147.45</v>
      </c>
      <c r="K107" s="1602">
        <f>IF('ketv. 5 '!U137&gt;0,'ketv. 7 '!AL136,'ketv. 6 '!AF137)</f>
        <v>169147.45</v>
      </c>
      <c r="L107" s="1604">
        <f t="shared" si="8"/>
        <v>0</v>
      </c>
      <c r="M107" s="1600">
        <f>SUMIF('630'!$C$21:$C$100,B107,'630'!$H$21:$H$100)</f>
        <v>14924.55</v>
      </c>
      <c r="N107" s="1602">
        <f>IF('ketv. 5 '!U137&gt;0,'ketv. 7 '!W136,'ketv. 6 '!T137)</f>
        <v>14924.55</v>
      </c>
      <c r="O107" s="1604">
        <f t="shared" si="9"/>
        <v>0</v>
      </c>
      <c r="P107" s="1600">
        <f>SUMIF('630'!$C$21:$C$100,B107,'630'!$L$21:$L$100)</f>
        <v>14925</v>
      </c>
      <c r="Q107" s="1602">
        <f>IF('ketv. 5 '!U137&gt;0,'ketv. 7 '!R136,'ketv. 6 '!P137)</f>
        <v>14925</v>
      </c>
      <c r="R107" s="1604">
        <f t="shared" si="10"/>
        <v>0</v>
      </c>
      <c r="S107" s="1600">
        <f>SUMIF('630'!$C$21:$C$100,B107,'630'!$P$21:$PL$100)</f>
        <v>0</v>
      </c>
      <c r="T107" s="1602">
        <f>IF('ketv. 5 '!U137&gt;0,'ketv. 7 '!AB136,'ketv. 6 '!X137)</f>
        <v>0</v>
      </c>
      <c r="U107" s="1604" t="str">
        <f t="shared" si="11"/>
        <v>–</v>
      </c>
      <c r="V107" s="1600">
        <f>SUMIF('630'!$C$21:$C$100,B107,'630'!$N$21:$PN$100)</f>
        <v>0</v>
      </c>
      <c r="W107" s="1602">
        <f>IF('ketv. 5 '!U137&gt;0,'ketv. 7 '!AG136,'ketv. 6 '!AB137)</f>
        <v>0</v>
      </c>
      <c r="X107" s="1604" t="str">
        <f t="shared" si="12"/>
        <v>–</v>
      </c>
      <c r="Y107" s="1605" t="str">
        <f>IF('ketv. 5 '!U137&gt;0,"baigtas","–")</f>
        <v>–</v>
      </c>
    </row>
    <row r="108" spans="1:25" ht="24.75" thickBot="1">
      <c r="A108" s="376">
        <f t="shared" si="13"/>
        <v>107</v>
      </c>
      <c r="B108" s="376" t="str">
        <f>CONCATENATE('ES lėšos'!B107)</f>
        <v>Sveika bendruomenė – stipri visuomenė</v>
      </c>
      <c r="C108" s="376" t="str">
        <f>CONCATENATE('ES lėšos'!C107)</f>
        <v>08.4.2-ESFA-R-630</v>
      </c>
      <c r="D108" s="376" t="str">
        <f>CONCATENATE('ES lėšos'!D107)</f>
        <v>Druskininkų savivaldybės visuomenės sveikatos biuras</v>
      </c>
      <c r="E108" s="376" t="str">
        <f>CONCATENATE('ES lėšos'!E107)</f>
        <v>Druskininkų sav.</v>
      </c>
      <c r="F108" s="376" t="str">
        <f>CONCATENATE('ES lėšos'!F107)</f>
        <v>-</v>
      </c>
      <c r="G108" s="1600">
        <f>SUMIF('630'!$C$21:$C$100,B108,'630'!$E$21:$E$100)</f>
        <v>198997.18000000002</v>
      </c>
      <c r="H108" s="1602">
        <f>IF('ketv. 5 '!U138&gt;0,'ketv. 7 '!L137,'ketv. 6 '!L138)</f>
        <v>198997.18</v>
      </c>
      <c r="I108" s="1604">
        <f t="shared" si="7"/>
        <v>2.9103830456733704E-11</v>
      </c>
      <c r="J108" s="1600">
        <f>SUMIF('630'!$C$21:$C$100,B108,'630'!$G$21:$G$100)</f>
        <v>169147.6</v>
      </c>
      <c r="K108" s="1602">
        <f>IF('ketv. 5 '!U138&gt;0,'ketv. 7 '!AL137,'ketv. 6 '!AF138)</f>
        <v>169147.6</v>
      </c>
      <c r="L108" s="1604">
        <f t="shared" si="8"/>
        <v>0</v>
      </c>
      <c r="M108" s="1600">
        <f>SUMIF('630'!$C$21:$C$100,B108,'630'!$H$21:$H$100)</f>
        <v>14924.79</v>
      </c>
      <c r="N108" s="1602">
        <f>IF('ketv. 5 '!U138&gt;0,'ketv. 7 '!W137,'ketv. 6 '!T138)</f>
        <v>14924.79</v>
      </c>
      <c r="O108" s="1604">
        <f t="shared" si="9"/>
        <v>0</v>
      </c>
      <c r="P108" s="1600">
        <f>SUMIF('630'!$C$21:$C$100,B108,'630'!$L$21:$L$100)</f>
        <v>14924.79</v>
      </c>
      <c r="Q108" s="1602">
        <f>IF('ketv. 5 '!U138&gt;0,'ketv. 7 '!R137,'ketv. 6 '!P138)</f>
        <v>14924.79</v>
      </c>
      <c r="R108" s="1604">
        <f t="shared" si="10"/>
        <v>0</v>
      </c>
      <c r="S108" s="1600">
        <f>SUMIF('630'!$C$21:$C$100,B108,'630'!$P$21:$PL$100)</f>
        <v>0</v>
      </c>
      <c r="T108" s="1602">
        <f>IF('ketv. 5 '!U138&gt;0,'ketv. 7 '!AB137,'ketv. 6 '!X138)</f>
        <v>0</v>
      </c>
      <c r="U108" s="1604" t="str">
        <f t="shared" si="11"/>
        <v>–</v>
      </c>
      <c r="V108" s="1600">
        <f>SUMIF('630'!$C$21:$C$100,B108,'630'!$N$21:$PN$100)</f>
        <v>0</v>
      </c>
      <c r="W108" s="1602">
        <f>IF('ketv. 5 '!U138&gt;0,'ketv. 7 '!AG137,'ketv. 6 '!AB138)</f>
        <v>0</v>
      </c>
      <c r="X108" s="1604" t="str">
        <f t="shared" si="12"/>
        <v>–</v>
      </c>
      <c r="Y108" s="1605" t="str">
        <f>IF('ketv. 5 '!U138&gt;0,"baigtas","–")</f>
        <v>–</v>
      </c>
    </row>
    <row r="109" spans="1:25" ht="36.75" thickBot="1">
      <c r="A109" s="376">
        <f t="shared" si="13"/>
        <v>108</v>
      </c>
      <c r="B109" s="376" t="str">
        <f>CONCATENATE('ES lėšos'!B108)</f>
        <v>Sveikos gyvensenos skatinimas Lazdijų rajono savivaldybėje</v>
      </c>
      <c r="C109" s="376" t="str">
        <f>CONCATENATE('ES lėšos'!C108)</f>
        <v>08.4.2-ESFA-R-630</v>
      </c>
      <c r="D109" s="376" t="str">
        <f>CONCATENATE('ES lėšos'!D108)</f>
        <v>Lazdijų rajono savivaldybės visuomenės sveikatos biuras</v>
      </c>
      <c r="E109" s="376" t="str">
        <f>CONCATENATE('ES lėšos'!E108)</f>
        <v>Lazdijų r. sav.</v>
      </c>
      <c r="F109" s="376" t="str">
        <f>CONCATENATE('ES lėšos'!F108)</f>
        <v>-</v>
      </c>
      <c r="G109" s="1600">
        <f>SUMIF('630'!$C$21:$C$100,B109,'630'!$E$21:$E$100)</f>
        <v>198997.18000000002</v>
      </c>
      <c r="H109" s="1602">
        <f>IF('ketv. 5 '!U139&gt;0,'ketv. 7 '!L138,'ketv. 6 '!L139)</f>
        <v>198997.18</v>
      </c>
      <c r="I109" s="1604">
        <f t="shared" si="7"/>
        <v>2.9103830456733704E-11</v>
      </c>
      <c r="J109" s="1600">
        <f>SUMIF('630'!$C$21:$C$100,B109,'630'!$G$21:$G$100)</f>
        <v>169147.6</v>
      </c>
      <c r="K109" s="1602">
        <f>IF('ketv. 5 '!U139&gt;0,'ketv. 7 '!AL138,'ketv. 6 '!AF139)</f>
        <v>169147.6</v>
      </c>
      <c r="L109" s="1604">
        <f t="shared" si="8"/>
        <v>0</v>
      </c>
      <c r="M109" s="1600">
        <f>SUMIF('630'!$C$21:$C$100,B109,'630'!$H$21:$H$100)</f>
        <v>14924.79</v>
      </c>
      <c r="N109" s="1602">
        <f>IF('ketv. 5 '!U139&gt;0,'ketv. 7 '!W138,'ketv. 6 '!T139)</f>
        <v>14924.79</v>
      </c>
      <c r="O109" s="1604">
        <f t="shared" si="9"/>
        <v>0</v>
      </c>
      <c r="P109" s="1600">
        <f>SUMIF('630'!$C$21:$C$100,B109,'630'!$L$21:$L$100)</f>
        <v>14924.79</v>
      </c>
      <c r="Q109" s="1602">
        <f>IF('ketv. 5 '!U139&gt;0,'ketv. 7 '!R138,'ketv. 6 '!P139)</f>
        <v>14924.79</v>
      </c>
      <c r="R109" s="1604">
        <f t="shared" si="10"/>
        <v>0</v>
      </c>
      <c r="S109" s="1600">
        <f>SUMIF('630'!$C$21:$C$100,B109,'630'!$P$21:$PL$100)</f>
        <v>0</v>
      </c>
      <c r="T109" s="1602">
        <f>IF('ketv. 5 '!U139&gt;0,'ketv. 7 '!AB138,'ketv. 6 '!X139)</f>
        <v>0</v>
      </c>
      <c r="U109" s="1604" t="str">
        <f t="shared" si="11"/>
        <v>–</v>
      </c>
      <c r="V109" s="1600">
        <f>SUMIF('630'!$C$21:$C$100,B109,'630'!$N$21:$PN$100)</f>
        <v>0</v>
      </c>
      <c r="W109" s="1602">
        <f>IF('ketv. 5 '!U139&gt;0,'ketv. 7 '!AG138,'ketv. 6 '!AB139)</f>
        <v>0</v>
      </c>
      <c r="X109" s="1604" t="str">
        <f t="shared" si="12"/>
        <v>–</v>
      </c>
      <c r="Y109" s="1605" t="str">
        <f>IF('ketv. 5 '!U139&gt;0,"baigtas","–")</f>
        <v>–</v>
      </c>
    </row>
    <row r="110" spans="1:25" ht="84.75" thickBot="1">
      <c r="A110" s="376">
        <f t="shared" si="13"/>
        <v>109</v>
      </c>
      <c r="B110" s="376" t="str">
        <f>CONCATENATE('ES lėšos'!B109)</f>
        <v>Priemonių, gerinančių ambulatorinių sveikatos priežiūros paslaugų prieinamumą tuberkulioze sergantiems asmenims, Alytaus rajone, įgyvendinimas</v>
      </c>
      <c r="C110" s="376" t="str">
        <f>CONCATENATE('ES lėšos'!C109)</f>
        <v>08.4.2-ESFA-R-615</v>
      </c>
      <c r="D110" s="376" t="str">
        <f>CONCATENATE('ES lėšos'!D109)</f>
        <v>VšĮ Alytaus rajono savivaldybės pirminės sveikatos priežiūros centras</v>
      </c>
      <c r="E110" s="376" t="str">
        <f>CONCATENATE('ES lėšos'!E109)</f>
        <v>Alytaus r. sav.</v>
      </c>
      <c r="F110" s="376" t="str">
        <f>CONCATENATE('ES lėšos'!F109)</f>
        <v>-</v>
      </c>
      <c r="G110" s="1600">
        <f>SUMIF('615'!$C$21:$C$100,B110,'615'!$G$21:$G$100)</f>
        <v>10453</v>
      </c>
      <c r="H110" s="1602">
        <f>IF('ketv. 5 '!U141&gt;0,'ketv. 7 '!L140,'ketv. 6 '!L141)</f>
        <v>10453</v>
      </c>
      <c r="I110" s="1604">
        <f t="shared" si="7"/>
        <v>0</v>
      </c>
      <c r="J110" s="1600">
        <f>SUMIF('615'!$C$21:$C$100,B110,'615'!$I$21:$I$100)</f>
        <v>8214.61</v>
      </c>
      <c r="K110" s="1602">
        <f>IF('ketv. 5 '!U141&gt;0,'ketv. 7 '!AL140,'ketv. 6 '!AF141)</f>
        <v>8214.61</v>
      </c>
      <c r="L110" s="1604">
        <f t="shared" si="8"/>
        <v>0</v>
      </c>
      <c r="M110" s="1600">
        <f>SUMIF('615'!$C$7:$C$100,B110,'615'!$J$7:$J$100)</f>
        <v>1449.64</v>
      </c>
      <c r="N110" s="1602">
        <f>IF('ketv. 5 '!U141&gt;0,'ketv. 7 '!W140,'ketv. 6 '!T141)</f>
        <v>1449.64</v>
      </c>
      <c r="O110" s="1604">
        <f t="shared" si="9"/>
        <v>0</v>
      </c>
      <c r="P110" s="1600">
        <f>SUMIF('615'!$C$7:$C$100,B110,'615'!$N$7:$N$100)</f>
        <v>0</v>
      </c>
      <c r="Q110" s="1602">
        <f>IF('ketv. 5 '!U141&gt;0,'ketv. 7 '!R140,'ketv. 6 '!P141)</f>
        <v>0</v>
      </c>
      <c r="R110" s="1604" t="str">
        <f t="shared" si="10"/>
        <v>–</v>
      </c>
      <c r="S110" s="1600">
        <f>SUMIF('615'!$C$7:$C$100,B110,'615'!$R$7:$R$100)</f>
        <v>0</v>
      </c>
      <c r="T110" s="1602">
        <f>IF('ketv. 5 '!U141&gt;0,'ketv. 7 '!AB140,'ketv. 6 '!X141)</f>
        <v>0</v>
      </c>
      <c r="U110" s="1604" t="str">
        <f t="shared" si="11"/>
        <v>–</v>
      </c>
      <c r="V110" s="1600">
        <f>SUMIF('615'!$C$7:$C$100,B110,'615'!$P$7:$P$100)</f>
        <v>788.75</v>
      </c>
      <c r="W110" s="1602">
        <f>IF('ketv. 5 '!U141&gt;0,'ketv. 7 '!AG140,'ketv. 6 '!AB141)</f>
        <v>788.75</v>
      </c>
      <c r="X110" s="1604">
        <f t="shared" si="12"/>
        <v>0</v>
      </c>
      <c r="Y110" s="1605" t="str">
        <f>IF('ketv. 5 '!U141&gt;0,"baigtas","–")</f>
        <v>–</v>
      </c>
    </row>
    <row r="111" spans="1:25" ht="48.75" thickBot="1">
      <c r="A111" s="376">
        <f t="shared" si="13"/>
        <v>110</v>
      </c>
      <c r="B111" s="376" t="str">
        <f>CONCATENATE('ES lėšos'!B110)</f>
        <v>Ambulatorinių sveikatos priežiūros paslaugų gerinimas tuberkulioze sergantiems asmenims</v>
      </c>
      <c r="C111" s="376" t="str">
        <f>CONCATENATE('ES lėšos'!C110)</f>
        <v>08.4.2-ESFA-R-615</v>
      </c>
      <c r="D111" s="376" t="str">
        <f>CONCATENATE('ES lėšos'!D110)</f>
        <v>Alytaus miesto savivaldybės administracija</v>
      </c>
      <c r="E111" s="376" t="str">
        <f>CONCATENATE('ES lėšos'!E110)</f>
        <v>Alytaus m. sav.</v>
      </c>
      <c r="F111" s="376" t="str">
        <f>CONCATENATE('ES lėšos'!F110)</f>
        <v>-</v>
      </c>
      <c r="G111" s="1600">
        <f>SUMIF('615'!$C$21:$C$100,B111,'615'!$G$21:$G$100)</f>
        <v>17041.18</v>
      </c>
      <c r="H111" s="1602">
        <f>IF('ketv. 5 '!U142&gt;0,'ketv. 7 '!L141,'ketv. 6 '!L142)</f>
        <v>17041.18</v>
      </c>
      <c r="I111" s="1604">
        <f t="shared" si="7"/>
        <v>0</v>
      </c>
      <c r="J111" s="1600">
        <f>SUMIF('615'!$C$21:$C$100,B111,'615'!$I$21:$I$100)</f>
        <v>14485.09</v>
      </c>
      <c r="K111" s="1602">
        <f>IF('ketv. 5 '!U142&gt;0,'ketv. 7 '!AL141,'ketv. 6 '!AF142)</f>
        <v>14485.09</v>
      </c>
      <c r="L111" s="1604">
        <f t="shared" si="8"/>
        <v>0</v>
      </c>
      <c r="M111" s="1600">
        <f>SUMIF('615'!$C$7:$C$100,B111,'615'!$J$7:$J$100)</f>
        <v>1278</v>
      </c>
      <c r="N111" s="1602">
        <f>IF('ketv. 5 '!U142&gt;0,'ketv. 7 '!W141,'ketv. 6 '!T142)</f>
        <v>1278</v>
      </c>
      <c r="O111" s="1604">
        <f t="shared" si="9"/>
        <v>0</v>
      </c>
      <c r="P111" s="1600">
        <f>SUMIF('615'!$C$7:$C$100,B111,'615'!$N$7:$N$100)</f>
        <v>1278.0899999999999</v>
      </c>
      <c r="Q111" s="1602">
        <f>IF('ketv. 5 '!U142&gt;0,'ketv. 7 '!R141,'ketv. 6 '!P142)</f>
        <v>1278.0899999999999</v>
      </c>
      <c r="R111" s="1604">
        <f t="shared" si="10"/>
        <v>0</v>
      </c>
      <c r="S111" s="1600">
        <f>SUMIF('615'!$C$7:$C$100,B111,'615'!$R$7:$R$100)</f>
        <v>0</v>
      </c>
      <c r="T111" s="1602">
        <f>IF('ketv. 5 '!U142&gt;0,'ketv. 7 '!AB141,'ketv. 6 '!X142)</f>
        <v>0</v>
      </c>
      <c r="U111" s="1604" t="str">
        <f t="shared" si="11"/>
        <v>–</v>
      </c>
      <c r="V111" s="1600">
        <f>SUMIF('615'!$C$7:$C$100,B111,'615'!$P$7:$P$100)</f>
        <v>0</v>
      </c>
      <c r="W111" s="1602">
        <f>IF('ketv. 5 '!U142&gt;0,'ketv. 7 '!AG141,'ketv. 6 '!AB142)</f>
        <v>0</v>
      </c>
      <c r="X111" s="1604" t="str">
        <f t="shared" si="12"/>
        <v>–</v>
      </c>
      <c r="Y111" s="1605" t="str">
        <f>IF('ketv. 5 '!U142&gt;0,"baigtas","–")</f>
        <v>–</v>
      </c>
    </row>
    <row r="112" spans="1:25" ht="48.75" thickBot="1">
      <c r="A112" s="376">
        <f t="shared" si="13"/>
        <v>111</v>
      </c>
      <c r="B112" s="376" t="str">
        <f>CONCATENATE('ES lėšos'!B111)</f>
        <v>Paslaugų tuberkulioze sergantiems asmenims gerinimas Lazdijų rajono savivaldybėje</v>
      </c>
      <c r="C112" s="376" t="str">
        <f>CONCATENATE('ES lėšos'!C111)</f>
        <v>08.4.2-ESFA-R-615</v>
      </c>
      <c r="D112" s="376" t="str">
        <f>CONCATENATE('ES lėšos'!D111)</f>
        <v>Lazdijų rajono savivaldybės administracija</v>
      </c>
      <c r="E112" s="376" t="str">
        <f>CONCATENATE('ES lėšos'!E111)</f>
        <v>Lazdijų r. sav.</v>
      </c>
      <c r="F112" s="376" t="str">
        <f>CONCATENATE('ES lėšos'!F111)</f>
        <v>-</v>
      </c>
      <c r="G112" s="1600">
        <f>SUMIF('615'!$C$21:$C$100,B112,'615'!$G$21:$G$100)</f>
        <v>15224</v>
      </c>
      <c r="H112" s="1602">
        <f>IF('ketv. 5 '!U143&gt;0,'ketv. 7 '!L142,'ketv. 6 '!L143)</f>
        <v>15224</v>
      </c>
      <c r="I112" s="1604">
        <f t="shared" si="7"/>
        <v>0</v>
      </c>
      <c r="J112" s="1600">
        <f>SUMIF('615'!$C$21:$C$100,B112,'615'!$I$21:$I$100)</f>
        <v>12940.4</v>
      </c>
      <c r="K112" s="1602">
        <f>IF('ketv. 5 '!U143&gt;0,'ketv. 7 '!AL142,'ketv. 6 '!AF143)</f>
        <v>12940.4</v>
      </c>
      <c r="L112" s="1604">
        <f t="shared" si="8"/>
        <v>0</v>
      </c>
      <c r="M112" s="1600">
        <f>SUMIF('615'!$C$7:$C$100,B112,'615'!$J$7:$J$100)</f>
        <v>1141.5999999999999</v>
      </c>
      <c r="N112" s="1602">
        <f>IF('ketv. 5 '!U143&gt;0,'ketv. 7 '!W142,'ketv. 6 '!T143)</f>
        <v>1141.5999999999999</v>
      </c>
      <c r="O112" s="1604">
        <f t="shared" si="9"/>
        <v>0</v>
      </c>
      <c r="P112" s="1600">
        <f>SUMIF('615'!$C$7:$C$100,B112,'615'!$N$7:$N$100)</f>
        <v>1142</v>
      </c>
      <c r="Q112" s="1602">
        <f>IF('ketv. 5 '!U143&gt;0,'ketv. 7 '!R142,'ketv. 6 '!P143)</f>
        <v>1142</v>
      </c>
      <c r="R112" s="1604">
        <f t="shared" si="10"/>
        <v>0</v>
      </c>
      <c r="S112" s="1600">
        <f>SUMIF('615'!$C$7:$C$100,B112,'615'!$R$7:$R$100)</f>
        <v>0</v>
      </c>
      <c r="T112" s="1602">
        <f>IF('ketv. 5 '!U143&gt;0,'ketv. 7 '!AB142,'ketv. 6 '!X143)</f>
        <v>0</v>
      </c>
      <c r="U112" s="1604" t="str">
        <f t="shared" si="11"/>
        <v>–</v>
      </c>
      <c r="V112" s="1600">
        <f>SUMIF('615'!$C$7:$C$100,B112,'615'!$P$7:$P$100)</f>
        <v>0</v>
      </c>
      <c r="W112" s="1602">
        <f>IF('ketv. 5 '!U143&gt;0,'ketv. 7 '!AG142,'ketv. 6 '!AB143)</f>
        <v>0</v>
      </c>
      <c r="X112" s="1604" t="str">
        <f t="shared" si="12"/>
        <v>–</v>
      </c>
      <c r="Y112" s="1605" t="str">
        <f>IF('ketv. 5 '!U143&gt;0,"baigtas","–")</f>
        <v>–</v>
      </c>
    </row>
    <row r="113" spans="1:25" ht="72.75" thickBot="1">
      <c r="A113" s="376">
        <f t="shared" si="13"/>
        <v>112</v>
      </c>
      <c r="B113" s="376" t="str">
        <f>CONCATENATE('ES lėšos'!B112)</f>
        <v>Ambulatorinių sveikatos priežiūros paslaugų tuberkulioze sergantiems asmenims prieinamumo gerinimas Druskininkų savivaldybėje</v>
      </c>
      <c r="C113" s="376" t="str">
        <f>CONCATENATE('ES lėšos'!C112)</f>
        <v>08.4.2-ESFA-R-615</v>
      </c>
      <c r="D113" s="376" t="str">
        <f>CONCATENATE('ES lėšos'!D112)</f>
        <v>Druskininkų pirminės sveikatos priežiūros centras</v>
      </c>
      <c r="E113" s="376" t="str">
        <f>CONCATENATE('ES lėšos'!E112)</f>
        <v>Druskininkų sav.</v>
      </c>
      <c r="F113" s="376" t="str">
        <f>CONCATENATE('ES lėšos'!F112)</f>
        <v>-</v>
      </c>
      <c r="G113" s="1600">
        <f>SUMIF('615'!$C$21:$C$100,B113,'615'!$G$21:$G$100)</f>
        <v>6816</v>
      </c>
      <c r="H113" s="1602">
        <f>IF('ketv. 5 '!U144&gt;0,'ketv. 7 '!L143,'ketv. 6 '!L144)</f>
        <v>6816</v>
      </c>
      <c r="I113" s="1604">
        <f t="shared" si="7"/>
        <v>0</v>
      </c>
      <c r="J113" s="1600">
        <f>SUMIF('615'!$C$21:$C$100,B113,'615'!$I$21:$I$100)</f>
        <v>5793.6</v>
      </c>
      <c r="K113" s="1602">
        <f>IF('ketv. 5 '!U144&gt;0,'ketv. 7 '!AL143,'ketv. 6 '!AF144)</f>
        <v>5793.6</v>
      </c>
      <c r="L113" s="1604">
        <f t="shared" si="8"/>
        <v>0</v>
      </c>
      <c r="M113" s="1600">
        <f>SUMIF('615'!$C$7:$C$100,B113,'615'!$J$7:$J$100)</f>
        <v>511.2</v>
      </c>
      <c r="N113" s="1602">
        <f>IF('ketv. 5 '!U144&gt;0,'ketv. 7 '!W143,'ketv. 6 '!T144)</f>
        <v>511.2</v>
      </c>
      <c r="O113" s="1604">
        <f t="shared" si="9"/>
        <v>0</v>
      </c>
      <c r="P113" s="1600">
        <f>SUMIF('615'!$C$7:$C$100,B113,'615'!$N$7:$N$100)</f>
        <v>0</v>
      </c>
      <c r="Q113" s="1602">
        <f>IF('ketv. 5 '!U144&gt;0,'ketv. 7 '!R143,'ketv. 6 '!P144)</f>
        <v>0</v>
      </c>
      <c r="R113" s="1604" t="str">
        <f t="shared" si="10"/>
        <v>–</v>
      </c>
      <c r="S113" s="1600">
        <f>SUMIF('615'!$C$7:$C$100,B113,'615'!$R$7:$R$100)</f>
        <v>0</v>
      </c>
      <c r="T113" s="1602">
        <f>IF('ketv. 5 '!U144&gt;0,'ketv. 7 '!AB143,'ketv. 6 '!X144)</f>
        <v>0</v>
      </c>
      <c r="U113" s="1604" t="str">
        <f t="shared" si="11"/>
        <v>–</v>
      </c>
      <c r="V113" s="1600">
        <f>SUMIF('615'!$C$7:$C$100,B113,'615'!$P$7:$P$100)</f>
        <v>511.2</v>
      </c>
      <c r="W113" s="1602">
        <f>IF('ketv. 5 '!U144&gt;0,'ketv. 7 '!AG143,'ketv. 6 '!AB144)</f>
        <v>511.2</v>
      </c>
      <c r="X113" s="1604">
        <f t="shared" si="12"/>
        <v>0</v>
      </c>
      <c r="Y113" s="1605" t="str">
        <f>IF('ketv. 5 '!U144&gt;0,"baigtas","–")</f>
        <v>–</v>
      </c>
    </row>
    <row r="114" spans="1:25" ht="72.75" thickBot="1">
      <c r="A114" s="376">
        <f t="shared" si="13"/>
        <v>113</v>
      </c>
      <c r="B114" s="376" t="str">
        <f>CONCATENATE('ES lėšos'!B113)</f>
        <v>Ambulatorinių sveikatos priežiūros paslaugų prieinamumo gerinimas tuberkulioze sergantiems asmenims Varėnos rajono savivaldybėje</v>
      </c>
      <c r="C114" s="376" t="str">
        <f>CONCATENATE('ES lėšos'!C113)</f>
        <v>08.4.2-ESFA-R-615</v>
      </c>
      <c r="D114" s="376" t="str">
        <f>CONCATENATE('ES lėšos'!D113)</f>
        <v>Varėnos rajono savivaldybės administracija</v>
      </c>
      <c r="E114" s="376" t="str">
        <f>CONCATENATE('ES lėšos'!E113)</f>
        <v>Varėnos r. sav.</v>
      </c>
      <c r="F114" s="376" t="str">
        <f>CONCATENATE('ES lėšos'!F113)</f>
        <v>-</v>
      </c>
      <c r="G114" s="1600">
        <f>SUMIF('615'!$C$21:$C$100,B114,'615'!$G$21:$G$100)</f>
        <v>15679</v>
      </c>
      <c r="H114" s="1602">
        <f>IF('ketv. 5 '!U145&gt;0,'ketv. 7 '!L144,'ketv. 6 '!L145)</f>
        <v>15679</v>
      </c>
      <c r="I114" s="1604">
        <f t="shared" si="7"/>
        <v>0</v>
      </c>
      <c r="J114" s="1600">
        <f>SUMIF('615'!$C$21:$C$100,B114,'615'!$I$21:$I$100)</f>
        <v>13327</v>
      </c>
      <c r="K114" s="1602">
        <f>IF('ketv. 5 '!U145&gt;0,'ketv. 7 '!AL144,'ketv. 6 '!AF145)</f>
        <v>13327</v>
      </c>
      <c r="L114" s="1604">
        <f t="shared" si="8"/>
        <v>0</v>
      </c>
      <c r="M114" s="1600">
        <f>SUMIF('615'!$C$7:$C$100,B114,'615'!$J$7:$J$100)</f>
        <v>1176</v>
      </c>
      <c r="N114" s="1602">
        <f>IF('ketv. 5 '!U145&gt;0,'ketv. 7 '!W144,'ketv. 6 '!T145)</f>
        <v>1176</v>
      </c>
      <c r="O114" s="1604">
        <f t="shared" si="9"/>
        <v>0</v>
      </c>
      <c r="P114" s="1600">
        <f>SUMIF('615'!$C$7:$C$100,B114,'615'!$N$7:$N$100)</f>
        <v>1176</v>
      </c>
      <c r="Q114" s="1602">
        <f>IF('ketv. 5 '!U145&gt;0,'ketv. 7 '!R144,'ketv. 6 '!P145)</f>
        <v>1176</v>
      </c>
      <c r="R114" s="1604">
        <f t="shared" si="10"/>
        <v>0</v>
      </c>
      <c r="S114" s="1600">
        <f>SUMIF('615'!$C$7:$C$100,B114,'615'!$R$7:$R$100)</f>
        <v>0</v>
      </c>
      <c r="T114" s="1602">
        <f>IF('ketv. 5 '!U145&gt;0,'ketv. 7 '!AB144,'ketv. 6 '!X145)</f>
        <v>0</v>
      </c>
      <c r="U114" s="1604" t="str">
        <f t="shared" si="11"/>
        <v>–</v>
      </c>
      <c r="V114" s="1600">
        <f>SUMIF('615'!$C$7:$C$100,B114,'615'!$P$7:$P$100)</f>
        <v>0</v>
      </c>
      <c r="W114" s="1602">
        <f>IF('ketv. 5 '!U145&gt;0,'ketv. 7 '!AG144,'ketv. 6 '!AB145)</f>
        <v>0</v>
      </c>
      <c r="X114" s="1604" t="str">
        <f t="shared" si="12"/>
        <v>–</v>
      </c>
      <c r="Y114" s="1605" t="str">
        <f>IF('ketv. 5 '!U145&gt;0,"baigtas","–")</f>
        <v>–</v>
      </c>
    </row>
    <row r="115" spans="1:25" ht="36.75" thickBot="1">
      <c r="A115" s="376">
        <f t="shared" si="13"/>
        <v>114</v>
      </c>
      <c r="B115" s="376" t="str">
        <f>CONCATENATE('ES lėšos'!B114)</f>
        <v>Socialinių paslaugų infrastruktūros plėtra Varėnos rajono savivaldybėje</v>
      </c>
      <c r="C115" s="376" t="str">
        <f>CONCATENATE('ES lėšos'!C114)</f>
        <v>08.1.1-CPVA-R-407</v>
      </c>
      <c r="D115" s="376" t="str">
        <f>CONCATENATE('ES lėšos'!D114)</f>
        <v>Varėnos rajono savivaldybės administracija</v>
      </c>
      <c r="E115" s="376" t="str">
        <f>CONCATENATE('ES lėšos'!E114)</f>
        <v>Varėnos r. sav.</v>
      </c>
      <c r="F115" s="376" t="str">
        <f>CONCATENATE('ES lėšos'!F114)</f>
        <v>-</v>
      </c>
      <c r="G115" s="1600">
        <f>SUMIF('407'!$C$21:$C$100,B115,'407'!$G$21:$G$100)</f>
        <v>148480</v>
      </c>
      <c r="H115" s="1602">
        <f>IF('ketv. 5 '!U148&gt;0,'ketv. 7 '!L147,'ketv. 6 '!L148)</f>
        <v>148480</v>
      </c>
      <c r="I115" s="1604">
        <f t="shared" si="7"/>
        <v>0</v>
      </c>
      <c r="J115" s="1600">
        <f>SUMIF('407'!$C$21:$C$100,B115,'407'!$I$21:$I$100)</f>
        <v>126208</v>
      </c>
      <c r="K115" s="1602">
        <f>IF('ketv. 5 '!U148&gt;0,'ketv. 7 '!AL147,'ketv. 6 '!AF148)</f>
        <v>126208</v>
      </c>
      <c r="L115" s="1604">
        <f t="shared" si="8"/>
        <v>0</v>
      </c>
      <c r="M115" s="1600">
        <f>SUMIF('407'!$C$7:$C$100,B115,'407'!$J$7:$J$100)</f>
        <v>0</v>
      </c>
      <c r="N115" s="1602">
        <f>IF('ketv. 5 '!U148&gt;0,'ketv. 7 '!W147,'ketv. 6 '!T148)</f>
        <v>0</v>
      </c>
      <c r="O115" s="1604" t="str">
        <f t="shared" si="9"/>
        <v>–</v>
      </c>
      <c r="P115" s="1600">
        <f>SUMIF('407'!$C$7:$C$100,B115,'407'!$N$7:$N$100)</f>
        <v>22272</v>
      </c>
      <c r="Q115" s="1602">
        <f>IF('ketv. 5 '!U148&gt;0,'ketv. 7 '!R147,'ketv. 6 '!P148)</f>
        <v>22272</v>
      </c>
      <c r="R115" s="1604">
        <f t="shared" si="10"/>
        <v>0</v>
      </c>
      <c r="S115" s="1600">
        <f>SUMIF('407'!$C$7:$C$100,B115,'407'!$R$7:$R$100)</f>
        <v>0</v>
      </c>
      <c r="T115" s="1602">
        <f>IF('ketv. 5 '!U148&gt;0,'ketv. 7 '!AB147,'ketv. 6 '!X148)</f>
        <v>0</v>
      </c>
      <c r="U115" s="1604" t="str">
        <f t="shared" si="11"/>
        <v>–</v>
      </c>
      <c r="V115" s="1600">
        <f>SUMIF('407'!$C$7:$C$100,B115,'407'!$P$7:$P$100)</f>
        <v>0</v>
      </c>
      <c r="W115" s="1602">
        <f>IF('ketv. 5 '!U148&gt;0,'ketv. 7 '!AG147,'ketv. 6 '!AB148)</f>
        <v>0</v>
      </c>
      <c r="X115" s="1604" t="str">
        <f t="shared" si="12"/>
        <v>–</v>
      </c>
      <c r="Y115" s="1605" t="str">
        <f>IF('ketv. 5 '!U148&gt;0,"baigtas","–")</f>
        <v>–</v>
      </c>
    </row>
    <row r="116" spans="1:25" ht="24.75" thickBot="1">
      <c r="A116" s="376">
        <f t="shared" si="13"/>
        <v>115</v>
      </c>
      <c r="B116" s="376" t="str">
        <f>CONCATENATE('ES lėšos'!B115)</f>
        <v>Psichosocialinės pagalbos centro įkūrimas</v>
      </c>
      <c r="C116" s="376" t="str">
        <f>CONCATENATE('ES lėšos'!C115)</f>
        <v>08.1.1-CPVA-R-407</v>
      </c>
      <c r="D116" s="376" t="str">
        <f>CONCATENATE('ES lėšos'!D115)</f>
        <v>Alytaus rajono savivaldybės administracija</v>
      </c>
      <c r="E116" s="376" t="str">
        <f>CONCATENATE('ES lėšos'!E115)</f>
        <v>Alytaus r. sav.</v>
      </c>
      <c r="F116" s="376" t="str">
        <f>CONCATENATE('ES lėšos'!F115)</f>
        <v/>
      </c>
      <c r="G116" s="1600">
        <f>SUMIF('407'!$C$21:$C$100,B116,'407'!$G$21:$G$100)</f>
        <v>188353</v>
      </c>
      <c r="H116" s="1602">
        <f>IF('ketv. 5 '!U149&gt;0,'ketv. 7 '!L148,'ketv. 6 '!L149)</f>
        <v>188353</v>
      </c>
      <c r="I116" s="1604">
        <f t="shared" si="7"/>
        <v>0</v>
      </c>
      <c r="J116" s="1600">
        <f>SUMIF('407'!$C$21:$C$100,B116,'407'!$I$21:$I$100)</f>
        <v>160100</v>
      </c>
      <c r="K116" s="1602">
        <f>IF('ketv. 5 '!U149&gt;0,'ketv. 7 '!AL148,'ketv. 6 '!AF149)</f>
        <v>160100</v>
      </c>
      <c r="L116" s="1604">
        <f t="shared" si="8"/>
        <v>0</v>
      </c>
      <c r="M116" s="1600">
        <f>SUMIF('407'!$C$7:$C$100,B116,'407'!$J$7:$J$100)</f>
        <v>0</v>
      </c>
      <c r="N116" s="1602">
        <f>IF('ketv. 5 '!U149&gt;0,'ketv. 7 '!W148,'ketv. 6 '!T149)</f>
        <v>0</v>
      </c>
      <c r="O116" s="1604" t="str">
        <f t="shared" si="9"/>
        <v>–</v>
      </c>
      <c r="P116" s="1600">
        <f>SUMIF('407'!$C$7:$C$100,B116,'407'!$N$7:$N$100)</f>
        <v>28253</v>
      </c>
      <c r="Q116" s="1602">
        <f>IF('ketv. 5 '!U149&gt;0,'ketv. 7 '!R148,'ketv. 6 '!P149)</f>
        <v>28253</v>
      </c>
      <c r="R116" s="1604">
        <f t="shared" si="10"/>
        <v>0</v>
      </c>
      <c r="S116" s="1600">
        <f>SUMIF('407'!$C$7:$C$100,B116,'407'!$R$7:$R$100)</f>
        <v>0</v>
      </c>
      <c r="T116" s="1602">
        <f>IF('ketv. 5 '!U149&gt;0,'ketv. 7 '!AB148,'ketv. 6 '!X149)</f>
        <v>0</v>
      </c>
      <c r="U116" s="1604" t="str">
        <f t="shared" si="11"/>
        <v>–</v>
      </c>
      <c r="V116" s="1600">
        <f>SUMIF('407'!$C$7:$C$100,B116,'407'!$P$7:$P$100)</f>
        <v>0</v>
      </c>
      <c r="W116" s="1602">
        <f>IF('ketv. 5 '!U149&gt;0,'ketv. 7 '!AG148,'ketv. 6 '!AB149)</f>
        <v>0</v>
      </c>
      <c r="X116" s="1604" t="str">
        <f t="shared" si="12"/>
        <v>–</v>
      </c>
      <c r="Y116" s="1605" t="str">
        <f>IF('ketv. 5 '!U149&gt;0,"baigtas","–")</f>
        <v>–</v>
      </c>
    </row>
    <row r="117" spans="1:25" ht="24.75" thickBot="1">
      <c r="A117" s="376">
        <f t="shared" si="13"/>
        <v>116</v>
      </c>
      <c r="B117" s="376" t="str">
        <f>CONCATENATE('ES lėšos'!B116)</f>
        <v>Socialinių paslaugų plėtra Alytaus mieste</v>
      </c>
      <c r="C117" s="376" t="str">
        <f>CONCATENATE('ES lėšos'!C116)</f>
        <v>08.1.1-CPVA-R-407</v>
      </c>
      <c r="D117" s="376" t="str">
        <f>CONCATENATE('ES lėšos'!D116)</f>
        <v>Alytaus miesto savivaldybės administracija</v>
      </c>
      <c r="E117" s="376" t="str">
        <f>CONCATENATE('ES lėšos'!E116)</f>
        <v>Alytaus m. sav.</v>
      </c>
      <c r="F117" s="376" t="str">
        <f>CONCATENATE('ES lėšos'!F116)</f>
        <v>-</v>
      </c>
      <c r="G117" s="1600">
        <f>SUMIF('407'!$C$21:$C$100,B117,'407'!$G$21:$G$100)</f>
        <v>600732.80000000005</v>
      </c>
      <c r="H117" s="1602">
        <f>IF('ketv. 5 '!U150&gt;0,'ketv. 7 '!L149,'ketv. 6 '!L150)</f>
        <v>600732.79999999993</v>
      </c>
      <c r="I117" s="1604">
        <f t="shared" si="7"/>
        <v>1.1641532182693481E-10</v>
      </c>
      <c r="J117" s="1600">
        <f>SUMIF('407'!$C$21:$C$100,B117,'407'!$I$21:$I$100)</f>
        <v>346361</v>
      </c>
      <c r="K117" s="1602">
        <f>IF('ketv. 5 '!U150&gt;0,'ketv. 7 '!AL149,'ketv. 6 '!AF150)</f>
        <v>346360.99999999994</v>
      </c>
      <c r="L117" s="1604">
        <f t="shared" si="8"/>
        <v>5.8207660913467407E-11</v>
      </c>
      <c r="M117" s="1600">
        <f>SUMIF('407'!$C$7:$C$100,B117,'407'!$J$7:$J$100)</f>
        <v>0</v>
      </c>
      <c r="N117" s="1602">
        <f>IF('ketv. 5 '!U150&gt;0,'ketv. 7 '!W149,'ketv. 6 '!T150)</f>
        <v>0</v>
      </c>
      <c r="O117" s="1604" t="str">
        <f t="shared" si="9"/>
        <v>–</v>
      </c>
      <c r="P117" s="1600">
        <f>SUMIF('407'!$C$7:$C$100,B117,'407'!$N$7:$N$100)</f>
        <v>254371.8</v>
      </c>
      <c r="Q117" s="1602">
        <f>IF('ketv. 5 '!U150&gt;0,'ketv. 7 '!R149,'ketv. 6 '!P150)</f>
        <v>254371.80000000002</v>
      </c>
      <c r="R117" s="1604">
        <f t="shared" si="10"/>
        <v>-2.9103830456733704E-11</v>
      </c>
      <c r="S117" s="1600">
        <f>SUMIF('407'!$C$7:$C$100,B117,'407'!$R$7:$R$100)</f>
        <v>0</v>
      </c>
      <c r="T117" s="1602">
        <f>IF('ketv. 5 '!U150&gt;0,'ketv. 7 '!AB149,'ketv. 6 '!X150)</f>
        <v>0</v>
      </c>
      <c r="U117" s="1604" t="str">
        <f t="shared" si="11"/>
        <v>–</v>
      </c>
      <c r="V117" s="1600">
        <f>SUMIF('407'!$C$7:$C$100,B117,'407'!$P$7:$P$100)</f>
        <v>0</v>
      </c>
      <c r="W117" s="1602">
        <f>IF('ketv. 5 '!U150&gt;0,'ketv. 7 '!AG149,'ketv. 6 '!AB150)</f>
        <v>0</v>
      </c>
      <c r="X117" s="1604" t="str">
        <f t="shared" si="12"/>
        <v>–</v>
      </c>
      <c r="Y117" s="1605" t="str">
        <f>IF('ketv. 5 '!U150&gt;0,"baigtas","–")</f>
        <v>baigtas</v>
      </c>
    </row>
    <row r="118" spans="1:25" ht="36.75" thickBot="1">
      <c r="A118" s="376">
        <f t="shared" si="13"/>
        <v>117</v>
      </c>
      <c r="B118" s="376" t="str">
        <f>CONCATENATE('ES lėšos'!B117)</f>
        <v>Socialinių paslaugų infrastruktūros plėtra Druskininkų savivaldybėje</v>
      </c>
      <c r="C118" s="376" t="str">
        <f>CONCATENATE('ES lėšos'!C117)</f>
        <v>08.1.1-CPVA-R-407</v>
      </c>
      <c r="D118" s="376" t="str">
        <f>CONCATENATE('ES lėšos'!D117)</f>
        <v>Druskininkų savivaldybės administracija</v>
      </c>
      <c r="E118" s="376" t="str">
        <f>CONCATENATE('ES lėšos'!E117)</f>
        <v>Druskininkų sav.</v>
      </c>
      <c r="F118" s="376" t="str">
        <f>CONCATENATE('ES lėšos'!F117)</f>
        <v>-</v>
      </c>
      <c r="G118" s="1600">
        <f>SUMIF('407'!$C$21:$C$100,B118,'407'!$G$21:$G$100)</f>
        <v>151437</v>
      </c>
      <c r="H118" s="1602">
        <f>IF('ketv. 5 '!U151&gt;0,'ketv. 7 '!L150,'ketv. 6 '!L151)</f>
        <v>151437</v>
      </c>
      <c r="I118" s="1604">
        <f t="shared" si="7"/>
        <v>0</v>
      </c>
      <c r="J118" s="1600">
        <f>SUMIF('407'!$C$21:$C$100,B118,'407'!$I$21:$I$100)</f>
        <v>128721</v>
      </c>
      <c r="K118" s="1602">
        <f>IF('ketv. 5 '!U151&gt;0,'ketv. 7 '!AL150,'ketv. 6 '!AF151)</f>
        <v>128721</v>
      </c>
      <c r="L118" s="1604">
        <f t="shared" si="8"/>
        <v>0</v>
      </c>
      <c r="M118" s="1600">
        <f>SUMIF('407'!$C$7:$C$100,B118,'407'!$J$7:$J$100)</f>
        <v>0</v>
      </c>
      <c r="N118" s="1602">
        <f>IF('ketv. 5 '!U151&gt;0,'ketv. 7 '!W150,'ketv. 6 '!T151)</f>
        <v>0</v>
      </c>
      <c r="O118" s="1604" t="str">
        <f t="shared" si="9"/>
        <v>–</v>
      </c>
      <c r="P118" s="1600">
        <f>SUMIF('407'!$C$7:$C$100,B118,'407'!$N$7:$N$100)</f>
        <v>22716</v>
      </c>
      <c r="Q118" s="1602">
        <f>IF('ketv. 5 '!U151&gt;0,'ketv. 7 '!R150,'ketv. 6 '!P151)</f>
        <v>22716</v>
      </c>
      <c r="R118" s="1604">
        <f t="shared" si="10"/>
        <v>0</v>
      </c>
      <c r="S118" s="1600">
        <f>SUMIF('407'!$C$7:$C$100,B118,'407'!$R$7:$R$100)</f>
        <v>0</v>
      </c>
      <c r="T118" s="1602">
        <f>IF('ketv. 5 '!U151&gt;0,'ketv. 7 '!AB150,'ketv. 6 '!X151)</f>
        <v>0</v>
      </c>
      <c r="U118" s="1604" t="str">
        <f t="shared" si="11"/>
        <v>–</v>
      </c>
      <c r="V118" s="1600">
        <f>SUMIF('407'!$C$7:$C$100,B118,'407'!$P$7:$P$100)</f>
        <v>0</v>
      </c>
      <c r="W118" s="1602">
        <f>IF('ketv. 5 '!U151&gt;0,'ketv. 7 '!AG150,'ketv. 6 '!AB151)</f>
        <v>0</v>
      </c>
      <c r="X118" s="1604" t="str">
        <f t="shared" si="12"/>
        <v>–</v>
      </c>
      <c r="Y118" s="1605" t="str">
        <f>IF('ketv. 5 '!U151&gt;0,"baigtas","–")</f>
        <v>–</v>
      </c>
    </row>
    <row r="119" spans="1:25" ht="60.75" thickBot="1">
      <c r="A119" s="376">
        <f t="shared" si="13"/>
        <v>118</v>
      </c>
      <c r="B119" s="376" t="str">
        <f>CONCATENATE('ES lėšos'!B118)</f>
        <v>Socialinių paslaugų infrastruktūros modernizavimas ir plėtra VšĮ Kapčiamiesčio globos namuose</v>
      </c>
      <c r="C119" s="376" t="str">
        <f>CONCATENATE('ES lėšos'!C118)</f>
        <v>08.1.1-CPVA-R-407</v>
      </c>
      <c r="D119" s="376" t="str">
        <f>CONCATENATE('ES lėšos'!D118)</f>
        <v>VšĮ Kapčiamiesčio globos namai</v>
      </c>
      <c r="E119" s="376" t="str">
        <f>CONCATENATE('ES lėšos'!E118)</f>
        <v>Lazdijų r. sav.</v>
      </c>
      <c r="F119" s="376" t="str">
        <f>CONCATENATE('ES lėšos'!F118)</f>
        <v>-</v>
      </c>
      <c r="G119" s="1600">
        <f>SUMIF('407'!$C$21:$C$100,B119,'407'!$G$21:$G$100)</f>
        <v>146319</v>
      </c>
      <c r="H119" s="1602">
        <f>IF('ketv. 5 '!U152&gt;0,'ketv. 7 '!L151,'ketv. 6 '!L152)</f>
        <v>146319</v>
      </c>
      <c r="I119" s="1604">
        <f t="shared" si="7"/>
        <v>0</v>
      </c>
      <c r="J119" s="1600">
        <f>SUMIF('407'!$C$21:$C$100,B119,'407'!$I$21:$I$100)</f>
        <v>124371.15</v>
      </c>
      <c r="K119" s="1602">
        <f>IF('ketv. 5 '!U152&gt;0,'ketv. 7 '!AL151,'ketv. 6 '!AF152)</f>
        <v>124371.15</v>
      </c>
      <c r="L119" s="1604">
        <f t="shared" si="8"/>
        <v>0</v>
      </c>
      <c r="M119" s="1600">
        <f>SUMIF('407'!$C$7:$C$100,B119,'407'!$J$7:$J$100)</f>
        <v>21947.85</v>
      </c>
      <c r="N119" s="1602">
        <f>IF('ketv. 5 '!U152&gt;0,'ketv. 7 '!W151,'ketv. 6 '!T152)</f>
        <v>21947.849999999995</v>
      </c>
      <c r="O119" s="1604">
        <f t="shared" si="9"/>
        <v>3.637978807091713E-12</v>
      </c>
      <c r="P119" s="1600">
        <f>SUMIF('407'!$C$7:$C$100,B119,'407'!$N$7:$N$100)</f>
        <v>0</v>
      </c>
      <c r="Q119" s="1602">
        <f>IF('ketv. 5 '!U152&gt;0,'ketv. 7 '!R151,'ketv. 6 '!P152)</f>
        <v>0</v>
      </c>
      <c r="R119" s="1604" t="str">
        <f t="shared" si="10"/>
        <v>–</v>
      </c>
      <c r="S119" s="1600">
        <f>SUMIF('407'!$C$7:$C$100,B119,'407'!$R$7:$R$100)</f>
        <v>0</v>
      </c>
      <c r="T119" s="1602">
        <f>IF('ketv. 5 '!U152&gt;0,'ketv. 7 '!AB151,'ketv. 6 '!X152)</f>
        <v>0</v>
      </c>
      <c r="U119" s="1604" t="str">
        <f t="shared" si="11"/>
        <v>–</v>
      </c>
      <c r="V119" s="1600">
        <f>SUMIF('407'!$C$7:$C$100,B119,'407'!$P$7:$P$100)</f>
        <v>0</v>
      </c>
      <c r="W119" s="1602">
        <f>IF('ketv. 5 '!U152&gt;0,'ketv. 7 '!AG151,'ketv. 6 '!AB152)</f>
        <v>0</v>
      </c>
      <c r="X119" s="1604" t="str">
        <f t="shared" si="12"/>
        <v>–</v>
      </c>
      <c r="Y119" s="1605" t="str">
        <f>IF('ketv. 5 '!U152&gt;0,"baigtas","–")</f>
        <v>baigtas</v>
      </c>
    </row>
    <row r="120" spans="1:25" ht="24.75" thickBot="1">
      <c r="A120" s="376">
        <f t="shared" si="13"/>
        <v>119</v>
      </c>
      <c r="B120" s="376" t="str">
        <f>CONCATENATE('ES lėšos'!B119)</f>
        <v>Socialinio būsto plėtra Varėnos rajone</v>
      </c>
      <c r="C120" s="376" t="str">
        <f>CONCATENATE('ES lėšos'!C119)</f>
        <v>08.1.2-CPVA-R-408</v>
      </c>
      <c r="D120" s="376" t="str">
        <f>CONCATENATE('ES lėšos'!D119)</f>
        <v>Varėnos rajono savivaldybės administracija</v>
      </c>
      <c r="E120" s="376" t="str">
        <f>CONCATENATE('ES lėšos'!E119)</f>
        <v>Varėnos r. sav.</v>
      </c>
      <c r="F120" s="376" t="str">
        <f>CONCATENATE('ES lėšos'!F119)</f>
        <v>-</v>
      </c>
      <c r="G120" s="1600">
        <f>SUMIF('408'!$C$21:$C$100,B120,'408'!$G$21:$G$100)</f>
        <v>736499</v>
      </c>
      <c r="H120" s="1602">
        <f>IF('ketv. 5 '!U154&gt;0,'ketv. 7 '!L153,'ketv. 6 '!L154)</f>
        <v>736499</v>
      </c>
      <c r="I120" s="1604">
        <f t="shared" si="7"/>
        <v>0</v>
      </c>
      <c r="J120" s="1600">
        <f>SUMIF('408'!$C$21:$C$100,B120,'408'!$I$21:$I$100)</f>
        <v>626024</v>
      </c>
      <c r="K120" s="1602">
        <f>IF('ketv. 5 '!U154&gt;0,'ketv. 7 '!AL153,'ketv. 6 '!AF154)</f>
        <v>626024</v>
      </c>
      <c r="L120" s="1604">
        <f t="shared" si="8"/>
        <v>0</v>
      </c>
      <c r="M120" s="1600">
        <f>SUMIF('408'!$C$7:$C$100,B120,'408'!$J$7:$J$100)</f>
        <v>0</v>
      </c>
      <c r="N120" s="1602">
        <f>IF('ketv. 5 '!U154&gt;0,'ketv. 7 '!W153,'ketv. 6 '!T154)</f>
        <v>0</v>
      </c>
      <c r="O120" s="1604" t="str">
        <f t="shared" si="9"/>
        <v>–</v>
      </c>
      <c r="P120" s="1600">
        <f>SUMIF('408'!$C$7:$C$100,B120,'408'!$N$7:$N$100)</f>
        <v>110475</v>
      </c>
      <c r="Q120" s="1602">
        <f>IF('ketv. 5 '!U154&gt;0,'ketv. 7 '!R153,'ketv. 6 '!P154)</f>
        <v>110475</v>
      </c>
      <c r="R120" s="1604">
        <f t="shared" si="10"/>
        <v>0</v>
      </c>
      <c r="S120" s="1600">
        <f>SUMIF('408'!$C$7:$C$100,B120,'408'!$R$7:$R$100)</f>
        <v>0</v>
      </c>
      <c r="T120" s="1602">
        <f>IF('ketv. 5 '!U154&gt;0,'ketv. 7 '!AB153,'ketv. 6 '!X154)</f>
        <v>0</v>
      </c>
      <c r="U120" s="1604" t="str">
        <f t="shared" si="11"/>
        <v>–</v>
      </c>
      <c r="V120" s="1600">
        <f>SUMIF('408'!$C$7:$C$100,B120,'408'!$P$7:$P$100)</f>
        <v>0</v>
      </c>
      <c r="W120" s="1602">
        <f>IF('ketv. 5 '!U154&gt;0,'ketv. 7 '!AG153,'ketv. 6 '!AB154)</f>
        <v>0</v>
      </c>
      <c r="X120" s="1604" t="str">
        <f t="shared" si="12"/>
        <v>–</v>
      </c>
      <c r="Y120" s="1605" t="str">
        <f>IF('ketv. 5 '!U154&gt;0,"baigtas","–")</f>
        <v>–</v>
      </c>
    </row>
    <row r="121" spans="1:25" ht="48.75" thickBot="1">
      <c r="A121" s="376">
        <f t="shared" si="13"/>
        <v>120</v>
      </c>
      <c r="B121" s="376" t="str">
        <f>CONCATENATE('ES lėšos'!B120)</f>
        <v>Būsto prieinamumo pažeidžiamoms gyventojų grupėms didinimas Alytaus rajone</v>
      </c>
      <c r="C121" s="376" t="str">
        <f>CONCATENATE('ES lėšos'!C120)</f>
        <v>08.1.2-CPVA-R-408</v>
      </c>
      <c r="D121" s="376" t="str">
        <f>CONCATENATE('ES lėšos'!D120)</f>
        <v>Alytaus rajono savivaldybės administracija</v>
      </c>
      <c r="E121" s="376" t="str">
        <f>CONCATENATE('ES lėšos'!E120)</f>
        <v>Alytaus r. sav.</v>
      </c>
      <c r="F121" s="376" t="str">
        <f>CONCATENATE('ES lėšos'!F120)</f>
        <v>-</v>
      </c>
      <c r="G121" s="1600">
        <f>SUMIF('408'!$C$21:$C$100,B121,'408'!$G$21:$G$100)</f>
        <v>241889</v>
      </c>
      <c r="H121" s="1602">
        <f>IF('ketv. 5 '!U155&gt;0,'ketv. 7 '!L154,'ketv. 6 '!L155)</f>
        <v>241889</v>
      </c>
      <c r="I121" s="1604">
        <f t="shared" si="7"/>
        <v>0</v>
      </c>
      <c r="J121" s="1600">
        <f>SUMIF('408'!$C$21:$C$100,B121,'408'!$I$21:$I$100)</f>
        <v>205605.65</v>
      </c>
      <c r="K121" s="1602">
        <f>IF('ketv. 5 '!U155&gt;0,'ketv. 7 '!AL154,'ketv. 6 '!AF155)</f>
        <v>205605.65</v>
      </c>
      <c r="L121" s="1604">
        <f t="shared" si="8"/>
        <v>0</v>
      </c>
      <c r="M121" s="1600">
        <f>SUMIF('408'!$C$7:$C$100,B121,'408'!$J$7:$J$100)</f>
        <v>0</v>
      </c>
      <c r="N121" s="1602">
        <f>IF('ketv. 5 '!U155&gt;0,'ketv. 7 '!W154,'ketv. 6 '!T155)</f>
        <v>0</v>
      </c>
      <c r="O121" s="1604" t="str">
        <f t="shared" si="9"/>
        <v>–</v>
      </c>
      <c r="P121" s="1600">
        <f>SUMIF('408'!$C$7:$C$100,B121,'408'!$N$7:$N$100)</f>
        <v>36283.35</v>
      </c>
      <c r="Q121" s="1602">
        <f>IF('ketv. 5 '!U155&gt;0,'ketv. 7 '!R154,'ketv. 6 '!P155)</f>
        <v>36283.35</v>
      </c>
      <c r="R121" s="1604">
        <f t="shared" si="10"/>
        <v>0</v>
      </c>
      <c r="S121" s="1600">
        <f>SUMIF('408'!$C$7:$C$100,B121,'408'!$R$7:$R$100)</f>
        <v>0</v>
      </c>
      <c r="T121" s="1602">
        <f>IF('ketv. 5 '!U155&gt;0,'ketv. 7 '!AB154,'ketv. 6 '!X155)</f>
        <v>0</v>
      </c>
      <c r="U121" s="1604" t="str">
        <f t="shared" si="11"/>
        <v>–</v>
      </c>
      <c r="V121" s="1600">
        <f>SUMIF('408'!$C$7:$C$100,B121,'408'!$P$7:$P$100)</f>
        <v>0</v>
      </c>
      <c r="W121" s="1602">
        <f>IF('ketv. 5 '!U155&gt;0,'ketv. 7 '!AG154,'ketv. 6 '!AB155)</f>
        <v>0</v>
      </c>
      <c r="X121" s="1604" t="str">
        <f t="shared" si="12"/>
        <v>–</v>
      </c>
      <c r="Y121" s="1605" t="str">
        <f>IF('ketv. 5 '!U155&gt;0,"baigtas","–")</f>
        <v>baigtas</v>
      </c>
    </row>
    <row r="122" spans="1:25" ht="24.75" thickBot="1">
      <c r="A122" s="376">
        <f t="shared" si="13"/>
        <v>121</v>
      </c>
      <c r="B122" s="376" t="str">
        <f>CONCATENATE('ES lėšos'!B121)</f>
        <v>Socialinio būsto plėtra Alytaus mieste</v>
      </c>
      <c r="C122" s="376" t="str">
        <f>CONCATENATE('ES lėšos'!C121)</f>
        <v>08.1.2-CPVA-R-408</v>
      </c>
      <c r="D122" s="376" t="str">
        <f>CONCATENATE('ES lėšos'!D121)</f>
        <v>Alytaus miesto savivaldybės administracija</v>
      </c>
      <c r="E122" s="376" t="str">
        <f>CONCATENATE('ES lėšos'!E121)</f>
        <v>Alytaus m. sav.</v>
      </c>
      <c r="F122" s="376" t="str">
        <f>CONCATENATE('ES lėšos'!F121)</f>
        <v>-</v>
      </c>
      <c r="G122" s="1600">
        <f>SUMIF('408'!$C$21:$C$100,B122,'408'!$G$21:$G$100)</f>
        <v>891741.18</v>
      </c>
      <c r="H122" s="1602">
        <f>IF('ketv. 5 '!U156&gt;0,'ketv. 7 '!L155,'ketv. 6 '!L156)</f>
        <v>891741.17999999993</v>
      </c>
      <c r="I122" s="1604">
        <f t="shared" si="7"/>
        <v>1.1641532182693481E-10</v>
      </c>
      <c r="J122" s="1600">
        <f>SUMIF('408'!$C$21:$C$100,B122,'408'!$I$21:$I$100)</f>
        <v>757980</v>
      </c>
      <c r="K122" s="1602">
        <f>IF('ketv. 5 '!U156&gt;0,'ketv. 7 '!AL155,'ketv. 6 '!AF156)</f>
        <v>757980</v>
      </c>
      <c r="L122" s="1604">
        <f t="shared" si="8"/>
        <v>0</v>
      </c>
      <c r="M122" s="1600">
        <f>SUMIF('408'!$C$7:$C$100,B122,'408'!$J$7:$J$100)</f>
        <v>0</v>
      </c>
      <c r="N122" s="1602">
        <f>IF('ketv. 5 '!U156&gt;0,'ketv. 7 '!W155,'ketv. 6 '!T156)</f>
        <v>0</v>
      </c>
      <c r="O122" s="1604" t="str">
        <f t="shared" si="9"/>
        <v>–</v>
      </c>
      <c r="P122" s="1600">
        <f>SUMIF('408'!$C$7:$C$100,B122,'408'!$N$7:$N$100)</f>
        <v>133761.18</v>
      </c>
      <c r="Q122" s="1602">
        <f>IF('ketv. 5 '!U156&gt;0,'ketv. 7 '!R155,'ketv. 6 '!P156)</f>
        <v>133761.18</v>
      </c>
      <c r="R122" s="1604">
        <f t="shared" si="10"/>
        <v>0</v>
      </c>
      <c r="S122" s="1600">
        <f>SUMIF('408'!$C$7:$C$100,B122,'408'!$R$7:$R$100)</f>
        <v>0</v>
      </c>
      <c r="T122" s="1602">
        <f>IF('ketv. 5 '!U156&gt;0,'ketv. 7 '!AB155,'ketv. 6 '!X156)</f>
        <v>0</v>
      </c>
      <c r="U122" s="1604" t="str">
        <f t="shared" si="11"/>
        <v>–</v>
      </c>
      <c r="V122" s="1600">
        <f>SUMIF('408'!$C$7:$C$100,B122,'408'!$P$7:$P$100)</f>
        <v>0</v>
      </c>
      <c r="W122" s="1602">
        <f>IF('ketv. 5 '!U156&gt;0,'ketv. 7 '!AG155,'ketv. 6 '!AB156)</f>
        <v>0</v>
      </c>
      <c r="X122" s="1604" t="str">
        <f t="shared" si="12"/>
        <v>–</v>
      </c>
      <c r="Y122" s="1605" t="str">
        <f>IF('ketv. 5 '!U156&gt;0,"baigtas","–")</f>
        <v>–</v>
      </c>
    </row>
    <row r="123" spans="1:25" ht="24.75" thickBot="1">
      <c r="A123" s="376">
        <f t="shared" si="13"/>
        <v>122</v>
      </c>
      <c r="B123" s="376" t="str">
        <f>CONCATENATE('ES lėšos'!B122)</f>
        <v>Socialinio būsto fondo plėtra Druskininkų savivaldybėje</v>
      </c>
      <c r="C123" s="376" t="str">
        <f>CONCATENATE('ES lėšos'!C122)</f>
        <v>08.1.2-CPVA-R-408</v>
      </c>
      <c r="D123" s="376" t="str">
        <f>CONCATENATE('ES lėšos'!D122)</f>
        <v>Druskininkų savivaldybės administracija</v>
      </c>
      <c r="E123" s="376" t="str">
        <f>CONCATENATE('ES lėšos'!E122)</f>
        <v>Druskininkų sav.</v>
      </c>
      <c r="F123" s="376" t="str">
        <f>CONCATENATE('ES lėšos'!F122)</f>
        <v>-</v>
      </c>
      <c r="G123" s="1600">
        <f>SUMIF('408'!$C$21:$C$100,B123,'408'!$G$21:$G$100)</f>
        <v>727472.94</v>
      </c>
      <c r="H123" s="1602">
        <f>IF('ketv. 5 '!U157&gt;0,'ketv. 7 '!L156,'ketv. 6 '!L157)</f>
        <v>727472.94</v>
      </c>
      <c r="I123" s="1604">
        <f t="shared" si="7"/>
        <v>0</v>
      </c>
      <c r="J123" s="1600">
        <f>SUMIF('408'!$C$21:$C$100,B123,'408'!$I$21:$I$100)</f>
        <v>618351.99</v>
      </c>
      <c r="K123" s="1602">
        <f>IF('ketv. 5 '!U157&gt;0,'ketv. 7 '!AL156,'ketv. 6 '!AF157)</f>
        <v>618351.99</v>
      </c>
      <c r="L123" s="1604">
        <f t="shared" si="8"/>
        <v>0</v>
      </c>
      <c r="M123" s="1600">
        <f>SUMIF('408'!$C$7:$C$100,B123,'408'!$J$7:$J$100)</f>
        <v>0</v>
      </c>
      <c r="N123" s="1602">
        <f>IF('ketv. 5 '!U157&gt;0,'ketv. 7 '!W156,'ketv. 6 '!T157)</f>
        <v>0</v>
      </c>
      <c r="O123" s="1604" t="str">
        <f t="shared" si="9"/>
        <v>–</v>
      </c>
      <c r="P123" s="1600">
        <f>SUMIF('408'!$C$7:$C$100,B123,'408'!$N$7:$N$100)</f>
        <v>109120.95</v>
      </c>
      <c r="Q123" s="1602">
        <f>IF('ketv. 5 '!U157&gt;0,'ketv. 7 '!R156,'ketv. 6 '!P157)</f>
        <v>109120.95</v>
      </c>
      <c r="R123" s="1604">
        <f t="shared" si="10"/>
        <v>0</v>
      </c>
      <c r="S123" s="1600">
        <f>SUMIF('408'!$C$7:$C$100,B123,'408'!$R$7:$R$100)</f>
        <v>0</v>
      </c>
      <c r="T123" s="1602">
        <f>IF('ketv. 5 '!U157&gt;0,'ketv. 7 '!AB156,'ketv. 6 '!X157)</f>
        <v>0</v>
      </c>
      <c r="U123" s="1604" t="str">
        <f t="shared" si="11"/>
        <v>–</v>
      </c>
      <c r="V123" s="1600">
        <f>SUMIF('408'!$C$7:$C$100,B123,'408'!$P$7:$P$100)</f>
        <v>0</v>
      </c>
      <c r="W123" s="1602">
        <f>IF('ketv. 5 '!U157&gt;0,'ketv. 7 '!AG156,'ketv. 6 '!AB157)</f>
        <v>0</v>
      </c>
      <c r="X123" s="1604" t="str">
        <f t="shared" si="12"/>
        <v>–</v>
      </c>
      <c r="Y123" s="1605" t="str">
        <f>IF('ketv. 5 '!U157&gt;0,"baigtas","–")</f>
        <v>–</v>
      </c>
    </row>
    <row r="124" spans="1:25" ht="24.75" thickBot="1">
      <c r="A124" s="376">
        <f t="shared" si="13"/>
        <v>123</v>
      </c>
      <c r="B124" s="376" t="str">
        <f>CONCATENATE('ES lėšos'!B123)</f>
        <v>Socialinio būsto fondo plėtra Lazdijų rajono savivaldybėje</v>
      </c>
      <c r="C124" s="376" t="str">
        <f>CONCATENATE('ES lėšos'!C123)</f>
        <v>08.1.2-CPVA-R-408</v>
      </c>
      <c r="D124" s="376" t="str">
        <f>CONCATENATE('ES lėšos'!D123)</f>
        <v>Lazdijų rajono savivaldybės administracija</v>
      </c>
      <c r="E124" s="376" t="str">
        <f>CONCATENATE('ES lėšos'!E123)</f>
        <v>Lazdijų r. sav.</v>
      </c>
      <c r="F124" s="376" t="str">
        <f>CONCATENATE('ES lėšos'!F123)</f>
        <v>-</v>
      </c>
      <c r="G124" s="1600">
        <f>SUMIF('408'!$C$21:$C$100,B124,'408'!$G$21:$G$100)</f>
        <v>368599</v>
      </c>
      <c r="H124" s="1602">
        <f>IF('ketv. 5 '!U158&gt;0,'ketv. 7 '!L157,'ketv. 6 '!L158)</f>
        <v>368599</v>
      </c>
      <c r="I124" s="1604">
        <f t="shared" si="7"/>
        <v>0</v>
      </c>
      <c r="J124" s="1600">
        <f>SUMIF('408'!$C$21:$C$100,B124,'408'!$I$21:$I$100)</f>
        <v>313012</v>
      </c>
      <c r="K124" s="1602">
        <f>IF('ketv. 5 '!U158&gt;0,'ketv. 7 '!AL157,'ketv. 6 '!AF158)</f>
        <v>313012</v>
      </c>
      <c r="L124" s="1604">
        <f t="shared" si="8"/>
        <v>0</v>
      </c>
      <c r="M124" s="1600">
        <f>SUMIF('408'!$C$7:$C$100,B124,'408'!$J$7:$J$100)</f>
        <v>0</v>
      </c>
      <c r="N124" s="1602">
        <f>IF('ketv. 5 '!U158&gt;0,'ketv. 7 '!W157,'ketv. 6 '!T158)</f>
        <v>0</v>
      </c>
      <c r="O124" s="1604" t="str">
        <f t="shared" si="9"/>
        <v>–</v>
      </c>
      <c r="P124" s="1600">
        <f>SUMIF('408'!$C$7:$C$100,B124,'408'!$N$7:$N$100)</f>
        <v>55587</v>
      </c>
      <c r="Q124" s="1602">
        <f>IF('ketv. 5 '!U158&gt;0,'ketv. 7 '!R157,'ketv. 6 '!P158)</f>
        <v>55587</v>
      </c>
      <c r="R124" s="1604">
        <f t="shared" si="10"/>
        <v>0</v>
      </c>
      <c r="S124" s="1600">
        <f>SUMIF('408'!$C$7:$C$100,B124,'408'!$R$7:$R$100)</f>
        <v>0</v>
      </c>
      <c r="T124" s="1602">
        <f>IF('ketv. 5 '!U158&gt;0,'ketv. 7 '!AB157,'ketv. 6 '!X158)</f>
        <v>0</v>
      </c>
      <c r="U124" s="1604" t="str">
        <f t="shared" si="11"/>
        <v>–</v>
      </c>
      <c r="V124" s="1600">
        <f>SUMIF('408'!$C$7:$C$100,B124,'408'!$P$7:$P$100)</f>
        <v>0</v>
      </c>
      <c r="W124" s="1602">
        <f>IF('ketv. 5 '!U158&gt;0,'ketv. 7 '!AG157,'ketv. 6 '!AB158)</f>
        <v>0</v>
      </c>
      <c r="X124" s="1604" t="str">
        <f t="shared" si="12"/>
        <v>–</v>
      </c>
      <c r="Y124" s="1605" t="str">
        <f>IF('ketv. 5 '!U158&gt;0,"baigtas","–")</f>
        <v>–</v>
      </c>
    </row>
    <row r="125" spans="1:25" ht="48.75" thickBot="1">
      <c r="A125" s="376">
        <f t="shared" si="13"/>
        <v>124</v>
      </c>
      <c r="B125" s="376" t="str">
        <f>CONCATENATE('ES lėšos'!B124)</f>
        <v>Paslaugų teikimo ir asmenų aptarnavimo kokybės gerinimas Varėnos rajono savivaldybėje</v>
      </c>
      <c r="C125" s="376" t="str">
        <f>CONCATENATE('ES lėšos'!C124)</f>
        <v>10.1.3-ESFA-R-920</v>
      </c>
      <c r="D125" s="376" t="str">
        <f>CONCATENATE('ES lėšos'!D124)</f>
        <v>Varėnos rajono savivaldybės administracija</v>
      </c>
      <c r="E125" s="376" t="str">
        <f>CONCATENATE('ES lėšos'!E124)</f>
        <v>Varėnos r. sav.</v>
      </c>
      <c r="F125" s="376" t="str">
        <f>CONCATENATE('ES lėšos'!F124)</f>
        <v>-</v>
      </c>
      <c r="G125" s="1600">
        <f>SUMIF('920'!$C$21:$C$100,B125,'920'!$G$21:$G$100)</f>
        <v>172733.52</v>
      </c>
      <c r="H125" s="1602">
        <f>IF('ketv. 5 '!U161&gt;0,'ketv. 7 '!L160,'ketv. 6 '!L161)</f>
        <v>172733.52</v>
      </c>
      <c r="I125" s="1604">
        <f t="shared" si="7"/>
        <v>0</v>
      </c>
      <c r="J125" s="1600">
        <f>SUMIF('920'!$C$21:$C$100,B125,'920'!$I$21:$I$100)</f>
        <v>146823.49</v>
      </c>
      <c r="K125" s="1602">
        <f>IF('ketv. 5 '!U161&gt;0,'ketv. 7 '!AL160,'ketv. 6 '!AF161)</f>
        <v>146823.49</v>
      </c>
      <c r="L125" s="1604">
        <f t="shared" si="8"/>
        <v>0</v>
      </c>
      <c r="M125" s="1600">
        <f>SUMIF('920'!$C$7:$C$100,B125,'920'!$J$7:$J$100)</f>
        <v>0</v>
      </c>
      <c r="N125" s="1602">
        <f>IF('ketv. 5 '!U161&gt;0,'ketv. 7 '!W160,'ketv. 6 '!T161)</f>
        <v>0</v>
      </c>
      <c r="O125" s="1604" t="str">
        <f t="shared" si="9"/>
        <v>–</v>
      </c>
      <c r="P125" s="1600">
        <f>SUMIF('920'!$C$7:$C$100,B125,'920'!$N$7:$N$100)</f>
        <v>25910.03</v>
      </c>
      <c r="Q125" s="1602">
        <f>IF('ketv. 5 '!U161&gt;0,'ketv. 7 '!R160,'ketv. 6 '!P161)</f>
        <v>25910.03</v>
      </c>
      <c r="R125" s="1604">
        <f t="shared" si="10"/>
        <v>0</v>
      </c>
      <c r="S125" s="1600">
        <f>SUMIF('920'!$C$7:$C$100,B125,'920'!$R$7:$R$100)</f>
        <v>0</v>
      </c>
      <c r="T125" s="1602">
        <f>IF('ketv. 5 '!U161&gt;0,'ketv. 7 '!AB160,'ketv. 6 '!X161)</f>
        <v>0</v>
      </c>
      <c r="U125" s="1604" t="str">
        <f t="shared" si="11"/>
        <v>–</v>
      </c>
      <c r="V125" s="1600">
        <f>SUMIF('920'!$C$7:$C$100,B125,'920'!$P$7:$P$100)</f>
        <v>0</v>
      </c>
      <c r="W125" s="1602">
        <f>IF('ketv. 5 '!U161&gt;0,'ketv. 7 '!AG160,'ketv. 6 '!AB161)</f>
        <v>0</v>
      </c>
      <c r="X125" s="1604" t="str">
        <f t="shared" si="12"/>
        <v>–</v>
      </c>
      <c r="Y125" s="1605" t="str">
        <f>IF('ketv. 5 '!U161&gt;0,"baigtas","–")</f>
        <v>–</v>
      </c>
    </row>
    <row r="126" spans="1:25" ht="48.75" thickBot="1">
      <c r="A126" s="376">
        <f t="shared" si="13"/>
        <v>125</v>
      </c>
      <c r="B126" s="376" t="str">
        <f>CONCATENATE('ES lėšos'!B125)</f>
        <v>Paslaugų ir asmenų aptarnavimo kokybės gerinimas Alytaus rajono savivaldybėje</v>
      </c>
      <c r="C126" s="376" t="str">
        <f>CONCATENATE('ES lėšos'!C125)</f>
        <v>10.1.3-ESFA-R-920</v>
      </c>
      <c r="D126" s="376" t="str">
        <f>CONCATENATE('ES lėšos'!D125)</f>
        <v>Alytaus rajono savivaldybės administracija</v>
      </c>
      <c r="E126" s="376" t="str">
        <f>CONCATENATE('ES lėšos'!E125)</f>
        <v>Alytaus r. sav.</v>
      </c>
      <c r="F126" s="376" t="str">
        <f>CONCATENATE('ES lėšos'!F125)</f>
        <v>-</v>
      </c>
      <c r="G126" s="1600">
        <f>SUMIF('920'!$C$21:$C$100,B126,'920'!$G$21:$G$100)</f>
        <v>192832.21</v>
      </c>
      <c r="H126" s="1602">
        <f>IF('ketv. 5 '!U162&gt;0,'ketv. 7 '!L161,'ketv. 6 '!L162)</f>
        <v>192832.21</v>
      </c>
      <c r="I126" s="1604">
        <f t="shared" si="7"/>
        <v>0</v>
      </c>
      <c r="J126" s="1600">
        <f>SUMIF('920'!$C$21:$C$100,B126,'920'!$I$21:$I$100)</f>
        <v>163907.37</v>
      </c>
      <c r="K126" s="1602">
        <f>IF('ketv. 5 '!U162&gt;0,'ketv. 7 '!AL161,'ketv. 6 '!AF162)</f>
        <v>163907.37</v>
      </c>
      <c r="L126" s="1604">
        <f t="shared" si="8"/>
        <v>0</v>
      </c>
      <c r="M126" s="1600">
        <f>SUMIF('920'!$C$7:$C$100,B126,'920'!$J$7:$J$100)</f>
        <v>0</v>
      </c>
      <c r="N126" s="1602">
        <f>IF('ketv. 5 '!U162&gt;0,'ketv. 7 '!W161,'ketv. 6 '!T162)</f>
        <v>0</v>
      </c>
      <c r="O126" s="1604" t="str">
        <f t="shared" si="9"/>
        <v>–</v>
      </c>
      <c r="P126" s="1600">
        <f>SUMIF('920'!$C$7:$C$100,B126,'920'!$N$7:$N$100)</f>
        <v>28924.84</v>
      </c>
      <c r="Q126" s="1602">
        <f>IF('ketv. 5 '!U162&gt;0,'ketv. 7 '!R161,'ketv. 6 '!P162)</f>
        <v>28924.84</v>
      </c>
      <c r="R126" s="1604">
        <f t="shared" si="10"/>
        <v>0</v>
      </c>
      <c r="S126" s="1600">
        <f>SUMIF('920'!$C$7:$C$100,B126,'920'!$R$7:$R$100)</f>
        <v>0</v>
      </c>
      <c r="T126" s="1602">
        <f>IF('ketv. 5 '!U162&gt;0,'ketv. 7 '!AB161,'ketv. 6 '!X162)</f>
        <v>0</v>
      </c>
      <c r="U126" s="1604" t="str">
        <f t="shared" si="11"/>
        <v>–</v>
      </c>
      <c r="V126" s="1600">
        <f>SUMIF('920'!$C$7:$C$100,B126,'920'!$P$7:$P$100)</f>
        <v>0</v>
      </c>
      <c r="W126" s="1602">
        <f>IF('ketv. 5 '!U162&gt;0,'ketv. 7 '!AG161,'ketv. 6 '!AB162)</f>
        <v>0</v>
      </c>
      <c r="X126" s="1604" t="str">
        <f t="shared" si="12"/>
        <v>–</v>
      </c>
      <c r="Y126" s="1605" t="str">
        <f>IF('ketv. 5 '!U162&gt;0,"baigtas","–")</f>
        <v>–</v>
      </c>
    </row>
    <row r="127" spans="1:25" ht="48.75" thickBot="1">
      <c r="A127" s="376">
        <f t="shared" si="13"/>
        <v>126</v>
      </c>
      <c r="B127" s="376" t="str">
        <f>CONCATENATE('ES lėšos'!B126)</f>
        <v>Lazdijų rajono savivaldybės administracijos ir jos viešojo valdymo institucijų teikiamų paslaugų procesų tobulinimas</v>
      </c>
      <c r="C127" s="376" t="str">
        <f>CONCATENATE('ES lėšos'!C126)</f>
        <v>10.1.3-ESFA-R-920</v>
      </c>
      <c r="D127" s="376" t="str">
        <f>CONCATENATE('ES lėšos'!D126)</f>
        <v>Lazdijų rajono savivaldybės administracija</v>
      </c>
      <c r="E127" s="376" t="str">
        <f>CONCATENATE('ES lėšos'!E126)</f>
        <v>Lazdijų r. sav.</v>
      </c>
      <c r="F127" s="376" t="str">
        <f>CONCATENATE('ES lėšos'!F126)</f>
        <v>-</v>
      </c>
      <c r="G127" s="1600">
        <f>SUMIF('920'!$C$21:$C$100,B127,'920'!$G$21:$G$100)</f>
        <v>163986.88</v>
      </c>
      <c r="H127" s="1602">
        <f>IF('ketv. 5 '!U163&gt;0,'ketv. 7 '!L162,'ketv. 6 '!L163)</f>
        <v>163986.88</v>
      </c>
      <c r="I127" s="1604">
        <f t="shared" si="7"/>
        <v>0</v>
      </c>
      <c r="J127" s="1600">
        <f>SUMIF('920'!$C$21:$C$100,B127,'920'!$I$21:$I$100)</f>
        <v>139388</v>
      </c>
      <c r="K127" s="1602">
        <f>IF('ketv. 5 '!U163&gt;0,'ketv. 7 '!AL162,'ketv. 6 '!AF163)</f>
        <v>139388</v>
      </c>
      <c r="L127" s="1604">
        <f t="shared" si="8"/>
        <v>0</v>
      </c>
      <c r="M127" s="1600">
        <f>SUMIF('920'!$C$7:$C$100,B127,'920'!$J$7:$J$100)</f>
        <v>0</v>
      </c>
      <c r="N127" s="1602">
        <f>IF('ketv. 5 '!U163&gt;0,'ketv. 7 '!W162,'ketv. 6 '!T163)</f>
        <v>0</v>
      </c>
      <c r="O127" s="1604" t="str">
        <f t="shared" si="9"/>
        <v>–</v>
      </c>
      <c r="P127" s="1600">
        <f>SUMIF('920'!$C$7:$C$100,B127,'920'!$N$7:$N$100)</f>
        <v>24598.880000000001</v>
      </c>
      <c r="Q127" s="1602">
        <f>IF('ketv. 5 '!U163&gt;0,'ketv. 7 '!R162,'ketv. 6 '!P163)</f>
        <v>24598.880000000001</v>
      </c>
      <c r="R127" s="1604">
        <f t="shared" si="10"/>
        <v>0</v>
      </c>
      <c r="S127" s="1600">
        <f>SUMIF('920'!$C$7:$C$100,B127,'920'!$R$7:$R$100)</f>
        <v>0</v>
      </c>
      <c r="T127" s="1602">
        <f>IF('ketv. 5 '!U163&gt;0,'ketv. 7 '!AB162,'ketv. 6 '!X163)</f>
        <v>0</v>
      </c>
      <c r="U127" s="1604" t="str">
        <f t="shared" si="11"/>
        <v>–</v>
      </c>
      <c r="V127" s="1600">
        <f>SUMIF('920'!$C$7:$C$100,B127,'920'!$P$7:$P$100)</f>
        <v>0</v>
      </c>
      <c r="W127" s="1602">
        <f>IF('ketv. 5 '!U163&gt;0,'ketv. 7 '!AG162,'ketv. 6 '!AB163)</f>
        <v>0</v>
      </c>
      <c r="X127" s="1604" t="str">
        <f t="shared" si="12"/>
        <v>–</v>
      </c>
      <c r="Y127" s="1605" t="str">
        <f>IF('ketv. 5 '!U163&gt;0,"baigtas","–")</f>
        <v>–</v>
      </c>
    </row>
    <row r="128" spans="1:25" ht="84.75" thickBot="1">
      <c r="A128" s="376">
        <f t="shared" si="13"/>
        <v>127</v>
      </c>
      <c r="B128" s="376" t="str">
        <f>CONCATENATE('ES lėšos'!B127)</f>
        <v>Teikiamų paslaugų procesų tobulinimas ir asmenų aptarnavimo kokybės gerinimas Alytaus m. sav. administracijoje ir jai pavaldžiose įstaigose. I etapas</v>
      </c>
      <c r="C128" s="376" t="str">
        <f>CONCATENATE('ES lėšos'!C127)</f>
        <v>10.1.3-ESFA-R-920</v>
      </c>
      <c r="D128" s="376" t="str">
        <f>CONCATENATE('ES lėšos'!D127)</f>
        <v>Alytaus miesto savivaldybės administracija</v>
      </c>
      <c r="E128" s="376" t="str">
        <f>CONCATENATE('ES lėšos'!E127)</f>
        <v>Alytaus m. sav.</v>
      </c>
      <c r="F128" s="376" t="str">
        <f>CONCATENATE('ES lėšos'!F127)</f>
        <v>-</v>
      </c>
      <c r="G128" s="1600">
        <f>SUMIF('920'!$C$21:$C$100,B128,'920'!$G$21:$G$100)</f>
        <v>215693.16</v>
      </c>
      <c r="H128" s="1602">
        <f>IF('ketv. 5 '!U164&gt;0,'ketv. 7 '!L163,'ketv. 6 '!L164)</f>
        <v>215693.16</v>
      </c>
      <c r="I128" s="1604">
        <f t="shared" si="7"/>
        <v>0</v>
      </c>
      <c r="J128" s="1600">
        <f>SUMIF('920'!$C$21:$C$100,B128,'920'!$I$21:$I$100)</f>
        <v>183339.18</v>
      </c>
      <c r="K128" s="1602">
        <f>IF('ketv. 5 '!U164&gt;0,'ketv. 7 '!AL163,'ketv. 6 '!AF164)</f>
        <v>183339.18</v>
      </c>
      <c r="L128" s="1604">
        <f t="shared" si="8"/>
        <v>0</v>
      </c>
      <c r="M128" s="1600">
        <f>SUMIF('920'!$C$7:$C$100,B128,'920'!$J$7:$J$100)</f>
        <v>0</v>
      </c>
      <c r="N128" s="1602">
        <f>IF('ketv. 5 '!U164&gt;0,'ketv. 7 '!W163,'ketv. 6 '!T164)</f>
        <v>0</v>
      </c>
      <c r="O128" s="1604" t="str">
        <f t="shared" si="9"/>
        <v>–</v>
      </c>
      <c r="P128" s="1600">
        <f>SUMIF('920'!$C$7:$C$100,B128,'920'!$N$7:$N$100)</f>
        <v>32353.98</v>
      </c>
      <c r="Q128" s="1602">
        <f>IF('ketv. 5 '!U164&gt;0,'ketv. 7 '!R163,'ketv. 6 '!P164)</f>
        <v>32353.98</v>
      </c>
      <c r="R128" s="1604">
        <f t="shared" si="10"/>
        <v>0</v>
      </c>
      <c r="S128" s="1600">
        <f>SUMIF('920'!$C$7:$C$100,B128,'920'!$R$7:$R$100)</f>
        <v>0</v>
      </c>
      <c r="T128" s="1602">
        <f>IF('ketv. 5 '!U164&gt;0,'ketv. 7 '!AB163,'ketv. 6 '!X164)</f>
        <v>0</v>
      </c>
      <c r="U128" s="1604" t="str">
        <f t="shared" si="11"/>
        <v>–</v>
      </c>
      <c r="V128" s="1600">
        <f>SUMIF('920'!$C$7:$C$100,B128,'920'!$P$7:$P$100)</f>
        <v>0</v>
      </c>
      <c r="W128" s="1602">
        <f>IF('ketv. 5 '!U164&gt;0,'ketv. 7 '!AG163,'ketv. 6 '!AB164)</f>
        <v>0</v>
      </c>
      <c r="X128" s="1604" t="str">
        <f t="shared" si="12"/>
        <v>–</v>
      </c>
      <c r="Y128" s="1605" t="str">
        <f>IF('ketv. 5 '!U164&gt;0,"baigtas","–")</f>
        <v>–</v>
      </c>
    </row>
    <row r="129" spans="1:25" ht="48.75" thickBot="1">
      <c r="A129" s="376">
        <f t="shared" si="13"/>
        <v>128</v>
      </c>
      <c r="B129" s="376" t="str">
        <f>CONCATENATE('ES lėšos'!B128)</f>
        <v>Paslaugų teikimo ir asmenų aptarnavimo kokybės gerinimas Druskininkų savivaldybėje</v>
      </c>
      <c r="C129" s="376" t="str">
        <f>CONCATENATE('ES lėšos'!C128)</f>
        <v>10.1.3-ESFA-R-920</v>
      </c>
      <c r="D129" s="376" t="str">
        <f>CONCATENATE('ES lėšos'!D128)</f>
        <v>Druskininkų savivaldybės administracija</v>
      </c>
      <c r="E129" s="376" t="str">
        <f>CONCATENATE('ES lėšos'!E128)</f>
        <v>Druskininkų sav.</v>
      </c>
      <c r="F129" s="376" t="str">
        <f>CONCATENATE('ES lėšos'!F128)</f>
        <v>-</v>
      </c>
      <c r="G129" s="1600">
        <f>SUMIF('920'!$C$21:$C$100,B129,'920'!$G$21:$G$100)</f>
        <v>161741.96</v>
      </c>
      <c r="H129" s="1602">
        <f>IF('ketv. 5 '!U165&gt;0,'ketv. 7 '!L164,'ketv. 6 '!L165)</f>
        <v>161741.96</v>
      </c>
      <c r="I129" s="1604">
        <f t="shared" si="7"/>
        <v>0</v>
      </c>
      <c r="J129" s="1600">
        <f>SUMIF('920'!$C$21:$C$100,B129,'920'!$I$21:$I$100)</f>
        <v>137349.79999999999</v>
      </c>
      <c r="K129" s="1602">
        <f>IF('ketv. 5 '!U165&gt;0,'ketv. 7 '!AL164,'ketv. 6 '!AF165)</f>
        <v>137349.79999999999</v>
      </c>
      <c r="L129" s="1604">
        <f t="shared" si="8"/>
        <v>0</v>
      </c>
      <c r="M129" s="1600">
        <f>SUMIF('920'!$C$7:$C$100,B129,'920'!$J$7:$J$100)</f>
        <v>0</v>
      </c>
      <c r="N129" s="1602">
        <f>IF('ketv. 5 '!U165&gt;0,'ketv. 7 '!W164,'ketv. 6 '!T165)</f>
        <v>0</v>
      </c>
      <c r="O129" s="1604" t="str">
        <f t="shared" si="9"/>
        <v>–</v>
      </c>
      <c r="P129" s="1600">
        <f>SUMIF('920'!$C$7:$C$100,B129,'920'!$N$7:$N$100)</f>
        <v>24392.16</v>
      </c>
      <c r="Q129" s="1602">
        <f>IF('ketv. 5 '!U165&gt;0,'ketv. 7 '!R164,'ketv. 6 '!P165)</f>
        <v>24392.16</v>
      </c>
      <c r="R129" s="1604">
        <f t="shared" si="10"/>
        <v>0</v>
      </c>
      <c r="S129" s="1600">
        <f>SUMIF('920'!$C$7:$C$100,B129,'920'!$R$7:$R$100)</f>
        <v>0</v>
      </c>
      <c r="T129" s="1602">
        <f>IF('ketv. 5 '!U165&gt;0,'ketv. 7 '!AB164,'ketv. 6 '!X165)</f>
        <v>0</v>
      </c>
      <c r="U129" s="1604" t="str">
        <f t="shared" si="11"/>
        <v>–</v>
      </c>
      <c r="V129" s="1600">
        <f>SUMIF('920'!$C$7:$C$100,B129,'920'!$P$7:$P$100)</f>
        <v>0</v>
      </c>
      <c r="W129" s="1602">
        <f>IF('ketv. 5 '!U165&gt;0,'ketv. 7 '!AG164,'ketv. 6 '!AB165)</f>
        <v>0</v>
      </c>
      <c r="X129" s="1604" t="str">
        <f t="shared" si="12"/>
        <v>–</v>
      </c>
      <c r="Y129" s="1605" t="str">
        <f>IF('ketv. 5 '!U165&gt;0,"baigtas","–")</f>
        <v>–</v>
      </c>
    </row>
    <row r="130" spans="1:25" ht="84.75" thickBot="1">
      <c r="A130" s="376">
        <f t="shared" si="13"/>
        <v>129</v>
      </c>
      <c r="B130" s="376" t="str">
        <f>CONCATENATE('ES lėšos'!B129)</f>
        <v>Teikiamų paslaugų procesų tobulinimas ir asmenų aptarnavimo kokybės gerinimas Alytaus m. sav. administracijoje ir jai pavaldžiose įstaigose. II etapas</v>
      </c>
      <c r="C130" s="376" t="str">
        <f>CONCATENATE('ES lėšos'!C129)</f>
        <v>10.1.3-ESFA-R-920</v>
      </c>
      <c r="D130" s="376" t="str">
        <f>CONCATENATE('ES lėšos'!D129)</f>
        <v>Alytaus miesto savivaldybės administracija</v>
      </c>
      <c r="E130" s="376" t="str">
        <f>CONCATENATE('ES lėšos'!E129)</f>
        <v>Alytaus m. sav.</v>
      </c>
      <c r="F130" s="376" t="str">
        <f>CONCATENATE('ES lėšos'!F129)</f>
        <v>-</v>
      </c>
      <c r="G130" s="1600">
        <f>SUMIF('920'!$C$21:$C$100,B130,'920'!$G$21:$G$100)</f>
        <v>0</v>
      </c>
      <c r="H130" s="1602">
        <f>IF('ketv. 5 '!U166&gt;0,'ketv. 7 '!L165,'ketv. 6 '!L166)</f>
        <v>0</v>
      </c>
      <c r="I130" s="1604" t="str">
        <f t="shared" si="7"/>
        <v>–</v>
      </c>
      <c r="J130" s="1600">
        <f>SUMIF('920'!$C$21:$C$100,B130,'920'!$I$21:$I$100)</f>
        <v>0</v>
      </c>
      <c r="K130" s="1602">
        <f>IF('ketv. 5 '!U166&gt;0,'ketv. 7 '!AL165,'ketv. 6 '!AF166)</f>
        <v>0</v>
      </c>
      <c r="L130" s="1604" t="str">
        <f t="shared" si="8"/>
        <v>–</v>
      </c>
      <c r="M130" s="1600">
        <f>SUMIF('920'!$C$7:$C$100,B130,'920'!$J$7:$J$100)</f>
        <v>0</v>
      </c>
      <c r="N130" s="1602">
        <f>IF('ketv. 5 '!U166&gt;0,'ketv. 7 '!W165,'ketv. 6 '!T166)</f>
        <v>0</v>
      </c>
      <c r="O130" s="1604" t="str">
        <f t="shared" si="9"/>
        <v>–</v>
      </c>
      <c r="P130" s="1600">
        <f>SUMIF('920'!$C$7:$C$100,B130,'920'!$N$7:$N$100)</f>
        <v>0</v>
      </c>
      <c r="Q130" s="1602">
        <f>IF('ketv. 5 '!U166&gt;0,'ketv. 7 '!R165,'ketv. 6 '!P166)</f>
        <v>0</v>
      </c>
      <c r="R130" s="1604" t="str">
        <f t="shared" si="10"/>
        <v>–</v>
      </c>
      <c r="S130" s="1600">
        <f>SUMIF('920'!$C$7:$C$100,B130,'920'!$R$7:$R$100)</f>
        <v>0</v>
      </c>
      <c r="T130" s="1602">
        <f>IF('ketv. 5 '!U166&gt;0,'ketv. 7 '!AB165,'ketv. 6 '!X166)</f>
        <v>0</v>
      </c>
      <c r="U130" s="1604" t="str">
        <f t="shared" si="11"/>
        <v>–</v>
      </c>
      <c r="V130" s="1600">
        <f>SUMIF('920'!$C$7:$C$100,B130,'920'!$P$7:$P$100)</f>
        <v>0</v>
      </c>
      <c r="W130" s="1602">
        <f>IF('ketv. 5 '!U166&gt;0,'ketv. 7 '!AG165,'ketv. 6 '!AB166)</f>
        <v>0</v>
      </c>
      <c r="X130" s="1604" t="str">
        <f t="shared" si="12"/>
        <v>–</v>
      </c>
      <c r="Y130" s="1605" t="str">
        <f>IF('ketv. 5 '!U166&gt;0,"baigtas","–")</f>
        <v>–</v>
      </c>
    </row>
    <row r="131" spans="1:25" ht="36.75" thickBot="1">
      <c r="A131" s="376">
        <f t="shared" si="13"/>
        <v>130</v>
      </c>
      <c r="B131" s="376" t="str">
        <f>CONCATENATE('ES lėšos'!B130)</f>
        <v>Komunalinių atliekų tvarkymo infrastruktūros plėtra Alytaus regione</v>
      </c>
      <c r="C131" s="376" t="str">
        <f>CONCATENATE('ES lėšos'!C130)</f>
        <v>05.2.1-APVA-R-008</v>
      </c>
      <c r="D131" s="376" t="str">
        <f>CONCATENATE('ES lėšos'!D130)</f>
        <v>Alytaus regiono atliekų tvarkymo centras</v>
      </c>
      <c r="E131" s="376" t="str">
        <f>CONCATENATE('ES lėšos'!E130)</f>
        <v>Alytaus regionas</v>
      </c>
      <c r="F131" s="376" t="str">
        <f>CONCATENATE('ES lėšos'!F130)</f>
        <v>-</v>
      </c>
      <c r="G131" s="1600">
        <f>SUMIF('008'!$D$18:$D$30,B131,'008'!$E$18:$E$30)</f>
        <v>4325492</v>
      </c>
      <c r="H131" s="1602">
        <f>IF('ketv. 5 '!U170&gt;0,'ketv. 7 '!L169,'ketv. 6 '!L170)</f>
        <v>4130687.05</v>
      </c>
      <c r="I131" s="1604">
        <f t="shared" si="7"/>
        <v>194804.95000000019</v>
      </c>
      <c r="J131" s="1600">
        <f>SUMIF('008'!$D$18:$D$30,B131,'008'!$F$18:$F$30)</f>
        <v>3352807.77</v>
      </c>
      <c r="K131" s="1602">
        <f>IF('ketv. 5 '!U170&gt;0,'ketv. 7 '!AL169,'ketv. 6 '!AF170)</f>
        <v>3352807.77</v>
      </c>
      <c r="L131" s="1604">
        <f t="shared" si="8"/>
        <v>0</v>
      </c>
      <c r="M131" s="1600">
        <f>SUMIF('008'!$D$18:$D$30,$B$131,'008'!$G$18:$G$30)</f>
        <v>0</v>
      </c>
      <c r="N131" s="1602">
        <f>IF('ketv. 5 '!U170&gt;0,'ketv. 7 '!W169,'ketv. 6 '!T170)</f>
        <v>0</v>
      </c>
      <c r="O131" s="1604" t="str">
        <f t="shared" si="9"/>
        <v>–</v>
      </c>
      <c r="P131" s="1600">
        <f>SUMIF('008'!$D$18:$D$30,$B$131,'008'!$I$18:$I$30)</f>
        <v>0</v>
      </c>
      <c r="Q131" s="1602">
        <f>IF('ketv. 5 '!U170&gt;0,'ketv. 7 '!R169,'ketv. 6 '!P170)</f>
        <v>0</v>
      </c>
      <c r="R131" s="1604" t="str">
        <f t="shared" si="10"/>
        <v>–</v>
      </c>
      <c r="S131" s="1600">
        <f>SUMIF('008'!$D$18:$D$30,$B$131,'008'!$K$18:$K$30)</f>
        <v>972684.23</v>
      </c>
      <c r="T131" s="1602">
        <f>IF('ketv. 5 '!U170&gt;0,'ketv. 7 '!AB169,'ketv. 6 '!X170)</f>
        <v>777879.28</v>
      </c>
      <c r="U131" s="1604">
        <f t="shared" si="11"/>
        <v>194804.94999999995</v>
      </c>
      <c r="V131" s="1600">
        <f>SUMIF('008'!$D$18:$D$30,$B$131,'008'!$J$18:$J$30)</f>
        <v>0</v>
      </c>
      <c r="W131" s="1602">
        <f>IF('ketv. 5 '!U170&gt;0,'ketv. 7 '!AG169,'ketv. 6 '!AB170)</f>
        <v>0</v>
      </c>
      <c r="X131" s="1604" t="str">
        <f t="shared" si="12"/>
        <v>–</v>
      </c>
      <c r="Y131" s="1605" t="str">
        <f>IF('ketv. 5 '!U170&gt;0,"baigtas","–")</f>
        <v>–</v>
      </c>
    </row>
    <row r="132" spans="1:25" ht="36.75" thickBot="1">
      <c r="A132" s="376">
        <f t="shared" si="13"/>
        <v>131</v>
      </c>
      <c r="B132" s="376" t="str">
        <f>CONCATENATE('ES lėšos'!B131)</f>
        <v>Kraštovaizdžio formavimas ir tvarkymas Varėnos r. savivaldybėje (I etapas)</v>
      </c>
      <c r="C132" s="376" t="str">
        <f>CONCATENATE('ES lėšos'!C131)</f>
        <v>05.5.1-APVA-R-019</v>
      </c>
      <c r="D132" s="376" t="str">
        <f>CONCATENATE('ES lėšos'!D131)</f>
        <v>Varėnos rajono savivaldybės administracija</v>
      </c>
      <c r="E132" s="376" t="str">
        <f>CONCATENATE('ES lėšos'!E131)</f>
        <v>Varėnos r. sav.</v>
      </c>
      <c r="F132" s="376" t="str">
        <f>CONCATENATE('ES lėšos'!F131)</f>
        <v>-</v>
      </c>
      <c r="G132" s="1600">
        <f>SUMIF('019'!$C$21:$C$100,B132,'019'!$G$21:$G$100)</f>
        <v>296679.24</v>
      </c>
      <c r="H132" s="1602">
        <f>IF('ketv. 5 '!U173&gt;0,'ketv. 7 '!L172,'ketv. 6 '!L173)</f>
        <v>296679.24</v>
      </c>
      <c r="I132" s="1604">
        <f t="shared" ref="I132:I140" si="14">IF(H132&gt;0,G132-H132,"–")</f>
        <v>0</v>
      </c>
      <c r="J132" s="1600">
        <f>SUMIF('019'!$C$21:$C$100,B132,'019'!$I$21:$I$100)</f>
        <v>252177.35</v>
      </c>
      <c r="K132" s="1602">
        <f>IF('ketv. 5 '!U173&gt;0,'ketv. 7 '!AL171,'ketv. 6 '!AF173)</f>
        <v>252177.35</v>
      </c>
      <c r="L132" s="1604">
        <f t="shared" ref="L132:L140" si="15">IF(K132&gt;0,J132-K132,"–")</f>
        <v>0</v>
      </c>
      <c r="M132" s="1600">
        <f>SUMIF('019'!$C$7:$C$100,B132,'019'!$J$7:$J$100)</f>
        <v>0</v>
      </c>
      <c r="N132" s="1602">
        <f>IF('ketv. 5 '!U173&gt;0,'ketv. 7 '!W172,'ketv. 6 '!T173)</f>
        <v>0</v>
      </c>
      <c r="O132" s="1604" t="str">
        <f t="shared" ref="O132:O140" si="16">IF(N132&gt;0,M132-N132,"–")</f>
        <v>–</v>
      </c>
      <c r="P132" s="1600">
        <f>SUMIF('019'!$C$7:$C$100,B132,'019'!$N$7:$N$100)</f>
        <v>44501.89</v>
      </c>
      <c r="Q132" s="1602">
        <f>IF('ketv. 5 '!U173&gt;0,'ketv. 7 '!R172,'ketv. 6 '!P173)</f>
        <v>44501.89</v>
      </c>
      <c r="R132" s="1604">
        <f t="shared" ref="R132:R140" si="17">IF(Q132&gt;0,P132-Q132,"–")</f>
        <v>0</v>
      </c>
      <c r="S132" s="1600">
        <f>SUMIF('019'!$C$7:$C$100,B132,'019'!$R$7:$R$100)</f>
        <v>0</v>
      </c>
      <c r="T132" s="1602">
        <f>IF('ketv. 5 '!U173&gt;0,'ketv. 7 '!AB172,'ketv. 6 '!X173)</f>
        <v>0</v>
      </c>
      <c r="U132" s="1604" t="str">
        <f t="shared" ref="U132:U140" si="18">IF(T132&gt;0,S132-T132,"–")</f>
        <v>–</v>
      </c>
      <c r="V132" s="1600">
        <f>SUMIF('019'!$C$7:$C$100,B132,'019'!$P$7:$P$100)</f>
        <v>0</v>
      </c>
      <c r="W132" s="1602">
        <f>IF('ketv. 5 '!U173&gt;0,'ketv. 7 '!AG172,'ketv. 6 '!AB173)</f>
        <v>0</v>
      </c>
      <c r="X132" s="1604" t="str">
        <f t="shared" ref="X132:X140" si="19">IF(W132&gt;0,V132-W132,"–")</f>
        <v>–</v>
      </c>
      <c r="Y132" s="1605" t="str">
        <f>IF('ketv. 5 '!U173&gt;0,"baigtas","–")</f>
        <v>–</v>
      </c>
    </row>
    <row r="133" spans="1:25" ht="36.75" thickBot="1">
      <c r="A133" s="376">
        <f t="shared" ref="A133:A140" si="20">ROW(A132)</f>
        <v>132</v>
      </c>
      <c r="B133" s="376" t="str">
        <f>CONCATENATE('ES lėšos'!B132)</f>
        <v>Kraštovaizdžio formavimas ir tvarkymas Varėnos r. savivaldybėje (II etapas)</v>
      </c>
      <c r="C133" s="376" t="str">
        <f>CONCATENATE('ES lėšos'!C132)</f>
        <v>05.5.1-APVA-R-019</v>
      </c>
      <c r="D133" s="376" t="str">
        <f>CONCATENATE('ES lėšos'!D132)</f>
        <v>Varėnos rajono savivaldybės administracija</v>
      </c>
      <c r="E133" s="376" t="str">
        <f>CONCATENATE('ES lėšos'!E132)</f>
        <v>Varėnos r. sav.</v>
      </c>
      <c r="F133" s="376" t="str">
        <f>CONCATENATE('ES lėšos'!F132)</f>
        <v>-</v>
      </c>
      <c r="G133" s="1600">
        <f>SUMIF('019'!$C$21:$C$100,B133,'019'!$G$21:$G$100)</f>
        <v>554211</v>
      </c>
      <c r="H133" s="1602">
        <f>IF('ketv. 5 '!U174&gt;0,'ketv. 7 '!L173,'ketv. 6 '!L174)</f>
        <v>0</v>
      </c>
      <c r="I133" s="1604" t="str">
        <f t="shared" si="14"/>
        <v>–</v>
      </c>
      <c r="J133" s="1600">
        <f>SUMIF('019'!$C$21:$C$100,B133,'019'!$I$21:$I$100)</f>
        <v>471079</v>
      </c>
      <c r="K133" s="1602">
        <f>IF('ketv. 5 '!U174&gt;0,'ketv. 7 '!AL172,'ketv. 6 '!AF174)</f>
        <v>0</v>
      </c>
      <c r="L133" s="1604" t="str">
        <f t="shared" si="15"/>
        <v>–</v>
      </c>
      <c r="M133" s="1600">
        <f>SUMIF('019'!$C$7:$C$100,B133,'019'!$J$7:$J$100)</f>
        <v>0</v>
      </c>
      <c r="N133" s="1602">
        <f>IF('ketv. 5 '!U174&gt;0,'ketv. 7 '!W173,'ketv. 6 '!T174)</f>
        <v>0</v>
      </c>
      <c r="O133" s="1604" t="str">
        <f t="shared" si="16"/>
        <v>–</v>
      </c>
      <c r="P133" s="1600">
        <f>SUMIF('019'!$C$7:$C$100,B133,'019'!$N$7:$N$100)</f>
        <v>83132</v>
      </c>
      <c r="Q133" s="1602">
        <f>IF('ketv. 5 '!U174&gt;0,'ketv. 7 '!R173,'ketv. 6 '!P174)</f>
        <v>0</v>
      </c>
      <c r="R133" s="1604" t="str">
        <f t="shared" si="17"/>
        <v>–</v>
      </c>
      <c r="S133" s="1600">
        <f>SUMIF('019'!$C$7:$C$100,B133,'019'!$R$7:$R$100)</f>
        <v>0</v>
      </c>
      <c r="T133" s="1602">
        <f>IF('ketv. 5 '!U174&gt;0,'ketv. 7 '!AB173,'ketv. 6 '!X174)</f>
        <v>0</v>
      </c>
      <c r="U133" s="1604" t="str">
        <f t="shared" si="18"/>
        <v>–</v>
      </c>
      <c r="V133" s="1600">
        <f>SUMIF('019'!$C$7:$C$100,B133,'019'!$P$7:$P$100)</f>
        <v>0</v>
      </c>
      <c r="W133" s="1602">
        <f>IF('ketv. 5 '!U174&gt;0,'ketv. 7 '!AG173,'ketv. 6 '!AB174)</f>
        <v>0</v>
      </c>
      <c r="X133" s="1604" t="str">
        <f t="shared" si="19"/>
        <v>–</v>
      </c>
      <c r="Y133" s="1605" t="str">
        <f>IF('ketv. 5 '!U174&gt;0,"baigtas","–")</f>
        <v>–</v>
      </c>
    </row>
    <row r="134" spans="1:25" ht="36.75" thickBot="1">
      <c r="A134" s="376">
        <f t="shared" si="20"/>
        <v>133</v>
      </c>
      <c r="B134" s="376" t="str">
        <f>CONCATENATE('ES lėšos'!B133)</f>
        <v>Bešeimininkių apleistų pastatų ir įrenginių tvarkymas Alytaus rajono savivaldybėje</v>
      </c>
      <c r="C134" s="376" t="str">
        <f>CONCATENATE('ES lėšos'!C133)</f>
        <v>05.5.1-APVA-R-019</v>
      </c>
      <c r="D134" s="376" t="str">
        <f>CONCATENATE('ES lėšos'!D133)</f>
        <v>Alytaus rajono savivaldybės administracija</v>
      </c>
      <c r="E134" s="376" t="str">
        <f>CONCATENATE('ES lėšos'!E133)</f>
        <v>Alytaus r. sav.</v>
      </c>
      <c r="F134" s="376" t="str">
        <f>CONCATENATE('ES lėšos'!F133)</f>
        <v/>
      </c>
      <c r="G134" s="1600">
        <f>SUMIF('019'!$C$21:$C$100,B134,'019'!$G$21:$G$100)</f>
        <v>101765.7</v>
      </c>
      <c r="H134" s="1602">
        <f>IF('ketv. 5 '!U175&gt;0,'ketv. 7 '!L174,'ketv. 6 '!L175)</f>
        <v>101765.7</v>
      </c>
      <c r="I134" s="1604">
        <f t="shared" si="14"/>
        <v>0</v>
      </c>
      <c r="J134" s="1600">
        <f>SUMIF('019'!$C$21:$C$100,B134,'019'!$I$21:$I$100)</f>
        <v>86500.800000000003</v>
      </c>
      <c r="K134" s="1602">
        <f>IF('ketv. 5 '!U175&gt;0,'ketv. 7 '!AL173,'ketv. 6 '!AF175)</f>
        <v>0</v>
      </c>
      <c r="L134" s="1604" t="str">
        <f t="shared" si="15"/>
        <v>–</v>
      </c>
      <c r="M134" s="1600">
        <f>SUMIF('019'!$C$7:$C$100,B134,'019'!$J$7:$J$100)</f>
        <v>0</v>
      </c>
      <c r="N134" s="1602">
        <f>IF('ketv. 5 '!U175&gt;0,'ketv. 7 '!W174,'ketv. 6 '!T175)</f>
        <v>0</v>
      </c>
      <c r="O134" s="1604" t="str">
        <f t="shared" si="16"/>
        <v>–</v>
      </c>
      <c r="P134" s="1600">
        <f>SUMIF('019'!$C$7:$C$100,B134,'019'!$N$7:$N$100)</f>
        <v>15264.9</v>
      </c>
      <c r="Q134" s="1602">
        <f>IF('ketv. 5 '!U175&gt;0,'ketv. 7 '!R174,'ketv. 6 '!P175)</f>
        <v>15264.9</v>
      </c>
      <c r="R134" s="1604">
        <f t="shared" si="17"/>
        <v>0</v>
      </c>
      <c r="S134" s="1600">
        <f>SUMIF('019'!$C$7:$C$100,B134,'019'!$R$7:$R$100)</f>
        <v>0</v>
      </c>
      <c r="T134" s="1602">
        <f>IF('ketv. 5 '!U175&gt;0,'ketv. 7 '!AB174,'ketv. 6 '!X175)</f>
        <v>0</v>
      </c>
      <c r="U134" s="1604" t="str">
        <f t="shared" si="18"/>
        <v>–</v>
      </c>
      <c r="V134" s="1600">
        <f>SUMIF('019'!$C$7:$C$100,B134,'019'!$P$7:$P$100)</f>
        <v>0</v>
      </c>
      <c r="W134" s="1602">
        <f>IF('ketv. 5 '!U175&gt;0,'ketv. 7 '!AG174,'ketv. 6 '!AB175)</f>
        <v>0</v>
      </c>
      <c r="X134" s="1604" t="str">
        <f t="shared" si="19"/>
        <v>–</v>
      </c>
      <c r="Y134" s="1605" t="str">
        <f>IF('ketv. 5 '!U175&gt;0,"baigtas","–")</f>
        <v>baigtas</v>
      </c>
    </row>
    <row r="135" spans="1:25" ht="60.75" thickBot="1">
      <c r="A135" s="376">
        <f t="shared" si="20"/>
        <v>134</v>
      </c>
      <c r="B135" s="376" t="str">
        <f>CONCATENATE('ES lėšos'!B134)</f>
        <v>Alytaus miesto bendrojo plano korektūra zonuojant kraštovaizdžio struktūrą, nustatant reglamentus ir principus</v>
      </c>
      <c r="C135" s="376" t="str">
        <f>CONCATENATE('ES lėšos'!C134)</f>
        <v>05.5.1-APVA-R-019</v>
      </c>
      <c r="D135" s="376" t="str">
        <f>CONCATENATE('ES lėšos'!D134)</f>
        <v>Alytaus miesto savivaldybės administracija</v>
      </c>
      <c r="E135" s="376" t="str">
        <f>CONCATENATE('ES lėšos'!E134)</f>
        <v>Alytaus m. sav.</v>
      </c>
      <c r="F135" s="376" t="str">
        <f>CONCATENATE('ES lėšos'!F134)</f>
        <v/>
      </c>
      <c r="G135" s="1600">
        <f>SUMIF('019'!$C$21:$C$100,B135,'019'!$G$21:$G$100)</f>
        <v>3993</v>
      </c>
      <c r="H135" s="1602">
        <f>IF('ketv. 5 '!U176&gt;0,'ketv. 7 '!L175,'ketv. 6 '!L176)</f>
        <v>3993</v>
      </c>
      <c r="I135" s="1604">
        <f t="shared" si="14"/>
        <v>0</v>
      </c>
      <c r="J135" s="1600">
        <f>SUMIF('019'!$C$21:$C$100,B135,'019'!$I$21:$I$100)</f>
        <v>3394.05</v>
      </c>
      <c r="K135" s="1602">
        <f>IF('ketv. 5 '!U176&gt;0,'ketv. 7 '!AL174,'ketv. 6 '!AF176)</f>
        <v>3394.05</v>
      </c>
      <c r="L135" s="1604">
        <f t="shared" si="15"/>
        <v>0</v>
      </c>
      <c r="M135" s="1600">
        <f>SUMIF('019'!$C$7:$C$100,B135,'019'!$J$7:$J$100)</f>
        <v>0</v>
      </c>
      <c r="N135" s="1602">
        <f>IF('ketv. 5 '!U176&gt;0,'ketv. 7 '!W175,'ketv. 6 '!T176)</f>
        <v>0</v>
      </c>
      <c r="O135" s="1604" t="str">
        <f t="shared" si="16"/>
        <v>–</v>
      </c>
      <c r="P135" s="1600">
        <f>SUMIF('019'!$C$7:$C$100,B135,'019'!$N$7:$N$100)</f>
        <v>598.95000000000005</v>
      </c>
      <c r="Q135" s="1602">
        <f>IF('ketv. 5 '!U176&gt;0,'ketv. 7 '!R175,'ketv. 6 '!P176)</f>
        <v>598.95000000000005</v>
      </c>
      <c r="R135" s="1604">
        <f t="shared" si="17"/>
        <v>0</v>
      </c>
      <c r="S135" s="1600">
        <f>SUMIF('019'!$C$7:$C$100,B135,'019'!$R$7:$R$100)</f>
        <v>0</v>
      </c>
      <c r="T135" s="1602">
        <f>IF('ketv. 5 '!U176&gt;0,'ketv. 7 '!AB175,'ketv. 6 '!X176)</f>
        <v>0</v>
      </c>
      <c r="U135" s="1604" t="str">
        <f t="shared" si="18"/>
        <v>–</v>
      </c>
      <c r="V135" s="1600">
        <f>SUMIF('019'!$C$7:$C$100,B135,'019'!$P$7:$P$100)</f>
        <v>0</v>
      </c>
      <c r="W135" s="1602">
        <f>IF('ketv. 5 '!U176&gt;0,'ketv. 7 '!AG175,'ketv. 6 '!AB176)</f>
        <v>0</v>
      </c>
      <c r="X135" s="1604" t="str">
        <f t="shared" si="19"/>
        <v>–</v>
      </c>
      <c r="Y135" s="1605" t="str">
        <f>IF('ketv. 5 '!U176&gt;0,"baigtas","–")</f>
        <v>–</v>
      </c>
    </row>
    <row r="136" spans="1:25" ht="48.75" thickBot="1">
      <c r="A136" s="376">
        <f t="shared" si="20"/>
        <v>135</v>
      </c>
      <c r="B136" s="376" t="str">
        <f>CONCATENATE('ES lėšos'!B135)</f>
        <v>Bešeimininkių apleistų pastatų Druskininkų savivaldybės teritorijoje likvidavimas</v>
      </c>
      <c r="C136" s="376" t="str">
        <f>CONCATENATE('ES lėšos'!C135)</f>
        <v>05.5.1-APVA-R-019</v>
      </c>
      <c r="D136" s="376" t="str">
        <f>CONCATENATE('ES lėšos'!D135)</f>
        <v>Druskininkų savivaldybės administracija</v>
      </c>
      <c r="E136" s="376" t="str">
        <f>CONCATENATE('ES lėšos'!E135)</f>
        <v>Druskininkų sav.</v>
      </c>
      <c r="F136" s="376" t="str">
        <f>CONCATENATE('ES lėšos'!F135)</f>
        <v>-</v>
      </c>
      <c r="G136" s="1600">
        <f>SUMIF('019'!$C$21:$C$100,B136,'019'!$G$21:$G$100)</f>
        <v>121153.53</v>
      </c>
      <c r="H136" s="1602">
        <f>IF('ketv. 5 '!U177&gt;0,'ketv. 7 '!L176,'ketv. 6 '!L177)</f>
        <v>121153.53</v>
      </c>
      <c r="I136" s="1604">
        <f t="shared" si="14"/>
        <v>0</v>
      </c>
      <c r="J136" s="1600">
        <f>SUMIF('019'!$C$21:$C$100,B136,'019'!$I$21:$I$100)</f>
        <v>102980.52</v>
      </c>
      <c r="K136" s="1602">
        <f>IF('ketv. 5 '!U177&gt;0,'ketv. 7 '!AL176,'ketv. 6 '!AF177)</f>
        <v>102980.52</v>
      </c>
      <c r="L136" s="1604">
        <f t="shared" si="15"/>
        <v>0</v>
      </c>
      <c r="M136" s="1600">
        <f>SUMIF('019'!$C$7:$C$100,B136,'019'!$J$7:$J$100)</f>
        <v>0</v>
      </c>
      <c r="N136" s="1602">
        <f>IF('ketv. 5 '!U177&gt;0,'ketv. 7 '!W176,'ketv. 6 '!T177)</f>
        <v>0</v>
      </c>
      <c r="O136" s="1604" t="str">
        <f t="shared" si="16"/>
        <v>–</v>
      </c>
      <c r="P136" s="1600">
        <f>SUMIF('019'!$C$7:$C$100,B136,'019'!$N$7:$N$100)</f>
        <v>18173.009999999998</v>
      </c>
      <c r="Q136" s="1602">
        <f>IF('ketv. 5 '!U177&gt;0,'ketv. 7 '!R176,'ketv. 6 '!P177)</f>
        <v>18173.009999999998</v>
      </c>
      <c r="R136" s="1604">
        <f t="shared" si="17"/>
        <v>0</v>
      </c>
      <c r="S136" s="1600">
        <f>SUMIF('019'!$C$7:$C$100,B136,'019'!$R$7:$R$100)</f>
        <v>0</v>
      </c>
      <c r="T136" s="1602">
        <f>IF('ketv. 5 '!U177&gt;0,'ketv. 7 '!AB176,'ketv. 6 '!X177)</f>
        <v>0</v>
      </c>
      <c r="U136" s="1604" t="str">
        <f t="shared" si="18"/>
        <v>–</v>
      </c>
      <c r="V136" s="1600">
        <f>SUMIF('019'!$C$7:$C$100,B136,'019'!$P$7:$P$100)</f>
        <v>0</v>
      </c>
      <c r="W136" s="1602">
        <f>IF('ketv. 5 '!U177&gt;0,'ketv. 7 '!AG176,'ketv. 6 '!AB177)</f>
        <v>0</v>
      </c>
      <c r="X136" s="1604" t="str">
        <f t="shared" si="19"/>
        <v>–</v>
      </c>
      <c r="Y136" s="1605" t="str">
        <f>IF('ketv. 5 '!U177&gt;0,"baigtas","–")</f>
        <v>baigtas</v>
      </c>
    </row>
    <row r="137" spans="1:25" ht="24.75" thickBot="1">
      <c r="A137" s="376">
        <f t="shared" si="20"/>
        <v>136</v>
      </c>
      <c r="B137" s="376" t="str">
        <f>CONCATENATE('ES lėšos'!B136)</f>
        <v>Kraštovaizdžio formavimas Lazdijų rajono savivaldybėje</v>
      </c>
      <c r="C137" s="376" t="str">
        <f>CONCATENATE('ES lėšos'!C136)</f>
        <v>05.5.1-APVA-R-019</v>
      </c>
      <c r="D137" s="376" t="str">
        <f>CONCATENATE('ES lėšos'!D136)</f>
        <v>Lazdijų rajono savivaldybės administracija</v>
      </c>
      <c r="E137" s="376" t="str">
        <f>CONCATENATE('ES lėšos'!E136)</f>
        <v>Lazdijų r. sav.</v>
      </c>
      <c r="F137" s="376" t="str">
        <f>CONCATENATE('ES lėšos'!F136)</f>
        <v>-</v>
      </c>
      <c r="G137" s="1600">
        <f>SUMIF('019'!$C$21:$C$100,B137,'019'!$G$21:$G$100)</f>
        <v>442298.59</v>
      </c>
      <c r="H137" s="1602">
        <f>IF('ketv. 5 '!U178&gt;0,'ketv. 7 '!L177,'ketv. 6 '!L178)</f>
        <v>442298.58999999997</v>
      </c>
      <c r="I137" s="1604">
        <f t="shared" si="14"/>
        <v>5.8207660913467407E-11</v>
      </c>
      <c r="J137" s="1600">
        <f>SUMIF('019'!$C$21:$C$100,B137,'019'!$I$21:$I$100)</f>
        <v>375953.81</v>
      </c>
      <c r="K137" s="1602">
        <f>IF('ketv. 5 '!U178&gt;0,'ketv. 7 '!AL177,'ketv. 6 '!AF178)</f>
        <v>375953.81</v>
      </c>
      <c r="L137" s="1604">
        <f t="shared" si="15"/>
        <v>0</v>
      </c>
      <c r="M137" s="1600">
        <f>SUMIF('019'!$C$7:$C$100,B137,'019'!$J$7:$J$100)</f>
        <v>0</v>
      </c>
      <c r="N137" s="1602">
        <f>IF('ketv. 5 '!U178&gt;0,'ketv. 7 '!W177,'ketv. 6 '!T178)</f>
        <v>0</v>
      </c>
      <c r="O137" s="1604" t="str">
        <f t="shared" si="16"/>
        <v>–</v>
      </c>
      <c r="P137" s="1600">
        <f>SUMIF('019'!$C$7:$C$100,B137,'019'!$N$7:$N$100)</f>
        <v>66344.78</v>
      </c>
      <c r="Q137" s="1602">
        <f>IF('ketv. 5 '!U178&gt;0,'ketv. 7 '!R177,'ketv. 6 '!P178)</f>
        <v>66344.78</v>
      </c>
      <c r="R137" s="1604">
        <f t="shared" si="17"/>
        <v>0</v>
      </c>
      <c r="S137" s="1600">
        <f>SUMIF('019'!$C$7:$C$100,B137,'019'!$R$7:$R$100)</f>
        <v>0</v>
      </c>
      <c r="T137" s="1602">
        <f>IF('ketv. 5 '!U178&gt;0,'ketv. 7 '!AB177,'ketv. 6 '!X178)</f>
        <v>0</v>
      </c>
      <c r="U137" s="1604" t="str">
        <f t="shared" si="18"/>
        <v>–</v>
      </c>
      <c r="V137" s="1600">
        <f>SUMIF('019'!$C$7:$C$100,B137,'019'!$P$7:$P$100)</f>
        <v>0</v>
      </c>
      <c r="W137" s="1602">
        <f>IF('ketv. 5 '!U178&gt;0,'ketv. 7 '!AG177,'ketv. 6 '!AB178)</f>
        <v>0</v>
      </c>
      <c r="X137" s="1604" t="str">
        <f t="shared" si="19"/>
        <v>–</v>
      </c>
      <c r="Y137" s="1605" t="str">
        <f>IF('ketv. 5 '!U178&gt;0,"baigtas","–")</f>
        <v>–</v>
      </c>
    </row>
    <row r="138" spans="1:25" ht="36.75" thickBot="1">
      <c r="A138" s="376">
        <f t="shared" si="20"/>
        <v>137</v>
      </c>
      <c r="B138" s="376" t="str">
        <f>CONCATENATE('ES lėšos'!B137)</f>
        <v>Kraštovaizdžio formavimas Lazdijų rajono savivaldybėje (II etapas)</v>
      </c>
      <c r="C138" s="376" t="str">
        <f>CONCATENATE('ES lėšos'!C137)</f>
        <v>05.5.1-APVA-R-019</v>
      </c>
      <c r="D138" s="376" t="str">
        <f>CONCATENATE('ES lėšos'!D137)</f>
        <v>Lazdijų rajono savivaldybės administracija</v>
      </c>
      <c r="E138" s="376" t="str">
        <f>CONCATENATE('ES lėšos'!E137)</f>
        <v>Lazdijų r. sav.</v>
      </c>
      <c r="F138" s="376" t="str">
        <f>CONCATENATE('ES lėšos'!F137)</f>
        <v>-</v>
      </c>
      <c r="G138" s="1600">
        <f>SUMIF('019'!$C$21:$C$100,B138,'019'!$G$21:$G$100)</f>
        <v>149792</v>
      </c>
      <c r="H138" s="1602">
        <f>IF('ketv. 5 '!U179&gt;0,'ketv. 7 '!L178,'ketv. 6 '!L179)</f>
        <v>0</v>
      </c>
      <c r="I138" s="1604" t="str">
        <f t="shared" si="14"/>
        <v>–</v>
      </c>
      <c r="J138" s="1600">
        <f>SUMIF('019'!$C$21:$C$100,B138,'019'!$I$21:$I$100)</f>
        <v>127323</v>
      </c>
      <c r="K138" s="1602">
        <f>IF('ketv. 5 '!U179&gt;0,'ketv. 7 '!AL178,'ketv. 6 '!AF179)</f>
        <v>0</v>
      </c>
      <c r="L138" s="1604" t="str">
        <f t="shared" si="15"/>
        <v>–</v>
      </c>
      <c r="M138" s="1600">
        <f>SUMIF('019'!$C$7:$C$100,B138,'019'!$J$7:$J$100)</f>
        <v>0</v>
      </c>
      <c r="N138" s="1602">
        <f>IF('ketv. 5 '!U179&gt;0,'ketv. 7 '!W178,'ketv. 6 '!T179)</f>
        <v>0</v>
      </c>
      <c r="O138" s="1604" t="str">
        <f t="shared" si="16"/>
        <v>–</v>
      </c>
      <c r="P138" s="1600">
        <f>SUMIF('019'!$C$7:$C$100,B138,'019'!$N$7:$N$100)</f>
        <v>22469</v>
      </c>
      <c r="Q138" s="1602">
        <f>IF('ketv. 5 '!U179&gt;0,'ketv. 7 '!R178,'ketv. 6 '!P179)</f>
        <v>0</v>
      </c>
      <c r="R138" s="1604" t="str">
        <f t="shared" si="17"/>
        <v>–</v>
      </c>
      <c r="S138" s="1600">
        <f>SUMIF('019'!$C$7:$C$100,B138,'019'!$R$7:$R$100)</f>
        <v>0</v>
      </c>
      <c r="T138" s="1602">
        <f>IF('ketv. 5 '!U179&gt;0,'ketv. 7 '!AB178,'ketv. 6 '!X179)</f>
        <v>0</v>
      </c>
      <c r="U138" s="1604" t="str">
        <f t="shared" si="18"/>
        <v>–</v>
      </c>
      <c r="V138" s="1600">
        <f>SUMIF('019'!$C$7:$C$100,B138,'019'!$P$7:$P$100)</f>
        <v>0</v>
      </c>
      <c r="W138" s="1602">
        <f>IF('ketv. 5 '!U179&gt;0,'ketv. 7 '!AG178,'ketv. 6 '!AB179)</f>
        <v>0</v>
      </c>
      <c r="X138" s="1604" t="str">
        <f t="shared" si="19"/>
        <v>–</v>
      </c>
      <c r="Y138" s="1605" t="str">
        <f>IF('ketv. 5 '!U179&gt;0,"baigtas","–")</f>
        <v>–</v>
      </c>
    </row>
    <row r="139" spans="1:25" ht="48.75" thickBot="1">
      <c r="A139" s="376">
        <f t="shared" si="20"/>
        <v>138</v>
      </c>
      <c r="B139" s="376" t="str">
        <f>CONCATENATE('ES lėšos'!B138)</f>
        <v>Bešeimininkių apleistų pastatų ir įrenginių tvarkymas Alytaus rajono savivaldybėje (II etapas)</v>
      </c>
      <c r="C139" s="376" t="str">
        <f>CONCATENATE('ES lėšos'!C138)</f>
        <v>05.5.1-APVA-R-019</v>
      </c>
      <c r="D139" s="376" t="str">
        <f>CONCATENATE('ES lėšos'!D138)</f>
        <v>Alytaus rajono savivaldybės administracija</v>
      </c>
      <c r="E139" s="376" t="str">
        <f>CONCATENATE('ES lėšos'!E138)</f>
        <v>Alytaus r. sav.</v>
      </c>
      <c r="F139" s="376" t="str">
        <f>CONCATENATE('ES lėšos'!F138)</f>
        <v>-</v>
      </c>
      <c r="G139" s="1600">
        <f>SUMIF('019'!$C$21:$C$100,B139,'019'!$G$21:$G$100)</f>
        <v>736538</v>
      </c>
      <c r="H139" s="1602">
        <f>IF('ketv. 5 '!U180&gt;0,'ketv. 7 '!L179,'ketv. 6 '!L180)</f>
        <v>277676</v>
      </c>
      <c r="I139" s="1604">
        <f t="shared" si="14"/>
        <v>458862</v>
      </c>
      <c r="J139" s="1600">
        <f>SUMIF('019'!$C$21:$C$100,B139,'019'!$I$21:$I$100)</f>
        <v>626057</v>
      </c>
      <c r="K139" s="1602">
        <f>IF('ketv. 5 '!U180&gt;0,'ketv. 7 '!AL179,'ketv. 6 '!AF180)</f>
        <v>236024.6</v>
      </c>
      <c r="L139" s="1604">
        <f t="shared" si="15"/>
        <v>390032.4</v>
      </c>
      <c r="M139" s="1600">
        <f>SUMIF('019'!$C$7:$C$100,B139,'019'!$J$7:$J$100)</f>
        <v>0</v>
      </c>
      <c r="N139" s="1602">
        <f>IF('ketv. 5 '!U180&gt;0,'ketv. 7 '!W179,'ketv. 6 '!T180)</f>
        <v>0</v>
      </c>
      <c r="O139" s="1604" t="str">
        <f t="shared" si="16"/>
        <v>–</v>
      </c>
      <c r="P139" s="1600">
        <f>SUMIF('019'!$C$7:$C$100,B139,'019'!$N$7:$N$100)</f>
        <v>110481</v>
      </c>
      <c r="Q139" s="1602">
        <f>IF('ketv. 5 '!U180&gt;0,'ketv. 7 '!R179,'ketv. 6 '!P180)</f>
        <v>41651.4</v>
      </c>
      <c r="R139" s="1604">
        <f t="shared" si="17"/>
        <v>68829.600000000006</v>
      </c>
      <c r="S139" s="1600">
        <f>SUMIF('019'!$C$7:$C$100,B139,'019'!$R$7:$R$100)</f>
        <v>0</v>
      </c>
      <c r="T139" s="1602">
        <f>IF('ketv. 5 '!U180&gt;0,'ketv. 7 '!AB179,'ketv. 6 '!X180)</f>
        <v>0</v>
      </c>
      <c r="U139" s="1604" t="str">
        <f t="shared" si="18"/>
        <v>–</v>
      </c>
      <c r="V139" s="1600">
        <f>SUMIF('019'!$C$7:$C$100,B139,'019'!$P$7:$P$100)</f>
        <v>0</v>
      </c>
      <c r="W139" s="1602">
        <f>IF('ketv. 5 '!U180&gt;0,'ketv. 7 '!AG179,'ketv. 6 '!AB180)</f>
        <v>0</v>
      </c>
      <c r="X139" s="1604" t="str">
        <f t="shared" si="19"/>
        <v>–</v>
      </c>
      <c r="Y139" s="1605" t="str">
        <f>IF('ketv. 5 '!U180&gt;0,"baigtas","–")</f>
        <v>–</v>
      </c>
    </row>
    <row r="140" spans="1:25" ht="36.75" thickBot="1">
      <c r="A140" s="376">
        <f t="shared" si="20"/>
        <v>139</v>
      </c>
      <c r="B140" s="376" t="str">
        <f>CONCATENATE('ES lėšos'!B139)</f>
        <v>Etaloninio kraštovaizdžio formavimas Druskininkų savivaldybės pasienyje</v>
      </c>
      <c r="C140" s="376" t="str">
        <f>CONCATENATE('ES lėšos'!C139)</f>
        <v>05.5.1-APVA-R-019</v>
      </c>
      <c r="D140" s="376" t="str">
        <f>CONCATENATE('ES lėšos'!D139)</f>
        <v>Druskininkų savivaldybės administracija</v>
      </c>
      <c r="E140" s="376" t="str">
        <f>CONCATENATE('ES lėšos'!E139)</f>
        <v>Druskininkų sav.</v>
      </c>
      <c r="F140" s="376" t="str">
        <f>CONCATENATE('ES lėšos'!F139)</f>
        <v>-</v>
      </c>
      <c r="G140" s="1600">
        <f>SUMIF('019'!$C$21:$C$100,B140,'019'!$G$21:$G$100)</f>
        <v>0</v>
      </c>
      <c r="H140" s="1602">
        <f>IF('ketv. 5 '!U181&gt;0,'ketv. 7 '!L180,'ketv. 6 '!L181)</f>
        <v>0</v>
      </c>
      <c r="I140" s="1604" t="str">
        <f t="shared" si="14"/>
        <v>–</v>
      </c>
      <c r="J140" s="1600">
        <f>SUMIF('019'!$C$21:$C$100,B140,'019'!$I$21:$I$100)</f>
        <v>0</v>
      </c>
      <c r="K140" s="1602">
        <f>IF('ketv. 5 '!U181&gt;0,'ketv. 7 '!AL180,'ketv. 6 '!AF181)</f>
        <v>0</v>
      </c>
      <c r="L140" s="1604" t="str">
        <f t="shared" si="15"/>
        <v>–</v>
      </c>
      <c r="M140" s="1600">
        <f>SUMIF('019'!$C$7:$C$100,B140,'019'!$J$7:$J$100)</f>
        <v>0</v>
      </c>
      <c r="N140" s="1602">
        <f>IF('ketv. 5 '!U181&gt;0,'ketv. 7 '!W180,'ketv. 6 '!T181)</f>
        <v>0</v>
      </c>
      <c r="O140" s="1604" t="str">
        <f t="shared" si="16"/>
        <v>–</v>
      </c>
      <c r="P140" s="1600">
        <f>SUMIF('019'!$C$7:$C$100,B140,'019'!$N$7:$N$100)</f>
        <v>0</v>
      </c>
      <c r="Q140" s="1602">
        <f>IF('ketv. 5 '!U181&gt;0,'ketv. 7 '!R180,'ketv. 6 '!P181)</f>
        <v>0</v>
      </c>
      <c r="R140" s="1604" t="str">
        <f t="shared" si="17"/>
        <v>–</v>
      </c>
      <c r="S140" s="1600">
        <f>SUMIF('019'!$C$7:$C$100,B140,'019'!$R$7:$R$100)</f>
        <v>0</v>
      </c>
      <c r="T140" s="1602">
        <f>IF('ketv. 5 '!U181&gt;0,'ketv. 7 '!AB180,'ketv. 6 '!X181)</f>
        <v>0</v>
      </c>
      <c r="U140" s="1604" t="str">
        <f t="shared" si="18"/>
        <v>–</v>
      </c>
      <c r="V140" s="1600">
        <f>SUMIF('019'!$C$7:$C$100,B140,'019'!$P$7:$P$100)</f>
        <v>0</v>
      </c>
      <c r="W140" s="1602">
        <f>IF('ketv. 5 '!U181&gt;0,'ketv. 7 '!AG180,'ketv. 6 '!AB181)</f>
        <v>0</v>
      </c>
      <c r="X140" s="1604" t="str">
        <f t="shared" si="19"/>
        <v>–</v>
      </c>
      <c r="Y140" s="1605" t="str">
        <f>IF('ketv. 5 '!U181&gt;0,"baigtas","–")</f>
        <v>–</v>
      </c>
    </row>
  </sheetData>
  <autoFilter ref="A1:Y140" xr:uid="{00000000-0009-0000-0000-000022000000}"/>
  <pageMargins left="0.25" right="0.25" top="0.75" bottom="0.75" header="0.3" footer="0.3"/>
  <pageSetup paperSize="8" scale="68" fitToHeight="0"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pageSetUpPr fitToPage="1"/>
  </sheetPr>
  <dimension ref="A1:X33"/>
  <sheetViews>
    <sheetView topLeftCell="C13" workbookViewId="0">
      <selection activeCell="K20" sqref="K20:M20"/>
    </sheetView>
  </sheetViews>
  <sheetFormatPr defaultRowHeight="15"/>
  <cols>
    <col min="2" max="3" width="25.5703125" customWidth="1"/>
    <col min="5" max="5" width="28.7109375" customWidth="1"/>
    <col min="6" max="7" width="0" hidden="1" customWidth="1"/>
    <col min="10" max="10" width="14.42578125" customWidth="1"/>
    <col min="12" max="12" width="11.42578125" bestFit="1" customWidth="1"/>
    <col min="14" max="14" width="11.28515625" bestFit="1" customWidth="1"/>
    <col min="15" max="15" width="12.5703125" customWidth="1"/>
    <col min="22" max="22" width="33.7109375" customWidth="1"/>
    <col min="24" max="24" width="10.85546875" customWidth="1"/>
    <col min="26" max="27" width="9.140625" customWidth="1"/>
  </cols>
  <sheetData>
    <row r="1" spans="1:24">
      <c r="A1" s="2176" t="s">
        <v>1045</v>
      </c>
      <c r="B1" s="2176" t="s">
        <v>50</v>
      </c>
      <c r="C1" s="1396"/>
      <c r="D1" s="2176" t="s">
        <v>3635</v>
      </c>
      <c r="E1" s="2179"/>
      <c r="F1" s="2176" t="s">
        <v>3636</v>
      </c>
      <c r="G1" s="2176" t="s">
        <v>3637</v>
      </c>
      <c r="H1" s="2176" t="s">
        <v>3638</v>
      </c>
      <c r="I1" s="2171"/>
      <c r="J1" s="2171"/>
      <c r="K1" s="2171"/>
      <c r="L1" s="2171"/>
      <c r="M1" s="2171"/>
      <c r="N1" s="2171"/>
      <c r="O1" s="2171"/>
      <c r="P1" s="2171"/>
      <c r="Q1" s="2171"/>
      <c r="R1" s="2171"/>
      <c r="S1" s="2171"/>
      <c r="T1" s="2171"/>
      <c r="U1" s="2162"/>
      <c r="V1" s="2176" t="s">
        <v>3639</v>
      </c>
      <c r="W1" s="2176" t="s">
        <v>3640</v>
      </c>
      <c r="X1" s="2179"/>
    </row>
    <row r="2" spans="1:24">
      <c r="A2" s="2177"/>
      <c r="B2" s="2177"/>
      <c r="C2" s="1614"/>
      <c r="D2" s="2180"/>
      <c r="E2" s="2181"/>
      <c r="F2" s="2177"/>
      <c r="G2" s="2177"/>
      <c r="H2" s="2176" t="s">
        <v>9</v>
      </c>
      <c r="I2" s="2179"/>
      <c r="J2" s="2176" t="s">
        <v>3641</v>
      </c>
      <c r="K2" s="2171"/>
      <c r="L2" s="2171"/>
      <c r="M2" s="2162"/>
      <c r="N2" s="1618"/>
      <c r="O2" s="2184" t="s">
        <v>3642</v>
      </c>
      <c r="P2" s="1846"/>
      <c r="Q2" s="1846"/>
      <c r="R2" s="1846"/>
      <c r="S2" s="1846"/>
      <c r="T2" s="1846"/>
      <c r="U2" s="1846"/>
      <c r="V2" s="2177"/>
      <c r="W2" s="2180"/>
      <c r="X2" s="2181"/>
    </row>
    <row r="3" spans="1:24">
      <c r="A3" s="2177"/>
      <c r="B3" s="2177"/>
      <c r="C3" s="1614"/>
      <c r="D3" s="2180"/>
      <c r="E3" s="2181"/>
      <c r="F3" s="2177"/>
      <c r="G3" s="2177"/>
      <c r="H3" s="2180"/>
      <c r="I3" s="2181"/>
      <c r="J3" s="2176" t="s">
        <v>3643</v>
      </c>
      <c r="K3" s="2185"/>
      <c r="L3" s="2171"/>
      <c r="M3" s="2171"/>
      <c r="N3" s="1616"/>
      <c r="O3" s="2186" t="s">
        <v>3644</v>
      </c>
      <c r="P3" s="2187"/>
      <c r="Q3" s="2187"/>
      <c r="R3" s="2187"/>
      <c r="S3" s="2187"/>
      <c r="T3" s="2187"/>
      <c r="U3" s="2188"/>
      <c r="V3" s="2177"/>
      <c r="W3" s="2180"/>
      <c r="X3" s="2181"/>
    </row>
    <row r="4" spans="1:24" ht="15" customHeight="1">
      <c r="A4" s="2177"/>
      <c r="B4" s="2177"/>
      <c r="C4" s="1614"/>
      <c r="D4" s="2180"/>
      <c r="E4" s="2181"/>
      <c r="F4" s="2177"/>
      <c r="G4" s="2177"/>
      <c r="H4" s="2180"/>
      <c r="I4" s="2181"/>
      <c r="J4" s="2177"/>
      <c r="K4" s="2176" t="s">
        <v>3645</v>
      </c>
      <c r="L4" s="2189"/>
      <c r="M4" s="2179"/>
      <c r="N4" s="2191" t="s">
        <v>4234</v>
      </c>
      <c r="O4" s="2176" t="s">
        <v>1974</v>
      </c>
      <c r="P4" s="2171"/>
      <c r="Q4" s="2171"/>
      <c r="R4" s="2171"/>
      <c r="S4" s="2171"/>
      <c r="T4" s="2171"/>
      <c r="U4" s="2162"/>
      <c r="V4" s="2177"/>
      <c r="W4" s="2180"/>
      <c r="X4" s="2181"/>
    </row>
    <row r="5" spans="1:24" ht="60">
      <c r="A5" s="2178"/>
      <c r="B5" s="2178"/>
      <c r="C5" s="1615"/>
      <c r="D5" s="2182"/>
      <c r="E5" s="2183"/>
      <c r="F5" s="2178"/>
      <c r="G5" s="2178"/>
      <c r="H5" s="2182"/>
      <c r="I5" s="2183"/>
      <c r="J5" s="2178"/>
      <c r="K5" s="2182"/>
      <c r="L5" s="2190"/>
      <c r="M5" s="2183"/>
      <c r="N5" s="2192"/>
      <c r="O5" s="1396" t="s">
        <v>3645</v>
      </c>
      <c r="P5" s="2176" t="s">
        <v>2010</v>
      </c>
      <c r="Q5" s="2162"/>
      <c r="R5" s="2176" t="s">
        <v>61</v>
      </c>
      <c r="S5" s="2162"/>
      <c r="T5" s="2176" t="s">
        <v>60</v>
      </c>
      <c r="U5" s="2162"/>
      <c r="V5" s="2178"/>
      <c r="W5" s="2182"/>
      <c r="X5" s="2183"/>
    </row>
    <row r="6" spans="1:24" ht="15.75" customHeight="1">
      <c r="A6" s="1397" t="s">
        <v>2024</v>
      </c>
      <c r="B6" s="1397" t="s">
        <v>2534</v>
      </c>
      <c r="C6" s="1397" t="s">
        <v>366</v>
      </c>
      <c r="D6" s="2175" t="s">
        <v>2535</v>
      </c>
      <c r="E6" s="2162"/>
      <c r="F6" s="1397" t="s">
        <v>2536</v>
      </c>
      <c r="G6" s="1397" t="s">
        <v>2025</v>
      </c>
      <c r="H6" s="2175" t="s">
        <v>2072</v>
      </c>
      <c r="I6" s="2162"/>
      <c r="J6" s="1397" t="s">
        <v>2074</v>
      </c>
      <c r="K6" s="2175" t="s">
        <v>2075</v>
      </c>
      <c r="L6" s="2171"/>
      <c r="M6" s="2162"/>
      <c r="N6" s="1619"/>
      <c r="O6" s="1397" t="s">
        <v>2026</v>
      </c>
      <c r="P6" s="2175" t="s">
        <v>1706</v>
      </c>
      <c r="Q6" s="2162"/>
      <c r="R6" s="2175" t="s">
        <v>1707</v>
      </c>
      <c r="S6" s="2162"/>
      <c r="T6" s="2175" t="s">
        <v>1709</v>
      </c>
      <c r="U6" s="2162"/>
      <c r="V6" s="1397" t="s">
        <v>1710</v>
      </c>
      <c r="W6" s="2175" t="s">
        <v>1711</v>
      </c>
      <c r="X6" s="2162"/>
    </row>
    <row r="7" spans="1:24" ht="22.5">
      <c r="A7" s="1326">
        <v>1</v>
      </c>
      <c r="B7" s="1524" t="str">
        <f>CONCATENATE('3 pr-2'!E10)</f>
        <v xml:space="preserve">Druskininkų savivaldybės administracija  </v>
      </c>
      <c r="C7" s="1524" t="s">
        <v>1214</v>
      </c>
      <c r="D7" s="2167" t="str">
        <f>CONCATENATE('3 pr-2'!D10)</f>
        <v xml:space="preserve">Druskininkų savivaldybės Viečiūnų seniūnijos Ilgio ir Raigardo seniūnaitijų kelių būklės gerinimas  </v>
      </c>
      <c r="E7" s="2166"/>
      <c r="F7" s="1524"/>
      <c r="G7" s="1524"/>
      <c r="H7" s="2164">
        <f>SUM(J7+K7+O7+P7+R7+T7)</f>
        <v>250766</v>
      </c>
      <c r="I7" s="2166"/>
      <c r="J7" s="1525">
        <f>SUM('ŽŪM sutartys'!F11)</f>
        <v>135247.75</v>
      </c>
      <c r="K7" s="2164">
        <f>SUM('ŽŪM sutartys'!G11)</f>
        <v>23867.25</v>
      </c>
      <c r="L7" s="2165"/>
      <c r="M7" s="2166"/>
      <c r="N7" s="1620">
        <f>SUM(J7+K7)</f>
        <v>159115</v>
      </c>
      <c r="O7" s="1525"/>
      <c r="P7" s="2161">
        <f>SUM('ŽŪM sutartys'!H11)</f>
        <v>91651</v>
      </c>
      <c r="Q7" s="2162"/>
      <c r="R7" s="2161"/>
      <c r="S7" s="2162"/>
      <c r="T7" s="2161"/>
      <c r="U7" s="2162"/>
      <c r="V7" s="1399"/>
      <c r="W7" s="2163"/>
      <c r="X7" s="2162"/>
    </row>
    <row r="8" spans="1:24" ht="22.5" customHeight="1">
      <c r="A8" s="1326">
        <f>SUM(A7+1)</f>
        <v>2</v>
      </c>
      <c r="B8" s="1524" t="str">
        <f>CONCATENATE('3 pr-2'!E11)</f>
        <v xml:space="preserve">Druskininkų savivaldybės administracija  </v>
      </c>
      <c r="C8" s="1524" t="s">
        <v>1215</v>
      </c>
      <c r="D8" s="2167" t="str">
        <f>CONCATENATE('3 pr-2'!D11)</f>
        <v>Druskininkų savivaldybės Viečiūnų seniūnijos Ratnyčėlės seniūnaitijos kelių būklės gerinimas</v>
      </c>
      <c r="E8" s="2166"/>
      <c r="F8" s="1524"/>
      <c r="G8" s="1524"/>
      <c r="H8" s="2164">
        <f t="shared" ref="H8:H29" si="0">SUM(J8+K8+O8+P8+R8+T8)</f>
        <v>188039</v>
      </c>
      <c r="I8" s="2166"/>
      <c r="J8" s="1525">
        <f>SUM('ŽŪM sutartys'!F12)</f>
        <v>102910.35</v>
      </c>
      <c r="K8" s="2164">
        <f>SUM('ŽŪM sutartys'!G12)</f>
        <v>18160.650000000001</v>
      </c>
      <c r="L8" s="2165"/>
      <c r="M8" s="2166"/>
      <c r="N8" s="1620">
        <f t="shared" ref="N8:N29" si="1">SUM(J8+K8)</f>
        <v>121071</v>
      </c>
      <c r="O8" s="1525"/>
      <c r="P8" s="2161">
        <f>SUM('ŽŪM sutartys'!H12)</f>
        <v>66968</v>
      </c>
      <c r="Q8" s="2162"/>
      <c r="R8" s="2161"/>
      <c r="S8" s="2162"/>
      <c r="T8" s="2161"/>
      <c r="U8" s="2162"/>
      <c r="V8" s="1399"/>
      <c r="W8" s="2163"/>
      <c r="X8" s="2162"/>
    </row>
    <row r="9" spans="1:24" ht="22.5">
      <c r="A9" s="1326">
        <f t="shared" ref="A9:A29" si="2">SUM(A8+1)</f>
        <v>3</v>
      </c>
      <c r="B9" s="1524" t="str">
        <f>CONCATENATE('3 pr-2'!E12)</f>
        <v xml:space="preserve">Druskininkų savivaldybės administracija  </v>
      </c>
      <c r="C9" s="1524" t="s">
        <v>1216</v>
      </c>
      <c r="D9" s="2167" t="str">
        <f>CONCATENATE('3 pr-2'!D12)</f>
        <v>Druskininkų savivaldybės Leipalingio seniūnijos Klonio seniūnaitijos kelių būklės gerinimas</v>
      </c>
      <c r="E9" s="2166"/>
      <c r="F9" s="1524"/>
      <c r="G9" s="1524"/>
      <c r="H9" s="2164">
        <f t="shared" si="0"/>
        <v>222319</v>
      </c>
      <c r="I9" s="2166"/>
      <c r="J9" s="1525">
        <f>SUM('ŽŪM sutartys'!F14)</f>
        <v>131279.1</v>
      </c>
      <c r="K9" s="2164">
        <f>SUM('ŽŪM sutartys'!G14)</f>
        <v>23166.9</v>
      </c>
      <c r="L9" s="2165"/>
      <c r="M9" s="2166"/>
      <c r="N9" s="1620">
        <f t="shared" si="1"/>
        <v>154446</v>
      </c>
      <c r="O9" s="1525"/>
      <c r="P9" s="2161">
        <f>SUM('ŽŪM sutartys'!H14)</f>
        <v>67873</v>
      </c>
      <c r="Q9" s="2162"/>
      <c r="R9" s="2161"/>
      <c r="S9" s="2162"/>
      <c r="T9" s="2161"/>
      <c r="U9" s="2162"/>
      <c r="V9" s="1399"/>
      <c r="W9" s="2163"/>
      <c r="X9" s="2162"/>
    </row>
    <row r="10" spans="1:24" ht="22.5" customHeight="1">
      <c r="A10" s="1326">
        <f t="shared" si="2"/>
        <v>4</v>
      </c>
      <c r="B10" s="1524" t="str">
        <f>CONCATENATE('3 pr-2'!E13)</f>
        <v>Viešoji įstaiga Lazdijų kultūros centras</v>
      </c>
      <c r="C10" s="1524" t="s">
        <v>1217</v>
      </c>
      <c r="D10" s="2167" t="str">
        <f>CONCATENATE('3 pr-2'!D13)</f>
        <v>Rudaminos laisvalaikio salės pritaikymas bendruomenės poreikiams ir liaudies amatų plėtrai</v>
      </c>
      <c r="E10" s="2166"/>
      <c r="F10" s="1326"/>
      <c r="G10" s="1326"/>
      <c r="H10" s="2164">
        <f t="shared" si="0"/>
        <v>123160</v>
      </c>
      <c r="I10" s="2166"/>
      <c r="J10" s="1525">
        <f>SUM('ŽŪM sutartys'!F20)</f>
        <v>83748.800000000003</v>
      </c>
      <c r="K10" s="2164">
        <f>SUM('ŽŪM sutartys'!G20)</f>
        <v>14779.2</v>
      </c>
      <c r="L10" s="2165"/>
      <c r="M10" s="2166"/>
      <c r="N10" s="1620">
        <f t="shared" si="1"/>
        <v>98528</v>
      </c>
      <c r="O10" s="1525"/>
      <c r="P10" s="2161">
        <f>SUM('ŽŪM sutartys'!H20)</f>
        <v>24632</v>
      </c>
      <c r="Q10" s="2162"/>
      <c r="R10" s="2161"/>
      <c r="S10" s="2162"/>
      <c r="T10" s="2161"/>
      <c r="U10" s="2162"/>
      <c r="V10" s="1399"/>
      <c r="W10" s="2163"/>
      <c r="X10" s="2162"/>
    </row>
    <row r="11" spans="1:24" ht="22.5" customHeight="1">
      <c r="A11" s="1326">
        <f t="shared" si="2"/>
        <v>5</v>
      </c>
      <c r="B11" s="1524" t="str">
        <f>CONCATENATE('3 pr-2'!E14)</f>
        <v xml:space="preserve">Druskininkų savivaldybės administracija  </v>
      </c>
      <c r="C11" s="1524" t="s">
        <v>1218</v>
      </c>
      <c r="D11" s="2167" t="str">
        <f>CONCATENATE('3 pr-2'!D14)</f>
        <v>Druskininkų savivaldybės Leipalingio seniūnijos Bilso seniūnaitijos kelių būklės gerinimas</v>
      </c>
      <c r="E11" s="2166"/>
      <c r="F11" s="1326"/>
      <c r="G11" s="1326"/>
      <c r="H11" s="2164">
        <f t="shared" si="0"/>
        <v>265076</v>
      </c>
      <c r="I11" s="2166"/>
      <c r="J11" s="1525">
        <f>SUM('ŽŪM sutartys'!F13)</f>
        <v>108837.4</v>
      </c>
      <c r="K11" s="2164">
        <f>SUM('ŽŪM sutartys'!G13)</f>
        <v>19206.599999999999</v>
      </c>
      <c r="L11" s="2165"/>
      <c r="M11" s="2166"/>
      <c r="N11" s="1620">
        <f t="shared" si="1"/>
        <v>128044</v>
      </c>
      <c r="O11" s="1525"/>
      <c r="P11" s="2161">
        <f>SUM('ŽŪM sutartys'!H13)</f>
        <v>137032</v>
      </c>
      <c r="Q11" s="2162"/>
      <c r="R11" s="2161"/>
      <c r="S11" s="2162"/>
      <c r="T11" s="2161"/>
      <c r="U11" s="2162"/>
      <c r="V11" s="1399"/>
      <c r="W11" s="2163"/>
      <c r="X11" s="2162"/>
    </row>
    <row r="12" spans="1:24" ht="22.5" customHeight="1">
      <c r="A12" s="1326">
        <f t="shared" si="2"/>
        <v>6</v>
      </c>
      <c r="B12" s="1524" t="str">
        <f>CONCATENATE('3 pr-2'!E15)</f>
        <v xml:space="preserve">Biudžetinė įstaiga Lazdijų rajono savivaldybės viešoji biblioteka </v>
      </c>
      <c r="C12" s="1524" t="s">
        <v>1219</v>
      </c>
      <c r="D12" s="2167" t="str">
        <f>CONCATENATE('3 pr-2'!D15)</f>
        <v>Lazdijų rajono kaimų patrauklumo didinimas atnaujinant bibliotekas</v>
      </c>
      <c r="E12" s="2166"/>
      <c r="F12" s="1326"/>
      <c r="G12" s="1326"/>
      <c r="H12" s="2164">
        <f t="shared" si="0"/>
        <v>200999</v>
      </c>
      <c r="I12" s="2166"/>
      <c r="J12" s="1525">
        <f>SUM('ŽŪM sutartys'!F17)</f>
        <v>135938.79999999999</v>
      </c>
      <c r="K12" s="2164">
        <f>SUM('ŽŪM sutartys'!G17)</f>
        <v>23989.200000000001</v>
      </c>
      <c r="L12" s="2165"/>
      <c r="M12" s="2166"/>
      <c r="N12" s="1620">
        <f t="shared" si="1"/>
        <v>159928</v>
      </c>
      <c r="O12" s="1525"/>
      <c r="P12" s="2161">
        <f>SUM('ŽŪM sutartys'!H17)</f>
        <v>41071</v>
      </c>
      <c r="Q12" s="2162"/>
      <c r="R12" s="2161"/>
      <c r="S12" s="2162"/>
      <c r="T12" s="2161"/>
      <c r="U12" s="2162"/>
      <c r="V12" s="1399"/>
      <c r="W12" s="2163"/>
      <c r="X12" s="2162"/>
    </row>
    <row r="13" spans="1:24" ht="22.5" customHeight="1">
      <c r="A13" s="1326">
        <f t="shared" si="2"/>
        <v>7</v>
      </c>
      <c r="B13" s="1524" t="str">
        <f>CONCATENATE('3 pr-2'!E16)</f>
        <v>Alytaus rajono savivaldybės administracija</v>
      </c>
      <c r="C13" s="1524" t="s">
        <v>1220</v>
      </c>
      <c r="D13" s="2167" t="str">
        <f>CONCATENATE('3 pr-2'!D16)</f>
        <v>Alytaus rajono Miroslavo kaimo multifunkcinės sporto aikštės įrengimas ir gatvių bei šaligatvių rekonstrukcija</v>
      </c>
      <c r="E13" s="2166"/>
      <c r="F13" s="1326"/>
      <c r="G13" s="1326"/>
      <c r="H13" s="2164">
        <f t="shared" si="0"/>
        <v>252211.6</v>
      </c>
      <c r="I13" s="2166"/>
      <c r="J13" s="1525">
        <f>SUM('ŽŪM sutartys'!F7)</f>
        <v>170000</v>
      </c>
      <c r="K13" s="2164">
        <f>SUM('ŽŪM sutartys'!G7)</f>
        <v>30000</v>
      </c>
      <c r="L13" s="2165"/>
      <c r="M13" s="2166"/>
      <c r="N13" s="1620">
        <f t="shared" si="1"/>
        <v>200000</v>
      </c>
      <c r="O13" s="1525"/>
      <c r="P13" s="2161">
        <f>SUM('ŽŪM sutartys'!H7)</f>
        <v>52211.6</v>
      </c>
      <c r="Q13" s="2162"/>
      <c r="R13" s="2161"/>
      <c r="S13" s="2162"/>
      <c r="T13" s="2161"/>
      <c r="U13" s="2162"/>
      <c r="V13" s="1399"/>
      <c r="W13" s="2163"/>
      <c r="X13" s="2162"/>
    </row>
    <row r="14" spans="1:24" ht="22.5" customHeight="1">
      <c r="A14" s="1326">
        <f t="shared" si="2"/>
        <v>8</v>
      </c>
      <c r="B14" s="1524" t="str">
        <f>CONCATENATE('3 pr-2'!E17)</f>
        <v>Alytaus rajono savivaldybės administracija</v>
      </c>
      <c r="C14" s="1524" t="s">
        <v>1221</v>
      </c>
      <c r="D14" s="2167" t="str">
        <f>CONCATENATE('3 pr-2'!D17)</f>
        <v>Alytaus rajono Luksnėnų kaimo multifunkcinės sporto aikštės įrengimas ir gatvių rekonstrukcija</v>
      </c>
      <c r="E14" s="2166"/>
      <c r="F14" s="1326"/>
      <c r="G14" s="1326"/>
      <c r="H14" s="2164">
        <f t="shared" si="0"/>
        <v>250309.29</v>
      </c>
      <c r="I14" s="2166"/>
      <c r="J14" s="1525">
        <f>SUM('ŽŪM sutartys'!F6)</f>
        <v>170000</v>
      </c>
      <c r="K14" s="2164">
        <f>SUM('ŽŪM sutartys'!G6)</f>
        <v>30000</v>
      </c>
      <c r="L14" s="2165"/>
      <c r="M14" s="2166"/>
      <c r="N14" s="1620">
        <f t="shared" si="1"/>
        <v>200000</v>
      </c>
      <c r="O14" s="1525"/>
      <c r="P14" s="2161">
        <f>SUM('ŽŪM sutartys'!H6)</f>
        <v>50309.29</v>
      </c>
      <c r="Q14" s="2162"/>
      <c r="R14" s="2161"/>
      <c r="S14" s="2162"/>
      <c r="T14" s="2161"/>
      <c r="U14" s="2162"/>
      <c r="V14" s="1399"/>
      <c r="W14" s="2163"/>
      <c r="X14" s="2162"/>
    </row>
    <row r="15" spans="1:24" ht="22.5" customHeight="1">
      <c r="A15" s="1326">
        <f t="shared" si="2"/>
        <v>9</v>
      </c>
      <c r="B15" s="1524" t="str">
        <f>CONCATENATE('3 pr-2'!E18)</f>
        <v xml:space="preserve">Viešoji įstaiga Lazdijų kultūros centras </v>
      </c>
      <c r="C15" s="1524" t="s">
        <v>1222</v>
      </c>
      <c r="D15" s="2167" t="str">
        <f>CONCATENATE('3 pr-2'!D18)</f>
        <v>Krikštonių laisvalaikio salės pritaikymas bendruomenės poreikiams</v>
      </c>
      <c r="E15" s="2166"/>
      <c r="F15" s="1326"/>
      <c r="G15" s="1326"/>
      <c r="H15" s="2164">
        <f t="shared" si="0"/>
        <v>250000</v>
      </c>
      <c r="I15" s="2166"/>
      <c r="J15" s="1525">
        <f>SUM('ŽŪM sutartys'!F18)</f>
        <v>170000</v>
      </c>
      <c r="K15" s="2164">
        <f>SUM('ŽŪM sutartys'!G18)</f>
        <v>30000</v>
      </c>
      <c r="L15" s="2165"/>
      <c r="M15" s="2166"/>
      <c r="N15" s="1620">
        <f t="shared" si="1"/>
        <v>200000</v>
      </c>
      <c r="O15" s="1525"/>
      <c r="P15" s="2161">
        <f>SUM('ŽŪM sutartys'!H18)</f>
        <v>50000</v>
      </c>
      <c r="Q15" s="2162"/>
      <c r="R15" s="2161"/>
      <c r="S15" s="2162"/>
      <c r="T15" s="2161"/>
      <c r="U15" s="2162"/>
      <c r="V15" s="1399"/>
      <c r="W15" s="2163"/>
      <c r="X15" s="2162"/>
    </row>
    <row r="16" spans="1:24" ht="22.5" customHeight="1">
      <c r="A16" s="1326">
        <f t="shared" si="2"/>
        <v>10</v>
      </c>
      <c r="B16" s="1524" t="str">
        <f>CONCATENATE('3 pr-2'!E19)</f>
        <v xml:space="preserve">Viešoji įstaiga Lazdijų kultūros centras </v>
      </c>
      <c r="C16" s="1524" t="s">
        <v>1223</v>
      </c>
      <c r="D16" s="2167" t="str">
        <f>CONCATENATE('3 pr-2'!D19)</f>
        <v>Kučiūnų laisvalaikio salės pritaikymas bendruomenės poreikiams</v>
      </c>
      <c r="E16" s="2166"/>
      <c r="F16" s="1326"/>
      <c r="G16" s="1326"/>
      <c r="H16" s="2164">
        <f t="shared" si="0"/>
        <v>250000</v>
      </c>
      <c r="I16" s="2166"/>
      <c r="J16" s="1525">
        <f>SUM('ŽŪM sutartys'!F19)</f>
        <v>159409</v>
      </c>
      <c r="K16" s="2164">
        <f>SUM('ŽŪM sutartys'!G19)</f>
        <v>28131</v>
      </c>
      <c r="L16" s="2165"/>
      <c r="M16" s="2166"/>
      <c r="N16" s="1620">
        <f t="shared" si="1"/>
        <v>187540</v>
      </c>
      <c r="O16" s="1525"/>
      <c r="P16" s="2161">
        <f>SUM('ŽŪM sutartys'!H19)</f>
        <v>62460</v>
      </c>
      <c r="Q16" s="2162"/>
      <c r="R16" s="2161"/>
      <c r="S16" s="2162"/>
      <c r="T16" s="2161"/>
      <c r="U16" s="2162"/>
      <c r="V16" s="1399"/>
      <c r="W16" s="2163"/>
      <c r="X16" s="2162"/>
    </row>
    <row r="17" spans="1:24" ht="22.5" customHeight="1">
      <c r="A17" s="1326">
        <f t="shared" si="2"/>
        <v>11</v>
      </c>
      <c r="B17" s="1524" t="str">
        <f>CONCATENATE('3 pr-2'!E20)</f>
        <v>Lazdijų rajono savivaldybės administracija</v>
      </c>
      <c r="C17" s="1524" t="s">
        <v>1224</v>
      </c>
      <c r="D17" s="2167" t="str">
        <f>CONCATENATE('3 pr-2'!D20)</f>
        <v>Laisvalaikio infrastruktūros sukūrimas Lazdijų rajono kaimo gyvenamosiose vietovėse</v>
      </c>
      <c r="E17" s="2166"/>
      <c r="F17" s="1326"/>
      <c r="G17" s="1326"/>
      <c r="H17" s="2164">
        <f t="shared" si="0"/>
        <v>125000</v>
      </c>
      <c r="I17" s="2166"/>
      <c r="J17" s="1525">
        <f>SUM('ŽŪM sutartys'!F16)</f>
        <v>85000</v>
      </c>
      <c r="K17" s="2164">
        <f>SUM('ŽŪM sutartys'!G16)</f>
        <v>15000</v>
      </c>
      <c r="L17" s="2165"/>
      <c r="M17" s="2166"/>
      <c r="N17" s="1620">
        <f t="shared" si="1"/>
        <v>100000</v>
      </c>
      <c r="O17" s="1525"/>
      <c r="P17" s="2161">
        <f>SUM('ŽŪM sutartys'!H16)</f>
        <v>25000</v>
      </c>
      <c r="Q17" s="2162"/>
      <c r="R17" s="2161"/>
      <c r="S17" s="2162"/>
      <c r="T17" s="2161"/>
      <c r="U17" s="2162"/>
      <c r="V17" s="1399"/>
      <c r="W17" s="2163"/>
      <c r="X17" s="2162"/>
    </row>
    <row r="18" spans="1:24" ht="22.5" customHeight="1">
      <c r="A18" s="1326">
        <f t="shared" si="2"/>
        <v>12</v>
      </c>
      <c r="B18" s="1524" t="str">
        <f>CONCATENATE('3 pr-2'!E21)</f>
        <v>Alytaus rajono savivaldybės administracija</v>
      </c>
      <c r="C18" s="1524" t="s">
        <v>1225</v>
      </c>
      <c r="D18" s="2167" t="str">
        <f>CONCATENATE('3 pr-2'!D21)</f>
        <v>Alytaus rajono Butrimonių miestelio šaligatvių kapitalinis remontas ir gyvenvietės apšvietimo įrengimas</v>
      </c>
      <c r="E18" s="2166"/>
      <c r="F18" s="1326"/>
      <c r="G18" s="1326"/>
      <c r="H18" s="2164">
        <f t="shared" si="0"/>
        <v>190756</v>
      </c>
      <c r="I18" s="2166"/>
      <c r="J18" s="1525">
        <f>SUM('ŽŪM sutartys'!F8)</f>
        <v>104424.2</v>
      </c>
      <c r="K18" s="2164">
        <f>SUM('ŽŪM sutartys'!G8)</f>
        <v>18427.8</v>
      </c>
      <c r="L18" s="2165"/>
      <c r="M18" s="2166"/>
      <c r="N18" s="1620">
        <f t="shared" si="1"/>
        <v>122852</v>
      </c>
      <c r="O18" s="1525"/>
      <c r="P18" s="2161">
        <f>SUM('ŽŪM sutartys'!H8)</f>
        <v>67904</v>
      </c>
      <c r="Q18" s="2162"/>
      <c r="R18" s="2161"/>
      <c r="S18" s="2162"/>
      <c r="T18" s="2161"/>
      <c r="U18" s="2162"/>
      <c r="V18" s="1399"/>
      <c r="W18" s="2163"/>
      <c r="X18" s="2162"/>
    </row>
    <row r="19" spans="1:24" ht="22.5" customHeight="1">
      <c r="A19" s="1326">
        <f t="shared" si="2"/>
        <v>13</v>
      </c>
      <c r="B19" s="1524" t="str">
        <f>CONCATENATE('3 pr-2'!E22)</f>
        <v>Alytaus rajono savivaldybės administracija</v>
      </c>
      <c r="C19" s="1524" t="s">
        <v>1226</v>
      </c>
      <c r="D19" s="2167" t="str">
        <f>CONCATENATE('3 pr-2'!D22)</f>
        <v>Alytaus rajono Genių kaimo sporto aikštės įrengimas ir gatvių rekonstrukcija</v>
      </c>
      <c r="E19" s="2166"/>
      <c r="F19" s="1326"/>
      <c r="G19" s="1326"/>
      <c r="H19" s="2164">
        <f t="shared" si="0"/>
        <v>247392.46</v>
      </c>
      <c r="I19" s="2166"/>
      <c r="J19" s="1525">
        <f>SUM('ŽŪM sutartys'!F9)</f>
        <v>170000</v>
      </c>
      <c r="K19" s="2164">
        <f>SUM('ŽŪM sutartys'!G9)</f>
        <v>30000</v>
      </c>
      <c r="L19" s="2165"/>
      <c r="M19" s="2166"/>
      <c r="N19" s="1620">
        <f t="shared" si="1"/>
        <v>200000</v>
      </c>
      <c r="O19" s="1398"/>
      <c r="P19" s="2161">
        <f>SUM('ŽŪM sutartys'!H9)</f>
        <v>47392.46</v>
      </c>
      <c r="Q19" s="2162"/>
      <c r="R19" s="2161"/>
      <c r="S19" s="2162"/>
      <c r="T19" s="2161"/>
      <c r="U19" s="2162"/>
      <c r="V19" s="1399"/>
      <c r="W19" s="2163"/>
      <c r="X19" s="2162"/>
    </row>
    <row r="20" spans="1:24" ht="22.5" customHeight="1">
      <c r="A20" s="1326">
        <f t="shared" si="2"/>
        <v>14</v>
      </c>
      <c r="B20" s="1524" t="str">
        <f>CONCATENATE('3 pr-2'!E23)</f>
        <v xml:space="preserve">Varėnos rajono savivaldybės administracija </v>
      </c>
      <c r="C20" s="1524" t="s">
        <v>1227</v>
      </c>
      <c r="D20" s="2167" t="str">
        <f>CONCATENATE('3 pr-2'!D23)</f>
        <v>Varėnos r. Dargužių kaimo Liepų gatvės ir viešosios erdvės įrengimas</v>
      </c>
      <c r="E20" s="2166"/>
      <c r="F20" s="1326"/>
      <c r="G20" s="1326"/>
      <c r="H20" s="2164">
        <f t="shared" si="0"/>
        <v>215626</v>
      </c>
      <c r="I20" s="2166"/>
      <c r="J20" s="1525">
        <f>SUM('ŽŪM sutartys'!F23)</f>
        <v>146625.68</v>
      </c>
      <c r="K20" s="2164">
        <f>SUM('ŽŪM sutartys'!G23)</f>
        <v>25875.119999999999</v>
      </c>
      <c r="L20" s="2165"/>
      <c r="M20" s="2166"/>
      <c r="N20" s="1620">
        <f t="shared" si="1"/>
        <v>172500.8</v>
      </c>
      <c r="O20" s="1525"/>
      <c r="P20" s="2161">
        <f>SUM('ŽŪM sutartys'!H23)</f>
        <v>43125.2</v>
      </c>
      <c r="Q20" s="2162"/>
      <c r="R20" s="2161"/>
      <c r="S20" s="2162"/>
      <c r="T20" s="2161"/>
      <c r="U20" s="2162"/>
      <c r="V20" s="1399"/>
      <c r="W20" s="2163"/>
      <c r="X20" s="2162"/>
    </row>
    <row r="21" spans="1:24" ht="22.5" customHeight="1">
      <c r="A21" s="1326">
        <f t="shared" si="2"/>
        <v>15</v>
      </c>
      <c r="B21" s="1524" t="str">
        <f>CONCATENATE('3 pr-2'!E24)</f>
        <v>Alytaus rajono savivaldybės administracija</v>
      </c>
      <c r="C21" s="1524" t="s">
        <v>1228</v>
      </c>
      <c r="D21" s="2167" t="str">
        <f>CONCATENATE('3 pr-2'!D24)</f>
        <v>Alytaus rajono Vaisodžių kaimo sporto aikštės įrengimas ir gatvių apšvietimo atnaujinimas bei plėtra</v>
      </c>
      <c r="E21" s="2166"/>
      <c r="F21" s="1326"/>
      <c r="G21" s="1326"/>
      <c r="H21" s="2164">
        <f t="shared" si="0"/>
        <v>75880</v>
      </c>
      <c r="I21" s="2166"/>
      <c r="J21" s="1525">
        <f>SUM('ŽŪM sutartys'!F3)</f>
        <v>51598</v>
      </c>
      <c r="K21" s="2164">
        <f>SUM('ŽŪM sutartys'!G3)</f>
        <v>9106</v>
      </c>
      <c r="L21" s="2165"/>
      <c r="M21" s="2166"/>
      <c r="N21" s="1620">
        <f t="shared" si="1"/>
        <v>60704</v>
      </c>
      <c r="O21" s="1525"/>
      <c r="P21" s="2161">
        <f>SUM('ŽŪM sutartys'!H3)</f>
        <v>15176</v>
      </c>
      <c r="Q21" s="2162"/>
      <c r="R21" s="2161"/>
      <c r="S21" s="2162"/>
      <c r="T21" s="2161"/>
      <c r="U21" s="2162"/>
      <c r="V21" s="1399"/>
      <c r="W21" s="2163"/>
      <c r="X21" s="2162"/>
    </row>
    <row r="22" spans="1:24" ht="22.5" customHeight="1">
      <c r="A22" s="1326">
        <f t="shared" si="2"/>
        <v>16</v>
      </c>
      <c r="B22" s="1524" t="str">
        <f>CONCATENATE('3 pr-2'!E25)</f>
        <v>Alytaus rajono savivaldybės administracija</v>
      </c>
      <c r="C22" s="1524" t="s">
        <v>1229</v>
      </c>
      <c r="D22" s="2167" t="str">
        <f>CONCATENATE('3 pr-2'!D25)</f>
        <v>Alytaus rajono Talokių kaimo sporto aikštės įrengimas ir Plytinės gatvės apšvietimas</v>
      </c>
      <c r="E22" s="2166"/>
      <c r="F22" s="1326"/>
      <c r="G22" s="1326"/>
      <c r="H22" s="2164">
        <f t="shared" si="0"/>
        <v>141312</v>
      </c>
      <c r="I22" s="2166"/>
      <c r="J22" s="1525">
        <f>SUM('ŽŪM sutartys'!F10)</f>
        <v>81939.149999999994</v>
      </c>
      <c r="K22" s="2164">
        <f>SUM('ŽŪM sutartys'!G10)</f>
        <v>14459.85</v>
      </c>
      <c r="L22" s="2165"/>
      <c r="M22" s="2166"/>
      <c r="N22" s="1620">
        <f t="shared" si="1"/>
        <v>96399</v>
      </c>
      <c r="O22" s="1525"/>
      <c r="P22" s="2161">
        <f>SUM('ŽŪM sutartys'!H10)</f>
        <v>44913</v>
      </c>
      <c r="Q22" s="2162"/>
      <c r="R22" s="2161"/>
      <c r="S22" s="2162"/>
      <c r="T22" s="2161"/>
      <c r="U22" s="2162"/>
      <c r="V22" s="1399"/>
      <c r="W22" s="2163"/>
      <c r="X22" s="2162"/>
    </row>
    <row r="23" spans="1:24" ht="22.5" customHeight="1">
      <c r="A23" s="1326">
        <f t="shared" si="2"/>
        <v>17</v>
      </c>
      <c r="B23" s="1524" t="str">
        <f>CONCATENATE('3 pr-2'!E26)</f>
        <v xml:space="preserve">Varėnos rajono savivaldybės administracija </v>
      </c>
      <c r="C23" s="1524" t="s">
        <v>1230</v>
      </c>
      <c r="D23" s="2167" t="str">
        <f>CONCATENATE('3 pr-2'!D26)</f>
        <v>Varėnos r. Rudnios kaimo Pušyno gatvės įrengimas</v>
      </c>
      <c r="E23" s="2166"/>
      <c r="F23" s="1326"/>
      <c r="G23" s="1326"/>
      <c r="H23" s="2164">
        <f t="shared" si="0"/>
        <v>115624</v>
      </c>
      <c r="I23" s="2166"/>
      <c r="J23" s="1525">
        <f>SUM('ŽŪM sutartys'!F22)</f>
        <v>78624.149999999994</v>
      </c>
      <c r="K23" s="2164">
        <f>SUM('ŽŪM sutartys'!G22)</f>
        <v>13874.85</v>
      </c>
      <c r="L23" s="2165"/>
      <c r="M23" s="2166"/>
      <c r="N23" s="1620">
        <f t="shared" si="1"/>
        <v>92499</v>
      </c>
      <c r="O23" s="1525"/>
      <c r="P23" s="2161">
        <f>SUM('ŽŪM sutartys'!H22)</f>
        <v>23125</v>
      </c>
      <c r="Q23" s="2162"/>
      <c r="R23" s="2161"/>
      <c r="S23" s="2162"/>
      <c r="T23" s="2161"/>
      <c r="U23" s="2162"/>
      <c r="V23" s="1399"/>
      <c r="W23" s="2163"/>
      <c r="X23" s="2162"/>
    </row>
    <row r="24" spans="1:24" ht="22.5">
      <c r="A24" s="1326">
        <f t="shared" si="2"/>
        <v>18</v>
      </c>
      <c r="B24" s="1524" t="str">
        <f>CONCATENATE('3 pr-2'!E27)</f>
        <v xml:space="preserve">Varėnos rajono savivaldybės administracija </v>
      </c>
      <c r="C24" s="1524" t="s">
        <v>1231</v>
      </c>
      <c r="D24" s="2167" t="str">
        <f>CONCATENATE('3 pr-2'!D27)</f>
        <v>Varėnos kultūros centro Žilinų filialo pastato atnaujinimas ir pritaikymas bendruomenės poreikiams</v>
      </c>
      <c r="E24" s="2166"/>
      <c r="F24" s="1521"/>
      <c r="G24" s="1522"/>
      <c r="H24" s="2164">
        <f t="shared" si="0"/>
        <v>250000</v>
      </c>
      <c r="I24" s="2166"/>
      <c r="J24" s="1525">
        <f>SUM('ŽŪM sutartys'!F21)</f>
        <v>170000</v>
      </c>
      <c r="K24" s="2164">
        <f>SUM('ŽŪM sutartys'!G21)</f>
        <v>30000</v>
      </c>
      <c r="L24" s="2165"/>
      <c r="M24" s="2166"/>
      <c r="N24" s="1620">
        <f t="shared" si="1"/>
        <v>200000</v>
      </c>
      <c r="O24" s="1525"/>
      <c r="P24" s="2161">
        <f>SUM('ŽŪM sutartys'!H21)</f>
        <v>50000</v>
      </c>
      <c r="Q24" s="2162"/>
      <c r="R24" s="2161"/>
      <c r="S24" s="2162"/>
      <c r="T24" s="2161"/>
      <c r="U24" s="2162"/>
      <c r="V24" s="1399"/>
      <c r="W24" s="2163"/>
      <c r="X24" s="2162"/>
    </row>
    <row r="25" spans="1:24" ht="22.5">
      <c r="A25" s="1326">
        <f t="shared" si="2"/>
        <v>19</v>
      </c>
      <c r="B25" s="1524" t="str">
        <f>CONCATENATE('3 pr-2'!E28)</f>
        <v>Alytaus rajono savivaldybės administracija</v>
      </c>
      <c r="C25" s="1524" t="s">
        <v>1232</v>
      </c>
      <c r="D25" s="2167" t="str">
        <f>CONCATENATE('3 pr-2'!D28)</f>
        <v>Alytaus rajono Pivašiūnų kaimo šaligatvių, laiptų kapitalinis remontas ir gyvenvietės apšvietimo įrengimas</v>
      </c>
      <c r="E25" s="2166"/>
      <c r="F25" s="1521"/>
      <c r="G25" s="1522"/>
      <c r="H25" s="2164">
        <f t="shared" si="0"/>
        <v>118362</v>
      </c>
      <c r="I25" s="2166"/>
      <c r="J25" s="1525">
        <f>SUM('ŽŪM sutartys'!F5)</f>
        <v>80230.649999999994</v>
      </c>
      <c r="K25" s="2164">
        <f>SUM('ŽŪM sutartys'!G5)</f>
        <v>14158.35</v>
      </c>
      <c r="L25" s="2165"/>
      <c r="M25" s="2166"/>
      <c r="N25" s="1620">
        <f t="shared" si="1"/>
        <v>94389</v>
      </c>
      <c r="O25" s="1525"/>
      <c r="P25" s="2161">
        <f>SUM('ŽŪM sutartys'!H5)</f>
        <v>23973</v>
      </c>
      <c r="Q25" s="2162"/>
      <c r="R25" s="2161"/>
      <c r="S25" s="2162"/>
      <c r="T25" s="2161"/>
      <c r="U25" s="2162"/>
      <c r="V25" s="1399"/>
      <c r="W25" s="2163"/>
      <c r="X25" s="2162"/>
    </row>
    <row r="26" spans="1:24" ht="22.5">
      <c r="A26" s="1326">
        <f t="shared" si="2"/>
        <v>20</v>
      </c>
      <c r="B26" s="1524" t="str">
        <f>CONCATENATE('3 pr-2'!E29)</f>
        <v xml:space="preserve">Varėnos rajono savivaldybės administracija </v>
      </c>
      <c r="C26" s="1524" t="s">
        <v>1233</v>
      </c>
      <c r="D26" s="2167" t="str">
        <f>CONCATENATE('3 pr-2'!D29)</f>
        <v>Pastato, esančio Pušelės g. 11, Naujųjų Valkininkų k., Varėnos r., atnaujinimas ir pritaikymas bendruomenės poreikiams</v>
      </c>
      <c r="E26" s="2166"/>
      <c r="F26" s="1521"/>
      <c r="G26" s="1522"/>
      <c r="H26" s="2164">
        <f t="shared" si="0"/>
        <v>250000</v>
      </c>
      <c r="I26" s="2166"/>
      <c r="J26" s="1525">
        <f>SUM('ŽŪM sutartys'!F24)</f>
        <v>170000</v>
      </c>
      <c r="K26" s="2164">
        <f>SUM('ŽŪM sutartys'!G24)</f>
        <v>30000</v>
      </c>
      <c r="L26" s="2165"/>
      <c r="M26" s="2166"/>
      <c r="N26" s="1620">
        <f t="shared" si="1"/>
        <v>200000</v>
      </c>
      <c r="O26" s="1525"/>
      <c r="P26" s="2161">
        <f>SUM('ŽŪM sutartys'!H24)</f>
        <v>50000</v>
      </c>
      <c r="Q26" s="2162"/>
      <c r="R26" s="2164"/>
      <c r="S26" s="2166"/>
      <c r="T26" s="2161"/>
      <c r="U26" s="2162"/>
      <c r="V26" s="1399"/>
      <c r="W26" s="2163"/>
      <c r="X26" s="2162"/>
    </row>
    <row r="27" spans="1:24" ht="22.5">
      <c r="A27" s="1326">
        <f t="shared" si="2"/>
        <v>21</v>
      </c>
      <c r="B27" s="1524" t="str">
        <f>CONCATENATE('3 pr-2'!E30)</f>
        <v>Lazdijų rajono savivaldybės administracija</v>
      </c>
      <c r="C27" s="1524" t="s">
        <v>1234</v>
      </c>
      <c r="D27" s="2167" t="str">
        <f>CONCATENATE('3 pr-2'!D30)</f>
        <v>Kaimo gyvenamųjų vietovių Lazdijų rajono savivaldybėje patrauklumo gerinimas</v>
      </c>
      <c r="E27" s="2166"/>
      <c r="F27" s="1521"/>
      <c r="G27" s="1522"/>
      <c r="H27" s="2164">
        <f t="shared" si="0"/>
        <v>170000</v>
      </c>
      <c r="I27" s="2166"/>
      <c r="J27" s="1525">
        <f>SUM('ŽŪM sutartys'!F15)</f>
        <v>115600</v>
      </c>
      <c r="K27" s="2164">
        <f>SUM('ŽŪM sutartys'!G15)</f>
        <v>20400</v>
      </c>
      <c r="L27" s="2165"/>
      <c r="M27" s="2166"/>
      <c r="N27" s="1620">
        <f t="shared" si="1"/>
        <v>136000</v>
      </c>
      <c r="O27" s="1398"/>
      <c r="P27" s="2161">
        <f>SUM('ŽŪM sutartys'!H15)</f>
        <v>34000</v>
      </c>
      <c r="Q27" s="2162"/>
      <c r="R27" s="2161"/>
      <c r="S27" s="2162"/>
      <c r="T27" s="2161"/>
      <c r="U27" s="2162"/>
      <c r="V27" s="1399"/>
      <c r="W27" s="2163"/>
      <c r="X27" s="2162"/>
    </row>
    <row r="28" spans="1:24" ht="22.5">
      <c r="A28" s="1326">
        <f t="shared" si="2"/>
        <v>22</v>
      </c>
      <c r="B28" s="1524" t="str">
        <f>CONCATENATE('3 pr-2'!E31)</f>
        <v>Alytaus rajono savivaldybės administracija</v>
      </c>
      <c r="C28" s="1524" t="s">
        <v>1235</v>
      </c>
      <c r="D28" s="2167" t="str">
        <f>CONCATENATE('3 pr-2'!D31)</f>
        <v>Alytaus rajono Makniūnų kaimo šaligatvių atnaujinimas ir plėtra</v>
      </c>
      <c r="E28" s="2166"/>
      <c r="F28" s="1526"/>
      <c r="G28" s="1527"/>
      <c r="H28" s="2164">
        <f t="shared" si="0"/>
        <v>145772</v>
      </c>
      <c r="I28" s="2166"/>
      <c r="J28" s="1525">
        <f>SUM('ŽŪM sutartys'!F4)</f>
        <v>48274.05</v>
      </c>
      <c r="K28" s="2164">
        <f>SUM('ŽŪM sutartys'!G4)</f>
        <v>8518.9500000000007</v>
      </c>
      <c r="L28" s="2165"/>
      <c r="M28" s="2166"/>
      <c r="N28" s="1620">
        <f t="shared" si="1"/>
        <v>56793</v>
      </c>
      <c r="O28" s="1398"/>
      <c r="P28" s="2161">
        <f>SUM('ŽŪM sutartys'!H4)</f>
        <v>88979</v>
      </c>
      <c r="Q28" s="2162"/>
      <c r="R28" s="2161"/>
      <c r="S28" s="2162"/>
      <c r="T28" s="2161"/>
      <c r="U28" s="2162"/>
      <c r="V28" s="1399"/>
      <c r="W28" s="2163"/>
      <c r="X28" s="2162"/>
    </row>
    <row r="29" spans="1:24" ht="23.25" thickBot="1">
      <c r="A29" s="1326">
        <f t="shared" si="2"/>
        <v>23</v>
      </c>
      <c r="B29" s="1524" t="str">
        <f>CONCATENATE('3 pr-2'!E32)</f>
        <v xml:space="preserve">Varėnos rajono savivaldybės administracija </v>
      </c>
      <c r="C29" s="1524" t="s">
        <v>4237</v>
      </c>
      <c r="D29" s="2167" t="str">
        <f>CONCATENATE('3 pr-2'!D32)</f>
        <v>Varėnos r. Vazgirdonių kaimo Klevų gatvės įrengimas</v>
      </c>
      <c r="E29" s="2166"/>
      <c r="F29" s="1521"/>
      <c r="G29" s="1522"/>
      <c r="H29" s="2164">
        <f t="shared" si="0"/>
        <v>160048</v>
      </c>
      <c r="I29" s="2166"/>
      <c r="J29" s="1525">
        <f>SUM('ŽŪM sutartys'!F25)</f>
        <v>104206.77</v>
      </c>
      <c r="K29" s="2164">
        <f>SUM('ŽŪM sutartys'!G25)</f>
        <v>18389.43</v>
      </c>
      <c r="L29" s="2165"/>
      <c r="M29" s="2166"/>
      <c r="N29" s="1620">
        <f t="shared" si="1"/>
        <v>122596.20000000001</v>
      </c>
      <c r="O29" s="1398"/>
      <c r="P29" s="2161">
        <f>SUM('ŽŪM sutartys'!H25)</f>
        <v>37451.800000000003</v>
      </c>
      <c r="Q29" s="2162"/>
      <c r="R29" s="2161"/>
      <c r="S29" s="2162"/>
      <c r="T29" s="2161"/>
      <c r="U29" s="2162"/>
      <c r="V29" s="1399"/>
      <c r="W29" s="2163"/>
      <c r="X29" s="2162"/>
    </row>
    <row r="30" spans="1:24">
      <c r="A30" s="2173" t="s">
        <v>3649</v>
      </c>
      <c r="B30" s="2169"/>
      <c r="C30" s="2169"/>
      <c r="D30" s="2169"/>
      <c r="E30" s="2169"/>
      <c r="F30" s="2169"/>
      <c r="G30" s="2170"/>
      <c r="H30" s="2174">
        <f>SUM(H7:I29)</f>
        <v>4458652.3499999996</v>
      </c>
      <c r="I30" s="2170"/>
      <c r="J30" s="1401">
        <f>SUM(J7:J29)</f>
        <v>2773893.8499999996</v>
      </c>
      <c r="K30" s="2174">
        <f>SUM(K7:M29)</f>
        <v>489511.14999999991</v>
      </c>
      <c r="L30" s="2169"/>
      <c r="M30" s="2170"/>
      <c r="N30" s="1613"/>
      <c r="O30" s="1401">
        <v>0</v>
      </c>
      <c r="P30" s="2174">
        <f>SUM(P7:Q29)</f>
        <v>1195247.3499999999</v>
      </c>
      <c r="Q30" s="2170"/>
      <c r="R30" s="2174">
        <v>0</v>
      </c>
      <c r="S30" s="2170"/>
      <c r="T30" s="2174">
        <v>0</v>
      </c>
      <c r="U30" s="2170"/>
      <c r="V30" s="2168"/>
      <c r="W30" s="2169"/>
      <c r="X30" s="2170"/>
    </row>
    <row r="31" spans="1:24">
      <c r="A31" s="2163" t="s">
        <v>3650</v>
      </c>
      <c r="B31" s="2171"/>
      <c r="C31" s="2171"/>
      <c r="D31" s="2171"/>
      <c r="E31" s="2171"/>
      <c r="F31" s="2171"/>
      <c r="G31" s="2171"/>
      <c r="H31" s="2171"/>
      <c r="I31" s="2162"/>
      <c r="J31" s="2172">
        <v>1263272</v>
      </c>
      <c r="K31" s="2171"/>
      <c r="L31" s="2171"/>
      <c r="M31" s="2171"/>
      <c r="N31" s="2171"/>
      <c r="O31" s="2171"/>
      <c r="P31" s="2171"/>
      <c r="Q31" s="2171"/>
      <c r="R31" s="2171"/>
      <c r="S31" s="2171"/>
      <c r="T31" s="2171"/>
      <c r="U31" s="2171"/>
      <c r="V31" s="2171"/>
      <c r="W31" s="2171"/>
      <c r="X31" s="2162"/>
    </row>
    <row r="33" spans="12:14">
      <c r="L33" s="233">
        <f>SUM(J30+K30)</f>
        <v>3263404.9999999995</v>
      </c>
      <c r="N33" s="233">
        <f>SUM(N7:N29)</f>
        <v>3263405</v>
      </c>
    </row>
  </sheetData>
  <autoFilter ref="A6:X31" xr:uid="{00000000-0009-0000-0000-000023000000}">
    <filterColumn colId="3" showButton="0"/>
    <filterColumn colId="7" showButton="0"/>
    <filterColumn colId="10" showButton="0"/>
    <filterColumn colId="11" showButton="0"/>
    <filterColumn colId="15" showButton="0"/>
    <filterColumn colId="17" showButton="0"/>
    <filterColumn colId="19" showButton="0"/>
    <filterColumn colId="22" showButton="0"/>
  </autoFilter>
  <mergeCells count="197">
    <mergeCell ref="A1:A5"/>
    <mergeCell ref="B1:B5"/>
    <mergeCell ref="D1:E5"/>
    <mergeCell ref="F1:F5"/>
    <mergeCell ref="G1:G5"/>
    <mergeCell ref="H1:U1"/>
    <mergeCell ref="P5:Q5"/>
    <mergeCell ref="R5:S5"/>
    <mergeCell ref="T5:U5"/>
    <mergeCell ref="V1:V5"/>
    <mergeCell ref="W1:X5"/>
    <mergeCell ref="H2:I5"/>
    <mergeCell ref="J2:M2"/>
    <mergeCell ref="O2:U2"/>
    <mergeCell ref="J3:J5"/>
    <mergeCell ref="K3:M3"/>
    <mergeCell ref="O3:U3"/>
    <mergeCell ref="K4:M5"/>
    <mergeCell ref="O4:U4"/>
    <mergeCell ref="N4:N5"/>
    <mergeCell ref="W6:X6"/>
    <mergeCell ref="D7:E7"/>
    <mergeCell ref="H7:I7"/>
    <mergeCell ref="K7:M7"/>
    <mergeCell ref="P7:Q7"/>
    <mergeCell ref="R7:S7"/>
    <mergeCell ref="T7:U7"/>
    <mergeCell ref="W7:X7"/>
    <mergeCell ref="D6:E6"/>
    <mergeCell ref="H6:I6"/>
    <mergeCell ref="K6:M6"/>
    <mergeCell ref="P6:Q6"/>
    <mergeCell ref="R6:S6"/>
    <mergeCell ref="T6:U6"/>
    <mergeCell ref="W8:X8"/>
    <mergeCell ref="D9:E9"/>
    <mergeCell ref="H9:I9"/>
    <mergeCell ref="K9:M9"/>
    <mergeCell ref="P9:Q9"/>
    <mergeCell ref="R9:S9"/>
    <mergeCell ref="T9:U9"/>
    <mergeCell ref="W9:X9"/>
    <mergeCell ref="D8:E8"/>
    <mergeCell ref="H8:I8"/>
    <mergeCell ref="K8:M8"/>
    <mergeCell ref="P8:Q8"/>
    <mergeCell ref="R8:S8"/>
    <mergeCell ref="T8:U8"/>
    <mergeCell ref="V30:X30"/>
    <mergeCell ref="A31:I31"/>
    <mergeCell ref="J31:X31"/>
    <mergeCell ref="D10:E10"/>
    <mergeCell ref="H10:I10"/>
    <mergeCell ref="K10:M10"/>
    <mergeCell ref="P10:Q10"/>
    <mergeCell ref="R10:S10"/>
    <mergeCell ref="T10:U10"/>
    <mergeCell ref="W10:X10"/>
    <mergeCell ref="A30:G30"/>
    <mergeCell ref="H30:I30"/>
    <mergeCell ref="K30:M30"/>
    <mergeCell ref="P30:Q30"/>
    <mergeCell ref="R30:S30"/>
    <mergeCell ref="T30:U30"/>
    <mergeCell ref="W11:X11"/>
    <mergeCell ref="D12:E12"/>
    <mergeCell ref="H12:I12"/>
    <mergeCell ref="K12:M12"/>
    <mergeCell ref="P12:Q12"/>
    <mergeCell ref="R12:S12"/>
    <mergeCell ref="T12:U12"/>
    <mergeCell ref="W12:X12"/>
    <mergeCell ref="D11:E11"/>
    <mergeCell ref="H11:I11"/>
    <mergeCell ref="K11:M11"/>
    <mergeCell ref="P11:Q11"/>
    <mergeCell ref="R11:S11"/>
    <mergeCell ref="T11:U11"/>
    <mergeCell ref="W13:X13"/>
    <mergeCell ref="D14:E14"/>
    <mergeCell ref="H14:I14"/>
    <mergeCell ref="K14:M14"/>
    <mergeCell ref="P14:Q14"/>
    <mergeCell ref="R14:S14"/>
    <mergeCell ref="T14:U14"/>
    <mergeCell ref="W14:X14"/>
    <mergeCell ref="D13:E13"/>
    <mergeCell ref="H13:I13"/>
    <mergeCell ref="K13:M13"/>
    <mergeCell ref="P13:Q13"/>
    <mergeCell ref="R13:S13"/>
    <mergeCell ref="T13:U13"/>
    <mergeCell ref="D16:E16"/>
    <mergeCell ref="H16:I16"/>
    <mergeCell ref="K16:M16"/>
    <mergeCell ref="P16:Q16"/>
    <mergeCell ref="R16:S16"/>
    <mergeCell ref="T16:U16"/>
    <mergeCell ref="W16:X16"/>
    <mergeCell ref="D15:E15"/>
    <mergeCell ref="H15:I15"/>
    <mergeCell ref="K15:M15"/>
    <mergeCell ref="P15:Q15"/>
    <mergeCell ref="R15:S15"/>
    <mergeCell ref="T15:U15"/>
    <mergeCell ref="W15:X15"/>
    <mergeCell ref="D18:E18"/>
    <mergeCell ref="H18:I18"/>
    <mergeCell ref="K18:M18"/>
    <mergeCell ref="P18:Q18"/>
    <mergeCell ref="R18:S18"/>
    <mergeCell ref="T18:U18"/>
    <mergeCell ref="W18:X18"/>
    <mergeCell ref="D17:E17"/>
    <mergeCell ref="H17:I17"/>
    <mergeCell ref="K17:M17"/>
    <mergeCell ref="P17:Q17"/>
    <mergeCell ref="R17:S17"/>
    <mergeCell ref="T17:U17"/>
    <mergeCell ref="W17:X17"/>
    <mergeCell ref="D20:E20"/>
    <mergeCell ref="H20:I20"/>
    <mergeCell ref="K20:M20"/>
    <mergeCell ref="P20:Q20"/>
    <mergeCell ref="R20:S20"/>
    <mergeCell ref="T20:U20"/>
    <mergeCell ref="W20:X20"/>
    <mergeCell ref="D19:E19"/>
    <mergeCell ref="H19:I19"/>
    <mergeCell ref="K19:M19"/>
    <mergeCell ref="P19:Q19"/>
    <mergeCell ref="R19:S19"/>
    <mergeCell ref="T19:U19"/>
    <mergeCell ref="W19:X19"/>
    <mergeCell ref="D22:E22"/>
    <mergeCell ref="H22:I22"/>
    <mergeCell ref="K22:M22"/>
    <mergeCell ref="P22:Q22"/>
    <mergeCell ref="R22:S22"/>
    <mergeCell ref="T22:U22"/>
    <mergeCell ref="W22:X22"/>
    <mergeCell ref="D21:E21"/>
    <mergeCell ref="H21:I21"/>
    <mergeCell ref="K21:M21"/>
    <mergeCell ref="P21:Q21"/>
    <mergeCell ref="R21:S21"/>
    <mergeCell ref="T21:U21"/>
    <mergeCell ref="W21:X21"/>
    <mergeCell ref="D23:E23"/>
    <mergeCell ref="H23:I23"/>
    <mergeCell ref="K23:M23"/>
    <mergeCell ref="P23:Q23"/>
    <mergeCell ref="R23:S23"/>
    <mergeCell ref="T23:U23"/>
    <mergeCell ref="W24:X24"/>
    <mergeCell ref="K25:M25"/>
    <mergeCell ref="P25:Q25"/>
    <mergeCell ref="R25:S25"/>
    <mergeCell ref="T25:U25"/>
    <mergeCell ref="W25:X25"/>
    <mergeCell ref="W23:X23"/>
    <mergeCell ref="R24:S24"/>
    <mergeCell ref="T24:U24"/>
    <mergeCell ref="D29:E29"/>
    <mergeCell ref="H24:I24"/>
    <mergeCell ref="H25:I25"/>
    <mergeCell ref="H26:I26"/>
    <mergeCell ref="H27:I27"/>
    <mergeCell ref="H28:I28"/>
    <mergeCell ref="H29:I29"/>
    <mergeCell ref="K26:M26"/>
    <mergeCell ref="P26:Q26"/>
    <mergeCell ref="K29:M29"/>
    <mergeCell ref="P29:Q29"/>
    <mergeCell ref="D24:E24"/>
    <mergeCell ref="D25:E25"/>
    <mergeCell ref="D26:E26"/>
    <mergeCell ref="D27:E27"/>
    <mergeCell ref="D28:E28"/>
    <mergeCell ref="K24:M24"/>
    <mergeCell ref="P24:Q24"/>
    <mergeCell ref="R29:S29"/>
    <mergeCell ref="T29:U29"/>
    <mergeCell ref="W29:X29"/>
    <mergeCell ref="W26:X26"/>
    <mergeCell ref="K27:M27"/>
    <mergeCell ref="P27:Q27"/>
    <mergeCell ref="R27:S27"/>
    <mergeCell ref="T27:U27"/>
    <mergeCell ref="W27:X27"/>
    <mergeCell ref="K28:M28"/>
    <mergeCell ref="P28:Q28"/>
    <mergeCell ref="R28:S28"/>
    <mergeCell ref="T28:U28"/>
    <mergeCell ref="W28:X28"/>
    <mergeCell ref="R26:S26"/>
    <mergeCell ref="T26:U26"/>
  </mergeCells>
  <pageMargins left="0.7" right="0.7" top="0.75" bottom="0.75" header="0.3" footer="0.3"/>
  <pageSetup paperSize="8" scale="72" fitToHeight="0"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pageSetUpPr fitToPage="1"/>
  </sheetPr>
  <dimension ref="A1:I27"/>
  <sheetViews>
    <sheetView zoomScaleNormal="100" workbookViewId="0">
      <selection activeCell="H23" sqref="H23"/>
    </sheetView>
  </sheetViews>
  <sheetFormatPr defaultRowHeight="15"/>
  <cols>
    <col min="2" max="2" width="25.140625" customWidth="1"/>
    <col min="3" max="3" width="30.140625" customWidth="1"/>
    <col min="4" max="4" width="30.7109375" customWidth="1"/>
    <col min="5" max="5" width="22.5703125" customWidth="1"/>
    <col min="6" max="6" width="24.5703125" customWidth="1"/>
    <col min="7" max="7" width="23.85546875" customWidth="1"/>
    <col min="8" max="8" width="17.28515625" customWidth="1"/>
    <col min="9" max="9" width="17.140625" customWidth="1"/>
  </cols>
  <sheetData>
    <row r="1" spans="1:9" ht="15.75" thickBot="1"/>
    <row r="2" spans="1:9" ht="45.75" thickBot="1">
      <c r="B2" s="1491" t="s">
        <v>3836</v>
      </c>
      <c r="C2" s="1492" t="s">
        <v>3837</v>
      </c>
      <c r="D2" s="1492" t="s">
        <v>3838</v>
      </c>
      <c r="E2" s="1493" t="s">
        <v>3840</v>
      </c>
      <c r="F2" s="1489" t="s">
        <v>3855</v>
      </c>
      <c r="G2" s="1489" t="s">
        <v>3856</v>
      </c>
      <c r="H2" s="1489" t="s">
        <v>3857</v>
      </c>
      <c r="I2" s="1489" t="s">
        <v>4167</v>
      </c>
    </row>
    <row r="3" spans="1:9" ht="75.75" thickBot="1">
      <c r="A3">
        <v>1</v>
      </c>
      <c r="B3" s="1490" t="s">
        <v>3839</v>
      </c>
      <c r="C3" s="1490" t="s">
        <v>425</v>
      </c>
      <c r="D3" s="1490" t="s">
        <v>1228</v>
      </c>
      <c r="E3" s="1617">
        <f>SUM(F3:G3)</f>
        <v>60704</v>
      </c>
      <c r="F3" s="1523">
        <v>51598</v>
      </c>
      <c r="G3" s="1523">
        <v>9106</v>
      </c>
      <c r="H3" s="1488">
        <f>SUM(E3*20/80)</f>
        <v>15176</v>
      </c>
      <c r="I3" s="1523">
        <f t="shared" ref="I3:I25" si="0">SUBTOTAL(9,F3:H3)</f>
        <v>75880</v>
      </c>
    </row>
    <row r="4" spans="1:9" ht="45.75" thickBot="1">
      <c r="A4">
        <f>A3+1</f>
        <v>2</v>
      </c>
      <c r="B4" s="1484" t="s">
        <v>3839</v>
      </c>
      <c r="C4" s="1484" t="s">
        <v>432</v>
      </c>
      <c r="D4" s="1484" t="s">
        <v>1235</v>
      </c>
      <c r="E4" s="1617">
        <v>56793</v>
      </c>
      <c r="F4" s="1488">
        <f t="shared" ref="F4:F5" si="1">(E4*85)/100</f>
        <v>48274.05</v>
      </c>
      <c r="G4" s="1488">
        <f t="shared" ref="G4:G24" si="2">(E4*15)/100</f>
        <v>8518.9500000000007</v>
      </c>
      <c r="H4" s="1523">
        <v>88979</v>
      </c>
      <c r="I4" s="1523">
        <f t="shared" si="0"/>
        <v>145772</v>
      </c>
    </row>
    <row r="5" spans="1:9" ht="75.75" thickBot="1">
      <c r="A5">
        <f t="shared" ref="A5:A24" si="3">A4+1</f>
        <v>3</v>
      </c>
      <c r="B5" s="1484" t="s">
        <v>3839</v>
      </c>
      <c r="C5" s="1484" t="s">
        <v>429</v>
      </c>
      <c r="D5" s="1484" t="s">
        <v>1232</v>
      </c>
      <c r="E5" s="1617">
        <v>94389</v>
      </c>
      <c r="F5" s="1488">
        <f t="shared" si="1"/>
        <v>80230.649999999994</v>
      </c>
      <c r="G5" s="1488">
        <f t="shared" si="2"/>
        <v>14158.35</v>
      </c>
      <c r="H5" s="1523">
        <v>23973</v>
      </c>
      <c r="I5" s="1523">
        <f t="shared" si="0"/>
        <v>118362</v>
      </c>
    </row>
    <row r="6" spans="1:9" ht="60.75" thickBot="1">
      <c r="A6">
        <f t="shared" si="3"/>
        <v>4</v>
      </c>
      <c r="B6" s="1483" t="s">
        <v>3839</v>
      </c>
      <c r="C6" s="1483" t="s">
        <v>418</v>
      </c>
      <c r="D6" s="1483" t="s">
        <v>1221</v>
      </c>
      <c r="E6" s="1617">
        <v>200000</v>
      </c>
      <c r="F6" s="1488">
        <f t="shared" ref="F6:F24" si="4">(E6*85)/100</f>
        <v>170000</v>
      </c>
      <c r="G6" s="1488">
        <f t="shared" si="2"/>
        <v>30000</v>
      </c>
      <c r="H6" s="1523">
        <v>50309.29</v>
      </c>
      <c r="I6" s="1523">
        <f t="shared" si="0"/>
        <v>250309.29</v>
      </c>
    </row>
    <row r="7" spans="1:9" ht="60.75" thickBot="1">
      <c r="A7">
        <f t="shared" si="3"/>
        <v>5</v>
      </c>
      <c r="B7" s="1484" t="s">
        <v>3839</v>
      </c>
      <c r="C7" s="1484" t="s">
        <v>417</v>
      </c>
      <c r="D7" s="1484" t="s">
        <v>1220</v>
      </c>
      <c r="E7" s="1617">
        <v>200000</v>
      </c>
      <c r="F7" s="1488">
        <f t="shared" si="4"/>
        <v>170000</v>
      </c>
      <c r="G7" s="1488">
        <f t="shared" si="2"/>
        <v>30000</v>
      </c>
      <c r="H7" s="1523">
        <v>52211.6</v>
      </c>
      <c r="I7" s="1523">
        <f t="shared" si="0"/>
        <v>252211.6</v>
      </c>
    </row>
    <row r="8" spans="1:9" ht="75.75" thickBot="1">
      <c r="A8">
        <f t="shared" si="3"/>
        <v>6</v>
      </c>
      <c r="B8" s="1483" t="s">
        <v>3839</v>
      </c>
      <c r="C8" s="1483" t="s">
        <v>422</v>
      </c>
      <c r="D8" s="1483" t="s">
        <v>1225</v>
      </c>
      <c r="E8" s="1617">
        <v>122852</v>
      </c>
      <c r="F8" s="1488">
        <f t="shared" si="4"/>
        <v>104424.2</v>
      </c>
      <c r="G8" s="1488">
        <f t="shared" si="2"/>
        <v>18427.8</v>
      </c>
      <c r="H8" s="1523">
        <v>67904</v>
      </c>
      <c r="I8" s="1523">
        <f t="shared" si="0"/>
        <v>190756</v>
      </c>
    </row>
    <row r="9" spans="1:9" ht="45.75" thickBot="1">
      <c r="A9">
        <f t="shared" si="3"/>
        <v>7</v>
      </c>
      <c r="B9" s="1484" t="s">
        <v>3839</v>
      </c>
      <c r="C9" s="1484" t="s">
        <v>423</v>
      </c>
      <c r="D9" s="1484" t="s">
        <v>1226</v>
      </c>
      <c r="E9" s="1617">
        <v>200000</v>
      </c>
      <c r="F9" s="1488">
        <f t="shared" si="4"/>
        <v>170000</v>
      </c>
      <c r="G9" s="1488">
        <f t="shared" si="2"/>
        <v>30000</v>
      </c>
      <c r="H9" s="1523">
        <v>47392.46</v>
      </c>
      <c r="I9" s="1523">
        <f t="shared" si="0"/>
        <v>247392.46</v>
      </c>
    </row>
    <row r="10" spans="1:9" ht="60.75" thickBot="1">
      <c r="A10">
        <f t="shared" si="3"/>
        <v>8</v>
      </c>
      <c r="B10" s="1483" t="s">
        <v>3839</v>
      </c>
      <c r="C10" s="1483" t="s">
        <v>426</v>
      </c>
      <c r="D10" s="1483" t="s">
        <v>1229</v>
      </c>
      <c r="E10" s="1617">
        <v>96399</v>
      </c>
      <c r="F10" s="1488">
        <f t="shared" si="4"/>
        <v>81939.149999999994</v>
      </c>
      <c r="G10" s="1488">
        <f t="shared" si="2"/>
        <v>14459.85</v>
      </c>
      <c r="H10" s="1523">
        <v>44913</v>
      </c>
      <c r="I10" s="1523">
        <f t="shared" si="0"/>
        <v>141312</v>
      </c>
    </row>
    <row r="11" spans="1:9" ht="60.75" thickBot="1">
      <c r="A11">
        <f t="shared" si="3"/>
        <v>9</v>
      </c>
      <c r="B11" s="1483" t="s">
        <v>3841</v>
      </c>
      <c r="C11" s="1483" t="s">
        <v>3842</v>
      </c>
      <c r="D11" s="1483" t="s">
        <v>1214</v>
      </c>
      <c r="E11" s="1617">
        <v>159115</v>
      </c>
      <c r="F11" s="1488">
        <f t="shared" si="4"/>
        <v>135247.75</v>
      </c>
      <c r="G11" s="1488">
        <f t="shared" si="2"/>
        <v>23867.25</v>
      </c>
      <c r="H11" s="1523">
        <v>91651</v>
      </c>
      <c r="I11" s="1523">
        <f t="shared" si="0"/>
        <v>250766</v>
      </c>
    </row>
    <row r="12" spans="1:9" ht="60.75" thickBot="1">
      <c r="A12">
        <f t="shared" si="3"/>
        <v>10</v>
      </c>
      <c r="B12" s="1484" t="s">
        <v>3841</v>
      </c>
      <c r="C12" s="1484" t="s">
        <v>3843</v>
      </c>
      <c r="D12" s="1484" t="s">
        <v>1215</v>
      </c>
      <c r="E12" s="1617">
        <v>121071</v>
      </c>
      <c r="F12" s="1488">
        <f t="shared" si="4"/>
        <v>102910.35</v>
      </c>
      <c r="G12" s="1488">
        <f t="shared" si="2"/>
        <v>18160.650000000001</v>
      </c>
      <c r="H12" s="1523">
        <v>66968</v>
      </c>
      <c r="I12" s="1523">
        <f t="shared" si="0"/>
        <v>188039</v>
      </c>
    </row>
    <row r="13" spans="1:9" ht="60.75" thickBot="1">
      <c r="A13">
        <f t="shared" si="3"/>
        <v>11</v>
      </c>
      <c r="B13" s="1483" t="s">
        <v>3841</v>
      </c>
      <c r="C13" s="1483" t="s">
        <v>3844</v>
      </c>
      <c r="D13" s="1483" t="s">
        <v>1218</v>
      </c>
      <c r="E13" s="1617">
        <v>128044</v>
      </c>
      <c r="F13" s="1488">
        <f t="shared" si="4"/>
        <v>108837.4</v>
      </c>
      <c r="G13" s="1488">
        <f t="shared" si="2"/>
        <v>19206.599999999999</v>
      </c>
      <c r="H13" s="1523">
        <v>137032</v>
      </c>
      <c r="I13" s="1523">
        <f t="shared" si="0"/>
        <v>265076</v>
      </c>
    </row>
    <row r="14" spans="1:9" ht="60.75" thickBot="1">
      <c r="A14">
        <f t="shared" si="3"/>
        <v>12</v>
      </c>
      <c r="B14" s="1484" t="s">
        <v>3841</v>
      </c>
      <c r="C14" s="1484" t="s">
        <v>3845</v>
      </c>
      <c r="D14" s="1484" t="s">
        <v>1216</v>
      </c>
      <c r="E14" s="1617">
        <v>154446</v>
      </c>
      <c r="F14" s="1488">
        <f t="shared" si="4"/>
        <v>131279.1</v>
      </c>
      <c r="G14" s="1488">
        <f t="shared" si="2"/>
        <v>23166.9</v>
      </c>
      <c r="H14" s="1523">
        <v>67873</v>
      </c>
      <c r="I14" s="1523">
        <f t="shared" si="0"/>
        <v>222319</v>
      </c>
    </row>
    <row r="15" spans="1:9" ht="48" thickBot="1">
      <c r="A15">
        <f t="shared" si="3"/>
        <v>13</v>
      </c>
      <c r="B15" s="1485" t="s">
        <v>3846</v>
      </c>
      <c r="C15" s="1485" t="s">
        <v>431</v>
      </c>
      <c r="D15" s="1485" t="s">
        <v>1234</v>
      </c>
      <c r="E15" s="1617">
        <v>136000</v>
      </c>
      <c r="F15" s="1488">
        <f t="shared" si="4"/>
        <v>115600</v>
      </c>
      <c r="G15" s="1488">
        <f t="shared" si="2"/>
        <v>20400</v>
      </c>
      <c r="H15" s="1488">
        <f t="shared" ref="H15:H24" si="5">SUM(E15*20)/80</f>
        <v>34000</v>
      </c>
      <c r="I15" s="1488">
        <f t="shared" si="0"/>
        <v>170000</v>
      </c>
    </row>
    <row r="16" spans="1:9" ht="63.75" thickBot="1">
      <c r="A16">
        <f t="shared" si="3"/>
        <v>14</v>
      </c>
      <c r="B16" s="1486" t="s">
        <v>3846</v>
      </c>
      <c r="C16" s="1486" t="s">
        <v>421</v>
      </c>
      <c r="D16" s="1486" t="s">
        <v>1224</v>
      </c>
      <c r="E16" s="1617">
        <v>100000</v>
      </c>
      <c r="F16" s="1488">
        <f t="shared" si="4"/>
        <v>85000</v>
      </c>
      <c r="G16" s="1488">
        <f t="shared" si="2"/>
        <v>15000</v>
      </c>
      <c r="H16" s="1488">
        <f t="shared" si="5"/>
        <v>25000</v>
      </c>
      <c r="I16" s="1488">
        <f t="shared" si="0"/>
        <v>125000</v>
      </c>
    </row>
    <row r="17" spans="1:9" ht="48" thickBot="1">
      <c r="A17">
        <f t="shared" si="3"/>
        <v>15</v>
      </c>
      <c r="B17" s="1485" t="s">
        <v>3847</v>
      </c>
      <c r="C17" s="1485" t="s">
        <v>416</v>
      </c>
      <c r="D17" s="1485" t="s">
        <v>1219</v>
      </c>
      <c r="E17" s="1617">
        <v>159928</v>
      </c>
      <c r="F17" s="1488">
        <f t="shared" si="4"/>
        <v>135938.79999999999</v>
      </c>
      <c r="G17" s="1488">
        <f t="shared" si="2"/>
        <v>23989.200000000001</v>
      </c>
      <c r="H17" s="1523">
        <v>41071</v>
      </c>
      <c r="I17" s="1523">
        <f t="shared" si="0"/>
        <v>200999</v>
      </c>
    </row>
    <row r="18" spans="1:9" ht="48" thickBot="1">
      <c r="A18">
        <f t="shared" si="3"/>
        <v>16</v>
      </c>
      <c r="B18" s="1486" t="s">
        <v>3848</v>
      </c>
      <c r="C18" s="1486" t="s">
        <v>419</v>
      </c>
      <c r="D18" s="1486" t="s">
        <v>1222</v>
      </c>
      <c r="E18" s="1617">
        <v>200000</v>
      </c>
      <c r="F18" s="1488">
        <f t="shared" si="4"/>
        <v>170000</v>
      </c>
      <c r="G18" s="1488">
        <f t="shared" si="2"/>
        <v>30000</v>
      </c>
      <c r="H18" s="1488">
        <f t="shared" si="5"/>
        <v>50000</v>
      </c>
      <c r="I18" s="1488">
        <f t="shared" si="0"/>
        <v>250000</v>
      </c>
    </row>
    <row r="19" spans="1:9" ht="48" thickBot="1">
      <c r="A19">
        <f t="shared" si="3"/>
        <v>17</v>
      </c>
      <c r="B19" s="1485" t="s">
        <v>3848</v>
      </c>
      <c r="C19" s="1485" t="s">
        <v>420</v>
      </c>
      <c r="D19" s="1485" t="s">
        <v>1223</v>
      </c>
      <c r="E19" s="1617">
        <v>187540</v>
      </c>
      <c r="F19" s="1488">
        <f t="shared" si="4"/>
        <v>159409</v>
      </c>
      <c r="G19" s="1488">
        <f t="shared" si="2"/>
        <v>28131</v>
      </c>
      <c r="H19" s="1523">
        <v>62460</v>
      </c>
      <c r="I19" s="1523">
        <f t="shared" si="0"/>
        <v>250000</v>
      </c>
    </row>
    <row r="20" spans="1:9" ht="63.75" thickBot="1">
      <c r="A20">
        <f t="shared" si="3"/>
        <v>18</v>
      </c>
      <c r="B20" s="1486" t="s">
        <v>3848</v>
      </c>
      <c r="C20" s="1486" t="s">
        <v>414</v>
      </c>
      <c r="D20" s="1486" t="s">
        <v>1217</v>
      </c>
      <c r="E20" s="1617">
        <v>98528</v>
      </c>
      <c r="F20" s="1488">
        <f t="shared" si="4"/>
        <v>83748.800000000003</v>
      </c>
      <c r="G20" s="1488">
        <f t="shared" si="2"/>
        <v>14779.2</v>
      </c>
      <c r="H20" s="1488">
        <f t="shared" si="5"/>
        <v>24632</v>
      </c>
      <c r="I20" s="1488">
        <f t="shared" si="0"/>
        <v>123160</v>
      </c>
    </row>
    <row r="21" spans="1:9" ht="90.75" thickBot="1">
      <c r="A21">
        <f t="shared" si="3"/>
        <v>19</v>
      </c>
      <c r="B21" s="1483" t="s">
        <v>3849</v>
      </c>
      <c r="C21" s="1483" t="s">
        <v>3850</v>
      </c>
      <c r="D21" s="1483" t="s">
        <v>1231</v>
      </c>
      <c r="E21" s="1617">
        <v>200000</v>
      </c>
      <c r="F21" s="1488">
        <f t="shared" si="4"/>
        <v>170000</v>
      </c>
      <c r="G21" s="1488">
        <f t="shared" si="2"/>
        <v>30000</v>
      </c>
      <c r="H21" s="1488">
        <f t="shared" si="5"/>
        <v>50000</v>
      </c>
      <c r="I21" s="1488">
        <f t="shared" si="0"/>
        <v>250000</v>
      </c>
    </row>
    <row r="22" spans="1:9" ht="45.75" thickBot="1">
      <c r="A22">
        <f t="shared" si="3"/>
        <v>20</v>
      </c>
      <c r="B22" s="1484" t="s">
        <v>3851</v>
      </c>
      <c r="C22" s="1484" t="s">
        <v>3852</v>
      </c>
      <c r="D22" s="1484" t="s">
        <v>1230</v>
      </c>
      <c r="E22" s="1617">
        <v>92499</v>
      </c>
      <c r="F22" s="1488">
        <f t="shared" si="4"/>
        <v>78624.149999999994</v>
      </c>
      <c r="G22" s="1488">
        <f t="shared" si="2"/>
        <v>13874.85</v>
      </c>
      <c r="H22" s="1523">
        <v>23125</v>
      </c>
      <c r="I22" s="1523">
        <f t="shared" si="0"/>
        <v>115624</v>
      </c>
    </row>
    <row r="23" spans="1:9" ht="60.75" thickBot="1">
      <c r="A23">
        <f t="shared" si="3"/>
        <v>21</v>
      </c>
      <c r="B23" s="1483" t="s">
        <v>3851</v>
      </c>
      <c r="C23" s="1483" t="s">
        <v>3853</v>
      </c>
      <c r="D23" s="1483" t="s">
        <v>1227</v>
      </c>
      <c r="E23" s="1621">
        <v>172500.8</v>
      </c>
      <c r="F23" s="1523">
        <f t="shared" si="4"/>
        <v>146625.68</v>
      </c>
      <c r="G23" s="1523">
        <f t="shared" si="2"/>
        <v>25875.119999999999</v>
      </c>
      <c r="H23" s="1523">
        <v>43125.2</v>
      </c>
      <c r="I23" s="1523">
        <f t="shared" si="0"/>
        <v>215626</v>
      </c>
    </row>
    <row r="24" spans="1:9" ht="105.75" thickBot="1">
      <c r="A24">
        <f t="shared" si="3"/>
        <v>22</v>
      </c>
      <c r="B24" s="1484" t="s">
        <v>3851</v>
      </c>
      <c r="C24" s="1484" t="s">
        <v>3854</v>
      </c>
      <c r="D24" s="1484" t="s">
        <v>1233</v>
      </c>
      <c r="E24" s="1617">
        <v>200000</v>
      </c>
      <c r="F24" s="1488">
        <f t="shared" si="4"/>
        <v>170000</v>
      </c>
      <c r="G24" s="1488">
        <f t="shared" si="2"/>
        <v>30000</v>
      </c>
      <c r="H24" s="1488">
        <f t="shared" si="5"/>
        <v>50000</v>
      </c>
      <c r="I24" s="1488">
        <f t="shared" si="0"/>
        <v>250000</v>
      </c>
    </row>
    <row r="25" spans="1:9" ht="45.75" thickBot="1">
      <c r="B25" s="1483" t="s">
        <v>342</v>
      </c>
      <c r="C25" s="1483" t="s">
        <v>433</v>
      </c>
      <c r="D25" s="1483"/>
      <c r="E25" s="1487">
        <v>122596.2</v>
      </c>
      <c r="F25" s="1488">
        <f t="shared" ref="F25" si="6">(E25*85)/100</f>
        <v>104206.77</v>
      </c>
      <c r="G25" s="1488">
        <f t="shared" ref="G25" si="7">(E25*15)/100</f>
        <v>18389.43</v>
      </c>
      <c r="H25" s="1523">
        <v>37451.800000000003</v>
      </c>
      <c r="I25" s="1523">
        <f t="shared" si="0"/>
        <v>160048</v>
      </c>
    </row>
    <row r="27" spans="1:9">
      <c r="E27" s="233">
        <f>SUM(E3:E26)</f>
        <v>3263405</v>
      </c>
    </row>
  </sheetData>
  <autoFilter ref="B2:H25" xr:uid="{00000000-0009-0000-0000-000024000000}"/>
  <pageMargins left="0.7" right="0.7" top="0.75" bottom="0.75" header="0.3" footer="0.3"/>
  <pageSetup paperSize="9" scale="65" fitToHeight="0"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P134"/>
  <sheetViews>
    <sheetView workbookViewId="0">
      <selection sqref="A1:P1"/>
    </sheetView>
  </sheetViews>
  <sheetFormatPr defaultRowHeight="15"/>
  <cols>
    <col min="1" max="1" width="32.5703125" style="21" customWidth="1"/>
    <col min="2" max="2" width="32" style="21" customWidth="1"/>
    <col min="3" max="3" width="20.28515625" style="21" customWidth="1"/>
    <col min="4" max="4" width="0" style="21" hidden="1" customWidth="1"/>
    <col min="5" max="5" width="19.42578125" style="21" customWidth="1"/>
    <col min="6" max="6" width="13.5703125" style="21" customWidth="1"/>
    <col min="7" max="7" width="36.5703125" style="21" customWidth="1"/>
    <col min="8" max="8" width="15.140625" style="21" customWidth="1"/>
    <col min="9" max="9" width="18" style="21" customWidth="1"/>
    <col min="10" max="10" width="17.28515625" style="21" customWidth="1"/>
    <col min="11" max="11" width="27.140625" style="21" customWidth="1"/>
    <col min="12" max="12" width="21.5703125" style="21" customWidth="1"/>
    <col min="13" max="13" width="19.28515625" style="21" customWidth="1"/>
    <col min="14" max="14" width="19.7109375" style="21" customWidth="1"/>
    <col min="15" max="15" width="24.5703125" style="21" customWidth="1"/>
    <col min="16" max="16" width="23.7109375" style="21" customWidth="1"/>
    <col min="17" max="256" width="9.140625" style="21"/>
    <col min="257" max="257" width="32.5703125" style="21" customWidth="1"/>
    <col min="258" max="258" width="32" style="21" customWidth="1"/>
    <col min="259" max="259" width="20.28515625" style="21" customWidth="1"/>
    <col min="260" max="260" width="0" style="21" hidden="1" customWidth="1"/>
    <col min="261" max="261" width="19.42578125" style="21" customWidth="1"/>
    <col min="262" max="262" width="13.5703125" style="21" customWidth="1"/>
    <col min="263" max="263" width="36.5703125" style="21" customWidth="1"/>
    <col min="264" max="264" width="15.140625" style="21" customWidth="1"/>
    <col min="265" max="265" width="18" style="21" customWidth="1"/>
    <col min="266" max="266" width="17.28515625" style="21" customWidth="1"/>
    <col min="267" max="267" width="27.140625" style="21" customWidth="1"/>
    <col min="268" max="268" width="21.5703125" style="21" customWidth="1"/>
    <col min="269" max="269" width="19.28515625" style="21" customWidth="1"/>
    <col min="270" max="270" width="19.7109375" style="21" customWidth="1"/>
    <col min="271" max="271" width="24.5703125" style="21" customWidth="1"/>
    <col min="272" max="272" width="23.7109375" style="21" customWidth="1"/>
    <col min="273" max="512" width="9.140625" style="21"/>
    <col min="513" max="513" width="32.5703125" style="21" customWidth="1"/>
    <col min="514" max="514" width="32" style="21" customWidth="1"/>
    <col min="515" max="515" width="20.28515625" style="21" customWidth="1"/>
    <col min="516" max="516" width="0" style="21" hidden="1" customWidth="1"/>
    <col min="517" max="517" width="19.42578125" style="21" customWidth="1"/>
    <col min="518" max="518" width="13.5703125" style="21" customWidth="1"/>
    <col min="519" max="519" width="36.5703125" style="21" customWidth="1"/>
    <col min="520" max="520" width="15.140625" style="21" customWidth="1"/>
    <col min="521" max="521" width="18" style="21" customWidth="1"/>
    <col min="522" max="522" width="17.28515625" style="21" customWidth="1"/>
    <col min="523" max="523" width="27.140625" style="21" customWidth="1"/>
    <col min="524" max="524" width="21.5703125" style="21" customWidth="1"/>
    <col min="525" max="525" width="19.28515625" style="21" customWidth="1"/>
    <col min="526" max="526" width="19.7109375" style="21" customWidth="1"/>
    <col min="527" max="527" width="24.5703125" style="21" customWidth="1"/>
    <col min="528" max="528" width="23.7109375" style="21" customWidth="1"/>
    <col min="529" max="768" width="9.140625" style="21"/>
    <col min="769" max="769" width="32.5703125" style="21" customWidth="1"/>
    <col min="770" max="770" width="32" style="21" customWidth="1"/>
    <col min="771" max="771" width="20.28515625" style="21" customWidth="1"/>
    <col min="772" max="772" width="0" style="21" hidden="1" customWidth="1"/>
    <col min="773" max="773" width="19.42578125" style="21" customWidth="1"/>
    <col min="774" max="774" width="13.5703125" style="21" customWidth="1"/>
    <col min="775" max="775" width="36.5703125" style="21" customWidth="1"/>
    <col min="776" max="776" width="15.140625" style="21" customWidth="1"/>
    <col min="777" max="777" width="18" style="21" customWidth="1"/>
    <col min="778" max="778" width="17.28515625" style="21" customWidth="1"/>
    <col min="779" max="779" width="27.140625" style="21" customWidth="1"/>
    <col min="780" max="780" width="21.5703125" style="21" customWidth="1"/>
    <col min="781" max="781" width="19.28515625" style="21" customWidth="1"/>
    <col min="782" max="782" width="19.7109375" style="21" customWidth="1"/>
    <col min="783" max="783" width="24.5703125" style="21" customWidth="1"/>
    <col min="784" max="784" width="23.7109375" style="21" customWidth="1"/>
    <col min="785" max="1024" width="9.140625" style="21"/>
    <col min="1025" max="1025" width="32.5703125" style="21" customWidth="1"/>
    <col min="1026" max="1026" width="32" style="21" customWidth="1"/>
    <col min="1027" max="1027" width="20.28515625" style="21" customWidth="1"/>
    <col min="1028" max="1028" width="0" style="21" hidden="1" customWidth="1"/>
    <col min="1029" max="1029" width="19.42578125" style="21" customWidth="1"/>
    <col min="1030" max="1030" width="13.5703125" style="21" customWidth="1"/>
    <col min="1031" max="1031" width="36.5703125" style="21" customWidth="1"/>
    <col min="1032" max="1032" width="15.140625" style="21" customWidth="1"/>
    <col min="1033" max="1033" width="18" style="21" customWidth="1"/>
    <col min="1034" max="1034" width="17.28515625" style="21" customWidth="1"/>
    <col min="1035" max="1035" width="27.140625" style="21" customWidth="1"/>
    <col min="1036" max="1036" width="21.5703125" style="21" customWidth="1"/>
    <col min="1037" max="1037" width="19.28515625" style="21" customWidth="1"/>
    <col min="1038" max="1038" width="19.7109375" style="21" customWidth="1"/>
    <col min="1039" max="1039" width="24.5703125" style="21" customWidth="1"/>
    <col min="1040" max="1040" width="23.7109375" style="21" customWidth="1"/>
    <col min="1041" max="1280" width="9.140625" style="21"/>
    <col min="1281" max="1281" width="32.5703125" style="21" customWidth="1"/>
    <col min="1282" max="1282" width="32" style="21" customWidth="1"/>
    <col min="1283" max="1283" width="20.28515625" style="21" customWidth="1"/>
    <col min="1284" max="1284" width="0" style="21" hidden="1" customWidth="1"/>
    <col min="1285" max="1285" width="19.42578125" style="21" customWidth="1"/>
    <col min="1286" max="1286" width="13.5703125" style="21" customWidth="1"/>
    <col min="1287" max="1287" width="36.5703125" style="21" customWidth="1"/>
    <col min="1288" max="1288" width="15.140625" style="21" customWidth="1"/>
    <col min="1289" max="1289" width="18" style="21" customWidth="1"/>
    <col min="1290" max="1290" width="17.28515625" style="21" customWidth="1"/>
    <col min="1291" max="1291" width="27.140625" style="21" customWidth="1"/>
    <col min="1292" max="1292" width="21.5703125" style="21" customWidth="1"/>
    <col min="1293" max="1293" width="19.28515625" style="21" customWidth="1"/>
    <col min="1294" max="1294" width="19.7109375" style="21" customWidth="1"/>
    <col min="1295" max="1295" width="24.5703125" style="21" customWidth="1"/>
    <col min="1296" max="1296" width="23.7109375" style="21" customWidth="1"/>
    <col min="1297" max="1536" width="9.140625" style="21"/>
    <col min="1537" max="1537" width="32.5703125" style="21" customWidth="1"/>
    <col min="1538" max="1538" width="32" style="21" customWidth="1"/>
    <col min="1539" max="1539" width="20.28515625" style="21" customWidth="1"/>
    <col min="1540" max="1540" width="0" style="21" hidden="1" customWidth="1"/>
    <col min="1541" max="1541" width="19.42578125" style="21" customWidth="1"/>
    <col min="1542" max="1542" width="13.5703125" style="21" customWidth="1"/>
    <col min="1543" max="1543" width="36.5703125" style="21" customWidth="1"/>
    <col min="1544" max="1544" width="15.140625" style="21" customWidth="1"/>
    <col min="1545" max="1545" width="18" style="21" customWidth="1"/>
    <col min="1546" max="1546" width="17.28515625" style="21" customWidth="1"/>
    <col min="1547" max="1547" width="27.140625" style="21" customWidth="1"/>
    <col min="1548" max="1548" width="21.5703125" style="21" customWidth="1"/>
    <col min="1549" max="1549" width="19.28515625" style="21" customWidth="1"/>
    <col min="1550" max="1550" width="19.7109375" style="21" customWidth="1"/>
    <col min="1551" max="1551" width="24.5703125" style="21" customWidth="1"/>
    <col min="1552" max="1552" width="23.7109375" style="21" customWidth="1"/>
    <col min="1553" max="1792" width="9.140625" style="21"/>
    <col min="1793" max="1793" width="32.5703125" style="21" customWidth="1"/>
    <col min="1794" max="1794" width="32" style="21" customWidth="1"/>
    <col min="1795" max="1795" width="20.28515625" style="21" customWidth="1"/>
    <col min="1796" max="1796" width="0" style="21" hidden="1" customWidth="1"/>
    <col min="1797" max="1797" width="19.42578125" style="21" customWidth="1"/>
    <col min="1798" max="1798" width="13.5703125" style="21" customWidth="1"/>
    <col min="1799" max="1799" width="36.5703125" style="21" customWidth="1"/>
    <col min="1800" max="1800" width="15.140625" style="21" customWidth="1"/>
    <col min="1801" max="1801" width="18" style="21" customWidth="1"/>
    <col min="1802" max="1802" width="17.28515625" style="21" customWidth="1"/>
    <col min="1803" max="1803" width="27.140625" style="21" customWidth="1"/>
    <col min="1804" max="1804" width="21.5703125" style="21" customWidth="1"/>
    <col min="1805" max="1805" width="19.28515625" style="21" customWidth="1"/>
    <col min="1806" max="1806" width="19.7109375" style="21" customWidth="1"/>
    <col min="1807" max="1807" width="24.5703125" style="21" customWidth="1"/>
    <col min="1808" max="1808" width="23.7109375" style="21" customWidth="1"/>
    <col min="1809" max="2048" width="9.140625" style="21"/>
    <col min="2049" max="2049" width="32.5703125" style="21" customWidth="1"/>
    <col min="2050" max="2050" width="32" style="21" customWidth="1"/>
    <col min="2051" max="2051" width="20.28515625" style="21" customWidth="1"/>
    <col min="2052" max="2052" width="0" style="21" hidden="1" customWidth="1"/>
    <col min="2053" max="2053" width="19.42578125" style="21" customWidth="1"/>
    <col min="2054" max="2054" width="13.5703125" style="21" customWidth="1"/>
    <col min="2055" max="2055" width="36.5703125" style="21" customWidth="1"/>
    <col min="2056" max="2056" width="15.140625" style="21" customWidth="1"/>
    <col min="2057" max="2057" width="18" style="21" customWidth="1"/>
    <col min="2058" max="2058" width="17.28515625" style="21" customWidth="1"/>
    <col min="2059" max="2059" width="27.140625" style="21" customWidth="1"/>
    <col min="2060" max="2060" width="21.5703125" style="21" customWidth="1"/>
    <col min="2061" max="2061" width="19.28515625" style="21" customWidth="1"/>
    <col min="2062" max="2062" width="19.7109375" style="21" customWidth="1"/>
    <col min="2063" max="2063" width="24.5703125" style="21" customWidth="1"/>
    <col min="2064" max="2064" width="23.7109375" style="21" customWidth="1"/>
    <col min="2065" max="2304" width="9.140625" style="21"/>
    <col min="2305" max="2305" width="32.5703125" style="21" customWidth="1"/>
    <col min="2306" max="2306" width="32" style="21" customWidth="1"/>
    <col min="2307" max="2307" width="20.28515625" style="21" customWidth="1"/>
    <col min="2308" max="2308" width="0" style="21" hidden="1" customWidth="1"/>
    <col min="2309" max="2309" width="19.42578125" style="21" customWidth="1"/>
    <col min="2310" max="2310" width="13.5703125" style="21" customWidth="1"/>
    <col min="2311" max="2311" width="36.5703125" style="21" customWidth="1"/>
    <col min="2312" max="2312" width="15.140625" style="21" customWidth="1"/>
    <col min="2313" max="2313" width="18" style="21" customWidth="1"/>
    <col min="2314" max="2314" width="17.28515625" style="21" customWidth="1"/>
    <col min="2315" max="2315" width="27.140625" style="21" customWidth="1"/>
    <col min="2316" max="2316" width="21.5703125" style="21" customWidth="1"/>
    <col min="2317" max="2317" width="19.28515625" style="21" customWidth="1"/>
    <col min="2318" max="2318" width="19.7109375" style="21" customWidth="1"/>
    <col min="2319" max="2319" width="24.5703125" style="21" customWidth="1"/>
    <col min="2320" max="2320" width="23.7109375" style="21" customWidth="1"/>
    <col min="2321" max="2560" width="9.140625" style="21"/>
    <col min="2561" max="2561" width="32.5703125" style="21" customWidth="1"/>
    <col min="2562" max="2562" width="32" style="21" customWidth="1"/>
    <col min="2563" max="2563" width="20.28515625" style="21" customWidth="1"/>
    <col min="2564" max="2564" width="0" style="21" hidden="1" customWidth="1"/>
    <col min="2565" max="2565" width="19.42578125" style="21" customWidth="1"/>
    <col min="2566" max="2566" width="13.5703125" style="21" customWidth="1"/>
    <col min="2567" max="2567" width="36.5703125" style="21" customWidth="1"/>
    <col min="2568" max="2568" width="15.140625" style="21" customWidth="1"/>
    <col min="2569" max="2569" width="18" style="21" customWidth="1"/>
    <col min="2570" max="2570" width="17.28515625" style="21" customWidth="1"/>
    <col min="2571" max="2571" width="27.140625" style="21" customWidth="1"/>
    <col min="2572" max="2572" width="21.5703125" style="21" customWidth="1"/>
    <col min="2573" max="2573" width="19.28515625" style="21" customWidth="1"/>
    <col min="2574" max="2574" width="19.7109375" style="21" customWidth="1"/>
    <col min="2575" max="2575" width="24.5703125" style="21" customWidth="1"/>
    <col min="2576" max="2576" width="23.7109375" style="21" customWidth="1"/>
    <col min="2577" max="2816" width="9.140625" style="21"/>
    <col min="2817" max="2817" width="32.5703125" style="21" customWidth="1"/>
    <col min="2818" max="2818" width="32" style="21" customWidth="1"/>
    <col min="2819" max="2819" width="20.28515625" style="21" customWidth="1"/>
    <col min="2820" max="2820" width="0" style="21" hidden="1" customWidth="1"/>
    <col min="2821" max="2821" width="19.42578125" style="21" customWidth="1"/>
    <col min="2822" max="2822" width="13.5703125" style="21" customWidth="1"/>
    <col min="2823" max="2823" width="36.5703125" style="21" customWidth="1"/>
    <col min="2824" max="2824" width="15.140625" style="21" customWidth="1"/>
    <col min="2825" max="2825" width="18" style="21" customWidth="1"/>
    <col min="2826" max="2826" width="17.28515625" style="21" customWidth="1"/>
    <col min="2827" max="2827" width="27.140625" style="21" customWidth="1"/>
    <col min="2828" max="2828" width="21.5703125" style="21" customWidth="1"/>
    <col min="2829" max="2829" width="19.28515625" style="21" customWidth="1"/>
    <col min="2830" max="2830" width="19.7109375" style="21" customWidth="1"/>
    <col min="2831" max="2831" width="24.5703125" style="21" customWidth="1"/>
    <col min="2832" max="2832" width="23.7109375" style="21" customWidth="1"/>
    <col min="2833" max="3072" width="9.140625" style="21"/>
    <col min="3073" max="3073" width="32.5703125" style="21" customWidth="1"/>
    <col min="3074" max="3074" width="32" style="21" customWidth="1"/>
    <col min="3075" max="3075" width="20.28515625" style="21" customWidth="1"/>
    <col min="3076" max="3076" width="0" style="21" hidden="1" customWidth="1"/>
    <col min="3077" max="3077" width="19.42578125" style="21" customWidth="1"/>
    <col min="3078" max="3078" width="13.5703125" style="21" customWidth="1"/>
    <col min="3079" max="3079" width="36.5703125" style="21" customWidth="1"/>
    <col min="3080" max="3080" width="15.140625" style="21" customWidth="1"/>
    <col min="3081" max="3081" width="18" style="21" customWidth="1"/>
    <col min="3082" max="3082" width="17.28515625" style="21" customWidth="1"/>
    <col min="3083" max="3083" width="27.140625" style="21" customWidth="1"/>
    <col min="3084" max="3084" width="21.5703125" style="21" customWidth="1"/>
    <col min="3085" max="3085" width="19.28515625" style="21" customWidth="1"/>
    <col min="3086" max="3086" width="19.7109375" style="21" customWidth="1"/>
    <col min="3087" max="3087" width="24.5703125" style="21" customWidth="1"/>
    <col min="3088" max="3088" width="23.7109375" style="21" customWidth="1"/>
    <col min="3089" max="3328" width="9.140625" style="21"/>
    <col min="3329" max="3329" width="32.5703125" style="21" customWidth="1"/>
    <col min="3330" max="3330" width="32" style="21" customWidth="1"/>
    <col min="3331" max="3331" width="20.28515625" style="21" customWidth="1"/>
    <col min="3332" max="3332" width="0" style="21" hidden="1" customWidth="1"/>
    <col min="3333" max="3333" width="19.42578125" style="21" customWidth="1"/>
    <col min="3334" max="3334" width="13.5703125" style="21" customWidth="1"/>
    <col min="3335" max="3335" width="36.5703125" style="21" customWidth="1"/>
    <col min="3336" max="3336" width="15.140625" style="21" customWidth="1"/>
    <col min="3337" max="3337" width="18" style="21" customWidth="1"/>
    <col min="3338" max="3338" width="17.28515625" style="21" customWidth="1"/>
    <col min="3339" max="3339" width="27.140625" style="21" customWidth="1"/>
    <col min="3340" max="3340" width="21.5703125" style="21" customWidth="1"/>
    <col min="3341" max="3341" width="19.28515625" style="21" customWidth="1"/>
    <col min="3342" max="3342" width="19.7109375" style="21" customWidth="1"/>
    <col min="3343" max="3343" width="24.5703125" style="21" customWidth="1"/>
    <col min="3344" max="3344" width="23.7109375" style="21" customWidth="1"/>
    <col min="3345" max="3584" width="9.140625" style="21"/>
    <col min="3585" max="3585" width="32.5703125" style="21" customWidth="1"/>
    <col min="3586" max="3586" width="32" style="21" customWidth="1"/>
    <col min="3587" max="3587" width="20.28515625" style="21" customWidth="1"/>
    <col min="3588" max="3588" width="0" style="21" hidden="1" customWidth="1"/>
    <col min="3589" max="3589" width="19.42578125" style="21" customWidth="1"/>
    <col min="3590" max="3590" width="13.5703125" style="21" customWidth="1"/>
    <col min="3591" max="3591" width="36.5703125" style="21" customWidth="1"/>
    <col min="3592" max="3592" width="15.140625" style="21" customWidth="1"/>
    <col min="3593" max="3593" width="18" style="21" customWidth="1"/>
    <col min="3594" max="3594" width="17.28515625" style="21" customWidth="1"/>
    <col min="3595" max="3595" width="27.140625" style="21" customWidth="1"/>
    <col min="3596" max="3596" width="21.5703125" style="21" customWidth="1"/>
    <col min="3597" max="3597" width="19.28515625" style="21" customWidth="1"/>
    <col min="3598" max="3598" width="19.7109375" style="21" customWidth="1"/>
    <col min="3599" max="3599" width="24.5703125" style="21" customWidth="1"/>
    <col min="3600" max="3600" width="23.7109375" style="21" customWidth="1"/>
    <col min="3601" max="3840" width="9.140625" style="21"/>
    <col min="3841" max="3841" width="32.5703125" style="21" customWidth="1"/>
    <col min="3842" max="3842" width="32" style="21" customWidth="1"/>
    <col min="3843" max="3843" width="20.28515625" style="21" customWidth="1"/>
    <col min="3844" max="3844" width="0" style="21" hidden="1" customWidth="1"/>
    <col min="3845" max="3845" width="19.42578125" style="21" customWidth="1"/>
    <col min="3846" max="3846" width="13.5703125" style="21" customWidth="1"/>
    <col min="3847" max="3847" width="36.5703125" style="21" customWidth="1"/>
    <col min="3848" max="3848" width="15.140625" style="21" customWidth="1"/>
    <col min="3849" max="3849" width="18" style="21" customWidth="1"/>
    <col min="3850" max="3850" width="17.28515625" style="21" customWidth="1"/>
    <col min="3851" max="3851" width="27.140625" style="21" customWidth="1"/>
    <col min="3852" max="3852" width="21.5703125" style="21" customWidth="1"/>
    <col min="3853" max="3853" width="19.28515625" style="21" customWidth="1"/>
    <col min="3854" max="3854" width="19.7109375" style="21" customWidth="1"/>
    <col min="3855" max="3855" width="24.5703125" style="21" customWidth="1"/>
    <col min="3856" max="3856" width="23.7109375" style="21" customWidth="1"/>
    <col min="3857" max="4096" width="9.140625" style="21"/>
    <col min="4097" max="4097" width="32.5703125" style="21" customWidth="1"/>
    <col min="4098" max="4098" width="32" style="21" customWidth="1"/>
    <col min="4099" max="4099" width="20.28515625" style="21" customWidth="1"/>
    <col min="4100" max="4100" width="0" style="21" hidden="1" customWidth="1"/>
    <col min="4101" max="4101" width="19.42578125" style="21" customWidth="1"/>
    <col min="4102" max="4102" width="13.5703125" style="21" customWidth="1"/>
    <col min="4103" max="4103" width="36.5703125" style="21" customWidth="1"/>
    <col min="4104" max="4104" width="15.140625" style="21" customWidth="1"/>
    <col min="4105" max="4105" width="18" style="21" customWidth="1"/>
    <col min="4106" max="4106" width="17.28515625" style="21" customWidth="1"/>
    <col min="4107" max="4107" width="27.140625" style="21" customWidth="1"/>
    <col min="4108" max="4108" width="21.5703125" style="21" customWidth="1"/>
    <col min="4109" max="4109" width="19.28515625" style="21" customWidth="1"/>
    <col min="4110" max="4110" width="19.7109375" style="21" customWidth="1"/>
    <col min="4111" max="4111" width="24.5703125" style="21" customWidth="1"/>
    <col min="4112" max="4112" width="23.7109375" style="21" customWidth="1"/>
    <col min="4113" max="4352" width="9.140625" style="21"/>
    <col min="4353" max="4353" width="32.5703125" style="21" customWidth="1"/>
    <col min="4354" max="4354" width="32" style="21" customWidth="1"/>
    <col min="4355" max="4355" width="20.28515625" style="21" customWidth="1"/>
    <col min="4356" max="4356" width="0" style="21" hidden="1" customWidth="1"/>
    <col min="4357" max="4357" width="19.42578125" style="21" customWidth="1"/>
    <col min="4358" max="4358" width="13.5703125" style="21" customWidth="1"/>
    <col min="4359" max="4359" width="36.5703125" style="21" customWidth="1"/>
    <col min="4360" max="4360" width="15.140625" style="21" customWidth="1"/>
    <col min="4361" max="4361" width="18" style="21" customWidth="1"/>
    <col min="4362" max="4362" width="17.28515625" style="21" customWidth="1"/>
    <col min="4363" max="4363" width="27.140625" style="21" customWidth="1"/>
    <col min="4364" max="4364" width="21.5703125" style="21" customWidth="1"/>
    <col min="4365" max="4365" width="19.28515625" style="21" customWidth="1"/>
    <col min="4366" max="4366" width="19.7109375" style="21" customWidth="1"/>
    <col min="4367" max="4367" width="24.5703125" style="21" customWidth="1"/>
    <col min="4368" max="4368" width="23.7109375" style="21" customWidth="1"/>
    <col min="4369" max="4608" width="9.140625" style="21"/>
    <col min="4609" max="4609" width="32.5703125" style="21" customWidth="1"/>
    <col min="4610" max="4610" width="32" style="21" customWidth="1"/>
    <col min="4611" max="4611" width="20.28515625" style="21" customWidth="1"/>
    <col min="4612" max="4612" width="0" style="21" hidden="1" customWidth="1"/>
    <col min="4613" max="4613" width="19.42578125" style="21" customWidth="1"/>
    <col min="4614" max="4614" width="13.5703125" style="21" customWidth="1"/>
    <col min="4615" max="4615" width="36.5703125" style="21" customWidth="1"/>
    <col min="4616" max="4616" width="15.140625" style="21" customWidth="1"/>
    <col min="4617" max="4617" width="18" style="21" customWidth="1"/>
    <col min="4618" max="4618" width="17.28515625" style="21" customWidth="1"/>
    <col min="4619" max="4619" width="27.140625" style="21" customWidth="1"/>
    <col min="4620" max="4620" width="21.5703125" style="21" customWidth="1"/>
    <col min="4621" max="4621" width="19.28515625" style="21" customWidth="1"/>
    <col min="4622" max="4622" width="19.7109375" style="21" customWidth="1"/>
    <col min="4623" max="4623" width="24.5703125" style="21" customWidth="1"/>
    <col min="4624" max="4624" width="23.7109375" style="21" customWidth="1"/>
    <col min="4625" max="4864" width="9.140625" style="21"/>
    <col min="4865" max="4865" width="32.5703125" style="21" customWidth="1"/>
    <col min="4866" max="4866" width="32" style="21" customWidth="1"/>
    <col min="4867" max="4867" width="20.28515625" style="21" customWidth="1"/>
    <col min="4868" max="4868" width="0" style="21" hidden="1" customWidth="1"/>
    <col min="4869" max="4869" width="19.42578125" style="21" customWidth="1"/>
    <col min="4870" max="4870" width="13.5703125" style="21" customWidth="1"/>
    <col min="4871" max="4871" width="36.5703125" style="21" customWidth="1"/>
    <col min="4872" max="4872" width="15.140625" style="21" customWidth="1"/>
    <col min="4873" max="4873" width="18" style="21" customWidth="1"/>
    <col min="4874" max="4874" width="17.28515625" style="21" customWidth="1"/>
    <col min="4875" max="4875" width="27.140625" style="21" customWidth="1"/>
    <col min="4876" max="4876" width="21.5703125" style="21" customWidth="1"/>
    <col min="4877" max="4877" width="19.28515625" style="21" customWidth="1"/>
    <col min="4878" max="4878" width="19.7109375" style="21" customWidth="1"/>
    <col min="4879" max="4879" width="24.5703125" style="21" customWidth="1"/>
    <col min="4880" max="4880" width="23.7109375" style="21" customWidth="1"/>
    <col min="4881" max="5120" width="9.140625" style="21"/>
    <col min="5121" max="5121" width="32.5703125" style="21" customWidth="1"/>
    <col min="5122" max="5122" width="32" style="21" customWidth="1"/>
    <col min="5123" max="5123" width="20.28515625" style="21" customWidth="1"/>
    <col min="5124" max="5124" width="0" style="21" hidden="1" customWidth="1"/>
    <col min="5125" max="5125" width="19.42578125" style="21" customWidth="1"/>
    <col min="5126" max="5126" width="13.5703125" style="21" customWidth="1"/>
    <col min="5127" max="5127" width="36.5703125" style="21" customWidth="1"/>
    <col min="5128" max="5128" width="15.140625" style="21" customWidth="1"/>
    <col min="5129" max="5129" width="18" style="21" customWidth="1"/>
    <col min="5130" max="5130" width="17.28515625" style="21" customWidth="1"/>
    <col min="5131" max="5131" width="27.140625" style="21" customWidth="1"/>
    <col min="5132" max="5132" width="21.5703125" style="21" customWidth="1"/>
    <col min="5133" max="5133" width="19.28515625" style="21" customWidth="1"/>
    <col min="5134" max="5134" width="19.7109375" style="21" customWidth="1"/>
    <col min="5135" max="5135" width="24.5703125" style="21" customWidth="1"/>
    <col min="5136" max="5136" width="23.7109375" style="21" customWidth="1"/>
    <col min="5137" max="5376" width="9.140625" style="21"/>
    <col min="5377" max="5377" width="32.5703125" style="21" customWidth="1"/>
    <col min="5378" max="5378" width="32" style="21" customWidth="1"/>
    <col min="5379" max="5379" width="20.28515625" style="21" customWidth="1"/>
    <col min="5380" max="5380" width="0" style="21" hidden="1" customWidth="1"/>
    <col min="5381" max="5381" width="19.42578125" style="21" customWidth="1"/>
    <col min="5382" max="5382" width="13.5703125" style="21" customWidth="1"/>
    <col min="5383" max="5383" width="36.5703125" style="21" customWidth="1"/>
    <col min="5384" max="5384" width="15.140625" style="21" customWidth="1"/>
    <col min="5385" max="5385" width="18" style="21" customWidth="1"/>
    <col min="5386" max="5386" width="17.28515625" style="21" customWidth="1"/>
    <col min="5387" max="5387" width="27.140625" style="21" customWidth="1"/>
    <col min="5388" max="5388" width="21.5703125" style="21" customWidth="1"/>
    <col min="5389" max="5389" width="19.28515625" style="21" customWidth="1"/>
    <col min="5390" max="5390" width="19.7109375" style="21" customWidth="1"/>
    <col min="5391" max="5391" width="24.5703125" style="21" customWidth="1"/>
    <col min="5392" max="5392" width="23.7109375" style="21" customWidth="1"/>
    <col min="5393" max="5632" width="9.140625" style="21"/>
    <col min="5633" max="5633" width="32.5703125" style="21" customWidth="1"/>
    <col min="5634" max="5634" width="32" style="21" customWidth="1"/>
    <col min="5635" max="5635" width="20.28515625" style="21" customWidth="1"/>
    <col min="5636" max="5636" width="0" style="21" hidden="1" customWidth="1"/>
    <col min="5637" max="5637" width="19.42578125" style="21" customWidth="1"/>
    <col min="5638" max="5638" width="13.5703125" style="21" customWidth="1"/>
    <col min="5639" max="5639" width="36.5703125" style="21" customWidth="1"/>
    <col min="5640" max="5640" width="15.140625" style="21" customWidth="1"/>
    <col min="5641" max="5641" width="18" style="21" customWidth="1"/>
    <col min="5642" max="5642" width="17.28515625" style="21" customWidth="1"/>
    <col min="5643" max="5643" width="27.140625" style="21" customWidth="1"/>
    <col min="5644" max="5644" width="21.5703125" style="21" customWidth="1"/>
    <col min="5645" max="5645" width="19.28515625" style="21" customWidth="1"/>
    <col min="5646" max="5646" width="19.7109375" style="21" customWidth="1"/>
    <col min="5647" max="5647" width="24.5703125" style="21" customWidth="1"/>
    <col min="5648" max="5648" width="23.7109375" style="21" customWidth="1"/>
    <col min="5649" max="5888" width="9.140625" style="21"/>
    <col min="5889" max="5889" width="32.5703125" style="21" customWidth="1"/>
    <col min="5890" max="5890" width="32" style="21" customWidth="1"/>
    <col min="5891" max="5891" width="20.28515625" style="21" customWidth="1"/>
    <col min="5892" max="5892" width="0" style="21" hidden="1" customWidth="1"/>
    <col min="5893" max="5893" width="19.42578125" style="21" customWidth="1"/>
    <col min="5894" max="5894" width="13.5703125" style="21" customWidth="1"/>
    <col min="5895" max="5895" width="36.5703125" style="21" customWidth="1"/>
    <col min="5896" max="5896" width="15.140625" style="21" customWidth="1"/>
    <col min="5897" max="5897" width="18" style="21" customWidth="1"/>
    <col min="5898" max="5898" width="17.28515625" style="21" customWidth="1"/>
    <col min="5899" max="5899" width="27.140625" style="21" customWidth="1"/>
    <col min="5900" max="5900" width="21.5703125" style="21" customWidth="1"/>
    <col min="5901" max="5901" width="19.28515625" style="21" customWidth="1"/>
    <col min="5902" max="5902" width="19.7109375" style="21" customWidth="1"/>
    <col min="5903" max="5903" width="24.5703125" style="21" customWidth="1"/>
    <col min="5904" max="5904" width="23.7109375" style="21" customWidth="1"/>
    <col min="5905" max="6144" width="9.140625" style="21"/>
    <col min="6145" max="6145" width="32.5703125" style="21" customWidth="1"/>
    <col min="6146" max="6146" width="32" style="21" customWidth="1"/>
    <col min="6147" max="6147" width="20.28515625" style="21" customWidth="1"/>
    <col min="6148" max="6148" width="0" style="21" hidden="1" customWidth="1"/>
    <col min="6149" max="6149" width="19.42578125" style="21" customWidth="1"/>
    <col min="6150" max="6150" width="13.5703125" style="21" customWidth="1"/>
    <col min="6151" max="6151" width="36.5703125" style="21" customWidth="1"/>
    <col min="6152" max="6152" width="15.140625" style="21" customWidth="1"/>
    <col min="6153" max="6153" width="18" style="21" customWidth="1"/>
    <col min="6154" max="6154" width="17.28515625" style="21" customWidth="1"/>
    <col min="6155" max="6155" width="27.140625" style="21" customWidth="1"/>
    <col min="6156" max="6156" width="21.5703125" style="21" customWidth="1"/>
    <col min="6157" max="6157" width="19.28515625" style="21" customWidth="1"/>
    <col min="6158" max="6158" width="19.7109375" style="21" customWidth="1"/>
    <col min="6159" max="6159" width="24.5703125" style="21" customWidth="1"/>
    <col min="6160" max="6160" width="23.7109375" style="21" customWidth="1"/>
    <col min="6161" max="6400" width="9.140625" style="21"/>
    <col min="6401" max="6401" width="32.5703125" style="21" customWidth="1"/>
    <col min="6402" max="6402" width="32" style="21" customWidth="1"/>
    <col min="6403" max="6403" width="20.28515625" style="21" customWidth="1"/>
    <col min="6404" max="6404" width="0" style="21" hidden="1" customWidth="1"/>
    <col min="6405" max="6405" width="19.42578125" style="21" customWidth="1"/>
    <col min="6406" max="6406" width="13.5703125" style="21" customWidth="1"/>
    <col min="6407" max="6407" width="36.5703125" style="21" customWidth="1"/>
    <col min="6408" max="6408" width="15.140625" style="21" customWidth="1"/>
    <col min="6409" max="6409" width="18" style="21" customWidth="1"/>
    <col min="6410" max="6410" width="17.28515625" style="21" customWidth="1"/>
    <col min="6411" max="6411" width="27.140625" style="21" customWidth="1"/>
    <col min="6412" max="6412" width="21.5703125" style="21" customWidth="1"/>
    <col min="6413" max="6413" width="19.28515625" style="21" customWidth="1"/>
    <col min="6414" max="6414" width="19.7109375" style="21" customWidth="1"/>
    <col min="6415" max="6415" width="24.5703125" style="21" customWidth="1"/>
    <col min="6416" max="6416" width="23.7109375" style="21" customWidth="1"/>
    <col min="6417" max="6656" width="9.140625" style="21"/>
    <col min="6657" max="6657" width="32.5703125" style="21" customWidth="1"/>
    <col min="6658" max="6658" width="32" style="21" customWidth="1"/>
    <col min="6659" max="6659" width="20.28515625" style="21" customWidth="1"/>
    <col min="6660" max="6660" width="0" style="21" hidden="1" customWidth="1"/>
    <col min="6661" max="6661" width="19.42578125" style="21" customWidth="1"/>
    <col min="6662" max="6662" width="13.5703125" style="21" customWidth="1"/>
    <col min="6663" max="6663" width="36.5703125" style="21" customWidth="1"/>
    <col min="6664" max="6664" width="15.140625" style="21" customWidth="1"/>
    <col min="6665" max="6665" width="18" style="21" customWidth="1"/>
    <col min="6666" max="6666" width="17.28515625" style="21" customWidth="1"/>
    <col min="6667" max="6667" width="27.140625" style="21" customWidth="1"/>
    <col min="6668" max="6668" width="21.5703125" style="21" customWidth="1"/>
    <col min="6669" max="6669" width="19.28515625" style="21" customWidth="1"/>
    <col min="6670" max="6670" width="19.7109375" style="21" customWidth="1"/>
    <col min="6671" max="6671" width="24.5703125" style="21" customWidth="1"/>
    <col min="6672" max="6672" width="23.7109375" style="21" customWidth="1"/>
    <col min="6673" max="6912" width="9.140625" style="21"/>
    <col min="6913" max="6913" width="32.5703125" style="21" customWidth="1"/>
    <col min="6914" max="6914" width="32" style="21" customWidth="1"/>
    <col min="6915" max="6915" width="20.28515625" style="21" customWidth="1"/>
    <col min="6916" max="6916" width="0" style="21" hidden="1" customWidth="1"/>
    <col min="6917" max="6917" width="19.42578125" style="21" customWidth="1"/>
    <col min="6918" max="6918" width="13.5703125" style="21" customWidth="1"/>
    <col min="6919" max="6919" width="36.5703125" style="21" customWidth="1"/>
    <col min="6920" max="6920" width="15.140625" style="21" customWidth="1"/>
    <col min="6921" max="6921" width="18" style="21" customWidth="1"/>
    <col min="6922" max="6922" width="17.28515625" style="21" customWidth="1"/>
    <col min="6923" max="6923" width="27.140625" style="21" customWidth="1"/>
    <col min="6924" max="6924" width="21.5703125" style="21" customWidth="1"/>
    <col min="6925" max="6925" width="19.28515625" style="21" customWidth="1"/>
    <col min="6926" max="6926" width="19.7109375" style="21" customWidth="1"/>
    <col min="6927" max="6927" width="24.5703125" style="21" customWidth="1"/>
    <col min="6928" max="6928" width="23.7109375" style="21" customWidth="1"/>
    <col min="6929" max="7168" width="9.140625" style="21"/>
    <col min="7169" max="7169" width="32.5703125" style="21" customWidth="1"/>
    <col min="7170" max="7170" width="32" style="21" customWidth="1"/>
    <col min="7171" max="7171" width="20.28515625" style="21" customWidth="1"/>
    <col min="7172" max="7172" width="0" style="21" hidden="1" customWidth="1"/>
    <col min="7173" max="7173" width="19.42578125" style="21" customWidth="1"/>
    <col min="7174" max="7174" width="13.5703125" style="21" customWidth="1"/>
    <col min="7175" max="7175" width="36.5703125" style="21" customWidth="1"/>
    <col min="7176" max="7176" width="15.140625" style="21" customWidth="1"/>
    <col min="7177" max="7177" width="18" style="21" customWidth="1"/>
    <col min="7178" max="7178" width="17.28515625" style="21" customWidth="1"/>
    <col min="7179" max="7179" width="27.140625" style="21" customWidth="1"/>
    <col min="7180" max="7180" width="21.5703125" style="21" customWidth="1"/>
    <col min="7181" max="7181" width="19.28515625" style="21" customWidth="1"/>
    <col min="7182" max="7182" width="19.7109375" style="21" customWidth="1"/>
    <col min="7183" max="7183" width="24.5703125" style="21" customWidth="1"/>
    <col min="7184" max="7184" width="23.7109375" style="21" customWidth="1"/>
    <col min="7185" max="7424" width="9.140625" style="21"/>
    <col min="7425" max="7425" width="32.5703125" style="21" customWidth="1"/>
    <col min="7426" max="7426" width="32" style="21" customWidth="1"/>
    <col min="7427" max="7427" width="20.28515625" style="21" customWidth="1"/>
    <col min="7428" max="7428" width="0" style="21" hidden="1" customWidth="1"/>
    <col min="7429" max="7429" width="19.42578125" style="21" customWidth="1"/>
    <col min="7430" max="7430" width="13.5703125" style="21" customWidth="1"/>
    <col min="7431" max="7431" width="36.5703125" style="21" customWidth="1"/>
    <col min="7432" max="7432" width="15.140625" style="21" customWidth="1"/>
    <col min="7433" max="7433" width="18" style="21" customWidth="1"/>
    <col min="7434" max="7434" width="17.28515625" style="21" customWidth="1"/>
    <col min="7435" max="7435" width="27.140625" style="21" customWidth="1"/>
    <col min="7436" max="7436" width="21.5703125" style="21" customWidth="1"/>
    <col min="7437" max="7437" width="19.28515625" style="21" customWidth="1"/>
    <col min="7438" max="7438" width="19.7109375" style="21" customWidth="1"/>
    <col min="7439" max="7439" width="24.5703125" style="21" customWidth="1"/>
    <col min="7440" max="7440" width="23.7109375" style="21" customWidth="1"/>
    <col min="7441" max="7680" width="9.140625" style="21"/>
    <col min="7681" max="7681" width="32.5703125" style="21" customWidth="1"/>
    <col min="7682" max="7682" width="32" style="21" customWidth="1"/>
    <col min="7683" max="7683" width="20.28515625" style="21" customWidth="1"/>
    <col min="7684" max="7684" width="0" style="21" hidden="1" customWidth="1"/>
    <col min="7685" max="7685" width="19.42578125" style="21" customWidth="1"/>
    <col min="7686" max="7686" width="13.5703125" style="21" customWidth="1"/>
    <col min="7687" max="7687" width="36.5703125" style="21" customWidth="1"/>
    <col min="7688" max="7688" width="15.140625" style="21" customWidth="1"/>
    <col min="7689" max="7689" width="18" style="21" customWidth="1"/>
    <col min="7690" max="7690" width="17.28515625" style="21" customWidth="1"/>
    <col min="7691" max="7691" width="27.140625" style="21" customWidth="1"/>
    <col min="7692" max="7692" width="21.5703125" style="21" customWidth="1"/>
    <col min="7693" max="7693" width="19.28515625" style="21" customWidth="1"/>
    <col min="7694" max="7694" width="19.7109375" style="21" customWidth="1"/>
    <col min="7695" max="7695" width="24.5703125" style="21" customWidth="1"/>
    <col min="7696" max="7696" width="23.7109375" style="21" customWidth="1"/>
    <col min="7697" max="7936" width="9.140625" style="21"/>
    <col min="7937" max="7937" width="32.5703125" style="21" customWidth="1"/>
    <col min="7938" max="7938" width="32" style="21" customWidth="1"/>
    <col min="7939" max="7939" width="20.28515625" style="21" customWidth="1"/>
    <col min="7940" max="7940" width="0" style="21" hidden="1" customWidth="1"/>
    <col min="7941" max="7941" width="19.42578125" style="21" customWidth="1"/>
    <col min="7942" max="7942" width="13.5703125" style="21" customWidth="1"/>
    <col min="7943" max="7943" width="36.5703125" style="21" customWidth="1"/>
    <col min="7944" max="7944" width="15.140625" style="21" customWidth="1"/>
    <col min="7945" max="7945" width="18" style="21" customWidth="1"/>
    <col min="7946" max="7946" width="17.28515625" style="21" customWidth="1"/>
    <col min="7947" max="7947" width="27.140625" style="21" customWidth="1"/>
    <col min="7948" max="7948" width="21.5703125" style="21" customWidth="1"/>
    <col min="7949" max="7949" width="19.28515625" style="21" customWidth="1"/>
    <col min="7950" max="7950" width="19.7109375" style="21" customWidth="1"/>
    <col min="7951" max="7951" width="24.5703125" style="21" customWidth="1"/>
    <col min="7952" max="7952" width="23.7109375" style="21" customWidth="1"/>
    <col min="7953" max="8192" width="9.140625" style="21"/>
    <col min="8193" max="8193" width="32.5703125" style="21" customWidth="1"/>
    <col min="8194" max="8194" width="32" style="21" customWidth="1"/>
    <col min="8195" max="8195" width="20.28515625" style="21" customWidth="1"/>
    <col min="8196" max="8196" width="0" style="21" hidden="1" customWidth="1"/>
    <col min="8197" max="8197" width="19.42578125" style="21" customWidth="1"/>
    <col min="8198" max="8198" width="13.5703125" style="21" customWidth="1"/>
    <col min="8199" max="8199" width="36.5703125" style="21" customWidth="1"/>
    <col min="8200" max="8200" width="15.140625" style="21" customWidth="1"/>
    <col min="8201" max="8201" width="18" style="21" customWidth="1"/>
    <col min="8202" max="8202" width="17.28515625" style="21" customWidth="1"/>
    <col min="8203" max="8203" width="27.140625" style="21" customWidth="1"/>
    <col min="8204" max="8204" width="21.5703125" style="21" customWidth="1"/>
    <col min="8205" max="8205" width="19.28515625" style="21" customWidth="1"/>
    <col min="8206" max="8206" width="19.7109375" style="21" customWidth="1"/>
    <col min="8207" max="8207" width="24.5703125" style="21" customWidth="1"/>
    <col min="8208" max="8208" width="23.7109375" style="21" customWidth="1"/>
    <col min="8209" max="8448" width="9.140625" style="21"/>
    <col min="8449" max="8449" width="32.5703125" style="21" customWidth="1"/>
    <col min="8450" max="8450" width="32" style="21" customWidth="1"/>
    <col min="8451" max="8451" width="20.28515625" style="21" customWidth="1"/>
    <col min="8452" max="8452" width="0" style="21" hidden="1" customWidth="1"/>
    <col min="8453" max="8453" width="19.42578125" style="21" customWidth="1"/>
    <col min="8454" max="8454" width="13.5703125" style="21" customWidth="1"/>
    <col min="8455" max="8455" width="36.5703125" style="21" customWidth="1"/>
    <col min="8456" max="8456" width="15.140625" style="21" customWidth="1"/>
    <col min="8457" max="8457" width="18" style="21" customWidth="1"/>
    <col min="8458" max="8458" width="17.28515625" style="21" customWidth="1"/>
    <col min="8459" max="8459" width="27.140625" style="21" customWidth="1"/>
    <col min="8460" max="8460" width="21.5703125" style="21" customWidth="1"/>
    <col min="8461" max="8461" width="19.28515625" style="21" customWidth="1"/>
    <col min="8462" max="8462" width="19.7109375" style="21" customWidth="1"/>
    <col min="8463" max="8463" width="24.5703125" style="21" customWidth="1"/>
    <col min="8464" max="8464" width="23.7109375" style="21" customWidth="1"/>
    <col min="8465" max="8704" width="9.140625" style="21"/>
    <col min="8705" max="8705" width="32.5703125" style="21" customWidth="1"/>
    <col min="8706" max="8706" width="32" style="21" customWidth="1"/>
    <col min="8707" max="8707" width="20.28515625" style="21" customWidth="1"/>
    <col min="8708" max="8708" width="0" style="21" hidden="1" customWidth="1"/>
    <col min="8709" max="8709" width="19.42578125" style="21" customWidth="1"/>
    <col min="8710" max="8710" width="13.5703125" style="21" customWidth="1"/>
    <col min="8711" max="8711" width="36.5703125" style="21" customWidth="1"/>
    <col min="8712" max="8712" width="15.140625" style="21" customWidth="1"/>
    <col min="8713" max="8713" width="18" style="21" customWidth="1"/>
    <col min="8714" max="8714" width="17.28515625" style="21" customWidth="1"/>
    <col min="8715" max="8715" width="27.140625" style="21" customWidth="1"/>
    <col min="8716" max="8716" width="21.5703125" style="21" customWidth="1"/>
    <col min="8717" max="8717" width="19.28515625" style="21" customWidth="1"/>
    <col min="8718" max="8718" width="19.7109375" style="21" customWidth="1"/>
    <col min="8719" max="8719" width="24.5703125" style="21" customWidth="1"/>
    <col min="8720" max="8720" width="23.7109375" style="21" customWidth="1"/>
    <col min="8721" max="8960" width="9.140625" style="21"/>
    <col min="8961" max="8961" width="32.5703125" style="21" customWidth="1"/>
    <col min="8962" max="8962" width="32" style="21" customWidth="1"/>
    <col min="8963" max="8963" width="20.28515625" style="21" customWidth="1"/>
    <col min="8964" max="8964" width="0" style="21" hidden="1" customWidth="1"/>
    <col min="8965" max="8965" width="19.42578125" style="21" customWidth="1"/>
    <col min="8966" max="8966" width="13.5703125" style="21" customWidth="1"/>
    <col min="8967" max="8967" width="36.5703125" style="21" customWidth="1"/>
    <col min="8968" max="8968" width="15.140625" style="21" customWidth="1"/>
    <col min="8969" max="8969" width="18" style="21" customWidth="1"/>
    <col min="8970" max="8970" width="17.28515625" style="21" customWidth="1"/>
    <col min="8971" max="8971" width="27.140625" style="21" customWidth="1"/>
    <col min="8972" max="8972" width="21.5703125" style="21" customWidth="1"/>
    <col min="8973" max="8973" width="19.28515625" style="21" customWidth="1"/>
    <col min="8974" max="8974" width="19.7109375" style="21" customWidth="1"/>
    <col min="8975" max="8975" width="24.5703125" style="21" customWidth="1"/>
    <col min="8976" max="8976" width="23.7109375" style="21" customWidth="1"/>
    <col min="8977" max="9216" width="9.140625" style="21"/>
    <col min="9217" max="9217" width="32.5703125" style="21" customWidth="1"/>
    <col min="9218" max="9218" width="32" style="21" customWidth="1"/>
    <col min="9219" max="9219" width="20.28515625" style="21" customWidth="1"/>
    <col min="9220" max="9220" width="0" style="21" hidden="1" customWidth="1"/>
    <col min="9221" max="9221" width="19.42578125" style="21" customWidth="1"/>
    <col min="9222" max="9222" width="13.5703125" style="21" customWidth="1"/>
    <col min="9223" max="9223" width="36.5703125" style="21" customWidth="1"/>
    <col min="9224" max="9224" width="15.140625" style="21" customWidth="1"/>
    <col min="9225" max="9225" width="18" style="21" customWidth="1"/>
    <col min="9226" max="9226" width="17.28515625" style="21" customWidth="1"/>
    <col min="9227" max="9227" width="27.140625" style="21" customWidth="1"/>
    <col min="9228" max="9228" width="21.5703125" style="21" customWidth="1"/>
    <col min="9229" max="9229" width="19.28515625" style="21" customWidth="1"/>
    <col min="9230" max="9230" width="19.7109375" style="21" customWidth="1"/>
    <col min="9231" max="9231" width="24.5703125" style="21" customWidth="1"/>
    <col min="9232" max="9232" width="23.7109375" style="21" customWidth="1"/>
    <col min="9233" max="9472" width="9.140625" style="21"/>
    <col min="9473" max="9473" width="32.5703125" style="21" customWidth="1"/>
    <col min="9474" max="9474" width="32" style="21" customWidth="1"/>
    <col min="9475" max="9475" width="20.28515625" style="21" customWidth="1"/>
    <col min="9476" max="9476" width="0" style="21" hidden="1" customWidth="1"/>
    <col min="9477" max="9477" width="19.42578125" style="21" customWidth="1"/>
    <col min="9478" max="9478" width="13.5703125" style="21" customWidth="1"/>
    <col min="9479" max="9479" width="36.5703125" style="21" customWidth="1"/>
    <col min="9480" max="9480" width="15.140625" style="21" customWidth="1"/>
    <col min="9481" max="9481" width="18" style="21" customWidth="1"/>
    <col min="9482" max="9482" width="17.28515625" style="21" customWidth="1"/>
    <col min="9483" max="9483" width="27.140625" style="21" customWidth="1"/>
    <col min="9484" max="9484" width="21.5703125" style="21" customWidth="1"/>
    <col min="9485" max="9485" width="19.28515625" style="21" customWidth="1"/>
    <col min="9486" max="9486" width="19.7109375" style="21" customWidth="1"/>
    <col min="9487" max="9487" width="24.5703125" style="21" customWidth="1"/>
    <col min="9488" max="9488" width="23.7109375" style="21" customWidth="1"/>
    <col min="9489" max="9728" width="9.140625" style="21"/>
    <col min="9729" max="9729" width="32.5703125" style="21" customWidth="1"/>
    <col min="9730" max="9730" width="32" style="21" customWidth="1"/>
    <col min="9731" max="9731" width="20.28515625" style="21" customWidth="1"/>
    <col min="9732" max="9732" width="0" style="21" hidden="1" customWidth="1"/>
    <col min="9733" max="9733" width="19.42578125" style="21" customWidth="1"/>
    <col min="9734" max="9734" width="13.5703125" style="21" customWidth="1"/>
    <col min="9735" max="9735" width="36.5703125" style="21" customWidth="1"/>
    <col min="9736" max="9736" width="15.140625" style="21" customWidth="1"/>
    <col min="9737" max="9737" width="18" style="21" customWidth="1"/>
    <col min="9738" max="9738" width="17.28515625" style="21" customWidth="1"/>
    <col min="9739" max="9739" width="27.140625" style="21" customWidth="1"/>
    <col min="9740" max="9740" width="21.5703125" style="21" customWidth="1"/>
    <col min="9741" max="9741" width="19.28515625" style="21" customWidth="1"/>
    <col min="9742" max="9742" width="19.7109375" style="21" customWidth="1"/>
    <col min="9743" max="9743" width="24.5703125" style="21" customWidth="1"/>
    <col min="9744" max="9744" width="23.7109375" style="21" customWidth="1"/>
    <col min="9745" max="9984" width="9.140625" style="21"/>
    <col min="9985" max="9985" width="32.5703125" style="21" customWidth="1"/>
    <col min="9986" max="9986" width="32" style="21" customWidth="1"/>
    <col min="9987" max="9987" width="20.28515625" style="21" customWidth="1"/>
    <col min="9988" max="9988" width="0" style="21" hidden="1" customWidth="1"/>
    <col min="9989" max="9989" width="19.42578125" style="21" customWidth="1"/>
    <col min="9990" max="9990" width="13.5703125" style="21" customWidth="1"/>
    <col min="9991" max="9991" width="36.5703125" style="21" customWidth="1"/>
    <col min="9992" max="9992" width="15.140625" style="21" customWidth="1"/>
    <col min="9993" max="9993" width="18" style="21" customWidth="1"/>
    <col min="9994" max="9994" width="17.28515625" style="21" customWidth="1"/>
    <col min="9995" max="9995" width="27.140625" style="21" customWidth="1"/>
    <col min="9996" max="9996" width="21.5703125" style="21" customWidth="1"/>
    <col min="9997" max="9997" width="19.28515625" style="21" customWidth="1"/>
    <col min="9998" max="9998" width="19.7109375" style="21" customWidth="1"/>
    <col min="9999" max="9999" width="24.5703125" style="21" customWidth="1"/>
    <col min="10000" max="10000" width="23.7109375" style="21" customWidth="1"/>
    <col min="10001" max="10240" width="9.140625" style="21"/>
    <col min="10241" max="10241" width="32.5703125" style="21" customWidth="1"/>
    <col min="10242" max="10242" width="32" style="21" customWidth="1"/>
    <col min="10243" max="10243" width="20.28515625" style="21" customWidth="1"/>
    <col min="10244" max="10244" width="0" style="21" hidden="1" customWidth="1"/>
    <col min="10245" max="10245" width="19.42578125" style="21" customWidth="1"/>
    <col min="10246" max="10246" width="13.5703125" style="21" customWidth="1"/>
    <col min="10247" max="10247" width="36.5703125" style="21" customWidth="1"/>
    <col min="10248" max="10248" width="15.140625" style="21" customWidth="1"/>
    <col min="10249" max="10249" width="18" style="21" customWidth="1"/>
    <col min="10250" max="10250" width="17.28515625" style="21" customWidth="1"/>
    <col min="10251" max="10251" width="27.140625" style="21" customWidth="1"/>
    <col min="10252" max="10252" width="21.5703125" style="21" customWidth="1"/>
    <col min="10253" max="10253" width="19.28515625" style="21" customWidth="1"/>
    <col min="10254" max="10254" width="19.7109375" style="21" customWidth="1"/>
    <col min="10255" max="10255" width="24.5703125" style="21" customWidth="1"/>
    <col min="10256" max="10256" width="23.7109375" style="21" customWidth="1"/>
    <col min="10257" max="10496" width="9.140625" style="21"/>
    <col min="10497" max="10497" width="32.5703125" style="21" customWidth="1"/>
    <col min="10498" max="10498" width="32" style="21" customWidth="1"/>
    <col min="10499" max="10499" width="20.28515625" style="21" customWidth="1"/>
    <col min="10500" max="10500" width="0" style="21" hidden="1" customWidth="1"/>
    <col min="10501" max="10501" width="19.42578125" style="21" customWidth="1"/>
    <col min="10502" max="10502" width="13.5703125" style="21" customWidth="1"/>
    <col min="10503" max="10503" width="36.5703125" style="21" customWidth="1"/>
    <col min="10504" max="10504" width="15.140625" style="21" customWidth="1"/>
    <col min="10505" max="10505" width="18" style="21" customWidth="1"/>
    <col min="10506" max="10506" width="17.28515625" style="21" customWidth="1"/>
    <col min="10507" max="10507" width="27.140625" style="21" customWidth="1"/>
    <col min="10508" max="10508" width="21.5703125" style="21" customWidth="1"/>
    <col min="10509" max="10509" width="19.28515625" style="21" customWidth="1"/>
    <col min="10510" max="10510" width="19.7109375" style="21" customWidth="1"/>
    <col min="10511" max="10511" width="24.5703125" style="21" customWidth="1"/>
    <col min="10512" max="10512" width="23.7109375" style="21" customWidth="1"/>
    <col min="10513" max="10752" width="9.140625" style="21"/>
    <col min="10753" max="10753" width="32.5703125" style="21" customWidth="1"/>
    <col min="10754" max="10754" width="32" style="21" customWidth="1"/>
    <col min="10755" max="10755" width="20.28515625" style="21" customWidth="1"/>
    <col min="10756" max="10756" width="0" style="21" hidden="1" customWidth="1"/>
    <col min="10757" max="10757" width="19.42578125" style="21" customWidth="1"/>
    <col min="10758" max="10758" width="13.5703125" style="21" customWidth="1"/>
    <col min="10759" max="10759" width="36.5703125" style="21" customWidth="1"/>
    <col min="10760" max="10760" width="15.140625" style="21" customWidth="1"/>
    <col min="10761" max="10761" width="18" style="21" customWidth="1"/>
    <col min="10762" max="10762" width="17.28515625" style="21" customWidth="1"/>
    <col min="10763" max="10763" width="27.140625" style="21" customWidth="1"/>
    <col min="10764" max="10764" width="21.5703125" style="21" customWidth="1"/>
    <col min="10765" max="10765" width="19.28515625" style="21" customWidth="1"/>
    <col min="10766" max="10766" width="19.7109375" style="21" customWidth="1"/>
    <col min="10767" max="10767" width="24.5703125" style="21" customWidth="1"/>
    <col min="10768" max="10768" width="23.7109375" style="21" customWidth="1"/>
    <col min="10769" max="11008" width="9.140625" style="21"/>
    <col min="11009" max="11009" width="32.5703125" style="21" customWidth="1"/>
    <col min="11010" max="11010" width="32" style="21" customWidth="1"/>
    <col min="11011" max="11011" width="20.28515625" style="21" customWidth="1"/>
    <col min="11012" max="11012" width="0" style="21" hidden="1" customWidth="1"/>
    <col min="11013" max="11013" width="19.42578125" style="21" customWidth="1"/>
    <col min="11014" max="11014" width="13.5703125" style="21" customWidth="1"/>
    <col min="11015" max="11015" width="36.5703125" style="21" customWidth="1"/>
    <col min="11016" max="11016" width="15.140625" style="21" customWidth="1"/>
    <col min="11017" max="11017" width="18" style="21" customWidth="1"/>
    <col min="11018" max="11018" width="17.28515625" style="21" customWidth="1"/>
    <col min="11019" max="11019" width="27.140625" style="21" customWidth="1"/>
    <col min="11020" max="11020" width="21.5703125" style="21" customWidth="1"/>
    <col min="11021" max="11021" width="19.28515625" style="21" customWidth="1"/>
    <col min="11022" max="11022" width="19.7109375" style="21" customWidth="1"/>
    <col min="11023" max="11023" width="24.5703125" style="21" customWidth="1"/>
    <col min="11024" max="11024" width="23.7109375" style="21" customWidth="1"/>
    <col min="11025" max="11264" width="9.140625" style="21"/>
    <col min="11265" max="11265" width="32.5703125" style="21" customWidth="1"/>
    <col min="11266" max="11266" width="32" style="21" customWidth="1"/>
    <col min="11267" max="11267" width="20.28515625" style="21" customWidth="1"/>
    <col min="11268" max="11268" width="0" style="21" hidden="1" customWidth="1"/>
    <col min="11269" max="11269" width="19.42578125" style="21" customWidth="1"/>
    <col min="11270" max="11270" width="13.5703125" style="21" customWidth="1"/>
    <col min="11271" max="11271" width="36.5703125" style="21" customWidth="1"/>
    <col min="11272" max="11272" width="15.140625" style="21" customWidth="1"/>
    <col min="11273" max="11273" width="18" style="21" customWidth="1"/>
    <col min="11274" max="11274" width="17.28515625" style="21" customWidth="1"/>
    <col min="11275" max="11275" width="27.140625" style="21" customWidth="1"/>
    <col min="11276" max="11276" width="21.5703125" style="21" customWidth="1"/>
    <col min="11277" max="11277" width="19.28515625" style="21" customWidth="1"/>
    <col min="11278" max="11278" width="19.7109375" style="21" customWidth="1"/>
    <col min="11279" max="11279" width="24.5703125" style="21" customWidth="1"/>
    <col min="11280" max="11280" width="23.7109375" style="21" customWidth="1"/>
    <col min="11281" max="11520" width="9.140625" style="21"/>
    <col min="11521" max="11521" width="32.5703125" style="21" customWidth="1"/>
    <col min="11522" max="11522" width="32" style="21" customWidth="1"/>
    <col min="11523" max="11523" width="20.28515625" style="21" customWidth="1"/>
    <col min="11524" max="11524" width="0" style="21" hidden="1" customWidth="1"/>
    <col min="11525" max="11525" width="19.42578125" style="21" customWidth="1"/>
    <col min="11526" max="11526" width="13.5703125" style="21" customWidth="1"/>
    <col min="11527" max="11527" width="36.5703125" style="21" customWidth="1"/>
    <col min="11528" max="11528" width="15.140625" style="21" customWidth="1"/>
    <col min="11529" max="11529" width="18" style="21" customWidth="1"/>
    <col min="11530" max="11530" width="17.28515625" style="21" customWidth="1"/>
    <col min="11531" max="11531" width="27.140625" style="21" customWidth="1"/>
    <col min="11532" max="11532" width="21.5703125" style="21" customWidth="1"/>
    <col min="11533" max="11533" width="19.28515625" style="21" customWidth="1"/>
    <col min="11534" max="11534" width="19.7109375" style="21" customWidth="1"/>
    <col min="11535" max="11535" width="24.5703125" style="21" customWidth="1"/>
    <col min="11536" max="11536" width="23.7109375" style="21" customWidth="1"/>
    <col min="11537" max="11776" width="9.140625" style="21"/>
    <col min="11777" max="11777" width="32.5703125" style="21" customWidth="1"/>
    <col min="11778" max="11778" width="32" style="21" customWidth="1"/>
    <col min="11779" max="11779" width="20.28515625" style="21" customWidth="1"/>
    <col min="11780" max="11780" width="0" style="21" hidden="1" customWidth="1"/>
    <col min="11781" max="11781" width="19.42578125" style="21" customWidth="1"/>
    <col min="11782" max="11782" width="13.5703125" style="21" customWidth="1"/>
    <col min="11783" max="11783" width="36.5703125" style="21" customWidth="1"/>
    <col min="11784" max="11784" width="15.140625" style="21" customWidth="1"/>
    <col min="11785" max="11785" width="18" style="21" customWidth="1"/>
    <col min="11786" max="11786" width="17.28515625" style="21" customWidth="1"/>
    <col min="11787" max="11787" width="27.140625" style="21" customWidth="1"/>
    <col min="11788" max="11788" width="21.5703125" style="21" customWidth="1"/>
    <col min="11789" max="11789" width="19.28515625" style="21" customWidth="1"/>
    <col min="11790" max="11790" width="19.7109375" style="21" customWidth="1"/>
    <col min="11791" max="11791" width="24.5703125" style="21" customWidth="1"/>
    <col min="11792" max="11792" width="23.7109375" style="21" customWidth="1"/>
    <col min="11793" max="12032" width="9.140625" style="21"/>
    <col min="12033" max="12033" width="32.5703125" style="21" customWidth="1"/>
    <col min="12034" max="12034" width="32" style="21" customWidth="1"/>
    <col min="12035" max="12035" width="20.28515625" style="21" customWidth="1"/>
    <col min="12036" max="12036" width="0" style="21" hidden="1" customWidth="1"/>
    <col min="12037" max="12037" width="19.42578125" style="21" customWidth="1"/>
    <col min="12038" max="12038" width="13.5703125" style="21" customWidth="1"/>
    <col min="12039" max="12039" width="36.5703125" style="21" customWidth="1"/>
    <col min="12040" max="12040" width="15.140625" style="21" customWidth="1"/>
    <col min="12041" max="12041" width="18" style="21" customWidth="1"/>
    <col min="12042" max="12042" width="17.28515625" style="21" customWidth="1"/>
    <col min="12043" max="12043" width="27.140625" style="21" customWidth="1"/>
    <col min="12044" max="12044" width="21.5703125" style="21" customWidth="1"/>
    <col min="12045" max="12045" width="19.28515625" style="21" customWidth="1"/>
    <col min="12046" max="12046" width="19.7109375" style="21" customWidth="1"/>
    <col min="12047" max="12047" width="24.5703125" style="21" customWidth="1"/>
    <col min="12048" max="12048" width="23.7109375" style="21" customWidth="1"/>
    <col min="12049" max="12288" width="9.140625" style="21"/>
    <col min="12289" max="12289" width="32.5703125" style="21" customWidth="1"/>
    <col min="12290" max="12290" width="32" style="21" customWidth="1"/>
    <col min="12291" max="12291" width="20.28515625" style="21" customWidth="1"/>
    <col min="12292" max="12292" width="0" style="21" hidden="1" customWidth="1"/>
    <col min="12293" max="12293" width="19.42578125" style="21" customWidth="1"/>
    <col min="12294" max="12294" width="13.5703125" style="21" customWidth="1"/>
    <col min="12295" max="12295" width="36.5703125" style="21" customWidth="1"/>
    <col min="12296" max="12296" width="15.140625" style="21" customWidth="1"/>
    <col min="12297" max="12297" width="18" style="21" customWidth="1"/>
    <col min="12298" max="12298" width="17.28515625" style="21" customWidth="1"/>
    <col min="12299" max="12299" width="27.140625" style="21" customWidth="1"/>
    <col min="12300" max="12300" width="21.5703125" style="21" customWidth="1"/>
    <col min="12301" max="12301" width="19.28515625" style="21" customWidth="1"/>
    <col min="12302" max="12302" width="19.7109375" style="21" customWidth="1"/>
    <col min="12303" max="12303" width="24.5703125" style="21" customWidth="1"/>
    <col min="12304" max="12304" width="23.7109375" style="21" customWidth="1"/>
    <col min="12305" max="12544" width="9.140625" style="21"/>
    <col min="12545" max="12545" width="32.5703125" style="21" customWidth="1"/>
    <col min="12546" max="12546" width="32" style="21" customWidth="1"/>
    <col min="12547" max="12547" width="20.28515625" style="21" customWidth="1"/>
    <col min="12548" max="12548" width="0" style="21" hidden="1" customWidth="1"/>
    <col min="12549" max="12549" width="19.42578125" style="21" customWidth="1"/>
    <col min="12550" max="12550" width="13.5703125" style="21" customWidth="1"/>
    <col min="12551" max="12551" width="36.5703125" style="21" customWidth="1"/>
    <col min="12552" max="12552" width="15.140625" style="21" customWidth="1"/>
    <col min="12553" max="12553" width="18" style="21" customWidth="1"/>
    <col min="12554" max="12554" width="17.28515625" style="21" customWidth="1"/>
    <col min="12555" max="12555" width="27.140625" style="21" customWidth="1"/>
    <col min="12556" max="12556" width="21.5703125" style="21" customWidth="1"/>
    <col min="12557" max="12557" width="19.28515625" style="21" customWidth="1"/>
    <col min="12558" max="12558" width="19.7109375" style="21" customWidth="1"/>
    <col min="12559" max="12559" width="24.5703125" style="21" customWidth="1"/>
    <col min="12560" max="12560" width="23.7109375" style="21" customWidth="1"/>
    <col min="12561" max="12800" width="9.140625" style="21"/>
    <col min="12801" max="12801" width="32.5703125" style="21" customWidth="1"/>
    <col min="12802" max="12802" width="32" style="21" customWidth="1"/>
    <col min="12803" max="12803" width="20.28515625" style="21" customWidth="1"/>
    <col min="12804" max="12804" width="0" style="21" hidden="1" customWidth="1"/>
    <col min="12805" max="12805" width="19.42578125" style="21" customWidth="1"/>
    <col min="12806" max="12806" width="13.5703125" style="21" customWidth="1"/>
    <col min="12807" max="12807" width="36.5703125" style="21" customWidth="1"/>
    <col min="12808" max="12808" width="15.140625" style="21" customWidth="1"/>
    <col min="12809" max="12809" width="18" style="21" customWidth="1"/>
    <col min="12810" max="12810" width="17.28515625" style="21" customWidth="1"/>
    <col min="12811" max="12811" width="27.140625" style="21" customWidth="1"/>
    <col min="12812" max="12812" width="21.5703125" style="21" customWidth="1"/>
    <col min="12813" max="12813" width="19.28515625" style="21" customWidth="1"/>
    <col min="12814" max="12814" width="19.7109375" style="21" customWidth="1"/>
    <col min="12815" max="12815" width="24.5703125" style="21" customWidth="1"/>
    <col min="12816" max="12816" width="23.7109375" style="21" customWidth="1"/>
    <col min="12817" max="13056" width="9.140625" style="21"/>
    <col min="13057" max="13057" width="32.5703125" style="21" customWidth="1"/>
    <col min="13058" max="13058" width="32" style="21" customWidth="1"/>
    <col min="13059" max="13059" width="20.28515625" style="21" customWidth="1"/>
    <col min="13060" max="13060" width="0" style="21" hidden="1" customWidth="1"/>
    <col min="13061" max="13061" width="19.42578125" style="21" customWidth="1"/>
    <col min="13062" max="13062" width="13.5703125" style="21" customWidth="1"/>
    <col min="13063" max="13063" width="36.5703125" style="21" customWidth="1"/>
    <col min="13064" max="13064" width="15.140625" style="21" customWidth="1"/>
    <col min="13065" max="13065" width="18" style="21" customWidth="1"/>
    <col min="13066" max="13066" width="17.28515625" style="21" customWidth="1"/>
    <col min="13067" max="13067" width="27.140625" style="21" customWidth="1"/>
    <col min="13068" max="13068" width="21.5703125" style="21" customWidth="1"/>
    <col min="13069" max="13069" width="19.28515625" style="21" customWidth="1"/>
    <col min="13070" max="13070" width="19.7109375" style="21" customWidth="1"/>
    <col min="13071" max="13071" width="24.5703125" style="21" customWidth="1"/>
    <col min="13072" max="13072" width="23.7109375" style="21" customWidth="1"/>
    <col min="13073" max="13312" width="9.140625" style="21"/>
    <col min="13313" max="13313" width="32.5703125" style="21" customWidth="1"/>
    <col min="13314" max="13314" width="32" style="21" customWidth="1"/>
    <col min="13315" max="13315" width="20.28515625" style="21" customWidth="1"/>
    <col min="13316" max="13316" width="0" style="21" hidden="1" customWidth="1"/>
    <col min="13317" max="13317" width="19.42578125" style="21" customWidth="1"/>
    <col min="13318" max="13318" width="13.5703125" style="21" customWidth="1"/>
    <col min="13319" max="13319" width="36.5703125" style="21" customWidth="1"/>
    <col min="13320" max="13320" width="15.140625" style="21" customWidth="1"/>
    <col min="13321" max="13321" width="18" style="21" customWidth="1"/>
    <col min="13322" max="13322" width="17.28515625" style="21" customWidth="1"/>
    <col min="13323" max="13323" width="27.140625" style="21" customWidth="1"/>
    <col min="13324" max="13324" width="21.5703125" style="21" customWidth="1"/>
    <col min="13325" max="13325" width="19.28515625" style="21" customWidth="1"/>
    <col min="13326" max="13326" width="19.7109375" style="21" customWidth="1"/>
    <col min="13327" max="13327" width="24.5703125" style="21" customWidth="1"/>
    <col min="13328" max="13328" width="23.7109375" style="21" customWidth="1"/>
    <col min="13329" max="13568" width="9.140625" style="21"/>
    <col min="13569" max="13569" width="32.5703125" style="21" customWidth="1"/>
    <col min="13570" max="13570" width="32" style="21" customWidth="1"/>
    <col min="13571" max="13571" width="20.28515625" style="21" customWidth="1"/>
    <col min="13572" max="13572" width="0" style="21" hidden="1" customWidth="1"/>
    <col min="13573" max="13573" width="19.42578125" style="21" customWidth="1"/>
    <col min="13574" max="13574" width="13.5703125" style="21" customWidth="1"/>
    <col min="13575" max="13575" width="36.5703125" style="21" customWidth="1"/>
    <col min="13576" max="13576" width="15.140625" style="21" customWidth="1"/>
    <col min="13577" max="13577" width="18" style="21" customWidth="1"/>
    <col min="13578" max="13578" width="17.28515625" style="21" customWidth="1"/>
    <col min="13579" max="13579" width="27.140625" style="21" customWidth="1"/>
    <col min="13580" max="13580" width="21.5703125" style="21" customWidth="1"/>
    <col min="13581" max="13581" width="19.28515625" style="21" customWidth="1"/>
    <col min="13582" max="13582" width="19.7109375" style="21" customWidth="1"/>
    <col min="13583" max="13583" width="24.5703125" style="21" customWidth="1"/>
    <col min="13584" max="13584" width="23.7109375" style="21" customWidth="1"/>
    <col min="13585" max="13824" width="9.140625" style="21"/>
    <col min="13825" max="13825" width="32.5703125" style="21" customWidth="1"/>
    <col min="13826" max="13826" width="32" style="21" customWidth="1"/>
    <col min="13827" max="13827" width="20.28515625" style="21" customWidth="1"/>
    <col min="13828" max="13828" width="0" style="21" hidden="1" customWidth="1"/>
    <col min="13829" max="13829" width="19.42578125" style="21" customWidth="1"/>
    <col min="13830" max="13830" width="13.5703125" style="21" customWidth="1"/>
    <col min="13831" max="13831" width="36.5703125" style="21" customWidth="1"/>
    <col min="13832" max="13832" width="15.140625" style="21" customWidth="1"/>
    <col min="13833" max="13833" width="18" style="21" customWidth="1"/>
    <col min="13834" max="13834" width="17.28515625" style="21" customWidth="1"/>
    <col min="13835" max="13835" width="27.140625" style="21" customWidth="1"/>
    <col min="13836" max="13836" width="21.5703125" style="21" customWidth="1"/>
    <col min="13837" max="13837" width="19.28515625" style="21" customWidth="1"/>
    <col min="13838" max="13838" width="19.7109375" style="21" customWidth="1"/>
    <col min="13839" max="13839" width="24.5703125" style="21" customWidth="1"/>
    <col min="13840" max="13840" width="23.7109375" style="21" customWidth="1"/>
    <col min="13841" max="14080" width="9.140625" style="21"/>
    <col min="14081" max="14081" width="32.5703125" style="21" customWidth="1"/>
    <col min="14082" max="14082" width="32" style="21" customWidth="1"/>
    <col min="14083" max="14083" width="20.28515625" style="21" customWidth="1"/>
    <col min="14084" max="14084" width="0" style="21" hidden="1" customWidth="1"/>
    <col min="14085" max="14085" width="19.42578125" style="21" customWidth="1"/>
    <col min="14086" max="14086" width="13.5703125" style="21" customWidth="1"/>
    <col min="14087" max="14087" width="36.5703125" style="21" customWidth="1"/>
    <col min="14088" max="14088" width="15.140625" style="21" customWidth="1"/>
    <col min="14089" max="14089" width="18" style="21" customWidth="1"/>
    <col min="14090" max="14090" width="17.28515625" style="21" customWidth="1"/>
    <col min="14091" max="14091" width="27.140625" style="21" customWidth="1"/>
    <col min="14092" max="14092" width="21.5703125" style="21" customWidth="1"/>
    <col min="14093" max="14093" width="19.28515625" style="21" customWidth="1"/>
    <col min="14094" max="14094" width="19.7109375" style="21" customWidth="1"/>
    <col min="14095" max="14095" width="24.5703125" style="21" customWidth="1"/>
    <col min="14096" max="14096" width="23.7109375" style="21" customWidth="1"/>
    <col min="14097" max="14336" width="9.140625" style="21"/>
    <col min="14337" max="14337" width="32.5703125" style="21" customWidth="1"/>
    <col min="14338" max="14338" width="32" style="21" customWidth="1"/>
    <col min="14339" max="14339" width="20.28515625" style="21" customWidth="1"/>
    <col min="14340" max="14340" width="0" style="21" hidden="1" customWidth="1"/>
    <col min="14341" max="14341" width="19.42578125" style="21" customWidth="1"/>
    <col min="14342" max="14342" width="13.5703125" style="21" customWidth="1"/>
    <col min="14343" max="14343" width="36.5703125" style="21" customWidth="1"/>
    <col min="14344" max="14344" width="15.140625" style="21" customWidth="1"/>
    <col min="14345" max="14345" width="18" style="21" customWidth="1"/>
    <col min="14346" max="14346" width="17.28515625" style="21" customWidth="1"/>
    <col min="14347" max="14347" width="27.140625" style="21" customWidth="1"/>
    <col min="14348" max="14348" width="21.5703125" style="21" customWidth="1"/>
    <col min="14349" max="14349" width="19.28515625" style="21" customWidth="1"/>
    <col min="14350" max="14350" width="19.7109375" style="21" customWidth="1"/>
    <col min="14351" max="14351" width="24.5703125" style="21" customWidth="1"/>
    <col min="14352" max="14352" width="23.7109375" style="21" customWidth="1"/>
    <col min="14353" max="14592" width="9.140625" style="21"/>
    <col min="14593" max="14593" width="32.5703125" style="21" customWidth="1"/>
    <col min="14594" max="14594" width="32" style="21" customWidth="1"/>
    <col min="14595" max="14595" width="20.28515625" style="21" customWidth="1"/>
    <col min="14596" max="14596" width="0" style="21" hidden="1" customWidth="1"/>
    <col min="14597" max="14597" width="19.42578125" style="21" customWidth="1"/>
    <col min="14598" max="14598" width="13.5703125" style="21" customWidth="1"/>
    <col min="14599" max="14599" width="36.5703125" style="21" customWidth="1"/>
    <col min="14600" max="14600" width="15.140625" style="21" customWidth="1"/>
    <col min="14601" max="14601" width="18" style="21" customWidth="1"/>
    <col min="14602" max="14602" width="17.28515625" style="21" customWidth="1"/>
    <col min="14603" max="14603" width="27.140625" style="21" customWidth="1"/>
    <col min="14604" max="14604" width="21.5703125" style="21" customWidth="1"/>
    <col min="14605" max="14605" width="19.28515625" style="21" customWidth="1"/>
    <col min="14606" max="14606" width="19.7109375" style="21" customWidth="1"/>
    <col min="14607" max="14607" width="24.5703125" style="21" customWidth="1"/>
    <col min="14608" max="14608" width="23.7109375" style="21" customWidth="1"/>
    <col min="14609" max="14848" width="9.140625" style="21"/>
    <col min="14849" max="14849" width="32.5703125" style="21" customWidth="1"/>
    <col min="14850" max="14850" width="32" style="21" customWidth="1"/>
    <col min="14851" max="14851" width="20.28515625" style="21" customWidth="1"/>
    <col min="14852" max="14852" width="0" style="21" hidden="1" customWidth="1"/>
    <col min="14853" max="14853" width="19.42578125" style="21" customWidth="1"/>
    <col min="14854" max="14854" width="13.5703125" style="21" customWidth="1"/>
    <col min="14855" max="14855" width="36.5703125" style="21" customWidth="1"/>
    <col min="14856" max="14856" width="15.140625" style="21" customWidth="1"/>
    <col min="14857" max="14857" width="18" style="21" customWidth="1"/>
    <col min="14858" max="14858" width="17.28515625" style="21" customWidth="1"/>
    <col min="14859" max="14859" width="27.140625" style="21" customWidth="1"/>
    <col min="14860" max="14860" width="21.5703125" style="21" customWidth="1"/>
    <col min="14861" max="14861" width="19.28515625" style="21" customWidth="1"/>
    <col min="14862" max="14862" width="19.7109375" style="21" customWidth="1"/>
    <col min="14863" max="14863" width="24.5703125" style="21" customWidth="1"/>
    <col min="14864" max="14864" width="23.7109375" style="21" customWidth="1"/>
    <col min="14865" max="15104" width="9.140625" style="21"/>
    <col min="15105" max="15105" width="32.5703125" style="21" customWidth="1"/>
    <col min="15106" max="15106" width="32" style="21" customWidth="1"/>
    <col min="15107" max="15107" width="20.28515625" style="21" customWidth="1"/>
    <col min="15108" max="15108" width="0" style="21" hidden="1" customWidth="1"/>
    <col min="15109" max="15109" width="19.42578125" style="21" customWidth="1"/>
    <col min="15110" max="15110" width="13.5703125" style="21" customWidth="1"/>
    <col min="15111" max="15111" width="36.5703125" style="21" customWidth="1"/>
    <col min="15112" max="15112" width="15.140625" style="21" customWidth="1"/>
    <col min="15113" max="15113" width="18" style="21" customWidth="1"/>
    <col min="15114" max="15114" width="17.28515625" style="21" customWidth="1"/>
    <col min="15115" max="15115" width="27.140625" style="21" customWidth="1"/>
    <col min="15116" max="15116" width="21.5703125" style="21" customWidth="1"/>
    <col min="15117" max="15117" width="19.28515625" style="21" customWidth="1"/>
    <col min="15118" max="15118" width="19.7109375" style="21" customWidth="1"/>
    <col min="15119" max="15119" width="24.5703125" style="21" customWidth="1"/>
    <col min="15120" max="15120" width="23.7109375" style="21" customWidth="1"/>
    <col min="15121" max="15360" width="9.140625" style="21"/>
    <col min="15361" max="15361" width="32.5703125" style="21" customWidth="1"/>
    <col min="15362" max="15362" width="32" style="21" customWidth="1"/>
    <col min="15363" max="15363" width="20.28515625" style="21" customWidth="1"/>
    <col min="15364" max="15364" width="0" style="21" hidden="1" customWidth="1"/>
    <col min="15365" max="15365" width="19.42578125" style="21" customWidth="1"/>
    <col min="15366" max="15366" width="13.5703125" style="21" customWidth="1"/>
    <col min="15367" max="15367" width="36.5703125" style="21" customWidth="1"/>
    <col min="15368" max="15368" width="15.140625" style="21" customWidth="1"/>
    <col min="15369" max="15369" width="18" style="21" customWidth="1"/>
    <col min="15370" max="15370" width="17.28515625" style="21" customWidth="1"/>
    <col min="15371" max="15371" width="27.140625" style="21" customWidth="1"/>
    <col min="15372" max="15372" width="21.5703125" style="21" customWidth="1"/>
    <col min="15373" max="15373" width="19.28515625" style="21" customWidth="1"/>
    <col min="15374" max="15374" width="19.7109375" style="21" customWidth="1"/>
    <col min="15375" max="15375" width="24.5703125" style="21" customWidth="1"/>
    <col min="15376" max="15376" width="23.7109375" style="21" customWidth="1"/>
    <col min="15377" max="15616" width="9.140625" style="21"/>
    <col min="15617" max="15617" width="32.5703125" style="21" customWidth="1"/>
    <col min="15618" max="15618" width="32" style="21" customWidth="1"/>
    <col min="15619" max="15619" width="20.28515625" style="21" customWidth="1"/>
    <col min="15620" max="15620" width="0" style="21" hidden="1" customWidth="1"/>
    <col min="15621" max="15621" width="19.42578125" style="21" customWidth="1"/>
    <col min="15622" max="15622" width="13.5703125" style="21" customWidth="1"/>
    <col min="15623" max="15623" width="36.5703125" style="21" customWidth="1"/>
    <col min="15624" max="15624" width="15.140625" style="21" customWidth="1"/>
    <col min="15625" max="15625" width="18" style="21" customWidth="1"/>
    <col min="15626" max="15626" width="17.28515625" style="21" customWidth="1"/>
    <col min="15627" max="15627" width="27.140625" style="21" customWidth="1"/>
    <col min="15628" max="15628" width="21.5703125" style="21" customWidth="1"/>
    <col min="15629" max="15629" width="19.28515625" style="21" customWidth="1"/>
    <col min="15630" max="15630" width="19.7109375" style="21" customWidth="1"/>
    <col min="15631" max="15631" width="24.5703125" style="21" customWidth="1"/>
    <col min="15632" max="15632" width="23.7109375" style="21" customWidth="1"/>
    <col min="15633" max="15872" width="9.140625" style="21"/>
    <col min="15873" max="15873" width="32.5703125" style="21" customWidth="1"/>
    <col min="15874" max="15874" width="32" style="21" customWidth="1"/>
    <col min="15875" max="15875" width="20.28515625" style="21" customWidth="1"/>
    <col min="15876" max="15876" width="0" style="21" hidden="1" customWidth="1"/>
    <col min="15877" max="15877" width="19.42578125" style="21" customWidth="1"/>
    <col min="15878" max="15878" width="13.5703125" style="21" customWidth="1"/>
    <col min="15879" max="15879" width="36.5703125" style="21" customWidth="1"/>
    <col min="15880" max="15880" width="15.140625" style="21" customWidth="1"/>
    <col min="15881" max="15881" width="18" style="21" customWidth="1"/>
    <col min="15882" max="15882" width="17.28515625" style="21" customWidth="1"/>
    <col min="15883" max="15883" width="27.140625" style="21" customWidth="1"/>
    <col min="15884" max="15884" width="21.5703125" style="21" customWidth="1"/>
    <col min="15885" max="15885" width="19.28515625" style="21" customWidth="1"/>
    <col min="15886" max="15886" width="19.7109375" style="21" customWidth="1"/>
    <col min="15887" max="15887" width="24.5703125" style="21" customWidth="1"/>
    <col min="15888" max="15888" width="23.7109375" style="21" customWidth="1"/>
    <col min="15889" max="16128" width="9.140625" style="21"/>
    <col min="16129" max="16129" width="32.5703125" style="21" customWidth="1"/>
    <col min="16130" max="16130" width="32" style="21" customWidth="1"/>
    <col min="16131" max="16131" width="20.28515625" style="21" customWidth="1"/>
    <col min="16132" max="16132" width="0" style="21" hidden="1" customWidth="1"/>
    <col min="16133" max="16133" width="19.42578125" style="21" customWidth="1"/>
    <col min="16134" max="16134" width="13.5703125" style="21" customWidth="1"/>
    <col min="16135" max="16135" width="36.5703125" style="21" customWidth="1"/>
    <col min="16136" max="16136" width="15.140625" style="21" customWidth="1"/>
    <col min="16137" max="16137" width="18" style="21" customWidth="1"/>
    <col min="16138" max="16138" width="17.28515625" style="21" customWidth="1"/>
    <col min="16139" max="16139" width="27.140625" style="21" customWidth="1"/>
    <col min="16140" max="16140" width="21.5703125" style="21" customWidth="1"/>
    <col min="16141" max="16141" width="19.28515625" style="21" customWidth="1"/>
    <col min="16142" max="16142" width="19.7109375" style="21" customWidth="1"/>
    <col min="16143" max="16143" width="24.5703125" style="21" customWidth="1"/>
    <col min="16144" max="16144" width="23.7109375" style="21" customWidth="1"/>
    <col min="16145" max="16384" width="9.140625" style="21"/>
  </cols>
  <sheetData>
    <row r="1" spans="1:16" ht="17.100000000000001" customHeight="1">
      <c r="A1" s="2194" t="s">
        <v>3296</v>
      </c>
      <c r="B1" s="1846"/>
      <c r="C1" s="1846"/>
      <c r="D1" s="1846"/>
      <c r="E1" s="1846"/>
      <c r="F1" s="1846"/>
      <c r="G1" s="1846"/>
      <c r="H1" s="1846"/>
      <c r="I1" s="1846"/>
      <c r="J1" s="1846"/>
      <c r="K1" s="1846"/>
      <c r="L1" s="1846"/>
      <c r="M1" s="1846"/>
      <c r="N1" s="1846"/>
      <c r="O1" s="1846"/>
      <c r="P1" s="1846"/>
    </row>
    <row r="2" spans="1:16" ht="15.4" customHeight="1"/>
    <row r="3" spans="1:16" ht="17.100000000000001" customHeight="1">
      <c r="A3" s="2195" t="s">
        <v>3297</v>
      </c>
      <c r="B3" s="1846"/>
      <c r="C3" s="1846"/>
      <c r="D3" s="1846"/>
      <c r="E3" s="1846"/>
      <c r="F3" s="1846"/>
      <c r="G3" s="1846"/>
      <c r="H3" s="1846"/>
      <c r="I3" s="1846"/>
      <c r="J3" s="1846"/>
      <c r="K3" s="1846"/>
      <c r="L3" s="1846"/>
      <c r="M3" s="1846"/>
      <c r="N3" s="1846"/>
      <c r="O3" s="1846"/>
      <c r="P3" s="1846"/>
    </row>
    <row r="4" spans="1:16" ht="7.35" customHeight="1"/>
    <row r="5" spans="1:16">
      <c r="A5" s="1452" t="s">
        <v>1969</v>
      </c>
      <c r="B5" s="2196" t="s">
        <v>2512</v>
      </c>
      <c r="C5" s="1846"/>
    </row>
    <row r="6" spans="1:16" ht="409.6" hidden="1" customHeight="1"/>
    <row r="7" spans="1:16" ht="14.85" customHeight="1"/>
    <row r="8" spans="1:16">
      <c r="A8" s="2197" t="s">
        <v>3298</v>
      </c>
      <c r="B8" s="2171"/>
      <c r="C8" s="2171"/>
      <c r="D8" s="2171"/>
      <c r="E8" s="2162"/>
      <c r="F8" s="2197" t="s">
        <v>3299</v>
      </c>
      <c r="G8" s="2162"/>
      <c r="H8" s="2197" t="s">
        <v>3300</v>
      </c>
      <c r="I8" s="2197" t="s">
        <v>3301</v>
      </c>
      <c r="J8" s="2197" t="s">
        <v>3302</v>
      </c>
      <c r="K8" s="2197" t="s">
        <v>2645</v>
      </c>
      <c r="L8" s="2197" t="s">
        <v>3303</v>
      </c>
      <c r="M8" s="2197" t="s">
        <v>3304</v>
      </c>
      <c r="N8" s="2197" t="s">
        <v>3305</v>
      </c>
      <c r="O8" s="2197" t="s">
        <v>3306</v>
      </c>
      <c r="P8" s="2197" t="s">
        <v>3307</v>
      </c>
    </row>
    <row r="9" spans="1:16">
      <c r="A9" s="1453" t="s">
        <v>366</v>
      </c>
      <c r="B9" s="1453" t="s">
        <v>367</v>
      </c>
      <c r="C9" s="1453" t="s">
        <v>3308</v>
      </c>
      <c r="E9" s="1453" t="s">
        <v>3309</v>
      </c>
      <c r="F9" s="1453" t="s">
        <v>366</v>
      </c>
      <c r="G9" s="1453" t="s">
        <v>367</v>
      </c>
      <c r="H9" s="2178"/>
      <c r="I9" s="2178"/>
      <c r="J9" s="2178"/>
      <c r="K9" s="2178"/>
      <c r="L9" s="2178"/>
      <c r="M9" s="2178"/>
      <c r="N9" s="2178"/>
      <c r="O9" s="2178"/>
      <c r="P9" s="2178"/>
    </row>
    <row r="10" spans="1:16">
      <c r="A10" s="2193" t="s">
        <v>57</v>
      </c>
      <c r="B10" s="2171"/>
      <c r="C10" s="2171"/>
      <c r="D10" s="2171"/>
      <c r="E10" s="2171"/>
      <c r="F10" s="2171"/>
      <c r="G10" s="2171"/>
      <c r="H10" s="2162"/>
      <c r="I10" s="1454">
        <v>63807353.729999997</v>
      </c>
      <c r="J10" s="1454">
        <v>48714679.950000003</v>
      </c>
      <c r="K10" s="1455"/>
      <c r="L10" s="1455"/>
      <c r="M10" s="1455"/>
      <c r="N10" s="1455"/>
      <c r="O10" s="1455"/>
      <c r="P10" s="1455"/>
    </row>
    <row r="11" spans="1:16" ht="51">
      <c r="A11" s="1455" t="s">
        <v>2754</v>
      </c>
      <c r="B11" s="1455" t="s">
        <v>2755</v>
      </c>
      <c r="C11" s="1455" t="s">
        <v>1914</v>
      </c>
      <c r="E11" s="1455" t="s">
        <v>2061</v>
      </c>
      <c r="F11" s="1455" t="s">
        <v>2771</v>
      </c>
      <c r="G11" s="1455" t="s">
        <v>2770</v>
      </c>
      <c r="H11" s="1456">
        <v>43245</v>
      </c>
      <c r="I11" s="1457">
        <v>6000000</v>
      </c>
      <c r="J11" s="1457">
        <v>6000000</v>
      </c>
      <c r="K11" s="1456">
        <v>43340</v>
      </c>
      <c r="L11" s="1455"/>
      <c r="M11" s="1456">
        <v>43245</v>
      </c>
      <c r="N11" s="1456">
        <v>43342</v>
      </c>
      <c r="O11" s="1455" t="s">
        <v>3413</v>
      </c>
      <c r="P11" s="1455" t="s">
        <v>3322</v>
      </c>
    </row>
    <row r="12" spans="1:16" ht="38.25">
      <c r="A12" s="1455" t="s">
        <v>716</v>
      </c>
      <c r="B12" s="1455" t="s">
        <v>633</v>
      </c>
      <c r="C12" s="1455" t="s">
        <v>1827</v>
      </c>
      <c r="E12" s="1455" t="s">
        <v>2137</v>
      </c>
      <c r="F12" s="1455" t="s">
        <v>2799</v>
      </c>
      <c r="G12" s="1455" t="s">
        <v>345</v>
      </c>
      <c r="H12" s="1456">
        <v>42914</v>
      </c>
      <c r="I12" s="1457">
        <v>133670.07</v>
      </c>
      <c r="J12" s="1457">
        <v>113619.56</v>
      </c>
      <c r="K12" s="1456">
        <v>42991</v>
      </c>
      <c r="L12" s="1456">
        <v>43410</v>
      </c>
      <c r="M12" s="1456">
        <v>42914</v>
      </c>
      <c r="N12" s="1456">
        <v>42991</v>
      </c>
      <c r="O12" s="1455" t="s">
        <v>3803</v>
      </c>
      <c r="P12" s="1455"/>
    </row>
    <row r="13" spans="1:16" ht="51">
      <c r="A13" s="1455" t="s">
        <v>1208</v>
      </c>
      <c r="B13" s="1455" t="s">
        <v>2076</v>
      </c>
      <c r="C13" s="1455" t="s">
        <v>1914</v>
      </c>
      <c r="E13" s="1455" t="s">
        <v>2061</v>
      </c>
      <c r="F13" s="1455" t="s">
        <v>2812</v>
      </c>
      <c r="G13" s="1455" t="s">
        <v>161</v>
      </c>
      <c r="H13" s="1456">
        <v>43007</v>
      </c>
      <c r="I13" s="1457">
        <v>93938.42</v>
      </c>
      <c r="J13" s="1457">
        <v>73501</v>
      </c>
      <c r="K13" s="1456">
        <v>43119</v>
      </c>
      <c r="L13" s="1455"/>
      <c r="M13" s="1456">
        <v>43007</v>
      </c>
      <c r="N13" s="1456">
        <v>43122</v>
      </c>
      <c r="O13" s="1455" t="s">
        <v>3353</v>
      </c>
      <c r="P13" s="1455" t="s">
        <v>3317</v>
      </c>
    </row>
    <row r="14" spans="1:16" ht="51">
      <c r="A14" s="1455" t="s">
        <v>3367</v>
      </c>
      <c r="B14" s="1455" t="s">
        <v>2076</v>
      </c>
      <c r="C14" s="1455" t="s">
        <v>3357</v>
      </c>
      <c r="E14" s="1455" t="s">
        <v>3358</v>
      </c>
      <c r="F14" s="1455" t="s">
        <v>2812</v>
      </c>
      <c r="G14" s="1455" t="s">
        <v>3368</v>
      </c>
      <c r="H14" s="1456">
        <v>43052</v>
      </c>
      <c r="I14" s="1457">
        <v>97868.08</v>
      </c>
      <c r="J14" s="1457">
        <v>73501</v>
      </c>
      <c r="K14" s="1455"/>
      <c r="L14" s="1455"/>
      <c r="M14" s="1456">
        <v>43052</v>
      </c>
      <c r="N14" s="1455"/>
      <c r="O14" s="1455"/>
      <c r="P14" s="1455"/>
    </row>
    <row r="15" spans="1:16" ht="38.25">
      <c r="A15" s="1455" t="s">
        <v>1237</v>
      </c>
      <c r="B15" s="1455" t="s">
        <v>642</v>
      </c>
      <c r="C15" s="1455" t="s">
        <v>1914</v>
      </c>
      <c r="E15" s="1455" t="s">
        <v>2061</v>
      </c>
      <c r="F15" s="1455" t="s">
        <v>2820</v>
      </c>
      <c r="G15" s="1455" t="s">
        <v>282</v>
      </c>
      <c r="H15" s="1456">
        <v>43098</v>
      </c>
      <c r="I15" s="1457">
        <v>95080</v>
      </c>
      <c r="J15" s="1457">
        <v>80810</v>
      </c>
      <c r="K15" s="1456">
        <v>43193</v>
      </c>
      <c r="L15" s="1455"/>
      <c r="M15" s="1456">
        <v>43098</v>
      </c>
      <c r="N15" s="1456">
        <v>43193</v>
      </c>
      <c r="O15" s="1455" t="s">
        <v>3343</v>
      </c>
      <c r="P15" s="1455" t="s">
        <v>3313</v>
      </c>
    </row>
    <row r="16" spans="1:16" ht="25.5">
      <c r="A16" s="1455" t="s">
        <v>1591</v>
      </c>
      <c r="B16" s="1455" t="s">
        <v>380</v>
      </c>
      <c r="C16" s="1455" t="s">
        <v>1914</v>
      </c>
      <c r="E16" s="1455" t="s">
        <v>2061</v>
      </c>
      <c r="F16" s="1455" t="s">
        <v>2828</v>
      </c>
      <c r="G16" s="1455" t="s">
        <v>184</v>
      </c>
      <c r="H16" s="1456">
        <v>43131</v>
      </c>
      <c r="I16" s="1457">
        <v>98949.56</v>
      </c>
      <c r="J16" s="1457">
        <v>84107.13</v>
      </c>
      <c r="K16" s="1456">
        <v>43243</v>
      </c>
      <c r="L16" s="1455"/>
      <c r="M16" s="1456">
        <v>43131</v>
      </c>
      <c r="N16" s="1456">
        <v>43245</v>
      </c>
      <c r="O16" s="1455" t="s">
        <v>3383</v>
      </c>
      <c r="P16" s="1455" t="s">
        <v>3313</v>
      </c>
    </row>
    <row r="17" spans="1:16" ht="38.25">
      <c r="A17" s="1455" t="s">
        <v>1653</v>
      </c>
      <c r="B17" s="1455" t="s">
        <v>3423</v>
      </c>
      <c r="C17" s="1455" t="s">
        <v>1942</v>
      </c>
      <c r="E17" s="1455" t="s">
        <v>3394</v>
      </c>
      <c r="F17" s="1455" t="s">
        <v>2812</v>
      </c>
      <c r="G17" s="1455" t="s">
        <v>161</v>
      </c>
      <c r="H17" s="1456">
        <v>43342</v>
      </c>
      <c r="I17" s="1457">
        <v>262703.09999999998</v>
      </c>
      <c r="J17" s="1457">
        <v>223297</v>
      </c>
      <c r="K17" s="1455"/>
      <c r="L17" s="1455"/>
      <c r="M17" s="1456">
        <v>43342</v>
      </c>
      <c r="N17" s="1455"/>
      <c r="O17" s="1455" t="s">
        <v>3342</v>
      </c>
      <c r="P17" s="1455"/>
    </row>
    <row r="18" spans="1:16" ht="25.5">
      <c r="A18" s="1455" t="s">
        <v>1654</v>
      </c>
      <c r="B18" s="1455" t="s">
        <v>3424</v>
      </c>
      <c r="C18" s="1455" t="s">
        <v>1942</v>
      </c>
      <c r="E18" s="1455" t="s">
        <v>3394</v>
      </c>
      <c r="F18" s="1455" t="s">
        <v>2929</v>
      </c>
      <c r="G18" s="1455" t="s">
        <v>235</v>
      </c>
      <c r="H18" s="1456">
        <v>43343</v>
      </c>
      <c r="I18" s="1457">
        <v>694296.45</v>
      </c>
      <c r="J18" s="1457">
        <v>417548</v>
      </c>
      <c r="K18" s="1455"/>
      <c r="L18" s="1455"/>
      <c r="M18" s="1456">
        <v>43343</v>
      </c>
      <c r="N18" s="1455"/>
      <c r="O18" s="1455" t="s">
        <v>3425</v>
      </c>
      <c r="P18" s="1455"/>
    </row>
    <row r="19" spans="1:16" ht="25.5">
      <c r="A19" s="1455" t="s">
        <v>704</v>
      </c>
      <c r="B19" s="1455" t="s">
        <v>304</v>
      </c>
      <c r="C19" s="1455" t="s">
        <v>1914</v>
      </c>
      <c r="E19" s="1455" t="s">
        <v>2061</v>
      </c>
      <c r="F19" s="1455" t="s">
        <v>2843</v>
      </c>
      <c r="G19" s="1455" t="s">
        <v>2842</v>
      </c>
      <c r="H19" s="1456">
        <v>42726</v>
      </c>
      <c r="I19" s="1457">
        <v>2809404.09</v>
      </c>
      <c r="J19" s="1457">
        <v>2387993.48</v>
      </c>
      <c r="K19" s="1456">
        <v>42815</v>
      </c>
      <c r="L19" s="1455"/>
      <c r="M19" s="1456">
        <v>42727</v>
      </c>
      <c r="N19" s="1456">
        <v>42815</v>
      </c>
      <c r="O19" s="1455" t="s">
        <v>3327</v>
      </c>
      <c r="P19" s="1455"/>
    </row>
    <row r="20" spans="1:16" ht="25.5">
      <c r="A20" s="1455" t="s">
        <v>729</v>
      </c>
      <c r="B20" s="1455" t="s">
        <v>2085</v>
      </c>
      <c r="C20" s="1455" t="s">
        <v>1914</v>
      </c>
      <c r="E20" s="1455" t="s">
        <v>2061</v>
      </c>
      <c r="F20" s="1455" t="s">
        <v>2858</v>
      </c>
      <c r="G20" s="1455" t="s">
        <v>2857</v>
      </c>
      <c r="H20" s="1456">
        <v>42832</v>
      </c>
      <c r="I20" s="1457">
        <v>4130687.05</v>
      </c>
      <c r="J20" s="1457">
        <v>3352807.77</v>
      </c>
      <c r="K20" s="1456">
        <v>42957</v>
      </c>
      <c r="L20" s="1455"/>
      <c r="M20" s="1456">
        <v>42839</v>
      </c>
      <c r="N20" s="1456">
        <v>42965</v>
      </c>
      <c r="O20" s="1455" t="s">
        <v>3341</v>
      </c>
      <c r="P20" s="1455"/>
    </row>
    <row r="21" spans="1:16" ht="38.25">
      <c r="A21" s="1455" t="s">
        <v>699</v>
      </c>
      <c r="B21" s="1455" t="s">
        <v>293</v>
      </c>
      <c r="C21" s="1455" t="s">
        <v>1914</v>
      </c>
      <c r="E21" s="1455" t="s">
        <v>2061</v>
      </c>
      <c r="F21" s="1455" t="s">
        <v>2869</v>
      </c>
      <c r="G21" s="1455" t="s">
        <v>2868</v>
      </c>
      <c r="H21" s="1456">
        <v>42671</v>
      </c>
      <c r="I21" s="1457">
        <v>2477103.23</v>
      </c>
      <c r="J21" s="1457">
        <v>1614228.26</v>
      </c>
      <c r="K21" s="1456">
        <v>42766</v>
      </c>
      <c r="L21" s="1455"/>
      <c r="M21" s="1456">
        <v>42674</v>
      </c>
      <c r="N21" s="1456">
        <v>42766</v>
      </c>
      <c r="O21" s="1455" t="s">
        <v>3804</v>
      </c>
      <c r="P21" s="1455"/>
    </row>
    <row r="22" spans="1:16" ht="38.25">
      <c r="A22" s="1455" t="s">
        <v>700</v>
      </c>
      <c r="B22" s="1455" t="s">
        <v>387</v>
      </c>
      <c r="C22" s="1455" t="s">
        <v>1914</v>
      </c>
      <c r="E22" s="1455" t="s">
        <v>2061</v>
      </c>
      <c r="F22" s="1455" t="s">
        <v>2843</v>
      </c>
      <c r="G22" s="1455" t="s">
        <v>2842</v>
      </c>
      <c r="H22" s="1456">
        <v>42674</v>
      </c>
      <c r="I22" s="1457">
        <v>5598211</v>
      </c>
      <c r="J22" s="1457">
        <v>2645996.25</v>
      </c>
      <c r="K22" s="1456">
        <v>42726</v>
      </c>
      <c r="L22" s="1455"/>
      <c r="M22" s="1456">
        <v>42678</v>
      </c>
      <c r="N22" s="1456">
        <v>42726</v>
      </c>
      <c r="O22" s="1455" t="s">
        <v>3327</v>
      </c>
      <c r="P22" s="1455"/>
    </row>
    <row r="23" spans="1:16" ht="38.25">
      <c r="A23" s="1455" t="s">
        <v>703</v>
      </c>
      <c r="B23" s="1455" t="s">
        <v>297</v>
      </c>
      <c r="C23" s="1455" t="s">
        <v>1914</v>
      </c>
      <c r="E23" s="1455" t="s">
        <v>2061</v>
      </c>
      <c r="F23" s="1455" t="s">
        <v>2881</v>
      </c>
      <c r="G23" s="1455" t="s">
        <v>227</v>
      </c>
      <c r="H23" s="1456">
        <v>42682</v>
      </c>
      <c r="I23" s="1457">
        <v>5160736.5999999996</v>
      </c>
      <c r="J23" s="1457">
        <v>2874174.73</v>
      </c>
      <c r="K23" s="1456">
        <v>42810</v>
      </c>
      <c r="L23" s="1455"/>
      <c r="M23" s="1456">
        <v>42682</v>
      </c>
      <c r="N23" s="1456">
        <v>42823</v>
      </c>
      <c r="O23" s="1455" t="s">
        <v>3324</v>
      </c>
      <c r="P23" s="1455"/>
    </row>
    <row r="24" spans="1:16" ht="51">
      <c r="A24" s="1455" t="s">
        <v>702</v>
      </c>
      <c r="B24" s="1455" t="s">
        <v>278</v>
      </c>
      <c r="C24" s="1455" t="s">
        <v>1914</v>
      </c>
      <c r="E24" s="1455" t="s">
        <v>2061</v>
      </c>
      <c r="F24" s="1455" t="s">
        <v>2890</v>
      </c>
      <c r="G24" s="1455" t="s">
        <v>2889</v>
      </c>
      <c r="H24" s="1456">
        <v>42734</v>
      </c>
      <c r="I24" s="1457">
        <v>1288228.01</v>
      </c>
      <c r="J24" s="1457">
        <v>790102</v>
      </c>
      <c r="K24" s="1456">
        <v>42818</v>
      </c>
      <c r="L24" s="1455"/>
      <c r="M24" s="1456">
        <v>42737</v>
      </c>
      <c r="N24" s="1456">
        <v>42821</v>
      </c>
      <c r="O24" s="1455" t="s">
        <v>3327</v>
      </c>
      <c r="P24" s="1455"/>
    </row>
    <row r="25" spans="1:16" ht="38.25">
      <c r="A25" s="1455" t="s">
        <v>701</v>
      </c>
      <c r="B25" s="1455" t="s">
        <v>303</v>
      </c>
      <c r="C25" s="1455" t="s">
        <v>1914</v>
      </c>
      <c r="E25" s="1455" t="s">
        <v>2061</v>
      </c>
      <c r="F25" s="1455" t="s">
        <v>2897</v>
      </c>
      <c r="G25" s="1455" t="s">
        <v>2896</v>
      </c>
      <c r="H25" s="1456">
        <v>42919</v>
      </c>
      <c r="I25" s="1457">
        <v>1481000</v>
      </c>
      <c r="J25" s="1457">
        <v>867744</v>
      </c>
      <c r="K25" s="1456">
        <v>43146</v>
      </c>
      <c r="L25" s="1455"/>
      <c r="M25" s="1456">
        <v>42919</v>
      </c>
      <c r="N25" s="1456">
        <v>43150</v>
      </c>
      <c r="O25" s="1455" t="s">
        <v>3327</v>
      </c>
      <c r="P25" s="1455"/>
    </row>
    <row r="26" spans="1:16" ht="25.5">
      <c r="A26" s="1455" t="s">
        <v>1592</v>
      </c>
      <c r="B26" s="1455" t="s">
        <v>2918</v>
      </c>
      <c r="C26" s="1455" t="s">
        <v>1914</v>
      </c>
      <c r="E26" s="1455" t="s">
        <v>2061</v>
      </c>
      <c r="F26" s="1455" t="s">
        <v>2812</v>
      </c>
      <c r="G26" s="1455" t="s">
        <v>161</v>
      </c>
      <c r="H26" s="1456">
        <v>43178</v>
      </c>
      <c r="I26" s="1457">
        <v>242419</v>
      </c>
      <c r="J26" s="1457">
        <v>206056</v>
      </c>
      <c r="K26" s="1456">
        <v>43335</v>
      </c>
      <c r="L26" s="1455"/>
      <c r="M26" s="1456">
        <v>43178</v>
      </c>
      <c r="N26" s="1456">
        <v>43340</v>
      </c>
      <c r="O26" s="1455" t="s">
        <v>3389</v>
      </c>
      <c r="P26" s="1455" t="s">
        <v>3390</v>
      </c>
    </row>
    <row r="27" spans="1:16" ht="51">
      <c r="A27" s="1455" t="s">
        <v>1593</v>
      </c>
      <c r="B27" s="1455" t="s">
        <v>389</v>
      </c>
      <c r="C27" s="1455" t="s">
        <v>1914</v>
      </c>
      <c r="E27" s="1455" t="s">
        <v>2061</v>
      </c>
      <c r="F27" s="1455" t="s">
        <v>2929</v>
      </c>
      <c r="G27" s="1455" t="s">
        <v>235</v>
      </c>
      <c r="H27" s="1456">
        <v>43189</v>
      </c>
      <c r="I27" s="1457">
        <v>297670.40999999997</v>
      </c>
      <c r="J27" s="1457">
        <v>206056</v>
      </c>
      <c r="K27" s="1456">
        <v>43285</v>
      </c>
      <c r="L27" s="1455"/>
      <c r="M27" s="1456">
        <v>43189</v>
      </c>
      <c r="N27" s="1456">
        <v>43285</v>
      </c>
      <c r="O27" s="1455" t="s">
        <v>3389</v>
      </c>
      <c r="P27" s="1455" t="s">
        <v>3317</v>
      </c>
    </row>
    <row r="28" spans="1:16" ht="38.25">
      <c r="A28" s="1455" t="s">
        <v>1596</v>
      </c>
      <c r="B28" s="1455" t="s">
        <v>2936</v>
      </c>
      <c r="C28" s="1455" t="s">
        <v>1914</v>
      </c>
      <c r="E28" s="1455" t="s">
        <v>2061</v>
      </c>
      <c r="F28" s="1455" t="s">
        <v>2799</v>
      </c>
      <c r="G28" s="1455" t="s">
        <v>345</v>
      </c>
      <c r="H28" s="1456">
        <v>43189</v>
      </c>
      <c r="I28" s="1457">
        <v>444560.16</v>
      </c>
      <c r="J28" s="1457">
        <v>206056</v>
      </c>
      <c r="K28" s="1456">
        <v>43276</v>
      </c>
      <c r="L28" s="1455"/>
      <c r="M28" s="1456">
        <v>43189</v>
      </c>
      <c r="N28" s="1456">
        <v>43283</v>
      </c>
      <c r="O28" s="1455" t="s">
        <v>3389</v>
      </c>
      <c r="P28" s="1455" t="s">
        <v>3313</v>
      </c>
    </row>
    <row r="29" spans="1:16" ht="38.25">
      <c r="A29" s="1455" t="s">
        <v>1594</v>
      </c>
      <c r="B29" s="1455" t="s">
        <v>3393</v>
      </c>
      <c r="C29" s="1455" t="s">
        <v>1914</v>
      </c>
      <c r="E29" s="1455" t="s">
        <v>2061</v>
      </c>
      <c r="F29" s="1455" t="s">
        <v>2828</v>
      </c>
      <c r="G29" s="1455" t="s">
        <v>184</v>
      </c>
      <c r="H29" s="1456">
        <v>43189</v>
      </c>
      <c r="I29" s="1457">
        <v>234872.55</v>
      </c>
      <c r="J29" s="1457">
        <v>199641.66</v>
      </c>
      <c r="K29" s="1456">
        <v>43427</v>
      </c>
      <c r="L29" s="1455"/>
      <c r="M29" s="1456">
        <v>43189</v>
      </c>
      <c r="N29" s="1456">
        <v>43433</v>
      </c>
      <c r="O29" s="1455" t="s">
        <v>3395</v>
      </c>
      <c r="P29" s="1455"/>
    </row>
    <row r="30" spans="1:16" ht="38.25">
      <c r="A30" s="1455" t="s">
        <v>1595</v>
      </c>
      <c r="B30" s="1455" t="s">
        <v>641</v>
      </c>
      <c r="C30" s="1455" t="s">
        <v>1914</v>
      </c>
      <c r="E30" s="1455" t="s">
        <v>2061</v>
      </c>
      <c r="F30" s="1455" t="s">
        <v>2820</v>
      </c>
      <c r="G30" s="1455" t="s">
        <v>282</v>
      </c>
      <c r="H30" s="1456">
        <v>43214</v>
      </c>
      <c r="I30" s="1457">
        <v>204605.56</v>
      </c>
      <c r="J30" s="1457">
        <v>173914.72</v>
      </c>
      <c r="K30" s="1456">
        <v>43307</v>
      </c>
      <c r="L30" s="1455"/>
      <c r="M30" s="1456">
        <v>43214</v>
      </c>
      <c r="N30" s="1456">
        <v>43308</v>
      </c>
      <c r="O30" s="1455" t="s">
        <v>3396</v>
      </c>
      <c r="P30" s="1455" t="s">
        <v>3390</v>
      </c>
    </row>
    <row r="31" spans="1:16" ht="51">
      <c r="A31" s="1455" t="s">
        <v>3403</v>
      </c>
      <c r="B31" s="1455" t="s">
        <v>389</v>
      </c>
      <c r="C31" s="1455" t="s">
        <v>3357</v>
      </c>
      <c r="E31" s="1455" t="s">
        <v>3358</v>
      </c>
      <c r="F31" s="1455" t="s">
        <v>2929</v>
      </c>
      <c r="G31" s="1455" t="s">
        <v>235</v>
      </c>
      <c r="H31" s="1456">
        <v>43229</v>
      </c>
      <c r="I31" s="1457">
        <v>297670.40999999997</v>
      </c>
      <c r="J31" s="1457">
        <v>206056</v>
      </c>
      <c r="K31" s="1455"/>
      <c r="L31" s="1455"/>
      <c r="M31" s="1456">
        <v>43229</v>
      </c>
      <c r="N31" s="1455"/>
      <c r="O31" s="1455"/>
      <c r="P31" s="1455"/>
    </row>
    <row r="32" spans="1:16" ht="38.25">
      <c r="A32" s="1455" t="s">
        <v>3426</v>
      </c>
      <c r="B32" s="1455" t="s">
        <v>3393</v>
      </c>
      <c r="C32" s="1455" t="s">
        <v>3357</v>
      </c>
      <c r="E32" s="1455" t="s">
        <v>3358</v>
      </c>
      <c r="F32" s="1455" t="s">
        <v>2828</v>
      </c>
      <c r="G32" s="1455" t="s">
        <v>184</v>
      </c>
      <c r="H32" s="1456">
        <v>43350</v>
      </c>
      <c r="I32" s="1457">
        <v>260122</v>
      </c>
      <c r="J32" s="1457">
        <v>206056</v>
      </c>
      <c r="K32" s="1455"/>
      <c r="L32" s="1455"/>
      <c r="M32" s="1456">
        <v>43350</v>
      </c>
      <c r="N32" s="1455"/>
      <c r="O32" s="1455"/>
      <c r="P32" s="1455"/>
    </row>
    <row r="33" spans="1:16" ht="51">
      <c r="A33" s="1455" t="s">
        <v>705</v>
      </c>
      <c r="B33" s="1455" t="s">
        <v>2108</v>
      </c>
      <c r="C33" s="1455" t="s">
        <v>1914</v>
      </c>
      <c r="E33" s="1455" t="s">
        <v>2061</v>
      </c>
      <c r="F33" s="1455" t="s">
        <v>2812</v>
      </c>
      <c r="G33" s="1455" t="s">
        <v>161</v>
      </c>
      <c r="H33" s="1456">
        <v>42706</v>
      </c>
      <c r="I33" s="1457">
        <v>288106</v>
      </c>
      <c r="J33" s="1457">
        <v>244890.1</v>
      </c>
      <c r="K33" s="1456">
        <v>42811</v>
      </c>
      <c r="L33" s="1455"/>
      <c r="M33" s="1456">
        <v>42706</v>
      </c>
      <c r="N33" s="1456">
        <v>42811</v>
      </c>
      <c r="O33" s="1455" t="s">
        <v>3325</v>
      </c>
      <c r="P33" s="1455" t="s">
        <v>3326</v>
      </c>
    </row>
    <row r="34" spans="1:16" ht="25.5">
      <c r="A34" s="1455" t="s">
        <v>706</v>
      </c>
      <c r="B34" s="1455" t="s">
        <v>270</v>
      </c>
      <c r="C34" s="1455" t="s">
        <v>1914</v>
      </c>
      <c r="E34" s="1455" t="s">
        <v>2061</v>
      </c>
      <c r="F34" s="1455" t="s">
        <v>2799</v>
      </c>
      <c r="G34" s="1455" t="s">
        <v>345</v>
      </c>
      <c r="H34" s="1456">
        <v>42755</v>
      </c>
      <c r="I34" s="1457">
        <v>208223.53</v>
      </c>
      <c r="J34" s="1457">
        <v>176990</v>
      </c>
      <c r="K34" s="1456">
        <v>42835</v>
      </c>
      <c r="L34" s="1455"/>
      <c r="M34" s="1456">
        <v>42755</v>
      </c>
      <c r="N34" s="1456">
        <v>42836</v>
      </c>
      <c r="O34" s="1455" t="s">
        <v>3334</v>
      </c>
      <c r="P34" s="1455" t="s">
        <v>3335</v>
      </c>
    </row>
    <row r="35" spans="1:16" ht="38.25">
      <c r="A35" s="1455" t="s">
        <v>730</v>
      </c>
      <c r="B35" s="1455" t="s">
        <v>191</v>
      </c>
      <c r="C35" s="1455" t="s">
        <v>1914</v>
      </c>
      <c r="E35" s="1455" t="s">
        <v>2061</v>
      </c>
      <c r="F35" s="1455" t="s">
        <v>2828</v>
      </c>
      <c r="G35" s="1455" t="s">
        <v>184</v>
      </c>
      <c r="H35" s="1456">
        <v>42769</v>
      </c>
      <c r="I35" s="1457">
        <v>101765.7</v>
      </c>
      <c r="J35" s="1457">
        <v>86500.800000000003</v>
      </c>
      <c r="K35" s="1456">
        <v>43003</v>
      </c>
      <c r="L35" s="1455"/>
      <c r="M35" s="1456">
        <v>42769</v>
      </c>
      <c r="N35" s="1456">
        <v>43010</v>
      </c>
      <c r="O35" s="1455" t="s">
        <v>3339</v>
      </c>
      <c r="P35" s="1455"/>
    </row>
    <row r="36" spans="1:16" ht="38.25">
      <c r="A36" s="1455" t="s">
        <v>731</v>
      </c>
      <c r="B36" s="1455" t="s">
        <v>305</v>
      </c>
      <c r="C36" s="1455" t="s">
        <v>1914</v>
      </c>
      <c r="E36" s="1455" t="s">
        <v>2061</v>
      </c>
      <c r="F36" s="1455" t="s">
        <v>2820</v>
      </c>
      <c r="G36" s="1455" t="s">
        <v>282</v>
      </c>
      <c r="H36" s="1456">
        <v>42797</v>
      </c>
      <c r="I36" s="1457">
        <v>309522</v>
      </c>
      <c r="J36" s="1457">
        <v>263093.7</v>
      </c>
      <c r="K36" s="1456">
        <v>42901</v>
      </c>
      <c r="L36" s="1455"/>
      <c r="M36" s="1456">
        <v>42800</v>
      </c>
      <c r="N36" s="1456">
        <v>42902</v>
      </c>
      <c r="O36" s="1455" t="s">
        <v>3339</v>
      </c>
      <c r="P36" s="1455"/>
    </row>
    <row r="37" spans="1:16" ht="25.5">
      <c r="A37" s="1455" t="s">
        <v>732</v>
      </c>
      <c r="B37" s="1455" t="s">
        <v>290</v>
      </c>
      <c r="C37" s="1455" t="s">
        <v>1914</v>
      </c>
      <c r="E37" s="1455" t="s">
        <v>2061</v>
      </c>
      <c r="F37" s="1455" t="s">
        <v>2812</v>
      </c>
      <c r="G37" s="1455" t="s">
        <v>161</v>
      </c>
      <c r="H37" s="1456">
        <v>42825</v>
      </c>
      <c r="I37" s="1457">
        <v>442298.59</v>
      </c>
      <c r="J37" s="1457">
        <v>375953.81</v>
      </c>
      <c r="K37" s="1456">
        <v>42935</v>
      </c>
      <c r="L37" s="1455"/>
      <c r="M37" s="1456">
        <v>42828</v>
      </c>
      <c r="N37" s="1456">
        <v>42936</v>
      </c>
      <c r="O37" s="1455" t="s">
        <v>3340</v>
      </c>
      <c r="P37" s="1455"/>
    </row>
    <row r="38" spans="1:16" ht="51">
      <c r="A38" s="1455" t="s">
        <v>733</v>
      </c>
      <c r="B38" s="1455" t="s">
        <v>388</v>
      </c>
      <c r="C38" s="1455" t="s">
        <v>1914</v>
      </c>
      <c r="E38" s="1455" t="s">
        <v>2061</v>
      </c>
      <c r="F38" s="1455" t="s">
        <v>2799</v>
      </c>
      <c r="G38" s="1455" t="s">
        <v>345</v>
      </c>
      <c r="H38" s="1456">
        <v>42867</v>
      </c>
      <c r="I38" s="1457">
        <v>3993</v>
      </c>
      <c r="J38" s="1457">
        <v>3394.05</v>
      </c>
      <c r="K38" s="1456">
        <v>42965</v>
      </c>
      <c r="L38" s="1455"/>
      <c r="M38" s="1456">
        <v>42872</v>
      </c>
      <c r="N38" s="1456">
        <v>42968</v>
      </c>
      <c r="O38" s="1455" t="s">
        <v>3339</v>
      </c>
      <c r="P38" s="1455"/>
    </row>
    <row r="39" spans="1:16" ht="38.25">
      <c r="A39" s="1455" t="s">
        <v>734</v>
      </c>
      <c r="B39" s="1455" t="s">
        <v>378</v>
      </c>
      <c r="C39" s="1455" t="s">
        <v>1827</v>
      </c>
      <c r="E39" s="1455" t="s">
        <v>2137</v>
      </c>
      <c r="F39" s="1455" t="s">
        <v>2929</v>
      </c>
      <c r="G39" s="1455" t="s">
        <v>235</v>
      </c>
      <c r="H39" s="1456">
        <v>42887</v>
      </c>
      <c r="I39" s="1457">
        <v>121153.55</v>
      </c>
      <c r="J39" s="1457">
        <v>102980.52</v>
      </c>
      <c r="K39" s="1456">
        <v>42936</v>
      </c>
      <c r="L39" s="1456">
        <v>43355</v>
      </c>
      <c r="M39" s="1456">
        <v>42888</v>
      </c>
      <c r="N39" s="1456">
        <v>42943</v>
      </c>
      <c r="O39" s="1455" t="s">
        <v>3339</v>
      </c>
      <c r="P39" s="1455"/>
    </row>
    <row r="40" spans="1:16" ht="38.25">
      <c r="A40" s="1455" t="s">
        <v>1613</v>
      </c>
      <c r="B40" s="1455" t="s">
        <v>603</v>
      </c>
      <c r="C40" s="1455" t="s">
        <v>1914</v>
      </c>
      <c r="E40" s="1455" t="s">
        <v>2061</v>
      </c>
      <c r="F40" s="1455" t="s">
        <v>2828</v>
      </c>
      <c r="G40" s="1455" t="s">
        <v>184</v>
      </c>
      <c r="H40" s="1456">
        <v>43320</v>
      </c>
      <c r="I40" s="1457">
        <v>277676</v>
      </c>
      <c r="J40" s="1457">
        <v>236024.6</v>
      </c>
      <c r="K40" s="1456">
        <v>43370</v>
      </c>
      <c r="L40" s="1455"/>
      <c r="M40" s="1456">
        <v>43222</v>
      </c>
      <c r="N40" s="1456">
        <v>43383</v>
      </c>
      <c r="O40" s="1455" t="s">
        <v>3339</v>
      </c>
      <c r="P40" s="1455"/>
    </row>
    <row r="41" spans="1:16" ht="38.25">
      <c r="A41" s="1455" t="s">
        <v>717</v>
      </c>
      <c r="B41" s="1455" t="s">
        <v>2152</v>
      </c>
      <c r="C41" s="1455" t="s">
        <v>1914</v>
      </c>
      <c r="E41" s="1455" t="s">
        <v>2061</v>
      </c>
      <c r="F41" s="1455" t="s">
        <v>2799</v>
      </c>
      <c r="G41" s="1455" t="s">
        <v>345</v>
      </c>
      <c r="H41" s="1456">
        <v>42851</v>
      </c>
      <c r="I41" s="1457">
        <v>879927.06</v>
      </c>
      <c r="J41" s="1457">
        <v>747938</v>
      </c>
      <c r="K41" s="1456">
        <v>42920</v>
      </c>
      <c r="L41" s="1455"/>
      <c r="M41" s="1456">
        <v>42852</v>
      </c>
      <c r="N41" s="1456">
        <v>42920</v>
      </c>
      <c r="O41" s="1455" t="s">
        <v>3342</v>
      </c>
      <c r="P41" s="1455" t="s">
        <v>3315</v>
      </c>
    </row>
    <row r="42" spans="1:16" ht="38.25">
      <c r="A42" s="1455" t="s">
        <v>718</v>
      </c>
      <c r="B42" s="1455" t="s">
        <v>2160</v>
      </c>
      <c r="C42" s="1455" t="s">
        <v>1914</v>
      </c>
      <c r="E42" s="1455" t="s">
        <v>2061</v>
      </c>
      <c r="F42" s="1455" t="s">
        <v>2820</v>
      </c>
      <c r="G42" s="1455" t="s">
        <v>282</v>
      </c>
      <c r="H42" s="1456">
        <v>42887</v>
      </c>
      <c r="I42" s="1457">
        <v>835464</v>
      </c>
      <c r="J42" s="1457">
        <v>710144</v>
      </c>
      <c r="K42" s="1456">
        <v>42992</v>
      </c>
      <c r="L42" s="1455"/>
      <c r="M42" s="1456">
        <v>42887</v>
      </c>
      <c r="N42" s="1456">
        <v>42993</v>
      </c>
      <c r="O42" s="1455" t="s">
        <v>3343</v>
      </c>
      <c r="P42" s="1455" t="s">
        <v>3317</v>
      </c>
    </row>
    <row r="43" spans="1:16" ht="38.25">
      <c r="A43" s="1455" t="s">
        <v>3355</v>
      </c>
      <c r="B43" s="1455" t="s">
        <v>3356</v>
      </c>
      <c r="C43" s="1455" t="s">
        <v>3357</v>
      </c>
      <c r="E43" s="1455" t="s">
        <v>3358</v>
      </c>
      <c r="F43" s="1455" t="s">
        <v>3359</v>
      </c>
      <c r="G43" s="1455" t="s">
        <v>3360</v>
      </c>
      <c r="H43" s="1456">
        <v>43035</v>
      </c>
      <c r="I43" s="1457">
        <v>340962.68</v>
      </c>
      <c r="J43" s="1457">
        <v>289818.28000000003</v>
      </c>
      <c r="K43" s="1455"/>
      <c r="L43" s="1455"/>
      <c r="M43" s="1456">
        <v>43038</v>
      </c>
      <c r="N43" s="1455"/>
      <c r="O43" s="1455"/>
      <c r="P43" s="1455"/>
    </row>
    <row r="44" spans="1:16" ht="51">
      <c r="A44" s="1455" t="s">
        <v>1590</v>
      </c>
      <c r="B44" s="1455" t="s">
        <v>2978</v>
      </c>
      <c r="C44" s="1455" t="s">
        <v>1914</v>
      </c>
      <c r="E44" s="1455" t="s">
        <v>2061</v>
      </c>
      <c r="F44" s="1455" t="s">
        <v>2812</v>
      </c>
      <c r="G44" s="1455" t="s">
        <v>161</v>
      </c>
      <c r="H44" s="1456">
        <v>43130</v>
      </c>
      <c r="I44" s="1457">
        <v>759934</v>
      </c>
      <c r="J44" s="1457">
        <v>645944</v>
      </c>
      <c r="K44" s="1456">
        <v>43217</v>
      </c>
      <c r="L44" s="1455"/>
      <c r="M44" s="1456">
        <v>43130</v>
      </c>
      <c r="N44" s="1456">
        <v>43217</v>
      </c>
      <c r="O44" s="1455" t="s">
        <v>3382</v>
      </c>
      <c r="P44" s="1455" t="s">
        <v>3319</v>
      </c>
    </row>
    <row r="45" spans="1:16" ht="25.5">
      <c r="A45" s="1455" t="s">
        <v>3384</v>
      </c>
      <c r="B45" s="1455" t="s">
        <v>2981</v>
      </c>
      <c r="C45" s="1455" t="s">
        <v>3357</v>
      </c>
      <c r="E45" s="1455" t="s">
        <v>3373</v>
      </c>
      <c r="F45" s="1455" t="s">
        <v>2828</v>
      </c>
      <c r="G45" s="1455" t="s">
        <v>184</v>
      </c>
      <c r="H45" s="1456">
        <v>43131</v>
      </c>
      <c r="I45" s="1457">
        <v>236915</v>
      </c>
      <c r="J45" s="1457">
        <v>200844</v>
      </c>
      <c r="K45" s="1455"/>
      <c r="L45" s="1455"/>
      <c r="M45" s="1456">
        <v>43131</v>
      </c>
      <c r="N45" s="1455"/>
      <c r="O45" s="1455"/>
      <c r="P45" s="1455"/>
    </row>
    <row r="46" spans="1:16" ht="25.5">
      <c r="A46" s="1455" t="s">
        <v>1589</v>
      </c>
      <c r="B46" s="1455" t="s">
        <v>2981</v>
      </c>
      <c r="C46" s="1455" t="s">
        <v>1914</v>
      </c>
      <c r="E46" s="1455" t="s">
        <v>2061</v>
      </c>
      <c r="F46" s="1455" t="s">
        <v>2828</v>
      </c>
      <c r="G46" s="1455" t="s">
        <v>184</v>
      </c>
      <c r="H46" s="1456">
        <v>43270</v>
      </c>
      <c r="I46" s="1457">
        <v>274817.98</v>
      </c>
      <c r="J46" s="1457">
        <v>200844</v>
      </c>
      <c r="K46" s="1456">
        <v>43367</v>
      </c>
      <c r="L46" s="1455"/>
      <c r="M46" s="1456">
        <v>43270</v>
      </c>
      <c r="N46" s="1456">
        <v>43377</v>
      </c>
      <c r="O46" s="1455" t="s">
        <v>3415</v>
      </c>
      <c r="P46" s="1455" t="s">
        <v>3416</v>
      </c>
    </row>
    <row r="47" spans="1:16" ht="25.5">
      <c r="A47" s="1455" t="s">
        <v>1652</v>
      </c>
      <c r="B47" s="1455" t="s">
        <v>230</v>
      </c>
      <c r="C47" s="1455" t="s">
        <v>1942</v>
      </c>
      <c r="E47" s="1455" t="s">
        <v>3142</v>
      </c>
      <c r="F47" s="1455" t="s">
        <v>2929</v>
      </c>
      <c r="G47" s="1455" t="s">
        <v>235</v>
      </c>
      <c r="H47" s="1456">
        <v>43326</v>
      </c>
      <c r="I47" s="1457">
        <v>916566.48</v>
      </c>
      <c r="J47" s="1457">
        <v>346184.1</v>
      </c>
      <c r="K47" s="1455"/>
      <c r="L47" s="1455"/>
      <c r="M47" s="1456">
        <v>43326</v>
      </c>
      <c r="N47" s="1455"/>
      <c r="O47" s="1455" t="s">
        <v>3420</v>
      </c>
      <c r="P47" s="1455"/>
    </row>
    <row r="48" spans="1:16" ht="25.5">
      <c r="A48" s="1455" t="s">
        <v>1651</v>
      </c>
      <c r="B48" s="1455" t="s">
        <v>3421</v>
      </c>
      <c r="C48" s="1455" t="s">
        <v>1914</v>
      </c>
      <c r="E48" s="1455" t="s">
        <v>2061</v>
      </c>
      <c r="F48" s="1455" t="s">
        <v>2799</v>
      </c>
      <c r="G48" s="1455" t="s">
        <v>345</v>
      </c>
      <c r="H48" s="1456">
        <v>43342</v>
      </c>
      <c r="I48" s="1457">
        <v>274146.8</v>
      </c>
      <c r="J48" s="1457">
        <v>233024.78</v>
      </c>
      <c r="K48" s="1456">
        <v>43411</v>
      </c>
      <c r="L48" s="1455"/>
      <c r="M48" s="1456">
        <v>43342</v>
      </c>
      <c r="N48" s="1456">
        <v>43413</v>
      </c>
      <c r="O48" s="1455" t="s">
        <v>3377</v>
      </c>
      <c r="P48" s="1455" t="s">
        <v>3337</v>
      </c>
    </row>
    <row r="49" spans="1:16" ht="25.5">
      <c r="A49" s="1455" t="s">
        <v>711</v>
      </c>
      <c r="B49" s="1455" t="s">
        <v>134</v>
      </c>
      <c r="C49" s="1455" t="s">
        <v>1914</v>
      </c>
      <c r="E49" s="1455" t="s">
        <v>2061</v>
      </c>
      <c r="F49" s="1455" t="s">
        <v>2820</v>
      </c>
      <c r="G49" s="1455" t="s">
        <v>282</v>
      </c>
      <c r="H49" s="1456">
        <v>42754</v>
      </c>
      <c r="I49" s="1457">
        <v>352401</v>
      </c>
      <c r="J49" s="1457">
        <v>299540.84999999998</v>
      </c>
      <c r="K49" s="1456">
        <v>42860</v>
      </c>
      <c r="L49" s="1455"/>
      <c r="M49" s="1456">
        <v>42755</v>
      </c>
      <c r="N49" s="1456">
        <v>42866</v>
      </c>
      <c r="O49" s="1455" t="s">
        <v>3333</v>
      </c>
      <c r="P49" s="1455" t="s">
        <v>3317</v>
      </c>
    </row>
    <row r="50" spans="1:16" ht="51">
      <c r="A50" s="1455" t="s">
        <v>712</v>
      </c>
      <c r="B50" s="1455" t="s">
        <v>2230</v>
      </c>
      <c r="C50" s="1455" t="s">
        <v>1914</v>
      </c>
      <c r="E50" s="1455" t="s">
        <v>2061</v>
      </c>
      <c r="F50" s="1455" t="s">
        <v>2799</v>
      </c>
      <c r="G50" s="1455" t="s">
        <v>345</v>
      </c>
      <c r="H50" s="1456">
        <v>42761</v>
      </c>
      <c r="I50" s="1457">
        <v>783264.16</v>
      </c>
      <c r="J50" s="1457">
        <v>299541</v>
      </c>
      <c r="K50" s="1456">
        <v>42886</v>
      </c>
      <c r="L50" s="1455"/>
      <c r="M50" s="1456">
        <v>42762</v>
      </c>
      <c r="N50" s="1456">
        <v>42893</v>
      </c>
      <c r="O50" s="1455" t="s">
        <v>3336</v>
      </c>
      <c r="P50" s="1455" t="s">
        <v>3337</v>
      </c>
    </row>
    <row r="51" spans="1:16" ht="51">
      <c r="A51" s="1455" t="s">
        <v>713</v>
      </c>
      <c r="B51" s="1455" t="s">
        <v>2243</v>
      </c>
      <c r="C51" s="1455" t="s">
        <v>1914</v>
      </c>
      <c r="E51" s="1455" t="s">
        <v>2061</v>
      </c>
      <c r="F51" s="1455" t="s">
        <v>2929</v>
      </c>
      <c r="G51" s="1455" t="s">
        <v>235</v>
      </c>
      <c r="H51" s="1456">
        <v>42762</v>
      </c>
      <c r="I51" s="1457">
        <v>352401</v>
      </c>
      <c r="J51" s="1457">
        <v>299540.84999999998</v>
      </c>
      <c r="K51" s="1456">
        <v>42857</v>
      </c>
      <c r="L51" s="1455"/>
      <c r="M51" s="1456">
        <v>42765</v>
      </c>
      <c r="N51" s="1456">
        <v>42865</v>
      </c>
      <c r="O51" s="1455" t="s">
        <v>3338</v>
      </c>
      <c r="P51" s="1455" t="s">
        <v>3319</v>
      </c>
    </row>
    <row r="52" spans="1:16" ht="38.25">
      <c r="A52" s="1455" t="s">
        <v>1236</v>
      </c>
      <c r="B52" s="1455" t="s">
        <v>317</v>
      </c>
      <c r="C52" s="1455" t="s">
        <v>1914</v>
      </c>
      <c r="E52" s="1455" t="s">
        <v>2061</v>
      </c>
      <c r="F52" s="1455" t="s">
        <v>2812</v>
      </c>
      <c r="G52" s="1455" t="s">
        <v>161</v>
      </c>
      <c r="H52" s="1456">
        <v>43097</v>
      </c>
      <c r="I52" s="1457">
        <v>484769.35</v>
      </c>
      <c r="J52" s="1457">
        <v>299541</v>
      </c>
      <c r="K52" s="1456">
        <v>43203</v>
      </c>
      <c r="L52" s="1455"/>
      <c r="M52" s="1456">
        <v>43097</v>
      </c>
      <c r="N52" s="1456">
        <v>43217</v>
      </c>
      <c r="O52" s="1455" t="s">
        <v>3376</v>
      </c>
      <c r="P52" s="1455" t="s">
        <v>3323</v>
      </c>
    </row>
    <row r="53" spans="1:16" ht="25.5">
      <c r="A53" s="1455" t="s">
        <v>709</v>
      </c>
      <c r="B53" s="1455" t="s">
        <v>160</v>
      </c>
      <c r="C53" s="1455" t="s">
        <v>1914</v>
      </c>
      <c r="E53" s="1455" t="s">
        <v>2061</v>
      </c>
      <c r="F53" s="1455" t="s">
        <v>2929</v>
      </c>
      <c r="G53" s="1455" t="s">
        <v>235</v>
      </c>
      <c r="H53" s="1456">
        <v>42583</v>
      </c>
      <c r="I53" s="1457">
        <v>474784</v>
      </c>
      <c r="J53" s="1457">
        <v>308519</v>
      </c>
      <c r="K53" s="1456">
        <v>42699</v>
      </c>
      <c r="L53" s="1455"/>
      <c r="M53" s="1456">
        <v>42583</v>
      </c>
      <c r="N53" s="1456">
        <v>42705</v>
      </c>
      <c r="O53" s="1455" t="s">
        <v>3316</v>
      </c>
      <c r="P53" s="1455" t="s">
        <v>3323</v>
      </c>
    </row>
    <row r="54" spans="1:16" ht="25.5">
      <c r="A54" s="1455" t="s">
        <v>710</v>
      </c>
      <c r="B54" s="1455" t="s">
        <v>299</v>
      </c>
      <c r="C54" s="1455" t="s">
        <v>1914</v>
      </c>
      <c r="E54" s="1455" t="s">
        <v>2061</v>
      </c>
      <c r="F54" s="1455" t="s">
        <v>2812</v>
      </c>
      <c r="G54" s="1455" t="s">
        <v>161</v>
      </c>
      <c r="H54" s="1456">
        <v>42580</v>
      </c>
      <c r="I54" s="1457">
        <v>343507</v>
      </c>
      <c r="J54" s="1457">
        <v>317743.96999999997</v>
      </c>
      <c r="K54" s="1456">
        <v>42709</v>
      </c>
      <c r="L54" s="1455"/>
      <c r="M54" s="1456">
        <v>42584</v>
      </c>
      <c r="N54" s="1456">
        <v>42713</v>
      </c>
      <c r="O54" s="1455" t="s">
        <v>3321</v>
      </c>
      <c r="P54" s="1455" t="s">
        <v>3322</v>
      </c>
    </row>
    <row r="55" spans="1:16" ht="38.25">
      <c r="A55" s="1455" t="s">
        <v>707</v>
      </c>
      <c r="B55" s="1455" t="s">
        <v>300</v>
      </c>
      <c r="C55" s="1455" t="s">
        <v>1914</v>
      </c>
      <c r="E55" s="1455" t="s">
        <v>2061</v>
      </c>
      <c r="F55" s="1455" t="s">
        <v>2820</v>
      </c>
      <c r="G55" s="1455" t="s">
        <v>282</v>
      </c>
      <c r="H55" s="1456">
        <v>42555</v>
      </c>
      <c r="I55" s="1457">
        <v>1516932.01</v>
      </c>
      <c r="J55" s="1457">
        <v>1441085.4</v>
      </c>
      <c r="K55" s="1456">
        <v>42733</v>
      </c>
      <c r="L55" s="1455"/>
      <c r="M55" s="1456">
        <v>42556</v>
      </c>
      <c r="N55" s="1456">
        <v>42745</v>
      </c>
      <c r="O55" s="1455" t="s">
        <v>3316</v>
      </c>
      <c r="P55" s="1455" t="s">
        <v>3317</v>
      </c>
    </row>
    <row r="56" spans="1:16" ht="38.25">
      <c r="A56" s="1455" t="s">
        <v>708</v>
      </c>
      <c r="B56" s="1455" t="s">
        <v>302</v>
      </c>
      <c r="C56" s="1455" t="s">
        <v>1914</v>
      </c>
      <c r="E56" s="1455" t="s">
        <v>2061</v>
      </c>
      <c r="F56" s="1455" t="s">
        <v>2820</v>
      </c>
      <c r="G56" s="1455" t="s">
        <v>282</v>
      </c>
      <c r="H56" s="1456">
        <v>42863</v>
      </c>
      <c r="I56" s="1457">
        <v>995216.11</v>
      </c>
      <c r="J56" s="1457">
        <v>920574.9</v>
      </c>
      <c r="K56" s="1456">
        <v>42984</v>
      </c>
      <c r="L56" s="1455"/>
      <c r="M56" s="1456">
        <v>42863</v>
      </c>
      <c r="N56" s="1456">
        <v>42990</v>
      </c>
      <c r="O56" s="1455" t="s">
        <v>3316</v>
      </c>
      <c r="P56" s="1455" t="s">
        <v>3317</v>
      </c>
    </row>
    <row r="57" spans="1:16" ht="38.25">
      <c r="A57" s="1455" t="s">
        <v>806</v>
      </c>
      <c r="B57" s="1455" t="s">
        <v>640</v>
      </c>
      <c r="C57" s="1455" t="s">
        <v>1914</v>
      </c>
      <c r="E57" s="1455" t="s">
        <v>2061</v>
      </c>
      <c r="F57" s="1455" t="s">
        <v>2820</v>
      </c>
      <c r="G57" s="1455" t="s">
        <v>282</v>
      </c>
      <c r="H57" s="1456">
        <v>43007</v>
      </c>
      <c r="I57" s="1457">
        <v>757246.01</v>
      </c>
      <c r="J57" s="1457">
        <v>558856.32999999996</v>
      </c>
      <c r="K57" s="1456">
        <v>43105</v>
      </c>
      <c r="L57" s="1455"/>
      <c r="M57" s="1456">
        <v>43007</v>
      </c>
      <c r="N57" s="1456">
        <v>43116</v>
      </c>
      <c r="O57" s="1455" t="s">
        <v>3354</v>
      </c>
      <c r="P57" s="1455" t="s">
        <v>3315</v>
      </c>
    </row>
    <row r="58" spans="1:16" ht="38.25">
      <c r="A58" s="1455" t="s">
        <v>1597</v>
      </c>
      <c r="B58" s="1455" t="s">
        <v>2996</v>
      </c>
      <c r="C58" s="1455" t="s">
        <v>1914</v>
      </c>
      <c r="E58" s="1455" t="s">
        <v>2061</v>
      </c>
      <c r="F58" s="1455" t="s">
        <v>2820</v>
      </c>
      <c r="G58" s="1455" t="s">
        <v>282</v>
      </c>
      <c r="H58" s="1456">
        <v>43238</v>
      </c>
      <c r="I58" s="1457">
        <v>663071.16</v>
      </c>
      <c r="J58" s="1457">
        <v>582750</v>
      </c>
      <c r="K58" s="1456">
        <v>43321</v>
      </c>
      <c r="L58" s="1455"/>
      <c r="M58" s="1456">
        <v>43238</v>
      </c>
      <c r="N58" s="1456">
        <v>43326</v>
      </c>
      <c r="O58" s="1455" t="s">
        <v>3412</v>
      </c>
      <c r="P58" s="1455" t="s">
        <v>3390</v>
      </c>
    </row>
    <row r="59" spans="1:16" ht="38.25">
      <c r="A59" s="1455" t="s">
        <v>3431</v>
      </c>
      <c r="B59" s="1455" t="s">
        <v>3432</v>
      </c>
      <c r="C59" s="1455" t="s">
        <v>1942</v>
      </c>
      <c r="E59" s="1455" t="s">
        <v>3142</v>
      </c>
      <c r="F59" s="1455" t="s">
        <v>2820</v>
      </c>
      <c r="G59" s="1455" t="s">
        <v>282</v>
      </c>
      <c r="H59" s="1456">
        <v>43361</v>
      </c>
      <c r="I59" s="1457">
        <v>173605.67</v>
      </c>
      <c r="J59" s="1457">
        <v>138750</v>
      </c>
      <c r="K59" s="1455"/>
      <c r="L59" s="1455"/>
      <c r="M59" s="1456">
        <v>43361</v>
      </c>
      <c r="N59" s="1455"/>
      <c r="O59" s="1455" t="s">
        <v>3433</v>
      </c>
      <c r="P59" s="1455"/>
    </row>
    <row r="60" spans="1:16" ht="51">
      <c r="A60" s="1455" t="s">
        <v>3443</v>
      </c>
      <c r="B60" s="1455" t="s">
        <v>3444</v>
      </c>
      <c r="C60" s="1455" t="s">
        <v>1942</v>
      </c>
      <c r="E60" s="1455" t="s">
        <v>3422</v>
      </c>
      <c r="F60" s="1455" t="s">
        <v>2820</v>
      </c>
      <c r="G60" s="1455" t="s">
        <v>282</v>
      </c>
      <c r="H60" s="1456">
        <v>43371</v>
      </c>
      <c r="I60" s="1457">
        <v>300373</v>
      </c>
      <c r="J60" s="1457">
        <v>255317.05</v>
      </c>
      <c r="K60" s="1455"/>
      <c r="L60" s="1455"/>
      <c r="M60" s="1456">
        <v>43371</v>
      </c>
      <c r="N60" s="1455"/>
      <c r="O60" s="1455" t="s">
        <v>3433</v>
      </c>
      <c r="P60" s="1455"/>
    </row>
    <row r="61" spans="1:16" ht="25.5">
      <c r="A61" s="1455" t="s">
        <v>720</v>
      </c>
      <c r="B61" s="1455" t="s">
        <v>312</v>
      </c>
      <c r="C61" s="1455" t="s">
        <v>1914</v>
      </c>
      <c r="E61" s="1455" t="s">
        <v>2061</v>
      </c>
      <c r="F61" s="1455" t="s">
        <v>2929</v>
      </c>
      <c r="G61" s="1455" t="s">
        <v>235</v>
      </c>
      <c r="H61" s="1456">
        <v>42734</v>
      </c>
      <c r="I61" s="1457">
        <v>151437</v>
      </c>
      <c r="J61" s="1457">
        <v>128721</v>
      </c>
      <c r="K61" s="1456">
        <v>42851</v>
      </c>
      <c r="L61" s="1455"/>
      <c r="M61" s="1456">
        <v>42737</v>
      </c>
      <c r="N61" s="1456">
        <v>42863</v>
      </c>
      <c r="O61" s="1455" t="s">
        <v>3329</v>
      </c>
      <c r="P61" s="1455" t="s">
        <v>3330</v>
      </c>
    </row>
    <row r="62" spans="1:16" ht="25.5">
      <c r="A62" s="1455" t="s">
        <v>719</v>
      </c>
      <c r="B62" s="1455" t="s">
        <v>310</v>
      </c>
      <c r="C62" s="1455" t="s">
        <v>1914</v>
      </c>
      <c r="E62" s="1455" t="s">
        <v>2061</v>
      </c>
      <c r="F62" s="1455" t="s">
        <v>2820</v>
      </c>
      <c r="G62" s="1455" t="s">
        <v>282</v>
      </c>
      <c r="H62" s="1456">
        <v>42734</v>
      </c>
      <c r="I62" s="1457">
        <v>148480</v>
      </c>
      <c r="J62" s="1457">
        <v>126208</v>
      </c>
      <c r="K62" s="1456">
        <v>42849</v>
      </c>
      <c r="L62" s="1455"/>
      <c r="M62" s="1456">
        <v>42737</v>
      </c>
      <c r="N62" s="1456">
        <v>42858</v>
      </c>
      <c r="O62" s="1455" t="s">
        <v>3328</v>
      </c>
      <c r="P62" s="1455" t="s">
        <v>3311</v>
      </c>
    </row>
    <row r="63" spans="1:16" ht="38.25">
      <c r="A63" s="1455" t="s">
        <v>721</v>
      </c>
      <c r="B63" s="1455" t="s">
        <v>313</v>
      </c>
      <c r="C63" s="1455" t="s">
        <v>1914</v>
      </c>
      <c r="E63" s="1455" t="s">
        <v>2061</v>
      </c>
      <c r="F63" s="1455" t="s">
        <v>3029</v>
      </c>
      <c r="G63" s="1455" t="s">
        <v>314</v>
      </c>
      <c r="H63" s="1456">
        <v>42737</v>
      </c>
      <c r="I63" s="1457">
        <v>146319</v>
      </c>
      <c r="J63" s="1457">
        <v>146319</v>
      </c>
      <c r="K63" s="1456">
        <v>42825</v>
      </c>
      <c r="L63" s="1455"/>
      <c r="M63" s="1456">
        <v>42738</v>
      </c>
      <c r="N63" s="1456">
        <v>42837</v>
      </c>
      <c r="O63" s="1455" t="s">
        <v>3320</v>
      </c>
      <c r="P63" s="1455" t="s">
        <v>3331</v>
      </c>
    </row>
    <row r="64" spans="1:16" ht="25.5">
      <c r="A64" s="1455" t="s">
        <v>722</v>
      </c>
      <c r="B64" s="1455" t="s">
        <v>311</v>
      </c>
      <c r="C64" s="1455" t="s">
        <v>1914</v>
      </c>
      <c r="E64" s="1455" t="s">
        <v>2061</v>
      </c>
      <c r="F64" s="1455" t="s">
        <v>2828</v>
      </c>
      <c r="G64" s="1455" t="s">
        <v>184</v>
      </c>
      <c r="H64" s="1456">
        <v>42738</v>
      </c>
      <c r="I64" s="1457">
        <v>188353</v>
      </c>
      <c r="J64" s="1457">
        <v>160100</v>
      </c>
      <c r="K64" s="1456">
        <v>42888</v>
      </c>
      <c r="L64" s="1455"/>
      <c r="M64" s="1456">
        <v>42740</v>
      </c>
      <c r="N64" s="1456">
        <v>42892</v>
      </c>
      <c r="O64" s="1455" t="s">
        <v>3312</v>
      </c>
      <c r="P64" s="1455" t="s">
        <v>3332</v>
      </c>
    </row>
    <row r="65" spans="1:16" ht="25.5">
      <c r="A65" s="1455" t="s">
        <v>723</v>
      </c>
      <c r="B65" s="1455" t="s">
        <v>217</v>
      </c>
      <c r="C65" s="1455" t="s">
        <v>1914</v>
      </c>
      <c r="E65" s="1455" t="s">
        <v>2061</v>
      </c>
      <c r="F65" s="1455" t="s">
        <v>2799</v>
      </c>
      <c r="G65" s="1455" t="s">
        <v>345</v>
      </c>
      <c r="H65" s="1456">
        <v>42766</v>
      </c>
      <c r="I65" s="1457">
        <v>600732.80000000005</v>
      </c>
      <c r="J65" s="1457">
        <v>346361</v>
      </c>
      <c r="K65" s="1456">
        <v>42936</v>
      </c>
      <c r="L65" s="1455"/>
      <c r="M65" s="1456">
        <v>42769</v>
      </c>
      <c r="N65" s="1456">
        <v>42941</v>
      </c>
      <c r="O65" s="1455" t="s">
        <v>3314</v>
      </c>
      <c r="P65" s="1455" t="s">
        <v>3315</v>
      </c>
    </row>
    <row r="66" spans="1:16" ht="25.5">
      <c r="A66" s="1455" t="s">
        <v>724</v>
      </c>
      <c r="B66" s="1455" t="s">
        <v>277</v>
      </c>
      <c r="C66" s="1455" t="s">
        <v>1914</v>
      </c>
      <c r="E66" s="1455" t="s">
        <v>2061</v>
      </c>
      <c r="F66" s="1455" t="s">
        <v>2820</v>
      </c>
      <c r="G66" s="1455" t="s">
        <v>282</v>
      </c>
      <c r="H66" s="1456">
        <v>42506</v>
      </c>
      <c r="I66" s="1457">
        <v>736499</v>
      </c>
      <c r="J66" s="1457">
        <v>626024</v>
      </c>
      <c r="K66" s="1456">
        <v>42605</v>
      </c>
      <c r="L66" s="1455"/>
      <c r="M66" s="1456">
        <v>42508</v>
      </c>
      <c r="N66" s="1456">
        <v>42611</v>
      </c>
      <c r="O66" s="1455" t="s">
        <v>3310</v>
      </c>
      <c r="P66" s="1455" t="s">
        <v>3311</v>
      </c>
    </row>
    <row r="67" spans="1:16" ht="25.5">
      <c r="A67" s="1455" t="s">
        <v>725</v>
      </c>
      <c r="B67" s="1455" t="s">
        <v>219</v>
      </c>
      <c r="C67" s="1455" t="s">
        <v>1914</v>
      </c>
      <c r="E67" s="1455" t="s">
        <v>2061</v>
      </c>
      <c r="F67" s="1455" t="s">
        <v>2799</v>
      </c>
      <c r="G67" s="1455" t="s">
        <v>345</v>
      </c>
      <c r="H67" s="1456">
        <v>42563</v>
      </c>
      <c r="I67" s="1457">
        <v>891741.18</v>
      </c>
      <c r="J67" s="1457">
        <v>757980</v>
      </c>
      <c r="K67" s="1456">
        <v>42599</v>
      </c>
      <c r="L67" s="1455"/>
      <c r="M67" s="1456">
        <v>42515</v>
      </c>
      <c r="N67" s="1456">
        <v>42608</v>
      </c>
      <c r="O67" s="1455" t="s">
        <v>3318</v>
      </c>
      <c r="P67" s="1455" t="s">
        <v>3319</v>
      </c>
    </row>
    <row r="68" spans="1:16" ht="25.5">
      <c r="A68" s="1455" t="s">
        <v>726</v>
      </c>
      <c r="B68" s="1455" t="s">
        <v>237</v>
      </c>
      <c r="C68" s="1455" t="s">
        <v>1914</v>
      </c>
      <c r="E68" s="1455" t="s">
        <v>2061</v>
      </c>
      <c r="F68" s="1455" t="s">
        <v>2929</v>
      </c>
      <c r="G68" s="1455" t="s">
        <v>235</v>
      </c>
      <c r="H68" s="1456">
        <v>42515</v>
      </c>
      <c r="I68" s="1457">
        <v>727472.94</v>
      </c>
      <c r="J68" s="1457">
        <v>618351.99</v>
      </c>
      <c r="K68" s="1456">
        <v>42593</v>
      </c>
      <c r="L68" s="1455"/>
      <c r="M68" s="1456">
        <v>42516</v>
      </c>
      <c r="N68" s="1456">
        <v>42601</v>
      </c>
      <c r="O68" s="1455" t="s">
        <v>3312</v>
      </c>
      <c r="P68" s="1455" t="s">
        <v>3313</v>
      </c>
    </row>
    <row r="69" spans="1:16" ht="25.5">
      <c r="A69" s="1455" t="s">
        <v>727</v>
      </c>
      <c r="B69" s="1455" t="s">
        <v>281</v>
      </c>
      <c r="C69" s="1455" t="s">
        <v>1914</v>
      </c>
      <c r="E69" s="1455" t="s">
        <v>2061</v>
      </c>
      <c r="F69" s="1455" t="s">
        <v>2812</v>
      </c>
      <c r="G69" s="1455" t="s">
        <v>161</v>
      </c>
      <c r="H69" s="1456">
        <v>42566</v>
      </c>
      <c r="I69" s="1457">
        <v>368599</v>
      </c>
      <c r="J69" s="1457">
        <v>313012</v>
      </c>
      <c r="K69" s="1456">
        <v>42613</v>
      </c>
      <c r="L69" s="1455"/>
      <c r="M69" s="1456">
        <v>42524</v>
      </c>
      <c r="N69" s="1456">
        <v>42621</v>
      </c>
      <c r="O69" s="1455" t="s">
        <v>3320</v>
      </c>
      <c r="P69" s="1455" t="s">
        <v>3319</v>
      </c>
    </row>
    <row r="70" spans="1:16" ht="38.25">
      <c r="A70" s="1455" t="s">
        <v>728</v>
      </c>
      <c r="B70" s="1455" t="s">
        <v>188</v>
      </c>
      <c r="C70" s="1455" t="s">
        <v>1914</v>
      </c>
      <c r="E70" s="1455" t="s">
        <v>2061</v>
      </c>
      <c r="F70" s="1455" t="s">
        <v>2828</v>
      </c>
      <c r="G70" s="1455" t="s">
        <v>184</v>
      </c>
      <c r="H70" s="1456">
        <v>42523</v>
      </c>
      <c r="I70" s="1457">
        <v>241889</v>
      </c>
      <c r="J70" s="1457">
        <v>205605.65</v>
      </c>
      <c r="K70" s="1456">
        <v>42626</v>
      </c>
      <c r="L70" s="1455"/>
      <c r="M70" s="1456">
        <v>42527</v>
      </c>
      <c r="N70" s="1456">
        <v>42633</v>
      </c>
      <c r="O70" s="1455" t="s">
        <v>3314</v>
      </c>
      <c r="P70" s="1455" t="s">
        <v>3315</v>
      </c>
    </row>
    <row r="71" spans="1:16" ht="63.75">
      <c r="A71" s="1455" t="s">
        <v>1650</v>
      </c>
      <c r="B71" s="1455" t="s">
        <v>3427</v>
      </c>
      <c r="C71" s="1455" t="s">
        <v>1942</v>
      </c>
      <c r="E71" s="1455" t="s">
        <v>3422</v>
      </c>
      <c r="F71" s="1455" t="s">
        <v>3428</v>
      </c>
      <c r="G71" s="1455" t="s">
        <v>3429</v>
      </c>
      <c r="H71" s="1456">
        <v>43360</v>
      </c>
      <c r="I71" s="1457">
        <v>25517</v>
      </c>
      <c r="J71" s="1457">
        <v>23603</v>
      </c>
      <c r="K71" s="1455"/>
      <c r="L71" s="1455"/>
      <c r="M71" s="1456">
        <v>43360</v>
      </c>
      <c r="N71" s="1455"/>
      <c r="O71" s="1455" t="s">
        <v>3430</v>
      </c>
      <c r="P71" s="1455"/>
    </row>
    <row r="72" spans="1:16" ht="51">
      <c r="A72" s="1455" t="s">
        <v>3434</v>
      </c>
      <c r="B72" s="1455" t="s">
        <v>3435</v>
      </c>
      <c r="C72" s="1455" t="s">
        <v>1942</v>
      </c>
      <c r="E72" s="1455" t="s">
        <v>3394</v>
      </c>
      <c r="F72" s="1455" t="s">
        <v>3436</v>
      </c>
      <c r="G72" s="1455" t="s">
        <v>3437</v>
      </c>
      <c r="H72" s="1456">
        <v>43362</v>
      </c>
      <c r="I72" s="1457">
        <v>466774.13</v>
      </c>
      <c r="J72" s="1457">
        <v>389456</v>
      </c>
      <c r="K72" s="1455"/>
      <c r="L72" s="1455"/>
      <c r="M72" s="1456">
        <v>43362</v>
      </c>
      <c r="N72" s="1455"/>
      <c r="O72" s="1455" t="s">
        <v>3438</v>
      </c>
      <c r="P72" s="1455"/>
    </row>
    <row r="73" spans="1:16" ht="63.75">
      <c r="A73" s="1455" t="s">
        <v>3439</v>
      </c>
      <c r="B73" s="1455" t="s">
        <v>1418</v>
      </c>
      <c r="C73" s="1455" t="s">
        <v>1942</v>
      </c>
      <c r="E73" s="1455" t="s">
        <v>3422</v>
      </c>
      <c r="F73" s="1455" t="s">
        <v>3440</v>
      </c>
      <c r="G73" s="1455" t="s">
        <v>3441</v>
      </c>
      <c r="H73" s="1456">
        <v>43370</v>
      </c>
      <c r="I73" s="1457">
        <v>82938</v>
      </c>
      <c r="J73" s="1457">
        <v>70498</v>
      </c>
      <c r="K73" s="1455"/>
      <c r="L73" s="1455"/>
      <c r="M73" s="1456">
        <v>43370</v>
      </c>
      <c r="N73" s="1455"/>
      <c r="O73" s="1455" t="s">
        <v>3442</v>
      </c>
      <c r="P73" s="1455"/>
    </row>
    <row r="74" spans="1:16" ht="38.25">
      <c r="A74" s="1455" t="s">
        <v>3445</v>
      </c>
      <c r="B74" s="1455" t="s">
        <v>1416</v>
      </c>
      <c r="C74" s="1455" t="s">
        <v>1942</v>
      </c>
      <c r="E74" s="1455" t="s">
        <v>3394</v>
      </c>
      <c r="F74" s="1455" t="s">
        <v>3446</v>
      </c>
      <c r="G74" s="1455" t="s">
        <v>3447</v>
      </c>
      <c r="H74" s="1456">
        <v>43371</v>
      </c>
      <c r="I74" s="1457">
        <v>50356</v>
      </c>
      <c r="J74" s="1457">
        <v>46579</v>
      </c>
      <c r="K74" s="1455"/>
      <c r="L74" s="1455"/>
      <c r="M74" s="1456">
        <v>43371</v>
      </c>
      <c r="N74" s="1455"/>
      <c r="O74" s="1455" t="s">
        <v>3438</v>
      </c>
      <c r="P74" s="1455"/>
    </row>
    <row r="75" spans="1:16" ht="25.5">
      <c r="A75" s="1455" t="s">
        <v>3448</v>
      </c>
      <c r="B75" s="1455" t="s">
        <v>1420</v>
      </c>
      <c r="C75" s="1455" t="s">
        <v>1942</v>
      </c>
      <c r="E75" s="1455" t="s">
        <v>3394</v>
      </c>
      <c r="F75" s="1455" t="s">
        <v>3449</v>
      </c>
      <c r="G75" s="1455" t="s">
        <v>3450</v>
      </c>
      <c r="H75" s="1456">
        <v>43371</v>
      </c>
      <c r="I75" s="1457">
        <v>43009.52</v>
      </c>
      <c r="J75" s="1457">
        <v>36558.089999999997</v>
      </c>
      <c r="K75" s="1455"/>
      <c r="L75" s="1455"/>
      <c r="M75" s="1456">
        <v>43371</v>
      </c>
      <c r="N75" s="1455"/>
      <c r="O75" s="1455" t="s">
        <v>3438</v>
      </c>
      <c r="P75" s="1455"/>
    </row>
    <row r="76" spans="1:16" ht="51">
      <c r="A76" s="1455" t="s">
        <v>3796</v>
      </c>
      <c r="B76" s="1455" t="s">
        <v>3805</v>
      </c>
      <c r="C76" s="1455" t="s">
        <v>1942</v>
      </c>
      <c r="E76" s="1455" t="s">
        <v>3394</v>
      </c>
      <c r="F76" s="1455" t="s">
        <v>3806</v>
      </c>
      <c r="G76" s="1455" t="s">
        <v>3807</v>
      </c>
      <c r="H76" s="1456">
        <v>43399</v>
      </c>
      <c r="I76" s="1457">
        <v>29990</v>
      </c>
      <c r="J76" s="1457">
        <v>11367</v>
      </c>
      <c r="K76" s="1455"/>
      <c r="L76" s="1455"/>
      <c r="M76" s="1456">
        <v>43399</v>
      </c>
      <c r="N76" s="1455"/>
      <c r="O76" s="1455" t="s">
        <v>3328</v>
      </c>
      <c r="P76" s="1455"/>
    </row>
    <row r="77" spans="1:16" ht="38.25">
      <c r="A77" s="1455" t="s">
        <v>3797</v>
      </c>
      <c r="B77" s="1455" t="s">
        <v>234</v>
      </c>
      <c r="C77" s="1455" t="s">
        <v>1942</v>
      </c>
      <c r="E77" s="1455" t="s">
        <v>3394</v>
      </c>
      <c r="F77" s="1455" t="s">
        <v>3133</v>
      </c>
      <c r="G77" s="1455" t="s">
        <v>3132</v>
      </c>
      <c r="H77" s="1456">
        <v>43402</v>
      </c>
      <c r="I77" s="1457">
        <v>163532</v>
      </c>
      <c r="J77" s="1457">
        <v>151267</v>
      </c>
      <c r="K77" s="1455"/>
      <c r="L77" s="1455"/>
      <c r="M77" s="1456">
        <v>43402</v>
      </c>
      <c r="N77" s="1455"/>
      <c r="O77" s="1455" t="s">
        <v>3328</v>
      </c>
      <c r="P77" s="1455"/>
    </row>
    <row r="78" spans="1:16" ht="63.75">
      <c r="A78" s="1455" t="s">
        <v>3798</v>
      </c>
      <c r="B78" s="1455" t="s">
        <v>3750</v>
      </c>
      <c r="C78" s="1455" t="s">
        <v>1942</v>
      </c>
      <c r="E78" s="1455" t="s">
        <v>3394</v>
      </c>
      <c r="F78" s="1455" t="s">
        <v>3808</v>
      </c>
      <c r="G78" s="1455" t="s">
        <v>3749</v>
      </c>
      <c r="H78" s="1456">
        <v>43402</v>
      </c>
      <c r="I78" s="1457">
        <v>27906</v>
      </c>
      <c r="J78" s="1457">
        <v>25813</v>
      </c>
      <c r="K78" s="1455"/>
      <c r="L78" s="1455"/>
      <c r="M78" s="1456">
        <v>43402</v>
      </c>
      <c r="N78" s="1455"/>
      <c r="O78" s="1455" t="s">
        <v>3809</v>
      </c>
      <c r="P78" s="1455"/>
    </row>
    <row r="79" spans="1:16" ht="51">
      <c r="A79" s="1455" t="s">
        <v>3799</v>
      </c>
      <c r="B79" s="1455" t="s">
        <v>1426</v>
      </c>
      <c r="C79" s="1455" t="s">
        <v>1942</v>
      </c>
      <c r="E79" s="1455" t="s">
        <v>3394</v>
      </c>
      <c r="F79" s="1455" t="s">
        <v>3145</v>
      </c>
      <c r="G79" s="1455" t="s">
        <v>3810</v>
      </c>
      <c r="H79" s="1456">
        <v>43403</v>
      </c>
      <c r="I79" s="1457">
        <v>171646.58</v>
      </c>
      <c r="J79" s="1457">
        <v>158763</v>
      </c>
      <c r="K79" s="1455"/>
      <c r="L79" s="1455"/>
      <c r="M79" s="1456">
        <v>43403</v>
      </c>
      <c r="N79" s="1455"/>
      <c r="O79" s="1455" t="s">
        <v>3328</v>
      </c>
      <c r="P79" s="1455"/>
    </row>
    <row r="80" spans="1:16" ht="51">
      <c r="A80" s="1455" t="s">
        <v>3800</v>
      </c>
      <c r="B80" s="1455" t="s">
        <v>3742</v>
      </c>
      <c r="C80" s="1455" t="s">
        <v>1942</v>
      </c>
      <c r="E80" s="1455" t="s">
        <v>3394</v>
      </c>
      <c r="F80" s="1455" t="s">
        <v>2812</v>
      </c>
      <c r="G80" s="1455" t="s">
        <v>161</v>
      </c>
      <c r="H80" s="1456">
        <v>43403</v>
      </c>
      <c r="I80" s="1457">
        <v>192718.96</v>
      </c>
      <c r="J80" s="1457">
        <v>178264.95999999999</v>
      </c>
      <c r="K80" s="1455"/>
      <c r="L80" s="1455"/>
      <c r="M80" s="1456">
        <v>43403</v>
      </c>
      <c r="N80" s="1455"/>
      <c r="O80" s="1455" t="s">
        <v>3328</v>
      </c>
      <c r="P80" s="1455"/>
    </row>
    <row r="81" spans="1:16" ht="25.5">
      <c r="A81" s="1455" t="s">
        <v>3801</v>
      </c>
      <c r="B81" s="1455" t="s">
        <v>3811</v>
      </c>
      <c r="C81" s="1455" t="s">
        <v>1942</v>
      </c>
      <c r="E81" s="1455" t="s">
        <v>3422</v>
      </c>
      <c r="F81" s="1455" t="s">
        <v>3812</v>
      </c>
      <c r="G81" s="1455" t="s">
        <v>3813</v>
      </c>
      <c r="H81" s="1456">
        <v>43404</v>
      </c>
      <c r="I81" s="1457">
        <v>24107.8</v>
      </c>
      <c r="J81" s="1457">
        <v>16082</v>
      </c>
      <c r="K81" s="1455"/>
      <c r="L81" s="1455"/>
      <c r="M81" s="1456">
        <v>43404</v>
      </c>
      <c r="N81" s="1455"/>
      <c r="O81" s="1455" t="s">
        <v>3814</v>
      </c>
      <c r="P81" s="1455"/>
    </row>
    <row r="82" spans="1:16" ht="51">
      <c r="A82" s="1455" t="s">
        <v>3802</v>
      </c>
      <c r="B82" s="1455" t="s">
        <v>150</v>
      </c>
      <c r="C82" s="1455" t="s">
        <v>1942</v>
      </c>
      <c r="E82" s="1455" t="s">
        <v>3394</v>
      </c>
      <c r="F82" s="1455" t="s">
        <v>3815</v>
      </c>
      <c r="G82" s="1455" t="s">
        <v>151</v>
      </c>
      <c r="H82" s="1456">
        <v>43404</v>
      </c>
      <c r="I82" s="1457">
        <v>192664.27</v>
      </c>
      <c r="J82" s="1457">
        <v>178214.45</v>
      </c>
      <c r="K82" s="1455"/>
      <c r="L82" s="1455"/>
      <c r="M82" s="1456">
        <v>43404</v>
      </c>
      <c r="N82" s="1455"/>
      <c r="O82" s="1455" t="s">
        <v>3328</v>
      </c>
      <c r="P82" s="1455"/>
    </row>
    <row r="83" spans="1:16" ht="51">
      <c r="A83" s="1455" t="s">
        <v>1207</v>
      </c>
      <c r="B83" s="1455" t="s">
        <v>125</v>
      </c>
      <c r="C83" s="1455" t="s">
        <v>1914</v>
      </c>
      <c r="E83" s="1455" t="s">
        <v>2061</v>
      </c>
      <c r="F83" s="1455" t="s">
        <v>2820</v>
      </c>
      <c r="G83" s="1455" t="s">
        <v>282</v>
      </c>
      <c r="H83" s="1456">
        <v>43039</v>
      </c>
      <c r="I83" s="1457">
        <v>605024.19999999995</v>
      </c>
      <c r="J83" s="1457">
        <v>559647.38</v>
      </c>
      <c r="K83" s="1456">
        <v>43125</v>
      </c>
      <c r="L83" s="1455"/>
      <c r="M83" s="1456">
        <v>43039</v>
      </c>
      <c r="N83" s="1456">
        <v>43140</v>
      </c>
      <c r="O83" s="1455" t="s">
        <v>3354</v>
      </c>
      <c r="P83" s="1455" t="s">
        <v>3331</v>
      </c>
    </row>
    <row r="84" spans="1:16" ht="51">
      <c r="A84" s="1455" t="s">
        <v>1598</v>
      </c>
      <c r="B84" s="1455" t="s">
        <v>124</v>
      </c>
      <c r="C84" s="1455" t="s">
        <v>1914</v>
      </c>
      <c r="E84" s="1455" t="s">
        <v>2061</v>
      </c>
      <c r="F84" s="1455" t="s">
        <v>2820</v>
      </c>
      <c r="G84" s="1455" t="s">
        <v>282</v>
      </c>
      <c r="H84" s="1456">
        <v>43188</v>
      </c>
      <c r="I84" s="1457">
        <v>815537.61</v>
      </c>
      <c r="J84" s="1457">
        <v>530342</v>
      </c>
      <c r="K84" s="1456">
        <v>43279</v>
      </c>
      <c r="L84" s="1455"/>
      <c r="M84" s="1456">
        <v>43188</v>
      </c>
      <c r="N84" s="1456">
        <v>43290</v>
      </c>
      <c r="O84" s="1455" t="s">
        <v>3354</v>
      </c>
      <c r="P84" s="1455" t="s">
        <v>3390</v>
      </c>
    </row>
    <row r="85" spans="1:16" ht="38.25">
      <c r="A85" s="1455" t="s">
        <v>1599</v>
      </c>
      <c r="B85" s="1455" t="s">
        <v>384</v>
      </c>
      <c r="C85" s="1455" t="s">
        <v>1914</v>
      </c>
      <c r="E85" s="1455" t="s">
        <v>2061</v>
      </c>
      <c r="F85" s="1455" t="s">
        <v>2929</v>
      </c>
      <c r="G85" s="1455" t="s">
        <v>235</v>
      </c>
      <c r="H85" s="1456">
        <v>43251</v>
      </c>
      <c r="I85" s="1457">
        <v>579418.99</v>
      </c>
      <c r="J85" s="1457">
        <v>386429</v>
      </c>
      <c r="K85" s="1456">
        <v>43328</v>
      </c>
      <c r="L85" s="1455"/>
      <c r="M85" s="1456">
        <v>43251</v>
      </c>
      <c r="N85" s="1456">
        <v>43343</v>
      </c>
      <c r="O85" s="1455" t="s">
        <v>3321</v>
      </c>
      <c r="P85" s="1455" t="s">
        <v>3317</v>
      </c>
    </row>
    <row r="86" spans="1:16" ht="38.25">
      <c r="A86" s="1455" t="s">
        <v>1600</v>
      </c>
      <c r="B86" s="1455" t="s">
        <v>385</v>
      </c>
      <c r="C86" s="1455" t="s">
        <v>1914</v>
      </c>
      <c r="E86" s="1455" t="s">
        <v>2061</v>
      </c>
      <c r="F86" s="1455" t="s">
        <v>2929</v>
      </c>
      <c r="G86" s="1455" t="s">
        <v>235</v>
      </c>
      <c r="H86" s="1456">
        <v>43252</v>
      </c>
      <c r="I86" s="1457">
        <v>673878</v>
      </c>
      <c r="J86" s="1457">
        <v>623337</v>
      </c>
      <c r="K86" s="1456">
        <v>43333</v>
      </c>
      <c r="L86" s="1455"/>
      <c r="M86" s="1456">
        <v>43252</v>
      </c>
      <c r="N86" s="1456">
        <v>43350</v>
      </c>
      <c r="O86" s="1455" t="s">
        <v>3354</v>
      </c>
      <c r="P86" s="1455" t="s">
        <v>3414</v>
      </c>
    </row>
    <row r="87" spans="1:16" ht="25.5">
      <c r="A87" s="1455" t="s">
        <v>2358</v>
      </c>
      <c r="B87" s="1455" t="s">
        <v>2359</v>
      </c>
      <c r="C87" s="1455" t="s">
        <v>1914</v>
      </c>
      <c r="E87" s="1455" t="s">
        <v>2061</v>
      </c>
      <c r="F87" s="1455" t="s">
        <v>3077</v>
      </c>
      <c r="G87" s="1455" t="s">
        <v>3076</v>
      </c>
      <c r="H87" s="1456">
        <v>42926</v>
      </c>
      <c r="I87" s="1457">
        <v>136133.06</v>
      </c>
      <c r="J87" s="1457">
        <v>136133.06</v>
      </c>
      <c r="K87" s="1456">
        <v>43005</v>
      </c>
      <c r="L87" s="1455"/>
      <c r="M87" s="1456">
        <v>42926</v>
      </c>
      <c r="N87" s="1456">
        <v>43010</v>
      </c>
      <c r="O87" s="1455" t="s">
        <v>3345</v>
      </c>
      <c r="P87" s="1455" t="s">
        <v>3346</v>
      </c>
    </row>
    <row r="88" spans="1:16" ht="25.5">
      <c r="A88" s="1455" t="s">
        <v>2368</v>
      </c>
      <c r="B88" s="1455" t="s">
        <v>2369</v>
      </c>
      <c r="C88" s="1455" t="s">
        <v>1914</v>
      </c>
      <c r="E88" s="1455" t="s">
        <v>2061</v>
      </c>
      <c r="F88" s="1455" t="s">
        <v>3086</v>
      </c>
      <c r="G88" s="1455" t="s">
        <v>3085</v>
      </c>
      <c r="H88" s="1456">
        <v>42928</v>
      </c>
      <c r="I88" s="1457">
        <v>1814953.52</v>
      </c>
      <c r="J88" s="1457">
        <v>1814953.52</v>
      </c>
      <c r="K88" s="1456">
        <v>43005</v>
      </c>
      <c r="L88" s="1455"/>
      <c r="M88" s="1456">
        <v>42928</v>
      </c>
      <c r="N88" s="1456">
        <v>43006</v>
      </c>
      <c r="O88" s="1455" t="s">
        <v>3347</v>
      </c>
      <c r="P88" s="1455" t="s">
        <v>3346</v>
      </c>
    </row>
    <row r="89" spans="1:16" ht="51">
      <c r="A89" s="1455" t="s">
        <v>1606</v>
      </c>
      <c r="B89" s="1455" t="s">
        <v>3126</v>
      </c>
      <c r="C89" s="1455" t="s">
        <v>1914</v>
      </c>
      <c r="E89" s="1455" t="s">
        <v>2061</v>
      </c>
      <c r="F89" s="1455" t="s">
        <v>2812</v>
      </c>
      <c r="G89" s="1455" t="s">
        <v>161</v>
      </c>
      <c r="H89" s="1456">
        <v>43188</v>
      </c>
      <c r="I89" s="1457">
        <v>15224</v>
      </c>
      <c r="J89" s="1457">
        <v>14082</v>
      </c>
      <c r="K89" s="1456">
        <v>43235</v>
      </c>
      <c r="L89" s="1455"/>
      <c r="M89" s="1456">
        <v>43188</v>
      </c>
      <c r="N89" s="1456">
        <v>43236</v>
      </c>
      <c r="O89" s="1455" t="s">
        <v>3391</v>
      </c>
      <c r="P89" s="1455" t="s">
        <v>3392</v>
      </c>
    </row>
    <row r="90" spans="1:16" ht="51">
      <c r="A90" s="1455" t="s">
        <v>1607</v>
      </c>
      <c r="B90" s="1455" t="s">
        <v>1199</v>
      </c>
      <c r="C90" s="1455" t="s">
        <v>1914</v>
      </c>
      <c r="E90" s="1455" t="s">
        <v>2061</v>
      </c>
      <c r="F90" s="1455" t="s">
        <v>3133</v>
      </c>
      <c r="G90" s="1455" t="s">
        <v>3132</v>
      </c>
      <c r="H90" s="1456">
        <v>43255</v>
      </c>
      <c r="I90" s="1457">
        <v>6816</v>
      </c>
      <c r="J90" s="1457">
        <v>6304.8</v>
      </c>
      <c r="K90" s="1456">
        <v>43322</v>
      </c>
      <c r="L90" s="1455"/>
      <c r="M90" s="1456">
        <v>43255</v>
      </c>
      <c r="N90" s="1456">
        <v>43322</v>
      </c>
      <c r="O90" s="1455" t="s">
        <v>3402</v>
      </c>
      <c r="P90" s="1455" t="s">
        <v>3399</v>
      </c>
    </row>
    <row r="91" spans="1:16" ht="51">
      <c r="A91" s="1455" t="s">
        <v>1608</v>
      </c>
      <c r="B91" s="1455" t="s">
        <v>1205</v>
      </c>
      <c r="C91" s="1455" t="s">
        <v>1914</v>
      </c>
      <c r="E91" s="1455" t="s">
        <v>2061</v>
      </c>
      <c r="F91" s="1455" t="s">
        <v>2820</v>
      </c>
      <c r="G91" s="1455" t="s">
        <v>282</v>
      </c>
      <c r="H91" s="1456">
        <v>43278</v>
      </c>
      <c r="I91" s="1457">
        <v>15679</v>
      </c>
      <c r="J91" s="1457">
        <v>14503</v>
      </c>
      <c r="K91" s="1456">
        <v>43349</v>
      </c>
      <c r="L91" s="1455"/>
      <c r="M91" s="1456">
        <v>43278</v>
      </c>
      <c r="N91" s="1456">
        <v>43350</v>
      </c>
      <c r="O91" s="1455" t="s">
        <v>3417</v>
      </c>
      <c r="P91" s="1455" t="s">
        <v>3418</v>
      </c>
    </row>
    <row r="92" spans="1:16" ht="63.75">
      <c r="A92" s="1455" t="s">
        <v>1609</v>
      </c>
      <c r="B92" s="1455" t="s">
        <v>3141</v>
      </c>
      <c r="C92" s="1455" t="s">
        <v>1914</v>
      </c>
      <c r="E92" s="1455" t="s">
        <v>2061</v>
      </c>
      <c r="F92" s="1455" t="s">
        <v>3145</v>
      </c>
      <c r="G92" s="1455" t="s">
        <v>3144</v>
      </c>
      <c r="H92" s="1456">
        <v>43280</v>
      </c>
      <c r="I92" s="1457">
        <v>10453</v>
      </c>
      <c r="J92" s="1457">
        <v>9664.25</v>
      </c>
      <c r="K92" s="1456">
        <v>43409</v>
      </c>
      <c r="L92" s="1455"/>
      <c r="M92" s="1456">
        <v>43280</v>
      </c>
      <c r="N92" s="1456">
        <v>43409</v>
      </c>
      <c r="O92" s="1455" t="s">
        <v>3816</v>
      </c>
      <c r="P92" s="1455" t="s">
        <v>3418</v>
      </c>
    </row>
    <row r="93" spans="1:16" ht="38.25">
      <c r="A93" s="1455" t="s">
        <v>1623</v>
      </c>
      <c r="B93" s="1455" t="s">
        <v>1190</v>
      </c>
      <c r="C93" s="1455" t="s">
        <v>1914</v>
      </c>
      <c r="E93" s="1455" t="s">
        <v>2061</v>
      </c>
      <c r="F93" s="1455" t="s">
        <v>2799</v>
      </c>
      <c r="G93" s="1455" t="s">
        <v>345</v>
      </c>
      <c r="H93" s="1456">
        <v>43285</v>
      </c>
      <c r="I93" s="1457">
        <v>17041.18</v>
      </c>
      <c r="J93" s="1457">
        <v>15763.09</v>
      </c>
      <c r="K93" s="1456">
        <v>43353</v>
      </c>
      <c r="L93" s="1455"/>
      <c r="M93" s="1456">
        <v>43285</v>
      </c>
      <c r="N93" s="1456">
        <v>43353</v>
      </c>
      <c r="O93" s="1455" t="s">
        <v>3419</v>
      </c>
      <c r="P93" s="1455" t="s">
        <v>3392</v>
      </c>
    </row>
    <row r="94" spans="1:16" ht="25.5">
      <c r="A94" s="1455" t="s">
        <v>1601</v>
      </c>
      <c r="B94" s="1455" t="s">
        <v>2380</v>
      </c>
      <c r="C94" s="1455" t="s">
        <v>1914</v>
      </c>
      <c r="E94" s="1455" t="s">
        <v>2061</v>
      </c>
      <c r="F94" s="1455" t="s">
        <v>2799</v>
      </c>
      <c r="G94" s="1455" t="s">
        <v>345</v>
      </c>
      <c r="H94" s="1456">
        <v>43217</v>
      </c>
      <c r="I94" s="1457">
        <v>198996</v>
      </c>
      <c r="J94" s="1457">
        <v>184071.3</v>
      </c>
      <c r="K94" s="1456">
        <v>43284</v>
      </c>
      <c r="L94" s="1455"/>
      <c r="M94" s="1456">
        <v>43217</v>
      </c>
      <c r="N94" s="1456">
        <v>43285</v>
      </c>
      <c r="O94" s="1455" t="s">
        <v>3398</v>
      </c>
      <c r="P94" s="1455" t="s">
        <v>3399</v>
      </c>
    </row>
    <row r="95" spans="1:16" ht="25.5">
      <c r="A95" s="1455" t="s">
        <v>1602</v>
      </c>
      <c r="B95" s="1455" t="s">
        <v>1195</v>
      </c>
      <c r="C95" s="1455" t="s">
        <v>1914</v>
      </c>
      <c r="E95" s="1455" t="s">
        <v>2061</v>
      </c>
      <c r="F95" s="1455" t="s">
        <v>3101</v>
      </c>
      <c r="G95" s="1455" t="s">
        <v>1196</v>
      </c>
      <c r="H95" s="1456">
        <v>43217</v>
      </c>
      <c r="I95" s="1457">
        <v>198997.18</v>
      </c>
      <c r="J95" s="1457">
        <v>184072.39</v>
      </c>
      <c r="K95" s="1456">
        <v>43284</v>
      </c>
      <c r="L95" s="1455"/>
      <c r="M95" s="1456">
        <v>43217</v>
      </c>
      <c r="N95" s="1456">
        <v>43286</v>
      </c>
      <c r="O95" s="1455" t="s">
        <v>3397</v>
      </c>
      <c r="P95" s="1455" t="s">
        <v>3392</v>
      </c>
    </row>
    <row r="96" spans="1:16" ht="25.5">
      <c r="A96" s="1455" t="s">
        <v>1603</v>
      </c>
      <c r="B96" s="1455" t="s">
        <v>1197</v>
      </c>
      <c r="C96" s="1455" t="s">
        <v>1914</v>
      </c>
      <c r="E96" s="1455" t="s">
        <v>2061</v>
      </c>
      <c r="F96" s="1455" t="s">
        <v>3108</v>
      </c>
      <c r="G96" s="1455" t="s">
        <v>1198</v>
      </c>
      <c r="H96" s="1456">
        <v>43217</v>
      </c>
      <c r="I96" s="1457">
        <v>198997.18</v>
      </c>
      <c r="J96" s="1457">
        <v>184072.39</v>
      </c>
      <c r="K96" s="1456">
        <v>43286</v>
      </c>
      <c r="L96" s="1455"/>
      <c r="M96" s="1456">
        <v>43217</v>
      </c>
      <c r="N96" s="1456">
        <v>43286</v>
      </c>
      <c r="O96" s="1455" t="s">
        <v>3400</v>
      </c>
      <c r="P96" s="1455" t="s">
        <v>3399</v>
      </c>
    </row>
    <row r="97" spans="1:16" ht="25.5">
      <c r="A97" s="1455" t="s">
        <v>1604</v>
      </c>
      <c r="B97" s="1455" t="s">
        <v>2389</v>
      </c>
      <c r="C97" s="1455" t="s">
        <v>1914</v>
      </c>
      <c r="E97" s="1455" t="s">
        <v>2061</v>
      </c>
      <c r="F97" s="1455" t="s">
        <v>3114</v>
      </c>
      <c r="G97" s="1455" t="s">
        <v>1178</v>
      </c>
      <c r="H97" s="1456">
        <v>43220</v>
      </c>
      <c r="I97" s="1457">
        <v>198997.18</v>
      </c>
      <c r="J97" s="1457">
        <v>184072.39</v>
      </c>
      <c r="K97" s="1456">
        <v>43284</v>
      </c>
      <c r="L97" s="1455"/>
      <c r="M97" s="1456">
        <v>43220</v>
      </c>
      <c r="N97" s="1456">
        <v>43285</v>
      </c>
      <c r="O97" s="1455" t="s">
        <v>3401</v>
      </c>
      <c r="P97" s="1455" t="s">
        <v>3399</v>
      </c>
    </row>
    <row r="98" spans="1:16" ht="25.5">
      <c r="A98" s="1455" t="s">
        <v>1605</v>
      </c>
      <c r="B98" s="1455" t="s">
        <v>1179</v>
      </c>
      <c r="C98" s="1455" t="s">
        <v>1914</v>
      </c>
      <c r="E98" s="1455" t="s">
        <v>2061</v>
      </c>
      <c r="F98" s="1455" t="s">
        <v>3120</v>
      </c>
      <c r="G98" s="1455" t="s">
        <v>276</v>
      </c>
      <c r="H98" s="1456">
        <v>43223</v>
      </c>
      <c r="I98" s="1457">
        <v>198997</v>
      </c>
      <c r="J98" s="1457">
        <v>184072</v>
      </c>
      <c r="K98" s="1456">
        <v>43298</v>
      </c>
      <c r="L98" s="1455"/>
      <c r="M98" s="1456">
        <v>43223</v>
      </c>
      <c r="N98" s="1456">
        <v>43298</v>
      </c>
      <c r="O98" s="1455" t="s">
        <v>3402</v>
      </c>
      <c r="P98" s="1455" t="s">
        <v>3399</v>
      </c>
    </row>
    <row r="99" spans="1:16" ht="25.5">
      <c r="A99" s="1455" t="s">
        <v>2397</v>
      </c>
      <c r="B99" s="1455" t="s">
        <v>2398</v>
      </c>
      <c r="C99" s="1455" t="s">
        <v>1914</v>
      </c>
      <c r="E99" s="1455" t="s">
        <v>2061</v>
      </c>
      <c r="F99" s="1455" t="s">
        <v>3160</v>
      </c>
      <c r="G99" s="1455" t="s">
        <v>3159</v>
      </c>
      <c r="H99" s="1456">
        <v>43229</v>
      </c>
      <c r="I99" s="1457">
        <v>44986.51</v>
      </c>
      <c r="J99" s="1457">
        <v>31265.62</v>
      </c>
      <c r="K99" s="1456">
        <v>43362</v>
      </c>
      <c r="L99" s="1455"/>
      <c r="M99" s="1456">
        <v>43229</v>
      </c>
      <c r="N99" s="1456">
        <v>43368</v>
      </c>
      <c r="O99" s="1455" t="s">
        <v>3404</v>
      </c>
      <c r="P99" s="1455" t="s">
        <v>3386</v>
      </c>
    </row>
    <row r="100" spans="1:16" ht="38.25">
      <c r="A100" s="1455" t="s">
        <v>2402</v>
      </c>
      <c r="B100" s="1455" t="s">
        <v>2403</v>
      </c>
      <c r="C100" s="1455" t="s">
        <v>1914</v>
      </c>
      <c r="E100" s="1455" t="s">
        <v>2061</v>
      </c>
      <c r="F100" s="1455" t="s">
        <v>3169</v>
      </c>
      <c r="G100" s="1455" t="s">
        <v>3168</v>
      </c>
      <c r="H100" s="1456">
        <v>43231</v>
      </c>
      <c r="I100" s="1457">
        <v>5579.99</v>
      </c>
      <c r="J100" s="1457">
        <v>3553.1</v>
      </c>
      <c r="K100" s="1456">
        <v>43348</v>
      </c>
      <c r="L100" s="1455"/>
      <c r="M100" s="1456">
        <v>43231</v>
      </c>
      <c r="N100" s="1456">
        <v>43355</v>
      </c>
      <c r="O100" s="1455" t="s">
        <v>3369</v>
      </c>
      <c r="P100" s="1455" t="s">
        <v>3362</v>
      </c>
    </row>
    <row r="101" spans="1:16" ht="25.5">
      <c r="A101" s="1455" t="s">
        <v>2407</v>
      </c>
      <c r="B101" s="1455" t="s">
        <v>2408</v>
      </c>
      <c r="C101" s="1455" t="s">
        <v>1914</v>
      </c>
      <c r="E101" s="1455" t="s">
        <v>2061</v>
      </c>
      <c r="F101" s="1455" t="s">
        <v>3160</v>
      </c>
      <c r="G101" s="1455" t="s">
        <v>3159</v>
      </c>
      <c r="H101" s="1456">
        <v>43231</v>
      </c>
      <c r="I101" s="1457">
        <v>10446.14</v>
      </c>
      <c r="J101" s="1457">
        <v>7142.92</v>
      </c>
      <c r="K101" s="1456">
        <v>43362</v>
      </c>
      <c r="L101" s="1455"/>
      <c r="M101" s="1456">
        <v>43231</v>
      </c>
      <c r="N101" s="1456">
        <v>43368</v>
      </c>
      <c r="O101" s="1455" t="s">
        <v>3404</v>
      </c>
      <c r="P101" s="1455" t="s">
        <v>3386</v>
      </c>
    </row>
    <row r="102" spans="1:16">
      <c r="A102" s="1455" t="s">
        <v>2411</v>
      </c>
      <c r="B102" s="1455" t="s">
        <v>2412</v>
      </c>
      <c r="C102" s="1455" t="s">
        <v>1914</v>
      </c>
      <c r="E102" s="1455" t="s">
        <v>2061</v>
      </c>
      <c r="F102" s="1455" t="s">
        <v>3180</v>
      </c>
      <c r="G102" s="1455" t="s">
        <v>3179</v>
      </c>
      <c r="H102" s="1456">
        <v>43235</v>
      </c>
      <c r="I102" s="1457">
        <v>9096.9500000000007</v>
      </c>
      <c r="J102" s="1457">
        <v>6245.66</v>
      </c>
      <c r="K102" s="1456">
        <v>43348</v>
      </c>
      <c r="L102" s="1455"/>
      <c r="M102" s="1456">
        <v>43234</v>
      </c>
      <c r="N102" s="1456">
        <v>43350</v>
      </c>
      <c r="O102" s="1455" t="s">
        <v>3406</v>
      </c>
      <c r="P102" s="1455" t="s">
        <v>3386</v>
      </c>
    </row>
    <row r="103" spans="1:16" ht="25.5">
      <c r="A103" s="1455" t="s">
        <v>2416</v>
      </c>
      <c r="B103" s="1455" t="s">
        <v>2417</v>
      </c>
      <c r="C103" s="1455" t="s">
        <v>1914</v>
      </c>
      <c r="E103" s="1455" t="s">
        <v>2061</v>
      </c>
      <c r="F103" s="1455" t="s">
        <v>3188</v>
      </c>
      <c r="G103" s="1455" t="s">
        <v>3187</v>
      </c>
      <c r="H103" s="1456">
        <v>43234</v>
      </c>
      <c r="I103" s="1457">
        <v>9832.3700000000008</v>
      </c>
      <c r="J103" s="1457">
        <v>6773.3</v>
      </c>
      <c r="K103" s="1456">
        <v>43362</v>
      </c>
      <c r="L103" s="1455"/>
      <c r="M103" s="1456">
        <v>43234</v>
      </c>
      <c r="N103" s="1456">
        <v>43368</v>
      </c>
      <c r="O103" s="1455" t="s">
        <v>3405</v>
      </c>
      <c r="P103" s="1455" t="s">
        <v>3362</v>
      </c>
    </row>
    <row r="104" spans="1:16" ht="38.25">
      <c r="A104" s="1455" t="s">
        <v>3193</v>
      </c>
      <c r="B104" s="1455" t="s">
        <v>3194</v>
      </c>
      <c r="C104" s="1455" t="s">
        <v>1914</v>
      </c>
      <c r="E104" s="1455" t="s">
        <v>2061</v>
      </c>
      <c r="F104" s="1455" t="s">
        <v>3169</v>
      </c>
      <c r="G104" s="1455" t="s">
        <v>3168</v>
      </c>
      <c r="H104" s="1456">
        <v>43235</v>
      </c>
      <c r="I104" s="1457">
        <v>3799.5</v>
      </c>
      <c r="J104" s="1457">
        <v>2602.66</v>
      </c>
      <c r="K104" s="1456">
        <v>43348</v>
      </c>
      <c r="L104" s="1455"/>
      <c r="M104" s="1456">
        <v>43235</v>
      </c>
      <c r="N104" s="1456">
        <v>43355</v>
      </c>
      <c r="O104" s="1455" t="s">
        <v>3369</v>
      </c>
      <c r="P104" s="1455"/>
    </row>
    <row r="105" spans="1:16">
      <c r="A105" s="1455" t="s">
        <v>3408</v>
      </c>
      <c r="B105" s="1455" t="s">
        <v>3409</v>
      </c>
      <c r="C105" s="1455" t="s">
        <v>1914</v>
      </c>
      <c r="E105" s="1455" t="s">
        <v>2061</v>
      </c>
      <c r="F105" s="1455" t="s">
        <v>3200</v>
      </c>
      <c r="G105" s="1455" t="s">
        <v>3199</v>
      </c>
      <c r="H105" s="1456">
        <v>43235</v>
      </c>
      <c r="I105" s="1457">
        <v>5628.83</v>
      </c>
      <c r="J105" s="1457">
        <v>3798.83</v>
      </c>
      <c r="K105" s="1456">
        <v>43396</v>
      </c>
      <c r="L105" s="1455"/>
      <c r="M105" s="1456">
        <v>43235</v>
      </c>
      <c r="N105" s="1456">
        <v>43403</v>
      </c>
      <c r="O105" s="1455" t="s">
        <v>3407</v>
      </c>
      <c r="P105" s="1455" t="s">
        <v>3386</v>
      </c>
    </row>
    <row r="106" spans="1:16">
      <c r="A106" s="1455" t="s">
        <v>2421</v>
      </c>
      <c r="B106" s="1455" t="s">
        <v>2422</v>
      </c>
      <c r="C106" s="1455" t="s">
        <v>1914</v>
      </c>
      <c r="E106" s="1455" t="s">
        <v>2061</v>
      </c>
      <c r="F106" s="1455" t="s">
        <v>3200</v>
      </c>
      <c r="G106" s="1455" t="s">
        <v>3199</v>
      </c>
      <c r="H106" s="1456">
        <v>43235</v>
      </c>
      <c r="I106" s="1457">
        <v>12926.88</v>
      </c>
      <c r="J106" s="1457">
        <v>7988.96</v>
      </c>
      <c r="K106" s="1456">
        <v>43348</v>
      </c>
      <c r="L106" s="1455"/>
      <c r="M106" s="1456">
        <v>43235</v>
      </c>
      <c r="N106" s="1456">
        <v>43355</v>
      </c>
      <c r="O106" s="1455" t="s">
        <v>3407</v>
      </c>
      <c r="P106" s="1455" t="s">
        <v>3386</v>
      </c>
    </row>
    <row r="107" spans="1:16" ht="25.5">
      <c r="A107" s="1455" t="s">
        <v>2426</v>
      </c>
      <c r="B107" s="1455" t="s">
        <v>2427</v>
      </c>
      <c r="C107" s="1455" t="s">
        <v>1914</v>
      </c>
      <c r="E107" s="1455" t="s">
        <v>2061</v>
      </c>
      <c r="F107" s="1455" t="s">
        <v>3207</v>
      </c>
      <c r="G107" s="1455" t="s">
        <v>3206</v>
      </c>
      <c r="H107" s="1456">
        <v>43235</v>
      </c>
      <c r="I107" s="1457">
        <v>39491.67</v>
      </c>
      <c r="J107" s="1457">
        <v>27238.5</v>
      </c>
      <c r="K107" s="1456">
        <v>43348</v>
      </c>
      <c r="L107" s="1455"/>
      <c r="M107" s="1456">
        <v>43235</v>
      </c>
      <c r="N107" s="1456">
        <v>43353</v>
      </c>
      <c r="O107" s="1455" t="s">
        <v>3410</v>
      </c>
      <c r="P107" s="1455" t="s">
        <v>3386</v>
      </c>
    </row>
    <row r="108" spans="1:16">
      <c r="A108" s="1455" t="s">
        <v>2578</v>
      </c>
      <c r="B108" s="1455" t="s">
        <v>2579</v>
      </c>
      <c r="C108" s="1455" t="s">
        <v>1914</v>
      </c>
      <c r="E108" s="1455" t="s">
        <v>2061</v>
      </c>
      <c r="F108" s="1455" t="s">
        <v>3200</v>
      </c>
      <c r="G108" s="1455" t="s">
        <v>3199</v>
      </c>
      <c r="H108" s="1456">
        <v>43235</v>
      </c>
      <c r="I108" s="1457">
        <v>8790.99</v>
      </c>
      <c r="J108" s="1457">
        <v>6109.74</v>
      </c>
      <c r="K108" s="1456">
        <v>43348</v>
      </c>
      <c r="L108" s="1455"/>
      <c r="M108" s="1456">
        <v>43235</v>
      </c>
      <c r="N108" s="1456">
        <v>43355</v>
      </c>
      <c r="O108" s="1455" t="s">
        <v>3407</v>
      </c>
      <c r="P108" s="1455" t="s">
        <v>3386</v>
      </c>
    </row>
    <row r="109" spans="1:16" ht="25.5">
      <c r="A109" s="1455" t="s">
        <v>3217</v>
      </c>
      <c r="B109" s="1455" t="s">
        <v>3218</v>
      </c>
      <c r="C109" s="1455" t="s">
        <v>1914</v>
      </c>
      <c r="E109" s="1455" t="s">
        <v>2061</v>
      </c>
      <c r="F109" s="1455" t="s">
        <v>3221</v>
      </c>
      <c r="G109" s="1455" t="s">
        <v>3220</v>
      </c>
      <c r="H109" s="1456">
        <v>43235</v>
      </c>
      <c r="I109" s="1457">
        <v>18000</v>
      </c>
      <c r="J109" s="1457">
        <v>12201.6</v>
      </c>
      <c r="K109" s="1456">
        <v>43348</v>
      </c>
      <c r="L109" s="1455"/>
      <c r="M109" s="1456">
        <v>43235</v>
      </c>
      <c r="N109" s="1456">
        <v>43349</v>
      </c>
      <c r="O109" s="1455" t="s">
        <v>3411</v>
      </c>
      <c r="P109" s="1455" t="s">
        <v>3386</v>
      </c>
    </row>
    <row r="110" spans="1:16" ht="25.5">
      <c r="A110" s="1455" t="s">
        <v>1238</v>
      </c>
      <c r="B110" s="1455" t="s">
        <v>2435</v>
      </c>
      <c r="C110" s="1455" t="s">
        <v>1914</v>
      </c>
      <c r="E110" s="1455" t="s">
        <v>2061</v>
      </c>
      <c r="F110" s="1455" t="s">
        <v>2799</v>
      </c>
      <c r="G110" s="1455" t="s">
        <v>345</v>
      </c>
      <c r="H110" s="1456">
        <v>43076</v>
      </c>
      <c r="I110" s="1457">
        <v>181986</v>
      </c>
      <c r="J110" s="1457">
        <v>168337</v>
      </c>
      <c r="K110" s="1456">
        <v>43164</v>
      </c>
      <c r="L110" s="1455"/>
      <c r="M110" s="1456">
        <v>43076</v>
      </c>
      <c r="N110" s="1456">
        <v>43174</v>
      </c>
      <c r="O110" s="1455" t="s">
        <v>3352</v>
      </c>
      <c r="P110" s="1455" t="s">
        <v>3315</v>
      </c>
    </row>
    <row r="111" spans="1:16" ht="38.25">
      <c r="A111" s="1455" t="s">
        <v>1239</v>
      </c>
      <c r="B111" s="1455" t="s">
        <v>639</v>
      </c>
      <c r="C111" s="1455" t="s">
        <v>1914</v>
      </c>
      <c r="E111" s="1455" t="s">
        <v>2061</v>
      </c>
      <c r="F111" s="1455" t="s">
        <v>2812</v>
      </c>
      <c r="G111" s="1455" t="s">
        <v>161</v>
      </c>
      <c r="H111" s="1456">
        <v>43080</v>
      </c>
      <c r="I111" s="1457">
        <v>133554.21</v>
      </c>
      <c r="J111" s="1457">
        <v>123528</v>
      </c>
      <c r="K111" s="1456">
        <v>43193</v>
      </c>
      <c r="L111" s="1455"/>
      <c r="M111" s="1456">
        <v>43080</v>
      </c>
      <c r="N111" s="1456">
        <v>43195</v>
      </c>
      <c r="O111" s="1455" t="s">
        <v>3370</v>
      </c>
      <c r="P111" s="1455" t="s">
        <v>3323</v>
      </c>
    </row>
    <row r="112" spans="1:16" ht="25.5">
      <c r="A112" s="1455" t="s">
        <v>1240</v>
      </c>
      <c r="B112" s="1455" t="s">
        <v>138</v>
      </c>
      <c r="C112" s="1455" t="s">
        <v>1914</v>
      </c>
      <c r="E112" s="1455" t="s">
        <v>2061</v>
      </c>
      <c r="F112" s="1455" t="s">
        <v>2820</v>
      </c>
      <c r="G112" s="1455" t="s">
        <v>282</v>
      </c>
      <c r="H112" s="1456">
        <v>43080</v>
      </c>
      <c r="I112" s="1457">
        <v>370000</v>
      </c>
      <c r="J112" s="1457">
        <v>312658</v>
      </c>
      <c r="K112" s="1456">
        <v>43179</v>
      </c>
      <c r="L112" s="1455"/>
      <c r="M112" s="1456">
        <v>43080</v>
      </c>
      <c r="N112" s="1456">
        <v>43185</v>
      </c>
      <c r="O112" s="1455" t="s">
        <v>3371</v>
      </c>
      <c r="P112" s="1455" t="s">
        <v>3323</v>
      </c>
    </row>
    <row r="113" spans="1:16" ht="63.75">
      <c r="A113" s="1455" t="s">
        <v>1241</v>
      </c>
      <c r="B113" s="1455" t="s">
        <v>3240</v>
      </c>
      <c r="C113" s="1455" t="s">
        <v>1914</v>
      </c>
      <c r="E113" s="1455" t="s">
        <v>2061</v>
      </c>
      <c r="F113" s="1455" t="s">
        <v>2828</v>
      </c>
      <c r="G113" s="1455" t="s">
        <v>184</v>
      </c>
      <c r="H113" s="1456">
        <v>43080</v>
      </c>
      <c r="I113" s="1457">
        <v>597456.88</v>
      </c>
      <c r="J113" s="1457">
        <v>537595</v>
      </c>
      <c r="K113" s="1456">
        <v>43186</v>
      </c>
      <c r="L113" s="1455"/>
      <c r="M113" s="1456">
        <v>43080</v>
      </c>
      <c r="N113" s="1456">
        <v>43193</v>
      </c>
      <c r="O113" s="1455" t="s">
        <v>3372</v>
      </c>
      <c r="P113" s="1455" t="s">
        <v>3332</v>
      </c>
    </row>
    <row r="114" spans="1:16" ht="51">
      <c r="A114" s="1455" t="s">
        <v>1242</v>
      </c>
      <c r="B114" s="1455" t="s">
        <v>2445</v>
      </c>
      <c r="C114" s="1455" t="s">
        <v>3357</v>
      </c>
      <c r="E114" s="1455" t="s">
        <v>3373</v>
      </c>
      <c r="F114" s="1455" t="s">
        <v>2929</v>
      </c>
      <c r="G114" s="1455" t="s">
        <v>235</v>
      </c>
      <c r="H114" s="1456">
        <v>43080</v>
      </c>
      <c r="I114" s="1457">
        <v>221629.58</v>
      </c>
      <c r="J114" s="1457">
        <v>96933</v>
      </c>
      <c r="K114" s="1455"/>
      <c r="L114" s="1455"/>
      <c r="M114" s="1456">
        <v>43080</v>
      </c>
      <c r="N114" s="1455"/>
      <c r="O114" s="1455" t="s">
        <v>3374</v>
      </c>
      <c r="P114" s="1455"/>
    </row>
    <row r="115" spans="1:16" ht="51">
      <c r="A115" s="1455" t="s">
        <v>2444</v>
      </c>
      <c r="B115" s="1455" t="s">
        <v>2445</v>
      </c>
      <c r="C115" s="1455" t="s">
        <v>1914</v>
      </c>
      <c r="E115" s="1455" t="s">
        <v>2061</v>
      </c>
      <c r="F115" s="1455" t="s">
        <v>2929</v>
      </c>
      <c r="G115" s="1455" t="s">
        <v>235</v>
      </c>
      <c r="H115" s="1456">
        <v>43175</v>
      </c>
      <c r="I115" s="1457">
        <v>176024.68</v>
      </c>
      <c r="J115" s="1457">
        <v>96933</v>
      </c>
      <c r="K115" s="1456">
        <v>43265</v>
      </c>
      <c r="L115" s="1455"/>
      <c r="M115" s="1456">
        <v>43175</v>
      </c>
      <c r="N115" s="1456">
        <v>43269</v>
      </c>
      <c r="O115" s="1455" t="s">
        <v>3388</v>
      </c>
      <c r="P115" s="1455" t="s">
        <v>3317</v>
      </c>
    </row>
    <row r="116" spans="1:16" ht="38.25">
      <c r="A116" s="1455" t="s">
        <v>2449</v>
      </c>
      <c r="B116" s="1455" t="s">
        <v>279</v>
      </c>
      <c r="C116" s="1455" t="s">
        <v>1914</v>
      </c>
      <c r="E116" s="1455" t="s">
        <v>2061</v>
      </c>
      <c r="F116" s="1455" t="s">
        <v>2812</v>
      </c>
      <c r="G116" s="1455" t="s">
        <v>161</v>
      </c>
      <c r="H116" s="1456">
        <v>42991</v>
      </c>
      <c r="I116" s="1457">
        <v>195779</v>
      </c>
      <c r="J116" s="1457">
        <v>181095</v>
      </c>
      <c r="K116" s="1456">
        <v>43150</v>
      </c>
      <c r="L116" s="1455"/>
      <c r="M116" s="1456">
        <v>42991</v>
      </c>
      <c r="N116" s="1456">
        <v>43154</v>
      </c>
      <c r="O116" s="1455" t="s">
        <v>3348</v>
      </c>
      <c r="P116" s="1455" t="s">
        <v>3315</v>
      </c>
    </row>
    <row r="117" spans="1:16" ht="38.25">
      <c r="A117" s="1455" t="s">
        <v>2454</v>
      </c>
      <c r="B117" s="1455" t="s">
        <v>634</v>
      </c>
      <c r="C117" s="1455" t="s">
        <v>1914</v>
      </c>
      <c r="E117" s="1455" t="s">
        <v>2061</v>
      </c>
      <c r="F117" s="1455" t="s">
        <v>2799</v>
      </c>
      <c r="G117" s="1455" t="s">
        <v>345</v>
      </c>
      <c r="H117" s="1456">
        <v>42991</v>
      </c>
      <c r="I117" s="1457">
        <v>657021</v>
      </c>
      <c r="J117" s="1457">
        <v>607744</v>
      </c>
      <c r="K117" s="1456">
        <v>43139</v>
      </c>
      <c r="L117" s="1455"/>
      <c r="M117" s="1456">
        <v>42991</v>
      </c>
      <c r="N117" s="1456">
        <v>43145</v>
      </c>
      <c r="O117" s="1455" t="s">
        <v>3348</v>
      </c>
      <c r="P117" s="1455" t="s">
        <v>3331</v>
      </c>
    </row>
    <row r="118" spans="1:16" ht="63.75">
      <c r="A118" s="1455" t="s">
        <v>3254</v>
      </c>
      <c r="B118" s="1455" t="s">
        <v>643</v>
      </c>
      <c r="C118" s="1455" t="s">
        <v>1914</v>
      </c>
      <c r="E118" s="1455" t="s">
        <v>2061</v>
      </c>
      <c r="F118" s="1455" t="s">
        <v>2820</v>
      </c>
      <c r="G118" s="1455" t="s">
        <v>282</v>
      </c>
      <c r="H118" s="1456">
        <v>42993</v>
      </c>
      <c r="I118" s="1457">
        <v>220453</v>
      </c>
      <c r="J118" s="1457">
        <v>203919</v>
      </c>
      <c r="K118" s="1456">
        <v>43117</v>
      </c>
      <c r="L118" s="1455"/>
      <c r="M118" s="1456">
        <v>42993</v>
      </c>
      <c r="N118" s="1456">
        <v>43123</v>
      </c>
      <c r="O118" s="1455" t="s">
        <v>3348</v>
      </c>
      <c r="P118" s="1455" t="s">
        <v>3311</v>
      </c>
    </row>
    <row r="119" spans="1:16" ht="38.25">
      <c r="A119" s="1455" t="s">
        <v>804</v>
      </c>
      <c r="B119" s="1455" t="s">
        <v>231</v>
      </c>
      <c r="C119" s="1455" t="s">
        <v>1914</v>
      </c>
      <c r="E119" s="1455" t="s">
        <v>2061</v>
      </c>
      <c r="F119" s="1455" t="s">
        <v>2929</v>
      </c>
      <c r="G119" s="1455" t="s">
        <v>235</v>
      </c>
      <c r="H119" s="1456">
        <v>42993</v>
      </c>
      <c r="I119" s="1457">
        <v>163877</v>
      </c>
      <c r="J119" s="1457">
        <v>151586</v>
      </c>
      <c r="K119" s="1456">
        <v>43098</v>
      </c>
      <c r="L119" s="1455"/>
      <c r="M119" s="1456">
        <v>42993</v>
      </c>
      <c r="N119" s="1456">
        <v>43110</v>
      </c>
      <c r="O119" s="1455" t="s">
        <v>3348</v>
      </c>
      <c r="P119" s="1455" t="s">
        <v>3331</v>
      </c>
    </row>
    <row r="120" spans="1:16" ht="51">
      <c r="A120" s="1455" t="s">
        <v>807</v>
      </c>
      <c r="B120" s="1455" t="s">
        <v>186</v>
      </c>
      <c r="C120" s="1455" t="s">
        <v>1914</v>
      </c>
      <c r="E120" s="1455" t="s">
        <v>2061</v>
      </c>
      <c r="F120" s="1455" t="s">
        <v>2828</v>
      </c>
      <c r="G120" s="1455" t="s">
        <v>184</v>
      </c>
      <c r="H120" s="1456">
        <v>43003</v>
      </c>
      <c r="I120" s="1457">
        <v>106845.41</v>
      </c>
      <c r="J120" s="1457">
        <v>98832</v>
      </c>
      <c r="K120" s="1456">
        <v>43112</v>
      </c>
      <c r="L120" s="1455"/>
      <c r="M120" s="1456">
        <v>43003</v>
      </c>
      <c r="N120" s="1456">
        <v>43125</v>
      </c>
      <c r="O120" s="1455" t="s">
        <v>3350</v>
      </c>
      <c r="P120" s="1455" t="s">
        <v>3315</v>
      </c>
    </row>
    <row r="121" spans="1:16" ht="38.25">
      <c r="A121" s="1455" t="s">
        <v>790</v>
      </c>
      <c r="B121" s="1455" t="s">
        <v>280</v>
      </c>
      <c r="C121" s="1455" t="s">
        <v>1914</v>
      </c>
      <c r="E121" s="1455" t="s">
        <v>2061</v>
      </c>
      <c r="F121" s="1455" t="s">
        <v>3265</v>
      </c>
      <c r="G121" s="1455" t="s">
        <v>3264</v>
      </c>
      <c r="H121" s="1456">
        <v>42915</v>
      </c>
      <c r="I121" s="1457">
        <v>135814</v>
      </c>
      <c r="J121" s="1457">
        <v>115441</v>
      </c>
      <c r="K121" s="1456">
        <v>43045</v>
      </c>
      <c r="L121" s="1455"/>
      <c r="M121" s="1456">
        <v>42915</v>
      </c>
      <c r="N121" s="1456">
        <v>43048</v>
      </c>
      <c r="O121" s="1455" t="s">
        <v>3344</v>
      </c>
      <c r="P121" s="1455" t="s">
        <v>3331</v>
      </c>
    </row>
    <row r="122" spans="1:16" ht="25.5">
      <c r="A122" s="1455" t="s">
        <v>805</v>
      </c>
      <c r="B122" s="1455" t="s">
        <v>233</v>
      </c>
      <c r="C122" s="1455" t="s">
        <v>1914</v>
      </c>
      <c r="E122" s="1455" t="s">
        <v>2061</v>
      </c>
      <c r="F122" s="1455" t="s">
        <v>2929</v>
      </c>
      <c r="G122" s="1455" t="s">
        <v>235</v>
      </c>
      <c r="H122" s="1456">
        <v>42993</v>
      </c>
      <c r="I122" s="1457">
        <v>146702.29999999999</v>
      </c>
      <c r="J122" s="1457">
        <v>124266</v>
      </c>
      <c r="K122" s="1456">
        <v>43097</v>
      </c>
      <c r="L122" s="1455"/>
      <c r="M122" s="1456">
        <v>42993</v>
      </c>
      <c r="N122" s="1456">
        <v>43102</v>
      </c>
      <c r="O122" s="1455" t="s">
        <v>3349</v>
      </c>
      <c r="P122" s="1455" t="s">
        <v>3331</v>
      </c>
    </row>
    <row r="123" spans="1:16" ht="38.25">
      <c r="A123" s="1455" t="s">
        <v>808</v>
      </c>
      <c r="B123" s="1455" t="s">
        <v>2484</v>
      </c>
      <c r="C123" s="1455" t="s">
        <v>1914</v>
      </c>
      <c r="E123" s="1455" t="s">
        <v>2061</v>
      </c>
      <c r="F123" s="1455" t="s">
        <v>2820</v>
      </c>
      <c r="G123" s="1455" t="s">
        <v>282</v>
      </c>
      <c r="H123" s="1456">
        <v>43004</v>
      </c>
      <c r="I123" s="1457">
        <v>437551</v>
      </c>
      <c r="J123" s="1457">
        <v>371918</v>
      </c>
      <c r="K123" s="1456">
        <v>43097</v>
      </c>
      <c r="L123" s="1455"/>
      <c r="M123" s="1456">
        <v>43004</v>
      </c>
      <c r="N123" s="1456">
        <v>43105</v>
      </c>
      <c r="O123" s="1455" t="s">
        <v>3351</v>
      </c>
      <c r="P123" s="1455" t="s">
        <v>3337</v>
      </c>
    </row>
    <row r="124" spans="1:16" ht="38.25">
      <c r="A124" s="1455" t="s">
        <v>809</v>
      </c>
      <c r="B124" s="1455" t="s">
        <v>2489</v>
      </c>
      <c r="C124" s="1455" t="s">
        <v>1914</v>
      </c>
      <c r="E124" s="1455" t="s">
        <v>2061</v>
      </c>
      <c r="F124" s="1455" t="s">
        <v>2799</v>
      </c>
      <c r="G124" s="1455" t="s">
        <v>345</v>
      </c>
      <c r="H124" s="1456">
        <v>43006</v>
      </c>
      <c r="I124" s="1457">
        <v>397378</v>
      </c>
      <c r="J124" s="1457">
        <v>337771</v>
      </c>
      <c r="K124" s="1456">
        <v>43119</v>
      </c>
      <c r="L124" s="1455"/>
      <c r="M124" s="1456">
        <v>43006</v>
      </c>
      <c r="N124" s="1456">
        <v>43139</v>
      </c>
      <c r="O124" s="1455" t="s">
        <v>3352</v>
      </c>
      <c r="P124" s="1455" t="s">
        <v>3331</v>
      </c>
    </row>
    <row r="125" spans="1:16" ht="38.25">
      <c r="A125" s="1455" t="s">
        <v>810</v>
      </c>
      <c r="B125" s="1455" t="s">
        <v>635</v>
      </c>
      <c r="C125" s="1455" t="s">
        <v>1914</v>
      </c>
      <c r="E125" s="1455" t="s">
        <v>2061</v>
      </c>
      <c r="F125" s="1455" t="s">
        <v>2828</v>
      </c>
      <c r="G125" s="1455" t="s">
        <v>184</v>
      </c>
      <c r="H125" s="1456">
        <v>43081</v>
      </c>
      <c r="I125" s="1457">
        <v>856424.88</v>
      </c>
      <c r="J125" s="1457">
        <v>536611</v>
      </c>
      <c r="K125" s="1456">
        <v>43115</v>
      </c>
      <c r="L125" s="1455"/>
      <c r="M125" s="1456">
        <v>43007</v>
      </c>
      <c r="N125" s="1456">
        <v>43125</v>
      </c>
      <c r="O125" s="1455" t="s">
        <v>3375</v>
      </c>
      <c r="P125" s="1455" t="s">
        <v>3330</v>
      </c>
    </row>
    <row r="126" spans="1:16" ht="25.5">
      <c r="A126" s="1455" t="s">
        <v>3817</v>
      </c>
      <c r="B126" s="1455" t="s">
        <v>3818</v>
      </c>
      <c r="C126" s="1455" t="s">
        <v>1942</v>
      </c>
      <c r="E126" s="1455" t="s">
        <v>3394</v>
      </c>
      <c r="F126" s="1455" t="s">
        <v>3819</v>
      </c>
      <c r="G126" s="1455" t="s">
        <v>3820</v>
      </c>
      <c r="H126" s="1456">
        <v>43432</v>
      </c>
      <c r="I126" s="1457">
        <v>1934.4</v>
      </c>
      <c r="J126" s="1457">
        <v>1934.4</v>
      </c>
      <c r="K126" s="1455"/>
      <c r="L126" s="1455"/>
      <c r="M126" s="1456">
        <v>43432</v>
      </c>
      <c r="N126" s="1455"/>
      <c r="O126" s="1455"/>
      <c r="P126" s="1455"/>
    </row>
    <row r="127" spans="1:16" ht="38.25">
      <c r="A127" s="1455" t="s">
        <v>1209</v>
      </c>
      <c r="B127" s="1455" t="s">
        <v>272</v>
      </c>
      <c r="C127" s="1455" t="s">
        <v>1914</v>
      </c>
      <c r="E127" s="1455" t="s">
        <v>2061</v>
      </c>
      <c r="F127" s="1455" t="s">
        <v>2820</v>
      </c>
      <c r="G127" s="1455" t="s">
        <v>282</v>
      </c>
      <c r="H127" s="1456">
        <v>43039</v>
      </c>
      <c r="I127" s="1457">
        <v>172733.52</v>
      </c>
      <c r="J127" s="1457">
        <v>146823.49</v>
      </c>
      <c r="K127" s="1456">
        <v>43137</v>
      </c>
      <c r="L127" s="1455"/>
      <c r="M127" s="1456">
        <v>43039</v>
      </c>
      <c r="N127" s="1456">
        <v>43143</v>
      </c>
      <c r="O127" s="1455" t="s">
        <v>3361</v>
      </c>
      <c r="P127" s="1455" t="s">
        <v>3362</v>
      </c>
    </row>
    <row r="128" spans="1:16" ht="38.25">
      <c r="A128" s="1455" t="s">
        <v>3363</v>
      </c>
      <c r="B128" s="1455" t="s">
        <v>3364</v>
      </c>
      <c r="C128" s="1455" t="s">
        <v>3357</v>
      </c>
      <c r="E128" s="1455" t="s">
        <v>3358</v>
      </c>
      <c r="F128" s="1455" t="s">
        <v>3365</v>
      </c>
      <c r="G128" s="1455" t="s">
        <v>3366</v>
      </c>
      <c r="H128" s="1456">
        <v>43046</v>
      </c>
      <c r="I128" s="1457">
        <v>157956.47</v>
      </c>
      <c r="J128" s="1457">
        <v>134263</v>
      </c>
      <c r="K128" s="1455"/>
      <c r="L128" s="1455"/>
      <c r="M128" s="1456">
        <v>43046</v>
      </c>
      <c r="N128" s="1455"/>
      <c r="O128" s="1455"/>
      <c r="P128" s="1455"/>
    </row>
    <row r="129" spans="1:16" ht="51">
      <c r="A129" s="1455" t="s">
        <v>1210</v>
      </c>
      <c r="B129" s="1455" t="s">
        <v>392</v>
      </c>
      <c r="C129" s="1455" t="s">
        <v>1914</v>
      </c>
      <c r="E129" s="1455" t="s">
        <v>2061</v>
      </c>
      <c r="F129" s="1455" t="s">
        <v>2812</v>
      </c>
      <c r="G129" s="1455" t="s">
        <v>161</v>
      </c>
      <c r="H129" s="1456">
        <v>43061</v>
      </c>
      <c r="I129" s="1457">
        <v>163986.88</v>
      </c>
      <c r="J129" s="1457">
        <v>139388</v>
      </c>
      <c r="K129" s="1456">
        <v>43144</v>
      </c>
      <c r="L129" s="1455"/>
      <c r="M129" s="1456">
        <v>43062</v>
      </c>
      <c r="N129" s="1456">
        <v>43152</v>
      </c>
      <c r="O129" s="1455" t="s">
        <v>3369</v>
      </c>
      <c r="P129" s="1455" t="s">
        <v>3362</v>
      </c>
    </row>
    <row r="130" spans="1:16" ht="38.25">
      <c r="A130" s="1455" t="s">
        <v>3378</v>
      </c>
      <c r="B130" s="1455" t="s">
        <v>3379</v>
      </c>
      <c r="C130" s="1455" t="s">
        <v>3357</v>
      </c>
      <c r="E130" s="1455" t="s">
        <v>3358</v>
      </c>
      <c r="F130" s="1455" t="s">
        <v>3380</v>
      </c>
      <c r="G130" s="1455" t="s">
        <v>3381</v>
      </c>
      <c r="H130" s="1456">
        <v>43119</v>
      </c>
      <c r="I130" s="1457">
        <v>342733.49</v>
      </c>
      <c r="J130" s="1457">
        <v>291323.46000000002</v>
      </c>
      <c r="K130" s="1455"/>
      <c r="L130" s="1455"/>
      <c r="M130" s="1456">
        <v>43119</v>
      </c>
      <c r="N130" s="1455"/>
      <c r="O130" s="1455"/>
      <c r="P130" s="1455"/>
    </row>
    <row r="131" spans="1:16" ht="38.25">
      <c r="A131" s="1455" t="s">
        <v>1610</v>
      </c>
      <c r="B131" s="1455" t="s">
        <v>391</v>
      </c>
      <c r="C131" s="1455" t="s">
        <v>1914</v>
      </c>
      <c r="E131" s="1455" t="s">
        <v>2061</v>
      </c>
      <c r="F131" s="1455" t="s">
        <v>2828</v>
      </c>
      <c r="G131" s="1455" t="s">
        <v>184</v>
      </c>
      <c r="H131" s="1456">
        <v>43131</v>
      </c>
      <c r="I131" s="1457">
        <v>192832.21</v>
      </c>
      <c r="J131" s="1457">
        <v>163907.37</v>
      </c>
      <c r="K131" s="1456">
        <v>43220</v>
      </c>
      <c r="L131" s="1455"/>
      <c r="M131" s="1456">
        <v>43131</v>
      </c>
      <c r="N131" s="1456">
        <v>43230</v>
      </c>
      <c r="O131" s="1455" t="s">
        <v>3385</v>
      </c>
      <c r="P131" s="1455" t="s">
        <v>3386</v>
      </c>
    </row>
    <row r="132" spans="1:16" ht="38.25">
      <c r="A132" s="1455" t="s">
        <v>1611</v>
      </c>
      <c r="B132" s="1455" t="s">
        <v>239</v>
      </c>
      <c r="C132" s="1455" t="s">
        <v>1914</v>
      </c>
      <c r="E132" s="1455" t="s">
        <v>2061</v>
      </c>
      <c r="F132" s="1455" t="s">
        <v>2929</v>
      </c>
      <c r="G132" s="1455" t="s">
        <v>235</v>
      </c>
      <c r="H132" s="1456">
        <v>43146</v>
      </c>
      <c r="I132" s="1457">
        <v>161741.96</v>
      </c>
      <c r="J132" s="1457">
        <v>137349.79999999999</v>
      </c>
      <c r="K132" s="1456">
        <v>43238</v>
      </c>
      <c r="L132" s="1455"/>
      <c r="M132" s="1456">
        <v>43154</v>
      </c>
      <c r="N132" s="1456">
        <v>43245</v>
      </c>
      <c r="O132" s="1455" t="s">
        <v>3387</v>
      </c>
      <c r="P132" s="1455" t="s">
        <v>3386</v>
      </c>
    </row>
    <row r="133" spans="1:16" ht="63.75">
      <c r="A133" s="1455" t="s">
        <v>1612</v>
      </c>
      <c r="B133" s="1455" t="s">
        <v>1760</v>
      </c>
      <c r="C133" s="1455" t="s">
        <v>1914</v>
      </c>
      <c r="E133" s="1455" t="s">
        <v>2061</v>
      </c>
      <c r="F133" s="1455" t="s">
        <v>2799</v>
      </c>
      <c r="G133" s="1455" t="s">
        <v>345</v>
      </c>
      <c r="H133" s="1456">
        <v>43159</v>
      </c>
      <c r="I133" s="1457">
        <v>215693.16</v>
      </c>
      <c r="J133" s="1457">
        <v>183339.18</v>
      </c>
      <c r="K133" s="1456">
        <v>43237</v>
      </c>
      <c r="L133" s="1455"/>
      <c r="M133" s="1456">
        <v>43159</v>
      </c>
      <c r="N133" s="1456">
        <v>43251</v>
      </c>
      <c r="O133" s="1455" t="s">
        <v>3385</v>
      </c>
      <c r="P133" s="1455" t="s">
        <v>3386</v>
      </c>
    </row>
    <row r="134" spans="1:16" ht="3.2" customHeight="1"/>
  </sheetData>
  <mergeCells count="15">
    <mergeCell ref="A10:H10"/>
    <mergeCell ref="A1:P1"/>
    <mergeCell ref="A3:P3"/>
    <mergeCell ref="B5:C5"/>
    <mergeCell ref="A8:E8"/>
    <mergeCell ref="F8:G8"/>
    <mergeCell ref="H8:H9"/>
    <mergeCell ref="I8:I9"/>
    <mergeCell ref="J8:J9"/>
    <mergeCell ref="K8:K9"/>
    <mergeCell ref="L8:L9"/>
    <mergeCell ref="M8:M9"/>
    <mergeCell ref="N8:N9"/>
    <mergeCell ref="O8:O9"/>
    <mergeCell ref="P8:P9"/>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V29"/>
  <sheetViews>
    <sheetView topLeftCell="A11" workbookViewId="0">
      <selection activeCell="G21" sqref="G21:H21"/>
    </sheetView>
  </sheetViews>
  <sheetFormatPr defaultRowHeight="15"/>
  <cols>
    <col min="1" max="1" width="2.8554687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11.140625" style="21" customWidth="1"/>
    <col min="23" max="256" width="9.140625" style="21"/>
    <col min="257" max="257" width="2.8554687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11.140625" style="21" customWidth="1"/>
    <col min="279" max="512" width="9.140625" style="21"/>
    <col min="513" max="513" width="2.8554687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11.140625" style="21" customWidth="1"/>
    <col min="535" max="768" width="9.140625" style="21"/>
    <col min="769" max="769" width="2.8554687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11.140625" style="21" customWidth="1"/>
    <col min="791" max="1024" width="9.140625" style="21"/>
    <col min="1025" max="1025" width="2.8554687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11.140625" style="21" customWidth="1"/>
    <col min="1047" max="1280" width="9.140625" style="21"/>
    <col min="1281" max="1281" width="2.8554687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11.140625" style="21" customWidth="1"/>
    <col min="1303" max="1536" width="9.140625" style="21"/>
    <col min="1537" max="1537" width="2.8554687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11.140625" style="21" customWidth="1"/>
    <col min="1559" max="1792" width="9.140625" style="21"/>
    <col min="1793" max="1793" width="2.8554687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11.140625" style="21" customWidth="1"/>
    <col min="1815" max="2048" width="9.140625" style="21"/>
    <col min="2049" max="2049" width="2.8554687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11.140625" style="21" customWidth="1"/>
    <col min="2071" max="2304" width="9.140625" style="21"/>
    <col min="2305" max="2305" width="2.8554687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11.140625" style="21" customWidth="1"/>
    <col min="2327" max="2560" width="9.140625" style="21"/>
    <col min="2561" max="2561" width="2.8554687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11.140625" style="21" customWidth="1"/>
    <col min="2583" max="2816" width="9.140625" style="21"/>
    <col min="2817" max="2817" width="2.8554687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11.140625" style="21" customWidth="1"/>
    <col min="2839" max="3072" width="9.140625" style="21"/>
    <col min="3073" max="3073" width="2.8554687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11.140625" style="21" customWidth="1"/>
    <col min="3095" max="3328" width="9.140625" style="21"/>
    <col min="3329" max="3329" width="2.8554687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11.140625" style="21" customWidth="1"/>
    <col min="3351" max="3584" width="9.140625" style="21"/>
    <col min="3585" max="3585" width="2.8554687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11.140625" style="21" customWidth="1"/>
    <col min="3607" max="3840" width="9.140625" style="21"/>
    <col min="3841" max="3841" width="2.8554687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11.140625" style="21" customWidth="1"/>
    <col min="3863" max="4096" width="9.140625" style="21"/>
    <col min="4097" max="4097" width="2.8554687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11.140625" style="21" customWidth="1"/>
    <col min="4119" max="4352" width="9.140625" style="21"/>
    <col min="4353" max="4353" width="2.8554687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11.140625" style="21" customWidth="1"/>
    <col min="4375" max="4608" width="9.140625" style="21"/>
    <col min="4609" max="4609" width="2.8554687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11.140625" style="21" customWidth="1"/>
    <col min="4631" max="4864" width="9.140625" style="21"/>
    <col min="4865" max="4865" width="2.8554687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11.140625" style="21" customWidth="1"/>
    <col min="4887" max="5120" width="9.140625" style="21"/>
    <col min="5121" max="5121" width="2.8554687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11.140625" style="21" customWidth="1"/>
    <col min="5143" max="5376" width="9.140625" style="21"/>
    <col min="5377" max="5377" width="2.8554687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11.140625" style="21" customWidth="1"/>
    <col min="5399" max="5632" width="9.140625" style="21"/>
    <col min="5633" max="5633" width="2.8554687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11.140625" style="21" customWidth="1"/>
    <col min="5655" max="5888" width="9.140625" style="21"/>
    <col min="5889" max="5889" width="2.8554687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11.140625" style="21" customWidth="1"/>
    <col min="5911" max="6144" width="9.140625" style="21"/>
    <col min="6145" max="6145" width="2.8554687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11.140625" style="21" customWidth="1"/>
    <col min="6167" max="6400" width="9.140625" style="21"/>
    <col min="6401" max="6401" width="2.8554687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11.140625" style="21" customWidth="1"/>
    <col min="6423" max="6656" width="9.140625" style="21"/>
    <col min="6657" max="6657" width="2.8554687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11.140625" style="21" customWidth="1"/>
    <col min="6679" max="6912" width="9.140625" style="21"/>
    <col min="6913" max="6913" width="2.8554687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11.140625" style="21" customWidth="1"/>
    <col min="6935" max="7168" width="9.140625" style="21"/>
    <col min="7169" max="7169" width="2.8554687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11.140625" style="21" customWidth="1"/>
    <col min="7191" max="7424" width="9.140625" style="21"/>
    <col min="7425" max="7425" width="2.8554687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11.140625" style="21" customWidth="1"/>
    <col min="7447" max="7680" width="9.140625" style="21"/>
    <col min="7681" max="7681" width="2.8554687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11.140625" style="21" customWidth="1"/>
    <col min="7703" max="7936" width="9.140625" style="21"/>
    <col min="7937" max="7937" width="2.8554687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11.140625" style="21" customWidth="1"/>
    <col min="7959" max="8192" width="9.140625" style="21"/>
    <col min="8193" max="8193" width="2.8554687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11.140625" style="21" customWidth="1"/>
    <col min="8215" max="8448" width="9.140625" style="21"/>
    <col min="8449" max="8449" width="2.8554687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11.140625" style="21" customWidth="1"/>
    <col min="8471" max="8704" width="9.140625" style="21"/>
    <col min="8705" max="8705" width="2.8554687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11.140625" style="21" customWidth="1"/>
    <col min="8727" max="8960" width="9.140625" style="21"/>
    <col min="8961" max="8961" width="2.8554687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11.140625" style="21" customWidth="1"/>
    <col min="8983" max="9216" width="9.140625" style="21"/>
    <col min="9217" max="9217" width="2.8554687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11.140625" style="21" customWidth="1"/>
    <col min="9239" max="9472" width="9.140625" style="21"/>
    <col min="9473" max="9473" width="2.8554687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11.140625" style="21" customWidth="1"/>
    <col min="9495" max="9728" width="9.140625" style="21"/>
    <col min="9729" max="9729" width="2.8554687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11.140625" style="21" customWidth="1"/>
    <col min="9751" max="9984" width="9.140625" style="21"/>
    <col min="9985" max="9985" width="2.8554687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11.140625" style="21" customWidth="1"/>
    <col min="10007" max="10240" width="9.140625" style="21"/>
    <col min="10241" max="10241" width="2.8554687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11.140625" style="21" customWidth="1"/>
    <col min="10263" max="10496" width="9.140625" style="21"/>
    <col min="10497" max="10497" width="2.8554687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11.140625" style="21" customWidth="1"/>
    <col min="10519" max="10752" width="9.140625" style="21"/>
    <col min="10753" max="10753" width="2.8554687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11.140625" style="21" customWidth="1"/>
    <col min="10775" max="11008" width="9.140625" style="21"/>
    <col min="11009" max="11009" width="2.8554687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11.140625" style="21" customWidth="1"/>
    <col min="11031" max="11264" width="9.140625" style="21"/>
    <col min="11265" max="11265" width="2.8554687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11.140625" style="21" customWidth="1"/>
    <col min="11287" max="11520" width="9.140625" style="21"/>
    <col min="11521" max="11521" width="2.8554687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11.140625" style="21" customWidth="1"/>
    <col min="11543" max="11776" width="9.140625" style="21"/>
    <col min="11777" max="11777" width="2.8554687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11.140625" style="21" customWidth="1"/>
    <col min="11799" max="12032" width="9.140625" style="21"/>
    <col min="12033" max="12033" width="2.8554687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11.140625" style="21" customWidth="1"/>
    <col min="12055" max="12288" width="9.140625" style="21"/>
    <col min="12289" max="12289" width="2.8554687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11.140625" style="21" customWidth="1"/>
    <col min="12311" max="12544" width="9.140625" style="21"/>
    <col min="12545" max="12545" width="2.8554687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11.140625" style="21" customWidth="1"/>
    <col min="12567" max="12800" width="9.140625" style="21"/>
    <col min="12801" max="12801" width="2.8554687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11.140625" style="21" customWidth="1"/>
    <col min="12823" max="13056" width="9.140625" style="21"/>
    <col min="13057" max="13057" width="2.8554687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11.140625" style="21" customWidth="1"/>
    <col min="13079" max="13312" width="9.140625" style="21"/>
    <col min="13313" max="13313" width="2.8554687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11.140625" style="21" customWidth="1"/>
    <col min="13335" max="13568" width="9.140625" style="21"/>
    <col min="13569" max="13569" width="2.8554687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11.140625" style="21" customWidth="1"/>
    <col min="13591" max="13824" width="9.140625" style="21"/>
    <col min="13825" max="13825" width="2.8554687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11.140625" style="21" customWidth="1"/>
    <col min="13847" max="14080" width="9.140625" style="21"/>
    <col min="14081" max="14081" width="2.8554687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11.140625" style="21" customWidth="1"/>
    <col min="14103" max="14336" width="9.140625" style="21"/>
    <col min="14337" max="14337" width="2.8554687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11.140625" style="21" customWidth="1"/>
    <col min="14359" max="14592" width="9.140625" style="21"/>
    <col min="14593" max="14593" width="2.8554687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11.140625" style="21" customWidth="1"/>
    <col min="14615" max="14848" width="9.140625" style="21"/>
    <col min="14849" max="14849" width="2.8554687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11.140625" style="21" customWidth="1"/>
    <col min="14871" max="15104" width="9.140625" style="21"/>
    <col min="15105" max="15105" width="2.8554687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11.140625" style="21" customWidth="1"/>
    <col min="15127" max="15360" width="9.140625" style="21"/>
    <col min="15361" max="15361" width="2.8554687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11.140625" style="21" customWidth="1"/>
    <col min="15383" max="15616" width="9.140625" style="21"/>
    <col min="15617" max="15617" width="2.8554687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11.140625" style="21" customWidth="1"/>
    <col min="15639" max="15872" width="9.140625" style="21"/>
    <col min="15873" max="15873" width="2.8554687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11.140625" style="21" customWidth="1"/>
    <col min="15895" max="16128" width="9.140625" style="21"/>
    <col min="16129" max="16129" width="2.8554687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11.140625" style="21" customWidth="1"/>
    <col min="16151" max="16384" width="9.140625" style="21"/>
  </cols>
  <sheetData>
    <row r="1" spans="1:22" ht="11.45" customHeight="1"/>
    <row r="2" spans="1:22" ht="75.75" customHeight="1">
      <c r="A2" s="2204"/>
      <c r="B2" s="2205"/>
      <c r="C2" s="2205"/>
      <c r="D2" s="2205"/>
      <c r="E2" s="2205"/>
      <c r="F2" s="2205"/>
      <c r="G2" s="2205"/>
      <c r="H2" s="2205"/>
      <c r="I2" s="2205"/>
      <c r="J2" s="2205"/>
      <c r="K2" s="2205"/>
      <c r="L2" s="2205"/>
      <c r="M2" s="2205"/>
      <c r="N2" s="2205"/>
      <c r="O2" s="2205"/>
      <c r="P2" s="2205"/>
      <c r="Q2" s="2210" t="s">
        <v>4501</v>
      </c>
      <c r="R2" s="2210"/>
      <c r="S2" s="2210"/>
      <c r="T2" s="2210"/>
      <c r="U2" s="2210"/>
      <c r="V2" s="2210"/>
    </row>
    <row r="3" spans="1:22" ht="17.100000000000001" customHeight="1">
      <c r="A3" s="2206"/>
      <c r="B3" s="2203"/>
      <c r="C3" s="2203"/>
      <c r="D3" s="2203"/>
      <c r="E3" s="2203"/>
      <c r="F3" s="2203"/>
      <c r="G3" s="2203"/>
      <c r="H3" s="2203"/>
      <c r="I3" s="2203"/>
      <c r="J3" s="2203"/>
      <c r="K3" s="2203"/>
      <c r="L3" s="2203"/>
      <c r="M3" s="2203"/>
      <c r="N3" s="2203"/>
      <c r="O3" s="2203"/>
      <c r="P3" s="2203"/>
      <c r="Q3" s="2202"/>
      <c r="R3" s="2203"/>
      <c r="S3" s="2203"/>
      <c r="T3" s="2203"/>
      <c r="U3" s="2203"/>
      <c r="V3" s="1811"/>
    </row>
    <row r="4" spans="1:22" ht="17.100000000000001" customHeight="1">
      <c r="A4" s="2202"/>
      <c r="B4" s="2203"/>
      <c r="C4" s="2203"/>
      <c r="D4" s="2207" t="s">
        <v>3719</v>
      </c>
      <c r="E4" s="2208"/>
      <c r="F4" s="2208"/>
      <c r="G4" s="2208"/>
      <c r="H4" s="2208"/>
      <c r="I4" s="2208"/>
      <c r="J4" s="2208"/>
      <c r="K4" s="2208"/>
      <c r="L4" s="2208"/>
      <c r="M4" s="2208"/>
      <c r="N4" s="2208"/>
      <c r="O4" s="2208"/>
      <c r="P4" s="2208"/>
      <c r="Q4" s="2208"/>
      <c r="R4" s="2208"/>
      <c r="S4" s="2202"/>
      <c r="T4" s="2203"/>
      <c r="U4" s="2203"/>
      <c r="V4" s="1811"/>
    </row>
    <row r="5" spans="1:22" ht="17.100000000000001" customHeight="1">
      <c r="A5" s="2202" t="s">
        <v>3630</v>
      </c>
      <c r="B5" s="2203"/>
      <c r="C5" s="2203"/>
      <c r="D5" s="2203"/>
      <c r="E5" s="2203"/>
      <c r="F5" s="2203"/>
      <c r="G5" s="2203"/>
      <c r="H5" s="2203"/>
      <c r="I5" s="2203"/>
      <c r="J5" s="2203"/>
      <c r="K5" s="2203"/>
      <c r="L5" s="2203"/>
      <c r="M5" s="2203"/>
      <c r="N5" s="2203"/>
      <c r="O5" s="2203"/>
      <c r="P5" s="2203"/>
      <c r="Q5" s="2203"/>
      <c r="R5" s="2203"/>
      <c r="S5" s="2203"/>
      <c r="T5" s="2203"/>
      <c r="U5" s="2203"/>
      <c r="V5" s="1811"/>
    </row>
    <row r="6" spans="1:22" ht="17.100000000000001" customHeight="1">
      <c r="A6" s="2206"/>
      <c r="B6" s="2203"/>
      <c r="C6" s="2203"/>
      <c r="D6" s="2203"/>
      <c r="E6" s="2203"/>
      <c r="F6" s="2203"/>
      <c r="G6" s="2203"/>
      <c r="H6" s="2203"/>
      <c r="I6" s="2203"/>
      <c r="J6" s="2203"/>
      <c r="K6" s="2203"/>
      <c r="L6" s="2203"/>
      <c r="M6" s="2203"/>
      <c r="N6" s="2203"/>
      <c r="O6" s="2203"/>
      <c r="P6" s="2203"/>
      <c r="Q6" s="2203"/>
      <c r="R6" s="2203"/>
      <c r="S6" s="2203"/>
      <c r="T6" s="2203"/>
      <c r="U6" s="2203"/>
      <c r="V6" s="1811"/>
    </row>
    <row r="7" spans="1:22" ht="17.100000000000001" customHeight="1">
      <c r="A7" s="2202"/>
      <c r="B7" s="2203"/>
      <c r="C7" s="2203"/>
      <c r="D7" s="2209" t="s">
        <v>3792</v>
      </c>
      <c r="E7" s="2208"/>
      <c r="F7" s="2208"/>
      <c r="G7" s="2208"/>
      <c r="H7" s="2208"/>
      <c r="I7" s="2208"/>
      <c r="J7" s="2208"/>
      <c r="K7" s="2208"/>
      <c r="L7" s="2208"/>
      <c r="M7" s="2208"/>
      <c r="N7" s="2208"/>
      <c r="O7" s="2208"/>
      <c r="P7" s="2208"/>
      <c r="Q7" s="2208"/>
      <c r="R7" s="2208"/>
      <c r="S7" s="2202"/>
      <c r="T7" s="2203"/>
      <c r="U7" s="2203"/>
      <c r="V7" s="1811"/>
    </row>
    <row r="8" spans="1:22" ht="17.100000000000001" customHeight="1">
      <c r="A8" s="2202" t="s">
        <v>3632</v>
      </c>
      <c r="B8" s="2203"/>
      <c r="C8" s="2203"/>
      <c r="D8" s="2203"/>
      <c r="E8" s="2203"/>
      <c r="F8" s="2203"/>
      <c r="G8" s="2203"/>
      <c r="H8" s="2203"/>
      <c r="I8" s="2203"/>
      <c r="J8" s="2203"/>
      <c r="K8" s="2203"/>
      <c r="L8" s="2203"/>
      <c r="M8" s="2203"/>
      <c r="N8" s="2203"/>
      <c r="O8" s="2203"/>
      <c r="P8" s="2203"/>
      <c r="Q8" s="2203"/>
      <c r="R8" s="2203"/>
      <c r="S8" s="2203"/>
      <c r="T8" s="2203"/>
      <c r="U8" s="2203"/>
      <c r="V8" s="1811"/>
    </row>
    <row r="9" spans="1:22" ht="15" customHeight="1">
      <c r="A9" s="2211"/>
      <c r="B9" s="2203"/>
      <c r="C9" s="2203"/>
      <c r="D9" s="2203"/>
      <c r="E9" s="2203"/>
      <c r="F9" s="2203"/>
      <c r="G9" s="2203"/>
      <c r="H9" s="2203"/>
      <c r="I9" s="2203"/>
      <c r="J9" s="2203"/>
      <c r="K9" s="2203"/>
      <c r="L9" s="2203"/>
      <c r="M9" s="2203"/>
      <c r="N9" s="2203"/>
      <c r="O9" s="2203"/>
      <c r="P9" s="2203"/>
      <c r="Q9" s="2203"/>
      <c r="R9" s="2203"/>
      <c r="S9" s="2203"/>
      <c r="T9" s="2203"/>
      <c r="U9" s="2203"/>
      <c r="V9" s="1811"/>
    </row>
    <row r="10" spans="1:22" ht="15" customHeight="1">
      <c r="A10" s="2212" t="s">
        <v>3652</v>
      </c>
      <c r="B10" s="2203"/>
      <c r="C10" s="2203"/>
      <c r="D10" s="2203"/>
      <c r="E10" s="2203"/>
      <c r="F10" s="2203"/>
      <c r="G10" s="2203"/>
      <c r="H10" s="2203"/>
      <c r="I10" s="2203"/>
      <c r="J10" s="2203"/>
      <c r="K10" s="2203"/>
      <c r="L10" s="2203"/>
      <c r="M10" s="2203"/>
      <c r="N10" s="2203"/>
      <c r="O10" s="2203"/>
      <c r="P10" s="2203"/>
      <c r="Q10" s="2203"/>
      <c r="R10" s="2203"/>
      <c r="S10" s="2203"/>
      <c r="T10" s="2203"/>
      <c r="U10" s="2203"/>
      <c r="V10" s="1811"/>
    </row>
    <row r="11" spans="1:22" ht="17.100000000000001" customHeight="1">
      <c r="A11" s="2211"/>
      <c r="B11" s="2203"/>
      <c r="C11" s="2203"/>
      <c r="D11" s="2203"/>
      <c r="E11" s="2203"/>
      <c r="F11" s="2203"/>
      <c r="G11" s="2203"/>
      <c r="H11" s="2203"/>
      <c r="I11" s="2203"/>
      <c r="J11" s="2203"/>
      <c r="K11" s="2203"/>
      <c r="L11" s="2203"/>
      <c r="M11" s="2203"/>
      <c r="N11" s="2203"/>
      <c r="O11" s="2203"/>
      <c r="P11" s="2203"/>
      <c r="Q11" s="2203"/>
      <c r="R11" s="2203"/>
      <c r="S11" s="2203"/>
      <c r="T11" s="2203"/>
      <c r="U11" s="2203"/>
      <c r="V11" s="1811"/>
    </row>
    <row r="12" spans="1:22">
      <c r="A12" s="2202"/>
      <c r="B12" s="2203"/>
      <c r="C12" s="2203"/>
      <c r="D12" s="2203"/>
      <c r="E12" s="2203"/>
      <c r="F12" s="2203"/>
      <c r="G12" s="2203"/>
      <c r="H12" s="2208" t="s">
        <v>3793</v>
      </c>
      <c r="I12" s="2208"/>
      <c r="J12" s="2208"/>
      <c r="K12" s="1802" t="s">
        <v>7</v>
      </c>
      <c r="L12" s="2208" t="s">
        <v>3794</v>
      </c>
      <c r="M12" s="2208"/>
      <c r="N12" s="2208"/>
      <c r="O12" s="2202"/>
      <c r="P12" s="2203"/>
      <c r="Q12" s="2203"/>
      <c r="R12" s="2203"/>
      <c r="S12" s="2203"/>
      <c r="T12" s="2203"/>
      <c r="U12" s="2203"/>
      <c r="V12" s="1811"/>
    </row>
    <row r="13" spans="1:22" ht="409.6" hidden="1" customHeight="1">
      <c r="A13" s="1810"/>
      <c r="B13" s="1810"/>
      <c r="C13" s="1810"/>
      <c r="D13" s="1810"/>
      <c r="E13" s="1810"/>
      <c r="F13" s="1810"/>
      <c r="G13" s="1810"/>
      <c r="H13" s="1810"/>
      <c r="I13" s="1810"/>
      <c r="J13" s="1810"/>
      <c r="K13" s="1810"/>
      <c r="L13" s="1810"/>
      <c r="M13" s="1810"/>
      <c r="N13" s="1810"/>
      <c r="O13" s="1810"/>
      <c r="P13" s="1810"/>
      <c r="Q13" s="1810"/>
      <c r="R13" s="1810"/>
      <c r="S13" s="1810"/>
      <c r="T13" s="1810"/>
      <c r="U13" s="1810"/>
      <c r="V13" s="1811"/>
    </row>
    <row r="14" spans="1:22" ht="12.2" customHeight="1">
      <c r="A14" s="1810"/>
      <c r="B14" s="1810"/>
      <c r="C14" s="1810"/>
      <c r="D14" s="1810"/>
      <c r="E14" s="1810"/>
      <c r="F14" s="1810"/>
      <c r="G14" s="1810"/>
      <c r="H14" s="1810"/>
      <c r="I14" s="1810"/>
      <c r="J14" s="1810"/>
      <c r="K14" s="1810"/>
      <c r="L14" s="1810"/>
      <c r="M14" s="1810"/>
      <c r="N14" s="1810"/>
      <c r="O14" s="1810"/>
      <c r="P14" s="1810"/>
      <c r="Q14" s="1810"/>
      <c r="R14" s="1810"/>
      <c r="S14" s="1810"/>
      <c r="T14" s="1810"/>
      <c r="U14" s="1810"/>
      <c r="V14" s="1811"/>
    </row>
    <row r="15" spans="1:22" ht="17.25" customHeight="1">
      <c r="A15" s="2213" t="s">
        <v>1045</v>
      </c>
      <c r="B15" s="2213" t="s">
        <v>50</v>
      </c>
      <c r="C15" s="2213" t="s">
        <v>3635</v>
      </c>
      <c r="D15" s="2216"/>
      <c r="E15" s="2213" t="s">
        <v>3636</v>
      </c>
      <c r="F15" s="2213" t="s">
        <v>3637</v>
      </c>
      <c r="G15" s="2213" t="s">
        <v>3638</v>
      </c>
      <c r="H15" s="2201"/>
      <c r="I15" s="2201"/>
      <c r="J15" s="2201"/>
      <c r="K15" s="2201"/>
      <c r="L15" s="2201"/>
      <c r="M15" s="2201"/>
      <c r="N15" s="2201"/>
      <c r="O15" s="2201"/>
      <c r="P15" s="2201"/>
      <c r="Q15" s="2201"/>
      <c r="R15" s="2201"/>
      <c r="S15" s="2199"/>
      <c r="T15" s="2213" t="s">
        <v>3639</v>
      </c>
      <c r="U15" s="2213" t="s">
        <v>3640</v>
      </c>
      <c r="V15" s="2216"/>
    </row>
    <row r="16" spans="1:22" ht="20.45" customHeight="1">
      <c r="A16" s="2214"/>
      <c r="B16" s="2214"/>
      <c r="C16" s="2217"/>
      <c r="D16" s="2218"/>
      <c r="E16" s="2214"/>
      <c r="F16" s="2214"/>
      <c r="G16" s="2213" t="s">
        <v>9</v>
      </c>
      <c r="H16" s="2216"/>
      <c r="I16" s="2213" t="s">
        <v>3641</v>
      </c>
      <c r="J16" s="2201"/>
      <c r="K16" s="2201"/>
      <c r="L16" s="2199"/>
      <c r="M16" s="2221" t="s">
        <v>3642</v>
      </c>
      <c r="N16" s="2222"/>
      <c r="O16" s="2222"/>
      <c r="P16" s="2222"/>
      <c r="Q16" s="2222"/>
      <c r="R16" s="2222"/>
      <c r="S16" s="2222"/>
      <c r="T16" s="2214"/>
      <c r="U16" s="2217"/>
      <c r="V16" s="2218"/>
    </row>
    <row r="17" spans="1:22" ht="16.350000000000001" customHeight="1">
      <c r="A17" s="2214"/>
      <c r="B17" s="2214"/>
      <c r="C17" s="2217"/>
      <c r="D17" s="2218"/>
      <c r="E17" s="2214"/>
      <c r="F17" s="2214"/>
      <c r="G17" s="2217"/>
      <c r="H17" s="2218"/>
      <c r="I17" s="2213" t="s">
        <v>3643</v>
      </c>
      <c r="J17" s="2223"/>
      <c r="K17" s="2201"/>
      <c r="L17" s="2201"/>
      <c r="M17" s="2224" t="s">
        <v>3644</v>
      </c>
      <c r="N17" s="2225"/>
      <c r="O17" s="2225"/>
      <c r="P17" s="2225"/>
      <c r="Q17" s="2225"/>
      <c r="R17" s="2225"/>
      <c r="S17" s="2226"/>
      <c r="T17" s="2214"/>
      <c r="U17" s="2217"/>
      <c r="V17" s="2218"/>
    </row>
    <row r="18" spans="1:22" ht="17.100000000000001" customHeight="1">
      <c r="A18" s="2214"/>
      <c r="B18" s="2214"/>
      <c r="C18" s="2217"/>
      <c r="D18" s="2218"/>
      <c r="E18" s="2214"/>
      <c r="F18" s="2214"/>
      <c r="G18" s="2217"/>
      <c r="H18" s="2218"/>
      <c r="I18" s="2214"/>
      <c r="J18" s="2213" t="s">
        <v>3645</v>
      </c>
      <c r="K18" s="2227"/>
      <c r="L18" s="2216"/>
      <c r="M18" s="2213" t="s">
        <v>1974</v>
      </c>
      <c r="N18" s="2201"/>
      <c r="O18" s="2201"/>
      <c r="P18" s="2201"/>
      <c r="Q18" s="2201"/>
      <c r="R18" s="2201"/>
      <c r="S18" s="2199"/>
      <c r="T18" s="2214"/>
      <c r="U18" s="2217"/>
      <c r="V18" s="2218"/>
    </row>
    <row r="19" spans="1:22" ht="50.1" customHeight="1">
      <c r="A19" s="2215"/>
      <c r="B19" s="2215"/>
      <c r="C19" s="2219"/>
      <c r="D19" s="2220"/>
      <c r="E19" s="2215"/>
      <c r="F19" s="2215"/>
      <c r="G19" s="2219"/>
      <c r="H19" s="2220"/>
      <c r="I19" s="2215"/>
      <c r="J19" s="2219"/>
      <c r="K19" s="2228"/>
      <c r="L19" s="2220"/>
      <c r="M19" s="1803" t="s">
        <v>3645</v>
      </c>
      <c r="N19" s="2213" t="s">
        <v>2010</v>
      </c>
      <c r="O19" s="2199"/>
      <c r="P19" s="2213" t="s">
        <v>61</v>
      </c>
      <c r="Q19" s="2199"/>
      <c r="R19" s="2213" t="s">
        <v>60</v>
      </c>
      <c r="S19" s="2199"/>
      <c r="T19" s="2215"/>
      <c r="U19" s="2219"/>
      <c r="V19" s="2220"/>
    </row>
    <row r="20" spans="1:22">
      <c r="A20" s="1805" t="s">
        <v>2024</v>
      </c>
      <c r="B20" s="1805" t="s">
        <v>2534</v>
      </c>
      <c r="C20" s="2229" t="s">
        <v>2535</v>
      </c>
      <c r="D20" s="2199"/>
      <c r="E20" s="1805" t="s">
        <v>2536</v>
      </c>
      <c r="F20" s="1805" t="s">
        <v>2025</v>
      </c>
      <c r="G20" s="2229" t="s">
        <v>2072</v>
      </c>
      <c r="H20" s="2199"/>
      <c r="I20" s="1805" t="s">
        <v>2074</v>
      </c>
      <c r="J20" s="2229" t="s">
        <v>2075</v>
      </c>
      <c r="K20" s="2201"/>
      <c r="L20" s="2199"/>
      <c r="M20" s="1805" t="s">
        <v>2026</v>
      </c>
      <c r="N20" s="2229" t="s">
        <v>1706</v>
      </c>
      <c r="O20" s="2199"/>
      <c r="P20" s="2229" t="s">
        <v>1707</v>
      </c>
      <c r="Q20" s="2199"/>
      <c r="R20" s="2229" t="s">
        <v>1709</v>
      </c>
      <c r="S20" s="2199"/>
      <c r="T20" s="1805" t="s">
        <v>1710</v>
      </c>
      <c r="U20" s="2229" t="s">
        <v>1711</v>
      </c>
      <c r="V20" s="2199"/>
    </row>
    <row r="21" spans="1:22" ht="63" customHeight="1">
      <c r="A21" s="1812" t="s">
        <v>1052</v>
      </c>
      <c r="B21" s="1812" t="s">
        <v>184</v>
      </c>
      <c r="C21" s="2198" t="s">
        <v>183</v>
      </c>
      <c r="D21" s="2199"/>
      <c r="E21" s="1812"/>
      <c r="F21" s="1812"/>
      <c r="G21" s="2200">
        <f t="shared" ref="G21:G26" si="0">SUM(I21:S21)</f>
        <v>1043467</v>
      </c>
      <c r="H21" s="2199"/>
      <c r="I21" s="1813">
        <v>886946</v>
      </c>
      <c r="J21" s="2200">
        <v>78260</v>
      </c>
      <c r="K21" s="2201"/>
      <c r="L21" s="2199"/>
      <c r="M21" s="1813">
        <v>0</v>
      </c>
      <c r="N21" s="2200">
        <v>78261</v>
      </c>
      <c r="O21" s="2199"/>
      <c r="P21" s="2200">
        <v>0</v>
      </c>
      <c r="Q21" s="2199"/>
      <c r="R21" s="2200">
        <v>0</v>
      </c>
      <c r="S21" s="2199"/>
      <c r="T21" s="1814">
        <v>43549</v>
      </c>
      <c r="U21" s="2198" t="s">
        <v>4187</v>
      </c>
      <c r="V21" s="2199"/>
    </row>
    <row r="22" spans="1:22" ht="72.75" customHeight="1">
      <c r="A22" s="1812" t="s">
        <v>3647</v>
      </c>
      <c r="B22" s="1812" t="s">
        <v>235</v>
      </c>
      <c r="C22" s="2198" t="s">
        <v>384</v>
      </c>
      <c r="D22" s="2199"/>
      <c r="E22" s="1812"/>
      <c r="F22" s="1812"/>
      <c r="G22" s="2200">
        <f t="shared" si="0"/>
        <v>579418.99</v>
      </c>
      <c r="H22" s="2199"/>
      <c r="I22" s="1813">
        <v>355096.91</v>
      </c>
      <c r="J22" s="2200">
        <v>31332.09</v>
      </c>
      <c r="K22" s="2201"/>
      <c r="L22" s="2199"/>
      <c r="M22" s="1813">
        <v>0</v>
      </c>
      <c r="N22" s="2200">
        <v>192989.99</v>
      </c>
      <c r="O22" s="2199"/>
      <c r="P22" s="2200">
        <v>0</v>
      </c>
      <c r="Q22" s="2199"/>
      <c r="R22" s="2200">
        <v>0</v>
      </c>
      <c r="S22" s="2199"/>
      <c r="T22" s="1814">
        <v>43251</v>
      </c>
      <c r="U22" s="2198" t="s">
        <v>3795</v>
      </c>
      <c r="V22" s="2199"/>
    </row>
    <row r="23" spans="1:22" ht="72" customHeight="1">
      <c r="A23" s="1812" t="s">
        <v>1087</v>
      </c>
      <c r="B23" s="1812" t="s">
        <v>235</v>
      </c>
      <c r="C23" s="2198" t="s">
        <v>385</v>
      </c>
      <c r="D23" s="2199"/>
      <c r="E23" s="1812"/>
      <c r="F23" s="1812"/>
      <c r="G23" s="2200">
        <f t="shared" si="0"/>
        <v>673878</v>
      </c>
      <c r="H23" s="2199"/>
      <c r="I23" s="1813">
        <v>572796.16000000003</v>
      </c>
      <c r="J23" s="2200">
        <v>50540.84</v>
      </c>
      <c r="K23" s="2201"/>
      <c r="L23" s="2199"/>
      <c r="M23" s="1813">
        <v>0</v>
      </c>
      <c r="N23" s="2200">
        <v>50541</v>
      </c>
      <c r="O23" s="2199"/>
      <c r="P23" s="2200">
        <v>0</v>
      </c>
      <c r="Q23" s="2199"/>
      <c r="R23" s="2200">
        <v>0</v>
      </c>
      <c r="S23" s="2199"/>
      <c r="T23" s="1814">
        <v>43251</v>
      </c>
      <c r="U23" s="2198" t="s">
        <v>3795</v>
      </c>
      <c r="V23" s="2199"/>
    </row>
    <row r="24" spans="1:22" ht="72.75" customHeight="1">
      <c r="A24" s="1812" t="s">
        <v>843</v>
      </c>
      <c r="B24" s="1812" t="s">
        <v>282</v>
      </c>
      <c r="C24" s="2198" t="s">
        <v>125</v>
      </c>
      <c r="D24" s="2199"/>
      <c r="E24" s="1812"/>
      <c r="F24" s="1812"/>
      <c r="G24" s="2200">
        <f t="shared" si="0"/>
        <v>605024.19999999995</v>
      </c>
      <c r="H24" s="2199"/>
      <c r="I24" s="1813">
        <v>514270.57</v>
      </c>
      <c r="J24" s="2200">
        <v>45376.81</v>
      </c>
      <c r="K24" s="2201"/>
      <c r="L24" s="2199"/>
      <c r="M24" s="1813">
        <v>0</v>
      </c>
      <c r="N24" s="2200">
        <v>45376.82</v>
      </c>
      <c r="O24" s="2199"/>
      <c r="P24" s="2200">
        <v>0</v>
      </c>
      <c r="Q24" s="2199"/>
      <c r="R24" s="2200">
        <v>0</v>
      </c>
      <c r="S24" s="2199"/>
      <c r="T24" s="1814">
        <v>43039</v>
      </c>
      <c r="U24" s="2198" t="s">
        <v>3795</v>
      </c>
      <c r="V24" s="2199"/>
    </row>
    <row r="25" spans="1:22" ht="71.25" customHeight="1" thickBot="1">
      <c r="A25" s="1812" t="s">
        <v>1070</v>
      </c>
      <c r="B25" s="1812" t="s">
        <v>282</v>
      </c>
      <c r="C25" s="2198" t="s">
        <v>124</v>
      </c>
      <c r="D25" s="2199"/>
      <c r="E25" s="1812"/>
      <c r="F25" s="1812"/>
      <c r="G25" s="2200">
        <f t="shared" si="0"/>
        <v>815537.61</v>
      </c>
      <c r="H25" s="2199"/>
      <c r="I25" s="1813">
        <v>487341</v>
      </c>
      <c r="J25" s="2200">
        <v>43001</v>
      </c>
      <c r="K25" s="2201"/>
      <c r="L25" s="2199"/>
      <c r="M25" s="1813">
        <v>0</v>
      </c>
      <c r="N25" s="2200">
        <v>285195.61</v>
      </c>
      <c r="O25" s="2199"/>
      <c r="P25" s="2200">
        <v>0</v>
      </c>
      <c r="Q25" s="2199"/>
      <c r="R25" s="2200">
        <v>0</v>
      </c>
      <c r="S25" s="2199"/>
      <c r="T25" s="1814">
        <v>43189</v>
      </c>
      <c r="U25" s="2198" t="s">
        <v>3795</v>
      </c>
      <c r="V25" s="2199"/>
    </row>
    <row r="26" spans="1:22">
      <c r="A26" s="2233" t="s">
        <v>3649</v>
      </c>
      <c r="B26" s="2234"/>
      <c r="C26" s="2234"/>
      <c r="D26" s="2234"/>
      <c r="E26" s="2234"/>
      <c r="F26" s="2235"/>
      <c r="G26" s="2236">
        <f t="shared" si="0"/>
        <v>3717325.8</v>
      </c>
      <c r="H26" s="2232"/>
      <c r="I26" s="1815">
        <f>SUM(I21:I25)</f>
        <v>2816450.6399999997</v>
      </c>
      <c r="J26" s="2237">
        <f>SUM(J21:J25)</f>
        <v>248510.74</v>
      </c>
      <c r="K26" s="2234"/>
      <c r="L26" s="2235"/>
      <c r="M26" s="1815">
        <v>0</v>
      </c>
      <c r="N26" s="2237">
        <f>SUM(N21:N25)</f>
        <v>652364.41999999993</v>
      </c>
      <c r="O26" s="2235"/>
      <c r="P26" s="2237">
        <v>0</v>
      </c>
      <c r="Q26" s="2235"/>
      <c r="R26" s="2237">
        <v>0</v>
      </c>
      <c r="S26" s="2235"/>
      <c r="T26" s="2233"/>
      <c r="U26" s="2234"/>
      <c r="V26" s="2235"/>
    </row>
    <row r="27" spans="1:22" ht="16.899999999999999" customHeight="1">
      <c r="A27" s="2198" t="s">
        <v>3650</v>
      </c>
      <c r="B27" s="2201"/>
      <c r="C27" s="2201"/>
      <c r="D27" s="2201"/>
      <c r="E27" s="2201"/>
      <c r="F27" s="2201"/>
      <c r="G27" s="2201"/>
      <c r="H27" s="2199"/>
      <c r="I27" s="2230">
        <v>2816452</v>
      </c>
      <c r="J27" s="2231"/>
      <c r="K27" s="2231"/>
      <c r="L27" s="2231"/>
      <c r="M27" s="2231"/>
      <c r="N27" s="2231"/>
      <c r="O27" s="2231"/>
      <c r="P27" s="2231"/>
      <c r="Q27" s="2231"/>
      <c r="R27" s="2231"/>
      <c r="S27" s="2231"/>
      <c r="T27" s="2231"/>
      <c r="U27" s="2231"/>
      <c r="V27" s="2232"/>
    </row>
    <row r="28" spans="1:22" ht="33.6" customHeight="1">
      <c r="A28" s="1811"/>
      <c r="B28" s="1811"/>
      <c r="C28" s="1811"/>
      <c r="D28" s="1811"/>
      <c r="E28" s="1811"/>
      <c r="F28" s="1811"/>
      <c r="G28" s="1811"/>
      <c r="H28" s="1811"/>
      <c r="I28" s="1816"/>
      <c r="J28" s="1811"/>
      <c r="K28" s="1811"/>
      <c r="L28" s="1811"/>
      <c r="M28" s="1811"/>
      <c r="N28" s="1811"/>
      <c r="O28" s="1811"/>
      <c r="P28" s="1811"/>
      <c r="Q28" s="1811"/>
      <c r="R28" s="1811"/>
      <c r="S28" s="1811"/>
      <c r="T28" s="1811"/>
      <c r="U28" s="1811"/>
      <c r="V28" s="1811"/>
    </row>
    <row r="29" spans="1:22" ht="36.6" customHeight="1">
      <c r="A29" s="1817"/>
      <c r="B29" s="1817"/>
      <c r="C29" s="1817"/>
      <c r="D29" s="1817"/>
      <c r="E29" s="1817"/>
      <c r="F29" s="1817"/>
      <c r="G29" s="1817"/>
      <c r="H29" s="1817"/>
      <c r="I29" s="1817"/>
      <c r="J29" s="1817"/>
      <c r="K29" s="1817"/>
      <c r="L29" s="1817"/>
      <c r="M29" s="1817"/>
      <c r="N29" s="1817"/>
      <c r="O29" s="1817"/>
      <c r="P29" s="1817"/>
      <c r="Q29" s="1817"/>
      <c r="R29" s="1817"/>
      <c r="S29" s="1817"/>
      <c r="T29" s="1817"/>
      <c r="U29" s="1817"/>
      <c r="V29" s="1817"/>
    </row>
  </sheetData>
  <mergeCells count="90">
    <mergeCell ref="C25:D25"/>
    <mergeCell ref="A27:H27"/>
    <mergeCell ref="I27:V27"/>
    <mergeCell ref="U24:V24"/>
    <mergeCell ref="A26:F26"/>
    <mergeCell ref="G26:H26"/>
    <mergeCell ref="J26:L26"/>
    <mergeCell ref="N26:O26"/>
    <mergeCell ref="P26:Q26"/>
    <mergeCell ref="R26:S26"/>
    <mergeCell ref="T26:V26"/>
    <mergeCell ref="C24:D24"/>
    <mergeCell ref="G24:H24"/>
    <mergeCell ref="J24:L24"/>
    <mergeCell ref="N24:O24"/>
    <mergeCell ref="P24:Q24"/>
    <mergeCell ref="R24:S24"/>
    <mergeCell ref="G25:H25"/>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A3:P3"/>
    <mergeCell ref="Q3:U3"/>
    <mergeCell ref="A4:C4"/>
    <mergeCell ref="D4:R4"/>
    <mergeCell ref="S4:U4"/>
    <mergeCell ref="A5:U5"/>
    <mergeCell ref="A6:U6"/>
    <mergeCell ref="A7:C7"/>
    <mergeCell ref="D7:R7"/>
    <mergeCell ref="S7:U7"/>
    <mergeCell ref="Q2:V2"/>
    <mergeCell ref="U25:V25"/>
    <mergeCell ref="R25:S25"/>
    <mergeCell ref="P25:Q25"/>
    <mergeCell ref="N25:O25"/>
    <mergeCell ref="J25:L25"/>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2:V27"/>
  <sheetViews>
    <sheetView workbookViewId="0">
      <selection activeCell="G21" sqref="G21:H21"/>
    </sheetView>
  </sheetViews>
  <sheetFormatPr defaultRowHeight="12.75"/>
  <cols>
    <col min="1" max="1" width="5.42578125" style="1402" customWidth="1"/>
    <col min="2" max="2" width="13.7109375" style="1402" customWidth="1"/>
    <col min="3" max="3" width="18.85546875" style="1402" customWidth="1"/>
    <col min="4" max="4" width="0.140625" style="1402" customWidth="1"/>
    <col min="5" max="5" width="18.28515625" style="1402" hidden="1" customWidth="1"/>
    <col min="6" max="6" width="15.28515625" style="1402" hidden="1" customWidth="1"/>
    <col min="7" max="7" width="12.42578125" style="1402" customWidth="1"/>
    <col min="8" max="8" width="0.5703125" style="1402" customWidth="1"/>
    <col min="9" max="9" width="18.28515625" style="1402" customWidth="1"/>
    <col min="10" max="10" width="1" style="1402" customWidth="1"/>
    <col min="11" max="11" width="7.140625" style="1402" customWidth="1"/>
    <col min="12" max="12" width="9.7109375" style="1402" customWidth="1"/>
    <col min="13" max="13" width="16.7109375" style="1402" customWidth="1"/>
    <col min="14" max="14" width="1.85546875" style="1402" customWidth="1"/>
    <col min="15" max="15" width="14.7109375" style="1402" customWidth="1"/>
    <col min="16" max="16" width="11.85546875" style="1402" customWidth="1"/>
    <col min="17" max="17" width="2.85546875" style="1402" customWidth="1"/>
    <col min="18" max="18" width="10.7109375" style="1402" customWidth="1"/>
    <col min="19" max="19" width="3.85546875" style="1402" customWidth="1"/>
    <col min="20" max="20" width="20.5703125" style="1402" customWidth="1"/>
    <col min="21" max="21" width="19" style="1402" customWidth="1"/>
    <col min="22" max="22" width="3.140625" style="1402" customWidth="1"/>
    <col min="23" max="256" width="9.140625" style="1402"/>
    <col min="257" max="257" width="5.42578125" style="1402" customWidth="1"/>
    <col min="258" max="258" width="13.7109375" style="1402" customWidth="1"/>
    <col min="259" max="259" width="18.85546875" style="1402" customWidth="1"/>
    <col min="260" max="260" width="0.140625" style="1402" customWidth="1"/>
    <col min="261" max="262" width="0" style="1402" hidden="1" customWidth="1"/>
    <col min="263" max="263" width="12.42578125" style="1402" customWidth="1"/>
    <col min="264" max="264" width="0.5703125" style="1402" customWidth="1"/>
    <col min="265" max="265" width="18.28515625" style="1402" customWidth="1"/>
    <col min="266" max="266" width="1" style="1402" customWidth="1"/>
    <col min="267" max="267" width="7.140625" style="1402" customWidth="1"/>
    <col min="268" max="268" width="9.7109375" style="1402" customWidth="1"/>
    <col min="269" max="269" width="16.7109375" style="1402" customWidth="1"/>
    <col min="270" max="270" width="1.85546875" style="1402" customWidth="1"/>
    <col min="271" max="271" width="14.7109375" style="1402" customWidth="1"/>
    <col min="272" max="272" width="11.85546875" style="1402" customWidth="1"/>
    <col min="273" max="273" width="2.85546875" style="1402" customWidth="1"/>
    <col min="274" max="274" width="10.7109375" style="1402" customWidth="1"/>
    <col min="275" max="275" width="3.85546875" style="1402" customWidth="1"/>
    <col min="276" max="276" width="20.5703125" style="1402" customWidth="1"/>
    <col min="277" max="277" width="19" style="1402" customWidth="1"/>
    <col min="278" max="278" width="3.140625" style="1402" customWidth="1"/>
    <col min="279" max="512" width="9.140625" style="1402"/>
    <col min="513" max="513" width="5.42578125" style="1402" customWidth="1"/>
    <col min="514" max="514" width="13.7109375" style="1402" customWidth="1"/>
    <col min="515" max="515" width="18.85546875" style="1402" customWidth="1"/>
    <col min="516" max="516" width="0.140625" style="1402" customWidth="1"/>
    <col min="517" max="518" width="0" style="1402" hidden="1" customWidth="1"/>
    <col min="519" max="519" width="12.42578125" style="1402" customWidth="1"/>
    <col min="520" max="520" width="0.5703125" style="1402" customWidth="1"/>
    <col min="521" max="521" width="18.28515625" style="1402" customWidth="1"/>
    <col min="522" max="522" width="1" style="1402" customWidth="1"/>
    <col min="523" max="523" width="7.140625" style="1402" customWidth="1"/>
    <col min="524" max="524" width="9.7109375" style="1402" customWidth="1"/>
    <col min="525" max="525" width="16.7109375" style="1402" customWidth="1"/>
    <col min="526" max="526" width="1.85546875" style="1402" customWidth="1"/>
    <col min="527" max="527" width="14.7109375" style="1402" customWidth="1"/>
    <col min="528" max="528" width="11.85546875" style="1402" customWidth="1"/>
    <col min="529" max="529" width="2.85546875" style="1402" customWidth="1"/>
    <col min="530" max="530" width="10.7109375" style="1402" customWidth="1"/>
    <col min="531" max="531" width="3.85546875" style="1402" customWidth="1"/>
    <col min="532" max="532" width="20.5703125" style="1402" customWidth="1"/>
    <col min="533" max="533" width="19" style="1402" customWidth="1"/>
    <col min="534" max="534" width="3.140625" style="1402" customWidth="1"/>
    <col min="535" max="768" width="9.140625" style="1402"/>
    <col min="769" max="769" width="5.42578125" style="1402" customWidth="1"/>
    <col min="770" max="770" width="13.7109375" style="1402" customWidth="1"/>
    <col min="771" max="771" width="18.85546875" style="1402" customWidth="1"/>
    <col min="772" max="772" width="0.140625" style="1402" customWidth="1"/>
    <col min="773" max="774" width="0" style="1402" hidden="1" customWidth="1"/>
    <col min="775" max="775" width="12.42578125" style="1402" customWidth="1"/>
    <col min="776" max="776" width="0.5703125" style="1402" customWidth="1"/>
    <col min="777" max="777" width="18.28515625" style="1402" customWidth="1"/>
    <col min="778" max="778" width="1" style="1402" customWidth="1"/>
    <col min="779" max="779" width="7.140625" style="1402" customWidth="1"/>
    <col min="780" max="780" width="9.7109375" style="1402" customWidth="1"/>
    <col min="781" max="781" width="16.7109375" style="1402" customWidth="1"/>
    <col min="782" max="782" width="1.85546875" style="1402" customWidth="1"/>
    <col min="783" max="783" width="14.7109375" style="1402" customWidth="1"/>
    <col min="784" max="784" width="11.85546875" style="1402" customWidth="1"/>
    <col min="785" max="785" width="2.85546875" style="1402" customWidth="1"/>
    <col min="786" max="786" width="10.7109375" style="1402" customWidth="1"/>
    <col min="787" max="787" width="3.85546875" style="1402" customWidth="1"/>
    <col min="788" max="788" width="20.5703125" style="1402" customWidth="1"/>
    <col min="789" max="789" width="19" style="1402" customWidth="1"/>
    <col min="790" max="790" width="3.140625" style="1402" customWidth="1"/>
    <col min="791" max="1024" width="9.140625" style="1402"/>
    <col min="1025" max="1025" width="5.42578125" style="1402" customWidth="1"/>
    <col min="1026" max="1026" width="13.7109375" style="1402" customWidth="1"/>
    <col min="1027" max="1027" width="18.85546875" style="1402" customWidth="1"/>
    <col min="1028" max="1028" width="0.140625" style="1402" customWidth="1"/>
    <col min="1029" max="1030" width="0" style="1402" hidden="1" customWidth="1"/>
    <col min="1031" max="1031" width="12.42578125" style="1402" customWidth="1"/>
    <col min="1032" max="1032" width="0.5703125" style="1402" customWidth="1"/>
    <col min="1033" max="1033" width="18.28515625" style="1402" customWidth="1"/>
    <col min="1034" max="1034" width="1" style="1402" customWidth="1"/>
    <col min="1035" max="1035" width="7.140625" style="1402" customWidth="1"/>
    <col min="1036" max="1036" width="9.7109375" style="1402" customWidth="1"/>
    <col min="1037" max="1037" width="16.7109375" style="1402" customWidth="1"/>
    <col min="1038" max="1038" width="1.85546875" style="1402" customWidth="1"/>
    <col min="1039" max="1039" width="14.7109375" style="1402" customWidth="1"/>
    <col min="1040" max="1040" width="11.85546875" style="1402" customWidth="1"/>
    <col min="1041" max="1041" width="2.85546875" style="1402" customWidth="1"/>
    <col min="1042" max="1042" width="10.7109375" style="1402" customWidth="1"/>
    <col min="1043" max="1043" width="3.85546875" style="1402" customWidth="1"/>
    <col min="1044" max="1044" width="20.5703125" style="1402" customWidth="1"/>
    <col min="1045" max="1045" width="19" style="1402" customWidth="1"/>
    <col min="1046" max="1046" width="3.140625" style="1402" customWidth="1"/>
    <col min="1047" max="1280" width="9.140625" style="1402"/>
    <col min="1281" max="1281" width="5.42578125" style="1402" customWidth="1"/>
    <col min="1282" max="1282" width="13.7109375" style="1402" customWidth="1"/>
    <col min="1283" max="1283" width="18.85546875" style="1402" customWidth="1"/>
    <col min="1284" max="1284" width="0.140625" style="1402" customWidth="1"/>
    <col min="1285" max="1286" width="0" style="1402" hidden="1" customWidth="1"/>
    <col min="1287" max="1287" width="12.42578125" style="1402" customWidth="1"/>
    <col min="1288" max="1288" width="0.5703125" style="1402" customWidth="1"/>
    <col min="1289" max="1289" width="18.28515625" style="1402" customWidth="1"/>
    <col min="1290" max="1290" width="1" style="1402" customWidth="1"/>
    <col min="1291" max="1291" width="7.140625" style="1402" customWidth="1"/>
    <col min="1292" max="1292" width="9.7109375" style="1402" customWidth="1"/>
    <col min="1293" max="1293" width="16.7109375" style="1402" customWidth="1"/>
    <col min="1294" max="1294" width="1.85546875" style="1402" customWidth="1"/>
    <col min="1295" max="1295" width="14.7109375" style="1402" customWidth="1"/>
    <col min="1296" max="1296" width="11.85546875" style="1402" customWidth="1"/>
    <col min="1297" max="1297" width="2.85546875" style="1402" customWidth="1"/>
    <col min="1298" max="1298" width="10.7109375" style="1402" customWidth="1"/>
    <col min="1299" max="1299" width="3.85546875" style="1402" customWidth="1"/>
    <col min="1300" max="1300" width="20.5703125" style="1402" customWidth="1"/>
    <col min="1301" max="1301" width="19" style="1402" customWidth="1"/>
    <col min="1302" max="1302" width="3.140625" style="1402" customWidth="1"/>
    <col min="1303" max="1536" width="9.140625" style="1402"/>
    <col min="1537" max="1537" width="5.42578125" style="1402" customWidth="1"/>
    <col min="1538" max="1538" width="13.7109375" style="1402" customWidth="1"/>
    <col min="1539" max="1539" width="18.85546875" style="1402" customWidth="1"/>
    <col min="1540" max="1540" width="0.140625" style="1402" customWidth="1"/>
    <col min="1541" max="1542" width="0" style="1402" hidden="1" customWidth="1"/>
    <col min="1543" max="1543" width="12.42578125" style="1402" customWidth="1"/>
    <col min="1544" max="1544" width="0.5703125" style="1402" customWidth="1"/>
    <col min="1545" max="1545" width="18.28515625" style="1402" customWidth="1"/>
    <col min="1546" max="1546" width="1" style="1402" customWidth="1"/>
    <col min="1547" max="1547" width="7.140625" style="1402" customWidth="1"/>
    <col min="1548" max="1548" width="9.7109375" style="1402" customWidth="1"/>
    <col min="1549" max="1549" width="16.7109375" style="1402" customWidth="1"/>
    <col min="1550" max="1550" width="1.85546875" style="1402" customWidth="1"/>
    <col min="1551" max="1551" width="14.7109375" style="1402" customWidth="1"/>
    <col min="1552" max="1552" width="11.85546875" style="1402" customWidth="1"/>
    <col min="1553" max="1553" width="2.85546875" style="1402" customWidth="1"/>
    <col min="1554" max="1554" width="10.7109375" style="1402" customWidth="1"/>
    <col min="1555" max="1555" width="3.85546875" style="1402" customWidth="1"/>
    <col min="1556" max="1556" width="20.5703125" style="1402" customWidth="1"/>
    <col min="1557" max="1557" width="19" style="1402" customWidth="1"/>
    <col min="1558" max="1558" width="3.140625" style="1402" customWidth="1"/>
    <col min="1559" max="1792" width="9.140625" style="1402"/>
    <col min="1793" max="1793" width="5.42578125" style="1402" customWidth="1"/>
    <col min="1794" max="1794" width="13.7109375" style="1402" customWidth="1"/>
    <col min="1795" max="1795" width="18.85546875" style="1402" customWidth="1"/>
    <col min="1796" max="1796" width="0.140625" style="1402" customWidth="1"/>
    <col min="1797" max="1798" width="0" style="1402" hidden="1" customWidth="1"/>
    <col min="1799" max="1799" width="12.42578125" style="1402" customWidth="1"/>
    <col min="1800" max="1800" width="0.5703125" style="1402" customWidth="1"/>
    <col min="1801" max="1801" width="18.28515625" style="1402" customWidth="1"/>
    <col min="1802" max="1802" width="1" style="1402" customWidth="1"/>
    <col min="1803" max="1803" width="7.140625" style="1402" customWidth="1"/>
    <col min="1804" max="1804" width="9.7109375" style="1402" customWidth="1"/>
    <col min="1805" max="1805" width="16.7109375" style="1402" customWidth="1"/>
    <col min="1806" max="1806" width="1.85546875" style="1402" customWidth="1"/>
    <col min="1807" max="1807" width="14.7109375" style="1402" customWidth="1"/>
    <col min="1808" max="1808" width="11.85546875" style="1402" customWidth="1"/>
    <col min="1809" max="1809" width="2.85546875" style="1402" customWidth="1"/>
    <col min="1810" max="1810" width="10.7109375" style="1402" customWidth="1"/>
    <col min="1811" max="1811" width="3.85546875" style="1402" customWidth="1"/>
    <col min="1812" max="1812" width="20.5703125" style="1402" customWidth="1"/>
    <col min="1813" max="1813" width="19" style="1402" customWidth="1"/>
    <col min="1814" max="1814" width="3.140625" style="1402" customWidth="1"/>
    <col min="1815" max="2048" width="9.140625" style="1402"/>
    <col min="2049" max="2049" width="5.42578125" style="1402" customWidth="1"/>
    <col min="2050" max="2050" width="13.7109375" style="1402" customWidth="1"/>
    <col min="2051" max="2051" width="18.85546875" style="1402" customWidth="1"/>
    <col min="2052" max="2052" width="0.140625" style="1402" customWidth="1"/>
    <col min="2053" max="2054" width="0" style="1402" hidden="1" customWidth="1"/>
    <col min="2055" max="2055" width="12.42578125" style="1402" customWidth="1"/>
    <col min="2056" max="2056" width="0.5703125" style="1402" customWidth="1"/>
    <col min="2057" max="2057" width="18.28515625" style="1402" customWidth="1"/>
    <col min="2058" max="2058" width="1" style="1402" customWidth="1"/>
    <col min="2059" max="2059" width="7.140625" style="1402" customWidth="1"/>
    <col min="2060" max="2060" width="9.7109375" style="1402" customWidth="1"/>
    <col min="2061" max="2061" width="16.7109375" style="1402" customWidth="1"/>
    <col min="2062" max="2062" width="1.85546875" style="1402" customWidth="1"/>
    <col min="2063" max="2063" width="14.7109375" style="1402" customWidth="1"/>
    <col min="2064" max="2064" width="11.85546875" style="1402" customWidth="1"/>
    <col min="2065" max="2065" width="2.85546875" style="1402" customWidth="1"/>
    <col min="2066" max="2066" width="10.7109375" style="1402" customWidth="1"/>
    <col min="2067" max="2067" width="3.85546875" style="1402" customWidth="1"/>
    <col min="2068" max="2068" width="20.5703125" style="1402" customWidth="1"/>
    <col min="2069" max="2069" width="19" style="1402" customWidth="1"/>
    <col min="2070" max="2070" width="3.140625" style="1402" customWidth="1"/>
    <col min="2071" max="2304" width="9.140625" style="1402"/>
    <col min="2305" max="2305" width="5.42578125" style="1402" customWidth="1"/>
    <col min="2306" max="2306" width="13.7109375" style="1402" customWidth="1"/>
    <col min="2307" max="2307" width="18.85546875" style="1402" customWidth="1"/>
    <col min="2308" max="2308" width="0.140625" style="1402" customWidth="1"/>
    <col min="2309" max="2310" width="0" style="1402" hidden="1" customWidth="1"/>
    <col min="2311" max="2311" width="12.42578125" style="1402" customWidth="1"/>
    <col min="2312" max="2312" width="0.5703125" style="1402" customWidth="1"/>
    <col min="2313" max="2313" width="18.28515625" style="1402" customWidth="1"/>
    <col min="2314" max="2314" width="1" style="1402" customWidth="1"/>
    <col min="2315" max="2315" width="7.140625" style="1402" customWidth="1"/>
    <col min="2316" max="2316" width="9.7109375" style="1402" customWidth="1"/>
    <col min="2317" max="2317" width="16.7109375" style="1402" customWidth="1"/>
    <col min="2318" max="2318" width="1.85546875" style="1402" customWidth="1"/>
    <col min="2319" max="2319" width="14.7109375" style="1402" customWidth="1"/>
    <col min="2320" max="2320" width="11.85546875" style="1402" customWidth="1"/>
    <col min="2321" max="2321" width="2.85546875" style="1402" customWidth="1"/>
    <col min="2322" max="2322" width="10.7109375" style="1402" customWidth="1"/>
    <col min="2323" max="2323" width="3.85546875" style="1402" customWidth="1"/>
    <col min="2324" max="2324" width="20.5703125" style="1402" customWidth="1"/>
    <col min="2325" max="2325" width="19" style="1402" customWidth="1"/>
    <col min="2326" max="2326" width="3.140625" style="1402" customWidth="1"/>
    <col min="2327" max="2560" width="9.140625" style="1402"/>
    <col min="2561" max="2561" width="5.42578125" style="1402" customWidth="1"/>
    <col min="2562" max="2562" width="13.7109375" style="1402" customWidth="1"/>
    <col min="2563" max="2563" width="18.85546875" style="1402" customWidth="1"/>
    <col min="2564" max="2564" width="0.140625" style="1402" customWidth="1"/>
    <col min="2565" max="2566" width="0" style="1402" hidden="1" customWidth="1"/>
    <col min="2567" max="2567" width="12.42578125" style="1402" customWidth="1"/>
    <col min="2568" max="2568" width="0.5703125" style="1402" customWidth="1"/>
    <col min="2569" max="2569" width="18.28515625" style="1402" customWidth="1"/>
    <col min="2570" max="2570" width="1" style="1402" customWidth="1"/>
    <col min="2571" max="2571" width="7.140625" style="1402" customWidth="1"/>
    <col min="2572" max="2572" width="9.7109375" style="1402" customWidth="1"/>
    <col min="2573" max="2573" width="16.7109375" style="1402" customWidth="1"/>
    <col min="2574" max="2574" width="1.85546875" style="1402" customWidth="1"/>
    <col min="2575" max="2575" width="14.7109375" style="1402" customWidth="1"/>
    <col min="2576" max="2576" width="11.85546875" style="1402" customWidth="1"/>
    <col min="2577" max="2577" width="2.85546875" style="1402" customWidth="1"/>
    <col min="2578" max="2578" width="10.7109375" style="1402" customWidth="1"/>
    <col min="2579" max="2579" width="3.85546875" style="1402" customWidth="1"/>
    <col min="2580" max="2580" width="20.5703125" style="1402" customWidth="1"/>
    <col min="2581" max="2581" width="19" style="1402" customWidth="1"/>
    <col min="2582" max="2582" width="3.140625" style="1402" customWidth="1"/>
    <col min="2583" max="2816" width="9.140625" style="1402"/>
    <col min="2817" max="2817" width="5.42578125" style="1402" customWidth="1"/>
    <col min="2818" max="2818" width="13.7109375" style="1402" customWidth="1"/>
    <col min="2819" max="2819" width="18.85546875" style="1402" customWidth="1"/>
    <col min="2820" max="2820" width="0.140625" style="1402" customWidth="1"/>
    <col min="2821" max="2822" width="0" style="1402" hidden="1" customWidth="1"/>
    <col min="2823" max="2823" width="12.42578125" style="1402" customWidth="1"/>
    <col min="2824" max="2824" width="0.5703125" style="1402" customWidth="1"/>
    <col min="2825" max="2825" width="18.28515625" style="1402" customWidth="1"/>
    <col min="2826" max="2826" width="1" style="1402" customWidth="1"/>
    <col min="2827" max="2827" width="7.140625" style="1402" customWidth="1"/>
    <col min="2828" max="2828" width="9.7109375" style="1402" customWidth="1"/>
    <col min="2829" max="2829" width="16.7109375" style="1402" customWidth="1"/>
    <col min="2830" max="2830" width="1.85546875" style="1402" customWidth="1"/>
    <col min="2831" max="2831" width="14.7109375" style="1402" customWidth="1"/>
    <col min="2832" max="2832" width="11.85546875" style="1402" customWidth="1"/>
    <col min="2833" max="2833" width="2.85546875" style="1402" customWidth="1"/>
    <col min="2834" max="2834" width="10.7109375" style="1402" customWidth="1"/>
    <col min="2835" max="2835" width="3.85546875" style="1402" customWidth="1"/>
    <col min="2836" max="2836" width="20.5703125" style="1402" customWidth="1"/>
    <col min="2837" max="2837" width="19" style="1402" customWidth="1"/>
    <col min="2838" max="2838" width="3.140625" style="1402" customWidth="1"/>
    <col min="2839" max="3072" width="9.140625" style="1402"/>
    <col min="3073" max="3073" width="5.42578125" style="1402" customWidth="1"/>
    <col min="3074" max="3074" width="13.7109375" style="1402" customWidth="1"/>
    <col min="3075" max="3075" width="18.85546875" style="1402" customWidth="1"/>
    <col min="3076" max="3076" width="0.140625" style="1402" customWidth="1"/>
    <col min="3077" max="3078" width="0" style="1402" hidden="1" customWidth="1"/>
    <col min="3079" max="3079" width="12.42578125" style="1402" customWidth="1"/>
    <col min="3080" max="3080" width="0.5703125" style="1402" customWidth="1"/>
    <col min="3081" max="3081" width="18.28515625" style="1402" customWidth="1"/>
    <col min="3082" max="3082" width="1" style="1402" customWidth="1"/>
    <col min="3083" max="3083" width="7.140625" style="1402" customWidth="1"/>
    <col min="3084" max="3084" width="9.7109375" style="1402" customWidth="1"/>
    <col min="3085" max="3085" width="16.7109375" style="1402" customWidth="1"/>
    <col min="3086" max="3086" width="1.85546875" style="1402" customWidth="1"/>
    <col min="3087" max="3087" width="14.7109375" style="1402" customWidth="1"/>
    <col min="3088" max="3088" width="11.85546875" style="1402" customWidth="1"/>
    <col min="3089" max="3089" width="2.85546875" style="1402" customWidth="1"/>
    <col min="3090" max="3090" width="10.7109375" style="1402" customWidth="1"/>
    <col min="3091" max="3091" width="3.85546875" style="1402" customWidth="1"/>
    <col min="3092" max="3092" width="20.5703125" style="1402" customWidth="1"/>
    <col min="3093" max="3093" width="19" style="1402" customWidth="1"/>
    <col min="3094" max="3094" width="3.140625" style="1402" customWidth="1"/>
    <col min="3095" max="3328" width="9.140625" style="1402"/>
    <col min="3329" max="3329" width="5.42578125" style="1402" customWidth="1"/>
    <col min="3330" max="3330" width="13.7109375" style="1402" customWidth="1"/>
    <col min="3331" max="3331" width="18.85546875" style="1402" customWidth="1"/>
    <col min="3332" max="3332" width="0.140625" style="1402" customWidth="1"/>
    <col min="3333" max="3334" width="0" style="1402" hidden="1" customWidth="1"/>
    <col min="3335" max="3335" width="12.42578125" style="1402" customWidth="1"/>
    <col min="3336" max="3336" width="0.5703125" style="1402" customWidth="1"/>
    <col min="3337" max="3337" width="18.28515625" style="1402" customWidth="1"/>
    <col min="3338" max="3338" width="1" style="1402" customWidth="1"/>
    <col min="3339" max="3339" width="7.140625" style="1402" customWidth="1"/>
    <col min="3340" max="3340" width="9.7109375" style="1402" customWidth="1"/>
    <col min="3341" max="3341" width="16.7109375" style="1402" customWidth="1"/>
    <col min="3342" max="3342" width="1.85546875" style="1402" customWidth="1"/>
    <col min="3343" max="3343" width="14.7109375" style="1402" customWidth="1"/>
    <col min="3344" max="3344" width="11.85546875" style="1402" customWidth="1"/>
    <col min="3345" max="3345" width="2.85546875" style="1402" customWidth="1"/>
    <col min="3346" max="3346" width="10.7109375" style="1402" customWidth="1"/>
    <col min="3347" max="3347" width="3.85546875" style="1402" customWidth="1"/>
    <col min="3348" max="3348" width="20.5703125" style="1402" customWidth="1"/>
    <col min="3349" max="3349" width="19" style="1402" customWidth="1"/>
    <col min="3350" max="3350" width="3.140625" style="1402" customWidth="1"/>
    <col min="3351" max="3584" width="9.140625" style="1402"/>
    <col min="3585" max="3585" width="5.42578125" style="1402" customWidth="1"/>
    <col min="3586" max="3586" width="13.7109375" style="1402" customWidth="1"/>
    <col min="3587" max="3587" width="18.85546875" style="1402" customWidth="1"/>
    <col min="3588" max="3588" width="0.140625" style="1402" customWidth="1"/>
    <col min="3589" max="3590" width="0" style="1402" hidden="1" customWidth="1"/>
    <col min="3591" max="3591" width="12.42578125" style="1402" customWidth="1"/>
    <col min="3592" max="3592" width="0.5703125" style="1402" customWidth="1"/>
    <col min="3593" max="3593" width="18.28515625" style="1402" customWidth="1"/>
    <col min="3594" max="3594" width="1" style="1402" customWidth="1"/>
    <col min="3595" max="3595" width="7.140625" style="1402" customWidth="1"/>
    <col min="3596" max="3596" width="9.7109375" style="1402" customWidth="1"/>
    <col min="3597" max="3597" width="16.7109375" style="1402" customWidth="1"/>
    <col min="3598" max="3598" width="1.85546875" style="1402" customWidth="1"/>
    <col min="3599" max="3599" width="14.7109375" style="1402" customWidth="1"/>
    <col min="3600" max="3600" width="11.85546875" style="1402" customWidth="1"/>
    <col min="3601" max="3601" width="2.85546875" style="1402" customWidth="1"/>
    <col min="3602" max="3602" width="10.7109375" style="1402" customWidth="1"/>
    <col min="3603" max="3603" width="3.85546875" style="1402" customWidth="1"/>
    <col min="3604" max="3604" width="20.5703125" style="1402" customWidth="1"/>
    <col min="3605" max="3605" width="19" style="1402" customWidth="1"/>
    <col min="3606" max="3606" width="3.140625" style="1402" customWidth="1"/>
    <col min="3607" max="3840" width="9.140625" style="1402"/>
    <col min="3841" max="3841" width="5.42578125" style="1402" customWidth="1"/>
    <col min="3842" max="3842" width="13.7109375" style="1402" customWidth="1"/>
    <col min="3843" max="3843" width="18.85546875" style="1402" customWidth="1"/>
    <col min="3844" max="3844" width="0.140625" style="1402" customWidth="1"/>
    <col min="3845" max="3846" width="0" style="1402" hidden="1" customWidth="1"/>
    <col min="3847" max="3847" width="12.42578125" style="1402" customWidth="1"/>
    <col min="3848" max="3848" width="0.5703125" style="1402" customWidth="1"/>
    <col min="3849" max="3849" width="18.28515625" style="1402" customWidth="1"/>
    <col min="3850" max="3850" width="1" style="1402" customWidth="1"/>
    <col min="3851" max="3851" width="7.140625" style="1402" customWidth="1"/>
    <col min="3852" max="3852" width="9.7109375" style="1402" customWidth="1"/>
    <col min="3853" max="3853" width="16.7109375" style="1402" customWidth="1"/>
    <col min="3854" max="3854" width="1.85546875" style="1402" customWidth="1"/>
    <col min="3855" max="3855" width="14.7109375" style="1402" customWidth="1"/>
    <col min="3856" max="3856" width="11.85546875" style="1402" customWidth="1"/>
    <col min="3857" max="3857" width="2.85546875" style="1402" customWidth="1"/>
    <col min="3858" max="3858" width="10.7109375" style="1402" customWidth="1"/>
    <col min="3859" max="3859" width="3.85546875" style="1402" customWidth="1"/>
    <col min="3860" max="3860" width="20.5703125" style="1402" customWidth="1"/>
    <col min="3861" max="3861" width="19" style="1402" customWidth="1"/>
    <col min="3862" max="3862" width="3.140625" style="1402" customWidth="1"/>
    <col min="3863" max="4096" width="9.140625" style="1402"/>
    <col min="4097" max="4097" width="5.42578125" style="1402" customWidth="1"/>
    <col min="4098" max="4098" width="13.7109375" style="1402" customWidth="1"/>
    <col min="4099" max="4099" width="18.85546875" style="1402" customWidth="1"/>
    <col min="4100" max="4100" width="0.140625" style="1402" customWidth="1"/>
    <col min="4101" max="4102" width="0" style="1402" hidden="1" customWidth="1"/>
    <col min="4103" max="4103" width="12.42578125" style="1402" customWidth="1"/>
    <col min="4104" max="4104" width="0.5703125" style="1402" customWidth="1"/>
    <col min="4105" max="4105" width="18.28515625" style="1402" customWidth="1"/>
    <col min="4106" max="4106" width="1" style="1402" customWidth="1"/>
    <col min="4107" max="4107" width="7.140625" style="1402" customWidth="1"/>
    <col min="4108" max="4108" width="9.7109375" style="1402" customWidth="1"/>
    <col min="4109" max="4109" width="16.7109375" style="1402" customWidth="1"/>
    <col min="4110" max="4110" width="1.85546875" style="1402" customWidth="1"/>
    <col min="4111" max="4111" width="14.7109375" style="1402" customWidth="1"/>
    <col min="4112" max="4112" width="11.85546875" style="1402" customWidth="1"/>
    <col min="4113" max="4113" width="2.85546875" style="1402" customWidth="1"/>
    <col min="4114" max="4114" width="10.7109375" style="1402" customWidth="1"/>
    <col min="4115" max="4115" width="3.85546875" style="1402" customWidth="1"/>
    <col min="4116" max="4116" width="20.5703125" style="1402" customWidth="1"/>
    <col min="4117" max="4117" width="19" style="1402" customWidth="1"/>
    <col min="4118" max="4118" width="3.140625" style="1402" customWidth="1"/>
    <col min="4119" max="4352" width="9.140625" style="1402"/>
    <col min="4353" max="4353" width="5.42578125" style="1402" customWidth="1"/>
    <col min="4354" max="4354" width="13.7109375" style="1402" customWidth="1"/>
    <col min="4355" max="4355" width="18.85546875" style="1402" customWidth="1"/>
    <col min="4356" max="4356" width="0.140625" style="1402" customWidth="1"/>
    <col min="4357" max="4358" width="0" style="1402" hidden="1" customWidth="1"/>
    <col min="4359" max="4359" width="12.42578125" style="1402" customWidth="1"/>
    <col min="4360" max="4360" width="0.5703125" style="1402" customWidth="1"/>
    <col min="4361" max="4361" width="18.28515625" style="1402" customWidth="1"/>
    <col min="4362" max="4362" width="1" style="1402" customWidth="1"/>
    <col min="4363" max="4363" width="7.140625" style="1402" customWidth="1"/>
    <col min="4364" max="4364" width="9.7109375" style="1402" customWidth="1"/>
    <col min="4365" max="4365" width="16.7109375" style="1402" customWidth="1"/>
    <col min="4366" max="4366" width="1.85546875" style="1402" customWidth="1"/>
    <col min="4367" max="4367" width="14.7109375" style="1402" customWidth="1"/>
    <col min="4368" max="4368" width="11.85546875" style="1402" customWidth="1"/>
    <col min="4369" max="4369" width="2.85546875" style="1402" customWidth="1"/>
    <col min="4370" max="4370" width="10.7109375" style="1402" customWidth="1"/>
    <col min="4371" max="4371" width="3.85546875" style="1402" customWidth="1"/>
    <col min="4372" max="4372" width="20.5703125" style="1402" customWidth="1"/>
    <col min="4373" max="4373" width="19" style="1402" customWidth="1"/>
    <col min="4374" max="4374" width="3.140625" style="1402" customWidth="1"/>
    <col min="4375" max="4608" width="9.140625" style="1402"/>
    <col min="4609" max="4609" width="5.42578125" style="1402" customWidth="1"/>
    <col min="4610" max="4610" width="13.7109375" style="1402" customWidth="1"/>
    <col min="4611" max="4611" width="18.85546875" style="1402" customWidth="1"/>
    <col min="4612" max="4612" width="0.140625" style="1402" customWidth="1"/>
    <col min="4613" max="4614" width="0" style="1402" hidden="1" customWidth="1"/>
    <col min="4615" max="4615" width="12.42578125" style="1402" customWidth="1"/>
    <col min="4616" max="4616" width="0.5703125" style="1402" customWidth="1"/>
    <col min="4617" max="4617" width="18.28515625" style="1402" customWidth="1"/>
    <col min="4618" max="4618" width="1" style="1402" customWidth="1"/>
    <col min="4619" max="4619" width="7.140625" style="1402" customWidth="1"/>
    <col min="4620" max="4620" width="9.7109375" style="1402" customWidth="1"/>
    <col min="4621" max="4621" width="16.7109375" style="1402" customWidth="1"/>
    <col min="4622" max="4622" width="1.85546875" style="1402" customWidth="1"/>
    <col min="4623" max="4623" width="14.7109375" style="1402" customWidth="1"/>
    <col min="4624" max="4624" width="11.85546875" style="1402" customWidth="1"/>
    <col min="4625" max="4625" width="2.85546875" style="1402" customWidth="1"/>
    <col min="4626" max="4626" width="10.7109375" style="1402" customWidth="1"/>
    <col min="4627" max="4627" width="3.85546875" style="1402" customWidth="1"/>
    <col min="4628" max="4628" width="20.5703125" style="1402" customWidth="1"/>
    <col min="4629" max="4629" width="19" style="1402" customWidth="1"/>
    <col min="4630" max="4630" width="3.140625" style="1402" customWidth="1"/>
    <col min="4631" max="4864" width="9.140625" style="1402"/>
    <col min="4865" max="4865" width="5.42578125" style="1402" customWidth="1"/>
    <col min="4866" max="4866" width="13.7109375" style="1402" customWidth="1"/>
    <col min="4867" max="4867" width="18.85546875" style="1402" customWidth="1"/>
    <col min="4868" max="4868" width="0.140625" style="1402" customWidth="1"/>
    <col min="4869" max="4870" width="0" style="1402" hidden="1" customWidth="1"/>
    <col min="4871" max="4871" width="12.42578125" style="1402" customWidth="1"/>
    <col min="4872" max="4872" width="0.5703125" style="1402" customWidth="1"/>
    <col min="4873" max="4873" width="18.28515625" style="1402" customWidth="1"/>
    <col min="4874" max="4874" width="1" style="1402" customWidth="1"/>
    <col min="4875" max="4875" width="7.140625" style="1402" customWidth="1"/>
    <col min="4876" max="4876" width="9.7109375" style="1402" customWidth="1"/>
    <col min="4877" max="4877" width="16.7109375" style="1402" customWidth="1"/>
    <col min="4878" max="4878" width="1.85546875" style="1402" customWidth="1"/>
    <col min="4879" max="4879" width="14.7109375" style="1402" customWidth="1"/>
    <col min="4880" max="4880" width="11.85546875" style="1402" customWidth="1"/>
    <col min="4881" max="4881" width="2.85546875" style="1402" customWidth="1"/>
    <col min="4882" max="4882" width="10.7109375" style="1402" customWidth="1"/>
    <col min="4883" max="4883" width="3.85546875" style="1402" customWidth="1"/>
    <col min="4884" max="4884" width="20.5703125" style="1402" customWidth="1"/>
    <col min="4885" max="4885" width="19" style="1402" customWidth="1"/>
    <col min="4886" max="4886" width="3.140625" style="1402" customWidth="1"/>
    <col min="4887" max="5120" width="9.140625" style="1402"/>
    <col min="5121" max="5121" width="5.42578125" style="1402" customWidth="1"/>
    <col min="5122" max="5122" width="13.7109375" style="1402" customWidth="1"/>
    <col min="5123" max="5123" width="18.85546875" style="1402" customWidth="1"/>
    <col min="5124" max="5124" width="0.140625" style="1402" customWidth="1"/>
    <col min="5125" max="5126" width="0" style="1402" hidden="1" customWidth="1"/>
    <col min="5127" max="5127" width="12.42578125" style="1402" customWidth="1"/>
    <col min="5128" max="5128" width="0.5703125" style="1402" customWidth="1"/>
    <col min="5129" max="5129" width="18.28515625" style="1402" customWidth="1"/>
    <col min="5130" max="5130" width="1" style="1402" customWidth="1"/>
    <col min="5131" max="5131" width="7.140625" style="1402" customWidth="1"/>
    <col min="5132" max="5132" width="9.7109375" style="1402" customWidth="1"/>
    <col min="5133" max="5133" width="16.7109375" style="1402" customWidth="1"/>
    <col min="5134" max="5134" width="1.85546875" style="1402" customWidth="1"/>
    <col min="5135" max="5135" width="14.7109375" style="1402" customWidth="1"/>
    <col min="5136" max="5136" width="11.85546875" style="1402" customWidth="1"/>
    <col min="5137" max="5137" width="2.85546875" style="1402" customWidth="1"/>
    <col min="5138" max="5138" width="10.7109375" style="1402" customWidth="1"/>
    <col min="5139" max="5139" width="3.85546875" style="1402" customWidth="1"/>
    <col min="5140" max="5140" width="20.5703125" style="1402" customWidth="1"/>
    <col min="5141" max="5141" width="19" style="1402" customWidth="1"/>
    <col min="5142" max="5142" width="3.140625" style="1402" customWidth="1"/>
    <col min="5143" max="5376" width="9.140625" style="1402"/>
    <col min="5377" max="5377" width="5.42578125" style="1402" customWidth="1"/>
    <col min="5378" max="5378" width="13.7109375" style="1402" customWidth="1"/>
    <col min="5379" max="5379" width="18.85546875" style="1402" customWidth="1"/>
    <col min="5380" max="5380" width="0.140625" style="1402" customWidth="1"/>
    <col min="5381" max="5382" width="0" style="1402" hidden="1" customWidth="1"/>
    <col min="5383" max="5383" width="12.42578125" style="1402" customWidth="1"/>
    <col min="5384" max="5384" width="0.5703125" style="1402" customWidth="1"/>
    <col min="5385" max="5385" width="18.28515625" style="1402" customWidth="1"/>
    <col min="5386" max="5386" width="1" style="1402" customWidth="1"/>
    <col min="5387" max="5387" width="7.140625" style="1402" customWidth="1"/>
    <col min="5388" max="5388" width="9.7109375" style="1402" customWidth="1"/>
    <col min="5389" max="5389" width="16.7109375" style="1402" customWidth="1"/>
    <col min="5390" max="5390" width="1.85546875" style="1402" customWidth="1"/>
    <col min="5391" max="5391" width="14.7109375" style="1402" customWidth="1"/>
    <col min="5392" max="5392" width="11.85546875" style="1402" customWidth="1"/>
    <col min="5393" max="5393" width="2.85546875" style="1402" customWidth="1"/>
    <col min="5394" max="5394" width="10.7109375" style="1402" customWidth="1"/>
    <col min="5395" max="5395" width="3.85546875" style="1402" customWidth="1"/>
    <col min="5396" max="5396" width="20.5703125" style="1402" customWidth="1"/>
    <col min="5397" max="5397" width="19" style="1402" customWidth="1"/>
    <col min="5398" max="5398" width="3.140625" style="1402" customWidth="1"/>
    <col min="5399" max="5632" width="9.140625" style="1402"/>
    <col min="5633" max="5633" width="5.42578125" style="1402" customWidth="1"/>
    <col min="5634" max="5634" width="13.7109375" style="1402" customWidth="1"/>
    <col min="5635" max="5635" width="18.85546875" style="1402" customWidth="1"/>
    <col min="5636" max="5636" width="0.140625" style="1402" customWidth="1"/>
    <col min="5637" max="5638" width="0" style="1402" hidden="1" customWidth="1"/>
    <col min="5639" max="5639" width="12.42578125" style="1402" customWidth="1"/>
    <col min="5640" max="5640" width="0.5703125" style="1402" customWidth="1"/>
    <col min="5641" max="5641" width="18.28515625" style="1402" customWidth="1"/>
    <col min="5642" max="5642" width="1" style="1402" customWidth="1"/>
    <col min="5643" max="5643" width="7.140625" style="1402" customWidth="1"/>
    <col min="5644" max="5644" width="9.7109375" style="1402" customWidth="1"/>
    <col min="5645" max="5645" width="16.7109375" style="1402" customWidth="1"/>
    <col min="5646" max="5646" width="1.85546875" style="1402" customWidth="1"/>
    <col min="5647" max="5647" width="14.7109375" style="1402" customWidth="1"/>
    <col min="5648" max="5648" width="11.85546875" style="1402" customWidth="1"/>
    <col min="5649" max="5649" width="2.85546875" style="1402" customWidth="1"/>
    <col min="5650" max="5650" width="10.7109375" style="1402" customWidth="1"/>
    <col min="5651" max="5651" width="3.85546875" style="1402" customWidth="1"/>
    <col min="5652" max="5652" width="20.5703125" style="1402" customWidth="1"/>
    <col min="5653" max="5653" width="19" style="1402" customWidth="1"/>
    <col min="5654" max="5654" width="3.140625" style="1402" customWidth="1"/>
    <col min="5655" max="5888" width="9.140625" style="1402"/>
    <col min="5889" max="5889" width="5.42578125" style="1402" customWidth="1"/>
    <col min="5890" max="5890" width="13.7109375" style="1402" customWidth="1"/>
    <col min="5891" max="5891" width="18.85546875" style="1402" customWidth="1"/>
    <col min="5892" max="5892" width="0.140625" style="1402" customWidth="1"/>
    <col min="5893" max="5894" width="0" style="1402" hidden="1" customWidth="1"/>
    <col min="5895" max="5895" width="12.42578125" style="1402" customWidth="1"/>
    <col min="5896" max="5896" width="0.5703125" style="1402" customWidth="1"/>
    <col min="5897" max="5897" width="18.28515625" style="1402" customWidth="1"/>
    <col min="5898" max="5898" width="1" style="1402" customWidth="1"/>
    <col min="5899" max="5899" width="7.140625" style="1402" customWidth="1"/>
    <col min="5900" max="5900" width="9.7109375" style="1402" customWidth="1"/>
    <col min="5901" max="5901" width="16.7109375" style="1402" customWidth="1"/>
    <col min="5902" max="5902" width="1.85546875" style="1402" customWidth="1"/>
    <col min="5903" max="5903" width="14.7109375" style="1402" customWidth="1"/>
    <col min="5904" max="5904" width="11.85546875" style="1402" customWidth="1"/>
    <col min="5905" max="5905" width="2.85546875" style="1402" customWidth="1"/>
    <col min="5906" max="5906" width="10.7109375" style="1402" customWidth="1"/>
    <col min="5907" max="5907" width="3.85546875" style="1402" customWidth="1"/>
    <col min="5908" max="5908" width="20.5703125" style="1402" customWidth="1"/>
    <col min="5909" max="5909" width="19" style="1402" customWidth="1"/>
    <col min="5910" max="5910" width="3.140625" style="1402" customWidth="1"/>
    <col min="5911" max="6144" width="9.140625" style="1402"/>
    <col min="6145" max="6145" width="5.42578125" style="1402" customWidth="1"/>
    <col min="6146" max="6146" width="13.7109375" style="1402" customWidth="1"/>
    <col min="6147" max="6147" width="18.85546875" style="1402" customWidth="1"/>
    <col min="6148" max="6148" width="0.140625" style="1402" customWidth="1"/>
    <col min="6149" max="6150" width="0" style="1402" hidden="1" customWidth="1"/>
    <col min="6151" max="6151" width="12.42578125" style="1402" customWidth="1"/>
    <col min="6152" max="6152" width="0.5703125" style="1402" customWidth="1"/>
    <col min="6153" max="6153" width="18.28515625" style="1402" customWidth="1"/>
    <col min="6154" max="6154" width="1" style="1402" customWidth="1"/>
    <col min="6155" max="6155" width="7.140625" style="1402" customWidth="1"/>
    <col min="6156" max="6156" width="9.7109375" style="1402" customWidth="1"/>
    <col min="6157" max="6157" width="16.7109375" style="1402" customWidth="1"/>
    <col min="6158" max="6158" width="1.85546875" style="1402" customWidth="1"/>
    <col min="6159" max="6159" width="14.7109375" style="1402" customWidth="1"/>
    <col min="6160" max="6160" width="11.85546875" style="1402" customWidth="1"/>
    <col min="6161" max="6161" width="2.85546875" style="1402" customWidth="1"/>
    <col min="6162" max="6162" width="10.7109375" style="1402" customWidth="1"/>
    <col min="6163" max="6163" width="3.85546875" style="1402" customWidth="1"/>
    <col min="6164" max="6164" width="20.5703125" style="1402" customWidth="1"/>
    <col min="6165" max="6165" width="19" style="1402" customWidth="1"/>
    <col min="6166" max="6166" width="3.140625" style="1402" customWidth="1"/>
    <col min="6167" max="6400" width="9.140625" style="1402"/>
    <col min="6401" max="6401" width="5.42578125" style="1402" customWidth="1"/>
    <col min="6402" max="6402" width="13.7109375" style="1402" customWidth="1"/>
    <col min="6403" max="6403" width="18.85546875" style="1402" customWidth="1"/>
    <col min="6404" max="6404" width="0.140625" style="1402" customWidth="1"/>
    <col min="6405" max="6406" width="0" style="1402" hidden="1" customWidth="1"/>
    <col min="6407" max="6407" width="12.42578125" style="1402" customWidth="1"/>
    <col min="6408" max="6408" width="0.5703125" style="1402" customWidth="1"/>
    <col min="6409" max="6409" width="18.28515625" style="1402" customWidth="1"/>
    <col min="6410" max="6410" width="1" style="1402" customWidth="1"/>
    <col min="6411" max="6411" width="7.140625" style="1402" customWidth="1"/>
    <col min="6412" max="6412" width="9.7109375" style="1402" customWidth="1"/>
    <col min="6413" max="6413" width="16.7109375" style="1402" customWidth="1"/>
    <col min="6414" max="6414" width="1.85546875" style="1402" customWidth="1"/>
    <col min="6415" max="6415" width="14.7109375" style="1402" customWidth="1"/>
    <col min="6416" max="6416" width="11.85546875" style="1402" customWidth="1"/>
    <col min="6417" max="6417" width="2.85546875" style="1402" customWidth="1"/>
    <col min="6418" max="6418" width="10.7109375" style="1402" customWidth="1"/>
    <col min="6419" max="6419" width="3.85546875" style="1402" customWidth="1"/>
    <col min="6420" max="6420" width="20.5703125" style="1402" customWidth="1"/>
    <col min="6421" max="6421" width="19" style="1402" customWidth="1"/>
    <col min="6422" max="6422" width="3.140625" style="1402" customWidth="1"/>
    <col min="6423" max="6656" width="9.140625" style="1402"/>
    <col min="6657" max="6657" width="5.42578125" style="1402" customWidth="1"/>
    <col min="6658" max="6658" width="13.7109375" style="1402" customWidth="1"/>
    <col min="6659" max="6659" width="18.85546875" style="1402" customWidth="1"/>
    <col min="6660" max="6660" width="0.140625" style="1402" customWidth="1"/>
    <col min="6661" max="6662" width="0" style="1402" hidden="1" customWidth="1"/>
    <col min="6663" max="6663" width="12.42578125" style="1402" customWidth="1"/>
    <col min="6664" max="6664" width="0.5703125" style="1402" customWidth="1"/>
    <col min="6665" max="6665" width="18.28515625" style="1402" customWidth="1"/>
    <col min="6666" max="6666" width="1" style="1402" customWidth="1"/>
    <col min="6667" max="6667" width="7.140625" style="1402" customWidth="1"/>
    <col min="6668" max="6668" width="9.7109375" style="1402" customWidth="1"/>
    <col min="6669" max="6669" width="16.7109375" style="1402" customWidth="1"/>
    <col min="6670" max="6670" width="1.85546875" style="1402" customWidth="1"/>
    <col min="6671" max="6671" width="14.7109375" style="1402" customWidth="1"/>
    <col min="6672" max="6672" width="11.85546875" style="1402" customWidth="1"/>
    <col min="6673" max="6673" width="2.85546875" style="1402" customWidth="1"/>
    <col min="6674" max="6674" width="10.7109375" style="1402" customWidth="1"/>
    <col min="6675" max="6675" width="3.85546875" style="1402" customWidth="1"/>
    <col min="6676" max="6676" width="20.5703125" style="1402" customWidth="1"/>
    <col min="6677" max="6677" width="19" style="1402" customWidth="1"/>
    <col min="6678" max="6678" width="3.140625" style="1402" customWidth="1"/>
    <col min="6679" max="6912" width="9.140625" style="1402"/>
    <col min="6913" max="6913" width="5.42578125" style="1402" customWidth="1"/>
    <col min="6914" max="6914" width="13.7109375" style="1402" customWidth="1"/>
    <col min="6915" max="6915" width="18.85546875" style="1402" customWidth="1"/>
    <col min="6916" max="6916" width="0.140625" style="1402" customWidth="1"/>
    <col min="6917" max="6918" width="0" style="1402" hidden="1" customWidth="1"/>
    <col min="6919" max="6919" width="12.42578125" style="1402" customWidth="1"/>
    <col min="6920" max="6920" width="0.5703125" style="1402" customWidth="1"/>
    <col min="6921" max="6921" width="18.28515625" style="1402" customWidth="1"/>
    <col min="6922" max="6922" width="1" style="1402" customWidth="1"/>
    <col min="6923" max="6923" width="7.140625" style="1402" customWidth="1"/>
    <col min="6924" max="6924" width="9.7109375" style="1402" customWidth="1"/>
    <col min="6925" max="6925" width="16.7109375" style="1402" customWidth="1"/>
    <col min="6926" max="6926" width="1.85546875" style="1402" customWidth="1"/>
    <col min="6927" max="6927" width="14.7109375" style="1402" customWidth="1"/>
    <col min="6928" max="6928" width="11.85546875" style="1402" customWidth="1"/>
    <col min="6929" max="6929" width="2.85546875" style="1402" customWidth="1"/>
    <col min="6930" max="6930" width="10.7109375" style="1402" customWidth="1"/>
    <col min="6931" max="6931" width="3.85546875" style="1402" customWidth="1"/>
    <col min="6932" max="6932" width="20.5703125" style="1402" customWidth="1"/>
    <col min="6933" max="6933" width="19" style="1402" customWidth="1"/>
    <col min="6934" max="6934" width="3.140625" style="1402" customWidth="1"/>
    <col min="6935" max="7168" width="9.140625" style="1402"/>
    <col min="7169" max="7169" width="5.42578125" style="1402" customWidth="1"/>
    <col min="7170" max="7170" width="13.7109375" style="1402" customWidth="1"/>
    <col min="7171" max="7171" width="18.85546875" style="1402" customWidth="1"/>
    <col min="7172" max="7172" width="0.140625" style="1402" customWidth="1"/>
    <col min="7173" max="7174" width="0" style="1402" hidden="1" customWidth="1"/>
    <col min="7175" max="7175" width="12.42578125" style="1402" customWidth="1"/>
    <col min="7176" max="7176" width="0.5703125" style="1402" customWidth="1"/>
    <col min="7177" max="7177" width="18.28515625" style="1402" customWidth="1"/>
    <col min="7178" max="7178" width="1" style="1402" customWidth="1"/>
    <col min="7179" max="7179" width="7.140625" style="1402" customWidth="1"/>
    <col min="7180" max="7180" width="9.7109375" style="1402" customWidth="1"/>
    <col min="7181" max="7181" width="16.7109375" style="1402" customWidth="1"/>
    <col min="7182" max="7182" width="1.85546875" style="1402" customWidth="1"/>
    <col min="7183" max="7183" width="14.7109375" style="1402" customWidth="1"/>
    <col min="7184" max="7184" width="11.85546875" style="1402" customWidth="1"/>
    <col min="7185" max="7185" width="2.85546875" style="1402" customWidth="1"/>
    <col min="7186" max="7186" width="10.7109375" style="1402" customWidth="1"/>
    <col min="7187" max="7187" width="3.85546875" style="1402" customWidth="1"/>
    <col min="7188" max="7188" width="20.5703125" style="1402" customWidth="1"/>
    <col min="7189" max="7189" width="19" style="1402" customWidth="1"/>
    <col min="7190" max="7190" width="3.140625" style="1402" customWidth="1"/>
    <col min="7191" max="7424" width="9.140625" style="1402"/>
    <col min="7425" max="7425" width="5.42578125" style="1402" customWidth="1"/>
    <col min="7426" max="7426" width="13.7109375" style="1402" customWidth="1"/>
    <col min="7427" max="7427" width="18.85546875" style="1402" customWidth="1"/>
    <col min="7428" max="7428" width="0.140625" style="1402" customWidth="1"/>
    <col min="7429" max="7430" width="0" style="1402" hidden="1" customWidth="1"/>
    <col min="7431" max="7431" width="12.42578125" style="1402" customWidth="1"/>
    <col min="7432" max="7432" width="0.5703125" style="1402" customWidth="1"/>
    <col min="7433" max="7433" width="18.28515625" style="1402" customWidth="1"/>
    <col min="7434" max="7434" width="1" style="1402" customWidth="1"/>
    <col min="7435" max="7435" width="7.140625" style="1402" customWidth="1"/>
    <col min="7436" max="7436" width="9.7109375" style="1402" customWidth="1"/>
    <col min="7437" max="7437" width="16.7109375" style="1402" customWidth="1"/>
    <col min="7438" max="7438" width="1.85546875" style="1402" customWidth="1"/>
    <col min="7439" max="7439" width="14.7109375" style="1402" customWidth="1"/>
    <col min="7440" max="7440" width="11.85546875" style="1402" customWidth="1"/>
    <col min="7441" max="7441" width="2.85546875" style="1402" customWidth="1"/>
    <col min="7442" max="7442" width="10.7109375" style="1402" customWidth="1"/>
    <col min="7443" max="7443" width="3.85546875" style="1402" customWidth="1"/>
    <col min="7444" max="7444" width="20.5703125" style="1402" customWidth="1"/>
    <col min="7445" max="7445" width="19" style="1402" customWidth="1"/>
    <col min="7446" max="7446" width="3.140625" style="1402" customWidth="1"/>
    <col min="7447" max="7680" width="9.140625" style="1402"/>
    <col min="7681" max="7681" width="5.42578125" style="1402" customWidth="1"/>
    <col min="7682" max="7682" width="13.7109375" style="1402" customWidth="1"/>
    <col min="7683" max="7683" width="18.85546875" style="1402" customWidth="1"/>
    <col min="7684" max="7684" width="0.140625" style="1402" customWidth="1"/>
    <col min="7685" max="7686" width="0" style="1402" hidden="1" customWidth="1"/>
    <col min="7687" max="7687" width="12.42578125" style="1402" customWidth="1"/>
    <col min="7688" max="7688" width="0.5703125" style="1402" customWidth="1"/>
    <col min="7689" max="7689" width="18.28515625" style="1402" customWidth="1"/>
    <col min="7690" max="7690" width="1" style="1402" customWidth="1"/>
    <col min="7691" max="7691" width="7.140625" style="1402" customWidth="1"/>
    <col min="7692" max="7692" width="9.7109375" style="1402" customWidth="1"/>
    <col min="7693" max="7693" width="16.7109375" style="1402" customWidth="1"/>
    <col min="7694" max="7694" width="1.85546875" style="1402" customWidth="1"/>
    <col min="7695" max="7695" width="14.7109375" style="1402" customWidth="1"/>
    <col min="7696" max="7696" width="11.85546875" style="1402" customWidth="1"/>
    <col min="7697" max="7697" width="2.85546875" style="1402" customWidth="1"/>
    <col min="7698" max="7698" width="10.7109375" style="1402" customWidth="1"/>
    <col min="7699" max="7699" width="3.85546875" style="1402" customWidth="1"/>
    <col min="7700" max="7700" width="20.5703125" style="1402" customWidth="1"/>
    <col min="7701" max="7701" width="19" style="1402" customWidth="1"/>
    <col min="7702" max="7702" width="3.140625" style="1402" customWidth="1"/>
    <col min="7703" max="7936" width="9.140625" style="1402"/>
    <col min="7937" max="7937" width="5.42578125" style="1402" customWidth="1"/>
    <col min="7938" max="7938" width="13.7109375" style="1402" customWidth="1"/>
    <col min="7939" max="7939" width="18.85546875" style="1402" customWidth="1"/>
    <col min="7940" max="7940" width="0.140625" style="1402" customWidth="1"/>
    <col min="7941" max="7942" width="0" style="1402" hidden="1" customWidth="1"/>
    <col min="7943" max="7943" width="12.42578125" style="1402" customWidth="1"/>
    <col min="7944" max="7944" width="0.5703125" style="1402" customWidth="1"/>
    <col min="7945" max="7945" width="18.28515625" style="1402" customWidth="1"/>
    <col min="7946" max="7946" width="1" style="1402" customWidth="1"/>
    <col min="7947" max="7947" width="7.140625" style="1402" customWidth="1"/>
    <col min="7948" max="7948" width="9.7109375" style="1402" customWidth="1"/>
    <col min="7949" max="7949" width="16.7109375" style="1402" customWidth="1"/>
    <col min="7950" max="7950" width="1.85546875" style="1402" customWidth="1"/>
    <col min="7951" max="7951" width="14.7109375" style="1402" customWidth="1"/>
    <col min="7952" max="7952" width="11.85546875" style="1402" customWidth="1"/>
    <col min="7953" max="7953" width="2.85546875" style="1402" customWidth="1"/>
    <col min="7954" max="7954" width="10.7109375" style="1402" customWidth="1"/>
    <col min="7955" max="7955" width="3.85546875" style="1402" customWidth="1"/>
    <col min="7956" max="7956" width="20.5703125" style="1402" customWidth="1"/>
    <col min="7957" max="7957" width="19" style="1402" customWidth="1"/>
    <col min="7958" max="7958" width="3.140625" style="1402" customWidth="1"/>
    <col min="7959" max="8192" width="9.140625" style="1402"/>
    <col min="8193" max="8193" width="5.42578125" style="1402" customWidth="1"/>
    <col min="8194" max="8194" width="13.7109375" style="1402" customWidth="1"/>
    <col min="8195" max="8195" width="18.85546875" style="1402" customWidth="1"/>
    <col min="8196" max="8196" width="0.140625" style="1402" customWidth="1"/>
    <col min="8197" max="8198" width="0" style="1402" hidden="1" customWidth="1"/>
    <col min="8199" max="8199" width="12.42578125" style="1402" customWidth="1"/>
    <col min="8200" max="8200" width="0.5703125" style="1402" customWidth="1"/>
    <col min="8201" max="8201" width="18.28515625" style="1402" customWidth="1"/>
    <col min="8202" max="8202" width="1" style="1402" customWidth="1"/>
    <col min="8203" max="8203" width="7.140625" style="1402" customWidth="1"/>
    <col min="8204" max="8204" width="9.7109375" style="1402" customWidth="1"/>
    <col min="8205" max="8205" width="16.7109375" style="1402" customWidth="1"/>
    <col min="8206" max="8206" width="1.85546875" style="1402" customWidth="1"/>
    <col min="8207" max="8207" width="14.7109375" style="1402" customWidth="1"/>
    <col min="8208" max="8208" width="11.85546875" style="1402" customWidth="1"/>
    <col min="8209" max="8209" width="2.85546875" style="1402" customWidth="1"/>
    <col min="8210" max="8210" width="10.7109375" style="1402" customWidth="1"/>
    <col min="8211" max="8211" width="3.85546875" style="1402" customWidth="1"/>
    <col min="8212" max="8212" width="20.5703125" style="1402" customWidth="1"/>
    <col min="8213" max="8213" width="19" style="1402" customWidth="1"/>
    <col min="8214" max="8214" width="3.140625" style="1402" customWidth="1"/>
    <col min="8215" max="8448" width="9.140625" style="1402"/>
    <col min="8449" max="8449" width="5.42578125" style="1402" customWidth="1"/>
    <col min="8450" max="8450" width="13.7109375" style="1402" customWidth="1"/>
    <col min="8451" max="8451" width="18.85546875" style="1402" customWidth="1"/>
    <col min="8452" max="8452" width="0.140625" style="1402" customWidth="1"/>
    <col min="8453" max="8454" width="0" style="1402" hidden="1" customWidth="1"/>
    <col min="8455" max="8455" width="12.42578125" style="1402" customWidth="1"/>
    <col min="8456" max="8456" width="0.5703125" style="1402" customWidth="1"/>
    <col min="8457" max="8457" width="18.28515625" style="1402" customWidth="1"/>
    <col min="8458" max="8458" width="1" style="1402" customWidth="1"/>
    <col min="8459" max="8459" width="7.140625" style="1402" customWidth="1"/>
    <col min="8460" max="8460" width="9.7109375" style="1402" customWidth="1"/>
    <col min="8461" max="8461" width="16.7109375" style="1402" customWidth="1"/>
    <col min="8462" max="8462" width="1.85546875" style="1402" customWidth="1"/>
    <col min="8463" max="8463" width="14.7109375" style="1402" customWidth="1"/>
    <col min="8464" max="8464" width="11.85546875" style="1402" customWidth="1"/>
    <col min="8465" max="8465" width="2.85546875" style="1402" customWidth="1"/>
    <col min="8466" max="8466" width="10.7109375" style="1402" customWidth="1"/>
    <col min="8467" max="8467" width="3.85546875" style="1402" customWidth="1"/>
    <col min="8468" max="8468" width="20.5703125" style="1402" customWidth="1"/>
    <col min="8469" max="8469" width="19" style="1402" customWidth="1"/>
    <col min="8470" max="8470" width="3.140625" style="1402" customWidth="1"/>
    <col min="8471" max="8704" width="9.140625" style="1402"/>
    <col min="8705" max="8705" width="5.42578125" style="1402" customWidth="1"/>
    <col min="8706" max="8706" width="13.7109375" style="1402" customWidth="1"/>
    <col min="8707" max="8707" width="18.85546875" style="1402" customWidth="1"/>
    <col min="8708" max="8708" width="0.140625" style="1402" customWidth="1"/>
    <col min="8709" max="8710" width="0" style="1402" hidden="1" customWidth="1"/>
    <col min="8711" max="8711" width="12.42578125" style="1402" customWidth="1"/>
    <col min="8712" max="8712" width="0.5703125" style="1402" customWidth="1"/>
    <col min="8713" max="8713" width="18.28515625" style="1402" customWidth="1"/>
    <col min="8714" max="8714" width="1" style="1402" customWidth="1"/>
    <col min="8715" max="8715" width="7.140625" style="1402" customWidth="1"/>
    <col min="8716" max="8716" width="9.7109375" style="1402" customWidth="1"/>
    <col min="8717" max="8717" width="16.7109375" style="1402" customWidth="1"/>
    <col min="8718" max="8718" width="1.85546875" style="1402" customWidth="1"/>
    <col min="8719" max="8719" width="14.7109375" style="1402" customWidth="1"/>
    <col min="8720" max="8720" width="11.85546875" style="1402" customWidth="1"/>
    <col min="8721" max="8721" width="2.85546875" style="1402" customWidth="1"/>
    <col min="8722" max="8722" width="10.7109375" style="1402" customWidth="1"/>
    <col min="8723" max="8723" width="3.85546875" style="1402" customWidth="1"/>
    <col min="8724" max="8724" width="20.5703125" style="1402" customWidth="1"/>
    <col min="8725" max="8725" width="19" style="1402" customWidth="1"/>
    <col min="8726" max="8726" width="3.140625" style="1402" customWidth="1"/>
    <col min="8727" max="8960" width="9.140625" style="1402"/>
    <col min="8961" max="8961" width="5.42578125" style="1402" customWidth="1"/>
    <col min="8962" max="8962" width="13.7109375" style="1402" customWidth="1"/>
    <col min="8963" max="8963" width="18.85546875" style="1402" customWidth="1"/>
    <col min="8964" max="8964" width="0.140625" style="1402" customWidth="1"/>
    <col min="8965" max="8966" width="0" style="1402" hidden="1" customWidth="1"/>
    <col min="8967" max="8967" width="12.42578125" style="1402" customWidth="1"/>
    <col min="8968" max="8968" width="0.5703125" style="1402" customWidth="1"/>
    <col min="8969" max="8969" width="18.28515625" style="1402" customWidth="1"/>
    <col min="8970" max="8970" width="1" style="1402" customWidth="1"/>
    <col min="8971" max="8971" width="7.140625" style="1402" customWidth="1"/>
    <col min="8972" max="8972" width="9.7109375" style="1402" customWidth="1"/>
    <col min="8973" max="8973" width="16.7109375" style="1402" customWidth="1"/>
    <col min="8974" max="8974" width="1.85546875" style="1402" customWidth="1"/>
    <col min="8975" max="8975" width="14.7109375" style="1402" customWidth="1"/>
    <col min="8976" max="8976" width="11.85546875" style="1402" customWidth="1"/>
    <col min="8977" max="8977" width="2.85546875" style="1402" customWidth="1"/>
    <col min="8978" max="8978" width="10.7109375" style="1402" customWidth="1"/>
    <col min="8979" max="8979" width="3.85546875" style="1402" customWidth="1"/>
    <col min="8980" max="8980" width="20.5703125" style="1402" customWidth="1"/>
    <col min="8981" max="8981" width="19" style="1402" customWidth="1"/>
    <col min="8982" max="8982" width="3.140625" style="1402" customWidth="1"/>
    <col min="8983" max="9216" width="9.140625" style="1402"/>
    <col min="9217" max="9217" width="5.42578125" style="1402" customWidth="1"/>
    <col min="9218" max="9218" width="13.7109375" style="1402" customWidth="1"/>
    <col min="9219" max="9219" width="18.85546875" style="1402" customWidth="1"/>
    <col min="9220" max="9220" width="0.140625" style="1402" customWidth="1"/>
    <col min="9221" max="9222" width="0" style="1402" hidden="1" customWidth="1"/>
    <col min="9223" max="9223" width="12.42578125" style="1402" customWidth="1"/>
    <col min="9224" max="9224" width="0.5703125" style="1402" customWidth="1"/>
    <col min="9225" max="9225" width="18.28515625" style="1402" customWidth="1"/>
    <col min="9226" max="9226" width="1" style="1402" customWidth="1"/>
    <col min="9227" max="9227" width="7.140625" style="1402" customWidth="1"/>
    <col min="9228" max="9228" width="9.7109375" style="1402" customWidth="1"/>
    <col min="9229" max="9229" width="16.7109375" style="1402" customWidth="1"/>
    <col min="9230" max="9230" width="1.85546875" style="1402" customWidth="1"/>
    <col min="9231" max="9231" width="14.7109375" style="1402" customWidth="1"/>
    <col min="9232" max="9232" width="11.85546875" style="1402" customWidth="1"/>
    <col min="9233" max="9233" width="2.85546875" style="1402" customWidth="1"/>
    <col min="9234" max="9234" width="10.7109375" style="1402" customWidth="1"/>
    <col min="9235" max="9235" width="3.85546875" style="1402" customWidth="1"/>
    <col min="9236" max="9236" width="20.5703125" style="1402" customWidth="1"/>
    <col min="9237" max="9237" width="19" style="1402" customWidth="1"/>
    <col min="9238" max="9238" width="3.140625" style="1402" customWidth="1"/>
    <col min="9239" max="9472" width="9.140625" style="1402"/>
    <col min="9473" max="9473" width="5.42578125" style="1402" customWidth="1"/>
    <col min="9474" max="9474" width="13.7109375" style="1402" customWidth="1"/>
    <col min="9475" max="9475" width="18.85546875" style="1402" customWidth="1"/>
    <col min="9476" max="9476" width="0.140625" style="1402" customWidth="1"/>
    <col min="9477" max="9478" width="0" style="1402" hidden="1" customWidth="1"/>
    <col min="9479" max="9479" width="12.42578125" style="1402" customWidth="1"/>
    <col min="9480" max="9480" width="0.5703125" style="1402" customWidth="1"/>
    <col min="9481" max="9481" width="18.28515625" style="1402" customWidth="1"/>
    <col min="9482" max="9482" width="1" style="1402" customWidth="1"/>
    <col min="9483" max="9483" width="7.140625" style="1402" customWidth="1"/>
    <col min="9484" max="9484" width="9.7109375" style="1402" customWidth="1"/>
    <col min="9485" max="9485" width="16.7109375" style="1402" customWidth="1"/>
    <col min="9486" max="9486" width="1.85546875" style="1402" customWidth="1"/>
    <col min="9487" max="9487" width="14.7109375" style="1402" customWidth="1"/>
    <col min="9488" max="9488" width="11.85546875" style="1402" customWidth="1"/>
    <col min="9489" max="9489" width="2.85546875" style="1402" customWidth="1"/>
    <col min="9490" max="9490" width="10.7109375" style="1402" customWidth="1"/>
    <col min="9491" max="9491" width="3.85546875" style="1402" customWidth="1"/>
    <col min="9492" max="9492" width="20.5703125" style="1402" customWidth="1"/>
    <col min="9493" max="9493" width="19" style="1402" customWidth="1"/>
    <col min="9494" max="9494" width="3.140625" style="1402" customWidth="1"/>
    <col min="9495" max="9728" width="9.140625" style="1402"/>
    <col min="9729" max="9729" width="5.42578125" style="1402" customWidth="1"/>
    <col min="9730" max="9730" width="13.7109375" style="1402" customWidth="1"/>
    <col min="9731" max="9731" width="18.85546875" style="1402" customWidth="1"/>
    <col min="9732" max="9732" width="0.140625" style="1402" customWidth="1"/>
    <col min="9733" max="9734" width="0" style="1402" hidden="1" customWidth="1"/>
    <col min="9735" max="9735" width="12.42578125" style="1402" customWidth="1"/>
    <col min="9736" max="9736" width="0.5703125" style="1402" customWidth="1"/>
    <col min="9737" max="9737" width="18.28515625" style="1402" customWidth="1"/>
    <col min="9738" max="9738" width="1" style="1402" customWidth="1"/>
    <col min="9739" max="9739" width="7.140625" style="1402" customWidth="1"/>
    <col min="9740" max="9740" width="9.7109375" style="1402" customWidth="1"/>
    <col min="9741" max="9741" width="16.7109375" style="1402" customWidth="1"/>
    <col min="9742" max="9742" width="1.85546875" style="1402" customWidth="1"/>
    <col min="9743" max="9743" width="14.7109375" style="1402" customWidth="1"/>
    <col min="9744" max="9744" width="11.85546875" style="1402" customWidth="1"/>
    <col min="9745" max="9745" width="2.85546875" style="1402" customWidth="1"/>
    <col min="9746" max="9746" width="10.7109375" style="1402" customWidth="1"/>
    <col min="9747" max="9747" width="3.85546875" style="1402" customWidth="1"/>
    <col min="9748" max="9748" width="20.5703125" style="1402" customWidth="1"/>
    <col min="9749" max="9749" width="19" style="1402" customWidth="1"/>
    <col min="9750" max="9750" width="3.140625" style="1402" customWidth="1"/>
    <col min="9751" max="9984" width="9.140625" style="1402"/>
    <col min="9985" max="9985" width="5.42578125" style="1402" customWidth="1"/>
    <col min="9986" max="9986" width="13.7109375" style="1402" customWidth="1"/>
    <col min="9987" max="9987" width="18.85546875" style="1402" customWidth="1"/>
    <col min="9988" max="9988" width="0.140625" style="1402" customWidth="1"/>
    <col min="9989" max="9990" width="0" style="1402" hidden="1" customWidth="1"/>
    <col min="9991" max="9991" width="12.42578125" style="1402" customWidth="1"/>
    <col min="9992" max="9992" width="0.5703125" style="1402" customWidth="1"/>
    <col min="9993" max="9993" width="18.28515625" style="1402" customWidth="1"/>
    <col min="9994" max="9994" width="1" style="1402" customWidth="1"/>
    <col min="9995" max="9995" width="7.140625" style="1402" customWidth="1"/>
    <col min="9996" max="9996" width="9.7109375" style="1402" customWidth="1"/>
    <col min="9997" max="9997" width="16.7109375" style="1402" customWidth="1"/>
    <col min="9998" max="9998" width="1.85546875" style="1402" customWidth="1"/>
    <col min="9999" max="9999" width="14.7109375" style="1402" customWidth="1"/>
    <col min="10000" max="10000" width="11.85546875" style="1402" customWidth="1"/>
    <col min="10001" max="10001" width="2.85546875" style="1402" customWidth="1"/>
    <col min="10002" max="10002" width="10.7109375" style="1402" customWidth="1"/>
    <col min="10003" max="10003" width="3.85546875" style="1402" customWidth="1"/>
    <col min="10004" max="10004" width="20.5703125" style="1402" customWidth="1"/>
    <col min="10005" max="10005" width="19" style="1402" customWidth="1"/>
    <col min="10006" max="10006" width="3.140625" style="1402" customWidth="1"/>
    <col min="10007" max="10240" width="9.140625" style="1402"/>
    <col min="10241" max="10241" width="5.42578125" style="1402" customWidth="1"/>
    <col min="10242" max="10242" width="13.7109375" style="1402" customWidth="1"/>
    <col min="10243" max="10243" width="18.85546875" style="1402" customWidth="1"/>
    <col min="10244" max="10244" width="0.140625" style="1402" customWidth="1"/>
    <col min="10245" max="10246" width="0" style="1402" hidden="1" customWidth="1"/>
    <col min="10247" max="10247" width="12.42578125" style="1402" customWidth="1"/>
    <col min="10248" max="10248" width="0.5703125" style="1402" customWidth="1"/>
    <col min="10249" max="10249" width="18.28515625" style="1402" customWidth="1"/>
    <col min="10250" max="10250" width="1" style="1402" customWidth="1"/>
    <col min="10251" max="10251" width="7.140625" style="1402" customWidth="1"/>
    <col min="10252" max="10252" width="9.7109375" style="1402" customWidth="1"/>
    <col min="10253" max="10253" width="16.7109375" style="1402" customWidth="1"/>
    <col min="10254" max="10254" width="1.85546875" style="1402" customWidth="1"/>
    <col min="10255" max="10255" width="14.7109375" style="1402" customWidth="1"/>
    <col min="10256" max="10256" width="11.85546875" style="1402" customWidth="1"/>
    <col min="10257" max="10257" width="2.85546875" style="1402" customWidth="1"/>
    <col min="10258" max="10258" width="10.7109375" style="1402" customWidth="1"/>
    <col min="10259" max="10259" width="3.85546875" style="1402" customWidth="1"/>
    <col min="10260" max="10260" width="20.5703125" style="1402" customWidth="1"/>
    <col min="10261" max="10261" width="19" style="1402" customWidth="1"/>
    <col min="10262" max="10262" width="3.140625" style="1402" customWidth="1"/>
    <col min="10263" max="10496" width="9.140625" style="1402"/>
    <col min="10497" max="10497" width="5.42578125" style="1402" customWidth="1"/>
    <col min="10498" max="10498" width="13.7109375" style="1402" customWidth="1"/>
    <col min="10499" max="10499" width="18.85546875" style="1402" customWidth="1"/>
    <col min="10500" max="10500" width="0.140625" style="1402" customWidth="1"/>
    <col min="10501" max="10502" width="0" style="1402" hidden="1" customWidth="1"/>
    <col min="10503" max="10503" width="12.42578125" style="1402" customWidth="1"/>
    <col min="10504" max="10504" width="0.5703125" style="1402" customWidth="1"/>
    <col min="10505" max="10505" width="18.28515625" style="1402" customWidth="1"/>
    <col min="10506" max="10506" width="1" style="1402" customWidth="1"/>
    <col min="10507" max="10507" width="7.140625" style="1402" customWidth="1"/>
    <col min="10508" max="10508" width="9.7109375" style="1402" customWidth="1"/>
    <col min="10509" max="10509" width="16.7109375" style="1402" customWidth="1"/>
    <col min="10510" max="10510" width="1.85546875" style="1402" customWidth="1"/>
    <col min="10511" max="10511" width="14.7109375" style="1402" customWidth="1"/>
    <col min="10512" max="10512" width="11.85546875" style="1402" customWidth="1"/>
    <col min="10513" max="10513" width="2.85546875" style="1402" customWidth="1"/>
    <col min="10514" max="10514" width="10.7109375" style="1402" customWidth="1"/>
    <col min="10515" max="10515" width="3.85546875" style="1402" customWidth="1"/>
    <col min="10516" max="10516" width="20.5703125" style="1402" customWidth="1"/>
    <col min="10517" max="10517" width="19" style="1402" customWidth="1"/>
    <col min="10518" max="10518" width="3.140625" style="1402" customWidth="1"/>
    <col min="10519" max="10752" width="9.140625" style="1402"/>
    <col min="10753" max="10753" width="5.42578125" style="1402" customWidth="1"/>
    <col min="10754" max="10754" width="13.7109375" style="1402" customWidth="1"/>
    <col min="10755" max="10755" width="18.85546875" style="1402" customWidth="1"/>
    <col min="10756" max="10756" width="0.140625" style="1402" customWidth="1"/>
    <col min="10757" max="10758" width="0" style="1402" hidden="1" customWidth="1"/>
    <col min="10759" max="10759" width="12.42578125" style="1402" customWidth="1"/>
    <col min="10760" max="10760" width="0.5703125" style="1402" customWidth="1"/>
    <col min="10761" max="10761" width="18.28515625" style="1402" customWidth="1"/>
    <col min="10762" max="10762" width="1" style="1402" customWidth="1"/>
    <col min="10763" max="10763" width="7.140625" style="1402" customWidth="1"/>
    <col min="10764" max="10764" width="9.7109375" style="1402" customWidth="1"/>
    <col min="10765" max="10765" width="16.7109375" style="1402" customWidth="1"/>
    <col min="10766" max="10766" width="1.85546875" style="1402" customWidth="1"/>
    <col min="10767" max="10767" width="14.7109375" style="1402" customWidth="1"/>
    <col min="10768" max="10768" width="11.85546875" style="1402" customWidth="1"/>
    <col min="10769" max="10769" width="2.85546875" style="1402" customWidth="1"/>
    <col min="10770" max="10770" width="10.7109375" style="1402" customWidth="1"/>
    <col min="10771" max="10771" width="3.85546875" style="1402" customWidth="1"/>
    <col min="10772" max="10772" width="20.5703125" style="1402" customWidth="1"/>
    <col min="10773" max="10773" width="19" style="1402" customWidth="1"/>
    <col min="10774" max="10774" width="3.140625" style="1402" customWidth="1"/>
    <col min="10775" max="11008" width="9.140625" style="1402"/>
    <col min="11009" max="11009" width="5.42578125" style="1402" customWidth="1"/>
    <col min="11010" max="11010" width="13.7109375" style="1402" customWidth="1"/>
    <col min="11011" max="11011" width="18.85546875" style="1402" customWidth="1"/>
    <col min="11012" max="11012" width="0.140625" style="1402" customWidth="1"/>
    <col min="11013" max="11014" width="0" style="1402" hidden="1" customWidth="1"/>
    <col min="11015" max="11015" width="12.42578125" style="1402" customWidth="1"/>
    <col min="11016" max="11016" width="0.5703125" style="1402" customWidth="1"/>
    <col min="11017" max="11017" width="18.28515625" style="1402" customWidth="1"/>
    <col min="11018" max="11018" width="1" style="1402" customWidth="1"/>
    <col min="11019" max="11019" width="7.140625" style="1402" customWidth="1"/>
    <col min="11020" max="11020" width="9.7109375" style="1402" customWidth="1"/>
    <col min="11021" max="11021" width="16.7109375" style="1402" customWidth="1"/>
    <col min="11022" max="11022" width="1.85546875" style="1402" customWidth="1"/>
    <col min="11023" max="11023" width="14.7109375" style="1402" customWidth="1"/>
    <col min="11024" max="11024" width="11.85546875" style="1402" customWidth="1"/>
    <col min="11025" max="11025" width="2.85546875" style="1402" customWidth="1"/>
    <col min="11026" max="11026" width="10.7109375" style="1402" customWidth="1"/>
    <col min="11027" max="11027" width="3.85546875" style="1402" customWidth="1"/>
    <col min="11028" max="11028" width="20.5703125" style="1402" customWidth="1"/>
    <col min="11029" max="11029" width="19" style="1402" customWidth="1"/>
    <col min="11030" max="11030" width="3.140625" style="1402" customWidth="1"/>
    <col min="11031" max="11264" width="9.140625" style="1402"/>
    <col min="11265" max="11265" width="5.42578125" style="1402" customWidth="1"/>
    <col min="11266" max="11266" width="13.7109375" style="1402" customWidth="1"/>
    <col min="11267" max="11267" width="18.85546875" style="1402" customWidth="1"/>
    <col min="11268" max="11268" width="0.140625" style="1402" customWidth="1"/>
    <col min="11269" max="11270" width="0" style="1402" hidden="1" customWidth="1"/>
    <col min="11271" max="11271" width="12.42578125" style="1402" customWidth="1"/>
    <col min="11272" max="11272" width="0.5703125" style="1402" customWidth="1"/>
    <col min="11273" max="11273" width="18.28515625" style="1402" customWidth="1"/>
    <col min="11274" max="11274" width="1" style="1402" customWidth="1"/>
    <col min="11275" max="11275" width="7.140625" style="1402" customWidth="1"/>
    <col min="11276" max="11276" width="9.7109375" style="1402" customWidth="1"/>
    <col min="11277" max="11277" width="16.7109375" style="1402" customWidth="1"/>
    <col min="11278" max="11278" width="1.85546875" style="1402" customWidth="1"/>
    <col min="11279" max="11279" width="14.7109375" style="1402" customWidth="1"/>
    <col min="11280" max="11280" width="11.85546875" style="1402" customWidth="1"/>
    <col min="11281" max="11281" width="2.85546875" style="1402" customWidth="1"/>
    <col min="11282" max="11282" width="10.7109375" style="1402" customWidth="1"/>
    <col min="11283" max="11283" width="3.85546875" style="1402" customWidth="1"/>
    <col min="11284" max="11284" width="20.5703125" style="1402" customWidth="1"/>
    <col min="11285" max="11285" width="19" style="1402" customWidth="1"/>
    <col min="11286" max="11286" width="3.140625" style="1402" customWidth="1"/>
    <col min="11287" max="11520" width="9.140625" style="1402"/>
    <col min="11521" max="11521" width="5.42578125" style="1402" customWidth="1"/>
    <col min="11522" max="11522" width="13.7109375" style="1402" customWidth="1"/>
    <col min="11523" max="11523" width="18.85546875" style="1402" customWidth="1"/>
    <col min="11524" max="11524" width="0.140625" style="1402" customWidth="1"/>
    <col min="11525" max="11526" width="0" style="1402" hidden="1" customWidth="1"/>
    <col min="11527" max="11527" width="12.42578125" style="1402" customWidth="1"/>
    <col min="11528" max="11528" width="0.5703125" style="1402" customWidth="1"/>
    <col min="11529" max="11529" width="18.28515625" style="1402" customWidth="1"/>
    <col min="11530" max="11530" width="1" style="1402" customWidth="1"/>
    <col min="11531" max="11531" width="7.140625" style="1402" customWidth="1"/>
    <col min="11532" max="11532" width="9.7109375" style="1402" customWidth="1"/>
    <col min="11533" max="11533" width="16.7109375" style="1402" customWidth="1"/>
    <col min="11534" max="11534" width="1.85546875" style="1402" customWidth="1"/>
    <col min="11535" max="11535" width="14.7109375" style="1402" customWidth="1"/>
    <col min="11536" max="11536" width="11.85546875" style="1402" customWidth="1"/>
    <col min="11537" max="11537" width="2.85546875" style="1402" customWidth="1"/>
    <col min="11538" max="11538" width="10.7109375" style="1402" customWidth="1"/>
    <col min="11539" max="11539" width="3.85546875" style="1402" customWidth="1"/>
    <col min="11540" max="11540" width="20.5703125" style="1402" customWidth="1"/>
    <col min="11541" max="11541" width="19" style="1402" customWidth="1"/>
    <col min="11542" max="11542" width="3.140625" style="1402" customWidth="1"/>
    <col min="11543" max="11776" width="9.140625" style="1402"/>
    <col min="11777" max="11777" width="5.42578125" style="1402" customWidth="1"/>
    <col min="11778" max="11778" width="13.7109375" style="1402" customWidth="1"/>
    <col min="11779" max="11779" width="18.85546875" style="1402" customWidth="1"/>
    <col min="11780" max="11780" width="0.140625" style="1402" customWidth="1"/>
    <col min="11781" max="11782" width="0" style="1402" hidden="1" customWidth="1"/>
    <col min="11783" max="11783" width="12.42578125" style="1402" customWidth="1"/>
    <col min="11784" max="11784" width="0.5703125" style="1402" customWidth="1"/>
    <col min="11785" max="11785" width="18.28515625" style="1402" customWidth="1"/>
    <col min="11786" max="11786" width="1" style="1402" customWidth="1"/>
    <col min="11787" max="11787" width="7.140625" style="1402" customWidth="1"/>
    <col min="11788" max="11788" width="9.7109375" style="1402" customWidth="1"/>
    <col min="11789" max="11789" width="16.7109375" style="1402" customWidth="1"/>
    <col min="11790" max="11790" width="1.85546875" style="1402" customWidth="1"/>
    <col min="11791" max="11791" width="14.7109375" style="1402" customWidth="1"/>
    <col min="11792" max="11792" width="11.85546875" style="1402" customWidth="1"/>
    <col min="11793" max="11793" width="2.85546875" style="1402" customWidth="1"/>
    <col min="11794" max="11794" width="10.7109375" style="1402" customWidth="1"/>
    <col min="11795" max="11795" width="3.85546875" style="1402" customWidth="1"/>
    <col min="11796" max="11796" width="20.5703125" style="1402" customWidth="1"/>
    <col min="11797" max="11797" width="19" style="1402" customWidth="1"/>
    <col min="11798" max="11798" width="3.140625" style="1402" customWidth="1"/>
    <col min="11799" max="12032" width="9.140625" style="1402"/>
    <col min="12033" max="12033" width="5.42578125" style="1402" customWidth="1"/>
    <col min="12034" max="12034" width="13.7109375" style="1402" customWidth="1"/>
    <col min="12035" max="12035" width="18.85546875" style="1402" customWidth="1"/>
    <col min="12036" max="12036" width="0.140625" style="1402" customWidth="1"/>
    <col min="12037" max="12038" width="0" style="1402" hidden="1" customWidth="1"/>
    <col min="12039" max="12039" width="12.42578125" style="1402" customWidth="1"/>
    <col min="12040" max="12040" width="0.5703125" style="1402" customWidth="1"/>
    <col min="12041" max="12041" width="18.28515625" style="1402" customWidth="1"/>
    <col min="12042" max="12042" width="1" style="1402" customWidth="1"/>
    <col min="12043" max="12043" width="7.140625" style="1402" customWidth="1"/>
    <col min="12044" max="12044" width="9.7109375" style="1402" customWidth="1"/>
    <col min="12045" max="12045" width="16.7109375" style="1402" customWidth="1"/>
    <col min="12046" max="12046" width="1.85546875" style="1402" customWidth="1"/>
    <col min="12047" max="12047" width="14.7109375" style="1402" customWidth="1"/>
    <col min="12048" max="12048" width="11.85546875" style="1402" customWidth="1"/>
    <col min="12049" max="12049" width="2.85546875" style="1402" customWidth="1"/>
    <col min="12050" max="12050" width="10.7109375" style="1402" customWidth="1"/>
    <col min="12051" max="12051" width="3.85546875" style="1402" customWidth="1"/>
    <col min="12052" max="12052" width="20.5703125" style="1402" customWidth="1"/>
    <col min="12053" max="12053" width="19" style="1402" customWidth="1"/>
    <col min="12054" max="12054" width="3.140625" style="1402" customWidth="1"/>
    <col min="12055" max="12288" width="9.140625" style="1402"/>
    <col min="12289" max="12289" width="5.42578125" style="1402" customWidth="1"/>
    <col min="12290" max="12290" width="13.7109375" style="1402" customWidth="1"/>
    <col min="12291" max="12291" width="18.85546875" style="1402" customWidth="1"/>
    <col min="12292" max="12292" width="0.140625" style="1402" customWidth="1"/>
    <col min="12293" max="12294" width="0" style="1402" hidden="1" customWidth="1"/>
    <col min="12295" max="12295" width="12.42578125" style="1402" customWidth="1"/>
    <col min="12296" max="12296" width="0.5703125" style="1402" customWidth="1"/>
    <col min="12297" max="12297" width="18.28515625" style="1402" customWidth="1"/>
    <col min="12298" max="12298" width="1" style="1402" customWidth="1"/>
    <col min="12299" max="12299" width="7.140625" style="1402" customWidth="1"/>
    <col min="12300" max="12300" width="9.7109375" style="1402" customWidth="1"/>
    <col min="12301" max="12301" width="16.7109375" style="1402" customWidth="1"/>
    <col min="12302" max="12302" width="1.85546875" style="1402" customWidth="1"/>
    <col min="12303" max="12303" width="14.7109375" style="1402" customWidth="1"/>
    <col min="12304" max="12304" width="11.85546875" style="1402" customWidth="1"/>
    <col min="12305" max="12305" width="2.85546875" style="1402" customWidth="1"/>
    <col min="12306" max="12306" width="10.7109375" style="1402" customWidth="1"/>
    <col min="12307" max="12307" width="3.85546875" style="1402" customWidth="1"/>
    <col min="12308" max="12308" width="20.5703125" style="1402" customWidth="1"/>
    <col min="12309" max="12309" width="19" style="1402" customWidth="1"/>
    <col min="12310" max="12310" width="3.140625" style="1402" customWidth="1"/>
    <col min="12311" max="12544" width="9.140625" style="1402"/>
    <col min="12545" max="12545" width="5.42578125" style="1402" customWidth="1"/>
    <col min="12546" max="12546" width="13.7109375" style="1402" customWidth="1"/>
    <col min="12547" max="12547" width="18.85546875" style="1402" customWidth="1"/>
    <col min="12548" max="12548" width="0.140625" style="1402" customWidth="1"/>
    <col min="12549" max="12550" width="0" style="1402" hidden="1" customWidth="1"/>
    <col min="12551" max="12551" width="12.42578125" style="1402" customWidth="1"/>
    <col min="12552" max="12552" width="0.5703125" style="1402" customWidth="1"/>
    <col min="12553" max="12553" width="18.28515625" style="1402" customWidth="1"/>
    <col min="12554" max="12554" width="1" style="1402" customWidth="1"/>
    <col min="12555" max="12555" width="7.140625" style="1402" customWidth="1"/>
    <col min="12556" max="12556" width="9.7109375" style="1402" customWidth="1"/>
    <col min="12557" max="12557" width="16.7109375" style="1402" customWidth="1"/>
    <col min="12558" max="12558" width="1.85546875" style="1402" customWidth="1"/>
    <col min="12559" max="12559" width="14.7109375" style="1402" customWidth="1"/>
    <col min="12560" max="12560" width="11.85546875" style="1402" customWidth="1"/>
    <col min="12561" max="12561" width="2.85546875" style="1402" customWidth="1"/>
    <col min="12562" max="12562" width="10.7109375" style="1402" customWidth="1"/>
    <col min="12563" max="12563" width="3.85546875" style="1402" customWidth="1"/>
    <col min="12564" max="12564" width="20.5703125" style="1402" customWidth="1"/>
    <col min="12565" max="12565" width="19" style="1402" customWidth="1"/>
    <col min="12566" max="12566" width="3.140625" style="1402" customWidth="1"/>
    <col min="12567" max="12800" width="9.140625" style="1402"/>
    <col min="12801" max="12801" width="5.42578125" style="1402" customWidth="1"/>
    <col min="12802" max="12802" width="13.7109375" style="1402" customWidth="1"/>
    <col min="12803" max="12803" width="18.85546875" style="1402" customWidth="1"/>
    <col min="12804" max="12804" width="0.140625" style="1402" customWidth="1"/>
    <col min="12805" max="12806" width="0" style="1402" hidden="1" customWidth="1"/>
    <col min="12807" max="12807" width="12.42578125" style="1402" customWidth="1"/>
    <col min="12808" max="12808" width="0.5703125" style="1402" customWidth="1"/>
    <col min="12809" max="12809" width="18.28515625" style="1402" customWidth="1"/>
    <col min="12810" max="12810" width="1" style="1402" customWidth="1"/>
    <col min="12811" max="12811" width="7.140625" style="1402" customWidth="1"/>
    <col min="12812" max="12812" width="9.7109375" style="1402" customWidth="1"/>
    <col min="12813" max="12813" width="16.7109375" style="1402" customWidth="1"/>
    <col min="12814" max="12814" width="1.85546875" style="1402" customWidth="1"/>
    <col min="12815" max="12815" width="14.7109375" style="1402" customWidth="1"/>
    <col min="12816" max="12816" width="11.85546875" style="1402" customWidth="1"/>
    <col min="12817" max="12817" width="2.85546875" style="1402" customWidth="1"/>
    <col min="12818" max="12818" width="10.7109375" style="1402" customWidth="1"/>
    <col min="12819" max="12819" width="3.85546875" style="1402" customWidth="1"/>
    <col min="12820" max="12820" width="20.5703125" style="1402" customWidth="1"/>
    <col min="12821" max="12821" width="19" style="1402" customWidth="1"/>
    <col min="12822" max="12822" width="3.140625" style="1402" customWidth="1"/>
    <col min="12823" max="13056" width="9.140625" style="1402"/>
    <col min="13057" max="13057" width="5.42578125" style="1402" customWidth="1"/>
    <col min="13058" max="13058" width="13.7109375" style="1402" customWidth="1"/>
    <col min="13059" max="13059" width="18.85546875" style="1402" customWidth="1"/>
    <col min="13060" max="13060" width="0.140625" style="1402" customWidth="1"/>
    <col min="13061" max="13062" width="0" style="1402" hidden="1" customWidth="1"/>
    <col min="13063" max="13063" width="12.42578125" style="1402" customWidth="1"/>
    <col min="13064" max="13064" width="0.5703125" style="1402" customWidth="1"/>
    <col min="13065" max="13065" width="18.28515625" style="1402" customWidth="1"/>
    <col min="13066" max="13066" width="1" style="1402" customWidth="1"/>
    <col min="13067" max="13067" width="7.140625" style="1402" customWidth="1"/>
    <col min="13068" max="13068" width="9.7109375" style="1402" customWidth="1"/>
    <col min="13069" max="13069" width="16.7109375" style="1402" customWidth="1"/>
    <col min="13070" max="13070" width="1.85546875" style="1402" customWidth="1"/>
    <col min="13071" max="13071" width="14.7109375" style="1402" customWidth="1"/>
    <col min="13072" max="13072" width="11.85546875" style="1402" customWidth="1"/>
    <col min="13073" max="13073" width="2.85546875" style="1402" customWidth="1"/>
    <col min="13074" max="13074" width="10.7109375" style="1402" customWidth="1"/>
    <col min="13075" max="13075" width="3.85546875" style="1402" customWidth="1"/>
    <col min="13076" max="13076" width="20.5703125" style="1402" customWidth="1"/>
    <col min="13077" max="13077" width="19" style="1402" customWidth="1"/>
    <col min="13078" max="13078" width="3.140625" style="1402" customWidth="1"/>
    <col min="13079" max="13312" width="9.140625" style="1402"/>
    <col min="13313" max="13313" width="5.42578125" style="1402" customWidth="1"/>
    <col min="13314" max="13314" width="13.7109375" style="1402" customWidth="1"/>
    <col min="13315" max="13315" width="18.85546875" style="1402" customWidth="1"/>
    <col min="13316" max="13316" width="0.140625" style="1402" customWidth="1"/>
    <col min="13317" max="13318" width="0" style="1402" hidden="1" customWidth="1"/>
    <col min="13319" max="13319" width="12.42578125" style="1402" customWidth="1"/>
    <col min="13320" max="13320" width="0.5703125" style="1402" customWidth="1"/>
    <col min="13321" max="13321" width="18.28515625" style="1402" customWidth="1"/>
    <col min="13322" max="13322" width="1" style="1402" customWidth="1"/>
    <col min="13323" max="13323" width="7.140625" style="1402" customWidth="1"/>
    <col min="13324" max="13324" width="9.7109375" style="1402" customWidth="1"/>
    <col min="13325" max="13325" width="16.7109375" style="1402" customWidth="1"/>
    <col min="13326" max="13326" width="1.85546875" style="1402" customWidth="1"/>
    <col min="13327" max="13327" width="14.7109375" style="1402" customWidth="1"/>
    <col min="13328" max="13328" width="11.85546875" style="1402" customWidth="1"/>
    <col min="13329" max="13329" width="2.85546875" style="1402" customWidth="1"/>
    <col min="13330" max="13330" width="10.7109375" style="1402" customWidth="1"/>
    <col min="13331" max="13331" width="3.85546875" style="1402" customWidth="1"/>
    <col min="13332" max="13332" width="20.5703125" style="1402" customWidth="1"/>
    <col min="13333" max="13333" width="19" style="1402" customWidth="1"/>
    <col min="13334" max="13334" width="3.140625" style="1402" customWidth="1"/>
    <col min="13335" max="13568" width="9.140625" style="1402"/>
    <col min="13569" max="13569" width="5.42578125" style="1402" customWidth="1"/>
    <col min="13570" max="13570" width="13.7109375" style="1402" customWidth="1"/>
    <col min="13571" max="13571" width="18.85546875" style="1402" customWidth="1"/>
    <col min="13572" max="13572" width="0.140625" style="1402" customWidth="1"/>
    <col min="13573" max="13574" width="0" style="1402" hidden="1" customWidth="1"/>
    <col min="13575" max="13575" width="12.42578125" style="1402" customWidth="1"/>
    <col min="13576" max="13576" width="0.5703125" style="1402" customWidth="1"/>
    <col min="13577" max="13577" width="18.28515625" style="1402" customWidth="1"/>
    <col min="13578" max="13578" width="1" style="1402" customWidth="1"/>
    <col min="13579" max="13579" width="7.140625" style="1402" customWidth="1"/>
    <col min="13580" max="13580" width="9.7109375" style="1402" customWidth="1"/>
    <col min="13581" max="13581" width="16.7109375" style="1402" customWidth="1"/>
    <col min="13582" max="13582" width="1.85546875" style="1402" customWidth="1"/>
    <col min="13583" max="13583" width="14.7109375" style="1402" customWidth="1"/>
    <col min="13584" max="13584" width="11.85546875" style="1402" customWidth="1"/>
    <col min="13585" max="13585" width="2.85546875" style="1402" customWidth="1"/>
    <col min="13586" max="13586" width="10.7109375" style="1402" customWidth="1"/>
    <col min="13587" max="13587" width="3.85546875" style="1402" customWidth="1"/>
    <col min="13588" max="13588" width="20.5703125" style="1402" customWidth="1"/>
    <col min="13589" max="13589" width="19" style="1402" customWidth="1"/>
    <col min="13590" max="13590" width="3.140625" style="1402" customWidth="1"/>
    <col min="13591" max="13824" width="9.140625" style="1402"/>
    <col min="13825" max="13825" width="5.42578125" style="1402" customWidth="1"/>
    <col min="13826" max="13826" width="13.7109375" style="1402" customWidth="1"/>
    <col min="13827" max="13827" width="18.85546875" style="1402" customWidth="1"/>
    <col min="13828" max="13828" width="0.140625" style="1402" customWidth="1"/>
    <col min="13829" max="13830" width="0" style="1402" hidden="1" customWidth="1"/>
    <col min="13831" max="13831" width="12.42578125" style="1402" customWidth="1"/>
    <col min="13832" max="13832" width="0.5703125" style="1402" customWidth="1"/>
    <col min="13833" max="13833" width="18.28515625" style="1402" customWidth="1"/>
    <col min="13834" max="13834" width="1" style="1402" customWidth="1"/>
    <col min="13835" max="13835" width="7.140625" style="1402" customWidth="1"/>
    <col min="13836" max="13836" width="9.7109375" style="1402" customWidth="1"/>
    <col min="13837" max="13837" width="16.7109375" style="1402" customWidth="1"/>
    <col min="13838" max="13838" width="1.85546875" style="1402" customWidth="1"/>
    <col min="13839" max="13839" width="14.7109375" style="1402" customWidth="1"/>
    <col min="13840" max="13840" width="11.85546875" style="1402" customWidth="1"/>
    <col min="13841" max="13841" width="2.85546875" style="1402" customWidth="1"/>
    <col min="13842" max="13842" width="10.7109375" style="1402" customWidth="1"/>
    <col min="13843" max="13843" width="3.85546875" style="1402" customWidth="1"/>
    <col min="13844" max="13844" width="20.5703125" style="1402" customWidth="1"/>
    <col min="13845" max="13845" width="19" style="1402" customWidth="1"/>
    <col min="13846" max="13846" width="3.140625" style="1402" customWidth="1"/>
    <col min="13847" max="14080" width="9.140625" style="1402"/>
    <col min="14081" max="14081" width="5.42578125" style="1402" customWidth="1"/>
    <col min="14082" max="14082" width="13.7109375" style="1402" customWidth="1"/>
    <col min="14083" max="14083" width="18.85546875" style="1402" customWidth="1"/>
    <col min="14084" max="14084" width="0.140625" style="1402" customWidth="1"/>
    <col min="14085" max="14086" width="0" style="1402" hidden="1" customWidth="1"/>
    <col min="14087" max="14087" width="12.42578125" style="1402" customWidth="1"/>
    <col min="14088" max="14088" width="0.5703125" style="1402" customWidth="1"/>
    <col min="14089" max="14089" width="18.28515625" style="1402" customWidth="1"/>
    <col min="14090" max="14090" width="1" style="1402" customWidth="1"/>
    <col min="14091" max="14091" width="7.140625" style="1402" customWidth="1"/>
    <col min="14092" max="14092" width="9.7109375" style="1402" customWidth="1"/>
    <col min="14093" max="14093" width="16.7109375" style="1402" customWidth="1"/>
    <col min="14094" max="14094" width="1.85546875" style="1402" customWidth="1"/>
    <col min="14095" max="14095" width="14.7109375" style="1402" customWidth="1"/>
    <col min="14096" max="14096" width="11.85546875" style="1402" customWidth="1"/>
    <col min="14097" max="14097" width="2.85546875" style="1402" customWidth="1"/>
    <col min="14098" max="14098" width="10.7109375" style="1402" customWidth="1"/>
    <col min="14099" max="14099" width="3.85546875" style="1402" customWidth="1"/>
    <col min="14100" max="14100" width="20.5703125" style="1402" customWidth="1"/>
    <col min="14101" max="14101" width="19" style="1402" customWidth="1"/>
    <col min="14102" max="14102" width="3.140625" style="1402" customWidth="1"/>
    <col min="14103" max="14336" width="9.140625" style="1402"/>
    <col min="14337" max="14337" width="5.42578125" style="1402" customWidth="1"/>
    <col min="14338" max="14338" width="13.7109375" style="1402" customWidth="1"/>
    <col min="14339" max="14339" width="18.85546875" style="1402" customWidth="1"/>
    <col min="14340" max="14340" width="0.140625" style="1402" customWidth="1"/>
    <col min="14341" max="14342" width="0" style="1402" hidden="1" customWidth="1"/>
    <col min="14343" max="14343" width="12.42578125" style="1402" customWidth="1"/>
    <col min="14344" max="14344" width="0.5703125" style="1402" customWidth="1"/>
    <col min="14345" max="14345" width="18.28515625" style="1402" customWidth="1"/>
    <col min="14346" max="14346" width="1" style="1402" customWidth="1"/>
    <col min="14347" max="14347" width="7.140625" style="1402" customWidth="1"/>
    <col min="14348" max="14348" width="9.7109375" style="1402" customWidth="1"/>
    <col min="14349" max="14349" width="16.7109375" style="1402" customWidth="1"/>
    <col min="14350" max="14350" width="1.85546875" style="1402" customWidth="1"/>
    <col min="14351" max="14351" width="14.7109375" style="1402" customWidth="1"/>
    <col min="14352" max="14352" width="11.85546875" style="1402" customWidth="1"/>
    <col min="14353" max="14353" width="2.85546875" style="1402" customWidth="1"/>
    <col min="14354" max="14354" width="10.7109375" style="1402" customWidth="1"/>
    <col min="14355" max="14355" width="3.85546875" style="1402" customWidth="1"/>
    <col min="14356" max="14356" width="20.5703125" style="1402" customWidth="1"/>
    <col min="14357" max="14357" width="19" style="1402" customWidth="1"/>
    <col min="14358" max="14358" width="3.140625" style="1402" customWidth="1"/>
    <col min="14359" max="14592" width="9.140625" style="1402"/>
    <col min="14593" max="14593" width="5.42578125" style="1402" customWidth="1"/>
    <col min="14594" max="14594" width="13.7109375" style="1402" customWidth="1"/>
    <col min="14595" max="14595" width="18.85546875" style="1402" customWidth="1"/>
    <col min="14596" max="14596" width="0.140625" style="1402" customWidth="1"/>
    <col min="14597" max="14598" width="0" style="1402" hidden="1" customWidth="1"/>
    <col min="14599" max="14599" width="12.42578125" style="1402" customWidth="1"/>
    <col min="14600" max="14600" width="0.5703125" style="1402" customWidth="1"/>
    <col min="14601" max="14601" width="18.28515625" style="1402" customWidth="1"/>
    <col min="14602" max="14602" width="1" style="1402" customWidth="1"/>
    <col min="14603" max="14603" width="7.140625" style="1402" customWidth="1"/>
    <col min="14604" max="14604" width="9.7109375" style="1402" customWidth="1"/>
    <col min="14605" max="14605" width="16.7109375" style="1402" customWidth="1"/>
    <col min="14606" max="14606" width="1.85546875" style="1402" customWidth="1"/>
    <col min="14607" max="14607" width="14.7109375" style="1402" customWidth="1"/>
    <col min="14608" max="14608" width="11.85546875" style="1402" customWidth="1"/>
    <col min="14609" max="14609" width="2.85546875" style="1402" customWidth="1"/>
    <col min="14610" max="14610" width="10.7109375" style="1402" customWidth="1"/>
    <col min="14611" max="14611" width="3.85546875" style="1402" customWidth="1"/>
    <col min="14612" max="14612" width="20.5703125" style="1402" customWidth="1"/>
    <col min="14613" max="14613" width="19" style="1402" customWidth="1"/>
    <col min="14614" max="14614" width="3.140625" style="1402" customWidth="1"/>
    <col min="14615" max="14848" width="9.140625" style="1402"/>
    <col min="14849" max="14849" width="5.42578125" style="1402" customWidth="1"/>
    <col min="14850" max="14850" width="13.7109375" style="1402" customWidth="1"/>
    <col min="14851" max="14851" width="18.85546875" style="1402" customWidth="1"/>
    <col min="14852" max="14852" width="0.140625" style="1402" customWidth="1"/>
    <col min="14853" max="14854" width="0" style="1402" hidden="1" customWidth="1"/>
    <col min="14855" max="14855" width="12.42578125" style="1402" customWidth="1"/>
    <col min="14856" max="14856" width="0.5703125" style="1402" customWidth="1"/>
    <col min="14857" max="14857" width="18.28515625" style="1402" customWidth="1"/>
    <col min="14858" max="14858" width="1" style="1402" customWidth="1"/>
    <col min="14859" max="14859" width="7.140625" style="1402" customWidth="1"/>
    <col min="14860" max="14860" width="9.7109375" style="1402" customWidth="1"/>
    <col min="14861" max="14861" width="16.7109375" style="1402" customWidth="1"/>
    <col min="14862" max="14862" width="1.85546875" style="1402" customWidth="1"/>
    <col min="14863" max="14863" width="14.7109375" style="1402" customWidth="1"/>
    <col min="14864" max="14864" width="11.85546875" style="1402" customWidth="1"/>
    <col min="14865" max="14865" width="2.85546875" style="1402" customWidth="1"/>
    <col min="14866" max="14866" width="10.7109375" style="1402" customWidth="1"/>
    <col min="14867" max="14867" width="3.85546875" style="1402" customWidth="1"/>
    <col min="14868" max="14868" width="20.5703125" style="1402" customWidth="1"/>
    <col min="14869" max="14869" width="19" style="1402" customWidth="1"/>
    <col min="14870" max="14870" width="3.140625" style="1402" customWidth="1"/>
    <col min="14871" max="15104" width="9.140625" style="1402"/>
    <col min="15105" max="15105" width="5.42578125" style="1402" customWidth="1"/>
    <col min="15106" max="15106" width="13.7109375" style="1402" customWidth="1"/>
    <col min="15107" max="15107" width="18.85546875" style="1402" customWidth="1"/>
    <col min="15108" max="15108" width="0.140625" style="1402" customWidth="1"/>
    <col min="15109" max="15110" width="0" style="1402" hidden="1" customWidth="1"/>
    <col min="15111" max="15111" width="12.42578125" style="1402" customWidth="1"/>
    <col min="15112" max="15112" width="0.5703125" style="1402" customWidth="1"/>
    <col min="15113" max="15113" width="18.28515625" style="1402" customWidth="1"/>
    <col min="15114" max="15114" width="1" style="1402" customWidth="1"/>
    <col min="15115" max="15115" width="7.140625" style="1402" customWidth="1"/>
    <col min="15116" max="15116" width="9.7109375" style="1402" customWidth="1"/>
    <col min="15117" max="15117" width="16.7109375" style="1402" customWidth="1"/>
    <col min="15118" max="15118" width="1.85546875" style="1402" customWidth="1"/>
    <col min="15119" max="15119" width="14.7109375" style="1402" customWidth="1"/>
    <col min="15120" max="15120" width="11.85546875" style="1402" customWidth="1"/>
    <col min="15121" max="15121" width="2.85546875" style="1402" customWidth="1"/>
    <col min="15122" max="15122" width="10.7109375" style="1402" customWidth="1"/>
    <col min="15123" max="15123" width="3.85546875" style="1402" customWidth="1"/>
    <col min="15124" max="15124" width="20.5703125" style="1402" customWidth="1"/>
    <col min="15125" max="15125" width="19" style="1402" customWidth="1"/>
    <col min="15126" max="15126" width="3.140625" style="1402" customWidth="1"/>
    <col min="15127" max="15360" width="9.140625" style="1402"/>
    <col min="15361" max="15361" width="5.42578125" style="1402" customWidth="1"/>
    <col min="15362" max="15362" width="13.7109375" style="1402" customWidth="1"/>
    <col min="15363" max="15363" width="18.85546875" style="1402" customWidth="1"/>
    <col min="15364" max="15364" width="0.140625" style="1402" customWidth="1"/>
    <col min="15365" max="15366" width="0" style="1402" hidden="1" customWidth="1"/>
    <col min="15367" max="15367" width="12.42578125" style="1402" customWidth="1"/>
    <col min="15368" max="15368" width="0.5703125" style="1402" customWidth="1"/>
    <col min="15369" max="15369" width="18.28515625" style="1402" customWidth="1"/>
    <col min="15370" max="15370" width="1" style="1402" customWidth="1"/>
    <col min="15371" max="15371" width="7.140625" style="1402" customWidth="1"/>
    <col min="15372" max="15372" width="9.7109375" style="1402" customWidth="1"/>
    <col min="15373" max="15373" width="16.7109375" style="1402" customWidth="1"/>
    <col min="15374" max="15374" width="1.85546875" style="1402" customWidth="1"/>
    <col min="15375" max="15375" width="14.7109375" style="1402" customWidth="1"/>
    <col min="15376" max="15376" width="11.85546875" style="1402" customWidth="1"/>
    <col min="15377" max="15377" width="2.85546875" style="1402" customWidth="1"/>
    <col min="15378" max="15378" width="10.7109375" style="1402" customWidth="1"/>
    <col min="15379" max="15379" width="3.85546875" style="1402" customWidth="1"/>
    <col min="15380" max="15380" width="20.5703125" style="1402" customWidth="1"/>
    <col min="15381" max="15381" width="19" style="1402" customWidth="1"/>
    <col min="15382" max="15382" width="3.140625" style="1402" customWidth="1"/>
    <col min="15383" max="15616" width="9.140625" style="1402"/>
    <col min="15617" max="15617" width="5.42578125" style="1402" customWidth="1"/>
    <col min="15618" max="15618" width="13.7109375" style="1402" customWidth="1"/>
    <col min="15619" max="15619" width="18.85546875" style="1402" customWidth="1"/>
    <col min="15620" max="15620" width="0.140625" style="1402" customWidth="1"/>
    <col min="15621" max="15622" width="0" style="1402" hidden="1" customWidth="1"/>
    <col min="15623" max="15623" width="12.42578125" style="1402" customWidth="1"/>
    <col min="15624" max="15624" width="0.5703125" style="1402" customWidth="1"/>
    <col min="15625" max="15625" width="18.28515625" style="1402" customWidth="1"/>
    <col min="15626" max="15626" width="1" style="1402" customWidth="1"/>
    <col min="15627" max="15627" width="7.140625" style="1402" customWidth="1"/>
    <col min="15628" max="15628" width="9.7109375" style="1402" customWidth="1"/>
    <col min="15629" max="15629" width="16.7109375" style="1402" customWidth="1"/>
    <col min="15630" max="15630" width="1.85546875" style="1402" customWidth="1"/>
    <col min="15631" max="15631" width="14.7109375" style="1402" customWidth="1"/>
    <col min="15632" max="15632" width="11.85546875" style="1402" customWidth="1"/>
    <col min="15633" max="15633" width="2.85546875" style="1402" customWidth="1"/>
    <col min="15634" max="15634" width="10.7109375" style="1402" customWidth="1"/>
    <col min="15635" max="15635" width="3.85546875" style="1402" customWidth="1"/>
    <col min="15636" max="15636" width="20.5703125" style="1402" customWidth="1"/>
    <col min="15637" max="15637" width="19" style="1402" customWidth="1"/>
    <col min="15638" max="15638" width="3.140625" style="1402" customWidth="1"/>
    <col min="15639" max="15872" width="9.140625" style="1402"/>
    <col min="15873" max="15873" width="5.42578125" style="1402" customWidth="1"/>
    <col min="15874" max="15874" width="13.7109375" style="1402" customWidth="1"/>
    <col min="15875" max="15875" width="18.85546875" style="1402" customWidth="1"/>
    <col min="15876" max="15876" width="0.140625" style="1402" customWidth="1"/>
    <col min="15877" max="15878" width="0" style="1402" hidden="1" customWidth="1"/>
    <col min="15879" max="15879" width="12.42578125" style="1402" customWidth="1"/>
    <col min="15880" max="15880" width="0.5703125" style="1402" customWidth="1"/>
    <col min="15881" max="15881" width="18.28515625" style="1402" customWidth="1"/>
    <col min="15882" max="15882" width="1" style="1402" customWidth="1"/>
    <col min="15883" max="15883" width="7.140625" style="1402" customWidth="1"/>
    <col min="15884" max="15884" width="9.7109375" style="1402" customWidth="1"/>
    <col min="15885" max="15885" width="16.7109375" style="1402" customWidth="1"/>
    <col min="15886" max="15886" width="1.85546875" style="1402" customWidth="1"/>
    <col min="15887" max="15887" width="14.7109375" style="1402" customWidth="1"/>
    <col min="15888" max="15888" width="11.85546875" style="1402" customWidth="1"/>
    <col min="15889" max="15889" width="2.85546875" style="1402" customWidth="1"/>
    <col min="15890" max="15890" width="10.7109375" style="1402" customWidth="1"/>
    <col min="15891" max="15891" width="3.85546875" style="1402" customWidth="1"/>
    <col min="15892" max="15892" width="20.5703125" style="1402" customWidth="1"/>
    <col min="15893" max="15893" width="19" style="1402" customWidth="1"/>
    <col min="15894" max="15894" width="3.140625" style="1402" customWidth="1"/>
    <col min="15895" max="16128" width="9.140625" style="1402"/>
    <col min="16129" max="16129" width="5.42578125" style="1402" customWidth="1"/>
    <col min="16130" max="16130" width="13.7109375" style="1402" customWidth="1"/>
    <col min="16131" max="16131" width="18.85546875" style="1402" customWidth="1"/>
    <col min="16132" max="16132" width="0.140625" style="1402" customWidth="1"/>
    <col min="16133" max="16134" width="0" style="1402" hidden="1" customWidth="1"/>
    <col min="16135" max="16135" width="12.42578125" style="1402" customWidth="1"/>
    <col min="16136" max="16136" width="0.5703125" style="1402" customWidth="1"/>
    <col min="16137" max="16137" width="18.28515625" style="1402" customWidth="1"/>
    <col min="16138" max="16138" width="1" style="1402" customWidth="1"/>
    <col min="16139" max="16139" width="7.140625" style="1402" customWidth="1"/>
    <col min="16140" max="16140" width="9.7109375" style="1402" customWidth="1"/>
    <col min="16141" max="16141" width="16.7109375" style="1402" customWidth="1"/>
    <col min="16142" max="16142" width="1.85546875" style="1402" customWidth="1"/>
    <col min="16143" max="16143" width="14.7109375" style="1402" customWidth="1"/>
    <col min="16144" max="16144" width="11.85546875" style="1402" customWidth="1"/>
    <col min="16145" max="16145" width="2.85546875" style="1402" customWidth="1"/>
    <col min="16146" max="16146" width="10.7109375" style="1402" customWidth="1"/>
    <col min="16147" max="16147" width="3.85546875" style="1402" customWidth="1"/>
    <col min="16148" max="16148" width="20.5703125" style="1402" customWidth="1"/>
    <col min="16149" max="16149" width="19" style="1402" customWidth="1"/>
    <col min="16150" max="16150" width="3.140625" style="1402" customWidth="1"/>
    <col min="16151" max="16384" width="9.140625" style="1402"/>
  </cols>
  <sheetData>
    <row r="2" spans="1:22" ht="75" customHeight="1">
      <c r="A2" s="2240"/>
      <c r="B2" s="2239"/>
      <c r="C2" s="2239"/>
      <c r="D2" s="2239"/>
      <c r="E2" s="2239"/>
      <c r="F2" s="2239"/>
      <c r="G2" s="2239"/>
      <c r="H2" s="2239"/>
      <c r="I2" s="2239"/>
      <c r="J2" s="2239"/>
      <c r="K2" s="2239"/>
      <c r="L2" s="2239"/>
      <c r="M2" s="2239"/>
      <c r="N2" s="2239"/>
      <c r="O2" s="2239"/>
      <c r="P2" s="2239"/>
      <c r="Q2" s="2241" t="s">
        <v>3788</v>
      </c>
      <c r="R2" s="2239"/>
      <c r="S2" s="2239"/>
      <c r="T2" s="2239"/>
      <c r="U2" s="2239"/>
    </row>
    <row r="3" spans="1:22" ht="14.25">
      <c r="A3" s="2240"/>
      <c r="B3" s="2239"/>
      <c r="C3" s="2239"/>
      <c r="D3" s="2239"/>
      <c r="E3" s="2239"/>
      <c r="F3" s="2239"/>
      <c r="G3" s="2239"/>
      <c r="H3" s="2239"/>
      <c r="I3" s="2239"/>
      <c r="J3" s="2239"/>
      <c r="K3" s="2239"/>
      <c r="L3" s="2239"/>
      <c r="M3" s="2239"/>
      <c r="N3" s="2239"/>
      <c r="O3" s="2239"/>
      <c r="P3" s="2239"/>
      <c r="Q3" s="2241"/>
      <c r="R3" s="2239"/>
      <c r="S3" s="2239"/>
      <c r="T3" s="2239"/>
      <c r="U3" s="2239"/>
    </row>
    <row r="4" spans="1:22">
      <c r="A4" s="2242"/>
      <c r="B4" s="2239"/>
      <c r="C4" s="2239"/>
      <c r="D4" s="2243" t="s">
        <v>3719</v>
      </c>
      <c r="E4" s="2244"/>
      <c r="F4" s="2244"/>
      <c r="G4" s="2244"/>
      <c r="H4" s="2244"/>
      <c r="I4" s="2244"/>
      <c r="J4" s="2244"/>
      <c r="K4" s="2244"/>
      <c r="L4" s="2244"/>
      <c r="M4" s="2244"/>
      <c r="N4" s="2244"/>
      <c r="O4" s="2244"/>
      <c r="P4" s="2244"/>
      <c r="Q4" s="2244"/>
      <c r="R4" s="2244"/>
      <c r="S4" s="2242"/>
      <c r="T4" s="2239"/>
      <c r="U4" s="2239"/>
    </row>
    <row r="5" spans="1:22">
      <c r="A5" s="2238" t="s">
        <v>3630</v>
      </c>
      <c r="B5" s="2239"/>
      <c r="C5" s="2239"/>
      <c r="D5" s="2239"/>
      <c r="E5" s="2239"/>
      <c r="F5" s="2239"/>
      <c r="G5" s="2239"/>
      <c r="H5" s="2239"/>
      <c r="I5" s="2239"/>
      <c r="J5" s="2239"/>
      <c r="K5" s="2239"/>
      <c r="L5" s="2239"/>
      <c r="M5" s="2239"/>
      <c r="N5" s="2239"/>
      <c r="O5" s="2239"/>
      <c r="P5" s="2239"/>
      <c r="Q5" s="2239"/>
      <c r="R5" s="2239"/>
      <c r="S5" s="2239"/>
      <c r="T5" s="2239"/>
      <c r="U5" s="2239"/>
    </row>
    <row r="6" spans="1:22" ht="14.25">
      <c r="A6" s="2240"/>
      <c r="B6" s="2239"/>
      <c r="C6" s="2239"/>
      <c r="D6" s="2239"/>
      <c r="E6" s="2239"/>
      <c r="F6" s="2239"/>
      <c r="G6" s="2239"/>
      <c r="H6" s="2239"/>
      <c r="I6" s="2239"/>
      <c r="J6" s="2239"/>
      <c r="K6" s="2239"/>
      <c r="L6" s="2239"/>
      <c r="M6" s="2239"/>
      <c r="N6" s="2239"/>
      <c r="O6" s="2239"/>
      <c r="P6" s="2239"/>
      <c r="Q6" s="2239"/>
      <c r="R6" s="2239"/>
      <c r="S6" s="2239"/>
      <c r="T6" s="2239"/>
      <c r="U6" s="2239"/>
    </row>
    <row r="7" spans="1:22">
      <c r="A7" s="2242"/>
      <c r="B7" s="2239"/>
      <c r="C7" s="2239"/>
      <c r="D7" s="2245" t="s">
        <v>3789</v>
      </c>
      <c r="E7" s="2244"/>
      <c r="F7" s="2244"/>
      <c r="G7" s="2244"/>
      <c r="H7" s="2244"/>
      <c r="I7" s="2244"/>
      <c r="J7" s="2244"/>
      <c r="K7" s="2244"/>
      <c r="L7" s="2244"/>
      <c r="M7" s="2244"/>
      <c r="N7" s="2244"/>
      <c r="O7" s="2244"/>
      <c r="P7" s="2244"/>
      <c r="Q7" s="2244"/>
      <c r="R7" s="2244"/>
      <c r="S7" s="2242"/>
      <c r="T7" s="2239"/>
      <c r="U7" s="2239"/>
    </row>
    <row r="8" spans="1:22">
      <c r="A8" s="2238" t="s">
        <v>3632</v>
      </c>
      <c r="B8" s="2239"/>
      <c r="C8" s="2239"/>
      <c r="D8" s="2239"/>
      <c r="E8" s="2239"/>
      <c r="F8" s="2239"/>
      <c r="G8" s="2239"/>
      <c r="H8" s="2239"/>
      <c r="I8" s="2239"/>
      <c r="J8" s="2239"/>
      <c r="K8" s="2239"/>
      <c r="L8" s="2239"/>
      <c r="M8" s="2239"/>
      <c r="N8" s="2239"/>
      <c r="O8" s="2239"/>
      <c r="P8" s="2239"/>
      <c r="Q8" s="2239"/>
      <c r="R8" s="2239"/>
      <c r="S8" s="2239"/>
      <c r="T8" s="2239"/>
      <c r="U8" s="2239"/>
    </row>
    <row r="9" spans="1:22">
      <c r="A9" s="2246"/>
      <c r="B9" s="2239"/>
      <c r="C9" s="2239"/>
      <c r="D9" s="2239"/>
      <c r="E9" s="2239"/>
      <c r="F9" s="2239"/>
      <c r="G9" s="2239"/>
      <c r="H9" s="2239"/>
      <c r="I9" s="2239"/>
      <c r="J9" s="2239"/>
      <c r="K9" s="2239"/>
      <c r="L9" s="2239"/>
      <c r="M9" s="2239"/>
      <c r="N9" s="2239"/>
      <c r="O9" s="2239"/>
      <c r="P9" s="2239"/>
      <c r="Q9" s="2239"/>
      <c r="R9" s="2239"/>
      <c r="S9" s="2239"/>
      <c r="T9" s="2239"/>
      <c r="U9" s="2239"/>
    </row>
    <row r="10" spans="1:22">
      <c r="A10" s="2247" t="s">
        <v>3652</v>
      </c>
      <c r="B10" s="2239"/>
      <c r="C10" s="2239"/>
      <c r="D10" s="2239"/>
      <c r="E10" s="2239"/>
      <c r="F10" s="2239"/>
      <c r="G10" s="2239"/>
      <c r="H10" s="2239"/>
      <c r="I10" s="2239"/>
      <c r="J10" s="2239"/>
      <c r="K10" s="2239"/>
      <c r="L10" s="2239"/>
      <c r="M10" s="2239"/>
      <c r="N10" s="2239"/>
      <c r="O10" s="2239"/>
      <c r="P10" s="2239"/>
      <c r="Q10" s="2239"/>
      <c r="R10" s="2239"/>
      <c r="S10" s="2239"/>
      <c r="T10" s="2239"/>
      <c r="U10" s="2239"/>
    </row>
    <row r="11" spans="1:22" ht="15.75">
      <c r="A11" s="2248"/>
      <c r="B11" s="2239"/>
      <c r="C11" s="2239"/>
      <c r="D11" s="2239"/>
      <c r="E11" s="2239"/>
      <c r="F11" s="2239"/>
      <c r="G11" s="2239"/>
      <c r="H11" s="2239"/>
      <c r="I11" s="2239"/>
      <c r="J11" s="2239"/>
      <c r="K11" s="2239"/>
      <c r="L11" s="2239"/>
      <c r="M11" s="2239"/>
      <c r="N11" s="2239"/>
      <c r="O11" s="2239"/>
      <c r="P11" s="2239"/>
      <c r="Q11" s="2239"/>
      <c r="R11" s="2239"/>
      <c r="S11" s="2239"/>
      <c r="T11" s="2239"/>
      <c r="U11" s="2239"/>
    </row>
    <row r="12" spans="1:22">
      <c r="A12" s="2242"/>
      <c r="B12" s="2239"/>
      <c r="C12" s="2239"/>
      <c r="D12" s="2239"/>
      <c r="E12" s="2239"/>
      <c r="F12" s="2239"/>
      <c r="G12" s="2239"/>
      <c r="H12" s="2249" t="s">
        <v>3769</v>
      </c>
      <c r="I12" s="2244"/>
      <c r="J12" s="2244"/>
      <c r="K12" s="1433" t="s">
        <v>7</v>
      </c>
      <c r="L12" s="2249" t="s">
        <v>3790</v>
      </c>
      <c r="M12" s="2244"/>
      <c r="N12" s="2244"/>
      <c r="O12" s="2242"/>
      <c r="P12" s="2239"/>
      <c r="Q12" s="2239"/>
      <c r="R12" s="2239"/>
      <c r="S12" s="2239"/>
      <c r="T12" s="2239"/>
      <c r="U12" s="2239"/>
    </row>
    <row r="13" spans="1:22" hidden="1"/>
    <row r="15" spans="1:22">
      <c r="A15" s="2250" t="s">
        <v>1045</v>
      </c>
      <c r="B15" s="2250" t="s">
        <v>50</v>
      </c>
      <c r="C15" s="2250" t="s">
        <v>3635</v>
      </c>
      <c r="D15" s="2253"/>
      <c r="E15" s="2250" t="s">
        <v>3636</v>
      </c>
      <c r="F15" s="2250" t="s">
        <v>3637</v>
      </c>
      <c r="G15" s="2250" t="s">
        <v>3638</v>
      </c>
      <c r="H15" s="2258"/>
      <c r="I15" s="2258"/>
      <c r="J15" s="2258"/>
      <c r="K15" s="2258"/>
      <c r="L15" s="2258"/>
      <c r="M15" s="2258"/>
      <c r="N15" s="2258"/>
      <c r="O15" s="2258"/>
      <c r="P15" s="2258"/>
      <c r="Q15" s="2258"/>
      <c r="R15" s="2258"/>
      <c r="S15" s="2259"/>
      <c r="T15" s="2250" t="s">
        <v>3639</v>
      </c>
      <c r="U15" s="2250" t="s">
        <v>3640</v>
      </c>
      <c r="V15" s="2253"/>
    </row>
    <row r="16" spans="1:22">
      <c r="A16" s="2251"/>
      <c r="B16" s="2251"/>
      <c r="C16" s="2254"/>
      <c r="D16" s="2255"/>
      <c r="E16" s="2251"/>
      <c r="F16" s="2251"/>
      <c r="G16" s="2250" t="s">
        <v>9</v>
      </c>
      <c r="H16" s="2253"/>
      <c r="I16" s="2250" t="s">
        <v>3641</v>
      </c>
      <c r="J16" s="2258"/>
      <c r="K16" s="2258"/>
      <c r="L16" s="2259"/>
      <c r="M16" s="2212" t="s">
        <v>3642</v>
      </c>
      <c r="N16" s="2239"/>
      <c r="O16" s="2239"/>
      <c r="P16" s="2239"/>
      <c r="Q16" s="2239"/>
      <c r="R16" s="2239"/>
      <c r="S16" s="2239"/>
      <c r="T16" s="2251"/>
      <c r="U16" s="2254"/>
      <c r="V16" s="2255"/>
    </row>
    <row r="17" spans="1:22">
      <c r="A17" s="2251"/>
      <c r="B17" s="2251"/>
      <c r="C17" s="2254"/>
      <c r="D17" s="2255"/>
      <c r="E17" s="2251"/>
      <c r="F17" s="2251"/>
      <c r="G17" s="2254"/>
      <c r="H17" s="2255"/>
      <c r="I17" s="2250" t="s">
        <v>3643</v>
      </c>
      <c r="J17" s="2260"/>
      <c r="K17" s="2258"/>
      <c r="L17" s="2258"/>
      <c r="M17" s="2224" t="s">
        <v>3644</v>
      </c>
      <c r="N17" s="2261"/>
      <c r="O17" s="2261"/>
      <c r="P17" s="2261"/>
      <c r="Q17" s="2261"/>
      <c r="R17" s="2261"/>
      <c r="S17" s="2262"/>
      <c r="T17" s="2251"/>
      <c r="U17" s="2254"/>
      <c r="V17" s="2255"/>
    </row>
    <row r="18" spans="1:22">
      <c r="A18" s="2251"/>
      <c r="B18" s="2251"/>
      <c r="C18" s="2254"/>
      <c r="D18" s="2255"/>
      <c r="E18" s="2251"/>
      <c r="F18" s="2251"/>
      <c r="G18" s="2254"/>
      <c r="H18" s="2255"/>
      <c r="I18" s="2251"/>
      <c r="J18" s="2250" t="s">
        <v>3645</v>
      </c>
      <c r="K18" s="2263"/>
      <c r="L18" s="2253"/>
      <c r="M18" s="2250" t="s">
        <v>1974</v>
      </c>
      <c r="N18" s="2258"/>
      <c r="O18" s="2258"/>
      <c r="P18" s="2258"/>
      <c r="Q18" s="2258"/>
      <c r="R18" s="2258"/>
      <c r="S18" s="2259"/>
      <c r="T18" s="2251"/>
      <c r="U18" s="2254"/>
      <c r="V18" s="2255"/>
    </row>
    <row r="19" spans="1:22" ht="48">
      <c r="A19" s="2252"/>
      <c r="B19" s="2252"/>
      <c r="C19" s="2256"/>
      <c r="D19" s="2257"/>
      <c r="E19" s="2252"/>
      <c r="F19" s="2252"/>
      <c r="G19" s="2256"/>
      <c r="H19" s="2257"/>
      <c r="I19" s="2252"/>
      <c r="J19" s="2256"/>
      <c r="K19" s="2244"/>
      <c r="L19" s="2257"/>
      <c r="M19" s="1407" t="s">
        <v>3645</v>
      </c>
      <c r="N19" s="2250" t="s">
        <v>2010</v>
      </c>
      <c r="O19" s="2259"/>
      <c r="P19" s="2250" t="s">
        <v>61</v>
      </c>
      <c r="Q19" s="2259"/>
      <c r="R19" s="2250" t="s">
        <v>60</v>
      </c>
      <c r="S19" s="2259"/>
      <c r="T19" s="2252"/>
      <c r="U19" s="2256"/>
      <c r="V19" s="2257"/>
    </row>
    <row r="20" spans="1:22">
      <c r="A20" s="1408" t="s">
        <v>2024</v>
      </c>
      <c r="B20" s="1408" t="s">
        <v>2534</v>
      </c>
      <c r="C20" s="2264" t="s">
        <v>2535</v>
      </c>
      <c r="D20" s="2259"/>
      <c r="E20" s="1408" t="s">
        <v>2536</v>
      </c>
      <c r="F20" s="1408" t="s">
        <v>2025</v>
      </c>
      <c r="G20" s="2264" t="s">
        <v>2072</v>
      </c>
      <c r="H20" s="2259"/>
      <c r="I20" s="1408" t="s">
        <v>2074</v>
      </c>
      <c r="J20" s="2264" t="s">
        <v>2075</v>
      </c>
      <c r="K20" s="2258"/>
      <c r="L20" s="2259"/>
      <c r="M20" s="1408" t="s">
        <v>2026</v>
      </c>
      <c r="N20" s="2264" t="s">
        <v>1706</v>
      </c>
      <c r="O20" s="2259"/>
      <c r="P20" s="2264" t="s">
        <v>1707</v>
      </c>
      <c r="Q20" s="2259"/>
      <c r="R20" s="2264" t="s">
        <v>1709</v>
      </c>
      <c r="S20" s="2259"/>
      <c r="T20" s="1408" t="s">
        <v>1710</v>
      </c>
      <c r="U20" s="2264" t="s">
        <v>1711</v>
      </c>
      <c r="V20" s="2259"/>
    </row>
    <row r="21" spans="1:22" ht="33.75">
      <c r="A21" s="1403" t="s">
        <v>1052</v>
      </c>
      <c r="B21" s="1403" t="s">
        <v>345</v>
      </c>
      <c r="C21" s="2265" t="s">
        <v>1760</v>
      </c>
      <c r="D21" s="2266"/>
      <c r="E21" s="1403"/>
      <c r="F21" s="1403"/>
      <c r="G21" s="2267">
        <f>SUM(I21:S21)</f>
        <v>215693.16</v>
      </c>
      <c r="H21" s="2266"/>
      <c r="I21" s="1404">
        <v>183339.18</v>
      </c>
      <c r="J21" s="2267">
        <v>0</v>
      </c>
      <c r="K21" s="2268"/>
      <c r="L21" s="2266"/>
      <c r="M21" s="1404">
        <v>0</v>
      </c>
      <c r="N21" s="2267">
        <v>32353.98</v>
      </c>
      <c r="O21" s="2266"/>
      <c r="P21" s="2267">
        <v>0</v>
      </c>
      <c r="Q21" s="2266"/>
      <c r="R21" s="2267">
        <v>0</v>
      </c>
      <c r="S21" s="2266"/>
      <c r="T21" s="1405">
        <v>43159</v>
      </c>
      <c r="U21" s="2265" t="s">
        <v>3791</v>
      </c>
      <c r="V21" s="2266"/>
    </row>
    <row r="22" spans="1:22" ht="33.75">
      <c r="A22" s="1403" t="s">
        <v>3647</v>
      </c>
      <c r="B22" s="1403" t="s">
        <v>184</v>
      </c>
      <c r="C22" s="2265" t="s">
        <v>391</v>
      </c>
      <c r="D22" s="2266"/>
      <c r="E22" s="1403"/>
      <c r="F22" s="1403"/>
      <c r="G22" s="2267">
        <f>SUM(I22:S22)</f>
        <v>192832.21</v>
      </c>
      <c r="H22" s="2266"/>
      <c r="I22" s="1404">
        <v>163907.37</v>
      </c>
      <c r="J22" s="2267">
        <v>0</v>
      </c>
      <c r="K22" s="2268"/>
      <c r="L22" s="2266"/>
      <c r="M22" s="1404">
        <v>0</v>
      </c>
      <c r="N22" s="2267">
        <v>28924.84</v>
      </c>
      <c r="O22" s="2266"/>
      <c r="P22" s="2267">
        <v>0</v>
      </c>
      <c r="Q22" s="2266"/>
      <c r="R22" s="2267">
        <v>0</v>
      </c>
      <c r="S22" s="2266"/>
      <c r="T22" s="1405">
        <v>43131</v>
      </c>
      <c r="U22" s="2265" t="s">
        <v>3791</v>
      </c>
      <c r="V22" s="2266"/>
    </row>
    <row r="23" spans="1:22" ht="33.75">
      <c r="A23" s="1403" t="s">
        <v>1087</v>
      </c>
      <c r="B23" s="1403" t="s">
        <v>235</v>
      </c>
      <c r="C23" s="2265" t="s">
        <v>239</v>
      </c>
      <c r="D23" s="2266"/>
      <c r="E23" s="1403"/>
      <c r="F23" s="1403"/>
      <c r="G23" s="2267">
        <f>SUM(I23:S23)</f>
        <v>161741.96</v>
      </c>
      <c r="H23" s="2266"/>
      <c r="I23" s="1404">
        <v>137349.79999999999</v>
      </c>
      <c r="J23" s="2267">
        <v>0</v>
      </c>
      <c r="K23" s="2268"/>
      <c r="L23" s="2266"/>
      <c r="M23" s="1404">
        <v>0</v>
      </c>
      <c r="N23" s="2267">
        <v>24392.16</v>
      </c>
      <c r="O23" s="2266"/>
      <c r="P23" s="2267">
        <v>0</v>
      </c>
      <c r="Q23" s="2266"/>
      <c r="R23" s="2267">
        <v>0</v>
      </c>
      <c r="S23" s="2266"/>
      <c r="T23" s="1405">
        <v>43146</v>
      </c>
      <c r="U23" s="2265" t="s">
        <v>3791</v>
      </c>
      <c r="V23" s="2266"/>
    </row>
    <row r="24" spans="1:22" ht="33.75">
      <c r="A24" s="1403" t="s">
        <v>843</v>
      </c>
      <c r="B24" s="1403" t="s">
        <v>161</v>
      </c>
      <c r="C24" s="2265" t="s">
        <v>392</v>
      </c>
      <c r="D24" s="2266"/>
      <c r="E24" s="1403"/>
      <c r="F24" s="1403"/>
      <c r="G24" s="2267">
        <f>SUM(I24:S24)</f>
        <v>163986.88</v>
      </c>
      <c r="H24" s="2266"/>
      <c r="I24" s="1404">
        <v>139388</v>
      </c>
      <c r="J24" s="2267">
        <v>0</v>
      </c>
      <c r="K24" s="2268"/>
      <c r="L24" s="2266"/>
      <c r="M24" s="1404">
        <v>0</v>
      </c>
      <c r="N24" s="2267">
        <v>24598.880000000001</v>
      </c>
      <c r="O24" s="2266"/>
      <c r="P24" s="2267">
        <v>0</v>
      </c>
      <c r="Q24" s="2266"/>
      <c r="R24" s="2267">
        <v>0</v>
      </c>
      <c r="S24" s="2266"/>
      <c r="T24" s="1405">
        <v>43063</v>
      </c>
      <c r="U24" s="2265" t="s">
        <v>3791</v>
      </c>
      <c r="V24" s="2266"/>
    </row>
    <row r="25" spans="1:22" ht="34.5" thickBot="1">
      <c r="A25" s="1403" t="s">
        <v>1070</v>
      </c>
      <c r="B25" s="1403" t="s">
        <v>282</v>
      </c>
      <c r="C25" s="2265" t="s">
        <v>272</v>
      </c>
      <c r="D25" s="2266"/>
      <c r="E25" s="1403"/>
      <c r="F25" s="1403"/>
      <c r="G25" s="2267">
        <f>SUM(I25:S25)</f>
        <v>172733.52</v>
      </c>
      <c r="H25" s="2266"/>
      <c r="I25" s="1404">
        <v>146823.49</v>
      </c>
      <c r="J25" s="2267">
        <v>0</v>
      </c>
      <c r="K25" s="2268"/>
      <c r="L25" s="2266"/>
      <c r="M25" s="1404">
        <v>0</v>
      </c>
      <c r="N25" s="2267">
        <v>25910.03</v>
      </c>
      <c r="O25" s="2266"/>
      <c r="P25" s="2267">
        <v>0</v>
      </c>
      <c r="Q25" s="2266"/>
      <c r="R25" s="2267">
        <v>0</v>
      </c>
      <c r="S25" s="2266"/>
      <c r="T25" s="1405">
        <v>43039</v>
      </c>
      <c r="U25" s="2265" t="s">
        <v>3791</v>
      </c>
      <c r="V25" s="2266"/>
    </row>
    <row r="26" spans="1:22">
      <c r="A26" s="2278" t="s">
        <v>3649</v>
      </c>
      <c r="B26" s="2279"/>
      <c r="C26" s="2279"/>
      <c r="D26" s="2279"/>
      <c r="E26" s="2279"/>
      <c r="F26" s="2280"/>
      <c r="G26" s="2281">
        <f>SUM(G21:H25)</f>
        <v>906987.73</v>
      </c>
      <c r="H26" s="2271"/>
      <c r="I26" s="1406">
        <f>SUM(I21:I25)</f>
        <v>770807.84</v>
      </c>
      <c r="J26" s="2281">
        <f>SUM(J21:J25)</f>
        <v>0</v>
      </c>
      <c r="K26" s="2270">
        <f>SUM(K21:K25)</f>
        <v>0</v>
      </c>
      <c r="L26" s="2271">
        <f>SUM(L21:L25)</f>
        <v>0</v>
      </c>
      <c r="M26" s="1406">
        <f>SUM(M21:M25)</f>
        <v>0</v>
      </c>
      <c r="N26" s="2281">
        <f t="shared" ref="N26:S26" si="0">SUM(N21:N25)</f>
        <v>136179.89000000001</v>
      </c>
      <c r="O26" s="2271">
        <f t="shared" si="0"/>
        <v>0</v>
      </c>
      <c r="P26" s="2281">
        <f t="shared" si="0"/>
        <v>0</v>
      </c>
      <c r="Q26" s="2271">
        <f t="shared" si="0"/>
        <v>0</v>
      </c>
      <c r="R26" s="2281">
        <f t="shared" si="0"/>
        <v>0</v>
      </c>
      <c r="S26" s="2271">
        <f t="shared" si="0"/>
        <v>0</v>
      </c>
      <c r="T26" s="2269"/>
      <c r="U26" s="2270"/>
      <c r="V26" s="2271"/>
    </row>
    <row r="27" spans="1:22">
      <c r="A27" s="2272" t="s">
        <v>3650</v>
      </c>
      <c r="B27" s="2273"/>
      <c r="C27" s="2273"/>
      <c r="D27" s="2273"/>
      <c r="E27" s="2273"/>
      <c r="F27" s="2273"/>
      <c r="G27" s="2273"/>
      <c r="H27" s="2274"/>
      <c r="I27" s="2275">
        <v>982761</v>
      </c>
      <c r="J27" s="2276"/>
      <c r="K27" s="2276"/>
      <c r="L27" s="2276"/>
      <c r="M27" s="2276"/>
      <c r="N27" s="2276"/>
      <c r="O27" s="2276"/>
      <c r="P27" s="2276"/>
      <c r="Q27" s="2276"/>
      <c r="R27" s="2276"/>
      <c r="S27" s="2276"/>
      <c r="T27" s="2276"/>
      <c r="U27" s="2276"/>
      <c r="V27" s="2277"/>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2:V27"/>
  <sheetViews>
    <sheetView workbookViewId="0">
      <selection activeCell="G21" sqref="G21:H21"/>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c r="A2" s="2204"/>
      <c r="B2" s="1846"/>
      <c r="C2" s="1846"/>
      <c r="D2" s="1846"/>
      <c r="E2" s="1846"/>
      <c r="F2" s="1846"/>
      <c r="G2" s="1846"/>
      <c r="H2" s="1846"/>
      <c r="I2" s="1846"/>
      <c r="J2" s="1846"/>
      <c r="K2" s="1846"/>
      <c r="L2" s="1846"/>
      <c r="M2" s="1846"/>
      <c r="N2" s="1846"/>
      <c r="O2" s="1846"/>
      <c r="P2" s="1846"/>
      <c r="Q2" s="2283" t="s">
        <v>3780</v>
      </c>
      <c r="R2" s="2283"/>
      <c r="S2" s="2283"/>
      <c r="T2" s="2283"/>
      <c r="U2" s="2283"/>
    </row>
    <row r="3" spans="1:22">
      <c r="A3" s="2204"/>
      <c r="B3" s="1846"/>
      <c r="C3" s="1846"/>
      <c r="D3" s="1846"/>
      <c r="E3" s="1846"/>
      <c r="F3" s="1846"/>
      <c r="G3" s="1846"/>
      <c r="H3" s="1846"/>
      <c r="I3" s="1846"/>
      <c r="J3" s="1846"/>
      <c r="K3" s="1846"/>
      <c r="L3" s="1846"/>
      <c r="M3" s="1846"/>
      <c r="N3" s="1846"/>
      <c r="O3" s="1846"/>
      <c r="P3" s="1846"/>
      <c r="Q3" s="2283"/>
      <c r="R3" s="1846"/>
      <c r="S3" s="1846"/>
      <c r="T3" s="1846"/>
      <c r="U3" s="1846"/>
    </row>
    <row r="4" spans="1:22">
      <c r="A4" s="2284"/>
      <c r="B4" s="1846"/>
      <c r="C4" s="1846"/>
      <c r="D4" s="2285" t="s">
        <v>3767</v>
      </c>
      <c r="E4" s="2190"/>
      <c r="F4" s="2190"/>
      <c r="G4" s="2190"/>
      <c r="H4" s="2190"/>
      <c r="I4" s="2190"/>
      <c r="J4" s="2190"/>
      <c r="K4" s="2190"/>
      <c r="L4" s="2190"/>
      <c r="M4" s="2190"/>
      <c r="N4" s="2190"/>
      <c r="O4" s="2190"/>
      <c r="P4" s="2190"/>
      <c r="Q4" s="2190"/>
      <c r="R4" s="2190"/>
      <c r="S4" s="2284"/>
      <c r="T4" s="1846"/>
      <c r="U4" s="1846"/>
    </row>
    <row r="5" spans="1:22">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c r="A6" s="2204"/>
      <c r="B6" s="1846"/>
      <c r="C6" s="1846"/>
      <c r="D6" s="1846"/>
      <c r="E6" s="1846"/>
      <c r="F6" s="1846"/>
      <c r="G6" s="1846"/>
      <c r="H6" s="1846"/>
      <c r="I6" s="1846"/>
      <c r="J6" s="1846"/>
      <c r="K6" s="1846"/>
      <c r="L6" s="1846"/>
      <c r="M6" s="1846"/>
      <c r="N6" s="1846"/>
      <c r="O6" s="1846"/>
      <c r="P6" s="1846"/>
      <c r="Q6" s="1846"/>
      <c r="R6" s="1846"/>
      <c r="S6" s="1846"/>
      <c r="T6" s="1846"/>
      <c r="U6" s="1846"/>
    </row>
    <row r="7" spans="1:22">
      <c r="A7" s="2284"/>
      <c r="B7" s="1846"/>
      <c r="C7" s="1846"/>
      <c r="D7" s="2286" t="s">
        <v>3781</v>
      </c>
      <c r="E7" s="2190"/>
      <c r="F7" s="2190"/>
      <c r="G7" s="2190"/>
      <c r="H7" s="2190"/>
      <c r="I7" s="2190"/>
      <c r="J7" s="2190"/>
      <c r="K7" s="2190"/>
      <c r="L7" s="2190"/>
      <c r="M7" s="2190"/>
      <c r="N7" s="2190"/>
      <c r="O7" s="2190"/>
      <c r="P7" s="2190"/>
      <c r="Q7" s="2190"/>
      <c r="R7" s="2190"/>
      <c r="S7" s="2284"/>
      <c r="T7" s="1846"/>
      <c r="U7" s="1846"/>
    </row>
    <row r="8" spans="1:22">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c r="A9" s="2287"/>
      <c r="B9" s="1846"/>
      <c r="C9" s="1846"/>
      <c r="D9" s="1846"/>
      <c r="E9" s="1846"/>
      <c r="F9" s="1846"/>
      <c r="G9" s="1846"/>
      <c r="H9" s="1846"/>
      <c r="I9" s="1846"/>
      <c r="J9" s="1846"/>
      <c r="K9" s="1846"/>
      <c r="L9" s="1846"/>
      <c r="M9" s="1846"/>
      <c r="N9" s="1846"/>
      <c r="O9" s="1846"/>
      <c r="P9" s="1846"/>
      <c r="Q9" s="1846"/>
      <c r="R9" s="1846"/>
      <c r="S9" s="1846"/>
      <c r="T9" s="1846"/>
      <c r="U9" s="1846"/>
    </row>
    <row r="10" spans="1:22">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5.75">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c r="A12" s="2284"/>
      <c r="B12" s="1846"/>
      <c r="C12" s="1846"/>
      <c r="D12" s="1846"/>
      <c r="E12" s="1846"/>
      <c r="F12" s="1846"/>
      <c r="G12" s="1846"/>
      <c r="H12" s="2289" t="s">
        <v>3782</v>
      </c>
      <c r="I12" s="2190"/>
      <c r="J12" s="2190"/>
      <c r="K12" s="1409" t="s">
        <v>7</v>
      </c>
      <c r="L12" s="2289" t="s">
        <v>3783</v>
      </c>
      <c r="M12" s="2190"/>
      <c r="N12" s="2190"/>
      <c r="O12" s="2284"/>
      <c r="P12" s="1846"/>
      <c r="Q12" s="1846"/>
      <c r="R12" s="1846"/>
      <c r="S12" s="1846"/>
      <c r="T12" s="1846"/>
      <c r="U12" s="1846"/>
    </row>
    <row r="13" spans="1:22" hidden="1"/>
    <row r="15" spans="1:22">
      <c r="A15" s="2176" t="s">
        <v>1045</v>
      </c>
      <c r="B15" s="2176" t="s">
        <v>50</v>
      </c>
      <c r="C15" s="2176" t="s">
        <v>3635</v>
      </c>
      <c r="D15" s="2179"/>
      <c r="E15" s="2176" t="s">
        <v>3636</v>
      </c>
      <c r="F15" s="2176" t="s">
        <v>3637</v>
      </c>
      <c r="G15" s="2176" t="s">
        <v>3638</v>
      </c>
      <c r="H15" s="2171"/>
      <c r="I15" s="2171"/>
      <c r="J15" s="2171"/>
      <c r="K15" s="2171"/>
      <c r="L15" s="2171"/>
      <c r="M15" s="2171"/>
      <c r="N15" s="2171"/>
      <c r="O15" s="2171"/>
      <c r="P15" s="2171"/>
      <c r="Q15" s="2171"/>
      <c r="R15" s="2171"/>
      <c r="S15" s="2162"/>
      <c r="T15" s="2176" t="s">
        <v>3639</v>
      </c>
      <c r="U15" s="2176" t="s">
        <v>3640</v>
      </c>
      <c r="V15" s="2179"/>
    </row>
    <row r="16" spans="1:22">
      <c r="A16" s="2177"/>
      <c r="B16" s="2177"/>
      <c r="C16" s="2180"/>
      <c r="D16" s="2181"/>
      <c r="E16" s="2177"/>
      <c r="F16" s="2177"/>
      <c r="G16" s="2176" t="s">
        <v>9</v>
      </c>
      <c r="H16" s="2179"/>
      <c r="I16" s="2176" t="s">
        <v>3641</v>
      </c>
      <c r="J16" s="2171"/>
      <c r="K16" s="2171"/>
      <c r="L16" s="2162"/>
      <c r="M16" s="2184" t="s">
        <v>3642</v>
      </c>
      <c r="N16" s="1846"/>
      <c r="O16" s="1846"/>
      <c r="P16" s="1846"/>
      <c r="Q16" s="1846"/>
      <c r="R16" s="1846"/>
      <c r="S16" s="1846"/>
      <c r="T16" s="2177"/>
      <c r="U16" s="2180"/>
      <c r="V16" s="2181"/>
    </row>
    <row r="17" spans="1:22">
      <c r="A17" s="2177"/>
      <c r="B17" s="2177"/>
      <c r="C17" s="2180"/>
      <c r="D17" s="2181"/>
      <c r="E17" s="2177"/>
      <c r="F17" s="2177"/>
      <c r="G17" s="2180"/>
      <c r="H17" s="2181"/>
      <c r="I17" s="2176" t="s">
        <v>3643</v>
      </c>
      <c r="J17" s="2185"/>
      <c r="K17" s="2171"/>
      <c r="L17" s="2171"/>
      <c r="M17" s="2186" t="s">
        <v>3644</v>
      </c>
      <c r="N17" s="2187"/>
      <c r="O17" s="2187"/>
      <c r="P17" s="2187"/>
      <c r="Q17" s="2187"/>
      <c r="R17" s="2187"/>
      <c r="S17" s="2188"/>
      <c r="T17" s="2177"/>
      <c r="U17" s="2180"/>
      <c r="V17" s="2181"/>
    </row>
    <row r="18" spans="1:22">
      <c r="A18" s="2177"/>
      <c r="B18" s="2177"/>
      <c r="C18" s="2180"/>
      <c r="D18" s="2181"/>
      <c r="E18" s="2177"/>
      <c r="F18" s="2177"/>
      <c r="G18" s="2180"/>
      <c r="H18" s="2181"/>
      <c r="I18" s="2177"/>
      <c r="J18" s="2176" t="s">
        <v>3645</v>
      </c>
      <c r="K18" s="2189"/>
      <c r="L18" s="2179"/>
      <c r="M18" s="2176" t="s">
        <v>1974</v>
      </c>
      <c r="N18" s="2171"/>
      <c r="O18" s="2171"/>
      <c r="P18" s="2171"/>
      <c r="Q18" s="2171"/>
      <c r="R18" s="2171"/>
      <c r="S18" s="2162"/>
      <c r="T18" s="2177"/>
      <c r="U18" s="2180"/>
      <c r="V18" s="2181"/>
    </row>
    <row r="19" spans="1:22" ht="48">
      <c r="A19" s="2178"/>
      <c r="B19" s="2178"/>
      <c r="C19" s="2182"/>
      <c r="D19" s="2183"/>
      <c r="E19" s="2178"/>
      <c r="F19" s="2178"/>
      <c r="G19" s="2182"/>
      <c r="H19" s="2183"/>
      <c r="I19" s="2178"/>
      <c r="J19" s="2182"/>
      <c r="K19" s="2190"/>
      <c r="L19" s="2183"/>
      <c r="M19" s="1396" t="s">
        <v>3645</v>
      </c>
      <c r="N19" s="2176" t="s">
        <v>2010</v>
      </c>
      <c r="O19" s="2162"/>
      <c r="P19" s="2176" t="s">
        <v>61</v>
      </c>
      <c r="Q19" s="2162"/>
      <c r="R19" s="2176" t="s">
        <v>60</v>
      </c>
      <c r="S19" s="2162"/>
      <c r="T19" s="2178"/>
      <c r="U19" s="2182"/>
      <c r="V19" s="2183"/>
    </row>
    <row r="20" spans="1:22">
      <c r="A20" s="1397" t="s">
        <v>2024</v>
      </c>
      <c r="B20" s="1397" t="s">
        <v>2534</v>
      </c>
      <c r="C20" s="2175" t="s">
        <v>2535</v>
      </c>
      <c r="D20" s="2162"/>
      <c r="E20" s="1397" t="s">
        <v>2536</v>
      </c>
      <c r="F20" s="1397" t="s">
        <v>2025</v>
      </c>
      <c r="G20" s="2175" t="s">
        <v>2072</v>
      </c>
      <c r="H20" s="2162"/>
      <c r="I20" s="1397" t="s">
        <v>2074</v>
      </c>
      <c r="J20" s="2175" t="s">
        <v>2075</v>
      </c>
      <c r="K20" s="2171"/>
      <c r="L20" s="2162"/>
      <c r="M20" s="1397" t="s">
        <v>2026</v>
      </c>
      <c r="N20" s="2175" t="s">
        <v>1706</v>
      </c>
      <c r="O20" s="2162"/>
      <c r="P20" s="2175" t="s">
        <v>1707</v>
      </c>
      <c r="Q20" s="2162"/>
      <c r="R20" s="2175" t="s">
        <v>1709</v>
      </c>
      <c r="S20" s="2162"/>
      <c r="T20" s="1397" t="s">
        <v>1710</v>
      </c>
      <c r="U20" s="2175" t="s">
        <v>1711</v>
      </c>
      <c r="V20" s="2162"/>
    </row>
    <row r="21" spans="1:22" ht="33.75">
      <c r="A21" s="1326" t="s">
        <v>1052</v>
      </c>
      <c r="B21" s="1326" t="s">
        <v>345</v>
      </c>
      <c r="C21" s="2290" t="s">
        <v>215</v>
      </c>
      <c r="D21" s="2162"/>
      <c r="E21" s="1326"/>
      <c r="F21" s="1326"/>
      <c r="G21" s="2161">
        <v>397378</v>
      </c>
      <c r="H21" s="2162"/>
      <c r="I21" s="1398">
        <v>337771</v>
      </c>
      <c r="J21" s="2161">
        <v>0</v>
      </c>
      <c r="K21" s="2171"/>
      <c r="L21" s="2162"/>
      <c r="M21" s="1398">
        <v>0</v>
      </c>
      <c r="N21" s="2161">
        <v>59607</v>
      </c>
      <c r="O21" s="2162"/>
      <c r="P21" s="2161">
        <v>0</v>
      </c>
      <c r="Q21" s="2162"/>
      <c r="R21" s="2161">
        <v>0</v>
      </c>
      <c r="S21" s="2162"/>
      <c r="T21" s="1400" t="s">
        <v>3784</v>
      </c>
      <c r="U21" s="2291" t="s">
        <v>3785</v>
      </c>
      <c r="V21" s="2292"/>
    </row>
    <row r="22" spans="1:22" ht="33.75">
      <c r="A22" s="1326" t="s">
        <v>3647</v>
      </c>
      <c r="B22" s="1326" t="s">
        <v>184</v>
      </c>
      <c r="C22" s="2290" t="s">
        <v>635</v>
      </c>
      <c r="D22" s="2162"/>
      <c r="E22" s="1326"/>
      <c r="F22" s="1326"/>
      <c r="G22" s="2161">
        <v>856456.07</v>
      </c>
      <c r="H22" s="2162"/>
      <c r="I22" s="1398">
        <v>536611</v>
      </c>
      <c r="J22" s="2161">
        <v>0</v>
      </c>
      <c r="K22" s="2171"/>
      <c r="L22" s="2162"/>
      <c r="M22" s="1398">
        <v>0</v>
      </c>
      <c r="N22" s="2161">
        <v>319845.07</v>
      </c>
      <c r="O22" s="2162"/>
      <c r="P22" s="2161">
        <v>0</v>
      </c>
      <c r="Q22" s="2162"/>
      <c r="R22" s="2161">
        <v>0</v>
      </c>
      <c r="S22" s="2162"/>
      <c r="T22" s="1400" t="s">
        <v>3786</v>
      </c>
      <c r="U22" s="2291" t="s">
        <v>3787</v>
      </c>
      <c r="V22" s="2292"/>
    </row>
    <row r="23" spans="1:22" ht="33.75">
      <c r="A23" s="1326" t="s">
        <v>1087</v>
      </c>
      <c r="B23" s="1326" t="s">
        <v>235</v>
      </c>
      <c r="C23" s="2290" t="s">
        <v>233</v>
      </c>
      <c r="D23" s="2162"/>
      <c r="E23" s="1326"/>
      <c r="F23" s="1326"/>
      <c r="G23" s="2161">
        <v>146195</v>
      </c>
      <c r="H23" s="2162"/>
      <c r="I23" s="1398">
        <v>124266</v>
      </c>
      <c r="J23" s="2161">
        <v>0</v>
      </c>
      <c r="K23" s="2171"/>
      <c r="L23" s="2162"/>
      <c r="M23" s="1398">
        <v>0</v>
      </c>
      <c r="N23" s="2161">
        <v>21929</v>
      </c>
      <c r="O23" s="2162"/>
      <c r="P23" s="2161">
        <v>0</v>
      </c>
      <c r="Q23" s="2162"/>
      <c r="R23" s="2161">
        <v>0</v>
      </c>
      <c r="S23" s="2162"/>
      <c r="T23" s="1400" t="s">
        <v>3778</v>
      </c>
      <c r="U23" s="2291" t="s">
        <v>3785</v>
      </c>
      <c r="V23" s="2292"/>
    </row>
    <row r="24" spans="1:22" ht="33.75">
      <c r="A24" s="1326" t="s">
        <v>843</v>
      </c>
      <c r="B24" s="1326" t="s">
        <v>282</v>
      </c>
      <c r="C24" s="2290" t="s">
        <v>2484</v>
      </c>
      <c r="D24" s="2162"/>
      <c r="E24" s="1326"/>
      <c r="F24" s="1326"/>
      <c r="G24" s="2161">
        <v>437551</v>
      </c>
      <c r="H24" s="2162"/>
      <c r="I24" s="1398">
        <v>371918</v>
      </c>
      <c r="J24" s="2161">
        <v>0</v>
      </c>
      <c r="K24" s="2171"/>
      <c r="L24" s="2162"/>
      <c r="M24" s="1398">
        <v>0</v>
      </c>
      <c r="N24" s="2161">
        <v>65633</v>
      </c>
      <c r="O24" s="2162"/>
      <c r="P24" s="2161">
        <v>0</v>
      </c>
      <c r="Q24" s="2162"/>
      <c r="R24" s="2161">
        <v>0</v>
      </c>
      <c r="S24" s="2162"/>
      <c r="T24" s="1400" t="s">
        <v>3784</v>
      </c>
      <c r="U24" s="2291" t="s">
        <v>3785</v>
      </c>
      <c r="V24" s="2292"/>
    </row>
    <row r="25" spans="1:22" ht="23.25" thickBot="1">
      <c r="A25" s="1326" t="s">
        <v>1070</v>
      </c>
      <c r="B25" s="1326" t="s">
        <v>638</v>
      </c>
      <c r="C25" s="2290" t="s">
        <v>280</v>
      </c>
      <c r="D25" s="2162"/>
      <c r="E25" s="1326"/>
      <c r="F25" s="1326"/>
      <c r="G25" s="2161">
        <v>135814</v>
      </c>
      <c r="H25" s="2162"/>
      <c r="I25" s="1398">
        <v>115442</v>
      </c>
      <c r="J25" s="2161">
        <v>0</v>
      </c>
      <c r="K25" s="2171"/>
      <c r="L25" s="2162"/>
      <c r="M25" s="1398">
        <v>0</v>
      </c>
      <c r="N25" s="2161">
        <v>20372</v>
      </c>
      <c r="O25" s="2162"/>
      <c r="P25" s="2161">
        <v>0</v>
      </c>
      <c r="Q25" s="2162"/>
      <c r="R25" s="2161">
        <v>0</v>
      </c>
      <c r="S25" s="2162"/>
      <c r="T25" s="1400" t="s">
        <v>3680</v>
      </c>
      <c r="U25" s="2291" t="s">
        <v>3785</v>
      </c>
      <c r="V25" s="2292"/>
    </row>
    <row r="26" spans="1:22">
      <c r="A26" s="2173" t="s">
        <v>3649</v>
      </c>
      <c r="B26" s="2169"/>
      <c r="C26" s="2169"/>
      <c r="D26" s="2169"/>
      <c r="E26" s="2169"/>
      <c r="F26" s="2170"/>
      <c r="G26" s="2174">
        <v>1973394.07</v>
      </c>
      <c r="H26" s="2170"/>
      <c r="I26" s="1401">
        <v>1486008</v>
      </c>
      <c r="J26" s="2174">
        <v>0</v>
      </c>
      <c r="K26" s="2169"/>
      <c r="L26" s="2170"/>
      <c r="M26" s="1401">
        <v>0</v>
      </c>
      <c r="N26" s="2174">
        <v>487386.07</v>
      </c>
      <c r="O26" s="2170"/>
      <c r="P26" s="2174">
        <v>0</v>
      </c>
      <c r="Q26" s="2170"/>
      <c r="R26" s="2174">
        <v>0</v>
      </c>
      <c r="S26" s="2170"/>
      <c r="T26" s="2168"/>
      <c r="U26" s="2169"/>
      <c r="V26" s="2170"/>
    </row>
    <row r="27" spans="1:22">
      <c r="A27" s="2163" t="s">
        <v>3650</v>
      </c>
      <c r="B27" s="2171"/>
      <c r="C27" s="2171"/>
      <c r="D27" s="2171"/>
      <c r="E27" s="2171"/>
      <c r="F27" s="2171"/>
      <c r="G27" s="2171"/>
      <c r="H27" s="2162"/>
      <c r="I27" s="2172">
        <v>1486009</v>
      </c>
      <c r="J27" s="2171"/>
      <c r="K27" s="2171"/>
      <c r="L27" s="2171"/>
      <c r="M27" s="2171"/>
      <c r="N27" s="2171"/>
      <c r="O27" s="2171"/>
      <c r="P27" s="2171"/>
      <c r="Q27" s="2171"/>
      <c r="R27" s="2171"/>
      <c r="S27" s="2171"/>
      <c r="T27" s="2171"/>
      <c r="U27" s="2171"/>
      <c r="V27" s="2162"/>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T27"/>
  <sheetViews>
    <sheetView workbookViewId="0">
      <selection activeCell="N21" sqref="N21:O21"/>
    </sheetView>
  </sheetViews>
  <sheetFormatPr defaultRowHeight="12.75"/>
  <cols>
    <col min="1" max="1" width="4.5703125" style="1402" customWidth="1"/>
    <col min="2" max="2" width="11.7109375" style="1402" customWidth="1"/>
    <col min="3" max="3" width="24.85546875" style="1402" customWidth="1"/>
    <col min="4" max="4" width="0.140625" style="1402" hidden="1" customWidth="1"/>
    <col min="5" max="5" width="11.5703125" style="1402" customWidth="1"/>
    <col min="6" max="6" width="1.85546875" style="1402" hidden="1" customWidth="1"/>
    <col min="7" max="7" width="11.7109375" style="1402" customWidth="1"/>
    <col min="8" max="8" width="1" style="1402" customWidth="1"/>
    <col min="9" max="9" width="9.140625" style="1402" customWidth="1"/>
    <col min="10" max="10" width="1.140625" style="1402" customWidth="1"/>
    <col min="11" max="11" width="10.7109375" style="1402" customWidth="1"/>
    <col min="12" max="12" width="1.85546875" style="1402" customWidth="1"/>
    <col min="13" max="13" width="10.42578125" style="1402" customWidth="1"/>
    <col min="14" max="14" width="10.140625" style="1402" customWidth="1"/>
    <col min="15" max="15" width="2.85546875" style="1402" hidden="1" customWidth="1"/>
    <col min="16" max="16" width="9.42578125" style="1402" customWidth="1"/>
    <col min="17" max="17" width="3.85546875" style="1402" hidden="1" customWidth="1"/>
    <col min="18" max="18" width="14.28515625" style="1402" customWidth="1"/>
    <col min="19" max="19" width="23.42578125" style="1402" customWidth="1"/>
    <col min="20" max="20" width="2" style="1402" customWidth="1"/>
    <col min="21" max="256" width="9.140625" style="1402"/>
    <col min="257" max="257" width="4.5703125" style="1402" customWidth="1"/>
    <col min="258" max="258" width="11.7109375" style="1402" customWidth="1"/>
    <col min="259" max="259" width="24.85546875" style="1402" customWidth="1"/>
    <col min="260" max="260" width="0" style="1402" hidden="1" customWidth="1"/>
    <col min="261" max="261" width="11.5703125" style="1402" customWidth="1"/>
    <col min="262" max="262" width="0" style="1402" hidden="1" customWidth="1"/>
    <col min="263" max="263" width="11.7109375" style="1402" customWidth="1"/>
    <col min="264" max="264" width="1" style="1402" customWidth="1"/>
    <col min="265" max="265" width="9.140625" style="1402" customWidth="1"/>
    <col min="266" max="266" width="1.140625" style="1402" customWidth="1"/>
    <col min="267" max="267" width="10.7109375" style="1402" customWidth="1"/>
    <col min="268" max="268" width="1.85546875" style="1402" customWidth="1"/>
    <col min="269" max="269" width="10.42578125" style="1402" customWidth="1"/>
    <col min="270" max="270" width="10.140625" style="1402" customWidth="1"/>
    <col min="271" max="271" width="0" style="1402" hidden="1" customWidth="1"/>
    <col min="272" max="272" width="9.42578125" style="1402" customWidth="1"/>
    <col min="273" max="273" width="0" style="1402" hidden="1" customWidth="1"/>
    <col min="274" max="274" width="14.28515625" style="1402" customWidth="1"/>
    <col min="275" max="275" width="23.42578125" style="1402" customWidth="1"/>
    <col min="276" max="276" width="2" style="1402" customWidth="1"/>
    <col min="277" max="512" width="9.140625" style="1402"/>
    <col min="513" max="513" width="4.5703125" style="1402" customWidth="1"/>
    <col min="514" max="514" width="11.7109375" style="1402" customWidth="1"/>
    <col min="515" max="515" width="24.85546875" style="1402" customWidth="1"/>
    <col min="516" max="516" width="0" style="1402" hidden="1" customWidth="1"/>
    <col min="517" max="517" width="11.5703125" style="1402" customWidth="1"/>
    <col min="518" max="518" width="0" style="1402" hidden="1" customWidth="1"/>
    <col min="519" max="519" width="11.7109375" style="1402" customWidth="1"/>
    <col min="520" max="520" width="1" style="1402" customWidth="1"/>
    <col min="521" max="521" width="9.140625" style="1402" customWidth="1"/>
    <col min="522" max="522" width="1.140625" style="1402" customWidth="1"/>
    <col min="523" max="523" width="10.7109375" style="1402" customWidth="1"/>
    <col min="524" max="524" width="1.85546875" style="1402" customWidth="1"/>
    <col min="525" max="525" width="10.42578125" style="1402" customWidth="1"/>
    <col min="526" max="526" width="10.140625" style="1402" customWidth="1"/>
    <col min="527" max="527" width="0" style="1402" hidden="1" customWidth="1"/>
    <col min="528" max="528" width="9.42578125" style="1402" customWidth="1"/>
    <col min="529" max="529" width="0" style="1402" hidden="1" customWidth="1"/>
    <col min="530" max="530" width="14.28515625" style="1402" customWidth="1"/>
    <col min="531" max="531" width="23.42578125" style="1402" customWidth="1"/>
    <col min="532" max="532" width="2" style="1402" customWidth="1"/>
    <col min="533" max="768" width="9.140625" style="1402"/>
    <col min="769" max="769" width="4.5703125" style="1402" customWidth="1"/>
    <col min="770" max="770" width="11.7109375" style="1402" customWidth="1"/>
    <col min="771" max="771" width="24.85546875" style="1402" customWidth="1"/>
    <col min="772" max="772" width="0" style="1402" hidden="1" customWidth="1"/>
    <col min="773" max="773" width="11.5703125" style="1402" customWidth="1"/>
    <col min="774" max="774" width="0" style="1402" hidden="1" customWidth="1"/>
    <col min="775" max="775" width="11.7109375" style="1402" customWidth="1"/>
    <col min="776" max="776" width="1" style="1402" customWidth="1"/>
    <col min="777" max="777" width="9.140625" style="1402" customWidth="1"/>
    <col min="778" max="778" width="1.140625" style="1402" customWidth="1"/>
    <col min="779" max="779" width="10.7109375" style="1402" customWidth="1"/>
    <col min="780" max="780" width="1.85546875" style="1402" customWidth="1"/>
    <col min="781" max="781" width="10.42578125" style="1402" customWidth="1"/>
    <col min="782" max="782" width="10.140625" style="1402" customWidth="1"/>
    <col min="783" max="783" width="0" style="1402" hidden="1" customWidth="1"/>
    <col min="784" max="784" width="9.42578125" style="1402" customWidth="1"/>
    <col min="785" max="785" width="0" style="1402" hidden="1" customWidth="1"/>
    <col min="786" max="786" width="14.28515625" style="1402" customWidth="1"/>
    <col min="787" max="787" width="23.42578125" style="1402" customWidth="1"/>
    <col min="788" max="788" width="2" style="1402" customWidth="1"/>
    <col min="789" max="1024" width="9.140625" style="1402"/>
    <col min="1025" max="1025" width="4.5703125" style="1402" customWidth="1"/>
    <col min="1026" max="1026" width="11.7109375" style="1402" customWidth="1"/>
    <col min="1027" max="1027" width="24.85546875" style="1402" customWidth="1"/>
    <col min="1028" max="1028" width="0" style="1402" hidden="1" customWidth="1"/>
    <col min="1029" max="1029" width="11.5703125" style="1402" customWidth="1"/>
    <col min="1030" max="1030" width="0" style="1402" hidden="1" customWidth="1"/>
    <col min="1031" max="1031" width="11.7109375" style="1402" customWidth="1"/>
    <col min="1032" max="1032" width="1" style="1402" customWidth="1"/>
    <col min="1033" max="1033" width="9.140625" style="1402" customWidth="1"/>
    <col min="1034" max="1034" width="1.140625" style="1402" customWidth="1"/>
    <col min="1035" max="1035" width="10.7109375" style="1402" customWidth="1"/>
    <col min="1036" max="1036" width="1.85546875" style="1402" customWidth="1"/>
    <col min="1037" max="1037" width="10.42578125" style="1402" customWidth="1"/>
    <col min="1038" max="1038" width="10.140625" style="1402" customWidth="1"/>
    <col min="1039" max="1039" width="0" style="1402" hidden="1" customWidth="1"/>
    <col min="1040" max="1040" width="9.42578125" style="1402" customWidth="1"/>
    <col min="1041" max="1041" width="0" style="1402" hidden="1" customWidth="1"/>
    <col min="1042" max="1042" width="14.28515625" style="1402" customWidth="1"/>
    <col min="1043" max="1043" width="23.42578125" style="1402" customWidth="1"/>
    <col min="1044" max="1044" width="2" style="1402" customWidth="1"/>
    <col min="1045" max="1280" width="9.140625" style="1402"/>
    <col min="1281" max="1281" width="4.5703125" style="1402" customWidth="1"/>
    <col min="1282" max="1282" width="11.7109375" style="1402" customWidth="1"/>
    <col min="1283" max="1283" width="24.85546875" style="1402" customWidth="1"/>
    <col min="1284" max="1284" width="0" style="1402" hidden="1" customWidth="1"/>
    <col min="1285" max="1285" width="11.5703125" style="1402" customWidth="1"/>
    <col min="1286" max="1286" width="0" style="1402" hidden="1" customWidth="1"/>
    <col min="1287" max="1287" width="11.7109375" style="1402" customWidth="1"/>
    <col min="1288" max="1288" width="1" style="1402" customWidth="1"/>
    <col min="1289" max="1289" width="9.140625" style="1402" customWidth="1"/>
    <col min="1290" max="1290" width="1.140625" style="1402" customWidth="1"/>
    <col min="1291" max="1291" width="10.7109375" style="1402" customWidth="1"/>
    <col min="1292" max="1292" width="1.85546875" style="1402" customWidth="1"/>
    <col min="1293" max="1293" width="10.42578125" style="1402" customWidth="1"/>
    <col min="1294" max="1294" width="10.140625" style="1402" customWidth="1"/>
    <col min="1295" max="1295" width="0" style="1402" hidden="1" customWidth="1"/>
    <col min="1296" max="1296" width="9.42578125" style="1402" customWidth="1"/>
    <col min="1297" max="1297" width="0" style="1402" hidden="1" customWidth="1"/>
    <col min="1298" max="1298" width="14.28515625" style="1402" customWidth="1"/>
    <col min="1299" max="1299" width="23.42578125" style="1402" customWidth="1"/>
    <col min="1300" max="1300" width="2" style="1402" customWidth="1"/>
    <col min="1301" max="1536" width="9.140625" style="1402"/>
    <col min="1537" max="1537" width="4.5703125" style="1402" customWidth="1"/>
    <col min="1538" max="1538" width="11.7109375" style="1402" customWidth="1"/>
    <col min="1539" max="1539" width="24.85546875" style="1402" customWidth="1"/>
    <col min="1540" max="1540" width="0" style="1402" hidden="1" customWidth="1"/>
    <col min="1541" max="1541" width="11.5703125" style="1402" customWidth="1"/>
    <col min="1542" max="1542" width="0" style="1402" hidden="1" customWidth="1"/>
    <col min="1543" max="1543" width="11.7109375" style="1402" customWidth="1"/>
    <col min="1544" max="1544" width="1" style="1402" customWidth="1"/>
    <col min="1545" max="1545" width="9.140625" style="1402" customWidth="1"/>
    <col min="1546" max="1546" width="1.140625" style="1402" customWidth="1"/>
    <col min="1547" max="1547" width="10.7109375" style="1402" customWidth="1"/>
    <col min="1548" max="1548" width="1.85546875" style="1402" customWidth="1"/>
    <col min="1549" max="1549" width="10.42578125" style="1402" customWidth="1"/>
    <col min="1550" max="1550" width="10.140625" style="1402" customWidth="1"/>
    <col min="1551" max="1551" width="0" style="1402" hidden="1" customWidth="1"/>
    <col min="1552" max="1552" width="9.42578125" style="1402" customWidth="1"/>
    <col min="1553" max="1553" width="0" style="1402" hidden="1" customWidth="1"/>
    <col min="1554" max="1554" width="14.28515625" style="1402" customWidth="1"/>
    <col min="1555" max="1555" width="23.42578125" style="1402" customWidth="1"/>
    <col min="1556" max="1556" width="2" style="1402" customWidth="1"/>
    <col min="1557" max="1792" width="9.140625" style="1402"/>
    <col min="1793" max="1793" width="4.5703125" style="1402" customWidth="1"/>
    <col min="1794" max="1794" width="11.7109375" style="1402" customWidth="1"/>
    <col min="1795" max="1795" width="24.85546875" style="1402" customWidth="1"/>
    <col min="1796" max="1796" width="0" style="1402" hidden="1" customWidth="1"/>
    <col min="1797" max="1797" width="11.5703125" style="1402" customWidth="1"/>
    <col min="1798" max="1798" width="0" style="1402" hidden="1" customWidth="1"/>
    <col min="1799" max="1799" width="11.7109375" style="1402" customWidth="1"/>
    <col min="1800" max="1800" width="1" style="1402" customWidth="1"/>
    <col min="1801" max="1801" width="9.140625" style="1402" customWidth="1"/>
    <col min="1802" max="1802" width="1.140625" style="1402" customWidth="1"/>
    <col min="1803" max="1803" width="10.7109375" style="1402" customWidth="1"/>
    <col min="1804" max="1804" width="1.85546875" style="1402" customWidth="1"/>
    <col min="1805" max="1805" width="10.42578125" style="1402" customWidth="1"/>
    <col min="1806" max="1806" width="10.140625" style="1402" customWidth="1"/>
    <col min="1807" max="1807" width="0" style="1402" hidden="1" customWidth="1"/>
    <col min="1808" max="1808" width="9.42578125" style="1402" customWidth="1"/>
    <col min="1809" max="1809" width="0" style="1402" hidden="1" customWidth="1"/>
    <col min="1810" max="1810" width="14.28515625" style="1402" customWidth="1"/>
    <col min="1811" max="1811" width="23.42578125" style="1402" customWidth="1"/>
    <col min="1812" max="1812" width="2" style="1402" customWidth="1"/>
    <col min="1813" max="2048" width="9.140625" style="1402"/>
    <col min="2049" max="2049" width="4.5703125" style="1402" customWidth="1"/>
    <col min="2050" max="2050" width="11.7109375" style="1402" customWidth="1"/>
    <col min="2051" max="2051" width="24.85546875" style="1402" customWidth="1"/>
    <col min="2052" max="2052" width="0" style="1402" hidden="1" customWidth="1"/>
    <col min="2053" max="2053" width="11.5703125" style="1402" customWidth="1"/>
    <col min="2054" max="2054" width="0" style="1402" hidden="1" customWidth="1"/>
    <col min="2055" max="2055" width="11.7109375" style="1402" customWidth="1"/>
    <col min="2056" max="2056" width="1" style="1402" customWidth="1"/>
    <col min="2057" max="2057" width="9.140625" style="1402" customWidth="1"/>
    <col min="2058" max="2058" width="1.140625" style="1402" customWidth="1"/>
    <col min="2059" max="2059" width="10.7109375" style="1402" customWidth="1"/>
    <col min="2060" max="2060" width="1.85546875" style="1402" customWidth="1"/>
    <col min="2061" max="2061" width="10.42578125" style="1402" customWidth="1"/>
    <col min="2062" max="2062" width="10.140625" style="1402" customWidth="1"/>
    <col min="2063" max="2063" width="0" style="1402" hidden="1" customWidth="1"/>
    <col min="2064" max="2064" width="9.42578125" style="1402" customWidth="1"/>
    <col min="2065" max="2065" width="0" style="1402" hidden="1" customWidth="1"/>
    <col min="2066" max="2066" width="14.28515625" style="1402" customWidth="1"/>
    <col min="2067" max="2067" width="23.42578125" style="1402" customWidth="1"/>
    <col min="2068" max="2068" width="2" style="1402" customWidth="1"/>
    <col min="2069" max="2304" width="9.140625" style="1402"/>
    <col min="2305" max="2305" width="4.5703125" style="1402" customWidth="1"/>
    <col min="2306" max="2306" width="11.7109375" style="1402" customWidth="1"/>
    <col min="2307" max="2307" width="24.85546875" style="1402" customWidth="1"/>
    <col min="2308" max="2308" width="0" style="1402" hidden="1" customWidth="1"/>
    <col min="2309" max="2309" width="11.5703125" style="1402" customWidth="1"/>
    <col min="2310" max="2310" width="0" style="1402" hidden="1" customWidth="1"/>
    <col min="2311" max="2311" width="11.7109375" style="1402" customWidth="1"/>
    <col min="2312" max="2312" width="1" style="1402" customWidth="1"/>
    <col min="2313" max="2313" width="9.140625" style="1402" customWidth="1"/>
    <col min="2314" max="2314" width="1.140625" style="1402" customWidth="1"/>
    <col min="2315" max="2315" width="10.7109375" style="1402" customWidth="1"/>
    <col min="2316" max="2316" width="1.85546875" style="1402" customWidth="1"/>
    <col min="2317" max="2317" width="10.42578125" style="1402" customWidth="1"/>
    <col min="2318" max="2318" width="10.140625" style="1402" customWidth="1"/>
    <col min="2319" max="2319" width="0" style="1402" hidden="1" customWidth="1"/>
    <col min="2320" max="2320" width="9.42578125" style="1402" customWidth="1"/>
    <col min="2321" max="2321" width="0" style="1402" hidden="1" customWidth="1"/>
    <col min="2322" max="2322" width="14.28515625" style="1402" customWidth="1"/>
    <col min="2323" max="2323" width="23.42578125" style="1402" customWidth="1"/>
    <col min="2324" max="2324" width="2" style="1402" customWidth="1"/>
    <col min="2325" max="2560" width="9.140625" style="1402"/>
    <col min="2561" max="2561" width="4.5703125" style="1402" customWidth="1"/>
    <col min="2562" max="2562" width="11.7109375" style="1402" customWidth="1"/>
    <col min="2563" max="2563" width="24.85546875" style="1402" customWidth="1"/>
    <col min="2564" max="2564" width="0" style="1402" hidden="1" customWidth="1"/>
    <col min="2565" max="2565" width="11.5703125" style="1402" customWidth="1"/>
    <col min="2566" max="2566" width="0" style="1402" hidden="1" customWidth="1"/>
    <col min="2567" max="2567" width="11.7109375" style="1402" customWidth="1"/>
    <col min="2568" max="2568" width="1" style="1402" customWidth="1"/>
    <col min="2569" max="2569" width="9.140625" style="1402" customWidth="1"/>
    <col min="2570" max="2570" width="1.140625" style="1402" customWidth="1"/>
    <col min="2571" max="2571" width="10.7109375" style="1402" customWidth="1"/>
    <col min="2572" max="2572" width="1.85546875" style="1402" customWidth="1"/>
    <col min="2573" max="2573" width="10.42578125" style="1402" customWidth="1"/>
    <col min="2574" max="2574" width="10.140625" style="1402" customWidth="1"/>
    <col min="2575" max="2575" width="0" style="1402" hidden="1" customWidth="1"/>
    <col min="2576" max="2576" width="9.42578125" style="1402" customWidth="1"/>
    <col min="2577" max="2577" width="0" style="1402" hidden="1" customWidth="1"/>
    <col min="2578" max="2578" width="14.28515625" style="1402" customWidth="1"/>
    <col min="2579" max="2579" width="23.42578125" style="1402" customWidth="1"/>
    <col min="2580" max="2580" width="2" style="1402" customWidth="1"/>
    <col min="2581" max="2816" width="9.140625" style="1402"/>
    <col min="2817" max="2817" width="4.5703125" style="1402" customWidth="1"/>
    <col min="2818" max="2818" width="11.7109375" style="1402" customWidth="1"/>
    <col min="2819" max="2819" width="24.85546875" style="1402" customWidth="1"/>
    <col min="2820" max="2820" width="0" style="1402" hidden="1" customWidth="1"/>
    <col min="2821" max="2821" width="11.5703125" style="1402" customWidth="1"/>
    <col min="2822" max="2822" width="0" style="1402" hidden="1" customWidth="1"/>
    <col min="2823" max="2823" width="11.7109375" style="1402" customWidth="1"/>
    <col min="2824" max="2824" width="1" style="1402" customWidth="1"/>
    <col min="2825" max="2825" width="9.140625" style="1402" customWidth="1"/>
    <col min="2826" max="2826" width="1.140625" style="1402" customWidth="1"/>
    <col min="2827" max="2827" width="10.7109375" style="1402" customWidth="1"/>
    <col min="2828" max="2828" width="1.85546875" style="1402" customWidth="1"/>
    <col min="2829" max="2829" width="10.42578125" style="1402" customWidth="1"/>
    <col min="2830" max="2830" width="10.140625" style="1402" customWidth="1"/>
    <col min="2831" max="2831" width="0" style="1402" hidden="1" customWidth="1"/>
    <col min="2832" max="2832" width="9.42578125" style="1402" customWidth="1"/>
    <col min="2833" max="2833" width="0" style="1402" hidden="1" customWidth="1"/>
    <col min="2834" max="2834" width="14.28515625" style="1402" customWidth="1"/>
    <col min="2835" max="2835" width="23.42578125" style="1402" customWidth="1"/>
    <col min="2836" max="2836" width="2" style="1402" customWidth="1"/>
    <col min="2837" max="3072" width="9.140625" style="1402"/>
    <col min="3073" max="3073" width="4.5703125" style="1402" customWidth="1"/>
    <col min="3074" max="3074" width="11.7109375" style="1402" customWidth="1"/>
    <col min="3075" max="3075" width="24.85546875" style="1402" customWidth="1"/>
    <col min="3076" max="3076" width="0" style="1402" hidden="1" customWidth="1"/>
    <col min="3077" max="3077" width="11.5703125" style="1402" customWidth="1"/>
    <col min="3078" max="3078" width="0" style="1402" hidden="1" customWidth="1"/>
    <col min="3079" max="3079" width="11.7109375" style="1402" customWidth="1"/>
    <col min="3080" max="3080" width="1" style="1402" customWidth="1"/>
    <col min="3081" max="3081" width="9.140625" style="1402" customWidth="1"/>
    <col min="3082" max="3082" width="1.140625" style="1402" customWidth="1"/>
    <col min="3083" max="3083" width="10.7109375" style="1402" customWidth="1"/>
    <col min="3084" max="3084" width="1.85546875" style="1402" customWidth="1"/>
    <col min="3085" max="3085" width="10.42578125" style="1402" customWidth="1"/>
    <col min="3086" max="3086" width="10.140625" style="1402" customWidth="1"/>
    <col min="3087" max="3087" width="0" style="1402" hidden="1" customWidth="1"/>
    <col min="3088" max="3088" width="9.42578125" style="1402" customWidth="1"/>
    <col min="3089" max="3089" width="0" style="1402" hidden="1" customWidth="1"/>
    <col min="3090" max="3090" width="14.28515625" style="1402" customWidth="1"/>
    <col min="3091" max="3091" width="23.42578125" style="1402" customWidth="1"/>
    <col min="3092" max="3092" width="2" style="1402" customWidth="1"/>
    <col min="3093" max="3328" width="9.140625" style="1402"/>
    <col min="3329" max="3329" width="4.5703125" style="1402" customWidth="1"/>
    <col min="3330" max="3330" width="11.7109375" style="1402" customWidth="1"/>
    <col min="3331" max="3331" width="24.85546875" style="1402" customWidth="1"/>
    <col min="3332" max="3332" width="0" style="1402" hidden="1" customWidth="1"/>
    <col min="3333" max="3333" width="11.5703125" style="1402" customWidth="1"/>
    <col min="3334" max="3334" width="0" style="1402" hidden="1" customWidth="1"/>
    <col min="3335" max="3335" width="11.7109375" style="1402" customWidth="1"/>
    <col min="3336" max="3336" width="1" style="1402" customWidth="1"/>
    <col min="3337" max="3337" width="9.140625" style="1402" customWidth="1"/>
    <col min="3338" max="3338" width="1.140625" style="1402" customWidth="1"/>
    <col min="3339" max="3339" width="10.7109375" style="1402" customWidth="1"/>
    <col min="3340" max="3340" width="1.85546875" style="1402" customWidth="1"/>
    <col min="3341" max="3341" width="10.42578125" style="1402" customWidth="1"/>
    <col min="3342" max="3342" width="10.140625" style="1402" customWidth="1"/>
    <col min="3343" max="3343" width="0" style="1402" hidden="1" customWidth="1"/>
    <col min="3344" max="3344" width="9.42578125" style="1402" customWidth="1"/>
    <col min="3345" max="3345" width="0" style="1402" hidden="1" customWidth="1"/>
    <col min="3346" max="3346" width="14.28515625" style="1402" customWidth="1"/>
    <col min="3347" max="3347" width="23.42578125" style="1402" customWidth="1"/>
    <col min="3348" max="3348" width="2" style="1402" customWidth="1"/>
    <col min="3349" max="3584" width="9.140625" style="1402"/>
    <col min="3585" max="3585" width="4.5703125" style="1402" customWidth="1"/>
    <col min="3586" max="3586" width="11.7109375" style="1402" customWidth="1"/>
    <col min="3587" max="3587" width="24.85546875" style="1402" customWidth="1"/>
    <col min="3588" max="3588" width="0" style="1402" hidden="1" customWidth="1"/>
    <col min="3589" max="3589" width="11.5703125" style="1402" customWidth="1"/>
    <col min="3590" max="3590" width="0" style="1402" hidden="1" customWidth="1"/>
    <col min="3591" max="3591" width="11.7109375" style="1402" customWidth="1"/>
    <col min="3592" max="3592" width="1" style="1402" customWidth="1"/>
    <col min="3593" max="3593" width="9.140625" style="1402" customWidth="1"/>
    <col min="3594" max="3594" width="1.140625" style="1402" customWidth="1"/>
    <col min="3595" max="3595" width="10.7109375" style="1402" customWidth="1"/>
    <col min="3596" max="3596" width="1.85546875" style="1402" customWidth="1"/>
    <col min="3597" max="3597" width="10.42578125" style="1402" customWidth="1"/>
    <col min="3598" max="3598" width="10.140625" style="1402" customWidth="1"/>
    <col min="3599" max="3599" width="0" style="1402" hidden="1" customWidth="1"/>
    <col min="3600" max="3600" width="9.42578125" style="1402" customWidth="1"/>
    <col min="3601" max="3601" width="0" style="1402" hidden="1" customWidth="1"/>
    <col min="3602" max="3602" width="14.28515625" style="1402" customWidth="1"/>
    <col min="3603" max="3603" width="23.42578125" style="1402" customWidth="1"/>
    <col min="3604" max="3604" width="2" style="1402" customWidth="1"/>
    <col min="3605" max="3840" width="9.140625" style="1402"/>
    <col min="3841" max="3841" width="4.5703125" style="1402" customWidth="1"/>
    <col min="3842" max="3842" width="11.7109375" style="1402" customWidth="1"/>
    <col min="3843" max="3843" width="24.85546875" style="1402" customWidth="1"/>
    <col min="3844" max="3844" width="0" style="1402" hidden="1" customWidth="1"/>
    <col min="3845" max="3845" width="11.5703125" style="1402" customWidth="1"/>
    <col min="3846" max="3846" width="0" style="1402" hidden="1" customWidth="1"/>
    <col min="3847" max="3847" width="11.7109375" style="1402" customWidth="1"/>
    <col min="3848" max="3848" width="1" style="1402" customWidth="1"/>
    <col min="3849" max="3849" width="9.140625" style="1402" customWidth="1"/>
    <col min="3850" max="3850" width="1.140625" style="1402" customWidth="1"/>
    <col min="3851" max="3851" width="10.7109375" style="1402" customWidth="1"/>
    <col min="3852" max="3852" width="1.85546875" style="1402" customWidth="1"/>
    <col min="3853" max="3853" width="10.42578125" style="1402" customWidth="1"/>
    <col min="3854" max="3854" width="10.140625" style="1402" customWidth="1"/>
    <col min="3855" max="3855" width="0" style="1402" hidden="1" customWidth="1"/>
    <col min="3856" max="3856" width="9.42578125" style="1402" customWidth="1"/>
    <col min="3857" max="3857" width="0" style="1402" hidden="1" customWidth="1"/>
    <col min="3858" max="3858" width="14.28515625" style="1402" customWidth="1"/>
    <col min="3859" max="3859" width="23.42578125" style="1402" customWidth="1"/>
    <col min="3860" max="3860" width="2" style="1402" customWidth="1"/>
    <col min="3861" max="4096" width="9.140625" style="1402"/>
    <col min="4097" max="4097" width="4.5703125" style="1402" customWidth="1"/>
    <col min="4098" max="4098" width="11.7109375" style="1402" customWidth="1"/>
    <col min="4099" max="4099" width="24.85546875" style="1402" customWidth="1"/>
    <col min="4100" max="4100" width="0" style="1402" hidden="1" customWidth="1"/>
    <col min="4101" max="4101" width="11.5703125" style="1402" customWidth="1"/>
    <col min="4102" max="4102" width="0" style="1402" hidden="1" customWidth="1"/>
    <col min="4103" max="4103" width="11.7109375" style="1402" customWidth="1"/>
    <col min="4104" max="4104" width="1" style="1402" customWidth="1"/>
    <col min="4105" max="4105" width="9.140625" style="1402" customWidth="1"/>
    <col min="4106" max="4106" width="1.140625" style="1402" customWidth="1"/>
    <col min="4107" max="4107" width="10.7109375" style="1402" customWidth="1"/>
    <col min="4108" max="4108" width="1.85546875" style="1402" customWidth="1"/>
    <col min="4109" max="4109" width="10.42578125" style="1402" customWidth="1"/>
    <col min="4110" max="4110" width="10.140625" style="1402" customWidth="1"/>
    <col min="4111" max="4111" width="0" style="1402" hidden="1" customWidth="1"/>
    <col min="4112" max="4112" width="9.42578125" style="1402" customWidth="1"/>
    <col min="4113" max="4113" width="0" style="1402" hidden="1" customWidth="1"/>
    <col min="4114" max="4114" width="14.28515625" style="1402" customWidth="1"/>
    <col min="4115" max="4115" width="23.42578125" style="1402" customWidth="1"/>
    <col min="4116" max="4116" width="2" style="1402" customWidth="1"/>
    <col min="4117" max="4352" width="9.140625" style="1402"/>
    <col min="4353" max="4353" width="4.5703125" style="1402" customWidth="1"/>
    <col min="4354" max="4354" width="11.7109375" style="1402" customWidth="1"/>
    <col min="4355" max="4355" width="24.85546875" style="1402" customWidth="1"/>
    <col min="4356" max="4356" width="0" style="1402" hidden="1" customWidth="1"/>
    <col min="4357" max="4357" width="11.5703125" style="1402" customWidth="1"/>
    <col min="4358" max="4358" width="0" style="1402" hidden="1" customWidth="1"/>
    <col min="4359" max="4359" width="11.7109375" style="1402" customWidth="1"/>
    <col min="4360" max="4360" width="1" style="1402" customWidth="1"/>
    <col min="4361" max="4361" width="9.140625" style="1402" customWidth="1"/>
    <col min="4362" max="4362" width="1.140625" style="1402" customWidth="1"/>
    <col min="4363" max="4363" width="10.7109375" style="1402" customWidth="1"/>
    <col min="4364" max="4364" width="1.85546875" style="1402" customWidth="1"/>
    <col min="4365" max="4365" width="10.42578125" style="1402" customWidth="1"/>
    <col min="4366" max="4366" width="10.140625" style="1402" customWidth="1"/>
    <col min="4367" max="4367" width="0" style="1402" hidden="1" customWidth="1"/>
    <col min="4368" max="4368" width="9.42578125" style="1402" customWidth="1"/>
    <col min="4369" max="4369" width="0" style="1402" hidden="1" customWidth="1"/>
    <col min="4370" max="4370" width="14.28515625" style="1402" customWidth="1"/>
    <col min="4371" max="4371" width="23.42578125" style="1402" customWidth="1"/>
    <col min="4372" max="4372" width="2" style="1402" customWidth="1"/>
    <col min="4373" max="4608" width="9.140625" style="1402"/>
    <col min="4609" max="4609" width="4.5703125" style="1402" customWidth="1"/>
    <col min="4610" max="4610" width="11.7109375" style="1402" customWidth="1"/>
    <col min="4611" max="4611" width="24.85546875" style="1402" customWidth="1"/>
    <col min="4612" max="4612" width="0" style="1402" hidden="1" customWidth="1"/>
    <col min="4613" max="4613" width="11.5703125" style="1402" customWidth="1"/>
    <col min="4614" max="4614" width="0" style="1402" hidden="1" customWidth="1"/>
    <col min="4615" max="4615" width="11.7109375" style="1402" customWidth="1"/>
    <col min="4616" max="4616" width="1" style="1402" customWidth="1"/>
    <col min="4617" max="4617" width="9.140625" style="1402" customWidth="1"/>
    <col min="4618" max="4618" width="1.140625" style="1402" customWidth="1"/>
    <col min="4619" max="4619" width="10.7109375" style="1402" customWidth="1"/>
    <col min="4620" max="4620" width="1.85546875" style="1402" customWidth="1"/>
    <col min="4621" max="4621" width="10.42578125" style="1402" customWidth="1"/>
    <col min="4622" max="4622" width="10.140625" style="1402" customWidth="1"/>
    <col min="4623" max="4623" width="0" style="1402" hidden="1" customWidth="1"/>
    <col min="4624" max="4624" width="9.42578125" style="1402" customWidth="1"/>
    <col min="4625" max="4625" width="0" style="1402" hidden="1" customWidth="1"/>
    <col min="4626" max="4626" width="14.28515625" style="1402" customWidth="1"/>
    <col min="4627" max="4627" width="23.42578125" style="1402" customWidth="1"/>
    <col min="4628" max="4628" width="2" style="1402" customWidth="1"/>
    <col min="4629" max="4864" width="9.140625" style="1402"/>
    <col min="4865" max="4865" width="4.5703125" style="1402" customWidth="1"/>
    <col min="4866" max="4866" width="11.7109375" style="1402" customWidth="1"/>
    <col min="4867" max="4867" width="24.85546875" style="1402" customWidth="1"/>
    <col min="4868" max="4868" width="0" style="1402" hidden="1" customWidth="1"/>
    <col min="4869" max="4869" width="11.5703125" style="1402" customWidth="1"/>
    <col min="4870" max="4870" width="0" style="1402" hidden="1" customWidth="1"/>
    <col min="4871" max="4871" width="11.7109375" style="1402" customWidth="1"/>
    <col min="4872" max="4872" width="1" style="1402" customWidth="1"/>
    <col min="4873" max="4873" width="9.140625" style="1402" customWidth="1"/>
    <col min="4874" max="4874" width="1.140625" style="1402" customWidth="1"/>
    <col min="4875" max="4875" width="10.7109375" style="1402" customWidth="1"/>
    <col min="4876" max="4876" width="1.85546875" style="1402" customWidth="1"/>
    <col min="4877" max="4877" width="10.42578125" style="1402" customWidth="1"/>
    <col min="4878" max="4878" width="10.140625" style="1402" customWidth="1"/>
    <col min="4879" max="4879" width="0" style="1402" hidden="1" customWidth="1"/>
    <col min="4880" max="4880" width="9.42578125" style="1402" customWidth="1"/>
    <col min="4881" max="4881" width="0" style="1402" hidden="1" customWidth="1"/>
    <col min="4882" max="4882" width="14.28515625" style="1402" customWidth="1"/>
    <col min="4883" max="4883" width="23.42578125" style="1402" customWidth="1"/>
    <col min="4884" max="4884" width="2" style="1402" customWidth="1"/>
    <col min="4885" max="5120" width="9.140625" style="1402"/>
    <col min="5121" max="5121" width="4.5703125" style="1402" customWidth="1"/>
    <col min="5122" max="5122" width="11.7109375" style="1402" customWidth="1"/>
    <col min="5123" max="5123" width="24.85546875" style="1402" customWidth="1"/>
    <col min="5124" max="5124" width="0" style="1402" hidden="1" customWidth="1"/>
    <col min="5125" max="5125" width="11.5703125" style="1402" customWidth="1"/>
    <col min="5126" max="5126" width="0" style="1402" hidden="1" customWidth="1"/>
    <col min="5127" max="5127" width="11.7109375" style="1402" customWidth="1"/>
    <col min="5128" max="5128" width="1" style="1402" customWidth="1"/>
    <col min="5129" max="5129" width="9.140625" style="1402" customWidth="1"/>
    <col min="5130" max="5130" width="1.140625" style="1402" customWidth="1"/>
    <col min="5131" max="5131" width="10.7109375" style="1402" customWidth="1"/>
    <col min="5132" max="5132" width="1.85546875" style="1402" customWidth="1"/>
    <col min="5133" max="5133" width="10.42578125" style="1402" customWidth="1"/>
    <col min="5134" max="5134" width="10.140625" style="1402" customWidth="1"/>
    <col min="5135" max="5135" width="0" style="1402" hidden="1" customWidth="1"/>
    <col min="5136" max="5136" width="9.42578125" style="1402" customWidth="1"/>
    <col min="5137" max="5137" width="0" style="1402" hidden="1" customWidth="1"/>
    <col min="5138" max="5138" width="14.28515625" style="1402" customWidth="1"/>
    <col min="5139" max="5139" width="23.42578125" style="1402" customWidth="1"/>
    <col min="5140" max="5140" width="2" style="1402" customWidth="1"/>
    <col min="5141" max="5376" width="9.140625" style="1402"/>
    <col min="5377" max="5377" width="4.5703125" style="1402" customWidth="1"/>
    <col min="5378" max="5378" width="11.7109375" style="1402" customWidth="1"/>
    <col min="5379" max="5379" width="24.85546875" style="1402" customWidth="1"/>
    <col min="5380" max="5380" width="0" style="1402" hidden="1" customWidth="1"/>
    <col min="5381" max="5381" width="11.5703125" style="1402" customWidth="1"/>
    <col min="5382" max="5382" width="0" style="1402" hidden="1" customWidth="1"/>
    <col min="5383" max="5383" width="11.7109375" style="1402" customWidth="1"/>
    <col min="5384" max="5384" width="1" style="1402" customWidth="1"/>
    <col min="5385" max="5385" width="9.140625" style="1402" customWidth="1"/>
    <col min="5386" max="5386" width="1.140625" style="1402" customWidth="1"/>
    <col min="5387" max="5387" width="10.7109375" style="1402" customWidth="1"/>
    <col min="5388" max="5388" width="1.85546875" style="1402" customWidth="1"/>
    <col min="5389" max="5389" width="10.42578125" style="1402" customWidth="1"/>
    <col min="5390" max="5390" width="10.140625" style="1402" customWidth="1"/>
    <col min="5391" max="5391" width="0" style="1402" hidden="1" customWidth="1"/>
    <col min="5392" max="5392" width="9.42578125" style="1402" customWidth="1"/>
    <col min="5393" max="5393" width="0" style="1402" hidden="1" customWidth="1"/>
    <col min="5394" max="5394" width="14.28515625" style="1402" customWidth="1"/>
    <col min="5395" max="5395" width="23.42578125" style="1402" customWidth="1"/>
    <col min="5396" max="5396" width="2" style="1402" customWidth="1"/>
    <col min="5397" max="5632" width="9.140625" style="1402"/>
    <col min="5633" max="5633" width="4.5703125" style="1402" customWidth="1"/>
    <col min="5634" max="5634" width="11.7109375" style="1402" customWidth="1"/>
    <col min="5635" max="5635" width="24.85546875" style="1402" customWidth="1"/>
    <col min="5636" max="5636" width="0" style="1402" hidden="1" customWidth="1"/>
    <col min="5637" max="5637" width="11.5703125" style="1402" customWidth="1"/>
    <col min="5638" max="5638" width="0" style="1402" hidden="1" customWidth="1"/>
    <col min="5639" max="5639" width="11.7109375" style="1402" customWidth="1"/>
    <col min="5640" max="5640" width="1" style="1402" customWidth="1"/>
    <col min="5641" max="5641" width="9.140625" style="1402" customWidth="1"/>
    <col min="5642" max="5642" width="1.140625" style="1402" customWidth="1"/>
    <col min="5643" max="5643" width="10.7109375" style="1402" customWidth="1"/>
    <col min="5644" max="5644" width="1.85546875" style="1402" customWidth="1"/>
    <col min="5645" max="5645" width="10.42578125" style="1402" customWidth="1"/>
    <col min="5646" max="5646" width="10.140625" style="1402" customWidth="1"/>
    <col min="5647" max="5647" width="0" style="1402" hidden="1" customWidth="1"/>
    <col min="5648" max="5648" width="9.42578125" style="1402" customWidth="1"/>
    <col min="5649" max="5649" width="0" style="1402" hidden="1" customWidth="1"/>
    <col min="5650" max="5650" width="14.28515625" style="1402" customWidth="1"/>
    <col min="5651" max="5651" width="23.42578125" style="1402" customWidth="1"/>
    <col min="5652" max="5652" width="2" style="1402" customWidth="1"/>
    <col min="5653" max="5888" width="9.140625" style="1402"/>
    <col min="5889" max="5889" width="4.5703125" style="1402" customWidth="1"/>
    <col min="5890" max="5890" width="11.7109375" style="1402" customWidth="1"/>
    <col min="5891" max="5891" width="24.85546875" style="1402" customWidth="1"/>
    <col min="5892" max="5892" width="0" style="1402" hidden="1" customWidth="1"/>
    <col min="5893" max="5893" width="11.5703125" style="1402" customWidth="1"/>
    <col min="5894" max="5894" width="0" style="1402" hidden="1" customWidth="1"/>
    <col min="5895" max="5895" width="11.7109375" style="1402" customWidth="1"/>
    <col min="5896" max="5896" width="1" style="1402" customWidth="1"/>
    <col min="5897" max="5897" width="9.140625" style="1402" customWidth="1"/>
    <col min="5898" max="5898" width="1.140625" style="1402" customWidth="1"/>
    <col min="5899" max="5899" width="10.7109375" style="1402" customWidth="1"/>
    <col min="5900" max="5900" width="1.85546875" style="1402" customWidth="1"/>
    <col min="5901" max="5901" width="10.42578125" style="1402" customWidth="1"/>
    <col min="5902" max="5902" width="10.140625" style="1402" customWidth="1"/>
    <col min="5903" max="5903" width="0" style="1402" hidden="1" customWidth="1"/>
    <col min="5904" max="5904" width="9.42578125" style="1402" customWidth="1"/>
    <col min="5905" max="5905" width="0" style="1402" hidden="1" customWidth="1"/>
    <col min="5906" max="5906" width="14.28515625" style="1402" customWidth="1"/>
    <col min="5907" max="5907" width="23.42578125" style="1402" customWidth="1"/>
    <col min="5908" max="5908" width="2" style="1402" customWidth="1"/>
    <col min="5909" max="6144" width="9.140625" style="1402"/>
    <col min="6145" max="6145" width="4.5703125" style="1402" customWidth="1"/>
    <col min="6146" max="6146" width="11.7109375" style="1402" customWidth="1"/>
    <col min="6147" max="6147" width="24.85546875" style="1402" customWidth="1"/>
    <col min="6148" max="6148" width="0" style="1402" hidden="1" customWidth="1"/>
    <col min="6149" max="6149" width="11.5703125" style="1402" customWidth="1"/>
    <col min="6150" max="6150" width="0" style="1402" hidden="1" customWidth="1"/>
    <col min="6151" max="6151" width="11.7109375" style="1402" customWidth="1"/>
    <col min="6152" max="6152" width="1" style="1402" customWidth="1"/>
    <col min="6153" max="6153" width="9.140625" style="1402" customWidth="1"/>
    <col min="6154" max="6154" width="1.140625" style="1402" customWidth="1"/>
    <col min="6155" max="6155" width="10.7109375" style="1402" customWidth="1"/>
    <col min="6156" max="6156" width="1.85546875" style="1402" customWidth="1"/>
    <col min="6157" max="6157" width="10.42578125" style="1402" customWidth="1"/>
    <col min="6158" max="6158" width="10.140625" style="1402" customWidth="1"/>
    <col min="6159" max="6159" width="0" style="1402" hidden="1" customWidth="1"/>
    <col min="6160" max="6160" width="9.42578125" style="1402" customWidth="1"/>
    <col min="6161" max="6161" width="0" style="1402" hidden="1" customWidth="1"/>
    <col min="6162" max="6162" width="14.28515625" style="1402" customWidth="1"/>
    <col min="6163" max="6163" width="23.42578125" style="1402" customWidth="1"/>
    <col min="6164" max="6164" width="2" style="1402" customWidth="1"/>
    <col min="6165" max="6400" width="9.140625" style="1402"/>
    <col min="6401" max="6401" width="4.5703125" style="1402" customWidth="1"/>
    <col min="6402" max="6402" width="11.7109375" style="1402" customWidth="1"/>
    <col min="6403" max="6403" width="24.85546875" style="1402" customWidth="1"/>
    <col min="6404" max="6404" width="0" style="1402" hidden="1" customWidth="1"/>
    <col min="6405" max="6405" width="11.5703125" style="1402" customWidth="1"/>
    <col min="6406" max="6406" width="0" style="1402" hidden="1" customWidth="1"/>
    <col min="6407" max="6407" width="11.7109375" style="1402" customWidth="1"/>
    <col min="6408" max="6408" width="1" style="1402" customWidth="1"/>
    <col min="6409" max="6409" width="9.140625" style="1402" customWidth="1"/>
    <col min="6410" max="6410" width="1.140625" style="1402" customWidth="1"/>
    <col min="6411" max="6411" width="10.7109375" style="1402" customWidth="1"/>
    <col min="6412" max="6412" width="1.85546875" style="1402" customWidth="1"/>
    <col min="6413" max="6413" width="10.42578125" style="1402" customWidth="1"/>
    <col min="6414" max="6414" width="10.140625" style="1402" customWidth="1"/>
    <col min="6415" max="6415" width="0" style="1402" hidden="1" customWidth="1"/>
    <col min="6416" max="6416" width="9.42578125" style="1402" customWidth="1"/>
    <col min="6417" max="6417" width="0" style="1402" hidden="1" customWidth="1"/>
    <col min="6418" max="6418" width="14.28515625" style="1402" customWidth="1"/>
    <col min="6419" max="6419" width="23.42578125" style="1402" customWidth="1"/>
    <col min="6420" max="6420" width="2" style="1402" customWidth="1"/>
    <col min="6421" max="6656" width="9.140625" style="1402"/>
    <col min="6657" max="6657" width="4.5703125" style="1402" customWidth="1"/>
    <col min="6658" max="6658" width="11.7109375" style="1402" customWidth="1"/>
    <col min="6659" max="6659" width="24.85546875" style="1402" customWidth="1"/>
    <col min="6660" max="6660" width="0" style="1402" hidden="1" customWidth="1"/>
    <col min="6661" max="6661" width="11.5703125" style="1402" customWidth="1"/>
    <col min="6662" max="6662" width="0" style="1402" hidden="1" customWidth="1"/>
    <col min="6663" max="6663" width="11.7109375" style="1402" customWidth="1"/>
    <col min="6664" max="6664" width="1" style="1402" customWidth="1"/>
    <col min="6665" max="6665" width="9.140625" style="1402" customWidth="1"/>
    <col min="6666" max="6666" width="1.140625" style="1402" customWidth="1"/>
    <col min="6667" max="6667" width="10.7109375" style="1402" customWidth="1"/>
    <col min="6668" max="6668" width="1.85546875" style="1402" customWidth="1"/>
    <col min="6669" max="6669" width="10.42578125" style="1402" customWidth="1"/>
    <col min="6670" max="6670" width="10.140625" style="1402" customWidth="1"/>
    <col min="6671" max="6671" width="0" style="1402" hidden="1" customWidth="1"/>
    <col min="6672" max="6672" width="9.42578125" style="1402" customWidth="1"/>
    <col min="6673" max="6673" width="0" style="1402" hidden="1" customWidth="1"/>
    <col min="6674" max="6674" width="14.28515625" style="1402" customWidth="1"/>
    <col min="6675" max="6675" width="23.42578125" style="1402" customWidth="1"/>
    <col min="6676" max="6676" width="2" style="1402" customWidth="1"/>
    <col min="6677" max="6912" width="9.140625" style="1402"/>
    <col min="6913" max="6913" width="4.5703125" style="1402" customWidth="1"/>
    <col min="6914" max="6914" width="11.7109375" style="1402" customWidth="1"/>
    <col min="6915" max="6915" width="24.85546875" style="1402" customWidth="1"/>
    <col min="6916" max="6916" width="0" style="1402" hidden="1" customWidth="1"/>
    <col min="6917" max="6917" width="11.5703125" style="1402" customWidth="1"/>
    <col min="6918" max="6918" width="0" style="1402" hidden="1" customWidth="1"/>
    <col min="6919" max="6919" width="11.7109375" style="1402" customWidth="1"/>
    <col min="6920" max="6920" width="1" style="1402" customWidth="1"/>
    <col min="6921" max="6921" width="9.140625" style="1402" customWidth="1"/>
    <col min="6922" max="6922" width="1.140625" style="1402" customWidth="1"/>
    <col min="6923" max="6923" width="10.7109375" style="1402" customWidth="1"/>
    <col min="6924" max="6924" width="1.85546875" style="1402" customWidth="1"/>
    <col min="6925" max="6925" width="10.42578125" style="1402" customWidth="1"/>
    <col min="6926" max="6926" width="10.140625" style="1402" customWidth="1"/>
    <col min="6927" max="6927" width="0" style="1402" hidden="1" customWidth="1"/>
    <col min="6928" max="6928" width="9.42578125" style="1402" customWidth="1"/>
    <col min="6929" max="6929" width="0" style="1402" hidden="1" customWidth="1"/>
    <col min="6930" max="6930" width="14.28515625" style="1402" customWidth="1"/>
    <col min="6931" max="6931" width="23.42578125" style="1402" customWidth="1"/>
    <col min="6932" max="6932" width="2" style="1402" customWidth="1"/>
    <col min="6933" max="7168" width="9.140625" style="1402"/>
    <col min="7169" max="7169" width="4.5703125" style="1402" customWidth="1"/>
    <col min="7170" max="7170" width="11.7109375" style="1402" customWidth="1"/>
    <col min="7171" max="7171" width="24.85546875" style="1402" customWidth="1"/>
    <col min="7172" max="7172" width="0" style="1402" hidden="1" customWidth="1"/>
    <col min="7173" max="7173" width="11.5703125" style="1402" customWidth="1"/>
    <col min="7174" max="7174" width="0" style="1402" hidden="1" customWidth="1"/>
    <col min="7175" max="7175" width="11.7109375" style="1402" customWidth="1"/>
    <col min="7176" max="7176" width="1" style="1402" customWidth="1"/>
    <col min="7177" max="7177" width="9.140625" style="1402" customWidth="1"/>
    <col min="7178" max="7178" width="1.140625" style="1402" customWidth="1"/>
    <col min="7179" max="7179" width="10.7109375" style="1402" customWidth="1"/>
    <col min="7180" max="7180" width="1.85546875" style="1402" customWidth="1"/>
    <col min="7181" max="7181" width="10.42578125" style="1402" customWidth="1"/>
    <col min="7182" max="7182" width="10.140625" style="1402" customWidth="1"/>
    <col min="7183" max="7183" width="0" style="1402" hidden="1" customWidth="1"/>
    <col min="7184" max="7184" width="9.42578125" style="1402" customWidth="1"/>
    <col min="7185" max="7185" width="0" style="1402" hidden="1" customWidth="1"/>
    <col min="7186" max="7186" width="14.28515625" style="1402" customWidth="1"/>
    <col min="7187" max="7187" width="23.42578125" style="1402" customWidth="1"/>
    <col min="7188" max="7188" width="2" style="1402" customWidth="1"/>
    <col min="7189" max="7424" width="9.140625" style="1402"/>
    <col min="7425" max="7425" width="4.5703125" style="1402" customWidth="1"/>
    <col min="7426" max="7426" width="11.7109375" style="1402" customWidth="1"/>
    <col min="7427" max="7427" width="24.85546875" style="1402" customWidth="1"/>
    <col min="7428" max="7428" width="0" style="1402" hidden="1" customWidth="1"/>
    <col min="7429" max="7429" width="11.5703125" style="1402" customWidth="1"/>
    <col min="7430" max="7430" width="0" style="1402" hidden="1" customWidth="1"/>
    <col min="7431" max="7431" width="11.7109375" style="1402" customWidth="1"/>
    <col min="7432" max="7432" width="1" style="1402" customWidth="1"/>
    <col min="7433" max="7433" width="9.140625" style="1402" customWidth="1"/>
    <col min="7434" max="7434" width="1.140625" style="1402" customWidth="1"/>
    <col min="7435" max="7435" width="10.7109375" style="1402" customWidth="1"/>
    <col min="7436" max="7436" width="1.85546875" style="1402" customWidth="1"/>
    <col min="7437" max="7437" width="10.42578125" style="1402" customWidth="1"/>
    <col min="7438" max="7438" width="10.140625" style="1402" customWidth="1"/>
    <col min="7439" max="7439" width="0" style="1402" hidden="1" customWidth="1"/>
    <col min="7440" max="7440" width="9.42578125" style="1402" customWidth="1"/>
    <col min="7441" max="7441" width="0" style="1402" hidden="1" customWidth="1"/>
    <col min="7442" max="7442" width="14.28515625" style="1402" customWidth="1"/>
    <col min="7443" max="7443" width="23.42578125" style="1402" customWidth="1"/>
    <col min="7444" max="7444" width="2" style="1402" customWidth="1"/>
    <col min="7445" max="7680" width="9.140625" style="1402"/>
    <col min="7681" max="7681" width="4.5703125" style="1402" customWidth="1"/>
    <col min="7682" max="7682" width="11.7109375" style="1402" customWidth="1"/>
    <col min="7683" max="7683" width="24.85546875" style="1402" customWidth="1"/>
    <col min="7684" max="7684" width="0" style="1402" hidden="1" customWidth="1"/>
    <col min="7685" max="7685" width="11.5703125" style="1402" customWidth="1"/>
    <col min="7686" max="7686" width="0" style="1402" hidden="1" customWidth="1"/>
    <col min="7687" max="7687" width="11.7109375" style="1402" customWidth="1"/>
    <col min="7688" max="7688" width="1" style="1402" customWidth="1"/>
    <col min="7689" max="7689" width="9.140625" style="1402" customWidth="1"/>
    <col min="7690" max="7690" width="1.140625" style="1402" customWidth="1"/>
    <col min="7691" max="7691" width="10.7109375" style="1402" customWidth="1"/>
    <col min="7692" max="7692" width="1.85546875" style="1402" customWidth="1"/>
    <col min="7693" max="7693" width="10.42578125" style="1402" customWidth="1"/>
    <col min="7694" max="7694" width="10.140625" style="1402" customWidth="1"/>
    <col min="7695" max="7695" width="0" style="1402" hidden="1" customWidth="1"/>
    <col min="7696" max="7696" width="9.42578125" style="1402" customWidth="1"/>
    <col min="7697" max="7697" width="0" style="1402" hidden="1" customWidth="1"/>
    <col min="7698" max="7698" width="14.28515625" style="1402" customWidth="1"/>
    <col min="7699" max="7699" width="23.42578125" style="1402" customWidth="1"/>
    <col min="7700" max="7700" width="2" style="1402" customWidth="1"/>
    <col min="7701" max="7936" width="9.140625" style="1402"/>
    <col min="7937" max="7937" width="4.5703125" style="1402" customWidth="1"/>
    <col min="7938" max="7938" width="11.7109375" style="1402" customWidth="1"/>
    <col min="7939" max="7939" width="24.85546875" style="1402" customWidth="1"/>
    <col min="7940" max="7940" width="0" style="1402" hidden="1" customWidth="1"/>
    <col min="7941" max="7941" width="11.5703125" style="1402" customWidth="1"/>
    <col min="7942" max="7942" width="0" style="1402" hidden="1" customWidth="1"/>
    <col min="7943" max="7943" width="11.7109375" style="1402" customWidth="1"/>
    <col min="7944" max="7944" width="1" style="1402" customWidth="1"/>
    <col min="7945" max="7945" width="9.140625" style="1402" customWidth="1"/>
    <col min="7946" max="7946" width="1.140625" style="1402" customWidth="1"/>
    <col min="7947" max="7947" width="10.7109375" style="1402" customWidth="1"/>
    <col min="7948" max="7948" width="1.85546875" style="1402" customWidth="1"/>
    <col min="7949" max="7949" width="10.42578125" style="1402" customWidth="1"/>
    <col min="7950" max="7950" width="10.140625" style="1402" customWidth="1"/>
    <col min="7951" max="7951" width="0" style="1402" hidden="1" customWidth="1"/>
    <col min="7952" max="7952" width="9.42578125" style="1402" customWidth="1"/>
    <col min="7953" max="7953" width="0" style="1402" hidden="1" customWidth="1"/>
    <col min="7954" max="7954" width="14.28515625" style="1402" customWidth="1"/>
    <col min="7955" max="7955" width="23.42578125" style="1402" customWidth="1"/>
    <col min="7956" max="7956" width="2" style="1402" customWidth="1"/>
    <col min="7957" max="8192" width="9.140625" style="1402"/>
    <col min="8193" max="8193" width="4.5703125" style="1402" customWidth="1"/>
    <col min="8194" max="8194" width="11.7109375" style="1402" customWidth="1"/>
    <col min="8195" max="8195" width="24.85546875" style="1402" customWidth="1"/>
    <col min="8196" max="8196" width="0" style="1402" hidden="1" customWidth="1"/>
    <col min="8197" max="8197" width="11.5703125" style="1402" customWidth="1"/>
    <col min="8198" max="8198" width="0" style="1402" hidden="1" customWidth="1"/>
    <col min="8199" max="8199" width="11.7109375" style="1402" customWidth="1"/>
    <col min="8200" max="8200" width="1" style="1402" customWidth="1"/>
    <col min="8201" max="8201" width="9.140625" style="1402" customWidth="1"/>
    <col min="8202" max="8202" width="1.140625" style="1402" customWidth="1"/>
    <col min="8203" max="8203" width="10.7109375" style="1402" customWidth="1"/>
    <col min="8204" max="8204" width="1.85546875" style="1402" customWidth="1"/>
    <col min="8205" max="8205" width="10.42578125" style="1402" customWidth="1"/>
    <col min="8206" max="8206" width="10.140625" style="1402" customWidth="1"/>
    <col min="8207" max="8207" width="0" style="1402" hidden="1" customWidth="1"/>
    <col min="8208" max="8208" width="9.42578125" style="1402" customWidth="1"/>
    <col min="8209" max="8209" width="0" style="1402" hidden="1" customWidth="1"/>
    <col min="8210" max="8210" width="14.28515625" style="1402" customWidth="1"/>
    <col min="8211" max="8211" width="23.42578125" style="1402" customWidth="1"/>
    <col min="8212" max="8212" width="2" style="1402" customWidth="1"/>
    <col min="8213" max="8448" width="9.140625" style="1402"/>
    <col min="8449" max="8449" width="4.5703125" style="1402" customWidth="1"/>
    <col min="8450" max="8450" width="11.7109375" style="1402" customWidth="1"/>
    <col min="8451" max="8451" width="24.85546875" style="1402" customWidth="1"/>
    <col min="8452" max="8452" width="0" style="1402" hidden="1" customWidth="1"/>
    <col min="8453" max="8453" width="11.5703125" style="1402" customWidth="1"/>
    <col min="8454" max="8454" width="0" style="1402" hidden="1" customWidth="1"/>
    <col min="8455" max="8455" width="11.7109375" style="1402" customWidth="1"/>
    <col min="8456" max="8456" width="1" style="1402" customWidth="1"/>
    <col min="8457" max="8457" width="9.140625" style="1402" customWidth="1"/>
    <col min="8458" max="8458" width="1.140625" style="1402" customWidth="1"/>
    <col min="8459" max="8459" width="10.7109375" style="1402" customWidth="1"/>
    <col min="8460" max="8460" width="1.85546875" style="1402" customWidth="1"/>
    <col min="8461" max="8461" width="10.42578125" style="1402" customWidth="1"/>
    <col min="8462" max="8462" width="10.140625" style="1402" customWidth="1"/>
    <col min="8463" max="8463" width="0" style="1402" hidden="1" customWidth="1"/>
    <col min="8464" max="8464" width="9.42578125" style="1402" customWidth="1"/>
    <col min="8465" max="8465" width="0" style="1402" hidden="1" customWidth="1"/>
    <col min="8466" max="8466" width="14.28515625" style="1402" customWidth="1"/>
    <col min="8467" max="8467" width="23.42578125" style="1402" customWidth="1"/>
    <col min="8468" max="8468" width="2" style="1402" customWidth="1"/>
    <col min="8469" max="8704" width="9.140625" style="1402"/>
    <col min="8705" max="8705" width="4.5703125" style="1402" customWidth="1"/>
    <col min="8706" max="8706" width="11.7109375" style="1402" customWidth="1"/>
    <col min="8707" max="8707" width="24.85546875" style="1402" customWidth="1"/>
    <col min="8708" max="8708" width="0" style="1402" hidden="1" customWidth="1"/>
    <col min="8709" max="8709" width="11.5703125" style="1402" customWidth="1"/>
    <col min="8710" max="8710" width="0" style="1402" hidden="1" customWidth="1"/>
    <col min="8711" max="8711" width="11.7109375" style="1402" customWidth="1"/>
    <col min="8712" max="8712" width="1" style="1402" customWidth="1"/>
    <col min="8713" max="8713" width="9.140625" style="1402" customWidth="1"/>
    <col min="8714" max="8714" width="1.140625" style="1402" customWidth="1"/>
    <col min="8715" max="8715" width="10.7109375" style="1402" customWidth="1"/>
    <col min="8716" max="8716" width="1.85546875" style="1402" customWidth="1"/>
    <col min="8717" max="8717" width="10.42578125" style="1402" customWidth="1"/>
    <col min="8718" max="8718" width="10.140625" style="1402" customWidth="1"/>
    <col min="8719" max="8719" width="0" style="1402" hidden="1" customWidth="1"/>
    <col min="8720" max="8720" width="9.42578125" style="1402" customWidth="1"/>
    <col min="8721" max="8721" width="0" style="1402" hidden="1" customWidth="1"/>
    <col min="8722" max="8722" width="14.28515625" style="1402" customWidth="1"/>
    <col min="8723" max="8723" width="23.42578125" style="1402" customWidth="1"/>
    <col min="8724" max="8724" width="2" style="1402" customWidth="1"/>
    <col min="8725" max="8960" width="9.140625" style="1402"/>
    <col min="8961" max="8961" width="4.5703125" style="1402" customWidth="1"/>
    <col min="8962" max="8962" width="11.7109375" style="1402" customWidth="1"/>
    <col min="8963" max="8963" width="24.85546875" style="1402" customWidth="1"/>
    <col min="8964" max="8964" width="0" style="1402" hidden="1" customWidth="1"/>
    <col min="8965" max="8965" width="11.5703125" style="1402" customWidth="1"/>
    <col min="8966" max="8966" width="0" style="1402" hidden="1" customWidth="1"/>
    <col min="8967" max="8967" width="11.7109375" style="1402" customWidth="1"/>
    <col min="8968" max="8968" width="1" style="1402" customWidth="1"/>
    <col min="8969" max="8969" width="9.140625" style="1402" customWidth="1"/>
    <col min="8970" max="8970" width="1.140625" style="1402" customWidth="1"/>
    <col min="8971" max="8971" width="10.7109375" style="1402" customWidth="1"/>
    <col min="8972" max="8972" width="1.85546875" style="1402" customWidth="1"/>
    <col min="8973" max="8973" width="10.42578125" style="1402" customWidth="1"/>
    <col min="8974" max="8974" width="10.140625" style="1402" customWidth="1"/>
    <col min="8975" max="8975" width="0" style="1402" hidden="1" customWidth="1"/>
    <col min="8976" max="8976" width="9.42578125" style="1402" customWidth="1"/>
    <col min="8977" max="8977" width="0" style="1402" hidden="1" customWidth="1"/>
    <col min="8978" max="8978" width="14.28515625" style="1402" customWidth="1"/>
    <col min="8979" max="8979" width="23.42578125" style="1402" customWidth="1"/>
    <col min="8980" max="8980" width="2" style="1402" customWidth="1"/>
    <col min="8981" max="9216" width="9.140625" style="1402"/>
    <col min="9217" max="9217" width="4.5703125" style="1402" customWidth="1"/>
    <col min="9218" max="9218" width="11.7109375" style="1402" customWidth="1"/>
    <col min="9219" max="9219" width="24.85546875" style="1402" customWidth="1"/>
    <col min="9220" max="9220" width="0" style="1402" hidden="1" customWidth="1"/>
    <col min="9221" max="9221" width="11.5703125" style="1402" customWidth="1"/>
    <col min="9222" max="9222" width="0" style="1402" hidden="1" customWidth="1"/>
    <col min="9223" max="9223" width="11.7109375" style="1402" customWidth="1"/>
    <col min="9224" max="9224" width="1" style="1402" customWidth="1"/>
    <col min="9225" max="9225" width="9.140625" style="1402" customWidth="1"/>
    <col min="9226" max="9226" width="1.140625" style="1402" customWidth="1"/>
    <col min="9227" max="9227" width="10.7109375" style="1402" customWidth="1"/>
    <col min="9228" max="9228" width="1.85546875" style="1402" customWidth="1"/>
    <col min="9229" max="9229" width="10.42578125" style="1402" customWidth="1"/>
    <col min="9230" max="9230" width="10.140625" style="1402" customWidth="1"/>
    <col min="9231" max="9231" width="0" style="1402" hidden="1" customWidth="1"/>
    <col min="9232" max="9232" width="9.42578125" style="1402" customWidth="1"/>
    <col min="9233" max="9233" width="0" style="1402" hidden="1" customWidth="1"/>
    <col min="9234" max="9234" width="14.28515625" style="1402" customWidth="1"/>
    <col min="9235" max="9235" width="23.42578125" style="1402" customWidth="1"/>
    <col min="9236" max="9236" width="2" style="1402" customWidth="1"/>
    <col min="9237" max="9472" width="9.140625" style="1402"/>
    <col min="9473" max="9473" width="4.5703125" style="1402" customWidth="1"/>
    <col min="9474" max="9474" width="11.7109375" style="1402" customWidth="1"/>
    <col min="9475" max="9475" width="24.85546875" style="1402" customWidth="1"/>
    <col min="9476" max="9476" width="0" style="1402" hidden="1" customWidth="1"/>
    <col min="9477" max="9477" width="11.5703125" style="1402" customWidth="1"/>
    <col min="9478" max="9478" width="0" style="1402" hidden="1" customWidth="1"/>
    <col min="9479" max="9479" width="11.7109375" style="1402" customWidth="1"/>
    <col min="9480" max="9480" width="1" style="1402" customWidth="1"/>
    <col min="9481" max="9481" width="9.140625" style="1402" customWidth="1"/>
    <col min="9482" max="9482" width="1.140625" style="1402" customWidth="1"/>
    <col min="9483" max="9483" width="10.7109375" style="1402" customWidth="1"/>
    <col min="9484" max="9484" width="1.85546875" style="1402" customWidth="1"/>
    <col min="9485" max="9485" width="10.42578125" style="1402" customWidth="1"/>
    <col min="9486" max="9486" width="10.140625" style="1402" customWidth="1"/>
    <col min="9487" max="9487" width="0" style="1402" hidden="1" customWidth="1"/>
    <col min="9488" max="9488" width="9.42578125" style="1402" customWidth="1"/>
    <col min="9489" max="9489" width="0" style="1402" hidden="1" customWidth="1"/>
    <col min="9490" max="9490" width="14.28515625" style="1402" customWidth="1"/>
    <col min="9491" max="9491" width="23.42578125" style="1402" customWidth="1"/>
    <col min="9492" max="9492" width="2" style="1402" customWidth="1"/>
    <col min="9493" max="9728" width="9.140625" style="1402"/>
    <col min="9729" max="9729" width="4.5703125" style="1402" customWidth="1"/>
    <col min="9730" max="9730" width="11.7109375" style="1402" customWidth="1"/>
    <col min="9731" max="9731" width="24.85546875" style="1402" customWidth="1"/>
    <col min="9732" max="9732" width="0" style="1402" hidden="1" customWidth="1"/>
    <col min="9733" max="9733" width="11.5703125" style="1402" customWidth="1"/>
    <col min="9734" max="9734" width="0" style="1402" hidden="1" customWidth="1"/>
    <col min="9735" max="9735" width="11.7109375" style="1402" customWidth="1"/>
    <col min="9736" max="9736" width="1" style="1402" customWidth="1"/>
    <col min="9737" max="9737" width="9.140625" style="1402" customWidth="1"/>
    <col min="9738" max="9738" width="1.140625" style="1402" customWidth="1"/>
    <col min="9739" max="9739" width="10.7109375" style="1402" customWidth="1"/>
    <col min="9740" max="9740" width="1.85546875" style="1402" customWidth="1"/>
    <col min="9741" max="9741" width="10.42578125" style="1402" customWidth="1"/>
    <col min="9742" max="9742" width="10.140625" style="1402" customWidth="1"/>
    <col min="9743" max="9743" width="0" style="1402" hidden="1" customWidth="1"/>
    <col min="9744" max="9744" width="9.42578125" style="1402" customWidth="1"/>
    <col min="9745" max="9745" width="0" style="1402" hidden="1" customWidth="1"/>
    <col min="9746" max="9746" width="14.28515625" style="1402" customWidth="1"/>
    <col min="9747" max="9747" width="23.42578125" style="1402" customWidth="1"/>
    <col min="9748" max="9748" width="2" style="1402" customWidth="1"/>
    <col min="9749" max="9984" width="9.140625" style="1402"/>
    <col min="9985" max="9985" width="4.5703125" style="1402" customWidth="1"/>
    <col min="9986" max="9986" width="11.7109375" style="1402" customWidth="1"/>
    <col min="9987" max="9987" width="24.85546875" style="1402" customWidth="1"/>
    <col min="9988" max="9988" width="0" style="1402" hidden="1" customWidth="1"/>
    <col min="9989" max="9989" width="11.5703125" style="1402" customWidth="1"/>
    <col min="9990" max="9990" width="0" style="1402" hidden="1" customWidth="1"/>
    <col min="9991" max="9991" width="11.7109375" style="1402" customWidth="1"/>
    <col min="9992" max="9992" width="1" style="1402" customWidth="1"/>
    <col min="9993" max="9993" width="9.140625" style="1402" customWidth="1"/>
    <col min="9994" max="9994" width="1.140625" style="1402" customWidth="1"/>
    <col min="9995" max="9995" width="10.7109375" style="1402" customWidth="1"/>
    <col min="9996" max="9996" width="1.85546875" style="1402" customWidth="1"/>
    <col min="9997" max="9997" width="10.42578125" style="1402" customWidth="1"/>
    <col min="9998" max="9998" width="10.140625" style="1402" customWidth="1"/>
    <col min="9999" max="9999" width="0" style="1402" hidden="1" customWidth="1"/>
    <col min="10000" max="10000" width="9.42578125" style="1402" customWidth="1"/>
    <col min="10001" max="10001" width="0" style="1402" hidden="1" customWidth="1"/>
    <col min="10002" max="10002" width="14.28515625" style="1402" customWidth="1"/>
    <col min="10003" max="10003" width="23.42578125" style="1402" customWidth="1"/>
    <col min="10004" max="10004" width="2" style="1402" customWidth="1"/>
    <col min="10005" max="10240" width="9.140625" style="1402"/>
    <col min="10241" max="10241" width="4.5703125" style="1402" customWidth="1"/>
    <col min="10242" max="10242" width="11.7109375" style="1402" customWidth="1"/>
    <col min="10243" max="10243" width="24.85546875" style="1402" customWidth="1"/>
    <col min="10244" max="10244" width="0" style="1402" hidden="1" customWidth="1"/>
    <col min="10245" max="10245" width="11.5703125" style="1402" customWidth="1"/>
    <col min="10246" max="10246" width="0" style="1402" hidden="1" customWidth="1"/>
    <col min="10247" max="10247" width="11.7109375" style="1402" customWidth="1"/>
    <col min="10248" max="10248" width="1" style="1402" customWidth="1"/>
    <col min="10249" max="10249" width="9.140625" style="1402" customWidth="1"/>
    <col min="10250" max="10250" width="1.140625" style="1402" customWidth="1"/>
    <col min="10251" max="10251" width="10.7109375" style="1402" customWidth="1"/>
    <col min="10252" max="10252" width="1.85546875" style="1402" customWidth="1"/>
    <col min="10253" max="10253" width="10.42578125" style="1402" customWidth="1"/>
    <col min="10254" max="10254" width="10.140625" style="1402" customWidth="1"/>
    <col min="10255" max="10255" width="0" style="1402" hidden="1" customWidth="1"/>
    <col min="10256" max="10256" width="9.42578125" style="1402" customWidth="1"/>
    <col min="10257" max="10257" width="0" style="1402" hidden="1" customWidth="1"/>
    <col min="10258" max="10258" width="14.28515625" style="1402" customWidth="1"/>
    <col min="10259" max="10259" width="23.42578125" style="1402" customWidth="1"/>
    <col min="10260" max="10260" width="2" style="1402" customWidth="1"/>
    <col min="10261" max="10496" width="9.140625" style="1402"/>
    <col min="10497" max="10497" width="4.5703125" style="1402" customWidth="1"/>
    <col min="10498" max="10498" width="11.7109375" style="1402" customWidth="1"/>
    <col min="10499" max="10499" width="24.85546875" style="1402" customWidth="1"/>
    <col min="10500" max="10500" width="0" style="1402" hidden="1" customWidth="1"/>
    <col min="10501" max="10501" width="11.5703125" style="1402" customWidth="1"/>
    <col min="10502" max="10502" width="0" style="1402" hidden="1" customWidth="1"/>
    <col min="10503" max="10503" width="11.7109375" style="1402" customWidth="1"/>
    <col min="10504" max="10504" width="1" style="1402" customWidth="1"/>
    <col min="10505" max="10505" width="9.140625" style="1402" customWidth="1"/>
    <col min="10506" max="10506" width="1.140625" style="1402" customWidth="1"/>
    <col min="10507" max="10507" width="10.7109375" style="1402" customWidth="1"/>
    <col min="10508" max="10508" width="1.85546875" style="1402" customWidth="1"/>
    <col min="10509" max="10509" width="10.42578125" style="1402" customWidth="1"/>
    <col min="10510" max="10510" width="10.140625" style="1402" customWidth="1"/>
    <col min="10511" max="10511" width="0" style="1402" hidden="1" customWidth="1"/>
    <col min="10512" max="10512" width="9.42578125" style="1402" customWidth="1"/>
    <col min="10513" max="10513" width="0" style="1402" hidden="1" customWidth="1"/>
    <col min="10514" max="10514" width="14.28515625" style="1402" customWidth="1"/>
    <col min="10515" max="10515" width="23.42578125" style="1402" customWidth="1"/>
    <col min="10516" max="10516" width="2" style="1402" customWidth="1"/>
    <col min="10517" max="10752" width="9.140625" style="1402"/>
    <col min="10753" max="10753" width="4.5703125" style="1402" customWidth="1"/>
    <col min="10754" max="10754" width="11.7109375" style="1402" customWidth="1"/>
    <col min="10755" max="10755" width="24.85546875" style="1402" customWidth="1"/>
    <col min="10756" max="10756" width="0" style="1402" hidden="1" customWidth="1"/>
    <col min="10757" max="10757" width="11.5703125" style="1402" customWidth="1"/>
    <col min="10758" max="10758" width="0" style="1402" hidden="1" customWidth="1"/>
    <col min="10759" max="10759" width="11.7109375" style="1402" customWidth="1"/>
    <col min="10760" max="10760" width="1" style="1402" customWidth="1"/>
    <col min="10761" max="10761" width="9.140625" style="1402" customWidth="1"/>
    <col min="10762" max="10762" width="1.140625" style="1402" customWidth="1"/>
    <col min="10763" max="10763" width="10.7109375" style="1402" customWidth="1"/>
    <col min="10764" max="10764" width="1.85546875" style="1402" customWidth="1"/>
    <col min="10765" max="10765" width="10.42578125" style="1402" customWidth="1"/>
    <col min="10766" max="10766" width="10.140625" style="1402" customWidth="1"/>
    <col min="10767" max="10767" width="0" style="1402" hidden="1" customWidth="1"/>
    <col min="10768" max="10768" width="9.42578125" style="1402" customWidth="1"/>
    <col min="10769" max="10769" width="0" style="1402" hidden="1" customWidth="1"/>
    <col min="10770" max="10770" width="14.28515625" style="1402" customWidth="1"/>
    <col min="10771" max="10771" width="23.42578125" style="1402" customWidth="1"/>
    <col min="10772" max="10772" width="2" style="1402" customWidth="1"/>
    <col min="10773" max="11008" width="9.140625" style="1402"/>
    <col min="11009" max="11009" width="4.5703125" style="1402" customWidth="1"/>
    <col min="11010" max="11010" width="11.7109375" style="1402" customWidth="1"/>
    <col min="11011" max="11011" width="24.85546875" style="1402" customWidth="1"/>
    <col min="11012" max="11012" width="0" style="1402" hidden="1" customWidth="1"/>
    <col min="11013" max="11013" width="11.5703125" style="1402" customWidth="1"/>
    <col min="11014" max="11014" width="0" style="1402" hidden="1" customWidth="1"/>
    <col min="11015" max="11015" width="11.7109375" style="1402" customWidth="1"/>
    <col min="11016" max="11016" width="1" style="1402" customWidth="1"/>
    <col min="11017" max="11017" width="9.140625" style="1402" customWidth="1"/>
    <col min="11018" max="11018" width="1.140625" style="1402" customWidth="1"/>
    <col min="11019" max="11019" width="10.7109375" style="1402" customWidth="1"/>
    <col min="11020" max="11020" width="1.85546875" style="1402" customWidth="1"/>
    <col min="11021" max="11021" width="10.42578125" style="1402" customWidth="1"/>
    <col min="11022" max="11022" width="10.140625" style="1402" customWidth="1"/>
    <col min="11023" max="11023" width="0" style="1402" hidden="1" customWidth="1"/>
    <col min="11024" max="11024" width="9.42578125" style="1402" customWidth="1"/>
    <col min="11025" max="11025" width="0" style="1402" hidden="1" customWidth="1"/>
    <col min="11026" max="11026" width="14.28515625" style="1402" customWidth="1"/>
    <col min="11027" max="11027" width="23.42578125" style="1402" customWidth="1"/>
    <col min="11028" max="11028" width="2" style="1402" customWidth="1"/>
    <col min="11029" max="11264" width="9.140625" style="1402"/>
    <col min="11265" max="11265" width="4.5703125" style="1402" customWidth="1"/>
    <col min="11266" max="11266" width="11.7109375" style="1402" customWidth="1"/>
    <col min="11267" max="11267" width="24.85546875" style="1402" customWidth="1"/>
    <col min="11268" max="11268" width="0" style="1402" hidden="1" customWidth="1"/>
    <col min="11269" max="11269" width="11.5703125" style="1402" customWidth="1"/>
    <col min="11270" max="11270" width="0" style="1402" hidden="1" customWidth="1"/>
    <col min="11271" max="11271" width="11.7109375" style="1402" customWidth="1"/>
    <col min="11272" max="11272" width="1" style="1402" customWidth="1"/>
    <col min="11273" max="11273" width="9.140625" style="1402" customWidth="1"/>
    <col min="11274" max="11274" width="1.140625" style="1402" customWidth="1"/>
    <col min="11275" max="11275" width="10.7109375" style="1402" customWidth="1"/>
    <col min="11276" max="11276" width="1.85546875" style="1402" customWidth="1"/>
    <col min="11277" max="11277" width="10.42578125" style="1402" customWidth="1"/>
    <col min="11278" max="11278" width="10.140625" style="1402" customWidth="1"/>
    <col min="11279" max="11279" width="0" style="1402" hidden="1" customWidth="1"/>
    <col min="11280" max="11280" width="9.42578125" style="1402" customWidth="1"/>
    <col min="11281" max="11281" width="0" style="1402" hidden="1" customWidth="1"/>
    <col min="11282" max="11282" width="14.28515625" style="1402" customWidth="1"/>
    <col min="11283" max="11283" width="23.42578125" style="1402" customWidth="1"/>
    <col min="11284" max="11284" width="2" style="1402" customWidth="1"/>
    <col min="11285" max="11520" width="9.140625" style="1402"/>
    <col min="11521" max="11521" width="4.5703125" style="1402" customWidth="1"/>
    <col min="11522" max="11522" width="11.7109375" style="1402" customWidth="1"/>
    <col min="11523" max="11523" width="24.85546875" style="1402" customWidth="1"/>
    <col min="11524" max="11524" width="0" style="1402" hidden="1" customWidth="1"/>
    <col min="11525" max="11525" width="11.5703125" style="1402" customWidth="1"/>
    <col min="11526" max="11526" width="0" style="1402" hidden="1" customWidth="1"/>
    <col min="11527" max="11527" width="11.7109375" style="1402" customWidth="1"/>
    <col min="11528" max="11528" width="1" style="1402" customWidth="1"/>
    <col min="11529" max="11529" width="9.140625" style="1402" customWidth="1"/>
    <col min="11530" max="11530" width="1.140625" style="1402" customWidth="1"/>
    <col min="11531" max="11531" width="10.7109375" style="1402" customWidth="1"/>
    <col min="11532" max="11532" width="1.85546875" style="1402" customWidth="1"/>
    <col min="11533" max="11533" width="10.42578125" style="1402" customWidth="1"/>
    <col min="11534" max="11534" width="10.140625" style="1402" customWidth="1"/>
    <col min="11535" max="11535" width="0" style="1402" hidden="1" customWidth="1"/>
    <col min="11536" max="11536" width="9.42578125" style="1402" customWidth="1"/>
    <col min="11537" max="11537" width="0" style="1402" hidden="1" customWidth="1"/>
    <col min="11538" max="11538" width="14.28515625" style="1402" customWidth="1"/>
    <col min="11539" max="11539" width="23.42578125" style="1402" customWidth="1"/>
    <col min="11540" max="11540" width="2" style="1402" customWidth="1"/>
    <col min="11541" max="11776" width="9.140625" style="1402"/>
    <col min="11777" max="11777" width="4.5703125" style="1402" customWidth="1"/>
    <col min="11778" max="11778" width="11.7109375" style="1402" customWidth="1"/>
    <col min="11779" max="11779" width="24.85546875" style="1402" customWidth="1"/>
    <col min="11780" max="11780" width="0" style="1402" hidden="1" customWidth="1"/>
    <col min="11781" max="11781" width="11.5703125" style="1402" customWidth="1"/>
    <col min="11782" max="11782" width="0" style="1402" hidden="1" customWidth="1"/>
    <col min="11783" max="11783" width="11.7109375" style="1402" customWidth="1"/>
    <col min="11784" max="11784" width="1" style="1402" customWidth="1"/>
    <col min="11785" max="11785" width="9.140625" style="1402" customWidth="1"/>
    <col min="11786" max="11786" width="1.140625" style="1402" customWidth="1"/>
    <col min="11787" max="11787" width="10.7109375" style="1402" customWidth="1"/>
    <col min="11788" max="11788" width="1.85546875" style="1402" customWidth="1"/>
    <col min="11789" max="11789" width="10.42578125" style="1402" customWidth="1"/>
    <col min="11790" max="11790" width="10.140625" style="1402" customWidth="1"/>
    <col min="11791" max="11791" width="0" style="1402" hidden="1" customWidth="1"/>
    <col min="11792" max="11792" width="9.42578125" style="1402" customWidth="1"/>
    <col min="11793" max="11793" width="0" style="1402" hidden="1" customWidth="1"/>
    <col min="11794" max="11794" width="14.28515625" style="1402" customWidth="1"/>
    <col min="11795" max="11795" width="23.42578125" style="1402" customWidth="1"/>
    <col min="11796" max="11796" width="2" style="1402" customWidth="1"/>
    <col min="11797" max="12032" width="9.140625" style="1402"/>
    <col min="12033" max="12033" width="4.5703125" style="1402" customWidth="1"/>
    <col min="12034" max="12034" width="11.7109375" style="1402" customWidth="1"/>
    <col min="12035" max="12035" width="24.85546875" style="1402" customWidth="1"/>
    <col min="12036" max="12036" width="0" style="1402" hidden="1" customWidth="1"/>
    <col min="12037" max="12037" width="11.5703125" style="1402" customWidth="1"/>
    <col min="12038" max="12038" width="0" style="1402" hidden="1" customWidth="1"/>
    <col min="12039" max="12039" width="11.7109375" style="1402" customWidth="1"/>
    <col min="12040" max="12040" width="1" style="1402" customWidth="1"/>
    <col min="12041" max="12041" width="9.140625" style="1402" customWidth="1"/>
    <col min="12042" max="12042" width="1.140625" style="1402" customWidth="1"/>
    <col min="12043" max="12043" width="10.7109375" style="1402" customWidth="1"/>
    <col min="12044" max="12044" width="1.85546875" style="1402" customWidth="1"/>
    <col min="12045" max="12045" width="10.42578125" style="1402" customWidth="1"/>
    <col min="12046" max="12046" width="10.140625" style="1402" customWidth="1"/>
    <col min="12047" max="12047" width="0" style="1402" hidden="1" customWidth="1"/>
    <col min="12048" max="12048" width="9.42578125" style="1402" customWidth="1"/>
    <col min="12049" max="12049" width="0" style="1402" hidden="1" customWidth="1"/>
    <col min="12050" max="12050" width="14.28515625" style="1402" customWidth="1"/>
    <col min="12051" max="12051" width="23.42578125" style="1402" customWidth="1"/>
    <col min="12052" max="12052" width="2" style="1402" customWidth="1"/>
    <col min="12053" max="12288" width="9.140625" style="1402"/>
    <col min="12289" max="12289" width="4.5703125" style="1402" customWidth="1"/>
    <col min="12290" max="12290" width="11.7109375" style="1402" customWidth="1"/>
    <col min="12291" max="12291" width="24.85546875" style="1402" customWidth="1"/>
    <col min="12292" max="12292" width="0" style="1402" hidden="1" customWidth="1"/>
    <col min="12293" max="12293" width="11.5703125" style="1402" customWidth="1"/>
    <col min="12294" max="12294" width="0" style="1402" hidden="1" customWidth="1"/>
    <col min="12295" max="12295" width="11.7109375" style="1402" customWidth="1"/>
    <col min="12296" max="12296" width="1" style="1402" customWidth="1"/>
    <col min="12297" max="12297" width="9.140625" style="1402" customWidth="1"/>
    <col min="12298" max="12298" width="1.140625" style="1402" customWidth="1"/>
    <col min="12299" max="12299" width="10.7109375" style="1402" customWidth="1"/>
    <col min="12300" max="12300" width="1.85546875" style="1402" customWidth="1"/>
    <col min="12301" max="12301" width="10.42578125" style="1402" customWidth="1"/>
    <col min="12302" max="12302" width="10.140625" style="1402" customWidth="1"/>
    <col min="12303" max="12303" width="0" style="1402" hidden="1" customWidth="1"/>
    <col min="12304" max="12304" width="9.42578125" style="1402" customWidth="1"/>
    <col min="12305" max="12305" width="0" style="1402" hidden="1" customWidth="1"/>
    <col min="12306" max="12306" width="14.28515625" style="1402" customWidth="1"/>
    <col min="12307" max="12307" width="23.42578125" style="1402" customWidth="1"/>
    <col min="12308" max="12308" width="2" style="1402" customWidth="1"/>
    <col min="12309" max="12544" width="9.140625" style="1402"/>
    <col min="12545" max="12545" width="4.5703125" style="1402" customWidth="1"/>
    <col min="12546" max="12546" width="11.7109375" style="1402" customWidth="1"/>
    <col min="12547" max="12547" width="24.85546875" style="1402" customWidth="1"/>
    <col min="12548" max="12548" width="0" style="1402" hidden="1" customWidth="1"/>
    <col min="12549" max="12549" width="11.5703125" style="1402" customWidth="1"/>
    <col min="12550" max="12550" width="0" style="1402" hidden="1" customWidth="1"/>
    <col min="12551" max="12551" width="11.7109375" style="1402" customWidth="1"/>
    <col min="12552" max="12552" width="1" style="1402" customWidth="1"/>
    <col min="12553" max="12553" width="9.140625" style="1402" customWidth="1"/>
    <col min="12554" max="12554" width="1.140625" style="1402" customWidth="1"/>
    <col min="12555" max="12555" width="10.7109375" style="1402" customWidth="1"/>
    <col min="12556" max="12556" width="1.85546875" style="1402" customWidth="1"/>
    <col min="12557" max="12557" width="10.42578125" style="1402" customWidth="1"/>
    <col min="12558" max="12558" width="10.140625" style="1402" customWidth="1"/>
    <col min="12559" max="12559" width="0" style="1402" hidden="1" customWidth="1"/>
    <col min="12560" max="12560" width="9.42578125" style="1402" customWidth="1"/>
    <col min="12561" max="12561" width="0" style="1402" hidden="1" customWidth="1"/>
    <col min="12562" max="12562" width="14.28515625" style="1402" customWidth="1"/>
    <col min="12563" max="12563" width="23.42578125" style="1402" customWidth="1"/>
    <col min="12564" max="12564" width="2" style="1402" customWidth="1"/>
    <col min="12565" max="12800" width="9.140625" style="1402"/>
    <col min="12801" max="12801" width="4.5703125" style="1402" customWidth="1"/>
    <col min="12802" max="12802" width="11.7109375" style="1402" customWidth="1"/>
    <col min="12803" max="12803" width="24.85546875" style="1402" customWidth="1"/>
    <col min="12804" max="12804" width="0" style="1402" hidden="1" customWidth="1"/>
    <col min="12805" max="12805" width="11.5703125" style="1402" customWidth="1"/>
    <col min="12806" max="12806" width="0" style="1402" hidden="1" customWidth="1"/>
    <col min="12807" max="12807" width="11.7109375" style="1402" customWidth="1"/>
    <col min="12808" max="12808" width="1" style="1402" customWidth="1"/>
    <col min="12809" max="12809" width="9.140625" style="1402" customWidth="1"/>
    <col min="12810" max="12810" width="1.140625" style="1402" customWidth="1"/>
    <col min="12811" max="12811" width="10.7109375" style="1402" customWidth="1"/>
    <col min="12812" max="12812" width="1.85546875" style="1402" customWidth="1"/>
    <col min="12813" max="12813" width="10.42578125" style="1402" customWidth="1"/>
    <col min="12814" max="12814" width="10.140625" style="1402" customWidth="1"/>
    <col min="12815" max="12815" width="0" style="1402" hidden="1" customWidth="1"/>
    <col min="12816" max="12816" width="9.42578125" style="1402" customWidth="1"/>
    <col min="12817" max="12817" width="0" style="1402" hidden="1" customWidth="1"/>
    <col min="12818" max="12818" width="14.28515625" style="1402" customWidth="1"/>
    <col min="12819" max="12819" width="23.42578125" style="1402" customWidth="1"/>
    <col min="12820" max="12820" width="2" style="1402" customWidth="1"/>
    <col min="12821" max="13056" width="9.140625" style="1402"/>
    <col min="13057" max="13057" width="4.5703125" style="1402" customWidth="1"/>
    <col min="13058" max="13058" width="11.7109375" style="1402" customWidth="1"/>
    <col min="13059" max="13059" width="24.85546875" style="1402" customWidth="1"/>
    <col min="13060" max="13060" width="0" style="1402" hidden="1" customWidth="1"/>
    <col min="13061" max="13061" width="11.5703125" style="1402" customWidth="1"/>
    <col min="13062" max="13062" width="0" style="1402" hidden="1" customWidth="1"/>
    <col min="13063" max="13063" width="11.7109375" style="1402" customWidth="1"/>
    <col min="13064" max="13064" width="1" style="1402" customWidth="1"/>
    <col min="13065" max="13065" width="9.140625" style="1402" customWidth="1"/>
    <col min="13066" max="13066" width="1.140625" style="1402" customWidth="1"/>
    <col min="13067" max="13067" width="10.7109375" style="1402" customWidth="1"/>
    <col min="13068" max="13068" width="1.85546875" style="1402" customWidth="1"/>
    <col min="13069" max="13069" width="10.42578125" style="1402" customWidth="1"/>
    <col min="13070" max="13070" width="10.140625" style="1402" customWidth="1"/>
    <col min="13071" max="13071" width="0" style="1402" hidden="1" customWidth="1"/>
    <col min="13072" max="13072" width="9.42578125" style="1402" customWidth="1"/>
    <col min="13073" max="13073" width="0" style="1402" hidden="1" customWidth="1"/>
    <col min="13074" max="13074" width="14.28515625" style="1402" customWidth="1"/>
    <col min="13075" max="13075" width="23.42578125" style="1402" customWidth="1"/>
    <col min="13076" max="13076" width="2" style="1402" customWidth="1"/>
    <col min="13077" max="13312" width="9.140625" style="1402"/>
    <col min="13313" max="13313" width="4.5703125" style="1402" customWidth="1"/>
    <col min="13314" max="13314" width="11.7109375" style="1402" customWidth="1"/>
    <col min="13315" max="13315" width="24.85546875" style="1402" customWidth="1"/>
    <col min="13316" max="13316" width="0" style="1402" hidden="1" customWidth="1"/>
    <col min="13317" max="13317" width="11.5703125" style="1402" customWidth="1"/>
    <col min="13318" max="13318" width="0" style="1402" hidden="1" customWidth="1"/>
    <col min="13319" max="13319" width="11.7109375" style="1402" customWidth="1"/>
    <col min="13320" max="13320" width="1" style="1402" customWidth="1"/>
    <col min="13321" max="13321" width="9.140625" style="1402" customWidth="1"/>
    <col min="13322" max="13322" width="1.140625" style="1402" customWidth="1"/>
    <col min="13323" max="13323" width="10.7109375" style="1402" customWidth="1"/>
    <col min="13324" max="13324" width="1.85546875" style="1402" customWidth="1"/>
    <col min="13325" max="13325" width="10.42578125" style="1402" customWidth="1"/>
    <col min="13326" max="13326" width="10.140625" style="1402" customWidth="1"/>
    <col min="13327" max="13327" width="0" style="1402" hidden="1" customWidth="1"/>
    <col min="13328" max="13328" width="9.42578125" style="1402" customWidth="1"/>
    <col min="13329" max="13329" width="0" style="1402" hidden="1" customWidth="1"/>
    <col min="13330" max="13330" width="14.28515625" style="1402" customWidth="1"/>
    <col min="13331" max="13331" width="23.42578125" style="1402" customWidth="1"/>
    <col min="13332" max="13332" width="2" style="1402" customWidth="1"/>
    <col min="13333" max="13568" width="9.140625" style="1402"/>
    <col min="13569" max="13569" width="4.5703125" style="1402" customWidth="1"/>
    <col min="13570" max="13570" width="11.7109375" style="1402" customWidth="1"/>
    <col min="13571" max="13571" width="24.85546875" style="1402" customWidth="1"/>
    <col min="13572" max="13572" width="0" style="1402" hidden="1" customWidth="1"/>
    <col min="13573" max="13573" width="11.5703125" style="1402" customWidth="1"/>
    <col min="13574" max="13574" width="0" style="1402" hidden="1" customWidth="1"/>
    <col min="13575" max="13575" width="11.7109375" style="1402" customWidth="1"/>
    <col min="13576" max="13576" width="1" style="1402" customWidth="1"/>
    <col min="13577" max="13577" width="9.140625" style="1402" customWidth="1"/>
    <col min="13578" max="13578" width="1.140625" style="1402" customWidth="1"/>
    <col min="13579" max="13579" width="10.7109375" style="1402" customWidth="1"/>
    <col min="13580" max="13580" width="1.85546875" style="1402" customWidth="1"/>
    <col min="13581" max="13581" width="10.42578125" style="1402" customWidth="1"/>
    <col min="13582" max="13582" width="10.140625" style="1402" customWidth="1"/>
    <col min="13583" max="13583" width="0" style="1402" hidden="1" customWidth="1"/>
    <col min="13584" max="13584" width="9.42578125" style="1402" customWidth="1"/>
    <col min="13585" max="13585" width="0" style="1402" hidden="1" customWidth="1"/>
    <col min="13586" max="13586" width="14.28515625" style="1402" customWidth="1"/>
    <col min="13587" max="13587" width="23.42578125" style="1402" customWidth="1"/>
    <col min="13588" max="13588" width="2" style="1402" customWidth="1"/>
    <col min="13589" max="13824" width="9.140625" style="1402"/>
    <col min="13825" max="13825" width="4.5703125" style="1402" customWidth="1"/>
    <col min="13826" max="13826" width="11.7109375" style="1402" customWidth="1"/>
    <col min="13827" max="13827" width="24.85546875" style="1402" customWidth="1"/>
    <col min="13828" max="13828" width="0" style="1402" hidden="1" customWidth="1"/>
    <col min="13829" max="13829" width="11.5703125" style="1402" customWidth="1"/>
    <col min="13830" max="13830" width="0" style="1402" hidden="1" customWidth="1"/>
    <col min="13831" max="13831" width="11.7109375" style="1402" customWidth="1"/>
    <col min="13832" max="13832" width="1" style="1402" customWidth="1"/>
    <col min="13833" max="13833" width="9.140625" style="1402" customWidth="1"/>
    <col min="13834" max="13834" width="1.140625" style="1402" customWidth="1"/>
    <col min="13835" max="13835" width="10.7109375" style="1402" customWidth="1"/>
    <col min="13836" max="13836" width="1.85546875" style="1402" customWidth="1"/>
    <col min="13837" max="13837" width="10.42578125" style="1402" customWidth="1"/>
    <col min="13838" max="13838" width="10.140625" style="1402" customWidth="1"/>
    <col min="13839" max="13839" width="0" style="1402" hidden="1" customWidth="1"/>
    <col min="13840" max="13840" width="9.42578125" style="1402" customWidth="1"/>
    <col min="13841" max="13841" width="0" style="1402" hidden="1" customWidth="1"/>
    <col min="13842" max="13842" width="14.28515625" style="1402" customWidth="1"/>
    <col min="13843" max="13843" width="23.42578125" style="1402" customWidth="1"/>
    <col min="13844" max="13844" width="2" style="1402" customWidth="1"/>
    <col min="13845" max="14080" width="9.140625" style="1402"/>
    <col min="14081" max="14081" width="4.5703125" style="1402" customWidth="1"/>
    <col min="14082" max="14082" width="11.7109375" style="1402" customWidth="1"/>
    <col min="14083" max="14083" width="24.85546875" style="1402" customWidth="1"/>
    <col min="14084" max="14084" width="0" style="1402" hidden="1" customWidth="1"/>
    <col min="14085" max="14085" width="11.5703125" style="1402" customWidth="1"/>
    <col min="14086" max="14086" width="0" style="1402" hidden="1" customWidth="1"/>
    <col min="14087" max="14087" width="11.7109375" style="1402" customWidth="1"/>
    <col min="14088" max="14088" width="1" style="1402" customWidth="1"/>
    <col min="14089" max="14089" width="9.140625" style="1402" customWidth="1"/>
    <col min="14090" max="14090" width="1.140625" style="1402" customWidth="1"/>
    <col min="14091" max="14091" width="10.7109375" style="1402" customWidth="1"/>
    <col min="14092" max="14092" width="1.85546875" style="1402" customWidth="1"/>
    <col min="14093" max="14093" width="10.42578125" style="1402" customWidth="1"/>
    <col min="14094" max="14094" width="10.140625" style="1402" customWidth="1"/>
    <col min="14095" max="14095" width="0" style="1402" hidden="1" customWidth="1"/>
    <col min="14096" max="14096" width="9.42578125" style="1402" customWidth="1"/>
    <col min="14097" max="14097" width="0" style="1402" hidden="1" customWidth="1"/>
    <col min="14098" max="14098" width="14.28515625" style="1402" customWidth="1"/>
    <col min="14099" max="14099" width="23.42578125" style="1402" customWidth="1"/>
    <col min="14100" max="14100" width="2" style="1402" customWidth="1"/>
    <col min="14101" max="14336" width="9.140625" style="1402"/>
    <col min="14337" max="14337" width="4.5703125" style="1402" customWidth="1"/>
    <col min="14338" max="14338" width="11.7109375" style="1402" customWidth="1"/>
    <col min="14339" max="14339" width="24.85546875" style="1402" customWidth="1"/>
    <col min="14340" max="14340" width="0" style="1402" hidden="1" customWidth="1"/>
    <col min="14341" max="14341" width="11.5703125" style="1402" customWidth="1"/>
    <col min="14342" max="14342" width="0" style="1402" hidden="1" customWidth="1"/>
    <col min="14343" max="14343" width="11.7109375" style="1402" customWidth="1"/>
    <col min="14344" max="14344" width="1" style="1402" customWidth="1"/>
    <col min="14345" max="14345" width="9.140625" style="1402" customWidth="1"/>
    <col min="14346" max="14346" width="1.140625" style="1402" customWidth="1"/>
    <col min="14347" max="14347" width="10.7109375" style="1402" customWidth="1"/>
    <col min="14348" max="14348" width="1.85546875" style="1402" customWidth="1"/>
    <col min="14349" max="14349" width="10.42578125" style="1402" customWidth="1"/>
    <col min="14350" max="14350" width="10.140625" style="1402" customWidth="1"/>
    <col min="14351" max="14351" width="0" style="1402" hidden="1" customWidth="1"/>
    <col min="14352" max="14352" width="9.42578125" style="1402" customWidth="1"/>
    <col min="14353" max="14353" width="0" style="1402" hidden="1" customWidth="1"/>
    <col min="14354" max="14354" width="14.28515625" style="1402" customWidth="1"/>
    <col min="14355" max="14355" width="23.42578125" style="1402" customWidth="1"/>
    <col min="14356" max="14356" width="2" style="1402" customWidth="1"/>
    <col min="14357" max="14592" width="9.140625" style="1402"/>
    <col min="14593" max="14593" width="4.5703125" style="1402" customWidth="1"/>
    <col min="14594" max="14594" width="11.7109375" style="1402" customWidth="1"/>
    <col min="14595" max="14595" width="24.85546875" style="1402" customWidth="1"/>
    <col min="14596" max="14596" width="0" style="1402" hidden="1" customWidth="1"/>
    <col min="14597" max="14597" width="11.5703125" style="1402" customWidth="1"/>
    <col min="14598" max="14598" width="0" style="1402" hidden="1" customWidth="1"/>
    <col min="14599" max="14599" width="11.7109375" style="1402" customWidth="1"/>
    <col min="14600" max="14600" width="1" style="1402" customWidth="1"/>
    <col min="14601" max="14601" width="9.140625" style="1402" customWidth="1"/>
    <col min="14602" max="14602" width="1.140625" style="1402" customWidth="1"/>
    <col min="14603" max="14603" width="10.7109375" style="1402" customWidth="1"/>
    <col min="14604" max="14604" width="1.85546875" style="1402" customWidth="1"/>
    <col min="14605" max="14605" width="10.42578125" style="1402" customWidth="1"/>
    <col min="14606" max="14606" width="10.140625" style="1402" customWidth="1"/>
    <col min="14607" max="14607" width="0" style="1402" hidden="1" customWidth="1"/>
    <col min="14608" max="14608" width="9.42578125" style="1402" customWidth="1"/>
    <col min="14609" max="14609" width="0" style="1402" hidden="1" customWidth="1"/>
    <col min="14610" max="14610" width="14.28515625" style="1402" customWidth="1"/>
    <col min="14611" max="14611" width="23.42578125" style="1402" customWidth="1"/>
    <col min="14612" max="14612" width="2" style="1402" customWidth="1"/>
    <col min="14613" max="14848" width="9.140625" style="1402"/>
    <col min="14849" max="14849" width="4.5703125" style="1402" customWidth="1"/>
    <col min="14850" max="14850" width="11.7109375" style="1402" customWidth="1"/>
    <col min="14851" max="14851" width="24.85546875" style="1402" customWidth="1"/>
    <col min="14852" max="14852" width="0" style="1402" hidden="1" customWidth="1"/>
    <col min="14853" max="14853" width="11.5703125" style="1402" customWidth="1"/>
    <col min="14854" max="14854" width="0" style="1402" hidden="1" customWidth="1"/>
    <col min="14855" max="14855" width="11.7109375" style="1402" customWidth="1"/>
    <col min="14856" max="14856" width="1" style="1402" customWidth="1"/>
    <col min="14857" max="14857" width="9.140625" style="1402" customWidth="1"/>
    <col min="14858" max="14858" width="1.140625" style="1402" customWidth="1"/>
    <col min="14859" max="14859" width="10.7109375" style="1402" customWidth="1"/>
    <col min="14860" max="14860" width="1.85546875" style="1402" customWidth="1"/>
    <col min="14861" max="14861" width="10.42578125" style="1402" customWidth="1"/>
    <col min="14862" max="14862" width="10.140625" style="1402" customWidth="1"/>
    <col min="14863" max="14863" width="0" style="1402" hidden="1" customWidth="1"/>
    <col min="14864" max="14864" width="9.42578125" style="1402" customWidth="1"/>
    <col min="14865" max="14865" width="0" style="1402" hidden="1" customWidth="1"/>
    <col min="14866" max="14866" width="14.28515625" style="1402" customWidth="1"/>
    <col min="14867" max="14867" width="23.42578125" style="1402" customWidth="1"/>
    <col min="14868" max="14868" width="2" style="1402" customWidth="1"/>
    <col min="14869" max="15104" width="9.140625" style="1402"/>
    <col min="15105" max="15105" width="4.5703125" style="1402" customWidth="1"/>
    <col min="15106" max="15106" width="11.7109375" style="1402" customWidth="1"/>
    <col min="15107" max="15107" width="24.85546875" style="1402" customWidth="1"/>
    <col min="15108" max="15108" width="0" style="1402" hidden="1" customWidth="1"/>
    <col min="15109" max="15109" width="11.5703125" style="1402" customWidth="1"/>
    <col min="15110" max="15110" width="0" style="1402" hidden="1" customWidth="1"/>
    <col min="15111" max="15111" width="11.7109375" style="1402" customWidth="1"/>
    <col min="15112" max="15112" width="1" style="1402" customWidth="1"/>
    <col min="15113" max="15113" width="9.140625" style="1402" customWidth="1"/>
    <col min="15114" max="15114" width="1.140625" style="1402" customWidth="1"/>
    <col min="15115" max="15115" width="10.7109375" style="1402" customWidth="1"/>
    <col min="15116" max="15116" width="1.85546875" style="1402" customWidth="1"/>
    <col min="15117" max="15117" width="10.42578125" style="1402" customWidth="1"/>
    <col min="15118" max="15118" width="10.140625" style="1402" customWidth="1"/>
    <col min="15119" max="15119" width="0" style="1402" hidden="1" customWidth="1"/>
    <col min="15120" max="15120" width="9.42578125" style="1402" customWidth="1"/>
    <col min="15121" max="15121" width="0" style="1402" hidden="1" customWidth="1"/>
    <col min="15122" max="15122" width="14.28515625" style="1402" customWidth="1"/>
    <col min="15123" max="15123" width="23.42578125" style="1402" customWidth="1"/>
    <col min="15124" max="15124" width="2" style="1402" customWidth="1"/>
    <col min="15125" max="15360" width="9.140625" style="1402"/>
    <col min="15361" max="15361" width="4.5703125" style="1402" customWidth="1"/>
    <col min="15362" max="15362" width="11.7109375" style="1402" customWidth="1"/>
    <col min="15363" max="15363" width="24.85546875" style="1402" customWidth="1"/>
    <col min="15364" max="15364" width="0" style="1402" hidden="1" customWidth="1"/>
    <col min="15365" max="15365" width="11.5703125" style="1402" customWidth="1"/>
    <col min="15366" max="15366" width="0" style="1402" hidden="1" customWidth="1"/>
    <col min="15367" max="15367" width="11.7109375" style="1402" customWidth="1"/>
    <col min="15368" max="15368" width="1" style="1402" customWidth="1"/>
    <col min="15369" max="15369" width="9.140625" style="1402" customWidth="1"/>
    <col min="15370" max="15370" width="1.140625" style="1402" customWidth="1"/>
    <col min="15371" max="15371" width="10.7109375" style="1402" customWidth="1"/>
    <col min="15372" max="15372" width="1.85546875" style="1402" customWidth="1"/>
    <col min="15373" max="15373" width="10.42578125" style="1402" customWidth="1"/>
    <col min="15374" max="15374" width="10.140625" style="1402" customWidth="1"/>
    <col min="15375" max="15375" width="0" style="1402" hidden="1" customWidth="1"/>
    <col min="15376" max="15376" width="9.42578125" style="1402" customWidth="1"/>
    <col min="15377" max="15377" width="0" style="1402" hidden="1" customWidth="1"/>
    <col min="15378" max="15378" width="14.28515625" style="1402" customWidth="1"/>
    <col min="15379" max="15379" width="23.42578125" style="1402" customWidth="1"/>
    <col min="15380" max="15380" width="2" style="1402" customWidth="1"/>
    <col min="15381" max="15616" width="9.140625" style="1402"/>
    <col min="15617" max="15617" width="4.5703125" style="1402" customWidth="1"/>
    <col min="15618" max="15618" width="11.7109375" style="1402" customWidth="1"/>
    <col min="15619" max="15619" width="24.85546875" style="1402" customWidth="1"/>
    <col min="15620" max="15620" width="0" style="1402" hidden="1" customWidth="1"/>
    <col min="15621" max="15621" width="11.5703125" style="1402" customWidth="1"/>
    <col min="15622" max="15622" width="0" style="1402" hidden="1" customWidth="1"/>
    <col min="15623" max="15623" width="11.7109375" style="1402" customWidth="1"/>
    <col min="15624" max="15624" width="1" style="1402" customWidth="1"/>
    <col min="15625" max="15625" width="9.140625" style="1402" customWidth="1"/>
    <col min="15626" max="15626" width="1.140625" style="1402" customWidth="1"/>
    <col min="15627" max="15627" width="10.7109375" style="1402" customWidth="1"/>
    <col min="15628" max="15628" width="1.85546875" style="1402" customWidth="1"/>
    <col min="15629" max="15629" width="10.42578125" style="1402" customWidth="1"/>
    <col min="15630" max="15630" width="10.140625" style="1402" customWidth="1"/>
    <col min="15631" max="15631" width="0" style="1402" hidden="1" customWidth="1"/>
    <col min="15632" max="15632" width="9.42578125" style="1402" customWidth="1"/>
    <col min="15633" max="15633" width="0" style="1402" hidden="1" customWidth="1"/>
    <col min="15634" max="15634" width="14.28515625" style="1402" customWidth="1"/>
    <col min="15635" max="15635" width="23.42578125" style="1402" customWidth="1"/>
    <col min="15636" max="15636" width="2" style="1402" customWidth="1"/>
    <col min="15637" max="15872" width="9.140625" style="1402"/>
    <col min="15873" max="15873" width="4.5703125" style="1402" customWidth="1"/>
    <col min="15874" max="15874" width="11.7109375" style="1402" customWidth="1"/>
    <col min="15875" max="15875" width="24.85546875" style="1402" customWidth="1"/>
    <col min="15876" max="15876" width="0" style="1402" hidden="1" customWidth="1"/>
    <col min="15877" max="15877" width="11.5703125" style="1402" customWidth="1"/>
    <col min="15878" max="15878" width="0" style="1402" hidden="1" customWidth="1"/>
    <col min="15879" max="15879" width="11.7109375" style="1402" customWidth="1"/>
    <col min="15880" max="15880" width="1" style="1402" customWidth="1"/>
    <col min="15881" max="15881" width="9.140625" style="1402" customWidth="1"/>
    <col min="15882" max="15882" width="1.140625" style="1402" customWidth="1"/>
    <col min="15883" max="15883" width="10.7109375" style="1402" customWidth="1"/>
    <col min="15884" max="15884" width="1.85546875" style="1402" customWidth="1"/>
    <col min="15885" max="15885" width="10.42578125" style="1402" customWidth="1"/>
    <col min="15886" max="15886" width="10.140625" style="1402" customWidth="1"/>
    <col min="15887" max="15887" width="0" style="1402" hidden="1" customWidth="1"/>
    <col min="15888" max="15888" width="9.42578125" style="1402" customWidth="1"/>
    <col min="15889" max="15889" width="0" style="1402" hidden="1" customWidth="1"/>
    <col min="15890" max="15890" width="14.28515625" style="1402" customWidth="1"/>
    <col min="15891" max="15891" width="23.42578125" style="1402" customWidth="1"/>
    <col min="15892" max="15892" width="2" style="1402" customWidth="1"/>
    <col min="15893" max="16128" width="9.140625" style="1402"/>
    <col min="16129" max="16129" width="4.5703125" style="1402" customWidth="1"/>
    <col min="16130" max="16130" width="11.7109375" style="1402" customWidth="1"/>
    <col min="16131" max="16131" width="24.85546875" style="1402" customWidth="1"/>
    <col min="16132" max="16132" width="0" style="1402" hidden="1" customWidth="1"/>
    <col min="16133" max="16133" width="11.5703125" style="1402" customWidth="1"/>
    <col min="16134" max="16134" width="0" style="1402" hidden="1" customWidth="1"/>
    <col min="16135" max="16135" width="11.7109375" style="1402" customWidth="1"/>
    <col min="16136" max="16136" width="1" style="1402" customWidth="1"/>
    <col min="16137" max="16137" width="9.140625" style="1402" customWidth="1"/>
    <col min="16138" max="16138" width="1.140625" style="1402" customWidth="1"/>
    <col min="16139" max="16139" width="10.7109375" style="1402" customWidth="1"/>
    <col min="16140" max="16140" width="1.85546875" style="1402" customWidth="1"/>
    <col min="16141" max="16141" width="10.42578125" style="1402" customWidth="1"/>
    <col min="16142" max="16142" width="10.140625" style="1402" customWidth="1"/>
    <col min="16143" max="16143" width="0" style="1402" hidden="1" customWidth="1"/>
    <col min="16144" max="16144" width="9.42578125" style="1402" customWidth="1"/>
    <col min="16145" max="16145" width="0" style="1402" hidden="1" customWidth="1"/>
    <col min="16146" max="16146" width="14.28515625" style="1402" customWidth="1"/>
    <col min="16147" max="16147" width="23.42578125" style="1402" customWidth="1"/>
    <col min="16148" max="16148" width="2" style="1402" customWidth="1"/>
    <col min="16149" max="16384" width="9.140625" style="1402"/>
  </cols>
  <sheetData>
    <row r="1" spans="1:20">
      <c r="O1" s="1445" t="s">
        <v>3772</v>
      </c>
      <c r="P1" s="1445" t="s">
        <v>3772</v>
      </c>
    </row>
    <row r="2" spans="1:20">
      <c r="A2" s="2293"/>
      <c r="B2" s="2239"/>
      <c r="C2" s="2239"/>
      <c r="D2" s="2239"/>
      <c r="E2" s="2239"/>
      <c r="F2" s="2239"/>
      <c r="G2" s="2239"/>
      <c r="H2" s="2239"/>
      <c r="I2" s="2239"/>
      <c r="J2" s="2239"/>
      <c r="K2" s="2239"/>
      <c r="L2" s="2239"/>
      <c r="M2" s="2239"/>
      <c r="N2" s="2239"/>
      <c r="O2" s="2242" t="s">
        <v>3773</v>
      </c>
      <c r="P2" s="2239"/>
      <c r="Q2" s="2239"/>
      <c r="R2" s="2239"/>
      <c r="S2" s="2239"/>
    </row>
    <row r="3" spans="1:20">
      <c r="A3" s="2293"/>
      <c r="B3" s="2239"/>
      <c r="C3" s="2239"/>
      <c r="D3" s="2239"/>
      <c r="E3" s="2239"/>
      <c r="F3" s="2239"/>
      <c r="G3" s="2239"/>
      <c r="H3" s="2239"/>
      <c r="I3" s="2239"/>
      <c r="J3" s="2239"/>
      <c r="K3" s="2239"/>
      <c r="L3" s="2239"/>
      <c r="M3" s="2239"/>
      <c r="N3" s="2239"/>
      <c r="O3" s="2242"/>
      <c r="P3" s="2239"/>
      <c r="Q3" s="2239"/>
      <c r="R3" s="2239"/>
      <c r="S3" s="2239"/>
    </row>
    <row r="4" spans="1:20" ht="15.75">
      <c r="A4" s="2242"/>
      <c r="B4" s="2239"/>
      <c r="C4" s="2239"/>
      <c r="D4" s="2294" t="s">
        <v>3767</v>
      </c>
      <c r="E4" s="2295"/>
      <c r="F4" s="2295"/>
      <c r="G4" s="2295"/>
      <c r="H4" s="2295"/>
      <c r="I4" s="2295"/>
      <c r="J4" s="2295"/>
      <c r="K4" s="2295"/>
      <c r="L4" s="2295"/>
      <c r="M4" s="2295"/>
      <c r="N4" s="2295"/>
      <c r="O4" s="2295"/>
      <c r="P4" s="2295"/>
      <c r="Q4" s="2242"/>
      <c r="R4" s="2239"/>
      <c r="S4" s="2239"/>
    </row>
    <row r="5" spans="1:20">
      <c r="A5" s="2238" t="s">
        <v>3630</v>
      </c>
      <c r="B5" s="2239"/>
      <c r="C5" s="2239"/>
      <c r="D5" s="2239"/>
      <c r="E5" s="2239"/>
      <c r="F5" s="2239"/>
      <c r="G5" s="2239"/>
      <c r="H5" s="2239"/>
      <c r="I5" s="2239"/>
      <c r="J5" s="2239"/>
      <c r="K5" s="2239"/>
      <c r="L5" s="2239"/>
      <c r="M5" s="2239"/>
      <c r="N5" s="2239"/>
      <c r="O5" s="2239"/>
      <c r="P5" s="2239"/>
      <c r="Q5" s="2239"/>
      <c r="R5" s="2239"/>
      <c r="S5" s="2239"/>
    </row>
    <row r="6" spans="1:20">
      <c r="A6" s="2293"/>
      <c r="B6" s="2239"/>
      <c r="C6" s="2239"/>
      <c r="D6" s="2239"/>
      <c r="E6" s="2239"/>
      <c r="F6" s="2239"/>
      <c r="G6" s="2239"/>
      <c r="H6" s="2239"/>
      <c r="I6" s="2239"/>
      <c r="J6" s="2239"/>
      <c r="K6" s="2239"/>
      <c r="L6" s="2239"/>
      <c r="M6" s="2239"/>
      <c r="N6" s="2239"/>
      <c r="O6" s="2239"/>
      <c r="P6" s="2239"/>
      <c r="Q6" s="2239"/>
      <c r="R6" s="2239"/>
      <c r="S6" s="2239"/>
    </row>
    <row r="7" spans="1:20" ht="15.75">
      <c r="A7" s="2242"/>
      <c r="B7" s="2239"/>
      <c r="C7" s="2239"/>
      <c r="D7" s="2296" t="s">
        <v>3774</v>
      </c>
      <c r="E7" s="2295"/>
      <c r="F7" s="2295"/>
      <c r="G7" s="2295"/>
      <c r="H7" s="2295"/>
      <c r="I7" s="2295"/>
      <c r="J7" s="2295"/>
      <c r="K7" s="2295"/>
      <c r="L7" s="2295"/>
      <c r="M7" s="2295"/>
      <c r="N7" s="2295"/>
      <c r="O7" s="2295"/>
      <c r="P7" s="2295"/>
      <c r="Q7" s="2242"/>
      <c r="R7" s="2239"/>
      <c r="S7" s="2239"/>
    </row>
    <row r="8" spans="1:20">
      <c r="A8" s="2238" t="s">
        <v>3632</v>
      </c>
      <c r="B8" s="2239"/>
      <c r="C8" s="2239"/>
      <c r="D8" s="2239"/>
      <c r="E8" s="2239"/>
      <c r="F8" s="2239"/>
      <c r="G8" s="2239"/>
      <c r="H8" s="2239"/>
      <c r="I8" s="2239"/>
      <c r="J8" s="2239"/>
      <c r="K8" s="2239"/>
      <c r="L8" s="2239"/>
      <c r="M8" s="2239"/>
      <c r="N8" s="2239"/>
      <c r="O8" s="2239"/>
      <c r="P8" s="2239"/>
      <c r="Q8" s="2239"/>
      <c r="R8" s="2239"/>
      <c r="S8" s="2239"/>
    </row>
    <row r="9" spans="1:20">
      <c r="A9" s="2246"/>
      <c r="B9" s="2239"/>
      <c r="C9" s="2239"/>
      <c r="D9" s="2239"/>
      <c r="E9" s="2239"/>
      <c r="F9" s="2239"/>
      <c r="G9" s="2239"/>
      <c r="H9" s="2239"/>
      <c r="I9" s="2239"/>
      <c r="J9" s="2239"/>
      <c r="K9" s="2239"/>
      <c r="L9" s="2239"/>
      <c r="M9" s="2239"/>
      <c r="N9" s="2239"/>
      <c r="O9" s="2239"/>
      <c r="P9" s="2239"/>
      <c r="Q9" s="2239"/>
      <c r="R9" s="2239"/>
      <c r="S9" s="2239"/>
    </row>
    <row r="10" spans="1:20">
      <c r="A10" s="2247" t="s">
        <v>3652</v>
      </c>
      <c r="B10" s="2239"/>
      <c r="C10" s="2239"/>
      <c r="D10" s="2239"/>
      <c r="E10" s="2239"/>
      <c r="F10" s="2239"/>
      <c r="G10" s="2239"/>
      <c r="H10" s="2239"/>
      <c r="I10" s="2239"/>
      <c r="J10" s="2239"/>
      <c r="K10" s="2239"/>
      <c r="L10" s="2239"/>
      <c r="M10" s="2239"/>
      <c r="N10" s="2239"/>
      <c r="O10" s="2239"/>
      <c r="P10" s="2239"/>
      <c r="Q10" s="2239"/>
      <c r="R10" s="2239"/>
      <c r="S10" s="2239"/>
    </row>
    <row r="11" spans="1:20">
      <c r="A11" s="2246"/>
      <c r="B11" s="2239"/>
      <c r="C11" s="2239"/>
      <c r="D11" s="2239"/>
      <c r="E11" s="2239"/>
      <c r="F11" s="2239"/>
      <c r="G11" s="2239"/>
      <c r="H11" s="2239"/>
      <c r="I11" s="2239"/>
      <c r="J11" s="2239"/>
      <c r="K11" s="2239"/>
      <c r="L11" s="2239"/>
      <c r="M11" s="2239"/>
      <c r="N11" s="2239"/>
      <c r="O11" s="2239"/>
      <c r="P11" s="2239"/>
      <c r="Q11" s="2239"/>
      <c r="R11" s="2239"/>
      <c r="S11" s="2239"/>
    </row>
    <row r="12" spans="1:20" ht="15">
      <c r="A12" s="2242"/>
      <c r="B12" s="2239"/>
      <c r="C12" s="2239"/>
      <c r="D12" s="2239"/>
      <c r="E12" s="2239"/>
      <c r="F12" s="2249" t="s">
        <v>3775</v>
      </c>
      <c r="G12" s="2244"/>
      <c r="H12" s="2244"/>
      <c r="I12" s="1433" t="s">
        <v>7</v>
      </c>
      <c r="J12" s="2297" t="s">
        <v>3776</v>
      </c>
      <c r="K12" s="2298"/>
      <c r="L12" s="2298"/>
      <c r="M12" s="1891"/>
      <c r="N12" s="1891"/>
      <c r="O12" s="1891"/>
      <c r="P12" s="1891"/>
      <c r="Q12" s="1891"/>
      <c r="R12" s="1891"/>
      <c r="S12" s="1891"/>
    </row>
    <row r="13" spans="1:20" hidden="1"/>
    <row r="15" spans="1:20">
      <c r="A15" s="2299" t="s">
        <v>1045</v>
      </c>
      <c r="B15" s="2299" t="s">
        <v>50</v>
      </c>
      <c r="C15" s="2299" t="s">
        <v>3635</v>
      </c>
      <c r="D15" s="2300"/>
      <c r="E15" s="2299" t="s">
        <v>3638</v>
      </c>
      <c r="F15" s="2300"/>
      <c r="G15" s="2300"/>
      <c r="H15" s="2300"/>
      <c r="I15" s="2300"/>
      <c r="J15" s="2300"/>
      <c r="K15" s="2300"/>
      <c r="L15" s="2300"/>
      <c r="M15" s="2300"/>
      <c r="N15" s="2300"/>
      <c r="O15" s="2300"/>
      <c r="P15" s="2300"/>
      <c r="Q15" s="2300"/>
      <c r="R15" s="2299" t="s">
        <v>3639</v>
      </c>
      <c r="S15" s="2299" t="s">
        <v>3640</v>
      </c>
      <c r="T15" s="2300"/>
    </row>
    <row r="16" spans="1:20">
      <c r="A16" s="2300"/>
      <c r="B16" s="2300"/>
      <c r="C16" s="2300"/>
      <c r="D16" s="2300"/>
      <c r="E16" s="2299" t="s">
        <v>9</v>
      </c>
      <c r="F16" s="2300"/>
      <c r="G16" s="2299" t="s">
        <v>3641</v>
      </c>
      <c r="H16" s="2300"/>
      <c r="I16" s="2300"/>
      <c r="J16" s="2300"/>
      <c r="K16" s="2299" t="s">
        <v>3642</v>
      </c>
      <c r="L16" s="2301"/>
      <c r="M16" s="2301"/>
      <c r="N16" s="2301"/>
      <c r="O16" s="2301"/>
      <c r="P16" s="2301"/>
      <c r="Q16" s="2301"/>
      <c r="R16" s="2300"/>
      <c r="S16" s="2300"/>
      <c r="T16" s="2300"/>
    </row>
    <row r="17" spans="1:20">
      <c r="A17" s="2300"/>
      <c r="B17" s="2300"/>
      <c r="C17" s="2300"/>
      <c r="D17" s="2300"/>
      <c r="E17" s="2300"/>
      <c r="F17" s="2300"/>
      <c r="G17" s="2299" t="s">
        <v>3643</v>
      </c>
      <c r="H17" s="2299"/>
      <c r="I17" s="2300"/>
      <c r="J17" s="2300"/>
      <c r="K17" s="2302" t="s">
        <v>3644</v>
      </c>
      <c r="L17" s="2300"/>
      <c r="M17" s="2300"/>
      <c r="N17" s="2300"/>
      <c r="O17" s="2300"/>
      <c r="P17" s="2300"/>
      <c r="Q17" s="2300"/>
      <c r="R17" s="2300"/>
      <c r="S17" s="2300"/>
      <c r="T17" s="2300"/>
    </row>
    <row r="18" spans="1:20">
      <c r="A18" s="2300"/>
      <c r="B18" s="2300"/>
      <c r="C18" s="2300"/>
      <c r="D18" s="2300"/>
      <c r="E18" s="2300"/>
      <c r="F18" s="2300"/>
      <c r="G18" s="2300"/>
      <c r="H18" s="2299" t="s">
        <v>3645</v>
      </c>
      <c r="I18" s="2300"/>
      <c r="J18" s="2300"/>
      <c r="K18" s="2299" t="s">
        <v>1974</v>
      </c>
      <c r="L18" s="2300"/>
      <c r="M18" s="2300"/>
      <c r="N18" s="2300"/>
      <c r="O18" s="2300"/>
      <c r="P18" s="2300"/>
      <c r="Q18" s="2300"/>
      <c r="R18" s="2300"/>
      <c r="S18" s="2300"/>
      <c r="T18" s="2300"/>
    </row>
    <row r="19" spans="1:20" ht="63.75">
      <c r="A19" s="2300"/>
      <c r="B19" s="2300"/>
      <c r="C19" s="2300"/>
      <c r="D19" s="2300"/>
      <c r="E19" s="2300"/>
      <c r="F19" s="2300"/>
      <c r="G19" s="2300"/>
      <c r="H19" s="2300"/>
      <c r="I19" s="2300"/>
      <c r="J19" s="2300"/>
      <c r="K19" s="1446" t="s">
        <v>3645</v>
      </c>
      <c r="L19" s="2299" t="s">
        <v>2010</v>
      </c>
      <c r="M19" s="2300"/>
      <c r="N19" s="2299" t="s">
        <v>61</v>
      </c>
      <c r="O19" s="2300"/>
      <c r="P19" s="2299" t="s">
        <v>60</v>
      </c>
      <c r="Q19" s="2300"/>
      <c r="R19" s="2300"/>
      <c r="S19" s="2300"/>
      <c r="T19" s="2300"/>
    </row>
    <row r="20" spans="1:20">
      <c r="A20" s="1447" t="s">
        <v>2024</v>
      </c>
      <c r="B20" s="1447" t="s">
        <v>2534</v>
      </c>
      <c r="C20" s="2303" t="s">
        <v>2535</v>
      </c>
      <c r="D20" s="2300"/>
      <c r="E20" s="2303" t="s">
        <v>2072</v>
      </c>
      <c r="F20" s="2300"/>
      <c r="G20" s="1447" t="s">
        <v>2074</v>
      </c>
      <c r="H20" s="2303" t="s">
        <v>2075</v>
      </c>
      <c r="I20" s="2300"/>
      <c r="J20" s="2300"/>
      <c r="K20" s="1447" t="s">
        <v>2026</v>
      </c>
      <c r="L20" s="2303" t="s">
        <v>1706</v>
      </c>
      <c r="M20" s="2300"/>
      <c r="N20" s="2303" t="s">
        <v>1707</v>
      </c>
      <c r="O20" s="2300"/>
      <c r="P20" s="2303" t="s">
        <v>1709</v>
      </c>
      <c r="Q20" s="2300"/>
      <c r="R20" s="1447" t="s">
        <v>1710</v>
      </c>
      <c r="S20" s="2303" t="s">
        <v>1711</v>
      </c>
      <c r="T20" s="2300"/>
    </row>
    <row r="21" spans="1:20" ht="51">
      <c r="A21" s="1448" t="s">
        <v>1052</v>
      </c>
      <c r="B21" s="1449" t="s">
        <v>345</v>
      </c>
      <c r="C21" s="2304" t="s">
        <v>634</v>
      </c>
      <c r="D21" s="2305"/>
      <c r="E21" s="2306">
        <v>657021</v>
      </c>
      <c r="F21" s="2305"/>
      <c r="G21" s="1450">
        <v>558467</v>
      </c>
      <c r="H21" s="2306">
        <v>49277</v>
      </c>
      <c r="I21" s="2305"/>
      <c r="J21" s="2305"/>
      <c r="K21" s="1450">
        <v>0</v>
      </c>
      <c r="L21" s="2306">
        <v>49277</v>
      </c>
      <c r="M21" s="2305"/>
      <c r="N21" s="2306">
        <v>0</v>
      </c>
      <c r="O21" s="2305"/>
      <c r="P21" s="2306">
        <v>0</v>
      </c>
      <c r="Q21" s="2305"/>
      <c r="R21" s="1449" t="s">
        <v>3769</v>
      </c>
      <c r="S21" s="2307" t="s">
        <v>3777</v>
      </c>
      <c r="T21" s="2308"/>
    </row>
    <row r="22" spans="1:20" ht="51">
      <c r="A22" s="1448" t="s">
        <v>3647</v>
      </c>
      <c r="B22" s="1449" t="s">
        <v>184</v>
      </c>
      <c r="C22" s="2304" t="s">
        <v>186</v>
      </c>
      <c r="D22" s="2305"/>
      <c r="E22" s="2306">
        <v>106845</v>
      </c>
      <c r="F22" s="2305"/>
      <c r="G22" s="1450">
        <v>90818</v>
      </c>
      <c r="H22" s="2306">
        <v>8014</v>
      </c>
      <c r="I22" s="2305"/>
      <c r="J22" s="2305"/>
      <c r="K22" s="1450">
        <v>0</v>
      </c>
      <c r="L22" s="2306">
        <v>8013</v>
      </c>
      <c r="M22" s="2305"/>
      <c r="N22" s="2306">
        <v>0</v>
      </c>
      <c r="O22" s="2305"/>
      <c r="P22" s="2306">
        <v>0</v>
      </c>
      <c r="Q22" s="2305"/>
      <c r="R22" s="1449" t="s">
        <v>3778</v>
      </c>
      <c r="S22" s="2307" t="s">
        <v>3779</v>
      </c>
      <c r="T22" s="2308"/>
    </row>
    <row r="23" spans="1:20" ht="38.25">
      <c r="A23" s="1448" t="s">
        <v>1087</v>
      </c>
      <c r="B23" s="1449" t="s">
        <v>235</v>
      </c>
      <c r="C23" s="2304" t="s">
        <v>231</v>
      </c>
      <c r="D23" s="2305"/>
      <c r="E23" s="2306">
        <v>163877</v>
      </c>
      <c r="F23" s="2305"/>
      <c r="G23" s="1450">
        <v>139295</v>
      </c>
      <c r="H23" s="2306">
        <v>12291</v>
      </c>
      <c r="I23" s="2305"/>
      <c r="J23" s="2305"/>
      <c r="K23" s="1450">
        <v>0</v>
      </c>
      <c r="L23" s="2306">
        <v>12291</v>
      </c>
      <c r="M23" s="2305"/>
      <c r="N23" s="2306">
        <v>0</v>
      </c>
      <c r="O23" s="2305"/>
      <c r="P23" s="2306">
        <v>0</v>
      </c>
      <c r="Q23" s="2305"/>
      <c r="R23" s="1449" t="s">
        <v>3778</v>
      </c>
      <c r="S23" s="2307" t="s">
        <v>3779</v>
      </c>
      <c r="T23" s="2308"/>
    </row>
    <row r="24" spans="1:20" ht="38.25">
      <c r="A24" s="1448" t="s">
        <v>843</v>
      </c>
      <c r="B24" s="1449" t="s">
        <v>161</v>
      </c>
      <c r="C24" s="2304" t="s">
        <v>279</v>
      </c>
      <c r="D24" s="2305"/>
      <c r="E24" s="2306">
        <v>195778</v>
      </c>
      <c r="F24" s="2305"/>
      <c r="G24" s="1450">
        <v>166412</v>
      </c>
      <c r="H24" s="2306">
        <v>14683</v>
      </c>
      <c r="I24" s="2305"/>
      <c r="J24" s="2305"/>
      <c r="K24" s="1450">
        <v>0</v>
      </c>
      <c r="L24" s="2306">
        <v>14683</v>
      </c>
      <c r="M24" s="2305"/>
      <c r="N24" s="2306">
        <v>0</v>
      </c>
      <c r="O24" s="2305"/>
      <c r="P24" s="2306">
        <v>0</v>
      </c>
      <c r="Q24" s="2305"/>
      <c r="R24" s="1449" t="s">
        <v>3778</v>
      </c>
      <c r="S24" s="2307" t="s">
        <v>3779</v>
      </c>
      <c r="T24" s="2308"/>
    </row>
    <row r="25" spans="1:20" ht="51">
      <c r="A25" s="1448" t="s">
        <v>1070</v>
      </c>
      <c r="B25" s="1449" t="s">
        <v>282</v>
      </c>
      <c r="C25" s="2304" t="s">
        <v>643</v>
      </c>
      <c r="D25" s="2305"/>
      <c r="E25" s="2306">
        <v>220453</v>
      </c>
      <c r="F25" s="2305"/>
      <c r="G25" s="1450">
        <v>187385</v>
      </c>
      <c r="H25" s="2306">
        <v>16534</v>
      </c>
      <c r="I25" s="2305"/>
      <c r="J25" s="2305"/>
      <c r="K25" s="1450">
        <v>0</v>
      </c>
      <c r="L25" s="2306">
        <v>16534</v>
      </c>
      <c r="M25" s="2305"/>
      <c r="N25" s="2306">
        <v>0</v>
      </c>
      <c r="O25" s="2305"/>
      <c r="P25" s="2306">
        <v>0</v>
      </c>
      <c r="Q25" s="2305"/>
      <c r="R25" s="1449" t="s">
        <v>3778</v>
      </c>
      <c r="S25" s="2307" t="s">
        <v>3779</v>
      </c>
      <c r="T25" s="2308"/>
    </row>
    <row r="26" spans="1:20">
      <c r="A26" s="2312" t="s">
        <v>3649</v>
      </c>
      <c r="B26" s="2300"/>
      <c r="C26" s="2300"/>
      <c r="D26" s="2300"/>
      <c r="E26" s="2313">
        <v>1343974</v>
      </c>
      <c r="F26" s="2300"/>
      <c r="G26" s="1451">
        <v>1142377</v>
      </c>
      <c r="H26" s="2313">
        <v>100799</v>
      </c>
      <c r="I26" s="2300"/>
      <c r="J26" s="2300"/>
      <c r="K26" s="1451">
        <v>0</v>
      </c>
      <c r="L26" s="2313">
        <v>100798</v>
      </c>
      <c r="M26" s="2300"/>
      <c r="N26" s="2313">
        <v>0</v>
      </c>
      <c r="O26" s="2300"/>
      <c r="P26" s="2313">
        <v>0</v>
      </c>
      <c r="Q26" s="2300"/>
      <c r="R26" s="2309"/>
      <c r="S26" s="2300"/>
      <c r="T26" s="2300"/>
    </row>
    <row r="27" spans="1:20">
      <c r="A27" s="2310" t="s">
        <v>3650</v>
      </c>
      <c r="B27" s="2300"/>
      <c r="C27" s="2300"/>
      <c r="D27" s="2300"/>
      <c r="E27" s="2300"/>
      <c r="F27" s="2300"/>
      <c r="G27" s="2311">
        <v>1142378</v>
      </c>
      <c r="H27" s="2300"/>
      <c r="I27" s="2300"/>
      <c r="J27" s="2300"/>
      <c r="K27" s="2300"/>
      <c r="L27" s="2300"/>
      <c r="M27" s="2300"/>
      <c r="N27" s="2300"/>
      <c r="O27" s="2300"/>
      <c r="P27" s="2300"/>
      <c r="Q27" s="2300"/>
      <c r="R27" s="2300"/>
      <c r="S27" s="2300"/>
      <c r="T27" s="2300"/>
    </row>
  </sheetData>
  <mergeCells count="87">
    <mergeCell ref="R26:T26"/>
    <mergeCell ref="A27:F27"/>
    <mergeCell ref="G27:T27"/>
    <mergeCell ref="A26:D26"/>
    <mergeCell ref="E26:F26"/>
    <mergeCell ref="H26:J26"/>
    <mergeCell ref="L26:M26"/>
    <mergeCell ref="N26:O26"/>
    <mergeCell ref="P26:Q26"/>
    <mergeCell ref="S24:T24"/>
    <mergeCell ref="C25:D25"/>
    <mergeCell ref="E25:F25"/>
    <mergeCell ref="H25:J25"/>
    <mergeCell ref="L25:M25"/>
    <mergeCell ref="N25:O25"/>
    <mergeCell ref="P25:Q25"/>
    <mergeCell ref="S25:T25"/>
    <mergeCell ref="C24:D24"/>
    <mergeCell ref="E24:F24"/>
    <mergeCell ref="H24:J24"/>
    <mergeCell ref="L24:M24"/>
    <mergeCell ref="N24:O24"/>
    <mergeCell ref="P24:Q24"/>
    <mergeCell ref="S22:T22"/>
    <mergeCell ref="C23:D23"/>
    <mergeCell ref="E23:F23"/>
    <mergeCell ref="H23:J23"/>
    <mergeCell ref="L23:M23"/>
    <mergeCell ref="N23:O23"/>
    <mergeCell ref="P23:Q23"/>
    <mergeCell ref="S23:T23"/>
    <mergeCell ref="C22:D22"/>
    <mergeCell ref="E22:F22"/>
    <mergeCell ref="H22:J22"/>
    <mergeCell ref="L22:M22"/>
    <mergeCell ref="N22:O22"/>
    <mergeCell ref="P22:Q22"/>
    <mergeCell ref="S20:T20"/>
    <mergeCell ref="C21:D21"/>
    <mergeCell ref="E21:F21"/>
    <mergeCell ref="H21:J21"/>
    <mergeCell ref="L21:M21"/>
    <mergeCell ref="N21:O21"/>
    <mergeCell ref="P21:Q21"/>
    <mergeCell ref="S21:T21"/>
    <mergeCell ref="C20:D20"/>
    <mergeCell ref="E20:F20"/>
    <mergeCell ref="H20:J20"/>
    <mergeCell ref="L20:M20"/>
    <mergeCell ref="N20:O20"/>
    <mergeCell ref="P20:Q20"/>
    <mergeCell ref="A15:A19"/>
    <mergeCell ref="B15:B19"/>
    <mergeCell ref="C15:D19"/>
    <mergeCell ref="E15:Q15"/>
    <mergeCell ref="R15:R19"/>
    <mergeCell ref="H17:J17"/>
    <mergeCell ref="K17:Q17"/>
    <mergeCell ref="H18:J19"/>
    <mergeCell ref="K18:Q18"/>
    <mergeCell ref="L19:M19"/>
    <mergeCell ref="N19:O19"/>
    <mergeCell ref="P19:Q19"/>
    <mergeCell ref="S15:T19"/>
    <mergeCell ref="E16:F19"/>
    <mergeCell ref="G16:J16"/>
    <mergeCell ref="K16:Q16"/>
    <mergeCell ref="G17:G19"/>
    <mergeCell ref="A9:S9"/>
    <mergeCell ref="A10:S10"/>
    <mergeCell ref="A11:S11"/>
    <mergeCell ref="A12:E12"/>
    <mergeCell ref="F12:H12"/>
    <mergeCell ref="J12:S12"/>
    <mergeCell ref="A8:S8"/>
    <mergeCell ref="A2:N2"/>
    <mergeCell ref="O2:S2"/>
    <mergeCell ref="A3:N3"/>
    <mergeCell ref="O3:S3"/>
    <mergeCell ref="A4:C4"/>
    <mergeCell ref="D4:P4"/>
    <mergeCell ref="Q4:S4"/>
    <mergeCell ref="A5:S5"/>
    <mergeCell ref="A6:S6"/>
    <mergeCell ref="A7:C7"/>
    <mergeCell ref="D7:P7"/>
    <mergeCell ref="Q7:S7"/>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2:T29"/>
  <sheetViews>
    <sheetView workbookViewId="0">
      <selection activeCell="G21" sqref="G21:H21"/>
    </sheetView>
  </sheetViews>
  <sheetFormatPr defaultRowHeight="12.75"/>
  <cols>
    <col min="1" max="1" width="5.42578125" style="1402" customWidth="1"/>
    <col min="2" max="2" width="19.85546875" style="1402" customWidth="1"/>
    <col min="3" max="3" width="18.85546875" style="1402" customWidth="1"/>
    <col min="4" max="4" width="0.140625" style="1402" customWidth="1"/>
    <col min="5" max="5" width="12.42578125" style="1402" customWidth="1"/>
    <col min="6" max="6" width="0.5703125" style="1402" customWidth="1"/>
    <col min="7" max="7" width="18.28515625" style="1402" customWidth="1"/>
    <col min="8" max="8" width="1" style="1402" customWidth="1"/>
    <col min="9" max="9" width="7.140625" style="1402" customWidth="1"/>
    <col min="10" max="10" width="9.7109375" style="1402" customWidth="1"/>
    <col min="11" max="11" width="16.7109375" style="1402" customWidth="1"/>
    <col min="12" max="12" width="1.85546875" style="1402" customWidth="1"/>
    <col min="13" max="13" width="14.7109375" style="1402" customWidth="1"/>
    <col min="14" max="14" width="11.85546875" style="1402" customWidth="1"/>
    <col min="15" max="15" width="2.85546875" style="1402" customWidth="1"/>
    <col min="16" max="16" width="10.7109375" style="1402" customWidth="1"/>
    <col min="17" max="17" width="3.85546875" style="1402" customWidth="1"/>
    <col min="18" max="18" width="20.5703125" style="1402" customWidth="1"/>
    <col min="19" max="19" width="12.28515625" style="1402" customWidth="1"/>
    <col min="20" max="20" width="1.85546875" style="1402" customWidth="1"/>
    <col min="21" max="256" width="9.140625" style="1402"/>
    <col min="257" max="257" width="5.42578125" style="1402" customWidth="1"/>
    <col min="258" max="258" width="19.85546875" style="1402" customWidth="1"/>
    <col min="259" max="259" width="18.85546875" style="1402" customWidth="1"/>
    <col min="260" max="260" width="0.140625" style="1402" customWidth="1"/>
    <col min="261" max="261" width="12.42578125" style="1402" customWidth="1"/>
    <col min="262" max="262" width="0.5703125" style="1402" customWidth="1"/>
    <col min="263" max="263" width="18.28515625" style="1402" customWidth="1"/>
    <col min="264" max="264" width="1" style="1402" customWidth="1"/>
    <col min="265" max="265" width="7.140625" style="1402" customWidth="1"/>
    <col min="266" max="266" width="9.7109375" style="1402" customWidth="1"/>
    <col min="267" max="267" width="16.7109375" style="1402" customWidth="1"/>
    <col min="268" max="268" width="1.85546875" style="1402" customWidth="1"/>
    <col min="269" max="269" width="14.7109375" style="1402" customWidth="1"/>
    <col min="270" max="270" width="11.85546875" style="1402" customWidth="1"/>
    <col min="271" max="271" width="2.85546875" style="1402" customWidth="1"/>
    <col min="272" max="272" width="10.7109375" style="1402" customWidth="1"/>
    <col min="273" max="273" width="3.85546875" style="1402" customWidth="1"/>
    <col min="274" max="274" width="20.5703125" style="1402" customWidth="1"/>
    <col min="275" max="275" width="12.28515625" style="1402" customWidth="1"/>
    <col min="276" max="276" width="1.85546875" style="1402" customWidth="1"/>
    <col min="277" max="512" width="9.140625" style="1402"/>
    <col min="513" max="513" width="5.42578125" style="1402" customWidth="1"/>
    <col min="514" max="514" width="19.85546875" style="1402" customWidth="1"/>
    <col min="515" max="515" width="18.85546875" style="1402" customWidth="1"/>
    <col min="516" max="516" width="0.140625" style="1402" customWidth="1"/>
    <col min="517" max="517" width="12.42578125" style="1402" customWidth="1"/>
    <col min="518" max="518" width="0.5703125" style="1402" customWidth="1"/>
    <col min="519" max="519" width="18.28515625" style="1402" customWidth="1"/>
    <col min="520" max="520" width="1" style="1402" customWidth="1"/>
    <col min="521" max="521" width="7.140625" style="1402" customWidth="1"/>
    <col min="522" max="522" width="9.7109375" style="1402" customWidth="1"/>
    <col min="523" max="523" width="16.7109375" style="1402" customWidth="1"/>
    <col min="524" max="524" width="1.85546875" style="1402" customWidth="1"/>
    <col min="525" max="525" width="14.7109375" style="1402" customWidth="1"/>
    <col min="526" max="526" width="11.85546875" style="1402" customWidth="1"/>
    <col min="527" max="527" width="2.85546875" style="1402" customWidth="1"/>
    <col min="528" max="528" width="10.7109375" style="1402" customWidth="1"/>
    <col min="529" max="529" width="3.85546875" style="1402" customWidth="1"/>
    <col min="530" max="530" width="20.5703125" style="1402" customWidth="1"/>
    <col min="531" max="531" width="12.28515625" style="1402" customWidth="1"/>
    <col min="532" max="532" width="1.85546875" style="1402" customWidth="1"/>
    <col min="533" max="768" width="9.140625" style="1402"/>
    <col min="769" max="769" width="5.42578125" style="1402" customWidth="1"/>
    <col min="770" max="770" width="19.85546875" style="1402" customWidth="1"/>
    <col min="771" max="771" width="18.85546875" style="1402" customWidth="1"/>
    <col min="772" max="772" width="0.140625" style="1402" customWidth="1"/>
    <col min="773" max="773" width="12.42578125" style="1402" customWidth="1"/>
    <col min="774" max="774" width="0.5703125" style="1402" customWidth="1"/>
    <col min="775" max="775" width="18.28515625" style="1402" customWidth="1"/>
    <col min="776" max="776" width="1" style="1402" customWidth="1"/>
    <col min="777" max="777" width="7.140625" style="1402" customWidth="1"/>
    <col min="778" max="778" width="9.7109375" style="1402" customWidth="1"/>
    <col min="779" max="779" width="16.7109375" style="1402" customWidth="1"/>
    <col min="780" max="780" width="1.85546875" style="1402" customWidth="1"/>
    <col min="781" max="781" width="14.7109375" style="1402" customWidth="1"/>
    <col min="782" max="782" width="11.85546875" style="1402" customWidth="1"/>
    <col min="783" max="783" width="2.85546875" style="1402" customWidth="1"/>
    <col min="784" max="784" width="10.7109375" style="1402" customWidth="1"/>
    <col min="785" max="785" width="3.85546875" style="1402" customWidth="1"/>
    <col min="786" max="786" width="20.5703125" style="1402" customWidth="1"/>
    <col min="787" max="787" width="12.28515625" style="1402" customWidth="1"/>
    <col min="788" max="788" width="1.85546875" style="1402" customWidth="1"/>
    <col min="789" max="1024" width="9.140625" style="1402"/>
    <col min="1025" max="1025" width="5.42578125" style="1402" customWidth="1"/>
    <col min="1026" max="1026" width="19.85546875" style="1402" customWidth="1"/>
    <col min="1027" max="1027" width="18.85546875" style="1402" customWidth="1"/>
    <col min="1028" max="1028" width="0.140625" style="1402" customWidth="1"/>
    <col min="1029" max="1029" width="12.42578125" style="1402" customWidth="1"/>
    <col min="1030" max="1030" width="0.5703125" style="1402" customWidth="1"/>
    <col min="1031" max="1031" width="18.28515625" style="1402" customWidth="1"/>
    <col min="1032" max="1032" width="1" style="1402" customWidth="1"/>
    <col min="1033" max="1033" width="7.140625" style="1402" customWidth="1"/>
    <col min="1034" max="1034" width="9.7109375" style="1402" customWidth="1"/>
    <col min="1035" max="1035" width="16.7109375" style="1402" customWidth="1"/>
    <col min="1036" max="1036" width="1.85546875" style="1402" customWidth="1"/>
    <col min="1037" max="1037" width="14.7109375" style="1402" customWidth="1"/>
    <col min="1038" max="1038" width="11.85546875" style="1402" customWidth="1"/>
    <col min="1039" max="1039" width="2.85546875" style="1402" customWidth="1"/>
    <col min="1040" max="1040" width="10.7109375" style="1402" customWidth="1"/>
    <col min="1041" max="1041" width="3.85546875" style="1402" customWidth="1"/>
    <col min="1042" max="1042" width="20.5703125" style="1402" customWidth="1"/>
    <col min="1043" max="1043" width="12.28515625" style="1402" customWidth="1"/>
    <col min="1044" max="1044" width="1.85546875" style="1402" customWidth="1"/>
    <col min="1045" max="1280" width="9.140625" style="1402"/>
    <col min="1281" max="1281" width="5.42578125" style="1402" customWidth="1"/>
    <col min="1282" max="1282" width="19.85546875" style="1402" customWidth="1"/>
    <col min="1283" max="1283" width="18.85546875" style="1402" customWidth="1"/>
    <col min="1284" max="1284" width="0.140625" style="1402" customWidth="1"/>
    <col min="1285" max="1285" width="12.42578125" style="1402" customWidth="1"/>
    <col min="1286" max="1286" width="0.5703125" style="1402" customWidth="1"/>
    <col min="1287" max="1287" width="18.28515625" style="1402" customWidth="1"/>
    <col min="1288" max="1288" width="1" style="1402" customWidth="1"/>
    <col min="1289" max="1289" width="7.140625" style="1402" customWidth="1"/>
    <col min="1290" max="1290" width="9.7109375" style="1402" customWidth="1"/>
    <col min="1291" max="1291" width="16.7109375" style="1402" customWidth="1"/>
    <col min="1292" max="1292" width="1.85546875" style="1402" customWidth="1"/>
    <col min="1293" max="1293" width="14.7109375" style="1402" customWidth="1"/>
    <col min="1294" max="1294" width="11.85546875" style="1402" customWidth="1"/>
    <col min="1295" max="1295" width="2.85546875" style="1402" customWidth="1"/>
    <col min="1296" max="1296" width="10.7109375" style="1402" customWidth="1"/>
    <col min="1297" max="1297" width="3.85546875" style="1402" customWidth="1"/>
    <col min="1298" max="1298" width="20.5703125" style="1402" customWidth="1"/>
    <col min="1299" max="1299" width="12.28515625" style="1402" customWidth="1"/>
    <col min="1300" max="1300" width="1.85546875" style="1402" customWidth="1"/>
    <col min="1301" max="1536" width="9.140625" style="1402"/>
    <col min="1537" max="1537" width="5.42578125" style="1402" customWidth="1"/>
    <col min="1538" max="1538" width="19.85546875" style="1402" customWidth="1"/>
    <col min="1539" max="1539" width="18.85546875" style="1402" customWidth="1"/>
    <col min="1540" max="1540" width="0.140625" style="1402" customWidth="1"/>
    <col min="1541" max="1541" width="12.42578125" style="1402" customWidth="1"/>
    <col min="1542" max="1542" width="0.5703125" style="1402" customWidth="1"/>
    <col min="1543" max="1543" width="18.28515625" style="1402" customWidth="1"/>
    <col min="1544" max="1544" width="1" style="1402" customWidth="1"/>
    <col min="1545" max="1545" width="7.140625" style="1402" customWidth="1"/>
    <col min="1546" max="1546" width="9.7109375" style="1402" customWidth="1"/>
    <col min="1547" max="1547" width="16.7109375" style="1402" customWidth="1"/>
    <col min="1548" max="1548" width="1.85546875" style="1402" customWidth="1"/>
    <col min="1549" max="1549" width="14.7109375" style="1402" customWidth="1"/>
    <col min="1550" max="1550" width="11.85546875" style="1402" customWidth="1"/>
    <col min="1551" max="1551" width="2.85546875" style="1402" customWidth="1"/>
    <col min="1552" max="1552" width="10.7109375" style="1402" customWidth="1"/>
    <col min="1553" max="1553" width="3.85546875" style="1402" customWidth="1"/>
    <col min="1554" max="1554" width="20.5703125" style="1402" customWidth="1"/>
    <col min="1555" max="1555" width="12.28515625" style="1402" customWidth="1"/>
    <col min="1556" max="1556" width="1.85546875" style="1402" customWidth="1"/>
    <col min="1557" max="1792" width="9.140625" style="1402"/>
    <col min="1793" max="1793" width="5.42578125" style="1402" customWidth="1"/>
    <col min="1794" max="1794" width="19.85546875" style="1402" customWidth="1"/>
    <col min="1795" max="1795" width="18.85546875" style="1402" customWidth="1"/>
    <col min="1796" max="1796" width="0.140625" style="1402" customWidth="1"/>
    <col min="1797" max="1797" width="12.42578125" style="1402" customWidth="1"/>
    <col min="1798" max="1798" width="0.5703125" style="1402" customWidth="1"/>
    <col min="1799" max="1799" width="18.28515625" style="1402" customWidth="1"/>
    <col min="1800" max="1800" width="1" style="1402" customWidth="1"/>
    <col min="1801" max="1801" width="7.140625" style="1402" customWidth="1"/>
    <col min="1802" max="1802" width="9.7109375" style="1402" customWidth="1"/>
    <col min="1803" max="1803" width="16.7109375" style="1402" customWidth="1"/>
    <col min="1804" max="1804" width="1.85546875" style="1402" customWidth="1"/>
    <col min="1805" max="1805" width="14.7109375" style="1402" customWidth="1"/>
    <col min="1806" max="1806" width="11.85546875" style="1402" customWidth="1"/>
    <col min="1807" max="1807" width="2.85546875" style="1402" customWidth="1"/>
    <col min="1808" max="1808" width="10.7109375" style="1402" customWidth="1"/>
    <col min="1809" max="1809" width="3.85546875" style="1402" customWidth="1"/>
    <col min="1810" max="1810" width="20.5703125" style="1402" customWidth="1"/>
    <col min="1811" max="1811" width="12.28515625" style="1402" customWidth="1"/>
    <col min="1812" max="1812" width="1.85546875" style="1402" customWidth="1"/>
    <col min="1813" max="2048" width="9.140625" style="1402"/>
    <col min="2049" max="2049" width="5.42578125" style="1402" customWidth="1"/>
    <col min="2050" max="2050" width="19.85546875" style="1402" customWidth="1"/>
    <col min="2051" max="2051" width="18.85546875" style="1402" customWidth="1"/>
    <col min="2052" max="2052" width="0.140625" style="1402" customWidth="1"/>
    <col min="2053" max="2053" width="12.42578125" style="1402" customWidth="1"/>
    <col min="2054" max="2054" width="0.5703125" style="1402" customWidth="1"/>
    <col min="2055" max="2055" width="18.28515625" style="1402" customWidth="1"/>
    <col min="2056" max="2056" width="1" style="1402" customWidth="1"/>
    <col min="2057" max="2057" width="7.140625" style="1402" customWidth="1"/>
    <col min="2058" max="2058" width="9.7109375" style="1402" customWidth="1"/>
    <col min="2059" max="2059" width="16.7109375" style="1402" customWidth="1"/>
    <col min="2060" max="2060" width="1.85546875" style="1402" customWidth="1"/>
    <col min="2061" max="2061" width="14.7109375" style="1402" customWidth="1"/>
    <col min="2062" max="2062" width="11.85546875" style="1402" customWidth="1"/>
    <col min="2063" max="2063" width="2.85546875" style="1402" customWidth="1"/>
    <col min="2064" max="2064" width="10.7109375" style="1402" customWidth="1"/>
    <col min="2065" max="2065" width="3.85546875" style="1402" customWidth="1"/>
    <col min="2066" max="2066" width="20.5703125" style="1402" customWidth="1"/>
    <col min="2067" max="2067" width="12.28515625" style="1402" customWidth="1"/>
    <col min="2068" max="2068" width="1.85546875" style="1402" customWidth="1"/>
    <col min="2069" max="2304" width="9.140625" style="1402"/>
    <col min="2305" max="2305" width="5.42578125" style="1402" customWidth="1"/>
    <col min="2306" max="2306" width="19.85546875" style="1402" customWidth="1"/>
    <col min="2307" max="2307" width="18.85546875" style="1402" customWidth="1"/>
    <col min="2308" max="2308" width="0.140625" style="1402" customWidth="1"/>
    <col min="2309" max="2309" width="12.42578125" style="1402" customWidth="1"/>
    <col min="2310" max="2310" width="0.5703125" style="1402" customWidth="1"/>
    <col min="2311" max="2311" width="18.28515625" style="1402" customWidth="1"/>
    <col min="2312" max="2312" width="1" style="1402" customWidth="1"/>
    <col min="2313" max="2313" width="7.140625" style="1402" customWidth="1"/>
    <col min="2314" max="2314" width="9.7109375" style="1402" customWidth="1"/>
    <col min="2315" max="2315" width="16.7109375" style="1402" customWidth="1"/>
    <col min="2316" max="2316" width="1.85546875" style="1402" customWidth="1"/>
    <col min="2317" max="2317" width="14.7109375" style="1402" customWidth="1"/>
    <col min="2318" max="2318" width="11.85546875" style="1402" customWidth="1"/>
    <col min="2319" max="2319" width="2.85546875" style="1402" customWidth="1"/>
    <col min="2320" max="2320" width="10.7109375" style="1402" customWidth="1"/>
    <col min="2321" max="2321" width="3.85546875" style="1402" customWidth="1"/>
    <col min="2322" max="2322" width="20.5703125" style="1402" customWidth="1"/>
    <col min="2323" max="2323" width="12.28515625" style="1402" customWidth="1"/>
    <col min="2324" max="2324" width="1.85546875" style="1402" customWidth="1"/>
    <col min="2325" max="2560" width="9.140625" style="1402"/>
    <col min="2561" max="2561" width="5.42578125" style="1402" customWidth="1"/>
    <col min="2562" max="2562" width="19.85546875" style="1402" customWidth="1"/>
    <col min="2563" max="2563" width="18.85546875" style="1402" customWidth="1"/>
    <col min="2564" max="2564" width="0.140625" style="1402" customWidth="1"/>
    <col min="2565" max="2565" width="12.42578125" style="1402" customWidth="1"/>
    <col min="2566" max="2566" width="0.5703125" style="1402" customWidth="1"/>
    <col min="2567" max="2567" width="18.28515625" style="1402" customWidth="1"/>
    <col min="2568" max="2568" width="1" style="1402" customWidth="1"/>
    <col min="2569" max="2569" width="7.140625" style="1402" customWidth="1"/>
    <col min="2570" max="2570" width="9.7109375" style="1402" customWidth="1"/>
    <col min="2571" max="2571" width="16.7109375" style="1402" customWidth="1"/>
    <col min="2572" max="2572" width="1.85546875" style="1402" customWidth="1"/>
    <col min="2573" max="2573" width="14.7109375" style="1402" customWidth="1"/>
    <col min="2574" max="2574" width="11.85546875" style="1402" customWidth="1"/>
    <col min="2575" max="2575" width="2.85546875" style="1402" customWidth="1"/>
    <col min="2576" max="2576" width="10.7109375" style="1402" customWidth="1"/>
    <col min="2577" max="2577" width="3.85546875" style="1402" customWidth="1"/>
    <col min="2578" max="2578" width="20.5703125" style="1402" customWidth="1"/>
    <col min="2579" max="2579" width="12.28515625" style="1402" customWidth="1"/>
    <col min="2580" max="2580" width="1.85546875" style="1402" customWidth="1"/>
    <col min="2581" max="2816" width="9.140625" style="1402"/>
    <col min="2817" max="2817" width="5.42578125" style="1402" customWidth="1"/>
    <col min="2818" max="2818" width="19.85546875" style="1402" customWidth="1"/>
    <col min="2819" max="2819" width="18.85546875" style="1402" customWidth="1"/>
    <col min="2820" max="2820" width="0.140625" style="1402" customWidth="1"/>
    <col min="2821" max="2821" width="12.42578125" style="1402" customWidth="1"/>
    <col min="2822" max="2822" width="0.5703125" style="1402" customWidth="1"/>
    <col min="2823" max="2823" width="18.28515625" style="1402" customWidth="1"/>
    <col min="2824" max="2824" width="1" style="1402" customWidth="1"/>
    <col min="2825" max="2825" width="7.140625" style="1402" customWidth="1"/>
    <col min="2826" max="2826" width="9.7109375" style="1402" customWidth="1"/>
    <col min="2827" max="2827" width="16.7109375" style="1402" customWidth="1"/>
    <col min="2828" max="2828" width="1.85546875" style="1402" customWidth="1"/>
    <col min="2829" max="2829" width="14.7109375" style="1402" customWidth="1"/>
    <col min="2830" max="2830" width="11.85546875" style="1402" customWidth="1"/>
    <col min="2831" max="2831" width="2.85546875" style="1402" customWidth="1"/>
    <col min="2832" max="2832" width="10.7109375" style="1402" customWidth="1"/>
    <col min="2833" max="2833" width="3.85546875" style="1402" customWidth="1"/>
    <col min="2834" max="2834" width="20.5703125" style="1402" customWidth="1"/>
    <col min="2835" max="2835" width="12.28515625" style="1402" customWidth="1"/>
    <col min="2836" max="2836" width="1.85546875" style="1402" customWidth="1"/>
    <col min="2837" max="3072" width="9.140625" style="1402"/>
    <col min="3073" max="3073" width="5.42578125" style="1402" customWidth="1"/>
    <col min="3074" max="3074" width="19.85546875" style="1402" customWidth="1"/>
    <col min="3075" max="3075" width="18.85546875" style="1402" customWidth="1"/>
    <col min="3076" max="3076" width="0.140625" style="1402" customWidth="1"/>
    <col min="3077" max="3077" width="12.42578125" style="1402" customWidth="1"/>
    <col min="3078" max="3078" width="0.5703125" style="1402" customWidth="1"/>
    <col min="3079" max="3079" width="18.28515625" style="1402" customWidth="1"/>
    <col min="3080" max="3080" width="1" style="1402" customWidth="1"/>
    <col min="3081" max="3081" width="7.140625" style="1402" customWidth="1"/>
    <col min="3082" max="3082" width="9.7109375" style="1402" customWidth="1"/>
    <col min="3083" max="3083" width="16.7109375" style="1402" customWidth="1"/>
    <col min="3084" max="3084" width="1.85546875" style="1402" customWidth="1"/>
    <col min="3085" max="3085" width="14.7109375" style="1402" customWidth="1"/>
    <col min="3086" max="3086" width="11.85546875" style="1402" customWidth="1"/>
    <col min="3087" max="3087" width="2.85546875" style="1402" customWidth="1"/>
    <col min="3088" max="3088" width="10.7109375" style="1402" customWidth="1"/>
    <col min="3089" max="3089" width="3.85546875" style="1402" customWidth="1"/>
    <col min="3090" max="3090" width="20.5703125" style="1402" customWidth="1"/>
    <col min="3091" max="3091" width="12.28515625" style="1402" customWidth="1"/>
    <col min="3092" max="3092" width="1.85546875" style="1402" customWidth="1"/>
    <col min="3093" max="3328" width="9.140625" style="1402"/>
    <col min="3329" max="3329" width="5.42578125" style="1402" customWidth="1"/>
    <col min="3330" max="3330" width="19.85546875" style="1402" customWidth="1"/>
    <col min="3331" max="3331" width="18.85546875" style="1402" customWidth="1"/>
    <col min="3332" max="3332" width="0.140625" style="1402" customWidth="1"/>
    <col min="3333" max="3333" width="12.42578125" style="1402" customWidth="1"/>
    <col min="3334" max="3334" width="0.5703125" style="1402" customWidth="1"/>
    <col min="3335" max="3335" width="18.28515625" style="1402" customWidth="1"/>
    <col min="3336" max="3336" width="1" style="1402" customWidth="1"/>
    <col min="3337" max="3337" width="7.140625" style="1402" customWidth="1"/>
    <col min="3338" max="3338" width="9.7109375" style="1402" customWidth="1"/>
    <col min="3339" max="3339" width="16.7109375" style="1402" customWidth="1"/>
    <col min="3340" max="3340" width="1.85546875" style="1402" customWidth="1"/>
    <col min="3341" max="3341" width="14.7109375" style="1402" customWidth="1"/>
    <col min="3342" max="3342" width="11.85546875" style="1402" customWidth="1"/>
    <col min="3343" max="3343" width="2.85546875" style="1402" customWidth="1"/>
    <col min="3344" max="3344" width="10.7109375" style="1402" customWidth="1"/>
    <col min="3345" max="3345" width="3.85546875" style="1402" customWidth="1"/>
    <col min="3346" max="3346" width="20.5703125" style="1402" customWidth="1"/>
    <col min="3347" max="3347" width="12.28515625" style="1402" customWidth="1"/>
    <col min="3348" max="3348" width="1.85546875" style="1402" customWidth="1"/>
    <col min="3349" max="3584" width="9.140625" style="1402"/>
    <col min="3585" max="3585" width="5.42578125" style="1402" customWidth="1"/>
    <col min="3586" max="3586" width="19.85546875" style="1402" customWidth="1"/>
    <col min="3587" max="3587" width="18.85546875" style="1402" customWidth="1"/>
    <col min="3588" max="3588" width="0.140625" style="1402" customWidth="1"/>
    <col min="3589" max="3589" width="12.42578125" style="1402" customWidth="1"/>
    <col min="3590" max="3590" width="0.5703125" style="1402" customWidth="1"/>
    <col min="3591" max="3591" width="18.28515625" style="1402" customWidth="1"/>
    <col min="3592" max="3592" width="1" style="1402" customWidth="1"/>
    <col min="3593" max="3593" width="7.140625" style="1402" customWidth="1"/>
    <col min="3594" max="3594" width="9.7109375" style="1402" customWidth="1"/>
    <col min="3595" max="3595" width="16.7109375" style="1402" customWidth="1"/>
    <col min="3596" max="3596" width="1.85546875" style="1402" customWidth="1"/>
    <col min="3597" max="3597" width="14.7109375" style="1402" customWidth="1"/>
    <col min="3598" max="3598" width="11.85546875" style="1402" customWidth="1"/>
    <col min="3599" max="3599" width="2.85546875" style="1402" customWidth="1"/>
    <col min="3600" max="3600" width="10.7109375" style="1402" customWidth="1"/>
    <col min="3601" max="3601" width="3.85546875" style="1402" customWidth="1"/>
    <col min="3602" max="3602" width="20.5703125" style="1402" customWidth="1"/>
    <col min="3603" max="3603" width="12.28515625" style="1402" customWidth="1"/>
    <col min="3604" max="3604" width="1.85546875" style="1402" customWidth="1"/>
    <col min="3605" max="3840" width="9.140625" style="1402"/>
    <col min="3841" max="3841" width="5.42578125" style="1402" customWidth="1"/>
    <col min="3842" max="3842" width="19.85546875" style="1402" customWidth="1"/>
    <col min="3843" max="3843" width="18.85546875" style="1402" customWidth="1"/>
    <col min="3844" max="3844" width="0.140625" style="1402" customWidth="1"/>
    <col min="3845" max="3845" width="12.42578125" style="1402" customWidth="1"/>
    <col min="3846" max="3846" width="0.5703125" style="1402" customWidth="1"/>
    <col min="3847" max="3847" width="18.28515625" style="1402" customWidth="1"/>
    <col min="3848" max="3848" width="1" style="1402" customWidth="1"/>
    <col min="3849" max="3849" width="7.140625" style="1402" customWidth="1"/>
    <col min="3850" max="3850" width="9.7109375" style="1402" customWidth="1"/>
    <col min="3851" max="3851" width="16.7109375" style="1402" customWidth="1"/>
    <col min="3852" max="3852" width="1.85546875" style="1402" customWidth="1"/>
    <col min="3853" max="3853" width="14.7109375" style="1402" customWidth="1"/>
    <col min="3854" max="3854" width="11.85546875" style="1402" customWidth="1"/>
    <col min="3855" max="3855" width="2.85546875" style="1402" customWidth="1"/>
    <col min="3856" max="3856" width="10.7109375" style="1402" customWidth="1"/>
    <col min="3857" max="3857" width="3.85546875" style="1402" customWidth="1"/>
    <col min="3858" max="3858" width="20.5703125" style="1402" customWidth="1"/>
    <col min="3859" max="3859" width="12.28515625" style="1402" customWidth="1"/>
    <col min="3860" max="3860" width="1.85546875" style="1402" customWidth="1"/>
    <col min="3861" max="4096" width="9.140625" style="1402"/>
    <col min="4097" max="4097" width="5.42578125" style="1402" customWidth="1"/>
    <col min="4098" max="4098" width="19.85546875" style="1402" customWidth="1"/>
    <col min="4099" max="4099" width="18.85546875" style="1402" customWidth="1"/>
    <col min="4100" max="4100" width="0.140625" style="1402" customWidth="1"/>
    <col min="4101" max="4101" width="12.42578125" style="1402" customWidth="1"/>
    <col min="4102" max="4102" width="0.5703125" style="1402" customWidth="1"/>
    <col min="4103" max="4103" width="18.28515625" style="1402" customWidth="1"/>
    <col min="4104" max="4104" width="1" style="1402" customWidth="1"/>
    <col min="4105" max="4105" width="7.140625" style="1402" customWidth="1"/>
    <col min="4106" max="4106" width="9.7109375" style="1402" customWidth="1"/>
    <col min="4107" max="4107" width="16.7109375" style="1402" customWidth="1"/>
    <col min="4108" max="4108" width="1.85546875" style="1402" customWidth="1"/>
    <col min="4109" max="4109" width="14.7109375" style="1402" customWidth="1"/>
    <col min="4110" max="4110" width="11.85546875" style="1402" customWidth="1"/>
    <col min="4111" max="4111" width="2.85546875" style="1402" customWidth="1"/>
    <col min="4112" max="4112" width="10.7109375" style="1402" customWidth="1"/>
    <col min="4113" max="4113" width="3.85546875" style="1402" customWidth="1"/>
    <col min="4114" max="4114" width="20.5703125" style="1402" customWidth="1"/>
    <col min="4115" max="4115" width="12.28515625" style="1402" customWidth="1"/>
    <col min="4116" max="4116" width="1.85546875" style="1402" customWidth="1"/>
    <col min="4117" max="4352" width="9.140625" style="1402"/>
    <col min="4353" max="4353" width="5.42578125" style="1402" customWidth="1"/>
    <col min="4354" max="4354" width="19.85546875" style="1402" customWidth="1"/>
    <col min="4355" max="4355" width="18.85546875" style="1402" customWidth="1"/>
    <col min="4356" max="4356" width="0.140625" style="1402" customWidth="1"/>
    <col min="4357" max="4357" width="12.42578125" style="1402" customWidth="1"/>
    <col min="4358" max="4358" width="0.5703125" style="1402" customWidth="1"/>
    <col min="4359" max="4359" width="18.28515625" style="1402" customWidth="1"/>
    <col min="4360" max="4360" width="1" style="1402" customWidth="1"/>
    <col min="4361" max="4361" width="7.140625" style="1402" customWidth="1"/>
    <col min="4362" max="4362" width="9.7109375" style="1402" customWidth="1"/>
    <col min="4363" max="4363" width="16.7109375" style="1402" customWidth="1"/>
    <col min="4364" max="4364" width="1.85546875" style="1402" customWidth="1"/>
    <col min="4365" max="4365" width="14.7109375" style="1402" customWidth="1"/>
    <col min="4366" max="4366" width="11.85546875" style="1402" customWidth="1"/>
    <col min="4367" max="4367" width="2.85546875" style="1402" customWidth="1"/>
    <col min="4368" max="4368" width="10.7109375" style="1402" customWidth="1"/>
    <col min="4369" max="4369" width="3.85546875" style="1402" customWidth="1"/>
    <col min="4370" max="4370" width="20.5703125" style="1402" customWidth="1"/>
    <col min="4371" max="4371" width="12.28515625" style="1402" customWidth="1"/>
    <col min="4372" max="4372" width="1.85546875" style="1402" customWidth="1"/>
    <col min="4373" max="4608" width="9.140625" style="1402"/>
    <col min="4609" max="4609" width="5.42578125" style="1402" customWidth="1"/>
    <col min="4610" max="4610" width="19.85546875" style="1402" customWidth="1"/>
    <col min="4611" max="4611" width="18.85546875" style="1402" customWidth="1"/>
    <col min="4612" max="4612" width="0.140625" style="1402" customWidth="1"/>
    <col min="4613" max="4613" width="12.42578125" style="1402" customWidth="1"/>
    <col min="4614" max="4614" width="0.5703125" style="1402" customWidth="1"/>
    <col min="4615" max="4615" width="18.28515625" style="1402" customWidth="1"/>
    <col min="4616" max="4616" width="1" style="1402" customWidth="1"/>
    <col min="4617" max="4617" width="7.140625" style="1402" customWidth="1"/>
    <col min="4618" max="4618" width="9.7109375" style="1402" customWidth="1"/>
    <col min="4619" max="4619" width="16.7109375" style="1402" customWidth="1"/>
    <col min="4620" max="4620" width="1.85546875" style="1402" customWidth="1"/>
    <col min="4621" max="4621" width="14.7109375" style="1402" customWidth="1"/>
    <col min="4622" max="4622" width="11.85546875" style="1402" customWidth="1"/>
    <col min="4623" max="4623" width="2.85546875" style="1402" customWidth="1"/>
    <col min="4624" max="4624" width="10.7109375" style="1402" customWidth="1"/>
    <col min="4625" max="4625" width="3.85546875" style="1402" customWidth="1"/>
    <col min="4626" max="4626" width="20.5703125" style="1402" customWidth="1"/>
    <col min="4627" max="4627" width="12.28515625" style="1402" customWidth="1"/>
    <col min="4628" max="4628" width="1.85546875" style="1402" customWidth="1"/>
    <col min="4629" max="4864" width="9.140625" style="1402"/>
    <col min="4865" max="4865" width="5.42578125" style="1402" customWidth="1"/>
    <col min="4866" max="4866" width="19.85546875" style="1402" customWidth="1"/>
    <col min="4867" max="4867" width="18.85546875" style="1402" customWidth="1"/>
    <col min="4868" max="4868" width="0.140625" style="1402" customWidth="1"/>
    <col min="4869" max="4869" width="12.42578125" style="1402" customWidth="1"/>
    <col min="4870" max="4870" width="0.5703125" style="1402" customWidth="1"/>
    <col min="4871" max="4871" width="18.28515625" style="1402" customWidth="1"/>
    <col min="4872" max="4872" width="1" style="1402" customWidth="1"/>
    <col min="4873" max="4873" width="7.140625" style="1402" customWidth="1"/>
    <col min="4874" max="4874" width="9.7109375" style="1402" customWidth="1"/>
    <col min="4875" max="4875" width="16.7109375" style="1402" customWidth="1"/>
    <col min="4876" max="4876" width="1.85546875" style="1402" customWidth="1"/>
    <col min="4877" max="4877" width="14.7109375" style="1402" customWidth="1"/>
    <col min="4878" max="4878" width="11.85546875" style="1402" customWidth="1"/>
    <col min="4879" max="4879" width="2.85546875" style="1402" customWidth="1"/>
    <col min="4880" max="4880" width="10.7109375" style="1402" customWidth="1"/>
    <col min="4881" max="4881" width="3.85546875" style="1402" customWidth="1"/>
    <col min="4882" max="4882" width="20.5703125" style="1402" customWidth="1"/>
    <col min="4883" max="4883" width="12.28515625" style="1402" customWidth="1"/>
    <col min="4884" max="4884" width="1.85546875" style="1402" customWidth="1"/>
    <col min="4885" max="5120" width="9.140625" style="1402"/>
    <col min="5121" max="5121" width="5.42578125" style="1402" customWidth="1"/>
    <col min="5122" max="5122" width="19.85546875" style="1402" customWidth="1"/>
    <col min="5123" max="5123" width="18.85546875" style="1402" customWidth="1"/>
    <col min="5124" max="5124" width="0.140625" style="1402" customWidth="1"/>
    <col min="5125" max="5125" width="12.42578125" style="1402" customWidth="1"/>
    <col min="5126" max="5126" width="0.5703125" style="1402" customWidth="1"/>
    <col min="5127" max="5127" width="18.28515625" style="1402" customWidth="1"/>
    <col min="5128" max="5128" width="1" style="1402" customWidth="1"/>
    <col min="5129" max="5129" width="7.140625" style="1402" customWidth="1"/>
    <col min="5130" max="5130" width="9.7109375" style="1402" customWidth="1"/>
    <col min="5131" max="5131" width="16.7109375" style="1402" customWidth="1"/>
    <col min="5132" max="5132" width="1.85546875" style="1402" customWidth="1"/>
    <col min="5133" max="5133" width="14.7109375" style="1402" customWidth="1"/>
    <col min="5134" max="5134" width="11.85546875" style="1402" customWidth="1"/>
    <col min="5135" max="5135" width="2.85546875" style="1402" customWidth="1"/>
    <col min="5136" max="5136" width="10.7109375" style="1402" customWidth="1"/>
    <col min="5137" max="5137" width="3.85546875" style="1402" customWidth="1"/>
    <col min="5138" max="5138" width="20.5703125" style="1402" customWidth="1"/>
    <col min="5139" max="5139" width="12.28515625" style="1402" customWidth="1"/>
    <col min="5140" max="5140" width="1.85546875" style="1402" customWidth="1"/>
    <col min="5141" max="5376" width="9.140625" style="1402"/>
    <col min="5377" max="5377" width="5.42578125" style="1402" customWidth="1"/>
    <col min="5378" max="5378" width="19.85546875" style="1402" customWidth="1"/>
    <col min="5379" max="5379" width="18.85546875" style="1402" customWidth="1"/>
    <col min="5380" max="5380" width="0.140625" style="1402" customWidth="1"/>
    <col min="5381" max="5381" width="12.42578125" style="1402" customWidth="1"/>
    <col min="5382" max="5382" width="0.5703125" style="1402" customWidth="1"/>
    <col min="5383" max="5383" width="18.28515625" style="1402" customWidth="1"/>
    <col min="5384" max="5384" width="1" style="1402" customWidth="1"/>
    <col min="5385" max="5385" width="7.140625" style="1402" customWidth="1"/>
    <col min="5386" max="5386" width="9.7109375" style="1402" customWidth="1"/>
    <col min="5387" max="5387" width="16.7109375" style="1402" customWidth="1"/>
    <col min="5388" max="5388" width="1.85546875" style="1402" customWidth="1"/>
    <col min="5389" max="5389" width="14.7109375" style="1402" customWidth="1"/>
    <col min="5390" max="5390" width="11.85546875" style="1402" customWidth="1"/>
    <col min="5391" max="5391" width="2.85546875" style="1402" customWidth="1"/>
    <col min="5392" max="5392" width="10.7109375" style="1402" customWidth="1"/>
    <col min="5393" max="5393" width="3.85546875" style="1402" customWidth="1"/>
    <col min="5394" max="5394" width="20.5703125" style="1402" customWidth="1"/>
    <col min="5395" max="5395" width="12.28515625" style="1402" customWidth="1"/>
    <col min="5396" max="5396" width="1.85546875" style="1402" customWidth="1"/>
    <col min="5397" max="5632" width="9.140625" style="1402"/>
    <col min="5633" max="5633" width="5.42578125" style="1402" customWidth="1"/>
    <col min="5634" max="5634" width="19.85546875" style="1402" customWidth="1"/>
    <col min="5635" max="5635" width="18.85546875" style="1402" customWidth="1"/>
    <col min="5636" max="5636" width="0.140625" style="1402" customWidth="1"/>
    <col min="5637" max="5637" width="12.42578125" style="1402" customWidth="1"/>
    <col min="5638" max="5638" width="0.5703125" style="1402" customWidth="1"/>
    <col min="5639" max="5639" width="18.28515625" style="1402" customWidth="1"/>
    <col min="5640" max="5640" width="1" style="1402" customWidth="1"/>
    <col min="5641" max="5641" width="7.140625" style="1402" customWidth="1"/>
    <col min="5642" max="5642" width="9.7109375" style="1402" customWidth="1"/>
    <col min="5643" max="5643" width="16.7109375" style="1402" customWidth="1"/>
    <col min="5644" max="5644" width="1.85546875" style="1402" customWidth="1"/>
    <col min="5645" max="5645" width="14.7109375" style="1402" customWidth="1"/>
    <col min="5646" max="5646" width="11.85546875" style="1402" customWidth="1"/>
    <col min="5647" max="5647" width="2.85546875" style="1402" customWidth="1"/>
    <col min="5648" max="5648" width="10.7109375" style="1402" customWidth="1"/>
    <col min="5649" max="5649" width="3.85546875" style="1402" customWidth="1"/>
    <col min="5650" max="5650" width="20.5703125" style="1402" customWidth="1"/>
    <col min="5651" max="5651" width="12.28515625" style="1402" customWidth="1"/>
    <col min="5652" max="5652" width="1.85546875" style="1402" customWidth="1"/>
    <col min="5653" max="5888" width="9.140625" style="1402"/>
    <col min="5889" max="5889" width="5.42578125" style="1402" customWidth="1"/>
    <col min="5890" max="5890" width="19.85546875" style="1402" customWidth="1"/>
    <col min="5891" max="5891" width="18.85546875" style="1402" customWidth="1"/>
    <col min="5892" max="5892" width="0.140625" style="1402" customWidth="1"/>
    <col min="5893" max="5893" width="12.42578125" style="1402" customWidth="1"/>
    <col min="5894" max="5894" width="0.5703125" style="1402" customWidth="1"/>
    <col min="5895" max="5895" width="18.28515625" style="1402" customWidth="1"/>
    <col min="5896" max="5896" width="1" style="1402" customWidth="1"/>
    <col min="5897" max="5897" width="7.140625" style="1402" customWidth="1"/>
    <col min="5898" max="5898" width="9.7109375" style="1402" customWidth="1"/>
    <col min="5899" max="5899" width="16.7109375" style="1402" customWidth="1"/>
    <col min="5900" max="5900" width="1.85546875" style="1402" customWidth="1"/>
    <col min="5901" max="5901" width="14.7109375" style="1402" customWidth="1"/>
    <col min="5902" max="5902" width="11.85546875" style="1402" customWidth="1"/>
    <col min="5903" max="5903" width="2.85546875" style="1402" customWidth="1"/>
    <col min="5904" max="5904" width="10.7109375" style="1402" customWidth="1"/>
    <col min="5905" max="5905" width="3.85546875" style="1402" customWidth="1"/>
    <col min="5906" max="5906" width="20.5703125" style="1402" customWidth="1"/>
    <col min="5907" max="5907" width="12.28515625" style="1402" customWidth="1"/>
    <col min="5908" max="5908" width="1.85546875" style="1402" customWidth="1"/>
    <col min="5909" max="6144" width="9.140625" style="1402"/>
    <col min="6145" max="6145" width="5.42578125" style="1402" customWidth="1"/>
    <col min="6146" max="6146" width="19.85546875" style="1402" customWidth="1"/>
    <col min="6147" max="6147" width="18.85546875" style="1402" customWidth="1"/>
    <col min="6148" max="6148" width="0.140625" style="1402" customWidth="1"/>
    <col min="6149" max="6149" width="12.42578125" style="1402" customWidth="1"/>
    <col min="6150" max="6150" width="0.5703125" style="1402" customWidth="1"/>
    <col min="6151" max="6151" width="18.28515625" style="1402" customWidth="1"/>
    <col min="6152" max="6152" width="1" style="1402" customWidth="1"/>
    <col min="6153" max="6153" width="7.140625" style="1402" customWidth="1"/>
    <col min="6154" max="6154" width="9.7109375" style="1402" customWidth="1"/>
    <col min="6155" max="6155" width="16.7109375" style="1402" customWidth="1"/>
    <col min="6156" max="6156" width="1.85546875" style="1402" customWidth="1"/>
    <col min="6157" max="6157" width="14.7109375" style="1402" customWidth="1"/>
    <col min="6158" max="6158" width="11.85546875" style="1402" customWidth="1"/>
    <col min="6159" max="6159" width="2.85546875" style="1402" customWidth="1"/>
    <col min="6160" max="6160" width="10.7109375" style="1402" customWidth="1"/>
    <col min="6161" max="6161" width="3.85546875" style="1402" customWidth="1"/>
    <col min="6162" max="6162" width="20.5703125" style="1402" customWidth="1"/>
    <col min="6163" max="6163" width="12.28515625" style="1402" customWidth="1"/>
    <col min="6164" max="6164" width="1.85546875" style="1402" customWidth="1"/>
    <col min="6165" max="6400" width="9.140625" style="1402"/>
    <col min="6401" max="6401" width="5.42578125" style="1402" customWidth="1"/>
    <col min="6402" max="6402" width="19.85546875" style="1402" customWidth="1"/>
    <col min="6403" max="6403" width="18.85546875" style="1402" customWidth="1"/>
    <col min="6404" max="6404" width="0.140625" style="1402" customWidth="1"/>
    <col min="6405" max="6405" width="12.42578125" style="1402" customWidth="1"/>
    <col min="6406" max="6406" width="0.5703125" style="1402" customWidth="1"/>
    <col min="6407" max="6407" width="18.28515625" style="1402" customWidth="1"/>
    <col min="6408" max="6408" width="1" style="1402" customWidth="1"/>
    <col min="6409" max="6409" width="7.140625" style="1402" customWidth="1"/>
    <col min="6410" max="6410" width="9.7109375" style="1402" customWidth="1"/>
    <col min="6411" max="6411" width="16.7109375" style="1402" customWidth="1"/>
    <col min="6412" max="6412" width="1.85546875" style="1402" customWidth="1"/>
    <col min="6413" max="6413" width="14.7109375" style="1402" customWidth="1"/>
    <col min="6414" max="6414" width="11.85546875" style="1402" customWidth="1"/>
    <col min="6415" max="6415" width="2.85546875" style="1402" customWidth="1"/>
    <col min="6416" max="6416" width="10.7109375" style="1402" customWidth="1"/>
    <col min="6417" max="6417" width="3.85546875" style="1402" customWidth="1"/>
    <col min="6418" max="6418" width="20.5703125" style="1402" customWidth="1"/>
    <col min="6419" max="6419" width="12.28515625" style="1402" customWidth="1"/>
    <col min="6420" max="6420" width="1.85546875" style="1402" customWidth="1"/>
    <col min="6421" max="6656" width="9.140625" style="1402"/>
    <col min="6657" max="6657" width="5.42578125" style="1402" customWidth="1"/>
    <col min="6658" max="6658" width="19.85546875" style="1402" customWidth="1"/>
    <col min="6659" max="6659" width="18.85546875" style="1402" customWidth="1"/>
    <col min="6660" max="6660" width="0.140625" style="1402" customWidth="1"/>
    <col min="6661" max="6661" width="12.42578125" style="1402" customWidth="1"/>
    <col min="6662" max="6662" width="0.5703125" style="1402" customWidth="1"/>
    <col min="6663" max="6663" width="18.28515625" style="1402" customWidth="1"/>
    <col min="6664" max="6664" width="1" style="1402" customWidth="1"/>
    <col min="6665" max="6665" width="7.140625" style="1402" customWidth="1"/>
    <col min="6666" max="6666" width="9.7109375" style="1402" customWidth="1"/>
    <col min="6667" max="6667" width="16.7109375" style="1402" customWidth="1"/>
    <col min="6668" max="6668" width="1.85546875" style="1402" customWidth="1"/>
    <col min="6669" max="6669" width="14.7109375" style="1402" customWidth="1"/>
    <col min="6670" max="6670" width="11.85546875" style="1402" customWidth="1"/>
    <col min="6671" max="6671" width="2.85546875" style="1402" customWidth="1"/>
    <col min="6672" max="6672" width="10.7109375" style="1402" customWidth="1"/>
    <col min="6673" max="6673" width="3.85546875" style="1402" customWidth="1"/>
    <col min="6674" max="6674" width="20.5703125" style="1402" customWidth="1"/>
    <col min="6675" max="6675" width="12.28515625" style="1402" customWidth="1"/>
    <col min="6676" max="6676" width="1.85546875" style="1402" customWidth="1"/>
    <col min="6677" max="6912" width="9.140625" style="1402"/>
    <col min="6913" max="6913" width="5.42578125" style="1402" customWidth="1"/>
    <col min="6914" max="6914" width="19.85546875" style="1402" customWidth="1"/>
    <col min="6915" max="6915" width="18.85546875" style="1402" customWidth="1"/>
    <col min="6916" max="6916" width="0.140625" style="1402" customWidth="1"/>
    <col min="6917" max="6917" width="12.42578125" style="1402" customWidth="1"/>
    <col min="6918" max="6918" width="0.5703125" style="1402" customWidth="1"/>
    <col min="6919" max="6919" width="18.28515625" style="1402" customWidth="1"/>
    <col min="6920" max="6920" width="1" style="1402" customWidth="1"/>
    <col min="6921" max="6921" width="7.140625" style="1402" customWidth="1"/>
    <col min="6922" max="6922" width="9.7109375" style="1402" customWidth="1"/>
    <col min="6923" max="6923" width="16.7109375" style="1402" customWidth="1"/>
    <col min="6924" max="6924" width="1.85546875" style="1402" customWidth="1"/>
    <col min="6925" max="6925" width="14.7109375" style="1402" customWidth="1"/>
    <col min="6926" max="6926" width="11.85546875" style="1402" customWidth="1"/>
    <col min="6927" max="6927" width="2.85546875" style="1402" customWidth="1"/>
    <col min="6928" max="6928" width="10.7109375" style="1402" customWidth="1"/>
    <col min="6929" max="6929" width="3.85546875" style="1402" customWidth="1"/>
    <col min="6930" max="6930" width="20.5703125" style="1402" customWidth="1"/>
    <col min="6931" max="6931" width="12.28515625" style="1402" customWidth="1"/>
    <col min="6932" max="6932" width="1.85546875" style="1402" customWidth="1"/>
    <col min="6933" max="7168" width="9.140625" style="1402"/>
    <col min="7169" max="7169" width="5.42578125" style="1402" customWidth="1"/>
    <col min="7170" max="7170" width="19.85546875" style="1402" customWidth="1"/>
    <col min="7171" max="7171" width="18.85546875" style="1402" customWidth="1"/>
    <col min="7172" max="7172" width="0.140625" style="1402" customWidth="1"/>
    <col min="7173" max="7173" width="12.42578125" style="1402" customWidth="1"/>
    <col min="7174" max="7174" width="0.5703125" style="1402" customWidth="1"/>
    <col min="7175" max="7175" width="18.28515625" style="1402" customWidth="1"/>
    <col min="7176" max="7176" width="1" style="1402" customWidth="1"/>
    <col min="7177" max="7177" width="7.140625" style="1402" customWidth="1"/>
    <col min="7178" max="7178" width="9.7109375" style="1402" customWidth="1"/>
    <col min="7179" max="7179" width="16.7109375" style="1402" customWidth="1"/>
    <col min="7180" max="7180" width="1.85546875" style="1402" customWidth="1"/>
    <col min="7181" max="7181" width="14.7109375" style="1402" customWidth="1"/>
    <col min="7182" max="7182" width="11.85546875" style="1402" customWidth="1"/>
    <col min="7183" max="7183" width="2.85546875" style="1402" customWidth="1"/>
    <col min="7184" max="7184" width="10.7109375" style="1402" customWidth="1"/>
    <col min="7185" max="7185" width="3.85546875" style="1402" customWidth="1"/>
    <col min="7186" max="7186" width="20.5703125" style="1402" customWidth="1"/>
    <col min="7187" max="7187" width="12.28515625" style="1402" customWidth="1"/>
    <col min="7188" max="7188" width="1.85546875" style="1402" customWidth="1"/>
    <col min="7189" max="7424" width="9.140625" style="1402"/>
    <col min="7425" max="7425" width="5.42578125" style="1402" customWidth="1"/>
    <col min="7426" max="7426" width="19.85546875" style="1402" customWidth="1"/>
    <col min="7427" max="7427" width="18.85546875" style="1402" customWidth="1"/>
    <col min="7428" max="7428" width="0.140625" style="1402" customWidth="1"/>
    <col min="7429" max="7429" width="12.42578125" style="1402" customWidth="1"/>
    <col min="7430" max="7430" width="0.5703125" style="1402" customWidth="1"/>
    <col min="7431" max="7431" width="18.28515625" style="1402" customWidth="1"/>
    <col min="7432" max="7432" width="1" style="1402" customWidth="1"/>
    <col min="7433" max="7433" width="7.140625" style="1402" customWidth="1"/>
    <col min="7434" max="7434" width="9.7109375" style="1402" customWidth="1"/>
    <col min="7435" max="7435" width="16.7109375" style="1402" customWidth="1"/>
    <col min="7436" max="7436" width="1.85546875" style="1402" customWidth="1"/>
    <col min="7437" max="7437" width="14.7109375" style="1402" customWidth="1"/>
    <col min="7438" max="7438" width="11.85546875" style="1402" customWidth="1"/>
    <col min="7439" max="7439" width="2.85546875" style="1402" customWidth="1"/>
    <col min="7440" max="7440" width="10.7109375" style="1402" customWidth="1"/>
    <col min="7441" max="7441" width="3.85546875" style="1402" customWidth="1"/>
    <col min="7442" max="7442" width="20.5703125" style="1402" customWidth="1"/>
    <col min="7443" max="7443" width="12.28515625" style="1402" customWidth="1"/>
    <col min="7444" max="7444" width="1.85546875" style="1402" customWidth="1"/>
    <col min="7445" max="7680" width="9.140625" style="1402"/>
    <col min="7681" max="7681" width="5.42578125" style="1402" customWidth="1"/>
    <col min="7682" max="7682" width="19.85546875" style="1402" customWidth="1"/>
    <col min="7683" max="7683" width="18.85546875" style="1402" customWidth="1"/>
    <col min="7684" max="7684" width="0.140625" style="1402" customWidth="1"/>
    <col min="7685" max="7685" width="12.42578125" style="1402" customWidth="1"/>
    <col min="7686" max="7686" width="0.5703125" style="1402" customWidth="1"/>
    <col min="7687" max="7687" width="18.28515625" style="1402" customWidth="1"/>
    <col min="7688" max="7688" width="1" style="1402" customWidth="1"/>
    <col min="7689" max="7689" width="7.140625" style="1402" customWidth="1"/>
    <col min="7690" max="7690" width="9.7109375" style="1402" customWidth="1"/>
    <col min="7691" max="7691" width="16.7109375" style="1402" customWidth="1"/>
    <col min="7692" max="7692" width="1.85546875" style="1402" customWidth="1"/>
    <col min="7693" max="7693" width="14.7109375" style="1402" customWidth="1"/>
    <col min="7694" max="7694" width="11.85546875" style="1402" customWidth="1"/>
    <col min="7695" max="7695" width="2.85546875" style="1402" customWidth="1"/>
    <col min="7696" max="7696" width="10.7109375" style="1402" customWidth="1"/>
    <col min="7697" max="7697" width="3.85546875" style="1402" customWidth="1"/>
    <col min="7698" max="7698" width="20.5703125" style="1402" customWidth="1"/>
    <col min="7699" max="7699" width="12.28515625" style="1402" customWidth="1"/>
    <col min="7700" max="7700" width="1.85546875" style="1402" customWidth="1"/>
    <col min="7701" max="7936" width="9.140625" style="1402"/>
    <col min="7937" max="7937" width="5.42578125" style="1402" customWidth="1"/>
    <col min="7938" max="7938" width="19.85546875" style="1402" customWidth="1"/>
    <col min="7939" max="7939" width="18.85546875" style="1402" customWidth="1"/>
    <col min="7940" max="7940" width="0.140625" style="1402" customWidth="1"/>
    <col min="7941" max="7941" width="12.42578125" style="1402" customWidth="1"/>
    <col min="7942" max="7942" width="0.5703125" style="1402" customWidth="1"/>
    <col min="7943" max="7943" width="18.28515625" style="1402" customWidth="1"/>
    <col min="7944" max="7944" width="1" style="1402" customWidth="1"/>
    <col min="7945" max="7945" width="7.140625" style="1402" customWidth="1"/>
    <col min="7946" max="7946" width="9.7109375" style="1402" customWidth="1"/>
    <col min="7947" max="7947" width="16.7109375" style="1402" customWidth="1"/>
    <col min="7948" max="7948" width="1.85546875" style="1402" customWidth="1"/>
    <col min="7949" max="7949" width="14.7109375" style="1402" customWidth="1"/>
    <col min="7950" max="7950" width="11.85546875" style="1402" customWidth="1"/>
    <col min="7951" max="7951" width="2.85546875" style="1402" customWidth="1"/>
    <col min="7952" max="7952" width="10.7109375" style="1402" customWidth="1"/>
    <col min="7953" max="7953" width="3.85546875" style="1402" customWidth="1"/>
    <col min="7954" max="7954" width="20.5703125" style="1402" customWidth="1"/>
    <col min="7955" max="7955" width="12.28515625" style="1402" customWidth="1"/>
    <col min="7956" max="7956" width="1.85546875" style="1402" customWidth="1"/>
    <col min="7957" max="8192" width="9.140625" style="1402"/>
    <col min="8193" max="8193" width="5.42578125" style="1402" customWidth="1"/>
    <col min="8194" max="8194" width="19.85546875" style="1402" customWidth="1"/>
    <col min="8195" max="8195" width="18.85546875" style="1402" customWidth="1"/>
    <col min="8196" max="8196" width="0.140625" style="1402" customWidth="1"/>
    <col min="8197" max="8197" width="12.42578125" style="1402" customWidth="1"/>
    <col min="8198" max="8198" width="0.5703125" style="1402" customWidth="1"/>
    <col min="8199" max="8199" width="18.28515625" style="1402" customWidth="1"/>
    <col min="8200" max="8200" width="1" style="1402" customWidth="1"/>
    <col min="8201" max="8201" width="7.140625" style="1402" customWidth="1"/>
    <col min="8202" max="8202" width="9.7109375" style="1402" customWidth="1"/>
    <col min="8203" max="8203" width="16.7109375" style="1402" customWidth="1"/>
    <col min="8204" max="8204" width="1.85546875" style="1402" customWidth="1"/>
    <col min="8205" max="8205" width="14.7109375" style="1402" customWidth="1"/>
    <col min="8206" max="8206" width="11.85546875" style="1402" customWidth="1"/>
    <col min="8207" max="8207" width="2.85546875" style="1402" customWidth="1"/>
    <col min="8208" max="8208" width="10.7109375" style="1402" customWidth="1"/>
    <col min="8209" max="8209" width="3.85546875" style="1402" customWidth="1"/>
    <col min="8210" max="8210" width="20.5703125" style="1402" customWidth="1"/>
    <col min="8211" max="8211" width="12.28515625" style="1402" customWidth="1"/>
    <col min="8212" max="8212" width="1.85546875" style="1402" customWidth="1"/>
    <col min="8213" max="8448" width="9.140625" style="1402"/>
    <col min="8449" max="8449" width="5.42578125" style="1402" customWidth="1"/>
    <col min="8450" max="8450" width="19.85546875" style="1402" customWidth="1"/>
    <col min="8451" max="8451" width="18.85546875" style="1402" customWidth="1"/>
    <col min="8452" max="8452" width="0.140625" style="1402" customWidth="1"/>
    <col min="8453" max="8453" width="12.42578125" style="1402" customWidth="1"/>
    <col min="8454" max="8454" width="0.5703125" style="1402" customWidth="1"/>
    <col min="8455" max="8455" width="18.28515625" style="1402" customWidth="1"/>
    <col min="8456" max="8456" width="1" style="1402" customWidth="1"/>
    <col min="8457" max="8457" width="7.140625" style="1402" customWidth="1"/>
    <col min="8458" max="8458" width="9.7109375" style="1402" customWidth="1"/>
    <col min="8459" max="8459" width="16.7109375" style="1402" customWidth="1"/>
    <col min="8460" max="8460" width="1.85546875" style="1402" customWidth="1"/>
    <col min="8461" max="8461" width="14.7109375" style="1402" customWidth="1"/>
    <col min="8462" max="8462" width="11.85546875" style="1402" customWidth="1"/>
    <col min="8463" max="8463" width="2.85546875" style="1402" customWidth="1"/>
    <col min="8464" max="8464" width="10.7109375" style="1402" customWidth="1"/>
    <col min="8465" max="8465" width="3.85546875" style="1402" customWidth="1"/>
    <col min="8466" max="8466" width="20.5703125" style="1402" customWidth="1"/>
    <col min="8467" max="8467" width="12.28515625" style="1402" customWidth="1"/>
    <col min="8468" max="8468" width="1.85546875" style="1402" customWidth="1"/>
    <col min="8469" max="8704" width="9.140625" style="1402"/>
    <col min="8705" max="8705" width="5.42578125" style="1402" customWidth="1"/>
    <col min="8706" max="8706" width="19.85546875" style="1402" customWidth="1"/>
    <col min="8707" max="8707" width="18.85546875" style="1402" customWidth="1"/>
    <col min="8708" max="8708" width="0.140625" style="1402" customWidth="1"/>
    <col min="8709" max="8709" width="12.42578125" style="1402" customWidth="1"/>
    <col min="8710" max="8710" width="0.5703125" style="1402" customWidth="1"/>
    <col min="8711" max="8711" width="18.28515625" style="1402" customWidth="1"/>
    <col min="8712" max="8712" width="1" style="1402" customWidth="1"/>
    <col min="8713" max="8713" width="7.140625" style="1402" customWidth="1"/>
    <col min="8714" max="8714" width="9.7109375" style="1402" customWidth="1"/>
    <col min="8715" max="8715" width="16.7109375" style="1402" customWidth="1"/>
    <col min="8716" max="8716" width="1.85546875" style="1402" customWidth="1"/>
    <col min="8717" max="8717" width="14.7109375" style="1402" customWidth="1"/>
    <col min="8718" max="8718" width="11.85546875" style="1402" customWidth="1"/>
    <col min="8719" max="8719" width="2.85546875" style="1402" customWidth="1"/>
    <col min="8720" max="8720" width="10.7109375" style="1402" customWidth="1"/>
    <col min="8721" max="8721" width="3.85546875" style="1402" customWidth="1"/>
    <col min="8722" max="8722" width="20.5703125" style="1402" customWidth="1"/>
    <col min="8723" max="8723" width="12.28515625" style="1402" customWidth="1"/>
    <col min="8724" max="8724" width="1.85546875" style="1402" customWidth="1"/>
    <col min="8725" max="8960" width="9.140625" style="1402"/>
    <col min="8961" max="8961" width="5.42578125" style="1402" customWidth="1"/>
    <col min="8962" max="8962" width="19.85546875" style="1402" customWidth="1"/>
    <col min="8963" max="8963" width="18.85546875" style="1402" customWidth="1"/>
    <col min="8964" max="8964" width="0.140625" style="1402" customWidth="1"/>
    <col min="8965" max="8965" width="12.42578125" style="1402" customWidth="1"/>
    <col min="8966" max="8966" width="0.5703125" style="1402" customWidth="1"/>
    <col min="8967" max="8967" width="18.28515625" style="1402" customWidth="1"/>
    <col min="8968" max="8968" width="1" style="1402" customWidth="1"/>
    <col min="8969" max="8969" width="7.140625" style="1402" customWidth="1"/>
    <col min="8970" max="8970" width="9.7109375" style="1402" customWidth="1"/>
    <col min="8971" max="8971" width="16.7109375" style="1402" customWidth="1"/>
    <col min="8972" max="8972" width="1.85546875" style="1402" customWidth="1"/>
    <col min="8973" max="8973" width="14.7109375" style="1402" customWidth="1"/>
    <col min="8974" max="8974" width="11.85546875" style="1402" customWidth="1"/>
    <col min="8975" max="8975" width="2.85546875" style="1402" customWidth="1"/>
    <col min="8976" max="8976" width="10.7109375" style="1402" customWidth="1"/>
    <col min="8977" max="8977" width="3.85546875" style="1402" customWidth="1"/>
    <col min="8978" max="8978" width="20.5703125" style="1402" customWidth="1"/>
    <col min="8979" max="8979" width="12.28515625" style="1402" customWidth="1"/>
    <col min="8980" max="8980" width="1.85546875" style="1402" customWidth="1"/>
    <col min="8981" max="9216" width="9.140625" style="1402"/>
    <col min="9217" max="9217" width="5.42578125" style="1402" customWidth="1"/>
    <col min="9218" max="9218" width="19.85546875" style="1402" customWidth="1"/>
    <col min="9219" max="9219" width="18.85546875" style="1402" customWidth="1"/>
    <col min="9220" max="9220" width="0.140625" style="1402" customWidth="1"/>
    <col min="9221" max="9221" width="12.42578125" style="1402" customWidth="1"/>
    <col min="9222" max="9222" width="0.5703125" style="1402" customWidth="1"/>
    <col min="9223" max="9223" width="18.28515625" style="1402" customWidth="1"/>
    <col min="9224" max="9224" width="1" style="1402" customWidth="1"/>
    <col min="9225" max="9225" width="7.140625" style="1402" customWidth="1"/>
    <col min="9226" max="9226" width="9.7109375" style="1402" customWidth="1"/>
    <col min="9227" max="9227" width="16.7109375" style="1402" customWidth="1"/>
    <col min="9228" max="9228" width="1.85546875" style="1402" customWidth="1"/>
    <col min="9229" max="9229" width="14.7109375" style="1402" customWidth="1"/>
    <col min="9230" max="9230" width="11.85546875" style="1402" customWidth="1"/>
    <col min="9231" max="9231" width="2.85546875" style="1402" customWidth="1"/>
    <col min="9232" max="9232" width="10.7109375" style="1402" customWidth="1"/>
    <col min="9233" max="9233" width="3.85546875" style="1402" customWidth="1"/>
    <col min="9234" max="9234" width="20.5703125" style="1402" customWidth="1"/>
    <col min="9235" max="9235" width="12.28515625" style="1402" customWidth="1"/>
    <col min="9236" max="9236" width="1.85546875" style="1402" customWidth="1"/>
    <col min="9237" max="9472" width="9.140625" style="1402"/>
    <col min="9473" max="9473" width="5.42578125" style="1402" customWidth="1"/>
    <col min="9474" max="9474" width="19.85546875" style="1402" customWidth="1"/>
    <col min="9475" max="9475" width="18.85546875" style="1402" customWidth="1"/>
    <col min="9476" max="9476" width="0.140625" style="1402" customWidth="1"/>
    <col min="9477" max="9477" width="12.42578125" style="1402" customWidth="1"/>
    <col min="9478" max="9478" width="0.5703125" style="1402" customWidth="1"/>
    <col min="9479" max="9479" width="18.28515625" style="1402" customWidth="1"/>
    <col min="9480" max="9480" width="1" style="1402" customWidth="1"/>
    <col min="9481" max="9481" width="7.140625" style="1402" customWidth="1"/>
    <col min="9482" max="9482" width="9.7109375" style="1402" customWidth="1"/>
    <col min="9483" max="9483" width="16.7109375" style="1402" customWidth="1"/>
    <col min="9484" max="9484" width="1.85546875" style="1402" customWidth="1"/>
    <col min="9485" max="9485" width="14.7109375" style="1402" customWidth="1"/>
    <col min="9486" max="9486" width="11.85546875" style="1402" customWidth="1"/>
    <col min="9487" max="9487" width="2.85546875" style="1402" customWidth="1"/>
    <col min="9488" max="9488" width="10.7109375" style="1402" customWidth="1"/>
    <col min="9489" max="9489" width="3.85546875" style="1402" customWidth="1"/>
    <col min="9490" max="9490" width="20.5703125" style="1402" customWidth="1"/>
    <col min="9491" max="9491" width="12.28515625" style="1402" customWidth="1"/>
    <col min="9492" max="9492" width="1.85546875" style="1402" customWidth="1"/>
    <col min="9493" max="9728" width="9.140625" style="1402"/>
    <col min="9729" max="9729" width="5.42578125" style="1402" customWidth="1"/>
    <col min="9730" max="9730" width="19.85546875" style="1402" customWidth="1"/>
    <col min="9731" max="9731" width="18.85546875" style="1402" customWidth="1"/>
    <col min="9732" max="9732" width="0.140625" style="1402" customWidth="1"/>
    <col min="9733" max="9733" width="12.42578125" style="1402" customWidth="1"/>
    <col min="9734" max="9734" width="0.5703125" style="1402" customWidth="1"/>
    <col min="9735" max="9735" width="18.28515625" style="1402" customWidth="1"/>
    <col min="9736" max="9736" width="1" style="1402" customWidth="1"/>
    <col min="9737" max="9737" width="7.140625" style="1402" customWidth="1"/>
    <col min="9738" max="9738" width="9.7109375" style="1402" customWidth="1"/>
    <col min="9739" max="9739" width="16.7109375" style="1402" customWidth="1"/>
    <col min="9740" max="9740" width="1.85546875" style="1402" customWidth="1"/>
    <col min="9741" max="9741" width="14.7109375" style="1402" customWidth="1"/>
    <col min="9742" max="9742" width="11.85546875" style="1402" customWidth="1"/>
    <col min="9743" max="9743" width="2.85546875" style="1402" customWidth="1"/>
    <col min="9744" max="9744" width="10.7109375" style="1402" customWidth="1"/>
    <col min="9745" max="9745" width="3.85546875" style="1402" customWidth="1"/>
    <col min="9746" max="9746" width="20.5703125" style="1402" customWidth="1"/>
    <col min="9747" max="9747" width="12.28515625" style="1402" customWidth="1"/>
    <col min="9748" max="9748" width="1.85546875" style="1402" customWidth="1"/>
    <col min="9749" max="9984" width="9.140625" style="1402"/>
    <col min="9985" max="9985" width="5.42578125" style="1402" customWidth="1"/>
    <col min="9986" max="9986" width="19.85546875" style="1402" customWidth="1"/>
    <col min="9987" max="9987" width="18.85546875" style="1402" customWidth="1"/>
    <col min="9988" max="9988" width="0.140625" style="1402" customWidth="1"/>
    <col min="9989" max="9989" width="12.42578125" style="1402" customWidth="1"/>
    <col min="9990" max="9990" width="0.5703125" style="1402" customWidth="1"/>
    <col min="9991" max="9991" width="18.28515625" style="1402" customWidth="1"/>
    <col min="9992" max="9992" width="1" style="1402" customWidth="1"/>
    <col min="9993" max="9993" width="7.140625" style="1402" customWidth="1"/>
    <col min="9994" max="9994" width="9.7109375" style="1402" customWidth="1"/>
    <col min="9995" max="9995" width="16.7109375" style="1402" customWidth="1"/>
    <col min="9996" max="9996" width="1.85546875" style="1402" customWidth="1"/>
    <col min="9997" max="9997" width="14.7109375" style="1402" customWidth="1"/>
    <col min="9998" max="9998" width="11.85546875" style="1402" customWidth="1"/>
    <col min="9999" max="9999" width="2.85546875" style="1402" customWidth="1"/>
    <col min="10000" max="10000" width="10.7109375" style="1402" customWidth="1"/>
    <col min="10001" max="10001" width="3.85546875" style="1402" customWidth="1"/>
    <col min="10002" max="10002" width="20.5703125" style="1402" customWidth="1"/>
    <col min="10003" max="10003" width="12.28515625" style="1402" customWidth="1"/>
    <col min="10004" max="10004" width="1.85546875" style="1402" customWidth="1"/>
    <col min="10005" max="10240" width="9.140625" style="1402"/>
    <col min="10241" max="10241" width="5.42578125" style="1402" customWidth="1"/>
    <col min="10242" max="10242" width="19.85546875" style="1402" customWidth="1"/>
    <col min="10243" max="10243" width="18.85546875" style="1402" customWidth="1"/>
    <col min="10244" max="10244" width="0.140625" style="1402" customWidth="1"/>
    <col min="10245" max="10245" width="12.42578125" style="1402" customWidth="1"/>
    <col min="10246" max="10246" width="0.5703125" style="1402" customWidth="1"/>
    <col min="10247" max="10247" width="18.28515625" style="1402" customWidth="1"/>
    <col min="10248" max="10248" width="1" style="1402" customWidth="1"/>
    <col min="10249" max="10249" width="7.140625" style="1402" customWidth="1"/>
    <col min="10250" max="10250" width="9.7109375" style="1402" customWidth="1"/>
    <col min="10251" max="10251" width="16.7109375" style="1402" customWidth="1"/>
    <col min="10252" max="10252" width="1.85546875" style="1402" customWidth="1"/>
    <col min="10253" max="10253" width="14.7109375" style="1402" customWidth="1"/>
    <col min="10254" max="10254" width="11.85546875" style="1402" customWidth="1"/>
    <col min="10255" max="10255" width="2.85546875" style="1402" customWidth="1"/>
    <col min="10256" max="10256" width="10.7109375" style="1402" customWidth="1"/>
    <col min="10257" max="10257" width="3.85546875" style="1402" customWidth="1"/>
    <col min="10258" max="10258" width="20.5703125" style="1402" customWidth="1"/>
    <col min="10259" max="10259" width="12.28515625" style="1402" customWidth="1"/>
    <col min="10260" max="10260" width="1.85546875" style="1402" customWidth="1"/>
    <col min="10261" max="10496" width="9.140625" style="1402"/>
    <col min="10497" max="10497" width="5.42578125" style="1402" customWidth="1"/>
    <col min="10498" max="10498" width="19.85546875" style="1402" customWidth="1"/>
    <col min="10499" max="10499" width="18.85546875" style="1402" customWidth="1"/>
    <col min="10500" max="10500" width="0.140625" style="1402" customWidth="1"/>
    <col min="10501" max="10501" width="12.42578125" style="1402" customWidth="1"/>
    <col min="10502" max="10502" width="0.5703125" style="1402" customWidth="1"/>
    <col min="10503" max="10503" width="18.28515625" style="1402" customWidth="1"/>
    <col min="10504" max="10504" width="1" style="1402" customWidth="1"/>
    <col min="10505" max="10505" width="7.140625" style="1402" customWidth="1"/>
    <col min="10506" max="10506" width="9.7109375" style="1402" customWidth="1"/>
    <col min="10507" max="10507" width="16.7109375" style="1402" customWidth="1"/>
    <col min="10508" max="10508" width="1.85546875" style="1402" customWidth="1"/>
    <col min="10509" max="10509" width="14.7109375" style="1402" customWidth="1"/>
    <col min="10510" max="10510" width="11.85546875" style="1402" customWidth="1"/>
    <col min="10511" max="10511" width="2.85546875" style="1402" customWidth="1"/>
    <col min="10512" max="10512" width="10.7109375" style="1402" customWidth="1"/>
    <col min="10513" max="10513" width="3.85546875" style="1402" customWidth="1"/>
    <col min="10514" max="10514" width="20.5703125" style="1402" customWidth="1"/>
    <col min="10515" max="10515" width="12.28515625" style="1402" customWidth="1"/>
    <col min="10516" max="10516" width="1.85546875" style="1402" customWidth="1"/>
    <col min="10517" max="10752" width="9.140625" style="1402"/>
    <col min="10753" max="10753" width="5.42578125" style="1402" customWidth="1"/>
    <col min="10754" max="10754" width="19.85546875" style="1402" customWidth="1"/>
    <col min="10755" max="10755" width="18.85546875" style="1402" customWidth="1"/>
    <col min="10756" max="10756" width="0.140625" style="1402" customWidth="1"/>
    <col min="10757" max="10757" width="12.42578125" style="1402" customWidth="1"/>
    <col min="10758" max="10758" width="0.5703125" style="1402" customWidth="1"/>
    <col min="10759" max="10759" width="18.28515625" style="1402" customWidth="1"/>
    <col min="10760" max="10760" width="1" style="1402" customWidth="1"/>
    <col min="10761" max="10761" width="7.140625" style="1402" customWidth="1"/>
    <col min="10762" max="10762" width="9.7109375" style="1402" customWidth="1"/>
    <col min="10763" max="10763" width="16.7109375" style="1402" customWidth="1"/>
    <col min="10764" max="10764" width="1.85546875" style="1402" customWidth="1"/>
    <col min="10765" max="10765" width="14.7109375" style="1402" customWidth="1"/>
    <col min="10766" max="10766" width="11.85546875" style="1402" customWidth="1"/>
    <col min="10767" max="10767" width="2.85546875" style="1402" customWidth="1"/>
    <col min="10768" max="10768" width="10.7109375" style="1402" customWidth="1"/>
    <col min="10769" max="10769" width="3.85546875" style="1402" customWidth="1"/>
    <col min="10770" max="10770" width="20.5703125" style="1402" customWidth="1"/>
    <col min="10771" max="10771" width="12.28515625" style="1402" customWidth="1"/>
    <col min="10772" max="10772" width="1.85546875" style="1402" customWidth="1"/>
    <col min="10773" max="11008" width="9.140625" style="1402"/>
    <col min="11009" max="11009" width="5.42578125" style="1402" customWidth="1"/>
    <col min="11010" max="11010" width="19.85546875" style="1402" customWidth="1"/>
    <col min="11011" max="11011" width="18.85546875" style="1402" customWidth="1"/>
    <col min="11012" max="11012" width="0.140625" style="1402" customWidth="1"/>
    <col min="11013" max="11013" width="12.42578125" style="1402" customWidth="1"/>
    <col min="11014" max="11014" width="0.5703125" style="1402" customWidth="1"/>
    <col min="11015" max="11015" width="18.28515625" style="1402" customWidth="1"/>
    <col min="11016" max="11016" width="1" style="1402" customWidth="1"/>
    <col min="11017" max="11017" width="7.140625" style="1402" customWidth="1"/>
    <col min="11018" max="11018" width="9.7109375" style="1402" customWidth="1"/>
    <col min="11019" max="11019" width="16.7109375" style="1402" customWidth="1"/>
    <col min="11020" max="11020" width="1.85546875" style="1402" customWidth="1"/>
    <col min="11021" max="11021" width="14.7109375" style="1402" customWidth="1"/>
    <col min="11022" max="11022" width="11.85546875" style="1402" customWidth="1"/>
    <col min="11023" max="11023" width="2.85546875" style="1402" customWidth="1"/>
    <col min="11024" max="11024" width="10.7109375" style="1402" customWidth="1"/>
    <col min="11025" max="11025" width="3.85546875" style="1402" customWidth="1"/>
    <col min="11026" max="11026" width="20.5703125" style="1402" customWidth="1"/>
    <col min="11027" max="11027" width="12.28515625" style="1402" customWidth="1"/>
    <col min="11028" max="11028" width="1.85546875" style="1402" customWidth="1"/>
    <col min="11029" max="11264" width="9.140625" style="1402"/>
    <col min="11265" max="11265" width="5.42578125" style="1402" customWidth="1"/>
    <col min="11266" max="11266" width="19.85546875" style="1402" customWidth="1"/>
    <col min="11267" max="11267" width="18.85546875" style="1402" customWidth="1"/>
    <col min="11268" max="11268" width="0.140625" style="1402" customWidth="1"/>
    <col min="11269" max="11269" width="12.42578125" style="1402" customWidth="1"/>
    <col min="11270" max="11270" width="0.5703125" style="1402" customWidth="1"/>
    <col min="11271" max="11271" width="18.28515625" style="1402" customWidth="1"/>
    <col min="11272" max="11272" width="1" style="1402" customWidth="1"/>
    <col min="11273" max="11273" width="7.140625" style="1402" customWidth="1"/>
    <col min="11274" max="11274" width="9.7109375" style="1402" customWidth="1"/>
    <col min="11275" max="11275" width="16.7109375" style="1402" customWidth="1"/>
    <col min="11276" max="11276" width="1.85546875" style="1402" customWidth="1"/>
    <col min="11277" max="11277" width="14.7109375" style="1402" customWidth="1"/>
    <col min="11278" max="11278" width="11.85546875" style="1402" customWidth="1"/>
    <col min="11279" max="11279" width="2.85546875" style="1402" customWidth="1"/>
    <col min="11280" max="11280" width="10.7109375" style="1402" customWidth="1"/>
    <col min="11281" max="11281" width="3.85546875" style="1402" customWidth="1"/>
    <col min="11282" max="11282" width="20.5703125" style="1402" customWidth="1"/>
    <col min="11283" max="11283" width="12.28515625" style="1402" customWidth="1"/>
    <col min="11284" max="11284" width="1.85546875" style="1402" customWidth="1"/>
    <col min="11285" max="11520" width="9.140625" style="1402"/>
    <col min="11521" max="11521" width="5.42578125" style="1402" customWidth="1"/>
    <col min="11522" max="11522" width="19.85546875" style="1402" customWidth="1"/>
    <col min="11523" max="11523" width="18.85546875" style="1402" customWidth="1"/>
    <col min="11524" max="11524" width="0.140625" style="1402" customWidth="1"/>
    <col min="11525" max="11525" width="12.42578125" style="1402" customWidth="1"/>
    <col min="11526" max="11526" width="0.5703125" style="1402" customWidth="1"/>
    <col min="11527" max="11527" width="18.28515625" style="1402" customWidth="1"/>
    <col min="11528" max="11528" width="1" style="1402" customWidth="1"/>
    <col min="11529" max="11529" width="7.140625" style="1402" customWidth="1"/>
    <col min="11530" max="11530" width="9.7109375" style="1402" customWidth="1"/>
    <col min="11531" max="11531" width="16.7109375" style="1402" customWidth="1"/>
    <col min="11532" max="11532" width="1.85546875" style="1402" customWidth="1"/>
    <col min="11533" max="11533" width="14.7109375" style="1402" customWidth="1"/>
    <col min="11534" max="11534" width="11.85546875" style="1402" customWidth="1"/>
    <col min="11535" max="11535" width="2.85546875" style="1402" customWidth="1"/>
    <col min="11536" max="11536" width="10.7109375" style="1402" customWidth="1"/>
    <col min="11537" max="11537" width="3.85546875" style="1402" customWidth="1"/>
    <col min="11538" max="11538" width="20.5703125" style="1402" customWidth="1"/>
    <col min="11539" max="11539" width="12.28515625" style="1402" customWidth="1"/>
    <col min="11540" max="11540" width="1.85546875" style="1402" customWidth="1"/>
    <col min="11541" max="11776" width="9.140625" style="1402"/>
    <col min="11777" max="11777" width="5.42578125" style="1402" customWidth="1"/>
    <col min="11778" max="11778" width="19.85546875" style="1402" customWidth="1"/>
    <col min="11779" max="11779" width="18.85546875" style="1402" customWidth="1"/>
    <col min="11780" max="11780" width="0.140625" style="1402" customWidth="1"/>
    <col min="11781" max="11781" width="12.42578125" style="1402" customWidth="1"/>
    <col min="11782" max="11782" width="0.5703125" style="1402" customWidth="1"/>
    <col min="11783" max="11783" width="18.28515625" style="1402" customWidth="1"/>
    <col min="11784" max="11784" width="1" style="1402" customWidth="1"/>
    <col min="11785" max="11785" width="7.140625" style="1402" customWidth="1"/>
    <col min="11786" max="11786" width="9.7109375" style="1402" customWidth="1"/>
    <col min="11787" max="11787" width="16.7109375" style="1402" customWidth="1"/>
    <col min="11788" max="11788" width="1.85546875" style="1402" customWidth="1"/>
    <col min="11789" max="11789" width="14.7109375" style="1402" customWidth="1"/>
    <col min="11790" max="11790" width="11.85546875" style="1402" customWidth="1"/>
    <col min="11791" max="11791" width="2.85546875" style="1402" customWidth="1"/>
    <col min="11792" max="11792" width="10.7109375" style="1402" customWidth="1"/>
    <col min="11793" max="11793" width="3.85546875" style="1402" customWidth="1"/>
    <col min="11794" max="11794" width="20.5703125" style="1402" customWidth="1"/>
    <col min="11795" max="11795" width="12.28515625" style="1402" customWidth="1"/>
    <col min="11796" max="11796" width="1.85546875" style="1402" customWidth="1"/>
    <col min="11797" max="12032" width="9.140625" style="1402"/>
    <col min="12033" max="12033" width="5.42578125" style="1402" customWidth="1"/>
    <col min="12034" max="12034" width="19.85546875" style="1402" customWidth="1"/>
    <col min="12035" max="12035" width="18.85546875" style="1402" customWidth="1"/>
    <col min="12036" max="12036" width="0.140625" style="1402" customWidth="1"/>
    <col min="12037" max="12037" width="12.42578125" style="1402" customWidth="1"/>
    <col min="12038" max="12038" width="0.5703125" style="1402" customWidth="1"/>
    <col min="12039" max="12039" width="18.28515625" style="1402" customWidth="1"/>
    <col min="12040" max="12040" width="1" style="1402" customWidth="1"/>
    <col min="12041" max="12041" width="7.140625" style="1402" customWidth="1"/>
    <col min="12042" max="12042" width="9.7109375" style="1402" customWidth="1"/>
    <col min="12043" max="12043" width="16.7109375" style="1402" customWidth="1"/>
    <col min="12044" max="12044" width="1.85546875" style="1402" customWidth="1"/>
    <col min="12045" max="12045" width="14.7109375" style="1402" customWidth="1"/>
    <col min="12046" max="12046" width="11.85546875" style="1402" customWidth="1"/>
    <col min="12047" max="12047" width="2.85546875" style="1402" customWidth="1"/>
    <col min="12048" max="12048" width="10.7109375" style="1402" customWidth="1"/>
    <col min="12049" max="12049" width="3.85546875" style="1402" customWidth="1"/>
    <col min="12050" max="12050" width="20.5703125" style="1402" customWidth="1"/>
    <col min="12051" max="12051" width="12.28515625" style="1402" customWidth="1"/>
    <col min="12052" max="12052" width="1.85546875" style="1402" customWidth="1"/>
    <col min="12053" max="12288" width="9.140625" style="1402"/>
    <col min="12289" max="12289" width="5.42578125" style="1402" customWidth="1"/>
    <col min="12290" max="12290" width="19.85546875" style="1402" customWidth="1"/>
    <col min="12291" max="12291" width="18.85546875" style="1402" customWidth="1"/>
    <col min="12292" max="12292" width="0.140625" style="1402" customWidth="1"/>
    <col min="12293" max="12293" width="12.42578125" style="1402" customWidth="1"/>
    <col min="12294" max="12294" width="0.5703125" style="1402" customWidth="1"/>
    <col min="12295" max="12295" width="18.28515625" style="1402" customWidth="1"/>
    <col min="12296" max="12296" width="1" style="1402" customWidth="1"/>
    <col min="12297" max="12297" width="7.140625" style="1402" customWidth="1"/>
    <col min="12298" max="12298" width="9.7109375" style="1402" customWidth="1"/>
    <col min="12299" max="12299" width="16.7109375" style="1402" customWidth="1"/>
    <col min="12300" max="12300" width="1.85546875" style="1402" customWidth="1"/>
    <col min="12301" max="12301" width="14.7109375" style="1402" customWidth="1"/>
    <col min="12302" max="12302" width="11.85546875" style="1402" customWidth="1"/>
    <col min="12303" max="12303" width="2.85546875" style="1402" customWidth="1"/>
    <col min="12304" max="12304" width="10.7109375" style="1402" customWidth="1"/>
    <col min="12305" max="12305" width="3.85546875" style="1402" customWidth="1"/>
    <col min="12306" max="12306" width="20.5703125" style="1402" customWidth="1"/>
    <col min="12307" max="12307" width="12.28515625" style="1402" customWidth="1"/>
    <col min="12308" max="12308" width="1.85546875" style="1402" customWidth="1"/>
    <col min="12309" max="12544" width="9.140625" style="1402"/>
    <col min="12545" max="12545" width="5.42578125" style="1402" customWidth="1"/>
    <col min="12546" max="12546" width="19.85546875" style="1402" customWidth="1"/>
    <col min="12547" max="12547" width="18.85546875" style="1402" customWidth="1"/>
    <col min="12548" max="12548" width="0.140625" style="1402" customWidth="1"/>
    <col min="12549" max="12549" width="12.42578125" style="1402" customWidth="1"/>
    <col min="12550" max="12550" width="0.5703125" style="1402" customWidth="1"/>
    <col min="12551" max="12551" width="18.28515625" style="1402" customWidth="1"/>
    <col min="12552" max="12552" width="1" style="1402" customWidth="1"/>
    <col min="12553" max="12553" width="7.140625" style="1402" customWidth="1"/>
    <col min="12554" max="12554" width="9.7109375" style="1402" customWidth="1"/>
    <col min="12555" max="12555" width="16.7109375" style="1402" customWidth="1"/>
    <col min="12556" max="12556" width="1.85546875" style="1402" customWidth="1"/>
    <col min="12557" max="12557" width="14.7109375" style="1402" customWidth="1"/>
    <col min="12558" max="12558" width="11.85546875" style="1402" customWidth="1"/>
    <col min="12559" max="12559" width="2.85546875" style="1402" customWidth="1"/>
    <col min="12560" max="12560" width="10.7109375" style="1402" customWidth="1"/>
    <col min="12561" max="12561" width="3.85546875" style="1402" customWidth="1"/>
    <col min="12562" max="12562" width="20.5703125" style="1402" customWidth="1"/>
    <col min="12563" max="12563" width="12.28515625" style="1402" customWidth="1"/>
    <col min="12564" max="12564" width="1.85546875" style="1402" customWidth="1"/>
    <col min="12565" max="12800" width="9.140625" style="1402"/>
    <col min="12801" max="12801" width="5.42578125" style="1402" customWidth="1"/>
    <col min="12802" max="12802" width="19.85546875" style="1402" customWidth="1"/>
    <col min="12803" max="12803" width="18.85546875" style="1402" customWidth="1"/>
    <col min="12804" max="12804" width="0.140625" style="1402" customWidth="1"/>
    <col min="12805" max="12805" width="12.42578125" style="1402" customWidth="1"/>
    <col min="12806" max="12806" width="0.5703125" style="1402" customWidth="1"/>
    <col min="12807" max="12807" width="18.28515625" style="1402" customWidth="1"/>
    <col min="12808" max="12808" width="1" style="1402" customWidth="1"/>
    <col min="12809" max="12809" width="7.140625" style="1402" customWidth="1"/>
    <col min="12810" max="12810" width="9.7109375" style="1402" customWidth="1"/>
    <col min="12811" max="12811" width="16.7109375" style="1402" customWidth="1"/>
    <col min="12812" max="12812" width="1.85546875" style="1402" customWidth="1"/>
    <col min="12813" max="12813" width="14.7109375" style="1402" customWidth="1"/>
    <col min="12814" max="12814" width="11.85546875" style="1402" customWidth="1"/>
    <col min="12815" max="12815" width="2.85546875" style="1402" customWidth="1"/>
    <col min="12816" max="12816" width="10.7109375" style="1402" customWidth="1"/>
    <col min="12817" max="12817" width="3.85546875" style="1402" customWidth="1"/>
    <col min="12818" max="12818" width="20.5703125" style="1402" customWidth="1"/>
    <col min="12819" max="12819" width="12.28515625" style="1402" customWidth="1"/>
    <col min="12820" max="12820" width="1.85546875" style="1402" customWidth="1"/>
    <col min="12821" max="13056" width="9.140625" style="1402"/>
    <col min="13057" max="13057" width="5.42578125" style="1402" customWidth="1"/>
    <col min="13058" max="13058" width="19.85546875" style="1402" customWidth="1"/>
    <col min="13059" max="13059" width="18.85546875" style="1402" customWidth="1"/>
    <col min="13060" max="13060" width="0.140625" style="1402" customWidth="1"/>
    <col min="13061" max="13061" width="12.42578125" style="1402" customWidth="1"/>
    <col min="13062" max="13062" width="0.5703125" style="1402" customWidth="1"/>
    <col min="13063" max="13063" width="18.28515625" style="1402" customWidth="1"/>
    <col min="13064" max="13064" width="1" style="1402" customWidth="1"/>
    <col min="13065" max="13065" width="7.140625" style="1402" customWidth="1"/>
    <col min="13066" max="13066" width="9.7109375" style="1402" customWidth="1"/>
    <col min="13067" max="13067" width="16.7109375" style="1402" customWidth="1"/>
    <col min="13068" max="13068" width="1.85546875" style="1402" customWidth="1"/>
    <col min="13069" max="13069" width="14.7109375" style="1402" customWidth="1"/>
    <col min="13070" max="13070" width="11.85546875" style="1402" customWidth="1"/>
    <col min="13071" max="13071" width="2.85546875" style="1402" customWidth="1"/>
    <col min="13072" max="13072" width="10.7109375" style="1402" customWidth="1"/>
    <col min="13073" max="13073" width="3.85546875" style="1402" customWidth="1"/>
    <col min="13074" max="13074" width="20.5703125" style="1402" customWidth="1"/>
    <col min="13075" max="13075" width="12.28515625" style="1402" customWidth="1"/>
    <col min="13076" max="13076" width="1.85546875" style="1402" customWidth="1"/>
    <col min="13077" max="13312" width="9.140625" style="1402"/>
    <col min="13313" max="13313" width="5.42578125" style="1402" customWidth="1"/>
    <col min="13314" max="13314" width="19.85546875" style="1402" customWidth="1"/>
    <col min="13315" max="13315" width="18.85546875" style="1402" customWidth="1"/>
    <col min="13316" max="13316" width="0.140625" style="1402" customWidth="1"/>
    <col min="13317" max="13317" width="12.42578125" style="1402" customWidth="1"/>
    <col min="13318" max="13318" width="0.5703125" style="1402" customWidth="1"/>
    <col min="13319" max="13319" width="18.28515625" style="1402" customWidth="1"/>
    <col min="13320" max="13320" width="1" style="1402" customWidth="1"/>
    <col min="13321" max="13321" width="7.140625" style="1402" customWidth="1"/>
    <col min="13322" max="13322" width="9.7109375" style="1402" customWidth="1"/>
    <col min="13323" max="13323" width="16.7109375" style="1402" customWidth="1"/>
    <col min="13324" max="13324" width="1.85546875" style="1402" customWidth="1"/>
    <col min="13325" max="13325" width="14.7109375" style="1402" customWidth="1"/>
    <col min="13326" max="13326" width="11.85546875" style="1402" customWidth="1"/>
    <col min="13327" max="13327" width="2.85546875" style="1402" customWidth="1"/>
    <col min="13328" max="13328" width="10.7109375" style="1402" customWidth="1"/>
    <col min="13329" max="13329" width="3.85546875" style="1402" customWidth="1"/>
    <col min="13330" max="13330" width="20.5703125" style="1402" customWidth="1"/>
    <col min="13331" max="13331" width="12.28515625" style="1402" customWidth="1"/>
    <col min="13332" max="13332" width="1.85546875" style="1402" customWidth="1"/>
    <col min="13333" max="13568" width="9.140625" style="1402"/>
    <col min="13569" max="13569" width="5.42578125" style="1402" customWidth="1"/>
    <col min="13570" max="13570" width="19.85546875" style="1402" customWidth="1"/>
    <col min="13571" max="13571" width="18.85546875" style="1402" customWidth="1"/>
    <col min="13572" max="13572" width="0.140625" style="1402" customWidth="1"/>
    <col min="13573" max="13573" width="12.42578125" style="1402" customWidth="1"/>
    <col min="13574" max="13574" width="0.5703125" style="1402" customWidth="1"/>
    <col min="13575" max="13575" width="18.28515625" style="1402" customWidth="1"/>
    <col min="13576" max="13576" width="1" style="1402" customWidth="1"/>
    <col min="13577" max="13577" width="7.140625" style="1402" customWidth="1"/>
    <col min="13578" max="13578" width="9.7109375" style="1402" customWidth="1"/>
    <col min="13579" max="13579" width="16.7109375" style="1402" customWidth="1"/>
    <col min="13580" max="13580" width="1.85546875" style="1402" customWidth="1"/>
    <col min="13581" max="13581" width="14.7109375" style="1402" customWidth="1"/>
    <col min="13582" max="13582" width="11.85546875" style="1402" customWidth="1"/>
    <col min="13583" max="13583" width="2.85546875" style="1402" customWidth="1"/>
    <col min="13584" max="13584" width="10.7109375" style="1402" customWidth="1"/>
    <col min="13585" max="13585" width="3.85546875" style="1402" customWidth="1"/>
    <col min="13586" max="13586" width="20.5703125" style="1402" customWidth="1"/>
    <col min="13587" max="13587" width="12.28515625" style="1402" customWidth="1"/>
    <col min="13588" max="13588" width="1.85546875" style="1402" customWidth="1"/>
    <col min="13589" max="13824" width="9.140625" style="1402"/>
    <col min="13825" max="13825" width="5.42578125" style="1402" customWidth="1"/>
    <col min="13826" max="13826" width="19.85546875" style="1402" customWidth="1"/>
    <col min="13827" max="13827" width="18.85546875" style="1402" customWidth="1"/>
    <col min="13828" max="13828" width="0.140625" style="1402" customWidth="1"/>
    <col min="13829" max="13829" width="12.42578125" style="1402" customWidth="1"/>
    <col min="13830" max="13830" width="0.5703125" style="1402" customWidth="1"/>
    <col min="13831" max="13831" width="18.28515625" style="1402" customWidth="1"/>
    <col min="13832" max="13832" width="1" style="1402" customWidth="1"/>
    <col min="13833" max="13833" width="7.140625" style="1402" customWidth="1"/>
    <col min="13834" max="13834" width="9.7109375" style="1402" customWidth="1"/>
    <col min="13835" max="13835" width="16.7109375" style="1402" customWidth="1"/>
    <col min="13836" max="13836" width="1.85546875" style="1402" customWidth="1"/>
    <col min="13837" max="13837" width="14.7109375" style="1402" customWidth="1"/>
    <col min="13838" max="13838" width="11.85546875" style="1402" customWidth="1"/>
    <col min="13839" max="13839" width="2.85546875" style="1402" customWidth="1"/>
    <col min="13840" max="13840" width="10.7109375" style="1402" customWidth="1"/>
    <col min="13841" max="13841" width="3.85546875" style="1402" customWidth="1"/>
    <col min="13842" max="13842" width="20.5703125" style="1402" customWidth="1"/>
    <col min="13843" max="13843" width="12.28515625" style="1402" customWidth="1"/>
    <col min="13844" max="13844" width="1.85546875" style="1402" customWidth="1"/>
    <col min="13845" max="14080" width="9.140625" style="1402"/>
    <col min="14081" max="14081" width="5.42578125" style="1402" customWidth="1"/>
    <col min="14082" max="14082" width="19.85546875" style="1402" customWidth="1"/>
    <col min="14083" max="14083" width="18.85546875" style="1402" customWidth="1"/>
    <col min="14084" max="14084" width="0.140625" style="1402" customWidth="1"/>
    <col min="14085" max="14085" width="12.42578125" style="1402" customWidth="1"/>
    <col min="14086" max="14086" width="0.5703125" style="1402" customWidth="1"/>
    <col min="14087" max="14087" width="18.28515625" style="1402" customWidth="1"/>
    <col min="14088" max="14088" width="1" style="1402" customWidth="1"/>
    <col min="14089" max="14089" width="7.140625" style="1402" customWidth="1"/>
    <col min="14090" max="14090" width="9.7109375" style="1402" customWidth="1"/>
    <col min="14091" max="14091" width="16.7109375" style="1402" customWidth="1"/>
    <col min="14092" max="14092" width="1.85546875" style="1402" customWidth="1"/>
    <col min="14093" max="14093" width="14.7109375" style="1402" customWidth="1"/>
    <col min="14094" max="14094" width="11.85546875" style="1402" customWidth="1"/>
    <col min="14095" max="14095" width="2.85546875" style="1402" customWidth="1"/>
    <col min="14096" max="14096" width="10.7109375" style="1402" customWidth="1"/>
    <col min="14097" max="14097" width="3.85546875" style="1402" customWidth="1"/>
    <col min="14098" max="14098" width="20.5703125" style="1402" customWidth="1"/>
    <col min="14099" max="14099" width="12.28515625" style="1402" customWidth="1"/>
    <col min="14100" max="14100" width="1.85546875" style="1402" customWidth="1"/>
    <col min="14101" max="14336" width="9.140625" style="1402"/>
    <col min="14337" max="14337" width="5.42578125" style="1402" customWidth="1"/>
    <col min="14338" max="14338" width="19.85546875" style="1402" customWidth="1"/>
    <col min="14339" max="14339" width="18.85546875" style="1402" customWidth="1"/>
    <col min="14340" max="14340" width="0.140625" style="1402" customWidth="1"/>
    <col min="14341" max="14341" width="12.42578125" style="1402" customWidth="1"/>
    <col min="14342" max="14342" width="0.5703125" style="1402" customWidth="1"/>
    <col min="14343" max="14343" width="18.28515625" style="1402" customWidth="1"/>
    <col min="14344" max="14344" width="1" style="1402" customWidth="1"/>
    <col min="14345" max="14345" width="7.140625" style="1402" customWidth="1"/>
    <col min="14346" max="14346" width="9.7109375" style="1402" customWidth="1"/>
    <col min="14347" max="14347" width="16.7109375" style="1402" customWidth="1"/>
    <col min="14348" max="14348" width="1.85546875" style="1402" customWidth="1"/>
    <col min="14349" max="14349" width="14.7109375" style="1402" customWidth="1"/>
    <col min="14350" max="14350" width="11.85546875" style="1402" customWidth="1"/>
    <col min="14351" max="14351" width="2.85546875" style="1402" customWidth="1"/>
    <col min="14352" max="14352" width="10.7109375" style="1402" customWidth="1"/>
    <col min="14353" max="14353" width="3.85546875" style="1402" customWidth="1"/>
    <col min="14354" max="14354" width="20.5703125" style="1402" customWidth="1"/>
    <col min="14355" max="14355" width="12.28515625" style="1402" customWidth="1"/>
    <col min="14356" max="14356" width="1.85546875" style="1402" customWidth="1"/>
    <col min="14357" max="14592" width="9.140625" style="1402"/>
    <col min="14593" max="14593" width="5.42578125" style="1402" customWidth="1"/>
    <col min="14594" max="14594" width="19.85546875" style="1402" customWidth="1"/>
    <col min="14595" max="14595" width="18.85546875" style="1402" customWidth="1"/>
    <col min="14596" max="14596" width="0.140625" style="1402" customWidth="1"/>
    <col min="14597" max="14597" width="12.42578125" style="1402" customWidth="1"/>
    <col min="14598" max="14598" width="0.5703125" style="1402" customWidth="1"/>
    <col min="14599" max="14599" width="18.28515625" style="1402" customWidth="1"/>
    <col min="14600" max="14600" width="1" style="1402" customWidth="1"/>
    <col min="14601" max="14601" width="7.140625" style="1402" customWidth="1"/>
    <col min="14602" max="14602" width="9.7109375" style="1402" customWidth="1"/>
    <col min="14603" max="14603" width="16.7109375" style="1402" customWidth="1"/>
    <col min="14604" max="14604" width="1.85546875" style="1402" customWidth="1"/>
    <col min="14605" max="14605" width="14.7109375" style="1402" customWidth="1"/>
    <col min="14606" max="14606" width="11.85546875" style="1402" customWidth="1"/>
    <col min="14607" max="14607" width="2.85546875" style="1402" customWidth="1"/>
    <col min="14608" max="14608" width="10.7109375" style="1402" customWidth="1"/>
    <col min="14609" max="14609" width="3.85546875" style="1402" customWidth="1"/>
    <col min="14610" max="14610" width="20.5703125" style="1402" customWidth="1"/>
    <col min="14611" max="14611" width="12.28515625" style="1402" customWidth="1"/>
    <col min="14612" max="14612" width="1.85546875" style="1402" customWidth="1"/>
    <col min="14613" max="14848" width="9.140625" style="1402"/>
    <col min="14849" max="14849" width="5.42578125" style="1402" customWidth="1"/>
    <col min="14850" max="14850" width="19.85546875" style="1402" customWidth="1"/>
    <col min="14851" max="14851" width="18.85546875" style="1402" customWidth="1"/>
    <col min="14852" max="14852" width="0.140625" style="1402" customWidth="1"/>
    <col min="14853" max="14853" width="12.42578125" style="1402" customWidth="1"/>
    <col min="14854" max="14854" width="0.5703125" style="1402" customWidth="1"/>
    <col min="14855" max="14855" width="18.28515625" style="1402" customWidth="1"/>
    <col min="14856" max="14856" width="1" style="1402" customWidth="1"/>
    <col min="14857" max="14857" width="7.140625" style="1402" customWidth="1"/>
    <col min="14858" max="14858" width="9.7109375" style="1402" customWidth="1"/>
    <col min="14859" max="14859" width="16.7109375" style="1402" customWidth="1"/>
    <col min="14860" max="14860" width="1.85546875" style="1402" customWidth="1"/>
    <col min="14861" max="14861" width="14.7109375" style="1402" customWidth="1"/>
    <col min="14862" max="14862" width="11.85546875" style="1402" customWidth="1"/>
    <col min="14863" max="14863" width="2.85546875" style="1402" customWidth="1"/>
    <col min="14864" max="14864" width="10.7109375" style="1402" customWidth="1"/>
    <col min="14865" max="14865" width="3.85546875" style="1402" customWidth="1"/>
    <col min="14866" max="14866" width="20.5703125" style="1402" customWidth="1"/>
    <col min="14867" max="14867" width="12.28515625" style="1402" customWidth="1"/>
    <col min="14868" max="14868" width="1.85546875" style="1402" customWidth="1"/>
    <col min="14869" max="15104" width="9.140625" style="1402"/>
    <col min="15105" max="15105" width="5.42578125" style="1402" customWidth="1"/>
    <col min="15106" max="15106" width="19.85546875" style="1402" customWidth="1"/>
    <col min="15107" max="15107" width="18.85546875" style="1402" customWidth="1"/>
    <col min="15108" max="15108" width="0.140625" style="1402" customWidth="1"/>
    <col min="15109" max="15109" width="12.42578125" style="1402" customWidth="1"/>
    <col min="15110" max="15110" width="0.5703125" style="1402" customWidth="1"/>
    <col min="15111" max="15111" width="18.28515625" style="1402" customWidth="1"/>
    <col min="15112" max="15112" width="1" style="1402" customWidth="1"/>
    <col min="15113" max="15113" width="7.140625" style="1402" customWidth="1"/>
    <col min="15114" max="15114" width="9.7109375" style="1402" customWidth="1"/>
    <col min="15115" max="15115" width="16.7109375" style="1402" customWidth="1"/>
    <col min="15116" max="15116" width="1.85546875" style="1402" customWidth="1"/>
    <col min="15117" max="15117" width="14.7109375" style="1402" customWidth="1"/>
    <col min="15118" max="15118" width="11.85546875" style="1402" customWidth="1"/>
    <col min="15119" max="15119" width="2.85546875" style="1402" customWidth="1"/>
    <col min="15120" max="15120" width="10.7109375" style="1402" customWidth="1"/>
    <col min="15121" max="15121" width="3.85546875" style="1402" customWidth="1"/>
    <col min="15122" max="15122" width="20.5703125" style="1402" customWidth="1"/>
    <col min="15123" max="15123" width="12.28515625" style="1402" customWidth="1"/>
    <col min="15124" max="15124" width="1.85546875" style="1402" customWidth="1"/>
    <col min="15125" max="15360" width="9.140625" style="1402"/>
    <col min="15361" max="15361" width="5.42578125" style="1402" customWidth="1"/>
    <col min="15362" max="15362" width="19.85546875" style="1402" customWidth="1"/>
    <col min="15363" max="15363" width="18.85546875" style="1402" customWidth="1"/>
    <col min="15364" max="15364" width="0.140625" style="1402" customWidth="1"/>
    <col min="15365" max="15365" width="12.42578125" style="1402" customWidth="1"/>
    <col min="15366" max="15366" width="0.5703125" style="1402" customWidth="1"/>
    <col min="15367" max="15367" width="18.28515625" style="1402" customWidth="1"/>
    <col min="15368" max="15368" width="1" style="1402" customWidth="1"/>
    <col min="15369" max="15369" width="7.140625" style="1402" customWidth="1"/>
    <col min="15370" max="15370" width="9.7109375" style="1402" customWidth="1"/>
    <col min="15371" max="15371" width="16.7109375" style="1402" customWidth="1"/>
    <col min="15372" max="15372" width="1.85546875" style="1402" customWidth="1"/>
    <col min="15373" max="15373" width="14.7109375" style="1402" customWidth="1"/>
    <col min="15374" max="15374" width="11.85546875" style="1402" customWidth="1"/>
    <col min="15375" max="15375" width="2.85546875" style="1402" customWidth="1"/>
    <col min="15376" max="15376" width="10.7109375" style="1402" customWidth="1"/>
    <col min="15377" max="15377" width="3.85546875" style="1402" customWidth="1"/>
    <col min="15378" max="15378" width="20.5703125" style="1402" customWidth="1"/>
    <col min="15379" max="15379" width="12.28515625" style="1402" customWidth="1"/>
    <col min="15380" max="15380" width="1.85546875" style="1402" customWidth="1"/>
    <col min="15381" max="15616" width="9.140625" style="1402"/>
    <col min="15617" max="15617" width="5.42578125" style="1402" customWidth="1"/>
    <col min="15618" max="15618" width="19.85546875" style="1402" customWidth="1"/>
    <col min="15619" max="15619" width="18.85546875" style="1402" customWidth="1"/>
    <col min="15620" max="15620" width="0.140625" style="1402" customWidth="1"/>
    <col min="15621" max="15621" width="12.42578125" style="1402" customWidth="1"/>
    <col min="15622" max="15622" width="0.5703125" style="1402" customWidth="1"/>
    <col min="15623" max="15623" width="18.28515625" style="1402" customWidth="1"/>
    <col min="15624" max="15624" width="1" style="1402" customWidth="1"/>
    <col min="15625" max="15625" width="7.140625" style="1402" customWidth="1"/>
    <col min="15626" max="15626" width="9.7109375" style="1402" customWidth="1"/>
    <col min="15627" max="15627" width="16.7109375" style="1402" customWidth="1"/>
    <col min="15628" max="15628" width="1.85546875" style="1402" customWidth="1"/>
    <col min="15629" max="15629" width="14.7109375" style="1402" customWidth="1"/>
    <col min="15630" max="15630" width="11.85546875" style="1402" customWidth="1"/>
    <col min="15631" max="15631" width="2.85546875" style="1402" customWidth="1"/>
    <col min="15632" max="15632" width="10.7109375" style="1402" customWidth="1"/>
    <col min="15633" max="15633" width="3.85546875" style="1402" customWidth="1"/>
    <col min="15634" max="15634" width="20.5703125" style="1402" customWidth="1"/>
    <col min="15635" max="15635" width="12.28515625" style="1402" customWidth="1"/>
    <col min="15636" max="15636" width="1.85546875" style="1402" customWidth="1"/>
    <col min="15637" max="15872" width="9.140625" style="1402"/>
    <col min="15873" max="15873" width="5.42578125" style="1402" customWidth="1"/>
    <col min="15874" max="15874" width="19.85546875" style="1402" customWidth="1"/>
    <col min="15875" max="15875" width="18.85546875" style="1402" customWidth="1"/>
    <col min="15876" max="15876" width="0.140625" style="1402" customWidth="1"/>
    <col min="15877" max="15877" width="12.42578125" style="1402" customWidth="1"/>
    <col min="15878" max="15878" width="0.5703125" style="1402" customWidth="1"/>
    <col min="15879" max="15879" width="18.28515625" style="1402" customWidth="1"/>
    <col min="15880" max="15880" width="1" style="1402" customWidth="1"/>
    <col min="15881" max="15881" width="7.140625" style="1402" customWidth="1"/>
    <col min="15882" max="15882" width="9.7109375" style="1402" customWidth="1"/>
    <col min="15883" max="15883" width="16.7109375" style="1402" customWidth="1"/>
    <col min="15884" max="15884" width="1.85546875" style="1402" customWidth="1"/>
    <col min="15885" max="15885" width="14.7109375" style="1402" customWidth="1"/>
    <col min="15886" max="15886" width="11.85546875" style="1402" customWidth="1"/>
    <col min="15887" max="15887" width="2.85546875" style="1402" customWidth="1"/>
    <col min="15888" max="15888" width="10.7109375" style="1402" customWidth="1"/>
    <col min="15889" max="15889" width="3.85546875" style="1402" customWidth="1"/>
    <col min="15890" max="15890" width="20.5703125" style="1402" customWidth="1"/>
    <col min="15891" max="15891" width="12.28515625" style="1402" customWidth="1"/>
    <col min="15892" max="15892" width="1.85546875" style="1402" customWidth="1"/>
    <col min="15893" max="16128" width="9.140625" style="1402"/>
    <col min="16129" max="16129" width="5.42578125" style="1402" customWidth="1"/>
    <col min="16130" max="16130" width="19.85546875" style="1402" customWidth="1"/>
    <col min="16131" max="16131" width="18.85546875" style="1402" customWidth="1"/>
    <col min="16132" max="16132" width="0.140625" style="1402" customWidth="1"/>
    <col min="16133" max="16133" width="12.42578125" style="1402" customWidth="1"/>
    <col min="16134" max="16134" width="0.5703125" style="1402" customWidth="1"/>
    <col min="16135" max="16135" width="18.28515625" style="1402" customWidth="1"/>
    <col min="16136" max="16136" width="1" style="1402" customWidth="1"/>
    <col min="16137" max="16137" width="7.140625" style="1402" customWidth="1"/>
    <col min="16138" max="16138" width="9.7109375" style="1402" customWidth="1"/>
    <col min="16139" max="16139" width="16.7109375" style="1402" customWidth="1"/>
    <col min="16140" max="16140" width="1.85546875" style="1402" customWidth="1"/>
    <col min="16141" max="16141" width="14.7109375" style="1402" customWidth="1"/>
    <col min="16142" max="16142" width="11.85546875" style="1402" customWidth="1"/>
    <col min="16143" max="16143" width="2.85546875" style="1402" customWidth="1"/>
    <col min="16144" max="16144" width="10.7109375" style="1402" customWidth="1"/>
    <col min="16145" max="16145" width="3.85546875" style="1402" customWidth="1"/>
    <col min="16146" max="16146" width="20.5703125" style="1402" customWidth="1"/>
    <col min="16147" max="16147" width="12.28515625" style="1402" customWidth="1"/>
    <col min="16148" max="16148" width="1.85546875" style="1402" customWidth="1"/>
    <col min="16149" max="16384" width="9.140625" style="1402"/>
  </cols>
  <sheetData>
    <row r="2" spans="1:20" ht="78" customHeight="1">
      <c r="A2" s="2240"/>
      <c r="B2" s="2239"/>
      <c r="C2" s="2239"/>
      <c r="D2" s="2239"/>
      <c r="E2" s="2239"/>
      <c r="F2" s="2239"/>
      <c r="G2" s="2239"/>
      <c r="H2" s="2239"/>
      <c r="I2" s="2239"/>
      <c r="J2" s="2239"/>
      <c r="K2" s="2239"/>
      <c r="L2" s="2239"/>
      <c r="M2" s="2239"/>
      <c r="N2" s="2239"/>
      <c r="O2" s="2242" t="s">
        <v>4246</v>
      </c>
      <c r="P2" s="2239"/>
      <c r="Q2" s="2239"/>
      <c r="R2" s="2239"/>
      <c r="S2" s="2239"/>
    </row>
    <row r="3" spans="1:20" ht="14.25">
      <c r="A3" s="2240"/>
      <c r="B3" s="2239"/>
      <c r="C3" s="2239"/>
      <c r="D3" s="2239"/>
      <c r="E3" s="2239"/>
      <c r="F3" s="2239"/>
      <c r="G3" s="2239"/>
      <c r="H3" s="2239"/>
      <c r="I3" s="2239"/>
      <c r="J3" s="2239"/>
      <c r="K3" s="2239"/>
      <c r="L3" s="2239"/>
      <c r="M3" s="2239"/>
      <c r="N3" s="2239"/>
      <c r="O3" s="2241"/>
      <c r="P3" s="2239"/>
      <c r="Q3" s="2239"/>
      <c r="R3" s="2239"/>
      <c r="S3" s="2239"/>
    </row>
    <row r="4" spans="1:20">
      <c r="A4" s="2242"/>
      <c r="B4" s="2239"/>
      <c r="C4" s="2239"/>
      <c r="D4" s="2243" t="s">
        <v>3737</v>
      </c>
      <c r="E4" s="2244"/>
      <c r="F4" s="2244"/>
      <c r="G4" s="2244"/>
      <c r="H4" s="2244"/>
      <c r="I4" s="2244"/>
      <c r="J4" s="2244"/>
      <c r="K4" s="2244"/>
      <c r="L4" s="2244"/>
      <c r="M4" s="2244"/>
      <c r="N4" s="2244"/>
      <c r="O4" s="2244"/>
      <c r="P4" s="2244"/>
      <c r="Q4" s="2242"/>
      <c r="R4" s="2239"/>
      <c r="S4" s="2239"/>
    </row>
    <row r="5" spans="1:20">
      <c r="A5" s="2238" t="s">
        <v>3630</v>
      </c>
      <c r="B5" s="2239"/>
      <c r="C5" s="2239"/>
      <c r="D5" s="2239"/>
      <c r="E5" s="2239"/>
      <c r="F5" s="2239"/>
      <c r="G5" s="2239"/>
      <c r="H5" s="2239"/>
      <c r="I5" s="2239"/>
      <c r="J5" s="2239"/>
      <c r="K5" s="2239"/>
      <c r="L5" s="2239"/>
      <c r="M5" s="2239"/>
      <c r="N5" s="2239"/>
      <c r="O5" s="2239"/>
      <c r="P5" s="2239"/>
      <c r="Q5" s="2239"/>
      <c r="R5" s="2239"/>
      <c r="S5" s="2239"/>
    </row>
    <row r="6" spans="1:20">
      <c r="A6" s="2293"/>
      <c r="B6" s="2239"/>
      <c r="C6" s="2239"/>
      <c r="D6" s="2239"/>
      <c r="E6" s="2239"/>
      <c r="F6" s="2239"/>
      <c r="G6" s="2239"/>
      <c r="H6" s="2239"/>
      <c r="I6" s="2239"/>
      <c r="J6" s="2239"/>
      <c r="K6" s="2239"/>
      <c r="L6" s="2239"/>
      <c r="M6" s="2239"/>
      <c r="N6" s="2239"/>
      <c r="O6" s="2239"/>
      <c r="P6" s="2239"/>
      <c r="Q6" s="2239"/>
      <c r="R6" s="2239"/>
      <c r="S6" s="2239"/>
    </row>
    <row r="7" spans="1:20">
      <c r="A7" s="2242"/>
      <c r="B7" s="2239"/>
      <c r="C7" s="2239"/>
      <c r="D7" s="2245" t="s">
        <v>3764</v>
      </c>
      <c r="E7" s="2244"/>
      <c r="F7" s="2244"/>
      <c r="G7" s="2244"/>
      <c r="H7" s="2244"/>
      <c r="I7" s="2244"/>
      <c r="J7" s="2244"/>
      <c r="K7" s="2244"/>
      <c r="L7" s="2244"/>
      <c r="M7" s="2244"/>
      <c r="N7" s="2244"/>
      <c r="O7" s="2244"/>
      <c r="P7" s="2244"/>
      <c r="Q7" s="2242"/>
      <c r="R7" s="2239"/>
      <c r="S7" s="2239"/>
    </row>
    <row r="8" spans="1:20">
      <c r="A8" s="2238" t="s">
        <v>3632</v>
      </c>
      <c r="B8" s="2239"/>
      <c r="C8" s="2239"/>
      <c r="D8" s="2239"/>
      <c r="E8" s="2239"/>
      <c r="F8" s="2239"/>
      <c r="G8" s="2239"/>
      <c r="H8" s="2239"/>
      <c r="I8" s="2239"/>
      <c r="J8" s="2239"/>
      <c r="K8" s="2239"/>
      <c r="L8" s="2239"/>
      <c r="M8" s="2239"/>
      <c r="N8" s="2239"/>
      <c r="O8" s="2239"/>
      <c r="P8" s="2239"/>
      <c r="Q8" s="2239"/>
      <c r="R8" s="2239"/>
      <c r="S8" s="2239"/>
    </row>
    <row r="9" spans="1:20">
      <c r="A9" s="2246"/>
      <c r="B9" s="2239"/>
      <c r="C9" s="2239"/>
      <c r="D9" s="2239"/>
      <c r="E9" s="2239"/>
      <c r="F9" s="2239"/>
      <c r="G9" s="2239"/>
      <c r="H9" s="2239"/>
      <c r="I9" s="2239"/>
      <c r="J9" s="2239"/>
      <c r="K9" s="2239"/>
      <c r="L9" s="2239"/>
      <c r="M9" s="2239"/>
      <c r="N9" s="2239"/>
      <c r="O9" s="2239"/>
      <c r="P9" s="2239"/>
      <c r="Q9" s="2239"/>
      <c r="R9" s="2239"/>
      <c r="S9" s="2239"/>
    </row>
    <row r="10" spans="1:20">
      <c r="A10" s="2247" t="s">
        <v>3652</v>
      </c>
      <c r="B10" s="2239"/>
      <c r="C10" s="2239"/>
      <c r="D10" s="2239"/>
      <c r="E10" s="2239"/>
      <c r="F10" s="2239"/>
      <c r="G10" s="2239"/>
      <c r="H10" s="2239"/>
      <c r="I10" s="2239"/>
      <c r="J10" s="2239"/>
      <c r="K10" s="2239"/>
      <c r="L10" s="2239"/>
      <c r="M10" s="2239"/>
      <c r="N10" s="2239"/>
      <c r="O10" s="2239"/>
      <c r="P10" s="2239"/>
      <c r="Q10" s="2239"/>
      <c r="R10" s="2239"/>
      <c r="S10" s="2239"/>
    </row>
    <row r="11" spans="1:20">
      <c r="A11" s="2246"/>
      <c r="B11" s="2239"/>
      <c r="C11" s="2239"/>
      <c r="D11" s="2239"/>
      <c r="E11" s="2239"/>
      <c r="F11" s="2239"/>
      <c r="G11" s="2239"/>
      <c r="H11" s="2239"/>
      <c r="I11" s="2239"/>
      <c r="J11" s="2239"/>
      <c r="K11" s="2239"/>
      <c r="L11" s="2239"/>
      <c r="M11" s="2239"/>
      <c r="N11" s="2239"/>
      <c r="O11" s="2239"/>
      <c r="P11" s="2239"/>
      <c r="Q11" s="2239"/>
      <c r="R11" s="2239"/>
      <c r="S11" s="2239"/>
    </row>
    <row r="12" spans="1:20">
      <c r="A12" s="2242"/>
      <c r="B12" s="2239"/>
      <c r="C12" s="2239"/>
      <c r="D12" s="2239"/>
      <c r="E12" s="2239"/>
      <c r="F12" s="2249" t="s">
        <v>3760</v>
      </c>
      <c r="G12" s="2244"/>
      <c r="H12" s="2244"/>
      <c r="I12" s="1433" t="s">
        <v>7</v>
      </c>
      <c r="J12" s="2249" t="s">
        <v>3765</v>
      </c>
      <c r="K12" s="2244"/>
      <c r="L12" s="2244"/>
      <c r="M12" s="2242"/>
      <c r="N12" s="2239"/>
      <c r="O12" s="2239"/>
      <c r="P12" s="2239"/>
      <c r="Q12" s="2239"/>
      <c r="R12" s="2239"/>
      <c r="S12" s="2239"/>
    </row>
    <row r="15" spans="1:20">
      <c r="A15" s="2314" t="s">
        <v>1045</v>
      </c>
      <c r="B15" s="2314" t="s">
        <v>50</v>
      </c>
      <c r="C15" s="2314" t="s">
        <v>3635</v>
      </c>
      <c r="D15" s="2253"/>
      <c r="E15" s="2314" t="s">
        <v>3638</v>
      </c>
      <c r="F15" s="2258"/>
      <c r="G15" s="2258"/>
      <c r="H15" s="2258"/>
      <c r="I15" s="2258"/>
      <c r="J15" s="2258"/>
      <c r="K15" s="2258"/>
      <c r="L15" s="2258"/>
      <c r="M15" s="2258"/>
      <c r="N15" s="2258"/>
      <c r="O15" s="2258"/>
      <c r="P15" s="2258"/>
      <c r="Q15" s="2259"/>
      <c r="R15" s="2314" t="s">
        <v>3639</v>
      </c>
      <c r="S15" s="2314" t="s">
        <v>3640</v>
      </c>
      <c r="T15" s="2253"/>
    </row>
    <row r="16" spans="1:20">
      <c r="A16" s="2251"/>
      <c r="B16" s="2251"/>
      <c r="C16" s="2254"/>
      <c r="D16" s="2255"/>
      <c r="E16" s="2314" t="s">
        <v>9</v>
      </c>
      <c r="F16" s="2253"/>
      <c r="G16" s="2314" t="s">
        <v>3641</v>
      </c>
      <c r="H16" s="2258"/>
      <c r="I16" s="2258"/>
      <c r="J16" s="2259"/>
      <c r="K16" s="2247" t="s">
        <v>3642</v>
      </c>
      <c r="L16" s="2239"/>
      <c r="M16" s="2239"/>
      <c r="N16" s="2239"/>
      <c r="O16" s="2239"/>
      <c r="P16" s="2239"/>
      <c r="Q16" s="2239"/>
      <c r="R16" s="2251"/>
      <c r="S16" s="2254"/>
      <c r="T16" s="2255"/>
    </row>
    <row r="17" spans="1:20">
      <c r="A17" s="2251"/>
      <c r="B17" s="2251"/>
      <c r="C17" s="2254"/>
      <c r="D17" s="2255"/>
      <c r="E17" s="2254"/>
      <c r="F17" s="2255"/>
      <c r="G17" s="2314" t="s">
        <v>3643</v>
      </c>
      <c r="H17" s="2315"/>
      <c r="I17" s="2258"/>
      <c r="J17" s="2258"/>
      <c r="K17" s="2316" t="s">
        <v>3644</v>
      </c>
      <c r="L17" s="2261"/>
      <c r="M17" s="2261"/>
      <c r="N17" s="2261"/>
      <c r="O17" s="2261"/>
      <c r="P17" s="2261"/>
      <c r="Q17" s="2262"/>
      <c r="R17" s="2251"/>
      <c r="S17" s="2254"/>
      <c r="T17" s="2255"/>
    </row>
    <row r="18" spans="1:20">
      <c r="A18" s="2251"/>
      <c r="B18" s="2251"/>
      <c r="C18" s="2254"/>
      <c r="D18" s="2255"/>
      <c r="E18" s="2254"/>
      <c r="F18" s="2255"/>
      <c r="G18" s="2251"/>
      <c r="H18" s="2314" t="s">
        <v>3645</v>
      </c>
      <c r="I18" s="2263"/>
      <c r="J18" s="2253"/>
      <c r="K18" s="2314" t="s">
        <v>1974</v>
      </c>
      <c r="L18" s="2258"/>
      <c r="M18" s="2258"/>
      <c r="N18" s="2258"/>
      <c r="O18" s="2258"/>
      <c r="P18" s="2258"/>
      <c r="Q18" s="2259"/>
      <c r="R18" s="2251"/>
      <c r="S18" s="2254"/>
      <c r="T18" s="2255"/>
    </row>
    <row r="19" spans="1:20" ht="51">
      <c r="A19" s="2252"/>
      <c r="B19" s="2252"/>
      <c r="C19" s="2256"/>
      <c r="D19" s="2257"/>
      <c r="E19" s="2256"/>
      <c r="F19" s="2257"/>
      <c r="G19" s="2252"/>
      <c r="H19" s="2256"/>
      <c r="I19" s="2244"/>
      <c r="J19" s="2257"/>
      <c r="K19" s="1434" t="s">
        <v>3645</v>
      </c>
      <c r="L19" s="2314" t="s">
        <v>2010</v>
      </c>
      <c r="M19" s="2259"/>
      <c r="N19" s="2314" t="s">
        <v>61</v>
      </c>
      <c r="O19" s="2259"/>
      <c r="P19" s="2314" t="s">
        <v>60</v>
      </c>
      <c r="Q19" s="2259"/>
      <c r="R19" s="2252"/>
      <c r="S19" s="2256"/>
      <c r="T19" s="2257"/>
    </row>
    <row r="20" spans="1:20">
      <c r="A20" s="1435" t="s">
        <v>2024</v>
      </c>
      <c r="B20" s="1435" t="s">
        <v>2534</v>
      </c>
      <c r="C20" s="2317" t="s">
        <v>2535</v>
      </c>
      <c r="D20" s="2259"/>
      <c r="E20" s="2317" t="s">
        <v>2072</v>
      </c>
      <c r="F20" s="2259"/>
      <c r="G20" s="1435" t="s">
        <v>2074</v>
      </c>
      <c r="H20" s="2317" t="s">
        <v>2075</v>
      </c>
      <c r="I20" s="2258"/>
      <c r="J20" s="2259"/>
      <c r="K20" s="1435" t="s">
        <v>2026</v>
      </c>
      <c r="L20" s="2317" t="s">
        <v>1706</v>
      </c>
      <c r="M20" s="2259"/>
      <c r="N20" s="2317" t="s">
        <v>1707</v>
      </c>
      <c r="O20" s="2259"/>
      <c r="P20" s="2317" t="s">
        <v>1709</v>
      </c>
      <c r="Q20" s="2259"/>
      <c r="R20" s="1435" t="s">
        <v>1710</v>
      </c>
      <c r="S20" s="2317" t="s">
        <v>1711</v>
      </c>
      <c r="T20" s="2259"/>
    </row>
    <row r="21" spans="1:20" ht="38.25">
      <c r="A21" s="1662" t="s">
        <v>1052</v>
      </c>
      <c r="B21" s="1660" t="s">
        <v>345</v>
      </c>
      <c r="C21" s="2318" t="s">
        <v>1175</v>
      </c>
      <c r="D21" s="2319"/>
      <c r="E21" s="2320">
        <f>SUM(G21:Q21)</f>
        <v>198996.00000000003</v>
      </c>
      <c r="F21" s="2266"/>
      <c r="G21" s="1661">
        <v>169146.6</v>
      </c>
      <c r="H21" s="2320">
        <v>14924.7</v>
      </c>
      <c r="I21" s="2268"/>
      <c r="J21" s="2266"/>
      <c r="K21" s="1661">
        <v>0</v>
      </c>
      <c r="L21" s="2320">
        <v>14924.7</v>
      </c>
      <c r="M21" s="2266"/>
      <c r="N21" s="2320">
        <v>0</v>
      </c>
      <c r="O21" s="2266"/>
      <c r="P21" s="2320">
        <v>0</v>
      </c>
      <c r="Q21" s="2266"/>
      <c r="R21" s="1441">
        <v>43220</v>
      </c>
      <c r="S21" s="2321"/>
      <c r="T21" s="2266"/>
    </row>
    <row r="22" spans="1:20" ht="51">
      <c r="A22" s="1662" t="s">
        <v>3647</v>
      </c>
      <c r="B22" s="1660" t="s">
        <v>1178</v>
      </c>
      <c r="C22" s="2318" t="s">
        <v>1177</v>
      </c>
      <c r="D22" s="2319"/>
      <c r="E22" s="2320">
        <f>SUM(G22:Q22)</f>
        <v>198997.18000000002</v>
      </c>
      <c r="F22" s="2266"/>
      <c r="G22" s="1661">
        <v>169147.6</v>
      </c>
      <c r="H22" s="2320">
        <v>14924.79</v>
      </c>
      <c r="I22" s="2268"/>
      <c r="J22" s="2266"/>
      <c r="K22" s="1661">
        <v>0</v>
      </c>
      <c r="L22" s="2320">
        <v>14924.79</v>
      </c>
      <c r="M22" s="2266"/>
      <c r="N22" s="2320">
        <v>0</v>
      </c>
      <c r="O22" s="2266"/>
      <c r="P22" s="2320">
        <v>0</v>
      </c>
      <c r="Q22" s="2266"/>
      <c r="R22" s="1441">
        <v>43220</v>
      </c>
      <c r="S22" s="2321"/>
      <c r="T22" s="2266"/>
    </row>
    <row r="23" spans="1:20" ht="51">
      <c r="A23" s="1662" t="s">
        <v>1087</v>
      </c>
      <c r="B23" s="1660" t="s">
        <v>1198</v>
      </c>
      <c r="C23" s="2318" t="s">
        <v>1197</v>
      </c>
      <c r="D23" s="2319"/>
      <c r="E23" s="2320">
        <f>SUM(G23:Q23)</f>
        <v>198997.18000000002</v>
      </c>
      <c r="F23" s="2266"/>
      <c r="G23" s="1661">
        <v>169147.6</v>
      </c>
      <c r="H23" s="2320">
        <v>14924.79</v>
      </c>
      <c r="I23" s="2268"/>
      <c r="J23" s="2266"/>
      <c r="K23" s="1661">
        <v>0</v>
      </c>
      <c r="L23" s="2320">
        <v>14924.79</v>
      </c>
      <c r="M23" s="2266"/>
      <c r="N23" s="2320">
        <v>0</v>
      </c>
      <c r="O23" s="2266"/>
      <c r="P23" s="2320">
        <v>0</v>
      </c>
      <c r="Q23" s="2266"/>
      <c r="R23" s="1441">
        <v>43217</v>
      </c>
      <c r="S23" s="2321"/>
      <c r="T23" s="2266"/>
    </row>
    <row r="24" spans="1:20" ht="51">
      <c r="A24" s="1662" t="s">
        <v>843</v>
      </c>
      <c r="B24" s="1660" t="s">
        <v>1196</v>
      </c>
      <c r="C24" s="2318" t="s">
        <v>1195</v>
      </c>
      <c r="D24" s="2319"/>
      <c r="E24" s="2320">
        <f>SUM(G24:Q24)</f>
        <v>198997.18000000002</v>
      </c>
      <c r="F24" s="2266"/>
      <c r="G24" s="1661">
        <v>169147.6</v>
      </c>
      <c r="H24" s="2320">
        <v>14924.79</v>
      </c>
      <c r="I24" s="2268"/>
      <c r="J24" s="2266"/>
      <c r="K24" s="1661">
        <v>0</v>
      </c>
      <c r="L24" s="2320">
        <v>14924.79</v>
      </c>
      <c r="M24" s="2266"/>
      <c r="N24" s="2320">
        <v>0</v>
      </c>
      <c r="O24" s="2266"/>
      <c r="P24" s="2320">
        <v>0</v>
      </c>
      <c r="Q24" s="2266"/>
      <c r="R24" s="1441">
        <v>43217</v>
      </c>
      <c r="S24" s="2321"/>
      <c r="T24" s="2266"/>
    </row>
    <row r="25" spans="1:20" ht="51.75" thickBot="1">
      <c r="A25" s="1662" t="s">
        <v>1070</v>
      </c>
      <c r="B25" s="1660" t="s">
        <v>276</v>
      </c>
      <c r="C25" s="2318" t="s">
        <v>1179</v>
      </c>
      <c r="D25" s="2319"/>
      <c r="E25" s="2320">
        <f>SUM(G25:Q25)</f>
        <v>198997</v>
      </c>
      <c r="F25" s="2266"/>
      <c r="G25" s="1661">
        <v>169147.45</v>
      </c>
      <c r="H25" s="2320">
        <v>14924.55</v>
      </c>
      <c r="I25" s="2268"/>
      <c r="J25" s="2266"/>
      <c r="K25" s="1661">
        <v>0</v>
      </c>
      <c r="L25" s="2320">
        <v>14925</v>
      </c>
      <c r="M25" s="2266"/>
      <c r="N25" s="2320">
        <v>0</v>
      </c>
      <c r="O25" s="2266"/>
      <c r="P25" s="2320">
        <v>0</v>
      </c>
      <c r="Q25" s="2266"/>
      <c r="R25" s="1441">
        <v>43223</v>
      </c>
      <c r="S25" s="2321"/>
      <c r="T25" s="2266"/>
    </row>
    <row r="26" spans="1:20" ht="12.75" customHeight="1">
      <c r="A26" s="2326" t="s">
        <v>3649</v>
      </c>
      <c r="B26" s="2327"/>
      <c r="C26" s="2327"/>
      <c r="D26" s="2327"/>
      <c r="E26" s="2328">
        <f>SUM(E21:E25)</f>
        <v>994984.54000000015</v>
      </c>
      <c r="F26" s="2329"/>
      <c r="G26" s="1663">
        <f>SUM(G21:G25)</f>
        <v>845736.85000000009</v>
      </c>
      <c r="H26" s="2330">
        <f>SUM(H21:H25)</f>
        <v>74623.62</v>
      </c>
      <c r="I26" s="2331"/>
      <c r="J26" s="2332"/>
      <c r="K26" s="1664">
        <v>0</v>
      </c>
      <c r="L26" s="2330">
        <f>SUM(L21:L25)</f>
        <v>74624.070000000007</v>
      </c>
      <c r="M26" s="2332"/>
      <c r="N26" s="2330">
        <v>0</v>
      </c>
      <c r="O26" s="2332"/>
      <c r="P26" s="2330">
        <v>0</v>
      </c>
      <c r="Q26" s="2332"/>
      <c r="R26" s="2322"/>
      <c r="S26" s="2279"/>
      <c r="T26" s="2280"/>
    </row>
    <row r="27" spans="1:20">
      <c r="A27" s="2323" t="s">
        <v>3650</v>
      </c>
      <c r="B27" s="2324"/>
      <c r="C27" s="2324"/>
      <c r="D27" s="2324"/>
      <c r="E27" s="2324"/>
      <c r="F27" s="2325"/>
      <c r="G27" s="1669">
        <v>845738</v>
      </c>
    </row>
    <row r="29" spans="1:20">
      <c r="G29" s="1606"/>
    </row>
  </sheetData>
  <mergeCells count="87">
    <mergeCell ref="R26:T26"/>
    <mergeCell ref="A27:F27"/>
    <mergeCell ref="A26:D26"/>
    <mergeCell ref="E26:F26"/>
    <mergeCell ref="H26:J26"/>
    <mergeCell ref="L26:M26"/>
    <mergeCell ref="N26:O26"/>
    <mergeCell ref="P26:Q26"/>
    <mergeCell ref="S24:T24"/>
    <mergeCell ref="C25:D25"/>
    <mergeCell ref="E25:F25"/>
    <mergeCell ref="H25:J25"/>
    <mergeCell ref="L25:M25"/>
    <mergeCell ref="N25:O25"/>
    <mergeCell ref="P25:Q25"/>
    <mergeCell ref="S25:T25"/>
    <mergeCell ref="C24:D24"/>
    <mergeCell ref="E24:F24"/>
    <mergeCell ref="H24:J24"/>
    <mergeCell ref="L24:M24"/>
    <mergeCell ref="N24:O24"/>
    <mergeCell ref="P24:Q24"/>
    <mergeCell ref="S22:T22"/>
    <mergeCell ref="C23:D23"/>
    <mergeCell ref="E23:F23"/>
    <mergeCell ref="H23:J23"/>
    <mergeCell ref="L23:M23"/>
    <mergeCell ref="N23:O23"/>
    <mergeCell ref="P23:Q23"/>
    <mergeCell ref="S23:T23"/>
    <mergeCell ref="C22:D22"/>
    <mergeCell ref="E22:F22"/>
    <mergeCell ref="H22:J22"/>
    <mergeCell ref="L22:M22"/>
    <mergeCell ref="N22:O22"/>
    <mergeCell ref="P22:Q22"/>
    <mergeCell ref="S20:T20"/>
    <mergeCell ref="C21:D21"/>
    <mergeCell ref="E21:F21"/>
    <mergeCell ref="H21:J21"/>
    <mergeCell ref="L21:M21"/>
    <mergeCell ref="N21:O21"/>
    <mergeCell ref="P21:Q21"/>
    <mergeCell ref="S21:T21"/>
    <mergeCell ref="C20:D20"/>
    <mergeCell ref="E20:F20"/>
    <mergeCell ref="H20:J20"/>
    <mergeCell ref="L20:M20"/>
    <mergeCell ref="N20:O20"/>
    <mergeCell ref="P20:Q20"/>
    <mergeCell ref="A15:A19"/>
    <mergeCell ref="B15:B19"/>
    <mergeCell ref="C15:D19"/>
    <mergeCell ref="E15:Q15"/>
    <mergeCell ref="R15:R19"/>
    <mergeCell ref="H17:J17"/>
    <mergeCell ref="K17:Q17"/>
    <mergeCell ref="H18:J19"/>
    <mergeCell ref="K18:Q18"/>
    <mergeCell ref="L19:M19"/>
    <mergeCell ref="N19:O19"/>
    <mergeCell ref="P19:Q19"/>
    <mergeCell ref="S15:T19"/>
    <mergeCell ref="E16:F19"/>
    <mergeCell ref="G16:J16"/>
    <mergeCell ref="K16:Q16"/>
    <mergeCell ref="G17:G19"/>
    <mergeCell ref="A9:S9"/>
    <mergeCell ref="A10:S10"/>
    <mergeCell ref="A11:S11"/>
    <mergeCell ref="A12:E12"/>
    <mergeCell ref="F12:H12"/>
    <mergeCell ref="J12:L12"/>
    <mergeCell ref="M12:S12"/>
    <mergeCell ref="A8:S8"/>
    <mergeCell ref="A2:N2"/>
    <mergeCell ref="O2:S2"/>
    <mergeCell ref="A3:N3"/>
    <mergeCell ref="O3:S3"/>
    <mergeCell ref="A4:C4"/>
    <mergeCell ref="D4:P4"/>
    <mergeCell ref="Q4:S4"/>
    <mergeCell ref="A5:S5"/>
    <mergeCell ref="A6:S6"/>
    <mergeCell ref="A7:C7"/>
    <mergeCell ref="D7:P7"/>
    <mergeCell ref="Q7:S7"/>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2:V27"/>
  <sheetViews>
    <sheetView workbookViewId="0">
      <selection activeCell="G21" sqref="G21:H21"/>
    </sheetView>
  </sheetViews>
  <sheetFormatPr defaultRowHeight="15"/>
  <cols>
    <col min="1" max="1" width="5.42578125" style="21" customWidth="1"/>
    <col min="2" max="2" width="13.7109375" style="21" customWidth="1"/>
    <col min="3" max="3" width="18.42578125" style="21" customWidth="1"/>
    <col min="4" max="4" width="0.140625" style="21" hidden="1" customWidth="1"/>
    <col min="5" max="5" width="18.28515625" style="21" hidden="1" customWidth="1"/>
    <col min="6" max="6" width="15.28515625" style="21" hidden="1" customWidth="1"/>
    <col min="7" max="7" width="12.42578125" style="21" customWidth="1"/>
    <col min="8" max="8" width="4.42578125" style="21" customWidth="1"/>
    <col min="9" max="9" width="16.7109375" style="21" customWidth="1"/>
    <col min="10" max="10" width="1" style="21" customWidth="1"/>
    <col min="11" max="11" width="7.140625" style="21" customWidth="1"/>
    <col min="12" max="12" width="8.7109375" style="21" customWidth="1"/>
    <col min="13" max="13" width="16.5703125" style="21" customWidth="1"/>
    <col min="14" max="14" width="1.85546875" style="21" customWidth="1"/>
    <col min="15" max="15" width="16.140625" style="21" customWidth="1"/>
    <col min="16" max="16" width="17.7109375" style="21" customWidth="1"/>
    <col min="17" max="17" width="2.85546875" style="21" hidden="1" customWidth="1"/>
    <col min="18" max="18" width="17" style="21" customWidth="1"/>
    <col min="19" max="19" width="3.85546875" style="21" hidden="1" customWidth="1"/>
    <col min="20" max="20" width="20.285156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42578125" style="21" customWidth="1"/>
    <col min="260" max="262" width="0" style="21" hidden="1" customWidth="1"/>
    <col min="263" max="263" width="12.42578125" style="21" customWidth="1"/>
    <col min="264" max="264" width="4.42578125" style="21" customWidth="1"/>
    <col min="265" max="265" width="16.7109375" style="21" customWidth="1"/>
    <col min="266" max="266" width="1" style="21" customWidth="1"/>
    <col min="267" max="267" width="7.140625" style="21" customWidth="1"/>
    <col min="268" max="268" width="8.7109375" style="21" customWidth="1"/>
    <col min="269" max="269" width="16.5703125" style="21" customWidth="1"/>
    <col min="270" max="270" width="1.85546875" style="21" customWidth="1"/>
    <col min="271" max="271" width="16.140625" style="21" customWidth="1"/>
    <col min="272" max="272" width="17.7109375" style="21" customWidth="1"/>
    <col min="273" max="273" width="0" style="21" hidden="1" customWidth="1"/>
    <col min="274" max="274" width="17" style="21" customWidth="1"/>
    <col min="275" max="275" width="0" style="21" hidden="1" customWidth="1"/>
    <col min="276" max="276" width="20.285156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42578125" style="21" customWidth="1"/>
    <col min="516" max="518" width="0" style="21" hidden="1" customWidth="1"/>
    <col min="519" max="519" width="12.42578125" style="21" customWidth="1"/>
    <col min="520" max="520" width="4.42578125" style="21" customWidth="1"/>
    <col min="521" max="521" width="16.7109375" style="21" customWidth="1"/>
    <col min="522" max="522" width="1" style="21" customWidth="1"/>
    <col min="523" max="523" width="7.140625" style="21" customWidth="1"/>
    <col min="524" max="524" width="8.7109375" style="21" customWidth="1"/>
    <col min="525" max="525" width="16.5703125" style="21" customWidth="1"/>
    <col min="526" max="526" width="1.85546875" style="21" customWidth="1"/>
    <col min="527" max="527" width="16.140625" style="21" customWidth="1"/>
    <col min="528" max="528" width="17.7109375" style="21" customWidth="1"/>
    <col min="529" max="529" width="0" style="21" hidden="1" customWidth="1"/>
    <col min="530" max="530" width="17" style="21" customWidth="1"/>
    <col min="531" max="531" width="0" style="21" hidden="1" customWidth="1"/>
    <col min="532" max="532" width="20.285156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42578125" style="21" customWidth="1"/>
    <col min="772" max="774" width="0" style="21" hidden="1" customWidth="1"/>
    <col min="775" max="775" width="12.42578125" style="21" customWidth="1"/>
    <col min="776" max="776" width="4.42578125" style="21" customWidth="1"/>
    <col min="777" max="777" width="16.7109375" style="21" customWidth="1"/>
    <col min="778" max="778" width="1" style="21" customWidth="1"/>
    <col min="779" max="779" width="7.140625" style="21" customWidth="1"/>
    <col min="780" max="780" width="8.7109375" style="21" customWidth="1"/>
    <col min="781" max="781" width="16.5703125" style="21" customWidth="1"/>
    <col min="782" max="782" width="1.85546875" style="21" customWidth="1"/>
    <col min="783" max="783" width="16.140625" style="21" customWidth="1"/>
    <col min="784" max="784" width="17.7109375" style="21" customWidth="1"/>
    <col min="785" max="785" width="0" style="21" hidden="1" customWidth="1"/>
    <col min="786" max="786" width="17" style="21" customWidth="1"/>
    <col min="787" max="787" width="0" style="21" hidden="1" customWidth="1"/>
    <col min="788" max="788" width="20.285156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42578125" style="21" customWidth="1"/>
    <col min="1028" max="1030" width="0" style="21" hidden="1" customWidth="1"/>
    <col min="1031" max="1031" width="12.42578125" style="21" customWidth="1"/>
    <col min="1032" max="1032" width="4.42578125" style="21" customWidth="1"/>
    <col min="1033" max="1033" width="16.7109375" style="21" customWidth="1"/>
    <col min="1034" max="1034" width="1" style="21" customWidth="1"/>
    <col min="1035" max="1035" width="7.140625" style="21" customWidth="1"/>
    <col min="1036" max="1036" width="8.7109375" style="21" customWidth="1"/>
    <col min="1037" max="1037" width="16.5703125" style="21" customWidth="1"/>
    <col min="1038" max="1038" width="1.85546875" style="21" customWidth="1"/>
    <col min="1039" max="1039" width="16.140625" style="21" customWidth="1"/>
    <col min="1040" max="1040" width="17.7109375" style="21" customWidth="1"/>
    <col min="1041" max="1041" width="0" style="21" hidden="1" customWidth="1"/>
    <col min="1042" max="1042" width="17" style="21" customWidth="1"/>
    <col min="1043" max="1043" width="0" style="21" hidden="1" customWidth="1"/>
    <col min="1044" max="1044" width="20.285156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42578125" style="21" customWidth="1"/>
    <col min="1284" max="1286" width="0" style="21" hidden="1" customWidth="1"/>
    <col min="1287" max="1287" width="12.42578125" style="21" customWidth="1"/>
    <col min="1288" max="1288" width="4.42578125" style="21" customWidth="1"/>
    <col min="1289" max="1289" width="16.7109375" style="21" customWidth="1"/>
    <col min="1290" max="1290" width="1" style="21" customWidth="1"/>
    <col min="1291" max="1291" width="7.140625" style="21" customWidth="1"/>
    <col min="1292" max="1292" width="8.7109375" style="21" customWidth="1"/>
    <col min="1293" max="1293" width="16.5703125" style="21" customWidth="1"/>
    <col min="1294" max="1294" width="1.85546875" style="21" customWidth="1"/>
    <col min="1295" max="1295" width="16.140625" style="21" customWidth="1"/>
    <col min="1296" max="1296" width="17.7109375" style="21" customWidth="1"/>
    <col min="1297" max="1297" width="0" style="21" hidden="1" customWidth="1"/>
    <col min="1298" max="1298" width="17" style="21" customWidth="1"/>
    <col min="1299" max="1299" width="0" style="21" hidden="1" customWidth="1"/>
    <col min="1300" max="1300" width="20.285156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42578125" style="21" customWidth="1"/>
    <col min="1540" max="1542" width="0" style="21" hidden="1" customWidth="1"/>
    <col min="1543" max="1543" width="12.42578125" style="21" customWidth="1"/>
    <col min="1544" max="1544" width="4.42578125" style="21" customWidth="1"/>
    <col min="1545" max="1545" width="16.7109375" style="21" customWidth="1"/>
    <col min="1546" max="1546" width="1" style="21" customWidth="1"/>
    <col min="1547" max="1547" width="7.140625" style="21" customWidth="1"/>
    <col min="1548" max="1548" width="8.7109375" style="21" customWidth="1"/>
    <col min="1549" max="1549" width="16.5703125" style="21" customWidth="1"/>
    <col min="1550" max="1550" width="1.85546875" style="21" customWidth="1"/>
    <col min="1551" max="1551" width="16.140625" style="21" customWidth="1"/>
    <col min="1552" max="1552" width="17.7109375" style="21" customWidth="1"/>
    <col min="1553" max="1553" width="0" style="21" hidden="1" customWidth="1"/>
    <col min="1554" max="1554" width="17" style="21" customWidth="1"/>
    <col min="1555" max="1555" width="0" style="21" hidden="1" customWidth="1"/>
    <col min="1556" max="1556" width="20.285156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42578125" style="21" customWidth="1"/>
    <col min="1796" max="1798" width="0" style="21" hidden="1" customWidth="1"/>
    <col min="1799" max="1799" width="12.42578125" style="21" customWidth="1"/>
    <col min="1800" max="1800" width="4.42578125" style="21" customWidth="1"/>
    <col min="1801" max="1801" width="16.7109375" style="21" customWidth="1"/>
    <col min="1802" max="1802" width="1" style="21" customWidth="1"/>
    <col min="1803" max="1803" width="7.140625" style="21" customWidth="1"/>
    <col min="1804" max="1804" width="8.7109375" style="21" customWidth="1"/>
    <col min="1805" max="1805" width="16.5703125" style="21" customWidth="1"/>
    <col min="1806" max="1806" width="1.85546875" style="21" customWidth="1"/>
    <col min="1807" max="1807" width="16.140625" style="21" customWidth="1"/>
    <col min="1808" max="1808" width="17.7109375" style="21" customWidth="1"/>
    <col min="1809" max="1809" width="0" style="21" hidden="1" customWidth="1"/>
    <col min="1810" max="1810" width="17" style="21" customWidth="1"/>
    <col min="1811" max="1811" width="0" style="21" hidden="1" customWidth="1"/>
    <col min="1812" max="1812" width="20.285156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42578125" style="21" customWidth="1"/>
    <col min="2052" max="2054" width="0" style="21" hidden="1" customWidth="1"/>
    <col min="2055" max="2055" width="12.42578125" style="21" customWidth="1"/>
    <col min="2056" max="2056" width="4.42578125" style="21" customWidth="1"/>
    <col min="2057" max="2057" width="16.7109375" style="21" customWidth="1"/>
    <col min="2058" max="2058" width="1" style="21" customWidth="1"/>
    <col min="2059" max="2059" width="7.140625" style="21" customWidth="1"/>
    <col min="2060" max="2060" width="8.7109375" style="21" customWidth="1"/>
    <col min="2061" max="2061" width="16.5703125" style="21" customWidth="1"/>
    <col min="2062" max="2062" width="1.85546875" style="21" customWidth="1"/>
    <col min="2063" max="2063" width="16.140625" style="21" customWidth="1"/>
    <col min="2064" max="2064" width="17.7109375" style="21" customWidth="1"/>
    <col min="2065" max="2065" width="0" style="21" hidden="1" customWidth="1"/>
    <col min="2066" max="2066" width="17" style="21" customWidth="1"/>
    <col min="2067" max="2067" width="0" style="21" hidden="1" customWidth="1"/>
    <col min="2068" max="2068" width="20.285156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42578125" style="21" customWidth="1"/>
    <col min="2308" max="2310" width="0" style="21" hidden="1" customWidth="1"/>
    <col min="2311" max="2311" width="12.42578125" style="21" customWidth="1"/>
    <col min="2312" max="2312" width="4.42578125" style="21" customWidth="1"/>
    <col min="2313" max="2313" width="16.7109375" style="21" customWidth="1"/>
    <col min="2314" max="2314" width="1" style="21" customWidth="1"/>
    <col min="2315" max="2315" width="7.140625" style="21" customWidth="1"/>
    <col min="2316" max="2316" width="8.7109375" style="21" customWidth="1"/>
    <col min="2317" max="2317" width="16.5703125" style="21" customWidth="1"/>
    <col min="2318" max="2318" width="1.85546875" style="21" customWidth="1"/>
    <col min="2319" max="2319" width="16.140625" style="21" customWidth="1"/>
    <col min="2320" max="2320" width="17.7109375" style="21" customWidth="1"/>
    <col min="2321" max="2321" width="0" style="21" hidden="1" customWidth="1"/>
    <col min="2322" max="2322" width="17" style="21" customWidth="1"/>
    <col min="2323" max="2323" width="0" style="21" hidden="1" customWidth="1"/>
    <col min="2324" max="2324" width="20.285156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42578125" style="21" customWidth="1"/>
    <col min="2564" max="2566" width="0" style="21" hidden="1" customWidth="1"/>
    <col min="2567" max="2567" width="12.42578125" style="21" customWidth="1"/>
    <col min="2568" max="2568" width="4.42578125" style="21" customWidth="1"/>
    <col min="2569" max="2569" width="16.7109375" style="21" customWidth="1"/>
    <col min="2570" max="2570" width="1" style="21" customWidth="1"/>
    <col min="2571" max="2571" width="7.140625" style="21" customWidth="1"/>
    <col min="2572" max="2572" width="8.7109375" style="21" customWidth="1"/>
    <col min="2573" max="2573" width="16.5703125" style="21" customWidth="1"/>
    <col min="2574" max="2574" width="1.85546875" style="21" customWidth="1"/>
    <col min="2575" max="2575" width="16.140625" style="21" customWidth="1"/>
    <col min="2576" max="2576" width="17.7109375" style="21" customWidth="1"/>
    <col min="2577" max="2577" width="0" style="21" hidden="1" customWidth="1"/>
    <col min="2578" max="2578" width="17" style="21" customWidth="1"/>
    <col min="2579" max="2579" width="0" style="21" hidden="1" customWidth="1"/>
    <col min="2580" max="2580" width="20.285156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42578125" style="21" customWidth="1"/>
    <col min="2820" max="2822" width="0" style="21" hidden="1" customWidth="1"/>
    <col min="2823" max="2823" width="12.42578125" style="21" customWidth="1"/>
    <col min="2824" max="2824" width="4.42578125" style="21" customWidth="1"/>
    <col min="2825" max="2825" width="16.7109375" style="21" customWidth="1"/>
    <col min="2826" max="2826" width="1" style="21" customWidth="1"/>
    <col min="2827" max="2827" width="7.140625" style="21" customWidth="1"/>
    <col min="2828" max="2828" width="8.7109375" style="21" customWidth="1"/>
    <col min="2829" max="2829" width="16.5703125" style="21" customWidth="1"/>
    <col min="2830" max="2830" width="1.85546875" style="21" customWidth="1"/>
    <col min="2831" max="2831" width="16.140625" style="21" customWidth="1"/>
    <col min="2832" max="2832" width="17.7109375" style="21" customWidth="1"/>
    <col min="2833" max="2833" width="0" style="21" hidden="1" customWidth="1"/>
    <col min="2834" max="2834" width="17" style="21" customWidth="1"/>
    <col min="2835" max="2835" width="0" style="21" hidden="1" customWidth="1"/>
    <col min="2836" max="2836" width="20.285156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42578125" style="21" customWidth="1"/>
    <col min="3076" max="3078" width="0" style="21" hidden="1" customWidth="1"/>
    <col min="3079" max="3079" width="12.42578125" style="21" customWidth="1"/>
    <col min="3080" max="3080" width="4.42578125" style="21" customWidth="1"/>
    <col min="3081" max="3081" width="16.7109375" style="21" customWidth="1"/>
    <col min="3082" max="3082" width="1" style="21" customWidth="1"/>
    <col min="3083" max="3083" width="7.140625" style="21" customWidth="1"/>
    <col min="3084" max="3084" width="8.7109375" style="21" customWidth="1"/>
    <col min="3085" max="3085" width="16.5703125" style="21" customWidth="1"/>
    <col min="3086" max="3086" width="1.85546875" style="21" customWidth="1"/>
    <col min="3087" max="3087" width="16.140625" style="21" customWidth="1"/>
    <col min="3088" max="3088" width="17.7109375" style="21" customWidth="1"/>
    <col min="3089" max="3089" width="0" style="21" hidden="1" customWidth="1"/>
    <col min="3090" max="3090" width="17" style="21" customWidth="1"/>
    <col min="3091" max="3091" width="0" style="21" hidden="1" customWidth="1"/>
    <col min="3092" max="3092" width="20.285156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42578125" style="21" customWidth="1"/>
    <col min="3332" max="3334" width="0" style="21" hidden="1" customWidth="1"/>
    <col min="3335" max="3335" width="12.42578125" style="21" customWidth="1"/>
    <col min="3336" max="3336" width="4.42578125" style="21" customWidth="1"/>
    <col min="3337" max="3337" width="16.7109375" style="21" customWidth="1"/>
    <col min="3338" max="3338" width="1" style="21" customWidth="1"/>
    <col min="3339" max="3339" width="7.140625" style="21" customWidth="1"/>
    <col min="3340" max="3340" width="8.7109375" style="21" customWidth="1"/>
    <col min="3341" max="3341" width="16.5703125" style="21" customWidth="1"/>
    <col min="3342" max="3342" width="1.85546875" style="21" customWidth="1"/>
    <col min="3343" max="3343" width="16.140625" style="21" customWidth="1"/>
    <col min="3344" max="3344" width="17.7109375" style="21" customWidth="1"/>
    <col min="3345" max="3345" width="0" style="21" hidden="1" customWidth="1"/>
    <col min="3346" max="3346" width="17" style="21" customWidth="1"/>
    <col min="3347" max="3347" width="0" style="21" hidden="1" customWidth="1"/>
    <col min="3348" max="3348" width="20.285156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42578125" style="21" customWidth="1"/>
    <col min="3588" max="3590" width="0" style="21" hidden="1" customWidth="1"/>
    <col min="3591" max="3591" width="12.42578125" style="21" customWidth="1"/>
    <col min="3592" max="3592" width="4.42578125" style="21" customWidth="1"/>
    <col min="3593" max="3593" width="16.7109375" style="21" customWidth="1"/>
    <col min="3594" max="3594" width="1" style="21" customWidth="1"/>
    <col min="3595" max="3595" width="7.140625" style="21" customWidth="1"/>
    <col min="3596" max="3596" width="8.7109375" style="21" customWidth="1"/>
    <col min="3597" max="3597" width="16.5703125" style="21" customWidth="1"/>
    <col min="3598" max="3598" width="1.85546875" style="21" customWidth="1"/>
    <col min="3599" max="3599" width="16.140625" style="21" customWidth="1"/>
    <col min="3600" max="3600" width="17.7109375" style="21" customWidth="1"/>
    <col min="3601" max="3601" width="0" style="21" hidden="1" customWidth="1"/>
    <col min="3602" max="3602" width="17" style="21" customWidth="1"/>
    <col min="3603" max="3603" width="0" style="21" hidden="1" customWidth="1"/>
    <col min="3604" max="3604" width="20.285156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42578125" style="21" customWidth="1"/>
    <col min="3844" max="3846" width="0" style="21" hidden="1" customWidth="1"/>
    <col min="3847" max="3847" width="12.42578125" style="21" customWidth="1"/>
    <col min="3848" max="3848" width="4.42578125" style="21" customWidth="1"/>
    <col min="3849" max="3849" width="16.7109375" style="21" customWidth="1"/>
    <col min="3850" max="3850" width="1" style="21" customWidth="1"/>
    <col min="3851" max="3851" width="7.140625" style="21" customWidth="1"/>
    <col min="3852" max="3852" width="8.7109375" style="21" customWidth="1"/>
    <col min="3853" max="3853" width="16.5703125" style="21" customWidth="1"/>
    <col min="3854" max="3854" width="1.85546875" style="21" customWidth="1"/>
    <col min="3855" max="3855" width="16.140625" style="21" customWidth="1"/>
    <col min="3856" max="3856" width="17.7109375" style="21" customWidth="1"/>
    <col min="3857" max="3857" width="0" style="21" hidden="1" customWidth="1"/>
    <col min="3858" max="3858" width="17" style="21" customWidth="1"/>
    <col min="3859" max="3859" width="0" style="21" hidden="1" customWidth="1"/>
    <col min="3860" max="3860" width="20.285156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42578125" style="21" customWidth="1"/>
    <col min="4100" max="4102" width="0" style="21" hidden="1" customWidth="1"/>
    <col min="4103" max="4103" width="12.42578125" style="21" customWidth="1"/>
    <col min="4104" max="4104" width="4.42578125" style="21" customWidth="1"/>
    <col min="4105" max="4105" width="16.7109375" style="21" customWidth="1"/>
    <col min="4106" max="4106" width="1" style="21" customWidth="1"/>
    <col min="4107" max="4107" width="7.140625" style="21" customWidth="1"/>
    <col min="4108" max="4108" width="8.7109375" style="21" customWidth="1"/>
    <col min="4109" max="4109" width="16.5703125" style="21" customWidth="1"/>
    <col min="4110" max="4110" width="1.85546875" style="21" customWidth="1"/>
    <col min="4111" max="4111" width="16.140625" style="21" customWidth="1"/>
    <col min="4112" max="4112" width="17.7109375" style="21" customWidth="1"/>
    <col min="4113" max="4113" width="0" style="21" hidden="1" customWidth="1"/>
    <col min="4114" max="4114" width="17" style="21" customWidth="1"/>
    <col min="4115" max="4115" width="0" style="21" hidden="1" customWidth="1"/>
    <col min="4116" max="4116" width="20.285156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42578125" style="21" customWidth="1"/>
    <col min="4356" max="4358" width="0" style="21" hidden="1" customWidth="1"/>
    <col min="4359" max="4359" width="12.42578125" style="21" customWidth="1"/>
    <col min="4360" max="4360" width="4.42578125" style="21" customWidth="1"/>
    <col min="4361" max="4361" width="16.7109375" style="21" customWidth="1"/>
    <col min="4362" max="4362" width="1" style="21" customWidth="1"/>
    <col min="4363" max="4363" width="7.140625" style="21" customWidth="1"/>
    <col min="4364" max="4364" width="8.7109375" style="21" customWidth="1"/>
    <col min="4365" max="4365" width="16.5703125" style="21" customWidth="1"/>
    <col min="4366" max="4366" width="1.85546875" style="21" customWidth="1"/>
    <col min="4367" max="4367" width="16.140625" style="21" customWidth="1"/>
    <col min="4368" max="4368" width="17.7109375" style="21" customWidth="1"/>
    <col min="4369" max="4369" width="0" style="21" hidden="1" customWidth="1"/>
    <col min="4370" max="4370" width="17" style="21" customWidth="1"/>
    <col min="4371" max="4371" width="0" style="21" hidden="1" customWidth="1"/>
    <col min="4372" max="4372" width="20.285156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42578125" style="21" customWidth="1"/>
    <col min="4612" max="4614" width="0" style="21" hidden="1" customWidth="1"/>
    <col min="4615" max="4615" width="12.42578125" style="21" customWidth="1"/>
    <col min="4616" max="4616" width="4.42578125" style="21" customWidth="1"/>
    <col min="4617" max="4617" width="16.7109375" style="21" customWidth="1"/>
    <col min="4618" max="4618" width="1" style="21" customWidth="1"/>
    <col min="4619" max="4619" width="7.140625" style="21" customWidth="1"/>
    <col min="4620" max="4620" width="8.7109375" style="21" customWidth="1"/>
    <col min="4621" max="4621" width="16.5703125" style="21" customWidth="1"/>
    <col min="4622" max="4622" width="1.85546875" style="21" customWidth="1"/>
    <col min="4623" max="4623" width="16.140625" style="21" customWidth="1"/>
    <col min="4624" max="4624" width="17.7109375" style="21" customWidth="1"/>
    <col min="4625" max="4625" width="0" style="21" hidden="1" customWidth="1"/>
    <col min="4626" max="4626" width="17" style="21" customWidth="1"/>
    <col min="4627" max="4627" width="0" style="21" hidden="1" customWidth="1"/>
    <col min="4628" max="4628" width="20.285156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42578125" style="21" customWidth="1"/>
    <col min="4868" max="4870" width="0" style="21" hidden="1" customWidth="1"/>
    <col min="4871" max="4871" width="12.42578125" style="21" customWidth="1"/>
    <col min="4872" max="4872" width="4.42578125" style="21" customWidth="1"/>
    <col min="4873" max="4873" width="16.7109375" style="21" customWidth="1"/>
    <col min="4874" max="4874" width="1" style="21" customWidth="1"/>
    <col min="4875" max="4875" width="7.140625" style="21" customWidth="1"/>
    <col min="4876" max="4876" width="8.7109375" style="21" customWidth="1"/>
    <col min="4877" max="4877" width="16.5703125" style="21" customWidth="1"/>
    <col min="4878" max="4878" width="1.85546875" style="21" customWidth="1"/>
    <col min="4879" max="4879" width="16.140625" style="21" customWidth="1"/>
    <col min="4880" max="4880" width="17.7109375" style="21" customWidth="1"/>
    <col min="4881" max="4881" width="0" style="21" hidden="1" customWidth="1"/>
    <col min="4882" max="4882" width="17" style="21" customWidth="1"/>
    <col min="4883" max="4883" width="0" style="21" hidden="1" customWidth="1"/>
    <col min="4884" max="4884" width="20.285156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42578125" style="21" customWidth="1"/>
    <col min="5124" max="5126" width="0" style="21" hidden="1" customWidth="1"/>
    <col min="5127" max="5127" width="12.42578125" style="21" customWidth="1"/>
    <col min="5128" max="5128" width="4.42578125" style="21" customWidth="1"/>
    <col min="5129" max="5129" width="16.7109375" style="21" customWidth="1"/>
    <col min="5130" max="5130" width="1" style="21" customWidth="1"/>
    <col min="5131" max="5131" width="7.140625" style="21" customWidth="1"/>
    <col min="5132" max="5132" width="8.7109375" style="21" customWidth="1"/>
    <col min="5133" max="5133" width="16.5703125" style="21" customWidth="1"/>
    <col min="5134" max="5134" width="1.85546875" style="21" customWidth="1"/>
    <col min="5135" max="5135" width="16.140625" style="21" customWidth="1"/>
    <col min="5136" max="5136" width="17.7109375" style="21" customWidth="1"/>
    <col min="5137" max="5137" width="0" style="21" hidden="1" customWidth="1"/>
    <col min="5138" max="5138" width="17" style="21" customWidth="1"/>
    <col min="5139" max="5139" width="0" style="21" hidden="1" customWidth="1"/>
    <col min="5140" max="5140" width="20.285156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42578125" style="21" customWidth="1"/>
    <col min="5380" max="5382" width="0" style="21" hidden="1" customWidth="1"/>
    <col min="5383" max="5383" width="12.42578125" style="21" customWidth="1"/>
    <col min="5384" max="5384" width="4.42578125" style="21" customWidth="1"/>
    <col min="5385" max="5385" width="16.7109375" style="21" customWidth="1"/>
    <col min="5386" max="5386" width="1" style="21" customWidth="1"/>
    <col min="5387" max="5387" width="7.140625" style="21" customWidth="1"/>
    <col min="5388" max="5388" width="8.7109375" style="21" customWidth="1"/>
    <col min="5389" max="5389" width="16.5703125" style="21" customWidth="1"/>
    <col min="5390" max="5390" width="1.85546875" style="21" customWidth="1"/>
    <col min="5391" max="5391" width="16.140625" style="21" customWidth="1"/>
    <col min="5392" max="5392" width="17.7109375" style="21" customWidth="1"/>
    <col min="5393" max="5393" width="0" style="21" hidden="1" customWidth="1"/>
    <col min="5394" max="5394" width="17" style="21" customWidth="1"/>
    <col min="5395" max="5395" width="0" style="21" hidden="1" customWidth="1"/>
    <col min="5396" max="5396" width="20.285156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42578125" style="21" customWidth="1"/>
    <col min="5636" max="5638" width="0" style="21" hidden="1" customWidth="1"/>
    <col min="5639" max="5639" width="12.42578125" style="21" customWidth="1"/>
    <col min="5640" max="5640" width="4.42578125" style="21" customWidth="1"/>
    <col min="5641" max="5641" width="16.7109375" style="21" customWidth="1"/>
    <col min="5642" max="5642" width="1" style="21" customWidth="1"/>
    <col min="5643" max="5643" width="7.140625" style="21" customWidth="1"/>
    <col min="5644" max="5644" width="8.7109375" style="21" customWidth="1"/>
    <col min="5645" max="5645" width="16.5703125" style="21" customWidth="1"/>
    <col min="5646" max="5646" width="1.85546875" style="21" customWidth="1"/>
    <col min="5647" max="5647" width="16.140625" style="21" customWidth="1"/>
    <col min="5648" max="5648" width="17.7109375" style="21" customWidth="1"/>
    <col min="5649" max="5649" width="0" style="21" hidden="1" customWidth="1"/>
    <col min="5650" max="5650" width="17" style="21" customWidth="1"/>
    <col min="5651" max="5651" width="0" style="21" hidden="1" customWidth="1"/>
    <col min="5652" max="5652" width="20.285156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42578125" style="21" customWidth="1"/>
    <col min="5892" max="5894" width="0" style="21" hidden="1" customWidth="1"/>
    <col min="5895" max="5895" width="12.42578125" style="21" customWidth="1"/>
    <col min="5896" max="5896" width="4.42578125" style="21" customWidth="1"/>
    <col min="5897" max="5897" width="16.7109375" style="21" customWidth="1"/>
    <col min="5898" max="5898" width="1" style="21" customWidth="1"/>
    <col min="5899" max="5899" width="7.140625" style="21" customWidth="1"/>
    <col min="5900" max="5900" width="8.7109375" style="21" customWidth="1"/>
    <col min="5901" max="5901" width="16.5703125" style="21" customWidth="1"/>
    <col min="5902" max="5902" width="1.85546875" style="21" customWidth="1"/>
    <col min="5903" max="5903" width="16.140625" style="21" customWidth="1"/>
    <col min="5904" max="5904" width="17.7109375" style="21" customWidth="1"/>
    <col min="5905" max="5905" width="0" style="21" hidden="1" customWidth="1"/>
    <col min="5906" max="5906" width="17" style="21" customWidth="1"/>
    <col min="5907" max="5907" width="0" style="21" hidden="1" customWidth="1"/>
    <col min="5908" max="5908" width="20.285156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42578125" style="21" customWidth="1"/>
    <col min="6148" max="6150" width="0" style="21" hidden="1" customWidth="1"/>
    <col min="6151" max="6151" width="12.42578125" style="21" customWidth="1"/>
    <col min="6152" max="6152" width="4.42578125" style="21" customWidth="1"/>
    <col min="6153" max="6153" width="16.7109375" style="21" customWidth="1"/>
    <col min="6154" max="6154" width="1" style="21" customWidth="1"/>
    <col min="6155" max="6155" width="7.140625" style="21" customWidth="1"/>
    <col min="6156" max="6156" width="8.7109375" style="21" customWidth="1"/>
    <col min="6157" max="6157" width="16.5703125" style="21" customWidth="1"/>
    <col min="6158" max="6158" width="1.85546875" style="21" customWidth="1"/>
    <col min="6159" max="6159" width="16.140625" style="21" customWidth="1"/>
    <col min="6160" max="6160" width="17.7109375" style="21" customWidth="1"/>
    <col min="6161" max="6161" width="0" style="21" hidden="1" customWidth="1"/>
    <col min="6162" max="6162" width="17" style="21" customWidth="1"/>
    <col min="6163" max="6163" width="0" style="21" hidden="1" customWidth="1"/>
    <col min="6164" max="6164" width="20.285156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42578125" style="21" customWidth="1"/>
    <col min="6404" max="6406" width="0" style="21" hidden="1" customWidth="1"/>
    <col min="6407" max="6407" width="12.42578125" style="21" customWidth="1"/>
    <col min="6408" max="6408" width="4.42578125" style="21" customWidth="1"/>
    <col min="6409" max="6409" width="16.7109375" style="21" customWidth="1"/>
    <col min="6410" max="6410" width="1" style="21" customWidth="1"/>
    <col min="6411" max="6411" width="7.140625" style="21" customWidth="1"/>
    <col min="6412" max="6412" width="8.7109375" style="21" customWidth="1"/>
    <col min="6413" max="6413" width="16.5703125" style="21" customWidth="1"/>
    <col min="6414" max="6414" width="1.85546875" style="21" customWidth="1"/>
    <col min="6415" max="6415" width="16.140625" style="21" customWidth="1"/>
    <col min="6416" max="6416" width="17.7109375" style="21" customWidth="1"/>
    <col min="6417" max="6417" width="0" style="21" hidden="1" customWidth="1"/>
    <col min="6418" max="6418" width="17" style="21" customWidth="1"/>
    <col min="6419" max="6419" width="0" style="21" hidden="1" customWidth="1"/>
    <col min="6420" max="6420" width="20.285156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42578125" style="21" customWidth="1"/>
    <col min="6660" max="6662" width="0" style="21" hidden="1" customWidth="1"/>
    <col min="6663" max="6663" width="12.42578125" style="21" customWidth="1"/>
    <col min="6664" max="6664" width="4.42578125" style="21" customWidth="1"/>
    <col min="6665" max="6665" width="16.7109375" style="21" customWidth="1"/>
    <col min="6666" max="6666" width="1" style="21" customWidth="1"/>
    <col min="6667" max="6667" width="7.140625" style="21" customWidth="1"/>
    <col min="6668" max="6668" width="8.7109375" style="21" customWidth="1"/>
    <col min="6669" max="6669" width="16.5703125" style="21" customWidth="1"/>
    <col min="6670" max="6670" width="1.85546875" style="21" customWidth="1"/>
    <col min="6671" max="6671" width="16.140625" style="21" customWidth="1"/>
    <col min="6672" max="6672" width="17.7109375" style="21" customWidth="1"/>
    <col min="6673" max="6673" width="0" style="21" hidden="1" customWidth="1"/>
    <col min="6674" max="6674" width="17" style="21" customWidth="1"/>
    <col min="6675" max="6675" width="0" style="21" hidden="1" customWidth="1"/>
    <col min="6676" max="6676" width="20.285156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42578125" style="21" customWidth="1"/>
    <col min="6916" max="6918" width="0" style="21" hidden="1" customWidth="1"/>
    <col min="6919" max="6919" width="12.42578125" style="21" customWidth="1"/>
    <col min="6920" max="6920" width="4.42578125" style="21" customWidth="1"/>
    <col min="6921" max="6921" width="16.7109375" style="21" customWidth="1"/>
    <col min="6922" max="6922" width="1" style="21" customWidth="1"/>
    <col min="6923" max="6923" width="7.140625" style="21" customWidth="1"/>
    <col min="6924" max="6924" width="8.7109375" style="21" customWidth="1"/>
    <col min="6925" max="6925" width="16.5703125" style="21" customWidth="1"/>
    <col min="6926" max="6926" width="1.85546875" style="21" customWidth="1"/>
    <col min="6927" max="6927" width="16.140625" style="21" customWidth="1"/>
    <col min="6928" max="6928" width="17.7109375" style="21" customWidth="1"/>
    <col min="6929" max="6929" width="0" style="21" hidden="1" customWidth="1"/>
    <col min="6930" max="6930" width="17" style="21" customWidth="1"/>
    <col min="6931" max="6931" width="0" style="21" hidden="1" customWidth="1"/>
    <col min="6932" max="6932" width="20.285156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42578125" style="21" customWidth="1"/>
    <col min="7172" max="7174" width="0" style="21" hidden="1" customWidth="1"/>
    <col min="7175" max="7175" width="12.42578125" style="21" customWidth="1"/>
    <col min="7176" max="7176" width="4.42578125" style="21" customWidth="1"/>
    <col min="7177" max="7177" width="16.7109375" style="21" customWidth="1"/>
    <col min="7178" max="7178" width="1" style="21" customWidth="1"/>
    <col min="7179" max="7179" width="7.140625" style="21" customWidth="1"/>
    <col min="7180" max="7180" width="8.7109375" style="21" customWidth="1"/>
    <col min="7181" max="7181" width="16.5703125" style="21" customWidth="1"/>
    <col min="7182" max="7182" width="1.85546875" style="21" customWidth="1"/>
    <col min="7183" max="7183" width="16.140625" style="21" customWidth="1"/>
    <col min="7184" max="7184" width="17.7109375" style="21" customWidth="1"/>
    <col min="7185" max="7185" width="0" style="21" hidden="1" customWidth="1"/>
    <col min="7186" max="7186" width="17" style="21" customWidth="1"/>
    <col min="7187" max="7187" width="0" style="21" hidden="1" customWidth="1"/>
    <col min="7188" max="7188" width="20.285156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42578125" style="21" customWidth="1"/>
    <col min="7428" max="7430" width="0" style="21" hidden="1" customWidth="1"/>
    <col min="7431" max="7431" width="12.42578125" style="21" customWidth="1"/>
    <col min="7432" max="7432" width="4.42578125" style="21" customWidth="1"/>
    <col min="7433" max="7433" width="16.7109375" style="21" customWidth="1"/>
    <col min="7434" max="7434" width="1" style="21" customWidth="1"/>
    <col min="7435" max="7435" width="7.140625" style="21" customWidth="1"/>
    <col min="7436" max="7436" width="8.7109375" style="21" customWidth="1"/>
    <col min="7437" max="7437" width="16.5703125" style="21" customWidth="1"/>
    <col min="7438" max="7438" width="1.85546875" style="21" customWidth="1"/>
    <col min="7439" max="7439" width="16.140625" style="21" customWidth="1"/>
    <col min="7440" max="7440" width="17.7109375" style="21" customWidth="1"/>
    <col min="7441" max="7441" width="0" style="21" hidden="1" customWidth="1"/>
    <col min="7442" max="7442" width="17" style="21" customWidth="1"/>
    <col min="7443" max="7443" width="0" style="21" hidden="1" customWidth="1"/>
    <col min="7444" max="7444" width="20.285156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42578125" style="21" customWidth="1"/>
    <col min="7684" max="7686" width="0" style="21" hidden="1" customWidth="1"/>
    <col min="7687" max="7687" width="12.42578125" style="21" customWidth="1"/>
    <col min="7688" max="7688" width="4.42578125" style="21" customWidth="1"/>
    <col min="7689" max="7689" width="16.7109375" style="21" customWidth="1"/>
    <col min="7690" max="7690" width="1" style="21" customWidth="1"/>
    <col min="7691" max="7691" width="7.140625" style="21" customWidth="1"/>
    <col min="7692" max="7692" width="8.7109375" style="21" customWidth="1"/>
    <col min="7693" max="7693" width="16.5703125" style="21" customWidth="1"/>
    <col min="7694" max="7694" width="1.85546875" style="21" customWidth="1"/>
    <col min="7695" max="7695" width="16.140625" style="21" customWidth="1"/>
    <col min="7696" max="7696" width="17.7109375" style="21" customWidth="1"/>
    <col min="7697" max="7697" width="0" style="21" hidden="1" customWidth="1"/>
    <col min="7698" max="7698" width="17" style="21" customWidth="1"/>
    <col min="7699" max="7699" width="0" style="21" hidden="1" customWidth="1"/>
    <col min="7700" max="7700" width="20.285156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42578125" style="21" customWidth="1"/>
    <col min="7940" max="7942" width="0" style="21" hidden="1" customWidth="1"/>
    <col min="7943" max="7943" width="12.42578125" style="21" customWidth="1"/>
    <col min="7944" max="7944" width="4.42578125" style="21" customWidth="1"/>
    <col min="7945" max="7945" width="16.7109375" style="21" customWidth="1"/>
    <col min="7946" max="7946" width="1" style="21" customWidth="1"/>
    <col min="7947" max="7947" width="7.140625" style="21" customWidth="1"/>
    <col min="7948" max="7948" width="8.7109375" style="21" customWidth="1"/>
    <col min="7949" max="7949" width="16.5703125" style="21" customWidth="1"/>
    <col min="7950" max="7950" width="1.85546875" style="21" customWidth="1"/>
    <col min="7951" max="7951" width="16.140625" style="21" customWidth="1"/>
    <col min="7952" max="7952" width="17.7109375" style="21" customWidth="1"/>
    <col min="7953" max="7953" width="0" style="21" hidden="1" customWidth="1"/>
    <col min="7954" max="7954" width="17" style="21" customWidth="1"/>
    <col min="7955" max="7955" width="0" style="21" hidden="1" customWidth="1"/>
    <col min="7956" max="7956" width="20.285156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42578125" style="21" customWidth="1"/>
    <col min="8196" max="8198" width="0" style="21" hidden="1" customWidth="1"/>
    <col min="8199" max="8199" width="12.42578125" style="21" customWidth="1"/>
    <col min="8200" max="8200" width="4.42578125" style="21" customWidth="1"/>
    <col min="8201" max="8201" width="16.7109375" style="21" customWidth="1"/>
    <col min="8202" max="8202" width="1" style="21" customWidth="1"/>
    <col min="8203" max="8203" width="7.140625" style="21" customWidth="1"/>
    <col min="8204" max="8204" width="8.7109375" style="21" customWidth="1"/>
    <col min="8205" max="8205" width="16.5703125" style="21" customWidth="1"/>
    <col min="8206" max="8206" width="1.85546875" style="21" customWidth="1"/>
    <col min="8207" max="8207" width="16.140625" style="21" customWidth="1"/>
    <col min="8208" max="8208" width="17.7109375" style="21" customWidth="1"/>
    <col min="8209" max="8209" width="0" style="21" hidden="1" customWidth="1"/>
    <col min="8210" max="8210" width="17" style="21" customWidth="1"/>
    <col min="8211" max="8211" width="0" style="21" hidden="1" customWidth="1"/>
    <col min="8212" max="8212" width="20.285156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42578125" style="21" customWidth="1"/>
    <col min="8452" max="8454" width="0" style="21" hidden="1" customWidth="1"/>
    <col min="8455" max="8455" width="12.42578125" style="21" customWidth="1"/>
    <col min="8456" max="8456" width="4.42578125" style="21" customWidth="1"/>
    <col min="8457" max="8457" width="16.7109375" style="21" customWidth="1"/>
    <col min="8458" max="8458" width="1" style="21" customWidth="1"/>
    <col min="8459" max="8459" width="7.140625" style="21" customWidth="1"/>
    <col min="8460" max="8460" width="8.7109375" style="21" customWidth="1"/>
    <col min="8461" max="8461" width="16.5703125" style="21" customWidth="1"/>
    <col min="8462" max="8462" width="1.85546875" style="21" customWidth="1"/>
    <col min="8463" max="8463" width="16.140625" style="21" customWidth="1"/>
    <col min="8464" max="8464" width="17.7109375" style="21" customWidth="1"/>
    <col min="8465" max="8465" width="0" style="21" hidden="1" customWidth="1"/>
    <col min="8466" max="8466" width="17" style="21" customWidth="1"/>
    <col min="8467" max="8467" width="0" style="21" hidden="1" customWidth="1"/>
    <col min="8468" max="8468" width="20.285156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42578125" style="21" customWidth="1"/>
    <col min="8708" max="8710" width="0" style="21" hidden="1" customWidth="1"/>
    <col min="8711" max="8711" width="12.42578125" style="21" customWidth="1"/>
    <col min="8712" max="8712" width="4.42578125" style="21" customWidth="1"/>
    <col min="8713" max="8713" width="16.7109375" style="21" customWidth="1"/>
    <col min="8714" max="8714" width="1" style="21" customWidth="1"/>
    <col min="8715" max="8715" width="7.140625" style="21" customWidth="1"/>
    <col min="8716" max="8716" width="8.7109375" style="21" customWidth="1"/>
    <col min="8717" max="8717" width="16.5703125" style="21" customWidth="1"/>
    <col min="8718" max="8718" width="1.85546875" style="21" customWidth="1"/>
    <col min="8719" max="8719" width="16.140625" style="21" customWidth="1"/>
    <col min="8720" max="8720" width="17.7109375" style="21" customWidth="1"/>
    <col min="8721" max="8721" width="0" style="21" hidden="1" customWidth="1"/>
    <col min="8722" max="8722" width="17" style="21" customWidth="1"/>
    <col min="8723" max="8723" width="0" style="21" hidden="1" customWidth="1"/>
    <col min="8724" max="8724" width="20.285156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42578125" style="21" customWidth="1"/>
    <col min="8964" max="8966" width="0" style="21" hidden="1" customWidth="1"/>
    <col min="8967" max="8967" width="12.42578125" style="21" customWidth="1"/>
    <col min="8968" max="8968" width="4.42578125" style="21" customWidth="1"/>
    <col min="8969" max="8969" width="16.7109375" style="21" customWidth="1"/>
    <col min="8970" max="8970" width="1" style="21" customWidth="1"/>
    <col min="8971" max="8971" width="7.140625" style="21" customWidth="1"/>
    <col min="8972" max="8972" width="8.7109375" style="21" customWidth="1"/>
    <col min="8973" max="8973" width="16.5703125" style="21" customWidth="1"/>
    <col min="8974" max="8974" width="1.85546875" style="21" customWidth="1"/>
    <col min="8975" max="8975" width="16.140625" style="21" customWidth="1"/>
    <col min="8976" max="8976" width="17.7109375" style="21" customWidth="1"/>
    <col min="8977" max="8977" width="0" style="21" hidden="1" customWidth="1"/>
    <col min="8978" max="8978" width="17" style="21" customWidth="1"/>
    <col min="8979" max="8979" width="0" style="21" hidden="1" customWidth="1"/>
    <col min="8980" max="8980" width="20.285156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42578125" style="21" customWidth="1"/>
    <col min="9220" max="9222" width="0" style="21" hidden="1" customWidth="1"/>
    <col min="9223" max="9223" width="12.42578125" style="21" customWidth="1"/>
    <col min="9224" max="9224" width="4.42578125" style="21" customWidth="1"/>
    <col min="9225" max="9225" width="16.7109375" style="21" customWidth="1"/>
    <col min="9226" max="9226" width="1" style="21" customWidth="1"/>
    <col min="9227" max="9227" width="7.140625" style="21" customWidth="1"/>
    <col min="9228" max="9228" width="8.7109375" style="21" customWidth="1"/>
    <col min="9229" max="9229" width="16.5703125" style="21" customWidth="1"/>
    <col min="9230" max="9230" width="1.85546875" style="21" customWidth="1"/>
    <col min="9231" max="9231" width="16.140625" style="21" customWidth="1"/>
    <col min="9232" max="9232" width="17.7109375" style="21" customWidth="1"/>
    <col min="9233" max="9233" width="0" style="21" hidden="1" customWidth="1"/>
    <col min="9234" max="9234" width="17" style="21" customWidth="1"/>
    <col min="9235" max="9235" width="0" style="21" hidden="1" customWidth="1"/>
    <col min="9236" max="9236" width="20.285156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42578125" style="21" customWidth="1"/>
    <col min="9476" max="9478" width="0" style="21" hidden="1" customWidth="1"/>
    <col min="9479" max="9479" width="12.42578125" style="21" customWidth="1"/>
    <col min="9480" max="9480" width="4.42578125" style="21" customWidth="1"/>
    <col min="9481" max="9481" width="16.7109375" style="21" customWidth="1"/>
    <col min="9482" max="9482" width="1" style="21" customWidth="1"/>
    <col min="9483" max="9483" width="7.140625" style="21" customWidth="1"/>
    <col min="9484" max="9484" width="8.7109375" style="21" customWidth="1"/>
    <col min="9485" max="9485" width="16.5703125" style="21" customWidth="1"/>
    <col min="9486" max="9486" width="1.85546875" style="21" customWidth="1"/>
    <col min="9487" max="9487" width="16.140625" style="21" customWidth="1"/>
    <col min="9488" max="9488" width="17.7109375" style="21" customWidth="1"/>
    <col min="9489" max="9489" width="0" style="21" hidden="1" customWidth="1"/>
    <col min="9490" max="9490" width="17" style="21" customWidth="1"/>
    <col min="9491" max="9491" width="0" style="21" hidden="1" customWidth="1"/>
    <col min="9492" max="9492" width="20.285156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42578125" style="21" customWidth="1"/>
    <col min="9732" max="9734" width="0" style="21" hidden="1" customWidth="1"/>
    <col min="9735" max="9735" width="12.42578125" style="21" customWidth="1"/>
    <col min="9736" max="9736" width="4.42578125" style="21" customWidth="1"/>
    <col min="9737" max="9737" width="16.7109375" style="21" customWidth="1"/>
    <col min="9738" max="9738" width="1" style="21" customWidth="1"/>
    <col min="9739" max="9739" width="7.140625" style="21" customWidth="1"/>
    <col min="9740" max="9740" width="8.7109375" style="21" customWidth="1"/>
    <col min="9741" max="9741" width="16.5703125" style="21" customWidth="1"/>
    <col min="9742" max="9742" width="1.85546875" style="21" customWidth="1"/>
    <col min="9743" max="9743" width="16.140625" style="21" customWidth="1"/>
    <col min="9744" max="9744" width="17.7109375" style="21" customWidth="1"/>
    <col min="9745" max="9745" width="0" style="21" hidden="1" customWidth="1"/>
    <col min="9746" max="9746" width="17" style="21" customWidth="1"/>
    <col min="9747" max="9747" width="0" style="21" hidden="1" customWidth="1"/>
    <col min="9748" max="9748" width="20.285156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42578125" style="21" customWidth="1"/>
    <col min="9988" max="9990" width="0" style="21" hidden="1" customWidth="1"/>
    <col min="9991" max="9991" width="12.42578125" style="21" customWidth="1"/>
    <col min="9992" max="9992" width="4.42578125" style="21" customWidth="1"/>
    <col min="9993" max="9993" width="16.7109375" style="21" customWidth="1"/>
    <col min="9994" max="9994" width="1" style="21" customWidth="1"/>
    <col min="9995" max="9995" width="7.140625" style="21" customWidth="1"/>
    <col min="9996" max="9996" width="8.7109375" style="21" customWidth="1"/>
    <col min="9997" max="9997" width="16.5703125" style="21" customWidth="1"/>
    <col min="9998" max="9998" width="1.85546875" style="21" customWidth="1"/>
    <col min="9999" max="9999" width="16.140625" style="21" customWidth="1"/>
    <col min="10000" max="10000" width="17.7109375" style="21" customWidth="1"/>
    <col min="10001" max="10001" width="0" style="21" hidden="1" customWidth="1"/>
    <col min="10002" max="10002" width="17" style="21" customWidth="1"/>
    <col min="10003" max="10003" width="0" style="21" hidden="1" customWidth="1"/>
    <col min="10004" max="10004" width="20.285156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42578125" style="21" customWidth="1"/>
    <col min="10244" max="10246" width="0" style="21" hidden="1" customWidth="1"/>
    <col min="10247" max="10247" width="12.42578125" style="21" customWidth="1"/>
    <col min="10248" max="10248" width="4.42578125" style="21" customWidth="1"/>
    <col min="10249" max="10249" width="16.7109375" style="21" customWidth="1"/>
    <col min="10250" max="10250" width="1" style="21" customWidth="1"/>
    <col min="10251" max="10251" width="7.140625" style="21" customWidth="1"/>
    <col min="10252" max="10252" width="8.7109375" style="21" customWidth="1"/>
    <col min="10253" max="10253" width="16.5703125" style="21" customWidth="1"/>
    <col min="10254" max="10254" width="1.85546875" style="21" customWidth="1"/>
    <col min="10255" max="10255" width="16.140625" style="21" customWidth="1"/>
    <col min="10256" max="10256" width="17.7109375" style="21" customWidth="1"/>
    <col min="10257" max="10257" width="0" style="21" hidden="1" customWidth="1"/>
    <col min="10258" max="10258" width="17" style="21" customWidth="1"/>
    <col min="10259" max="10259" width="0" style="21" hidden="1" customWidth="1"/>
    <col min="10260" max="10260" width="20.285156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42578125" style="21" customWidth="1"/>
    <col min="10500" max="10502" width="0" style="21" hidden="1" customWidth="1"/>
    <col min="10503" max="10503" width="12.42578125" style="21" customWidth="1"/>
    <col min="10504" max="10504" width="4.42578125" style="21" customWidth="1"/>
    <col min="10505" max="10505" width="16.7109375" style="21" customWidth="1"/>
    <col min="10506" max="10506" width="1" style="21" customWidth="1"/>
    <col min="10507" max="10507" width="7.140625" style="21" customWidth="1"/>
    <col min="10508" max="10508" width="8.7109375" style="21" customWidth="1"/>
    <col min="10509" max="10509" width="16.5703125" style="21" customWidth="1"/>
    <col min="10510" max="10510" width="1.85546875" style="21" customWidth="1"/>
    <col min="10511" max="10511" width="16.140625" style="21" customWidth="1"/>
    <col min="10512" max="10512" width="17.7109375" style="21" customWidth="1"/>
    <col min="10513" max="10513" width="0" style="21" hidden="1" customWidth="1"/>
    <col min="10514" max="10514" width="17" style="21" customWidth="1"/>
    <col min="10515" max="10515" width="0" style="21" hidden="1" customWidth="1"/>
    <col min="10516" max="10516" width="20.285156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42578125" style="21" customWidth="1"/>
    <col min="10756" max="10758" width="0" style="21" hidden="1" customWidth="1"/>
    <col min="10759" max="10759" width="12.42578125" style="21" customWidth="1"/>
    <col min="10760" max="10760" width="4.42578125" style="21" customWidth="1"/>
    <col min="10761" max="10761" width="16.7109375" style="21" customWidth="1"/>
    <col min="10762" max="10762" width="1" style="21" customWidth="1"/>
    <col min="10763" max="10763" width="7.140625" style="21" customWidth="1"/>
    <col min="10764" max="10764" width="8.7109375" style="21" customWidth="1"/>
    <col min="10765" max="10765" width="16.5703125" style="21" customWidth="1"/>
    <col min="10766" max="10766" width="1.85546875" style="21" customWidth="1"/>
    <col min="10767" max="10767" width="16.140625" style="21" customWidth="1"/>
    <col min="10768" max="10768" width="17.7109375" style="21" customWidth="1"/>
    <col min="10769" max="10769" width="0" style="21" hidden="1" customWidth="1"/>
    <col min="10770" max="10770" width="17" style="21" customWidth="1"/>
    <col min="10771" max="10771" width="0" style="21" hidden="1" customWidth="1"/>
    <col min="10772" max="10772" width="20.285156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42578125" style="21" customWidth="1"/>
    <col min="11012" max="11014" width="0" style="21" hidden="1" customWidth="1"/>
    <col min="11015" max="11015" width="12.42578125" style="21" customWidth="1"/>
    <col min="11016" max="11016" width="4.42578125" style="21" customWidth="1"/>
    <col min="11017" max="11017" width="16.7109375" style="21" customWidth="1"/>
    <col min="11018" max="11018" width="1" style="21" customWidth="1"/>
    <col min="11019" max="11019" width="7.140625" style="21" customWidth="1"/>
    <col min="11020" max="11020" width="8.7109375" style="21" customWidth="1"/>
    <col min="11021" max="11021" width="16.5703125" style="21" customWidth="1"/>
    <col min="11022" max="11022" width="1.85546875" style="21" customWidth="1"/>
    <col min="11023" max="11023" width="16.140625" style="21" customWidth="1"/>
    <col min="11024" max="11024" width="17.7109375" style="21" customWidth="1"/>
    <col min="11025" max="11025" width="0" style="21" hidden="1" customWidth="1"/>
    <col min="11026" max="11026" width="17" style="21" customWidth="1"/>
    <col min="11027" max="11027" width="0" style="21" hidden="1" customWidth="1"/>
    <col min="11028" max="11028" width="20.285156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42578125" style="21" customWidth="1"/>
    <col min="11268" max="11270" width="0" style="21" hidden="1" customWidth="1"/>
    <col min="11271" max="11271" width="12.42578125" style="21" customWidth="1"/>
    <col min="11272" max="11272" width="4.42578125" style="21" customWidth="1"/>
    <col min="11273" max="11273" width="16.7109375" style="21" customWidth="1"/>
    <col min="11274" max="11274" width="1" style="21" customWidth="1"/>
    <col min="11275" max="11275" width="7.140625" style="21" customWidth="1"/>
    <col min="11276" max="11276" width="8.7109375" style="21" customWidth="1"/>
    <col min="11277" max="11277" width="16.5703125" style="21" customWidth="1"/>
    <col min="11278" max="11278" width="1.85546875" style="21" customWidth="1"/>
    <col min="11279" max="11279" width="16.140625" style="21" customWidth="1"/>
    <col min="11280" max="11280" width="17.7109375" style="21" customWidth="1"/>
    <col min="11281" max="11281" width="0" style="21" hidden="1" customWidth="1"/>
    <col min="11282" max="11282" width="17" style="21" customWidth="1"/>
    <col min="11283" max="11283" width="0" style="21" hidden="1" customWidth="1"/>
    <col min="11284" max="11284" width="20.285156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42578125" style="21" customWidth="1"/>
    <col min="11524" max="11526" width="0" style="21" hidden="1" customWidth="1"/>
    <col min="11527" max="11527" width="12.42578125" style="21" customWidth="1"/>
    <col min="11528" max="11528" width="4.42578125" style="21" customWidth="1"/>
    <col min="11529" max="11529" width="16.7109375" style="21" customWidth="1"/>
    <col min="11530" max="11530" width="1" style="21" customWidth="1"/>
    <col min="11531" max="11531" width="7.140625" style="21" customWidth="1"/>
    <col min="11532" max="11532" width="8.7109375" style="21" customWidth="1"/>
    <col min="11533" max="11533" width="16.5703125" style="21" customWidth="1"/>
    <col min="11534" max="11534" width="1.85546875" style="21" customWidth="1"/>
    <col min="11535" max="11535" width="16.140625" style="21" customWidth="1"/>
    <col min="11536" max="11536" width="17.7109375" style="21" customWidth="1"/>
    <col min="11537" max="11537" width="0" style="21" hidden="1" customWidth="1"/>
    <col min="11538" max="11538" width="17" style="21" customWidth="1"/>
    <col min="11539" max="11539" width="0" style="21" hidden="1" customWidth="1"/>
    <col min="11540" max="11540" width="20.285156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42578125" style="21" customWidth="1"/>
    <col min="11780" max="11782" width="0" style="21" hidden="1" customWidth="1"/>
    <col min="11783" max="11783" width="12.42578125" style="21" customWidth="1"/>
    <col min="11784" max="11784" width="4.42578125" style="21" customWidth="1"/>
    <col min="11785" max="11785" width="16.7109375" style="21" customWidth="1"/>
    <col min="11786" max="11786" width="1" style="21" customWidth="1"/>
    <col min="11787" max="11787" width="7.140625" style="21" customWidth="1"/>
    <col min="11788" max="11788" width="8.7109375" style="21" customWidth="1"/>
    <col min="11789" max="11789" width="16.5703125" style="21" customWidth="1"/>
    <col min="11790" max="11790" width="1.85546875" style="21" customWidth="1"/>
    <col min="11791" max="11791" width="16.140625" style="21" customWidth="1"/>
    <col min="11792" max="11792" width="17.7109375" style="21" customWidth="1"/>
    <col min="11793" max="11793" width="0" style="21" hidden="1" customWidth="1"/>
    <col min="11794" max="11794" width="17" style="21" customWidth="1"/>
    <col min="11795" max="11795" width="0" style="21" hidden="1" customWidth="1"/>
    <col min="11796" max="11796" width="20.285156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42578125" style="21" customWidth="1"/>
    <col min="12036" max="12038" width="0" style="21" hidden="1" customWidth="1"/>
    <col min="12039" max="12039" width="12.42578125" style="21" customWidth="1"/>
    <col min="12040" max="12040" width="4.42578125" style="21" customWidth="1"/>
    <col min="12041" max="12041" width="16.7109375" style="21" customWidth="1"/>
    <col min="12042" max="12042" width="1" style="21" customWidth="1"/>
    <col min="12043" max="12043" width="7.140625" style="21" customWidth="1"/>
    <col min="12044" max="12044" width="8.7109375" style="21" customWidth="1"/>
    <col min="12045" max="12045" width="16.5703125" style="21" customWidth="1"/>
    <col min="12046" max="12046" width="1.85546875" style="21" customWidth="1"/>
    <col min="12047" max="12047" width="16.140625" style="21" customWidth="1"/>
    <col min="12048" max="12048" width="17.7109375" style="21" customWidth="1"/>
    <col min="12049" max="12049" width="0" style="21" hidden="1" customWidth="1"/>
    <col min="12050" max="12050" width="17" style="21" customWidth="1"/>
    <col min="12051" max="12051" width="0" style="21" hidden="1" customWidth="1"/>
    <col min="12052" max="12052" width="20.285156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42578125" style="21" customWidth="1"/>
    <col min="12292" max="12294" width="0" style="21" hidden="1" customWidth="1"/>
    <col min="12295" max="12295" width="12.42578125" style="21" customWidth="1"/>
    <col min="12296" max="12296" width="4.42578125" style="21" customWidth="1"/>
    <col min="12297" max="12297" width="16.7109375" style="21" customWidth="1"/>
    <col min="12298" max="12298" width="1" style="21" customWidth="1"/>
    <col min="12299" max="12299" width="7.140625" style="21" customWidth="1"/>
    <col min="12300" max="12300" width="8.7109375" style="21" customWidth="1"/>
    <col min="12301" max="12301" width="16.5703125" style="21" customWidth="1"/>
    <col min="12302" max="12302" width="1.85546875" style="21" customWidth="1"/>
    <col min="12303" max="12303" width="16.140625" style="21" customWidth="1"/>
    <col min="12304" max="12304" width="17.7109375" style="21" customWidth="1"/>
    <col min="12305" max="12305" width="0" style="21" hidden="1" customWidth="1"/>
    <col min="12306" max="12306" width="17" style="21" customWidth="1"/>
    <col min="12307" max="12307" width="0" style="21" hidden="1" customWidth="1"/>
    <col min="12308" max="12308" width="20.285156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42578125" style="21" customWidth="1"/>
    <col min="12548" max="12550" width="0" style="21" hidden="1" customWidth="1"/>
    <col min="12551" max="12551" width="12.42578125" style="21" customWidth="1"/>
    <col min="12552" max="12552" width="4.42578125" style="21" customWidth="1"/>
    <col min="12553" max="12553" width="16.7109375" style="21" customWidth="1"/>
    <col min="12554" max="12554" width="1" style="21" customWidth="1"/>
    <col min="12555" max="12555" width="7.140625" style="21" customWidth="1"/>
    <col min="12556" max="12556" width="8.7109375" style="21" customWidth="1"/>
    <col min="12557" max="12557" width="16.5703125" style="21" customWidth="1"/>
    <col min="12558" max="12558" width="1.85546875" style="21" customWidth="1"/>
    <col min="12559" max="12559" width="16.140625" style="21" customWidth="1"/>
    <col min="12560" max="12560" width="17.7109375" style="21" customWidth="1"/>
    <col min="12561" max="12561" width="0" style="21" hidden="1" customWidth="1"/>
    <col min="12562" max="12562" width="17" style="21" customWidth="1"/>
    <col min="12563" max="12563" width="0" style="21" hidden="1" customWidth="1"/>
    <col min="12564" max="12564" width="20.285156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42578125" style="21" customWidth="1"/>
    <col min="12804" max="12806" width="0" style="21" hidden="1" customWidth="1"/>
    <col min="12807" max="12807" width="12.42578125" style="21" customWidth="1"/>
    <col min="12808" max="12808" width="4.42578125" style="21" customWidth="1"/>
    <col min="12809" max="12809" width="16.7109375" style="21" customWidth="1"/>
    <col min="12810" max="12810" width="1" style="21" customWidth="1"/>
    <col min="12811" max="12811" width="7.140625" style="21" customWidth="1"/>
    <col min="12812" max="12812" width="8.7109375" style="21" customWidth="1"/>
    <col min="12813" max="12813" width="16.5703125" style="21" customWidth="1"/>
    <col min="12814" max="12814" width="1.85546875" style="21" customWidth="1"/>
    <col min="12815" max="12815" width="16.140625" style="21" customWidth="1"/>
    <col min="12816" max="12816" width="17.7109375" style="21" customWidth="1"/>
    <col min="12817" max="12817" width="0" style="21" hidden="1" customWidth="1"/>
    <col min="12818" max="12818" width="17" style="21" customWidth="1"/>
    <col min="12819" max="12819" width="0" style="21" hidden="1" customWidth="1"/>
    <col min="12820" max="12820" width="20.285156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42578125" style="21" customWidth="1"/>
    <col min="13060" max="13062" width="0" style="21" hidden="1" customWidth="1"/>
    <col min="13063" max="13063" width="12.42578125" style="21" customWidth="1"/>
    <col min="13064" max="13064" width="4.42578125" style="21" customWidth="1"/>
    <col min="13065" max="13065" width="16.7109375" style="21" customWidth="1"/>
    <col min="13066" max="13066" width="1" style="21" customWidth="1"/>
    <col min="13067" max="13067" width="7.140625" style="21" customWidth="1"/>
    <col min="13068" max="13068" width="8.7109375" style="21" customWidth="1"/>
    <col min="13069" max="13069" width="16.5703125" style="21" customWidth="1"/>
    <col min="13070" max="13070" width="1.85546875" style="21" customWidth="1"/>
    <col min="13071" max="13071" width="16.140625" style="21" customWidth="1"/>
    <col min="13072" max="13072" width="17.7109375" style="21" customWidth="1"/>
    <col min="13073" max="13073" width="0" style="21" hidden="1" customWidth="1"/>
    <col min="13074" max="13074" width="17" style="21" customWidth="1"/>
    <col min="13075" max="13075" width="0" style="21" hidden="1" customWidth="1"/>
    <col min="13076" max="13076" width="20.285156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42578125" style="21" customWidth="1"/>
    <col min="13316" max="13318" width="0" style="21" hidden="1" customWidth="1"/>
    <col min="13319" max="13319" width="12.42578125" style="21" customWidth="1"/>
    <col min="13320" max="13320" width="4.42578125" style="21" customWidth="1"/>
    <col min="13321" max="13321" width="16.7109375" style="21" customWidth="1"/>
    <col min="13322" max="13322" width="1" style="21" customWidth="1"/>
    <col min="13323" max="13323" width="7.140625" style="21" customWidth="1"/>
    <col min="13324" max="13324" width="8.7109375" style="21" customWidth="1"/>
    <col min="13325" max="13325" width="16.5703125" style="21" customWidth="1"/>
    <col min="13326" max="13326" width="1.85546875" style="21" customWidth="1"/>
    <col min="13327" max="13327" width="16.140625" style="21" customWidth="1"/>
    <col min="13328" max="13328" width="17.7109375" style="21" customWidth="1"/>
    <col min="13329" max="13329" width="0" style="21" hidden="1" customWidth="1"/>
    <col min="13330" max="13330" width="17" style="21" customWidth="1"/>
    <col min="13331" max="13331" width="0" style="21" hidden="1" customWidth="1"/>
    <col min="13332" max="13332" width="20.285156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42578125" style="21" customWidth="1"/>
    <col min="13572" max="13574" width="0" style="21" hidden="1" customWidth="1"/>
    <col min="13575" max="13575" width="12.42578125" style="21" customWidth="1"/>
    <col min="13576" max="13576" width="4.42578125" style="21" customWidth="1"/>
    <col min="13577" max="13577" width="16.7109375" style="21" customWidth="1"/>
    <col min="13578" max="13578" width="1" style="21" customWidth="1"/>
    <col min="13579" max="13579" width="7.140625" style="21" customWidth="1"/>
    <col min="13580" max="13580" width="8.7109375" style="21" customWidth="1"/>
    <col min="13581" max="13581" width="16.5703125" style="21" customWidth="1"/>
    <col min="13582" max="13582" width="1.85546875" style="21" customWidth="1"/>
    <col min="13583" max="13583" width="16.140625" style="21" customWidth="1"/>
    <col min="13584" max="13584" width="17.7109375" style="21" customWidth="1"/>
    <col min="13585" max="13585" width="0" style="21" hidden="1" customWidth="1"/>
    <col min="13586" max="13586" width="17" style="21" customWidth="1"/>
    <col min="13587" max="13587" width="0" style="21" hidden="1" customWidth="1"/>
    <col min="13588" max="13588" width="20.285156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42578125" style="21" customWidth="1"/>
    <col min="13828" max="13830" width="0" style="21" hidden="1" customWidth="1"/>
    <col min="13831" max="13831" width="12.42578125" style="21" customWidth="1"/>
    <col min="13832" max="13832" width="4.42578125" style="21" customWidth="1"/>
    <col min="13833" max="13833" width="16.7109375" style="21" customWidth="1"/>
    <col min="13834" max="13834" width="1" style="21" customWidth="1"/>
    <col min="13835" max="13835" width="7.140625" style="21" customWidth="1"/>
    <col min="13836" max="13836" width="8.7109375" style="21" customWidth="1"/>
    <col min="13837" max="13837" width="16.5703125" style="21" customWidth="1"/>
    <col min="13838" max="13838" width="1.85546875" style="21" customWidth="1"/>
    <col min="13839" max="13839" width="16.140625" style="21" customWidth="1"/>
    <col min="13840" max="13840" width="17.7109375" style="21" customWidth="1"/>
    <col min="13841" max="13841" width="0" style="21" hidden="1" customWidth="1"/>
    <col min="13842" max="13842" width="17" style="21" customWidth="1"/>
    <col min="13843" max="13843" width="0" style="21" hidden="1" customWidth="1"/>
    <col min="13844" max="13844" width="20.285156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42578125" style="21" customWidth="1"/>
    <col min="14084" max="14086" width="0" style="21" hidden="1" customWidth="1"/>
    <col min="14087" max="14087" width="12.42578125" style="21" customWidth="1"/>
    <col min="14088" max="14088" width="4.42578125" style="21" customWidth="1"/>
    <col min="14089" max="14089" width="16.7109375" style="21" customWidth="1"/>
    <col min="14090" max="14090" width="1" style="21" customWidth="1"/>
    <col min="14091" max="14091" width="7.140625" style="21" customWidth="1"/>
    <col min="14092" max="14092" width="8.7109375" style="21" customWidth="1"/>
    <col min="14093" max="14093" width="16.5703125" style="21" customWidth="1"/>
    <col min="14094" max="14094" width="1.85546875" style="21" customWidth="1"/>
    <col min="14095" max="14095" width="16.140625" style="21" customWidth="1"/>
    <col min="14096" max="14096" width="17.7109375" style="21" customWidth="1"/>
    <col min="14097" max="14097" width="0" style="21" hidden="1" customWidth="1"/>
    <col min="14098" max="14098" width="17" style="21" customWidth="1"/>
    <col min="14099" max="14099" width="0" style="21" hidden="1" customWidth="1"/>
    <col min="14100" max="14100" width="20.285156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42578125" style="21" customWidth="1"/>
    <col min="14340" max="14342" width="0" style="21" hidden="1" customWidth="1"/>
    <col min="14343" max="14343" width="12.42578125" style="21" customWidth="1"/>
    <col min="14344" max="14344" width="4.42578125" style="21" customWidth="1"/>
    <col min="14345" max="14345" width="16.7109375" style="21" customWidth="1"/>
    <col min="14346" max="14346" width="1" style="21" customWidth="1"/>
    <col min="14347" max="14347" width="7.140625" style="21" customWidth="1"/>
    <col min="14348" max="14348" width="8.7109375" style="21" customWidth="1"/>
    <col min="14349" max="14349" width="16.5703125" style="21" customWidth="1"/>
    <col min="14350" max="14350" width="1.85546875" style="21" customWidth="1"/>
    <col min="14351" max="14351" width="16.140625" style="21" customWidth="1"/>
    <col min="14352" max="14352" width="17.7109375" style="21" customWidth="1"/>
    <col min="14353" max="14353" width="0" style="21" hidden="1" customWidth="1"/>
    <col min="14354" max="14354" width="17" style="21" customWidth="1"/>
    <col min="14355" max="14355" width="0" style="21" hidden="1" customWidth="1"/>
    <col min="14356" max="14356" width="20.285156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42578125" style="21" customWidth="1"/>
    <col min="14596" max="14598" width="0" style="21" hidden="1" customWidth="1"/>
    <col min="14599" max="14599" width="12.42578125" style="21" customWidth="1"/>
    <col min="14600" max="14600" width="4.42578125" style="21" customWidth="1"/>
    <col min="14601" max="14601" width="16.7109375" style="21" customWidth="1"/>
    <col min="14602" max="14602" width="1" style="21" customWidth="1"/>
    <col min="14603" max="14603" width="7.140625" style="21" customWidth="1"/>
    <col min="14604" max="14604" width="8.7109375" style="21" customWidth="1"/>
    <col min="14605" max="14605" width="16.5703125" style="21" customWidth="1"/>
    <col min="14606" max="14606" width="1.85546875" style="21" customWidth="1"/>
    <col min="14607" max="14607" width="16.140625" style="21" customWidth="1"/>
    <col min="14608" max="14608" width="17.7109375" style="21" customWidth="1"/>
    <col min="14609" max="14609" width="0" style="21" hidden="1" customWidth="1"/>
    <col min="14610" max="14610" width="17" style="21" customWidth="1"/>
    <col min="14611" max="14611" width="0" style="21" hidden="1" customWidth="1"/>
    <col min="14612" max="14612" width="20.285156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42578125" style="21" customWidth="1"/>
    <col min="14852" max="14854" width="0" style="21" hidden="1" customWidth="1"/>
    <col min="14855" max="14855" width="12.42578125" style="21" customWidth="1"/>
    <col min="14856" max="14856" width="4.42578125" style="21" customWidth="1"/>
    <col min="14857" max="14857" width="16.7109375" style="21" customWidth="1"/>
    <col min="14858" max="14858" width="1" style="21" customWidth="1"/>
    <col min="14859" max="14859" width="7.140625" style="21" customWidth="1"/>
    <col min="14860" max="14860" width="8.7109375" style="21" customWidth="1"/>
    <col min="14861" max="14861" width="16.5703125" style="21" customWidth="1"/>
    <col min="14862" max="14862" width="1.85546875" style="21" customWidth="1"/>
    <col min="14863" max="14863" width="16.140625" style="21" customWidth="1"/>
    <col min="14864" max="14864" width="17.7109375" style="21" customWidth="1"/>
    <col min="14865" max="14865" width="0" style="21" hidden="1" customWidth="1"/>
    <col min="14866" max="14866" width="17" style="21" customWidth="1"/>
    <col min="14867" max="14867" width="0" style="21" hidden="1" customWidth="1"/>
    <col min="14868" max="14868" width="20.285156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42578125" style="21" customWidth="1"/>
    <col min="15108" max="15110" width="0" style="21" hidden="1" customWidth="1"/>
    <col min="15111" max="15111" width="12.42578125" style="21" customWidth="1"/>
    <col min="15112" max="15112" width="4.42578125" style="21" customWidth="1"/>
    <col min="15113" max="15113" width="16.7109375" style="21" customWidth="1"/>
    <col min="15114" max="15114" width="1" style="21" customWidth="1"/>
    <col min="15115" max="15115" width="7.140625" style="21" customWidth="1"/>
    <col min="15116" max="15116" width="8.7109375" style="21" customWidth="1"/>
    <col min="15117" max="15117" width="16.5703125" style="21" customWidth="1"/>
    <col min="15118" max="15118" width="1.85546875" style="21" customWidth="1"/>
    <col min="15119" max="15119" width="16.140625" style="21" customWidth="1"/>
    <col min="15120" max="15120" width="17.7109375" style="21" customWidth="1"/>
    <col min="15121" max="15121" width="0" style="21" hidden="1" customWidth="1"/>
    <col min="15122" max="15122" width="17" style="21" customWidth="1"/>
    <col min="15123" max="15123" width="0" style="21" hidden="1" customWidth="1"/>
    <col min="15124" max="15124" width="20.285156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42578125" style="21" customWidth="1"/>
    <col min="15364" max="15366" width="0" style="21" hidden="1" customWidth="1"/>
    <col min="15367" max="15367" width="12.42578125" style="21" customWidth="1"/>
    <col min="15368" max="15368" width="4.42578125" style="21" customWidth="1"/>
    <col min="15369" max="15369" width="16.7109375" style="21" customWidth="1"/>
    <col min="15370" max="15370" width="1" style="21" customWidth="1"/>
    <col min="15371" max="15371" width="7.140625" style="21" customWidth="1"/>
    <col min="15372" max="15372" width="8.7109375" style="21" customWidth="1"/>
    <col min="15373" max="15373" width="16.5703125" style="21" customWidth="1"/>
    <col min="15374" max="15374" width="1.85546875" style="21" customWidth="1"/>
    <col min="15375" max="15375" width="16.140625" style="21" customWidth="1"/>
    <col min="15376" max="15376" width="17.7109375" style="21" customWidth="1"/>
    <col min="15377" max="15377" width="0" style="21" hidden="1" customWidth="1"/>
    <col min="15378" max="15378" width="17" style="21" customWidth="1"/>
    <col min="15379" max="15379" width="0" style="21" hidden="1" customWidth="1"/>
    <col min="15380" max="15380" width="20.285156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42578125" style="21" customWidth="1"/>
    <col min="15620" max="15622" width="0" style="21" hidden="1" customWidth="1"/>
    <col min="15623" max="15623" width="12.42578125" style="21" customWidth="1"/>
    <col min="15624" max="15624" width="4.42578125" style="21" customWidth="1"/>
    <col min="15625" max="15625" width="16.7109375" style="21" customWidth="1"/>
    <col min="15626" max="15626" width="1" style="21" customWidth="1"/>
    <col min="15627" max="15627" width="7.140625" style="21" customWidth="1"/>
    <col min="15628" max="15628" width="8.7109375" style="21" customWidth="1"/>
    <col min="15629" max="15629" width="16.5703125" style="21" customWidth="1"/>
    <col min="15630" max="15630" width="1.85546875" style="21" customWidth="1"/>
    <col min="15631" max="15631" width="16.140625" style="21" customWidth="1"/>
    <col min="15632" max="15632" width="17.7109375" style="21" customWidth="1"/>
    <col min="15633" max="15633" width="0" style="21" hidden="1" customWidth="1"/>
    <col min="15634" max="15634" width="17" style="21" customWidth="1"/>
    <col min="15635" max="15635" width="0" style="21" hidden="1" customWidth="1"/>
    <col min="15636" max="15636" width="20.285156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42578125" style="21" customWidth="1"/>
    <col min="15876" max="15878" width="0" style="21" hidden="1" customWidth="1"/>
    <col min="15879" max="15879" width="12.42578125" style="21" customWidth="1"/>
    <col min="15880" max="15880" width="4.42578125" style="21" customWidth="1"/>
    <col min="15881" max="15881" width="16.7109375" style="21" customWidth="1"/>
    <col min="15882" max="15882" width="1" style="21" customWidth="1"/>
    <col min="15883" max="15883" width="7.140625" style="21" customWidth="1"/>
    <col min="15884" max="15884" width="8.7109375" style="21" customWidth="1"/>
    <col min="15885" max="15885" width="16.5703125" style="21" customWidth="1"/>
    <col min="15886" max="15886" width="1.85546875" style="21" customWidth="1"/>
    <col min="15887" max="15887" width="16.140625" style="21" customWidth="1"/>
    <col min="15888" max="15888" width="17.7109375" style="21" customWidth="1"/>
    <col min="15889" max="15889" width="0" style="21" hidden="1" customWidth="1"/>
    <col min="15890" max="15890" width="17" style="21" customWidth="1"/>
    <col min="15891" max="15891" width="0" style="21" hidden="1" customWidth="1"/>
    <col min="15892" max="15892" width="20.285156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42578125" style="21" customWidth="1"/>
    <col min="16132" max="16134" width="0" style="21" hidden="1" customWidth="1"/>
    <col min="16135" max="16135" width="12.42578125" style="21" customWidth="1"/>
    <col min="16136" max="16136" width="4.42578125" style="21" customWidth="1"/>
    <col min="16137" max="16137" width="16.7109375" style="21" customWidth="1"/>
    <col min="16138" max="16138" width="1" style="21" customWidth="1"/>
    <col min="16139" max="16139" width="7.140625" style="21" customWidth="1"/>
    <col min="16140" max="16140" width="8.7109375" style="21" customWidth="1"/>
    <col min="16141" max="16141" width="16.5703125" style="21" customWidth="1"/>
    <col min="16142" max="16142" width="1.85546875" style="21" customWidth="1"/>
    <col min="16143" max="16143" width="16.140625" style="21" customWidth="1"/>
    <col min="16144" max="16144" width="17.7109375" style="21" customWidth="1"/>
    <col min="16145" max="16145" width="0" style="21" hidden="1" customWidth="1"/>
    <col min="16146" max="16146" width="17" style="21" customWidth="1"/>
    <col min="16147" max="16147" width="0" style="21" hidden="1" customWidth="1"/>
    <col min="16148" max="16148" width="20.28515625" style="21" customWidth="1"/>
    <col min="16149" max="16149" width="19" style="21" customWidth="1"/>
    <col min="16150" max="16150" width="3.140625" style="21" customWidth="1"/>
    <col min="16151" max="16384" width="9.140625" style="21"/>
  </cols>
  <sheetData>
    <row r="2" spans="1:22" ht="86.25" customHeight="1">
      <c r="A2" s="2204"/>
      <c r="B2" s="1846"/>
      <c r="C2" s="1846"/>
      <c r="D2" s="1846"/>
      <c r="E2" s="1846"/>
      <c r="F2" s="1846"/>
      <c r="G2" s="1846"/>
      <c r="H2" s="1846"/>
      <c r="I2" s="1846"/>
      <c r="J2" s="1846"/>
      <c r="K2" s="1846"/>
      <c r="L2" s="1846"/>
      <c r="M2" s="1846"/>
      <c r="N2" s="1846"/>
      <c r="O2" s="1846"/>
      <c r="P2" s="1846"/>
      <c r="Q2" s="2283" t="s">
        <v>3766</v>
      </c>
      <c r="R2" s="2205"/>
      <c r="S2" s="2205"/>
      <c r="T2" s="2205"/>
      <c r="U2" s="2205"/>
    </row>
    <row r="3" spans="1:22">
      <c r="A3" s="2204"/>
      <c r="B3" s="1846"/>
      <c r="C3" s="1846"/>
      <c r="D3" s="1846"/>
      <c r="E3" s="1846"/>
      <c r="F3" s="1846"/>
      <c r="G3" s="1846"/>
      <c r="H3" s="1846"/>
      <c r="I3" s="1846"/>
      <c r="J3" s="1846"/>
      <c r="K3" s="1846"/>
      <c r="L3" s="1846"/>
      <c r="M3" s="1846"/>
      <c r="N3" s="1846"/>
      <c r="O3" s="1846"/>
      <c r="P3" s="1846"/>
      <c r="Q3" s="2283"/>
      <c r="R3" s="1846"/>
      <c r="S3" s="1846"/>
      <c r="T3" s="1846"/>
      <c r="U3" s="1846"/>
    </row>
    <row r="4" spans="1:22">
      <c r="A4" s="2284"/>
      <c r="B4" s="1846"/>
      <c r="C4" s="1846"/>
      <c r="D4" s="2285" t="s">
        <v>3767</v>
      </c>
      <c r="E4" s="2190"/>
      <c r="F4" s="2190"/>
      <c r="G4" s="2190"/>
      <c r="H4" s="2190"/>
      <c r="I4" s="2190"/>
      <c r="J4" s="2190"/>
      <c r="K4" s="2190"/>
      <c r="L4" s="2190"/>
      <c r="M4" s="2190"/>
      <c r="N4" s="2190"/>
      <c r="O4" s="2190"/>
      <c r="P4" s="2190"/>
      <c r="Q4" s="2190"/>
      <c r="R4" s="2190"/>
      <c r="S4" s="2284"/>
      <c r="T4" s="1846"/>
      <c r="U4" s="1846"/>
    </row>
    <row r="5" spans="1:22">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c r="A6" s="2204"/>
      <c r="B6" s="1846"/>
      <c r="C6" s="1846"/>
      <c r="D6" s="1846"/>
      <c r="E6" s="1846"/>
      <c r="F6" s="1846"/>
      <c r="G6" s="1846"/>
      <c r="H6" s="1846"/>
      <c r="I6" s="1846"/>
      <c r="J6" s="1846"/>
      <c r="K6" s="1846"/>
      <c r="L6" s="1846"/>
      <c r="M6" s="1846"/>
      <c r="N6" s="1846"/>
      <c r="O6" s="1846"/>
      <c r="P6" s="1846"/>
      <c r="Q6" s="1846"/>
      <c r="R6" s="1846"/>
      <c r="S6" s="1846"/>
      <c r="T6" s="1846"/>
      <c r="U6" s="1846"/>
    </row>
    <row r="7" spans="1:22">
      <c r="A7" s="2284"/>
      <c r="B7" s="1846"/>
      <c r="C7" s="1846"/>
      <c r="D7" s="2286" t="s">
        <v>3768</v>
      </c>
      <c r="E7" s="2190"/>
      <c r="F7" s="2190"/>
      <c r="G7" s="2190"/>
      <c r="H7" s="2190"/>
      <c r="I7" s="2190"/>
      <c r="J7" s="2190"/>
      <c r="K7" s="2190"/>
      <c r="L7" s="2190"/>
      <c r="M7" s="2190"/>
      <c r="N7" s="2190"/>
      <c r="O7" s="2190"/>
      <c r="P7" s="2190"/>
      <c r="Q7" s="2190"/>
      <c r="R7" s="2190"/>
      <c r="S7" s="2284"/>
      <c r="T7" s="1846"/>
      <c r="U7" s="1846"/>
    </row>
    <row r="8" spans="1:22">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c r="A9" s="2287"/>
      <c r="B9" s="1846"/>
      <c r="C9" s="1846"/>
      <c r="D9" s="1846"/>
      <c r="E9" s="1846"/>
      <c r="F9" s="1846"/>
      <c r="G9" s="1846"/>
      <c r="H9" s="1846"/>
      <c r="I9" s="1846"/>
      <c r="J9" s="1846"/>
      <c r="K9" s="1846"/>
      <c r="L9" s="1846"/>
      <c r="M9" s="1846"/>
      <c r="N9" s="1846"/>
      <c r="O9" s="1846"/>
      <c r="P9" s="1846"/>
      <c r="Q9" s="1846"/>
      <c r="R9" s="1846"/>
      <c r="S9" s="1846"/>
      <c r="T9" s="1846"/>
      <c r="U9" s="1846"/>
    </row>
    <row r="10" spans="1:22">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5.75">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c r="A12" s="2284"/>
      <c r="B12" s="1846"/>
      <c r="C12" s="1846"/>
      <c r="D12" s="1846"/>
      <c r="E12" s="1846"/>
      <c r="F12" s="1846"/>
      <c r="G12" s="1846"/>
      <c r="H12" s="2289" t="s">
        <v>3769</v>
      </c>
      <c r="I12" s="2190"/>
      <c r="J12" s="2190"/>
      <c r="K12" s="1409" t="s">
        <v>7</v>
      </c>
      <c r="L12" s="2289" t="s">
        <v>3770</v>
      </c>
      <c r="M12" s="2190"/>
      <c r="N12" s="2190"/>
      <c r="O12" s="2284"/>
      <c r="P12" s="1846"/>
      <c r="Q12" s="1846"/>
      <c r="R12" s="1846"/>
      <c r="S12" s="1846"/>
      <c r="T12" s="1846"/>
      <c r="U12" s="1846"/>
    </row>
    <row r="13" spans="1:22" hidden="1"/>
    <row r="15" spans="1:22">
      <c r="A15" s="2176" t="s">
        <v>1045</v>
      </c>
      <c r="B15" s="2176" t="s">
        <v>50</v>
      </c>
      <c r="C15" s="2176" t="s">
        <v>3635</v>
      </c>
      <c r="D15" s="2179"/>
      <c r="E15" s="2176" t="s">
        <v>3636</v>
      </c>
      <c r="F15" s="2176" t="s">
        <v>3637</v>
      </c>
      <c r="G15" s="2176" t="s">
        <v>3638</v>
      </c>
      <c r="H15" s="2171"/>
      <c r="I15" s="2171"/>
      <c r="J15" s="2171"/>
      <c r="K15" s="2171"/>
      <c r="L15" s="2171"/>
      <c r="M15" s="2171"/>
      <c r="N15" s="2171"/>
      <c r="O15" s="2171"/>
      <c r="P15" s="2171"/>
      <c r="Q15" s="2171"/>
      <c r="R15" s="2171"/>
      <c r="S15" s="2162"/>
      <c r="T15" s="2176" t="s">
        <v>3639</v>
      </c>
      <c r="U15" s="2176" t="s">
        <v>3640</v>
      </c>
      <c r="V15" s="2179"/>
    </row>
    <row r="16" spans="1:22">
      <c r="A16" s="2177"/>
      <c r="B16" s="2177"/>
      <c r="C16" s="2180"/>
      <c r="D16" s="2181"/>
      <c r="E16" s="2177"/>
      <c r="F16" s="2177"/>
      <c r="G16" s="2176" t="s">
        <v>9</v>
      </c>
      <c r="H16" s="2179"/>
      <c r="I16" s="2176" t="s">
        <v>3641</v>
      </c>
      <c r="J16" s="2171"/>
      <c r="K16" s="2171"/>
      <c r="L16" s="2162"/>
      <c r="M16" s="2184" t="s">
        <v>3642</v>
      </c>
      <c r="N16" s="1846"/>
      <c r="O16" s="1846"/>
      <c r="P16" s="1846"/>
      <c r="Q16" s="1846"/>
      <c r="R16" s="1846"/>
      <c r="S16" s="1846"/>
      <c r="T16" s="2177"/>
      <c r="U16" s="2180"/>
      <c r="V16" s="2181"/>
    </row>
    <row r="17" spans="1:22">
      <c r="A17" s="2177"/>
      <c r="B17" s="2177"/>
      <c r="C17" s="2180"/>
      <c r="D17" s="2181"/>
      <c r="E17" s="2177"/>
      <c r="F17" s="2177"/>
      <c r="G17" s="2180"/>
      <c r="H17" s="2181"/>
      <c r="I17" s="2176" t="s">
        <v>3643</v>
      </c>
      <c r="J17" s="2185"/>
      <c r="K17" s="2171"/>
      <c r="L17" s="2171"/>
      <c r="M17" s="2186" t="s">
        <v>3644</v>
      </c>
      <c r="N17" s="2187"/>
      <c r="O17" s="2187"/>
      <c r="P17" s="2187"/>
      <c r="Q17" s="2187"/>
      <c r="R17" s="2187"/>
      <c r="S17" s="2188"/>
      <c r="T17" s="2177"/>
      <c r="U17" s="2180"/>
      <c r="V17" s="2181"/>
    </row>
    <row r="18" spans="1:22">
      <c r="A18" s="2177"/>
      <c r="B18" s="2177"/>
      <c r="C18" s="2180"/>
      <c r="D18" s="2181"/>
      <c r="E18" s="2177"/>
      <c r="F18" s="2177"/>
      <c r="G18" s="2180"/>
      <c r="H18" s="2181"/>
      <c r="I18" s="2177"/>
      <c r="J18" s="2176" t="s">
        <v>3645</v>
      </c>
      <c r="K18" s="2189"/>
      <c r="L18" s="2179"/>
      <c r="M18" s="2176" t="s">
        <v>1974</v>
      </c>
      <c r="N18" s="2171"/>
      <c r="O18" s="2171"/>
      <c r="P18" s="2171"/>
      <c r="Q18" s="2171"/>
      <c r="R18" s="2171"/>
      <c r="S18" s="2162"/>
      <c r="T18" s="2177"/>
      <c r="U18" s="2180"/>
      <c r="V18" s="2181"/>
    </row>
    <row r="19" spans="1:22" ht="48">
      <c r="A19" s="2178"/>
      <c r="B19" s="2178"/>
      <c r="C19" s="2182"/>
      <c r="D19" s="2183"/>
      <c r="E19" s="2178"/>
      <c r="F19" s="2178"/>
      <c r="G19" s="2182"/>
      <c r="H19" s="2183"/>
      <c r="I19" s="2178"/>
      <c r="J19" s="2182"/>
      <c r="K19" s="2190"/>
      <c r="L19" s="2183"/>
      <c r="M19" s="1396" t="s">
        <v>3645</v>
      </c>
      <c r="N19" s="2176" t="s">
        <v>2010</v>
      </c>
      <c r="O19" s="2162"/>
      <c r="P19" s="2176" t="s">
        <v>61</v>
      </c>
      <c r="Q19" s="2162"/>
      <c r="R19" s="2176" t="s">
        <v>60</v>
      </c>
      <c r="S19" s="2162"/>
      <c r="T19" s="2178"/>
      <c r="U19" s="2182"/>
      <c r="V19" s="2183"/>
    </row>
    <row r="20" spans="1:22">
      <c r="A20" s="1397" t="s">
        <v>2024</v>
      </c>
      <c r="B20" s="1397" t="s">
        <v>2534</v>
      </c>
      <c r="C20" s="2175" t="s">
        <v>2535</v>
      </c>
      <c r="D20" s="2162"/>
      <c r="E20" s="1397" t="s">
        <v>2536</v>
      </c>
      <c r="F20" s="1397" t="s">
        <v>2025</v>
      </c>
      <c r="G20" s="2175" t="s">
        <v>2072</v>
      </c>
      <c r="H20" s="2162"/>
      <c r="I20" s="1397" t="s">
        <v>2074</v>
      </c>
      <c r="J20" s="2175" t="s">
        <v>2075</v>
      </c>
      <c r="K20" s="2171"/>
      <c r="L20" s="2162"/>
      <c r="M20" s="1397" t="s">
        <v>2026</v>
      </c>
      <c r="N20" s="2175" t="s">
        <v>1706</v>
      </c>
      <c r="O20" s="2162"/>
      <c r="P20" s="2175" t="s">
        <v>1707</v>
      </c>
      <c r="Q20" s="2162"/>
      <c r="R20" s="2175" t="s">
        <v>1709</v>
      </c>
      <c r="S20" s="2162"/>
      <c r="T20" s="1397" t="s">
        <v>1710</v>
      </c>
      <c r="U20" s="2175" t="s">
        <v>1711</v>
      </c>
      <c r="V20" s="2162"/>
    </row>
    <row r="21" spans="1:22" ht="33.75">
      <c r="A21" s="1410" t="s">
        <v>1052</v>
      </c>
      <c r="B21" s="1410" t="s">
        <v>345</v>
      </c>
      <c r="C21" s="2291" t="s">
        <v>2435</v>
      </c>
      <c r="D21" s="2292"/>
      <c r="E21" s="1410"/>
      <c r="F21" s="1410"/>
      <c r="G21" s="2333">
        <v>181986</v>
      </c>
      <c r="H21" s="2292"/>
      <c r="I21" s="1442">
        <v>154688</v>
      </c>
      <c r="J21" s="2333">
        <v>13649</v>
      </c>
      <c r="K21" s="2334"/>
      <c r="L21" s="2292"/>
      <c r="M21" s="1442">
        <v>0</v>
      </c>
      <c r="N21" s="2333">
        <v>13649</v>
      </c>
      <c r="O21" s="2292"/>
      <c r="P21" s="2333">
        <v>0</v>
      </c>
      <c r="Q21" s="2292"/>
      <c r="R21" s="2333">
        <v>0</v>
      </c>
      <c r="S21" s="2292"/>
      <c r="T21" s="1443">
        <v>43080</v>
      </c>
      <c r="U21" s="2291" t="s">
        <v>3771</v>
      </c>
      <c r="V21" s="2292"/>
    </row>
    <row r="22" spans="1:22" ht="33.75">
      <c r="A22" s="1410" t="s">
        <v>3647</v>
      </c>
      <c r="B22" s="1410" t="s">
        <v>184</v>
      </c>
      <c r="C22" s="2291" t="s">
        <v>187</v>
      </c>
      <c r="D22" s="2292"/>
      <c r="E22" s="1410"/>
      <c r="F22" s="1410"/>
      <c r="G22" s="2333">
        <v>597457</v>
      </c>
      <c r="H22" s="2292"/>
      <c r="I22" s="1442">
        <v>494007</v>
      </c>
      <c r="J22" s="2333">
        <v>43588</v>
      </c>
      <c r="K22" s="2334"/>
      <c r="L22" s="2292"/>
      <c r="M22" s="1442">
        <v>0</v>
      </c>
      <c r="N22" s="2333">
        <v>59862</v>
      </c>
      <c r="O22" s="2292"/>
      <c r="P22" s="2333">
        <v>0</v>
      </c>
      <c r="Q22" s="2292"/>
      <c r="R22" s="2333">
        <v>0</v>
      </c>
      <c r="S22" s="2292"/>
      <c r="T22" s="1443">
        <v>43080</v>
      </c>
      <c r="U22" s="2291" t="s">
        <v>3771</v>
      </c>
      <c r="V22" s="2292"/>
    </row>
    <row r="23" spans="1:22" ht="33.75">
      <c r="A23" s="1410" t="s">
        <v>1087</v>
      </c>
      <c r="B23" s="1410" t="s">
        <v>235</v>
      </c>
      <c r="C23" s="2291" t="s">
        <v>796</v>
      </c>
      <c r="D23" s="2292"/>
      <c r="E23" s="1410"/>
      <c r="F23" s="1410"/>
      <c r="G23" s="2333">
        <v>104792</v>
      </c>
      <c r="H23" s="2292"/>
      <c r="I23" s="1442">
        <v>89074</v>
      </c>
      <c r="J23" s="2333">
        <v>7859</v>
      </c>
      <c r="K23" s="2334"/>
      <c r="L23" s="2292"/>
      <c r="M23" s="1442">
        <v>0</v>
      </c>
      <c r="N23" s="2333">
        <v>7859</v>
      </c>
      <c r="O23" s="2292"/>
      <c r="P23" s="2333">
        <v>0</v>
      </c>
      <c r="Q23" s="2292"/>
      <c r="R23" s="2333">
        <v>0</v>
      </c>
      <c r="S23" s="2292"/>
      <c r="T23" s="1443">
        <v>43160</v>
      </c>
      <c r="U23" s="2291" t="s">
        <v>3771</v>
      </c>
      <c r="V23" s="2292"/>
    </row>
    <row r="24" spans="1:22" ht="33.75">
      <c r="A24" s="1410" t="s">
        <v>843</v>
      </c>
      <c r="B24" s="1410" t="s">
        <v>161</v>
      </c>
      <c r="C24" s="2291" t="s">
        <v>639</v>
      </c>
      <c r="D24" s="2292"/>
      <c r="E24" s="1410"/>
      <c r="F24" s="1410"/>
      <c r="G24" s="2333">
        <v>133544</v>
      </c>
      <c r="H24" s="2292"/>
      <c r="I24" s="1442">
        <v>113512</v>
      </c>
      <c r="J24" s="2333">
        <v>10016</v>
      </c>
      <c r="K24" s="2334"/>
      <c r="L24" s="2292"/>
      <c r="M24" s="1442">
        <v>0</v>
      </c>
      <c r="N24" s="2333">
        <v>10016</v>
      </c>
      <c r="O24" s="2292"/>
      <c r="P24" s="2333">
        <v>0</v>
      </c>
      <c r="Q24" s="2292"/>
      <c r="R24" s="2333">
        <v>0</v>
      </c>
      <c r="S24" s="2292"/>
      <c r="T24" s="1443">
        <v>43080</v>
      </c>
      <c r="U24" s="2291" t="s">
        <v>3771</v>
      </c>
      <c r="V24" s="2292"/>
    </row>
    <row r="25" spans="1:22" ht="34.5" thickBot="1">
      <c r="A25" s="1410" t="s">
        <v>1070</v>
      </c>
      <c r="B25" s="1410" t="s">
        <v>282</v>
      </c>
      <c r="C25" s="2291" t="s">
        <v>138</v>
      </c>
      <c r="D25" s="2292"/>
      <c r="E25" s="1410"/>
      <c r="F25" s="1410"/>
      <c r="G25" s="2333">
        <v>370000</v>
      </c>
      <c r="H25" s="2292"/>
      <c r="I25" s="1442">
        <v>287307</v>
      </c>
      <c r="J25" s="2333">
        <v>25351</v>
      </c>
      <c r="K25" s="2334"/>
      <c r="L25" s="2292"/>
      <c r="M25" s="1442">
        <v>0</v>
      </c>
      <c r="N25" s="2333">
        <v>57342</v>
      </c>
      <c r="O25" s="2292"/>
      <c r="P25" s="2333">
        <v>0</v>
      </c>
      <c r="Q25" s="2292"/>
      <c r="R25" s="2333">
        <v>0</v>
      </c>
      <c r="S25" s="2292"/>
      <c r="T25" s="1443">
        <v>43080</v>
      </c>
      <c r="U25" s="2291" t="s">
        <v>3771</v>
      </c>
      <c r="V25" s="2292"/>
    </row>
    <row r="26" spans="1:22">
      <c r="A26" s="2335" t="s">
        <v>3649</v>
      </c>
      <c r="B26" s="2336"/>
      <c r="C26" s="2336"/>
      <c r="D26" s="2336"/>
      <c r="E26" s="2336"/>
      <c r="F26" s="2337"/>
      <c r="G26" s="2341">
        <v>1387779</v>
      </c>
      <c r="H26" s="2337"/>
      <c r="I26" s="1444">
        <v>1138588</v>
      </c>
      <c r="J26" s="2341">
        <v>100463</v>
      </c>
      <c r="K26" s="2336"/>
      <c r="L26" s="2337"/>
      <c r="M26" s="1444">
        <v>0</v>
      </c>
      <c r="N26" s="2341">
        <v>148728</v>
      </c>
      <c r="O26" s="2337"/>
      <c r="P26" s="2341">
        <v>0</v>
      </c>
      <c r="Q26" s="2337"/>
      <c r="R26" s="2341">
        <v>0</v>
      </c>
      <c r="S26" s="2337"/>
      <c r="T26" s="2335"/>
      <c r="U26" s="2336"/>
      <c r="V26" s="2337"/>
    </row>
    <row r="27" spans="1:22">
      <c r="A27" s="2163" t="s">
        <v>3650</v>
      </c>
      <c r="B27" s="2171"/>
      <c r="C27" s="2171"/>
      <c r="D27" s="2171"/>
      <c r="E27" s="2171"/>
      <c r="F27" s="2171"/>
      <c r="G27" s="2171"/>
      <c r="H27" s="2162"/>
      <c r="I27" s="2338">
        <v>1138588</v>
      </c>
      <c r="J27" s="2339"/>
      <c r="K27" s="2339"/>
      <c r="L27" s="2339"/>
      <c r="M27" s="2339"/>
      <c r="N27" s="2339"/>
      <c r="O27" s="2339"/>
      <c r="P27" s="2339"/>
      <c r="Q27" s="2339"/>
      <c r="R27" s="2339"/>
      <c r="S27" s="2339"/>
      <c r="T27" s="2339"/>
      <c r="U27" s="2339"/>
      <c r="V27" s="2340"/>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2:W28"/>
  <sheetViews>
    <sheetView workbookViewId="0">
      <selection activeCell="G21" sqref="G21:H21"/>
    </sheetView>
  </sheetViews>
  <sheetFormatPr defaultRowHeight="15"/>
  <cols>
    <col min="1" max="1" width="5.42578125" style="21" customWidth="1"/>
    <col min="2" max="2" width="13.7109375" style="21" customWidth="1"/>
    <col min="3" max="3" width="26.2851562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16.85546875" style="21" customWidth="1"/>
    <col min="21" max="21" width="16.42578125" style="21" customWidth="1"/>
    <col min="22" max="22" width="3.140625" style="21" hidden="1" customWidth="1"/>
    <col min="23" max="256" width="9.140625" style="21"/>
    <col min="257" max="257" width="5.42578125" style="21" customWidth="1"/>
    <col min="258" max="258" width="13.7109375" style="21" customWidth="1"/>
    <col min="259" max="259" width="26.2851562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16.85546875" style="21" customWidth="1"/>
    <col min="277" max="277" width="16.42578125" style="21" customWidth="1"/>
    <col min="278" max="278" width="0" style="21" hidden="1" customWidth="1"/>
    <col min="279" max="512" width="9.140625" style="21"/>
    <col min="513" max="513" width="5.42578125" style="21" customWidth="1"/>
    <col min="514" max="514" width="13.7109375" style="21" customWidth="1"/>
    <col min="515" max="515" width="26.2851562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16.85546875" style="21" customWidth="1"/>
    <col min="533" max="533" width="16.42578125" style="21" customWidth="1"/>
    <col min="534" max="534" width="0" style="21" hidden="1" customWidth="1"/>
    <col min="535" max="768" width="9.140625" style="21"/>
    <col min="769" max="769" width="5.42578125" style="21" customWidth="1"/>
    <col min="770" max="770" width="13.7109375" style="21" customWidth="1"/>
    <col min="771" max="771" width="26.2851562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16.85546875" style="21" customWidth="1"/>
    <col min="789" max="789" width="16.42578125" style="21" customWidth="1"/>
    <col min="790" max="790" width="0" style="21" hidden="1" customWidth="1"/>
    <col min="791" max="1024" width="9.140625" style="21"/>
    <col min="1025" max="1025" width="5.42578125" style="21" customWidth="1"/>
    <col min="1026" max="1026" width="13.7109375" style="21" customWidth="1"/>
    <col min="1027" max="1027" width="26.2851562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16.85546875" style="21" customWidth="1"/>
    <col min="1045" max="1045" width="16.42578125" style="21" customWidth="1"/>
    <col min="1046" max="1046" width="0" style="21" hidden="1" customWidth="1"/>
    <col min="1047" max="1280" width="9.140625" style="21"/>
    <col min="1281" max="1281" width="5.42578125" style="21" customWidth="1"/>
    <col min="1282" max="1282" width="13.7109375" style="21" customWidth="1"/>
    <col min="1283" max="1283" width="26.2851562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16.85546875" style="21" customWidth="1"/>
    <col min="1301" max="1301" width="16.42578125" style="21" customWidth="1"/>
    <col min="1302" max="1302" width="0" style="21" hidden="1" customWidth="1"/>
    <col min="1303" max="1536" width="9.140625" style="21"/>
    <col min="1537" max="1537" width="5.42578125" style="21" customWidth="1"/>
    <col min="1538" max="1538" width="13.7109375" style="21" customWidth="1"/>
    <col min="1539" max="1539" width="26.2851562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16.85546875" style="21" customWidth="1"/>
    <col min="1557" max="1557" width="16.42578125" style="21" customWidth="1"/>
    <col min="1558" max="1558" width="0" style="21" hidden="1" customWidth="1"/>
    <col min="1559" max="1792" width="9.140625" style="21"/>
    <col min="1793" max="1793" width="5.42578125" style="21" customWidth="1"/>
    <col min="1794" max="1794" width="13.7109375" style="21" customWidth="1"/>
    <col min="1795" max="1795" width="26.2851562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16.85546875" style="21" customWidth="1"/>
    <col min="1813" max="1813" width="16.42578125" style="21" customWidth="1"/>
    <col min="1814" max="1814" width="0" style="21" hidden="1" customWidth="1"/>
    <col min="1815" max="2048" width="9.140625" style="21"/>
    <col min="2049" max="2049" width="5.42578125" style="21" customWidth="1"/>
    <col min="2050" max="2050" width="13.7109375" style="21" customWidth="1"/>
    <col min="2051" max="2051" width="26.2851562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16.85546875" style="21" customWidth="1"/>
    <col min="2069" max="2069" width="16.42578125" style="21" customWidth="1"/>
    <col min="2070" max="2070" width="0" style="21" hidden="1" customWidth="1"/>
    <col min="2071" max="2304" width="9.140625" style="21"/>
    <col min="2305" max="2305" width="5.42578125" style="21" customWidth="1"/>
    <col min="2306" max="2306" width="13.7109375" style="21" customWidth="1"/>
    <col min="2307" max="2307" width="26.2851562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16.85546875" style="21" customWidth="1"/>
    <col min="2325" max="2325" width="16.42578125" style="21" customWidth="1"/>
    <col min="2326" max="2326" width="0" style="21" hidden="1" customWidth="1"/>
    <col min="2327" max="2560" width="9.140625" style="21"/>
    <col min="2561" max="2561" width="5.42578125" style="21" customWidth="1"/>
    <col min="2562" max="2562" width="13.7109375" style="21" customWidth="1"/>
    <col min="2563" max="2563" width="26.2851562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16.85546875" style="21" customWidth="1"/>
    <col min="2581" max="2581" width="16.42578125" style="21" customWidth="1"/>
    <col min="2582" max="2582" width="0" style="21" hidden="1" customWidth="1"/>
    <col min="2583" max="2816" width="9.140625" style="21"/>
    <col min="2817" max="2817" width="5.42578125" style="21" customWidth="1"/>
    <col min="2818" max="2818" width="13.7109375" style="21" customWidth="1"/>
    <col min="2819" max="2819" width="26.2851562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16.85546875" style="21" customWidth="1"/>
    <col min="2837" max="2837" width="16.42578125" style="21" customWidth="1"/>
    <col min="2838" max="2838" width="0" style="21" hidden="1" customWidth="1"/>
    <col min="2839" max="3072" width="9.140625" style="21"/>
    <col min="3073" max="3073" width="5.42578125" style="21" customWidth="1"/>
    <col min="3074" max="3074" width="13.7109375" style="21" customWidth="1"/>
    <col min="3075" max="3075" width="26.2851562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16.85546875" style="21" customWidth="1"/>
    <col min="3093" max="3093" width="16.42578125" style="21" customWidth="1"/>
    <col min="3094" max="3094" width="0" style="21" hidden="1" customWidth="1"/>
    <col min="3095" max="3328" width="9.140625" style="21"/>
    <col min="3329" max="3329" width="5.42578125" style="21" customWidth="1"/>
    <col min="3330" max="3330" width="13.7109375" style="21" customWidth="1"/>
    <col min="3331" max="3331" width="26.2851562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16.85546875" style="21" customWidth="1"/>
    <col min="3349" max="3349" width="16.42578125" style="21" customWidth="1"/>
    <col min="3350" max="3350" width="0" style="21" hidden="1" customWidth="1"/>
    <col min="3351" max="3584" width="9.140625" style="21"/>
    <col min="3585" max="3585" width="5.42578125" style="21" customWidth="1"/>
    <col min="3586" max="3586" width="13.7109375" style="21" customWidth="1"/>
    <col min="3587" max="3587" width="26.2851562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16.85546875" style="21" customWidth="1"/>
    <col min="3605" max="3605" width="16.42578125" style="21" customWidth="1"/>
    <col min="3606" max="3606" width="0" style="21" hidden="1" customWidth="1"/>
    <col min="3607" max="3840" width="9.140625" style="21"/>
    <col min="3841" max="3841" width="5.42578125" style="21" customWidth="1"/>
    <col min="3842" max="3842" width="13.7109375" style="21" customWidth="1"/>
    <col min="3843" max="3843" width="26.2851562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16.85546875" style="21" customWidth="1"/>
    <col min="3861" max="3861" width="16.42578125" style="21" customWidth="1"/>
    <col min="3862" max="3862" width="0" style="21" hidden="1" customWidth="1"/>
    <col min="3863" max="4096" width="9.140625" style="21"/>
    <col min="4097" max="4097" width="5.42578125" style="21" customWidth="1"/>
    <col min="4098" max="4098" width="13.7109375" style="21" customWidth="1"/>
    <col min="4099" max="4099" width="26.2851562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16.85546875" style="21" customWidth="1"/>
    <col min="4117" max="4117" width="16.42578125" style="21" customWidth="1"/>
    <col min="4118" max="4118" width="0" style="21" hidden="1" customWidth="1"/>
    <col min="4119" max="4352" width="9.140625" style="21"/>
    <col min="4353" max="4353" width="5.42578125" style="21" customWidth="1"/>
    <col min="4354" max="4354" width="13.7109375" style="21" customWidth="1"/>
    <col min="4355" max="4355" width="26.2851562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16.85546875" style="21" customWidth="1"/>
    <col min="4373" max="4373" width="16.42578125" style="21" customWidth="1"/>
    <col min="4374" max="4374" width="0" style="21" hidden="1" customWidth="1"/>
    <col min="4375" max="4608" width="9.140625" style="21"/>
    <col min="4609" max="4609" width="5.42578125" style="21" customWidth="1"/>
    <col min="4610" max="4610" width="13.7109375" style="21" customWidth="1"/>
    <col min="4611" max="4611" width="26.2851562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16.85546875" style="21" customWidth="1"/>
    <col min="4629" max="4629" width="16.42578125" style="21" customWidth="1"/>
    <col min="4630" max="4630" width="0" style="21" hidden="1" customWidth="1"/>
    <col min="4631" max="4864" width="9.140625" style="21"/>
    <col min="4865" max="4865" width="5.42578125" style="21" customWidth="1"/>
    <col min="4866" max="4866" width="13.7109375" style="21" customWidth="1"/>
    <col min="4867" max="4867" width="26.2851562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16.85546875" style="21" customWidth="1"/>
    <col min="4885" max="4885" width="16.42578125" style="21" customWidth="1"/>
    <col min="4886" max="4886" width="0" style="21" hidden="1" customWidth="1"/>
    <col min="4887" max="5120" width="9.140625" style="21"/>
    <col min="5121" max="5121" width="5.42578125" style="21" customWidth="1"/>
    <col min="5122" max="5122" width="13.7109375" style="21" customWidth="1"/>
    <col min="5123" max="5123" width="26.2851562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16.85546875" style="21" customWidth="1"/>
    <col min="5141" max="5141" width="16.42578125" style="21" customWidth="1"/>
    <col min="5142" max="5142" width="0" style="21" hidden="1" customWidth="1"/>
    <col min="5143" max="5376" width="9.140625" style="21"/>
    <col min="5377" max="5377" width="5.42578125" style="21" customWidth="1"/>
    <col min="5378" max="5378" width="13.7109375" style="21" customWidth="1"/>
    <col min="5379" max="5379" width="26.2851562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16.85546875" style="21" customWidth="1"/>
    <col min="5397" max="5397" width="16.42578125" style="21" customWidth="1"/>
    <col min="5398" max="5398" width="0" style="21" hidden="1" customWidth="1"/>
    <col min="5399" max="5632" width="9.140625" style="21"/>
    <col min="5633" max="5633" width="5.42578125" style="21" customWidth="1"/>
    <col min="5634" max="5634" width="13.7109375" style="21" customWidth="1"/>
    <col min="5635" max="5635" width="26.2851562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16.85546875" style="21" customWidth="1"/>
    <col min="5653" max="5653" width="16.42578125" style="21" customWidth="1"/>
    <col min="5654" max="5654" width="0" style="21" hidden="1" customWidth="1"/>
    <col min="5655" max="5888" width="9.140625" style="21"/>
    <col min="5889" max="5889" width="5.42578125" style="21" customWidth="1"/>
    <col min="5890" max="5890" width="13.7109375" style="21" customWidth="1"/>
    <col min="5891" max="5891" width="26.2851562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16.85546875" style="21" customWidth="1"/>
    <col min="5909" max="5909" width="16.42578125" style="21" customWidth="1"/>
    <col min="5910" max="5910" width="0" style="21" hidden="1" customWidth="1"/>
    <col min="5911" max="6144" width="9.140625" style="21"/>
    <col min="6145" max="6145" width="5.42578125" style="21" customWidth="1"/>
    <col min="6146" max="6146" width="13.7109375" style="21" customWidth="1"/>
    <col min="6147" max="6147" width="26.2851562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16.85546875" style="21" customWidth="1"/>
    <col min="6165" max="6165" width="16.42578125" style="21" customWidth="1"/>
    <col min="6166" max="6166" width="0" style="21" hidden="1" customWidth="1"/>
    <col min="6167" max="6400" width="9.140625" style="21"/>
    <col min="6401" max="6401" width="5.42578125" style="21" customWidth="1"/>
    <col min="6402" max="6402" width="13.7109375" style="21" customWidth="1"/>
    <col min="6403" max="6403" width="26.2851562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16.85546875" style="21" customWidth="1"/>
    <col min="6421" max="6421" width="16.42578125" style="21" customWidth="1"/>
    <col min="6422" max="6422" width="0" style="21" hidden="1" customWidth="1"/>
    <col min="6423" max="6656" width="9.140625" style="21"/>
    <col min="6657" max="6657" width="5.42578125" style="21" customWidth="1"/>
    <col min="6658" max="6658" width="13.7109375" style="21" customWidth="1"/>
    <col min="6659" max="6659" width="26.2851562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16.85546875" style="21" customWidth="1"/>
    <col min="6677" max="6677" width="16.42578125" style="21" customWidth="1"/>
    <col min="6678" max="6678" width="0" style="21" hidden="1" customWidth="1"/>
    <col min="6679" max="6912" width="9.140625" style="21"/>
    <col min="6913" max="6913" width="5.42578125" style="21" customWidth="1"/>
    <col min="6914" max="6914" width="13.7109375" style="21" customWidth="1"/>
    <col min="6915" max="6915" width="26.2851562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16.85546875" style="21" customWidth="1"/>
    <col min="6933" max="6933" width="16.42578125" style="21" customWidth="1"/>
    <col min="6934" max="6934" width="0" style="21" hidden="1" customWidth="1"/>
    <col min="6935" max="7168" width="9.140625" style="21"/>
    <col min="7169" max="7169" width="5.42578125" style="21" customWidth="1"/>
    <col min="7170" max="7170" width="13.7109375" style="21" customWidth="1"/>
    <col min="7171" max="7171" width="26.2851562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16.85546875" style="21" customWidth="1"/>
    <col min="7189" max="7189" width="16.42578125" style="21" customWidth="1"/>
    <col min="7190" max="7190" width="0" style="21" hidden="1" customWidth="1"/>
    <col min="7191" max="7424" width="9.140625" style="21"/>
    <col min="7425" max="7425" width="5.42578125" style="21" customWidth="1"/>
    <col min="7426" max="7426" width="13.7109375" style="21" customWidth="1"/>
    <col min="7427" max="7427" width="26.2851562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16.85546875" style="21" customWidth="1"/>
    <col min="7445" max="7445" width="16.42578125" style="21" customWidth="1"/>
    <col min="7446" max="7446" width="0" style="21" hidden="1" customWidth="1"/>
    <col min="7447" max="7680" width="9.140625" style="21"/>
    <col min="7681" max="7681" width="5.42578125" style="21" customWidth="1"/>
    <col min="7682" max="7682" width="13.7109375" style="21" customWidth="1"/>
    <col min="7683" max="7683" width="26.2851562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16.85546875" style="21" customWidth="1"/>
    <col min="7701" max="7701" width="16.42578125" style="21" customWidth="1"/>
    <col min="7702" max="7702" width="0" style="21" hidden="1" customWidth="1"/>
    <col min="7703" max="7936" width="9.140625" style="21"/>
    <col min="7937" max="7937" width="5.42578125" style="21" customWidth="1"/>
    <col min="7938" max="7938" width="13.7109375" style="21" customWidth="1"/>
    <col min="7939" max="7939" width="26.2851562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16.85546875" style="21" customWidth="1"/>
    <col min="7957" max="7957" width="16.42578125" style="21" customWidth="1"/>
    <col min="7958" max="7958" width="0" style="21" hidden="1" customWidth="1"/>
    <col min="7959" max="8192" width="9.140625" style="21"/>
    <col min="8193" max="8193" width="5.42578125" style="21" customWidth="1"/>
    <col min="8194" max="8194" width="13.7109375" style="21" customWidth="1"/>
    <col min="8195" max="8195" width="26.2851562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16.85546875" style="21" customWidth="1"/>
    <col min="8213" max="8213" width="16.42578125" style="21" customWidth="1"/>
    <col min="8214" max="8214" width="0" style="21" hidden="1" customWidth="1"/>
    <col min="8215" max="8448" width="9.140625" style="21"/>
    <col min="8449" max="8449" width="5.42578125" style="21" customWidth="1"/>
    <col min="8450" max="8450" width="13.7109375" style="21" customWidth="1"/>
    <col min="8451" max="8451" width="26.2851562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16.85546875" style="21" customWidth="1"/>
    <col min="8469" max="8469" width="16.42578125" style="21" customWidth="1"/>
    <col min="8470" max="8470" width="0" style="21" hidden="1" customWidth="1"/>
    <col min="8471" max="8704" width="9.140625" style="21"/>
    <col min="8705" max="8705" width="5.42578125" style="21" customWidth="1"/>
    <col min="8706" max="8706" width="13.7109375" style="21" customWidth="1"/>
    <col min="8707" max="8707" width="26.2851562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16.85546875" style="21" customWidth="1"/>
    <col min="8725" max="8725" width="16.42578125" style="21" customWidth="1"/>
    <col min="8726" max="8726" width="0" style="21" hidden="1" customWidth="1"/>
    <col min="8727" max="8960" width="9.140625" style="21"/>
    <col min="8961" max="8961" width="5.42578125" style="21" customWidth="1"/>
    <col min="8962" max="8962" width="13.7109375" style="21" customWidth="1"/>
    <col min="8963" max="8963" width="26.2851562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16.85546875" style="21" customWidth="1"/>
    <col min="8981" max="8981" width="16.42578125" style="21" customWidth="1"/>
    <col min="8982" max="8982" width="0" style="21" hidden="1" customWidth="1"/>
    <col min="8983" max="9216" width="9.140625" style="21"/>
    <col min="9217" max="9217" width="5.42578125" style="21" customWidth="1"/>
    <col min="9218" max="9218" width="13.7109375" style="21" customWidth="1"/>
    <col min="9219" max="9219" width="26.2851562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16.85546875" style="21" customWidth="1"/>
    <col min="9237" max="9237" width="16.42578125" style="21" customWidth="1"/>
    <col min="9238" max="9238" width="0" style="21" hidden="1" customWidth="1"/>
    <col min="9239" max="9472" width="9.140625" style="21"/>
    <col min="9473" max="9473" width="5.42578125" style="21" customWidth="1"/>
    <col min="9474" max="9474" width="13.7109375" style="21" customWidth="1"/>
    <col min="9475" max="9475" width="26.2851562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16.85546875" style="21" customWidth="1"/>
    <col min="9493" max="9493" width="16.42578125" style="21" customWidth="1"/>
    <col min="9494" max="9494" width="0" style="21" hidden="1" customWidth="1"/>
    <col min="9495" max="9728" width="9.140625" style="21"/>
    <col min="9729" max="9729" width="5.42578125" style="21" customWidth="1"/>
    <col min="9730" max="9730" width="13.7109375" style="21" customWidth="1"/>
    <col min="9731" max="9731" width="26.2851562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16.85546875" style="21" customWidth="1"/>
    <col min="9749" max="9749" width="16.42578125" style="21" customWidth="1"/>
    <col min="9750" max="9750" width="0" style="21" hidden="1" customWidth="1"/>
    <col min="9751" max="9984" width="9.140625" style="21"/>
    <col min="9985" max="9985" width="5.42578125" style="21" customWidth="1"/>
    <col min="9986" max="9986" width="13.7109375" style="21" customWidth="1"/>
    <col min="9987" max="9987" width="26.2851562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16.85546875" style="21" customWidth="1"/>
    <col min="10005" max="10005" width="16.42578125" style="21" customWidth="1"/>
    <col min="10006" max="10006" width="0" style="21" hidden="1" customWidth="1"/>
    <col min="10007" max="10240" width="9.140625" style="21"/>
    <col min="10241" max="10241" width="5.42578125" style="21" customWidth="1"/>
    <col min="10242" max="10242" width="13.7109375" style="21" customWidth="1"/>
    <col min="10243" max="10243" width="26.2851562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16.85546875" style="21" customWidth="1"/>
    <col min="10261" max="10261" width="16.42578125" style="21" customWidth="1"/>
    <col min="10262" max="10262" width="0" style="21" hidden="1" customWidth="1"/>
    <col min="10263" max="10496" width="9.140625" style="21"/>
    <col min="10497" max="10497" width="5.42578125" style="21" customWidth="1"/>
    <col min="10498" max="10498" width="13.7109375" style="21" customWidth="1"/>
    <col min="10499" max="10499" width="26.2851562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16.85546875" style="21" customWidth="1"/>
    <col min="10517" max="10517" width="16.42578125" style="21" customWidth="1"/>
    <col min="10518" max="10518" width="0" style="21" hidden="1" customWidth="1"/>
    <col min="10519" max="10752" width="9.140625" style="21"/>
    <col min="10753" max="10753" width="5.42578125" style="21" customWidth="1"/>
    <col min="10754" max="10754" width="13.7109375" style="21" customWidth="1"/>
    <col min="10755" max="10755" width="26.2851562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16.85546875" style="21" customWidth="1"/>
    <col min="10773" max="10773" width="16.42578125" style="21" customWidth="1"/>
    <col min="10774" max="10774" width="0" style="21" hidden="1" customWidth="1"/>
    <col min="10775" max="11008" width="9.140625" style="21"/>
    <col min="11009" max="11009" width="5.42578125" style="21" customWidth="1"/>
    <col min="11010" max="11010" width="13.7109375" style="21" customWidth="1"/>
    <col min="11011" max="11011" width="26.2851562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16.85546875" style="21" customWidth="1"/>
    <col min="11029" max="11029" width="16.42578125" style="21" customWidth="1"/>
    <col min="11030" max="11030" width="0" style="21" hidden="1" customWidth="1"/>
    <col min="11031" max="11264" width="9.140625" style="21"/>
    <col min="11265" max="11265" width="5.42578125" style="21" customWidth="1"/>
    <col min="11266" max="11266" width="13.7109375" style="21" customWidth="1"/>
    <col min="11267" max="11267" width="26.2851562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16.85546875" style="21" customWidth="1"/>
    <col min="11285" max="11285" width="16.42578125" style="21" customWidth="1"/>
    <col min="11286" max="11286" width="0" style="21" hidden="1" customWidth="1"/>
    <col min="11287" max="11520" width="9.140625" style="21"/>
    <col min="11521" max="11521" width="5.42578125" style="21" customWidth="1"/>
    <col min="11522" max="11522" width="13.7109375" style="21" customWidth="1"/>
    <col min="11523" max="11523" width="26.2851562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16.85546875" style="21" customWidth="1"/>
    <col min="11541" max="11541" width="16.42578125" style="21" customWidth="1"/>
    <col min="11542" max="11542" width="0" style="21" hidden="1" customWidth="1"/>
    <col min="11543" max="11776" width="9.140625" style="21"/>
    <col min="11777" max="11777" width="5.42578125" style="21" customWidth="1"/>
    <col min="11778" max="11778" width="13.7109375" style="21" customWidth="1"/>
    <col min="11779" max="11779" width="26.2851562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16.85546875" style="21" customWidth="1"/>
    <col min="11797" max="11797" width="16.42578125" style="21" customWidth="1"/>
    <col min="11798" max="11798" width="0" style="21" hidden="1" customWidth="1"/>
    <col min="11799" max="12032" width="9.140625" style="21"/>
    <col min="12033" max="12033" width="5.42578125" style="21" customWidth="1"/>
    <col min="12034" max="12034" width="13.7109375" style="21" customWidth="1"/>
    <col min="12035" max="12035" width="26.2851562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16.85546875" style="21" customWidth="1"/>
    <col min="12053" max="12053" width="16.42578125" style="21" customWidth="1"/>
    <col min="12054" max="12054" width="0" style="21" hidden="1" customWidth="1"/>
    <col min="12055" max="12288" width="9.140625" style="21"/>
    <col min="12289" max="12289" width="5.42578125" style="21" customWidth="1"/>
    <col min="12290" max="12290" width="13.7109375" style="21" customWidth="1"/>
    <col min="12291" max="12291" width="26.2851562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16.85546875" style="21" customWidth="1"/>
    <col min="12309" max="12309" width="16.42578125" style="21" customWidth="1"/>
    <col min="12310" max="12310" width="0" style="21" hidden="1" customWidth="1"/>
    <col min="12311" max="12544" width="9.140625" style="21"/>
    <col min="12545" max="12545" width="5.42578125" style="21" customWidth="1"/>
    <col min="12546" max="12546" width="13.7109375" style="21" customWidth="1"/>
    <col min="12547" max="12547" width="26.2851562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16.85546875" style="21" customWidth="1"/>
    <col min="12565" max="12565" width="16.42578125" style="21" customWidth="1"/>
    <col min="12566" max="12566" width="0" style="21" hidden="1" customWidth="1"/>
    <col min="12567" max="12800" width="9.140625" style="21"/>
    <col min="12801" max="12801" width="5.42578125" style="21" customWidth="1"/>
    <col min="12802" max="12802" width="13.7109375" style="21" customWidth="1"/>
    <col min="12803" max="12803" width="26.2851562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16.85546875" style="21" customWidth="1"/>
    <col min="12821" max="12821" width="16.42578125" style="21" customWidth="1"/>
    <col min="12822" max="12822" width="0" style="21" hidden="1" customWidth="1"/>
    <col min="12823" max="13056" width="9.140625" style="21"/>
    <col min="13057" max="13057" width="5.42578125" style="21" customWidth="1"/>
    <col min="13058" max="13058" width="13.7109375" style="21" customWidth="1"/>
    <col min="13059" max="13059" width="26.2851562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16.85546875" style="21" customWidth="1"/>
    <col min="13077" max="13077" width="16.42578125" style="21" customWidth="1"/>
    <col min="13078" max="13078" width="0" style="21" hidden="1" customWidth="1"/>
    <col min="13079" max="13312" width="9.140625" style="21"/>
    <col min="13313" max="13313" width="5.42578125" style="21" customWidth="1"/>
    <col min="13314" max="13314" width="13.7109375" style="21" customWidth="1"/>
    <col min="13315" max="13315" width="26.2851562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16.85546875" style="21" customWidth="1"/>
    <col min="13333" max="13333" width="16.42578125" style="21" customWidth="1"/>
    <col min="13334" max="13334" width="0" style="21" hidden="1" customWidth="1"/>
    <col min="13335" max="13568" width="9.140625" style="21"/>
    <col min="13569" max="13569" width="5.42578125" style="21" customWidth="1"/>
    <col min="13570" max="13570" width="13.7109375" style="21" customWidth="1"/>
    <col min="13571" max="13571" width="26.2851562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16.85546875" style="21" customWidth="1"/>
    <col min="13589" max="13589" width="16.42578125" style="21" customWidth="1"/>
    <col min="13590" max="13590" width="0" style="21" hidden="1" customWidth="1"/>
    <col min="13591" max="13824" width="9.140625" style="21"/>
    <col min="13825" max="13825" width="5.42578125" style="21" customWidth="1"/>
    <col min="13826" max="13826" width="13.7109375" style="21" customWidth="1"/>
    <col min="13827" max="13827" width="26.2851562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16.85546875" style="21" customWidth="1"/>
    <col min="13845" max="13845" width="16.42578125" style="21" customWidth="1"/>
    <col min="13846" max="13846" width="0" style="21" hidden="1" customWidth="1"/>
    <col min="13847" max="14080" width="9.140625" style="21"/>
    <col min="14081" max="14081" width="5.42578125" style="21" customWidth="1"/>
    <col min="14082" max="14082" width="13.7109375" style="21" customWidth="1"/>
    <col min="14083" max="14083" width="26.2851562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16.85546875" style="21" customWidth="1"/>
    <col min="14101" max="14101" width="16.42578125" style="21" customWidth="1"/>
    <col min="14102" max="14102" width="0" style="21" hidden="1" customWidth="1"/>
    <col min="14103" max="14336" width="9.140625" style="21"/>
    <col min="14337" max="14337" width="5.42578125" style="21" customWidth="1"/>
    <col min="14338" max="14338" width="13.7109375" style="21" customWidth="1"/>
    <col min="14339" max="14339" width="26.2851562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16.85546875" style="21" customWidth="1"/>
    <col min="14357" max="14357" width="16.42578125" style="21" customWidth="1"/>
    <col min="14358" max="14358" width="0" style="21" hidden="1" customWidth="1"/>
    <col min="14359" max="14592" width="9.140625" style="21"/>
    <col min="14593" max="14593" width="5.42578125" style="21" customWidth="1"/>
    <col min="14594" max="14594" width="13.7109375" style="21" customWidth="1"/>
    <col min="14595" max="14595" width="26.2851562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16.85546875" style="21" customWidth="1"/>
    <col min="14613" max="14613" width="16.42578125" style="21" customWidth="1"/>
    <col min="14614" max="14614" width="0" style="21" hidden="1" customWidth="1"/>
    <col min="14615" max="14848" width="9.140625" style="21"/>
    <col min="14849" max="14849" width="5.42578125" style="21" customWidth="1"/>
    <col min="14850" max="14850" width="13.7109375" style="21" customWidth="1"/>
    <col min="14851" max="14851" width="26.2851562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16.85546875" style="21" customWidth="1"/>
    <col min="14869" max="14869" width="16.42578125" style="21" customWidth="1"/>
    <col min="14870" max="14870" width="0" style="21" hidden="1" customWidth="1"/>
    <col min="14871" max="15104" width="9.140625" style="21"/>
    <col min="15105" max="15105" width="5.42578125" style="21" customWidth="1"/>
    <col min="15106" max="15106" width="13.7109375" style="21" customWidth="1"/>
    <col min="15107" max="15107" width="26.2851562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16.85546875" style="21" customWidth="1"/>
    <col min="15125" max="15125" width="16.42578125" style="21" customWidth="1"/>
    <col min="15126" max="15126" width="0" style="21" hidden="1" customWidth="1"/>
    <col min="15127" max="15360" width="9.140625" style="21"/>
    <col min="15361" max="15361" width="5.42578125" style="21" customWidth="1"/>
    <col min="15362" max="15362" width="13.7109375" style="21" customWidth="1"/>
    <col min="15363" max="15363" width="26.2851562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16.85546875" style="21" customWidth="1"/>
    <col min="15381" max="15381" width="16.42578125" style="21" customWidth="1"/>
    <col min="15382" max="15382" width="0" style="21" hidden="1" customWidth="1"/>
    <col min="15383" max="15616" width="9.140625" style="21"/>
    <col min="15617" max="15617" width="5.42578125" style="21" customWidth="1"/>
    <col min="15618" max="15618" width="13.7109375" style="21" customWidth="1"/>
    <col min="15619" max="15619" width="26.2851562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16.85546875" style="21" customWidth="1"/>
    <col min="15637" max="15637" width="16.42578125" style="21" customWidth="1"/>
    <col min="15638" max="15638" width="0" style="21" hidden="1" customWidth="1"/>
    <col min="15639" max="15872" width="9.140625" style="21"/>
    <col min="15873" max="15873" width="5.42578125" style="21" customWidth="1"/>
    <col min="15874" max="15874" width="13.7109375" style="21" customWidth="1"/>
    <col min="15875" max="15875" width="26.2851562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16.85546875" style="21" customWidth="1"/>
    <col min="15893" max="15893" width="16.42578125" style="21" customWidth="1"/>
    <col min="15894" max="15894" width="0" style="21" hidden="1" customWidth="1"/>
    <col min="15895" max="16128" width="9.140625" style="21"/>
    <col min="16129" max="16129" width="5.42578125" style="21" customWidth="1"/>
    <col min="16130" max="16130" width="13.7109375" style="21" customWidth="1"/>
    <col min="16131" max="16131" width="26.2851562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16.85546875" style="21" customWidth="1"/>
    <col min="16149" max="16149" width="16.42578125" style="21" customWidth="1"/>
    <col min="16150" max="16150" width="0" style="21" hidden="1" customWidth="1"/>
    <col min="16151" max="16384" width="9.140625" style="21"/>
  </cols>
  <sheetData>
    <row r="2" spans="1:23" ht="66" customHeight="1">
      <c r="A2" s="2204"/>
      <c r="B2" s="2205"/>
      <c r="C2" s="2205"/>
      <c r="D2" s="2205"/>
      <c r="E2" s="2205"/>
      <c r="F2" s="2205"/>
      <c r="G2" s="2205"/>
      <c r="H2" s="2205"/>
      <c r="I2" s="2205"/>
      <c r="J2" s="2205"/>
      <c r="K2" s="2205"/>
      <c r="L2" s="2205"/>
      <c r="M2" s="2205"/>
      <c r="N2" s="2205"/>
      <c r="O2" s="2205"/>
      <c r="P2" s="2205"/>
      <c r="Q2" s="2283" t="s">
        <v>3758</v>
      </c>
      <c r="R2" s="2205"/>
      <c r="S2" s="2205"/>
      <c r="T2" s="2205"/>
      <c r="U2" s="2205"/>
      <c r="V2" s="1395"/>
    </row>
    <row r="3" spans="1:23">
      <c r="A3" s="2204"/>
      <c r="B3" s="2205"/>
      <c r="C3" s="2205"/>
      <c r="D3" s="2205"/>
      <c r="E3" s="2205"/>
      <c r="F3" s="2205"/>
      <c r="G3" s="2205"/>
      <c r="H3" s="2205"/>
      <c r="I3" s="2205"/>
      <c r="J3" s="2205"/>
      <c r="K3" s="2205"/>
      <c r="L3" s="2205"/>
      <c r="M3" s="2205"/>
      <c r="N3" s="2205"/>
      <c r="O3" s="2205"/>
      <c r="P3" s="2205"/>
      <c r="Q3" s="2283"/>
      <c r="R3" s="2205"/>
      <c r="S3" s="2205"/>
      <c r="T3" s="2205"/>
      <c r="U3" s="2205"/>
      <c r="V3" s="1395"/>
    </row>
    <row r="4" spans="1:23">
      <c r="A4" s="2284"/>
      <c r="B4" s="2205"/>
      <c r="C4" s="2205"/>
      <c r="D4" s="2285" t="s">
        <v>3737</v>
      </c>
      <c r="E4" s="2342"/>
      <c r="F4" s="2342"/>
      <c r="G4" s="2342"/>
      <c r="H4" s="2342"/>
      <c r="I4" s="2342"/>
      <c r="J4" s="2342"/>
      <c r="K4" s="2342"/>
      <c r="L4" s="2342"/>
      <c r="M4" s="2342"/>
      <c r="N4" s="2342"/>
      <c r="O4" s="2342"/>
      <c r="P4" s="2342"/>
      <c r="Q4" s="2342"/>
      <c r="R4" s="2342"/>
      <c r="S4" s="2284"/>
      <c r="T4" s="2205"/>
      <c r="U4" s="2205"/>
      <c r="V4" s="1395"/>
    </row>
    <row r="5" spans="1:23">
      <c r="A5" s="2282" t="s">
        <v>3630</v>
      </c>
      <c r="B5" s="2205"/>
      <c r="C5" s="2205"/>
      <c r="D5" s="2205"/>
      <c r="E5" s="2205"/>
      <c r="F5" s="2205"/>
      <c r="G5" s="2205"/>
      <c r="H5" s="2205"/>
      <c r="I5" s="2205"/>
      <c r="J5" s="2205"/>
      <c r="K5" s="2205"/>
      <c r="L5" s="2205"/>
      <c r="M5" s="2205"/>
      <c r="N5" s="2205"/>
      <c r="O5" s="2205"/>
      <c r="P5" s="2205"/>
      <c r="Q5" s="2205"/>
      <c r="R5" s="2205"/>
      <c r="S5" s="2205"/>
      <c r="T5" s="2205"/>
      <c r="U5" s="2205"/>
      <c r="V5" s="1395"/>
    </row>
    <row r="6" spans="1:23">
      <c r="A6" s="2204"/>
      <c r="B6" s="2205"/>
      <c r="C6" s="2205"/>
      <c r="D6" s="2205"/>
      <c r="E6" s="2205"/>
      <c r="F6" s="2205"/>
      <c r="G6" s="2205"/>
      <c r="H6" s="2205"/>
      <c r="I6" s="2205"/>
      <c r="J6" s="2205"/>
      <c r="K6" s="2205"/>
      <c r="L6" s="2205"/>
      <c r="M6" s="2205"/>
      <c r="N6" s="2205"/>
      <c r="O6" s="2205"/>
      <c r="P6" s="2205"/>
      <c r="Q6" s="2205"/>
      <c r="R6" s="2205"/>
      <c r="S6" s="2205"/>
      <c r="T6" s="2205"/>
      <c r="U6" s="2205"/>
      <c r="V6" s="1395"/>
    </row>
    <row r="7" spans="1:23">
      <c r="A7" s="2284"/>
      <c r="B7" s="2205"/>
      <c r="C7" s="2205"/>
      <c r="D7" s="2286" t="s">
        <v>3759</v>
      </c>
      <c r="E7" s="2342"/>
      <c r="F7" s="2342"/>
      <c r="G7" s="2342"/>
      <c r="H7" s="2342"/>
      <c r="I7" s="2342"/>
      <c r="J7" s="2342"/>
      <c r="K7" s="2342"/>
      <c r="L7" s="2342"/>
      <c r="M7" s="2342"/>
      <c r="N7" s="2342"/>
      <c r="O7" s="2342"/>
      <c r="P7" s="2342"/>
      <c r="Q7" s="2342"/>
      <c r="R7" s="2342"/>
      <c r="S7" s="2284"/>
      <c r="T7" s="2205"/>
      <c r="U7" s="2205"/>
      <c r="V7" s="1395"/>
    </row>
    <row r="8" spans="1:23">
      <c r="A8" s="2282" t="s">
        <v>3632</v>
      </c>
      <c r="B8" s="2205"/>
      <c r="C8" s="2205"/>
      <c r="D8" s="2205"/>
      <c r="E8" s="2205"/>
      <c r="F8" s="2205"/>
      <c r="G8" s="2205"/>
      <c r="H8" s="2205"/>
      <c r="I8" s="2205"/>
      <c r="J8" s="2205"/>
      <c r="K8" s="2205"/>
      <c r="L8" s="2205"/>
      <c r="M8" s="2205"/>
      <c r="N8" s="2205"/>
      <c r="O8" s="2205"/>
      <c r="P8" s="2205"/>
      <c r="Q8" s="2205"/>
      <c r="R8" s="2205"/>
      <c r="S8" s="2205"/>
      <c r="T8" s="2205"/>
      <c r="U8" s="2205"/>
      <c r="V8" s="1395"/>
    </row>
    <row r="9" spans="1:23">
      <c r="A9" s="2287"/>
      <c r="B9" s="2205"/>
      <c r="C9" s="2205"/>
      <c r="D9" s="2205"/>
      <c r="E9" s="2205"/>
      <c r="F9" s="2205"/>
      <c r="G9" s="2205"/>
      <c r="H9" s="2205"/>
      <c r="I9" s="2205"/>
      <c r="J9" s="2205"/>
      <c r="K9" s="2205"/>
      <c r="L9" s="2205"/>
      <c r="M9" s="2205"/>
      <c r="N9" s="2205"/>
      <c r="O9" s="2205"/>
      <c r="P9" s="2205"/>
      <c r="Q9" s="2205"/>
      <c r="R9" s="2205"/>
      <c r="S9" s="2205"/>
      <c r="T9" s="2205"/>
      <c r="U9" s="2205"/>
      <c r="V9" s="1395"/>
    </row>
    <row r="10" spans="1:23">
      <c r="A10" s="2288" t="s">
        <v>3652</v>
      </c>
      <c r="B10" s="2205"/>
      <c r="C10" s="2205"/>
      <c r="D10" s="2205"/>
      <c r="E10" s="2205"/>
      <c r="F10" s="2205"/>
      <c r="G10" s="2205"/>
      <c r="H10" s="2205"/>
      <c r="I10" s="2205"/>
      <c r="J10" s="2205"/>
      <c r="K10" s="2205"/>
      <c r="L10" s="2205"/>
      <c r="M10" s="2205"/>
      <c r="N10" s="2205"/>
      <c r="O10" s="2205"/>
      <c r="P10" s="2205"/>
      <c r="Q10" s="2205"/>
      <c r="R10" s="2205"/>
      <c r="S10" s="2205"/>
      <c r="T10" s="2205"/>
      <c r="U10" s="2205"/>
      <c r="V10" s="1395"/>
    </row>
    <row r="11" spans="1:23" ht="15.75">
      <c r="A11" s="2248"/>
      <c r="B11" s="2205"/>
      <c r="C11" s="2205"/>
      <c r="D11" s="2205"/>
      <c r="E11" s="2205"/>
      <c r="F11" s="2205"/>
      <c r="G11" s="2205"/>
      <c r="H11" s="2205"/>
      <c r="I11" s="2205"/>
      <c r="J11" s="2205"/>
      <c r="K11" s="2205"/>
      <c r="L11" s="2205"/>
      <c r="M11" s="2205"/>
      <c r="N11" s="2205"/>
      <c r="O11" s="2205"/>
      <c r="P11" s="2205"/>
      <c r="Q11" s="2205"/>
      <c r="R11" s="2205"/>
      <c r="S11" s="2205"/>
      <c r="T11" s="2205"/>
      <c r="U11" s="2205"/>
      <c r="V11" s="1395"/>
    </row>
    <row r="12" spans="1:23">
      <c r="A12" s="2284"/>
      <c r="B12" s="2205"/>
      <c r="C12" s="2205"/>
      <c r="D12" s="2205"/>
      <c r="E12" s="2205"/>
      <c r="F12" s="2205"/>
      <c r="G12" s="2205"/>
      <c r="H12" s="2289" t="s">
        <v>3760</v>
      </c>
      <c r="I12" s="2342"/>
      <c r="J12" s="2342"/>
      <c r="K12" s="1409" t="s">
        <v>7</v>
      </c>
      <c r="L12" s="2289" t="s">
        <v>3761</v>
      </c>
      <c r="M12" s="2342"/>
      <c r="N12" s="2342"/>
      <c r="O12" s="2284"/>
      <c r="P12" s="2205"/>
      <c r="Q12" s="2205"/>
      <c r="R12" s="2205"/>
      <c r="S12" s="2205"/>
      <c r="T12" s="2205"/>
      <c r="U12" s="2205"/>
      <c r="V12" s="1395"/>
    </row>
    <row r="13" spans="1:23" hidden="1">
      <c r="A13" s="1395"/>
      <c r="B13" s="1395"/>
      <c r="C13" s="1395"/>
      <c r="D13" s="1395"/>
      <c r="E13" s="1395"/>
      <c r="F13" s="1395"/>
      <c r="G13" s="1395"/>
      <c r="H13" s="1395"/>
      <c r="I13" s="1395"/>
      <c r="J13" s="1395"/>
      <c r="K13" s="1395"/>
      <c r="L13" s="1395"/>
      <c r="M13" s="1395"/>
      <c r="N13" s="1395"/>
      <c r="O13" s="1395"/>
      <c r="P13" s="1395"/>
      <c r="Q13" s="1395"/>
      <c r="R13" s="1395"/>
      <c r="S13" s="1395"/>
      <c r="T13" s="1395"/>
      <c r="U13" s="1395"/>
      <c r="V13" s="1395"/>
    </row>
    <row r="14" spans="1:23">
      <c r="A14" s="1395"/>
      <c r="B14" s="1395"/>
      <c r="C14" s="1395"/>
      <c r="D14" s="1395"/>
      <c r="E14" s="1395"/>
      <c r="F14" s="1395"/>
      <c r="G14" s="1395"/>
      <c r="H14" s="1395"/>
      <c r="I14" s="1395"/>
      <c r="J14" s="1395"/>
      <c r="K14" s="1395"/>
      <c r="L14" s="1395"/>
      <c r="M14" s="1395"/>
      <c r="N14" s="1395"/>
      <c r="O14" s="1395"/>
      <c r="P14" s="1395"/>
      <c r="Q14" s="1395"/>
      <c r="R14" s="1395"/>
      <c r="S14" s="1395"/>
      <c r="T14" s="1395"/>
      <c r="U14" s="1395"/>
      <c r="V14" s="1395"/>
    </row>
    <row r="15" spans="1:23">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50"/>
      <c r="W15" s="1439"/>
    </row>
    <row r="16" spans="1:23">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51"/>
      <c r="W16" s="1439"/>
    </row>
    <row r="17" spans="1:23">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51"/>
      <c r="W17" s="1439"/>
    </row>
    <row r="18" spans="1:23">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51"/>
      <c r="W18" s="1439"/>
    </row>
    <row r="19" spans="1:23" ht="48">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2"/>
      <c r="W19" s="1439"/>
    </row>
    <row r="20" spans="1:23">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2"/>
      <c r="W20" s="1439"/>
    </row>
    <row r="21" spans="1:23" ht="33.75">
      <c r="A21" s="1326" t="s">
        <v>1052</v>
      </c>
      <c r="B21" s="1326" t="s">
        <v>345</v>
      </c>
      <c r="C21" s="2290" t="s">
        <v>1190</v>
      </c>
      <c r="D21" s="2353"/>
      <c r="E21" s="1326"/>
      <c r="F21" s="1326"/>
      <c r="G21" s="2161">
        <v>17041.18</v>
      </c>
      <c r="H21" s="2353"/>
      <c r="I21" s="1398">
        <v>14485.09</v>
      </c>
      <c r="J21" s="2161">
        <v>1278</v>
      </c>
      <c r="K21" s="2352"/>
      <c r="L21" s="2353"/>
      <c r="M21" s="1398">
        <v>0</v>
      </c>
      <c r="N21" s="2161">
        <v>1278.0899999999999</v>
      </c>
      <c r="O21" s="2353"/>
      <c r="P21" s="2161">
        <v>0</v>
      </c>
      <c r="Q21" s="2353"/>
      <c r="R21" s="2161">
        <v>0</v>
      </c>
      <c r="S21" s="2353"/>
      <c r="T21" s="1399">
        <v>43280</v>
      </c>
      <c r="U21" s="2163"/>
      <c r="V21" s="2352"/>
      <c r="W21" s="1439"/>
    </row>
    <row r="22" spans="1:23" ht="33.75">
      <c r="A22" s="1326" t="s">
        <v>3647</v>
      </c>
      <c r="B22" s="1326" t="s">
        <v>161</v>
      </c>
      <c r="C22" s="2290" t="s">
        <v>3762</v>
      </c>
      <c r="D22" s="2353"/>
      <c r="E22" s="1326"/>
      <c r="F22" s="1326"/>
      <c r="G22" s="2161">
        <v>15224</v>
      </c>
      <c r="H22" s="2353"/>
      <c r="I22" s="1398">
        <v>12940.4</v>
      </c>
      <c r="J22" s="2161">
        <v>1141.5999999999999</v>
      </c>
      <c r="K22" s="2352"/>
      <c r="L22" s="2353"/>
      <c r="M22" s="1398">
        <v>0</v>
      </c>
      <c r="N22" s="2161">
        <v>1142</v>
      </c>
      <c r="O22" s="2353"/>
      <c r="P22" s="2161">
        <v>0</v>
      </c>
      <c r="Q22" s="2353"/>
      <c r="R22" s="2161">
        <v>0</v>
      </c>
      <c r="S22" s="2353"/>
      <c r="T22" s="1399">
        <v>43190</v>
      </c>
      <c r="U22" s="2163"/>
      <c r="V22" s="2352"/>
      <c r="W22" s="1439"/>
    </row>
    <row r="23" spans="1:23" ht="33.75">
      <c r="A23" s="1326" t="s">
        <v>1087</v>
      </c>
      <c r="B23" s="1326" t="s">
        <v>282</v>
      </c>
      <c r="C23" s="2290" t="s">
        <v>1205</v>
      </c>
      <c r="D23" s="2353"/>
      <c r="E23" s="1326"/>
      <c r="F23" s="1326"/>
      <c r="G23" s="2161">
        <v>15679</v>
      </c>
      <c r="H23" s="2353"/>
      <c r="I23" s="1398">
        <v>13327</v>
      </c>
      <c r="J23" s="2161">
        <v>1176</v>
      </c>
      <c r="K23" s="2352"/>
      <c r="L23" s="2353"/>
      <c r="M23" s="1398">
        <v>0</v>
      </c>
      <c r="N23" s="2161">
        <v>1176</v>
      </c>
      <c r="O23" s="2353"/>
      <c r="P23" s="2161">
        <v>0</v>
      </c>
      <c r="Q23" s="2353"/>
      <c r="R23" s="2161">
        <v>0</v>
      </c>
      <c r="S23" s="2353"/>
      <c r="T23" s="1399">
        <v>43280</v>
      </c>
      <c r="U23" s="2163"/>
      <c r="V23" s="2352"/>
      <c r="W23" s="1439"/>
    </row>
    <row r="24" spans="1:23" ht="67.5">
      <c r="A24" s="1326" t="s">
        <v>843</v>
      </c>
      <c r="B24" s="1326" t="s">
        <v>3763</v>
      </c>
      <c r="C24" s="2290" t="s">
        <v>3141</v>
      </c>
      <c r="D24" s="2353"/>
      <c r="E24" s="1326"/>
      <c r="F24" s="1326"/>
      <c r="G24" s="2161">
        <v>10453</v>
      </c>
      <c r="H24" s="2353"/>
      <c r="I24" s="1398">
        <v>8214.61</v>
      </c>
      <c r="J24" s="2161">
        <v>1449.64</v>
      </c>
      <c r="K24" s="2352"/>
      <c r="L24" s="2353"/>
      <c r="M24" s="1398">
        <v>0</v>
      </c>
      <c r="N24" s="2161">
        <v>0</v>
      </c>
      <c r="O24" s="2353"/>
      <c r="P24" s="2161">
        <v>788.75</v>
      </c>
      <c r="Q24" s="2353"/>
      <c r="R24" s="2161">
        <v>0</v>
      </c>
      <c r="S24" s="2353"/>
      <c r="T24" s="1399">
        <v>43280</v>
      </c>
      <c r="U24" s="2163"/>
      <c r="V24" s="2352"/>
      <c r="W24" s="1439"/>
    </row>
    <row r="25" spans="1:23" ht="45.75" thickBot="1">
      <c r="A25" s="1326" t="s">
        <v>1070</v>
      </c>
      <c r="B25" s="1326" t="s">
        <v>3756</v>
      </c>
      <c r="C25" s="2290" t="s">
        <v>1199</v>
      </c>
      <c r="D25" s="2353"/>
      <c r="E25" s="1326"/>
      <c r="F25" s="1326"/>
      <c r="G25" s="2161">
        <v>6816</v>
      </c>
      <c r="H25" s="2353"/>
      <c r="I25" s="1398">
        <v>5793.6</v>
      </c>
      <c r="J25" s="2161">
        <v>511.2</v>
      </c>
      <c r="K25" s="2352"/>
      <c r="L25" s="2353"/>
      <c r="M25" s="1398">
        <v>0</v>
      </c>
      <c r="N25" s="2161">
        <v>0</v>
      </c>
      <c r="O25" s="2353"/>
      <c r="P25" s="2161">
        <v>511.2</v>
      </c>
      <c r="Q25" s="2353"/>
      <c r="R25" s="2161">
        <v>0</v>
      </c>
      <c r="S25" s="2353"/>
      <c r="T25" s="1399">
        <v>43253</v>
      </c>
      <c r="U25" s="2163"/>
      <c r="V25" s="2352"/>
      <c r="W25" s="1439"/>
    </row>
    <row r="26" spans="1:23">
      <c r="A26" s="2173" t="s">
        <v>3649</v>
      </c>
      <c r="B26" s="2356"/>
      <c r="C26" s="2356"/>
      <c r="D26" s="2356"/>
      <c r="E26" s="2356"/>
      <c r="F26" s="2357"/>
      <c r="G26" s="2174">
        <v>65213.18</v>
      </c>
      <c r="H26" s="2357"/>
      <c r="I26" s="1401">
        <v>54760.7</v>
      </c>
      <c r="J26" s="2174">
        <v>5556.44</v>
      </c>
      <c r="K26" s="2356"/>
      <c r="L26" s="2357"/>
      <c r="M26" s="1401">
        <v>0</v>
      </c>
      <c r="N26" s="2174">
        <v>3596.09</v>
      </c>
      <c r="O26" s="2357"/>
      <c r="P26" s="2174">
        <v>1299.95</v>
      </c>
      <c r="Q26" s="2357"/>
      <c r="R26" s="2174">
        <v>0</v>
      </c>
      <c r="S26" s="2357"/>
      <c r="T26" s="2168"/>
      <c r="U26" s="2356"/>
      <c r="V26" s="2356"/>
      <c r="W26" s="1439"/>
    </row>
    <row r="27" spans="1:23">
      <c r="A27" s="2163" t="s">
        <v>3650</v>
      </c>
      <c r="B27" s="2352"/>
      <c r="C27" s="2352"/>
      <c r="D27" s="2352"/>
      <c r="E27" s="2352"/>
      <c r="F27" s="2352"/>
      <c r="G27" s="2352"/>
      <c r="H27" s="2353"/>
      <c r="I27" s="2338">
        <v>55431</v>
      </c>
      <c r="J27" s="2339"/>
      <c r="K27" s="2339"/>
      <c r="L27" s="2339"/>
      <c r="M27" s="2339"/>
      <c r="N27" s="2339"/>
      <c r="O27" s="2339"/>
      <c r="P27" s="2339"/>
      <c r="Q27" s="2339"/>
      <c r="R27" s="2339"/>
      <c r="S27" s="2339"/>
      <c r="T27" s="2339"/>
      <c r="U27" s="2339"/>
      <c r="V27" s="2339"/>
      <c r="W27" s="1439"/>
    </row>
    <row r="28" spans="1:23">
      <c r="A28" s="1395"/>
      <c r="B28" s="1395"/>
      <c r="C28" s="1395"/>
      <c r="D28" s="1395"/>
      <c r="E28" s="1395"/>
      <c r="F28" s="1395"/>
      <c r="G28" s="1395"/>
      <c r="H28" s="1395"/>
      <c r="I28" s="1395"/>
      <c r="J28" s="1395"/>
      <c r="K28" s="1440"/>
      <c r="L28" s="1395"/>
      <c r="M28" s="1395"/>
      <c r="N28" s="1395"/>
      <c r="O28" s="1395"/>
      <c r="P28" s="1395"/>
      <c r="Q28" s="1395"/>
      <c r="R28" s="1395"/>
      <c r="S28" s="1395"/>
      <c r="T28" s="1395"/>
      <c r="U28" s="1395"/>
      <c r="V28" s="1395"/>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2:U38"/>
  <sheetViews>
    <sheetView workbookViewId="0">
      <selection activeCell="G21" sqref="G21:H21"/>
    </sheetView>
  </sheetViews>
  <sheetFormatPr defaultRowHeight="12.75"/>
  <cols>
    <col min="1" max="1" width="5.42578125" style="1402" customWidth="1"/>
    <col min="2" max="2" width="13.7109375" style="1402" customWidth="1"/>
    <col min="3" max="3" width="23.28515625" style="1402" customWidth="1"/>
    <col min="4" max="4" width="0.140625" style="1402" customWidth="1"/>
    <col min="5" max="5" width="18.28515625" style="1402" hidden="1" customWidth="1"/>
    <col min="6" max="6" width="15.28515625" style="1402" hidden="1" customWidth="1"/>
    <col min="7" max="7" width="12.42578125" style="1402" customWidth="1"/>
    <col min="8" max="8" width="0.5703125" style="1402" customWidth="1"/>
    <col min="9" max="9" width="12.42578125" style="1402" customWidth="1"/>
    <col min="10" max="10" width="1" style="1402" customWidth="1"/>
    <col min="11" max="11" width="7.140625" style="1402" customWidth="1"/>
    <col min="12" max="12" width="9.7109375" style="1402" customWidth="1"/>
    <col min="13" max="13" width="15.140625" style="1402" customWidth="1"/>
    <col min="14" max="14" width="1.85546875" style="1402" customWidth="1"/>
    <col min="15" max="15" width="13.28515625" style="1402" customWidth="1"/>
    <col min="16" max="16" width="11.140625" style="1402" customWidth="1"/>
    <col min="17" max="17" width="2.85546875" style="1402" customWidth="1"/>
    <col min="18" max="18" width="9.85546875" style="1402" customWidth="1"/>
    <col min="19" max="19" width="3.85546875" style="1402" customWidth="1"/>
    <col min="20" max="20" width="18.28515625" style="1402" customWidth="1"/>
    <col min="21" max="21" width="19" style="1402" customWidth="1"/>
    <col min="22" max="256" width="9.140625" style="1402"/>
    <col min="257" max="257" width="5.42578125" style="1402" customWidth="1"/>
    <col min="258" max="258" width="13.7109375" style="1402" customWidth="1"/>
    <col min="259" max="259" width="23.28515625" style="1402" customWidth="1"/>
    <col min="260" max="260" width="0.140625" style="1402" customWidth="1"/>
    <col min="261" max="262" width="0" style="1402" hidden="1" customWidth="1"/>
    <col min="263" max="263" width="12.42578125" style="1402" customWidth="1"/>
    <col min="264" max="264" width="0.5703125" style="1402" customWidth="1"/>
    <col min="265" max="265" width="12.42578125" style="1402" customWidth="1"/>
    <col min="266" max="266" width="1" style="1402" customWidth="1"/>
    <col min="267" max="267" width="7.140625" style="1402" customWidth="1"/>
    <col min="268" max="268" width="9.7109375" style="1402" customWidth="1"/>
    <col min="269" max="269" width="15.140625" style="1402" customWidth="1"/>
    <col min="270" max="270" width="1.85546875" style="1402" customWidth="1"/>
    <col min="271" max="271" width="13.28515625" style="1402" customWidth="1"/>
    <col min="272" max="272" width="11.140625" style="1402" customWidth="1"/>
    <col min="273" max="273" width="2.85546875" style="1402" customWidth="1"/>
    <col min="274" max="274" width="9.85546875" style="1402" customWidth="1"/>
    <col min="275" max="275" width="3.85546875" style="1402" customWidth="1"/>
    <col min="276" max="276" width="18.28515625" style="1402" customWidth="1"/>
    <col min="277" max="277" width="19" style="1402" customWidth="1"/>
    <col min="278" max="512" width="9.140625" style="1402"/>
    <col min="513" max="513" width="5.42578125" style="1402" customWidth="1"/>
    <col min="514" max="514" width="13.7109375" style="1402" customWidth="1"/>
    <col min="515" max="515" width="23.28515625" style="1402" customWidth="1"/>
    <col min="516" max="516" width="0.140625" style="1402" customWidth="1"/>
    <col min="517" max="518" width="0" style="1402" hidden="1" customWidth="1"/>
    <col min="519" max="519" width="12.42578125" style="1402" customWidth="1"/>
    <col min="520" max="520" width="0.5703125" style="1402" customWidth="1"/>
    <col min="521" max="521" width="12.42578125" style="1402" customWidth="1"/>
    <col min="522" max="522" width="1" style="1402" customWidth="1"/>
    <col min="523" max="523" width="7.140625" style="1402" customWidth="1"/>
    <col min="524" max="524" width="9.7109375" style="1402" customWidth="1"/>
    <col min="525" max="525" width="15.140625" style="1402" customWidth="1"/>
    <col min="526" max="526" width="1.85546875" style="1402" customWidth="1"/>
    <col min="527" max="527" width="13.28515625" style="1402" customWidth="1"/>
    <col min="528" max="528" width="11.140625" style="1402" customWidth="1"/>
    <col min="529" max="529" width="2.85546875" style="1402" customWidth="1"/>
    <col min="530" max="530" width="9.85546875" style="1402" customWidth="1"/>
    <col min="531" max="531" width="3.85546875" style="1402" customWidth="1"/>
    <col min="532" max="532" width="18.28515625" style="1402" customWidth="1"/>
    <col min="533" max="533" width="19" style="1402" customWidth="1"/>
    <col min="534" max="768" width="9.140625" style="1402"/>
    <col min="769" max="769" width="5.42578125" style="1402" customWidth="1"/>
    <col min="770" max="770" width="13.7109375" style="1402" customWidth="1"/>
    <col min="771" max="771" width="23.28515625" style="1402" customWidth="1"/>
    <col min="772" max="772" width="0.140625" style="1402" customWidth="1"/>
    <col min="773" max="774" width="0" style="1402" hidden="1" customWidth="1"/>
    <col min="775" max="775" width="12.42578125" style="1402" customWidth="1"/>
    <col min="776" max="776" width="0.5703125" style="1402" customWidth="1"/>
    <col min="777" max="777" width="12.42578125" style="1402" customWidth="1"/>
    <col min="778" max="778" width="1" style="1402" customWidth="1"/>
    <col min="779" max="779" width="7.140625" style="1402" customWidth="1"/>
    <col min="780" max="780" width="9.7109375" style="1402" customWidth="1"/>
    <col min="781" max="781" width="15.140625" style="1402" customWidth="1"/>
    <col min="782" max="782" width="1.85546875" style="1402" customWidth="1"/>
    <col min="783" max="783" width="13.28515625" style="1402" customWidth="1"/>
    <col min="784" max="784" width="11.140625" style="1402" customWidth="1"/>
    <col min="785" max="785" width="2.85546875" style="1402" customWidth="1"/>
    <col min="786" max="786" width="9.85546875" style="1402" customWidth="1"/>
    <col min="787" max="787" width="3.85546875" style="1402" customWidth="1"/>
    <col min="788" max="788" width="18.28515625" style="1402" customWidth="1"/>
    <col min="789" max="789" width="19" style="1402" customWidth="1"/>
    <col min="790" max="1024" width="9.140625" style="1402"/>
    <col min="1025" max="1025" width="5.42578125" style="1402" customWidth="1"/>
    <col min="1026" max="1026" width="13.7109375" style="1402" customWidth="1"/>
    <col min="1027" max="1027" width="23.28515625" style="1402" customWidth="1"/>
    <col min="1028" max="1028" width="0.140625" style="1402" customWidth="1"/>
    <col min="1029" max="1030" width="0" style="1402" hidden="1" customWidth="1"/>
    <col min="1031" max="1031" width="12.42578125" style="1402" customWidth="1"/>
    <col min="1032" max="1032" width="0.5703125" style="1402" customWidth="1"/>
    <col min="1033" max="1033" width="12.42578125" style="1402" customWidth="1"/>
    <col min="1034" max="1034" width="1" style="1402" customWidth="1"/>
    <col min="1035" max="1035" width="7.140625" style="1402" customWidth="1"/>
    <col min="1036" max="1036" width="9.7109375" style="1402" customWidth="1"/>
    <col min="1037" max="1037" width="15.140625" style="1402" customWidth="1"/>
    <col min="1038" max="1038" width="1.85546875" style="1402" customWidth="1"/>
    <col min="1039" max="1039" width="13.28515625" style="1402" customWidth="1"/>
    <col min="1040" max="1040" width="11.140625" style="1402" customWidth="1"/>
    <col min="1041" max="1041" width="2.85546875" style="1402" customWidth="1"/>
    <col min="1042" max="1042" width="9.85546875" style="1402" customWidth="1"/>
    <col min="1043" max="1043" width="3.85546875" style="1402" customWidth="1"/>
    <col min="1044" max="1044" width="18.28515625" style="1402" customWidth="1"/>
    <col min="1045" max="1045" width="19" style="1402" customWidth="1"/>
    <col min="1046" max="1280" width="9.140625" style="1402"/>
    <col min="1281" max="1281" width="5.42578125" style="1402" customWidth="1"/>
    <col min="1282" max="1282" width="13.7109375" style="1402" customWidth="1"/>
    <col min="1283" max="1283" width="23.28515625" style="1402" customWidth="1"/>
    <col min="1284" max="1284" width="0.140625" style="1402" customWidth="1"/>
    <col min="1285" max="1286" width="0" style="1402" hidden="1" customWidth="1"/>
    <col min="1287" max="1287" width="12.42578125" style="1402" customWidth="1"/>
    <col min="1288" max="1288" width="0.5703125" style="1402" customWidth="1"/>
    <col min="1289" max="1289" width="12.42578125" style="1402" customWidth="1"/>
    <col min="1290" max="1290" width="1" style="1402" customWidth="1"/>
    <col min="1291" max="1291" width="7.140625" style="1402" customWidth="1"/>
    <col min="1292" max="1292" width="9.7109375" style="1402" customWidth="1"/>
    <col min="1293" max="1293" width="15.140625" style="1402" customWidth="1"/>
    <col min="1294" max="1294" width="1.85546875" style="1402" customWidth="1"/>
    <col min="1295" max="1295" width="13.28515625" style="1402" customWidth="1"/>
    <col min="1296" max="1296" width="11.140625" style="1402" customWidth="1"/>
    <col min="1297" max="1297" width="2.85546875" style="1402" customWidth="1"/>
    <col min="1298" max="1298" width="9.85546875" style="1402" customWidth="1"/>
    <col min="1299" max="1299" width="3.85546875" style="1402" customWidth="1"/>
    <col min="1300" max="1300" width="18.28515625" style="1402" customWidth="1"/>
    <col min="1301" max="1301" width="19" style="1402" customWidth="1"/>
    <col min="1302" max="1536" width="9.140625" style="1402"/>
    <col min="1537" max="1537" width="5.42578125" style="1402" customWidth="1"/>
    <col min="1538" max="1538" width="13.7109375" style="1402" customWidth="1"/>
    <col min="1539" max="1539" width="23.28515625" style="1402" customWidth="1"/>
    <col min="1540" max="1540" width="0.140625" style="1402" customWidth="1"/>
    <col min="1541" max="1542" width="0" style="1402" hidden="1" customWidth="1"/>
    <col min="1543" max="1543" width="12.42578125" style="1402" customWidth="1"/>
    <col min="1544" max="1544" width="0.5703125" style="1402" customWidth="1"/>
    <col min="1545" max="1545" width="12.42578125" style="1402" customWidth="1"/>
    <col min="1546" max="1546" width="1" style="1402" customWidth="1"/>
    <col min="1547" max="1547" width="7.140625" style="1402" customWidth="1"/>
    <col min="1548" max="1548" width="9.7109375" style="1402" customWidth="1"/>
    <col min="1549" max="1549" width="15.140625" style="1402" customWidth="1"/>
    <col min="1550" max="1550" width="1.85546875" style="1402" customWidth="1"/>
    <col min="1551" max="1551" width="13.28515625" style="1402" customWidth="1"/>
    <col min="1552" max="1552" width="11.140625" style="1402" customWidth="1"/>
    <col min="1553" max="1553" width="2.85546875" style="1402" customWidth="1"/>
    <col min="1554" max="1554" width="9.85546875" style="1402" customWidth="1"/>
    <col min="1555" max="1555" width="3.85546875" style="1402" customWidth="1"/>
    <col min="1556" max="1556" width="18.28515625" style="1402" customWidth="1"/>
    <col min="1557" max="1557" width="19" style="1402" customWidth="1"/>
    <col min="1558" max="1792" width="9.140625" style="1402"/>
    <col min="1793" max="1793" width="5.42578125" style="1402" customWidth="1"/>
    <col min="1794" max="1794" width="13.7109375" style="1402" customWidth="1"/>
    <col min="1795" max="1795" width="23.28515625" style="1402" customWidth="1"/>
    <col min="1796" max="1796" width="0.140625" style="1402" customWidth="1"/>
    <col min="1797" max="1798" width="0" style="1402" hidden="1" customWidth="1"/>
    <col min="1799" max="1799" width="12.42578125" style="1402" customWidth="1"/>
    <col min="1800" max="1800" width="0.5703125" style="1402" customWidth="1"/>
    <col min="1801" max="1801" width="12.42578125" style="1402" customWidth="1"/>
    <col min="1802" max="1802" width="1" style="1402" customWidth="1"/>
    <col min="1803" max="1803" width="7.140625" style="1402" customWidth="1"/>
    <col min="1804" max="1804" width="9.7109375" style="1402" customWidth="1"/>
    <col min="1805" max="1805" width="15.140625" style="1402" customWidth="1"/>
    <col min="1806" max="1806" width="1.85546875" style="1402" customWidth="1"/>
    <col min="1807" max="1807" width="13.28515625" style="1402" customWidth="1"/>
    <col min="1808" max="1808" width="11.140625" style="1402" customWidth="1"/>
    <col min="1809" max="1809" width="2.85546875" style="1402" customWidth="1"/>
    <col min="1810" max="1810" width="9.85546875" style="1402" customWidth="1"/>
    <col min="1811" max="1811" width="3.85546875" style="1402" customWidth="1"/>
    <col min="1812" max="1812" width="18.28515625" style="1402" customWidth="1"/>
    <col min="1813" max="1813" width="19" style="1402" customWidth="1"/>
    <col min="1814" max="2048" width="9.140625" style="1402"/>
    <col min="2049" max="2049" width="5.42578125" style="1402" customWidth="1"/>
    <col min="2050" max="2050" width="13.7109375" style="1402" customWidth="1"/>
    <col min="2051" max="2051" width="23.28515625" style="1402" customWidth="1"/>
    <col min="2052" max="2052" width="0.140625" style="1402" customWidth="1"/>
    <col min="2053" max="2054" width="0" style="1402" hidden="1" customWidth="1"/>
    <col min="2055" max="2055" width="12.42578125" style="1402" customWidth="1"/>
    <col min="2056" max="2056" width="0.5703125" style="1402" customWidth="1"/>
    <col min="2057" max="2057" width="12.42578125" style="1402" customWidth="1"/>
    <col min="2058" max="2058" width="1" style="1402" customWidth="1"/>
    <col min="2059" max="2059" width="7.140625" style="1402" customWidth="1"/>
    <col min="2060" max="2060" width="9.7109375" style="1402" customWidth="1"/>
    <col min="2061" max="2061" width="15.140625" style="1402" customWidth="1"/>
    <col min="2062" max="2062" width="1.85546875" style="1402" customWidth="1"/>
    <col min="2063" max="2063" width="13.28515625" style="1402" customWidth="1"/>
    <col min="2064" max="2064" width="11.140625" style="1402" customWidth="1"/>
    <col min="2065" max="2065" width="2.85546875" style="1402" customWidth="1"/>
    <col min="2066" max="2066" width="9.85546875" style="1402" customWidth="1"/>
    <col min="2067" max="2067" width="3.85546875" style="1402" customWidth="1"/>
    <col min="2068" max="2068" width="18.28515625" style="1402" customWidth="1"/>
    <col min="2069" max="2069" width="19" style="1402" customWidth="1"/>
    <col min="2070" max="2304" width="9.140625" style="1402"/>
    <col min="2305" max="2305" width="5.42578125" style="1402" customWidth="1"/>
    <col min="2306" max="2306" width="13.7109375" style="1402" customWidth="1"/>
    <col min="2307" max="2307" width="23.28515625" style="1402" customWidth="1"/>
    <col min="2308" max="2308" width="0.140625" style="1402" customWidth="1"/>
    <col min="2309" max="2310" width="0" style="1402" hidden="1" customWidth="1"/>
    <col min="2311" max="2311" width="12.42578125" style="1402" customWidth="1"/>
    <col min="2312" max="2312" width="0.5703125" style="1402" customWidth="1"/>
    <col min="2313" max="2313" width="12.42578125" style="1402" customWidth="1"/>
    <col min="2314" max="2314" width="1" style="1402" customWidth="1"/>
    <col min="2315" max="2315" width="7.140625" style="1402" customWidth="1"/>
    <col min="2316" max="2316" width="9.7109375" style="1402" customWidth="1"/>
    <col min="2317" max="2317" width="15.140625" style="1402" customWidth="1"/>
    <col min="2318" max="2318" width="1.85546875" style="1402" customWidth="1"/>
    <col min="2319" max="2319" width="13.28515625" style="1402" customWidth="1"/>
    <col min="2320" max="2320" width="11.140625" style="1402" customWidth="1"/>
    <col min="2321" max="2321" width="2.85546875" style="1402" customWidth="1"/>
    <col min="2322" max="2322" width="9.85546875" style="1402" customWidth="1"/>
    <col min="2323" max="2323" width="3.85546875" style="1402" customWidth="1"/>
    <col min="2324" max="2324" width="18.28515625" style="1402" customWidth="1"/>
    <col min="2325" max="2325" width="19" style="1402" customWidth="1"/>
    <col min="2326" max="2560" width="9.140625" style="1402"/>
    <col min="2561" max="2561" width="5.42578125" style="1402" customWidth="1"/>
    <col min="2562" max="2562" width="13.7109375" style="1402" customWidth="1"/>
    <col min="2563" max="2563" width="23.28515625" style="1402" customWidth="1"/>
    <col min="2564" max="2564" width="0.140625" style="1402" customWidth="1"/>
    <col min="2565" max="2566" width="0" style="1402" hidden="1" customWidth="1"/>
    <col min="2567" max="2567" width="12.42578125" style="1402" customWidth="1"/>
    <col min="2568" max="2568" width="0.5703125" style="1402" customWidth="1"/>
    <col min="2569" max="2569" width="12.42578125" style="1402" customWidth="1"/>
    <col min="2570" max="2570" width="1" style="1402" customWidth="1"/>
    <col min="2571" max="2571" width="7.140625" style="1402" customWidth="1"/>
    <col min="2572" max="2572" width="9.7109375" style="1402" customWidth="1"/>
    <col min="2573" max="2573" width="15.140625" style="1402" customWidth="1"/>
    <col min="2574" max="2574" width="1.85546875" style="1402" customWidth="1"/>
    <col min="2575" max="2575" width="13.28515625" style="1402" customWidth="1"/>
    <col min="2576" max="2576" width="11.140625" style="1402" customWidth="1"/>
    <col min="2577" max="2577" width="2.85546875" style="1402" customWidth="1"/>
    <col min="2578" max="2578" width="9.85546875" style="1402" customWidth="1"/>
    <col min="2579" max="2579" width="3.85546875" style="1402" customWidth="1"/>
    <col min="2580" max="2580" width="18.28515625" style="1402" customWidth="1"/>
    <col min="2581" max="2581" width="19" style="1402" customWidth="1"/>
    <col min="2582" max="2816" width="9.140625" style="1402"/>
    <col min="2817" max="2817" width="5.42578125" style="1402" customWidth="1"/>
    <col min="2818" max="2818" width="13.7109375" style="1402" customWidth="1"/>
    <col min="2819" max="2819" width="23.28515625" style="1402" customWidth="1"/>
    <col min="2820" max="2820" width="0.140625" style="1402" customWidth="1"/>
    <col min="2821" max="2822" width="0" style="1402" hidden="1" customWidth="1"/>
    <col min="2823" max="2823" width="12.42578125" style="1402" customWidth="1"/>
    <col min="2824" max="2824" width="0.5703125" style="1402" customWidth="1"/>
    <col min="2825" max="2825" width="12.42578125" style="1402" customWidth="1"/>
    <col min="2826" max="2826" width="1" style="1402" customWidth="1"/>
    <col min="2827" max="2827" width="7.140625" style="1402" customWidth="1"/>
    <col min="2828" max="2828" width="9.7109375" style="1402" customWidth="1"/>
    <col min="2829" max="2829" width="15.140625" style="1402" customWidth="1"/>
    <col min="2830" max="2830" width="1.85546875" style="1402" customWidth="1"/>
    <col min="2831" max="2831" width="13.28515625" style="1402" customWidth="1"/>
    <col min="2832" max="2832" width="11.140625" style="1402" customWidth="1"/>
    <col min="2833" max="2833" width="2.85546875" style="1402" customWidth="1"/>
    <col min="2834" max="2834" width="9.85546875" style="1402" customWidth="1"/>
    <col min="2835" max="2835" width="3.85546875" style="1402" customWidth="1"/>
    <col min="2836" max="2836" width="18.28515625" style="1402" customWidth="1"/>
    <col min="2837" max="2837" width="19" style="1402" customWidth="1"/>
    <col min="2838" max="3072" width="9.140625" style="1402"/>
    <col min="3073" max="3073" width="5.42578125" style="1402" customWidth="1"/>
    <col min="3074" max="3074" width="13.7109375" style="1402" customWidth="1"/>
    <col min="3075" max="3075" width="23.28515625" style="1402" customWidth="1"/>
    <col min="3076" max="3076" width="0.140625" style="1402" customWidth="1"/>
    <col min="3077" max="3078" width="0" style="1402" hidden="1" customWidth="1"/>
    <col min="3079" max="3079" width="12.42578125" style="1402" customWidth="1"/>
    <col min="3080" max="3080" width="0.5703125" style="1402" customWidth="1"/>
    <col min="3081" max="3081" width="12.42578125" style="1402" customWidth="1"/>
    <col min="3082" max="3082" width="1" style="1402" customWidth="1"/>
    <col min="3083" max="3083" width="7.140625" style="1402" customWidth="1"/>
    <col min="3084" max="3084" width="9.7109375" style="1402" customWidth="1"/>
    <col min="3085" max="3085" width="15.140625" style="1402" customWidth="1"/>
    <col min="3086" max="3086" width="1.85546875" style="1402" customWidth="1"/>
    <col min="3087" max="3087" width="13.28515625" style="1402" customWidth="1"/>
    <col min="3088" max="3088" width="11.140625" style="1402" customWidth="1"/>
    <col min="3089" max="3089" width="2.85546875" style="1402" customWidth="1"/>
    <col min="3090" max="3090" width="9.85546875" style="1402" customWidth="1"/>
    <col min="3091" max="3091" width="3.85546875" style="1402" customWidth="1"/>
    <col min="3092" max="3092" width="18.28515625" style="1402" customWidth="1"/>
    <col min="3093" max="3093" width="19" style="1402" customWidth="1"/>
    <col min="3094" max="3328" width="9.140625" style="1402"/>
    <col min="3329" max="3329" width="5.42578125" style="1402" customWidth="1"/>
    <col min="3330" max="3330" width="13.7109375" style="1402" customWidth="1"/>
    <col min="3331" max="3331" width="23.28515625" style="1402" customWidth="1"/>
    <col min="3332" max="3332" width="0.140625" style="1402" customWidth="1"/>
    <col min="3333" max="3334" width="0" style="1402" hidden="1" customWidth="1"/>
    <col min="3335" max="3335" width="12.42578125" style="1402" customWidth="1"/>
    <col min="3336" max="3336" width="0.5703125" style="1402" customWidth="1"/>
    <col min="3337" max="3337" width="12.42578125" style="1402" customWidth="1"/>
    <col min="3338" max="3338" width="1" style="1402" customWidth="1"/>
    <col min="3339" max="3339" width="7.140625" style="1402" customWidth="1"/>
    <col min="3340" max="3340" width="9.7109375" style="1402" customWidth="1"/>
    <col min="3341" max="3341" width="15.140625" style="1402" customWidth="1"/>
    <col min="3342" max="3342" width="1.85546875" style="1402" customWidth="1"/>
    <col min="3343" max="3343" width="13.28515625" style="1402" customWidth="1"/>
    <col min="3344" max="3344" width="11.140625" style="1402" customWidth="1"/>
    <col min="3345" max="3345" width="2.85546875" style="1402" customWidth="1"/>
    <col min="3346" max="3346" width="9.85546875" style="1402" customWidth="1"/>
    <col min="3347" max="3347" width="3.85546875" style="1402" customWidth="1"/>
    <col min="3348" max="3348" width="18.28515625" style="1402" customWidth="1"/>
    <col min="3349" max="3349" width="19" style="1402" customWidth="1"/>
    <col min="3350" max="3584" width="9.140625" style="1402"/>
    <col min="3585" max="3585" width="5.42578125" style="1402" customWidth="1"/>
    <col min="3586" max="3586" width="13.7109375" style="1402" customWidth="1"/>
    <col min="3587" max="3587" width="23.28515625" style="1402" customWidth="1"/>
    <col min="3588" max="3588" width="0.140625" style="1402" customWidth="1"/>
    <col min="3589" max="3590" width="0" style="1402" hidden="1" customWidth="1"/>
    <col min="3591" max="3591" width="12.42578125" style="1402" customWidth="1"/>
    <col min="3592" max="3592" width="0.5703125" style="1402" customWidth="1"/>
    <col min="3593" max="3593" width="12.42578125" style="1402" customWidth="1"/>
    <col min="3594" max="3594" width="1" style="1402" customWidth="1"/>
    <col min="3595" max="3595" width="7.140625" style="1402" customWidth="1"/>
    <col min="3596" max="3596" width="9.7109375" style="1402" customWidth="1"/>
    <col min="3597" max="3597" width="15.140625" style="1402" customWidth="1"/>
    <col min="3598" max="3598" width="1.85546875" style="1402" customWidth="1"/>
    <col min="3599" max="3599" width="13.28515625" style="1402" customWidth="1"/>
    <col min="3600" max="3600" width="11.140625" style="1402" customWidth="1"/>
    <col min="3601" max="3601" width="2.85546875" style="1402" customWidth="1"/>
    <col min="3602" max="3602" width="9.85546875" style="1402" customWidth="1"/>
    <col min="3603" max="3603" width="3.85546875" style="1402" customWidth="1"/>
    <col min="3604" max="3604" width="18.28515625" style="1402" customWidth="1"/>
    <col min="3605" max="3605" width="19" style="1402" customWidth="1"/>
    <col min="3606" max="3840" width="9.140625" style="1402"/>
    <col min="3841" max="3841" width="5.42578125" style="1402" customWidth="1"/>
    <col min="3842" max="3842" width="13.7109375" style="1402" customWidth="1"/>
    <col min="3843" max="3843" width="23.28515625" style="1402" customWidth="1"/>
    <col min="3844" max="3844" width="0.140625" style="1402" customWidth="1"/>
    <col min="3845" max="3846" width="0" style="1402" hidden="1" customWidth="1"/>
    <col min="3847" max="3847" width="12.42578125" style="1402" customWidth="1"/>
    <col min="3848" max="3848" width="0.5703125" style="1402" customWidth="1"/>
    <col min="3849" max="3849" width="12.42578125" style="1402" customWidth="1"/>
    <col min="3850" max="3850" width="1" style="1402" customWidth="1"/>
    <col min="3851" max="3851" width="7.140625" style="1402" customWidth="1"/>
    <col min="3852" max="3852" width="9.7109375" style="1402" customWidth="1"/>
    <col min="3853" max="3853" width="15.140625" style="1402" customWidth="1"/>
    <col min="3854" max="3854" width="1.85546875" style="1402" customWidth="1"/>
    <col min="3855" max="3855" width="13.28515625" style="1402" customWidth="1"/>
    <col min="3856" max="3856" width="11.140625" style="1402" customWidth="1"/>
    <col min="3857" max="3857" width="2.85546875" style="1402" customWidth="1"/>
    <col min="3858" max="3858" width="9.85546875" style="1402" customWidth="1"/>
    <col min="3859" max="3859" width="3.85546875" style="1402" customWidth="1"/>
    <col min="3860" max="3860" width="18.28515625" style="1402" customWidth="1"/>
    <col min="3861" max="3861" width="19" style="1402" customWidth="1"/>
    <col min="3862" max="4096" width="9.140625" style="1402"/>
    <col min="4097" max="4097" width="5.42578125" style="1402" customWidth="1"/>
    <col min="4098" max="4098" width="13.7109375" style="1402" customWidth="1"/>
    <col min="4099" max="4099" width="23.28515625" style="1402" customWidth="1"/>
    <col min="4100" max="4100" width="0.140625" style="1402" customWidth="1"/>
    <col min="4101" max="4102" width="0" style="1402" hidden="1" customWidth="1"/>
    <col min="4103" max="4103" width="12.42578125" style="1402" customWidth="1"/>
    <col min="4104" max="4104" width="0.5703125" style="1402" customWidth="1"/>
    <col min="4105" max="4105" width="12.42578125" style="1402" customWidth="1"/>
    <col min="4106" max="4106" width="1" style="1402" customWidth="1"/>
    <col min="4107" max="4107" width="7.140625" style="1402" customWidth="1"/>
    <col min="4108" max="4108" width="9.7109375" style="1402" customWidth="1"/>
    <col min="4109" max="4109" width="15.140625" style="1402" customWidth="1"/>
    <col min="4110" max="4110" width="1.85546875" style="1402" customWidth="1"/>
    <col min="4111" max="4111" width="13.28515625" style="1402" customWidth="1"/>
    <col min="4112" max="4112" width="11.140625" style="1402" customWidth="1"/>
    <col min="4113" max="4113" width="2.85546875" style="1402" customWidth="1"/>
    <col min="4114" max="4114" width="9.85546875" style="1402" customWidth="1"/>
    <col min="4115" max="4115" width="3.85546875" style="1402" customWidth="1"/>
    <col min="4116" max="4116" width="18.28515625" style="1402" customWidth="1"/>
    <col min="4117" max="4117" width="19" style="1402" customWidth="1"/>
    <col min="4118" max="4352" width="9.140625" style="1402"/>
    <col min="4353" max="4353" width="5.42578125" style="1402" customWidth="1"/>
    <col min="4354" max="4354" width="13.7109375" style="1402" customWidth="1"/>
    <col min="4355" max="4355" width="23.28515625" style="1402" customWidth="1"/>
    <col min="4356" max="4356" width="0.140625" style="1402" customWidth="1"/>
    <col min="4357" max="4358" width="0" style="1402" hidden="1" customWidth="1"/>
    <col min="4359" max="4359" width="12.42578125" style="1402" customWidth="1"/>
    <col min="4360" max="4360" width="0.5703125" style="1402" customWidth="1"/>
    <col min="4361" max="4361" width="12.42578125" style="1402" customWidth="1"/>
    <col min="4362" max="4362" width="1" style="1402" customWidth="1"/>
    <col min="4363" max="4363" width="7.140625" style="1402" customWidth="1"/>
    <col min="4364" max="4364" width="9.7109375" style="1402" customWidth="1"/>
    <col min="4365" max="4365" width="15.140625" style="1402" customWidth="1"/>
    <col min="4366" max="4366" width="1.85546875" style="1402" customWidth="1"/>
    <col min="4367" max="4367" width="13.28515625" style="1402" customWidth="1"/>
    <col min="4368" max="4368" width="11.140625" style="1402" customWidth="1"/>
    <col min="4369" max="4369" width="2.85546875" style="1402" customWidth="1"/>
    <col min="4370" max="4370" width="9.85546875" style="1402" customWidth="1"/>
    <col min="4371" max="4371" width="3.85546875" style="1402" customWidth="1"/>
    <col min="4372" max="4372" width="18.28515625" style="1402" customWidth="1"/>
    <col min="4373" max="4373" width="19" style="1402" customWidth="1"/>
    <col min="4374" max="4608" width="9.140625" style="1402"/>
    <col min="4609" max="4609" width="5.42578125" style="1402" customWidth="1"/>
    <col min="4610" max="4610" width="13.7109375" style="1402" customWidth="1"/>
    <col min="4611" max="4611" width="23.28515625" style="1402" customWidth="1"/>
    <col min="4612" max="4612" width="0.140625" style="1402" customWidth="1"/>
    <col min="4613" max="4614" width="0" style="1402" hidden="1" customWidth="1"/>
    <col min="4615" max="4615" width="12.42578125" style="1402" customWidth="1"/>
    <col min="4616" max="4616" width="0.5703125" style="1402" customWidth="1"/>
    <col min="4617" max="4617" width="12.42578125" style="1402" customWidth="1"/>
    <col min="4618" max="4618" width="1" style="1402" customWidth="1"/>
    <col min="4619" max="4619" width="7.140625" style="1402" customWidth="1"/>
    <col min="4620" max="4620" width="9.7109375" style="1402" customWidth="1"/>
    <col min="4621" max="4621" width="15.140625" style="1402" customWidth="1"/>
    <col min="4622" max="4622" width="1.85546875" style="1402" customWidth="1"/>
    <col min="4623" max="4623" width="13.28515625" style="1402" customWidth="1"/>
    <col min="4624" max="4624" width="11.140625" style="1402" customWidth="1"/>
    <col min="4625" max="4625" width="2.85546875" style="1402" customWidth="1"/>
    <col min="4626" max="4626" width="9.85546875" style="1402" customWidth="1"/>
    <col min="4627" max="4627" width="3.85546875" style="1402" customWidth="1"/>
    <col min="4628" max="4628" width="18.28515625" style="1402" customWidth="1"/>
    <col min="4629" max="4629" width="19" style="1402" customWidth="1"/>
    <col min="4630" max="4864" width="9.140625" style="1402"/>
    <col min="4865" max="4865" width="5.42578125" style="1402" customWidth="1"/>
    <col min="4866" max="4866" width="13.7109375" style="1402" customWidth="1"/>
    <col min="4867" max="4867" width="23.28515625" style="1402" customWidth="1"/>
    <col min="4868" max="4868" width="0.140625" style="1402" customWidth="1"/>
    <col min="4869" max="4870" width="0" style="1402" hidden="1" customWidth="1"/>
    <col min="4871" max="4871" width="12.42578125" style="1402" customWidth="1"/>
    <col min="4872" max="4872" width="0.5703125" style="1402" customWidth="1"/>
    <col min="4873" max="4873" width="12.42578125" style="1402" customWidth="1"/>
    <col min="4874" max="4874" width="1" style="1402" customWidth="1"/>
    <col min="4875" max="4875" width="7.140625" style="1402" customWidth="1"/>
    <col min="4876" max="4876" width="9.7109375" style="1402" customWidth="1"/>
    <col min="4877" max="4877" width="15.140625" style="1402" customWidth="1"/>
    <col min="4878" max="4878" width="1.85546875" style="1402" customWidth="1"/>
    <col min="4879" max="4879" width="13.28515625" style="1402" customWidth="1"/>
    <col min="4880" max="4880" width="11.140625" style="1402" customWidth="1"/>
    <col min="4881" max="4881" width="2.85546875" style="1402" customWidth="1"/>
    <col min="4882" max="4882" width="9.85546875" style="1402" customWidth="1"/>
    <col min="4883" max="4883" width="3.85546875" style="1402" customWidth="1"/>
    <col min="4884" max="4884" width="18.28515625" style="1402" customWidth="1"/>
    <col min="4885" max="4885" width="19" style="1402" customWidth="1"/>
    <col min="4886" max="5120" width="9.140625" style="1402"/>
    <col min="5121" max="5121" width="5.42578125" style="1402" customWidth="1"/>
    <col min="5122" max="5122" width="13.7109375" style="1402" customWidth="1"/>
    <col min="5123" max="5123" width="23.28515625" style="1402" customWidth="1"/>
    <col min="5124" max="5124" width="0.140625" style="1402" customWidth="1"/>
    <col min="5125" max="5126" width="0" style="1402" hidden="1" customWidth="1"/>
    <col min="5127" max="5127" width="12.42578125" style="1402" customWidth="1"/>
    <col min="5128" max="5128" width="0.5703125" style="1402" customWidth="1"/>
    <col min="5129" max="5129" width="12.42578125" style="1402" customWidth="1"/>
    <col min="5130" max="5130" width="1" style="1402" customWidth="1"/>
    <col min="5131" max="5131" width="7.140625" style="1402" customWidth="1"/>
    <col min="5132" max="5132" width="9.7109375" style="1402" customWidth="1"/>
    <col min="5133" max="5133" width="15.140625" style="1402" customWidth="1"/>
    <col min="5134" max="5134" width="1.85546875" style="1402" customWidth="1"/>
    <col min="5135" max="5135" width="13.28515625" style="1402" customWidth="1"/>
    <col min="5136" max="5136" width="11.140625" style="1402" customWidth="1"/>
    <col min="5137" max="5137" width="2.85546875" style="1402" customWidth="1"/>
    <col min="5138" max="5138" width="9.85546875" style="1402" customWidth="1"/>
    <col min="5139" max="5139" width="3.85546875" style="1402" customWidth="1"/>
    <col min="5140" max="5140" width="18.28515625" style="1402" customWidth="1"/>
    <col min="5141" max="5141" width="19" style="1402" customWidth="1"/>
    <col min="5142" max="5376" width="9.140625" style="1402"/>
    <col min="5377" max="5377" width="5.42578125" style="1402" customWidth="1"/>
    <col min="5378" max="5378" width="13.7109375" style="1402" customWidth="1"/>
    <col min="5379" max="5379" width="23.28515625" style="1402" customWidth="1"/>
    <col min="5380" max="5380" width="0.140625" style="1402" customWidth="1"/>
    <col min="5381" max="5382" width="0" style="1402" hidden="1" customWidth="1"/>
    <col min="5383" max="5383" width="12.42578125" style="1402" customWidth="1"/>
    <col min="5384" max="5384" width="0.5703125" style="1402" customWidth="1"/>
    <col min="5385" max="5385" width="12.42578125" style="1402" customWidth="1"/>
    <col min="5386" max="5386" width="1" style="1402" customWidth="1"/>
    <col min="5387" max="5387" width="7.140625" style="1402" customWidth="1"/>
    <col min="5388" max="5388" width="9.7109375" style="1402" customWidth="1"/>
    <col min="5389" max="5389" width="15.140625" style="1402" customWidth="1"/>
    <col min="5390" max="5390" width="1.85546875" style="1402" customWidth="1"/>
    <col min="5391" max="5391" width="13.28515625" style="1402" customWidth="1"/>
    <col min="5392" max="5392" width="11.140625" style="1402" customWidth="1"/>
    <col min="5393" max="5393" width="2.85546875" style="1402" customWidth="1"/>
    <col min="5394" max="5394" width="9.85546875" style="1402" customWidth="1"/>
    <col min="5395" max="5395" width="3.85546875" style="1402" customWidth="1"/>
    <col min="5396" max="5396" width="18.28515625" style="1402" customWidth="1"/>
    <col min="5397" max="5397" width="19" style="1402" customWidth="1"/>
    <col min="5398" max="5632" width="9.140625" style="1402"/>
    <col min="5633" max="5633" width="5.42578125" style="1402" customWidth="1"/>
    <col min="5634" max="5634" width="13.7109375" style="1402" customWidth="1"/>
    <col min="5635" max="5635" width="23.28515625" style="1402" customWidth="1"/>
    <col min="5636" max="5636" width="0.140625" style="1402" customWidth="1"/>
    <col min="5637" max="5638" width="0" style="1402" hidden="1" customWidth="1"/>
    <col min="5639" max="5639" width="12.42578125" style="1402" customWidth="1"/>
    <col min="5640" max="5640" width="0.5703125" style="1402" customWidth="1"/>
    <col min="5641" max="5641" width="12.42578125" style="1402" customWidth="1"/>
    <col min="5642" max="5642" width="1" style="1402" customWidth="1"/>
    <col min="5643" max="5643" width="7.140625" style="1402" customWidth="1"/>
    <col min="5644" max="5644" width="9.7109375" style="1402" customWidth="1"/>
    <col min="5645" max="5645" width="15.140625" style="1402" customWidth="1"/>
    <col min="5646" max="5646" width="1.85546875" style="1402" customWidth="1"/>
    <col min="5647" max="5647" width="13.28515625" style="1402" customWidth="1"/>
    <col min="5648" max="5648" width="11.140625" style="1402" customWidth="1"/>
    <col min="5649" max="5649" width="2.85546875" style="1402" customWidth="1"/>
    <col min="5650" max="5650" width="9.85546875" style="1402" customWidth="1"/>
    <col min="5651" max="5651" width="3.85546875" style="1402" customWidth="1"/>
    <col min="5652" max="5652" width="18.28515625" style="1402" customWidth="1"/>
    <col min="5653" max="5653" width="19" style="1402" customWidth="1"/>
    <col min="5654" max="5888" width="9.140625" style="1402"/>
    <col min="5889" max="5889" width="5.42578125" style="1402" customWidth="1"/>
    <col min="5890" max="5890" width="13.7109375" style="1402" customWidth="1"/>
    <col min="5891" max="5891" width="23.28515625" style="1402" customWidth="1"/>
    <col min="5892" max="5892" width="0.140625" style="1402" customWidth="1"/>
    <col min="5893" max="5894" width="0" style="1402" hidden="1" customWidth="1"/>
    <col min="5895" max="5895" width="12.42578125" style="1402" customWidth="1"/>
    <col min="5896" max="5896" width="0.5703125" style="1402" customWidth="1"/>
    <col min="5897" max="5897" width="12.42578125" style="1402" customWidth="1"/>
    <col min="5898" max="5898" width="1" style="1402" customWidth="1"/>
    <col min="5899" max="5899" width="7.140625" style="1402" customWidth="1"/>
    <col min="5900" max="5900" width="9.7109375" style="1402" customWidth="1"/>
    <col min="5901" max="5901" width="15.140625" style="1402" customWidth="1"/>
    <col min="5902" max="5902" width="1.85546875" style="1402" customWidth="1"/>
    <col min="5903" max="5903" width="13.28515625" style="1402" customWidth="1"/>
    <col min="5904" max="5904" width="11.140625" style="1402" customWidth="1"/>
    <col min="5905" max="5905" width="2.85546875" style="1402" customWidth="1"/>
    <col min="5906" max="5906" width="9.85546875" style="1402" customWidth="1"/>
    <col min="5907" max="5907" width="3.85546875" style="1402" customWidth="1"/>
    <col min="5908" max="5908" width="18.28515625" style="1402" customWidth="1"/>
    <col min="5909" max="5909" width="19" style="1402" customWidth="1"/>
    <col min="5910" max="6144" width="9.140625" style="1402"/>
    <col min="6145" max="6145" width="5.42578125" style="1402" customWidth="1"/>
    <col min="6146" max="6146" width="13.7109375" style="1402" customWidth="1"/>
    <col min="6147" max="6147" width="23.28515625" style="1402" customWidth="1"/>
    <col min="6148" max="6148" width="0.140625" style="1402" customWidth="1"/>
    <col min="6149" max="6150" width="0" style="1402" hidden="1" customWidth="1"/>
    <col min="6151" max="6151" width="12.42578125" style="1402" customWidth="1"/>
    <col min="6152" max="6152" width="0.5703125" style="1402" customWidth="1"/>
    <col min="6153" max="6153" width="12.42578125" style="1402" customWidth="1"/>
    <col min="6154" max="6154" width="1" style="1402" customWidth="1"/>
    <col min="6155" max="6155" width="7.140625" style="1402" customWidth="1"/>
    <col min="6156" max="6156" width="9.7109375" style="1402" customWidth="1"/>
    <col min="6157" max="6157" width="15.140625" style="1402" customWidth="1"/>
    <col min="6158" max="6158" width="1.85546875" style="1402" customWidth="1"/>
    <col min="6159" max="6159" width="13.28515625" style="1402" customWidth="1"/>
    <col min="6160" max="6160" width="11.140625" style="1402" customWidth="1"/>
    <col min="6161" max="6161" width="2.85546875" style="1402" customWidth="1"/>
    <col min="6162" max="6162" width="9.85546875" style="1402" customWidth="1"/>
    <col min="6163" max="6163" width="3.85546875" style="1402" customWidth="1"/>
    <col min="6164" max="6164" width="18.28515625" style="1402" customWidth="1"/>
    <col min="6165" max="6165" width="19" style="1402" customWidth="1"/>
    <col min="6166" max="6400" width="9.140625" style="1402"/>
    <col min="6401" max="6401" width="5.42578125" style="1402" customWidth="1"/>
    <col min="6402" max="6402" width="13.7109375" style="1402" customWidth="1"/>
    <col min="6403" max="6403" width="23.28515625" style="1402" customWidth="1"/>
    <col min="6404" max="6404" width="0.140625" style="1402" customWidth="1"/>
    <col min="6405" max="6406" width="0" style="1402" hidden="1" customWidth="1"/>
    <col min="6407" max="6407" width="12.42578125" style="1402" customWidth="1"/>
    <col min="6408" max="6408" width="0.5703125" style="1402" customWidth="1"/>
    <col min="6409" max="6409" width="12.42578125" style="1402" customWidth="1"/>
    <col min="6410" max="6410" width="1" style="1402" customWidth="1"/>
    <col min="6411" max="6411" width="7.140625" style="1402" customWidth="1"/>
    <col min="6412" max="6412" width="9.7109375" style="1402" customWidth="1"/>
    <col min="6413" max="6413" width="15.140625" style="1402" customWidth="1"/>
    <col min="6414" max="6414" width="1.85546875" style="1402" customWidth="1"/>
    <col min="6415" max="6415" width="13.28515625" style="1402" customWidth="1"/>
    <col min="6416" max="6416" width="11.140625" style="1402" customWidth="1"/>
    <col min="6417" max="6417" width="2.85546875" style="1402" customWidth="1"/>
    <col min="6418" max="6418" width="9.85546875" style="1402" customWidth="1"/>
    <col min="6419" max="6419" width="3.85546875" style="1402" customWidth="1"/>
    <col min="6420" max="6420" width="18.28515625" style="1402" customWidth="1"/>
    <col min="6421" max="6421" width="19" style="1402" customWidth="1"/>
    <col min="6422" max="6656" width="9.140625" style="1402"/>
    <col min="6657" max="6657" width="5.42578125" style="1402" customWidth="1"/>
    <col min="6658" max="6658" width="13.7109375" style="1402" customWidth="1"/>
    <col min="6659" max="6659" width="23.28515625" style="1402" customWidth="1"/>
    <col min="6660" max="6660" width="0.140625" style="1402" customWidth="1"/>
    <col min="6661" max="6662" width="0" style="1402" hidden="1" customWidth="1"/>
    <col min="6663" max="6663" width="12.42578125" style="1402" customWidth="1"/>
    <col min="6664" max="6664" width="0.5703125" style="1402" customWidth="1"/>
    <col min="6665" max="6665" width="12.42578125" style="1402" customWidth="1"/>
    <col min="6666" max="6666" width="1" style="1402" customWidth="1"/>
    <col min="6667" max="6667" width="7.140625" style="1402" customWidth="1"/>
    <col min="6668" max="6668" width="9.7109375" style="1402" customWidth="1"/>
    <col min="6669" max="6669" width="15.140625" style="1402" customWidth="1"/>
    <col min="6670" max="6670" width="1.85546875" style="1402" customWidth="1"/>
    <col min="6671" max="6671" width="13.28515625" style="1402" customWidth="1"/>
    <col min="6672" max="6672" width="11.140625" style="1402" customWidth="1"/>
    <col min="6673" max="6673" width="2.85546875" style="1402" customWidth="1"/>
    <col min="6674" max="6674" width="9.85546875" style="1402" customWidth="1"/>
    <col min="6675" max="6675" width="3.85546875" style="1402" customWidth="1"/>
    <col min="6676" max="6676" width="18.28515625" style="1402" customWidth="1"/>
    <col min="6677" max="6677" width="19" style="1402" customWidth="1"/>
    <col min="6678" max="6912" width="9.140625" style="1402"/>
    <col min="6913" max="6913" width="5.42578125" style="1402" customWidth="1"/>
    <col min="6914" max="6914" width="13.7109375" style="1402" customWidth="1"/>
    <col min="6915" max="6915" width="23.28515625" style="1402" customWidth="1"/>
    <col min="6916" max="6916" width="0.140625" style="1402" customWidth="1"/>
    <col min="6917" max="6918" width="0" style="1402" hidden="1" customWidth="1"/>
    <col min="6919" max="6919" width="12.42578125" style="1402" customWidth="1"/>
    <col min="6920" max="6920" width="0.5703125" style="1402" customWidth="1"/>
    <col min="6921" max="6921" width="12.42578125" style="1402" customWidth="1"/>
    <col min="6922" max="6922" width="1" style="1402" customWidth="1"/>
    <col min="6923" max="6923" width="7.140625" style="1402" customWidth="1"/>
    <col min="6924" max="6924" width="9.7109375" style="1402" customWidth="1"/>
    <col min="6925" max="6925" width="15.140625" style="1402" customWidth="1"/>
    <col min="6926" max="6926" width="1.85546875" style="1402" customWidth="1"/>
    <col min="6927" max="6927" width="13.28515625" style="1402" customWidth="1"/>
    <col min="6928" max="6928" width="11.140625" style="1402" customWidth="1"/>
    <col min="6929" max="6929" width="2.85546875" style="1402" customWidth="1"/>
    <col min="6930" max="6930" width="9.85546875" style="1402" customWidth="1"/>
    <col min="6931" max="6931" width="3.85546875" style="1402" customWidth="1"/>
    <col min="6932" max="6932" width="18.28515625" style="1402" customWidth="1"/>
    <col min="6933" max="6933" width="19" style="1402" customWidth="1"/>
    <col min="6934" max="7168" width="9.140625" style="1402"/>
    <col min="7169" max="7169" width="5.42578125" style="1402" customWidth="1"/>
    <col min="7170" max="7170" width="13.7109375" style="1402" customWidth="1"/>
    <col min="7171" max="7171" width="23.28515625" style="1402" customWidth="1"/>
    <col min="7172" max="7172" width="0.140625" style="1402" customWidth="1"/>
    <col min="7173" max="7174" width="0" style="1402" hidden="1" customWidth="1"/>
    <col min="7175" max="7175" width="12.42578125" style="1402" customWidth="1"/>
    <col min="7176" max="7176" width="0.5703125" style="1402" customWidth="1"/>
    <col min="7177" max="7177" width="12.42578125" style="1402" customWidth="1"/>
    <col min="7178" max="7178" width="1" style="1402" customWidth="1"/>
    <col min="7179" max="7179" width="7.140625" style="1402" customWidth="1"/>
    <col min="7180" max="7180" width="9.7109375" style="1402" customWidth="1"/>
    <col min="7181" max="7181" width="15.140625" style="1402" customWidth="1"/>
    <col min="7182" max="7182" width="1.85546875" style="1402" customWidth="1"/>
    <col min="7183" max="7183" width="13.28515625" style="1402" customWidth="1"/>
    <col min="7184" max="7184" width="11.140625" style="1402" customWidth="1"/>
    <col min="7185" max="7185" width="2.85546875" style="1402" customWidth="1"/>
    <col min="7186" max="7186" width="9.85546875" style="1402" customWidth="1"/>
    <col min="7187" max="7187" width="3.85546875" style="1402" customWidth="1"/>
    <col min="7188" max="7188" width="18.28515625" style="1402" customWidth="1"/>
    <col min="7189" max="7189" width="19" style="1402" customWidth="1"/>
    <col min="7190" max="7424" width="9.140625" style="1402"/>
    <col min="7425" max="7425" width="5.42578125" style="1402" customWidth="1"/>
    <col min="7426" max="7426" width="13.7109375" style="1402" customWidth="1"/>
    <col min="7427" max="7427" width="23.28515625" style="1402" customWidth="1"/>
    <col min="7428" max="7428" width="0.140625" style="1402" customWidth="1"/>
    <col min="7429" max="7430" width="0" style="1402" hidden="1" customWidth="1"/>
    <col min="7431" max="7431" width="12.42578125" style="1402" customWidth="1"/>
    <col min="7432" max="7432" width="0.5703125" style="1402" customWidth="1"/>
    <col min="7433" max="7433" width="12.42578125" style="1402" customWidth="1"/>
    <col min="7434" max="7434" width="1" style="1402" customWidth="1"/>
    <col min="7435" max="7435" width="7.140625" style="1402" customWidth="1"/>
    <col min="7436" max="7436" width="9.7109375" style="1402" customWidth="1"/>
    <col min="7437" max="7437" width="15.140625" style="1402" customWidth="1"/>
    <col min="7438" max="7438" width="1.85546875" style="1402" customWidth="1"/>
    <col min="7439" max="7439" width="13.28515625" style="1402" customWidth="1"/>
    <col min="7440" max="7440" width="11.140625" style="1402" customWidth="1"/>
    <col min="7441" max="7441" width="2.85546875" style="1402" customWidth="1"/>
    <col min="7442" max="7442" width="9.85546875" style="1402" customWidth="1"/>
    <col min="7443" max="7443" width="3.85546875" style="1402" customWidth="1"/>
    <col min="7444" max="7444" width="18.28515625" style="1402" customWidth="1"/>
    <col min="7445" max="7445" width="19" style="1402" customWidth="1"/>
    <col min="7446" max="7680" width="9.140625" style="1402"/>
    <col min="7681" max="7681" width="5.42578125" style="1402" customWidth="1"/>
    <col min="7682" max="7682" width="13.7109375" style="1402" customWidth="1"/>
    <col min="7683" max="7683" width="23.28515625" style="1402" customWidth="1"/>
    <col min="7684" max="7684" width="0.140625" style="1402" customWidth="1"/>
    <col min="7685" max="7686" width="0" style="1402" hidden="1" customWidth="1"/>
    <col min="7687" max="7687" width="12.42578125" style="1402" customWidth="1"/>
    <col min="7688" max="7688" width="0.5703125" style="1402" customWidth="1"/>
    <col min="7689" max="7689" width="12.42578125" style="1402" customWidth="1"/>
    <col min="7690" max="7690" width="1" style="1402" customWidth="1"/>
    <col min="7691" max="7691" width="7.140625" style="1402" customWidth="1"/>
    <col min="7692" max="7692" width="9.7109375" style="1402" customWidth="1"/>
    <col min="7693" max="7693" width="15.140625" style="1402" customWidth="1"/>
    <col min="7694" max="7694" width="1.85546875" style="1402" customWidth="1"/>
    <col min="7695" max="7695" width="13.28515625" style="1402" customWidth="1"/>
    <col min="7696" max="7696" width="11.140625" style="1402" customWidth="1"/>
    <col min="7697" max="7697" width="2.85546875" style="1402" customWidth="1"/>
    <col min="7698" max="7698" width="9.85546875" style="1402" customWidth="1"/>
    <col min="7699" max="7699" width="3.85546875" style="1402" customWidth="1"/>
    <col min="7700" max="7700" width="18.28515625" style="1402" customWidth="1"/>
    <col min="7701" max="7701" width="19" style="1402" customWidth="1"/>
    <col min="7702" max="7936" width="9.140625" style="1402"/>
    <col min="7937" max="7937" width="5.42578125" style="1402" customWidth="1"/>
    <col min="7938" max="7938" width="13.7109375" style="1402" customWidth="1"/>
    <col min="7939" max="7939" width="23.28515625" style="1402" customWidth="1"/>
    <col min="7940" max="7940" width="0.140625" style="1402" customWidth="1"/>
    <col min="7941" max="7942" width="0" style="1402" hidden="1" customWidth="1"/>
    <col min="7943" max="7943" width="12.42578125" style="1402" customWidth="1"/>
    <col min="7944" max="7944" width="0.5703125" style="1402" customWidth="1"/>
    <col min="7945" max="7945" width="12.42578125" style="1402" customWidth="1"/>
    <col min="7946" max="7946" width="1" style="1402" customWidth="1"/>
    <col min="7947" max="7947" width="7.140625" style="1402" customWidth="1"/>
    <col min="7948" max="7948" width="9.7109375" style="1402" customWidth="1"/>
    <col min="7949" max="7949" width="15.140625" style="1402" customWidth="1"/>
    <col min="7950" max="7950" width="1.85546875" style="1402" customWidth="1"/>
    <col min="7951" max="7951" width="13.28515625" style="1402" customWidth="1"/>
    <col min="7952" max="7952" width="11.140625" style="1402" customWidth="1"/>
    <col min="7953" max="7953" width="2.85546875" style="1402" customWidth="1"/>
    <col min="7954" max="7954" width="9.85546875" style="1402" customWidth="1"/>
    <col min="7955" max="7955" width="3.85546875" style="1402" customWidth="1"/>
    <col min="7956" max="7956" width="18.28515625" style="1402" customWidth="1"/>
    <col min="7957" max="7957" width="19" style="1402" customWidth="1"/>
    <col min="7958" max="8192" width="9.140625" style="1402"/>
    <col min="8193" max="8193" width="5.42578125" style="1402" customWidth="1"/>
    <col min="8194" max="8194" width="13.7109375" style="1402" customWidth="1"/>
    <col min="8195" max="8195" width="23.28515625" style="1402" customWidth="1"/>
    <col min="8196" max="8196" width="0.140625" style="1402" customWidth="1"/>
    <col min="8197" max="8198" width="0" style="1402" hidden="1" customWidth="1"/>
    <col min="8199" max="8199" width="12.42578125" style="1402" customWidth="1"/>
    <col min="8200" max="8200" width="0.5703125" style="1402" customWidth="1"/>
    <col min="8201" max="8201" width="12.42578125" style="1402" customWidth="1"/>
    <col min="8202" max="8202" width="1" style="1402" customWidth="1"/>
    <col min="8203" max="8203" width="7.140625" style="1402" customWidth="1"/>
    <col min="8204" max="8204" width="9.7109375" style="1402" customWidth="1"/>
    <col min="8205" max="8205" width="15.140625" style="1402" customWidth="1"/>
    <col min="8206" max="8206" width="1.85546875" style="1402" customWidth="1"/>
    <col min="8207" max="8207" width="13.28515625" style="1402" customWidth="1"/>
    <col min="8208" max="8208" width="11.140625" style="1402" customWidth="1"/>
    <col min="8209" max="8209" width="2.85546875" style="1402" customWidth="1"/>
    <col min="8210" max="8210" width="9.85546875" style="1402" customWidth="1"/>
    <col min="8211" max="8211" width="3.85546875" style="1402" customWidth="1"/>
    <col min="8212" max="8212" width="18.28515625" style="1402" customWidth="1"/>
    <col min="8213" max="8213" width="19" style="1402" customWidth="1"/>
    <col min="8214" max="8448" width="9.140625" style="1402"/>
    <col min="8449" max="8449" width="5.42578125" style="1402" customWidth="1"/>
    <col min="8450" max="8450" width="13.7109375" style="1402" customWidth="1"/>
    <col min="8451" max="8451" width="23.28515625" style="1402" customWidth="1"/>
    <col min="8452" max="8452" width="0.140625" style="1402" customWidth="1"/>
    <col min="8453" max="8454" width="0" style="1402" hidden="1" customWidth="1"/>
    <col min="8455" max="8455" width="12.42578125" style="1402" customWidth="1"/>
    <col min="8456" max="8456" width="0.5703125" style="1402" customWidth="1"/>
    <col min="8457" max="8457" width="12.42578125" style="1402" customWidth="1"/>
    <col min="8458" max="8458" width="1" style="1402" customWidth="1"/>
    <col min="8459" max="8459" width="7.140625" style="1402" customWidth="1"/>
    <col min="8460" max="8460" width="9.7109375" style="1402" customWidth="1"/>
    <col min="8461" max="8461" width="15.140625" style="1402" customWidth="1"/>
    <col min="8462" max="8462" width="1.85546875" style="1402" customWidth="1"/>
    <col min="8463" max="8463" width="13.28515625" style="1402" customWidth="1"/>
    <col min="8464" max="8464" width="11.140625" style="1402" customWidth="1"/>
    <col min="8465" max="8465" width="2.85546875" style="1402" customWidth="1"/>
    <col min="8466" max="8466" width="9.85546875" style="1402" customWidth="1"/>
    <col min="8467" max="8467" width="3.85546875" style="1402" customWidth="1"/>
    <col min="8468" max="8468" width="18.28515625" style="1402" customWidth="1"/>
    <col min="8469" max="8469" width="19" style="1402" customWidth="1"/>
    <col min="8470" max="8704" width="9.140625" style="1402"/>
    <col min="8705" max="8705" width="5.42578125" style="1402" customWidth="1"/>
    <col min="8706" max="8706" width="13.7109375" style="1402" customWidth="1"/>
    <col min="8707" max="8707" width="23.28515625" style="1402" customWidth="1"/>
    <col min="8708" max="8708" width="0.140625" style="1402" customWidth="1"/>
    <col min="8709" max="8710" width="0" style="1402" hidden="1" customWidth="1"/>
    <col min="8711" max="8711" width="12.42578125" style="1402" customWidth="1"/>
    <col min="8712" max="8712" width="0.5703125" style="1402" customWidth="1"/>
    <col min="8713" max="8713" width="12.42578125" style="1402" customWidth="1"/>
    <col min="8714" max="8714" width="1" style="1402" customWidth="1"/>
    <col min="8715" max="8715" width="7.140625" style="1402" customWidth="1"/>
    <col min="8716" max="8716" width="9.7109375" style="1402" customWidth="1"/>
    <col min="8717" max="8717" width="15.140625" style="1402" customWidth="1"/>
    <col min="8718" max="8718" width="1.85546875" style="1402" customWidth="1"/>
    <col min="8719" max="8719" width="13.28515625" style="1402" customWidth="1"/>
    <col min="8720" max="8720" width="11.140625" style="1402" customWidth="1"/>
    <col min="8721" max="8721" width="2.85546875" style="1402" customWidth="1"/>
    <col min="8722" max="8722" width="9.85546875" style="1402" customWidth="1"/>
    <col min="8723" max="8723" width="3.85546875" style="1402" customWidth="1"/>
    <col min="8724" max="8724" width="18.28515625" style="1402" customWidth="1"/>
    <col min="8725" max="8725" width="19" style="1402" customWidth="1"/>
    <col min="8726" max="8960" width="9.140625" style="1402"/>
    <col min="8961" max="8961" width="5.42578125" style="1402" customWidth="1"/>
    <col min="8962" max="8962" width="13.7109375" style="1402" customWidth="1"/>
    <col min="8963" max="8963" width="23.28515625" style="1402" customWidth="1"/>
    <col min="8964" max="8964" width="0.140625" style="1402" customWidth="1"/>
    <col min="8965" max="8966" width="0" style="1402" hidden="1" customWidth="1"/>
    <col min="8967" max="8967" width="12.42578125" style="1402" customWidth="1"/>
    <col min="8968" max="8968" width="0.5703125" style="1402" customWidth="1"/>
    <col min="8969" max="8969" width="12.42578125" style="1402" customWidth="1"/>
    <col min="8970" max="8970" width="1" style="1402" customWidth="1"/>
    <col min="8971" max="8971" width="7.140625" style="1402" customWidth="1"/>
    <col min="8972" max="8972" width="9.7109375" style="1402" customWidth="1"/>
    <col min="8973" max="8973" width="15.140625" style="1402" customWidth="1"/>
    <col min="8974" max="8974" width="1.85546875" style="1402" customWidth="1"/>
    <col min="8975" max="8975" width="13.28515625" style="1402" customWidth="1"/>
    <col min="8976" max="8976" width="11.140625" style="1402" customWidth="1"/>
    <col min="8977" max="8977" width="2.85546875" style="1402" customWidth="1"/>
    <col min="8978" max="8978" width="9.85546875" style="1402" customWidth="1"/>
    <col min="8979" max="8979" width="3.85546875" style="1402" customWidth="1"/>
    <col min="8980" max="8980" width="18.28515625" style="1402" customWidth="1"/>
    <col min="8981" max="8981" width="19" style="1402" customWidth="1"/>
    <col min="8982" max="9216" width="9.140625" style="1402"/>
    <col min="9217" max="9217" width="5.42578125" style="1402" customWidth="1"/>
    <col min="9218" max="9218" width="13.7109375" style="1402" customWidth="1"/>
    <col min="9219" max="9219" width="23.28515625" style="1402" customWidth="1"/>
    <col min="9220" max="9220" width="0.140625" style="1402" customWidth="1"/>
    <col min="9221" max="9222" width="0" style="1402" hidden="1" customWidth="1"/>
    <col min="9223" max="9223" width="12.42578125" style="1402" customWidth="1"/>
    <col min="9224" max="9224" width="0.5703125" style="1402" customWidth="1"/>
    <col min="9225" max="9225" width="12.42578125" style="1402" customWidth="1"/>
    <col min="9226" max="9226" width="1" style="1402" customWidth="1"/>
    <col min="9227" max="9227" width="7.140625" style="1402" customWidth="1"/>
    <col min="9228" max="9228" width="9.7109375" style="1402" customWidth="1"/>
    <col min="9229" max="9229" width="15.140625" style="1402" customWidth="1"/>
    <col min="9230" max="9230" width="1.85546875" style="1402" customWidth="1"/>
    <col min="9231" max="9231" width="13.28515625" style="1402" customWidth="1"/>
    <col min="9232" max="9232" width="11.140625" style="1402" customWidth="1"/>
    <col min="9233" max="9233" width="2.85546875" style="1402" customWidth="1"/>
    <col min="9234" max="9234" width="9.85546875" style="1402" customWidth="1"/>
    <col min="9235" max="9235" width="3.85546875" style="1402" customWidth="1"/>
    <col min="9236" max="9236" width="18.28515625" style="1402" customWidth="1"/>
    <col min="9237" max="9237" width="19" style="1402" customWidth="1"/>
    <col min="9238" max="9472" width="9.140625" style="1402"/>
    <col min="9473" max="9473" width="5.42578125" style="1402" customWidth="1"/>
    <col min="9474" max="9474" width="13.7109375" style="1402" customWidth="1"/>
    <col min="9475" max="9475" width="23.28515625" style="1402" customWidth="1"/>
    <col min="9476" max="9476" width="0.140625" style="1402" customWidth="1"/>
    <col min="9477" max="9478" width="0" style="1402" hidden="1" customWidth="1"/>
    <col min="9479" max="9479" width="12.42578125" style="1402" customWidth="1"/>
    <col min="9480" max="9480" width="0.5703125" style="1402" customWidth="1"/>
    <col min="9481" max="9481" width="12.42578125" style="1402" customWidth="1"/>
    <col min="9482" max="9482" width="1" style="1402" customWidth="1"/>
    <col min="9483" max="9483" width="7.140625" style="1402" customWidth="1"/>
    <col min="9484" max="9484" width="9.7109375" style="1402" customWidth="1"/>
    <col min="9485" max="9485" width="15.140625" style="1402" customWidth="1"/>
    <col min="9486" max="9486" width="1.85546875" style="1402" customWidth="1"/>
    <col min="9487" max="9487" width="13.28515625" style="1402" customWidth="1"/>
    <col min="9488" max="9488" width="11.140625" style="1402" customWidth="1"/>
    <col min="9489" max="9489" width="2.85546875" style="1402" customWidth="1"/>
    <col min="9490" max="9490" width="9.85546875" style="1402" customWidth="1"/>
    <col min="9491" max="9491" width="3.85546875" style="1402" customWidth="1"/>
    <col min="9492" max="9492" width="18.28515625" style="1402" customWidth="1"/>
    <col min="9493" max="9493" width="19" style="1402" customWidth="1"/>
    <col min="9494" max="9728" width="9.140625" style="1402"/>
    <col min="9729" max="9729" width="5.42578125" style="1402" customWidth="1"/>
    <col min="9730" max="9730" width="13.7109375" style="1402" customWidth="1"/>
    <col min="9731" max="9731" width="23.28515625" style="1402" customWidth="1"/>
    <col min="9732" max="9732" width="0.140625" style="1402" customWidth="1"/>
    <col min="9733" max="9734" width="0" style="1402" hidden="1" customWidth="1"/>
    <col min="9735" max="9735" width="12.42578125" style="1402" customWidth="1"/>
    <col min="9736" max="9736" width="0.5703125" style="1402" customWidth="1"/>
    <col min="9737" max="9737" width="12.42578125" style="1402" customWidth="1"/>
    <col min="9738" max="9738" width="1" style="1402" customWidth="1"/>
    <col min="9739" max="9739" width="7.140625" style="1402" customWidth="1"/>
    <col min="9740" max="9740" width="9.7109375" style="1402" customWidth="1"/>
    <col min="9741" max="9741" width="15.140625" style="1402" customWidth="1"/>
    <col min="9742" max="9742" width="1.85546875" style="1402" customWidth="1"/>
    <col min="9743" max="9743" width="13.28515625" style="1402" customWidth="1"/>
    <col min="9744" max="9744" width="11.140625" style="1402" customWidth="1"/>
    <col min="9745" max="9745" width="2.85546875" style="1402" customWidth="1"/>
    <col min="9746" max="9746" width="9.85546875" style="1402" customWidth="1"/>
    <col min="9747" max="9747" width="3.85546875" style="1402" customWidth="1"/>
    <col min="9748" max="9748" width="18.28515625" style="1402" customWidth="1"/>
    <col min="9749" max="9749" width="19" style="1402" customWidth="1"/>
    <col min="9750" max="9984" width="9.140625" style="1402"/>
    <col min="9985" max="9985" width="5.42578125" style="1402" customWidth="1"/>
    <col min="9986" max="9986" width="13.7109375" style="1402" customWidth="1"/>
    <col min="9987" max="9987" width="23.28515625" style="1402" customWidth="1"/>
    <col min="9988" max="9988" width="0.140625" style="1402" customWidth="1"/>
    <col min="9989" max="9990" width="0" style="1402" hidden="1" customWidth="1"/>
    <col min="9991" max="9991" width="12.42578125" style="1402" customWidth="1"/>
    <col min="9992" max="9992" width="0.5703125" style="1402" customWidth="1"/>
    <col min="9993" max="9993" width="12.42578125" style="1402" customWidth="1"/>
    <col min="9994" max="9994" width="1" style="1402" customWidth="1"/>
    <col min="9995" max="9995" width="7.140625" style="1402" customWidth="1"/>
    <col min="9996" max="9996" width="9.7109375" style="1402" customWidth="1"/>
    <col min="9997" max="9997" width="15.140625" style="1402" customWidth="1"/>
    <col min="9998" max="9998" width="1.85546875" style="1402" customWidth="1"/>
    <col min="9999" max="9999" width="13.28515625" style="1402" customWidth="1"/>
    <col min="10000" max="10000" width="11.140625" style="1402" customWidth="1"/>
    <col min="10001" max="10001" width="2.85546875" style="1402" customWidth="1"/>
    <col min="10002" max="10002" width="9.85546875" style="1402" customWidth="1"/>
    <col min="10003" max="10003" width="3.85546875" style="1402" customWidth="1"/>
    <col min="10004" max="10004" width="18.28515625" style="1402" customWidth="1"/>
    <col min="10005" max="10005" width="19" style="1402" customWidth="1"/>
    <col min="10006" max="10240" width="9.140625" style="1402"/>
    <col min="10241" max="10241" width="5.42578125" style="1402" customWidth="1"/>
    <col min="10242" max="10242" width="13.7109375" style="1402" customWidth="1"/>
    <col min="10243" max="10243" width="23.28515625" style="1402" customWidth="1"/>
    <col min="10244" max="10244" width="0.140625" style="1402" customWidth="1"/>
    <col min="10245" max="10246" width="0" style="1402" hidden="1" customWidth="1"/>
    <col min="10247" max="10247" width="12.42578125" style="1402" customWidth="1"/>
    <col min="10248" max="10248" width="0.5703125" style="1402" customWidth="1"/>
    <col min="10249" max="10249" width="12.42578125" style="1402" customWidth="1"/>
    <col min="10250" max="10250" width="1" style="1402" customWidth="1"/>
    <col min="10251" max="10251" width="7.140625" style="1402" customWidth="1"/>
    <col min="10252" max="10252" width="9.7109375" style="1402" customWidth="1"/>
    <col min="10253" max="10253" width="15.140625" style="1402" customWidth="1"/>
    <col min="10254" max="10254" width="1.85546875" style="1402" customWidth="1"/>
    <col min="10255" max="10255" width="13.28515625" style="1402" customWidth="1"/>
    <col min="10256" max="10256" width="11.140625" style="1402" customWidth="1"/>
    <col min="10257" max="10257" width="2.85546875" style="1402" customWidth="1"/>
    <col min="10258" max="10258" width="9.85546875" style="1402" customWidth="1"/>
    <col min="10259" max="10259" width="3.85546875" style="1402" customWidth="1"/>
    <col min="10260" max="10260" width="18.28515625" style="1402" customWidth="1"/>
    <col min="10261" max="10261" width="19" style="1402" customWidth="1"/>
    <col min="10262" max="10496" width="9.140625" style="1402"/>
    <col min="10497" max="10497" width="5.42578125" style="1402" customWidth="1"/>
    <col min="10498" max="10498" width="13.7109375" style="1402" customWidth="1"/>
    <col min="10499" max="10499" width="23.28515625" style="1402" customWidth="1"/>
    <col min="10500" max="10500" width="0.140625" style="1402" customWidth="1"/>
    <col min="10501" max="10502" width="0" style="1402" hidden="1" customWidth="1"/>
    <col min="10503" max="10503" width="12.42578125" style="1402" customWidth="1"/>
    <col min="10504" max="10504" width="0.5703125" style="1402" customWidth="1"/>
    <col min="10505" max="10505" width="12.42578125" style="1402" customWidth="1"/>
    <col min="10506" max="10506" width="1" style="1402" customWidth="1"/>
    <col min="10507" max="10507" width="7.140625" style="1402" customWidth="1"/>
    <col min="10508" max="10508" width="9.7109375" style="1402" customWidth="1"/>
    <col min="10509" max="10509" width="15.140625" style="1402" customWidth="1"/>
    <col min="10510" max="10510" width="1.85546875" style="1402" customWidth="1"/>
    <col min="10511" max="10511" width="13.28515625" style="1402" customWidth="1"/>
    <col min="10512" max="10512" width="11.140625" style="1402" customWidth="1"/>
    <col min="10513" max="10513" width="2.85546875" style="1402" customWidth="1"/>
    <col min="10514" max="10514" width="9.85546875" style="1402" customWidth="1"/>
    <col min="10515" max="10515" width="3.85546875" style="1402" customWidth="1"/>
    <col min="10516" max="10516" width="18.28515625" style="1402" customWidth="1"/>
    <col min="10517" max="10517" width="19" style="1402" customWidth="1"/>
    <col min="10518" max="10752" width="9.140625" style="1402"/>
    <col min="10753" max="10753" width="5.42578125" style="1402" customWidth="1"/>
    <col min="10754" max="10754" width="13.7109375" style="1402" customWidth="1"/>
    <col min="10755" max="10755" width="23.28515625" style="1402" customWidth="1"/>
    <col min="10756" max="10756" width="0.140625" style="1402" customWidth="1"/>
    <col min="10757" max="10758" width="0" style="1402" hidden="1" customWidth="1"/>
    <col min="10759" max="10759" width="12.42578125" style="1402" customWidth="1"/>
    <col min="10760" max="10760" width="0.5703125" style="1402" customWidth="1"/>
    <col min="10761" max="10761" width="12.42578125" style="1402" customWidth="1"/>
    <col min="10762" max="10762" width="1" style="1402" customWidth="1"/>
    <col min="10763" max="10763" width="7.140625" style="1402" customWidth="1"/>
    <col min="10764" max="10764" width="9.7109375" style="1402" customWidth="1"/>
    <col min="10765" max="10765" width="15.140625" style="1402" customWidth="1"/>
    <col min="10766" max="10766" width="1.85546875" style="1402" customWidth="1"/>
    <col min="10767" max="10767" width="13.28515625" style="1402" customWidth="1"/>
    <col min="10768" max="10768" width="11.140625" style="1402" customWidth="1"/>
    <col min="10769" max="10769" width="2.85546875" style="1402" customWidth="1"/>
    <col min="10770" max="10770" width="9.85546875" style="1402" customWidth="1"/>
    <col min="10771" max="10771" width="3.85546875" style="1402" customWidth="1"/>
    <col min="10772" max="10772" width="18.28515625" style="1402" customWidth="1"/>
    <col min="10773" max="10773" width="19" style="1402" customWidth="1"/>
    <col min="10774" max="11008" width="9.140625" style="1402"/>
    <col min="11009" max="11009" width="5.42578125" style="1402" customWidth="1"/>
    <col min="11010" max="11010" width="13.7109375" style="1402" customWidth="1"/>
    <col min="11011" max="11011" width="23.28515625" style="1402" customWidth="1"/>
    <col min="11012" max="11012" width="0.140625" style="1402" customWidth="1"/>
    <col min="11013" max="11014" width="0" style="1402" hidden="1" customWidth="1"/>
    <col min="11015" max="11015" width="12.42578125" style="1402" customWidth="1"/>
    <col min="11016" max="11016" width="0.5703125" style="1402" customWidth="1"/>
    <col min="11017" max="11017" width="12.42578125" style="1402" customWidth="1"/>
    <col min="11018" max="11018" width="1" style="1402" customWidth="1"/>
    <col min="11019" max="11019" width="7.140625" style="1402" customWidth="1"/>
    <col min="11020" max="11020" width="9.7109375" style="1402" customWidth="1"/>
    <col min="11021" max="11021" width="15.140625" style="1402" customWidth="1"/>
    <col min="11022" max="11022" width="1.85546875" style="1402" customWidth="1"/>
    <col min="11023" max="11023" width="13.28515625" style="1402" customWidth="1"/>
    <col min="11024" max="11024" width="11.140625" style="1402" customWidth="1"/>
    <col min="11025" max="11025" width="2.85546875" style="1402" customWidth="1"/>
    <col min="11026" max="11026" width="9.85546875" style="1402" customWidth="1"/>
    <col min="11027" max="11027" width="3.85546875" style="1402" customWidth="1"/>
    <col min="11028" max="11028" width="18.28515625" style="1402" customWidth="1"/>
    <col min="11029" max="11029" width="19" style="1402" customWidth="1"/>
    <col min="11030" max="11264" width="9.140625" style="1402"/>
    <col min="11265" max="11265" width="5.42578125" style="1402" customWidth="1"/>
    <col min="11266" max="11266" width="13.7109375" style="1402" customWidth="1"/>
    <col min="11267" max="11267" width="23.28515625" style="1402" customWidth="1"/>
    <col min="11268" max="11268" width="0.140625" style="1402" customWidth="1"/>
    <col min="11269" max="11270" width="0" style="1402" hidden="1" customWidth="1"/>
    <col min="11271" max="11271" width="12.42578125" style="1402" customWidth="1"/>
    <col min="11272" max="11272" width="0.5703125" style="1402" customWidth="1"/>
    <col min="11273" max="11273" width="12.42578125" style="1402" customWidth="1"/>
    <col min="11274" max="11274" width="1" style="1402" customWidth="1"/>
    <col min="11275" max="11275" width="7.140625" style="1402" customWidth="1"/>
    <col min="11276" max="11276" width="9.7109375" style="1402" customWidth="1"/>
    <col min="11277" max="11277" width="15.140625" style="1402" customWidth="1"/>
    <col min="11278" max="11278" width="1.85546875" style="1402" customWidth="1"/>
    <col min="11279" max="11279" width="13.28515625" style="1402" customWidth="1"/>
    <col min="11280" max="11280" width="11.140625" style="1402" customWidth="1"/>
    <col min="11281" max="11281" width="2.85546875" style="1402" customWidth="1"/>
    <col min="11282" max="11282" width="9.85546875" style="1402" customWidth="1"/>
    <col min="11283" max="11283" width="3.85546875" style="1402" customWidth="1"/>
    <col min="11284" max="11284" width="18.28515625" style="1402" customWidth="1"/>
    <col min="11285" max="11285" width="19" style="1402" customWidth="1"/>
    <col min="11286" max="11520" width="9.140625" style="1402"/>
    <col min="11521" max="11521" width="5.42578125" style="1402" customWidth="1"/>
    <col min="11522" max="11522" width="13.7109375" style="1402" customWidth="1"/>
    <col min="11523" max="11523" width="23.28515625" style="1402" customWidth="1"/>
    <col min="11524" max="11524" width="0.140625" style="1402" customWidth="1"/>
    <col min="11525" max="11526" width="0" style="1402" hidden="1" customWidth="1"/>
    <col min="11527" max="11527" width="12.42578125" style="1402" customWidth="1"/>
    <col min="11528" max="11528" width="0.5703125" style="1402" customWidth="1"/>
    <col min="11529" max="11529" width="12.42578125" style="1402" customWidth="1"/>
    <col min="11530" max="11530" width="1" style="1402" customWidth="1"/>
    <col min="11531" max="11531" width="7.140625" style="1402" customWidth="1"/>
    <col min="11532" max="11532" width="9.7109375" style="1402" customWidth="1"/>
    <col min="11533" max="11533" width="15.140625" style="1402" customWidth="1"/>
    <col min="11534" max="11534" width="1.85546875" style="1402" customWidth="1"/>
    <col min="11535" max="11535" width="13.28515625" style="1402" customWidth="1"/>
    <col min="11536" max="11536" width="11.140625" style="1402" customWidth="1"/>
    <col min="11537" max="11537" width="2.85546875" style="1402" customWidth="1"/>
    <col min="11538" max="11538" width="9.85546875" style="1402" customWidth="1"/>
    <col min="11539" max="11539" width="3.85546875" style="1402" customWidth="1"/>
    <col min="11540" max="11540" width="18.28515625" style="1402" customWidth="1"/>
    <col min="11541" max="11541" width="19" style="1402" customWidth="1"/>
    <col min="11542" max="11776" width="9.140625" style="1402"/>
    <col min="11777" max="11777" width="5.42578125" style="1402" customWidth="1"/>
    <col min="11778" max="11778" width="13.7109375" style="1402" customWidth="1"/>
    <col min="11779" max="11779" width="23.28515625" style="1402" customWidth="1"/>
    <col min="11780" max="11780" width="0.140625" style="1402" customWidth="1"/>
    <col min="11781" max="11782" width="0" style="1402" hidden="1" customWidth="1"/>
    <col min="11783" max="11783" width="12.42578125" style="1402" customWidth="1"/>
    <col min="11784" max="11784" width="0.5703125" style="1402" customWidth="1"/>
    <col min="11785" max="11785" width="12.42578125" style="1402" customWidth="1"/>
    <col min="11786" max="11786" width="1" style="1402" customWidth="1"/>
    <col min="11787" max="11787" width="7.140625" style="1402" customWidth="1"/>
    <col min="11788" max="11788" width="9.7109375" style="1402" customWidth="1"/>
    <col min="11789" max="11789" width="15.140625" style="1402" customWidth="1"/>
    <col min="11790" max="11790" width="1.85546875" style="1402" customWidth="1"/>
    <col min="11791" max="11791" width="13.28515625" style="1402" customWidth="1"/>
    <col min="11792" max="11792" width="11.140625" style="1402" customWidth="1"/>
    <col min="11793" max="11793" width="2.85546875" style="1402" customWidth="1"/>
    <col min="11794" max="11794" width="9.85546875" style="1402" customWidth="1"/>
    <col min="11795" max="11795" width="3.85546875" style="1402" customWidth="1"/>
    <col min="11796" max="11796" width="18.28515625" style="1402" customWidth="1"/>
    <col min="11797" max="11797" width="19" style="1402" customWidth="1"/>
    <col min="11798" max="12032" width="9.140625" style="1402"/>
    <col min="12033" max="12033" width="5.42578125" style="1402" customWidth="1"/>
    <col min="12034" max="12034" width="13.7109375" style="1402" customWidth="1"/>
    <col min="12035" max="12035" width="23.28515625" style="1402" customWidth="1"/>
    <col min="12036" max="12036" width="0.140625" style="1402" customWidth="1"/>
    <col min="12037" max="12038" width="0" style="1402" hidden="1" customWidth="1"/>
    <col min="12039" max="12039" width="12.42578125" style="1402" customWidth="1"/>
    <col min="12040" max="12040" width="0.5703125" style="1402" customWidth="1"/>
    <col min="12041" max="12041" width="12.42578125" style="1402" customWidth="1"/>
    <col min="12042" max="12042" width="1" style="1402" customWidth="1"/>
    <col min="12043" max="12043" width="7.140625" style="1402" customWidth="1"/>
    <col min="12044" max="12044" width="9.7109375" style="1402" customWidth="1"/>
    <col min="12045" max="12045" width="15.140625" style="1402" customWidth="1"/>
    <col min="12046" max="12046" width="1.85546875" style="1402" customWidth="1"/>
    <col min="12047" max="12047" width="13.28515625" style="1402" customWidth="1"/>
    <col min="12048" max="12048" width="11.140625" style="1402" customWidth="1"/>
    <col min="12049" max="12049" width="2.85546875" style="1402" customWidth="1"/>
    <col min="12050" max="12050" width="9.85546875" style="1402" customWidth="1"/>
    <col min="12051" max="12051" width="3.85546875" style="1402" customWidth="1"/>
    <col min="12052" max="12052" width="18.28515625" style="1402" customWidth="1"/>
    <col min="12053" max="12053" width="19" style="1402" customWidth="1"/>
    <col min="12054" max="12288" width="9.140625" style="1402"/>
    <col min="12289" max="12289" width="5.42578125" style="1402" customWidth="1"/>
    <col min="12290" max="12290" width="13.7109375" style="1402" customWidth="1"/>
    <col min="12291" max="12291" width="23.28515625" style="1402" customWidth="1"/>
    <col min="12292" max="12292" width="0.140625" style="1402" customWidth="1"/>
    <col min="12293" max="12294" width="0" style="1402" hidden="1" customWidth="1"/>
    <col min="12295" max="12295" width="12.42578125" style="1402" customWidth="1"/>
    <col min="12296" max="12296" width="0.5703125" style="1402" customWidth="1"/>
    <col min="12297" max="12297" width="12.42578125" style="1402" customWidth="1"/>
    <col min="12298" max="12298" width="1" style="1402" customWidth="1"/>
    <col min="12299" max="12299" width="7.140625" style="1402" customWidth="1"/>
    <col min="12300" max="12300" width="9.7109375" style="1402" customWidth="1"/>
    <col min="12301" max="12301" width="15.140625" style="1402" customWidth="1"/>
    <col min="12302" max="12302" width="1.85546875" style="1402" customWidth="1"/>
    <col min="12303" max="12303" width="13.28515625" style="1402" customWidth="1"/>
    <col min="12304" max="12304" width="11.140625" style="1402" customWidth="1"/>
    <col min="12305" max="12305" width="2.85546875" style="1402" customWidth="1"/>
    <col min="12306" max="12306" width="9.85546875" style="1402" customWidth="1"/>
    <col min="12307" max="12307" width="3.85546875" style="1402" customWidth="1"/>
    <col min="12308" max="12308" width="18.28515625" style="1402" customWidth="1"/>
    <col min="12309" max="12309" width="19" style="1402" customWidth="1"/>
    <col min="12310" max="12544" width="9.140625" style="1402"/>
    <col min="12545" max="12545" width="5.42578125" style="1402" customWidth="1"/>
    <col min="12546" max="12546" width="13.7109375" style="1402" customWidth="1"/>
    <col min="12547" max="12547" width="23.28515625" style="1402" customWidth="1"/>
    <col min="12548" max="12548" width="0.140625" style="1402" customWidth="1"/>
    <col min="12549" max="12550" width="0" style="1402" hidden="1" customWidth="1"/>
    <col min="12551" max="12551" width="12.42578125" style="1402" customWidth="1"/>
    <col min="12552" max="12552" width="0.5703125" style="1402" customWidth="1"/>
    <col min="12553" max="12553" width="12.42578125" style="1402" customWidth="1"/>
    <col min="12554" max="12554" width="1" style="1402" customWidth="1"/>
    <col min="12555" max="12555" width="7.140625" style="1402" customWidth="1"/>
    <col min="12556" max="12556" width="9.7109375" style="1402" customWidth="1"/>
    <col min="12557" max="12557" width="15.140625" style="1402" customWidth="1"/>
    <col min="12558" max="12558" width="1.85546875" style="1402" customWidth="1"/>
    <col min="12559" max="12559" width="13.28515625" style="1402" customWidth="1"/>
    <col min="12560" max="12560" width="11.140625" style="1402" customWidth="1"/>
    <col min="12561" max="12561" width="2.85546875" style="1402" customWidth="1"/>
    <col min="12562" max="12562" width="9.85546875" style="1402" customWidth="1"/>
    <col min="12563" max="12563" width="3.85546875" style="1402" customWidth="1"/>
    <col min="12564" max="12564" width="18.28515625" style="1402" customWidth="1"/>
    <col min="12565" max="12565" width="19" style="1402" customWidth="1"/>
    <col min="12566" max="12800" width="9.140625" style="1402"/>
    <col min="12801" max="12801" width="5.42578125" style="1402" customWidth="1"/>
    <col min="12802" max="12802" width="13.7109375" style="1402" customWidth="1"/>
    <col min="12803" max="12803" width="23.28515625" style="1402" customWidth="1"/>
    <col min="12804" max="12804" width="0.140625" style="1402" customWidth="1"/>
    <col min="12805" max="12806" width="0" style="1402" hidden="1" customWidth="1"/>
    <col min="12807" max="12807" width="12.42578125" style="1402" customWidth="1"/>
    <col min="12808" max="12808" width="0.5703125" style="1402" customWidth="1"/>
    <col min="12809" max="12809" width="12.42578125" style="1402" customWidth="1"/>
    <col min="12810" max="12810" width="1" style="1402" customWidth="1"/>
    <col min="12811" max="12811" width="7.140625" style="1402" customWidth="1"/>
    <col min="12812" max="12812" width="9.7109375" style="1402" customWidth="1"/>
    <col min="12813" max="12813" width="15.140625" style="1402" customWidth="1"/>
    <col min="12814" max="12814" width="1.85546875" style="1402" customWidth="1"/>
    <col min="12815" max="12815" width="13.28515625" style="1402" customWidth="1"/>
    <col min="12816" max="12816" width="11.140625" style="1402" customWidth="1"/>
    <col min="12817" max="12817" width="2.85546875" style="1402" customWidth="1"/>
    <col min="12818" max="12818" width="9.85546875" style="1402" customWidth="1"/>
    <col min="12819" max="12819" width="3.85546875" style="1402" customWidth="1"/>
    <col min="12820" max="12820" width="18.28515625" style="1402" customWidth="1"/>
    <col min="12821" max="12821" width="19" style="1402" customWidth="1"/>
    <col min="12822" max="13056" width="9.140625" style="1402"/>
    <col min="13057" max="13057" width="5.42578125" style="1402" customWidth="1"/>
    <col min="13058" max="13058" width="13.7109375" style="1402" customWidth="1"/>
    <col min="13059" max="13059" width="23.28515625" style="1402" customWidth="1"/>
    <col min="13060" max="13060" width="0.140625" style="1402" customWidth="1"/>
    <col min="13061" max="13062" width="0" style="1402" hidden="1" customWidth="1"/>
    <col min="13063" max="13063" width="12.42578125" style="1402" customWidth="1"/>
    <col min="13064" max="13064" width="0.5703125" style="1402" customWidth="1"/>
    <col min="13065" max="13065" width="12.42578125" style="1402" customWidth="1"/>
    <col min="13066" max="13066" width="1" style="1402" customWidth="1"/>
    <col min="13067" max="13067" width="7.140625" style="1402" customWidth="1"/>
    <col min="13068" max="13068" width="9.7109375" style="1402" customWidth="1"/>
    <col min="13069" max="13069" width="15.140625" style="1402" customWidth="1"/>
    <col min="13070" max="13070" width="1.85546875" style="1402" customWidth="1"/>
    <col min="13071" max="13071" width="13.28515625" style="1402" customWidth="1"/>
    <col min="13072" max="13072" width="11.140625" style="1402" customWidth="1"/>
    <col min="13073" max="13073" width="2.85546875" style="1402" customWidth="1"/>
    <col min="13074" max="13074" width="9.85546875" style="1402" customWidth="1"/>
    <col min="13075" max="13075" width="3.85546875" style="1402" customWidth="1"/>
    <col min="13076" max="13076" width="18.28515625" style="1402" customWidth="1"/>
    <col min="13077" max="13077" width="19" style="1402" customWidth="1"/>
    <col min="13078" max="13312" width="9.140625" style="1402"/>
    <col min="13313" max="13313" width="5.42578125" style="1402" customWidth="1"/>
    <col min="13314" max="13314" width="13.7109375" style="1402" customWidth="1"/>
    <col min="13315" max="13315" width="23.28515625" style="1402" customWidth="1"/>
    <col min="13316" max="13316" width="0.140625" style="1402" customWidth="1"/>
    <col min="13317" max="13318" width="0" style="1402" hidden="1" customWidth="1"/>
    <col min="13319" max="13319" width="12.42578125" style="1402" customWidth="1"/>
    <col min="13320" max="13320" width="0.5703125" style="1402" customWidth="1"/>
    <col min="13321" max="13321" width="12.42578125" style="1402" customWidth="1"/>
    <col min="13322" max="13322" width="1" style="1402" customWidth="1"/>
    <col min="13323" max="13323" width="7.140625" style="1402" customWidth="1"/>
    <col min="13324" max="13324" width="9.7109375" style="1402" customWidth="1"/>
    <col min="13325" max="13325" width="15.140625" style="1402" customWidth="1"/>
    <col min="13326" max="13326" width="1.85546875" style="1402" customWidth="1"/>
    <col min="13327" max="13327" width="13.28515625" style="1402" customWidth="1"/>
    <col min="13328" max="13328" width="11.140625" style="1402" customWidth="1"/>
    <col min="13329" max="13329" width="2.85546875" style="1402" customWidth="1"/>
    <col min="13330" max="13330" width="9.85546875" style="1402" customWidth="1"/>
    <col min="13331" max="13331" width="3.85546875" style="1402" customWidth="1"/>
    <col min="13332" max="13332" width="18.28515625" style="1402" customWidth="1"/>
    <col min="13333" max="13333" width="19" style="1402" customWidth="1"/>
    <col min="13334" max="13568" width="9.140625" style="1402"/>
    <col min="13569" max="13569" width="5.42578125" style="1402" customWidth="1"/>
    <col min="13570" max="13570" width="13.7109375" style="1402" customWidth="1"/>
    <col min="13571" max="13571" width="23.28515625" style="1402" customWidth="1"/>
    <col min="13572" max="13572" width="0.140625" style="1402" customWidth="1"/>
    <col min="13573" max="13574" width="0" style="1402" hidden="1" customWidth="1"/>
    <col min="13575" max="13575" width="12.42578125" style="1402" customWidth="1"/>
    <col min="13576" max="13576" width="0.5703125" style="1402" customWidth="1"/>
    <col min="13577" max="13577" width="12.42578125" style="1402" customWidth="1"/>
    <col min="13578" max="13578" width="1" style="1402" customWidth="1"/>
    <col min="13579" max="13579" width="7.140625" style="1402" customWidth="1"/>
    <col min="13580" max="13580" width="9.7109375" style="1402" customWidth="1"/>
    <col min="13581" max="13581" width="15.140625" style="1402" customWidth="1"/>
    <col min="13582" max="13582" width="1.85546875" style="1402" customWidth="1"/>
    <col min="13583" max="13583" width="13.28515625" style="1402" customWidth="1"/>
    <col min="13584" max="13584" width="11.140625" style="1402" customWidth="1"/>
    <col min="13585" max="13585" width="2.85546875" style="1402" customWidth="1"/>
    <col min="13586" max="13586" width="9.85546875" style="1402" customWidth="1"/>
    <col min="13587" max="13587" width="3.85546875" style="1402" customWidth="1"/>
    <col min="13588" max="13588" width="18.28515625" style="1402" customWidth="1"/>
    <col min="13589" max="13589" width="19" style="1402" customWidth="1"/>
    <col min="13590" max="13824" width="9.140625" style="1402"/>
    <col min="13825" max="13825" width="5.42578125" style="1402" customWidth="1"/>
    <col min="13826" max="13826" width="13.7109375" style="1402" customWidth="1"/>
    <col min="13827" max="13827" width="23.28515625" style="1402" customWidth="1"/>
    <col min="13828" max="13828" width="0.140625" style="1402" customWidth="1"/>
    <col min="13829" max="13830" width="0" style="1402" hidden="1" customWidth="1"/>
    <col min="13831" max="13831" width="12.42578125" style="1402" customWidth="1"/>
    <col min="13832" max="13832" width="0.5703125" style="1402" customWidth="1"/>
    <col min="13833" max="13833" width="12.42578125" style="1402" customWidth="1"/>
    <col min="13834" max="13834" width="1" style="1402" customWidth="1"/>
    <col min="13835" max="13835" width="7.140625" style="1402" customWidth="1"/>
    <col min="13836" max="13836" width="9.7109375" style="1402" customWidth="1"/>
    <col min="13837" max="13837" width="15.140625" style="1402" customWidth="1"/>
    <col min="13838" max="13838" width="1.85546875" style="1402" customWidth="1"/>
    <col min="13839" max="13839" width="13.28515625" style="1402" customWidth="1"/>
    <col min="13840" max="13840" width="11.140625" style="1402" customWidth="1"/>
    <col min="13841" max="13841" width="2.85546875" style="1402" customWidth="1"/>
    <col min="13842" max="13842" width="9.85546875" style="1402" customWidth="1"/>
    <col min="13843" max="13843" width="3.85546875" style="1402" customWidth="1"/>
    <col min="13844" max="13844" width="18.28515625" style="1402" customWidth="1"/>
    <col min="13845" max="13845" width="19" style="1402" customWidth="1"/>
    <col min="13846" max="14080" width="9.140625" style="1402"/>
    <col min="14081" max="14081" width="5.42578125" style="1402" customWidth="1"/>
    <col min="14082" max="14082" width="13.7109375" style="1402" customWidth="1"/>
    <col min="14083" max="14083" width="23.28515625" style="1402" customWidth="1"/>
    <col min="14084" max="14084" width="0.140625" style="1402" customWidth="1"/>
    <col min="14085" max="14086" width="0" style="1402" hidden="1" customWidth="1"/>
    <col min="14087" max="14087" width="12.42578125" style="1402" customWidth="1"/>
    <col min="14088" max="14088" width="0.5703125" style="1402" customWidth="1"/>
    <col min="14089" max="14089" width="12.42578125" style="1402" customWidth="1"/>
    <col min="14090" max="14090" width="1" style="1402" customWidth="1"/>
    <col min="14091" max="14091" width="7.140625" style="1402" customWidth="1"/>
    <col min="14092" max="14092" width="9.7109375" style="1402" customWidth="1"/>
    <col min="14093" max="14093" width="15.140625" style="1402" customWidth="1"/>
    <col min="14094" max="14094" width="1.85546875" style="1402" customWidth="1"/>
    <col min="14095" max="14095" width="13.28515625" style="1402" customWidth="1"/>
    <col min="14096" max="14096" width="11.140625" style="1402" customWidth="1"/>
    <col min="14097" max="14097" width="2.85546875" style="1402" customWidth="1"/>
    <col min="14098" max="14098" width="9.85546875" style="1402" customWidth="1"/>
    <col min="14099" max="14099" width="3.85546875" style="1402" customWidth="1"/>
    <col min="14100" max="14100" width="18.28515625" style="1402" customWidth="1"/>
    <col min="14101" max="14101" width="19" style="1402" customWidth="1"/>
    <col min="14102" max="14336" width="9.140625" style="1402"/>
    <col min="14337" max="14337" width="5.42578125" style="1402" customWidth="1"/>
    <col min="14338" max="14338" width="13.7109375" style="1402" customWidth="1"/>
    <col min="14339" max="14339" width="23.28515625" style="1402" customWidth="1"/>
    <col min="14340" max="14340" width="0.140625" style="1402" customWidth="1"/>
    <col min="14341" max="14342" width="0" style="1402" hidden="1" customWidth="1"/>
    <col min="14343" max="14343" width="12.42578125" style="1402" customWidth="1"/>
    <col min="14344" max="14344" width="0.5703125" style="1402" customWidth="1"/>
    <col min="14345" max="14345" width="12.42578125" style="1402" customWidth="1"/>
    <col min="14346" max="14346" width="1" style="1402" customWidth="1"/>
    <col min="14347" max="14347" width="7.140625" style="1402" customWidth="1"/>
    <col min="14348" max="14348" width="9.7109375" style="1402" customWidth="1"/>
    <col min="14349" max="14349" width="15.140625" style="1402" customWidth="1"/>
    <col min="14350" max="14350" width="1.85546875" style="1402" customWidth="1"/>
    <col min="14351" max="14351" width="13.28515625" style="1402" customWidth="1"/>
    <col min="14352" max="14352" width="11.140625" style="1402" customWidth="1"/>
    <col min="14353" max="14353" width="2.85546875" style="1402" customWidth="1"/>
    <col min="14354" max="14354" width="9.85546875" style="1402" customWidth="1"/>
    <col min="14355" max="14355" width="3.85546875" style="1402" customWidth="1"/>
    <col min="14356" max="14356" width="18.28515625" style="1402" customWidth="1"/>
    <col min="14357" max="14357" width="19" style="1402" customWidth="1"/>
    <col min="14358" max="14592" width="9.140625" style="1402"/>
    <col min="14593" max="14593" width="5.42578125" style="1402" customWidth="1"/>
    <col min="14594" max="14594" width="13.7109375" style="1402" customWidth="1"/>
    <col min="14595" max="14595" width="23.28515625" style="1402" customWidth="1"/>
    <col min="14596" max="14596" width="0.140625" style="1402" customWidth="1"/>
    <col min="14597" max="14598" width="0" style="1402" hidden="1" customWidth="1"/>
    <col min="14599" max="14599" width="12.42578125" style="1402" customWidth="1"/>
    <col min="14600" max="14600" width="0.5703125" style="1402" customWidth="1"/>
    <col min="14601" max="14601" width="12.42578125" style="1402" customWidth="1"/>
    <col min="14602" max="14602" width="1" style="1402" customWidth="1"/>
    <col min="14603" max="14603" width="7.140625" style="1402" customWidth="1"/>
    <col min="14604" max="14604" width="9.7109375" style="1402" customWidth="1"/>
    <col min="14605" max="14605" width="15.140625" style="1402" customWidth="1"/>
    <col min="14606" max="14606" width="1.85546875" style="1402" customWidth="1"/>
    <col min="14607" max="14607" width="13.28515625" style="1402" customWidth="1"/>
    <col min="14608" max="14608" width="11.140625" style="1402" customWidth="1"/>
    <col min="14609" max="14609" width="2.85546875" style="1402" customWidth="1"/>
    <col min="14610" max="14610" width="9.85546875" style="1402" customWidth="1"/>
    <col min="14611" max="14611" width="3.85546875" style="1402" customWidth="1"/>
    <col min="14612" max="14612" width="18.28515625" style="1402" customWidth="1"/>
    <col min="14613" max="14613" width="19" style="1402" customWidth="1"/>
    <col min="14614" max="14848" width="9.140625" style="1402"/>
    <col min="14849" max="14849" width="5.42578125" style="1402" customWidth="1"/>
    <col min="14850" max="14850" width="13.7109375" style="1402" customWidth="1"/>
    <col min="14851" max="14851" width="23.28515625" style="1402" customWidth="1"/>
    <col min="14852" max="14852" width="0.140625" style="1402" customWidth="1"/>
    <col min="14853" max="14854" width="0" style="1402" hidden="1" customWidth="1"/>
    <col min="14855" max="14855" width="12.42578125" style="1402" customWidth="1"/>
    <col min="14856" max="14856" width="0.5703125" style="1402" customWidth="1"/>
    <col min="14857" max="14857" width="12.42578125" style="1402" customWidth="1"/>
    <col min="14858" max="14858" width="1" style="1402" customWidth="1"/>
    <col min="14859" max="14859" width="7.140625" style="1402" customWidth="1"/>
    <col min="14860" max="14860" width="9.7109375" style="1402" customWidth="1"/>
    <col min="14861" max="14861" width="15.140625" style="1402" customWidth="1"/>
    <col min="14862" max="14862" width="1.85546875" style="1402" customWidth="1"/>
    <col min="14863" max="14863" width="13.28515625" style="1402" customWidth="1"/>
    <col min="14864" max="14864" width="11.140625" style="1402" customWidth="1"/>
    <col min="14865" max="14865" width="2.85546875" style="1402" customWidth="1"/>
    <col min="14866" max="14866" width="9.85546875" style="1402" customWidth="1"/>
    <col min="14867" max="14867" width="3.85546875" style="1402" customWidth="1"/>
    <col min="14868" max="14868" width="18.28515625" style="1402" customWidth="1"/>
    <col min="14869" max="14869" width="19" style="1402" customWidth="1"/>
    <col min="14870" max="15104" width="9.140625" style="1402"/>
    <col min="15105" max="15105" width="5.42578125" style="1402" customWidth="1"/>
    <col min="15106" max="15106" width="13.7109375" style="1402" customWidth="1"/>
    <col min="15107" max="15107" width="23.28515625" style="1402" customWidth="1"/>
    <col min="15108" max="15108" width="0.140625" style="1402" customWidth="1"/>
    <col min="15109" max="15110" width="0" style="1402" hidden="1" customWidth="1"/>
    <col min="15111" max="15111" width="12.42578125" style="1402" customWidth="1"/>
    <col min="15112" max="15112" width="0.5703125" style="1402" customWidth="1"/>
    <col min="15113" max="15113" width="12.42578125" style="1402" customWidth="1"/>
    <col min="15114" max="15114" width="1" style="1402" customWidth="1"/>
    <col min="15115" max="15115" width="7.140625" style="1402" customWidth="1"/>
    <col min="15116" max="15116" width="9.7109375" style="1402" customWidth="1"/>
    <col min="15117" max="15117" width="15.140625" style="1402" customWidth="1"/>
    <col min="15118" max="15118" width="1.85546875" style="1402" customWidth="1"/>
    <col min="15119" max="15119" width="13.28515625" style="1402" customWidth="1"/>
    <col min="15120" max="15120" width="11.140625" style="1402" customWidth="1"/>
    <col min="15121" max="15121" width="2.85546875" style="1402" customWidth="1"/>
    <col min="15122" max="15122" width="9.85546875" style="1402" customWidth="1"/>
    <col min="15123" max="15123" width="3.85546875" style="1402" customWidth="1"/>
    <col min="15124" max="15124" width="18.28515625" style="1402" customWidth="1"/>
    <col min="15125" max="15125" width="19" style="1402" customWidth="1"/>
    <col min="15126" max="15360" width="9.140625" style="1402"/>
    <col min="15361" max="15361" width="5.42578125" style="1402" customWidth="1"/>
    <col min="15362" max="15362" width="13.7109375" style="1402" customWidth="1"/>
    <col min="15363" max="15363" width="23.28515625" style="1402" customWidth="1"/>
    <col min="15364" max="15364" width="0.140625" style="1402" customWidth="1"/>
    <col min="15365" max="15366" width="0" style="1402" hidden="1" customWidth="1"/>
    <col min="15367" max="15367" width="12.42578125" style="1402" customWidth="1"/>
    <col min="15368" max="15368" width="0.5703125" style="1402" customWidth="1"/>
    <col min="15369" max="15369" width="12.42578125" style="1402" customWidth="1"/>
    <col min="15370" max="15370" width="1" style="1402" customWidth="1"/>
    <col min="15371" max="15371" width="7.140625" style="1402" customWidth="1"/>
    <col min="15372" max="15372" width="9.7109375" style="1402" customWidth="1"/>
    <col min="15373" max="15373" width="15.140625" style="1402" customWidth="1"/>
    <col min="15374" max="15374" width="1.85546875" style="1402" customWidth="1"/>
    <col min="15375" max="15375" width="13.28515625" style="1402" customWidth="1"/>
    <col min="15376" max="15376" width="11.140625" style="1402" customWidth="1"/>
    <col min="15377" max="15377" width="2.85546875" style="1402" customWidth="1"/>
    <col min="15378" max="15378" width="9.85546875" style="1402" customWidth="1"/>
    <col min="15379" max="15379" width="3.85546875" style="1402" customWidth="1"/>
    <col min="15380" max="15380" width="18.28515625" style="1402" customWidth="1"/>
    <col min="15381" max="15381" width="19" style="1402" customWidth="1"/>
    <col min="15382" max="15616" width="9.140625" style="1402"/>
    <col min="15617" max="15617" width="5.42578125" style="1402" customWidth="1"/>
    <col min="15618" max="15618" width="13.7109375" style="1402" customWidth="1"/>
    <col min="15619" max="15619" width="23.28515625" style="1402" customWidth="1"/>
    <col min="15620" max="15620" width="0.140625" style="1402" customWidth="1"/>
    <col min="15621" max="15622" width="0" style="1402" hidden="1" customWidth="1"/>
    <col min="15623" max="15623" width="12.42578125" style="1402" customWidth="1"/>
    <col min="15624" max="15624" width="0.5703125" style="1402" customWidth="1"/>
    <col min="15625" max="15625" width="12.42578125" style="1402" customWidth="1"/>
    <col min="15626" max="15626" width="1" style="1402" customWidth="1"/>
    <col min="15627" max="15627" width="7.140625" style="1402" customWidth="1"/>
    <col min="15628" max="15628" width="9.7109375" style="1402" customWidth="1"/>
    <col min="15629" max="15629" width="15.140625" style="1402" customWidth="1"/>
    <col min="15630" max="15630" width="1.85546875" style="1402" customWidth="1"/>
    <col min="15631" max="15631" width="13.28515625" style="1402" customWidth="1"/>
    <col min="15632" max="15632" width="11.140625" style="1402" customWidth="1"/>
    <col min="15633" max="15633" width="2.85546875" style="1402" customWidth="1"/>
    <col min="15634" max="15634" width="9.85546875" style="1402" customWidth="1"/>
    <col min="15635" max="15635" width="3.85546875" style="1402" customWidth="1"/>
    <col min="15636" max="15636" width="18.28515625" style="1402" customWidth="1"/>
    <col min="15637" max="15637" width="19" style="1402" customWidth="1"/>
    <col min="15638" max="15872" width="9.140625" style="1402"/>
    <col min="15873" max="15873" width="5.42578125" style="1402" customWidth="1"/>
    <col min="15874" max="15874" width="13.7109375" style="1402" customWidth="1"/>
    <col min="15875" max="15875" width="23.28515625" style="1402" customWidth="1"/>
    <col min="15876" max="15876" width="0.140625" style="1402" customWidth="1"/>
    <col min="15877" max="15878" width="0" style="1402" hidden="1" customWidth="1"/>
    <col min="15879" max="15879" width="12.42578125" style="1402" customWidth="1"/>
    <col min="15880" max="15880" width="0.5703125" style="1402" customWidth="1"/>
    <col min="15881" max="15881" width="12.42578125" style="1402" customWidth="1"/>
    <col min="15882" max="15882" width="1" style="1402" customWidth="1"/>
    <col min="15883" max="15883" width="7.140625" style="1402" customWidth="1"/>
    <col min="15884" max="15884" width="9.7109375" style="1402" customWidth="1"/>
    <col min="15885" max="15885" width="15.140625" style="1402" customWidth="1"/>
    <col min="15886" max="15886" width="1.85546875" style="1402" customWidth="1"/>
    <col min="15887" max="15887" width="13.28515625" style="1402" customWidth="1"/>
    <col min="15888" max="15888" width="11.140625" style="1402" customWidth="1"/>
    <col min="15889" max="15889" width="2.85546875" style="1402" customWidth="1"/>
    <col min="15890" max="15890" width="9.85546875" style="1402" customWidth="1"/>
    <col min="15891" max="15891" width="3.85546875" style="1402" customWidth="1"/>
    <col min="15892" max="15892" width="18.28515625" style="1402" customWidth="1"/>
    <col min="15893" max="15893" width="19" style="1402" customWidth="1"/>
    <col min="15894" max="16128" width="9.140625" style="1402"/>
    <col min="16129" max="16129" width="5.42578125" style="1402" customWidth="1"/>
    <col min="16130" max="16130" width="13.7109375" style="1402" customWidth="1"/>
    <col min="16131" max="16131" width="23.28515625" style="1402" customWidth="1"/>
    <col min="16132" max="16132" width="0.140625" style="1402" customWidth="1"/>
    <col min="16133" max="16134" width="0" style="1402" hidden="1" customWidth="1"/>
    <col min="16135" max="16135" width="12.42578125" style="1402" customWidth="1"/>
    <col min="16136" max="16136" width="0.5703125" style="1402" customWidth="1"/>
    <col min="16137" max="16137" width="12.42578125" style="1402" customWidth="1"/>
    <col min="16138" max="16138" width="1" style="1402" customWidth="1"/>
    <col min="16139" max="16139" width="7.140625" style="1402" customWidth="1"/>
    <col min="16140" max="16140" width="9.7109375" style="1402" customWidth="1"/>
    <col min="16141" max="16141" width="15.140625" style="1402" customWidth="1"/>
    <col min="16142" max="16142" width="1.85546875" style="1402" customWidth="1"/>
    <col min="16143" max="16143" width="13.28515625" style="1402" customWidth="1"/>
    <col min="16144" max="16144" width="11.140625" style="1402" customWidth="1"/>
    <col min="16145" max="16145" width="2.85546875" style="1402" customWidth="1"/>
    <col min="16146" max="16146" width="9.85546875" style="1402" customWidth="1"/>
    <col min="16147" max="16147" width="3.85546875" style="1402" customWidth="1"/>
    <col min="16148" max="16148" width="18.28515625" style="1402" customWidth="1"/>
    <col min="16149" max="16149" width="19" style="1402" customWidth="1"/>
    <col min="16150" max="16384" width="9.140625" style="1402"/>
  </cols>
  <sheetData>
    <row r="2" spans="1:21" ht="62.25" customHeight="1">
      <c r="A2" s="2240"/>
      <c r="B2" s="2240"/>
      <c r="C2" s="2240"/>
      <c r="D2" s="2240"/>
      <c r="E2" s="2240"/>
      <c r="F2" s="2240"/>
      <c r="G2" s="2240"/>
      <c r="H2" s="2240"/>
      <c r="I2" s="2240"/>
      <c r="J2" s="2240"/>
      <c r="K2" s="2240"/>
      <c r="L2" s="2240"/>
      <c r="M2" s="2240"/>
      <c r="N2" s="2240"/>
      <c r="O2" s="2240"/>
      <c r="P2" s="2240"/>
      <c r="Q2" s="2241" t="s">
        <v>4245</v>
      </c>
      <c r="R2" s="2241"/>
      <c r="S2" s="2241"/>
      <c r="T2" s="2241"/>
      <c r="U2" s="2241"/>
    </row>
    <row r="3" spans="1:21" ht="14.25">
      <c r="A3" s="2240"/>
      <c r="B3" s="2240"/>
      <c r="C3" s="2240"/>
      <c r="D3" s="2240"/>
      <c r="E3" s="2240"/>
      <c r="F3" s="2240"/>
      <c r="G3" s="2240"/>
      <c r="H3" s="2240"/>
      <c r="I3" s="2240"/>
      <c r="J3" s="2240"/>
      <c r="K3" s="2240"/>
      <c r="L3" s="2240"/>
      <c r="M3" s="2240"/>
      <c r="N3" s="2240"/>
      <c r="O3" s="2240"/>
      <c r="P3" s="2240"/>
      <c r="Q3" s="2241"/>
      <c r="R3" s="2241"/>
      <c r="S3" s="2241"/>
      <c r="T3" s="2241"/>
      <c r="U3" s="2241"/>
    </row>
    <row r="4" spans="1:21" ht="12.75" customHeight="1">
      <c r="A4" s="2242"/>
      <c r="B4" s="2242"/>
      <c r="C4" s="2242"/>
      <c r="D4" s="2243" t="s">
        <v>3737</v>
      </c>
      <c r="E4" s="2243"/>
      <c r="F4" s="2243"/>
      <c r="G4" s="2243"/>
      <c r="H4" s="2243"/>
      <c r="I4" s="2243"/>
      <c r="J4" s="2243"/>
      <c r="K4" s="2243"/>
      <c r="L4" s="2243"/>
      <c r="M4" s="2243"/>
      <c r="N4" s="2243"/>
      <c r="O4" s="2243"/>
      <c r="P4" s="2243"/>
      <c r="Q4" s="2243"/>
      <c r="R4" s="2243"/>
      <c r="S4" s="2242"/>
      <c r="T4" s="2242"/>
      <c r="U4" s="2242"/>
    </row>
    <row r="5" spans="1:21" ht="12.75" customHeight="1">
      <c r="A5" s="2238" t="s">
        <v>3630</v>
      </c>
      <c r="B5" s="2238"/>
      <c r="C5" s="2238"/>
      <c r="D5" s="2238"/>
      <c r="E5" s="2238"/>
      <c r="F5" s="2238"/>
      <c r="G5" s="2238"/>
      <c r="H5" s="2238"/>
      <c r="I5" s="2238"/>
      <c r="J5" s="2238"/>
      <c r="K5" s="2238"/>
      <c r="L5" s="2238"/>
      <c r="M5" s="2238"/>
      <c r="N5" s="2238"/>
      <c r="O5" s="2238"/>
      <c r="P5" s="2238"/>
      <c r="Q5" s="2238"/>
      <c r="R5" s="2238"/>
      <c r="S5" s="2238"/>
      <c r="T5" s="2238"/>
      <c r="U5" s="2238"/>
    </row>
    <row r="6" spans="1:21" ht="14.25">
      <c r="A6" s="2240"/>
      <c r="B6" s="2240"/>
      <c r="C6" s="2240"/>
      <c r="D6" s="2240"/>
      <c r="E6" s="2240"/>
      <c r="F6" s="2240"/>
      <c r="G6" s="2240"/>
      <c r="H6" s="2240"/>
      <c r="I6" s="2240"/>
      <c r="J6" s="2240"/>
      <c r="K6" s="2240"/>
      <c r="L6" s="2240"/>
      <c r="M6" s="2240"/>
      <c r="N6" s="2240"/>
      <c r="O6" s="2240"/>
      <c r="P6" s="2240"/>
      <c r="Q6" s="2240"/>
      <c r="R6" s="2240"/>
      <c r="S6" s="2240"/>
      <c r="T6" s="2240"/>
      <c r="U6" s="2240"/>
    </row>
    <row r="7" spans="1:21" ht="12.75" customHeight="1">
      <c r="A7" s="2242"/>
      <c r="B7" s="2242"/>
      <c r="C7" s="2242"/>
      <c r="D7" s="2245" t="s">
        <v>3738</v>
      </c>
      <c r="E7" s="2245"/>
      <c r="F7" s="2245"/>
      <c r="G7" s="2245"/>
      <c r="H7" s="2245"/>
      <c r="I7" s="2245"/>
      <c r="J7" s="2245"/>
      <c r="K7" s="2245"/>
      <c r="L7" s="2245"/>
      <c r="M7" s="2245"/>
      <c r="N7" s="2245"/>
      <c r="O7" s="2245"/>
      <c r="P7" s="2245"/>
      <c r="Q7" s="2245"/>
      <c r="R7" s="2245"/>
      <c r="S7" s="2242"/>
      <c r="T7" s="2242"/>
      <c r="U7" s="2242"/>
    </row>
    <row r="8" spans="1:21" ht="17.100000000000001" customHeight="1">
      <c r="A8" s="2238" t="s">
        <v>3632</v>
      </c>
      <c r="B8" s="2238"/>
      <c r="C8" s="2238"/>
      <c r="D8" s="2238"/>
      <c r="E8" s="2238"/>
      <c r="F8" s="2238"/>
      <c r="G8" s="2238"/>
      <c r="H8" s="2238"/>
      <c r="I8" s="2238"/>
      <c r="J8" s="2238"/>
      <c r="K8" s="2238"/>
      <c r="L8" s="2238"/>
      <c r="M8" s="2238"/>
      <c r="N8" s="2238"/>
      <c r="O8" s="2238"/>
      <c r="P8" s="2238"/>
      <c r="Q8" s="2238"/>
      <c r="R8" s="2238"/>
      <c r="S8" s="2238"/>
      <c r="T8" s="2238"/>
      <c r="U8" s="2238"/>
    </row>
    <row r="9" spans="1:21">
      <c r="A9" s="2246"/>
      <c r="B9" s="2246"/>
      <c r="C9" s="2246"/>
      <c r="D9" s="2246"/>
      <c r="E9" s="2246"/>
      <c r="F9" s="2246"/>
      <c r="G9" s="2246"/>
      <c r="H9" s="2246"/>
      <c r="I9" s="2246"/>
      <c r="J9" s="2246"/>
      <c r="K9" s="2246"/>
      <c r="L9" s="2246"/>
      <c r="M9" s="2246"/>
      <c r="N9" s="2246"/>
      <c r="O9" s="2246"/>
      <c r="P9" s="2246"/>
      <c r="Q9" s="2246"/>
      <c r="R9" s="2246"/>
      <c r="S9" s="2246"/>
      <c r="T9" s="2246"/>
      <c r="U9" s="2246"/>
    </row>
    <row r="10" spans="1:21" ht="15" customHeight="1">
      <c r="A10" s="2247" t="s">
        <v>3652</v>
      </c>
      <c r="B10" s="2247"/>
      <c r="C10" s="2247"/>
      <c r="D10" s="2247"/>
      <c r="E10" s="2247"/>
      <c r="F10" s="2247"/>
      <c r="G10" s="2247"/>
      <c r="H10" s="2247"/>
      <c r="I10" s="2247"/>
      <c r="J10" s="2247"/>
      <c r="K10" s="2247"/>
      <c r="L10" s="2247"/>
      <c r="M10" s="2247"/>
      <c r="N10" s="2247"/>
      <c r="O10" s="2247"/>
      <c r="P10" s="2247"/>
      <c r="Q10" s="2247"/>
      <c r="R10" s="2247"/>
      <c r="S10" s="2247"/>
      <c r="T10" s="2247"/>
      <c r="U10" s="2247"/>
    </row>
    <row r="11" spans="1:21" ht="15.75">
      <c r="A11" s="2248"/>
      <c r="B11" s="2248"/>
      <c r="C11" s="2248"/>
      <c r="D11" s="2248"/>
      <c r="E11" s="2248"/>
      <c r="F11" s="2248"/>
      <c r="G11" s="2248"/>
      <c r="H11" s="2248"/>
      <c r="I11" s="2248"/>
      <c r="J11" s="2248"/>
      <c r="K11" s="2248"/>
      <c r="L11" s="2248"/>
      <c r="M11" s="2248"/>
      <c r="N11" s="2248"/>
      <c r="O11" s="2248"/>
      <c r="P11" s="2248"/>
      <c r="Q11" s="2248"/>
      <c r="R11" s="2248"/>
      <c r="S11" s="2248"/>
      <c r="T11" s="2248"/>
      <c r="U11" s="2248"/>
    </row>
    <row r="12" spans="1:21" ht="12.75" customHeight="1">
      <c r="A12" s="2242"/>
      <c r="B12" s="2242"/>
      <c r="C12" s="2242"/>
      <c r="D12" s="2242"/>
      <c r="E12" s="2242"/>
      <c r="F12" s="2242"/>
      <c r="G12" s="2242"/>
      <c r="H12" s="2249" t="s">
        <v>3739</v>
      </c>
      <c r="I12" s="2249"/>
      <c r="J12" s="2249"/>
      <c r="K12" s="1433" t="s">
        <v>7</v>
      </c>
      <c r="L12" s="2249" t="s">
        <v>3740</v>
      </c>
      <c r="M12" s="2249"/>
      <c r="N12" s="2249"/>
      <c r="O12" s="2242"/>
      <c r="P12" s="2242"/>
      <c r="Q12" s="2242"/>
      <c r="R12" s="2242"/>
      <c r="S12" s="2242"/>
      <c r="T12" s="2242"/>
      <c r="U12" s="2242"/>
    </row>
    <row r="13" spans="1:21" ht="409.6" hidden="1" customHeight="1"/>
    <row r="14" spans="1:21" ht="12.2" customHeight="1"/>
    <row r="15" spans="1:21" ht="17.25" customHeight="1">
      <c r="A15" s="2358" t="s">
        <v>1045</v>
      </c>
      <c r="B15" s="2358" t="s">
        <v>50</v>
      </c>
      <c r="C15" s="2361" t="s">
        <v>3635</v>
      </c>
      <c r="D15" s="2362"/>
      <c r="E15" s="2358" t="s">
        <v>3636</v>
      </c>
      <c r="F15" s="2358" t="s">
        <v>3637</v>
      </c>
      <c r="G15" s="2260" t="s">
        <v>3638</v>
      </c>
      <c r="H15" s="2367"/>
      <c r="I15" s="2367"/>
      <c r="J15" s="2367"/>
      <c r="K15" s="2367"/>
      <c r="L15" s="2367"/>
      <c r="M15" s="2367"/>
      <c r="N15" s="2367"/>
      <c r="O15" s="2367"/>
      <c r="P15" s="2367"/>
      <c r="Q15" s="2367"/>
      <c r="R15" s="2367"/>
      <c r="S15" s="2368"/>
      <c r="T15" s="2358" t="s">
        <v>3639</v>
      </c>
      <c r="U15" s="2361" t="s">
        <v>3640</v>
      </c>
    </row>
    <row r="16" spans="1:21" ht="20.45" customHeight="1">
      <c r="A16" s="2359"/>
      <c r="B16" s="2359"/>
      <c r="C16" s="2363"/>
      <c r="D16" s="2364"/>
      <c r="E16" s="2359"/>
      <c r="F16" s="2359"/>
      <c r="G16" s="2361" t="s">
        <v>9</v>
      </c>
      <c r="H16" s="2362"/>
      <c r="I16" s="2260" t="s">
        <v>3641</v>
      </c>
      <c r="J16" s="2367"/>
      <c r="K16" s="2367"/>
      <c r="L16" s="2368"/>
      <c r="M16" s="2260" t="s">
        <v>3642</v>
      </c>
      <c r="N16" s="2367"/>
      <c r="O16" s="2367"/>
      <c r="P16" s="2367"/>
      <c r="Q16" s="2367"/>
      <c r="R16" s="2367"/>
      <c r="S16" s="2368"/>
      <c r="T16" s="2359"/>
      <c r="U16" s="2363"/>
    </row>
    <row r="17" spans="1:21" ht="16.350000000000001" customHeight="1">
      <c r="A17" s="2359"/>
      <c r="B17" s="2359"/>
      <c r="C17" s="2363"/>
      <c r="D17" s="2364"/>
      <c r="E17" s="2359"/>
      <c r="F17" s="2359"/>
      <c r="G17" s="2363"/>
      <c r="H17" s="2364"/>
      <c r="I17" s="2358" t="s">
        <v>3643</v>
      </c>
      <c r="J17" s="2260"/>
      <c r="K17" s="2367"/>
      <c r="L17" s="2369"/>
      <c r="M17" s="2370" t="s">
        <v>3644</v>
      </c>
      <c r="N17" s="2371"/>
      <c r="O17" s="2371"/>
      <c r="P17" s="2371"/>
      <c r="Q17" s="2371"/>
      <c r="R17" s="2371"/>
      <c r="S17" s="2372"/>
      <c r="T17" s="2359"/>
      <c r="U17" s="2363"/>
    </row>
    <row r="18" spans="1:21" ht="17.100000000000001" customHeight="1">
      <c r="A18" s="2359"/>
      <c r="B18" s="2359"/>
      <c r="C18" s="2363"/>
      <c r="D18" s="2364"/>
      <c r="E18" s="2359"/>
      <c r="F18" s="2359"/>
      <c r="G18" s="2363"/>
      <c r="H18" s="2364"/>
      <c r="I18" s="2359"/>
      <c r="J18" s="2361" t="s">
        <v>3645</v>
      </c>
      <c r="K18" s="2373"/>
      <c r="L18" s="2362"/>
      <c r="M18" s="2260" t="s">
        <v>1974</v>
      </c>
      <c r="N18" s="2367"/>
      <c r="O18" s="2367"/>
      <c r="P18" s="2367"/>
      <c r="Q18" s="2367"/>
      <c r="R18" s="2367"/>
      <c r="S18" s="2368"/>
      <c r="T18" s="2359"/>
      <c r="U18" s="2363"/>
    </row>
    <row r="19" spans="1:21" ht="50.1" customHeight="1">
      <c r="A19" s="2360"/>
      <c r="B19" s="2360"/>
      <c r="C19" s="2365"/>
      <c r="D19" s="2366"/>
      <c r="E19" s="2360"/>
      <c r="F19" s="2360"/>
      <c r="G19" s="2365"/>
      <c r="H19" s="2366"/>
      <c r="I19" s="2360"/>
      <c r="J19" s="2365"/>
      <c r="K19" s="2207"/>
      <c r="L19" s="2366"/>
      <c r="M19" s="1407" t="s">
        <v>3645</v>
      </c>
      <c r="N19" s="2260" t="s">
        <v>2010</v>
      </c>
      <c r="O19" s="2368"/>
      <c r="P19" s="2260" t="s">
        <v>61</v>
      </c>
      <c r="Q19" s="2368"/>
      <c r="R19" s="2260" t="s">
        <v>60</v>
      </c>
      <c r="S19" s="2368"/>
      <c r="T19" s="2360"/>
      <c r="U19" s="2365"/>
    </row>
    <row r="20" spans="1:21" ht="12.75" customHeight="1">
      <c r="A20" s="1408" t="s">
        <v>2024</v>
      </c>
      <c r="B20" s="1408" t="s">
        <v>2534</v>
      </c>
      <c r="C20" s="2379" t="s">
        <v>2535</v>
      </c>
      <c r="D20" s="2380"/>
      <c r="E20" s="1408" t="s">
        <v>2536</v>
      </c>
      <c r="F20" s="1408" t="s">
        <v>2025</v>
      </c>
      <c r="G20" s="2379" t="s">
        <v>2072</v>
      </c>
      <c r="H20" s="2380"/>
      <c r="I20" s="1408" t="s">
        <v>2074</v>
      </c>
      <c r="J20" s="2379" t="s">
        <v>2075</v>
      </c>
      <c r="K20" s="2381"/>
      <c r="L20" s="2380"/>
      <c r="M20" s="1408" t="s">
        <v>2026</v>
      </c>
      <c r="N20" s="2379" t="s">
        <v>1706</v>
      </c>
      <c r="O20" s="2380"/>
      <c r="P20" s="2379" t="s">
        <v>1707</v>
      </c>
      <c r="Q20" s="2380"/>
      <c r="R20" s="2379" t="s">
        <v>1709</v>
      </c>
      <c r="S20" s="2380"/>
      <c r="T20" s="1408" t="s">
        <v>1710</v>
      </c>
      <c r="U20" s="1436" t="s">
        <v>1711</v>
      </c>
    </row>
    <row r="21" spans="1:21" ht="45" customHeight="1">
      <c r="A21" s="1588" t="s">
        <v>1052</v>
      </c>
      <c r="B21" s="1588" t="s">
        <v>3429</v>
      </c>
      <c r="C21" s="2374" t="s">
        <v>3427</v>
      </c>
      <c r="D21" s="2375"/>
      <c r="E21" s="1588"/>
      <c r="F21" s="1588"/>
      <c r="G21" s="2376">
        <f t="shared" ref="G21:G26" si="0">SUM(I21:S21)</f>
        <v>25517</v>
      </c>
      <c r="H21" s="2377"/>
      <c r="I21" s="1404">
        <v>21689.45</v>
      </c>
      <c r="J21" s="2376">
        <v>1913.55</v>
      </c>
      <c r="K21" s="2378"/>
      <c r="L21" s="2377"/>
      <c r="M21" s="1404">
        <v>0</v>
      </c>
      <c r="N21" s="2376">
        <v>0</v>
      </c>
      <c r="O21" s="2377"/>
      <c r="P21" s="2376">
        <v>0</v>
      </c>
      <c r="Q21" s="2377"/>
      <c r="R21" s="2376">
        <v>1914</v>
      </c>
      <c r="S21" s="2377"/>
      <c r="T21" s="1437">
        <v>43373</v>
      </c>
      <c r="U21" s="1438" t="s">
        <v>3741</v>
      </c>
    </row>
    <row r="22" spans="1:21" ht="45">
      <c r="A22" s="1588" t="s">
        <v>3647</v>
      </c>
      <c r="B22" s="1588" t="s">
        <v>161</v>
      </c>
      <c r="C22" s="2374" t="s">
        <v>3742</v>
      </c>
      <c r="D22" s="2375"/>
      <c r="E22" s="1588"/>
      <c r="F22" s="1588"/>
      <c r="G22" s="2376">
        <f t="shared" si="0"/>
        <v>192718.96</v>
      </c>
      <c r="H22" s="2377"/>
      <c r="I22" s="1404">
        <v>163810.96</v>
      </c>
      <c r="J22" s="2376">
        <v>14454</v>
      </c>
      <c r="K22" s="2378"/>
      <c r="L22" s="2377"/>
      <c r="M22" s="1404">
        <v>0</v>
      </c>
      <c r="N22" s="2376">
        <v>8718.58</v>
      </c>
      <c r="O22" s="2377"/>
      <c r="P22" s="2376">
        <v>0</v>
      </c>
      <c r="Q22" s="2377"/>
      <c r="R22" s="2376">
        <v>5735.42</v>
      </c>
      <c r="S22" s="2377"/>
      <c r="T22" s="1437">
        <v>43404</v>
      </c>
      <c r="U22" s="1438" t="s">
        <v>3741</v>
      </c>
    </row>
    <row r="23" spans="1:21" ht="57.75" customHeight="1">
      <c r="A23" s="1588" t="s">
        <v>1087</v>
      </c>
      <c r="B23" s="1588" t="s">
        <v>1460</v>
      </c>
      <c r="C23" s="2374" t="s">
        <v>1458</v>
      </c>
      <c r="D23" s="2375"/>
      <c r="E23" s="1588"/>
      <c r="F23" s="1588"/>
      <c r="G23" s="2376">
        <f t="shared" si="0"/>
        <v>8305</v>
      </c>
      <c r="H23" s="2377"/>
      <c r="I23" s="1404">
        <v>7059</v>
      </c>
      <c r="J23" s="2376">
        <v>622</v>
      </c>
      <c r="K23" s="2378"/>
      <c r="L23" s="2377"/>
      <c r="M23" s="1404">
        <v>0</v>
      </c>
      <c r="N23" s="2376">
        <v>0</v>
      </c>
      <c r="O23" s="2377"/>
      <c r="P23" s="2376">
        <v>0</v>
      </c>
      <c r="Q23" s="2377"/>
      <c r="R23" s="2376">
        <v>624</v>
      </c>
      <c r="S23" s="2377"/>
      <c r="T23" s="1437">
        <v>43404</v>
      </c>
      <c r="U23" s="1438" t="s">
        <v>3741</v>
      </c>
    </row>
    <row r="24" spans="1:21" ht="45">
      <c r="A24" s="1588" t="s">
        <v>843</v>
      </c>
      <c r="B24" s="1588" t="s">
        <v>3743</v>
      </c>
      <c r="C24" s="2374" t="s">
        <v>3744</v>
      </c>
      <c r="D24" s="2375"/>
      <c r="E24" s="1588"/>
      <c r="F24" s="1588"/>
      <c r="G24" s="2376">
        <f t="shared" si="0"/>
        <v>24107.8</v>
      </c>
      <c r="H24" s="2377"/>
      <c r="I24" s="1404">
        <v>14778</v>
      </c>
      <c r="J24" s="2376">
        <v>1304</v>
      </c>
      <c r="K24" s="2378"/>
      <c r="L24" s="2377"/>
      <c r="M24" s="1404">
        <v>0</v>
      </c>
      <c r="N24" s="2376">
        <v>0</v>
      </c>
      <c r="O24" s="2377"/>
      <c r="P24" s="2376">
        <v>0</v>
      </c>
      <c r="Q24" s="2377"/>
      <c r="R24" s="2376">
        <v>8025.8</v>
      </c>
      <c r="S24" s="2377"/>
      <c r="T24" s="1437">
        <v>43403</v>
      </c>
      <c r="U24" s="1438" t="s">
        <v>3741</v>
      </c>
    </row>
    <row r="25" spans="1:21" ht="45">
      <c r="A25" s="1588" t="s">
        <v>1070</v>
      </c>
      <c r="B25" s="1588" t="s">
        <v>3745</v>
      </c>
      <c r="C25" s="2374" t="s">
        <v>1447</v>
      </c>
      <c r="D25" s="2375"/>
      <c r="E25" s="1588"/>
      <c r="F25" s="1588"/>
      <c r="G25" s="2376">
        <f t="shared" si="0"/>
        <v>25000</v>
      </c>
      <c r="H25" s="2377"/>
      <c r="I25" s="1404">
        <v>10445</v>
      </c>
      <c r="J25" s="2376">
        <v>922</v>
      </c>
      <c r="K25" s="2378"/>
      <c r="L25" s="2377"/>
      <c r="M25" s="1404">
        <v>0</v>
      </c>
      <c r="N25" s="2376">
        <v>0</v>
      </c>
      <c r="O25" s="2377"/>
      <c r="P25" s="2376">
        <v>0</v>
      </c>
      <c r="Q25" s="2377"/>
      <c r="R25" s="2376">
        <v>13633</v>
      </c>
      <c r="S25" s="2377"/>
      <c r="T25" s="1437">
        <v>43403</v>
      </c>
      <c r="U25" s="1438" t="s">
        <v>3741</v>
      </c>
    </row>
    <row r="26" spans="1:21" ht="45" customHeight="1">
      <c r="A26" s="1588" t="s">
        <v>1093</v>
      </c>
      <c r="B26" s="1588" t="s">
        <v>3746</v>
      </c>
      <c r="C26" s="2374" t="s">
        <v>3747</v>
      </c>
      <c r="D26" s="2375"/>
      <c r="E26" s="1588"/>
      <c r="F26" s="1588"/>
      <c r="G26" s="2376">
        <f t="shared" si="0"/>
        <v>82938</v>
      </c>
      <c r="H26" s="2377"/>
      <c r="I26" s="1404">
        <v>70498</v>
      </c>
      <c r="J26" s="2376">
        <v>6220</v>
      </c>
      <c r="K26" s="2378"/>
      <c r="L26" s="2377"/>
      <c r="M26" s="1404">
        <v>0</v>
      </c>
      <c r="N26" s="2376">
        <v>0</v>
      </c>
      <c r="O26" s="2377"/>
      <c r="P26" s="2376">
        <v>0</v>
      </c>
      <c r="Q26" s="2377"/>
      <c r="R26" s="2376">
        <v>6220</v>
      </c>
      <c r="S26" s="2377"/>
      <c r="T26" s="1437">
        <v>43373</v>
      </c>
      <c r="U26" s="1438" t="s">
        <v>3741</v>
      </c>
    </row>
    <row r="27" spans="1:21" ht="45">
      <c r="A27" s="1588" t="s">
        <v>1094</v>
      </c>
      <c r="B27" s="1588" t="s">
        <v>3748</v>
      </c>
      <c r="C27" s="2374" t="s">
        <v>1420</v>
      </c>
      <c r="D27" s="2375"/>
      <c r="E27" s="1588"/>
      <c r="F27" s="1588"/>
      <c r="G27" s="2376">
        <f>SUM(I27:S27)</f>
        <v>43413.030000000006</v>
      </c>
      <c r="H27" s="2377"/>
      <c r="I27" s="1404">
        <v>36901.08</v>
      </c>
      <c r="J27" s="2376">
        <v>3255.97</v>
      </c>
      <c r="K27" s="2378"/>
      <c r="L27" s="2377"/>
      <c r="M27" s="1404">
        <v>0</v>
      </c>
      <c r="N27" s="2376">
        <v>0</v>
      </c>
      <c r="O27" s="2377"/>
      <c r="P27" s="2376">
        <v>0</v>
      </c>
      <c r="Q27" s="2377"/>
      <c r="R27" s="2376">
        <v>3255.98</v>
      </c>
      <c r="S27" s="2377"/>
      <c r="T27" s="1437">
        <v>43371</v>
      </c>
      <c r="U27" s="1438" t="s">
        <v>3741</v>
      </c>
    </row>
    <row r="28" spans="1:21" ht="45" customHeight="1">
      <c r="A28" s="1588" t="s">
        <v>1096</v>
      </c>
      <c r="B28" s="1588" t="s">
        <v>3749</v>
      </c>
      <c r="C28" s="2374" t="s">
        <v>3750</v>
      </c>
      <c r="D28" s="2375"/>
      <c r="E28" s="1588"/>
      <c r="F28" s="1588"/>
      <c r="G28" s="2376">
        <f t="shared" ref="G28:G33" si="1">SUM(I28:S28)</f>
        <v>27906</v>
      </c>
      <c r="H28" s="2377"/>
      <c r="I28" s="1404">
        <v>23720</v>
      </c>
      <c r="J28" s="2376">
        <v>2093</v>
      </c>
      <c r="K28" s="2378"/>
      <c r="L28" s="2377"/>
      <c r="M28" s="1404">
        <v>0</v>
      </c>
      <c r="N28" s="2376">
        <v>0</v>
      </c>
      <c r="O28" s="2377"/>
      <c r="P28" s="2376">
        <v>0</v>
      </c>
      <c r="Q28" s="2377"/>
      <c r="R28" s="2376">
        <v>2093</v>
      </c>
      <c r="S28" s="2377"/>
      <c r="T28" s="1437">
        <v>43403</v>
      </c>
      <c r="U28" s="1438" t="s">
        <v>3741</v>
      </c>
    </row>
    <row r="29" spans="1:21" ht="45">
      <c r="A29" s="1588" t="s">
        <v>3704</v>
      </c>
      <c r="B29" s="1588" t="s">
        <v>3447</v>
      </c>
      <c r="C29" s="2374" t="s">
        <v>1416</v>
      </c>
      <c r="D29" s="2375"/>
      <c r="E29" s="1588"/>
      <c r="F29" s="1588"/>
      <c r="G29" s="2376">
        <f t="shared" si="1"/>
        <v>50356</v>
      </c>
      <c r="H29" s="2377"/>
      <c r="I29" s="1404">
        <v>42802</v>
      </c>
      <c r="J29" s="2376">
        <v>3777</v>
      </c>
      <c r="K29" s="2378"/>
      <c r="L29" s="2377"/>
      <c r="M29" s="1404">
        <v>0</v>
      </c>
      <c r="N29" s="2376">
        <v>3777</v>
      </c>
      <c r="O29" s="2377"/>
      <c r="P29" s="2376">
        <v>0</v>
      </c>
      <c r="Q29" s="2377"/>
      <c r="R29" s="2376">
        <v>0</v>
      </c>
      <c r="S29" s="2377"/>
      <c r="T29" s="1437">
        <v>43373</v>
      </c>
      <c r="U29" s="1438" t="s">
        <v>3751</v>
      </c>
    </row>
    <row r="30" spans="1:21" ht="45">
      <c r="A30" s="1588" t="s">
        <v>3752</v>
      </c>
      <c r="B30" s="1588" t="s">
        <v>3437</v>
      </c>
      <c r="C30" s="2374" t="s">
        <v>3435</v>
      </c>
      <c r="D30" s="2375"/>
      <c r="E30" s="1588"/>
      <c r="F30" s="1588"/>
      <c r="G30" s="2376">
        <f t="shared" si="1"/>
        <v>466774.13</v>
      </c>
      <c r="H30" s="2377"/>
      <c r="I30" s="1404">
        <v>389456</v>
      </c>
      <c r="J30" s="2376">
        <v>34364</v>
      </c>
      <c r="K30" s="2378"/>
      <c r="L30" s="2377"/>
      <c r="M30" s="1404">
        <v>0</v>
      </c>
      <c r="N30" s="2376">
        <v>42954.13</v>
      </c>
      <c r="O30" s="2377"/>
      <c r="P30" s="2376">
        <v>0</v>
      </c>
      <c r="Q30" s="2377"/>
      <c r="R30" s="2376">
        <v>0</v>
      </c>
      <c r="S30" s="2377"/>
      <c r="T30" s="1437">
        <v>43373</v>
      </c>
      <c r="U30" s="1438" t="s">
        <v>3753</v>
      </c>
    </row>
    <row r="31" spans="1:21" ht="45">
      <c r="A31" s="1588" t="s">
        <v>3754</v>
      </c>
      <c r="B31" s="1588" t="s">
        <v>1192</v>
      </c>
      <c r="C31" s="2374" t="s">
        <v>1426</v>
      </c>
      <c r="D31" s="2375"/>
      <c r="E31" s="1588"/>
      <c r="F31" s="1588"/>
      <c r="G31" s="2376">
        <f t="shared" si="1"/>
        <v>171636</v>
      </c>
      <c r="H31" s="2377"/>
      <c r="I31" s="1404">
        <v>145890</v>
      </c>
      <c r="J31" s="2376">
        <v>12873</v>
      </c>
      <c r="K31" s="2378"/>
      <c r="L31" s="2377"/>
      <c r="M31" s="1404">
        <v>0</v>
      </c>
      <c r="N31" s="2376">
        <v>0</v>
      </c>
      <c r="O31" s="2377"/>
      <c r="P31" s="2376">
        <v>0</v>
      </c>
      <c r="Q31" s="2377"/>
      <c r="R31" s="2376">
        <v>12873</v>
      </c>
      <c r="S31" s="2377"/>
      <c r="T31" s="1437">
        <v>43403</v>
      </c>
      <c r="U31" s="1438" t="s">
        <v>3741</v>
      </c>
    </row>
    <row r="32" spans="1:21" ht="45">
      <c r="A32" s="1588" t="s">
        <v>3755</v>
      </c>
      <c r="B32" s="1588" t="s">
        <v>3756</v>
      </c>
      <c r="C32" s="2374" t="s">
        <v>234</v>
      </c>
      <c r="D32" s="2375"/>
      <c r="E32" s="1588"/>
      <c r="F32" s="1588"/>
      <c r="G32" s="2376">
        <f t="shared" si="1"/>
        <v>163532</v>
      </c>
      <c r="H32" s="2377"/>
      <c r="I32" s="1404">
        <v>139002</v>
      </c>
      <c r="J32" s="2376">
        <v>12265</v>
      </c>
      <c r="K32" s="2378"/>
      <c r="L32" s="2377"/>
      <c r="M32" s="1404">
        <v>0</v>
      </c>
      <c r="N32" s="2376">
        <v>0</v>
      </c>
      <c r="O32" s="2377"/>
      <c r="P32" s="2376">
        <v>12265</v>
      </c>
      <c r="Q32" s="2377"/>
      <c r="R32" s="2376">
        <v>0</v>
      </c>
      <c r="S32" s="2377"/>
      <c r="T32" s="1437">
        <v>43403</v>
      </c>
      <c r="U32" s="1438" t="s">
        <v>3741</v>
      </c>
    </row>
    <row r="33" spans="1:21" ht="45.75" thickBot="1">
      <c r="A33" s="1588" t="s">
        <v>3757</v>
      </c>
      <c r="B33" s="1588" t="s">
        <v>151</v>
      </c>
      <c r="C33" s="2382" t="s">
        <v>150</v>
      </c>
      <c r="D33" s="2383"/>
      <c r="E33" s="1588"/>
      <c r="F33" s="1588"/>
      <c r="G33" s="2384">
        <f t="shared" si="1"/>
        <v>192664.27000000002</v>
      </c>
      <c r="H33" s="2385"/>
      <c r="I33" s="1404">
        <v>163764.63</v>
      </c>
      <c r="J33" s="2384">
        <v>14449.82</v>
      </c>
      <c r="K33" s="2386"/>
      <c r="L33" s="2385"/>
      <c r="M33" s="1404">
        <v>0</v>
      </c>
      <c r="N33" s="2384">
        <v>14449.82</v>
      </c>
      <c r="O33" s="2385"/>
      <c r="P33" s="2384">
        <v>0</v>
      </c>
      <c r="Q33" s="2385"/>
      <c r="R33" s="2384">
        <v>0</v>
      </c>
      <c r="S33" s="2385"/>
      <c r="T33" s="1666">
        <v>43404</v>
      </c>
      <c r="U33" s="1667" t="s">
        <v>3741</v>
      </c>
    </row>
    <row r="34" spans="1:21" ht="12.75" customHeight="1">
      <c r="A34" s="2395" t="s">
        <v>3649</v>
      </c>
      <c r="B34" s="2396"/>
      <c r="C34" s="2396"/>
      <c r="D34" s="2396"/>
      <c r="E34" s="2396"/>
      <c r="F34" s="2397"/>
      <c r="G34" s="2398">
        <f>SUM(G21:H33)</f>
        <v>1474868.19</v>
      </c>
      <c r="H34" s="2399"/>
      <c r="I34" s="1668">
        <f>SUM(I21:I33)</f>
        <v>1229816.1200000001</v>
      </c>
      <c r="J34" s="2400">
        <f>SUM(J21:L33)</f>
        <v>108513.34</v>
      </c>
      <c r="K34" s="2401"/>
      <c r="L34" s="2402"/>
      <c r="M34" s="1668">
        <v>0</v>
      </c>
      <c r="N34" s="2400">
        <v>69899.53</v>
      </c>
      <c r="O34" s="2402"/>
      <c r="P34" s="2400">
        <v>12265</v>
      </c>
      <c r="Q34" s="2402"/>
      <c r="R34" s="2400">
        <v>54374.2</v>
      </c>
      <c r="S34" s="2403"/>
      <c r="T34" s="2387"/>
      <c r="U34" s="2388"/>
    </row>
    <row r="35" spans="1:21" ht="16.899999999999999" customHeight="1">
      <c r="A35" s="2389" t="s">
        <v>3650</v>
      </c>
      <c r="B35" s="2390"/>
      <c r="C35" s="2390"/>
      <c r="D35" s="2390"/>
      <c r="E35" s="2390"/>
      <c r="F35" s="2390"/>
      <c r="G35" s="2390"/>
      <c r="H35" s="2391"/>
      <c r="I35" s="2392">
        <v>1230854</v>
      </c>
      <c r="J35" s="2393"/>
      <c r="K35" s="2393"/>
      <c r="L35" s="2393"/>
      <c r="M35" s="2393"/>
      <c r="N35" s="2393"/>
      <c r="O35" s="2393"/>
      <c r="P35" s="2393"/>
      <c r="Q35" s="2393"/>
      <c r="R35" s="2393"/>
      <c r="S35" s="2393"/>
      <c r="T35" s="2393"/>
      <c r="U35" s="2394"/>
    </row>
    <row r="36" spans="1:21" ht="33.6" customHeight="1"/>
    <row r="37" spans="1:21" ht="409.6" hidden="1" customHeight="1"/>
    <row r="38" spans="1:21" ht="36.6" customHeight="1"/>
  </sheetData>
  <mergeCells count="132">
    <mergeCell ref="T34:U34"/>
    <mergeCell ref="A35:H35"/>
    <mergeCell ref="I35:U35"/>
    <mergeCell ref="A34:F34"/>
    <mergeCell ref="G34:H34"/>
    <mergeCell ref="J34:L34"/>
    <mergeCell ref="N34:O34"/>
    <mergeCell ref="P34:Q34"/>
    <mergeCell ref="R34:S34"/>
    <mergeCell ref="C33:D33"/>
    <mergeCell ref="G33:H33"/>
    <mergeCell ref="J33:L33"/>
    <mergeCell ref="N33:O33"/>
    <mergeCell ref="P33:Q33"/>
    <mergeCell ref="R33:S33"/>
    <mergeCell ref="C32:D32"/>
    <mergeCell ref="G32:H32"/>
    <mergeCell ref="J32:L32"/>
    <mergeCell ref="N32:O32"/>
    <mergeCell ref="P32:Q32"/>
    <mergeCell ref="R32:S32"/>
    <mergeCell ref="C31:D31"/>
    <mergeCell ref="G31:H31"/>
    <mergeCell ref="J31:L31"/>
    <mergeCell ref="N31:O31"/>
    <mergeCell ref="P31:Q31"/>
    <mergeCell ref="R31:S31"/>
    <mergeCell ref="C30:D30"/>
    <mergeCell ref="G30:H30"/>
    <mergeCell ref="J30:L30"/>
    <mergeCell ref="N30:O30"/>
    <mergeCell ref="P30:Q30"/>
    <mergeCell ref="R30:S30"/>
    <mergeCell ref="C29:D29"/>
    <mergeCell ref="G29:H29"/>
    <mergeCell ref="J29:L29"/>
    <mergeCell ref="N29:O29"/>
    <mergeCell ref="P29:Q29"/>
    <mergeCell ref="R29:S29"/>
    <mergeCell ref="C28:D28"/>
    <mergeCell ref="G28:H28"/>
    <mergeCell ref="J28:L28"/>
    <mergeCell ref="N28:O28"/>
    <mergeCell ref="P28:Q28"/>
    <mergeCell ref="R28:S28"/>
    <mergeCell ref="C27:D27"/>
    <mergeCell ref="G27:H27"/>
    <mergeCell ref="J27:L27"/>
    <mergeCell ref="N27:O27"/>
    <mergeCell ref="P27:Q27"/>
    <mergeCell ref="R27:S27"/>
    <mergeCell ref="C26:D26"/>
    <mergeCell ref="G26:H26"/>
    <mergeCell ref="J26:L26"/>
    <mergeCell ref="N26:O26"/>
    <mergeCell ref="P26:Q26"/>
    <mergeCell ref="R26:S26"/>
    <mergeCell ref="C25:D25"/>
    <mergeCell ref="G25:H25"/>
    <mergeCell ref="J25:L25"/>
    <mergeCell ref="N25:O25"/>
    <mergeCell ref="P25:Q25"/>
    <mergeCell ref="R25:S25"/>
    <mergeCell ref="C24:D24"/>
    <mergeCell ref="G24:H24"/>
    <mergeCell ref="J24:L24"/>
    <mergeCell ref="N24:O24"/>
    <mergeCell ref="P24:Q24"/>
    <mergeCell ref="R24:S24"/>
    <mergeCell ref="C23:D23"/>
    <mergeCell ref="G23:H23"/>
    <mergeCell ref="J23:L23"/>
    <mergeCell ref="N23:O23"/>
    <mergeCell ref="P23:Q23"/>
    <mergeCell ref="R23:S23"/>
    <mergeCell ref="C22:D22"/>
    <mergeCell ref="G22:H22"/>
    <mergeCell ref="J22:L22"/>
    <mergeCell ref="N22:O22"/>
    <mergeCell ref="P22:Q22"/>
    <mergeCell ref="R22:S22"/>
    <mergeCell ref="C21:D21"/>
    <mergeCell ref="G21:H21"/>
    <mergeCell ref="J21:L21"/>
    <mergeCell ref="N21:O21"/>
    <mergeCell ref="P21:Q21"/>
    <mergeCell ref="R21:S21"/>
    <mergeCell ref="C20:D20"/>
    <mergeCell ref="G20:H20"/>
    <mergeCell ref="J20:L20"/>
    <mergeCell ref="N20:O20"/>
    <mergeCell ref="P20:Q20"/>
    <mergeCell ref="R20:S20"/>
    <mergeCell ref="T15:T19"/>
    <mergeCell ref="U15:U19"/>
    <mergeCell ref="G16:H19"/>
    <mergeCell ref="I16:L16"/>
    <mergeCell ref="M16:S16"/>
    <mergeCell ref="I17:I19"/>
    <mergeCell ref="J17:L17"/>
    <mergeCell ref="M17:S17"/>
    <mergeCell ref="J18:L19"/>
    <mergeCell ref="M18:S18"/>
    <mergeCell ref="A15:A19"/>
    <mergeCell ref="B15:B19"/>
    <mergeCell ref="C15:D19"/>
    <mergeCell ref="E15:E19"/>
    <mergeCell ref="F15:F19"/>
    <mergeCell ref="G15:S15"/>
    <mergeCell ref="N19:O19"/>
    <mergeCell ref="P19:Q19"/>
    <mergeCell ref="R19:S19"/>
    <mergeCell ref="A11:U11"/>
    <mergeCell ref="A12:G12"/>
    <mergeCell ref="H12:J12"/>
    <mergeCell ref="L12:N12"/>
    <mergeCell ref="O12:U12"/>
    <mergeCell ref="A5:U5"/>
    <mergeCell ref="A6:U6"/>
    <mergeCell ref="A7:C7"/>
    <mergeCell ref="D7:R7"/>
    <mergeCell ref="S7:U7"/>
    <mergeCell ref="A8:U8"/>
    <mergeCell ref="A2:P2"/>
    <mergeCell ref="Q2:U2"/>
    <mergeCell ref="A3:P3"/>
    <mergeCell ref="Q3:U3"/>
    <mergeCell ref="A4:C4"/>
    <mergeCell ref="D4:R4"/>
    <mergeCell ref="S4:U4"/>
    <mergeCell ref="A9:U9"/>
    <mergeCell ref="A10:U10"/>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V29"/>
  <sheetViews>
    <sheetView workbookViewId="0">
      <selection activeCell="G21" sqref="G21:H21"/>
    </sheetView>
  </sheetViews>
  <sheetFormatPr defaultRowHeight="15"/>
  <cols>
    <col min="1" max="1" width="5.42578125" customWidth="1"/>
    <col min="2" max="2" width="13.7109375" customWidth="1"/>
    <col min="3" max="3" width="18.85546875" customWidth="1"/>
    <col min="4" max="4" width="0.140625" customWidth="1"/>
    <col min="5" max="5" width="18.28515625" hidden="1" customWidth="1"/>
    <col min="6" max="6" width="15.28515625" hidden="1" customWidth="1"/>
    <col min="7" max="7" width="12.42578125" customWidth="1"/>
    <col min="8" max="8" width="0.5703125" customWidth="1"/>
    <col min="9" max="9" width="14.5703125" customWidth="1"/>
    <col min="10" max="10" width="1" customWidth="1"/>
    <col min="11" max="11" width="7.140625" customWidth="1"/>
    <col min="12" max="12" width="6.140625" customWidth="1"/>
    <col min="13" max="13" width="13.28515625" customWidth="1"/>
    <col min="14" max="14" width="1.85546875" customWidth="1"/>
    <col min="15" max="15" width="12.5703125" customWidth="1"/>
    <col min="16" max="16" width="11.7109375" customWidth="1"/>
    <col min="17" max="17" width="2.85546875" hidden="1" customWidth="1"/>
    <col min="18" max="18" width="10.7109375" customWidth="1"/>
    <col min="19" max="19" width="1.42578125" customWidth="1"/>
    <col min="20" max="20" width="15.7109375" customWidth="1"/>
    <col min="21" max="21" width="19" customWidth="1"/>
    <col min="22" max="22" width="16.140625" customWidth="1"/>
    <col min="257" max="257" width="5.42578125" customWidth="1"/>
    <col min="258" max="258" width="13.7109375" customWidth="1"/>
    <col min="259" max="259" width="18.85546875" customWidth="1"/>
    <col min="260" max="260" width="0.140625" customWidth="1"/>
    <col min="261" max="262" width="0" hidden="1" customWidth="1"/>
    <col min="263" max="263" width="12.42578125" customWidth="1"/>
    <col min="264" max="264" width="0.5703125" customWidth="1"/>
    <col min="265" max="265" width="14.5703125" customWidth="1"/>
    <col min="266" max="266" width="1" customWidth="1"/>
    <col min="267" max="267" width="7.140625" customWidth="1"/>
    <col min="268" max="268" width="6.140625" customWidth="1"/>
    <col min="269" max="269" width="13.28515625" customWidth="1"/>
    <col min="270" max="270" width="1.85546875" customWidth="1"/>
    <col min="271" max="271" width="12.5703125" customWidth="1"/>
    <col min="272" max="272" width="11.7109375" customWidth="1"/>
    <col min="273" max="273" width="0" hidden="1" customWidth="1"/>
    <col min="274" max="274" width="10.7109375" customWidth="1"/>
    <col min="275" max="275" width="1.42578125" customWidth="1"/>
    <col min="276" max="276" width="15.7109375" customWidth="1"/>
    <col min="277" max="277" width="19" customWidth="1"/>
    <col min="278" max="278" width="16.140625" customWidth="1"/>
    <col min="513" max="513" width="5.42578125" customWidth="1"/>
    <col min="514" max="514" width="13.7109375" customWidth="1"/>
    <col min="515" max="515" width="18.85546875" customWidth="1"/>
    <col min="516" max="516" width="0.140625" customWidth="1"/>
    <col min="517" max="518" width="0" hidden="1" customWidth="1"/>
    <col min="519" max="519" width="12.42578125" customWidth="1"/>
    <col min="520" max="520" width="0.5703125" customWidth="1"/>
    <col min="521" max="521" width="14.5703125" customWidth="1"/>
    <col min="522" max="522" width="1" customWidth="1"/>
    <col min="523" max="523" width="7.140625" customWidth="1"/>
    <col min="524" max="524" width="6.140625" customWidth="1"/>
    <col min="525" max="525" width="13.28515625" customWidth="1"/>
    <col min="526" max="526" width="1.85546875" customWidth="1"/>
    <col min="527" max="527" width="12.5703125" customWidth="1"/>
    <col min="528" max="528" width="11.7109375" customWidth="1"/>
    <col min="529" max="529" width="0" hidden="1" customWidth="1"/>
    <col min="530" max="530" width="10.7109375" customWidth="1"/>
    <col min="531" max="531" width="1.42578125" customWidth="1"/>
    <col min="532" max="532" width="15.7109375" customWidth="1"/>
    <col min="533" max="533" width="19" customWidth="1"/>
    <col min="534" max="534" width="16.140625" customWidth="1"/>
    <col min="769" max="769" width="5.42578125" customWidth="1"/>
    <col min="770" max="770" width="13.7109375" customWidth="1"/>
    <col min="771" max="771" width="18.85546875" customWidth="1"/>
    <col min="772" max="772" width="0.140625" customWidth="1"/>
    <col min="773" max="774" width="0" hidden="1" customWidth="1"/>
    <col min="775" max="775" width="12.42578125" customWidth="1"/>
    <col min="776" max="776" width="0.5703125" customWidth="1"/>
    <col min="777" max="777" width="14.5703125" customWidth="1"/>
    <col min="778" max="778" width="1" customWidth="1"/>
    <col min="779" max="779" width="7.140625" customWidth="1"/>
    <col min="780" max="780" width="6.140625" customWidth="1"/>
    <col min="781" max="781" width="13.28515625" customWidth="1"/>
    <col min="782" max="782" width="1.85546875" customWidth="1"/>
    <col min="783" max="783" width="12.5703125" customWidth="1"/>
    <col min="784" max="784" width="11.7109375" customWidth="1"/>
    <col min="785" max="785" width="0" hidden="1" customWidth="1"/>
    <col min="786" max="786" width="10.7109375" customWidth="1"/>
    <col min="787" max="787" width="1.42578125" customWidth="1"/>
    <col min="788" max="788" width="15.7109375" customWidth="1"/>
    <col min="789" max="789" width="19" customWidth="1"/>
    <col min="790" max="790" width="16.140625" customWidth="1"/>
    <col min="1025" max="1025" width="5.42578125" customWidth="1"/>
    <col min="1026" max="1026" width="13.7109375" customWidth="1"/>
    <col min="1027" max="1027" width="18.85546875" customWidth="1"/>
    <col min="1028" max="1028" width="0.140625" customWidth="1"/>
    <col min="1029" max="1030" width="0" hidden="1" customWidth="1"/>
    <col min="1031" max="1031" width="12.42578125" customWidth="1"/>
    <col min="1032" max="1032" width="0.5703125" customWidth="1"/>
    <col min="1033" max="1033" width="14.5703125" customWidth="1"/>
    <col min="1034" max="1034" width="1" customWidth="1"/>
    <col min="1035" max="1035" width="7.140625" customWidth="1"/>
    <col min="1036" max="1036" width="6.140625" customWidth="1"/>
    <col min="1037" max="1037" width="13.28515625" customWidth="1"/>
    <col min="1038" max="1038" width="1.85546875" customWidth="1"/>
    <col min="1039" max="1039" width="12.5703125" customWidth="1"/>
    <col min="1040" max="1040" width="11.7109375" customWidth="1"/>
    <col min="1041" max="1041" width="0" hidden="1" customWidth="1"/>
    <col min="1042" max="1042" width="10.7109375" customWidth="1"/>
    <col min="1043" max="1043" width="1.42578125" customWidth="1"/>
    <col min="1044" max="1044" width="15.7109375" customWidth="1"/>
    <col min="1045" max="1045" width="19" customWidth="1"/>
    <col min="1046" max="1046" width="16.140625" customWidth="1"/>
    <col min="1281" max="1281" width="5.42578125" customWidth="1"/>
    <col min="1282" max="1282" width="13.7109375" customWidth="1"/>
    <col min="1283" max="1283" width="18.85546875" customWidth="1"/>
    <col min="1284" max="1284" width="0.140625" customWidth="1"/>
    <col min="1285" max="1286" width="0" hidden="1" customWidth="1"/>
    <col min="1287" max="1287" width="12.42578125" customWidth="1"/>
    <col min="1288" max="1288" width="0.5703125" customWidth="1"/>
    <col min="1289" max="1289" width="14.5703125" customWidth="1"/>
    <col min="1290" max="1290" width="1" customWidth="1"/>
    <col min="1291" max="1291" width="7.140625" customWidth="1"/>
    <col min="1292" max="1292" width="6.140625" customWidth="1"/>
    <col min="1293" max="1293" width="13.28515625" customWidth="1"/>
    <col min="1294" max="1294" width="1.85546875" customWidth="1"/>
    <col min="1295" max="1295" width="12.5703125" customWidth="1"/>
    <col min="1296" max="1296" width="11.7109375" customWidth="1"/>
    <col min="1297" max="1297" width="0" hidden="1" customWidth="1"/>
    <col min="1298" max="1298" width="10.7109375" customWidth="1"/>
    <col min="1299" max="1299" width="1.42578125" customWidth="1"/>
    <col min="1300" max="1300" width="15.7109375" customWidth="1"/>
    <col min="1301" max="1301" width="19" customWidth="1"/>
    <col min="1302" max="1302" width="16.140625" customWidth="1"/>
    <col min="1537" max="1537" width="5.42578125" customWidth="1"/>
    <col min="1538" max="1538" width="13.7109375" customWidth="1"/>
    <col min="1539" max="1539" width="18.85546875" customWidth="1"/>
    <col min="1540" max="1540" width="0.140625" customWidth="1"/>
    <col min="1541" max="1542" width="0" hidden="1" customWidth="1"/>
    <col min="1543" max="1543" width="12.42578125" customWidth="1"/>
    <col min="1544" max="1544" width="0.5703125" customWidth="1"/>
    <col min="1545" max="1545" width="14.5703125" customWidth="1"/>
    <col min="1546" max="1546" width="1" customWidth="1"/>
    <col min="1547" max="1547" width="7.140625" customWidth="1"/>
    <col min="1548" max="1548" width="6.140625" customWidth="1"/>
    <col min="1549" max="1549" width="13.28515625" customWidth="1"/>
    <col min="1550" max="1550" width="1.85546875" customWidth="1"/>
    <col min="1551" max="1551" width="12.5703125" customWidth="1"/>
    <col min="1552" max="1552" width="11.7109375" customWidth="1"/>
    <col min="1553" max="1553" width="0" hidden="1" customWidth="1"/>
    <col min="1554" max="1554" width="10.7109375" customWidth="1"/>
    <col min="1555" max="1555" width="1.42578125" customWidth="1"/>
    <col min="1556" max="1556" width="15.7109375" customWidth="1"/>
    <col min="1557" max="1557" width="19" customWidth="1"/>
    <col min="1558" max="1558" width="16.140625" customWidth="1"/>
    <col min="1793" max="1793" width="5.42578125" customWidth="1"/>
    <col min="1794" max="1794" width="13.7109375" customWidth="1"/>
    <col min="1795" max="1795" width="18.85546875" customWidth="1"/>
    <col min="1796" max="1796" width="0.140625" customWidth="1"/>
    <col min="1797" max="1798" width="0" hidden="1" customWidth="1"/>
    <col min="1799" max="1799" width="12.42578125" customWidth="1"/>
    <col min="1800" max="1800" width="0.5703125" customWidth="1"/>
    <col min="1801" max="1801" width="14.5703125" customWidth="1"/>
    <col min="1802" max="1802" width="1" customWidth="1"/>
    <col min="1803" max="1803" width="7.140625" customWidth="1"/>
    <col min="1804" max="1804" width="6.140625" customWidth="1"/>
    <col min="1805" max="1805" width="13.28515625" customWidth="1"/>
    <col min="1806" max="1806" width="1.85546875" customWidth="1"/>
    <col min="1807" max="1807" width="12.5703125" customWidth="1"/>
    <col min="1808" max="1808" width="11.7109375" customWidth="1"/>
    <col min="1809" max="1809" width="0" hidden="1" customWidth="1"/>
    <col min="1810" max="1810" width="10.7109375" customWidth="1"/>
    <col min="1811" max="1811" width="1.42578125" customWidth="1"/>
    <col min="1812" max="1812" width="15.7109375" customWidth="1"/>
    <col min="1813" max="1813" width="19" customWidth="1"/>
    <col min="1814" max="1814" width="16.140625" customWidth="1"/>
    <col min="2049" max="2049" width="5.42578125" customWidth="1"/>
    <col min="2050" max="2050" width="13.7109375" customWidth="1"/>
    <col min="2051" max="2051" width="18.85546875" customWidth="1"/>
    <col min="2052" max="2052" width="0.140625" customWidth="1"/>
    <col min="2053" max="2054" width="0" hidden="1" customWidth="1"/>
    <col min="2055" max="2055" width="12.42578125" customWidth="1"/>
    <col min="2056" max="2056" width="0.5703125" customWidth="1"/>
    <col min="2057" max="2057" width="14.5703125" customWidth="1"/>
    <col min="2058" max="2058" width="1" customWidth="1"/>
    <col min="2059" max="2059" width="7.140625" customWidth="1"/>
    <col min="2060" max="2060" width="6.140625" customWidth="1"/>
    <col min="2061" max="2061" width="13.28515625" customWidth="1"/>
    <col min="2062" max="2062" width="1.85546875" customWidth="1"/>
    <col min="2063" max="2063" width="12.5703125" customWidth="1"/>
    <col min="2064" max="2064" width="11.7109375" customWidth="1"/>
    <col min="2065" max="2065" width="0" hidden="1" customWidth="1"/>
    <col min="2066" max="2066" width="10.7109375" customWidth="1"/>
    <col min="2067" max="2067" width="1.42578125" customWidth="1"/>
    <col min="2068" max="2068" width="15.7109375" customWidth="1"/>
    <col min="2069" max="2069" width="19" customWidth="1"/>
    <col min="2070" max="2070" width="16.140625" customWidth="1"/>
    <col min="2305" max="2305" width="5.42578125" customWidth="1"/>
    <col min="2306" max="2306" width="13.7109375" customWidth="1"/>
    <col min="2307" max="2307" width="18.85546875" customWidth="1"/>
    <col min="2308" max="2308" width="0.140625" customWidth="1"/>
    <col min="2309" max="2310" width="0" hidden="1" customWidth="1"/>
    <col min="2311" max="2311" width="12.42578125" customWidth="1"/>
    <col min="2312" max="2312" width="0.5703125" customWidth="1"/>
    <col min="2313" max="2313" width="14.5703125" customWidth="1"/>
    <col min="2314" max="2314" width="1" customWidth="1"/>
    <col min="2315" max="2315" width="7.140625" customWidth="1"/>
    <col min="2316" max="2316" width="6.140625" customWidth="1"/>
    <col min="2317" max="2317" width="13.28515625" customWidth="1"/>
    <col min="2318" max="2318" width="1.85546875" customWidth="1"/>
    <col min="2319" max="2319" width="12.5703125" customWidth="1"/>
    <col min="2320" max="2320" width="11.7109375" customWidth="1"/>
    <col min="2321" max="2321" width="0" hidden="1" customWidth="1"/>
    <col min="2322" max="2322" width="10.7109375" customWidth="1"/>
    <col min="2323" max="2323" width="1.42578125" customWidth="1"/>
    <col min="2324" max="2324" width="15.7109375" customWidth="1"/>
    <col min="2325" max="2325" width="19" customWidth="1"/>
    <col min="2326" max="2326" width="16.140625" customWidth="1"/>
    <col min="2561" max="2561" width="5.42578125" customWidth="1"/>
    <col min="2562" max="2562" width="13.7109375" customWidth="1"/>
    <col min="2563" max="2563" width="18.85546875" customWidth="1"/>
    <col min="2564" max="2564" width="0.140625" customWidth="1"/>
    <col min="2565" max="2566" width="0" hidden="1" customWidth="1"/>
    <col min="2567" max="2567" width="12.42578125" customWidth="1"/>
    <col min="2568" max="2568" width="0.5703125" customWidth="1"/>
    <col min="2569" max="2569" width="14.5703125" customWidth="1"/>
    <col min="2570" max="2570" width="1" customWidth="1"/>
    <col min="2571" max="2571" width="7.140625" customWidth="1"/>
    <col min="2572" max="2572" width="6.140625" customWidth="1"/>
    <col min="2573" max="2573" width="13.28515625" customWidth="1"/>
    <col min="2574" max="2574" width="1.85546875" customWidth="1"/>
    <col min="2575" max="2575" width="12.5703125" customWidth="1"/>
    <col min="2576" max="2576" width="11.7109375" customWidth="1"/>
    <col min="2577" max="2577" width="0" hidden="1" customWidth="1"/>
    <col min="2578" max="2578" width="10.7109375" customWidth="1"/>
    <col min="2579" max="2579" width="1.42578125" customWidth="1"/>
    <col min="2580" max="2580" width="15.7109375" customWidth="1"/>
    <col min="2581" max="2581" width="19" customWidth="1"/>
    <col min="2582" max="2582" width="16.140625" customWidth="1"/>
    <col min="2817" max="2817" width="5.42578125" customWidth="1"/>
    <col min="2818" max="2818" width="13.7109375" customWidth="1"/>
    <col min="2819" max="2819" width="18.85546875" customWidth="1"/>
    <col min="2820" max="2820" width="0.140625" customWidth="1"/>
    <col min="2821" max="2822" width="0" hidden="1" customWidth="1"/>
    <col min="2823" max="2823" width="12.42578125" customWidth="1"/>
    <col min="2824" max="2824" width="0.5703125" customWidth="1"/>
    <col min="2825" max="2825" width="14.5703125" customWidth="1"/>
    <col min="2826" max="2826" width="1" customWidth="1"/>
    <col min="2827" max="2827" width="7.140625" customWidth="1"/>
    <col min="2828" max="2828" width="6.140625" customWidth="1"/>
    <col min="2829" max="2829" width="13.28515625" customWidth="1"/>
    <col min="2830" max="2830" width="1.85546875" customWidth="1"/>
    <col min="2831" max="2831" width="12.5703125" customWidth="1"/>
    <col min="2832" max="2832" width="11.7109375" customWidth="1"/>
    <col min="2833" max="2833" width="0" hidden="1" customWidth="1"/>
    <col min="2834" max="2834" width="10.7109375" customWidth="1"/>
    <col min="2835" max="2835" width="1.42578125" customWidth="1"/>
    <col min="2836" max="2836" width="15.7109375" customWidth="1"/>
    <col min="2837" max="2837" width="19" customWidth="1"/>
    <col min="2838" max="2838" width="16.140625" customWidth="1"/>
    <col min="3073" max="3073" width="5.42578125" customWidth="1"/>
    <col min="3074" max="3074" width="13.7109375" customWidth="1"/>
    <col min="3075" max="3075" width="18.85546875" customWidth="1"/>
    <col min="3076" max="3076" width="0.140625" customWidth="1"/>
    <col min="3077" max="3078" width="0" hidden="1" customWidth="1"/>
    <col min="3079" max="3079" width="12.42578125" customWidth="1"/>
    <col min="3080" max="3080" width="0.5703125" customWidth="1"/>
    <col min="3081" max="3081" width="14.5703125" customWidth="1"/>
    <col min="3082" max="3082" width="1" customWidth="1"/>
    <col min="3083" max="3083" width="7.140625" customWidth="1"/>
    <col min="3084" max="3084" width="6.140625" customWidth="1"/>
    <col min="3085" max="3085" width="13.28515625" customWidth="1"/>
    <col min="3086" max="3086" width="1.85546875" customWidth="1"/>
    <col min="3087" max="3087" width="12.5703125" customWidth="1"/>
    <col min="3088" max="3088" width="11.7109375" customWidth="1"/>
    <col min="3089" max="3089" width="0" hidden="1" customWidth="1"/>
    <col min="3090" max="3090" width="10.7109375" customWidth="1"/>
    <col min="3091" max="3091" width="1.42578125" customWidth="1"/>
    <col min="3092" max="3092" width="15.7109375" customWidth="1"/>
    <col min="3093" max="3093" width="19" customWidth="1"/>
    <col min="3094" max="3094" width="16.140625" customWidth="1"/>
    <col min="3329" max="3329" width="5.42578125" customWidth="1"/>
    <col min="3330" max="3330" width="13.7109375" customWidth="1"/>
    <col min="3331" max="3331" width="18.85546875" customWidth="1"/>
    <col min="3332" max="3332" width="0.140625" customWidth="1"/>
    <col min="3333" max="3334" width="0" hidden="1" customWidth="1"/>
    <col min="3335" max="3335" width="12.42578125" customWidth="1"/>
    <col min="3336" max="3336" width="0.5703125" customWidth="1"/>
    <col min="3337" max="3337" width="14.5703125" customWidth="1"/>
    <col min="3338" max="3338" width="1" customWidth="1"/>
    <col min="3339" max="3339" width="7.140625" customWidth="1"/>
    <col min="3340" max="3340" width="6.140625" customWidth="1"/>
    <col min="3341" max="3341" width="13.28515625" customWidth="1"/>
    <col min="3342" max="3342" width="1.85546875" customWidth="1"/>
    <col min="3343" max="3343" width="12.5703125" customWidth="1"/>
    <col min="3344" max="3344" width="11.7109375" customWidth="1"/>
    <col min="3345" max="3345" width="0" hidden="1" customWidth="1"/>
    <col min="3346" max="3346" width="10.7109375" customWidth="1"/>
    <col min="3347" max="3347" width="1.42578125" customWidth="1"/>
    <col min="3348" max="3348" width="15.7109375" customWidth="1"/>
    <col min="3349" max="3349" width="19" customWidth="1"/>
    <col min="3350" max="3350" width="16.140625" customWidth="1"/>
    <col min="3585" max="3585" width="5.42578125" customWidth="1"/>
    <col min="3586" max="3586" width="13.7109375" customWidth="1"/>
    <col min="3587" max="3587" width="18.85546875" customWidth="1"/>
    <col min="3588" max="3588" width="0.140625" customWidth="1"/>
    <col min="3589" max="3590" width="0" hidden="1" customWidth="1"/>
    <col min="3591" max="3591" width="12.42578125" customWidth="1"/>
    <col min="3592" max="3592" width="0.5703125" customWidth="1"/>
    <col min="3593" max="3593" width="14.5703125" customWidth="1"/>
    <col min="3594" max="3594" width="1" customWidth="1"/>
    <col min="3595" max="3595" width="7.140625" customWidth="1"/>
    <col min="3596" max="3596" width="6.140625" customWidth="1"/>
    <col min="3597" max="3597" width="13.28515625" customWidth="1"/>
    <col min="3598" max="3598" width="1.85546875" customWidth="1"/>
    <col min="3599" max="3599" width="12.5703125" customWidth="1"/>
    <col min="3600" max="3600" width="11.7109375" customWidth="1"/>
    <col min="3601" max="3601" width="0" hidden="1" customWidth="1"/>
    <col min="3602" max="3602" width="10.7109375" customWidth="1"/>
    <col min="3603" max="3603" width="1.42578125" customWidth="1"/>
    <col min="3604" max="3604" width="15.7109375" customWidth="1"/>
    <col min="3605" max="3605" width="19" customWidth="1"/>
    <col min="3606" max="3606" width="16.140625" customWidth="1"/>
    <col min="3841" max="3841" width="5.42578125" customWidth="1"/>
    <col min="3842" max="3842" width="13.7109375" customWidth="1"/>
    <col min="3843" max="3843" width="18.85546875" customWidth="1"/>
    <col min="3844" max="3844" width="0.140625" customWidth="1"/>
    <col min="3845" max="3846" width="0" hidden="1" customWidth="1"/>
    <col min="3847" max="3847" width="12.42578125" customWidth="1"/>
    <col min="3848" max="3848" width="0.5703125" customWidth="1"/>
    <col min="3849" max="3849" width="14.5703125" customWidth="1"/>
    <col min="3850" max="3850" width="1" customWidth="1"/>
    <col min="3851" max="3851" width="7.140625" customWidth="1"/>
    <col min="3852" max="3852" width="6.140625" customWidth="1"/>
    <col min="3853" max="3853" width="13.28515625" customWidth="1"/>
    <col min="3854" max="3854" width="1.85546875" customWidth="1"/>
    <col min="3855" max="3855" width="12.5703125" customWidth="1"/>
    <col min="3856" max="3856" width="11.7109375" customWidth="1"/>
    <col min="3857" max="3857" width="0" hidden="1" customWidth="1"/>
    <col min="3858" max="3858" width="10.7109375" customWidth="1"/>
    <col min="3859" max="3859" width="1.42578125" customWidth="1"/>
    <col min="3860" max="3860" width="15.7109375" customWidth="1"/>
    <col min="3861" max="3861" width="19" customWidth="1"/>
    <col min="3862" max="3862" width="16.140625" customWidth="1"/>
    <col min="4097" max="4097" width="5.42578125" customWidth="1"/>
    <col min="4098" max="4098" width="13.7109375" customWidth="1"/>
    <col min="4099" max="4099" width="18.85546875" customWidth="1"/>
    <col min="4100" max="4100" width="0.140625" customWidth="1"/>
    <col min="4101" max="4102" width="0" hidden="1" customWidth="1"/>
    <col min="4103" max="4103" width="12.42578125" customWidth="1"/>
    <col min="4104" max="4104" width="0.5703125" customWidth="1"/>
    <col min="4105" max="4105" width="14.5703125" customWidth="1"/>
    <col min="4106" max="4106" width="1" customWidth="1"/>
    <col min="4107" max="4107" width="7.140625" customWidth="1"/>
    <col min="4108" max="4108" width="6.140625" customWidth="1"/>
    <col min="4109" max="4109" width="13.28515625" customWidth="1"/>
    <col min="4110" max="4110" width="1.85546875" customWidth="1"/>
    <col min="4111" max="4111" width="12.5703125" customWidth="1"/>
    <col min="4112" max="4112" width="11.7109375" customWidth="1"/>
    <col min="4113" max="4113" width="0" hidden="1" customWidth="1"/>
    <col min="4114" max="4114" width="10.7109375" customWidth="1"/>
    <col min="4115" max="4115" width="1.42578125" customWidth="1"/>
    <col min="4116" max="4116" width="15.7109375" customWidth="1"/>
    <col min="4117" max="4117" width="19" customWidth="1"/>
    <col min="4118" max="4118" width="16.140625" customWidth="1"/>
    <col min="4353" max="4353" width="5.42578125" customWidth="1"/>
    <col min="4354" max="4354" width="13.7109375" customWidth="1"/>
    <col min="4355" max="4355" width="18.85546875" customWidth="1"/>
    <col min="4356" max="4356" width="0.140625" customWidth="1"/>
    <col min="4357" max="4358" width="0" hidden="1" customWidth="1"/>
    <col min="4359" max="4359" width="12.42578125" customWidth="1"/>
    <col min="4360" max="4360" width="0.5703125" customWidth="1"/>
    <col min="4361" max="4361" width="14.5703125" customWidth="1"/>
    <col min="4362" max="4362" width="1" customWidth="1"/>
    <col min="4363" max="4363" width="7.140625" customWidth="1"/>
    <col min="4364" max="4364" width="6.140625" customWidth="1"/>
    <col min="4365" max="4365" width="13.28515625" customWidth="1"/>
    <col min="4366" max="4366" width="1.85546875" customWidth="1"/>
    <col min="4367" max="4367" width="12.5703125" customWidth="1"/>
    <col min="4368" max="4368" width="11.7109375" customWidth="1"/>
    <col min="4369" max="4369" width="0" hidden="1" customWidth="1"/>
    <col min="4370" max="4370" width="10.7109375" customWidth="1"/>
    <col min="4371" max="4371" width="1.42578125" customWidth="1"/>
    <col min="4372" max="4372" width="15.7109375" customWidth="1"/>
    <col min="4373" max="4373" width="19" customWidth="1"/>
    <col min="4374" max="4374" width="16.140625" customWidth="1"/>
    <col min="4609" max="4609" width="5.42578125" customWidth="1"/>
    <col min="4610" max="4610" width="13.7109375" customWidth="1"/>
    <col min="4611" max="4611" width="18.85546875" customWidth="1"/>
    <col min="4612" max="4612" width="0.140625" customWidth="1"/>
    <col min="4613" max="4614" width="0" hidden="1" customWidth="1"/>
    <col min="4615" max="4615" width="12.42578125" customWidth="1"/>
    <col min="4616" max="4616" width="0.5703125" customWidth="1"/>
    <col min="4617" max="4617" width="14.5703125" customWidth="1"/>
    <col min="4618" max="4618" width="1" customWidth="1"/>
    <col min="4619" max="4619" width="7.140625" customWidth="1"/>
    <col min="4620" max="4620" width="6.140625" customWidth="1"/>
    <col min="4621" max="4621" width="13.28515625" customWidth="1"/>
    <col min="4622" max="4622" width="1.85546875" customWidth="1"/>
    <col min="4623" max="4623" width="12.5703125" customWidth="1"/>
    <col min="4624" max="4624" width="11.7109375" customWidth="1"/>
    <col min="4625" max="4625" width="0" hidden="1" customWidth="1"/>
    <col min="4626" max="4626" width="10.7109375" customWidth="1"/>
    <col min="4627" max="4627" width="1.42578125" customWidth="1"/>
    <col min="4628" max="4628" width="15.7109375" customWidth="1"/>
    <col min="4629" max="4629" width="19" customWidth="1"/>
    <col min="4630" max="4630" width="16.140625" customWidth="1"/>
    <col min="4865" max="4865" width="5.42578125" customWidth="1"/>
    <col min="4866" max="4866" width="13.7109375" customWidth="1"/>
    <col min="4867" max="4867" width="18.85546875" customWidth="1"/>
    <col min="4868" max="4868" width="0.140625" customWidth="1"/>
    <col min="4869" max="4870" width="0" hidden="1" customWidth="1"/>
    <col min="4871" max="4871" width="12.42578125" customWidth="1"/>
    <col min="4872" max="4872" width="0.5703125" customWidth="1"/>
    <col min="4873" max="4873" width="14.5703125" customWidth="1"/>
    <col min="4874" max="4874" width="1" customWidth="1"/>
    <col min="4875" max="4875" width="7.140625" customWidth="1"/>
    <col min="4876" max="4876" width="6.140625" customWidth="1"/>
    <col min="4877" max="4877" width="13.28515625" customWidth="1"/>
    <col min="4878" max="4878" width="1.85546875" customWidth="1"/>
    <col min="4879" max="4879" width="12.5703125" customWidth="1"/>
    <col min="4880" max="4880" width="11.7109375" customWidth="1"/>
    <col min="4881" max="4881" width="0" hidden="1" customWidth="1"/>
    <col min="4882" max="4882" width="10.7109375" customWidth="1"/>
    <col min="4883" max="4883" width="1.42578125" customWidth="1"/>
    <col min="4884" max="4884" width="15.7109375" customWidth="1"/>
    <col min="4885" max="4885" width="19" customWidth="1"/>
    <col min="4886" max="4886" width="16.140625" customWidth="1"/>
    <col min="5121" max="5121" width="5.42578125" customWidth="1"/>
    <col min="5122" max="5122" width="13.7109375" customWidth="1"/>
    <col min="5123" max="5123" width="18.85546875" customWidth="1"/>
    <col min="5124" max="5124" width="0.140625" customWidth="1"/>
    <col min="5125" max="5126" width="0" hidden="1" customWidth="1"/>
    <col min="5127" max="5127" width="12.42578125" customWidth="1"/>
    <col min="5128" max="5128" width="0.5703125" customWidth="1"/>
    <col min="5129" max="5129" width="14.5703125" customWidth="1"/>
    <col min="5130" max="5130" width="1" customWidth="1"/>
    <col min="5131" max="5131" width="7.140625" customWidth="1"/>
    <col min="5132" max="5132" width="6.140625" customWidth="1"/>
    <col min="5133" max="5133" width="13.28515625" customWidth="1"/>
    <col min="5134" max="5134" width="1.85546875" customWidth="1"/>
    <col min="5135" max="5135" width="12.5703125" customWidth="1"/>
    <col min="5136" max="5136" width="11.7109375" customWidth="1"/>
    <col min="5137" max="5137" width="0" hidden="1" customWidth="1"/>
    <col min="5138" max="5138" width="10.7109375" customWidth="1"/>
    <col min="5139" max="5139" width="1.42578125" customWidth="1"/>
    <col min="5140" max="5140" width="15.7109375" customWidth="1"/>
    <col min="5141" max="5141" width="19" customWidth="1"/>
    <col min="5142" max="5142" width="16.140625" customWidth="1"/>
    <col min="5377" max="5377" width="5.42578125" customWidth="1"/>
    <col min="5378" max="5378" width="13.7109375" customWidth="1"/>
    <col min="5379" max="5379" width="18.85546875" customWidth="1"/>
    <col min="5380" max="5380" width="0.140625" customWidth="1"/>
    <col min="5381" max="5382" width="0" hidden="1" customWidth="1"/>
    <col min="5383" max="5383" width="12.42578125" customWidth="1"/>
    <col min="5384" max="5384" width="0.5703125" customWidth="1"/>
    <col min="5385" max="5385" width="14.5703125" customWidth="1"/>
    <col min="5386" max="5386" width="1" customWidth="1"/>
    <col min="5387" max="5387" width="7.140625" customWidth="1"/>
    <col min="5388" max="5388" width="6.140625" customWidth="1"/>
    <col min="5389" max="5389" width="13.28515625" customWidth="1"/>
    <col min="5390" max="5390" width="1.85546875" customWidth="1"/>
    <col min="5391" max="5391" width="12.5703125" customWidth="1"/>
    <col min="5392" max="5392" width="11.7109375" customWidth="1"/>
    <col min="5393" max="5393" width="0" hidden="1" customWidth="1"/>
    <col min="5394" max="5394" width="10.7109375" customWidth="1"/>
    <col min="5395" max="5395" width="1.42578125" customWidth="1"/>
    <col min="5396" max="5396" width="15.7109375" customWidth="1"/>
    <col min="5397" max="5397" width="19" customWidth="1"/>
    <col min="5398" max="5398" width="16.140625" customWidth="1"/>
    <col min="5633" max="5633" width="5.42578125" customWidth="1"/>
    <col min="5634" max="5634" width="13.7109375" customWidth="1"/>
    <col min="5635" max="5635" width="18.85546875" customWidth="1"/>
    <col min="5636" max="5636" width="0.140625" customWidth="1"/>
    <col min="5637" max="5638" width="0" hidden="1" customWidth="1"/>
    <col min="5639" max="5639" width="12.42578125" customWidth="1"/>
    <col min="5640" max="5640" width="0.5703125" customWidth="1"/>
    <col min="5641" max="5641" width="14.5703125" customWidth="1"/>
    <col min="5642" max="5642" width="1" customWidth="1"/>
    <col min="5643" max="5643" width="7.140625" customWidth="1"/>
    <col min="5644" max="5644" width="6.140625" customWidth="1"/>
    <col min="5645" max="5645" width="13.28515625" customWidth="1"/>
    <col min="5646" max="5646" width="1.85546875" customWidth="1"/>
    <col min="5647" max="5647" width="12.5703125" customWidth="1"/>
    <col min="5648" max="5648" width="11.7109375" customWidth="1"/>
    <col min="5649" max="5649" width="0" hidden="1" customWidth="1"/>
    <col min="5650" max="5650" width="10.7109375" customWidth="1"/>
    <col min="5651" max="5651" width="1.42578125" customWidth="1"/>
    <col min="5652" max="5652" width="15.7109375" customWidth="1"/>
    <col min="5653" max="5653" width="19" customWidth="1"/>
    <col min="5654" max="5654" width="16.140625" customWidth="1"/>
    <col min="5889" max="5889" width="5.42578125" customWidth="1"/>
    <col min="5890" max="5890" width="13.7109375" customWidth="1"/>
    <col min="5891" max="5891" width="18.85546875" customWidth="1"/>
    <col min="5892" max="5892" width="0.140625" customWidth="1"/>
    <col min="5893" max="5894" width="0" hidden="1" customWidth="1"/>
    <col min="5895" max="5895" width="12.42578125" customWidth="1"/>
    <col min="5896" max="5896" width="0.5703125" customWidth="1"/>
    <col min="5897" max="5897" width="14.5703125" customWidth="1"/>
    <col min="5898" max="5898" width="1" customWidth="1"/>
    <col min="5899" max="5899" width="7.140625" customWidth="1"/>
    <col min="5900" max="5900" width="6.140625" customWidth="1"/>
    <col min="5901" max="5901" width="13.28515625" customWidth="1"/>
    <col min="5902" max="5902" width="1.85546875" customWidth="1"/>
    <col min="5903" max="5903" width="12.5703125" customWidth="1"/>
    <col min="5904" max="5904" width="11.7109375" customWidth="1"/>
    <col min="5905" max="5905" width="0" hidden="1" customWidth="1"/>
    <col min="5906" max="5906" width="10.7109375" customWidth="1"/>
    <col min="5907" max="5907" width="1.42578125" customWidth="1"/>
    <col min="5908" max="5908" width="15.7109375" customWidth="1"/>
    <col min="5909" max="5909" width="19" customWidth="1"/>
    <col min="5910" max="5910" width="16.140625" customWidth="1"/>
    <col min="6145" max="6145" width="5.42578125" customWidth="1"/>
    <col min="6146" max="6146" width="13.7109375" customWidth="1"/>
    <col min="6147" max="6147" width="18.85546875" customWidth="1"/>
    <col min="6148" max="6148" width="0.140625" customWidth="1"/>
    <col min="6149" max="6150" width="0" hidden="1" customWidth="1"/>
    <col min="6151" max="6151" width="12.42578125" customWidth="1"/>
    <col min="6152" max="6152" width="0.5703125" customWidth="1"/>
    <col min="6153" max="6153" width="14.5703125" customWidth="1"/>
    <col min="6154" max="6154" width="1" customWidth="1"/>
    <col min="6155" max="6155" width="7.140625" customWidth="1"/>
    <col min="6156" max="6156" width="6.140625" customWidth="1"/>
    <col min="6157" max="6157" width="13.28515625" customWidth="1"/>
    <col min="6158" max="6158" width="1.85546875" customWidth="1"/>
    <col min="6159" max="6159" width="12.5703125" customWidth="1"/>
    <col min="6160" max="6160" width="11.7109375" customWidth="1"/>
    <col min="6161" max="6161" width="0" hidden="1" customWidth="1"/>
    <col min="6162" max="6162" width="10.7109375" customWidth="1"/>
    <col min="6163" max="6163" width="1.42578125" customWidth="1"/>
    <col min="6164" max="6164" width="15.7109375" customWidth="1"/>
    <col min="6165" max="6165" width="19" customWidth="1"/>
    <col min="6166" max="6166" width="16.140625" customWidth="1"/>
    <col min="6401" max="6401" width="5.42578125" customWidth="1"/>
    <col min="6402" max="6402" width="13.7109375" customWidth="1"/>
    <col min="6403" max="6403" width="18.85546875" customWidth="1"/>
    <col min="6404" max="6404" width="0.140625" customWidth="1"/>
    <col min="6405" max="6406" width="0" hidden="1" customWidth="1"/>
    <col min="6407" max="6407" width="12.42578125" customWidth="1"/>
    <col min="6408" max="6408" width="0.5703125" customWidth="1"/>
    <col min="6409" max="6409" width="14.5703125" customWidth="1"/>
    <col min="6410" max="6410" width="1" customWidth="1"/>
    <col min="6411" max="6411" width="7.140625" customWidth="1"/>
    <col min="6412" max="6412" width="6.140625" customWidth="1"/>
    <col min="6413" max="6413" width="13.28515625" customWidth="1"/>
    <col min="6414" max="6414" width="1.85546875" customWidth="1"/>
    <col min="6415" max="6415" width="12.5703125" customWidth="1"/>
    <col min="6416" max="6416" width="11.7109375" customWidth="1"/>
    <col min="6417" max="6417" width="0" hidden="1" customWidth="1"/>
    <col min="6418" max="6418" width="10.7109375" customWidth="1"/>
    <col min="6419" max="6419" width="1.42578125" customWidth="1"/>
    <col min="6420" max="6420" width="15.7109375" customWidth="1"/>
    <col min="6421" max="6421" width="19" customWidth="1"/>
    <col min="6422" max="6422" width="16.140625" customWidth="1"/>
    <col min="6657" max="6657" width="5.42578125" customWidth="1"/>
    <col min="6658" max="6658" width="13.7109375" customWidth="1"/>
    <col min="6659" max="6659" width="18.85546875" customWidth="1"/>
    <col min="6660" max="6660" width="0.140625" customWidth="1"/>
    <col min="6661" max="6662" width="0" hidden="1" customWidth="1"/>
    <col min="6663" max="6663" width="12.42578125" customWidth="1"/>
    <col min="6664" max="6664" width="0.5703125" customWidth="1"/>
    <col min="6665" max="6665" width="14.5703125" customWidth="1"/>
    <col min="6666" max="6666" width="1" customWidth="1"/>
    <col min="6667" max="6667" width="7.140625" customWidth="1"/>
    <col min="6668" max="6668" width="6.140625" customWidth="1"/>
    <col min="6669" max="6669" width="13.28515625" customWidth="1"/>
    <col min="6670" max="6670" width="1.85546875" customWidth="1"/>
    <col min="6671" max="6671" width="12.5703125" customWidth="1"/>
    <col min="6672" max="6672" width="11.7109375" customWidth="1"/>
    <col min="6673" max="6673" width="0" hidden="1" customWidth="1"/>
    <col min="6674" max="6674" width="10.7109375" customWidth="1"/>
    <col min="6675" max="6675" width="1.42578125" customWidth="1"/>
    <col min="6676" max="6676" width="15.7109375" customWidth="1"/>
    <col min="6677" max="6677" width="19" customWidth="1"/>
    <col min="6678" max="6678" width="16.140625" customWidth="1"/>
    <col min="6913" max="6913" width="5.42578125" customWidth="1"/>
    <col min="6914" max="6914" width="13.7109375" customWidth="1"/>
    <col min="6915" max="6915" width="18.85546875" customWidth="1"/>
    <col min="6916" max="6916" width="0.140625" customWidth="1"/>
    <col min="6917" max="6918" width="0" hidden="1" customWidth="1"/>
    <col min="6919" max="6919" width="12.42578125" customWidth="1"/>
    <col min="6920" max="6920" width="0.5703125" customWidth="1"/>
    <col min="6921" max="6921" width="14.5703125" customWidth="1"/>
    <col min="6922" max="6922" width="1" customWidth="1"/>
    <col min="6923" max="6923" width="7.140625" customWidth="1"/>
    <col min="6924" max="6924" width="6.140625" customWidth="1"/>
    <col min="6925" max="6925" width="13.28515625" customWidth="1"/>
    <col min="6926" max="6926" width="1.85546875" customWidth="1"/>
    <col min="6927" max="6927" width="12.5703125" customWidth="1"/>
    <col min="6928" max="6928" width="11.7109375" customWidth="1"/>
    <col min="6929" max="6929" width="0" hidden="1" customWidth="1"/>
    <col min="6930" max="6930" width="10.7109375" customWidth="1"/>
    <col min="6931" max="6931" width="1.42578125" customWidth="1"/>
    <col min="6932" max="6932" width="15.7109375" customWidth="1"/>
    <col min="6933" max="6933" width="19" customWidth="1"/>
    <col min="6934" max="6934" width="16.140625" customWidth="1"/>
    <col min="7169" max="7169" width="5.42578125" customWidth="1"/>
    <col min="7170" max="7170" width="13.7109375" customWidth="1"/>
    <col min="7171" max="7171" width="18.85546875" customWidth="1"/>
    <col min="7172" max="7172" width="0.140625" customWidth="1"/>
    <col min="7173" max="7174" width="0" hidden="1" customWidth="1"/>
    <col min="7175" max="7175" width="12.42578125" customWidth="1"/>
    <col min="7176" max="7176" width="0.5703125" customWidth="1"/>
    <col min="7177" max="7177" width="14.5703125" customWidth="1"/>
    <col min="7178" max="7178" width="1" customWidth="1"/>
    <col min="7179" max="7179" width="7.140625" customWidth="1"/>
    <col min="7180" max="7180" width="6.140625" customWidth="1"/>
    <col min="7181" max="7181" width="13.28515625" customWidth="1"/>
    <col min="7182" max="7182" width="1.85546875" customWidth="1"/>
    <col min="7183" max="7183" width="12.5703125" customWidth="1"/>
    <col min="7184" max="7184" width="11.7109375" customWidth="1"/>
    <col min="7185" max="7185" width="0" hidden="1" customWidth="1"/>
    <col min="7186" max="7186" width="10.7109375" customWidth="1"/>
    <col min="7187" max="7187" width="1.42578125" customWidth="1"/>
    <col min="7188" max="7188" width="15.7109375" customWidth="1"/>
    <col min="7189" max="7189" width="19" customWidth="1"/>
    <col min="7190" max="7190" width="16.140625" customWidth="1"/>
    <col min="7425" max="7425" width="5.42578125" customWidth="1"/>
    <col min="7426" max="7426" width="13.7109375" customWidth="1"/>
    <col min="7427" max="7427" width="18.85546875" customWidth="1"/>
    <col min="7428" max="7428" width="0.140625" customWidth="1"/>
    <col min="7429" max="7430" width="0" hidden="1" customWidth="1"/>
    <col min="7431" max="7431" width="12.42578125" customWidth="1"/>
    <col min="7432" max="7432" width="0.5703125" customWidth="1"/>
    <col min="7433" max="7433" width="14.5703125" customWidth="1"/>
    <col min="7434" max="7434" width="1" customWidth="1"/>
    <col min="7435" max="7435" width="7.140625" customWidth="1"/>
    <col min="7436" max="7436" width="6.140625" customWidth="1"/>
    <col min="7437" max="7437" width="13.28515625" customWidth="1"/>
    <col min="7438" max="7438" width="1.85546875" customWidth="1"/>
    <col min="7439" max="7439" width="12.5703125" customWidth="1"/>
    <col min="7440" max="7440" width="11.7109375" customWidth="1"/>
    <col min="7441" max="7441" width="0" hidden="1" customWidth="1"/>
    <col min="7442" max="7442" width="10.7109375" customWidth="1"/>
    <col min="7443" max="7443" width="1.42578125" customWidth="1"/>
    <col min="7444" max="7444" width="15.7109375" customWidth="1"/>
    <col min="7445" max="7445" width="19" customWidth="1"/>
    <col min="7446" max="7446" width="16.140625" customWidth="1"/>
    <col min="7681" max="7681" width="5.42578125" customWidth="1"/>
    <col min="7682" max="7682" width="13.7109375" customWidth="1"/>
    <col min="7683" max="7683" width="18.85546875" customWidth="1"/>
    <col min="7684" max="7684" width="0.140625" customWidth="1"/>
    <col min="7685" max="7686" width="0" hidden="1" customWidth="1"/>
    <col min="7687" max="7687" width="12.42578125" customWidth="1"/>
    <col min="7688" max="7688" width="0.5703125" customWidth="1"/>
    <col min="7689" max="7689" width="14.5703125" customWidth="1"/>
    <col min="7690" max="7690" width="1" customWidth="1"/>
    <col min="7691" max="7691" width="7.140625" customWidth="1"/>
    <col min="7692" max="7692" width="6.140625" customWidth="1"/>
    <col min="7693" max="7693" width="13.28515625" customWidth="1"/>
    <col min="7694" max="7694" width="1.85546875" customWidth="1"/>
    <col min="7695" max="7695" width="12.5703125" customWidth="1"/>
    <col min="7696" max="7696" width="11.7109375" customWidth="1"/>
    <col min="7697" max="7697" width="0" hidden="1" customWidth="1"/>
    <col min="7698" max="7698" width="10.7109375" customWidth="1"/>
    <col min="7699" max="7699" width="1.42578125" customWidth="1"/>
    <col min="7700" max="7700" width="15.7109375" customWidth="1"/>
    <col min="7701" max="7701" width="19" customWidth="1"/>
    <col min="7702" max="7702" width="16.140625" customWidth="1"/>
    <col min="7937" max="7937" width="5.42578125" customWidth="1"/>
    <col min="7938" max="7938" width="13.7109375" customWidth="1"/>
    <col min="7939" max="7939" width="18.85546875" customWidth="1"/>
    <col min="7940" max="7940" width="0.140625" customWidth="1"/>
    <col min="7941" max="7942" width="0" hidden="1" customWidth="1"/>
    <col min="7943" max="7943" width="12.42578125" customWidth="1"/>
    <col min="7944" max="7944" width="0.5703125" customWidth="1"/>
    <col min="7945" max="7945" width="14.5703125" customWidth="1"/>
    <col min="7946" max="7946" width="1" customWidth="1"/>
    <col min="7947" max="7947" width="7.140625" customWidth="1"/>
    <col min="7948" max="7948" width="6.140625" customWidth="1"/>
    <col min="7949" max="7949" width="13.28515625" customWidth="1"/>
    <col min="7950" max="7950" width="1.85546875" customWidth="1"/>
    <col min="7951" max="7951" width="12.5703125" customWidth="1"/>
    <col min="7952" max="7952" width="11.7109375" customWidth="1"/>
    <col min="7953" max="7953" width="0" hidden="1" customWidth="1"/>
    <col min="7954" max="7954" width="10.7109375" customWidth="1"/>
    <col min="7955" max="7955" width="1.42578125" customWidth="1"/>
    <col min="7956" max="7956" width="15.7109375" customWidth="1"/>
    <col min="7957" max="7957" width="19" customWidth="1"/>
    <col min="7958" max="7958" width="16.140625" customWidth="1"/>
    <col min="8193" max="8193" width="5.42578125" customWidth="1"/>
    <col min="8194" max="8194" width="13.7109375" customWidth="1"/>
    <col min="8195" max="8195" width="18.85546875" customWidth="1"/>
    <col min="8196" max="8196" width="0.140625" customWidth="1"/>
    <col min="8197" max="8198" width="0" hidden="1" customWidth="1"/>
    <col min="8199" max="8199" width="12.42578125" customWidth="1"/>
    <col min="8200" max="8200" width="0.5703125" customWidth="1"/>
    <col min="8201" max="8201" width="14.5703125" customWidth="1"/>
    <col min="8202" max="8202" width="1" customWidth="1"/>
    <col min="8203" max="8203" width="7.140625" customWidth="1"/>
    <col min="8204" max="8204" width="6.140625" customWidth="1"/>
    <col min="8205" max="8205" width="13.28515625" customWidth="1"/>
    <col min="8206" max="8206" width="1.85546875" customWidth="1"/>
    <col min="8207" max="8207" width="12.5703125" customWidth="1"/>
    <col min="8208" max="8208" width="11.7109375" customWidth="1"/>
    <col min="8209" max="8209" width="0" hidden="1" customWidth="1"/>
    <col min="8210" max="8210" width="10.7109375" customWidth="1"/>
    <col min="8211" max="8211" width="1.42578125" customWidth="1"/>
    <col min="8212" max="8212" width="15.7109375" customWidth="1"/>
    <col min="8213" max="8213" width="19" customWidth="1"/>
    <col min="8214" max="8214" width="16.140625" customWidth="1"/>
    <col min="8449" max="8449" width="5.42578125" customWidth="1"/>
    <col min="8450" max="8450" width="13.7109375" customWidth="1"/>
    <col min="8451" max="8451" width="18.85546875" customWidth="1"/>
    <col min="8452" max="8452" width="0.140625" customWidth="1"/>
    <col min="8453" max="8454" width="0" hidden="1" customWidth="1"/>
    <col min="8455" max="8455" width="12.42578125" customWidth="1"/>
    <col min="8456" max="8456" width="0.5703125" customWidth="1"/>
    <col min="8457" max="8457" width="14.5703125" customWidth="1"/>
    <col min="8458" max="8458" width="1" customWidth="1"/>
    <col min="8459" max="8459" width="7.140625" customWidth="1"/>
    <col min="8460" max="8460" width="6.140625" customWidth="1"/>
    <col min="8461" max="8461" width="13.28515625" customWidth="1"/>
    <col min="8462" max="8462" width="1.85546875" customWidth="1"/>
    <col min="8463" max="8463" width="12.5703125" customWidth="1"/>
    <col min="8464" max="8464" width="11.7109375" customWidth="1"/>
    <col min="8465" max="8465" width="0" hidden="1" customWidth="1"/>
    <col min="8466" max="8466" width="10.7109375" customWidth="1"/>
    <col min="8467" max="8467" width="1.42578125" customWidth="1"/>
    <col min="8468" max="8468" width="15.7109375" customWidth="1"/>
    <col min="8469" max="8469" width="19" customWidth="1"/>
    <col min="8470" max="8470" width="16.140625" customWidth="1"/>
    <col min="8705" max="8705" width="5.42578125" customWidth="1"/>
    <col min="8706" max="8706" width="13.7109375" customWidth="1"/>
    <col min="8707" max="8707" width="18.85546875" customWidth="1"/>
    <col min="8708" max="8708" width="0.140625" customWidth="1"/>
    <col min="8709" max="8710" width="0" hidden="1" customWidth="1"/>
    <col min="8711" max="8711" width="12.42578125" customWidth="1"/>
    <col min="8712" max="8712" width="0.5703125" customWidth="1"/>
    <col min="8713" max="8713" width="14.5703125" customWidth="1"/>
    <col min="8714" max="8714" width="1" customWidth="1"/>
    <col min="8715" max="8715" width="7.140625" customWidth="1"/>
    <col min="8716" max="8716" width="6.140625" customWidth="1"/>
    <col min="8717" max="8717" width="13.28515625" customWidth="1"/>
    <col min="8718" max="8718" width="1.85546875" customWidth="1"/>
    <col min="8719" max="8719" width="12.5703125" customWidth="1"/>
    <col min="8720" max="8720" width="11.7109375" customWidth="1"/>
    <col min="8721" max="8721" width="0" hidden="1" customWidth="1"/>
    <col min="8722" max="8722" width="10.7109375" customWidth="1"/>
    <col min="8723" max="8723" width="1.42578125" customWidth="1"/>
    <col min="8724" max="8724" width="15.7109375" customWidth="1"/>
    <col min="8725" max="8725" width="19" customWidth="1"/>
    <col min="8726" max="8726" width="16.140625" customWidth="1"/>
    <col min="8961" max="8961" width="5.42578125" customWidth="1"/>
    <col min="8962" max="8962" width="13.7109375" customWidth="1"/>
    <col min="8963" max="8963" width="18.85546875" customWidth="1"/>
    <col min="8964" max="8964" width="0.140625" customWidth="1"/>
    <col min="8965" max="8966" width="0" hidden="1" customWidth="1"/>
    <col min="8967" max="8967" width="12.42578125" customWidth="1"/>
    <col min="8968" max="8968" width="0.5703125" customWidth="1"/>
    <col min="8969" max="8969" width="14.5703125" customWidth="1"/>
    <col min="8970" max="8970" width="1" customWidth="1"/>
    <col min="8971" max="8971" width="7.140625" customWidth="1"/>
    <col min="8972" max="8972" width="6.140625" customWidth="1"/>
    <col min="8973" max="8973" width="13.28515625" customWidth="1"/>
    <col min="8974" max="8974" width="1.85546875" customWidth="1"/>
    <col min="8975" max="8975" width="12.5703125" customWidth="1"/>
    <col min="8976" max="8976" width="11.7109375" customWidth="1"/>
    <col min="8977" max="8977" width="0" hidden="1" customWidth="1"/>
    <col min="8978" max="8978" width="10.7109375" customWidth="1"/>
    <col min="8979" max="8979" width="1.42578125" customWidth="1"/>
    <col min="8980" max="8980" width="15.7109375" customWidth="1"/>
    <col min="8981" max="8981" width="19" customWidth="1"/>
    <col min="8982" max="8982" width="16.140625" customWidth="1"/>
    <col min="9217" max="9217" width="5.42578125" customWidth="1"/>
    <col min="9218" max="9218" width="13.7109375" customWidth="1"/>
    <col min="9219" max="9219" width="18.85546875" customWidth="1"/>
    <col min="9220" max="9220" width="0.140625" customWidth="1"/>
    <col min="9221" max="9222" width="0" hidden="1" customWidth="1"/>
    <col min="9223" max="9223" width="12.42578125" customWidth="1"/>
    <col min="9224" max="9224" width="0.5703125" customWidth="1"/>
    <col min="9225" max="9225" width="14.5703125" customWidth="1"/>
    <col min="9226" max="9226" width="1" customWidth="1"/>
    <col min="9227" max="9227" width="7.140625" customWidth="1"/>
    <col min="9228" max="9228" width="6.140625" customWidth="1"/>
    <col min="9229" max="9229" width="13.28515625" customWidth="1"/>
    <col min="9230" max="9230" width="1.85546875" customWidth="1"/>
    <col min="9231" max="9231" width="12.5703125" customWidth="1"/>
    <col min="9232" max="9232" width="11.7109375" customWidth="1"/>
    <col min="9233" max="9233" width="0" hidden="1" customWidth="1"/>
    <col min="9234" max="9234" width="10.7109375" customWidth="1"/>
    <col min="9235" max="9235" width="1.42578125" customWidth="1"/>
    <col min="9236" max="9236" width="15.7109375" customWidth="1"/>
    <col min="9237" max="9237" width="19" customWidth="1"/>
    <col min="9238" max="9238" width="16.140625" customWidth="1"/>
    <col min="9473" max="9473" width="5.42578125" customWidth="1"/>
    <col min="9474" max="9474" width="13.7109375" customWidth="1"/>
    <col min="9475" max="9475" width="18.85546875" customWidth="1"/>
    <col min="9476" max="9476" width="0.140625" customWidth="1"/>
    <col min="9477" max="9478" width="0" hidden="1" customWidth="1"/>
    <col min="9479" max="9479" width="12.42578125" customWidth="1"/>
    <col min="9480" max="9480" width="0.5703125" customWidth="1"/>
    <col min="9481" max="9481" width="14.5703125" customWidth="1"/>
    <col min="9482" max="9482" width="1" customWidth="1"/>
    <col min="9483" max="9483" width="7.140625" customWidth="1"/>
    <col min="9484" max="9484" width="6.140625" customWidth="1"/>
    <col min="9485" max="9485" width="13.28515625" customWidth="1"/>
    <col min="9486" max="9486" width="1.85546875" customWidth="1"/>
    <col min="9487" max="9487" width="12.5703125" customWidth="1"/>
    <col min="9488" max="9488" width="11.7109375" customWidth="1"/>
    <col min="9489" max="9489" width="0" hidden="1" customWidth="1"/>
    <col min="9490" max="9490" width="10.7109375" customWidth="1"/>
    <col min="9491" max="9491" width="1.42578125" customWidth="1"/>
    <col min="9492" max="9492" width="15.7109375" customWidth="1"/>
    <col min="9493" max="9493" width="19" customWidth="1"/>
    <col min="9494" max="9494" width="16.140625" customWidth="1"/>
    <col min="9729" max="9729" width="5.42578125" customWidth="1"/>
    <col min="9730" max="9730" width="13.7109375" customWidth="1"/>
    <col min="9731" max="9731" width="18.85546875" customWidth="1"/>
    <col min="9732" max="9732" width="0.140625" customWidth="1"/>
    <col min="9733" max="9734" width="0" hidden="1" customWidth="1"/>
    <col min="9735" max="9735" width="12.42578125" customWidth="1"/>
    <col min="9736" max="9736" width="0.5703125" customWidth="1"/>
    <col min="9737" max="9737" width="14.5703125" customWidth="1"/>
    <col min="9738" max="9738" width="1" customWidth="1"/>
    <col min="9739" max="9739" width="7.140625" customWidth="1"/>
    <col min="9740" max="9740" width="6.140625" customWidth="1"/>
    <col min="9741" max="9741" width="13.28515625" customWidth="1"/>
    <col min="9742" max="9742" width="1.85546875" customWidth="1"/>
    <col min="9743" max="9743" width="12.5703125" customWidth="1"/>
    <col min="9744" max="9744" width="11.7109375" customWidth="1"/>
    <col min="9745" max="9745" width="0" hidden="1" customWidth="1"/>
    <col min="9746" max="9746" width="10.7109375" customWidth="1"/>
    <col min="9747" max="9747" width="1.42578125" customWidth="1"/>
    <col min="9748" max="9748" width="15.7109375" customWidth="1"/>
    <col min="9749" max="9749" width="19" customWidth="1"/>
    <col min="9750" max="9750" width="16.140625" customWidth="1"/>
    <col min="9985" max="9985" width="5.42578125" customWidth="1"/>
    <col min="9986" max="9986" width="13.7109375" customWidth="1"/>
    <col min="9987" max="9987" width="18.85546875" customWidth="1"/>
    <col min="9988" max="9988" width="0.140625" customWidth="1"/>
    <col min="9989" max="9990" width="0" hidden="1" customWidth="1"/>
    <col min="9991" max="9991" width="12.42578125" customWidth="1"/>
    <col min="9992" max="9992" width="0.5703125" customWidth="1"/>
    <col min="9993" max="9993" width="14.5703125" customWidth="1"/>
    <col min="9994" max="9994" width="1" customWidth="1"/>
    <col min="9995" max="9995" width="7.140625" customWidth="1"/>
    <col min="9996" max="9996" width="6.140625" customWidth="1"/>
    <col min="9997" max="9997" width="13.28515625" customWidth="1"/>
    <col min="9998" max="9998" width="1.85546875" customWidth="1"/>
    <col min="9999" max="9999" width="12.5703125" customWidth="1"/>
    <col min="10000" max="10000" width="11.7109375" customWidth="1"/>
    <col min="10001" max="10001" width="0" hidden="1" customWidth="1"/>
    <col min="10002" max="10002" width="10.7109375" customWidth="1"/>
    <col min="10003" max="10003" width="1.42578125" customWidth="1"/>
    <col min="10004" max="10004" width="15.7109375" customWidth="1"/>
    <col min="10005" max="10005" width="19" customWidth="1"/>
    <col min="10006" max="10006" width="16.140625" customWidth="1"/>
    <col min="10241" max="10241" width="5.42578125" customWidth="1"/>
    <col min="10242" max="10242" width="13.7109375" customWidth="1"/>
    <col min="10243" max="10243" width="18.85546875" customWidth="1"/>
    <col min="10244" max="10244" width="0.140625" customWidth="1"/>
    <col min="10245" max="10246" width="0" hidden="1" customWidth="1"/>
    <col min="10247" max="10247" width="12.42578125" customWidth="1"/>
    <col min="10248" max="10248" width="0.5703125" customWidth="1"/>
    <col min="10249" max="10249" width="14.5703125" customWidth="1"/>
    <col min="10250" max="10250" width="1" customWidth="1"/>
    <col min="10251" max="10251" width="7.140625" customWidth="1"/>
    <col min="10252" max="10252" width="6.140625" customWidth="1"/>
    <col min="10253" max="10253" width="13.28515625" customWidth="1"/>
    <col min="10254" max="10254" width="1.85546875" customWidth="1"/>
    <col min="10255" max="10255" width="12.5703125" customWidth="1"/>
    <col min="10256" max="10256" width="11.7109375" customWidth="1"/>
    <col min="10257" max="10257" width="0" hidden="1" customWidth="1"/>
    <col min="10258" max="10258" width="10.7109375" customWidth="1"/>
    <col min="10259" max="10259" width="1.42578125" customWidth="1"/>
    <col min="10260" max="10260" width="15.7109375" customWidth="1"/>
    <col min="10261" max="10261" width="19" customWidth="1"/>
    <col min="10262" max="10262" width="16.140625" customWidth="1"/>
    <col min="10497" max="10497" width="5.42578125" customWidth="1"/>
    <col min="10498" max="10498" width="13.7109375" customWidth="1"/>
    <col min="10499" max="10499" width="18.85546875" customWidth="1"/>
    <col min="10500" max="10500" width="0.140625" customWidth="1"/>
    <col min="10501" max="10502" width="0" hidden="1" customWidth="1"/>
    <col min="10503" max="10503" width="12.42578125" customWidth="1"/>
    <col min="10504" max="10504" width="0.5703125" customWidth="1"/>
    <col min="10505" max="10505" width="14.5703125" customWidth="1"/>
    <col min="10506" max="10506" width="1" customWidth="1"/>
    <col min="10507" max="10507" width="7.140625" customWidth="1"/>
    <col min="10508" max="10508" width="6.140625" customWidth="1"/>
    <col min="10509" max="10509" width="13.28515625" customWidth="1"/>
    <col min="10510" max="10510" width="1.85546875" customWidth="1"/>
    <col min="10511" max="10511" width="12.5703125" customWidth="1"/>
    <col min="10512" max="10512" width="11.7109375" customWidth="1"/>
    <col min="10513" max="10513" width="0" hidden="1" customWidth="1"/>
    <col min="10514" max="10514" width="10.7109375" customWidth="1"/>
    <col min="10515" max="10515" width="1.42578125" customWidth="1"/>
    <col min="10516" max="10516" width="15.7109375" customWidth="1"/>
    <col min="10517" max="10517" width="19" customWidth="1"/>
    <col min="10518" max="10518" width="16.140625" customWidth="1"/>
    <col min="10753" max="10753" width="5.42578125" customWidth="1"/>
    <col min="10754" max="10754" width="13.7109375" customWidth="1"/>
    <col min="10755" max="10755" width="18.85546875" customWidth="1"/>
    <col min="10756" max="10756" width="0.140625" customWidth="1"/>
    <col min="10757" max="10758" width="0" hidden="1" customWidth="1"/>
    <col min="10759" max="10759" width="12.42578125" customWidth="1"/>
    <col min="10760" max="10760" width="0.5703125" customWidth="1"/>
    <col min="10761" max="10761" width="14.5703125" customWidth="1"/>
    <col min="10762" max="10762" width="1" customWidth="1"/>
    <col min="10763" max="10763" width="7.140625" customWidth="1"/>
    <col min="10764" max="10764" width="6.140625" customWidth="1"/>
    <col min="10765" max="10765" width="13.28515625" customWidth="1"/>
    <col min="10766" max="10766" width="1.85546875" customWidth="1"/>
    <col min="10767" max="10767" width="12.5703125" customWidth="1"/>
    <col min="10768" max="10768" width="11.7109375" customWidth="1"/>
    <col min="10769" max="10769" width="0" hidden="1" customWidth="1"/>
    <col min="10770" max="10770" width="10.7109375" customWidth="1"/>
    <col min="10771" max="10771" width="1.42578125" customWidth="1"/>
    <col min="10772" max="10772" width="15.7109375" customWidth="1"/>
    <col min="10773" max="10773" width="19" customWidth="1"/>
    <col min="10774" max="10774" width="16.140625" customWidth="1"/>
    <col min="11009" max="11009" width="5.42578125" customWidth="1"/>
    <col min="11010" max="11010" width="13.7109375" customWidth="1"/>
    <col min="11011" max="11011" width="18.85546875" customWidth="1"/>
    <col min="11012" max="11012" width="0.140625" customWidth="1"/>
    <col min="11013" max="11014" width="0" hidden="1" customWidth="1"/>
    <col min="11015" max="11015" width="12.42578125" customWidth="1"/>
    <col min="11016" max="11016" width="0.5703125" customWidth="1"/>
    <col min="11017" max="11017" width="14.5703125" customWidth="1"/>
    <col min="11018" max="11018" width="1" customWidth="1"/>
    <col min="11019" max="11019" width="7.140625" customWidth="1"/>
    <col min="11020" max="11020" width="6.140625" customWidth="1"/>
    <col min="11021" max="11021" width="13.28515625" customWidth="1"/>
    <col min="11022" max="11022" width="1.85546875" customWidth="1"/>
    <col min="11023" max="11023" width="12.5703125" customWidth="1"/>
    <col min="11024" max="11024" width="11.7109375" customWidth="1"/>
    <col min="11025" max="11025" width="0" hidden="1" customWidth="1"/>
    <col min="11026" max="11026" width="10.7109375" customWidth="1"/>
    <col min="11027" max="11027" width="1.42578125" customWidth="1"/>
    <col min="11028" max="11028" width="15.7109375" customWidth="1"/>
    <col min="11029" max="11029" width="19" customWidth="1"/>
    <col min="11030" max="11030" width="16.140625" customWidth="1"/>
    <col min="11265" max="11265" width="5.42578125" customWidth="1"/>
    <col min="11266" max="11266" width="13.7109375" customWidth="1"/>
    <col min="11267" max="11267" width="18.85546875" customWidth="1"/>
    <col min="11268" max="11268" width="0.140625" customWidth="1"/>
    <col min="11269" max="11270" width="0" hidden="1" customWidth="1"/>
    <col min="11271" max="11271" width="12.42578125" customWidth="1"/>
    <col min="11272" max="11272" width="0.5703125" customWidth="1"/>
    <col min="11273" max="11273" width="14.5703125" customWidth="1"/>
    <col min="11274" max="11274" width="1" customWidth="1"/>
    <col min="11275" max="11275" width="7.140625" customWidth="1"/>
    <col min="11276" max="11276" width="6.140625" customWidth="1"/>
    <col min="11277" max="11277" width="13.28515625" customWidth="1"/>
    <col min="11278" max="11278" width="1.85546875" customWidth="1"/>
    <col min="11279" max="11279" width="12.5703125" customWidth="1"/>
    <col min="11280" max="11280" width="11.7109375" customWidth="1"/>
    <col min="11281" max="11281" width="0" hidden="1" customWidth="1"/>
    <col min="11282" max="11282" width="10.7109375" customWidth="1"/>
    <col min="11283" max="11283" width="1.42578125" customWidth="1"/>
    <col min="11284" max="11284" width="15.7109375" customWidth="1"/>
    <col min="11285" max="11285" width="19" customWidth="1"/>
    <col min="11286" max="11286" width="16.140625" customWidth="1"/>
    <col min="11521" max="11521" width="5.42578125" customWidth="1"/>
    <col min="11522" max="11522" width="13.7109375" customWidth="1"/>
    <col min="11523" max="11523" width="18.85546875" customWidth="1"/>
    <col min="11524" max="11524" width="0.140625" customWidth="1"/>
    <col min="11525" max="11526" width="0" hidden="1" customWidth="1"/>
    <col min="11527" max="11527" width="12.42578125" customWidth="1"/>
    <col min="11528" max="11528" width="0.5703125" customWidth="1"/>
    <col min="11529" max="11529" width="14.5703125" customWidth="1"/>
    <col min="11530" max="11530" width="1" customWidth="1"/>
    <col min="11531" max="11531" width="7.140625" customWidth="1"/>
    <col min="11532" max="11532" width="6.140625" customWidth="1"/>
    <col min="11533" max="11533" width="13.28515625" customWidth="1"/>
    <col min="11534" max="11534" width="1.85546875" customWidth="1"/>
    <col min="11535" max="11535" width="12.5703125" customWidth="1"/>
    <col min="11536" max="11536" width="11.7109375" customWidth="1"/>
    <col min="11537" max="11537" width="0" hidden="1" customWidth="1"/>
    <col min="11538" max="11538" width="10.7109375" customWidth="1"/>
    <col min="11539" max="11539" width="1.42578125" customWidth="1"/>
    <col min="11540" max="11540" width="15.7109375" customWidth="1"/>
    <col min="11541" max="11541" width="19" customWidth="1"/>
    <col min="11542" max="11542" width="16.140625" customWidth="1"/>
    <col min="11777" max="11777" width="5.42578125" customWidth="1"/>
    <col min="11778" max="11778" width="13.7109375" customWidth="1"/>
    <col min="11779" max="11779" width="18.85546875" customWidth="1"/>
    <col min="11780" max="11780" width="0.140625" customWidth="1"/>
    <col min="11781" max="11782" width="0" hidden="1" customWidth="1"/>
    <col min="11783" max="11783" width="12.42578125" customWidth="1"/>
    <col min="11784" max="11784" width="0.5703125" customWidth="1"/>
    <col min="11785" max="11785" width="14.5703125" customWidth="1"/>
    <col min="11786" max="11786" width="1" customWidth="1"/>
    <col min="11787" max="11787" width="7.140625" customWidth="1"/>
    <col min="11788" max="11788" width="6.140625" customWidth="1"/>
    <col min="11789" max="11789" width="13.28515625" customWidth="1"/>
    <col min="11790" max="11790" width="1.85546875" customWidth="1"/>
    <col min="11791" max="11791" width="12.5703125" customWidth="1"/>
    <col min="11792" max="11792" width="11.7109375" customWidth="1"/>
    <col min="11793" max="11793" width="0" hidden="1" customWidth="1"/>
    <col min="11794" max="11794" width="10.7109375" customWidth="1"/>
    <col min="11795" max="11795" width="1.42578125" customWidth="1"/>
    <col min="11796" max="11796" width="15.7109375" customWidth="1"/>
    <col min="11797" max="11797" width="19" customWidth="1"/>
    <col min="11798" max="11798" width="16.140625" customWidth="1"/>
    <col min="12033" max="12033" width="5.42578125" customWidth="1"/>
    <col min="12034" max="12034" width="13.7109375" customWidth="1"/>
    <col min="12035" max="12035" width="18.85546875" customWidth="1"/>
    <col min="12036" max="12036" width="0.140625" customWidth="1"/>
    <col min="12037" max="12038" width="0" hidden="1" customWidth="1"/>
    <col min="12039" max="12039" width="12.42578125" customWidth="1"/>
    <col min="12040" max="12040" width="0.5703125" customWidth="1"/>
    <col min="12041" max="12041" width="14.5703125" customWidth="1"/>
    <col min="12042" max="12042" width="1" customWidth="1"/>
    <col min="12043" max="12043" width="7.140625" customWidth="1"/>
    <col min="12044" max="12044" width="6.140625" customWidth="1"/>
    <col min="12045" max="12045" width="13.28515625" customWidth="1"/>
    <col min="12046" max="12046" width="1.85546875" customWidth="1"/>
    <col min="12047" max="12047" width="12.5703125" customWidth="1"/>
    <col min="12048" max="12048" width="11.7109375" customWidth="1"/>
    <col min="12049" max="12049" width="0" hidden="1" customWidth="1"/>
    <col min="12050" max="12050" width="10.7109375" customWidth="1"/>
    <col min="12051" max="12051" width="1.42578125" customWidth="1"/>
    <col min="12052" max="12052" width="15.7109375" customWidth="1"/>
    <col min="12053" max="12053" width="19" customWidth="1"/>
    <col min="12054" max="12054" width="16.140625" customWidth="1"/>
    <col min="12289" max="12289" width="5.42578125" customWidth="1"/>
    <col min="12290" max="12290" width="13.7109375" customWidth="1"/>
    <col min="12291" max="12291" width="18.85546875" customWidth="1"/>
    <col min="12292" max="12292" width="0.140625" customWidth="1"/>
    <col min="12293" max="12294" width="0" hidden="1" customWidth="1"/>
    <col min="12295" max="12295" width="12.42578125" customWidth="1"/>
    <col min="12296" max="12296" width="0.5703125" customWidth="1"/>
    <col min="12297" max="12297" width="14.5703125" customWidth="1"/>
    <col min="12298" max="12298" width="1" customWidth="1"/>
    <col min="12299" max="12299" width="7.140625" customWidth="1"/>
    <col min="12300" max="12300" width="6.140625" customWidth="1"/>
    <col min="12301" max="12301" width="13.28515625" customWidth="1"/>
    <col min="12302" max="12302" width="1.85546875" customWidth="1"/>
    <col min="12303" max="12303" width="12.5703125" customWidth="1"/>
    <col min="12304" max="12304" width="11.7109375" customWidth="1"/>
    <col min="12305" max="12305" width="0" hidden="1" customWidth="1"/>
    <col min="12306" max="12306" width="10.7109375" customWidth="1"/>
    <col min="12307" max="12307" width="1.42578125" customWidth="1"/>
    <col min="12308" max="12308" width="15.7109375" customWidth="1"/>
    <col min="12309" max="12309" width="19" customWidth="1"/>
    <col min="12310" max="12310" width="16.140625" customWidth="1"/>
    <col min="12545" max="12545" width="5.42578125" customWidth="1"/>
    <col min="12546" max="12546" width="13.7109375" customWidth="1"/>
    <col min="12547" max="12547" width="18.85546875" customWidth="1"/>
    <col min="12548" max="12548" width="0.140625" customWidth="1"/>
    <col min="12549" max="12550" width="0" hidden="1" customWidth="1"/>
    <col min="12551" max="12551" width="12.42578125" customWidth="1"/>
    <col min="12552" max="12552" width="0.5703125" customWidth="1"/>
    <col min="12553" max="12553" width="14.5703125" customWidth="1"/>
    <col min="12554" max="12554" width="1" customWidth="1"/>
    <col min="12555" max="12555" width="7.140625" customWidth="1"/>
    <col min="12556" max="12556" width="6.140625" customWidth="1"/>
    <col min="12557" max="12557" width="13.28515625" customWidth="1"/>
    <col min="12558" max="12558" width="1.85546875" customWidth="1"/>
    <col min="12559" max="12559" width="12.5703125" customWidth="1"/>
    <col min="12560" max="12560" width="11.7109375" customWidth="1"/>
    <col min="12561" max="12561" width="0" hidden="1" customWidth="1"/>
    <col min="12562" max="12562" width="10.7109375" customWidth="1"/>
    <col min="12563" max="12563" width="1.42578125" customWidth="1"/>
    <col min="12564" max="12564" width="15.7109375" customWidth="1"/>
    <col min="12565" max="12565" width="19" customWidth="1"/>
    <col min="12566" max="12566" width="16.140625" customWidth="1"/>
    <col min="12801" max="12801" width="5.42578125" customWidth="1"/>
    <col min="12802" max="12802" width="13.7109375" customWidth="1"/>
    <col min="12803" max="12803" width="18.85546875" customWidth="1"/>
    <col min="12804" max="12804" width="0.140625" customWidth="1"/>
    <col min="12805" max="12806" width="0" hidden="1" customWidth="1"/>
    <col min="12807" max="12807" width="12.42578125" customWidth="1"/>
    <col min="12808" max="12808" width="0.5703125" customWidth="1"/>
    <col min="12809" max="12809" width="14.5703125" customWidth="1"/>
    <col min="12810" max="12810" width="1" customWidth="1"/>
    <col min="12811" max="12811" width="7.140625" customWidth="1"/>
    <col min="12812" max="12812" width="6.140625" customWidth="1"/>
    <col min="12813" max="12813" width="13.28515625" customWidth="1"/>
    <col min="12814" max="12814" width="1.85546875" customWidth="1"/>
    <col min="12815" max="12815" width="12.5703125" customWidth="1"/>
    <col min="12816" max="12816" width="11.7109375" customWidth="1"/>
    <col min="12817" max="12817" width="0" hidden="1" customWidth="1"/>
    <col min="12818" max="12818" width="10.7109375" customWidth="1"/>
    <col min="12819" max="12819" width="1.42578125" customWidth="1"/>
    <col min="12820" max="12820" width="15.7109375" customWidth="1"/>
    <col min="12821" max="12821" width="19" customWidth="1"/>
    <col min="12822" max="12822" width="16.140625" customWidth="1"/>
    <col min="13057" max="13057" width="5.42578125" customWidth="1"/>
    <col min="13058" max="13058" width="13.7109375" customWidth="1"/>
    <col min="13059" max="13059" width="18.85546875" customWidth="1"/>
    <col min="13060" max="13060" width="0.140625" customWidth="1"/>
    <col min="13061" max="13062" width="0" hidden="1" customWidth="1"/>
    <col min="13063" max="13063" width="12.42578125" customWidth="1"/>
    <col min="13064" max="13064" width="0.5703125" customWidth="1"/>
    <col min="13065" max="13065" width="14.5703125" customWidth="1"/>
    <col min="13066" max="13066" width="1" customWidth="1"/>
    <col min="13067" max="13067" width="7.140625" customWidth="1"/>
    <col min="13068" max="13068" width="6.140625" customWidth="1"/>
    <col min="13069" max="13069" width="13.28515625" customWidth="1"/>
    <col min="13070" max="13070" width="1.85546875" customWidth="1"/>
    <col min="13071" max="13071" width="12.5703125" customWidth="1"/>
    <col min="13072" max="13072" width="11.7109375" customWidth="1"/>
    <col min="13073" max="13073" width="0" hidden="1" customWidth="1"/>
    <col min="13074" max="13074" width="10.7109375" customWidth="1"/>
    <col min="13075" max="13075" width="1.42578125" customWidth="1"/>
    <col min="13076" max="13076" width="15.7109375" customWidth="1"/>
    <col min="13077" max="13077" width="19" customWidth="1"/>
    <col min="13078" max="13078" width="16.140625" customWidth="1"/>
    <col min="13313" max="13313" width="5.42578125" customWidth="1"/>
    <col min="13314" max="13314" width="13.7109375" customWidth="1"/>
    <col min="13315" max="13315" width="18.85546875" customWidth="1"/>
    <col min="13316" max="13316" width="0.140625" customWidth="1"/>
    <col min="13317" max="13318" width="0" hidden="1" customWidth="1"/>
    <col min="13319" max="13319" width="12.42578125" customWidth="1"/>
    <col min="13320" max="13320" width="0.5703125" customWidth="1"/>
    <col min="13321" max="13321" width="14.5703125" customWidth="1"/>
    <col min="13322" max="13322" width="1" customWidth="1"/>
    <col min="13323" max="13323" width="7.140625" customWidth="1"/>
    <col min="13324" max="13324" width="6.140625" customWidth="1"/>
    <col min="13325" max="13325" width="13.28515625" customWidth="1"/>
    <col min="13326" max="13326" width="1.85546875" customWidth="1"/>
    <col min="13327" max="13327" width="12.5703125" customWidth="1"/>
    <col min="13328" max="13328" width="11.7109375" customWidth="1"/>
    <col min="13329" max="13329" width="0" hidden="1" customWidth="1"/>
    <col min="13330" max="13330" width="10.7109375" customWidth="1"/>
    <col min="13331" max="13331" width="1.42578125" customWidth="1"/>
    <col min="13332" max="13332" width="15.7109375" customWidth="1"/>
    <col min="13333" max="13333" width="19" customWidth="1"/>
    <col min="13334" max="13334" width="16.140625" customWidth="1"/>
    <col min="13569" max="13569" width="5.42578125" customWidth="1"/>
    <col min="13570" max="13570" width="13.7109375" customWidth="1"/>
    <col min="13571" max="13571" width="18.85546875" customWidth="1"/>
    <col min="13572" max="13572" width="0.140625" customWidth="1"/>
    <col min="13573" max="13574" width="0" hidden="1" customWidth="1"/>
    <col min="13575" max="13575" width="12.42578125" customWidth="1"/>
    <col min="13576" max="13576" width="0.5703125" customWidth="1"/>
    <col min="13577" max="13577" width="14.5703125" customWidth="1"/>
    <col min="13578" max="13578" width="1" customWidth="1"/>
    <col min="13579" max="13579" width="7.140625" customWidth="1"/>
    <col min="13580" max="13580" width="6.140625" customWidth="1"/>
    <col min="13581" max="13581" width="13.28515625" customWidth="1"/>
    <col min="13582" max="13582" width="1.85546875" customWidth="1"/>
    <col min="13583" max="13583" width="12.5703125" customWidth="1"/>
    <col min="13584" max="13584" width="11.7109375" customWidth="1"/>
    <col min="13585" max="13585" width="0" hidden="1" customWidth="1"/>
    <col min="13586" max="13586" width="10.7109375" customWidth="1"/>
    <col min="13587" max="13587" width="1.42578125" customWidth="1"/>
    <col min="13588" max="13588" width="15.7109375" customWidth="1"/>
    <col min="13589" max="13589" width="19" customWidth="1"/>
    <col min="13590" max="13590" width="16.140625" customWidth="1"/>
    <col min="13825" max="13825" width="5.42578125" customWidth="1"/>
    <col min="13826" max="13826" width="13.7109375" customWidth="1"/>
    <col min="13827" max="13827" width="18.85546875" customWidth="1"/>
    <col min="13828" max="13828" width="0.140625" customWidth="1"/>
    <col min="13829" max="13830" width="0" hidden="1" customWidth="1"/>
    <col min="13831" max="13831" width="12.42578125" customWidth="1"/>
    <col min="13832" max="13832" width="0.5703125" customWidth="1"/>
    <col min="13833" max="13833" width="14.5703125" customWidth="1"/>
    <col min="13834" max="13834" width="1" customWidth="1"/>
    <col min="13835" max="13835" width="7.140625" customWidth="1"/>
    <col min="13836" max="13836" width="6.140625" customWidth="1"/>
    <col min="13837" max="13837" width="13.28515625" customWidth="1"/>
    <col min="13838" max="13838" width="1.85546875" customWidth="1"/>
    <col min="13839" max="13839" width="12.5703125" customWidth="1"/>
    <col min="13840" max="13840" width="11.7109375" customWidth="1"/>
    <col min="13841" max="13841" width="0" hidden="1" customWidth="1"/>
    <col min="13842" max="13842" width="10.7109375" customWidth="1"/>
    <col min="13843" max="13843" width="1.42578125" customWidth="1"/>
    <col min="13844" max="13844" width="15.7109375" customWidth="1"/>
    <col min="13845" max="13845" width="19" customWidth="1"/>
    <col min="13846" max="13846" width="16.140625" customWidth="1"/>
    <col min="14081" max="14081" width="5.42578125" customWidth="1"/>
    <col min="14082" max="14082" width="13.7109375" customWidth="1"/>
    <col min="14083" max="14083" width="18.85546875" customWidth="1"/>
    <col min="14084" max="14084" width="0.140625" customWidth="1"/>
    <col min="14085" max="14086" width="0" hidden="1" customWidth="1"/>
    <col min="14087" max="14087" width="12.42578125" customWidth="1"/>
    <col min="14088" max="14088" width="0.5703125" customWidth="1"/>
    <col min="14089" max="14089" width="14.5703125" customWidth="1"/>
    <col min="14090" max="14090" width="1" customWidth="1"/>
    <col min="14091" max="14091" width="7.140625" customWidth="1"/>
    <col min="14092" max="14092" width="6.140625" customWidth="1"/>
    <col min="14093" max="14093" width="13.28515625" customWidth="1"/>
    <col min="14094" max="14094" width="1.85546875" customWidth="1"/>
    <col min="14095" max="14095" width="12.5703125" customWidth="1"/>
    <col min="14096" max="14096" width="11.7109375" customWidth="1"/>
    <col min="14097" max="14097" width="0" hidden="1" customWidth="1"/>
    <col min="14098" max="14098" width="10.7109375" customWidth="1"/>
    <col min="14099" max="14099" width="1.42578125" customWidth="1"/>
    <col min="14100" max="14100" width="15.7109375" customWidth="1"/>
    <col min="14101" max="14101" width="19" customWidth="1"/>
    <col min="14102" max="14102" width="16.140625" customWidth="1"/>
    <col min="14337" max="14337" width="5.42578125" customWidth="1"/>
    <col min="14338" max="14338" width="13.7109375" customWidth="1"/>
    <col min="14339" max="14339" width="18.85546875" customWidth="1"/>
    <col min="14340" max="14340" width="0.140625" customWidth="1"/>
    <col min="14341" max="14342" width="0" hidden="1" customWidth="1"/>
    <col min="14343" max="14343" width="12.42578125" customWidth="1"/>
    <col min="14344" max="14344" width="0.5703125" customWidth="1"/>
    <col min="14345" max="14345" width="14.5703125" customWidth="1"/>
    <col min="14346" max="14346" width="1" customWidth="1"/>
    <col min="14347" max="14347" width="7.140625" customWidth="1"/>
    <col min="14348" max="14348" width="6.140625" customWidth="1"/>
    <col min="14349" max="14349" width="13.28515625" customWidth="1"/>
    <col min="14350" max="14350" width="1.85546875" customWidth="1"/>
    <col min="14351" max="14351" width="12.5703125" customWidth="1"/>
    <col min="14352" max="14352" width="11.7109375" customWidth="1"/>
    <col min="14353" max="14353" width="0" hidden="1" customWidth="1"/>
    <col min="14354" max="14354" width="10.7109375" customWidth="1"/>
    <col min="14355" max="14355" width="1.42578125" customWidth="1"/>
    <col min="14356" max="14356" width="15.7109375" customWidth="1"/>
    <col min="14357" max="14357" width="19" customWidth="1"/>
    <col min="14358" max="14358" width="16.140625" customWidth="1"/>
    <col min="14593" max="14593" width="5.42578125" customWidth="1"/>
    <col min="14594" max="14594" width="13.7109375" customWidth="1"/>
    <col min="14595" max="14595" width="18.85546875" customWidth="1"/>
    <col min="14596" max="14596" width="0.140625" customWidth="1"/>
    <col min="14597" max="14598" width="0" hidden="1" customWidth="1"/>
    <col min="14599" max="14599" width="12.42578125" customWidth="1"/>
    <col min="14600" max="14600" width="0.5703125" customWidth="1"/>
    <col min="14601" max="14601" width="14.5703125" customWidth="1"/>
    <col min="14602" max="14602" width="1" customWidth="1"/>
    <col min="14603" max="14603" width="7.140625" customWidth="1"/>
    <col min="14604" max="14604" width="6.140625" customWidth="1"/>
    <col min="14605" max="14605" width="13.28515625" customWidth="1"/>
    <col min="14606" max="14606" width="1.85546875" customWidth="1"/>
    <col min="14607" max="14607" width="12.5703125" customWidth="1"/>
    <col min="14608" max="14608" width="11.7109375" customWidth="1"/>
    <col min="14609" max="14609" width="0" hidden="1" customWidth="1"/>
    <col min="14610" max="14610" width="10.7109375" customWidth="1"/>
    <col min="14611" max="14611" width="1.42578125" customWidth="1"/>
    <col min="14612" max="14612" width="15.7109375" customWidth="1"/>
    <col min="14613" max="14613" width="19" customWidth="1"/>
    <col min="14614" max="14614" width="16.140625" customWidth="1"/>
    <col min="14849" max="14849" width="5.42578125" customWidth="1"/>
    <col min="14850" max="14850" width="13.7109375" customWidth="1"/>
    <col min="14851" max="14851" width="18.85546875" customWidth="1"/>
    <col min="14852" max="14852" width="0.140625" customWidth="1"/>
    <col min="14853" max="14854" width="0" hidden="1" customWidth="1"/>
    <col min="14855" max="14855" width="12.42578125" customWidth="1"/>
    <col min="14856" max="14856" width="0.5703125" customWidth="1"/>
    <col min="14857" max="14857" width="14.5703125" customWidth="1"/>
    <col min="14858" max="14858" width="1" customWidth="1"/>
    <col min="14859" max="14859" width="7.140625" customWidth="1"/>
    <col min="14860" max="14860" width="6.140625" customWidth="1"/>
    <col min="14861" max="14861" width="13.28515625" customWidth="1"/>
    <col min="14862" max="14862" width="1.85546875" customWidth="1"/>
    <col min="14863" max="14863" width="12.5703125" customWidth="1"/>
    <col min="14864" max="14864" width="11.7109375" customWidth="1"/>
    <col min="14865" max="14865" width="0" hidden="1" customWidth="1"/>
    <col min="14866" max="14866" width="10.7109375" customWidth="1"/>
    <col min="14867" max="14867" width="1.42578125" customWidth="1"/>
    <col min="14868" max="14868" width="15.7109375" customWidth="1"/>
    <col min="14869" max="14869" width="19" customWidth="1"/>
    <col min="14870" max="14870" width="16.140625" customWidth="1"/>
    <col min="15105" max="15105" width="5.42578125" customWidth="1"/>
    <col min="15106" max="15106" width="13.7109375" customWidth="1"/>
    <col min="15107" max="15107" width="18.85546875" customWidth="1"/>
    <col min="15108" max="15108" width="0.140625" customWidth="1"/>
    <col min="15109" max="15110" width="0" hidden="1" customWidth="1"/>
    <col min="15111" max="15111" width="12.42578125" customWidth="1"/>
    <col min="15112" max="15112" width="0.5703125" customWidth="1"/>
    <col min="15113" max="15113" width="14.5703125" customWidth="1"/>
    <col min="15114" max="15114" width="1" customWidth="1"/>
    <col min="15115" max="15115" width="7.140625" customWidth="1"/>
    <col min="15116" max="15116" width="6.140625" customWidth="1"/>
    <col min="15117" max="15117" width="13.28515625" customWidth="1"/>
    <col min="15118" max="15118" width="1.85546875" customWidth="1"/>
    <col min="15119" max="15119" width="12.5703125" customWidth="1"/>
    <col min="15120" max="15120" width="11.7109375" customWidth="1"/>
    <col min="15121" max="15121" width="0" hidden="1" customWidth="1"/>
    <col min="15122" max="15122" width="10.7109375" customWidth="1"/>
    <col min="15123" max="15123" width="1.42578125" customWidth="1"/>
    <col min="15124" max="15124" width="15.7109375" customWidth="1"/>
    <col min="15125" max="15125" width="19" customWidth="1"/>
    <col min="15126" max="15126" width="16.140625" customWidth="1"/>
    <col min="15361" max="15361" width="5.42578125" customWidth="1"/>
    <col min="15362" max="15362" width="13.7109375" customWidth="1"/>
    <col min="15363" max="15363" width="18.85546875" customWidth="1"/>
    <col min="15364" max="15364" width="0.140625" customWidth="1"/>
    <col min="15365" max="15366" width="0" hidden="1" customWidth="1"/>
    <col min="15367" max="15367" width="12.42578125" customWidth="1"/>
    <col min="15368" max="15368" width="0.5703125" customWidth="1"/>
    <col min="15369" max="15369" width="14.5703125" customWidth="1"/>
    <col min="15370" max="15370" width="1" customWidth="1"/>
    <col min="15371" max="15371" width="7.140625" customWidth="1"/>
    <col min="15372" max="15372" width="6.140625" customWidth="1"/>
    <col min="15373" max="15373" width="13.28515625" customWidth="1"/>
    <col min="15374" max="15374" width="1.85546875" customWidth="1"/>
    <col min="15375" max="15375" width="12.5703125" customWidth="1"/>
    <col min="15376" max="15376" width="11.7109375" customWidth="1"/>
    <col min="15377" max="15377" width="0" hidden="1" customWidth="1"/>
    <col min="15378" max="15378" width="10.7109375" customWidth="1"/>
    <col min="15379" max="15379" width="1.42578125" customWidth="1"/>
    <col min="15380" max="15380" width="15.7109375" customWidth="1"/>
    <col min="15381" max="15381" width="19" customWidth="1"/>
    <col min="15382" max="15382" width="16.140625" customWidth="1"/>
    <col min="15617" max="15617" width="5.42578125" customWidth="1"/>
    <col min="15618" max="15618" width="13.7109375" customWidth="1"/>
    <col min="15619" max="15619" width="18.85546875" customWidth="1"/>
    <col min="15620" max="15620" width="0.140625" customWidth="1"/>
    <col min="15621" max="15622" width="0" hidden="1" customWidth="1"/>
    <col min="15623" max="15623" width="12.42578125" customWidth="1"/>
    <col min="15624" max="15624" width="0.5703125" customWidth="1"/>
    <col min="15625" max="15625" width="14.5703125" customWidth="1"/>
    <col min="15626" max="15626" width="1" customWidth="1"/>
    <col min="15627" max="15627" width="7.140625" customWidth="1"/>
    <col min="15628" max="15628" width="6.140625" customWidth="1"/>
    <col min="15629" max="15629" width="13.28515625" customWidth="1"/>
    <col min="15630" max="15630" width="1.85546875" customWidth="1"/>
    <col min="15631" max="15631" width="12.5703125" customWidth="1"/>
    <col min="15632" max="15632" width="11.7109375" customWidth="1"/>
    <col min="15633" max="15633" width="0" hidden="1" customWidth="1"/>
    <col min="15634" max="15634" width="10.7109375" customWidth="1"/>
    <col min="15635" max="15635" width="1.42578125" customWidth="1"/>
    <col min="15636" max="15636" width="15.7109375" customWidth="1"/>
    <col min="15637" max="15637" width="19" customWidth="1"/>
    <col min="15638" max="15638" width="16.140625" customWidth="1"/>
    <col min="15873" max="15873" width="5.42578125" customWidth="1"/>
    <col min="15874" max="15874" width="13.7109375" customWidth="1"/>
    <col min="15875" max="15875" width="18.85546875" customWidth="1"/>
    <col min="15876" max="15876" width="0.140625" customWidth="1"/>
    <col min="15877" max="15878" width="0" hidden="1" customWidth="1"/>
    <col min="15879" max="15879" width="12.42578125" customWidth="1"/>
    <col min="15880" max="15880" width="0.5703125" customWidth="1"/>
    <col min="15881" max="15881" width="14.5703125" customWidth="1"/>
    <col min="15882" max="15882" width="1" customWidth="1"/>
    <col min="15883" max="15883" width="7.140625" customWidth="1"/>
    <col min="15884" max="15884" width="6.140625" customWidth="1"/>
    <col min="15885" max="15885" width="13.28515625" customWidth="1"/>
    <col min="15886" max="15886" width="1.85546875" customWidth="1"/>
    <col min="15887" max="15887" width="12.5703125" customWidth="1"/>
    <col min="15888" max="15888" width="11.7109375" customWidth="1"/>
    <col min="15889" max="15889" width="0" hidden="1" customWidth="1"/>
    <col min="15890" max="15890" width="10.7109375" customWidth="1"/>
    <col min="15891" max="15891" width="1.42578125" customWidth="1"/>
    <col min="15892" max="15892" width="15.7109375" customWidth="1"/>
    <col min="15893" max="15893" width="19" customWidth="1"/>
    <col min="15894" max="15894" width="16.140625" customWidth="1"/>
    <col min="16129" max="16129" width="5.42578125" customWidth="1"/>
    <col min="16130" max="16130" width="13.7109375" customWidth="1"/>
    <col min="16131" max="16131" width="18.85546875" customWidth="1"/>
    <col min="16132" max="16132" width="0.140625" customWidth="1"/>
    <col min="16133" max="16134" width="0" hidden="1" customWidth="1"/>
    <col min="16135" max="16135" width="12.42578125" customWidth="1"/>
    <col min="16136" max="16136" width="0.5703125" customWidth="1"/>
    <col min="16137" max="16137" width="14.5703125" customWidth="1"/>
    <col min="16138" max="16138" width="1" customWidth="1"/>
    <col min="16139" max="16139" width="7.140625" customWidth="1"/>
    <col min="16140" max="16140" width="6.140625" customWidth="1"/>
    <col min="16141" max="16141" width="13.28515625" customWidth="1"/>
    <col min="16142" max="16142" width="1.85546875" customWidth="1"/>
    <col min="16143" max="16143" width="12.5703125" customWidth="1"/>
    <col min="16144" max="16144" width="11.7109375" customWidth="1"/>
    <col min="16145" max="16145" width="0" hidden="1" customWidth="1"/>
    <col min="16146" max="16146" width="10.7109375" customWidth="1"/>
    <col min="16147" max="16147" width="1.42578125" customWidth="1"/>
    <col min="16148" max="16148" width="15.7109375" customWidth="1"/>
    <col min="16149" max="16149" width="19" customWidth="1"/>
    <col min="16150" max="16150" width="16.140625" customWidth="1"/>
  </cols>
  <sheetData>
    <row r="1" spans="1:22" ht="11.45" customHeight="1"/>
    <row r="2" spans="1:22" ht="78.599999999999994" customHeight="1">
      <c r="A2" s="2204"/>
      <c r="B2" s="2205"/>
      <c r="C2" s="2205"/>
      <c r="D2" s="2205"/>
      <c r="E2" s="2205"/>
      <c r="F2" s="2205"/>
      <c r="G2" s="2205"/>
      <c r="H2" s="2205"/>
      <c r="I2" s="2205"/>
      <c r="J2" s="2205"/>
      <c r="K2" s="2205"/>
      <c r="L2" s="2205"/>
      <c r="M2" s="2205"/>
      <c r="N2" s="2205"/>
      <c r="O2" s="2205"/>
      <c r="P2" s="2205"/>
      <c r="Q2" s="2404" t="s">
        <v>4188</v>
      </c>
      <c r="R2" s="2404"/>
      <c r="S2" s="2404"/>
      <c r="T2" s="2404"/>
      <c r="U2" s="2404"/>
      <c r="V2" s="2404"/>
    </row>
    <row r="3" spans="1:22" ht="16.899999999999999" customHeight="1">
      <c r="A3" s="2204"/>
      <c r="B3" s="2205"/>
      <c r="C3" s="2205"/>
      <c r="D3" s="2205"/>
      <c r="E3" s="2205"/>
      <c r="F3" s="2205"/>
      <c r="G3" s="2205"/>
      <c r="H3" s="2205"/>
      <c r="I3" s="2205"/>
      <c r="J3" s="2205"/>
      <c r="K3" s="2205"/>
      <c r="L3" s="2205"/>
      <c r="M3" s="2205"/>
      <c r="N3" s="2205"/>
      <c r="O3" s="2205"/>
      <c r="P3" s="2205"/>
      <c r="Q3" s="2283"/>
      <c r="R3" s="2205"/>
      <c r="S3" s="2205"/>
      <c r="T3" s="2205"/>
      <c r="U3" s="2205"/>
      <c r="V3" s="1395"/>
    </row>
    <row r="4" spans="1:22" ht="16.899999999999999" customHeight="1">
      <c r="A4" s="2284"/>
      <c r="B4" s="2205"/>
      <c r="C4" s="2205"/>
      <c r="D4" s="2285" t="s">
        <v>3729</v>
      </c>
      <c r="E4" s="2342"/>
      <c r="F4" s="2342"/>
      <c r="G4" s="2342"/>
      <c r="H4" s="2342"/>
      <c r="I4" s="2342"/>
      <c r="J4" s="2342"/>
      <c r="K4" s="2342"/>
      <c r="L4" s="2342"/>
      <c r="M4" s="2342"/>
      <c r="N4" s="2342"/>
      <c r="O4" s="2342"/>
      <c r="P4" s="2342"/>
      <c r="Q4" s="2342"/>
      <c r="R4" s="2342"/>
      <c r="S4" s="2284"/>
      <c r="T4" s="2205"/>
      <c r="U4" s="2205"/>
      <c r="V4" s="1395"/>
    </row>
    <row r="5" spans="1:22" ht="17.100000000000001" customHeight="1">
      <c r="A5" s="2282" t="s">
        <v>3630</v>
      </c>
      <c r="B5" s="2205"/>
      <c r="C5" s="2205"/>
      <c r="D5" s="2205"/>
      <c r="E5" s="2205"/>
      <c r="F5" s="2205"/>
      <c r="G5" s="2205"/>
      <c r="H5" s="2205"/>
      <c r="I5" s="2205"/>
      <c r="J5" s="2205"/>
      <c r="K5" s="2205"/>
      <c r="L5" s="2205"/>
      <c r="M5" s="2205"/>
      <c r="N5" s="2205"/>
      <c r="O5" s="2205"/>
      <c r="P5" s="2205"/>
      <c r="Q5" s="2205"/>
      <c r="R5" s="2205"/>
      <c r="S5" s="2205"/>
      <c r="T5" s="2205"/>
      <c r="U5" s="2205"/>
      <c r="V5" s="1395"/>
    </row>
    <row r="6" spans="1:22" ht="16.899999999999999" customHeight="1">
      <c r="A6" s="2204"/>
      <c r="B6" s="2205"/>
      <c r="C6" s="2205"/>
      <c r="D6" s="2205"/>
      <c r="E6" s="2205"/>
      <c r="F6" s="2205"/>
      <c r="G6" s="2205"/>
      <c r="H6" s="2205"/>
      <c r="I6" s="2205"/>
      <c r="J6" s="2205"/>
      <c r="K6" s="2205"/>
      <c r="L6" s="2205"/>
      <c r="M6" s="2205"/>
      <c r="N6" s="2205"/>
      <c r="O6" s="2205"/>
      <c r="P6" s="2205"/>
      <c r="Q6" s="2205"/>
      <c r="R6" s="2205"/>
      <c r="S6" s="2205"/>
      <c r="T6" s="2205"/>
      <c r="U6" s="2205"/>
      <c r="V6" s="1395"/>
    </row>
    <row r="7" spans="1:22" ht="16.899999999999999" customHeight="1">
      <c r="A7" s="2284"/>
      <c r="B7" s="2205"/>
      <c r="C7" s="2205"/>
      <c r="D7" s="2286" t="s">
        <v>3730</v>
      </c>
      <c r="E7" s="2342"/>
      <c r="F7" s="2342"/>
      <c r="G7" s="2342"/>
      <c r="H7" s="2342"/>
      <c r="I7" s="2342"/>
      <c r="J7" s="2342"/>
      <c r="K7" s="2342"/>
      <c r="L7" s="2342"/>
      <c r="M7" s="2342"/>
      <c r="N7" s="2342"/>
      <c r="O7" s="2342"/>
      <c r="P7" s="2342"/>
      <c r="Q7" s="2342"/>
      <c r="R7" s="2342"/>
      <c r="S7" s="2284"/>
      <c r="T7" s="2205"/>
      <c r="U7" s="2205"/>
      <c r="V7" s="1395"/>
    </row>
    <row r="8" spans="1:22" ht="16.899999999999999" customHeight="1">
      <c r="A8" s="2282" t="s">
        <v>3632</v>
      </c>
      <c r="B8" s="2205"/>
      <c r="C8" s="2205"/>
      <c r="D8" s="2205"/>
      <c r="E8" s="2205"/>
      <c r="F8" s="2205"/>
      <c r="G8" s="2205"/>
      <c r="H8" s="2205"/>
      <c r="I8" s="2205"/>
      <c r="J8" s="2205"/>
      <c r="K8" s="2205"/>
      <c r="L8" s="2205"/>
      <c r="M8" s="2205"/>
      <c r="N8" s="2205"/>
      <c r="O8" s="2205"/>
      <c r="P8" s="2205"/>
      <c r="Q8" s="2205"/>
      <c r="R8" s="2205"/>
      <c r="S8" s="2205"/>
      <c r="T8" s="2205"/>
      <c r="U8" s="2205"/>
      <c r="V8" s="1395"/>
    </row>
    <row r="9" spans="1:22" ht="15" customHeight="1">
      <c r="A9" s="2287"/>
      <c r="B9" s="2205"/>
      <c r="C9" s="2205"/>
      <c r="D9" s="2205"/>
      <c r="E9" s="2205"/>
      <c r="F9" s="2205"/>
      <c r="G9" s="2205"/>
      <c r="H9" s="2205"/>
      <c r="I9" s="2205"/>
      <c r="J9" s="2205"/>
      <c r="K9" s="2205"/>
      <c r="L9" s="2205"/>
      <c r="M9" s="2205"/>
      <c r="N9" s="2205"/>
      <c r="O9" s="2205"/>
      <c r="P9" s="2205"/>
      <c r="Q9" s="2205"/>
      <c r="R9" s="2205"/>
      <c r="S9" s="2205"/>
      <c r="T9" s="2205"/>
      <c r="U9" s="2205"/>
      <c r="V9" s="1395"/>
    </row>
    <row r="10" spans="1:22" ht="15" customHeight="1">
      <c r="A10" s="2288" t="s">
        <v>3652</v>
      </c>
      <c r="B10" s="2205"/>
      <c r="C10" s="2205"/>
      <c r="D10" s="2205"/>
      <c r="E10" s="2205"/>
      <c r="F10" s="2205"/>
      <c r="G10" s="2205"/>
      <c r="H10" s="2205"/>
      <c r="I10" s="2205"/>
      <c r="J10" s="2205"/>
      <c r="K10" s="2205"/>
      <c r="L10" s="2205"/>
      <c r="M10" s="2205"/>
      <c r="N10" s="2205"/>
      <c r="O10" s="2205"/>
      <c r="P10" s="2205"/>
      <c r="Q10" s="2205"/>
      <c r="R10" s="2205"/>
      <c r="S10" s="2205"/>
      <c r="T10" s="2205"/>
      <c r="U10" s="2205"/>
      <c r="V10" s="1395"/>
    </row>
    <row r="11" spans="1:22" ht="17.100000000000001" customHeight="1">
      <c r="A11" s="2248"/>
      <c r="B11" s="2205"/>
      <c r="C11" s="2205"/>
      <c r="D11" s="2205"/>
      <c r="E11" s="2205"/>
      <c r="F11" s="2205"/>
      <c r="G11" s="2205"/>
      <c r="H11" s="2205"/>
      <c r="I11" s="2205"/>
      <c r="J11" s="2205"/>
      <c r="K11" s="2205"/>
      <c r="L11" s="2205"/>
      <c r="M11" s="2205"/>
      <c r="N11" s="2205"/>
      <c r="O11" s="2205"/>
      <c r="P11" s="2205"/>
      <c r="Q11" s="2205"/>
      <c r="R11" s="2205"/>
      <c r="S11" s="2205"/>
      <c r="T11" s="2205"/>
      <c r="U11" s="2205"/>
      <c r="V11" s="1395"/>
    </row>
    <row r="12" spans="1:22">
      <c r="A12" s="2284"/>
      <c r="B12" s="2205"/>
      <c r="C12" s="2205"/>
      <c r="D12" s="2205"/>
      <c r="E12" s="2205"/>
      <c r="F12" s="2205"/>
      <c r="G12" s="2205"/>
      <c r="H12" s="2289" t="s">
        <v>4189</v>
      </c>
      <c r="I12" s="2342"/>
      <c r="J12" s="2342"/>
      <c r="K12" s="1409" t="s">
        <v>7</v>
      </c>
      <c r="L12" s="2289" t="s">
        <v>3731</v>
      </c>
      <c r="M12" s="2342"/>
      <c r="N12" s="2342"/>
      <c r="O12" s="2284"/>
      <c r="P12" s="2205"/>
      <c r="Q12" s="2205"/>
      <c r="R12" s="2205"/>
      <c r="S12" s="2205"/>
      <c r="T12" s="2205"/>
      <c r="U12" s="2205"/>
      <c r="V12" s="1395"/>
    </row>
    <row r="13" spans="1:22" ht="409.6" hidden="1" customHeight="1">
      <c r="A13" s="1395"/>
      <c r="B13" s="1395"/>
      <c r="C13" s="1395"/>
      <c r="D13" s="1395"/>
      <c r="E13" s="1395"/>
      <c r="F13" s="1395"/>
      <c r="G13" s="1395"/>
      <c r="H13" s="1395"/>
      <c r="I13" s="1395"/>
      <c r="J13" s="1395"/>
      <c r="K13" s="1395"/>
      <c r="L13" s="1395"/>
      <c r="M13" s="1395"/>
      <c r="N13" s="1395"/>
      <c r="O13" s="1395"/>
      <c r="P13" s="1395"/>
      <c r="Q13" s="1395"/>
      <c r="R13" s="1395"/>
      <c r="S13" s="1395"/>
      <c r="T13" s="1395"/>
      <c r="U13" s="1395"/>
      <c r="V13" s="1395"/>
    </row>
    <row r="14" spans="1:22" ht="12.2" customHeight="1">
      <c r="A14" s="1395"/>
      <c r="B14" s="1395"/>
      <c r="C14" s="1395"/>
      <c r="D14" s="1395"/>
      <c r="E14" s="1395"/>
      <c r="F14" s="1395"/>
      <c r="G14" s="1395"/>
      <c r="H14" s="1395"/>
      <c r="I14" s="1395"/>
      <c r="J14" s="1395"/>
      <c r="K14" s="1395"/>
      <c r="L14" s="1395"/>
      <c r="M14" s="1395"/>
      <c r="N14" s="1395"/>
      <c r="O14" s="1395"/>
      <c r="P14" s="1395"/>
      <c r="Q14" s="1395"/>
      <c r="R14" s="1395"/>
      <c r="S14" s="1395"/>
      <c r="T14" s="1395"/>
      <c r="U14" s="1395"/>
      <c r="V14" s="1395"/>
    </row>
    <row r="15" spans="1:22" ht="17.25" customHeight="1">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45"/>
    </row>
    <row r="16" spans="1:22" ht="20.45" customHeight="1">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47"/>
    </row>
    <row r="17" spans="1:22" ht="16.149999999999999" customHeight="1">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47"/>
    </row>
    <row r="18" spans="1:22" ht="17.100000000000001" customHeight="1">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47"/>
    </row>
    <row r="19" spans="1:22" ht="49.9" customHeight="1">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9"/>
    </row>
    <row r="20" spans="1:22">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3"/>
    </row>
    <row r="21" spans="1:22" ht="38.450000000000003" customHeight="1">
      <c r="A21" s="1326" t="s">
        <v>1052</v>
      </c>
      <c r="B21" s="1326" t="s">
        <v>345</v>
      </c>
      <c r="C21" s="2290" t="s">
        <v>217</v>
      </c>
      <c r="D21" s="2353"/>
      <c r="E21" s="1326"/>
      <c r="F21" s="1326"/>
      <c r="G21" s="2161">
        <v>600732.80000000005</v>
      </c>
      <c r="H21" s="2353"/>
      <c r="I21" s="1398">
        <v>346361</v>
      </c>
      <c r="J21" s="2161">
        <v>0</v>
      </c>
      <c r="K21" s="2352"/>
      <c r="L21" s="2353"/>
      <c r="M21" s="1398">
        <v>0</v>
      </c>
      <c r="N21" s="2161">
        <v>254371.8</v>
      </c>
      <c r="O21" s="2353"/>
      <c r="P21" s="2161">
        <v>0</v>
      </c>
      <c r="Q21" s="2353"/>
      <c r="R21" s="2161">
        <v>0</v>
      </c>
      <c r="S21" s="2353"/>
      <c r="T21" s="1399">
        <v>42766</v>
      </c>
      <c r="U21" s="2163" t="s">
        <v>3732</v>
      </c>
      <c r="V21" s="2353"/>
    </row>
    <row r="22" spans="1:22" ht="33.75">
      <c r="A22" s="1326" t="s">
        <v>3647</v>
      </c>
      <c r="B22" s="1326" t="s">
        <v>184</v>
      </c>
      <c r="C22" s="2290" t="s">
        <v>311</v>
      </c>
      <c r="D22" s="2353"/>
      <c r="E22" s="1326"/>
      <c r="F22" s="1326"/>
      <c r="G22" s="2161">
        <v>188353</v>
      </c>
      <c r="H22" s="2353"/>
      <c r="I22" s="1398">
        <v>160100</v>
      </c>
      <c r="J22" s="2161">
        <v>0</v>
      </c>
      <c r="K22" s="2352"/>
      <c r="L22" s="2353"/>
      <c r="M22" s="1398">
        <v>0</v>
      </c>
      <c r="N22" s="2161">
        <v>28253</v>
      </c>
      <c r="O22" s="2353"/>
      <c r="P22" s="2161">
        <v>0</v>
      </c>
      <c r="Q22" s="2353"/>
      <c r="R22" s="2161">
        <v>0</v>
      </c>
      <c r="S22" s="2353"/>
      <c r="T22" s="1399">
        <v>42734</v>
      </c>
      <c r="U22" s="2163" t="s">
        <v>3733</v>
      </c>
      <c r="V22" s="2353"/>
    </row>
    <row r="23" spans="1:22" ht="33.75">
      <c r="A23" s="1326" t="s">
        <v>1087</v>
      </c>
      <c r="B23" s="1326" t="s">
        <v>235</v>
      </c>
      <c r="C23" s="2290" t="s">
        <v>312</v>
      </c>
      <c r="D23" s="2353"/>
      <c r="E23" s="1326"/>
      <c r="F23" s="1326"/>
      <c r="G23" s="2161">
        <v>151437</v>
      </c>
      <c r="H23" s="2353"/>
      <c r="I23" s="1398">
        <v>128721</v>
      </c>
      <c r="J23" s="2161">
        <v>0</v>
      </c>
      <c r="K23" s="2352"/>
      <c r="L23" s="2353"/>
      <c r="M23" s="1398">
        <v>0</v>
      </c>
      <c r="N23" s="2161">
        <v>22716</v>
      </c>
      <c r="O23" s="2353"/>
      <c r="P23" s="2161">
        <v>0</v>
      </c>
      <c r="Q23" s="2353"/>
      <c r="R23" s="2161">
        <v>0</v>
      </c>
      <c r="S23" s="2353"/>
      <c r="T23" s="1399">
        <v>42735</v>
      </c>
      <c r="U23" s="2163" t="s">
        <v>3732</v>
      </c>
      <c r="V23" s="2353"/>
    </row>
    <row r="24" spans="1:22" ht="72.599999999999994" customHeight="1">
      <c r="A24" s="1326" t="s">
        <v>843</v>
      </c>
      <c r="B24" s="1326" t="s">
        <v>282</v>
      </c>
      <c r="C24" s="2290" t="s">
        <v>310</v>
      </c>
      <c r="D24" s="2353"/>
      <c r="E24" s="1326"/>
      <c r="F24" s="1326"/>
      <c r="G24" s="2161">
        <v>148480</v>
      </c>
      <c r="H24" s="2353"/>
      <c r="I24" s="1398">
        <v>126208</v>
      </c>
      <c r="J24" s="2161">
        <v>0</v>
      </c>
      <c r="K24" s="2352"/>
      <c r="L24" s="2353"/>
      <c r="M24" s="1398">
        <v>0</v>
      </c>
      <c r="N24" s="2161">
        <v>22272</v>
      </c>
      <c r="O24" s="2353"/>
      <c r="P24" s="2161">
        <v>0</v>
      </c>
      <c r="Q24" s="2353"/>
      <c r="R24" s="2161">
        <v>0</v>
      </c>
      <c r="S24" s="2353"/>
      <c r="T24" s="1399">
        <v>42719</v>
      </c>
      <c r="U24" s="2163" t="s">
        <v>3734</v>
      </c>
      <c r="V24" s="2353"/>
    </row>
    <row r="25" spans="1:22" ht="61.15" customHeight="1" thickBot="1">
      <c r="A25" s="1326" t="s">
        <v>1070</v>
      </c>
      <c r="B25" s="1326" t="s">
        <v>3735</v>
      </c>
      <c r="C25" s="2290" t="s">
        <v>313</v>
      </c>
      <c r="D25" s="2353"/>
      <c r="E25" s="1326"/>
      <c r="F25" s="1326"/>
      <c r="G25" s="2161">
        <v>146319</v>
      </c>
      <c r="H25" s="2353"/>
      <c r="I25" s="1398">
        <v>124371.15</v>
      </c>
      <c r="J25" s="2161">
        <v>21947.85</v>
      </c>
      <c r="K25" s="2352"/>
      <c r="L25" s="2353"/>
      <c r="M25" s="1398">
        <v>0</v>
      </c>
      <c r="N25" s="2161">
        <v>0</v>
      </c>
      <c r="O25" s="2353"/>
      <c r="P25" s="2161">
        <v>0</v>
      </c>
      <c r="Q25" s="2353"/>
      <c r="R25" s="2161">
        <v>0</v>
      </c>
      <c r="S25" s="2353"/>
      <c r="T25" s="1399">
        <v>42735</v>
      </c>
      <c r="U25" s="2163" t="s">
        <v>3736</v>
      </c>
      <c r="V25" s="2353"/>
    </row>
    <row r="26" spans="1:22">
      <c r="A26" s="2173" t="s">
        <v>3649</v>
      </c>
      <c r="B26" s="2356"/>
      <c r="C26" s="2356"/>
      <c r="D26" s="2356"/>
      <c r="E26" s="2356"/>
      <c r="F26" s="2357"/>
      <c r="G26" s="2174">
        <v>1235321.8</v>
      </c>
      <c r="H26" s="2357"/>
      <c r="I26" s="1401">
        <v>885761.15</v>
      </c>
      <c r="J26" s="2174">
        <v>21947.85</v>
      </c>
      <c r="K26" s="2356"/>
      <c r="L26" s="2357"/>
      <c r="M26" s="1401">
        <v>0</v>
      </c>
      <c r="N26" s="2174">
        <v>327612.79999999999</v>
      </c>
      <c r="O26" s="2357"/>
      <c r="P26" s="2174">
        <v>0</v>
      </c>
      <c r="Q26" s="2357"/>
      <c r="R26" s="2174">
        <v>0</v>
      </c>
      <c r="S26" s="2357"/>
      <c r="T26" s="2168"/>
      <c r="U26" s="2356"/>
      <c r="V26" s="2357"/>
    </row>
    <row r="27" spans="1:22" ht="16.899999999999999" customHeight="1">
      <c r="A27" s="2163" t="s">
        <v>3650</v>
      </c>
      <c r="B27" s="2352"/>
      <c r="C27" s="2352"/>
      <c r="D27" s="2352"/>
      <c r="E27" s="2352"/>
      <c r="F27" s="2352"/>
      <c r="G27" s="2352"/>
      <c r="H27" s="2353"/>
      <c r="I27" s="2172">
        <v>885762</v>
      </c>
      <c r="J27" s="2352"/>
      <c r="K27" s="2352"/>
      <c r="L27" s="2352"/>
      <c r="M27" s="2352"/>
      <c r="N27" s="2352"/>
      <c r="O27" s="2352"/>
      <c r="P27" s="2352"/>
      <c r="Q27" s="2352"/>
      <c r="R27" s="2352"/>
      <c r="S27" s="2352"/>
      <c r="T27" s="2352"/>
      <c r="U27" s="2352"/>
      <c r="V27" s="2353"/>
    </row>
    <row r="28" spans="1:22" ht="33.6" customHeight="1">
      <c r="A28" s="1395"/>
      <c r="B28" s="1395"/>
      <c r="C28" s="1395"/>
      <c r="D28" s="1395"/>
      <c r="E28" s="1395"/>
      <c r="F28" s="1395"/>
      <c r="G28" s="1395"/>
      <c r="H28" s="1395"/>
      <c r="I28" s="1395"/>
      <c r="J28" s="1395"/>
      <c r="K28" s="1395"/>
      <c r="L28" s="1395"/>
      <c r="M28" s="1395"/>
      <c r="N28" s="1395"/>
      <c r="O28" s="1395"/>
      <c r="P28" s="1395"/>
      <c r="Q28" s="1395"/>
      <c r="R28" s="1395"/>
      <c r="S28" s="1395"/>
      <c r="T28" s="1395"/>
      <c r="U28" s="1395"/>
      <c r="V28" s="1395"/>
    </row>
    <row r="29" spans="1:22" ht="36.6" customHeight="1"/>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A3:P3"/>
    <mergeCell ref="Q3:U3"/>
    <mergeCell ref="A4:C4"/>
    <mergeCell ref="D4:R4"/>
    <mergeCell ref="S4:U4"/>
    <mergeCell ref="A5:U5"/>
    <mergeCell ref="A6:U6"/>
    <mergeCell ref="A7:C7"/>
    <mergeCell ref="D7:R7"/>
    <mergeCell ref="S7:U7"/>
    <mergeCell ref="Q2:V2"/>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2:V28"/>
  <sheetViews>
    <sheetView workbookViewId="0">
      <selection activeCell="G21" sqref="G21:H21"/>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ht="81" customHeight="1">
      <c r="A2" s="2240"/>
      <c r="B2" s="2239"/>
      <c r="C2" s="2239"/>
      <c r="D2" s="2239"/>
      <c r="E2" s="2239"/>
      <c r="F2" s="2239"/>
      <c r="G2" s="2239"/>
      <c r="H2" s="2239"/>
      <c r="I2" s="2239"/>
      <c r="J2" s="2239"/>
      <c r="K2" s="2239"/>
      <c r="L2" s="2239"/>
      <c r="M2" s="2239"/>
      <c r="N2" s="2239"/>
      <c r="O2" s="2239"/>
      <c r="P2" s="2239"/>
      <c r="Q2" s="2405" t="s">
        <v>4247</v>
      </c>
      <c r="R2" s="2405"/>
      <c r="S2" s="2405"/>
      <c r="T2" s="2405"/>
      <c r="U2" s="2405"/>
      <c r="V2" s="1402"/>
    </row>
    <row r="3" spans="1:22">
      <c r="A3" s="2240"/>
      <c r="B3" s="2239"/>
      <c r="C3" s="2239"/>
      <c r="D3" s="2239"/>
      <c r="E3" s="2239"/>
      <c r="F3" s="2239"/>
      <c r="G3" s="2239"/>
      <c r="H3" s="2239"/>
      <c r="I3" s="2239"/>
      <c r="J3" s="2239"/>
      <c r="K3" s="2239"/>
      <c r="L3" s="2239"/>
      <c r="M3" s="2239"/>
      <c r="N3" s="2239"/>
      <c r="O3" s="2239"/>
      <c r="P3" s="2239"/>
      <c r="Q3" s="2241"/>
      <c r="R3" s="2239"/>
      <c r="S3" s="2239"/>
      <c r="T3" s="2239"/>
      <c r="U3" s="2239"/>
      <c r="V3" s="1402"/>
    </row>
    <row r="4" spans="1:22" ht="15" customHeight="1">
      <c r="A4" s="2242"/>
      <c r="B4" s="2239"/>
      <c r="C4" s="2239"/>
      <c r="D4" s="2243" t="s">
        <v>3729</v>
      </c>
      <c r="E4" s="2244"/>
      <c r="F4" s="2244"/>
      <c r="G4" s="2244"/>
      <c r="H4" s="2244"/>
      <c r="I4" s="2244"/>
      <c r="J4" s="2244"/>
      <c r="K4" s="2244"/>
      <c r="L4" s="2244"/>
      <c r="M4" s="2244"/>
      <c r="N4" s="2244"/>
      <c r="O4" s="2244"/>
      <c r="P4" s="2244"/>
      <c r="Q4" s="2244"/>
      <c r="R4" s="2244"/>
      <c r="S4" s="2242"/>
      <c r="T4" s="2239"/>
      <c r="U4" s="2239"/>
      <c r="V4" s="1402"/>
    </row>
    <row r="5" spans="1:22" ht="15" customHeight="1">
      <c r="A5" s="2238" t="s">
        <v>3630</v>
      </c>
      <c r="B5" s="2239"/>
      <c r="C5" s="2239"/>
      <c r="D5" s="2239"/>
      <c r="E5" s="2239"/>
      <c r="F5" s="2239"/>
      <c r="G5" s="2239"/>
      <c r="H5" s="2239"/>
      <c r="I5" s="2239"/>
      <c r="J5" s="2239"/>
      <c r="K5" s="2239"/>
      <c r="L5" s="2239"/>
      <c r="M5" s="2239"/>
      <c r="N5" s="2239"/>
      <c r="O5" s="2239"/>
      <c r="P5" s="2239"/>
      <c r="Q5" s="2239"/>
      <c r="R5" s="2239"/>
      <c r="S5" s="2239"/>
      <c r="T5" s="2239"/>
      <c r="U5" s="2239"/>
      <c r="V5" s="1402"/>
    </row>
    <row r="6" spans="1:22">
      <c r="A6" s="2240"/>
      <c r="B6" s="2239"/>
      <c r="C6" s="2239"/>
      <c r="D6" s="2239"/>
      <c r="E6" s="2239"/>
      <c r="F6" s="2239"/>
      <c r="G6" s="2239"/>
      <c r="H6" s="2239"/>
      <c r="I6" s="2239"/>
      <c r="J6" s="2239"/>
      <c r="K6" s="2239"/>
      <c r="L6" s="2239"/>
      <c r="M6" s="2239"/>
      <c r="N6" s="2239"/>
      <c r="O6" s="2239"/>
      <c r="P6" s="2239"/>
      <c r="Q6" s="2239"/>
      <c r="R6" s="2239"/>
      <c r="S6" s="2239"/>
      <c r="T6" s="2239"/>
      <c r="U6" s="2239"/>
      <c r="V6" s="1402"/>
    </row>
    <row r="7" spans="1:22">
      <c r="A7" s="2242"/>
      <c r="B7" s="2239"/>
      <c r="C7" s="2239"/>
      <c r="D7" s="2245" t="s">
        <v>4248</v>
      </c>
      <c r="E7" s="2244"/>
      <c r="F7" s="2244"/>
      <c r="G7" s="2244"/>
      <c r="H7" s="2244"/>
      <c r="I7" s="2244"/>
      <c r="J7" s="2244"/>
      <c r="K7" s="2244"/>
      <c r="L7" s="2244"/>
      <c r="M7" s="2244"/>
      <c r="N7" s="2244"/>
      <c r="O7" s="2244"/>
      <c r="P7" s="2244"/>
      <c r="Q7" s="2244"/>
      <c r="R7" s="2244"/>
      <c r="S7" s="2242"/>
      <c r="T7" s="2239"/>
      <c r="U7" s="2239"/>
      <c r="V7" s="1402"/>
    </row>
    <row r="8" spans="1:22" ht="15" customHeight="1">
      <c r="A8" s="2238" t="s">
        <v>3632</v>
      </c>
      <c r="B8" s="2239"/>
      <c r="C8" s="2239"/>
      <c r="D8" s="2239"/>
      <c r="E8" s="2239"/>
      <c r="F8" s="2239"/>
      <c r="G8" s="2239"/>
      <c r="H8" s="2239"/>
      <c r="I8" s="2239"/>
      <c r="J8" s="2239"/>
      <c r="K8" s="2239"/>
      <c r="L8" s="2239"/>
      <c r="M8" s="2239"/>
      <c r="N8" s="2239"/>
      <c r="O8" s="2239"/>
      <c r="P8" s="2239"/>
      <c r="Q8" s="2239"/>
      <c r="R8" s="2239"/>
      <c r="S8" s="2239"/>
      <c r="T8" s="2239"/>
      <c r="U8" s="2239"/>
      <c r="V8" s="1402"/>
    </row>
    <row r="9" spans="1:22">
      <c r="A9" s="2246"/>
      <c r="B9" s="2239"/>
      <c r="C9" s="2239"/>
      <c r="D9" s="2239"/>
      <c r="E9" s="2239"/>
      <c r="F9" s="2239"/>
      <c r="G9" s="2239"/>
      <c r="H9" s="2239"/>
      <c r="I9" s="2239"/>
      <c r="J9" s="2239"/>
      <c r="K9" s="2239"/>
      <c r="L9" s="2239"/>
      <c r="M9" s="2239"/>
      <c r="N9" s="2239"/>
      <c r="O9" s="2239"/>
      <c r="P9" s="2239"/>
      <c r="Q9" s="2239"/>
      <c r="R9" s="2239"/>
      <c r="S9" s="2239"/>
      <c r="T9" s="2239"/>
      <c r="U9" s="2239"/>
      <c r="V9" s="1402"/>
    </row>
    <row r="10" spans="1:22" ht="15" customHeight="1">
      <c r="A10" s="2247" t="s">
        <v>3652</v>
      </c>
      <c r="B10" s="2239"/>
      <c r="C10" s="2239"/>
      <c r="D10" s="2239"/>
      <c r="E10" s="2239"/>
      <c r="F10" s="2239"/>
      <c r="G10" s="2239"/>
      <c r="H10" s="2239"/>
      <c r="I10" s="2239"/>
      <c r="J10" s="2239"/>
      <c r="K10" s="2239"/>
      <c r="L10" s="2239"/>
      <c r="M10" s="2239"/>
      <c r="N10" s="2239"/>
      <c r="O10" s="2239"/>
      <c r="P10" s="2239"/>
      <c r="Q10" s="2239"/>
      <c r="R10" s="2239"/>
      <c r="S10" s="2239"/>
      <c r="T10" s="2239"/>
      <c r="U10" s="2239"/>
      <c r="V10" s="1402"/>
    </row>
    <row r="11" spans="1:22" ht="15.75">
      <c r="A11" s="2248"/>
      <c r="B11" s="2239"/>
      <c r="C11" s="2239"/>
      <c r="D11" s="2239"/>
      <c r="E11" s="2239"/>
      <c r="F11" s="2239"/>
      <c r="G11" s="2239"/>
      <c r="H11" s="2239"/>
      <c r="I11" s="2239"/>
      <c r="J11" s="2239"/>
      <c r="K11" s="2239"/>
      <c r="L11" s="2239"/>
      <c r="M11" s="2239"/>
      <c r="N11" s="2239"/>
      <c r="O11" s="2239"/>
      <c r="P11" s="2239"/>
      <c r="Q11" s="2239"/>
      <c r="R11" s="2239"/>
      <c r="S11" s="2239"/>
      <c r="T11" s="2239"/>
      <c r="U11" s="2239"/>
      <c r="V11" s="1402"/>
    </row>
    <row r="12" spans="1:22" ht="15" customHeight="1">
      <c r="A12" s="2242"/>
      <c r="B12" s="2239"/>
      <c r="C12" s="2239"/>
      <c r="D12" s="2239"/>
      <c r="E12" s="2239"/>
      <c r="F12" s="2239"/>
      <c r="G12" s="2239"/>
      <c r="H12" s="2249" t="s">
        <v>4249</v>
      </c>
      <c r="I12" s="2244"/>
      <c r="J12" s="2244"/>
      <c r="K12" s="1433" t="s">
        <v>7</v>
      </c>
      <c r="L12" s="2249" t="s">
        <v>3728</v>
      </c>
      <c r="M12" s="2244"/>
      <c r="N12" s="2244"/>
      <c r="O12" s="2242"/>
      <c r="P12" s="2239"/>
      <c r="Q12" s="2239"/>
      <c r="R12" s="2239"/>
      <c r="S12" s="2239"/>
      <c r="T12" s="2239"/>
      <c r="U12" s="2239"/>
      <c r="V12" s="1402"/>
    </row>
    <row r="13" spans="1:22" ht="409.6" hidden="1" customHeight="1">
      <c r="A13" s="1402"/>
      <c r="B13" s="1402"/>
      <c r="C13" s="1402"/>
      <c r="D13" s="1402"/>
      <c r="E13" s="1402"/>
      <c r="F13" s="1402"/>
      <c r="G13" s="1402"/>
      <c r="H13" s="1402"/>
      <c r="I13" s="1402"/>
      <c r="J13" s="1402"/>
      <c r="K13" s="1402"/>
      <c r="L13" s="1402"/>
      <c r="M13" s="1402"/>
      <c r="N13" s="1402"/>
      <c r="O13" s="1402"/>
      <c r="P13" s="1402"/>
      <c r="Q13" s="1402"/>
      <c r="R13" s="1402"/>
      <c r="S13" s="1402"/>
      <c r="T13" s="1402"/>
      <c r="U13" s="1402"/>
      <c r="V13" s="1402"/>
    </row>
    <row r="14" spans="1:22">
      <c r="A14" s="1402"/>
      <c r="B14" s="1402"/>
      <c r="C14" s="1402"/>
      <c r="D14" s="1402"/>
      <c r="E14" s="1402"/>
      <c r="F14" s="1402"/>
      <c r="G14" s="1402"/>
      <c r="H14" s="1402"/>
      <c r="I14" s="1402"/>
      <c r="J14" s="1402"/>
      <c r="K14" s="1402"/>
      <c r="L14" s="1402"/>
      <c r="M14" s="1402"/>
      <c r="N14" s="1402"/>
      <c r="O14" s="1402"/>
      <c r="P14" s="1402"/>
      <c r="Q14" s="1402"/>
      <c r="R14" s="1402"/>
      <c r="S14" s="1402"/>
      <c r="T14" s="1402"/>
      <c r="U14" s="1402"/>
      <c r="V14" s="1402"/>
    </row>
    <row r="15" spans="1:22" ht="15" customHeight="1">
      <c r="A15" s="2250" t="s">
        <v>1045</v>
      </c>
      <c r="B15" s="2250" t="s">
        <v>50</v>
      </c>
      <c r="C15" s="2250" t="s">
        <v>3635</v>
      </c>
      <c r="D15" s="2253"/>
      <c r="E15" s="2250" t="s">
        <v>3636</v>
      </c>
      <c r="F15" s="2250" t="s">
        <v>3637</v>
      </c>
      <c r="G15" s="2250" t="s">
        <v>3638</v>
      </c>
      <c r="H15" s="2258"/>
      <c r="I15" s="2258"/>
      <c r="J15" s="2258"/>
      <c r="K15" s="2258"/>
      <c r="L15" s="2258"/>
      <c r="M15" s="2258"/>
      <c r="N15" s="2258"/>
      <c r="O15" s="2258"/>
      <c r="P15" s="2258"/>
      <c r="Q15" s="2258"/>
      <c r="R15" s="2258"/>
      <c r="S15" s="2259"/>
      <c r="T15" s="2250" t="s">
        <v>3639</v>
      </c>
      <c r="U15" s="2250" t="s">
        <v>3640</v>
      </c>
      <c r="V15" s="2253"/>
    </row>
    <row r="16" spans="1:22" ht="15" customHeight="1">
      <c r="A16" s="2251"/>
      <c r="B16" s="2251"/>
      <c r="C16" s="2254"/>
      <c r="D16" s="2255"/>
      <c r="E16" s="2251"/>
      <c r="F16" s="2251"/>
      <c r="G16" s="2250" t="s">
        <v>9</v>
      </c>
      <c r="H16" s="2253"/>
      <c r="I16" s="2250" t="s">
        <v>3641</v>
      </c>
      <c r="J16" s="2258"/>
      <c r="K16" s="2258"/>
      <c r="L16" s="2259"/>
      <c r="M16" s="2212" t="s">
        <v>3642</v>
      </c>
      <c r="N16" s="2239"/>
      <c r="O16" s="2239"/>
      <c r="P16" s="2239"/>
      <c r="Q16" s="2239"/>
      <c r="R16" s="2239"/>
      <c r="S16" s="2239"/>
      <c r="T16" s="2251"/>
      <c r="U16" s="2254"/>
      <c r="V16" s="2255"/>
    </row>
    <row r="17" spans="1:22" ht="15" customHeight="1">
      <c r="A17" s="2251"/>
      <c r="B17" s="2251"/>
      <c r="C17" s="2254"/>
      <c r="D17" s="2255"/>
      <c r="E17" s="2251"/>
      <c r="F17" s="2251"/>
      <c r="G17" s="2254"/>
      <c r="H17" s="2255"/>
      <c r="I17" s="2250" t="s">
        <v>3643</v>
      </c>
      <c r="J17" s="2260"/>
      <c r="K17" s="2258"/>
      <c r="L17" s="2258"/>
      <c r="M17" s="2224" t="s">
        <v>3644</v>
      </c>
      <c r="N17" s="2261"/>
      <c r="O17" s="2261"/>
      <c r="P17" s="2261"/>
      <c r="Q17" s="2261"/>
      <c r="R17" s="2261"/>
      <c r="S17" s="2262"/>
      <c r="T17" s="2251"/>
      <c r="U17" s="2254"/>
      <c r="V17" s="2255"/>
    </row>
    <row r="18" spans="1:22" ht="15" customHeight="1">
      <c r="A18" s="2251"/>
      <c r="B18" s="2251"/>
      <c r="C18" s="2254"/>
      <c r="D18" s="2255"/>
      <c r="E18" s="2251"/>
      <c r="F18" s="2251"/>
      <c r="G18" s="2254"/>
      <c r="H18" s="2255"/>
      <c r="I18" s="2251"/>
      <c r="J18" s="2250" t="s">
        <v>3645</v>
      </c>
      <c r="K18" s="2263"/>
      <c r="L18" s="2253"/>
      <c r="M18" s="2250" t="s">
        <v>1974</v>
      </c>
      <c r="N18" s="2258"/>
      <c r="O18" s="2258"/>
      <c r="P18" s="2258"/>
      <c r="Q18" s="2258"/>
      <c r="R18" s="2258"/>
      <c r="S18" s="2259"/>
      <c r="T18" s="2251"/>
      <c r="U18" s="2254"/>
      <c r="V18" s="2255"/>
    </row>
    <row r="19" spans="1:22" ht="48" customHeight="1">
      <c r="A19" s="2252"/>
      <c r="B19" s="2252"/>
      <c r="C19" s="2256"/>
      <c r="D19" s="2257"/>
      <c r="E19" s="2252"/>
      <c r="F19" s="2252"/>
      <c r="G19" s="2256"/>
      <c r="H19" s="2257"/>
      <c r="I19" s="2252"/>
      <c r="J19" s="2256"/>
      <c r="K19" s="2244"/>
      <c r="L19" s="2257"/>
      <c r="M19" s="1407" t="s">
        <v>3645</v>
      </c>
      <c r="N19" s="2250" t="s">
        <v>2010</v>
      </c>
      <c r="O19" s="2259"/>
      <c r="P19" s="2250" t="s">
        <v>61</v>
      </c>
      <c r="Q19" s="2259"/>
      <c r="R19" s="2250" t="s">
        <v>60</v>
      </c>
      <c r="S19" s="2259"/>
      <c r="T19" s="2252"/>
      <c r="U19" s="2256"/>
      <c r="V19" s="2257"/>
    </row>
    <row r="20" spans="1:22" ht="15" hidden="1" customHeight="1">
      <c r="A20" s="1408" t="s">
        <v>2024</v>
      </c>
      <c r="B20" s="1408" t="s">
        <v>2534</v>
      </c>
      <c r="C20" s="2264" t="s">
        <v>2535</v>
      </c>
      <c r="D20" s="2259"/>
      <c r="E20" s="1408" t="s">
        <v>2536</v>
      </c>
      <c r="F20" s="1408" t="s">
        <v>2025</v>
      </c>
      <c r="G20" s="2264" t="s">
        <v>2072</v>
      </c>
      <c r="H20" s="2259"/>
      <c r="I20" s="1408" t="s">
        <v>2074</v>
      </c>
      <c r="J20" s="2264" t="s">
        <v>2075</v>
      </c>
      <c r="K20" s="2258"/>
      <c r="L20" s="2259"/>
      <c r="M20" s="1408" t="s">
        <v>2026</v>
      </c>
      <c r="N20" s="2264" t="s">
        <v>1706</v>
      </c>
      <c r="O20" s="2259"/>
      <c r="P20" s="2264" t="s">
        <v>1707</v>
      </c>
      <c r="Q20" s="2259"/>
      <c r="R20" s="2264" t="s">
        <v>1709</v>
      </c>
      <c r="S20" s="2259"/>
      <c r="T20" s="1408" t="s">
        <v>1710</v>
      </c>
      <c r="U20" s="2264" t="s">
        <v>1711</v>
      </c>
      <c r="V20" s="2259"/>
    </row>
    <row r="21" spans="1:22" ht="33.75" customHeight="1">
      <c r="A21" s="1588" t="s">
        <v>1052</v>
      </c>
      <c r="B21" s="1588" t="s">
        <v>345</v>
      </c>
      <c r="C21" s="2406" t="s">
        <v>219</v>
      </c>
      <c r="D21" s="2259"/>
      <c r="E21" s="1588"/>
      <c r="F21" s="1588"/>
      <c r="G21" s="2407">
        <v>891741.18</v>
      </c>
      <c r="H21" s="2259"/>
      <c r="I21" s="1670">
        <v>757980</v>
      </c>
      <c r="J21" s="2407">
        <v>0</v>
      </c>
      <c r="K21" s="2258"/>
      <c r="L21" s="2259"/>
      <c r="M21" s="1670">
        <v>0</v>
      </c>
      <c r="N21" s="2407">
        <v>133761.18</v>
      </c>
      <c r="O21" s="2259"/>
      <c r="P21" s="2407">
        <v>0</v>
      </c>
      <c r="Q21" s="2259"/>
      <c r="R21" s="2407">
        <v>0</v>
      </c>
      <c r="S21" s="2259"/>
      <c r="T21" s="1671">
        <v>42517</v>
      </c>
      <c r="U21" s="2408" t="s">
        <v>4250</v>
      </c>
      <c r="V21" s="2409"/>
    </row>
    <row r="22" spans="1:22" ht="45" customHeight="1">
      <c r="A22" s="1588" t="s">
        <v>3647</v>
      </c>
      <c r="B22" s="1588" t="s">
        <v>184</v>
      </c>
      <c r="C22" s="2406" t="s">
        <v>188</v>
      </c>
      <c r="D22" s="2259"/>
      <c r="E22" s="1588"/>
      <c r="F22" s="1588"/>
      <c r="G22" s="2407">
        <v>241889</v>
      </c>
      <c r="H22" s="2259"/>
      <c r="I22" s="1670">
        <v>205605.65</v>
      </c>
      <c r="J22" s="2407">
        <v>0</v>
      </c>
      <c r="K22" s="2258"/>
      <c r="L22" s="2259"/>
      <c r="M22" s="1670">
        <v>0</v>
      </c>
      <c r="N22" s="2407">
        <v>36283.35</v>
      </c>
      <c r="O22" s="2259"/>
      <c r="P22" s="2407">
        <v>0</v>
      </c>
      <c r="Q22" s="2259"/>
      <c r="R22" s="2407">
        <v>0</v>
      </c>
      <c r="S22" s="2259"/>
      <c r="T22" s="1671">
        <v>42522</v>
      </c>
      <c r="U22" s="2408" t="s">
        <v>4250</v>
      </c>
      <c r="V22" s="2409"/>
    </row>
    <row r="23" spans="1:22" ht="33.75" customHeight="1">
      <c r="A23" s="1588" t="s">
        <v>1087</v>
      </c>
      <c r="B23" s="1588" t="s">
        <v>235</v>
      </c>
      <c r="C23" s="2406" t="s">
        <v>237</v>
      </c>
      <c r="D23" s="2259"/>
      <c r="E23" s="1588"/>
      <c r="F23" s="1588"/>
      <c r="G23" s="2407">
        <v>727472.94</v>
      </c>
      <c r="H23" s="2259"/>
      <c r="I23" s="1670">
        <v>618351.99</v>
      </c>
      <c r="J23" s="2407">
        <v>0</v>
      </c>
      <c r="K23" s="2258"/>
      <c r="L23" s="2259"/>
      <c r="M23" s="1670">
        <v>0</v>
      </c>
      <c r="N23" s="2407">
        <v>109120.95</v>
      </c>
      <c r="O23" s="2259"/>
      <c r="P23" s="2407">
        <v>0</v>
      </c>
      <c r="Q23" s="2259"/>
      <c r="R23" s="2407">
        <v>0</v>
      </c>
      <c r="S23" s="2259"/>
      <c r="T23" s="1671">
        <v>42510</v>
      </c>
      <c r="U23" s="2408" t="s">
        <v>4250</v>
      </c>
      <c r="V23" s="2409"/>
    </row>
    <row r="24" spans="1:22" ht="33.75" customHeight="1">
      <c r="A24" s="1588" t="s">
        <v>843</v>
      </c>
      <c r="B24" s="1588" t="s">
        <v>161</v>
      </c>
      <c r="C24" s="2406" t="s">
        <v>281</v>
      </c>
      <c r="D24" s="2259"/>
      <c r="E24" s="1588"/>
      <c r="F24" s="1588"/>
      <c r="G24" s="2407">
        <v>368599</v>
      </c>
      <c r="H24" s="2259"/>
      <c r="I24" s="1670">
        <v>313012</v>
      </c>
      <c r="J24" s="2407">
        <v>0</v>
      </c>
      <c r="K24" s="2258"/>
      <c r="L24" s="2259"/>
      <c r="M24" s="1670">
        <v>0</v>
      </c>
      <c r="N24" s="2407">
        <v>55587</v>
      </c>
      <c r="O24" s="2259"/>
      <c r="P24" s="2407">
        <v>0</v>
      </c>
      <c r="Q24" s="2259"/>
      <c r="R24" s="2407">
        <v>0</v>
      </c>
      <c r="S24" s="2259"/>
      <c r="T24" s="1671">
        <v>42521</v>
      </c>
      <c r="U24" s="2408" t="s">
        <v>4250</v>
      </c>
      <c r="V24" s="2409"/>
    </row>
    <row r="25" spans="1:22" ht="34.5" customHeight="1" thickBot="1">
      <c r="A25" s="1588" t="s">
        <v>1070</v>
      </c>
      <c r="B25" s="1588" t="s">
        <v>282</v>
      </c>
      <c r="C25" s="2406" t="s">
        <v>277</v>
      </c>
      <c r="D25" s="2259"/>
      <c r="E25" s="1588"/>
      <c r="F25" s="1588"/>
      <c r="G25" s="2407">
        <v>736499</v>
      </c>
      <c r="H25" s="2259"/>
      <c r="I25" s="1670">
        <v>626024</v>
      </c>
      <c r="J25" s="2407">
        <v>0</v>
      </c>
      <c r="K25" s="2258"/>
      <c r="L25" s="2259"/>
      <c r="M25" s="1670">
        <v>0</v>
      </c>
      <c r="N25" s="2407">
        <v>110475</v>
      </c>
      <c r="O25" s="2259"/>
      <c r="P25" s="2407">
        <v>0</v>
      </c>
      <c r="Q25" s="2259"/>
      <c r="R25" s="2407">
        <v>0</v>
      </c>
      <c r="S25" s="2259"/>
      <c r="T25" s="1671">
        <v>42522</v>
      </c>
      <c r="U25" s="2408" t="s">
        <v>4250</v>
      </c>
      <c r="V25" s="2409"/>
    </row>
    <row r="26" spans="1:22" ht="15" customHeight="1">
      <c r="A26" s="2278" t="s">
        <v>3649</v>
      </c>
      <c r="B26" s="2279"/>
      <c r="C26" s="2279"/>
      <c r="D26" s="2279"/>
      <c r="E26" s="2279"/>
      <c r="F26" s="2280"/>
      <c r="G26" s="2413">
        <f>SUM(G21:G25)</f>
        <v>2966201.12</v>
      </c>
      <c r="H26" s="2280"/>
      <c r="I26" s="1665">
        <v>2520973.64</v>
      </c>
      <c r="J26" s="2413">
        <v>0</v>
      </c>
      <c r="K26" s="2279"/>
      <c r="L26" s="2280"/>
      <c r="M26" s="1665">
        <v>0</v>
      </c>
      <c r="N26" s="2413">
        <f>SUM(N21:N25)</f>
        <v>445227.48</v>
      </c>
      <c r="O26" s="2280"/>
      <c r="P26" s="2413">
        <v>0</v>
      </c>
      <c r="Q26" s="2280"/>
      <c r="R26" s="2413">
        <v>0</v>
      </c>
      <c r="S26" s="2280"/>
      <c r="T26" s="2410"/>
      <c r="U26" s="2279"/>
      <c r="V26" s="2280"/>
    </row>
    <row r="27" spans="1:22" ht="15" customHeight="1">
      <c r="A27" s="2411" t="s">
        <v>3650</v>
      </c>
      <c r="B27" s="2258"/>
      <c r="C27" s="2258"/>
      <c r="D27" s="2258"/>
      <c r="E27" s="2258"/>
      <c r="F27" s="2258"/>
      <c r="G27" s="2258"/>
      <c r="H27" s="2259"/>
      <c r="I27" s="2412">
        <v>2520974</v>
      </c>
      <c r="J27" s="2273"/>
      <c r="K27" s="2273"/>
      <c r="L27" s="2273"/>
      <c r="M27" s="2273"/>
      <c r="N27" s="2273"/>
      <c r="O27" s="2273"/>
      <c r="P27" s="2273"/>
      <c r="Q27" s="2273"/>
      <c r="R27" s="2273"/>
      <c r="S27" s="2273"/>
      <c r="T27" s="2273"/>
      <c r="U27" s="2273"/>
      <c r="V27" s="2274"/>
    </row>
    <row r="28" spans="1:22">
      <c r="A28" s="1395"/>
      <c r="B28" s="1395"/>
      <c r="C28" s="1395"/>
      <c r="D28" s="1395"/>
      <c r="E28" s="1395"/>
      <c r="F28" s="1395"/>
      <c r="G28" s="1395"/>
      <c r="H28" s="1395"/>
      <c r="I28" s="1395"/>
      <c r="J28" s="1395"/>
      <c r="K28" s="1395"/>
      <c r="L28" s="1395"/>
      <c r="M28" s="1395"/>
      <c r="N28" s="1395"/>
      <c r="O28" s="1395"/>
      <c r="P28" s="1395"/>
      <c r="Q28" s="1395"/>
      <c r="R28" s="1395"/>
      <c r="S28" s="1395"/>
      <c r="T28" s="1395"/>
      <c r="U28" s="1395"/>
      <c r="V28" s="1395"/>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2:V29"/>
  <sheetViews>
    <sheetView topLeftCell="A7" workbookViewId="0">
      <selection activeCell="G26" sqref="G26:H26"/>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ht="66" customHeight="1">
      <c r="A2" s="2415"/>
      <c r="B2" s="2414"/>
      <c r="C2" s="2414"/>
      <c r="D2" s="2414"/>
      <c r="E2" s="2414"/>
      <c r="F2" s="2414"/>
      <c r="G2" s="2414"/>
      <c r="H2" s="2414"/>
      <c r="I2" s="2414"/>
      <c r="J2" s="2414"/>
      <c r="K2" s="2414"/>
      <c r="L2" s="2414"/>
      <c r="M2" s="2414"/>
      <c r="N2" s="2414"/>
      <c r="O2" s="2414"/>
      <c r="P2" s="2414"/>
      <c r="Q2" s="2210" t="s">
        <v>4498</v>
      </c>
      <c r="R2" s="2210"/>
      <c r="S2" s="2210"/>
      <c r="T2" s="2210"/>
      <c r="U2" s="2210"/>
      <c r="V2" s="2210"/>
    </row>
    <row r="3" spans="1:22">
      <c r="A3" s="2415"/>
      <c r="B3" s="2414"/>
      <c r="C3" s="2414"/>
      <c r="D3" s="2414"/>
      <c r="E3" s="2414"/>
      <c r="F3" s="2414"/>
      <c r="G3" s="2414"/>
      <c r="H3" s="2414"/>
      <c r="I3" s="2414"/>
      <c r="J3" s="2414"/>
      <c r="K3" s="2414"/>
      <c r="L3" s="2414"/>
      <c r="M3" s="2414"/>
      <c r="N3" s="2414"/>
      <c r="O3" s="2414"/>
      <c r="P3" s="2414"/>
      <c r="Q3" s="2202"/>
      <c r="R3" s="2414"/>
      <c r="S3" s="2414"/>
      <c r="T3" s="2414"/>
      <c r="U3" s="2414"/>
      <c r="V3" s="1801"/>
    </row>
    <row r="4" spans="1:22" ht="15" customHeight="1">
      <c r="A4" s="2238"/>
      <c r="B4" s="2414"/>
      <c r="C4" s="2414"/>
      <c r="D4" s="2243" t="s">
        <v>3719</v>
      </c>
      <c r="E4" s="2249"/>
      <c r="F4" s="2249"/>
      <c r="G4" s="2249"/>
      <c r="H4" s="2249"/>
      <c r="I4" s="2249"/>
      <c r="J4" s="2249"/>
      <c r="K4" s="2249"/>
      <c r="L4" s="2249"/>
      <c r="M4" s="2249"/>
      <c r="N4" s="2249"/>
      <c r="O4" s="2249"/>
      <c r="P4" s="2249"/>
      <c r="Q4" s="2249"/>
      <c r="R4" s="2249"/>
      <c r="S4" s="2238"/>
      <c r="T4" s="2414"/>
      <c r="U4" s="2414"/>
      <c r="V4" s="1801"/>
    </row>
    <row r="5" spans="1:22" ht="15" customHeight="1">
      <c r="A5" s="2238" t="s">
        <v>3630</v>
      </c>
      <c r="B5" s="2414"/>
      <c r="C5" s="2414"/>
      <c r="D5" s="2414"/>
      <c r="E5" s="2414"/>
      <c r="F5" s="2414"/>
      <c r="G5" s="2414"/>
      <c r="H5" s="2414"/>
      <c r="I5" s="2414"/>
      <c r="J5" s="2414"/>
      <c r="K5" s="2414"/>
      <c r="L5" s="2414"/>
      <c r="M5" s="2414"/>
      <c r="N5" s="2414"/>
      <c r="O5" s="2414"/>
      <c r="P5" s="2414"/>
      <c r="Q5" s="2414"/>
      <c r="R5" s="2414"/>
      <c r="S5" s="2414"/>
      <c r="T5" s="2414"/>
      <c r="U5" s="2414"/>
      <c r="V5" s="1801"/>
    </row>
    <row r="6" spans="1:22">
      <c r="A6" s="2415"/>
      <c r="B6" s="2414"/>
      <c r="C6" s="2414"/>
      <c r="D6" s="2414"/>
      <c r="E6" s="2414"/>
      <c r="F6" s="2414"/>
      <c r="G6" s="2414"/>
      <c r="H6" s="2414"/>
      <c r="I6" s="2414"/>
      <c r="J6" s="2414"/>
      <c r="K6" s="2414"/>
      <c r="L6" s="2414"/>
      <c r="M6" s="2414"/>
      <c r="N6" s="2414"/>
      <c r="O6" s="2414"/>
      <c r="P6" s="2414"/>
      <c r="Q6" s="2414"/>
      <c r="R6" s="2414"/>
      <c r="S6" s="2414"/>
      <c r="T6" s="2414"/>
      <c r="U6" s="2414"/>
      <c r="V6" s="1801"/>
    </row>
    <row r="7" spans="1:22" ht="15" customHeight="1">
      <c r="A7" s="2238"/>
      <c r="B7" s="2414"/>
      <c r="C7" s="2414"/>
      <c r="D7" s="2245" t="s">
        <v>3724</v>
      </c>
      <c r="E7" s="2249"/>
      <c r="F7" s="2249"/>
      <c r="G7" s="2249"/>
      <c r="H7" s="2249"/>
      <c r="I7" s="2249"/>
      <c r="J7" s="2249"/>
      <c r="K7" s="2249"/>
      <c r="L7" s="2249"/>
      <c r="M7" s="2249"/>
      <c r="N7" s="2249"/>
      <c r="O7" s="2249"/>
      <c r="P7" s="2249"/>
      <c r="Q7" s="2249"/>
      <c r="R7" s="2249"/>
      <c r="S7" s="2238"/>
      <c r="T7" s="2414"/>
      <c r="U7" s="2414"/>
      <c r="V7" s="1801"/>
    </row>
    <row r="8" spans="1:22" ht="15" customHeight="1">
      <c r="A8" s="2238" t="s">
        <v>3632</v>
      </c>
      <c r="B8" s="2414"/>
      <c r="C8" s="2414"/>
      <c r="D8" s="2414"/>
      <c r="E8" s="2414"/>
      <c r="F8" s="2414"/>
      <c r="G8" s="2414"/>
      <c r="H8" s="2414"/>
      <c r="I8" s="2414"/>
      <c r="J8" s="2414"/>
      <c r="K8" s="2414"/>
      <c r="L8" s="2414"/>
      <c r="M8" s="2414"/>
      <c r="N8" s="2414"/>
      <c r="O8" s="2414"/>
      <c r="P8" s="2414"/>
      <c r="Q8" s="2414"/>
      <c r="R8" s="2414"/>
      <c r="S8" s="2414"/>
      <c r="T8" s="2414"/>
      <c r="U8" s="2414"/>
      <c r="V8" s="1801"/>
    </row>
    <row r="9" spans="1:22">
      <c r="A9" s="2246"/>
      <c r="B9" s="2414"/>
      <c r="C9" s="2414"/>
      <c r="D9" s="2414"/>
      <c r="E9" s="2414"/>
      <c r="F9" s="2414"/>
      <c r="G9" s="2414"/>
      <c r="H9" s="2414"/>
      <c r="I9" s="2414"/>
      <c r="J9" s="2414"/>
      <c r="K9" s="2414"/>
      <c r="L9" s="2414"/>
      <c r="M9" s="2414"/>
      <c r="N9" s="2414"/>
      <c r="O9" s="2414"/>
      <c r="P9" s="2414"/>
      <c r="Q9" s="2414"/>
      <c r="R9" s="2414"/>
      <c r="S9" s="2414"/>
      <c r="T9" s="2414"/>
      <c r="U9" s="2414"/>
      <c r="V9" s="1801"/>
    </row>
    <row r="10" spans="1:22" ht="15" customHeight="1">
      <c r="A10" s="2247" t="s">
        <v>3652</v>
      </c>
      <c r="B10" s="2414"/>
      <c r="C10" s="2414"/>
      <c r="D10" s="2414"/>
      <c r="E10" s="2414"/>
      <c r="F10" s="2414"/>
      <c r="G10" s="2414"/>
      <c r="H10" s="2414"/>
      <c r="I10" s="2414"/>
      <c r="J10" s="2414"/>
      <c r="K10" s="2414"/>
      <c r="L10" s="2414"/>
      <c r="M10" s="2414"/>
      <c r="N10" s="2414"/>
      <c r="O10" s="2414"/>
      <c r="P10" s="2414"/>
      <c r="Q10" s="2414"/>
      <c r="R10" s="2414"/>
      <c r="S10" s="2414"/>
      <c r="T10" s="2414"/>
      <c r="U10" s="2414"/>
      <c r="V10" s="1801"/>
    </row>
    <row r="11" spans="1:22" ht="15.75">
      <c r="A11" s="2248"/>
      <c r="B11" s="2414"/>
      <c r="C11" s="2414"/>
      <c r="D11" s="2414"/>
      <c r="E11" s="2414"/>
      <c r="F11" s="2414"/>
      <c r="G11" s="2414"/>
      <c r="H11" s="2414"/>
      <c r="I11" s="2414"/>
      <c r="J11" s="2414"/>
      <c r="K11" s="2414"/>
      <c r="L11" s="2414"/>
      <c r="M11" s="2414"/>
      <c r="N11" s="2414"/>
      <c r="O11" s="2414"/>
      <c r="P11" s="2414"/>
      <c r="Q11" s="2414"/>
      <c r="R11" s="2414"/>
      <c r="S11" s="2414"/>
      <c r="T11" s="2414"/>
      <c r="U11" s="2414"/>
      <c r="V11" s="1801"/>
    </row>
    <row r="12" spans="1:22" ht="15" customHeight="1">
      <c r="A12" s="2238"/>
      <c r="B12" s="2414"/>
      <c r="C12" s="2414"/>
      <c r="D12" s="2414"/>
      <c r="E12" s="2414"/>
      <c r="F12" s="2414"/>
      <c r="G12" s="2414"/>
      <c r="H12" s="2249" t="s">
        <v>3725</v>
      </c>
      <c r="I12" s="2249"/>
      <c r="J12" s="2249"/>
      <c r="K12" s="1433" t="s">
        <v>7</v>
      </c>
      <c r="L12" s="2249" t="s">
        <v>3726</v>
      </c>
      <c r="M12" s="2249"/>
      <c r="N12" s="2249"/>
      <c r="O12" s="2238"/>
      <c r="P12" s="2414"/>
      <c r="Q12" s="2414"/>
      <c r="R12" s="2414"/>
      <c r="S12" s="2414"/>
      <c r="T12" s="2414"/>
      <c r="U12" s="2414"/>
      <c r="V12" s="1801"/>
    </row>
    <row r="13" spans="1:22" ht="409.6" hidden="1" customHeight="1">
      <c r="A13" s="1801"/>
      <c r="B13" s="1801"/>
      <c r="C13" s="1801"/>
      <c r="D13" s="1801"/>
      <c r="E13" s="1801"/>
      <c r="F13" s="1801"/>
      <c r="G13" s="1801"/>
      <c r="H13" s="1801"/>
      <c r="I13" s="1801"/>
      <c r="J13" s="1801"/>
      <c r="K13" s="1801"/>
      <c r="L13" s="1801"/>
      <c r="M13" s="1801"/>
      <c r="N13" s="1801"/>
      <c r="O13" s="1801"/>
      <c r="P13" s="1801"/>
      <c r="Q13" s="1801"/>
      <c r="R13" s="1801"/>
      <c r="S13" s="1801"/>
      <c r="T13" s="1801"/>
      <c r="U13" s="1801"/>
      <c r="V13" s="1801"/>
    </row>
    <row r="14" spans="1:22">
      <c r="A14" s="1801"/>
      <c r="B14" s="1801"/>
      <c r="C14" s="1801"/>
      <c r="D14" s="1801"/>
      <c r="E14" s="1801"/>
      <c r="F14" s="1801"/>
      <c r="G14" s="1801"/>
      <c r="H14" s="1801"/>
      <c r="I14" s="1801"/>
      <c r="J14" s="1801"/>
      <c r="K14" s="1801"/>
      <c r="L14" s="1801"/>
      <c r="M14" s="1801"/>
      <c r="N14" s="1801"/>
      <c r="O14" s="1801"/>
      <c r="P14" s="1801"/>
      <c r="Q14" s="1801"/>
      <c r="R14" s="1801"/>
      <c r="S14" s="1801"/>
      <c r="T14" s="1801"/>
      <c r="U14" s="1801"/>
      <c r="V14" s="1801"/>
    </row>
    <row r="15" spans="1:22" ht="15" customHeight="1">
      <c r="A15" s="2213" t="s">
        <v>1045</v>
      </c>
      <c r="B15" s="2213" t="s">
        <v>50</v>
      </c>
      <c r="C15" s="2213" t="s">
        <v>3635</v>
      </c>
      <c r="D15" s="2418"/>
      <c r="E15" s="2213" t="s">
        <v>3636</v>
      </c>
      <c r="F15" s="2213" t="s">
        <v>3637</v>
      </c>
      <c r="G15" s="2213" t="s">
        <v>3638</v>
      </c>
      <c r="H15" s="2423"/>
      <c r="I15" s="2423"/>
      <c r="J15" s="2423"/>
      <c r="K15" s="2423"/>
      <c r="L15" s="2423"/>
      <c r="M15" s="2423"/>
      <c r="N15" s="2423"/>
      <c r="O15" s="2423"/>
      <c r="P15" s="2423"/>
      <c r="Q15" s="2423"/>
      <c r="R15" s="2423"/>
      <c r="S15" s="2409"/>
      <c r="T15" s="2213" t="s">
        <v>3639</v>
      </c>
      <c r="U15" s="2213" t="s">
        <v>3640</v>
      </c>
      <c r="V15" s="2418"/>
    </row>
    <row r="16" spans="1:22" ht="15" customHeight="1">
      <c r="A16" s="2416"/>
      <c r="B16" s="2416"/>
      <c r="C16" s="2419"/>
      <c r="D16" s="2420"/>
      <c r="E16" s="2416"/>
      <c r="F16" s="2416"/>
      <c r="G16" s="2213" t="s">
        <v>9</v>
      </c>
      <c r="H16" s="2418"/>
      <c r="I16" s="2213" t="s">
        <v>3641</v>
      </c>
      <c r="J16" s="2423"/>
      <c r="K16" s="2423"/>
      <c r="L16" s="2409"/>
      <c r="M16" s="2221" t="s">
        <v>3642</v>
      </c>
      <c r="N16" s="2424"/>
      <c r="O16" s="2424"/>
      <c r="P16" s="2424"/>
      <c r="Q16" s="2424"/>
      <c r="R16" s="2424"/>
      <c r="S16" s="2424"/>
      <c r="T16" s="2416"/>
      <c r="U16" s="2419"/>
      <c r="V16" s="2420"/>
    </row>
    <row r="17" spans="1:22" ht="15" customHeight="1">
      <c r="A17" s="2416"/>
      <c r="B17" s="2416"/>
      <c r="C17" s="2419"/>
      <c r="D17" s="2420"/>
      <c r="E17" s="2416"/>
      <c r="F17" s="2416"/>
      <c r="G17" s="2419"/>
      <c r="H17" s="2420"/>
      <c r="I17" s="2213" t="s">
        <v>3643</v>
      </c>
      <c r="J17" s="2223"/>
      <c r="K17" s="2423"/>
      <c r="L17" s="2423"/>
      <c r="M17" s="2224" t="s">
        <v>3644</v>
      </c>
      <c r="N17" s="2425"/>
      <c r="O17" s="2425"/>
      <c r="P17" s="2425"/>
      <c r="Q17" s="2425"/>
      <c r="R17" s="2425"/>
      <c r="S17" s="2426"/>
      <c r="T17" s="2416"/>
      <c r="U17" s="2419"/>
      <c r="V17" s="2420"/>
    </row>
    <row r="18" spans="1:22" ht="15" customHeight="1">
      <c r="A18" s="2416"/>
      <c r="B18" s="2416"/>
      <c r="C18" s="2419"/>
      <c r="D18" s="2420"/>
      <c r="E18" s="2416"/>
      <c r="F18" s="2416"/>
      <c r="G18" s="2419"/>
      <c r="H18" s="2420"/>
      <c r="I18" s="2416"/>
      <c r="J18" s="2213" t="s">
        <v>3645</v>
      </c>
      <c r="K18" s="2427"/>
      <c r="L18" s="2418"/>
      <c r="M18" s="2213" t="s">
        <v>1974</v>
      </c>
      <c r="N18" s="2423"/>
      <c r="O18" s="2423"/>
      <c r="P18" s="2423"/>
      <c r="Q18" s="2423"/>
      <c r="R18" s="2423"/>
      <c r="S18" s="2409"/>
      <c r="T18" s="2416"/>
      <c r="U18" s="2419"/>
      <c r="V18" s="2420"/>
    </row>
    <row r="19" spans="1:22" ht="51" customHeight="1">
      <c r="A19" s="2417"/>
      <c r="B19" s="2417"/>
      <c r="C19" s="2421"/>
      <c r="D19" s="2422"/>
      <c r="E19" s="2417"/>
      <c r="F19" s="2417"/>
      <c r="G19" s="2421"/>
      <c r="H19" s="2422"/>
      <c r="I19" s="2417"/>
      <c r="J19" s="2421"/>
      <c r="K19" s="2428"/>
      <c r="L19" s="2422"/>
      <c r="M19" s="1803" t="s">
        <v>3645</v>
      </c>
      <c r="N19" s="2213" t="s">
        <v>2010</v>
      </c>
      <c r="O19" s="2409"/>
      <c r="P19" s="2213" t="s">
        <v>61</v>
      </c>
      <c r="Q19" s="2409"/>
      <c r="R19" s="2213" t="s">
        <v>60</v>
      </c>
      <c r="S19" s="2409"/>
      <c r="T19" s="2417"/>
      <c r="U19" s="2421"/>
      <c r="V19" s="2422"/>
    </row>
    <row r="20" spans="1:22" ht="15" customHeight="1">
      <c r="A20" s="1805" t="s">
        <v>2024</v>
      </c>
      <c r="B20" s="1805" t="s">
        <v>2534</v>
      </c>
      <c r="C20" s="2229" t="s">
        <v>2535</v>
      </c>
      <c r="D20" s="2409"/>
      <c r="E20" s="1805" t="s">
        <v>2536</v>
      </c>
      <c r="F20" s="1805" t="s">
        <v>2025</v>
      </c>
      <c r="G20" s="2229" t="s">
        <v>2072</v>
      </c>
      <c r="H20" s="2409"/>
      <c r="I20" s="1805" t="s">
        <v>2074</v>
      </c>
      <c r="J20" s="2229" t="s">
        <v>2075</v>
      </c>
      <c r="K20" s="2423"/>
      <c r="L20" s="2409"/>
      <c r="M20" s="1805" t="s">
        <v>2026</v>
      </c>
      <c r="N20" s="2229" t="s">
        <v>1706</v>
      </c>
      <c r="O20" s="2409"/>
      <c r="P20" s="2229" t="s">
        <v>1707</v>
      </c>
      <c r="Q20" s="2409"/>
      <c r="R20" s="2229" t="s">
        <v>1709</v>
      </c>
      <c r="S20" s="2409"/>
      <c r="T20" s="1805" t="s">
        <v>1710</v>
      </c>
      <c r="U20" s="2229" t="s">
        <v>1711</v>
      </c>
      <c r="V20" s="2409"/>
    </row>
    <row r="21" spans="1:22" ht="38.25" customHeight="1">
      <c r="A21" s="1806" t="s">
        <v>1052</v>
      </c>
      <c r="B21" s="1806" t="s">
        <v>282</v>
      </c>
      <c r="C21" s="2429" t="s">
        <v>300</v>
      </c>
      <c r="D21" s="2409"/>
      <c r="E21" s="1806"/>
      <c r="F21" s="1806"/>
      <c r="G21" s="2430">
        <v>1516825.67</v>
      </c>
      <c r="H21" s="2409"/>
      <c r="I21" s="1807">
        <v>1289301.81</v>
      </c>
      <c r="J21" s="2430">
        <v>113761.92</v>
      </c>
      <c r="K21" s="2423"/>
      <c r="L21" s="2409"/>
      <c r="M21" s="1807">
        <v>0</v>
      </c>
      <c r="N21" s="2430">
        <v>113761.94</v>
      </c>
      <c r="O21" s="2409"/>
      <c r="P21" s="2430">
        <v>0</v>
      </c>
      <c r="Q21" s="2409"/>
      <c r="R21" s="2430">
        <v>0</v>
      </c>
      <c r="S21" s="2409"/>
      <c r="T21" s="1808">
        <v>42566</v>
      </c>
      <c r="U21" s="2429" t="s">
        <v>3727</v>
      </c>
      <c r="V21" s="2409"/>
    </row>
    <row r="22" spans="1:22" ht="38.25" customHeight="1">
      <c r="A22" s="1806" t="s">
        <v>3647</v>
      </c>
      <c r="B22" s="1806" t="s">
        <v>282</v>
      </c>
      <c r="C22" s="2429" t="s">
        <v>302</v>
      </c>
      <c r="D22" s="2409"/>
      <c r="E22" s="1806"/>
      <c r="F22" s="1806"/>
      <c r="G22" s="2430">
        <v>806317.97</v>
      </c>
      <c r="H22" s="2409"/>
      <c r="I22" s="1807">
        <v>685370.28</v>
      </c>
      <c r="J22" s="2430">
        <v>60473.84</v>
      </c>
      <c r="K22" s="2423"/>
      <c r="L22" s="2409"/>
      <c r="M22" s="1807">
        <v>0</v>
      </c>
      <c r="N22" s="2430">
        <v>60473.85</v>
      </c>
      <c r="O22" s="2409"/>
      <c r="P22" s="2430">
        <v>0</v>
      </c>
      <c r="Q22" s="2409"/>
      <c r="R22" s="2430">
        <v>0</v>
      </c>
      <c r="S22" s="2409"/>
      <c r="T22" s="1808">
        <v>42885</v>
      </c>
      <c r="U22" s="2429" t="s">
        <v>3727</v>
      </c>
      <c r="V22" s="2409"/>
    </row>
    <row r="23" spans="1:22" ht="38.25" customHeight="1">
      <c r="A23" s="1806" t="s">
        <v>1087</v>
      </c>
      <c r="B23" s="1806" t="s">
        <v>282</v>
      </c>
      <c r="C23" s="2429" t="s">
        <v>640</v>
      </c>
      <c r="D23" s="2409"/>
      <c r="E23" s="1806"/>
      <c r="F23" s="1806"/>
      <c r="G23" s="2430">
        <v>877516.65</v>
      </c>
      <c r="H23" s="2409"/>
      <c r="I23" s="1807">
        <v>745889.15</v>
      </c>
      <c r="J23" s="2430">
        <v>65813.75</v>
      </c>
      <c r="K23" s="2423"/>
      <c r="L23" s="2409"/>
      <c r="M23" s="1807">
        <v>0</v>
      </c>
      <c r="N23" s="2430">
        <v>65813.75</v>
      </c>
      <c r="O23" s="2409"/>
      <c r="P23" s="2430">
        <v>0</v>
      </c>
      <c r="Q23" s="2409"/>
      <c r="R23" s="2430">
        <v>0</v>
      </c>
      <c r="S23" s="2409"/>
      <c r="T23" s="1808">
        <v>43008</v>
      </c>
      <c r="U23" s="2429" t="s">
        <v>3727</v>
      </c>
      <c r="V23" s="2409"/>
    </row>
    <row r="24" spans="1:22" ht="38.25" customHeight="1">
      <c r="A24" s="1806" t="s">
        <v>843</v>
      </c>
      <c r="B24" s="1806" t="s">
        <v>282</v>
      </c>
      <c r="C24" s="2429" t="s">
        <v>2996</v>
      </c>
      <c r="D24" s="2409"/>
      <c r="E24" s="1806"/>
      <c r="F24" s="1806"/>
      <c r="G24" s="2430">
        <v>514646.41</v>
      </c>
      <c r="H24" s="2409"/>
      <c r="I24" s="1807">
        <v>437449.44</v>
      </c>
      <c r="J24" s="2430">
        <v>38598.480000000003</v>
      </c>
      <c r="K24" s="2423"/>
      <c r="L24" s="2409"/>
      <c r="M24" s="1807">
        <v>0</v>
      </c>
      <c r="N24" s="2430">
        <v>38598.49</v>
      </c>
      <c r="O24" s="2409"/>
      <c r="P24" s="2430">
        <v>0</v>
      </c>
      <c r="Q24" s="2409"/>
      <c r="R24" s="2430">
        <v>0</v>
      </c>
      <c r="S24" s="2409"/>
      <c r="T24" s="1808">
        <v>43238</v>
      </c>
      <c r="U24" s="2429" t="s">
        <v>3727</v>
      </c>
      <c r="V24" s="2409"/>
    </row>
    <row r="25" spans="1:22" ht="38.25" customHeight="1">
      <c r="A25" s="1806" t="s">
        <v>1070</v>
      </c>
      <c r="B25" s="1806" t="s">
        <v>282</v>
      </c>
      <c r="C25" s="2429" t="s">
        <v>3444</v>
      </c>
      <c r="D25" s="2409"/>
      <c r="E25" s="1806"/>
      <c r="F25" s="1806"/>
      <c r="G25" s="2430">
        <v>485640.4</v>
      </c>
      <c r="H25" s="2409"/>
      <c r="I25" s="1807">
        <v>411789.06</v>
      </c>
      <c r="J25" s="2430">
        <v>36334.160000000003</v>
      </c>
      <c r="K25" s="2423"/>
      <c r="L25" s="2409"/>
      <c r="M25" s="1807">
        <v>0</v>
      </c>
      <c r="N25" s="2430">
        <v>37517.18</v>
      </c>
      <c r="O25" s="2409"/>
      <c r="P25" s="2430">
        <v>0</v>
      </c>
      <c r="Q25" s="2409"/>
      <c r="R25" s="2430">
        <v>0</v>
      </c>
      <c r="S25" s="2409"/>
      <c r="T25" s="1808">
        <v>43373</v>
      </c>
      <c r="U25" s="2429" t="s">
        <v>3727</v>
      </c>
      <c r="V25" s="2409"/>
    </row>
    <row r="26" spans="1:22" ht="39" customHeight="1" thickBot="1">
      <c r="A26" s="1806" t="s">
        <v>1093</v>
      </c>
      <c r="B26" s="1806" t="s">
        <v>282</v>
      </c>
      <c r="C26" s="2429" t="s">
        <v>3432</v>
      </c>
      <c r="D26" s="2409"/>
      <c r="E26" s="1806"/>
      <c r="F26" s="1806"/>
      <c r="G26" s="2430">
        <v>150000</v>
      </c>
      <c r="H26" s="2409"/>
      <c r="I26" s="1807">
        <v>127500</v>
      </c>
      <c r="J26" s="2430">
        <v>11250</v>
      </c>
      <c r="K26" s="2423"/>
      <c r="L26" s="2409"/>
      <c r="M26" s="1807">
        <v>0</v>
      </c>
      <c r="N26" s="2430">
        <v>11250</v>
      </c>
      <c r="O26" s="2409"/>
      <c r="P26" s="2430">
        <v>0</v>
      </c>
      <c r="Q26" s="2409"/>
      <c r="R26" s="2430">
        <v>0</v>
      </c>
      <c r="S26" s="2409"/>
      <c r="T26" s="1808">
        <v>43373</v>
      </c>
      <c r="U26" s="2429" t="s">
        <v>3727</v>
      </c>
      <c r="V26" s="2409"/>
    </row>
    <row r="27" spans="1:22" ht="15" customHeight="1">
      <c r="A27" s="2432" t="s">
        <v>3649</v>
      </c>
      <c r="B27" s="2433"/>
      <c r="C27" s="2433"/>
      <c r="D27" s="2433"/>
      <c r="E27" s="2433"/>
      <c r="F27" s="2434"/>
      <c r="G27" s="2435">
        <v>4350947.0999999996</v>
      </c>
      <c r="H27" s="2434"/>
      <c r="I27" s="1809">
        <v>3697299.74</v>
      </c>
      <c r="J27" s="2435">
        <v>326232.15000000002</v>
      </c>
      <c r="K27" s="2433"/>
      <c r="L27" s="2434"/>
      <c r="M27" s="1809">
        <v>0</v>
      </c>
      <c r="N27" s="2435">
        <v>327415.21000000002</v>
      </c>
      <c r="O27" s="2434"/>
      <c r="P27" s="2435">
        <v>0</v>
      </c>
      <c r="Q27" s="2434"/>
      <c r="R27" s="2435">
        <v>0</v>
      </c>
      <c r="S27" s="2434"/>
      <c r="T27" s="2432"/>
      <c r="U27" s="2433"/>
      <c r="V27" s="2434"/>
    </row>
    <row r="28" spans="1:22" ht="15" customHeight="1">
      <c r="A28" s="2429" t="s">
        <v>3650</v>
      </c>
      <c r="B28" s="2423"/>
      <c r="C28" s="2423"/>
      <c r="D28" s="2423"/>
      <c r="E28" s="2423"/>
      <c r="F28" s="2423"/>
      <c r="G28" s="2423"/>
      <c r="H28" s="2409"/>
      <c r="I28" s="2431">
        <v>3697302</v>
      </c>
      <c r="J28" s="2423"/>
      <c r="K28" s="2423"/>
      <c r="L28" s="2423"/>
      <c r="M28" s="2423"/>
      <c r="N28" s="2423"/>
      <c r="O28" s="2423"/>
      <c r="P28" s="2423"/>
      <c r="Q28" s="2423"/>
      <c r="R28" s="2423"/>
      <c r="S28" s="2423"/>
      <c r="T28" s="2423"/>
      <c r="U28" s="2423"/>
      <c r="V28" s="2409"/>
    </row>
    <row r="29" spans="1:22">
      <c r="A29" s="1804"/>
      <c r="B29" s="1804"/>
      <c r="C29" s="1804"/>
      <c r="D29" s="1804"/>
      <c r="E29" s="1804"/>
      <c r="F29" s="1804"/>
      <c r="G29" s="1804"/>
      <c r="H29" s="1804"/>
      <c r="I29" s="1804"/>
      <c r="J29" s="1804"/>
      <c r="K29" s="1804"/>
      <c r="L29" s="1804"/>
      <c r="M29" s="1804"/>
      <c r="N29" s="1804"/>
      <c r="O29" s="1804"/>
      <c r="P29" s="1804"/>
      <c r="Q29" s="1804"/>
      <c r="R29" s="1804"/>
      <c r="S29" s="1804"/>
      <c r="T29" s="1804"/>
      <c r="U29" s="1804"/>
      <c r="V29" s="1804"/>
    </row>
  </sheetData>
  <mergeCells count="97">
    <mergeCell ref="A28:H28"/>
    <mergeCell ref="I28:V28"/>
    <mergeCell ref="U26:V26"/>
    <mergeCell ref="A27:F27"/>
    <mergeCell ref="G27:H27"/>
    <mergeCell ref="J27:L27"/>
    <mergeCell ref="N27:O27"/>
    <mergeCell ref="P27:Q27"/>
    <mergeCell ref="R27:S27"/>
    <mergeCell ref="T27:V27"/>
    <mergeCell ref="C26:D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A3:P3"/>
    <mergeCell ref="Q3:U3"/>
    <mergeCell ref="A4:C4"/>
    <mergeCell ref="D4:R4"/>
    <mergeCell ref="S4:U4"/>
    <mergeCell ref="A5:U5"/>
    <mergeCell ref="A6:U6"/>
    <mergeCell ref="A7:C7"/>
    <mergeCell ref="D7:R7"/>
    <mergeCell ref="S7:U7"/>
    <mergeCell ref="Q2:V2"/>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2:V26"/>
  <sheetViews>
    <sheetView workbookViewId="0">
      <selection activeCell="G21" sqref="G21:H21"/>
    </sheetView>
  </sheetViews>
  <sheetFormatPr defaultRowHeight="12.75"/>
  <cols>
    <col min="1" max="1" width="5.42578125" style="1402" customWidth="1"/>
    <col min="2" max="2" width="13.7109375" style="1402" customWidth="1"/>
    <col min="3" max="3" width="23.5703125" style="1402" customWidth="1"/>
    <col min="4" max="4" width="0.140625" style="1402" customWidth="1"/>
    <col min="5" max="5" width="18.28515625" style="1402" hidden="1" customWidth="1"/>
    <col min="6" max="6" width="15.28515625" style="1402" hidden="1" customWidth="1"/>
    <col min="7" max="7" width="12.42578125" style="1402" customWidth="1"/>
    <col min="8" max="8" width="0.5703125" style="1402" customWidth="1"/>
    <col min="9" max="9" width="13.5703125" style="1402" customWidth="1"/>
    <col min="10" max="10" width="1" style="1402" customWidth="1"/>
    <col min="11" max="11" width="7.140625" style="1402" customWidth="1"/>
    <col min="12" max="12" width="7" style="1402" customWidth="1"/>
    <col min="13" max="13" width="15.140625" style="1402" customWidth="1"/>
    <col min="14" max="14" width="1.85546875" style="1402" hidden="1" customWidth="1"/>
    <col min="15" max="16" width="11.85546875" style="1402" customWidth="1"/>
    <col min="17" max="17" width="1.28515625" style="1402" customWidth="1"/>
    <col min="18" max="18" width="10.7109375" style="1402" customWidth="1"/>
    <col min="19" max="19" width="3.85546875" style="1402" customWidth="1"/>
    <col min="20" max="20" width="20.85546875" style="1402" customWidth="1"/>
    <col min="21" max="21" width="19" style="1402" customWidth="1"/>
    <col min="22" max="22" width="10.28515625" style="1402" customWidth="1"/>
    <col min="23" max="256" width="9.140625" style="1402"/>
    <col min="257" max="257" width="5.42578125" style="1402" customWidth="1"/>
    <col min="258" max="258" width="13.7109375" style="1402" customWidth="1"/>
    <col min="259" max="259" width="23.5703125" style="1402" customWidth="1"/>
    <col min="260" max="260" width="0.140625" style="1402" customWidth="1"/>
    <col min="261" max="262" width="0" style="1402" hidden="1" customWidth="1"/>
    <col min="263" max="263" width="12.42578125" style="1402" customWidth="1"/>
    <col min="264" max="264" width="0.5703125" style="1402" customWidth="1"/>
    <col min="265" max="265" width="13.5703125" style="1402" customWidth="1"/>
    <col min="266" max="266" width="1" style="1402" customWidth="1"/>
    <col min="267" max="267" width="7.140625" style="1402" customWidth="1"/>
    <col min="268" max="268" width="7" style="1402" customWidth="1"/>
    <col min="269" max="269" width="15.140625" style="1402" customWidth="1"/>
    <col min="270" max="270" width="0" style="1402" hidden="1" customWidth="1"/>
    <col min="271" max="272" width="11.85546875" style="1402" customWidth="1"/>
    <col min="273" max="273" width="1.28515625" style="1402" customWidth="1"/>
    <col min="274" max="274" width="10.7109375" style="1402" customWidth="1"/>
    <col min="275" max="275" width="3.85546875" style="1402" customWidth="1"/>
    <col min="276" max="276" width="20.85546875" style="1402" customWidth="1"/>
    <col min="277" max="277" width="19" style="1402" customWidth="1"/>
    <col min="278" max="278" width="10.28515625" style="1402" customWidth="1"/>
    <col min="279" max="512" width="9.140625" style="1402"/>
    <col min="513" max="513" width="5.42578125" style="1402" customWidth="1"/>
    <col min="514" max="514" width="13.7109375" style="1402" customWidth="1"/>
    <col min="515" max="515" width="23.5703125" style="1402" customWidth="1"/>
    <col min="516" max="516" width="0.140625" style="1402" customWidth="1"/>
    <col min="517" max="518" width="0" style="1402" hidden="1" customWidth="1"/>
    <col min="519" max="519" width="12.42578125" style="1402" customWidth="1"/>
    <col min="520" max="520" width="0.5703125" style="1402" customWidth="1"/>
    <col min="521" max="521" width="13.5703125" style="1402" customWidth="1"/>
    <col min="522" max="522" width="1" style="1402" customWidth="1"/>
    <col min="523" max="523" width="7.140625" style="1402" customWidth="1"/>
    <col min="524" max="524" width="7" style="1402" customWidth="1"/>
    <col min="525" max="525" width="15.140625" style="1402" customWidth="1"/>
    <col min="526" max="526" width="0" style="1402" hidden="1" customWidth="1"/>
    <col min="527" max="528" width="11.85546875" style="1402" customWidth="1"/>
    <col min="529" max="529" width="1.28515625" style="1402" customWidth="1"/>
    <col min="530" max="530" width="10.7109375" style="1402" customWidth="1"/>
    <col min="531" max="531" width="3.85546875" style="1402" customWidth="1"/>
    <col min="532" max="532" width="20.85546875" style="1402" customWidth="1"/>
    <col min="533" max="533" width="19" style="1402" customWidth="1"/>
    <col min="534" max="534" width="10.28515625" style="1402" customWidth="1"/>
    <col min="535" max="768" width="9.140625" style="1402"/>
    <col min="769" max="769" width="5.42578125" style="1402" customWidth="1"/>
    <col min="770" max="770" width="13.7109375" style="1402" customWidth="1"/>
    <col min="771" max="771" width="23.5703125" style="1402" customWidth="1"/>
    <col min="772" max="772" width="0.140625" style="1402" customWidth="1"/>
    <col min="773" max="774" width="0" style="1402" hidden="1" customWidth="1"/>
    <col min="775" max="775" width="12.42578125" style="1402" customWidth="1"/>
    <col min="776" max="776" width="0.5703125" style="1402" customWidth="1"/>
    <col min="777" max="777" width="13.5703125" style="1402" customWidth="1"/>
    <col min="778" max="778" width="1" style="1402" customWidth="1"/>
    <col min="779" max="779" width="7.140625" style="1402" customWidth="1"/>
    <col min="780" max="780" width="7" style="1402" customWidth="1"/>
    <col min="781" max="781" width="15.140625" style="1402" customWidth="1"/>
    <col min="782" max="782" width="0" style="1402" hidden="1" customWidth="1"/>
    <col min="783" max="784" width="11.85546875" style="1402" customWidth="1"/>
    <col min="785" max="785" width="1.28515625" style="1402" customWidth="1"/>
    <col min="786" max="786" width="10.7109375" style="1402" customWidth="1"/>
    <col min="787" max="787" width="3.85546875" style="1402" customWidth="1"/>
    <col min="788" max="788" width="20.85546875" style="1402" customWidth="1"/>
    <col min="789" max="789" width="19" style="1402" customWidth="1"/>
    <col min="790" max="790" width="10.28515625" style="1402" customWidth="1"/>
    <col min="791" max="1024" width="9.140625" style="1402"/>
    <col min="1025" max="1025" width="5.42578125" style="1402" customWidth="1"/>
    <col min="1026" max="1026" width="13.7109375" style="1402" customWidth="1"/>
    <col min="1027" max="1027" width="23.5703125" style="1402" customWidth="1"/>
    <col min="1028" max="1028" width="0.140625" style="1402" customWidth="1"/>
    <col min="1029" max="1030" width="0" style="1402" hidden="1" customWidth="1"/>
    <col min="1031" max="1031" width="12.42578125" style="1402" customWidth="1"/>
    <col min="1032" max="1032" width="0.5703125" style="1402" customWidth="1"/>
    <col min="1033" max="1033" width="13.5703125" style="1402" customWidth="1"/>
    <col min="1034" max="1034" width="1" style="1402" customWidth="1"/>
    <col min="1035" max="1035" width="7.140625" style="1402" customWidth="1"/>
    <col min="1036" max="1036" width="7" style="1402" customWidth="1"/>
    <col min="1037" max="1037" width="15.140625" style="1402" customWidth="1"/>
    <col min="1038" max="1038" width="0" style="1402" hidden="1" customWidth="1"/>
    <col min="1039" max="1040" width="11.85546875" style="1402" customWidth="1"/>
    <col min="1041" max="1041" width="1.28515625" style="1402" customWidth="1"/>
    <col min="1042" max="1042" width="10.7109375" style="1402" customWidth="1"/>
    <col min="1043" max="1043" width="3.85546875" style="1402" customWidth="1"/>
    <col min="1044" max="1044" width="20.85546875" style="1402" customWidth="1"/>
    <col min="1045" max="1045" width="19" style="1402" customWidth="1"/>
    <col min="1046" max="1046" width="10.28515625" style="1402" customWidth="1"/>
    <col min="1047" max="1280" width="9.140625" style="1402"/>
    <col min="1281" max="1281" width="5.42578125" style="1402" customWidth="1"/>
    <col min="1282" max="1282" width="13.7109375" style="1402" customWidth="1"/>
    <col min="1283" max="1283" width="23.5703125" style="1402" customWidth="1"/>
    <col min="1284" max="1284" width="0.140625" style="1402" customWidth="1"/>
    <col min="1285" max="1286" width="0" style="1402" hidden="1" customWidth="1"/>
    <col min="1287" max="1287" width="12.42578125" style="1402" customWidth="1"/>
    <col min="1288" max="1288" width="0.5703125" style="1402" customWidth="1"/>
    <col min="1289" max="1289" width="13.5703125" style="1402" customWidth="1"/>
    <col min="1290" max="1290" width="1" style="1402" customWidth="1"/>
    <col min="1291" max="1291" width="7.140625" style="1402" customWidth="1"/>
    <col min="1292" max="1292" width="7" style="1402" customWidth="1"/>
    <col min="1293" max="1293" width="15.140625" style="1402" customWidth="1"/>
    <col min="1294" max="1294" width="0" style="1402" hidden="1" customWidth="1"/>
    <col min="1295" max="1296" width="11.85546875" style="1402" customWidth="1"/>
    <col min="1297" max="1297" width="1.28515625" style="1402" customWidth="1"/>
    <col min="1298" max="1298" width="10.7109375" style="1402" customWidth="1"/>
    <col min="1299" max="1299" width="3.85546875" style="1402" customWidth="1"/>
    <col min="1300" max="1300" width="20.85546875" style="1402" customWidth="1"/>
    <col min="1301" max="1301" width="19" style="1402" customWidth="1"/>
    <col min="1302" max="1302" width="10.28515625" style="1402" customWidth="1"/>
    <col min="1303" max="1536" width="9.140625" style="1402"/>
    <col min="1537" max="1537" width="5.42578125" style="1402" customWidth="1"/>
    <col min="1538" max="1538" width="13.7109375" style="1402" customWidth="1"/>
    <col min="1539" max="1539" width="23.5703125" style="1402" customWidth="1"/>
    <col min="1540" max="1540" width="0.140625" style="1402" customWidth="1"/>
    <col min="1541" max="1542" width="0" style="1402" hidden="1" customWidth="1"/>
    <col min="1543" max="1543" width="12.42578125" style="1402" customWidth="1"/>
    <col min="1544" max="1544" width="0.5703125" style="1402" customWidth="1"/>
    <col min="1545" max="1545" width="13.5703125" style="1402" customWidth="1"/>
    <col min="1546" max="1546" width="1" style="1402" customWidth="1"/>
    <col min="1547" max="1547" width="7.140625" style="1402" customWidth="1"/>
    <col min="1548" max="1548" width="7" style="1402" customWidth="1"/>
    <col min="1549" max="1549" width="15.140625" style="1402" customWidth="1"/>
    <col min="1550" max="1550" width="0" style="1402" hidden="1" customWidth="1"/>
    <col min="1551" max="1552" width="11.85546875" style="1402" customWidth="1"/>
    <col min="1553" max="1553" width="1.28515625" style="1402" customWidth="1"/>
    <col min="1554" max="1554" width="10.7109375" style="1402" customWidth="1"/>
    <col min="1555" max="1555" width="3.85546875" style="1402" customWidth="1"/>
    <col min="1556" max="1556" width="20.85546875" style="1402" customWidth="1"/>
    <col min="1557" max="1557" width="19" style="1402" customWidth="1"/>
    <col min="1558" max="1558" width="10.28515625" style="1402" customWidth="1"/>
    <col min="1559" max="1792" width="9.140625" style="1402"/>
    <col min="1793" max="1793" width="5.42578125" style="1402" customWidth="1"/>
    <col min="1794" max="1794" width="13.7109375" style="1402" customWidth="1"/>
    <col min="1795" max="1795" width="23.5703125" style="1402" customWidth="1"/>
    <col min="1796" max="1796" width="0.140625" style="1402" customWidth="1"/>
    <col min="1797" max="1798" width="0" style="1402" hidden="1" customWidth="1"/>
    <col min="1799" max="1799" width="12.42578125" style="1402" customWidth="1"/>
    <col min="1800" max="1800" width="0.5703125" style="1402" customWidth="1"/>
    <col min="1801" max="1801" width="13.5703125" style="1402" customWidth="1"/>
    <col min="1802" max="1802" width="1" style="1402" customWidth="1"/>
    <col min="1803" max="1803" width="7.140625" style="1402" customWidth="1"/>
    <col min="1804" max="1804" width="7" style="1402" customWidth="1"/>
    <col min="1805" max="1805" width="15.140625" style="1402" customWidth="1"/>
    <col min="1806" max="1806" width="0" style="1402" hidden="1" customWidth="1"/>
    <col min="1807" max="1808" width="11.85546875" style="1402" customWidth="1"/>
    <col min="1809" max="1809" width="1.28515625" style="1402" customWidth="1"/>
    <col min="1810" max="1810" width="10.7109375" style="1402" customWidth="1"/>
    <col min="1811" max="1811" width="3.85546875" style="1402" customWidth="1"/>
    <col min="1812" max="1812" width="20.85546875" style="1402" customWidth="1"/>
    <col min="1813" max="1813" width="19" style="1402" customWidth="1"/>
    <col min="1814" max="1814" width="10.28515625" style="1402" customWidth="1"/>
    <col min="1815" max="2048" width="9.140625" style="1402"/>
    <col min="2049" max="2049" width="5.42578125" style="1402" customWidth="1"/>
    <col min="2050" max="2050" width="13.7109375" style="1402" customWidth="1"/>
    <col min="2051" max="2051" width="23.5703125" style="1402" customWidth="1"/>
    <col min="2052" max="2052" width="0.140625" style="1402" customWidth="1"/>
    <col min="2053" max="2054" width="0" style="1402" hidden="1" customWidth="1"/>
    <col min="2055" max="2055" width="12.42578125" style="1402" customWidth="1"/>
    <col min="2056" max="2056" width="0.5703125" style="1402" customWidth="1"/>
    <col min="2057" max="2057" width="13.5703125" style="1402" customWidth="1"/>
    <col min="2058" max="2058" width="1" style="1402" customWidth="1"/>
    <col min="2059" max="2059" width="7.140625" style="1402" customWidth="1"/>
    <col min="2060" max="2060" width="7" style="1402" customWidth="1"/>
    <col min="2061" max="2061" width="15.140625" style="1402" customWidth="1"/>
    <col min="2062" max="2062" width="0" style="1402" hidden="1" customWidth="1"/>
    <col min="2063" max="2064" width="11.85546875" style="1402" customWidth="1"/>
    <col min="2065" max="2065" width="1.28515625" style="1402" customWidth="1"/>
    <col min="2066" max="2066" width="10.7109375" style="1402" customWidth="1"/>
    <col min="2067" max="2067" width="3.85546875" style="1402" customWidth="1"/>
    <col min="2068" max="2068" width="20.85546875" style="1402" customWidth="1"/>
    <col min="2069" max="2069" width="19" style="1402" customWidth="1"/>
    <col min="2070" max="2070" width="10.28515625" style="1402" customWidth="1"/>
    <col min="2071" max="2304" width="9.140625" style="1402"/>
    <col min="2305" max="2305" width="5.42578125" style="1402" customWidth="1"/>
    <col min="2306" max="2306" width="13.7109375" style="1402" customWidth="1"/>
    <col min="2307" max="2307" width="23.5703125" style="1402" customWidth="1"/>
    <col min="2308" max="2308" width="0.140625" style="1402" customWidth="1"/>
    <col min="2309" max="2310" width="0" style="1402" hidden="1" customWidth="1"/>
    <col min="2311" max="2311" width="12.42578125" style="1402" customWidth="1"/>
    <col min="2312" max="2312" width="0.5703125" style="1402" customWidth="1"/>
    <col min="2313" max="2313" width="13.5703125" style="1402" customWidth="1"/>
    <col min="2314" max="2314" width="1" style="1402" customWidth="1"/>
    <col min="2315" max="2315" width="7.140625" style="1402" customWidth="1"/>
    <col min="2316" max="2316" width="7" style="1402" customWidth="1"/>
    <col min="2317" max="2317" width="15.140625" style="1402" customWidth="1"/>
    <col min="2318" max="2318" width="0" style="1402" hidden="1" customWidth="1"/>
    <col min="2319" max="2320" width="11.85546875" style="1402" customWidth="1"/>
    <col min="2321" max="2321" width="1.28515625" style="1402" customWidth="1"/>
    <col min="2322" max="2322" width="10.7109375" style="1402" customWidth="1"/>
    <col min="2323" max="2323" width="3.85546875" style="1402" customWidth="1"/>
    <col min="2324" max="2324" width="20.85546875" style="1402" customWidth="1"/>
    <col min="2325" max="2325" width="19" style="1402" customWidth="1"/>
    <col min="2326" max="2326" width="10.28515625" style="1402" customWidth="1"/>
    <col min="2327" max="2560" width="9.140625" style="1402"/>
    <col min="2561" max="2561" width="5.42578125" style="1402" customWidth="1"/>
    <col min="2562" max="2562" width="13.7109375" style="1402" customWidth="1"/>
    <col min="2563" max="2563" width="23.5703125" style="1402" customWidth="1"/>
    <col min="2564" max="2564" width="0.140625" style="1402" customWidth="1"/>
    <col min="2565" max="2566" width="0" style="1402" hidden="1" customWidth="1"/>
    <col min="2567" max="2567" width="12.42578125" style="1402" customWidth="1"/>
    <col min="2568" max="2568" width="0.5703125" style="1402" customWidth="1"/>
    <col min="2569" max="2569" width="13.5703125" style="1402" customWidth="1"/>
    <col min="2570" max="2570" width="1" style="1402" customWidth="1"/>
    <col min="2571" max="2571" width="7.140625" style="1402" customWidth="1"/>
    <col min="2572" max="2572" width="7" style="1402" customWidth="1"/>
    <col min="2573" max="2573" width="15.140625" style="1402" customWidth="1"/>
    <col min="2574" max="2574" width="0" style="1402" hidden="1" customWidth="1"/>
    <col min="2575" max="2576" width="11.85546875" style="1402" customWidth="1"/>
    <col min="2577" max="2577" width="1.28515625" style="1402" customWidth="1"/>
    <col min="2578" max="2578" width="10.7109375" style="1402" customWidth="1"/>
    <col min="2579" max="2579" width="3.85546875" style="1402" customWidth="1"/>
    <col min="2580" max="2580" width="20.85546875" style="1402" customWidth="1"/>
    <col min="2581" max="2581" width="19" style="1402" customWidth="1"/>
    <col min="2582" max="2582" width="10.28515625" style="1402" customWidth="1"/>
    <col min="2583" max="2816" width="9.140625" style="1402"/>
    <col min="2817" max="2817" width="5.42578125" style="1402" customWidth="1"/>
    <col min="2818" max="2818" width="13.7109375" style="1402" customWidth="1"/>
    <col min="2819" max="2819" width="23.5703125" style="1402" customWidth="1"/>
    <col min="2820" max="2820" width="0.140625" style="1402" customWidth="1"/>
    <col min="2821" max="2822" width="0" style="1402" hidden="1" customWidth="1"/>
    <col min="2823" max="2823" width="12.42578125" style="1402" customWidth="1"/>
    <col min="2824" max="2824" width="0.5703125" style="1402" customWidth="1"/>
    <col min="2825" max="2825" width="13.5703125" style="1402" customWidth="1"/>
    <col min="2826" max="2826" width="1" style="1402" customWidth="1"/>
    <col min="2827" max="2827" width="7.140625" style="1402" customWidth="1"/>
    <col min="2828" max="2828" width="7" style="1402" customWidth="1"/>
    <col min="2829" max="2829" width="15.140625" style="1402" customWidth="1"/>
    <col min="2830" max="2830" width="0" style="1402" hidden="1" customWidth="1"/>
    <col min="2831" max="2832" width="11.85546875" style="1402" customWidth="1"/>
    <col min="2833" max="2833" width="1.28515625" style="1402" customWidth="1"/>
    <col min="2834" max="2834" width="10.7109375" style="1402" customWidth="1"/>
    <col min="2835" max="2835" width="3.85546875" style="1402" customWidth="1"/>
    <col min="2836" max="2836" width="20.85546875" style="1402" customWidth="1"/>
    <col min="2837" max="2837" width="19" style="1402" customWidth="1"/>
    <col min="2838" max="2838" width="10.28515625" style="1402" customWidth="1"/>
    <col min="2839" max="3072" width="9.140625" style="1402"/>
    <col min="3073" max="3073" width="5.42578125" style="1402" customWidth="1"/>
    <col min="3074" max="3074" width="13.7109375" style="1402" customWidth="1"/>
    <col min="3075" max="3075" width="23.5703125" style="1402" customWidth="1"/>
    <col min="3076" max="3076" width="0.140625" style="1402" customWidth="1"/>
    <col min="3077" max="3078" width="0" style="1402" hidden="1" customWidth="1"/>
    <col min="3079" max="3079" width="12.42578125" style="1402" customWidth="1"/>
    <col min="3080" max="3080" width="0.5703125" style="1402" customWidth="1"/>
    <col min="3081" max="3081" width="13.5703125" style="1402" customWidth="1"/>
    <col min="3082" max="3082" width="1" style="1402" customWidth="1"/>
    <col min="3083" max="3083" width="7.140625" style="1402" customWidth="1"/>
    <col min="3084" max="3084" width="7" style="1402" customWidth="1"/>
    <col min="3085" max="3085" width="15.140625" style="1402" customWidth="1"/>
    <col min="3086" max="3086" width="0" style="1402" hidden="1" customWidth="1"/>
    <col min="3087" max="3088" width="11.85546875" style="1402" customWidth="1"/>
    <col min="3089" max="3089" width="1.28515625" style="1402" customWidth="1"/>
    <col min="3090" max="3090" width="10.7109375" style="1402" customWidth="1"/>
    <col min="3091" max="3091" width="3.85546875" style="1402" customWidth="1"/>
    <col min="3092" max="3092" width="20.85546875" style="1402" customWidth="1"/>
    <col min="3093" max="3093" width="19" style="1402" customWidth="1"/>
    <col min="3094" max="3094" width="10.28515625" style="1402" customWidth="1"/>
    <col min="3095" max="3328" width="9.140625" style="1402"/>
    <col min="3329" max="3329" width="5.42578125" style="1402" customWidth="1"/>
    <col min="3330" max="3330" width="13.7109375" style="1402" customWidth="1"/>
    <col min="3331" max="3331" width="23.5703125" style="1402" customWidth="1"/>
    <col min="3332" max="3332" width="0.140625" style="1402" customWidth="1"/>
    <col min="3333" max="3334" width="0" style="1402" hidden="1" customWidth="1"/>
    <col min="3335" max="3335" width="12.42578125" style="1402" customWidth="1"/>
    <col min="3336" max="3336" width="0.5703125" style="1402" customWidth="1"/>
    <col min="3337" max="3337" width="13.5703125" style="1402" customWidth="1"/>
    <col min="3338" max="3338" width="1" style="1402" customWidth="1"/>
    <col min="3339" max="3339" width="7.140625" style="1402" customWidth="1"/>
    <col min="3340" max="3340" width="7" style="1402" customWidth="1"/>
    <col min="3341" max="3341" width="15.140625" style="1402" customWidth="1"/>
    <col min="3342" max="3342" width="0" style="1402" hidden="1" customWidth="1"/>
    <col min="3343" max="3344" width="11.85546875" style="1402" customWidth="1"/>
    <col min="3345" max="3345" width="1.28515625" style="1402" customWidth="1"/>
    <col min="3346" max="3346" width="10.7109375" style="1402" customWidth="1"/>
    <col min="3347" max="3347" width="3.85546875" style="1402" customWidth="1"/>
    <col min="3348" max="3348" width="20.85546875" style="1402" customWidth="1"/>
    <col min="3349" max="3349" width="19" style="1402" customWidth="1"/>
    <col min="3350" max="3350" width="10.28515625" style="1402" customWidth="1"/>
    <col min="3351" max="3584" width="9.140625" style="1402"/>
    <col min="3585" max="3585" width="5.42578125" style="1402" customWidth="1"/>
    <col min="3586" max="3586" width="13.7109375" style="1402" customWidth="1"/>
    <col min="3587" max="3587" width="23.5703125" style="1402" customWidth="1"/>
    <col min="3588" max="3588" width="0.140625" style="1402" customWidth="1"/>
    <col min="3589" max="3590" width="0" style="1402" hidden="1" customWidth="1"/>
    <col min="3591" max="3591" width="12.42578125" style="1402" customWidth="1"/>
    <col min="3592" max="3592" width="0.5703125" style="1402" customWidth="1"/>
    <col min="3593" max="3593" width="13.5703125" style="1402" customWidth="1"/>
    <col min="3594" max="3594" width="1" style="1402" customWidth="1"/>
    <col min="3595" max="3595" width="7.140625" style="1402" customWidth="1"/>
    <col min="3596" max="3596" width="7" style="1402" customWidth="1"/>
    <col min="3597" max="3597" width="15.140625" style="1402" customWidth="1"/>
    <col min="3598" max="3598" width="0" style="1402" hidden="1" customWidth="1"/>
    <col min="3599" max="3600" width="11.85546875" style="1402" customWidth="1"/>
    <col min="3601" max="3601" width="1.28515625" style="1402" customWidth="1"/>
    <col min="3602" max="3602" width="10.7109375" style="1402" customWidth="1"/>
    <col min="3603" max="3603" width="3.85546875" style="1402" customWidth="1"/>
    <col min="3604" max="3604" width="20.85546875" style="1402" customWidth="1"/>
    <col min="3605" max="3605" width="19" style="1402" customWidth="1"/>
    <col min="3606" max="3606" width="10.28515625" style="1402" customWidth="1"/>
    <col min="3607" max="3840" width="9.140625" style="1402"/>
    <col min="3841" max="3841" width="5.42578125" style="1402" customWidth="1"/>
    <col min="3842" max="3842" width="13.7109375" style="1402" customWidth="1"/>
    <col min="3843" max="3843" width="23.5703125" style="1402" customWidth="1"/>
    <col min="3844" max="3844" width="0.140625" style="1402" customWidth="1"/>
    <col min="3845" max="3846" width="0" style="1402" hidden="1" customWidth="1"/>
    <col min="3847" max="3847" width="12.42578125" style="1402" customWidth="1"/>
    <col min="3848" max="3848" width="0.5703125" style="1402" customWidth="1"/>
    <col min="3849" max="3849" width="13.5703125" style="1402" customWidth="1"/>
    <col min="3850" max="3850" width="1" style="1402" customWidth="1"/>
    <col min="3851" max="3851" width="7.140625" style="1402" customWidth="1"/>
    <col min="3852" max="3852" width="7" style="1402" customWidth="1"/>
    <col min="3853" max="3853" width="15.140625" style="1402" customWidth="1"/>
    <col min="3854" max="3854" width="0" style="1402" hidden="1" customWidth="1"/>
    <col min="3855" max="3856" width="11.85546875" style="1402" customWidth="1"/>
    <col min="3857" max="3857" width="1.28515625" style="1402" customWidth="1"/>
    <col min="3858" max="3858" width="10.7109375" style="1402" customWidth="1"/>
    <col min="3859" max="3859" width="3.85546875" style="1402" customWidth="1"/>
    <col min="3860" max="3860" width="20.85546875" style="1402" customWidth="1"/>
    <col min="3861" max="3861" width="19" style="1402" customWidth="1"/>
    <col min="3862" max="3862" width="10.28515625" style="1402" customWidth="1"/>
    <col min="3863" max="4096" width="9.140625" style="1402"/>
    <col min="4097" max="4097" width="5.42578125" style="1402" customWidth="1"/>
    <col min="4098" max="4098" width="13.7109375" style="1402" customWidth="1"/>
    <col min="4099" max="4099" width="23.5703125" style="1402" customWidth="1"/>
    <col min="4100" max="4100" width="0.140625" style="1402" customWidth="1"/>
    <col min="4101" max="4102" width="0" style="1402" hidden="1" customWidth="1"/>
    <col min="4103" max="4103" width="12.42578125" style="1402" customWidth="1"/>
    <col min="4104" max="4104" width="0.5703125" style="1402" customWidth="1"/>
    <col min="4105" max="4105" width="13.5703125" style="1402" customWidth="1"/>
    <col min="4106" max="4106" width="1" style="1402" customWidth="1"/>
    <col min="4107" max="4107" width="7.140625" style="1402" customWidth="1"/>
    <col min="4108" max="4108" width="7" style="1402" customWidth="1"/>
    <col min="4109" max="4109" width="15.140625" style="1402" customWidth="1"/>
    <col min="4110" max="4110" width="0" style="1402" hidden="1" customWidth="1"/>
    <col min="4111" max="4112" width="11.85546875" style="1402" customWidth="1"/>
    <col min="4113" max="4113" width="1.28515625" style="1402" customWidth="1"/>
    <col min="4114" max="4114" width="10.7109375" style="1402" customWidth="1"/>
    <col min="4115" max="4115" width="3.85546875" style="1402" customWidth="1"/>
    <col min="4116" max="4116" width="20.85546875" style="1402" customWidth="1"/>
    <col min="4117" max="4117" width="19" style="1402" customWidth="1"/>
    <col min="4118" max="4118" width="10.28515625" style="1402" customWidth="1"/>
    <col min="4119" max="4352" width="9.140625" style="1402"/>
    <col min="4353" max="4353" width="5.42578125" style="1402" customWidth="1"/>
    <col min="4354" max="4354" width="13.7109375" style="1402" customWidth="1"/>
    <col min="4355" max="4355" width="23.5703125" style="1402" customWidth="1"/>
    <col min="4356" max="4356" width="0.140625" style="1402" customWidth="1"/>
    <col min="4357" max="4358" width="0" style="1402" hidden="1" customWidth="1"/>
    <col min="4359" max="4359" width="12.42578125" style="1402" customWidth="1"/>
    <col min="4360" max="4360" width="0.5703125" style="1402" customWidth="1"/>
    <col min="4361" max="4361" width="13.5703125" style="1402" customWidth="1"/>
    <col min="4362" max="4362" width="1" style="1402" customWidth="1"/>
    <col min="4363" max="4363" width="7.140625" style="1402" customWidth="1"/>
    <col min="4364" max="4364" width="7" style="1402" customWidth="1"/>
    <col min="4365" max="4365" width="15.140625" style="1402" customWidth="1"/>
    <col min="4366" max="4366" width="0" style="1402" hidden="1" customWidth="1"/>
    <col min="4367" max="4368" width="11.85546875" style="1402" customWidth="1"/>
    <col min="4369" max="4369" width="1.28515625" style="1402" customWidth="1"/>
    <col min="4370" max="4370" width="10.7109375" style="1402" customWidth="1"/>
    <col min="4371" max="4371" width="3.85546875" style="1402" customWidth="1"/>
    <col min="4372" max="4372" width="20.85546875" style="1402" customWidth="1"/>
    <col min="4373" max="4373" width="19" style="1402" customWidth="1"/>
    <col min="4374" max="4374" width="10.28515625" style="1402" customWidth="1"/>
    <col min="4375" max="4608" width="9.140625" style="1402"/>
    <col min="4609" max="4609" width="5.42578125" style="1402" customWidth="1"/>
    <col min="4610" max="4610" width="13.7109375" style="1402" customWidth="1"/>
    <col min="4611" max="4611" width="23.5703125" style="1402" customWidth="1"/>
    <col min="4612" max="4612" width="0.140625" style="1402" customWidth="1"/>
    <col min="4613" max="4614" width="0" style="1402" hidden="1" customWidth="1"/>
    <col min="4615" max="4615" width="12.42578125" style="1402" customWidth="1"/>
    <col min="4616" max="4616" width="0.5703125" style="1402" customWidth="1"/>
    <col min="4617" max="4617" width="13.5703125" style="1402" customWidth="1"/>
    <col min="4618" max="4618" width="1" style="1402" customWidth="1"/>
    <col min="4619" max="4619" width="7.140625" style="1402" customWidth="1"/>
    <col min="4620" max="4620" width="7" style="1402" customWidth="1"/>
    <col min="4621" max="4621" width="15.140625" style="1402" customWidth="1"/>
    <col min="4622" max="4622" width="0" style="1402" hidden="1" customWidth="1"/>
    <col min="4623" max="4624" width="11.85546875" style="1402" customWidth="1"/>
    <col min="4625" max="4625" width="1.28515625" style="1402" customWidth="1"/>
    <col min="4626" max="4626" width="10.7109375" style="1402" customWidth="1"/>
    <col min="4627" max="4627" width="3.85546875" style="1402" customWidth="1"/>
    <col min="4628" max="4628" width="20.85546875" style="1402" customWidth="1"/>
    <col min="4629" max="4629" width="19" style="1402" customWidth="1"/>
    <col min="4630" max="4630" width="10.28515625" style="1402" customWidth="1"/>
    <col min="4631" max="4864" width="9.140625" style="1402"/>
    <col min="4865" max="4865" width="5.42578125" style="1402" customWidth="1"/>
    <col min="4866" max="4866" width="13.7109375" style="1402" customWidth="1"/>
    <col min="4867" max="4867" width="23.5703125" style="1402" customWidth="1"/>
    <col min="4868" max="4868" width="0.140625" style="1402" customWidth="1"/>
    <col min="4869" max="4870" width="0" style="1402" hidden="1" customWidth="1"/>
    <col min="4871" max="4871" width="12.42578125" style="1402" customWidth="1"/>
    <col min="4872" max="4872" width="0.5703125" style="1402" customWidth="1"/>
    <col min="4873" max="4873" width="13.5703125" style="1402" customWidth="1"/>
    <col min="4874" max="4874" width="1" style="1402" customWidth="1"/>
    <col min="4875" max="4875" width="7.140625" style="1402" customWidth="1"/>
    <col min="4876" max="4876" width="7" style="1402" customWidth="1"/>
    <col min="4877" max="4877" width="15.140625" style="1402" customWidth="1"/>
    <col min="4878" max="4878" width="0" style="1402" hidden="1" customWidth="1"/>
    <col min="4879" max="4880" width="11.85546875" style="1402" customWidth="1"/>
    <col min="4881" max="4881" width="1.28515625" style="1402" customWidth="1"/>
    <col min="4882" max="4882" width="10.7109375" style="1402" customWidth="1"/>
    <col min="4883" max="4883" width="3.85546875" style="1402" customWidth="1"/>
    <col min="4884" max="4884" width="20.85546875" style="1402" customWidth="1"/>
    <col min="4885" max="4885" width="19" style="1402" customWidth="1"/>
    <col min="4886" max="4886" width="10.28515625" style="1402" customWidth="1"/>
    <col min="4887" max="5120" width="9.140625" style="1402"/>
    <col min="5121" max="5121" width="5.42578125" style="1402" customWidth="1"/>
    <col min="5122" max="5122" width="13.7109375" style="1402" customWidth="1"/>
    <col min="5123" max="5123" width="23.5703125" style="1402" customWidth="1"/>
    <col min="5124" max="5124" width="0.140625" style="1402" customWidth="1"/>
    <col min="5125" max="5126" width="0" style="1402" hidden="1" customWidth="1"/>
    <col min="5127" max="5127" width="12.42578125" style="1402" customWidth="1"/>
    <col min="5128" max="5128" width="0.5703125" style="1402" customWidth="1"/>
    <col min="5129" max="5129" width="13.5703125" style="1402" customWidth="1"/>
    <col min="5130" max="5130" width="1" style="1402" customWidth="1"/>
    <col min="5131" max="5131" width="7.140625" style="1402" customWidth="1"/>
    <col min="5132" max="5132" width="7" style="1402" customWidth="1"/>
    <col min="5133" max="5133" width="15.140625" style="1402" customWidth="1"/>
    <col min="5134" max="5134" width="0" style="1402" hidden="1" customWidth="1"/>
    <col min="5135" max="5136" width="11.85546875" style="1402" customWidth="1"/>
    <col min="5137" max="5137" width="1.28515625" style="1402" customWidth="1"/>
    <col min="5138" max="5138" width="10.7109375" style="1402" customWidth="1"/>
    <col min="5139" max="5139" width="3.85546875" style="1402" customWidth="1"/>
    <col min="5140" max="5140" width="20.85546875" style="1402" customWidth="1"/>
    <col min="5141" max="5141" width="19" style="1402" customWidth="1"/>
    <col min="5142" max="5142" width="10.28515625" style="1402" customWidth="1"/>
    <col min="5143" max="5376" width="9.140625" style="1402"/>
    <col min="5377" max="5377" width="5.42578125" style="1402" customWidth="1"/>
    <col min="5378" max="5378" width="13.7109375" style="1402" customWidth="1"/>
    <col min="5379" max="5379" width="23.5703125" style="1402" customWidth="1"/>
    <col min="5380" max="5380" width="0.140625" style="1402" customWidth="1"/>
    <col min="5381" max="5382" width="0" style="1402" hidden="1" customWidth="1"/>
    <col min="5383" max="5383" width="12.42578125" style="1402" customWidth="1"/>
    <col min="5384" max="5384" width="0.5703125" style="1402" customWidth="1"/>
    <col min="5385" max="5385" width="13.5703125" style="1402" customWidth="1"/>
    <col min="5386" max="5386" width="1" style="1402" customWidth="1"/>
    <col min="5387" max="5387" width="7.140625" style="1402" customWidth="1"/>
    <col min="5388" max="5388" width="7" style="1402" customWidth="1"/>
    <col min="5389" max="5389" width="15.140625" style="1402" customWidth="1"/>
    <col min="5390" max="5390" width="0" style="1402" hidden="1" customWidth="1"/>
    <col min="5391" max="5392" width="11.85546875" style="1402" customWidth="1"/>
    <col min="5393" max="5393" width="1.28515625" style="1402" customWidth="1"/>
    <col min="5394" max="5394" width="10.7109375" style="1402" customWidth="1"/>
    <col min="5395" max="5395" width="3.85546875" style="1402" customWidth="1"/>
    <col min="5396" max="5396" width="20.85546875" style="1402" customWidth="1"/>
    <col min="5397" max="5397" width="19" style="1402" customWidth="1"/>
    <col min="5398" max="5398" width="10.28515625" style="1402" customWidth="1"/>
    <col min="5399" max="5632" width="9.140625" style="1402"/>
    <col min="5633" max="5633" width="5.42578125" style="1402" customWidth="1"/>
    <col min="5634" max="5634" width="13.7109375" style="1402" customWidth="1"/>
    <col min="5635" max="5635" width="23.5703125" style="1402" customWidth="1"/>
    <col min="5636" max="5636" width="0.140625" style="1402" customWidth="1"/>
    <col min="5637" max="5638" width="0" style="1402" hidden="1" customWidth="1"/>
    <col min="5639" max="5639" width="12.42578125" style="1402" customWidth="1"/>
    <col min="5640" max="5640" width="0.5703125" style="1402" customWidth="1"/>
    <col min="5641" max="5641" width="13.5703125" style="1402" customWidth="1"/>
    <col min="5642" max="5642" width="1" style="1402" customWidth="1"/>
    <col min="5643" max="5643" width="7.140625" style="1402" customWidth="1"/>
    <col min="5644" max="5644" width="7" style="1402" customWidth="1"/>
    <col min="5645" max="5645" width="15.140625" style="1402" customWidth="1"/>
    <col min="5646" max="5646" width="0" style="1402" hidden="1" customWidth="1"/>
    <col min="5647" max="5648" width="11.85546875" style="1402" customWidth="1"/>
    <col min="5649" max="5649" width="1.28515625" style="1402" customWidth="1"/>
    <col min="5650" max="5650" width="10.7109375" style="1402" customWidth="1"/>
    <col min="5651" max="5651" width="3.85546875" style="1402" customWidth="1"/>
    <col min="5652" max="5652" width="20.85546875" style="1402" customWidth="1"/>
    <col min="5653" max="5653" width="19" style="1402" customWidth="1"/>
    <col min="5654" max="5654" width="10.28515625" style="1402" customWidth="1"/>
    <col min="5655" max="5888" width="9.140625" style="1402"/>
    <col min="5889" max="5889" width="5.42578125" style="1402" customWidth="1"/>
    <col min="5890" max="5890" width="13.7109375" style="1402" customWidth="1"/>
    <col min="5891" max="5891" width="23.5703125" style="1402" customWidth="1"/>
    <col min="5892" max="5892" width="0.140625" style="1402" customWidth="1"/>
    <col min="5893" max="5894" width="0" style="1402" hidden="1" customWidth="1"/>
    <col min="5895" max="5895" width="12.42578125" style="1402" customWidth="1"/>
    <col min="5896" max="5896" width="0.5703125" style="1402" customWidth="1"/>
    <col min="5897" max="5897" width="13.5703125" style="1402" customWidth="1"/>
    <col min="5898" max="5898" width="1" style="1402" customWidth="1"/>
    <col min="5899" max="5899" width="7.140625" style="1402" customWidth="1"/>
    <col min="5900" max="5900" width="7" style="1402" customWidth="1"/>
    <col min="5901" max="5901" width="15.140625" style="1402" customWidth="1"/>
    <col min="5902" max="5902" width="0" style="1402" hidden="1" customWidth="1"/>
    <col min="5903" max="5904" width="11.85546875" style="1402" customWidth="1"/>
    <col min="5905" max="5905" width="1.28515625" style="1402" customWidth="1"/>
    <col min="5906" max="5906" width="10.7109375" style="1402" customWidth="1"/>
    <col min="5907" max="5907" width="3.85546875" style="1402" customWidth="1"/>
    <col min="5908" max="5908" width="20.85546875" style="1402" customWidth="1"/>
    <col min="5909" max="5909" width="19" style="1402" customWidth="1"/>
    <col min="5910" max="5910" width="10.28515625" style="1402" customWidth="1"/>
    <col min="5911" max="6144" width="9.140625" style="1402"/>
    <col min="6145" max="6145" width="5.42578125" style="1402" customWidth="1"/>
    <col min="6146" max="6146" width="13.7109375" style="1402" customWidth="1"/>
    <col min="6147" max="6147" width="23.5703125" style="1402" customWidth="1"/>
    <col min="6148" max="6148" width="0.140625" style="1402" customWidth="1"/>
    <col min="6149" max="6150" width="0" style="1402" hidden="1" customWidth="1"/>
    <col min="6151" max="6151" width="12.42578125" style="1402" customWidth="1"/>
    <col min="6152" max="6152" width="0.5703125" style="1402" customWidth="1"/>
    <col min="6153" max="6153" width="13.5703125" style="1402" customWidth="1"/>
    <col min="6154" max="6154" width="1" style="1402" customWidth="1"/>
    <col min="6155" max="6155" width="7.140625" style="1402" customWidth="1"/>
    <col min="6156" max="6156" width="7" style="1402" customWidth="1"/>
    <col min="6157" max="6157" width="15.140625" style="1402" customWidth="1"/>
    <col min="6158" max="6158" width="0" style="1402" hidden="1" customWidth="1"/>
    <col min="6159" max="6160" width="11.85546875" style="1402" customWidth="1"/>
    <col min="6161" max="6161" width="1.28515625" style="1402" customWidth="1"/>
    <col min="6162" max="6162" width="10.7109375" style="1402" customWidth="1"/>
    <col min="6163" max="6163" width="3.85546875" style="1402" customWidth="1"/>
    <col min="6164" max="6164" width="20.85546875" style="1402" customWidth="1"/>
    <col min="6165" max="6165" width="19" style="1402" customWidth="1"/>
    <col min="6166" max="6166" width="10.28515625" style="1402" customWidth="1"/>
    <col min="6167" max="6400" width="9.140625" style="1402"/>
    <col min="6401" max="6401" width="5.42578125" style="1402" customWidth="1"/>
    <col min="6402" max="6402" width="13.7109375" style="1402" customWidth="1"/>
    <col min="6403" max="6403" width="23.5703125" style="1402" customWidth="1"/>
    <col min="6404" max="6404" width="0.140625" style="1402" customWidth="1"/>
    <col min="6405" max="6406" width="0" style="1402" hidden="1" customWidth="1"/>
    <col min="6407" max="6407" width="12.42578125" style="1402" customWidth="1"/>
    <col min="6408" max="6408" width="0.5703125" style="1402" customWidth="1"/>
    <col min="6409" max="6409" width="13.5703125" style="1402" customWidth="1"/>
    <col min="6410" max="6410" width="1" style="1402" customWidth="1"/>
    <col min="6411" max="6411" width="7.140625" style="1402" customWidth="1"/>
    <col min="6412" max="6412" width="7" style="1402" customWidth="1"/>
    <col min="6413" max="6413" width="15.140625" style="1402" customWidth="1"/>
    <col min="6414" max="6414" width="0" style="1402" hidden="1" customWidth="1"/>
    <col min="6415" max="6416" width="11.85546875" style="1402" customWidth="1"/>
    <col min="6417" max="6417" width="1.28515625" style="1402" customWidth="1"/>
    <col min="6418" max="6418" width="10.7109375" style="1402" customWidth="1"/>
    <col min="6419" max="6419" width="3.85546875" style="1402" customWidth="1"/>
    <col min="6420" max="6420" width="20.85546875" style="1402" customWidth="1"/>
    <col min="6421" max="6421" width="19" style="1402" customWidth="1"/>
    <col min="6422" max="6422" width="10.28515625" style="1402" customWidth="1"/>
    <col min="6423" max="6656" width="9.140625" style="1402"/>
    <col min="6657" max="6657" width="5.42578125" style="1402" customWidth="1"/>
    <col min="6658" max="6658" width="13.7109375" style="1402" customWidth="1"/>
    <col min="6659" max="6659" width="23.5703125" style="1402" customWidth="1"/>
    <col min="6660" max="6660" width="0.140625" style="1402" customWidth="1"/>
    <col min="6661" max="6662" width="0" style="1402" hidden="1" customWidth="1"/>
    <col min="6663" max="6663" width="12.42578125" style="1402" customWidth="1"/>
    <col min="6664" max="6664" width="0.5703125" style="1402" customWidth="1"/>
    <col min="6665" max="6665" width="13.5703125" style="1402" customWidth="1"/>
    <col min="6666" max="6666" width="1" style="1402" customWidth="1"/>
    <col min="6667" max="6667" width="7.140625" style="1402" customWidth="1"/>
    <col min="6668" max="6668" width="7" style="1402" customWidth="1"/>
    <col min="6669" max="6669" width="15.140625" style="1402" customWidth="1"/>
    <col min="6670" max="6670" width="0" style="1402" hidden="1" customWidth="1"/>
    <col min="6671" max="6672" width="11.85546875" style="1402" customWidth="1"/>
    <col min="6673" max="6673" width="1.28515625" style="1402" customWidth="1"/>
    <col min="6674" max="6674" width="10.7109375" style="1402" customWidth="1"/>
    <col min="6675" max="6675" width="3.85546875" style="1402" customWidth="1"/>
    <col min="6676" max="6676" width="20.85546875" style="1402" customWidth="1"/>
    <col min="6677" max="6677" width="19" style="1402" customWidth="1"/>
    <col min="6678" max="6678" width="10.28515625" style="1402" customWidth="1"/>
    <col min="6679" max="6912" width="9.140625" style="1402"/>
    <col min="6913" max="6913" width="5.42578125" style="1402" customWidth="1"/>
    <col min="6914" max="6914" width="13.7109375" style="1402" customWidth="1"/>
    <col min="6915" max="6915" width="23.5703125" style="1402" customWidth="1"/>
    <col min="6916" max="6916" width="0.140625" style="1402" customWidth="1"/>
    <col min="6917" max="6918" width="0" style="1402" hidden="1" customWidth="1"/>
    <col min="6919" max="6919" width="12.42578125" style="1402" customWidth="1"/>
    <col min="6920" max="6920" width="0.5703125" style="1402" customWidth="1"/>
    <col min="6921" max="6921" width="13.5703125" style="1402" customWidth="1"/>
    <col min="6922" max="6922" width="1" style="1402" customWidth="1"/>
    <col min="6923" max="6923" width="7.140625" style="1402" customWidth="1"/>
    <col min="6924" max="6924" width="7" style="1402" customWidth="1"/>
    <col min="6925" max="6925" width="15.140625" style="1402" customWidth="1"/>
    <col min="6926" max="6926" width="0" style="1402" hidden="1" customWidth="1"/>
    <col min="6927" max="6928" width="11.85546875" style="1402" customWidth="1"/>
    <col min="6929" max="6929" width="1.28515625" style="1402" customWidth="1"/>
    <col min="6930" max="6930" width="10.7109375" style="1402" customWidth="1"/>
    <col min="6931" max="6931" width="3.85546875" style="1402" customWidth="1"/>
    <col min="6932" max="6932" width="20.85546875" style="1402" customWidth="1"/>
    <col min="6933" max="6933" width="19" style="1402" customWidth="1"/>
    <col min="6934" max="6934" width="10.28515625" style="1402" customWidth="1"/>
    <col min="6935" max="7168" width="9.140625" style="1402"/>
    <col min="7169" max="7169" width="5.42578125" style="1402" customWidth="1"/>
    <col min="7170" max="7170" width="13.7109375" style="1402" customWidth="1"/>
    <col min="7171" max="7171" width="23.5703125" style="1402" customWidth="1"/>
    <col min="7172" max="7172" width="0.140625" style="1402" customWidth="1"/>
    <col min="7173" max="7174" width="0" style="1402" hidden="1" customWidth="1"/>
    <col min="7175" max="7175" width="12.42578125" style="1402" customWidth="1"/>
    <col min="7176" max="7176" width="0.5703125" style="1402" customWidth="1"/>
    <col min="7177" max="7177" width="13.5703125" style="1402" customWidth="1"/>
    <col min="7178" max="7178" width="1" style="1402" customWidth="1"/>
    <col min="7179" max="7179" width="7.140625" style="1402" customWidth="1"/>
    <col min="7180" max="7180" width="7" style="1402" customWidth="1"/>
    <col min="7181" max="7181" width="15.140625" style="1402" customWidth="1"/>
    <col min="7182" max="7182" width="0" style="1402" hidden="1" customWidth="1"/>
    <col min="7183" max="7184" width="11.85546875" style="1402" customWidth="1"/>
    <col min="7185" max="7185" width="1.28515625" style="1402" customWidth="1"/>
    <col min="7186" max="7186" width="10.7109375" style="1402" customWidth="1"/>
    <col min="7187" max="7187" width="3.85546875" style="1402" customWidth="1"/>
    <col min="7188" max="7188" width="20.85546875" style="1402" customWidth="1"/>
    <col min="7189" max="7189" width="19" style="1402" customWidth="1"/>
    <col min="7190" max="7190" width="10.28515625" style="1402" customWidth="1"/>
    <col min="7191" max="7424" width="9.140625" style="1402"/>
    <col min="7425" max="7425" width="5.42578125" style="1402" customWidth="1"/>
    <col min="7426" max="7426" width="13.7109375" style="1402" customWidth="1"/>
    <col min="7427" max="7427" width="23.5703125" style="1402" customWidth="1"/>
    <col min="7428" max="7428" width="0.140625" style="1402" customWidth="1"/>
    <col min="7429" max="7430" width="0" style="1402" hidden="1" customWidth="1"/>
    <col min="7431" max="7431" width="12.42578125" style="1402" customWidth="1"/>
    <col min="7432" max="7432" width="0.5703125" style="1402" customWidth="1"/>
    <col min="7433" max="7433" width="13.5703125" style="1402" customWidth="1"/>
    <col min="7434" max="7434" width="1" style="1402" customWidth="1"/>
    <col min="7435" max="7435" width="7.140625" style="1402" customWidth="1"/>
    <col min="7436" max="7436" width="7" style="1402" customWidth="1"/>
    <col min="7437" max="7437" width="15.140625" style="1402" customWidth="1"/>
    <col min="7438" max="7438" width="0" style="1402" hidden="1" customWidth="1"/>
    <col min="7439" max="7440" width="11.85546875" style="1402" customWidth="1"/>
    <col min="7441" max="7441" width="1.28515625" style="1402" customWidth="1"/>
    <col min="7442" max="7442" width="10.7109375" style="1402" customWidth="1"/>
    <col min="7443" max="7443" width="3.85546875" style="1402" customWidth="1"/>
    <col min="7444" max="7444" width="20.85546875" style="1402" customWidth="1"/>
    <col min="7445" max="7445" width="19" style="1402" customWidth="1"/>
    <col min="7446" max="7446" width="10.28515625" style="1402" customWidth="1"/>
    <col min="7447" max="7680" width="9.140625" style="1402"/>
    <col min="7681" max="7681" width="5.42578125" style="1402" customWidth="1"/>
    <col min="7682" max="7682" width="13.7109375" style="1402" customWidth="1"/>
    <col min="7683" max="7683" width="23.5703125" style="1402" customWidth="1"/>
    <col min="7684" max="7684" width="0.140625" style="1402" customWidth="1"/>
    <col min="7685" max="7686" width="0" style="1402" hidden="1" customWidth="1"/>
    <col min="7687" max="7687" width="12.42578125" style="1402" customWidth="1"/>
    <col min="7688" max="7688" width="0.5703125" style="1402" customWidth="1"/>
    <col min="7689" max="7689" width="13.5703125" style="1402" customWidth="1"/>
    <col min="7690" max="7690" width="1" style="1402" customWidth="1"/>
    <col min="7691" max="7691" width="7.140625" style="1402" customWidth="1"/>
    <col min="7692" max="7692" width="7" style="1402" customWidth="1"/>
    <col min="7693" max="7693" width="15.140625" style="1402" customWidth="1"/>
    <col min="7694" max="7694" width="0" style="1402" hidden="1" customWidth="1"/>
    <col min="7695" max="7696" width="11.85546875" style="1402" customWidth="1"/>
    <col min="7697" max="7697" width="1.28515625" style="1402" customWidth="1"/>
    <col min="7698" max="7698" width="10.7109375" style="1402" customWidth="1"/>
    <col min="7699" max="7699" width="3.85546875" style="1402" customWidth="1"/>
    <col min="7700" max="7700" width="20.85546875" style="1402" customWidth="1"/>
    <col min="7701" max="7701" width="19" style="1402" customWidth="1"/>
    <col min="7702" max="7702" width="10.28515625" style="1402" customWidth="1"/>
    <col min="7703" max="7936" width="9.140625" style="1402"/>
    <col min="7937" max="7937" width="5.42578125" style="1402" customWidth="1"/>
    <col min="7938" max="7938" width="13.7109375" style="1402" customWidth="1"/>
    <col min="7939" max="7939" width="23.5703125" style="1402" customWidth="1"/>
    <col min="7940" max="7940" width="0.140625" style="1402" customWidth="1"/>
    <col min="7941" max="7942" width="0" style="1402" hidden="1" customWidth="1"/>
    <col min="7943" max="7943" width="12.42578125" style="1402" customWidth="1"/>
    <col min="7944" max="7944" width="0.5703125" style="1402" customWidth="1"/>
    <col min="7945" max="7945" width="13.5703125" style="1402" customWidth="1"/>
    <col min="7946" max="7946" width="1" style="1402" customWidth="1"/>
    <col min="7947" max="7947" width="7.140625" style="1402" customWidth="1"/>
    <col min="7948" max="7948" width="7" style="1402" customWidth="1"/>
    <col min="7949" max="7949" width="15.140625" style="1402" customWidth="1"/>
    <col min="7950" max="7950" width="0" style="1402" hidden="1" customWidth="1"/>
    <col min="7951" max="7952" width="11.85546875" style="1402" customWidth="1"/>
    <col min="7953" max="7953" width="1.28515625" style="1402" customWidth="1"/>
    <col min="7954" max="7954" width="10.7109375" style="1402" customWidth="1"/>
    <col min="7955" max="7955" width="3.85546875" style="1402" customWidth="1"/>
    <col min="7956" max="7956" width="20.85546875" style="1402" customWidth="1"/>
    <col min="7957" max="7957" width="19" style="1402" customWidth="1"/>
    <col min="7958" max="7958" width="10.28515625" style="1402" customWidth="1"/>
    <col min="7959" max="8192" width="9.140625" style="1402"/>
    <col min="8193" max="8193" width="5.42578125" style="1402" customWidth="1"/>
    <col min="8194" max="8194" width="13.7109375" style="1402" customWidth="1"/>
    <col min="8195" max="8195" width="23.5703125" style="1402" customWidth="1"/>
    <col min="8196" max="8196" width="0.140625" style="1402" customWidth="1"/>
    <col min="8197" max="8198" width="0" style="1402" hidden="1" customWidth="1"/>
    <col min="8199" max="8199" width="12.42578125" style="1402" customWidth="1"/>
    <col min="8200" max="8200" width="0.5703125" style="1402" customWidth="1"/>
    <col min="8201" max="8201" width="13.5703125" style="1402" customWidth="1"/>
    <col min="8202" max="8202" width="1" style="1402" customWidth="1"/>
    <col min="8203" max="8203" width="7.140625" style="1402" customWidth="1"/>
    <col min="8204" max="8204" width="7" style="1402" customWidth="1"/>
    <col min="8205" max="8205" width="15.140625" style="1402" customWidth="1"/>
    <col min="8206" max="8206" width="0" style="1402" hidden="1" customWidth="1"/>
    <col min="8207" max="8208" width="11.85546875" style="1402" customWidth="1"/>
    <col min="8209" max="8209" width="1.28515625" style="1402" customWidth="1"/>
    <col min="8210" max="8210" width="10.7109375" style="1402" customWidth="1"/>
    <col min="8211" max="8211" width="3.85546875" style="1402" customWidth="1"/>
    <col min="8212" max="8212" width="20.85546875" style="1402" customWidth="1"/>
    <col min="8213" max="8213" width="19" style="1402" customWidth="1"/>
    <col min="8214" max="8214" width="10.28515625" style="1402" customWidth="1"/>
    <col min="8215" max="8448" width="9.140625" style="1402"/>
    <col min="8449" max="8449" width="5.42578125" style="1402" customWidth="1"/>
    <col min="8450" max="8450" width="13.7109375" style="1402" customWidth="1"/>
    <col min="8451" max="8451" width="23.5703125" style="1402" customWidth="1"/>
    <col min="8452" max="8452" width="0.140625" style="1402" customWidth="1"/>
    <col min="8453" max="8454" width="0" style="1402" hidden="1" customWidth="1"/>
    <col min="8455" max="8455" width="12.42578125" style="1402" customWidth="1"/>
    <col min="8456" max="8456" width="0.5703125" style="1402" customWidth="1"/>
    <col min="8457" max="8457" width="13.5703125" style="1402" customWidth="1"/>
    <col min="8458" max="8458" width="1" style="1402" customWidth="1"/>
    <col min="8459" max="8459" width="7.140625" style="1402" customWidth="1"/>
    <col min="8460" max="8460" width="7" style="1402" customWidth="1"/>
    <col min="8461" max="8461" width="15.140625" style="1402" customWidth="1"/>
    <col min="8462" max="8462" width="0" style="1402" hidden="1" customWidth="1"/>
    <col min="8463" max="8464" width="11.85546875" style="1402" customWidth="1"/>
    <col min="8465" max="8465" width="1.28515625" style="1402" customWidth="1"/>
    <col min="8466" max="8466" width="10.7109375" style="1402" customWidth="1"/>
    <col min="8467" max="8467" width="3.85546875" style="1402" customWidth="1"/>
    <col min="8468" max="8468" width="20.85546875" style="1402" customWidth="1"/>
    <col min="8469" max="8469" width="19" style="1402" customWidth="1"/>
    <col min="8470" max="8470" width="10.28515625" style="1402" customWidth="1"/>
    <col min="8471" max="8704" width="9.140625" style="1402"/>
    <col min="8705" max="8705" width="5.42578125" style="1402" customWidth="1"/>
    <col min="8706" max="8706" width="13.7109375" style="1402" customWidth="1"/>
    <col min="8707" max="8707" width="23.5703125" style="1402" customWidth="1"/>
    <col min="8708" max="8708" width="0.140625" style="1402" customWidth="1"/>
    <col min="8709" max="8710" width="0" style="1402" hidden="1" customWidth="1"/>
    <col min="8711" max="8711" width="12.42578125" style="1402" customWidth="1"/>
    <col min="8712" max="8712" width="0.5703125" style="1402" customWidth="1"/>
    <col min="8713" max="8713" width="13.5703125" style="1402" customWidth="1"/>
    <col min="8714" max="8714" width="1" style="1402" customWidth="1"/>
    <col min="8715" max="8715" width="7.140625" style="1402" customWidth="1"/>
    <col min="8716" max="8716" width="7" style="1402" customWidth="1"/>
    <col min="8717" max="8717" width="15.140625" style="1402" customWidth="1"/>
    <col min="8718" max="8718" width="0" style="1402" hidden="1" customWidth="1"/>
    <col min="8719" max="8720" width="11.85546875" style="1402" customWidth="1"/>
    <col min="8721" max="8721" width="1.28515625" style="1402" customWidth="1"/>
    <col min="8722" max="8722" width="10.7109375" style="1402" customWidth="1"/>
    <col min="8723" max="8723" width="3.85546875" style="1402" customWidth="1"/>
    <col min="8724" max="8724" width="20.85546875" style="1402" customWidth="1"/>
    <col min="8725" max="8725" width="19" style="1402" customWidth="1"/>
    <col min="8726" max="8726" width="10.28515625" style="1402" customWidth="1"/>
    <col min="8727" max="8960" width="9.140625" style="1402"/>
    <col min="8961" max="8961" width="5.42578125" style="1402" customWidth="1"/>
    <col min="8962" max="8962" width="13.7109375" style="1402" customWidth="1"/>
    <col min="8963" max="8963" width="23.5703125" style="1402" customWidth="1"/>
    <col min="8964" max="8964" width="0.140625" style="1402" customWidth="1"/>
    <col min="8965" max="8966" width="0" style="1402" hidden="1" customWidth="1"/>
    <col min="8967" max="8967" width="12.42578125" style="1402" customWidth="1"/>
    <col min="8968" max="8968" width="0.5703125" style="1402" customWidth="1"/>
    <col min="8969" max="8969" width="13.5703125" style="1402" customWidth="1"/>
    <col min="8970" max="8970" width="1" style="1402" customWidth="1"/>
    <col min="8971" max="8971" width="7.140625" style="1402" customWidth="1"/>
    <col min="8972" max="8972" width="7" style="1402" customWidth="1"/>
    <col min="8973" max="8973" width="15.140625" style="1402" customWidth="1"/>
    <col min="8974" max="8974" width="0" style="1402" hidden="1" customWidth="1"/>
    <col min="8975" max="8976" width="11.85546875" style="1402" customWidth="1"/>
    <col min="8977" max="8977" width="1.28515625" style="1402" customWidth="1"/>
    <col min="8978" max="8978" width="10.7109375" style="1402" customWidth="1"/>
    <col min="8979" max="8979" width="3.85546875" style="1402" customWidth="1"/>
    <col min="8980" max="8980" width="20.85546875" style="1402" customWidth="1"/>
    <col min="8981" max="8981" width="19" style="1402" customWidth="1"/>
    <col min="8982" max="8982" width="10.28515625" style="1402" customWidth="1"/>
    <col min="8983" max="9216" width="9.140625" style="1402"/>
    <col min="9217" max="9217" width="5.42578125" style="1402" customWidth="1"/>
    <col min="9218" max="9218" width="13.7109375" style="1402" customWidth="1"/>
    <col min="9219" max="9219" width="23.5703125" style="1402" customWidth="1"/>
    <col min="9220" max="9220" width="0.140625" style="1402" customWidth="1"/>
    <col min="9221" max="9222" width="0" style="1402" hidden="1" customWidth="1"/>
    <col min="9223" max="9223" width="12.42578125" style="1402" customWidth="1"/>
    <col min="9224" max="9224" width="0.5703125" style="1402" customWidth="1"/>
    <col min="9225" max="9225" width="13.5703125" style="1402" customWidth="1"/>
    <col min="9226" max="9226" width="1" style="1402" customWidth="1"/>
    <col min="9227" max="9227" width="7.140625" style="1402" customWidth="1"/>
    <col min="9228" max="9228" width="7" style="1402" customWidth="1"/>
    <col min="9229" max="9229" width="15.140625" style="1402" customWidth="1"/>
    <col min="9230" max="9230" width="0" style="1402" hidden="1" customWidth="1"/>
    <col min="9231" max="9232" width="11.85546875" style="1402" customWidth="1"/>
    <col min="9233" max="9233" width="1.28515625" style="1402" customWidth="1"/>
    <col min="9234" max="9234" width="10.7109375" style="1402" customWidth="1"/>
    <col min="9235" max="9235" width="3.85546875" style="1402" customWidth="1"/>
    <col min="9236" max="9236" width="20.85546875" style="1402" customWidth="1"/>
    <col min="9237" max="9237" width="19" style="1402" customWidth="1"/>
    <col min="9238" max="9238" width="10.28515625" style="1402" customWidth="1"/>
    <col min="9239" max="9472" width="9.140625" style="1402"/>
    <col min="9473" max="9473" width="5.42578125" style="1402" customWidth="1"/>
    <col min="9474" max="9474" width="13.7109375" style="1402" customWidth="1"/>
    <col min="9475" max="9475" width="23.5703125" style="1402" customWidth="1"/>
    <col min="9476" max="9476" width="0.140625" style="1402" customWidth="1"/>
    <col min="9477" max="9478" width="0" style="1402" hidden="1" customWidth="1"/>
    <col min="9479" max="9479" width="12.42578125" style="1402" customWidth="1"/>
    <col min="9480" max="9480" width="0.5703125" style="1402" customWidth="1"/>
    <col min="9481" max="9481" width="13.5703125" style="1402" customWidth="1"/>
    <col min="9482" max="9482" width="1" style="1402" customWidth="1"/>
    <col min="9483" max="9483" width="7.140625" style="1402" customWidth="1"/>
    <col min="9484" max="9484" width="7" style="1402" customWidth="1"/>
    <col min="9485" max="9485" width="15.140625" style="1402" customWidth="1"/>
    <col min="9486" max="9486" width="0" style="1402" hidden="1" customWidth="1"/>
    <col min="9487" max="9488" width="11.85546875" style="1402" customWidth="1"/>
    <col min="9489" max="9489" width="1.28515625" style="1402" customWidth="1"/>
    <col min="9490" max="9490" width="10.7109375" style="1402" customWidth="1"/>
    <col min="9491" max="9491" width="3.85546875" style="1402" customWidth="1"/>
    <col min="9492" max="9492" width="20.85546875" style="1402" customWidth="1"/>
    <col min="9493" max="9493" width="19" style="1402" customWidth="1"/>
    <col min="9494" max="9494" width="10.28515625" style="1402" customWidth="1"/>
    <col min="9495" max="9728" width="9.140625" style="1402"/>
    <col min="9729" max="9729" width="5.42578125" style="1402" customWidth="1"/>
    <col min="9730" max="9730" width="13.7109375" style="1402" customWidth="1"/>
    <col min="9731" max="9731" width="23.5703125" style="1402" customWidth="1"/>
    <col min="9732" max="9732" width="0.140625" style="1402" customWidth="1"/>
    <col min="9733" max="9734" width="0" style="1402" hidden="1" customWidth="1"/>
    <col min="9735" max="9735" width="12.42578125" style="1402" customWidth="1"/>
    <col min="9736" max="9736" width="0.5703125" style="1402" customWidth="1"/>
    <col min="9737" max="9737" width="13.5703125" style="1402" customWidth="1"/>
    <col min="9738" max="9738" width="1" style="1402" customWidth="1"/>
    <col min="9739" max="9739" width="7.140625" style="1402" customWidth="1"/>
    <col min="9740" max="9740" width="7" style="1402" customWidth="1"/>
    <col min="9741" max="9741" width="15.140625" style="1402" customWidth="1"/>
    <col min="9742" max="9742" width="0" style="1402" hidden="1" customWidth="1"/>
    <col min="9743" max="9744" width="11.85546875" style="1402" customWidth="1"/>
    <col min="9745" max="9745" width="1.28515625" style="1402" customWidth="1"/>
    <col min="9746" max="9746" width="10.7109375" style="1402" customWidth="1"/>
    <col min="9747" max="9747" width="3.85546875" style="1402" customWidth="1"/>
    <col min="9748" max="9748" width="20.85546875" style="1402" customWidth="1"/>
    <col min="9749" max="9749" width="19" style="1402" customWidth="1"/>
    <col min="9750" max="9750" width="10.28515625" style="1402" customWidth="1"/>
    <col min="9751" max="9984" width="9.140625" style="1402"/>
    <col min="9985" max="9985" width="5.42578125" style="1402" customWidth="1"/>
    <col min="9986" max="9986" width="13.7109375" style="1402" customWidth="1"/>
    <col min="9987" max="9987" width="23.5703125" style="1402" customWidth="1"/>
    <col min="9988" max="9988" width="0.140625" style="1402" customWidth="1"/>
    <col min="9989" max="9990" width="0" style="1402" hidden="1" customWidth="1"/>
    <col min="9991" max="9991" width="12.42578125" style="1402" customWidth="1"/>
    <col min="9992" max="9992" width="0.5703125" style="1402" customWidth="1"/>
    <col min="9993" max="9993" width="13.5703125" style="1402" customWidth="1"/>
    <col min="9994" max="9994" width="1" style="1402" customWidth="1"/>
    <col min="9995" max="9995" width="7.140625" style="1402" customWidth="1"/>
    <col min="9996" max="9996" width="7" style="1402" customWidth="1"/>
    <col min="9997" max="9997" width="15.140625" style="1402" customWidth="1"/>
    <col min="9998" max="9998" width="0" style="1402" hidden="1" customWidth="1"/>
    <col min="9999" max="10000" width="11.85546875" style="1402" customWidth="1"/>
    <col min="10001" max="10001" width="1.28515625" style="1402" customWidth="1"/>
    <col min="10002" max="10002" width="10.7109375" style="1402" customWidth="1"/>
    <col min="10003" max="10003" width="3.85546875" style="1402" customWidth="1"/>
    <col min="10004" max="10004" width="20.85546875" style="1402" customWidth="1"/>
    <col min="10005" max="10005" width="19" style="1402" customWidth="1"/>
    <col min="10006" max="10006" width="10.28515625" style="1402" customWidth="1"/>
    <col min="10007" max="10240" width="9.140625" style="1402"/>
    <col min="10241" max="10241" width="5.42578125" style="1402" customWidth="1"/>
    <col min="10242" max="10242" width="13.7109375" style="1402" customWidth="1"/>
    <col min="10243" max="10243" width="23.5703125" style="1402" customWidth="1"/>
    <col min="10244" max="10244" width="0.140625" style="1402" customWidth="1"/>
    <col min="10245" max="10246" width="0" style="1402" hidden="1" customWidth="1"/>
    <col min="10247" max="10247" width="12.42578125" style="1402" customWidth="1"/>
    <col min="10248" max="10248" width="0.5703125" style="1402" customWidth="1"/>
    <col min="10249" max="10249" width="13.5703125" style="1402" customWidth="1"/>
    <col min="10250" max="10250" width="1" style="1402" customWidth="1"/>
    <col min="10251" max="10251" width="7.140625" style="1402" customWidth="1"/>
    <col min="10252" max="10252" width="7" style="1402" customWidth="1"/>
    <col min="10253" max="10253" width="15.140625" style="1402" customWidth="1"/>
    <col min="10254" max="10254" width="0" style="1402" hidden="1" customWidth="1"/>
    <col min="10255" max="10256" width="11.85546875" style="1402" customWidth="1"/>
    <col min="10257" max="10257" width="1.28515625" style="1402" customWidth="1"/>
    <col min="10258" max="10258" width="10.7109375" style="1402" customWidth="1"/>
    <col min="10259" max="10259" width="3.85546875" style="1402" customWidth="1"/>
    <col min="10260" max="10260" width="20.85546875" style="1402" customWidth="1"/>
    <col min="10261" max="10261" width="19" style="1402" customWidth="1"/>
    <col min="10262" max="10262" width="10.28515625" style="1402" customWidth="1"/>
    <col min="10263" max="10496" width="9.140625" style="1402"/>
    <col min="10497" max="10497" width="5.42578125" style="1402" customWidth="1"/>
    <col min="10498" max="10498" width="13.7109375" style="1402" customWidth="1"/>
    <col min="10499" max="10499" width="23.5703125" style="1402" customWidth="1"/>
    <col min="10500" max="10500" width="0.140625" style="1402" customWidth="1"/>
    <col min="10501" max="10502" width="0" style="1402" hidden="1" customWidth="1"/>
    <col min="10503" max="10503" width="12.42578125" style="1402" customWidth="1"/>
    <col min="10504" max="10504" width="0.5703125" style="1402" customWidth="1"/>
    <col min="10505" max="10505" width="13.5703125" style="1402" customWidth="1"/>
    <col min="10506" max="10506" width="1" style="1402" customWidth="1"/>
    <col min="10507" max="10507" width="7.140625" style="1402" customWidth="1"/>
    <col min="10508" max="10508" width="7" style="1402" customWidth="1"/>
    <col min="10509" max="10509" width="15.140625" style="1402" customWidth="1"/>
    <col min="10510" max="10510" width="0" style="1402" hidden="1" customWidth="1"/>
    <col min="10511" max="10512" width="11.85546875" style="1402" customWidth="1"/>
    <col min="10513" max="10513" width="1.28515625" style="1402" customWidth="1"/>
    <col min="10514" max="10514" width="10.7109375" style="1402" customWidth="1"/>
    <col min="10515" max="10515" width="3.85546875" style="1402" customWidth="1"/>
    <col min="10516" max="10516" width="20.85546875" style="1402" customWidth="1"/>
    <col min="10517" max="10517" width="19" style="1402" customWidth="1"/>
    <col min="10518" max="10518" width="10.28515625" style="1402" customWidth="1"/>
    <col min="10519" max="10752" width="9.140625" style="1402"/>
    <col min="10753" max="10753" width="5.42578125" style="1402" customWidth="1"/>
    <col min="10754" max="10754" width="13.7109375" style="1402" customWidth="1"/>
    <col min="10755" max="10755" width="23.5703125" style="1402" customWidth="1"/>
    <col min="10756" max="10756" width="0.140625" style="1402" customWidth="1"/>
    <col min="10757" max="10758" width="0" style="1402" hidden="1" customWidth="1"/>
    <col min="10759" max="10759" width="12.42578125" style="1402" customWidth="1"/>
    <col min="10760" max="10760" width="0.5703125" style="1402" customWidth="1"/>
    <col min="10761" max="10761" width="13.5703125" style="1402" customWidth="1"/>
    <col min="10762" max="10762" width="1" style="1402" customWidth="1"/>
    <col min="10763" max="10763" width="7.140625" style="1402" customWidth="1"/>
    <col min="10764" max="10764" width="7" style="1402" customWidth="1"/>
    <col min="10765" max="10765" width="15.140625" style="1402" customWidth="1"/>
    <col min="10766" max="10766" width="0" style="1402" hidden="1" customWidth="1"/>
    <col min="10767" max="10768" width="11.85546875" style="1402" customWidth="1"/>
    <col min="10769" max="10769" width="1.28515625" style="1402" customWidth="1"/>
    <col min="10770" max="10770" width="10.7109375" style="1402" customWidth="1"/>
    <col min="10771" max="10771" width="3.85546875" style="1402" customWidth="1"/>
    <col min="10772" max="10772" width="20.85546875" style="1402" customWidth="1"/>
    <col min="10773" max="10773" width="19" style="1402" customWidth="1"/>
    <col min="10774" max="10774" width="10.28515625" style="1402" customWidth="1"/>
    <col min="10775" max="11008" width="9.140625" style="1402"/>
    <col min="11009" max="11009" width="5.42578125" style="1402" customWidth="1"/>
    <col min="11010" max="11010" width="13.7109375" style="1402" customWidth="1"/>
    <col min="11011" max="11011" width="23.5703125" style="1402" customWidth="1"/>
    <col min="11012" max="11012" width="0.140625" style="1402" customWidth="1"/>
    <col min="11013" max="11014" width="0" style="1402" hidden="1" customWidth="1"/>
    <col min="11015" max="11015" width="12.42578125" style="1402" customWidth="1"/>
    <col min="11016" max="11016" width="0.5703125" style="1402" customWidth="1"/>
    <col min="11017" max="11017" width="13.5703125" style="1402" customWidth="1"/>
    <col min="11018" max="11018" width="1" style="1402" customWidth="1"/>
    <col min="11019" max="11019" width="7.140625" style="1402" customWidth="1"/>
    <col min="11020" max="11020" width="7" style="1402" customWidth="1"/>
    <col min="11021" max="11021" width="15.140625" style="1402" customWidth="1"/>
    <col min="11022" max="11022" width="0" style="1402" hidden="1" customWidth="1"/>
    <col min="11023" max="11024" width="11.85546875" style="1402" customWidth="1"/>
    <col min="11025" max="11025" width="1.28515625" style="1402" customWidth="1"/>
    <col min="11026" max="11026" width="10.7109375" style="1402" customWidth="1"/>
    <col min="11027" max="11027" width="3.85546875" style="1402" customWidth="1"/>
    <col min="11028" max="11028" width="20.85546875" style="1402" customWidth="1"/>
    <col min="11029" max="11029" width="19" style="1402" customWidth="1"/>
    <col min="11030" max="11030" width="10.28515625" style="1402" customWidth="1"/>
    <col min="11031" max="11264" width="9.140625" style="1402"/>
    <col min="11265" max="11265" width="5.42578125" style="1402" customWidth="1"/>
    <col min="11266" max="11266" width="13.7109375" style="1402" customWidth="1"/>
    <col min="11267" max="11267" width="23.5703125" style="1402" customWidth="1"/>
    <col min="11268" max="11268" width="0.140625" style="1402" customWidth="1"/>
    <col min="11269" max="11270" width="0" style="1402" hidden="1" customWidth="1"/>
    <col min="11271" max="11271" width="12.42578125" style="1402" customWidth="1"/>
    <col min="11272" max="11272" width="0.5703125" style="1402" customWidth="1"/>
    <col min="11273" max="11273" width="13.5703125" style="1402" customWidth="1"/>
    <col min="11274" max="11274" width="1" style="1402" customWidth="1"/>
    <col min="11275" max="11275" width="7.140625" style="1402" customWidth="1"/>
    <col min="11276" max="11276" width="7" style="1402" customWidth="1"/>
    <col min="11277" max="11277" width="15.140625" style="1402" customWidth="1"/>
    <col min="11278" max="11278" width="0" style="1402" hidden="1" customWidth="1"/>
    <col min="11279" max="11280" width="11.85546875" style="1402" customWidth="1"/>
    <col min="11281" max="11281" width="1.28515625" style="1402" customWidth="1"/>
    <col min="11282" max="11282" width="10.7109375" style="1402" customWidth="1"/>
    <col min="11283" max="11283" width="3.85546875" style="1402" customWidth="1"/>
    <col min="11284" max="11284" width="20.85546875" style="1402" customWidth="1"/>
    <col min="11285" max="11285" width="19" style="1402" customWidth="1"/>
    <col min="11286" max="11286" width="10.28515625" style="1402" customWidth="1"/>
    <col min="11287" max="11520" width="9.140625" style="1402"/>
    <col min="11521" max="11521" width="5.42578125" style="1402" customWidth="1"/>
    <col min="11522" max="11522" width="13.7109375" style="1402" customWidth="1"/>
    <col min="11523" max="11523" width="23.5703125" style="1402" customWidth="1"/>
    <col min="11524" max="11524" width="0.140625" style="1402" customWidth="1"/>
    <col min="11525" max="11526" width="0" style="1402" hidden="1" customWidth="1"/>
    <col min="11527" max="11527" width="12.42578125" style="1402" customWidth="1"/>
    <col min="11528" max="11528" width="0.5703125" style="1402" customWidth="1"/>
    <col min="11529" max="11529" width="13.5703125" style="1402" customWidth="1"/>
    <col min="11530" max="11530" width="1" style="1402" customWidth="1"/>
    <col min="11531" max="11531" width="7.140625" style="1402" customWidth="1"/>
    <col min="11532" max="11532" width="7" style="1402" customWidth="1"/>
    <col min="11533" max="11533" width="15.140625" style="1402" customWidth="1"/>
    <col min="11534" max="11534" width="0" style="1402" hidden="1" customWidth="1"/>
    <col min="11535" max="11536" width="11.85546875" style="1402" customWidth="1"/>
    <col min="11537" max="11537" width="1.28515625" style="1402" customWidth="1"/>
    <col min="11538" max="11538" width="10.7109375" style="1402" customWidth="1"/>
    <col min="11539" max="11539" width="3.85546875" style="1402" customWidth="1"/>
    <col min="11540" max="11540" width="20.85546875" style="1402" customWidth="1"/>
    <col min="11541" max="11541" width="19" style="1402" customWidth="1"/>
    <col min="11542" max="11542" width="10.28515625" style="1402" customWidth="1"/>
    <col min="11543" max="11776" width="9.140625" style="1402"/>
    <col min="11777" max="11777" width="5.42578125" style="1402" customWidth="1"/>
    <col min="11778" max="11778" width="13.7109375" style="1402" customWidth="1"/>
    <col min="11779" max="11779" width="23.5703125" style="1402" customWidth="1"/>
    <col min="11780" max="11780" width="0.140625" style="1402" customWidth="1"/>
    <col min="11781" max="11782" width="0" style="1402" hidden="1" customWidth="1"/>
    <col min="11783" max="11783" width="12.42578125" style="1402" customWidth="1"/>
    <col min="11784" max="11784" width="0.5703125" style="1402" customWidth="1"/>
    <col min="11785" max="11785" width="13.5703125" style="1402" customWidth="1"/>
    <col min="11786" max="11786" width="1" style="1402" customWidth="1"/>
    <col min="11787" max="11787" width="7.140625" style="1402" customWidth="1"/>
    <col min="11788" max="11788" width="7" style="1402" customWidth="1"/>
    <col min="11789" max="11789" width="15.140625" style="1402" customWidth="1"/>
    <col min="11790" max="11790" width="0" style="1402" hidden="1" customWidth="1"/>
    <col min="11791" max="11792" width="11.85546875" style="1402" customWidth="1"/>
    <col min="11793" max="11793" width="1.28515625" style="1402" customWidth="1"/>
    <col min="11794" max="11794" width="10.7109375" style="1402" customWidth="1"/>
    <col min="11795" max="11795" width="3.85546875" style="1402" customWidth="1"/>
    <col min="11796" max="11796" width="20.85546875" style="1402" customWidth="1"/>
    <col min="11797" max="11797" width="19" style="1402" customWidth="1"/>
    <col min="11798" max="11798" width="10.28515625" style="1402" customWidth="1"/>
    <col min="11799" max="12032" width="9.140625" style="1402"/>
    <col min="12033" max="12033" width="5.42578125" style="1402" customWidth="1"/>
    <col min="12034" max="12034" width="13.7109375" style="1402" customWidth="1"/>
    <col min="12035" max="12035" width="23.5703125" style="1402" customWidth="1"/>
    <col min="12036" max="12036" width="0.140625" style="1402" customWidth="1"/>
    <col min="12037" max="12038" width="0" style="1402" hidden="1" customWidth="1"/>
    <col min="12039" max="12039" width="12.42578125" style="1402" customWidth="1"/>
    <col min="12040" max="12040" width="0.5703125" style="1402" customWidth="1"/>
    <col min="12041" max="12041" width="13.5703125" style="1402" customWidth="1"/>
    <col min="12042" max="12042" width="1" style="1402" customWidth="1"/>
    <col min="12043" max="12043" width="7.140625" style="1402" customWidth="1"/>
    <col min="12044" max="12044" width="7" style="1402" customWidth="1"/>
    <col min="12045" max="12045" width="15.140625" style="1402" customWidth="1"/>
    <col min="12046" max="12046" width="0" style="1402" hidden="1" customWidth="1"/>
    <col min="12047" max="12048" width="11.85546875" style="1402" customWidth="1"/>
    <col min="12049" max="12049" width="1.28515625" style="1402" customWidth="1"/>
    <col min="12050" max="12050" width="10.7109375" style="1402" customWidth="1"/>
    <col min="12051" max="12051" width="3.85546875" style="1402" customWidth="1"/>
    <col min="12052" max="12052" width="20.85546875" style="1402" customWidth="1"/>
    <col min="12053" max="12053" width="19" style="1402" customWidth="1"/>
    <col min="12054" max="12054" width="10.28515625" style="1402" customWidth="1"/>
    <col min="12055" max="12288" width="9.140625" style="1402"/>
    <col min="12289" max="12289" width="5.42578125" style="1402" customWidth="1"/>
    <col min="12290" max="12290" width="13.7109375" style="1402" customWidth="1"/>
    <col min="12291" max="12291" width="23.5703125" style="1402" customWidth="1"/>
    <col min="12292" max="12292" width="0.140625" style="1402" customWidth="1"/>
    <col min="12293" max="12294" width="0" style="1402" hidden="1" customWidth="1"/>
    <col min="12295" max="12295" width="12.42578125" style="1402" customWidth="1"/>
    <col min="12296" max="12296" width="0.5703125" style="1402" customWidth="1"/>
    <col min="12297" max="12297" width="13.5703125" style="1402" customWidth="1"/>
    <col min="12298" max="12298" width="1" style="1402" customWidth="1"/>
    <col min="12299" max="12299" width="7.140625" style="1402" customWidth="1"/>
    <col min="12300" max="12300" width="7" style="1402" customWidth="1"/>
    <col min="12301" max="12301" width="15.140625" style="1402" customWidth="1"/>
    <col min="12302" max="12302" width="0" style="1402" hidden="1" customWidth="1"/>
    <col min="12303" max="12304" width="11.85546875" style="1402" customWidth="1"/>
    <col min="12305" max="12305" width="1.28515625" style="1402" customWidth="1"/>
    <col min="12306" max="12306" width="10.7109375" style="1402" customWidth="1"/>
    <col min="12307" max="12307" width="3.85546875" style="1402" customWidth="1"/>
    <col min="12308" max="12308" width="20.85546875" style="1402" customWidth="1"/>
    <col min="12309" max="12309" width="19" style="1402" customWidth="1"/>
    <col min="12310" max="12310" width="10.28515625" style="1402" customWidth="1"/>
    <col min="12311" max="12544" width="9.140625" style="1402"/>
    <col min="12545" max="12545" width="5.42578125" style="1402" customWidth="1"/>
    <col min="12546" max="12546" width="13.7109375" style="1402" customWidth="1"/>
    <col min="12547" max="12547" width="23.5703125" style="1402" customWidth="1"/>
    <col min="12548" max="12548" width="0.140625" style="1402" customWidth="1"/>
    <col min="12549" max="12550" width="0" style="1402" hidden="1" customWidth="1"/>
    <col min="12551" max="12551" width="12.42578125" style="1402" customWidth="1"/>
    <col min="12552" max="12552" width="0.5703125" style="1402" customWidth="1"/>
    <col min="12553" max="12553" width="13.5703125" style="1402" customWidth="1"/>
    <col min="12554" max="12554" width="1" style="1402" customWidth="1"/>
    <col min="12555" max="12555" width="7.140625" style="1402" customWidth="1"/>
    <col min="12556" max="12556" width="7" style="1402" customWidth="1"/>
    <col min="12557" max="12557" width="15.140625" style="1402" customWidth="1"/>
    <col min="12558" max="12558" width="0" style="1402" hidden="1" customWidth="1"/>
    <col min="12559" max="12560" width="11.85546875" style="1402" customWidth="1"/>
    <col min="12561" max="12561" width="1.28515625" style="1402" customWidth="1"/>
    <col min="12562" max="12562" width="10.7109375" style="1402" customWidth="1"/>
    <col min="12563" max="12563" width="3.85546875" style="1402" customWidth="1"/>
    <col min="12564" max="12564" width="20.85546875" style="1402" customWidth="1"/>
    <col min="12565" max="12565" width="19" style="1402" customWidth="1"/>
    <col min="12566" max="12566" width="10.28515625" style="1402" customWidth="1"/>
    <col min="12567" max="12800" width="9.140625" style="1402"/>
    <col min="12801" max="12801" width="5.42578125" style="1402" customWidth="1"/>
    <col min="12802" max="12802" width="13.7109375" style="1402" customWidth="1"/>
    <col min="12803" max="12803" width="23.5703125" style="1402" customWidth="1"/>
    <col min="12804" max="12804" width="0.140625" style="1402" customWidth="1"/>
    <col min="12805" max="12806" width="0" style="1402" hidden="1" customWidth="1"/>
    <col min="12807" max="12807" width="12.42578125" style="1402" customWidth="1"/>
    <col min="12808" max="12808" width="0.5703125" style="1402" customWidth="1"/>
    <col min="12809" max="12809" width="13.5703125" style="1402" customWidth="1"/>
    <col min="12810" max="12810" width="1" style="1402" customWidth="1"/>
    <col min="12811" max="12811" width="7.140625" style="1402" customWidth="1"/>
    <col min="12812" max="12812" width="7" style="1402" customWidth="1"/>
    <col min="12813" max="12813" width="15.140625" style="1402" customWidth="1"/>
    <col min="12814" max="12814" width="0" style="1402" hidden="1" customWidth="1"/>
    <col min="12815" max="12816" width="11.85546875" style="1402" customWidth="1"/>
    <col min="12817" max="12817" width="1.28515625" style="1402" customWidth="1"/>
    <col min="12818" max="12818" width="10.7109375" style="1402" customWidth="1"/>
    <col min="12819" max="12819" width="3.85546875" style="1402" customWidth="1"/>
    <col min="12820" max="12820" width="20.85546875" style="1402" customWidth="1"/>
    <col min="12821" max="12821" width="19" style="1402" customWidth="1"/>
    <col min="12822" max="12822" width="10.28515625" style="1402" customWidth="1"/>
    <col min="12823" max="13056" width="9.140625" style="1402"/>
    <col min="13057" max="13057" width="5.42578125" style="1402" customWidth="1"/>
    <col min="13058" max="13058" width="13.7109375" style="1402" customWidth="1"/>
    <col min="13059" max="13059" width="23.5703125" style="1402" customWidth="1"/>
    <col min="13060" max="13060" width="0.140625" style="1402" customWidth="1"/>
    <col min="13061" max="13062" width="0" style="1402" hidden="1" customWidth="1"/>
    <col min="13063" max="13063" width="12.42578125" style="1402" customWidth="1"/>
    <col min="13064" max="13064" width="0.5703125" style="1402" customWidth="1"/>
    <col min="13065" max="13065" width="13.5703125" style="1402" customWidth="1"/>
    <col min="13066" max="13066" width="1" style="1402" customWidth="1"/>
    <col min="13067" max="13067" width="7.140625" style="1402" customWidth="1"/>
    <col min="13068" max="13068" width="7" style="1402" customWidth="1"/>
    <col min="13069" max="13069" width="15.140625" style="1402" customWidth="1"/>
    <col min="13070" max="13070" width="0" style="1402" hidden="1" customWidth="1"/>
    <col min="13071" max="13072" width="11.85546875" style="1402" customWidth="1"/>
    <col min="13073" max="13073" width="1.28515625" style="1402" customWidth="1"/>
    <col min="13074" max="13074" width="10.7109375" style="1402" customWidth="1"/>
    <col min="13075" max="13075" width="3.85546875" style="1402" customWidth="1"/>
    <col min="13076" max="13076" width="20.85546875" style="1402" customWidth="1"/>
    <col min="13077" max="13077" width="19" style="1402" customWidth="1"/>
    <col min="13078" max="13078" width="10.28515625" style="1402" customWidth="1"/>
    <col min="13079" max="13312" width="9.140625" style="1402"/>
    <col min="13313" max="13313" width="5.42578125" style="1402" customWidth="1"/>
    <col min="13314" max="13314" width="13.7109375" style="1402" customWidth="1"/>
    <col min="13315" max="13315" width="23.5703125" style="1402" customWidth="1"/>
    <col min="13316" max="13316" width="0.140625" style="1402" customWidth="1"/>
    <col min="13317" max="13318" width="0" style="1402" hidden="1" customWidth="1"/>
    <col min="13319" max="13319" width="12.42578125" style="1402" customWidth="1"/>
    <col min="13320" max="13320" width="0.5703125" style="1402" customWidth="1"/>
    <col min="13321" max="13321" width="13.5703125" style="1402" customWidth="1"/>
    <col min="13322" max="13322" width="1" style="1402" customWidth="1"/>
    <col min="13323" max="13323" width="7.140625" style="1402" customWidth="1"/>
    <col min="13324" max="13324" width="7" style="1402" customWidth="1"/>
    <col min="13325" max="13325" width="15.140625" style="1402" customWidth="1"/>
    <col min="13326" max="13326" width="0" style="1402" hidden="1" customWidth="1"/>
    <col min="13327" max="13328" width="11.85546875" style="1402" customWidth="1"/>
    <col min="13329" max="13329" width="1.28515625" style="1402" customWidth="1"/>
    <col min="13330" max="13330" width="10.7109375" style="1402" customWidth="1"/>
    <col min="13331" max="13331" width="3.85546875" style="1402" customWidth="1"/>
    <col min="13332" max="13332" width="20.85546875" style="1402" customWidth="1"/>
    <col min="13333" max="13333" width="19" style="1402" customWidth="1"/>
    <col min="13334" max="13334" width="10.28515625" style="1402" customWidth="1"/>
    <col min="13335" max="13568" width="9.140625" style="1402"/>
    <col min="13569" max="13569" width="5.42578125" style="1402" customWidth="1"/>
    <col min="13570" max="13570" width="13.7109375" style="1402" customWidth="1"/>
    <col min="13571" max="13571" width="23.5703125" style="1402" customWidth="1"/>
    <col min="13572" max="13572" width="0.140625" style="1402" customWidth="1"/>
    <col min="13573" max="13574" width="0" style="1402" hidden="1" customWidth="1"/>
    <col min="13575" max="13575" width="12.42578125" style="1402" customWidth="1"/>
    <col min="13576" max="13576" width="0.5703125" style="1402" customWidth="1"/>
    <col min="13577" max="13577" width="13.5703125" style="1402" customWidth="1"/>
    <col min="13578" max="13578" width="1" style="1402" customWidth="1"/>
    <col min="13579" max="13579" width="7.140625" style="1402" customWidth="1"/>
    <col min="13580" max="13580" width="7" style="1402" customWidth="1"/>
    <col min="13581" max="13581" width="15.140625" style="1402" customWidth="1"/>
    <col min="13582" max="13582" width="0" style="1402" hidden="1" customWidth="1"/>
    <col min="13583" max="13584" width="11.85546875" style="1402" customWidth="1"/>
    <col min="13585" max="13585" width="1.28515625" style="1402" customWidth="1"/>
    <col min="13586" max="13586" width="10.7109375" style="1402" customWidth="1"/>
    <col min="13587" max="13587" width="3.85546875" style="1402" customWidth="1"/>
    <col min="13588" max="13588" width="20.85546875" style="1402" customWidth="1"/>
    <col min="13589" max="13589" width="19" style="1402" customWidth="1"/>
    <col min="13590" max="13590" width="10.28515625" style="1402" customWidth="1"/>
    <col min="13591" max="13824" width="9.140625" style="1402"/>
    <col min="13825" max="13825" width="5.42578125" style="1402" customWidth="1"/>
    <col min="13826" max="13826" width="13.7109375" style="1402" customWidth="1"/>
    <col min="13827" max="13827" width="23.5703125" style="1402" customWidth="1"/>
    <col min="13828" max="13828" width="0.140625" style="1402" customWidth="1"/>
    <col min="13829" max="13830" width="0" style="1402" hidden="1" customWidth="1"/>
    <col min="13831" max="13831" width="12.42578125" style="1402" customWidth="1"/>
    <col min="13832" max="13832" width="0.5703125" style="1402" customWidth="1"/>
    <col min="13833" max="13833" width="13.5703125" style="1402" customWidth="1"/>
    <col min="13834" max="13834" width="1" style="1402" customWidth="1"/>
    <col min="13835" max="13835" width="7.140625" style="1402" customWidth="1"/>
    <col min="13836" max="13836" width="7" style="1402" customWidth="1"/>
    <col min="13837" max="13837" width="15.140625" style="1402" customWidth="1"/>
    <col min="13838" max="13838" width="0" style="1402" hidden="1" customWidth="1"/>
    <col min="13839" max="13840" width="11.85546875" style="1402" customWidth="1"/>
    <col min="13841" max="13841" width="1.28515625" style="1402" customWidth="1"/>
    <col min="13842" max="13842" width="10.7109375" style="1402" customWidth="1"/>
    <col min="13843" max="13843" width="3.85546875" style="1402" customWidth="1"/>
    <col min="13844" max="13844" width="20.85546875" style="1402" customWidth="1"/>
    <col min="13845" max="13845" width="19" style="1402" customWidth="1"/>
    <col min="13846" max="13846" width="10.28515625" style="1402" customWidth="1"/>
    <col min="13847" max="14080" width="9.140625" style="1402"/>
    <col min="14081" max="14081" width="5.42578125" style="1402" customWidth="1"/>
    <col min="14082" max="14082" width="13.7109375" style="1402" customWidth="1"/>
    <col min="14083" max="14083" width="23.5703125" style="1402" customWidth="1"/>
    <col min="14084" max="14084" width="0.140625" style="1402" customWidth="1"/>
    <col min="14085" max="14086" width="0" style="1402" hidden="1" customWidth="1"/>
    <col min="14087" max="14087" width="12.42578125" style="1402" customWidth="1"/>
    <col min="14088" max="14088" width="0.5703125" style="1402" customWidth="1"/>
    <col min="14089" max="14089" width="13.5703125" style="1402" customWidth="1"/>
    <col min="14090" max="14090" width="1" style="1402" customWidth="1"/>
    <col min="14091" max="14091" width="7.140625" style="1402" customWidth="1"/>
    <col min="14092" max="14092" width="7" style="1402" customWidth="1"/>
    <col min="14093" max="14093" width="15.140625" style="1402" customWidth="1"/>
    <col min="14094" max="14094" width="0" style="1402" hidden="1" customWidth="1"/>
    <col min="14095" max="14096" width="11.85546875" style="1402" customWidth="1"/>
    <col min="14097" max="14097" width="1.28515625" style="1402" customWidth="1"/>
    <col min="14098" max="14098" width="10.7109375" style="1402" customWidth="1"/>
    <col min="14099" max="14099" width="3.85546875" style="1402" customWidth="1"/>
    <col min="14100" max="14100" width="20.85546875" style="1402" customWidth="1"/>
    <col min="14101" max="14101" width="19" style="1402" customWidth="1"/>
    <col min="14102" max="14102" width="10.28515625" style="1402" customWidth="1"/>
    <col min="14103" max="14336" width="9.140625" style="1402"/>
    <col min="14337" max="14337" width="5.42578125" style="1402" customWidth="1"/>
    <col min="14338" max="14338" width="13.7109375" style="1402" customWidth="1"/>
    <col min="14339" max="14339" width="23.5703125" style="1402" customWidth="1"/>
    <col min="14340" max="14340" width="0.140625" style="1402" customWidth="1"/>
    <col min="14341" max="14342" width="0" style="1402" hidden="1" customWidth="1"/>
    <col min="14343" max="14343" width="12.42578125" style="1402" customWidth="1"/>
    <col min="14344" max="14344" width="0.5703125" style="1402" customWidth="1"/>
    <col min="14345" max="14345" width="13.5703125" style="1402" customWidth="1"/>
    <col min="14346" max="14346" width="1" style="1402" customWidth="1"/>
    <col min="14347" max="14347" width="7.140625" style="1402" customWidth="1"/>
    <col min="14348" max="14348" width="7" style="1402" customWidth="1"/>
    <col min="14349" max="14349" width="15.140625" style="1402" customWidth="1"/>
    <col min="14350" max="14350" width="0" style="1402" hidden="1" customWidth="1"/>
    <col min="14351" max="14352" width="11.85546875" style="1402" customWidth="1"/>
    <col min="14353" max="14353" width="1.28515625" style="1402" customWidth="1"/>
    <col min="14354" max="14354" width="10.7109375" style="1402" customWidth="1"/>
    <col min="14355" max="14355" width="3.85546875" style="1402" customWidth="1"/>
    <col min="14356" max="14356" width="20.85546875" style="1402" customWidth="1"/>
    <col min="14357" max="14357" width="19" style="1402" customWidth="1"/>
    <col min="14358" max="14358" width="10.28515625" style="1402" customWidth="1"/>
    <col min="14359" max="14592" width="9.140625" style="1402"/>
    <col min="14593" max="14593" width="5.42578125" style="1402" customWidth="1"/>
    <col min="14594" max="14594" width="13.7109375" style="1402" customWidth="1"/>
    <col min="14595" max="14595" width="23.5703125" style="1402" customWidth="1"/>
    <col min="14596" max="14596" width="0.140625" style="1402" customWidth="1"/>
    <col min="14597" max="14598" width="0" style="1402" hidden="1" customWidth="1"/>
    <col min="14599" max="14599" width="12.42578125" style="1402" customWidth="1"/>
    <col min="14600" max="14600" width="0.5703125" style="1402" customWidth="1"/>
    <col min="14601" max="14601" width="13.5703125" style="1402" customWidth="1"/>
    <col min="14602" max="14602" width="1" style="1402" customWidth="1"/>
    <col min="14603" max="14603" width="7.140625" style="1402" customWidth="1"/>
    <col min="14604" max="14604" width="7" style="1402" customWidth="1"/>
    <col min="14605" max="14605" width="15.140625" style="1402" customWidth="1"/>
    <col min="14606" max="14606" width="0" style="1402" hidden="1" customWidth="1"/>
    <col min="14607" max="14608" width="11.85546875" style="1402" customWidth="1"/>
    <col min="14609" max="14609" width="1.28515625" style="1402" customWidth="1"/>
    <col min="14610" max="14610" width="10.7109375" style="1402" customWidth="1"/>
    <col min="14611" max="14611" width="3.85546875" style="1402" customWidth="1"/>
    <col min="14612" max="14612" width="20.85546875" style="1402" customWidth="1"/>
    <col min="14613" max="14613" width="19" style="1402" customWidth="1"/>
    <col min="14614" max="14614" width="10.28515625" style="1402" customWidth="1"/>
    <col min="14615" max="14848" width="9.140625" style="1402"/>
    <col min="14849" max="14849" width="5.42578125" style="1402" customWidth="1"/>
    <col min="14850" max="14850" width="13.7109375" style="1402" customWidth="1"/>
    <col min="14851" max="14851" width="23.5703125" style="1402" customWidth="1"/>
    <col min="14852" max="14852" width="0.140625" style="1402" customWidth="1"/>
    <col min="14853" max="14854" width="0" style="1402" hidden="1" customWidth="1"/>
    <col min="14855" max="14855" width="12.42578125" style="1402" customWidth="1"/>
    <col min="14856" max="14856" width="0.5703125" style="1402" customWidth="1"/>
    <col min="14857" max="14857" width="13.5703125" style="1402" customWidth="1"/>
    <col min="14858" max="14858" width="1" style="1402" customWidth="1"/>
    <col min="14859" max="14859" width="7.140625" style="1402" customWidth="1"/>
    <col min="14860" max="14860" width="7" style="1402" customWidth="1"/>
    <col min="14861" max="14861" width="15.140625" style="1402" customWidth="1"/>
    <col min="14862" max="14862" width="0" style="1402" hidden="1" customWidth="1"/>
    <col min="14863" max="14864" width="11.85546875" style="1402" customWidth="1"/>
    <col min="14865" max="14865" width="1.28515625" style="1402" customWidth="1"/>
    <col min="14866" max="14866" width="10.7109375" style="1402" customWidth="1"/>
    <col min="14867" max="14867" width="3.85546875" style="1402" customWidth="1"/>
    <col min="14868" max="14868" width="20.85546875" style="1402" customWidth="1"/>
    <col min="14869" max="14869" width="19" style="1402" customWidth="1"/>
    <col min="14870" max="14870" width="10.28515625" style="1402" customWidth="1"/>
    <col min="14871" max="15104" width="9.140625" style="1402"/>
    <col min="15105" max="15105" width="5.42578125" style="1402" customWidth="1"/>
    <col min="15106" max="15106" width="13.7109375" style="1402" customWidth="1"/>
    <col min="15107" max="15107" width="23.5703125" style="1402" customWidth="1"/>
    <col min="15108" max="15108" width="0.140625" style="1402" customWidth="1"/>
    <col min="15109" max="15110" width="0" style="1402" hidden="1" customWidth="1"/>
    <col min="15111" max="15111" width="12.42578125" style="1402" customWidth="1"/>
    <col min="15112" max="15112" width="0.5703125" style="1402" customWidth="1"/>
    <col min="15113" max="15113" width="13.5703125" style="1402" customWidth="1"/>
    <col min="15114" max="15114" width="1" style="1402" customWidth="1"/>
    <col min="15115" max="15115" width="7.140625" style="1402" customWidth="1"/>
    <col min="15116" max="15116" width="7" style="1402" customWidth="1"/>
    <col min="15117" max="15117" width="15.140625" style="1402" customWidth="1"/>
    <col min="15118" max="15118" width="0" style="1402" hidden="1" customWidth="1"/>
    <col min="15119" max="15120" width="11.85546875" style="1402" customWidth="1"/>
    <col min="15121" max="15121" width="1.28515625" style="1402" customWidth="1"/>
    <col min="15122" max="15122" width="10.7109375" style="1402" customWidth="1"/>
    <col min="15123" max="15123" width="3.85546875" style="1402" customWidth="1"/>
    <col min="15124" max="15124" width="20.85546875" style="1402" customWidth="1"/>
    <col min="15125" max="15125" width="19" style="1402" customWidth="1"/>
    <col min="15126" max="15126" width="10.28515625" style="1402" customWidth="1"/>
    <col min="15127" max="15360" width="9.140625" style="1402"/>
    <col min="15361" max="15361" width="5.42578125" style="1402" customWidth="1"/>
    <col min="15362" max="15362" width="13.7109375" style="1402" customWidth="1"/>
    <col min="15363" max="15363" width="23.5703125" style="1402" customWidth="1"/>
    <col min="15364" max="15364" width="0.140625" style="1402" customWidth="1"/>
    <col min="15365" max="15366" width="0" style="1402" hidden="1" customWidth="1"/>
    <col min="15367" max="15367" width="12.42578125" style="1402" customWidth="1"/>
    <col min="15368" max="15368" width="0.5703125" style="1402" customWidth="1"/>
    <col min="15369" max="15369" width="13.5703125" style="1402" customWidth="1"/>
    <col min="15370" max="15370" width="1" style="1402" customWidth="1"/>
    <col min="15371" max="15371" width="7.140625" style="1402" customWidth="1"/>
    <col min="15372" max="15372" width="7" style="1402" customWidth="1"/>
    <col min="15373" max="15373" width="15.140625" style="1402" customWidth="1"/>
    <col min="15374" max="15374" width="0" style="1402" hidden="1" customWidth="1"/>
    <col min="15375" max="15376" width="11.85546875" style="1402" customWidth="1"/>
    <col min="15377" max="15377" width="1.28515625" style="1402" customWidth="1"/>
    <col min="15378" max="15378" width="10.7109375" style="1402" customWidth="1"/>
    <col min="15379" max="15379" width="3.85546875" style="1402" customWidth="1"/>
    <col min="15380" max="15380" width="20.85546875" style="1402" customWidth="1"/>
    <col min="15381" max="15381" width="19" style="1402" customWidth="1"/>
    <col min="15382" max="15382" width="10.28515625" style="1402" customWidth="1"/>
    <col min="15383" max="15616" width="9.140625" style="1402"/>
    <col min="15617" max="15617" width="5.42578125" style="1402" customWidth="1"/>
    <col min="15618" max="15618" width="13.7109375" style="1402" customWidth="1"/>
    <col min="15619" max="15619" width="23.5703125" style="1402" customWidth="1"/>
    <col min="15620" max="15620" width="0.140625" style="1402" customWidth="1"/>
    <col min="15621" max="15622" width="0" style="1402" hidden="1" customWidth="1"/>
    <col min="15623" max="15623" width="12.42578125" style="1402" customWidth="1"/>
    <col min="15624" max="15624" width="0.5703125" style="1402" customWidth="1"/>
    <col min="15625" max="15625" width="13.5703125" style="1402" customWidth="1"/>
    <col min="15626" max="15626" width="1" style="1402" customWidth="1"/>
    <col min="15627" max="15627" width="7.140625" style="1402" customWidth="1"/>
    <col min="15628" max="15628" width="7" style="1402" customWidth="1"/>
    <col min="15629" max="15629" width="15.140625" style="1402" customWidth="1"/>
    <col min="15630" max="15630" width="0" style="1402" hidden="1" customWidth="1"/>
    <col min="15631" max="15632" width="11.85546875" style="1402" customWidth="1"/>
    <col min="15633" max="15633" width="1.28515625" style="1402" customWidth="1"/>
    <col min="15634" max="15634" width="10.7109375" style="1402" customWidth="1"/>
    <col min="15635" max="15635" width="3.85546875" style="1402" customWidth="1"/>
    <col min="15636" max="15636" width="20.85546875" style="1402" customWidth="1"/>
    <col min="15637" max="15637" width="19" style="1402" customWidth="1"/>
    <col min="15638" max="15638" width="10.28515625" style="1402" customWidth="1"/>
    <col min="15639" max="15872" width="9.140625" style="1402"/>
    <col min="15873" max="15873" width="5.42578125" style="1402" customWidth="1"/>
    <col min="15874" max="15874" width="13.7109375" style="1402" customWidth="1"/>
    <col min="15875" max="15875" width="23.5703125" style="1402" customWidth="1"/>
    <col min="15876" max="15876" width="0.140625" style="1402" customWidth="1"/>
    <col min="15877" max="15878" width="0" style="1402" hidden="1" customWidth="1"/>
    <col min="15879" max="15879" width="12.42578125" style="1402" customWidth="1"/>
    <col min="15880" max="15880" width="0.5703125" style="1402" customWidth="1"/>
    <col min="15881" max="15881" width="13.5703125" style="1402" customWidth="1"/>
    <col min="15882" max="15882" width="1" style="1402" customWidth="1"/>
    <col min="15883" max="15883" width="7.140625" style="1402" customWidth="1"/>
    <col min="15884" max="15884" width="7" style="1402" customWidth="1"/>
    <col min="15885" max="15885" width="15.140625" style="1402" customWidth="1"/>
    <col min="15886" max="15886" width="0" style="1402" hidden="1" customWidth="1"/>
    <col min="15887" max="15888" width="11.85546875" style="1402" customWidth="1"/>
    <col min="15889" max="15889" width="1.28515625" style="1402" customWidth="1"/>
    <col min="15890" max="15890" width="10.7109375" style="1402" customWidth="1"/>
    <col min="15891" max="15891" width="3.85546875" style="1402" customWidth="1"/>
    <col min="15892" max="15892" width="20.85546875" style="1402" customWidth="1"/>
    <col min="15893" max="15893" width="19" style="1402" customWidth="1"/>
    <col min="15894" max="15894" width="10.28515625" style="1402" customWidth="1"/>
    <col min="15895" max="16128" width="9.140625" style="1402"/>
    <col min="16129" max="16129" width="5.42578125" style="1402" customWidth="1"/>
    <col min="16130" max="16130" width="13.7109375" style="1402" customWidth="1"/>
    <col min="16131" max="16131" width="23.5703125" style="1402" customWidth="1"/>
    <col min="16132" max="16132" width="0.140625" style="1402" customWidth="1"/>
    <col min="16133" max="16134" width="0" style="1402" hidden="1" customWidth="1"/>
    <col min="16135" max="16135" width="12.42578125" style="1402" customWidth="1"/>
    <col min="16136" max="16136" width="0.5703125" style="1402" customWidth="1"/>
    <col min="16137" max="16137" width="13.5703125" style="1402" customWidth="1"/>
    <col min="16138" max="16138" width="1" style="1402" customWidth="1"/>
    <col min="16139" max="16139" width="7.140625" style="1402" customWidth="1"/>
    <col min="16140" max="16140" width="7" style="1402" customWidth="1"/>
    <col min="16141" max="16141" width="15.140625" style="1402" customWidth="1"/>
    <col min="16142" max="16142" width="0" style="1402" hidden="1" customWidth="1"/>
    <col min="16143" max="16144" width="11.85546875" style="1402" customWidth="1"/>
    <col min="16145" max="16145" width="1.28515625" style="1402" customWidth="1"/>
    <col min="16146" max="16146" width="10.7109375" style="1402" customWidth="1"/>
    <col min="16147" max="16147" width="3.85546875" style="1402" customWidth="1"/>
    <col min="16148" max="16148" width="20.85546875" style="1402" customWidth="1"/>
    <col min="16149" max="16149" width="19" style="1402" customWidth="1"/>
    <col min="16150" max="16150" width="10.28515625" style="1402" customWidth="1"/>
    <col min="16151" max="16384" width="9.140625" style="1402"/>
  </cols>
  <sheetData>
    <row r="2" spans="1:22" ht="80.25" customHeight="1">
      <c r="A2" s="2240"/>
      <c r="B2" s="2239"/>
      <c r="C2" s="2239"/>
      <c r="D2" s="2239"/>
      <c r="E2" s="2239"/>
      <c r="F2" s="2239"/>
      <c r="G2" s="2239"/>
      <c r="H2" s="2239"/>
      <c r="I2" s="2239"/>
      <c r="J2" s="2239"/>
      <c r="K2" s="2239"/>
      <c r="L2" s="2239"/>
      <c r="M2" s="2239"/>
      <c r="N2" s="2239"/>
      <c r="O2" s="2239"/>
      <c r="P2" s="2239"/>
      <c r="Q2" s="2241" t="s">
        <v>3713</v>
      </c>
      <c r="R2" s="2239"/>
      <c r="S2" s="2239"/>
      <c r="T2" s="2239"/>
      <c r="U2" s="2239"/>
    </row>
    <row r="3" spans="1:22" ht="14.25">
      <c r="A3" s="2240"/>
      <c r="B3" s="2239"/>
      <c r="C3" s="2239"/>
      <c r="D3" s="2239"/>
      <c r="E3" s="2239"/>
      <c r="F3" s="2239"/>
      <c r="G3" s="2239"/>
      <c r="H3" s="2239"/>
      <c r="I3" s="2239"/>
      <c r="J3" s="2239"/>
      <c r="K3" s="2239"/>
      <c r="L3" s="2239"/>
      <c r="M3" s="2239"/>
      <c r="N3" s="2239"/>
      <c r="O3" s="2239"/>
      <c r="P3" s="2239"/>
      <c r="Q3" s="2241"/>
      <c r="R3" s="2239"/>
      <c r="S3" s="2239"/>
      <c r="T3" s="2239"/>
      <c r="U3" s="2239"/>
    </row>
    <row r="4" spans="1:22">
      <c r="A4" s="2242"/>
      <c r="B4" s="2239"/>
      <c r="C4" s="2239"/>
      <c r="D4" s="2243" t="s">
        <v>116</v>
      </c>
      <c r="E4" s="2244"/>
      <c r="F4" s="2244"/>
      <c r="G4" s="2244"/>
      <c r="H4" s="2244"/>
      <c r="I4" s="2244"/>
      <c r="J4" s="2244"/>
      <c r="K4" s="2244"/>
      <c r="L4" s="2244"/>
      <c r="M4" s="2244"/>
      <c r="N4" s="2244"/>
      <c r="O4" s="2244"/>
      <c r="P4" s="2244"/>
      <c r="Q4" s="2244"/>
      <c r="R4" s="2244"/>
      <c r="S4" s="2242"/>
      <c r="T4" s="2239"/>
      <c r="U4" s="2239"/>
    </row>
    <row r="5" spans="1:22">
      <c r="A5" s="2238" t="s">
        <v>3630</v>
      </c>
      <c r="B5" s="2239"/>
      <c r="C5" s="2239"/>
      <c r="D5" s="2239"/>
      <c r="E5" s="2239"/>
      <c r="F5" s="2239"/>
      <c r="G5" s="2239"/>
      <c r="H5" s="2239"/>
      <c r="I5" s="2239"/>
      <c r="J5" s="2239"/>
      <c r="K5" s="2239"/>
      <c r="L5" s="2239"/>
      <c r="M5" s="2239"/>
      <c r="N5" s="2239"/>
      <c r="O5" s="2239"/>
      <c r="P5" s="2239"/>
      <c r="Q5" s="2239"/>
      <c r="R5" s="2239"/>
      <c r="S5" s="2239"/>
      <c r="T5" s="2239"/>
      <c r="U5" s="2239"/>
    </row>
    <row r="6" spans="1:22" ht="14.25">
      <c r="A6" s="2240"/>
      <c r="B6" s="2239"/>
      <c r="C6" s="2239"/>
      <c r="D6" s="2239"/>
      <c r="E6" s="2239"/>
      <c r="F6" s="2239"/>
      <c r="G6" s="2239"/>
      <c r="H6" s="2239"/>
      <c r="I6" s="2239"/>
      <c r="J6" s="2239"/>
      <c r="K6" s="2239"/>
      <c r="L6" s="2239"/>
      <c r="M6" s="2239"/>
      <c r="N6" s="2239"/>
      <c r="O6" s="2239"/>
      <c r="P6" s="2239"/>
      <c r="Q6" s="2239"/>
      <c r="R6" s="2239"/>
      <c r="S6" s="2239"/>
      <c r="T6" s="2239"/>
      <c r="U6" s="2239"/>
    </row>
    <row r="7" spans="1:22">
      <c r="A7" s="2242"/>
      <c r="B7" s="2239"/>
      <c r="C7" s="2239"/>
      <c r="D7" s="2245" t="s">
        <v>3714</v>
      </c>
      <c r="E7" s="2244"/>
      <c r="F7" s="2244"/>
      <c r="G7" s="2244"/>
      <c r="H7" s="2244"/>
      <c r="I7" s="2244"/>
      <c r="J7" s="2244"/>
      <c r="K7" s="2244"/>
      <c r="L7" s="2244"/>
      <c r="M7" s="2244"/>
      <c r="N7" s="2244"/>
      <c r="O7" s="2244"/>
      <c r="P7" s="2244"/>
      <c r="Q7" s="2244"/>
      <c r="R7" s="2244"/>
      <c r="S7" s="2242"/>
      <c r="T7" s="2239"/>
      <c r="U7" s="2239"/>
    </row>
    <row r="8" spans="1:22">
      <c r="A8" s="2238" t="s">
        <v>3632</v>
      </c>
      <c r="B8" s="2239"/>
      <c r="C8" s="2239"/>
      <c r="D8" s="2239"/>
      <c r="E8" s="2239"/>
      <c r="F8" s="2239"/>
      <c r="G8" s="2239"/>
      <c r="H8" s="2239"/>
      <c r="I8" s="2239"/>
      <c r="J8" s="2239"/>
      <c r="K8" s="2239"/>
      <c r="L8" s="2239"/>
      <c r="M8" s="2239"/>
      <c r="N8" s="2239"/>
      <c r="O8" s="2239"/>
      <c r="P8" s="2239"/>
      <c r="Q8" s="2239"/>
      <c r="R8" s="2239"/>
      <c r="S8" s="2239"/>
      <c r="T8" s="2239"/>
      <c r="U8" s="2239"/>
    </row>
    <row r="9" spans="1:22">
      <c r="A9" s="2246"/>
      <c r="B9" s="2239"/>
      <c r="C9" s="2239"/>
      <c r="D9" s="2239"/>
      <c r="E9" s="2239"/>
      <c r="F9" s="2239"/>
      <c r="G9" s="2239"/>
      <c r="H9" s="2239"/>
      <c r="I9" s="2239"/>
      <c r="J9" s="2239"/>
      <c r="K9" s="2239"/>
      <c r="L9" s="2239"/>
      <c r="M9" s="2239"/>
      <c r="N9" s="2239"/>
      <c r="O9" s="2239"/>
      <c r="P9" s="2239"/>
      <c r="Q9" s="2239"/>
      <c r="R9" s="2239"/>
      <c r="S9" s="2239"/>
      <c r="T9" s="2239"/>
      <c r="U9" s="2239"/>
    </row>
    <row r="10" spans="1:22">
      <c r="A10" s="2247" t="s">
        <v>3652</v>
      </c>
      <c r="B10" s="2239"/>
      <c r="C10" s="2239"/>
      <c r="D10" s="2239"/>
      <c r="E10" s="2239"/>
      <c r="F10" s="2239"/>
      <c r="G10" s="2239"/>
      <c r="H10" s="2239"/>
      <c r="I10" s="2239"/>
      <c r="J10" s="2239"/>
      <c r="K10" s="2239"/>
      <c r="L10" s="2239"/>
      <c r="M10" s="2239"/>
      <c r="N10" s="2239"/>
      <c r="O10" s="2239"/>
      <c r="P10" s="2239"/>
      <c r="Q10" s="2239"/>
      <c r="R10" s="2239"/>
      <c r="S10" s="2239"/>
      <c r="T10" s="2239"/>
      <c r="U10" s="2239"/>
    </row>
    <row r="11" spans="1:22" ht="15.75">
      <c r="A11" s="2248"/>
      <c r="B11" s="2239"/>
      <c r="C11" s="2239"/>
      <c r="D11" s="2239"/>
      <c r="E11" s="2239"/>
      <c r="F11" s="2239"/>
      <c r="G11" s="2239"/>
      <c r="H11" s="2239"/>
      <c r="I11" s="2239"/>
      <c r="J11" s="2239"/>
      <c r="K11" s="2239"/>
      <c r="L11" s="2239"/>
      <c r="M11" s="2239"/>
      <c r="N11" s="2239"/>
      <c r="O11" s="2239"/>
      <c r="P11" s="2239"/>
      <c r="Q11" s="2239"/>
      <c r="R11" s="2239"/>
      <c r="S11" s="2239"/>
      <c r="T11" s="2239"/>
      <c r="U11" s="2239"/>
    </row>
    <row r="12" spans="1:22">
      <c r="A12" s="2242"/>
      <c r="B12" s="2239"/>
      <c r="C12" s="2239"/>
      <c r="D12" s="2239"/>
      <c r="E12" s="2239"/>
      <c r="F12" s="2239"/>
      <c r="G12" s="2239"/>
      <c r="H12" s="2249" t="s">
        <v>3701</v>
      </c>
      <c r="I12" s="2244"/>
      <c r="J12" s="2244"/>
      <c r="K12" s="1433" t="s">
        <v>7</v>
      </c>
      <c r="L12" s="2249" t="s">
        <v>3715</v>
      </c>
      <c r="M12" s="2244"/>
      <c r="N12" s="2244"/>
      <c r="O12" s="2242"/>
      <c r="P12" s="2239"/>
      <c r="Q12" s="2239"/>
      <c r="R12" s="2239"/>
      <c r="S12" s="2239"/>
      <c r="T12" s="2239"/>
      <c r="U12" s="2239"/>
    </row>
    <row r="13" spans="1:22" hidden="1"/>
    <row r="15" spans="1:22">
      <c r="A15" s="2250" t="s">
        <v>1045</v>
      </c>
      <c r="B15" s="2250" t="s">
        <v>50</v>
      </c>
      <c r="C15" s="2250" t="s">
        <v>3635</v>
      </c>
      <c r="D15" s="2253"/>
      <c r="E15" s="2250" t="s">
        <v>3636</v>
      </c>
      <c r="F15" s="2250" t="s">
        <v>3637</v>
      </c>
      <c r="G15" s="2250" t="s">
        <v>3638</v>
      </c>
      <c r="H15" s="2258"/>
      <c r="I15" s="2258"/>
      <c r="J15" s="2258"/>
      <c r="K15" s="2258"/>
      <c r="L15" s="2258"/>
      <c r="M15" s="2258"/>
      <c r="N15" s="2258"/>
      <c r="O15" s="2258"/>
      <c r="P15" s="2258"/>
      <c r="Q15" s="2258"/>
      <c r="R15" s="2258"/>
      <c r="S15" s="2259"/>
      <c r="T15" s="2250" t="s">
        <v>3639</v>
      </c>
      <c r="U15" s="2250" t="s">
        <v>3640</v>
      </c>
      <c r="V15" s="2253"/>
    </row>
    <row r="16" spans="1:22">
      <c r="A16" s="2251"/>
      <c r="B16" s="2251"/>
      <c r="C16" s="2254"/>
      <c r="D16" s="2255"/>
      <c r="E16" s="2251"/>
      <c r="F16" s="2251"/>
      <c r="G16" s="2250" t="s">
        <v>9</v>
      </c>
      <c r="H16" s="2253"/>
      <c r="I16" s="2250" t="s">
        <v>3641</v>
      </c>
      <c r="J16" s="2258"/>
      <c r="K16" s="2258"/>
      <c r="L16" s="2259"/>
      <c r="M16" s="2212" t="s">
        <v>3642</v>
      </c>
      <c r="N16" s="2239"/>
      <c r="O16" s="2239"/>
      <c r="P16" s="2239"/>
      <c r="Q16" s="2239"/>
      <c r="R16" s="2239"/>
      <c r="S16" s="2239"/>
      <c r="T16" s="2251"/>
      <c r="U16" s="2254"/>
      <c r="V16" s="2255"/>
    </row>
    <row r="17" spans="1:22">
      <c r="A17" s="2251"/>
      <c r="B17" s="2251"/>
      <c r="C17" s="2254"/>
      <c r="D17" s="2255"/>
      <c r="E17" s="2251"/>
      <c r="F17" s="2251"/>
      <c r="G17" s="2254"/>
      <c r="H17" s="2255"/>
      <c r="I17" s="2250" t="s">
        <v>3643</v>
      </c>
      <c r="J17" s="2260"/>
      <c r="K17" s="2258"/>
      <c r="L17" s="2258"/>
      <c r="M17" s="2224" t="s">
        <v>3644</v>
      </c>
      <c r="N17" s="2261"/>
      <c r="O17" s="2261"/>
      <c r="P17" s="2261"/>
      <c r="Q17" s="2261"/>
      <c r="R17" s="2261"/>
      <c r="S17" s="2262"/>
      <c r="T17" s="2251"/>
      <c r="U17" s="2254"/>
      <c r="V17" s="2255"/>
    </row>
    <row r="18" spans="1:22">
      <c r="A18" s="2251"/>
      <c r="B18" s="2251"/>
      <c r="C18" s="2254"/>
      <c r="D18" s="2255"/>
      <c r="E18" s="2251"/>
      <c r="F18" s="2251"/>
      <c r="G18" s="2254"/>
      <c r="H18" s="2255"/>
      <c r="I18" s="2251"/>
      <c r="J18" s="2250" t="s">
        <v>3645</v>
      </c>
      <c r="K18" s="2263"/>
      <c r="L18" s="2253"/>
      <c r="M18" s="2250" t="s">
        <v>1974</v>
      </c>
      <c r="N18" s="2258"/>
      <c r="O18" s="2258"/>
      <c r="P18" s="2258"/>
      <c r="Q18" s="2258"/>
      <c r="R18" s="2258"/>
      <c r="S18" s="2259"/>
      <c r="T18" s="2251"/>
      <c r="U18" s="2254"/>
      <c r="V18" s="2255"/>
    </row>
    <row r="19" spans="1:22" ht="48">
      <c r="A19" s="2252"/>
      <c r="B19" s="2252"/>
      <c r="C19" s="2256"/>
      <c r="D19" s="2257"/>
      <c r="E19" s="2252"/>
      <c r="F19" s="2252"/>
      <c r="G19" s="2256"/>
      <c r="H19" s="2257"/>
      <c r="I19" s="2252"/>
      <c r="J19" s="2256"/>
      <c r="K19" s="2244"/>
      <c r="L19" s="2257"/>
      <c r="M19" s="1407" t="s">
        <v>3645</v>
      </c>
      <c r="N19" s="2250" t="s">
        <v>2010</v>
      </c>
      <c r="O19" s="2259"/>
      <c r="P19" s="2250" t="s">
        <v>61</v>
      </c>
      <c r="Q19" s="2259"/>
      <c r="R19" s="2250" t="s">
        <v>60</v>
      </c>
      <c r="S19" s="2259"/>
      <c r="T19" s="2252"/>
      <c r="U19" s="2256"/>
      <c r="V19" s="2257"/>
    </row>
    <row r="20" spans="1:22">
      <c r="A20" s="1408" t="s">
        <v>2024</v>
      </c>
      <c r="B20" s="1408" t="s">
        <v>2534</v>
      </c>
      <c r="C20" s="2264" t="s">
        <v>2535</v>
      </c>
      <c r="D20" s="2259"/>
      <c r="E20" s="1408" t="s">
        <v>2536</v>
      </c>
      <c r="F20" s="1408" t="s">
        <v>2025</v>
      </c>
      <c r="G20" s="2264" t="s">
        <v>2072</v>
      </c>
      <c r="H20" s="2259"/>
      <c r="I20" s="1408" t="s">
        <v>2074</v>
      </c>
      <c r="J20" s="2264" t="s">
        <v>2075</v>
      </c>
      <c r="K20" s="2258"/>
      <c r="L20" s="2259"/>
      <c r="M20" s="1408" t="s">
        <v>2026</v>
      </c>
      <c r="N20" s="2264" t="s">
        <v>1706</v>
      </c>
      <c r="O20" s="2259"/>
      <c r="P20" s="2264" t="s">
        <v>1707</v>
      </c>
      <c r="Q20" s="2259"/>
      <c r="R20" s="2264" t="s">
        <v>1709</v>
      </c>
      <c r="S20" s="2259"/>
      <c r="T20" s="1408" t="s">
        <v>1710</v>
      </c>
      <c r="U20" s="2264" t="s">
        <v>1711</v>
      </c>
      <c r="V20" s="2259"/>
    </row>
    <row r="21" spans="1:22" ht="33.75">
      <c r="A21" s="1403" t="s">
        <v>1052</v>
      </c>
      <c r="B21" s="1403" t="s">
        <v>345</v>
      </c>
      <c r="C21" s="2265" t="s">
        <v>316</v>
      </c>
      <c r="D21" s="2266"/>
      <c r="E21" s="1588"/>
      <c r="F21" s="1588"/>
      <c r="G21" s="2267">
        <f>SUM(I21:S21)</f>
        <v>783264.16</v>
      </c>
      <c r="H21" s="2266"/>
      <c r="I21" s="1404">
        <v>299541</v>
      </c>
      <c r="J21" s="2267">
        <v>352400.82</v>
      </c>
      <c r="K21" s="2268"/>
      <c r="L21" s="2266"/>
      <c r="M21" s="1404">
        <v>0</v>
      </c>
      <c r="N21" s="2267">
        <v>131322.34</v>
      </c>
      <c r="O21" s="2266"/>
      <c r="P21" s="2267">
        <v>0</v>
      </c>
      <c r="Q21" s="2266"/>
      <c r="R21" s="2267">
        <v>0</v>
      </c>
      <c r="S21" s="2266"/>
      <c r="T21" s="1405">
        <v>42762</v>
      </c>
      <c r="U21" s="2436" t="s">
        <v>3716</v>
      </c>
      <c r="V21" s="2437"/>
    </row>
    <row r="22" spans="1:22" ht="33.75">
      <c r="A22" s="1403" t="s">
        <v>3647</v>
      </c>
      <c r="B22" s="1403" t="s">
        <v>235</v>
      </c>
      <c r="C22" s="2265" t="s">
        <v>2243</v>
      </c>
      <c r="D22" s="2266"/>
      <c r="E22" s="1588"/>
      <c r="F22" s="1588"/>
      <c r="G22" s="2267">
        <f>SUM(I22:S22)</f>
        <v>352401</v>
      </c>
      <c r="H22" s="2266"/>
      <c r="I22" s="1404">
        <v>299540.84999999998</v>
      </c>
      <c r="J22" s="2267">
        <v>0</v>
      </c>
      <c r="K22" s="2268"/>
      <c r="L22" s="2266"/>
      <c r="M22" s="1404">
        <v>0</v>
      </c>
      <c r="N22" s="2267">
        <v>52860.15</v>
      </c>
      <c r="O22" s="2266"/>
      <c r="P22" s="2267">
        <v>0</v>
      </c>
      <c r="Q22" s="2266"/>
      <c r="R22" s="2267">
        <v>0</v>
      </c>
      <c r="S22" s="2266"/>
      <c r="T22" s="1405">
        <v>42767</v>
      </c>
      <c r="U22" s="2436" t="s">
        <v>3717</v>
      </c>
      <c r="V22" s="2437"/>
    </row>
    <row r="23" spans="1:22" ht="33.75">
      <c r="A23" s="1403" t="s">
        <v>1087</v>
      </c>
      <c r="B23" s="1403" t="s">
        <v>161</v>
      </c>
      <c r="C23" s="2265" t="s">
        <v>317</v>
      </c>
      <c r="D23" s="2266"/>
      <c r="E23" s="1588"/>
      <c r="F23" s="1588"/>
      <c r="G23" s="2267">
        <f>SUM(I23:S23)</f>
        <v>484769.35</v>
      </c>
      <c r="H23" s="2266"/>
      <c r="I23" s="1404">
        <v>299541</v>
      </c>
      <c r="J23" s="2267">
        <v>0</v>
      </c>
      <c r="K23" s="2268"/>
      <c r="L23" s="2266"/>
      <c r="M23" s="1404">
        <v>0</v>
      </c>
      <c r="N23" s="2267">
        <v>185228.35</v>
      </c>
      <c r="O23" s="2266"/>
      <c r="P23" s="2267">
        <v>0</v>
      </c>
      <c r="Q23" s="2266"/>
      <c r="R23" s="2267">
        <v>0</v>
      </c>
      <c r="S23" s="2266"/>
      <c r="T23" s="1405">
        <v>43097</v>
      </c>
      <c r="U23" s="2436" t="s">
        <v>3717</v>
      </c>
      <c r="V23" s="2437"/>
    </row>
    <row r="24" spans="1:22" ht="34.5" thickBot="1">
      <c r="A24" s="1403" t="s">
        <v>843</v>
      </c>
      <c r="B24" s="1403" t="s">
        <v>282</v>
      </c>
      <c r="C24" s="2265" t="s">
        <v>134</v>
      </c>
      <c r="D24" s="2266"/>
      <c r="E24" s="1588"/>
      <c r="F24" s="1588"/>
      <c r="G24" s="2267">
        <f>SUM(I24:S24)</f>
        <v>352401</v>
      </c>
      <c r="H24" s="2266"/>
      <c r="I24" s="1404">
        <v>299540.84999999998</v>
      </c>
      <c r="J24" s="2267">
        <v>0</v>
      </c>
      <c r="K24" s="2268"/>
      <c r="L24" s="2266"/>
      <c r="M24" s="1404">
        <v>0</v>
      </c>
      <c r="N24" s="2267">
        <v>52860.15</v>
      </c>
      <c r="O24" s="2266"/>
      <c r="P24" s="2267">
        <v>0</v>
      </c>
      <c r="Q24" s="2266"/>
      <c r="R24" s="2267">
        <v>0</v>
      </c>
      <c r="S24" s="2266"/>
      <c r="T24" s="1405">
        <v>42767</v>
      </c>
      <c r="U24" s="2436" t="s">
        <v>3717</v>
      </c>
      <c r="V24" s="2437"/>
    </row>
    <row r="25" spans="1:22">
      <c r="A25" s="2278" t="s">
        <v>3649</v>
      </c>
      <c r="B25" s="2279"/>
      <c r="C25" s="2279"/>
      <c r="D25" s="2279"/>
      <c r="E25" s="2279"/>
      <c r="F25" s="2280"/>
      <c r="G25" s="2281">
        <f>SUM(G21:H24)</f>
        <v>1972835.5100000002</v>
      </c>
      <c r="H25" s="2271"/>
      <c r="I25" s="1406">
        <f>SUM(I21:I24)</f>
        <v>1198163.7</v>
      </c>
      <c r="J25" s="2281">
        <f>SUM(J21:J24)</f>
        <v>352400.82</v>
      </c>
      <c r="K25" s="2270">
        <f>SUM(K21:K24)</f>
        <v>0</v>
      </c>
      <c r="L25" s="2271">
        <f>SUM(L21:L24)</f>
        <v>0</v>
      </c>
      <c r="M25" s="1406">
        <f>SUM(M21:M24)</f>
        <v>0</v>
      </c>
      <c r="N25" s="2281">
        <f>SUM(N21:O24)</f>
        <v>422270.99</v>
      </c>
      <c r="O25" s="2271"/>
      <c r="P25" s="2281">
        <f>SUM(P21:P24)</f>
        <v>0</v>
      </c>
      <c r="Q25" s="2271">
        <f>SUM(Q21:Q24)</f>
        <v>0</v>
      </c>
      <c r="R25" s="2281">
        <f>SUM(R21:R24)</f>
        <v>0</v>
      </c>
      <c r="S25" s="2271">
        <f>SUM(S21:S24)</f>
        <v>0</v>
      </c>
      <c r="T25" s="2410"/>
      <c r="U25" s="2279"/>
      <c r="V25" s="2280"/>
    </row>
    <row r="26" spans="1:22">
      <c r="A26" s="2272" t="s">
        <v>3650</v>
      </c>
      <c r="B26" s="2273"/>
      <c r="C26" s="2273"/>
      <c r="D26" s="2273"/>
      <c r="E26" s="2273"/>
      <c r="F26" s="2274"/>
      <c r="G26" s="2275">
        <v>1198165.51</v>
      </c>
      <c r="H26" s="2276"/>
      <c r="I26" s="2276"/>
      <c r="J26" s="2276"/>
      <c r="K26" s="2276"/>
      <c r="L26" s="2276"/>
      <c r="M26" s="2276"/>
      <c r="N26" s="2276"/>
      <c r="O26" s="2276"/>
      <c r="P26" s="2276"/>
      <c r="Q26" s="2276"/>
      <c r="R26" s="2276"/>
      <c r="S26" s="2276"/>
      <c r="T26" s="2277"/>
    </row>
  </sheetData>
  <mergeCells count="83">
    <mergeCell ref="A26:F26"/>
    <mergeCell ref="G26:T26"/>
    <mergeCell ref="U24:V24"/>
    <mergeCell ref="A25:F25"/>
    <mergeCell ref="G25:H25"/>
    <mergeCell ref="J25:L25"/>
    <mergeCell ref="N25:O25"/>
    <mergeCell ref="P25:Q25"/>
    <mergeCell ref="R25:S25"/>
    <mergeCell ref="T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2:V24"/>
  <sheetViews>
    <sheetView workbookViewId="0">
      <selection activeCell="G21" sqref="G21:H21"/>
    </sheetView>
  </sheetViews>
  <sheetFormatPr defaultRowHeight="12.75"/>
  <cols>
    <col min="1" max="1" width="5.42578125" style="1402" customWidth="1"/>
    <col min="2" max="2" width="13.7109375" style="1402" customWidth="1"/>
    <col min="3" max="3" width="18.85546875" style="1402" customWidth="1"/>
    <col min="4" max="4" width="0.140625" style="1402" customWidth="1"/>
    <col min="5" max="5" width="18.28515625" style="1402" hidden="1" customWidth="1"/>
    <col min="6" max="6" width="15.28515625" style="1402" hidden="1" customWidth="1"/>
    <col min="7" max="7" width="12.42578125" style="1402" customWidth="1"/>
    <col min="8" max="8" width="0.5703125" style="1402" customWidth="1"/>
    <col min="9" max="9" width="18.28515625" style="1402" customWidth="1"/>
    <col min="10" max="10" width="1" style="1402" customWidth="1"/>
    <col min="11" max="11" width="7.140625" style="1402" customWidth="1"/>
    <col min="12" max="12" width="9.7109375" style="1402" customWidth="1"/>
    <col min="13" max="13" width="16.7109375" style="1402" customWidth="1"/>
    <col min="14" max="14" width="1.85546875" style="1402" customWidth="1"/>
    <col min="15" max="15" width="14.7109375" style="1402" customWidth="1"/>
    <col min="16" max="16" width="11.85546875" style="1402" customWidth="1"/>
    <col min="17" max="17" width="2.85546875" style="1402" customWidth="1"/>
    <col min="18" max="18" width="10.7109375" style="1402" customWidth="1"/>
    <col min="19" max="19" width="3.85546875" style="1402" customWidth="1"/>
    <col min="20" max="20" width="20.5703125" style="1402" customWidth="1"/>
    <col min="21" max="21" width="19" style="1402" customWidth="1"/>
    <col min="22" max="22" width="3.140625" style="1402" customWidth="1"/>
    <col min="23" max="256" width="9.140625" style="1402"/>
    <col min="257" max="257" width="5.42578125" style="1402" customWidth="1"/>
    <col min="258" max="258" width="13.7109375" style="1402" customWidth="1"/>
    <col min="259" max="259" width="18.85546875" style="1402" customWidth="1"/>
    <col min="260" max="260" width="0.140625" style="1402" customWidth="1"/>
    <col min="261" max="262" width="0" style="1402" hidden="1" customWidth="1"/>
    <col min="263" max="263" width="12.42578125" style="1402" customWidth="1"/>
    <col min="264" max="264" width="0.5703125" style="1402" customWidth="1"/>
    <col min="265" max="265" width="18.28515625" style="1402" customWidth="1"/>
    <col min="266" max="266" width="1" style="1402" customWidth="1"/>
    <col min="267" max="267" width="7.140625" style="1402" customWidth="1"/>
    <col min="268" max="268" width="9.7109375" style="1402" customWidth="1"/>
    <col min="269" max="269" width="16.7109375" style="1402" customWidth="1"/>
    <col min="270" max="270" width="1.85546875" style="1402" customWidth="1"/>
    <col min="271" max="271" width="14.7109375" style="1402" customWidth="1"/>
    <col min="272" max="272" width="11.85546875" style="1402" customWidth="1"/>
    <col min="273" max="273" width="2.85546875" style="1402" customWidth="1"/>
    <col min="274" max="274" width="10.7109375" style="1402" customWidth="1"/>
    <col min="275" max="275" width="3.85546875" style="1402" customWidth="1"/>
    <col min="276" max="276" width="20.5703125" style="1402" customWidth="1"/>
    <col min="277" max="277" width="19" style="1402" customWidth="1"/>
    <col min="278" max="278" width="3.140625" style="1402" customWidth="1"/>
    <col min="279" max="512" width="9.140625" style="1402"/>
    <col min="513" max="513" width="5.42578125" style="1402" customWidth="1"/>
    <col min="514" max="514" width="13.7109375" style="1402" customWidth="1"/>
    <col min="515" max="515" width="18.85546875" style="1402" customWidth="1"/>
    <col min="516" max="516" width="0.140625" style="1402" customWidth="1"/>
    <col min="517" max="518" width="0" style="1402" hidden="1" customWidth="1"/>
    <col min="519" max="519" width="12.42578125" style="1402" customWidth="1"/>
    <col min="520" max="520" width="0.5703125" style="1402" customWidth="1"/>
    <col min="521" max="521" width="18.28515625" style="1402" customWidth="1"/>
    <col min="522" max="522" width="1" style="1402" customWidth="1"/>
    <col min="523" max="523" width="7.140625" style="1402" customWidth="1"/>
    <col min="524" max="524" width="9.7109375" style="1402" customWidth="1"/>
    <col min="525" max="525" width="16.7109375" style="1402" customWidth="1"/>
    <col min="526" max="526" width="1.85546875" style="1402" customWidth="1"/>
    <col min="527" max="527" width="14.7109375" style="1402" customWidth="1"/>
    <col min="528" max="528" width="11.85546875" style="1402" customWidth="1"/>
    <col min="529" max="529" width="2.85546875" style="1402" customWidth="1"/>
    <col min="530" max="530" width="10.7109375" style="1402" customWidth="1"/>
    <col min="531" max="531" width="3.85546875" style="1402" customWidth="1"/>
    <col min="532" max="532" width="20.5703125" style="1402" customWidth="1"/>
    <col min="533" max="533" width="19" style="1402" customWidth="1"/>
    <col min="534" max="534" width="3.140625" style="1402" customWidth="1"/>
    <col min="535" max="768" width="9.140625" style="1402"/>
    <col min="769" max="769" width="5.42578125" style="1402" customWidth="1"/>
    <col min="770" max="770" width="13.7109375" style="1402" customWidth="1"/>
    <col min="771" max="771" width="18.85546875" style="1402" customWidth="1"/>
    <col min="772" max="772" width="0.140625" style="1402" customWidth="1"/>
    <col min="773" max="774" width="0" style="1402" hidden="1" customWidth="1"/>
    <col min="775" max="775" width="12.42578125" style="1402" customWidth="1"/>
    <col min="776" max="776" width="0.5703125" style="1402" customWidth="1"/>
    <col min="777" max="777" width="18.28515625" style="1402" customWidth="1"/>
    <col min="778" max="778" width="1" style="1402" customWidth="1"/>
    <col min="779" max="779" width="7.140625" style="1402" customWidth="1"/>
    <col min="780" max="780" width="9.7109375" style="1402" customWidth="1"/>
    <col min="781" max="781" width="16.7109375" style="1402" customWidth="1"/>
    <col min="782" max="782" width="1.85546875" style="1402" customWidth="1"/>
    <col min="783" max="783" width="14.7109375" style="1402" customWidth="1"/>
    <col min="784" max="784" width="11.85546875" style="1402" customWidth="1"/>
    <col min="785" max="785" width="2.85546875" style="1402" customWidth="1"/>
    <col min="786" max="786" width="10.7109375" style="1402" customWidth="1"/>
    <col min="787" max="787" width="3.85546875" style="1402" customWidth="1"/>
    <col min="788" max="788" width="20.5703125" style="1402" customWidth="1"/>
    <col min="789" max="789" width="19" style="1402" customWidth="1"/>
    <col min="790" max="790" width="3.140625" style="1402" customWidth="1"/>
    <col min="791" max="1024" width="9.140625" style="1402"/>
    <col min="1025" max="1025" width="5.42578125" style="1402" customWidth="1"/>
    <col min="1026" max="1026" width="13.7109375" style="1402" customWidth="1"/>
    <col min="1027" max="1027" width="18.85546875" style="1402" customWidth="1"/>
    <col min="1028" max="1028" width="0.140625" style="1402" customWidth="1"/>
    <col min="1029" max="1030" width="0" style="1402" hidden="1" customWidth="1"/>
    <col min="1031" max="1031" width="12.42578125" style="1402" customWidth="1"/>
    <col min="1032" max="1032" width="0.5703125" style="1402" customWidth="1"/>
    <col min="1033" max="1033" width="18.28515625" style="1402" customWidth="1"/>
    <col min="1034" max="1034" width="1" style="1402" customWidth="1"/>
    <col min="1035" max="1035" width="7.140625" style="1402" customWidth="1"/>
    <col min="1036" max="1036" width="9.7109375" style="1402" customWidth="1"/>
    <col min="1037" max="1037" width="16.7109375" style="1402" customWidth="1"/>
    <col min="1038" max="1038" width="1.85546875" style="1402" customWidth="1"/>
    <col min="1039" max="1039" width="14.7109375" style="1402" customWidth="1"/>
    <col min="1040" max="1040" width="11.85546875" style="1402" customWidth="1"/>
    <col min="1041" max="1041" width="2.85546875" style="1402" customWidth="1"/>
    <col min="1042" max="1042" width="10.7109375" style="1402" customWidth="1"/>
    <col min="1043" max="1043" width="3.85546875" style="1402" customWidth="1"/>
    <col min="1044" max="1044" width="20.5703125" style="1402" customWidth="1"/>
    <col min="1045" max="1045" width="19" style="1402" customWidth="1"/>
    <col min="1046" max="1046" width="3.140625" style="1402" customWidth="1"/>
    <col min="1047" max="1280" width="9.140625" style="1402"/>
    <col min="1281" max="1281" width="5.42578125" style="1402" customWidth="1"/>
    <col min="1282" max="1282" width="13.7109375" style="1402" customWidth="1"/>
    <col min="1283" max="1283" width="18.85546875" style="1402" customWidth="1"/>
    <col min="1284" max="1284" width="0.140625" style="1402" customWidth="1"/>
    <col min="1285" max="1286" width="0" style="1402" hidden="1" customWidth="1"/>
    <col min="1287" max="1287" width="12.42578125" style="1402" customWidth="1"/>
    <col min="1288" max="1288" width="0.5703125" style="1402" customWidth="1"/>
    <col min="1289" max="1289" width="18.28515625" style="1402" customWidth="1"/>
    <col min="1290" max="1290" width="1" style="1402" customWidth="1"/>
    <col min="1291" max="1291" width="7.140625" style="1402" customWidth="1"/>
    <col min="1292" max="1292" width="9.7109375" style="1402" customWidth="1"/>
    <col min="1293" max="1293" width="16.7109375" style="1402" customWidth="1"/>
    <col min="1294" max="1294" width="1.85546875" style="1402" customWidth="1"/>
    <col min="1295" max="1295" width="14.7109375" style="1402" customWidth="1"/>
    <col min="1296" max="1296" width="11.85546875" style="1402" customWidth="1"/>
    <col min="1297" max="1297" width="2.85546875" style="1402" customWidth="1"/>
    <col min="1298" max="1298" width="10.7109375" style="1402" customWidth="1"/>
    <col min="1299" max="1299" width="3.85546875" style="1402" customWidth="1"/>
    <col min="1300" max="1300" width="20.5703125" style="1402" customWidth="1"/>
    <col min="1301" max="1301" width="19" style="1402" customWidth="1"/>
    <col min="1302" max="1302" width="3.140625" style="1402" customWidth="1"/>
    <col min="1303" max="1536" width="9.140625" style="1402"/>
    <col min="1537" max="1537" width="5.42578125" style="1402" customWidth="1"/>
    <col min="1538" max="1538" width="13.7109375" style="1402" customWidth="1"/>
    <col min="1539" max="1539" width="18.85546875" style="1402" customWidth="1"/>
    <col min="1540" max="1540" width="0.140625" style="1402" customWidth="1"/>
    <col min="1541" max="1542" width="0" style="1402" hidden="1" customWidth="1"/>
    <col min="1543" max="1543" width="12.42578125" style="1402" customWidth="1"/>
    <col min="1544" max="1544" width="0.5703125" style="1402" customWidth="1"/>
    <col min="1545" max="1545" width="18.28515625" style="1402" customWidth="1"/>
    <col min="1546" max="1546" width="1" style="1402" customWidth="1"/>
    <col min="1547" max="1547" width="7.140625" style="1402" customWidth="1"/>
    <col min="1548" max="1548" width="9.7109375" style="1402" customWidth="1"/>
    <col min="1549" max="1549" width="16.7109375" style="1402" customWidth="1"/>
    <col min="1550" max="1550" width="1.85546875" style="1402" customWidth="1"/>
    <col min="1551" max="1551" width="14.7109375" style="1402" customWidth="1"/>
    <col min="1552" max="1552" width="11.85546875" style="1402" customWidth="1"/>
    <col min="1553" max="1553" width="2.85546875" style="1402" customWidth="1"/>
    <col min="1554" max="1554" width="10.7109375" style="1402" customWidth="1"/>
    <col min="1555" max="1555" width="3.85546875" style="1402" customWidth="1"/>
    <col min="1556" max="1556" width="20.5703125" style="1402" customWidth="1"/>
    <col min="1557" max="1557" width="19" style="1402" customWidth="1"/>
    <col min="1558" max="1558" width="3.140625" style="1402" customWidth="1"/>
    <col min="1559" max="1792" width="9.140625" style="1402"/>
    <col min="1793" max="1793" width="5.42578125" style="1402" customWidth="1"/>
    <col min="1794" max="1794" width="13.7109375" style="1402" customWidth="1"/>
    <col min="1795" max="1795" width="18.85546875" style="1402" customWidth="1"/>
    <col min="1796" max="1796" width="0.140625" style="1402" customWidth="1"/>
    <col min="1797" max="1798" width="0" style="1402" hidden="1" customWidth="1"/>
    <col min="1799" max="1799" width="12.42578125" style="1402" customWidth="1"/>
    <col min="1800" max="1800" width="0.5703125" style="1402" customWidth="1"/>
    <col min="1801" max="1801" width="18.28515625" style="1402" customWidth="1"/>
    <col min="1802" max="1802" width="1" style="1402" customWidth="1"/>
    <col min="1803" max="1803" width="7.140625" style="1402" customWidth="1"/>
    <col min="1804" max="1804" width="9.7109375" style="1402" customWidth="1"/>
    <col min="1805" max="1805" width="16.7109375" style="1402" customWidth="1"/>
    <col min="1806" max="1806" width="1.85546875" style="1402" customWidth="1"/>
    <col min="1807" max="1807" width="14.7109375" style="1402" customWidth="1"/>
    <col min="1808" max="1808" width="11.85546875" style="1402" customWidth="1"/>
    <col min="1809" max="1809" width="2.85546875" style="1402" customWidth="1"/>
    <col min="1810" max="1810" width="10.7109375" style="1402" customWidth="1"/>
    <col min="1811" max="1811" width="3.85546875" style="1402" customWidth="1"/>
    <col min="1812" max="1812" width="20.5703125" style="1402" customWidth="1"/>
    <col min="1813" max="1813" width="19" style="1402" customWidth="1"/>
    <col min="1814" max="1814" width="3.140625" style="1402" customWidth="1"/>
    <col min="1815" max="2048" width="9.140625" style="1402"/>
    <col min="2049" max="2049" width="5.42578125" style="1402" customWidth="1"/>
    <col min="2050" max="2050" width="13.7109375" style="1402" customWidth="1"/>
    <col min="2051" max="2051" width="18.85546875" style="1402" customWidth="1"/>
    <col min="2052" max="2052" width="0.140625" style="1402" customWidth="1"/>
    <col min="2053" max="2054" width="0" style="1402" hidden="1" customWidth="1"/>
    <col min="2055" max="2055" width="12.42578125" style="1402" customWidth="1"/>
    <col min="2056" max="2056" width="0.5703125" style="1402" customWidth="1"/>
    <col min="2057" max="2057" width="18.28515625" style="1402" customWidth="1"/>
    <col min="2058" max="2058" width="1" style="1402" customWidth="1"/>
    <col min="2059" max="2059" width="7.140625" style="1402" customWidth="1"/>
    <col min="2060" max="2060" width="9.7109375" style="1402" customWidth="1"/>
    <col min="2061" max="2061" width="16.7109375" style="1402" customWidth="1"/>
    <col min="2062" max="2062" width="1.85546875" style="1402" customWidth="1"/>
    <col min="2063" max="2063" width="14.7109375" style="1402" customWidth="1"/>
    <col min="2064" max="2064" width="11.85546875" style="1402" customWidth="1"/>
    <col min="2065" max="2065" width="2.85546875" style="1402" customWidth="1"/>
    <col min="2066" max="2066" width="10.7109375" style="1402" customWidth="1"/>
    <col min="2067" max="2067" width="3.85546875" style="1402" customWidth="1"/>
    <col min="2068" max="2068" width="20.5703125" style="1402" customWidth="1"/>
    <col min="2069" max="2069" width="19" style="1402" customWidth="1"/>
    <col min="2070" max="2070" width="3.140625" style="1402" customWidth="1"/>
    <col min="2071" max="2304" width="9.140625" style="1402"/>
    <col min="2305" max="2305" width="5.42578125" style="1402" customWidth="1"/>
    <col min="2306" max="2306" width="13.7109375" style="1402" customWidth="1"/>
    <col min="2307" max="2307" width="18.85546875" style="1402" customWidth="1"/>
    <col min="2308" max="2308" width="0.140625" style="1402" customWidth="1"/>
    <col min="2309" max="2310" width="0" style="1402" hidden="1" customWidth="1"/>
    <col min="2311" max="2311" width="12.42578125" style="1402" customWidth="1"/>
    <col min="2312" max="2312" width="0.5703125" style="1402" customWidth="1"/>
    <col min="2313" max="2313" width="18.28515625" style="1402" customWidth="1"/>
    <col min="2314" max="2314" width="1" style="1402" customWidth="1"/>
    <col min="2315" max="2315" width="7.140625" style="1402" customWidth="1"/>
    <col min="2316" max="2316" width="9.7109375" style="1402" customWidth="1"/>
    <col min="2317" max="2317" width="16.7109375" style="1402" customWidth="1"/>
    <col min="2318" max="2318" width="1.85546875" style="1402" customWidth="1"/>
    <col min="2319" max="2319" width="14.7109375" style="1402" customWidth="1"/>
    <col min="2320" max="2320" width="11.85546875" style="1402" customWidth="1"/>
    <col min="2321" max="2321" width="2.85546875" style="1402" customWidth="1"/>
    <col min="2322" max="2322" width="10.7109375" style="1402" customWidth="1"/>
    <col min="2323" max="2323" width="3.85546875" style="1402" customWidth="1"/>
    <col min="2324" max="2324" width="20.5703125" style="1402" customWidth="1"/>
    <col min="2325" max="2325" width="19" style="1402" customWidth="1"/>
    <col min="2326" max="2326" width="3.140625" style="1402" customWidth="1"/>
    <col min="2327" max="2560" width="9.140625" style="1402"/>
    <col min="2561" max="2561" width="5.42578125" style="1402" customWidth="1"/>
    <col min="2562" max="2562" width="13.7109375" style="1402" customWidth="1"/>
    <col min="2563" max="2563" width="18.85546875" style="1402" customWidth="1"/>
    <col min="2564" max="2564" width="0.140625" style="1402" customWidth="1"/>
    <col min="2565" max="2566" width="0" style="1402" hidden="1" customWidth="1"/>
    <col min="2567" max="2567" width="12.42578125" style="1402" customWidth="1"/>
    <col min="2568" max="2568" width="0.5703125" style="1402" customWidth="1"/>
    <col min="2569" max="2569" width="18.28515625" style="1402" customWidth="1"/>
    <col min="2570" max="2570" width="1" style="1402" customWidth="1"/>
    <col min="2571" max="2571" width="7.140625" style="1402" customWidth="1"/>
    <col min="2572" max="2572" width="9.7109375" style="1402" customWidth="1"/>
    <col min="2573" max="2573" width="16.7109375" style="1402" customWidth="1"/>
    <col min="2574" max="2574" width="1.85546875" style="1402" customWidth="1"/>
    <col min="2575" max="2575" width="14.7109375" style="1402" customWidth="1"/>
    <col min="2576" max="2576" width="11.85546875" style="1402" customWidth="1"/>
    <col min="2577" max="2577" width="2.85546875" style="1402" customWidth="1"/>
    <col min="2578" max="2578" width="10.7109375" style="1402" customWidth="1"/>
    <col min="2579" max="2579" width="3.85546875" style="1402" customWidth="1"/>
    <col min="2580" max="2580" width="20.5703125" style="1402" customWidth="1"/>
    <col min="2581" max="2581" width="19" style="1402" customWidth="1"/>
    <col min="2582" max="2582" width="3.140625" style="1402" customWidth="1"/>
    <col min="2583" max="2816" width="9.140625" style="1402"/>
    <col min="2817" max="2817" width="5.42578125" style="1402" customWidth="1"/>
    <col min="2818" max="2818" width="13.7109375" style="1402" customWidth="1"/>
    <col min="2819" max="2819" width="18.85546875" style="1402" customWidth="1"/>
    <col min="2820" max="2820" width="0.140625" style="1402" customWidth="1"/>
    <col min="2821" max="2822" width="0" style="1402" hidden="1" customWidth="1"/>
    <col min="2823" max="2823" width="12.42578125" style="1402" customWidth="1"/>
    <col min="2824" max="2824" width="0.5703125" style="1402" customWidth="1"/>
    <col min="2825" max="2825" width="18.28515625" style="1402" customWidth="1"/>
    <col min="2826" max="2826" width="1" style="1402" customWidth="1"/>
    <col min="2827" max="2827" width="7.140625" style="1402" customWidth="1"/>
    <col min="2828" max="2828" width="9.7109375" style="1402" customWidth="1"/>
    <col min="2829" max="2829" width="16.7109375" style="1402" customWidth="1"/>
    <col min="2830" max="2830" width="1.85546875" style="1402" customWidth="1"/>
    <col min="2831" max="2831" width="14.7109375" style="1402" customWidth="1"/>
    <col min="2832" max="2832" width="11.85546875" style="1402" customWidth="1"/>
    <col min="2833" max="2833" width="2.85546875" style="1402" customWidth="1"/>
    <col min="2834" max="2834" width="10.7109375" style="1402" customWidth="1"/>
    <col min="2835" max="2835" width="3.85546875" style="1402" customWidth="1"/>
    <col min="2836" max="2836" width="20.5703125" style="1402" customWidth="1"/>
    <col min="2837" max="2837" width="19" style="1402" customWidth="1"/>
    <col min="2838" max="2838" width="3.140625" style="1402" customWidth="1"/>
    <col min="2839" max="3072" width="9.140625" style="1402"/>
    <col min="3073" max="3073" width="5.42578125" style="1402" customWidth="1"/>
    <col min="3074" max="3074" width="13.7109375" style="1402" customWidth="1"/>
    <col min="3075" max="3075" width="18.85546875" style="1402" customWidth="1"/>
    <col min="3076" max="3076" width="0.140625" style="1402" customWidth="1"/>
    <col min="3077" max="3078" width="0" style="1402" hidden="1" customWidth="1"/>
    <col min="3079" max="3079" width="12.42578125" style="1402" customWidth="1"/>
    <col min="3080" max="3080" width="0.5703125" style="1402" customWidth="1"/>
    <col min="3081" max="3081" width="18.28515625" style="1402" customWidth="1"/>
    <col min="3082" max="3082" width="1" style="1402" customWidth="1"/>
    <col min="3083" max="3083" width="7.140625" style="1402" customWidth="1"/>
    <col min="3084" max="3084" width="9.7109375" style="1402" customWidth="1"/>
    <col min="3085" max="3085" width="16.7109375" style="1402" customWidth="1"/>
    <col min="3086" max="3086" width="1.85546875" style="1402" customWidth="1"/>
    <col min="3087" max="3087" width="14.7109375" style="1402" customWidth="1"/>
    <col min="3088" max="3088" width="11.85546875" style="1402" customWidth="1"/>
    <col min="3089" max="3089" width="2.85546875" style="1402" customWidth="1"/>
    <col min="3090" max="3090" width="10.7109375" style="1402" customWidth="1"/>
    <col min="3091" max="3091" width="3.85546875" style="1402" customWidth="1"/>
    <col min="3092" max="3092" width="20.5703125" style="1402" customWidth="1"/>
    <col min="3093" max="3093" width="19" style="1402" customWidth="1"/>
    <col min="3094" max="3094" width="3.140625" style="1402" customWidth="1"/>
    <col min="3095" max="3328" width="9.140625" style="1402"/>
    <col min="3329" max="3329" width="5.42578125" style="1402" customWidth="1"/>
    <col min="3330" max="3330" width="13.7109375" style="1402" customWidth="1"/>
    <col min="3331" max="3331" width="18.85546875" style="1402" customWidth="1"/>
    <col min="3332" max="3332" width="0.140625" style="1402" customWidth="1"/>
    <col min="3333" max="3334" width="0" style="1402" hidden="1" customWidth="1"/>
    <col min="3335" max="3335" width="12.42578125" style="1402" customWidth="1"/>
    <col min="3336" max="3336" width="0.5703125" style="1402" customWidth="1"/>
    <col min="3337" max="3337" width="18.28515625" style="1402" customWidth="1"/>
    <col min="3338" max="3338" width="1" style="1402" customWidth="1"/>
    <col min="3339" max="3339" width="7.140625" style="1402" customWidth="1"/>
    <col min="3340" max="3340" width="9.7109375" style="1402" customWidth="1"/>
    <col min="3341" max="3341" width="16.7109375" style="1402" customWidth="1"/>
    <col min="3342" max="3342" width="1.85546875" style="1402" customWidth="1"/>
    <col min="3343" max="3343" width="14.7109375" style="1402" customWidth="1"/>
    <col min="3344" max="3344" width="11.85546875" style="1402" customWidth="1"/>
    <col min="3345" max="3345" width="2.85546875" style="1402" customWidth="1"/>
    <col min="3346" max="3346" width="10.7109375" style="1402" customWidth="1"/>
    <col min="3347" max="3347" width="3.85546875" style="1402" customWidth="1"/>
    <col min="3348" max="3348" width="20.5703125" style="1402" customWidth="1"/>
    <col min="3349" max="3349" width="19" style="1402" customWidth="1"/>
    <col min="3350" max="3350" width="3.140625" style="1402" customWidth="1"/>
    <col min="3351" max="3584" width="9.140625" style="1402"/>
    <col min="3585" max="3585" width="5.42578125" style="1402" customWidth="1"/>
    <col min="3586" max="3586" width="13.7109375" style="1402" customWidth="1"/>
    <col min="3587" max="3587" width="18.85546875" style="1402" customWidth="1"/>
    <col min="3588" max="3588" width="0.140625" style="1402" customWidth="1"/>
    <col min="3589" max="3590" width="0" style="1402" hidden="1" customWidth="1"/>
    <col min="3591" max="3591" width="12.42578125" style="1402" customWidth="1"/>
    <col min="3592" max="3592" width="0.5703125" style="1402" customWidth="1"/>
    <col min="3593" max="3593" width="18.28515625" style="1402" customWidth="1"/>
    <col min="3594" max="3594" width="1" style="1402" customWidth="1"/>
    <col min="3595" max="3595" width="7.140625" style="1402" customWidth="1"/>
    <col min="3596" max="3596" width="9.7109375" style="1402" customWidth="1"/>
    <col min="3597" max="3597" width="16.7109375" style="1402" customWidth="1"/>
    <col min="3598" max="3598" width="1.85546875" style="1402" customWidth="1"/>
    <col min="3599" max="3599" width="14.7109375" style="1402" customWidth="1"/>
    <col min="3600" max="3600" width="11.85546875" style="1402" customWidth="1"/>
    <col min="3601" max="3601" width="2.85546875" style="1402" customWidth="1"/>
    <col min="3602" max="3602" width="10.7109375" style="1402" customWidth="1"/>
    <col min="3603" max="3603" width="3.85546875" style="1402" customWidth="1"/>
    <col min="3604" max="3604" width="20.5703125" style="1402" customWidth="1"/>
    <col min="3605" max="3605" width="19" style="1402" customWidth="1"/>
    <col min="3606" max="3606" width="3.140625" style="1402" customWidth="1"/>
    <col min="3607" max="3840" width="9.140625" style="1402"/>
    <col min="3841" max="3841" width="5.42578125" style="1402" customWidth="1"/>
    <col min="3842" max="3842" width="13.7109375" style="1402" customWidth="1"/>
    <col min="3843" max="3843" width="18.85546875" style="1402" customWidth="1"/>
    <col min="3844" max="3844" width="0.140625" style="1402" customWidth="1"/>
    <col min="3845" max="3846" width="0" style="1402" hidden="1" customWidth="1"/>
    <col min="3847" max="3847" width="12.42578125" style="1402" customWidth="1"/>
    <col min="3848" max="3848" width="0.5703125" style="1402" customWidth="1"/>
    <col min="3849" max="3849" width="18.28515625" style="1402" customWidth="1"/>
    <col min="3850" max="3850" width="1" style="1402" customWidth="1"/>
    <col min="3851" max="3851" width="7.140625" style="1402" customWidth="1"/>
    <col min="3852" max="3852" width="9.7109375" style="1402" customWidth="1"/>
    <col min="3853" max="3853" width="16.7109375" style="1402" customWidth="1"/>
    <col min="3854" max="3854" width="1.85546875" style="1402" customWidth="1"/>
    <col min="3855" max="3855" width="14.7109375" style="1402" customWidth="1"/>
    <col min="3856" max="3856" width="11.85546875" style="1402" customWidth="1"/>
    <col min="3857" max="3857" width="2.85546875" style="1402" customWidth="1"/>
    <col min="3858" max="3858" width="10.7109375" style="1402" customWidth="1"/>
    <col min="3859" max="3859" width="3.85546875" style="1402" customWidth="1"/>
    <col min="3860" max="3860" width="20.5703125" style="1402" customWidth="1"/>
    <col min="3861" max="3861" width="19" style="1402" customWidth="1"/>
    <col min="3862" max="3862" width="3.140625" style="1402" customWidth="1"/>
    <col min="3863" max="4096" width="9.140625" style="1402"/>
    <col min="4097" max="4097" width="5.42578125" style="1402" customWidth="1"/>
    <col min="4098" max="4098" width="13.7109375" style="1402" customWidth="1"/>
    <col min="4099" max="4099" width="18.85546875" style="1402" customWidth="1"/>
    <col min="4100" max="4100" width="0.140625" style="1402" customWidth="1"/>
    <col min="4101" max="4102" width="0" style="1402" hidden="1" customWidth="1"/>
    <col min="4103" max="4103" width="12.42578125" style="1402" customWidth="1"/>
    <col min="4104" max="4104" width="0.5703125" style="1402" customWidth="1"/>
    <col min="4105" max="4105" width="18.28515625" style="1402" customWidth="1"/>
    <col min="4106" max="4106" width="1" style="1402" customWidth="1"/>
    <col min="4107" max="4107" width="7.140625" style="1402" customWidth="1"/>
    <col min="4108" max="4108" width="9.7109375" style="1402" customWidth="1"/>
    <col min="4109" max="4109" width="16.7109375" style="1402" customWidth="1"/>
    <col min="4110" max="4110" width="1.85546875" style="1402" customWidth="1"/>
    <col min="4111" max="4111" width="14.7109375" style="1402" customWidth="1"/>
    <col min="4112" max="4112" width="11.85546875" style="1402" customWidth="1"/>
    <col min="4113" max="4113" width="2.85546875" style="1402" customWidth="1"/>
    <col min="4114" max="4114" width="10.7109375" style="1402" customWidth="1"/>
    <col min="4115" max="4115" width="3.85546875" style="1402" customWidth="1"/>
    <col min="4116" max="4116" width="20.5703125" style="1402" customWidth="1"/>
    <col min="4117" max="4117" width="19" style="1402" customWidth="1"/>
    <col min="4118" max="4118" width="3.140625" style="1402" customWidth="1"/>
    <col min="4119" max="4352" width="9.140625" style="1402"/>
    <col min="4353" max="4353" width="5.42578125" style="1402" customWidth="1"/>
    <col min="4354" max="4354" width="13.7109375" style="1402" customWidth="1"/>
    <col min="4355" max="4355" width="18.85546875" style="1402" customWidth="1"/>
    <col min="4356" max="4356" width="0.140625" style="1402" customWidth="1"/>
    <col min="4357" max="4358" width="0" style="1402" hidden="1" customWidth="1"/>
    <col min="4359" max="4359" width="12.42578125" style="1402" customWidth="1"/>
    <col min="4360" max="4360" width="0.5703125" style="1402" customWidth="1"/>
    <col min="4361" max="4361" width="18.28515625" style="1402" customWidth="1"/>
    <col min="4362" max="4362" width="1" style="1402" customWidth="1"/>
    <col min="4363" max="4363" width="7.140625" style="1402" customWidth="1"/>
    <col min="4364" max="4364" width="9.7109375" style="1402" customWidth="1"/>
    <col min="4365" max="4365" width="16.7109375" style="1402" customWidth="1"/>
    <col min="4366" max="4366" width="1.85546875" style="1402" customWidth="1"/>
    <col min="4367" max="4367" width="14.7109375" style="1402" customWidth="1"/>
    <col min="4368" max="4368" width="11.85546875" style="1402" customWidth="1"/>
    <col min="4369" max="4369" width="2.85546875" style="1402" customWidth="1"/>
    <col min="4370" max="4370" width="10.7109375" style="1402" customWidth="1"/>
    <col min="4371" max="4371" width="3.85546875" style="1402" customWidth="1"/>
    <col min="4372" max="4372" width="20.5703125" style="1402" customWidth="1"/>
    <col min="4373" max="4373" width="19" style="1402" customWidth="1"/>
    <col min="4374" max="4374" width="3.140625" style="1402" customWidth="1"/>
    <col min="4375" max="4608" width="9.140625" style="1402"/>
    <col min="4609" max="4609" width="5.42578125" style="1402" customWidth="1"/>
    <col min="4610" max="4610" width="13.7109375" style="1402" customWidth="1"/>
    <col min="4611" max="4611" width="18.85546875" style="1402" customWidth="1"/>
    <col min="4612" max="4612" width="0.140625" style="1402" customWidth="1"/>
    <col min="4613" max="4614" width="0" style="1402" hidden="1" customWidth="1"/>
    <col min="4615" max="4615" width="12.42578125" style="1402" customWidth="1"/>
    <col min="4616" max="4616" width="0.5703125" style="1402" customWidth="1"/>
    <col min="4617" max="4617" width="18.28515625" style="1402" customWidth="1"/>
    <col min="4618" max="4618" width="1" style="1402" customWidth="1"/>
    <col min="4619" max="4619" width="7.140625" style="1402" customWidth="1"/>
    <col min="4620" max="4620" width="9.7109375" style="1402" customWidth="1"/>
    <col min="4621" max="4621" width="16.7109375" style="1402" customWidth="1"/>
    <col min="4622" max="4622" width="1.85546875" style="1402" customWidth="1"/>
    <col min="4623" max="4623" width="14.7109375" style="1402" customWidth="1"/>
    <col min="4624" max="4624" width="11.85546875" style="1402" customWidth="1"/>
    <col min="4625" max="4625" width="2.85546875" style="1402" customWidth="1"/>
    <col min="4626" max="4626" width="10.7109375" style="1402" customWidth="1"/>
    <col min="4627" max="4627" width="3.85546875" style="1402" customWidth="1"/>
    <col min="4628" max="4628" width="20.5703125" style="1402" customWidth="1"/>
    <col min="4629" max="4629" width="19" style="1402" customWidth="1"/>
    <col min="4630" max="4630" width="3.140625" style="1402" customWidth="1"/>
    <col min="4631" max="4864" width="9.140625" style="1402"/>
    <col min="4865" max="4865" width="5.42578125" style="1402" customWidth="1"/>
    <col min="4866" max="4866" width="13.7109375" style="1402" customWidth="1"/>
    <col min="4867" max="4867" width="18.85546875" style="1402" customWidth="1"/>
    <col min="4868" max="4868" width="0.140625" style="1402" customWidth="1"/>
    <col min="4869" max="4870" width="0" style="1402" hidden="1" customWidth="1"/>
    <col min="4871" max="4871" width="12.42578125" style="1402" customWidth="1"/>
    <col min="4872" max="4872" width="0.5703125" style="1402" customWidth="1"/>
    <col min="4873" max="4873" width="18.28515625" style="1402" customWidth="1"/>
    <col min="4874" max="4874" width="1" style="1402" customWidth="1"/>
    <col min="4875" max="4875" width="7.140625" style="1402" customWidth="1"/>
    <col min="4876" max="4876" width="9.7109375" style="1402" customWidth="1"/>
    <col min="4877" max="4877" width="16.7109375" style="1402" customWidth="1"/>
    <col min="4878" max="4878" width="1.85546875" style="1402" customWidth="1"/>
    <col min="4879" max="4879" width="14.7109375" style="1402" customWidth="1"/>
    <col min="4880" max="4880" width="11.85546875" style="1402" customWidth="1"/>
    <col min="4881" max="4881" width="2.85546875" style="1402" customWidth="1"/>
    <col min="4882" max="4882" width="10.7109375" style="1402" customWidth="1"/>
    <col min="4883" max="4883" width="3.85546875" style="1402" customWidth="1"/>
    <col min="4884" max="4884" width="20.5703125" style="1402" customWidth="1"/>
    <col min="4885" max="4885" width="19" style="1402" customWidth="1"/>
    <col min="4886" max="4886" width="3.140625" style="1402" customWidth="1"/>
    <col min="4887" max="5120" width="9.140625" style="1402"/>
    <col min="5121" max="5121" width="5.42578125" style="1402" customWidth="1"/>
    <col min="5122" max="5122" width="13.7109375" style="1402" customWidth="1"/>
    <col min="5123" max="5123" width="18.85546875" style="1402" customWidth="1"/>
    <col min="5124" max="5124" width="0.140625" style="1402" customWidth="1"/>
    <col min="5125" max="5126" width="0" style="1402" hidden="1" customWidth="1"/>
    <col min="5127" max="5127" width="12.42578125" style="1402" customWidth="1"/>
    <col min="5128" max="5128" width="0.5703125" style="1402" customWidth="1"/>
    <col min="5129" max="5129" width="18.28515625" style="1402" customWidth="1"/>
    <col min="5130" max="5130" width="1" style="1402" customWidth="1"/>
    <col min="5131" max="5131" width="7.140625" style="1402" customWidth="1"/>
    <col min="5132" max="5132" width="9.7109375" style="1402" customWidth="1"/>
    <col min="5133" max="5133" width="16.7109375" style="1402" customWidth="1"/>
    <col min="5134" max="5134" width="1.85546875" style="1402" customWidth="1"/>
    <col min="5135" max="5135" width="14.7109375" style="1402" customWidth="1"/>
    <col min="5136" max="5136" width="11.85546875" style="1402" customWidth="1"/>
    <col min="5137" max="5137" width="2.85546875" style="1402" customWidth="1"/>
    <col min="5138" max="5138" width="10.7109375" style="1402" customWidth="1"/>
    <col min="5139" max="5139" width="3.85546875" style="1402" customWidth="1"/>
    <col min="5140" max="5140" width="20.5703125" style="1402" customWidth="1"/>
    <col min="5141" max="5141" width="19" style="1402" customWidth="1"/>
    <col min="5142" max="5142" width="3.140625" style="1402" customWidth="1"/>
    <col min="5143" max="5376" width="9.140625" style="1402"/>
    <col min="5377" max="5377" width="5.42578125" style="1402" customWidth="1"/>
    <col min="5378" max="5378" width="13.7109375" style="1402" customWidth="1"/>
    <col min="5379" max="5379" width="18.85546875" style="1402" customWidth="1"/>
    <col min="5380" max="5380" width="0.140625" style="1402" customWidth="1"/>
    <col min="5381" max="5382" width="0" style="1402" hidden="1" customWidth="1"/>
    <col min="5383" max="5383" width="12.42578125" style="1402" customWidth="1"/>
    <col min="5384" max="5384" width="0.5703125" style="1402" customWidth="1"/>
    <col min="5385" max="5385" width="18.28515625" style="1402" customWidth="1"/>
    <col min="5386" max="5386" width="1" style="1402" customWidth="1"/>
    <col min="5387" max="5387" width="7.140625" style="1402" customWidth="1"/>
    <col min="5388" max="5388" width="9.7109375" style="1402" customWidth="1"/>
    <col min="5389" max="5389" width="16.7109375" style="1402" customWidth="1"/>
    <col min="5390" max="5390" width="1.85546875" style="1402" customWidth="1"/>
    <col min="5391" max="5391" width="14.7109375" style="1402" customWidth="1"/>
    <col min="5392" max="5392" width="11.85546875" style="1402" customWidth="1"/>
    <col min="5393" max="5393" width="2.85546875" style="1402" customWidth="1"/>
    <col min="5394" max="5394" width="10.7109375" style="1402" customWidth="1"/>
    <col min="5395" max="5395" width="3.85546875" style="1402" customWidth="1"/>
    <col min="5396" max="5396" width="20.5703125" style="1402" customWidth="1"/>
    <col min="5397" max="5397" width="19" style="1402" customWidth="1"/>
    <col min="5398" max="5398" width="3.140625" style="1402" customWidth="1"/>
    <col min="5399" max="5632" width="9.140625" style="1402"/>
    <col min="5633" max="5633" width="5.42578125" style="1402" customWidth="1"/>
    <col min="5634" max="5634" width="13.7109375" style="1402" customWidth="1"/>
    <col min="5635" max="5635" width="18.85546875" style="1402" customWidth="1"/>
    <col min="5636" max="5636" width="0.140625" style="1402" customWidth="1"/>
    <col min="5637" max="5638" width="0" style="1402" hidden="1" customWidth="1"/>
    <col min="5639" max="5639" width="12.42578125" style="1402" customWidth="1"/>
    <col min="5640" max="5640" width="0.5703125" style="1402" customWidth="1"/>
    <col min="5641" max="5641" width="18.28515625" style="1402" customWidth="1"/>
    <col min="5642" max="5642" width="1" style="1402" customWidth="1"/>
    <col min="5643" max="5643" width="7.140625" style="1402" customWidth="1"/>
    <col min="5644" max="5644" width="9.7109375" style="1402" customWidth="1"/>
    <col min="5645" max="5645" width="16.7109375" style="1402" customWidth="1"/>
    <col min="5646" max="5646" width="1.85546875" style="1402" customWidth="1"/>
    <col min="5647" max="5647" width="14.7109375" style="1402" customWidth="1"/>
    <col min="5648" max="5648" width="11.85546875" style="1402" customWidth="1"/>
    <col min="5649" max="5649" width="2.85546875" style="1402" customWidth="1"/>
    <col min="5650" max="5650" width="10.7109375" style="1402" customWidth="1"/>
    <col min="5651" max="5651" width="3.85546875" style="1402" customWidth="1"/>
    <col min="5652" max="5652" width="20.5703125" style="1402" customWidth="1"/>
    <col min="5653" max="5653" width="19" style="1402" customWidth="1"/>
    <col min="5654" max="5654" width="3.140625" style="1402" customWidth="1"/>
    <col min="5655" max="5888" width="9.140625" style="1402"/>
    <col min="5889" max="5889" width="5.42578125" style="1402" customWidth="1"/>
    <col min="5890" max="5890" width="13.7109375" style="1402" customWidth="1"/>
    <col min="5891" max="5891" width="18.85546875" style="1402" customWidth="1"/>
    <col min="5892" max="5892" width="0.140625" style="1402" customWidth="1"/>
    <col min="5893" max="5894" width="0" style="1402" hidden="1" customWidth="1"/>
    <col min="5895" max="5895" width="12.42578125" style="1402" customWidth="1"/>
    <col min="5896" max="5896" width="0.5703125" style="1402" customWidth="1"/>
    <col min="5897" max="5897" width="18.28515625" style="1402" customWidth="1"/>
    <col min="5898" max="5898" width="1" style="1402" customWidth="1"/>
    <col min="5899" max="5899" width="7.140625" style="1402" customWidth="1"/>
    <col min="5900" max="5900" width="9.7109375" style="1402" customWidth="1"/>
    <col min="5901" max="5901" width="16.7109375" style="1402" customWidth="1"/>
    <col min="5902" max="5902" width="1.85546875" style="1402" customWidth="1"/>
    <col min="5903" max="5903" width="14.7109375" style="1402" customWidth="1"/>
    <col min="5904" max="5904" width="11.85546875" style="1402" customWidth="1"/>
    <col min="5905" max="5905" width="2.85546875" style="1402" customWidth="1"/>
    <col min="5906" max="5906" width="10.7109375" style="1402" customWidth="1"/>
    <col min="5907" max="5907" width="3.85546875" style="1402" customWidth="1"/>
    <col min="5908" max="5908" width="20.5703125" style="1402" customWidth="1"/>
    <col min="5909" max="5909" width="19" style="1402" customWidth="1"/>
    <col min="5910" max="5910" width="3.140625" style="1402" customWidth="1"/>
    <col min="5911" max="6144" width="9.140625" style="1402"/>
    <col min="6145" max="6145" width="5.42578125" style="1402" customWidth="1"/>
    <col min="6146" max="6146" width="13.7109375" style="1402" customWidth="1"/>
    <col min="6147" max="6147" width="18.85546875" style="1402" customWidth="1"/>
    <col min="6148" max="6148" width="0.140625" style="1402" customWidth="1"/>
    <col min="6149" max="6150" width="0" style="1402" hidden="1" customWidth="1"/>
    <col min="6151" max="6151" width="12.42578125" style="1402" customWidth="1"/>
    <col min="6152" max="6152" width="0.5703125" style="1402" customWidth="1"/>
    <col min="6153" max="6153" width="18.28515625" style="1402" customWidth="1"/>
    <col min="6154" max="6154" width="1" style="1402" customWidth="1"/>
    <col min="6155" max="6155" width="7.140625" style="1402" customWidth="1"/>
    <col min="6156" max="6156" width="9.7109375" style="1402" customWidth="1"/>
    <col min="6157" max="6157" width="16.7109375" style="1402" customWidth="1"/>
    <col min="6158" max="6158" width="1.85546875" style="1402" customWidth="1"/>
    <col min="6159" max="6159" width="14.7109375" style="1402" customWidth="1"/>
    <col min="6160" max="6160" width="11.85546875" style="1402" customWidth="1"/>
    <col min="6161" max="6161" width="2.85546875" style="1402" customWidth="1"/>
    <col min="6162" max="6162" width="10.7109375" style="1402" customWidth="1"/>
    <col min="6163" max="6163" width="3.85546875" style="1402" customWidth="1"/>
    <col min="6164" max="6164" width="20.5703125" style="1402" customWidth="1"/>
    <col min="6165" max="6165" width="19" style="1402" customWidth="1"/>
    <col min="6166" max="6166" width="3.140625" style="1402" customWidth="1"/>
    <col min="6167" max="6400" width="9.140625" style="1402"/>
    <col min="6401" max="6401" width="5.42578125" style="1402" customWidth="1"/>
    <col min="6402" max="6402" width="13.7109375" style="1402" customWidth="1"/>
    <col min="6403" max="6403" width="18.85546875" style="1402" customWidth="1"/>
    <col min="6404" max="6404" width="0.140625" style="1402" customWidth="1"/>
    <col min="6405" max="6406" width="0" style="1402" hidden="1" customWidth="1"/>
    <col min="6407" max="6407" width="12.42578125" style="1402" customWidth="1"/>
    <col min="6408" max="6408" width="0.5703125" style="1402" customWidth="1"/>
    <col min="6409" max="6409" width="18.28515625" style="1402" customWidth="1"/>
    <col min="6410" max="6410" width="1" style="1402" customWidth="1"/>
    <col min="6411" max="6411" width="7.140625" style="1402" customWidth="1"/>
    <col min="6412" max="6412" width="9.7109375" style="1402" customWidth="1"/>
    <col min="6413" max="6413" width="16.7109375" style="1402" customWidth="1"/>
    <col min="6414" max="6414" width="1.85546875" style="1402" customWidth="1"/>
    <col min="6415" max="6415" width="14.7109375" style="1402" customWidth="1"/>
    <col min="6416" max="6416" width="11.85546875" style="1402" customWidth="1"/>
    <col min="6417" max="6417" width="2.85546875" style="1402" customWidth="1"/>
    <col min="6418" max="6418" width="10.7109375" style="1402" customWidth="1"/>
    <col min="6419" max="6419" width="3.85546875" style="1402" customWidth="1"/>
    <col min="6420" max="6420" width="20.5703125" style="1402" customWidth="1"/>
    <col min="6421" max="6421" width="19" style="1402" customWidth="1"/>
    <col min="6422" max="6422" width="3.140625" style="1402" customWidth="1"/>
    <col min="6423" max="6656" width="9.140625" style="1402"/>
    <col min="6657" max="6657" width="5.42578125" style="1402" customWidth="1"/>
    <col min="6658" max="6658" width="13.7109375" style="1402" customWidth="1"/>
    <col min="6659" max="6659" width="18.85546875" style="1402" customWidth="1"/>
    <col min="6660" max="6660" width="0.140625" style="1402" customWidth="1"/>
    <col min="6661" max="6662" width="0" style="1402" hidden="1" customWidth="1"/>
    <col min="6663" max="6663" width="12.42578125" style="1402" customWidth="1"/>
    <col min="6664" max="6664" width="0.5703125" style="1402" customWidth="1"/>
    <col min="6665" max="6665" width="18.28515625" style="1402" customWidth="1"/>
    <col min="6666" max="6666" width="1" style="1402" customWidth="1"/>
    <col min="6667" max="6667" width="7.140625" style="1402" customWidth="1"/>
    <col min="6668" max="6668" width="9.7109375" style="1402" customWidth="1"/>
    <col min="6669" max="6669" width="16.7109375" style="1402" customWidth="1"/>
    <col min="6670" max="6670" width="1.85546875" style="1402" customWidth="1"/>
    <col min="6671" max="6671" width="14.7109375" style="1402" customWidth="1"/>
    <col min="6672" max="6672" width="11.85546875" style="1402" customWidth="1"/>
    <col min="6673" max="6673" width="2.85546875" style="1402" customWidth="1"/>
    <col min="6674" max="6674" width="10.7109375" style="1402" customWidth="1"/>
    <col min="6675" max="6675" width="3.85546875" style="1402" customWidth="1"/>
    <col min="6676" max="6676" width="20.5703125" style="1402" customWidth="1"/>
    <col min="6677" max="6677" width="19" style="1402" customWidth="1"/>
    <col min="6678" max="6678" width="3.140625" style="1402" customWidth="1"/>
    <col min="6679" max="6912" width="9.140625" style="1402"/>
    <col min="6913" max="6913" width="5.42578125" style="1402" customWidth="1"/>
    <col min="6914" max="6914" width="13.7109375" style="1402" customWidth="1"/>
    <col min="6915" max="6915" width="18.85546875" style="1402" customWidth="1"/>
    <col min="6916" max="6916" width="0.140625" style="1402" customWidth="1"/>
    <col min="6917" max="6918" width="0" style="1402" hidden="1" customWidth="1"/>
    <col min="6919" max="6919" width="12.42578125" style="1402" customWidth="1"/>
    <col min="6920" max="6920" width="0.5703125" style="1402" customWidth="1"/>
    <col min="6921" max="6921" width="18.28515625" style="1402" customWidth="1"/>
    <col min="6922" max="6922" width="1" style="1402" customWidth="1"/>
    <col min="6923" max="6923" width="7.140625" style="1402" customWidth="1"/>
    <col min="6924" max="6924" width="9.7109375" style="1402" customWidth="1"/>
    <col min="6925" max="6925" width="16.7109375" style="1402" customWidth="1"/>
    <col min="6926" max="6926" width="1.85546875" style="1402" customWidth="1"/>
    <col min="6927" max="6927" width="14.7109375" style="1402" customWidth="1"/>
    <col min="6928" max="6928" width="11.85546875" style="1402" customWidth="1"/>
    <col min="6929" max="6929" width="2.85546875" style="1402" customWidth="1"/>
    <col min="6930" max="6930" width="10.7109375" style="1402" customWidth="1"/>
    <col min="6931" max="6931" width="3.85546875" style="1402" customWidth="1"/>
    <col min="6932" max="6932" width="20.5703125" style="1402" customWidth="1"/>
    <col min="6933" max="6933" width="19" style="1402" customWidth="1"/>
    <col min="6934" max="6934" width="3.140625" style="1402" customWidth="1"/>
    <col min="6935" max="7168" width="9.140625" style="1402"/>
    <col min="7169" max="7169" width="5.42578125" style="1402" customWidth="1"/>
    <col min="7170" max="7170" width="13.7109375" style="1402" customWidth="1"/>
    <col min="7171" max="7171" width="18.85546875" style="1402" customWidth="1"/>
    <col min="7172" max="7172" width="0.140625" style="1402" customWidth="1"/>
    <col min="7173" max="7174" width="0" style="1402" hidden="1" customWidth="1"/>
    <col min="7175" max="7175" width="12.42578125" style="1402" customWidth="1"/>
    <col min="7176" max="7176" width="0.5703125" style="1402" customWidth="1"/>
    <col min="7177" max="7177" width="18.28515625" style="1402" customWidth="1"/>
    <col min="7178" max="7178" width="1" style="1402" customWidth="1"/>
    <col min="7179" max="7179" width="7.140625" style="1402" customWidth="1"/>
    <col min="7180" max="7180" width="9.7109375" style="1402" customWidth="1"/>
    <col min="7181" max="7181" width="16.7109375" style="1402" customWidth="1"/>
    <col min="7182" max="7182" width="1.85546875" style="1402" customWidth="1"/>
    <col min="7183" max="7183" width="14.7109375" style="1402" customWidth="1"/>
    <col min="7184" max="7184" width="11.85546875" style="1402" customWidth="1"/>
    <col min="7185" max="7185" width="2.85546875" style="1402" customWidth="1"/>
    <col min="7186" max="7186" width="10.7109375" style="1402" customWidth="1"/>
    <col min="7187" max="7187" width="3.85546875" style="1402" customWidth="1"/>
    <col min="7188" max="7188" width="20.5703125" style="1402" customWidth="1"/>
    <col min="7189" max="7189" width="19" style="1402" customWidth="1"/>
    <col min="7190" max="7190" width="3.140625" style="1402" customWidth="1"/>
    <col min="7191" max="7424" width="9.140625" style="1402"/>
    <col min="7425" max="7425" width="5.42578125" style="1402" customWidth="1"/>
    <col min="7426" max="7426" width="13.7109375" style="1402" customWidth="1"/>
    <col min="7427" max="7427" width="18.85546875" style="1402" customWidth="1"/>
    <col min="7428" max="7428" width="0.140625" style="1402" customWidth="1"/>
    <col min="7429" max="7430" width="0" style="1402" hidden="1" customWidth="1"/>
    <col min="7431" max="7431" width="12.42578125" style="1402" customWidth="1"/>
    <col min="7432" max="7432" width="0.5703125" style="1402" customWidth="1"/>
    <col min="7433" max="7433" width="18.28515625" style="1402" customWidth="1"/>
    <col min="7434" max="7434" width="1" style="1402" customWidth="1"/>
    <col min="7435" max="7435" width="7.140625" style="1402" customWidth="1"/>
    <col min="7436" max="7436" width="9.7109375" style="1402" customWidth="1"/>
    <col min="7437" max="7437" width="16.7109375" style="1402" customWidth="1"/>
    <col min="7438" max="7438" width="1.85546875" style="1402" customWidth="1"/>
    <col min="7439" max="7439" width="14.7109375" style="1402" customWidth="1"/>
    <col min="7440" max="7440" width="11.85546875" style="1402" customWidth="1"/>
    <col min="7441" max="7441" width="2.85546875" style="1402" customWidth="1"/>
    <col min="7442" max="7442" width="10.7109375" style="1402" customWidth="1"/>
    <col min="7443" max="7443" width="3.85546875" style="1402" customWidth="1"/>
    <col min="7444" max="7444" width="20.5703125" style="1402" customWidth="1"/>
    <col min="7445" max="7445" width="19" style="1402" customWidth="1"/>
    <col min="7446" max="7446" width="3.140625" style="1402" customWidth="1"/>
    <col min="7447" max="7680" width="9.140625" style="1402"/>
    <col min="7681" max="7681" width="5.42578125" style="1402" customWidth="1"/>
    <col min="7682" max="7682" width="13.7109375" style="1402" customWidth="1"/>
    <col min="7683" max="7683" width="18.85546875" style="1402" customWidth="1"/>
    <col min="7684" max="7684" width="0.140625" style="1402" customWidth="1"/>
    <col min="7685" max="7686" width="0" style="1402" hidden="1" customWidth="1"/>
    <col min="7687" max="7687" width="12.42578125" style="1402" customWidth="1"/>
    <col min="7688" max="7688" width="0.5703125" style="1402" customWidth="1"/>
    <col min="7689" max="7689" width="18.28515625" style="1402" customWidth="1"/>
    <col min="7690" max="7690" width="1" style="1402" customWidth="1"/>
    <col min="7691" max="7691" width="7.140625" style="1402" customWidth="1"/>
    <col min="7692" max="7692" width="9.7109375" style="1402" customWidth="1"/>
    <col min="7693" max="7693" width="16.7109375" style="1402" customWidth="1"/>
    <col min="7694" max="7694" width="1.85546875" style="1402" customWidth="1"/>
    <col min="7695" max="7695" width="14.7109375" style="1402" customWidth="1"/>
    <col min="7696" max="7696" width="11.85546875" style="1402" customWidth="1"/>
    <col min="7697" max="7697" width="2.85546875" style="1402" customWidth="1"/>
    <col min="7698" max="7698" width="10.7109375" style="1402" customWidth="1"/>
    <col min="7699" max="7699" width="3.85546875" style="1402" customWidth="1"/>
    <col min="7700" max="7700" width="20.5703125" style="1402" customWidth="1"/>
    <col min="7701" max="7701" width="19" style="1402" customWidth="1"/>
    <col min="7702" max="7702" width="3.140625" style="1402" customWidth="1"/>
    <col min="7703" max="7936" width="9.140625" style="1402"/>
    <col min="7937" max="7937" width="5.42578125" style="1402" customWidth="1"/>
    <col min="7938" max="7938" width="13.7109375" style="1402" customWidth="1"/>
    <col min="7939" max="7939" width="18.85546875" style="1402" customWidth="1"/>
    <col min="7940" max="7940" width="0.140625" style="1402" customWidth="1"/>
    <col min="7941" max="7942" width="0" style="1402" hidden="1" customWidth="1"/>
    <col min="7943" max="7943" width="12.42578125" style="1402" customWidth="1"/>
    <col min="7944" max="7944" width="0.5703125" style="1402" customWidth="1"/>
    <col min="7945" max="7945" width="18.28515625" style="1402" customWidth="1"/>
    <col min="7946" max="7946" width="1" style="1402" customWidth="1"/>
    <col min="7947" max="7947" width="7.140625" style="1402" customWidth="1"/>
    <col min="7948" max="7948" width="9.7109375" style="1402" customWidth="1"/>
    <col min="7949" max="7949" width="16.7109375" style="1402" customWidth="1"/>
    <col min="7950" max="7950" width="1.85546875" style="1402" customWidth="1"/>
    <col min="7951" max="7951" width="14.7109375" style="1402" customWidth="1"/>
    <col min="7952" max="7952" width="11.85546875" style="1402" customWidth="1"/>
    <col min="7953" max="7953" width="2.85546875" style="1402" customWidth="1"/>
    <col min="7954" max="7954" width="10.7109375" style="1402" customWidth="1"/>
    <col min="7955" max="7955" width="3.85546875" style="1402" customWidth="1"/>
    <col min="7956" max="7956" width="20.5703125" style="1402" customWidth="1"/>
    <col min="7957" max="7957" width="19" style="1402" customWidth="1"/>
    <col min="7958" max="7958" width="3.140625" style="1402" customWidth="1"/>
    <col min="7959" max="8192" width="9.140625" style="1402"/>
    <col min="8193" max="8193" width="5.42578125" style="1402" customWidth="1"/>
    <col min="8194" max="8194" width="13.7109375" style="1402" customWidth="1"/>
    <col min="8195" max="8195" width="18.85546875" style="1402" customWidth="1"/>
    <col min="8196" max="8196" width="0.140625" style="1402" customWidth="1"/>
    <col min="8197" max="8198" width="0" style="1402" hidden="1" customWidth="1"/>
    <col min="8199" max="8199" width="12.42578125" style="1402" customWidth="1"/>
    <col min="8200" max="8200" width="0.5703125" style="1402" customWidth="1"/>
    <col min="8201" max="8201" width="18.28515625" style="1402" customWidth="1"/>
    <col min="8202" max="8202" width="1" style="1402" customWidth="1"/>
    <col min="8203" max="8203" width="7.140625" style="1402" customWidth="1"/>
    <col min="8204" max="8204" width="9.7109375" style="1402" customWidth="1"/>
    <col min="8205" max="8205" width="16.7109375" style="1402" customWidth="1"/>
    <col min="8206" max="8206" width="1.85546875" style="1402" customWidth="1"/>
    <col min="8207" max="8207" width="14.7109375" style="1402" customWidth="1"/>
    <col min="8208" max="8208" width="11.85546875" style="1402" customWidth="1"/>
    <col min="8209" max="8209" width="2.85546875" style="1402" customWidth="1"/>
    <col min="8210" max="8210" width="10.7109375" style="1402" customWidth="1"/>
    <col min="8211" max="8211" width="3.85546875" style="1402" customWidth="1"/>
    <col min="8212" max="8212" width="20.5703125" style="1402" customWidth="1"/>
    <col min="8213" max="8213" width="19" style="1402" customWidth="1"/>
    <col min="8214" max="8214" width="3.140625" style="1402" customWidth="1"/>
    <col min="8215" max="8448" width="9.140625" style="1402"/>
    <col min="8449" max="8449" width="5.42578125" style="1402" customWidth="1"/>
    <col min="8450" max="8450" width="13.7109375" style="1402" customWidth="1"/>
    <col min="8451" max="8451" width="18.85546875" style="1402" customWidth="1"/>
    <col min="8452" max="8452" width="0.140625" style="1402" customWidth="1"/>
    <col min="8453" max="8454" width="0" style="1402" hidden="1" customWidth="1"/>
    <col min="8455" max="8455" width="12.42578125" style="1402" customWidth="1"/>
    <col min="8456" max="8456" width="0.5703125" style="1402" customWidth="1"/>
    <col min="8457" max="8457" width="18.28515625" style="1402" customWidth="1"/>
    <col min="8458" max="8458" width="1" style="1402" customWidth="1"/>
    <col min="8459" max="8459" width="7.140625" style="1402" customWidth="1"/>
    <col min="8460" max="8460" width="9.7109375" style="1402" customWidth="1"/>
    <col min="8461" max="8461" width="16.7109375" style="1402" customWidth="1"/>
    <col min="8462" max="8462" width="1.85546875" style="1402" customWidth="1"/>
    <col min="8463" max="8463" width="14.7109375" style="1402" customWidth="1"/>
    <col min="8464" max="8464" width="11.85546875" style="1402" customWidth="1"/>
    <col min="8465" max="8465" width="2.85546875" style="1402" customWidth="1"/>
    <col min="8466" max="8466" width="10.7109375" style="1402" customWidth="1"/>
    <col min="8467" max="8467" width="3.85546875" style="1402" customWidth="1"/>
    <col min="8468" max="8468" width="20.5703125" style="1402" customWidth="1"/>
    <col min="8469" max="8469" width="19" style="1402" customWidth="1"/>
    <col min="8470" max="8470" width="3.140625" style="1402" customWidth="1"/>
    <col min="8471" max="8704" width="9.140625" style="1402"/>
    <col min="8705" max="8705" width="5.42578125" style="1402" customWidth="1"/>
    <col min="8706" max="8706" width="13.7109375" style="1402" customWidth="1"/>
    <col min="8707" max="8707" width="18.85546875" style="1402" customWidth="1"/>
    <col min="8708" max="8708" width="0.140625" style="1402" customWidth="1"/>
    <col min="8709" max="8710" width="0" style="1402" hidden="1" customWidth="1"/>
    <col min="8711" max="8711" width="12.42578125" style="1402" customWidth="1"/>
    <col min="8712" max="8712" width="0.5703125" style="1402" customWidth="1"/>
    <col min="8713" max="8713" width="18.28515625" style="1402" customWidth="1"/>
    <col min="8714" max="8714" width="1" style="1402" customWidth="1"/>
    <col min="8715" max="8715" width="7.140625" style="1402" customWidth="1"/>
    <col min="8716" max="8716" width="9.7109375" style="1402" customWidth="1"/>
    <col min="8717" max="8717" width="16.7109375" style="1402" customWidth="1"/>
    <col min="8718" max="8718" width="1.85546875" style="1402" customWidth="1"/>
    <col min="8719" max="8719" width="14.7109375" style="1402" customWidth="1"/>
    <col min="8720" max="8720" width="11.85546875" style="1402" customWidth="1"/>
    <col min="8721" max="8721" width="2.85546875" style="1402" customWidth="1"/>
    <col min="8722" max="8722" width="10.7109375" style="1402" customWidth="1"/>
    <col min="8723" max="8723" width="3.85546875" style="1402" customWidth="1"/>
    <col min="8724" max="8724" width="20.5703125" style="1402" customWidth="1"/>
    <col min="8725" max="8725" width="19" style="1402" customWidth="1"/>
    <col min="8726" max="8726" width="3.140625" style="1402" customWidth="1"/>
    <col min="8727" max="8960" width="9.140625" style="1402"/>
    <col min="8961" max="8961" width="5.42578125" style="1402" customWidth="1"/>
    <col min="8962" max="8962" width="13.7109375" style="1402" customWidth="1"/>
    <col min="8963" max="8963" width="18.85546875" style="1402" customWidth="1"/>
    <col min="8964" max="8964" width="0.140625" style="1402" customWidth="1"/>
    <col min="8965" max="8966" width="0" style="1402" hidden="1" customWidth="1"/>
    <col min="8967" max="8967" width="12.42578125" style="1402" customWidth="1"/>
    <col min="8968" max="8968" width="0.5703125" style="1402" customWidth="1"/>
    <col min="8969" max="8969" width="18.28515625" style="1402" customWidth="1"/>
    <col min="8970" max="8970" width="1" style="1402" customWidth="1"/>
    <col min="8971" max="8971" width="7.140625" style="1402" customWidth="1"/>
    <col min="8972" max="8972" width="9.7109375" style="1402" customWidth="1"/>
    <col min="8973" max="8973" width="16.7109375" style="1402" customWidth="1"/>
    <col min="8974" max="8974" width="1.85546875" style="1402" customWidth="1"/>
    <col min="8975" max="8975" width="14.7109375" style="1402" customWidth="1"/>
    <col min="8976" max="8976" width="11.85546875" style="1402" customWidth="1"/>
    <col min="8977" max="8977" width="2.85546875" style="1402" customWidth="1"/>
    <col min="8978" max="8978" width="10.7109375" style="1402" customWidth="1"/>
    <col min="8979" max="8979" width="3.85546875" style="1402" customWidth="1"/>
    <col min="8980" max="8980" width="20.5703125" style="1402" customWidth="1"/>
    <col min="8981" max="8981" width="19" style="1402" customWidth="1"/>
    <col min="8982" max="8982" width="3.140625" style="1402" customWidth="1"/>
    <col min="8983" max="9216" width="9.140625" style="1402"/>
    <col min="9217" max="9217" width="5.42578125" style="1402" customWidth="1"/>
    <col min="9218" max="9218" width="13.7109375" style="1402" customWidth="1"/>
    <col min="9219" max="9219" width="18.85546875" style="1402" customWidth="1"/>
    <col min="9220" max="9220" width="0.140625" style="1402" customWidth="1"/>
    <col min="9221" max="9222" width="0" style="1402" hidden="1" customWidth="1"/>
    <col min="9223" max="9223" width="12.42578125" style="1402" customWidth="1"/>
    <col min="9224" max="9224" width="0.5703125" style="1402" customWidth="1"/>
    <col min="9225" max="9225" width="18.28515625" style="1402" customWidth="1"/>
    <col min="9226" max="9226" width="1" style="1402" customWidth="1"/>
    <col min="9227" max="9227" width="7.140625" style="1402" customWidth="1"/>
    <col min="9228" max="9228" width="9.7109375" style="1402" customWidth="1"/>
    <col min="9229" max="9229" width="16.7109375" style="1402" customWidth="1"/>
    <col min="9230" max="9230" width="1.85546875" style="1402" customWidth="1"/>
    <col min="9231" max="9231" width="14.7109375" style="1402" customWidth="1"/>
    <col min="9232" max="9232" width="11.85546875" style="1402" customWidth="1"/>
    <col min="9233" max="9233" width="2.85546875" style="1402" customWidth="1"/>
    <col min="9234" max="9234" width="10.7109375" style="1402" customWidth="1"/>
    <col min="9235" max="9235" width="3.85546875" style="1402" customWidth="1"/>
    <col min="9236" max="9236" width="20.5703125" style="1402" customWidth="1"/>
    <col min="9237" max="9237" width="19" style="1402" customWidth="1"/>
    <col min="9238" max="9238" width="3.140625" style="1402" customWidth="1"/>
    <col min="9239" max="9472" width="9.140625" style="1402"/>
    <col min="9473" max="9473" width="5.42578125" style="1402" customWidth="1"/>
    <col min="9474" max="9474" width="13.7109375" style="1402" customWidth="1"/>
    <col min="9475" max="9475" width="18.85546875" style="1402" customWidth="1"/>
    <col min="9476" max="9476" width="0.140625" style="1402" customWidth="1"/>
    <col min="9477" max="9478" width="0" style="1402" hidden="1" customWidth="1"/>
    <col min="9479" max="9479" width="12.42578125" style="1402" customWidth="1"/>
    <col min="9480" max="9480" width="0.5703125" style="1402" customWidth="1"/>
    <col min="9481" max="9481" width="18.28515625" style="1402" customWidth="1"/>
    <col min="9482" max="9482" width="1" style="1402" customWidth="1"/>
    <col min="9483" max="9483" width="7.140625" style="1402" customWidth="1"/>
    <col min="9484" max="9484" width="9.7109375" style="1402" customWidth="1"/>
    <col min="9485" max="9485" width="16.7109375" style="1402" customWidth="1"/>
    <col min="9486" max="9486" width="1.85546875" style="1402" customWidth="1"/>
    <col min="9487" max="9487" width="14.7109375" style="1402" customWidth="1"/>
    <col min="9488" max="9488" width="11.85546875" style="1402" customWidth="1"/>
    <col min="9489" max="9489" width="2.85546875" style="1402" customWidth="1"/>
    <col min="9490" max="9490" width="10.7109375" style="1402" customWidth="1"/>
    <col min="9491" max="9491" width="3.85546875" style="1402" customWidth="1"/>
    <col min="9492" max="9492" width="20.5703125" style="1402" customWidth="1"/>
    <col min="9493" max="9493" width="19" style="1402" customWidth="1"/>
    <col min="9494" max="9494" width="3.140625" style="1402" customWidth="1"/>
    <col min="9495" max="9728" width="9.140625" style="1402"/>
    <col min="9729" max="9729" width="5.42578125" style="1402" customWidth="1"/>
    <col min="9730" max="9730" width="13.7109375" style="1402" customWidth="1"/>
    <col min="9731" max="9731" width="18.85546875" style="1402" customWidth="1"/>
    <col min="9732" max="9732" width="0.140625" style="1402" customWidth="1"/>
    <col min="9733" max="9734" width="0" style="1402" hidden="1" customWidth="1"/>
    <col min="9735" max="9735" width="12.42578125" style="1402" customWidth="1"/>
    <col min="9736" max="9736" width="0.5703125" style="1402" customWidth="1"/>
    <col min="9737" max="9737" width="18.28515625" style="1402" customWidth="1"/>
    <col min="9738" max="9738" width="1" style="1402" customWidth="1"/>
    <col min="9739" max="9739" width="7.140625" style="1402" customWidth="1"/>
    <col min="9740" max="9740" width="9.7109375" style="1402" customWidth="1"/>
    <col min="9741" max="9741" width="16.7109375" style="1402" customWidth="1"/>
    <col min="9742" max="9742" width="1.85546875" style="1402" customWidth="1"/>
    <col min="9743" max="9743" width="14.7109375" style="1402" customWidth="1"/>
    <col min="9744" max="9744" width="11.85546875" style="1402" customWidth="1"/>
    <col min="9745" max="9745" width="2.85546875" style="1402" customWidth="1"/>
    <col min="9746" max="9746" width="10.7109375" style="1402" customWidth="1"/>
    <col min="9747" max="9747" width="3.85546875" style="1402" customWidth="1"/>
    <col min="9748" max="9748" width="20.5703125" style="1402" customWidth="1"/>
    <col min="9749" max="9749" width="19" style="1402" customWidth="1"/>
    <col min="9750" max="9750" width="3.140625" style="1402" customWidth="1"/>
    <col min="9751" max="9984" width="9.140625" style="1402"/>
    <col min="9985" max="9985" width="5.42578125" style="1402" customWidth="1"/>
    <col min="9986" max="9986" width="13.7109375" style="1402" customWidth="1"/>
    <col min="9987" max="9987" width="18.85546875" style="1402" customWidth="1"/>
    <col min="9988" max="9988" width="0.140625" style="1402" customWidth="1"/>
    <col min="9989" max="9990" width="0" style="1402" hidden="1" customWidth="1"/>
    <col min="9991" max="9991" width="12.42578125" style="1402" customWidth="1"/>
    <col min="9992" max="9992" width="0.5703125" style="1402" customWidth="1"/>
    <col min="9993" max="9993" width="18.28515625" style="1402" customWidth="1"/>
    <col min="9994" max="9994" width="1" style="1402" customWidth="1"/>
    <col min="9995" max="9995" width="7.140625" style="1402" customWidth="1"/>
    <col min="9996" max="9996" width="9.7109375" style="1402" customWidth="1"/>
    <col min="9997" max="9997" width="16.7109375" style="1402" customWidth="1"/>
    <col min="9998" max="9998" width="1.85546875" style="1402" customWidth="1"/>
    <col min="9999" max="9999" width="14.7109375" style="1402" customWidth="1"/>
    <col min="10000" max="10000" width="11.85546875" style="1402" customWidth="1"/>
    <col min="10001" max="10001" width="2.85546875" style="1402" customWidth="1"/>
    <col min="10002" max="10002" width="10.7109375" style="1402" customWidth="1"/>
    <col min="10003" max="10003" width="3.85546875" style="1402" customWidth="1"/>
    <col min="10004" max="10004" width="20.5703125" style="1402" customWidth="1"/>
    <col min="10005" max="10005" width="19" style="1402" customWidth="1"/>
    <col min="10006" max="10006" width="3.140625" style="1402" customWidth="1"/>
    <col min="10007" max="10240" width="9.140625" style="1402"/>
    <col min="10241" max="10241" width="5.42578125" style="1402" customWidth="1"/>
    <col min="10242" max="10242" width="13.7109375" style="1402" customWidth="1"/>
    <col min="10243" max="10243" width="18.85546875" style="1402" customWidth="1"/>
    <col min="10244" max="10244" width="0.140625" style="1402" customWidth="1"/>
    <col min="10245" max="10246" width="0" style="1402" hidden="1" customWidth="1"/>
    <col min="10247" max="10247" width="12.42578125" style="1402" customWidth="1"/>
    <col min="10248" max="10248" width="0.5703125" style="1402" customWidth="1"/>
    <col min="10249" max="10249" width="18.28515625" style="1402" customWidth="1"/>
    <col min="10250" max="10250" width="1" style="1402" customWidth="1"/>
    <col min="10251" max="10251" width="7.140625" style="1402" customWidth="1"/>
    <col min="10252" max="10252" width="9.7109375" style="1402" customWidth="1"/>
    <col min="10253" max="10253" width="16.7109375" style="1402" customWidth="1"/>
    <col min="10254" max="10254" width="1.85546875" style="1402" customWidth="1"/>
    <col min="10255" max="10255" width="14.7109375" style="1402" customWidth="1"/>
    <col min="10256" max="10256" width="11.85546875" style="1402" customWidth="1"/>
    <col min="10257" max="10257" width="2.85546875" style="1402" customWidth="1"/>
    <col min="10258" max="10258" width="10.7109375" style="1402" customWidth="1"/>
    <col min="10259" max="10259" width="3.85546875" style="1402" customWidth="1"/>
    <col min="10260" max="10260" width="20.5703125" style="1402" customWidth="1"/>
    <col min="10261" max="10261" width="19" style="1402" customWidth="1"/>
    <col min="10262" max="10262" width="3.140625" style="1402" customWidth="1"/>
    <col min="10263" max="10496" width="9.140625" style="1402"/>
    <col min="10497" max="10497" width="5.42578125" style="1402" customWidth="1"/>
    <col min="10498" max="10498" width="13.7109375" style="1402" customWidth="1"/>
    <col min="10499" max="10499" width="18.85546875" style="1402" customWidth="1"/>
    <col min="10500" max="10500" width="0.140625" style="1402" customWidth="1"/>
    <col min="10501" max="10502" width="0" style="1402" hidden="1" customWidth="1"/>
    <col min="10503" max="10503" width="12.42578125" style="1402" customWidth="1"/>
    <col min="10504" max="10504" width="0.5703125" style="1402" customWidth="1"/>
    <col min="10505" max="10505" width="18.28515625" style="1402" customWidth="1"/>
    <col min="10506" max="10506" width="1" style="1402" customWidth="1"/>
    <col min="10507" max="10507" width="7.140625" style="1402" customWidth="1"/>
    <col min="10508" max="10508" width="9.7109375" style="1402" customWidth="1"/>
    <col min="10509" max="10509" width="16.7109375" style="1402" customWidth="1"/>
    <col min="10510" max="10510" width="1.85546875" style="1402" customWidth="1"/>
    <col min="10511" max="10511" width="14.7109375" style="1402" customWidth="1"/>
    <col min="10512" max="10512" width="11.85546875" style="1402" customWidth="1"/>
    <col min="10513" max="10513" width="2.85546875" style="1402" customWidth="1"/>
    <col min="10514" max="10514" width="10.7109375" style="1402" customWidth="1"/>
    <col min="10515" max="10515" width="3.85546875" style="1402" customWidth="1"/>
    <col min="10516" max="10516" width="20.5703125" style="1402" customWidth="1"/>
    <col min="10517" max="10517" width="19" style="1402" customWidth="1"/>
    <col min="10518" max="10518" width="3.140625" style="1402" customWidth="1"/>
    <col min="10519" max="10752" width="9.140625" style="1402"/>
    <col min="10753" max="10753" width="5.42578125" style="1402" customWidth="1"/>
    <col min="10754" max="10754" width="13.7109375" style="1402" customWidth="1"/>
    <col min="10755" max="10755" width="18.85546875" style="1402" customWidth="1"/>
    <col min="10756" max="10756" width="0.140625" style="1402" customWidth="1"/>
    <col min="10757" max="10758" width="0" style="1402" hidden="1" customWidth="1"/>
    <col min="10759" max="10759" width="12.42578125" style="1402" customWidth="1"/>
    <col min="10760" max="10760" width="0.5703125" style="1402" customWidth="1"/>
    <col min="10761" max="10761" width="18.28515625" style="1402" customWidth="1"/>
    <col min="10762" max="10762" width="1" style="1402" customWidth="1"/>
    <col min="10763" max="10763" width="7.140625" style="1402" customWidth="1"/>
    <col min="10764" max="10764" width="9.7109375" style="1402" customWidth="1"/>
    <col min="10765" max="10765" width="16.7109375" style="1402" customWidth="1"/>
    <col min="10766" max="10766" width="1.85546875" style="1402" customWidth="1"/>
    <col min="10767" max="10767" width="14.7109375" style="1402" customWidth="1"/>
    <col min="10768" max="10768" width="11.85546875" style="1402" customWidth="1"/>
    <col min="10769" max="10769" width="2.85546875" style="1402" customWidth="1"/>
    <col min="10770" max="10770" width="10.7109375" style="1402" customWidth="1"/>
    <col min="10771" max="10771" width="3.85546875" style="1402" customWidth="1"/>
    <col min="10772" max="10772" width="20.5703125" style="1402" customWidth="1"/>
    <col min="10773" max="10773" width="19" style="1402" customWidth="1"/>
    <col min="10774" max="10774" width="3.140625" style="1402" customWidth="1"/>
    <col min="10775" max="11008" width="9.140625" style="1402"/>
    <col min="11009" max="11009" width="5.42578125" style="1402" customWidth="1"/>
    <col min="11010" max="11010" width="13.7109375" style="1402" customWidth="1"/>
    <col min="11011" max="11011" width="18.85546875" style="1402" customWidth="1"/>
    <col min="11012" max="11012" width="0.140625" style="1402" customWidth="1"/>
    <col min="11013" max="11014" width="0" style="1402" hidden="1" customWidth="1"/>
    <col min="11015" max="11015" width="12.42578125" style="1402" customWidth="1"/>
    <col min="11016" max="11016" width="0.5703125" style="1402" customWidth="1"/>
    <col min="11017" max="11017" width="18.28515625" style="1402" customWidth="1"/>
    <col min="11018" max="11018" width="1" style="1402" customWidth="1"/>
    <col min="11019" max="11019" width="7.140625" style="1402" customWidth="1"/>
    <col min="11020" max="11020" width="9.7109375" style="1402" customWidth="1"/>
    <col min="11021" max="11021" width="16.7109375" style="1402" customWidth="1"/>
    <col min="11022" max="11022" width="1.85546875" style="1402" customWidth="1"/>
    <col min="11023" max="11023" width="14.7109375" style="1402" customWidth="1"/>
    <col min="11024" max="11024" width="11.85546875" style="1402" customWidth="1"/>
    <col min="11025" max="11025" width="2.85546875" style="1402" customWidth="1"/>
    <col min="11026" max="11026" width="10.7109375" style="1402" customWidth="1"/>
    <col min="11027" max="11027" width="3.85546875" style="1402" customWidth="1"/>
    <col min="11028" max="11028" width="20.5703125" style="1402" customWidth="1"/>
    <col min="11029" max="11029" width="19" style="1402" customWidth="1"/>
    <col min="11030" max="11030" width="3.140625" style="1402" customWidth="1"/>
    <col min="11031" max="11264" width="9.140625" style="1402"/>
    <col min="11265" max="11265" width="5.42578125" style="1402" customWidth="1"/>
    <col min="11266" max="11266" width="13.7109375" style="1402" customWidth="1"/>
    <col min="11267" max="11267" width="18.85546875" style="1402" customWidth="1"/>
    <col min="11268" max="11268" width="0.140625" style="1402" customWidth="1"/>
    <col min="11269" max="11270" width="0" style="1402" hidden="1" customWidth="1"/>
    <col min="11271" max="11271" width="12.42578125" style="1402" customWidth="1"/>
    <col min="11272" max="11272" width="0.5703125" style="1402" customWidth="1"/>
    <col min="11273" max="11273" width="18.28515625" style="1402" customWidth="1"/>
    <col min="11274" max="11274" width="1" style="1402" customWidth="1"/>
    <col min="11275" max="11275" width="7.140625" style="1402" customWidth="1"/>
    <col min="11276" max="11276" width="9.7109375" style="1402" customWidth="1"/>
    <col min="11277" max="11277" width="16.7109375" style="1402" customWidth="1"/>
    <col min="11278" max="11278" width="1.85546875" style="1402" customWidth="1"/>
    <col min="11279" max="11279" width="14.7109375" style="1402" customWidth="1"/>
    <col min="11280" max="11280" width="11.85546875" style="1402" customWidth="1"/>
    <col min="11281" max="11281" width="2.85546875" style="1402" customWidth="1"/>
    <col min="11282" max="11282" width="10.7109375" style="1402" customWidth="1"/>
    <col min="11283" max="11283" width="3.85546875" style="1402" customWidth="1"/>
    <col min="11284" max="11284" width="20.5703125" style="1402" customWidth="1"/>
    <col min="11285" max="11285" width="19" style="1402" customWidth="1"/>
    <col min="11286" max="11286" width="3.140625" style="1402" customWidth="1"/>
    <col min="11287" max="11520" width="9.140625" style="1402"/>
    <col min="11521" max="11521" width="5.42578125" style="1402" customWidth="1"/>
    <col min="11522" max="11522" width="13.7109375" style="1402" customWidth="1"/>
    <col min="11523" max="11523" width="18.85546875" style="1402" customWidth="1"/>
    <col min="11524" max="11524" width="0.140625" style="1402" customWidth="1"/>
    <col min="11525" max="11526" width="0" style="1402" hidden="1" customWidth="1"/>
    <col min="11527" max="11527" width="12.42578125" style="1402" customWidth="1"/>
    <col min="11528" max="11528" width="0.5703125" style="1402" customWidth="1"/>
    <col min="11529" max="11529" width="18.28515625" style="1402" customWidth="1"/>
    <col min="11530" max="11530" width="1" style="1402" customWidth="1"/>
    <col min="11531" max="11531" width="7.140625" style="1402" customWidth="1"/>
    <col min="11532" max="11532" width="9.7109375" style="1402" customWidth="1"/>
    <col min="11533" max="11533" width="16.7109375" style="1402" customWidth="1"/>
    <col min="11534" max="11534" width="1.85546875" style="1402" customWidth="1"/>
    <col min="11535" max="11535" width="14.7109375" style="1402" customWidth="1"/>
    <col min="11536" max="11536" width="11.85546875" style="1402" customWidth="1"/>
    <col min="11537" max="11537" width="2.85546875" style="1402" customWidth="1"/>
    <col min="11538" max="11538" width="10.7109375" style="1402" customWidth="1"/>
    <col min="11539" max="11539" width="3.85546875" style="1402" customWidth="1"/>
    <col min="11540" max="11540" width="20.5703125" style="1402" customWidth="1"/>
    <col min="11541" max="11541" width="19" style="1402" customWidth="1"/>
    <col min="11542" max="11542" width="3.140625" style="1402" customWidth="1"/>
    <col min="11543" max="11776" width="9.140625" style="1402"/>
    <col min="11777" max="11777" width="5.42578125" style="1402" customWidth="1"/>
    <col min="11778" max="11778" width="13.7109375" style="1402" customWidth="1"/>
    <col min="11779" max="11779" width="18.85546875" style="1402" customWidth="1"/>
    <col min="11780" max="11780" width="0.140625" style="1402" customWidth="1"/>
    <col min="11781" max="11782" width="0" style="1402" hidden="1" customWidth="1"/>
    <col min="11783" max="11783" width="12.42578125" style="1402" customWidth="1"/>
    <col min="11784" max="11784" width="0.5703125" style="1402" customWidth="1"/>
    <col min="11785" max="11785" width="18.28515625" style="1402" customWidth="1"/>
    <col min="11786" max="11786" width="1" style="1402" customWidth="1"/>
    <col min="11787" max="11787" width="7.140625" style="1402" customWidth="1"/>
    <col min="11788" max="11788" width="9.7109375" style="1402" customWidth="1"/>
    <col min="11789" max="11789" width="16.7109375" style="1402" customWidth="1"/>
    <col min="11790" max="11790" width="1.85546875" style="1402" customWidth="1"/>
    <col min="11791" max="11791" width="14.7109375" style="1402" customWidth="1"/>
    <col min="11792" max="11792" width="11.85546875" style="1402" customWidth="1"/>
    <col min="11793" max="11793" width="2.85546875" style="1402" customWidth="1"/>
    <col min="11794" max="11794" width="10.7109375" style="1402" customWidth="1"/>
    <col min="11795" max="11795" width="3.85546875" style="1402" customWidth="1"/>
    <col min="11796" max="11796" width="20.5703125" style="1402" customWidth="1"/>
    <col min="11797" max="11797" width="19" style="1402" customWidth="1"/>
    <col min="11798" max="11798" width="3.140625" style="1402" customWidth="1"/>
    <col min="11799" max="12032" width="9.140625" style="1402"/>
    <col min="12033" max="12033" width="5.42578125" style="1402" customWidth="1"/>
    <col min="12034" max="12034" width="13.7109375" style="1402" customWidth="1"/>
    <col min="12035" max="12035" width="18.85546875" style="1402" customWidth="1"/>
    <col min="12036" max="12036" width="0.140625" style="1402" customWidth="1"/>
    <col min="12037" max="12038" width="0" style="1402" hidden="1" customWidth="1"/>
    <col min="12039" max="12039" width="12.42578125" style="1402" customWidth="1"/>
    <col min="12040" max="12040" width="0.5703125" style="1402" customWidth="1"/>
    <col min="12041" max="12041" width="18.28515625" style="1402" customWidth="1"/>
    <col min="12042" max="12042" width="1" style="1402" customWidth="1"/>
    <col min="12043" max="12043" width="7.140625" style="1402" customWidth="1"/>
    <col min="12044" max="12044" width="9.7109375" style="1402" customWidth="1"/>
    <col min="12045" max="12045" width="16.7109375" style="1402" customWidth="1"/>
    <col min="12046" max="12046" width="1.85546875" style="1402" customWidth="1"/>
    <col min="12047" max="12047" width="14.7109375" style="1402" customWidth="1"/>
    <col min="12048" max="12048" width="11.85546875" style="1402" customWidth="1"/>
    <col min="12049" max="12049" width="2.85546875" style="1402" customWidth="1"/>
    <col min="12050" max="12050" width="10.7109375" style="1402" customWidth="1"/>
    <col min="12051" max="12051" width="3.85546875" style="1402" customWidth="1"/>
    <col min="12052" max="12052" width="20.5703125" style="1402" customWidth="1"/>
    <col min="12053" max="12053" width="19" style="1402" customWidth="1"/>
    <col min="12054" max="12054" width="3.140625" style="1402" customWidth="1"/>
    <col min="12055" max="12288" width="9.140625" style="1402"/>
    <col min="12289" max="12289" width="5.42578125" style="1402" customWidth="1"/>
    <col min="12290" max="12290" width="13.7109375" style="1402" customWidth="1"/>
    <col min="12291" max="12291" width="18.85546875" style="1402" customWidth="1"/>
    <col min="12292" max="12292" width="0.140625" style="1402" customWidth="1"/>
    <col min="12293" max="12294" width="0" style="1402" hidden="1" customWidth="1"/>
    <col min="12295" max="12295" width="12.42578125" style="1402" customWidth="1"/>
    <col min="12296" max="12296" width="0.5703125" style="1402" customWidth="1"/>
    <col min="12297" max="12297" width="18.28515625" style="1402" customWidth="1"/>
    <col min="12298" max="12298" width="1" style="1402" customWidth="1"/>
    <col min="12299" max="12299" width="7.140625" style="1402" customWidth="1"/>
    <col min="12300" max="12300" width="9.7109375" style="1402" customWidth="1"/>
    <col min="12301" max="12301" width="16.7109375" style="1402" customWidth="1"/>
    <col min="12302" max="12302" width="1.85546875" style="1402" customWidth="1"/>
    <col min="12303" max="12303" width="14.7109375" style="1402" customWidth="1"/>
    <col min="12304" max="12304" width="11.85546875" style="1402" customWidth="1"/>
    <col min="12305" max="12305" width="2.85546875" style="1402" customWidth="1"/>
    <col min="12306" max="12306" width="10.7109375" style="1402" customWidth="1"/>
    <col min="12307" max="12307" width="3.85546875" style="1402" customWidth="1"/>
    <col min="12308" max="12308" width="20.5703125" style="1402" customWidth="1"/>
    <col min="12309" max="12309" width="19" style="1402" customWidth="1"/>
    <col min="12310" max="12310" width="3.140625" style="1402" customWidth="1"/>
    <col min="12311" max="12544" width="9.140625" style="1402"/>
    <col min="12545" max="12545" width="5.42578125" style="1402" customWidth="1"/>
    <col min="12546" max="12546" width="13.7109375" style="1402" customWidth="1"/>
    <col min="12547" max="12547" width="18.85546875" style="1402" customWidth="1"/>
    <col min="12548" max="12548" width="0.140625" style="1402" customWidth="1"/>
    <col min="12549" max="12550" width="0" style="1402" hidden="1" customWidth="1"/>
    <col min="12551" max="12551" width="12.42578125" style="1402" customWidth="1"/>
    <col min="12552" max="12552" width="0.5703125" style="1402" customWidth="1"/>
    <col min="12553" max="12553" width="18.28515625" style="1402" customWidth="1"/>
    <col min="12554" max="12554" width="1" style="1402" customWidth="1"/>
    <col min="12555" max="12555" width="7.140625" style="1402" customWidth="1"/>
    <col min="12556" max="12556" width="9.7109375" style="1402" customWidth="1"/>
    <col min="12557" max="12557" width="16.7109375" style="1402" customWidth="1"/>
    <col min="12558" max="12558" width="1.85546875" style="1402" customWidth="1"/>
    <col min="12559" max="12559" width="14.7109375" style="1402" customWidth="1"/>
    <col min="12560" max="12560" width="11.85546875" style="1402" customWidth="1"/>
    <col min="12561" max="12561" width="2.85546875" style="1402" customWidth="1"/>
    <col min="12562" max="12562" width="10.7109375" style="1402" customWidth="1"/>
    <col min="12563" max="12563" width="3.85546875" style="1402" customWidth="1"/>
    <col min="12564" max="12564" width="20.5703125" style="1402" customWidth="1"/>
    <col min="12565" max="12565" width="19" style="1402" customWidth="1"/>
    <col min="12566" max="12566" width="3.140625" style="1402" customWidth="1"/>
    <col min="12567" max="12800" width="9.140625" style="1402"/>
    <col min="12801" max="12801" width="5.42578125" style="1402" customWidth="1"/>
    <col min="12802" max="12802" width="13.7109375" style="1402" customWidth="1"/>
    <col min="12803" max="12803" width="18.85546875" style="1402" customWidth="1"/>
    <col min="12804" max="12804" width="0.140625" style="1402" customWidth="1"/>
    <col min="12805" max="12806" width="0" style="1402" hidden="1" customWidth="1"/>
    <col min="12807" max="12807" width="12.42578125" style="1402" customWidth="1"/>
    <col min="12808" max="12808" width="0.5703125" style="1402" customWidth="1"/>
    <col min="12809" max="12809" width="18.28515625" style="1402" customWidth="1"/>
    <col min="12810" max="12810" width="1" style="1402" customWidth="1"/>
    <col min="12811" max="12811" width="7.140625" style="1402" customWidth="1"/>
    <col min="12812" max="12812" width="9.7109375" style="1402" customWidth="1"/>
    <col min="12813" max="12813" width="16.7109375" style="1402" customWidth="1"/>
    <col min="12814" max="12814" width="1.85546875" style="1402" customWidth="1"/>
    <col min="12815" max="12815" width="14.7109375" style="1402" customWidth="1"/>
    <col min="12816" max="12816" width="11.85546875" style="1402" customWidth="1"/>
    <col min="12817" max="12817" width="2.85546875" style="1402" customWidth="1"/>
    <col min="12818" max="12818" width="10.7109375" style="1402" customWidth="1"/>
    <col min="12819" max="12819" width="3.85546875" style="1402" customWidth="1"/>
    <col min="12820" max="12820" width="20.5703125" style="1402" customWidth="1"/>
    <col min="12821" max="12821" width="19" style="1402" customWidth="1"/>
    <col min="12822" max="12822" width="3.140625" style="1402" customWidth="1"/>
    <col min="12823" max="13056" width="9.140625" style="1402"/>
    <col min="13057" max="13057" width="5.42578125" style="1402" customWidth="1"/>
    <col min="13058" max="13058" width="13.7109375" style="1402" customWidth="1"/>
    <col min="13059" max="13059" width="18.85546875" style="1402" customWidth="1"/>
    <col min="13060" max="13060" width="0.140625" style="1402" customWidth="1"/>
    <col min="13061" max="13062" width="0" style="1402" hidden="1" customWidth="1"/>
    <col min="13063" max="13063" width="12.42578125" style="1402" customWidth="1"/>
    <col min="13064" max="13064" width="0.5703125" style="1402" customWidth="1"/>
    <col min="13065" max="13065" width="18.28515625" style="1402" customWidth="1"/>
    <col min="13066" max="13066" width="1" style="1402" customWidth="1"/>
    <col min="13067" max="13067" width="7.140625" style="1402" customWidth="1"/>
    <col min="13068" max="13068" width="9.7109375" style="1402" customWidth="1"/>
    <col min="13069" max="13069" width="16.7109375" style="1402" customWidth="1"/>
    <col min="13070" max="13070" width="1.85546875" style="1402" customWidth="1"/>
    <col min="13071" max="13071" width="14.7109375" style="1402" customWidth="1"/>
    <col min="13072" max="13072" width="11.85546875" style="1402" customWidth="1"/>
    <col min="13073" max="13073" width="2.85546875" style="1402" customWidth="1"/>
    <col min="13074" max="13074" width="10.7109375" style="1402" customWidth="1"/>
    <col min="13075" max="13075" width="3.85546875" style="1402" customWidth="1"/>
    <col min="13076" max="13076" width="20.5703125" style="1402" customWidth="1"/>
    <col min="13077" max="13077" width="19" style="1402" customWidth="1"/>
    <col min="13078" max="13078" width="3.140625" style="1402" customWidth="1"/>
    <col min="13079" max="13312" width="9.140625" style="1402"/>
    <col min="13313" max="13313" width="5.42578125" style="1402" customWidth="1"/>
    <col min="13314" max="13314" width="13.7109375" style="1402" customWidth="1"/>
    <col min="13315" max="13315" width="18.85546875" style="1402" customWidth="1"/>
    <col min="13316" max="13316" width="0.140625" style="1402" customWidth="1"/>
    <col min="13317" max="13318" width="0" style="1402" hidden="1" customWidth="1"/>
    <col min="13319" max="13319" width="12.42578125" style="1402" customWidth="1"/>
    <col min="13320" max="13320" width="0.5703125" style="1402" customWidth="1"/>
    <col min="13321" max="13321" width="18.28515625" style="1402" customWidth="1"/>
    <col min="13322" max="13322" width="1" style="1402" customWidth="1"/>
    <col min="13323" max="13323" width="7.140625" style="1402" customWidth="1"/>
    <col min="13324" max="13324" width="9.7109375" style="1402" customWidth="1"/>
    <col min="13325" max="13325" width="16.7109375" style="1402" customWidth="1"/>
    <col min="13326" max="13326" width="1.85546875" style="1402" customWidth="1"/>
    <col min="13327" max="13327" width="14.7109375" style="1402" customWidth="1"/>
    <col min="13328" max="13328" width="11.85546875" style="1402" customWidth="1"/>
    <col min="13329" max="13329" width="2.85546875" style="1402" customWidth="1"/>
    <col min="13330" max="13330" width="10.7109375" style="1402" customWidth="1"/>
    <col min="13331" max="13331" width="3.85546875" style="1402" customWidth="1"/>
    <col min="13332" max="13332" width="20.5703125" style="1402" customWidth="1"/>
    <col min="13333" max="13333" width="19" style="1402" customWidth="1"/>
    <col min="13334" max="13334" width="3.140625" style="1402" customWidth="1"/>
    <col min="13335" max="13568" width="9.140625" style="1402"/>
    <col min="13569" max="13569" width="5.42578125" style="1402" customWidth="1"/>
    <col min="13570" max="13570" width="13.7109375" style="1402" customWidth="1"/>
    <col min="13571" max="13571" width="18.85546875" style="1402" customWidth="1"/>
    <col min="13572" max="13572" width="0.140625" style="1402" customWidth="1"/>
    <col min="13573" max="13574" width="0" style="1402" hidden="1" customWidth="1"/>
    <col min="13575" max="13575" width="12.42578125" style="1402" customWidth="1"/>
    <col min="13576" max="13576" width="0.5703125" style="1402" customWidth="1"/>
    <col min="13577" max="13577" width="18.28515625" style="1402" customWidth="1"/>
    <col min="13578" max="13578" width="1" style="1402" customWidth="1"/>
    <col min="13579" max="13579" width="7.140625" style="1402" customWidth="1"/>
    <col min="13580" max="13580" width="9.7109375" style="1402" customWidth="1"/>
    <col min="13581" max="13581" width="16.7109375" style="1402" customWidth="1"/>
    <col min="13582" max="13582" width="1.85546875" style="1402" customWidth="1"/>
    <col min="13583" max="13583" width="14.7109375" style="1402" customWidth="1"/>
    <col min="13584" max="13584" width="11.85546875" style="1402" customWidth="1"/>
    <col min="13585" max="13585" width="2.85546875" style="1402" customWidth="1"/>
    <col min="13586" max="13586" width="10.7109375" style="1402" customWidth="1"/>
    <col min="13587" max="13587" width="3.85546875" style="1402" customWidth="1"/>
    <col min="13588" max="13588" width="20.5703125" style="1402" customWidth="1"/>
    <col min="13589" max="13589" width="19" style="1402" customWidth="1"/>
    <col min="13590" max="13590" width="3.140625" style="1402" customWidth="1"/>
    <col min="13591" max="13824" width="9.140625" style="1402"/>
    <col min="13825" max="13825" width="5.42578125" style="1402" customWidth="1"/>
    <col min="13826" max="13826" width="13.7109375" style="1402" customWidth="1"/>
    <col min="13827" max="13827" width="18.85546875" style="1402" customWidth="1"/>
    <col min="13828" max="13828" width="0.140625" style="1402" customWidth="1"/>
    <col min="13829" max="13830" width="0" style="1402" hidden="1" customWidth="1"/>
    <col min="13831" max="13831" width="12.42578125" style="1402" customWidth="1"/>
    <col min="13832" max="13832" width="0.5703125" style="1402" customWidth="1"/>
    <col min="13833" max="13833" width="18.28515625" style="1402" customWidth="1"/>
    <col min="13834" max="13834" width="1" style="1402" customWidth="1"/>
    <col min="13835" max="13835" width="7.140625" style="1402" customWidth="1"/>
    <col min="13836" max="13836" width="9.7109375" style="1402" customWidth="1"/>
    <col min="13837" max="13837" width="16.7109375" style="1402" customWidth="1"/>
    <col min="13838" max="13838" width="1.85546875" style="1402" customWidth="1"/>
    <col min="13839" max="13839" width="14.7109375" style="1402" customWidth="1"/>
    <col min="13840" max="13840" width="11.85546875" style="1402" customWidth="1"/>
    <col min="13841" max="13841" width="2.85546875" style="1402" customWidth="1"/>
    <col min="13842" max="13842" width="10.7109375" style="1402" customWidth="1"/>
    <col min="13843" max="13843" width="3.85546875" style="1402" customWidth="1"/>
    <col min="13844" max="13844" width="20.5703125" style="1402" customWidth="1"/>
    <col min="13845" max="13845" width="19" style="1402" customWidth="1"/>
    <col min="13846" max="13846" width="3.140625" style="1402" customWidth="1"/>
    <col min="13847" max="14080" width="9.140625" style="1402"/>
    <col min="14081" max="14081" width="5.42578125" style="1402" customWidth="1"/>
    <col min="14082" max="14082" width="13.7109375" style="1402" customWidth="1"/>
    <col min="14083" max="14083" width="18.85546875" style="1402" customWidth="1"/>
    <col min="14084" max="14084" width="0.140625" style="1402" customWidth="1"/>
    <col min="14085" max="14086" width="0" style="1402" hidden="1" customWidth="1"/>
    <col min="14087" max="14087" width="12.42578125" style="1402" customWidth="1"/>
    <col min="14088" max="14088" width="0.5703125" style="1402" customWidth="1"/>
    <col min="14089" max="14089" width="18.28515625" style="1402" customWidth="1"/>
    <col min="14090" max="14090" width="1" style="1402" customWidth="1"/>
    <col min="14091" max="14091" width="7.140625" style="1402" customWidth="1"/>
    <col min="14092" max="14092" width="9.7109375" style="1402" customWidth="1"/>
    <col min="14093" max="14093" width="16.7109375" style="1402" customWidth="1"/>
    <col min="14094" max="14094" width="1.85546875" style="1402" customWidth="1"/>
    <col min="14095" max="14095" width="14.7109375" style="1402" customWidth="1"/>
    <col min="14096" max="14096" width="11.85546875" style="1402" customWidth="1"/>
    <col min="14097" max="14097" width="2.85546875" style="1402" customWidth="1"/>
    <col min="14098" max="14098" width="10.7109375" style="1402" customWidth="1"/>
    <col min="14099" max="14099" width="3.85546875" style="1402" customWidth="1"/>
    <col min="14100" max="14100" width="20.5703125" style="1402" customWidth="1"/>
    <col min="14101" max="14101" width="19" style="1402" customWidth="1"/>
    <col min="14102" max="14102" width="3.140625" style="1402" customWidth="1"/>
    <col min="14103" max="14336" width="9.140625" style="1402"/>
    <col min="14337" max="14337" width="5.42578125" style="1402" customWidth="1"/>
    <col min="14338" max="14338" width="13.7109375" style="1402" customWidth="1"/>
    <col min="14339" max="14339" width="18.85546875" style="1402" customWidth="1"/>
    <col min="14340" max="14340" width="0.140625" style="1402" customWidth="1"/>
    <col min="14341" max="14342" width="0" style="1402" hidden="1" customWidth="1"/>
    <col min="14343" max="14343" width="12.42578125" style="1402" customWidth="1"/>
    <col min="14344" max="14344" width="0.5703125" style="1402" customWidth="1"/>
    <col min="14345" max="14345" width="18.28515625" style="1402" customWidth="1"/>
    <col min="14346" max="14346" width="1" style="1402" customWidth="1"/>
    <col min="14347" max="14347" width="7.140625" style="1402" customWidth="1"/>
    <col min="14348" max="14348" width="9.7109375" style="1402" customWidth="1"/>
    <col min="14349" max="14349" width="16.7109375" style="1402" customWidth="1"/>
    <col min="14350" max="14350" width="1.85546875" style="1402" customWidth="1"/>
    <col min="14351" max="14351" width="14.7109375" style="1402" customWidth="1"/>
    <col min="14352" max="14352" width="11.85546875" style="1402" customWidth="1"/>
    <col min="14353" max="14353" width="2.85546875" style="1402" customWidth="1"/>
    <col min="14354" max="14354" width="10.7109375" style="1402" customWidth="1"/>
    <col min="14355" max="14355" width="3.85546875" style="1402" customWidth="1"/>
    <col min="14356" max="14356" width="20.5703125" style="1402" customWidth="1"/>
    <col min="14357" max="14357" width="19" style="1402" customWidth="1"/>
    <col min="14358" max="14358" width="3.140625" style="1402" customWidth="1"/>
    <col min="14359" max="14592" width="9.140625" style="1402"/>
    <col min="14593" max="14593" width="5.42578125" style="1402" customWidth="1"/>
    <col min="14594" max="14594" width="13.7109375" style="1402" customWidth="1"/>
    <col min="14595" max="14595" width="18.85546875" style="1402" customWidth="1"/>
    <col min="14596" max="14596" width="0.140625" style="1402" customWidth="1"/>
    <col min="14597" max="14598" width="0" style="1402" hidden="1" customWidth="1"/>
    <col min="14599" max="14599" width="12.42578125" style="1402" customWidth="1"/>
    <col min="14600" max="14600" width="0.5703125" style="1402" customWidth="1"/>
    <col min="14601" max="14601" width="18.28515625" style="1402" customWidth="1"/>
    <col min="14602" max="14602" width="1" style="1402" customWidth="1"/>
    <col min="14603" max="14603" width="7.140625" style="1402" customWidth="1"/>
    <col min="14604" max="14604" width="9.7109375" style="1402" customWidth="1"/>
    <col min="14605" max="14605" width="16.7109375" style="1402" customWidth="1"/>
    <col min="14606" max="14606" width="1.85546875" style="1402" customWidth="1"/>
    <col min="14607" max="14607" width="14.7109375" style="1402" customWidth="1"/>
    <col min="14608" max="14608" width="11.85546875" style="1402" customWidth="1"/>
    <col min="14609" max="14609" width="2.85546875" style="1402" customWidth="1"/>
    <col min="14610" max="14610" width="10.7109375" style="1402" customWidth="1"/>
    <col min="14611" max="14611" width="3.85546875" style="1402" customWidth="1"/>
    <col min="14612" max="14612" width="20.5703125" style="1402" customWidth="1"/>
    <col min="14613" max="14613" width="19" style="1402" customWidth="1"/>
    <col min="14614" max="14614" width="3.140625" style="1402" customWidth="1"/>
    <col min="14615" max="14848" width="9.140625" style="1402"/>
    <col min="14849" max="14849" width="5.42578125" style="1402" customWidth="1"/>
    <col min="14850" max="14850" width="13.7109375" style="1402" customWidth="1"/>
    <col min="14851" max="14851" width="18.85546875" style="1402" customWidth="1"/>
    <col min="14852" max="14852" width="0.140625" style="1402" customWidth="1"/>
    <col min="14853" max="14854" width="0" style="1402" hidden="1" customWidth="1"/>
    <col min="14855" max="14855" width="12.42578125" style="1402" customWidth="1"/>
    <col min="14856" max="14856" width="0.5703125" style="1402" customWidth="1"/>
    <col min="14857" max="14857" width="18.28515625" style="1402" customWidth="1"/>
    <col min="14858" max="14858" width="1" style="1402" customWidth="1"/>
    <col min="14859" max="14859" width="7.140625" style="1402" customWidth="1"/>
    <col min="14860" max="14860" width="9.7109375" style="1402" customWidth="1"/>
    <col min="14861" max="14861" width="16.7109375" style="1402" customWidth="1"/>
    <col min="14862" max="14862" width="1.85546875" style="1402" customWidth="1"/>
    <col min="14863" max="14863" width="14.7109375" style="1402" customWidth="1"/>
    <col min="14864" max="14864" width="11.85546875" style="1402" customWidth="1"/>
    <col min="14865" max="14865" width="2.85546875" style="1402" customWidth="1"/>
    <col min="14866" max="14866" width="10.7109375" style="1402" customWidth="1"/>
    <col min="14867" max="14867" width="3.85546875" style="1402" customWidth="1"/>
    <col min="14868" max="14868" width="20.5703125" style="1402" customWidth="1"/>
    <col min="14869" max="14869" width="19" style="1402" customWidth="1"/>
    <col min="14870" max="14870" width="3.140625" style="1402" customWidth="1"/>
    <col min="14871" max="15104" width="9.140625" style="1402"/>
    <col min="15105" max="15105" width="5.42578125" style="1402" customWidth="1"/>
    <col min="15106" max="15106" width="13.7109375" style="1402" customWidth="1"/>
    <col min="15107" max="15107" width="18.85546875" style="1402" customWidth="1"/>
    <col min="15108" max="15108" width="0.140625" style="1402" customWidth="1"/>
    <col min="15109" max="15110" width="0" style="1402" hidden="1" customWidth="1"/>
    <col min="15111" max="15111" width="12.42578125" style="1402" customWidth="1"/>
    <col min="15112" max="15112" width="0.5703125" style="1402" customWidth="1"/>
    <col min="15113" max="15113" width="18.28515625" style="1402" customWidth="1"/>
    <col min="15114" max="15114" width="1" style="1402" customWidth="1"/>
    <col min="15115" max="15115" width="7.140625" style="1402" customWidth="1"/>
    <col min="15116" max="15116" width="9.7109375" style="1402" customWidth="1"/>
    <col min="15117" max="15117" width="16.7109375" style="1402" customWidth="1"/>
    <col min="15118" max="15118" width="1.85546875" style="1402" customWidth="1"/>
    <col min="15119" max="15119" width="14.7109375" style="1402" customWidth="1"/>
    <col min="15120" max="15120" width="11.85546875" style="1402" customWidth="1"/>
    <col min="15121" max="15121" width="2.85546875" style="1402" customWidth="1"/>
    <col min="15122" max="15122" width="10.7109375" style="1402" customWidth="1"/>
    <col min="15123" max="15123" width="3.85546875" style="1402" customWidth="1"/>
    <col min="15124" max="15124" width="20.5703125" style="1402" customWidth="1"/>
    <col min="15125" max="15125" width="19" style="1402" customWidth="1"/>
    <col min="15126" max="15126" width="3.140625" style="1402" customWidth="1"/>
    <col min="15127" max="15360" width="9.140625" style="1402"/>
    <col min="15361" max="15361" width="5.42578125" style="1402" customWidth="1"/>
    <col min="15362" max="15362" width="13.7109375" style="1402" customWidth="1"/>
    <col min="15363" max="15363" width="18.85546875" style="1402" customWidth="1"/>
    <col min="15364" max="15364" width="0.140625" style="1402" customWidth="1"/>
    <col min="15365" max="15366" width="0" style="1402" hidden="1" customWidth="1"/>
    <col min="15367" max="15367" width="12.42578125" style="1402" customWidth="1"/>
    <col min="15368" max="15368" width="0.5703125" style="1402" customWidth="1"/>
    <col min="15369" max="15369" width="18.28515625" style="1402" customWidth="1"/>
    <col min="15370" max="15370" width="1" style="1402" customWidth="1"/>
    <col min="15371" max="15371" width="7.140625" style="1402" customWidth="1"/>
    <col min="15372" max="15372" width="9.7109375" style="1402" customWidth="1"/>
    <col min="15373" max="15373" width="16.7109375" style="1402" customWidth="1"/>
    <col min="15374" max="15374" width="1.85546875" style="1402" customWidth="1"/>
    <col min="15375" max="15375" width="14.7109375" style="1402" customWidth="1"/>
    <col min="15376" max="15376" width="11.85546875" style="1402" customWidth="1"/>
    <col min="15377" max="15377" width="2.85546875" style="1402" customWidth="1"/>
    <col min="15378" max="15378" width="10.7109375" style="1402" customWidth="1"/>
    <col min="15379" max="15379" width="3.85546875" style="1402" customWidth="1"/>
    <col min="15380" max="15380" width="20.5703125" style="1402" customWidth="1"/>
    <col min="15381" max="15381" width="19" style="1402" customWidth="1"/>
    <col min="15382" max="15382" width="3.140625" style="1402" customWidth="1"/>
    <col min="15383" max="15616" width="9.140625" style="1402"/>
    <col min="15617" max="15617" width="5.42578125" style="1402" customWidth="1"/>
    <col min="15618" max="15618" width="13.7109375" style="1402" customWidth="1"/>
    <col min="15619" max="15619" width="18.85546875" style="1402" customWidth="1"/>
    <col min="15620" max="15620" width="0.140625" style="1402" customWidth="1"/>
    <col min="15621" max="15622" width="0" style="1402" hidden="1" customWidth="1"/>
    <col min="15623" max="15623" width="12.42578125" style="1402" customWidth="1"/>
    <col min="15624" max="15624" width="0.5703125" style="1402" customWidth="1"/>
    <col min="15625" max="15625" width="18.28515625" style="1402" customWidth="1"/>
    <col min="15626" max="15626" width="1" style="1402" customWidth="1"/>
    <col min="15627" max="15627" width="7.140625" style="1402" customWidth="1"/>
    <col min="15628" max="15628" width="9.7109375" style="1402" customWidth="1"/>
    <col min="15629" max="15629" width="16.7109375" style="1402" customWidth="1"/>
    <col min="15630" max="15630" width="1.85546875" style="1402" customWidth="1"/>
    <col min="15631" max="15631" width="14.7109375" style="1402" customWidth="1"/>
    <col min="15632" max="15632" width="11.85546875" style="1402" customWidth="1"/>
    <col min="15633" max="15633" width="2.85546875" style="1402" customWidth="1"/>
    <col min="15634" max="15634" width="10.7109375" style="1402" customWidth="1"/>
    <col min="15635" max="15635" width="3.85546875" style="1402" customWidth="1"/>
    <col min="15636" max="15636" width="20.5703125" style="1402" customWidth="1"/>
    <col min="15637" max="15637" width="19" style="1402" customWidth="1"/>
    <col min="15638" max="15638" width="3.140625" style="1402" customWidth="1"/>
    <col min="15639" max="15872" width="9.140625" style="1402"/>
    <col min="15873" max="15873" width="5.42578125" style="1402" customWidth="1"/>
    <col min="15874" max="15874" width="13.7109375" style="1402" customWidth="1"/>
    <col min="15875" max="15875" width="18.85546875" style="1402" customWidth="1"/>
    <col min="15876" max="15876" width="0.140625" style="1402" customWidth="1"/>
    <col min="15877" max="15878" width="0" style="1402" hidden="1" customWidth="1"/>
    <col min="15879" max="15879" width="12.42578125" style="1402" customWidth="1"/>
    <col min="15880" max="15880" width="0.5703125" style="1402" customWidth="1"/>
    <col min="15881" max="15881" width="18.28515625" style="1402" customWidth="1"/>
    <col min="15882" max="15882" width="1" style="1402" customWidth="1"/>
    <col min="15883" max="15883" width="7.140625" style="1402" customWidth="1"/>
    <col min="15884" max="15884" width="9.7109375" style="1402" customWidth="1"/>
    <col min="15885" max="15885" width="16.7109375" style="1402" customWidth="1"/>
    <col min="15886" max="15886" width="1.85546875" style="1402" customWidth="1"/>
    <col min="15887" max="15887" width="14.7109375" style="1402" customWidth="1"/>
    <col min="15888" max="15888" width="11.85546875" style="1402" customWidth="1"/>
    <col min="15889" max="15889" width="2.85546875" style="1402" customWidth="1"/>
    <col min="15890" max="15890" width="10.7109375" style="1402" customWidth="1"/>
    <col min="15891" max="15891" width="3.85546875" style="1402" customWidth="1"/>
    <col min="15892" max="15892" width="20.5703125" style="1402" customWidth="1"/>
    <col min="15893" max="15893" width="19" style="1402" customWidth="1"/>
    <col min="15894" max="15894" width="3.140625" style="1402" customWidth="1"/>
    <col min="15895" max="16128" width="9.140625" style="1402"/>
    <col min="16129" max="16129" width="5.42578125" style="1402" customWidth="1"/>
    <col min="16130" max="16130" width="13.7109375" style="1402" customWidth="1"/>
    <col min="16131" max="16131" width="18.85546875" style="1402" customWidth="1"/>
    <col min="16132" max="16132" width="0.140625" style="1402" customWidth="1"/>
    <col min="16133" max="16134" width="0" style="1402" hidden="1" customWidth="1"/>
    <col min="16135" max="16135" width="12.42578125" style="1402" customWidth="1"/>
    <col min="16136" max="16136" width="0.5703125" style="1402" customWidth="1"/>
    <col min="16137" max="16137" width="18.28515625" style="1402" customWidth="1"/>
    <col min="16138" max="16138" width="1" style="1402" customWidth="1"/>
    <col min="16139" max="16139" width="7.140625" style="1402" customWidth="1"/>
    <col min="16140" max="16140" width="9.7109375" style="1402" customWidth="1"/>
    <col min="16141" max="16141" width="16.7109375" style="1402" customWidth="1"/>
    <col min="16142" max="16142" width="1.85546875" style="1402" customWidth="1"/>
    <col min="16143" max="16143" width="14.7109375" style="1402" customWidth="1"/>
    <col min="16144" max="16144" width="11.85546875" style="1402" customWidth="1"/>
    <col min="16145" max="16145" width="2.85546875" style="1402" customWidth="1"/>
    <col min="16146" max="16146" width="10.7109375" style="1402" customWidth="1"/>
    <col min="16147" max="16147" width="3.85546875" style="1402" customWidth="1"/>
    <col min="16148" max="16148" width="20.5703125" style="1402" customWidth="1"/>
    <col min="16149" max="16149" width="19" style="1402" customWidth="1"/>
    <col min="16150" max="16150" width="3.140625" style="1402" customWidth="1"/>
    <col min="16151" max="16384" width="9.140625" style="1402"/>
  </cols>
  <sheetData>
    <row r="2" spans="1:22" ht="75" customHeight="1">
      <c r="A2" s="2240"/>
      <c r="B2" s="2239"/>
      <c r="C2" s="2239"/>
      <c r="D2" s="2239"/>
      <c r="E2" s="2239"/>
      <c r="F2" s="2239"/>
      <c r="G2" s="2239"/>
      <c r="H2" s="2239"/>
      <c r="I2" s="2239"/>
      <c r="J2" s="2239"/>
      <c r="K2" s="2239"/>
      <c r="L2" s="2239"/>
      <c r="M2" s="2239"/>
      <c r="N2" s="2239"/>
      <c r="O2" s="2239"/>
      <c r="P2" s="2239"/>
      <c r="Q2" s="2241" t="s">
        <v>3718</v>
      </c>
      <c r="R2" s="2239"/>
      <c r="S2" s="2239"/>
      <c r="T2" s="2239"/>
      <c r="U2" s="2239"/>
    </row>
    <row r="3" spans="1:22" ht="14.25">
      <c r="A3" s="2240"/>
      <c r="B3" s="2239"/>
      <c r="C3" s="2239"/>
      <c r="D3" s="2239"/>
      <c r="E3" s="2239"/>
      <c r="F3" s="2239"/>
      <c r="G3" s="2239"/>
      <c r="H3" s="2239"/>
      <c r="I3" s="2239"/>
      <c r="J3" s="2239"/>
      <c r="K3" s="2239"/>
      <c r="L3" s="2239"/>
      <c r="M3" s="2239"/>
      <c r="N3" s="2239"/>
      <c r="O3" s="2239"/>
      <c r="P3" s="2239"/>
      <c r="Q3" s="2241"/>
      <c r="R3" s="2239"/>
      <c r="S3" s="2239"/>
      <c r="T3" s="2239"/>
      <c r="U3" s="2239"/>
    </row>
    <row r="4" spans="1:22">
      <c r="A4" s="2242"/>
      <c r="B4" s="2239"/>
      <c r="C4" s="2239"/>
      <c r="D4" s="2243" t="s">
        <v>3719</v>
      </c>
      <c r="E4" s="2244"/>
      <c r="F4" s="2244"/>
      <c r="G4" s="2244"/>
      <c r="H4" s="2244"/>
      <c r="I4" s="2244"/>
      <c r="J4" s="2244"/>
      <c r="K4" s="2244"/>
      <c r="L4" s="2244"/>
      <c r="M4" s="2244"/>
      <c r="N4" s="2244"/>
      <c r="O4" s="2244"/>
      <c r="P4" s="2244"/>
      <c r="Q4" s="2244"/>
      <c r="R4" s="2244"/>
      <c r="S4" s="2242"/>
      <c r="T4" s="2239"/>
      <c r="U4" s="2239"/>
    </row>
    <row r="5" spans="1:22">
      <c r="A5" s="2238" t="s">
        <v>3630</v>
      </c>
      <c r="B5" s="2239"/>
      <c r="C5" s="2239"/>
      <c r="D5" s="2239"/>
      <c r="E5" s="2239"/>
      <c r="F5" s="2239"/>
      <c r="G5" s="2239"/>
      <c r="H5" s="2239"/>
      <c r="I5" s="2239"/>
      <c r="J5" s="2239"/>
      <c r="K5" s="2239"/>
      <c r="L5" s="2239"/>
      <c r="M5" s="2239"/>
      <c r="N5" s="2239"/>
      <c r="O5" s="2239"/>
      <c r="P5" s="2239"/>
      <c r="Q5" s="2239"/>
      <c r="R5" s="2239"/>
      <c r="S5" s="2239"/>
      <c r="T5" s="2239"/>
      <c r="U5" s="2239"/>
    </row>
    <row r="6" spans="1:22" ht="14.25">
      <c r="A6" s="2240"/>
      <c r="B6" s="2239"/>
      <c r="C6" s="2239"/>
      <c r="D6" s="2239"/>
      <c r="E6" s="2239"/>
      <c r="F6" s="2239"/>
      <c r="G6" s="2239"/>
      <c r="H6" s="2239"/>
      <c r="I6" s="2239"/>
      <c r="J6" s="2239"/>
      <c r="K6" s="2239"/>
      <c r="L6" s="2239"/>
      <c r="M6" s="2239"/>
      <c r="N6" s="2239"/>
      <c r="O6" s="2239"/>
      <c r="P6" s="2239"/>
      <c r="Q6" s="2239"/>
      <c r="R6" s="2239"/>
      <c r="S6" s="2239"/>
      <c r="T6" s="2239"/>
      <c r="U6" s="2239"/>
    </row>
    <row r="7" spans="1:22">
      <c r="A7" s="2242"/>
      <c r="B7" s="2239"/>
      <c r="C7" s="2239"/>
      <c r="D7" s="2245" t="s">
        <v>3720</v>
      </c>
      <c r="E7" s="2244"/>
      <c r="F7" s="2244"/>
      <c r="G7" s="2244"/>
      <c r="H7" s="2244"/>
      <c r="I7" s="2244"/>
      <c r="J7" s="2244"/>
      <c r="K7" s="2244"/>
      <c r="L7" s="2244"/>
      <c r="M7" s="2244"/>
      <c r="N7" s="2244"/>
      <c r="O7" s="2244"/>
      <c r="P7" s="2244"/>
      <c r="Q7" s="2244"/>
      <c r="R7" s="2244"/>
      <c r="S7" s="2242"/>
      <c r="T7" s="2239"/>
      <c r="U7" s="2239"/>
    </row>
    <row r="8" spans="1:22">
      <c r="A8" s="2238" t="s">
        <v>3632</v>
      </c>
      <c r="B8" s="2239"/>
      <c r="C8" s="2239"/>
      <c r="D8" s="2239"/>
      <c r="E8" s="2239"/>
      <c r="F8" s="2239"/>
      <c r="G8" s="2239"/>
      <c r="H8" s="2239"/>
      <c r="I8" s="2239"/>
      <c r="J8" s="2239"/>
      <c r="K8" s="2239"/>
      <c r="L8" s="2239"/>
      <c r="M8" s="2239"/>
      <c r="N8" s="2239"/>
      <c r="O8" s="2239"/>
      <c r="P8" s="2239"/>
      <c r="Q8" s="2239"/>
      <c r="R8" s="2239"/>
      <c r="S8" s="2239"/>
      <c r="T8" s="2239"/>
      <c r="U8" s="2239"/>
    </row>
    <row r="9" spans="1:22">
      <c r="A9" s="2246"/>
      <c r="B9" s="2239"/>
      <c r="C9" s="2239"/>
      <c r="D9" s="2239"/>
      <c r="E9" s="2239"/>
      <c r="F9" s="2239"/>
      <c r="G9" s="2239"/>
      <c r="H9" s="2239"/>
      <c r="I9" s="2239"/>
      <c r="J9" s="2239"/>
      <c r="K9" s="2239"/>
      <c r="L9" s="2239"/>
      <c r="M9" s="2239"/>
      <c r="N9" s="2239"/>
      <c r="O9" s="2239"/>
      <c r="P9" s="2239"/>
      <c r="Q9" s="2239"/>
      <c r="R9" s="2239"/>
      <c r="S9" s="2239"/>
      <c r="T9" s="2239"/>
      <c r="U9" s="2239"/>
    </row>
    <row r="10" spans="1:22">
      <c r="A10" s="2247" t="s">
        <v>3652</v>
      </c>
      <c r="B10" s="2239"/>
      <c r="C10" s="2239"/>
      <c r="D10" s="2239"/>
      <c r="E10" s="2239"/>
      <c r="F10" s="2239"/>
      <c r="G10" s="2239"/>
      <c r="H10" s="2239"/>
      <c r="I10" s="2239"/>
      <c r="J10" s="2239"/>
      <c r="K10" s="2239"/>
      <c r="L10" s="2239"/>
      <c r="M10" s="2239"/>
      <c r="N10" s="2239"/>
      <c r="O10" s="2239"/>
      <c r="P10" s="2239"/>
      <c r="Q10" s="2239"/>
      <c r="R10" s="2239"/>
      <c r="S10" s="2239"/>
      <c r="T10" s="2239"/>
      <c r="U10" s="2239"/>
    </row>
    <row r="11" spans="1:22" ht="15.75">
      <c r="A11" s="2248"/>
      <c r="B11" s="2239"/>
      <c r="C11" s="2239"/>
      <c r="D11" s="2239"/>
      <c r="E11" s="2239"/>
      <c r="F11" s="2239"/>
      <c r="G11" s="2239"/>
      <c r="H11" s="2239"/>
      <c r="I11" s="2239"/>
      <c r="J11" s="2239"/>
      <c r="K11" s="2239"/>
      <c r="L11" s="2239"/>
      <c r="M11" s="2239"/>
      <c r="N11" s="2239"/>
      <c r="O11" s="2239"/>
      <c r="P11" s="2239"/>
      <c r="Q11" s="2239"/>
      <c r="R11" s="2239"/>
      <c r="S11" s="2239"/>
      <c r="T11" s="2239"/>
      <c r="U11" s="2239"/>
    </row>
    <row r="12" spans="1:22">
      <c r="A12" s="2242"/>
      <c r="B12" s="2239"/>
      <c r="C12" s="2239"/>
      <c r="D12" s="2239"/>
      <c r="E12" s="2239"/>
      <c r="F12" s="2239"/>
      <c r="G12" s="2239"/>
      <c r="H12" s="2249" t="s">
        <v>3721</v>
      </c>
      <c r="I12" s="2244"/>
      <c r="J12" s="2244"/>
      <c r="K12" s="1433" t="s">
        <v>7</v>
      </c>
      <c r="L12" s="2249" t="s">
        <v>3722</v>
      </c>
      <c r="M12" s="2244"/>
      <c r="N12" s="2244"/>
      <c r="O12" s="2242"/>
      <c r="P12" s="2239"/>
      <c r="Q12" s="2239"/>
      <c r="R12" s="2239"/>
      <c r="S12" s="2239"/>
      <c r="T12" s="2239"/>
      <c r="U12" s="2239"/>
    </row>
    <row r="13" spans="1:22" hidden="1"/>
    <row r="15" spans="1:22">
      <c r="A15" s="2250" t="s">
        <v>1045</v>
      </c>
      <c r="B15" s="2250" t="s">
        <v>50</v>
      </c>
      <c r="C15" s="2250" t="s">
        <v>3635</v>
      </c>
      <c r="D15" s="2253"/>
      <c r="E15" s="2250" t="s">
        <v>3636</v>
      </c>
      <c r="F15" s="2250" t="s">
        <v>3637</v>
      </c>
      <c r="G15" s="2250" t="s">
        <v>3638</v>
      </c>
      <c r="H15" s="2258"/>
      <c r="I15" s="2258"/>
      <c r="J15" s="2258"/>
      <c r="K15" s="2258"/>
      <c r="L15" s="2258"/>
      <c r="M15" s="2258"/>
      <c r="N15" s="2258"/>
      <c r="O15" s="2258"/>
      <c r="P15" s="2258"/>
      <c r="Q15" s="2258"/>
      <c r="R15" s="2258"/>
      <c r="S15" s="2259"/>
      <c r="T15" s="2250" t="s">
        <v>3639</v>
      </c>
      <c r="U15" s="2250" t="s">
        <v>3640</v>
      </c>
      <c r="V15" s="2253"/>
    </row>
    <row r="16" spans="1:22">
      <c r="A16" s="2251"/>
      <c r="B16" s="2251"/>
      <c r="C16" s="2254"/>
      <c r="D16" s="2255"/>
      <c r="E16" s="2251"/>
      <c r="F16" s="2251"/>
      <c r="G16" s="2250" t="s">
        <v>9</v>
      </c>
      <c r="H16" s="2253"/>
      <c r="I16" s="2250" t="s">
        <v>3641</v>
      </c>
      <c r="J16" s="2258"/>
      <c r="K16" s="2258"/>
      <c r="L16" s="2259"/>
      <c r="M16" s="2212" t="s">
        <v>3642</v>
      </c>
      <c r="N16" s="2239"/>
      <c r="O16" s="2239"/>
      <c r="P16" s="2239"/>
      <c r="Q16" s="2239"/>
      <c r="R16" s="2239"/>
      <c r="S16" s="2239"/>
      <c r="T16" s="2251"/>
      <c r="U16" s="2254"/>
      <c r="V16" s="2255"/>
    </row>
    <row r="17" spans="1:22">
      <c r="A17" s="2251"/>
      <c r="B17" s="2251"/>
      <c r="C17" s="2254"/>
      <c r="D17" s="2255"/>
      <c r="E17" s="2251"/>
      <c r="F17" s="2251"/>
      <c r="G17" s="2254"/>
      <c r="H17" s="2255"/>
      <c r="I17" s="2250" t="s">
        <v>3643</v>
      </c>
      <c r="J17" s="2260"/>
      <c r="K17" s="2258"/>
      <c r="L17" s="2258"/>
      <c r="M17" s="2224" t="s">
        <v>3644</v>
      </c>
      <c r="N17" s="2261"/>
      <c r="O17" s="2261"/>
      <c r="P17" s="2261"/>
      <c r="Q17" s="2261"/>
      <c r="R17" s="2261"/>
      <c r="S17" s="2262"/>
      <c r="T17" s="2251"/>
      <c r="U17" s="2254"/>
      <c r="V17" s="2255"/>
    </row>
    <row r="18" spans="1:22">
      <c r="A18" s="2251"/>
      <c r="B18" s="2251"/>
      <c r="C18" s="2254"/>
      <c r="D18" s="2255"/>
      <c r="E18" s="2251"/>
      <c r="F18" s="2251"/>
      <c r="G18" s="2254"/>
      <c r="H18" s="2255"/>
      <c r="I18" s="2251"/>
      <c r="J18" s="2250" t="s">
        <v>3645</v>
      </c>
      <c r="K18" s="2263"/>
      <c r="L18" s="2253"/>
      <c r="M18" s="2250" t="s">
        <v>1974</v>
      </c>
      <c r="N18" s="2258"/>
      <c r="O18" s="2258"/>
      <c r="P18" s="2258"/>
      <c r="Q18" s="2258"/>
      <c r="R18" s="2258"/>
      <c r="S18" s="2259"/>
      <c r="T18" s="2251"/>
      <c r="U18" s="2254"/>
      <c r="V18" s="2255"/>
    </row>
    <row r="19" spans="1:22" ht="48">
      <c r="A19" s="2252"/>
      <c r="B19" s="2252"/>
      <c r="C19" s="2256"/>
      <c r="D19" s="2257"/>
      <c r="E19" s="2252"/>
      <c r="F19" s="2252"/>
      <c r="G19" s="2256"/>
      <c r="H19" s="2257"/>
      <c r="I19" s="2252"/>
      <c r="J19" s="2256"/>
      <c r="K19" s="2244"/>
      <c r="L19" s="2257"/>
      <c r="M19" s="1407" t="s">
        <v>3645</v>
      </c>
      <c r="N19" s="2250" t="s">
        <v>2010</v>
      </c>
      <c r="O19" s="2259"/>
      <c r="P19" s="2250" t="s">
        <v>61</v>
      </c>
      <c r="Q19" s="2259"/>
      <c r="R19" s="2250" t="s">
        <v>60</v>
      </c>
      <c r="S19" s="2259"/>
      <c r="T19" s="2252"/>
      <c r="U19" s="2256"/>
      <c r="V19" s="2257"/>
    </row>
    <row r="20" spans="1:22">
      <c r="A20" s="1408" t="s">
        <v>2024</v>
      </c>
      <c r="B20" s="1408" t="s">
        <v>2534</v>
      </c>
      <c r="C20" s="2264" t="s">
        <v>2535</v>
      </c>
      <c r="D20" s="2259"/>
      <c r="E20" s="1408" t="s">
        <v>2536</v>
      </c>
      <c r="F20" s="1408" t="s">
        <v>2025</v>
      </c>
      <c r="G20" s="2264" t="s">
        <v>2072</v>
      </c>
      <c r="H20" s="2259"/>
      <c r="I20" s="1408" t="s">
        <v>2074</v>
      </c>
      <c r="J20" s="2264" t="s">
        <v>2075</v>
      </c>
      <c r="K20" s="2258"/>
      <c r="L20" s="2259"/>
      <c r="M20" s="1408" t="s">
        <v>2026</v>
      </c>
      <c r="N20" s="2264" t="s">
        <v>1706</v>
      </c>
      <c r="O20" s="2259"/>
      <c r="P20" s="2264" t="s">
        <v>1707</v>
      </c>
      <c r="Q20" s="2259"/>
      <c r="R20" s="2264" t="s">
        <v>1709</v>
      </c>
      <c r="S20" s="2259"/>
      <c r="T20" s="1408" t="s">
        <v>1710</v>
      </c>
      <c r="U20" s="2264" t="s">
        <v>1711</v>
      </c>
      <c r="V20" s="2259"/>
    </row>
    <row r="21" spans="1:22" ht="67.5" customHeight="1">
      <c r="A21" s="1403" t="s">
        <v>1052</v>
      </c>
      <c r="B21" s="1403" t="s">
        <v>235</v>
      </c>
      <c r="C21" s="2265" t="s">
        <v>160</v>
      </c>
      <c r="D21" s="2266"/>
      <c r="E21" s="1403"/>
      <c r="F21" s="1403"/>
      <c r="G21" s="2267">
        <f>SUM(I21:S21)</f>
        <v>474784</v>
      </c>
      <c r="H21" s="2266"/>
      <c r="I21" s="1404">
        <v>283503.94</v>
      </c>
      <c r="J21" s="2267">
        <v>25015.06</v>
      </c>
      <c r="K21" s="2268"/>
      <c r="L21" s="2266"/>
      <c r="M21" s="1404">
        <v>0</v>
      </c>
      <c r="N21" s="2267">
        <v>166265</v>
      </c>
      <c r="O21" s="2266"/>
      <c r="P21" s="2267">
        <v>0</v>
      </c>
      <c r="Q21" s="2266"/>
      <c r="R21" s="2267">
        <v>0</v>
      </c>
      <c r="S21" s="2266"/>
      <c r="T21" s="1405">
        <v>42583</v>
      </c>
      <c r="U21" s="2265" t="s">
        <v>3723</v>
      </c>
      <c r="V21" s="2266"/>
    </row>
    <row r="22" spans="1:22" ht="69" customHeight="1" thickBot="1">
      <c r="A22" s="1403" t="s">
        <v>3647</v>
      </c>
      <c r="B22" s="1403" t="s">
        <v>161</v>
      </c>
      <c r="C22" s="2265" t="s">
        <v>299</v>
      </c>
      <c r="D22" s="2266"/>
      <c r="E22" s="1403"/>
      <c r="F22" s="1403"/>
      <c r="G22" s="2267">
        <v>343507</v>
      </c>
      <c r="H22" s="2266"/>
      <c r="I22" s="1404">
        <v>291980.95</v>
      </c>
      <c r="J22" s="2267">
        <v>25763.02</v>
      </c>
      <c r="K22" s="2268"/>
      <c r="L22" s="2266"/>
      <c r="M22" s="1404">
        <v>0</v>
      </c>
      <c r="N22" s="2267">
        <v>25763.03</v>
      </c>
      <c r="O22" s="2266"/>
      <c r="P22" s="2267">
        <v>0</v>
      </c>
      <c r="Q22" s="2266"/>
      <c r="R22" s="2267">
        <v>0</v>
      </c>
      <c r="S22" s="2266"/>
      <c r="T22" s="1405">
        <v>42552</v>
      </c>
      <c r="U22" s="2265" t="s">
        <v>3723</v>
      </c>
      <c r="V22" s="2266"/>
    </row>
    <row r="23" spans="1:22">
      <c r="A23" s="2278" t="s">
        <v>3649</v>
      </c>
      <c r="B23" s="2279"/>
      <c r="C23" s="2279"/>
      <c r="D23" s="2279"/>
      <c r="E23" s="2279"/>
      <c r="F23" s="2280"/>
      <c r="G23" s="2281">
        <f>SUM(G21:G22)</f>
        <v>818291</v>
      </c>
      <c r="H23" s="2271"/>
      <c r="I23" s="1406">
        <f>SUM(I21:I22)</f>
        <v>575484.89</v>
      </c>
      <c r="J23" s="2281">
        <f>SUM(J21:J22)</f>
        <v>50778.080000000002</v>
      </c>
      <c r="K23" s="2270">
        <f>SUM(K21:K22)</f>
        <v>0</v>
      </c>
      <c r="L23" s="2271">
        <f>SUM(L21:L22)</f>
        <v>0</v>
      </c>
      <c r="M23" s="1406">
        <f>SUM(M21:M22)</f>
        <v>0</v>
      </c>
      <c r="N23" s="2281">
        <f t="shared" ref="N23:S23" si="0">SUM(N21:N22)</f>
        <v>192028.03</v>
      </c>
      <c r="O23" s="2271">
        <f t="shared" si="0"/>
        <v>0</v>
      </c>
      <c r="P23" s="2281">
        <f t="shared" si="0"/>
        <v>0</v>
      </c>
      <c r="Q23" s="2271">
        <f t="shared" si="0"/>
        <v>0</v>
      </c>
      <c r="R23" s="2281">
        <f t="shared" si="0"/>
        <v>0</v>
      </c>
      <c r="S23" s="2271">
        <f t="shared" si="0"/>
        <v>0</v>
      </c>
      <c r="T23" s="2410"/>
      <c r="U23" s="2279"/>
      <c r="V23" s="2280"/>
    </row>
    <row r="24" spans="1:22">
      <c r="A24" s="2438" t="s">
        <v>3650</v>
      </c>
      <c r="B24" s="2273"/>
      <c r="C24" s="2273"/>
      <c r="D24" s="2273"/>
      <c r="E24" s="2273"/>
      <c r="F24" s="2273"/>
      <c r="G24" s="2273"/>
      <c r="H24" s="2274"/>
      <c r="I24" s="2439">
        <v>575485</v>
      </c>
      <c r="J24" s="2276"/>
      <c r="K24" s="2276"/>
      <c r="L24" s="2276"/>
      <c r="M24" s="2276"/>
      <c r="N24" s="2276"/>
      <c r="O24" s="2276"/>
      <c r="P24" s="2276"/>
      <c r="Q24" s="2276"/>
      <c r="R24" s="2276"/>
      <c r="S24" s="2276"/>
      <c r="T24" s="2276"/>
      <c r="U24" s="2276"/>
      <c r="V24" s="2277"/>
    </row>
  </sheetData>
  <mergeCells count="69">
    <mergeCell ref="A24:H24"/>
    <mergeCell ref="I24:V24"/>
    <mergeCell ref="U22:V22"/>
    <mergeCell ref="A23:F23"/>
    <mergeCell ref="G23:H23"/>
    <mergeCell ref="J23:L23"/>
    <mergeCell ref="N23:O23"/>
    <mergeCell ref="P23:Q23"/>
    <mergeCell ref="R23:S23"/>
    <mergeCell ref="T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2:V30"/>
  <sheetViews>
    <sheetView workbookViewId="0">
      <selection activeCell="G21" sqref="G21:H21"/>
    </sheetView>
  </sheetViews>
  <sheetFormatPr defaultColWidth="9.140625"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16384" width="9.140625" style="21"/>
  </cols>
  <sheetData>
    <row r="2" spans="1:22" ht="99" customHeight="1">
      <c r="A2" s="2440"/>
      <c r="B2" s="2441"/>
      <c r="C2" s="2441"/>
      <c r="D2" s="2441"/>
      <c r="E2" s="2441"/>
      <c r="F2" s="2441"/>
      <c r="G2" s="2441"/>
      <c r="H2" s="2441"/>
      <c r="I2" s="2441"/>
      <c r="J2" s="2441"/>
      <c r="K2" s="2441"/>
      <c r="L2" s="2441"/>
      <c r="M2" s="2441"/>
      <c r="N2" s="2441"/>
      <c r="O2" s="2441"/>
      <c r="P2" s="2441"/>
      <c r="Q2" s="2442" t="s">
        <v>3705</v>
      </c>
      <c r="R2" s="2441"/>
      <c r="S2" s="2441"/>
      <c r="T2" s="2441"/>
      <c r="U2" s="2441"/>
      <c r="V2" s="1594"/>
    </row>
    <row r="3" spans="1:22">
      <c r="A3" s="2440"/>
      <c r="B3" s="2441"/>
      <c r="C3" s="2441"/>
      <c r="D3" s="2441"/>
      <c r="E3" s="2441"/>
      <c r="F3" s="2441"/>
      <c r="G3" s="2441"/>
      <c r="H3" s="2441"/>
      <c r="I3" s="2441"/>
      <c r="J3" s="2441"/>
      <c r="K3" s="2441"/>
      <c r="L3" s="2441"/>
      <c r="M3" s="2441"/>
      <c r="N3" s="2441"/>
      <c r="O3" s="2441"/>
      <c r="P3" s="2441"/>
      <c r="Q3" s="2442"/>
      <c r="R3" s="2441"/>
      <c r="S3" s="2441"/>
      <c r="T3" s="2441"/>
      <c r="U3" s="2441"/>
      <c r="V3" s="1594"/>
    </row>
    <row r="4" spans="1:22">
      <c r="A4" s="2442"/>
      <c r="B4" s="2441"/>
      <c r="C4" s="2441"/>
      <c r="D4" s="2443" t="s">
        <v>3629</v>
      </c>
      <c r="E4" s="2444"/>
      <c r="F4" s="2444"/>
      <c r="G4" s="2444"/>
      <c r="H4" s="2444"/>
      <c r="I4" s="2444"/>
      <c r="J4" s="2444"/>
      <c r="K4" s="2444"/>
      <c r="L4" s="2444"/>
      <c r="M4" s="2444"/>
      <c r="N4" s="2444"/>
      <c r="O4" s="2444"/>
      <c r="P4" s="2444"/>
      <c r="Q4" s="2444"/>
      <c r="R4" s="2444"/>
      <c r="S4" s="2442"/>
      <c r="T4" s="2441"/>
      <c r="U4" s="2441"/>
      <c r="V4" s="1594"/>
    </row>
    <row r="5" spans="1:22">
      <c r="A5" s="2448" t="s">
        <v>3630</v>
      </c>
      <c r="B5" s="2441"/>
      <c r="C5" s="2441"/>
      <c r="D5" s="2441"/>
      <c r="E5" s="2441"/>
      <c r="F5" s="2441"/>
      <c r="G5" s="2441"/>
      <c r="H5" s="2441"/>
      <c r="I5" s="2441"/>
      <c r="J5" s="2441"/>
      <c r="K5" s="2441"/>
      <c r="L5" s="2441"/>
      <c r="M5" s="2441"/>
      <c r="N5" s="2441"/>
      <c r="O5" s="2441"/>
      <c r="P5" s="2441"/>
      <c r="Q5" s="2441"/>
      <c r="R5" s="2441"/>
      <c r="S5" s="2441"/>
      <c r="T5" s="2441"/>
      <c r="U5" s="2441"/>
      <c r="V5" s="1594"/>
    </row>
    <row r="6" spans="1:22">
      <c r="A6" s="2440"/>
      <c r="B6" s="2441"/>
      <c r="C6" s="2441"/>
      <c r="D6" s="2441"/>
      <c r="E6" s="2441"/>
      <c r="F6" s="2441"/>
      <c r="G6" s="2441"/>
      <c r="H6" s="2441"/>
      <c r="I6" s="2441"/>
      <c r="J6" s="2441"/>
      <c r="K6" s="2441"/>
      <c r="L6" s="2441"/>
      <c r="M6" s="2441"/>
      <c r="N6" s="2441"/>
      <c r="O6" s="2441"/>
      <c r="P6" s="2441"/>
      <c r="Q6" s="2441"/>
      <c r="R6" s="2441"/>
      <c r="S6" s="2441"/>
      <c r="T6" s="2441"/>
      <c r="U6" s="2441"/>
      <c r="V6" s="1594"/>
    </row>
    <row r="7" spans="1:22">
      <c r="A7" s="2442"/>
      <c r="B7" s="2441"/>
      <c r="C7" s="2441"/>
      <c r="D7" s="2449" t="s">
        <v>3706</v>
      </c>
      <c r="E7" s="2444"/>
      <c r="F7" s="2444"/>
      <c r="G7" s="2444"/>
      <c r="H7" s="2444"/>
      <c r="I7" s="2444"/>
      <c r="J7" s="2444"/>
      <c r="K7" s="2444"/>
      <c r="L7" s="2444"/>
      <c r="M7" s="2444"/>
      <c r="N7" s="2444"/>
      <c r="O7" s="2444"/>
      <c r="P7" s="2444"/>
      <c r="Q7" s="2444"/>
      <c r="R7" s="2444"/>
      <c r="S7" s="2442"/>
      <c r="T7" s="2441"/>
      <c r="U7" s="2441"/>
      <c r="V7" s="1594"/>
    </row>
    <row r="8" spans="1:22">
      <c r="A8" s="2448" t="s">
        <v>3632</v>
      </c>
      <c r="B8" s="2441"/>
      <c r="C8" s="2441"/>
      <c r="D8" s="2441"/>
      <c r="E8" s="2441"/>
      <c r="F8" s="2441"/>
      <c r="G8" s="2441"/>
      <c r="H8" s="2441"/>
      <c r="I8" s="2441"/>
      <c r="J8" s="2441"/>
      <c r="K8" s="2441"/>
      <c r="L8" s="2441"/>
      <c r="M8" s="2441"/>
      <c r="N8" s="2441"/>
      <c r="O8" s="2441"/>
      <c r="P8" s="2441"/>
      <c r="Q8" s="2441"/>
      <c r="R8" s="2441"/>
      <c r="S8" s="2441"/>
      <c r="T8" s="2441"/>
      <c r="U8" s="2441"/>
      <c r="V8" s="1594"/>
    </row>
    <row r="9" spans="1:22">
      <c r="A9" s="2445"/>
      <c r="B9" s="2441"/>
      <c r="C9" s="2441"/>
      <c r="D9" s="2441"/>
      <c r="E9" s="2441"/>
      <c r="F9" s="2441"/>
      <c r="G9" s="2441"/>
      <c r="H9" s="2441"/>
      <c r="I9" s="2441"/>
      <c r="J9" s="2441"/>
      <c r="K9" s="2441"/>
      <c r="L9" s="2441"/>
      <c r="M9" s="2441"/>
      <c r="N9" s="2441"/>
      <c r="O9" s="2441"/>
      <c r="P9" s="2441"/>
      <c r="Q9" s="2441"/>
      <c r="R9" s="2441"/>
      <c r="S9" s="2441"/>
      <c r="T9" s="2441"/>
      <c r="U9" s="2441"/>
      <c r="V9" s="1594"/>
    </row>
    <row r="10" spans="1:22">
      <c r="A10" s="2446" t="s">
        <v>3652</v>
      </c>
      <c r="B10" s="2441"/>
      <c r="C10" s="2441"/>
      <c r="D10" s="2441"/>
      <c r="E10" s="2441"/>
      <c r="F10" s="2441"/>
      <c r="G10" s="2441"/>
      <c r="H10" s="2441"/>
      <c r="I10" s="2441"/>
      <c r="J10" s="2441"/>
      <c r="K10" s="2441"/>
      <c r="L10" s="2441"/>
      <c r="M10" s="2441"/>
      <c r="N10" s="2441"/>
      <c r="O10" s="2441"/>
      <c r="P10" s="2441"/>
      <c r="Q10" s="2441"/>
      <c r="R10" s="2441"/>
      <c r="S10" s="2441"/>
      <c r="T10" s="2441"/>
      <c r="U10" s="2441"/>
      <c r="V10" s="1594"/>
    </row>
    <row r="11" spans="1:22">
      <c r="A11" s="2445"/>
      <c r="B11" s="2441"/>
      <c r="C11" s="2441"/>
      <c r="D11" s="2441"/>
      <c r="E11" s="2441"/>
      <c r="F11" s="2441"/>
      <c r="G11" s="2441"/>
      <c r="H11" s="2441"/>
      <c r="I11" s="2441"/>
      <c r="J11" s="2441"/>
      <c r="K11" s="2441"/>
      <c r="L11" s="2441"/>
      <c r="M11" s="2441"/>
      <c r="N11" s="2441"/>
      <c r="O11" s="2441"/>
      <c r="P11" s="2441"/>
      <c r="Q11" s="2441"/>
      <c r="R11" s="2441"/>
      <c r="S11" s="2441"/>
      <c r="T11" s="2441"/>
      <c r="U11" s="2441"/>
      <c r="V11" s="1594"/>
    </row>
    <row r="12" spans="1:22">
      <c r="A12" s="2442"/>
      <c r="B12" s="2441"/>
      <c r="C12" s="2441"/>
      <c r="D12" s="2441"/>
      <c r="E12" s="2441"/>
      <c r="F12" s="2441"/>
      <c r="G12" s="2441"/>
      <c r="H12" s="2447" t="s">
        <v>3707</v>
      </c>
      <c r="I12" s="2444"/>
      <c r="J12" s="2444"/>
      <c r="K12" s="1595" t="s">
        <v>7</v>
      </c>
      <c r="L12" s="2447" t="s">
        <v>3708</v>
      </c>
      <c r="M12" s="2444"/>
      <c r="N12" s="2444"/>
      <c r="O12" s="2442"/>
      <c r="P12" s="2441"/>
      <c r="Q12" s="2441"/>
      <c r="R12" s="2441"/>
      <c r="S12" s="2441"/>
      <c r="T12" s="2441"/>
      <c r="U12" s="2441"/>
      <c r="V12" s="1594"/>
    </row>
    <row r="13" spans="1:22" hidden="1">
      <c r="A13" s="1594"/>
      <c r="B13" s="1594"/>
      <c r="C13" s="1594"/>
      <c r="D13" s="1594"/>
      <c r="E13" s="1594"/>
      <c r="F13" s="1594"/>
      <c r="G13" s="1594"/>
      <c r="H13" s="1594"/>
      <c r="I13" s="1594"/>
      <c r="J13" s="1594"/>
      <c r="K13" s="1594"/>
      <c r="L13" s="1594"/>
      <c r="M13" s="1594"/>
      <c r="N13" s="1594"/>
      <c r="O13" s="1594"/>
      <c r="P13" s="1594"/>
      <c r="Q13" s="1594"/>
      <c r="R13" s="1594"/>
      <c r="S13" s="1594"/>
      <c r="T13" s="1594"/>
      <c r="U13" s="1594"/>
      <c r="V13" s="1594"/>
    </row>
    <row r="14" spans="1:22">
      <c r="A14" s="1594"/>
      <c r="B14" s="1594"/>
      <c r="C14" s="1594"/>
      <c r="D14" s="1594"/>
      <c r="E14" s="1594"/>
      <c r="F14" s="1594"/>
      <c r="G14" s="1594"/>
      <c r="H14" s="1594"/>
      <c r="I14" s="1594"/>
      <c r="J14" s="1594"/>
      <c r="K14" s="1594"/>
      <c r="L14" s="1594"/>
      <c r="M14" s="1594"/>
      <c r="N14" s="1594"/>
      <c r="O14" s="1594"/>
      <c r="P14" s="1594"/>
      <c r="Q14" s="1594"/>
      <c r="R14" s="1594"/>
      <c r="S14" s="1594"/>
      <c r="T14" s="1594"/>
      <c r="U14" s="1594"/>
      <c r="V14" s="1594"/>
    </row>
    <row r="15" spans="1:22">
      <c r="A15" s="2450" t="s">
        <v>1045</v>
      </c>
      <c r="B15" s="2450" t="s">
        <v>50</v>
      </c>
      <c r="C15" s="2450" t="s">
        <v>3635</v>
      </c>
      <c r="D15" s="2453"/>
      <c r="E15" s="2450" t="s">
        <v>3636</v>
      </c>
      <c r="F15" s="2450" t="s">
        <v>3637</v>
      </c>
      <c r="G15" s="2450" t="s">
        <v>3638</v>
      </c>
      <c r="H15" s="2458"/>
      <c r="I15" s="2458"/>
      <c r="J15" s="2458"/>
      <c r="K15" s="2458"/>
      <c r="L15" s="2458"/>
      <c r="M15" s="2458"/>
      <c r="N15" s="2458"/>
      <c r="O15" s="2458"/>
      <c r="P15" s="2458"/>
      <c r="Q15" s="2458"/>
      <c r="R15" s="2458"/>
      <c r="S15" s="2459"/>
      <c r="T15" s="2450" t="s">
        <v>3639</v>
      </c>
      <c r="U15" s="2450" t="s">
        <v>3640</v>
      </c>
      <c r="V15" s="2453"/>
    </row>
    <row r="16" spans="1:22">
      <c r="A16" s="2451"/>
      <c r="B16" s="2451"/>
      <c r="C16" s="2454"/>
      <c r="D16" s="2455"/>
      <c r="E16" s="2451"/>
      <c r="F16" s="2451"/>
      <c r="G16" s="2450" t="s">
        <v>9</v>
      </c>
      <c r="H16" s="2453"/>
      <c r="I16" s="2450" t="s">
        <v>3641</v>
      </c>
      <c r="J16" s="2458"/>
      <c r="K16" s="2458"/>
      <c r="L16" s="2459"/>
      <c r="M16" s="2446" t="s">
        <v>3642</v>
      </c>
      <c r="N16" s="2441"/>
      <c r="O16" s="2441"/>
      <c r="P16" s="2441"/>
      <c r="Q16" s="2441"/>
      <c r="R16" s="2441"/>
      <c r="S16" s="2441"/>
      <c r="T16" s="2451"/>
      <c r="U16" s="2454"/>
      <c r="V16" s="2455"/>
    </row>
    <row r="17" spans="1:22">
      <c r="A17" s="2451"/>
      <c r="B17" s="2451"/>
      <c r="C17" s="2454"/>
      <c r="D17" s="2455"/>
      <c r="E17" s="2451"/>
      <c r="F17" s="2451"/>
      <c r="G17" s="2454"/>
      <c r="H17" s="2455"/>
      <c r="I17" s="2450" t="s">
        <v>3643</v>
      </c>
      <c r="J17" s="2460"/>
      <c r="K17" s="2458"/>
      <c r="L17" s="2458"/>
      <c r="M17" s="2461" t="s">
        <v>3644</v>
      </c>
      <c r="N17" s="2462"/>
      <c r="O17" s="2462"/>
      <c r="P17" s="2462"/>
      <c r="Q17" s="2462"/>
      <c r="R17" s="2462"/>
      <c r="S17" s="2463"/>
      <c r="T17" s="2451"/>
      <c r="U17" s="2454"/>
      <c r="V17" s="2455"/>
    </row>
    <row r="18" spans="1:22">
      <c r="A18" s="2451"/>
      <c r="B18" s="2451"/>
      <c r="C18" s="2454"/>
      <c r="D18" s="2455"/>
      <c r="E18" s="2451"/>
      <c r="F18" s="2451"/>
      <c r="G18" s="2454"/>
      <c r="H18" s="2455"/>
      <c r="I18" s="2451"/>
      <c r="J18" s="2450" t="s">
        <v>3645</v>
      </c>
      <c r="K18" s="2464"/>
      <c r="L18" s="2453"/>
      <c r="M18" s="2450" t="s">
        <v>1974</v>
      </c>
      <c r="N18" s="2458"/>
      <c r="O18" s="2458"/>
      <c r="P18" s="2458"/>
      <c r="Q18" s="2458"/>
      <c r="R18" s="2458"/>
      <c r="S18" s="2459"/>
      <c r="T18" s="2451"/>
      <c r="U18" s="2454"/>
      <c r="V18" s="2455"/>
    </row>
    <row r="19" spans="1:22" ht="51">
      <c r="A19" s="2452"/>
      <c r="B19" s="2452"/>
      <c r="C19" s="2456"/>
      <c r="D19" s="2457"/>
      <c r="E19" s="2452"/>
      <c r="F19" s="2452"/>
      <c r="G19" s="2456"/>
      <c r="H19" s="2457"/>
      <c r="I19" s="2452"/>
      <c r="J19" s="2456"/>
      <c r="K19" s="2444"/>
      <c r="L19" s="2457"/>
      <c r="M19" s="1593" t="s">
        <v>3645</v>
      </c>
      <c r="N19" s="2450" t="s">
        <v>2010</v>
      </c>
      <c r="O19" s="2459"/>
      <c r="P19" s="2450" t="s">
        <v>61</v>
      </c>
      <c r="Q19" s="2459"/>
      <c r="R19" s="2450" t="s">
        <v>60</v>
      </c>
      <c r="S19" s="2459"/>
      <c r="T19" s="2452"/>
      <c r="U19" s="2456"/>
      <c r="V19" s="2457"/>
    </row>
    <row r="20" spans="1:22">
      <c r="A20" s="1592" t="s">
        <v>2024</v>
      </c>
      <c r="B20" s="1592" t="s">
        <v>2534</v>
      </c>
      <c r="C20" s="2465" t="s">
        <v>2535</v>
      </c>
      <c r="D20" s="2459"/>
      <c r="E20" s="1592" t="s">
        <v>2536</v>
      </c>
      <c r="F20" s="1592" t="s">
        <v>2025</v>
      </c>
      <c r="G20" s="2465" t="s">
        <v>2072</v>
      </c>
      <c r="H20" s="2459"/>
      <c r="I20" s="1592" t="s">
        <v>2074</v>
      </c>
      <c r="J20" s="2465" t="s">
        <v>2075</v>
      </c>
      <c r="K20" s="2458"/>
      <c r="L20" s="2459"/>
      <c r="M20" s="1592" t="s">
        <v>2026</v>
      </c>
      <c r="N20" s="2465" t="s">
        <v>1706</v>
      </c>
      <c r="O20" s="2459"/>
      <c r="P20" s="2465" t="s">
        <v>1707</v>
      </c>
      <c r="Q20" s="2459"/>
      <c r="R20" s="2465" t="s">
        <v>1709</v>
      </c>
      <c r="S20" s="2459"/>
      <c r="T20" s="1592" t="s">
        <v>1710</v>
      </c>
      <c r="U20" s="2465" t="s">
        <v>1711</v>
      </c>
      <c r="V20" s="2459"/>
    </row>
    <row r="21" spans="1:22" ht="38.25">
      <c r="A21" s="1590" t="s">
        <v>1052</v>
      </c>
      <c r="B21" s="1590" t="s">
        <v>345</v>
      </c>
      <c r="C21" s="2466" t="s">
        <v>2152</v>
      </c>
      <c r="D21" s="2467"/>
      <c r="E21" s="1590"/>
      <c r="F21" s="1590"/>
      <c r="G21" s="2468">
        <v>879927.06</v>
      </c>
      <c r="H21" s="2467"/>
      <c r="I21" s="1591">
        <v>747938</v>
      </c>
      <c r="J21" s="2468">
        <v>0</v>
      </c>
      <c r="K21" s="2469"/>
      <c r="L21" s="2467"/>
      <c r="M21" s="1591">
        <v>0</v>
      </c>
      <c r="N21" s="2468">
        <v>131989.06</v>
      </c>
      <c r="O21" s="2467"/>
      <c r="P21" s="2468">
        <v>0</v>
      </c>
      <c r="Q21" s="2467"/>
      <c r="R21" s="2468">
        <v>0</v>
      </c>
      <c r="S21" s="2467"/>
      <c r="T21" s="1432">
        <v>42855</v>
      </c>
      <c r="U21" s="2466" t="s">
        <v>3709</v>
      </c>
      <c r="V21" s="2467"/>
    </row>
    <row r="22" spans="1:22" ht="38.25">
      <c r="A22" s="1590" t="s">
        <v>3647</v>
      </c>
      <c r="B22" s="1590" t="s">
        <v>345</v>
      </c>
      <c r="C22" s="2466" t="s">
        <v>3421</v>
      </c>
      <c r="D22" s="2467"/>
      <c r="E22" s="1590"/>
      <c r="F22" s="1590"/>
      <c r="G22" s="2468">
        <v>315614.59999999998</v>
      </c>
      <c r="H22" s="2467"/>
      <c r="I22" s="1591">
        <v>250299</v>
      </c>
      <c r="J22" s="2468">
        <v>0</v>
      </c>
      <c r="K22" s="2469"/>
      <c r="L22" s="2467"/>
      <c r="M22" s="1591">
        <v>0</v>
      </c>
      <c r="N22" s="2468">
        <v>65315.6</v>
      </c>
      <c r="O22" s="2467"/>
      <c r="P22" s="2468">
        <v>0</v>
      </c>
      <c r="Q22" s="2467"/>
      <c r="R22" s="2468">
        <v>0</v>
      </c>
      <c r="S22" s="2467"/>
      <c r="T22" s="1432">
        <v>43342</v>
      </c>
      <c r="U22" s="2466" t="s">
        <v>3709</v>
      </c>
      <c r="V22" s="2467"/>
    </row>
    <row r="23" spans="1:22" ht="58.5" customHeight="1">
      <c r="A23" s="1590" t="s">
        <v>1087</v>
      </c>
      <c r="B23" s="1590" t="s">
        <v>184</v>
      </c>
      <c r="C23" s="2466" t="s">
        <v>2981</v>
      </c>
      <c r="D23" s="2467"/>
      <c r="E23" s="1590"/>
      <c r="F23" s="1590"/>
      <c r="G23" s="2468">
        <v>274817.98</v>
      </c>
      <c r="H23" s="2467"/>
      <c r="I23" s="1591">
        <v>200844</v>
      </c>
      <c r="J23" s="2468">
        <v>0</v>
      </c>
      <c r="K23" s="2469"/>
      <c r="L23" s="2467"/>
      <c r="M23" s="1591">
        <v>0</v>
      </c>
      <c r="N23" s="2468">
        <v>73973.98</v>
      </c>
      <c r="O23" s="2467"/>
      <c r="P23" s="2468">
        <v>0</v>
      </c>
      <c r="Q23" s="2467"/>
      <c r="R23" s="2468">
        <v>0</v>
      </c>
      <c r="S23" s="2467"/>
      <c r="T23" s="1432">
        <v>43252</v>
      </c>
      <c r="U23" s="2466" t="s">
        <v>3709</v>
      </c>
      <c r="V23" s="2467"/>
    </row>
    <row r="24" spans="1:22" ht="38.25">
      <c r="A24" s="1590" t="s">
        <v>843</v>
      </c>
      <c r="B24" s="1590" t="s">
        <v>235</v>
      </c>
      <c r="C24" s="2466" t="s">
        <v>3710</v>
      </c>
      <c r="D24" s="2467"/>
      <c r="E24" s="1590"/>
      <c r="F24" s="1590"/>
      <c r="G24" s="2468">
        <v>1258144.24</v>
      </c>
      <c r="H24" s="2467"/>
      <c r="I24" s="1591">
        <v>384649</v>
      </c>
      <c r="J24" s="2468">
        <v>0</v>
      </c>
      <c r="K24" s="2469"/>
      <c r="L24" s="2467"/>
      <c r="M24" s="1591">
        <v>0</v>
      </c>
      <c r="N24" s="2468">
        <v>873495.24</v>
      </c>
      <c r="O24" s="2467"/>
      <c r="P24" s="2468">
        <v>0</v>
      </c>
      <c r="Q24" s="2467"/>
      <c r="R24" s="2468">
        <v>0</v>
      </c>
      <c r="S24" s="2467"/>
      <c r="T24" s="1432">
        <v>43326</v>
      </c>
      <c r="U24" s="2466" t="s">
        <v>3709</v>
      </c>
      <c r="V24" s="2467"/>
    </row>
    <row r="25" spans="1:22" ht="38.25">
      <c r="A25" s="1590" t="s">
        <v>1070</v>
      </c>
      <c r="B25" s="1590" t="s">
        <v>235</v>
      </c>
      <c r="C25" s="2466" t="s">
        <v>1391</v>
      </c>
      <c r="D25" s="2467"/>
      <c r="E25" s="1590"/>
      <c r="F25" s="1590"/>
      <c r="G25" s="2468">
        <v>343390.47</v>
      </c>
      <c r="H25" s="2467"/>
      <c r="I25" s="1591">
        <v>112989</v>
      </c>
      <c r="J25" s="2468">
        <v>0</v>
      </c>
      <c r="K25" s="2469"/>
      <c r="L25" s="2467"/>
      <c r="M25" s="1591">
        <v>0</v>
      </c>
      <c r="N25" s="2468">
        <v>230401.47</v>
      </c>
      <c r="O25" s="2467"/>
      <c r="P25" s="2468">
        <v>0</v>
      </c>
      <c r="Q25" s="2467"/>
      <c r="R25" s="2468">
        <v>0</v>
      </c>
      <c r="S25" s="2467"/>
      <c r="T25" s="1432">
        <v>43496</v>
      </c>
      <c r="U25" s="2466" t="s">
        <v>3709</v>
      </c>
      <c r="V25" s="2467"/>
    </row>
    <row r="26" spans="1:22" ht="38.25">
      <c r="A26" s="1590" t="s">
        <v>1093</v>
      </c>
      <c r="B26" s="1590" t="s">
        <v>161</v>
      </c>
      <c r="C26" s="2466" t="s">
        <v>318</v>
      </c>
      <c r="D26" s="2467"/>
      <c r="E26" s="1590"/>
      <c r="F26" s="1590"/>
      <c r="G26" s="2468">
        <v>759934</v>
      </c>
      <c r="H26" s="2467"/>
      <c r="I26" s="1591">
        <v>645944</v>
      </c>
      <c r="J26" s="2468">
        <v>0</v>
      </c>
      <c r="K26" s="2469"/>
      <c r="L26" s="2467"/>
      <c r="M26" s="1591">
        <v>0</v>
      </c>
      <c r="N26" s="2468">
        <v>113990</v>
      </c>
      <c r="O26" s="2467"/>
      <c r="P26" s="2468">
        <v>0</v>
      </c>
      <c r="Q26" s="2467"/>
      <c r="R26" s="2468">
        <v>0</v>
      </c>
      <c r="S26" s="2467"/>
      <c r="T26" s="1432">
        <v>43130</v>
      </c>
      <c r="U26" s="2466" t="s">
        <v>3709</v>
      </c>
      <c r="V26" s="2467"/>
    </row>
    <row r="27" spans="1:22" ht="39" thickBot="1">
      <c r="A27" s="1590" t="s">
        <v>1094</v>
      </c>
      <c r="B27" s="1590" t="s">
        <v>282</v>
      </c>
      <c r="C27" s="2466" t="s">
        <v>2160</v>
      </c>
      <c r="D27" s="2467"/>
      <c r="E27" s="1590"/>
      <c r="F27" s="1590"/>
      <c r="G27" s="2468">
        <v>835464</v>
      </c>
      <c r="H27" s="2467"/>
      <c r="I27" s="1591">
        <v>710144</v>
      </c>
      <c r="J27" s="2468">
        <v>0</v>
      </c>
      <c r="K27" s="2469"/>
      <c r="L27" s="2467"/>
      <c r="M27" s="1591">
        <v>62660</v>
      </c>
      <c r="N27" s="2468">
        <v>62660</v>
      </c>
      <c r="O27" s="2467"/>
      <c r="P27" s="2468">
        <v>0</v>
      </c>
      <c r="Q27" s="2467"/>
      <c r="R27" s="2468">
        <v>0</v>
      </c>
      <c r="S27" s="2467"/>
      <c r="T27" s="1432">
        <v>42887</v>
      </c>
      <c r="U27" s="2466" t="s">
        <v>3709</v>
      </c>
      <c r="V27" s="2467"/>
    </row>
    <row r="28" spans="1:22">
      <c r="A28" s="2470" t="s">
        <v>3649</v>
      </c>
      <c r="B28" s="2471"/>
      <c r="C28" s="2471"/>
      <c r="D28" s="2471"/>
      <c r="E28" s="2471"/>
      <c r="F28" s="2472"/>
      <c r="G28" s="2475" t="s">
        <v>3711</v>
      </c>
      <c r="H28" s="2472"/>
      <c r="I28" s="1589">
        <v>3052807</v>
      </c>
      <c r="J28" s="2475">
        <v>0</v>
      </c>
      <c r="K28" s="2471"/>
      <c r="L28" s="2472"/>
      <c r="M28" s="1589">
        <v>62660</v>
      </c>
      <c r="N28" s="2475" t="s">
        <v>3712</v>
      </c>
      <c r="O28" s="2472"/>
      <c r="P28" s="2475">
        <v>0</v>
      </c>
      <c r="Q28" s="2472"/>
      <c r="R28" s="2475">
        <v>0</v>
      </c>
      <c r="S28" s="2472"/>
      <c r="T28" s="2470"/>
      <c r="U28" s="2471"/>
      <c r="V28" s="2472"/>
    </row>
    <row r="29" spans="1:22">
      <c r="A29" s="2473" t="s">
        <v>3650</v>
      </c>
      <c r="B29" s="2458"/>
      <c r="C29" s="2458"/>
      <c r="D29" s="2458"/>
      <c r="E29" s="2458"/>
      <c r="F29" s="2458"/>
      <c r="G29" s="2458"/>
      <c r="H29" s="2459"/>
      <c r="I29" s="2474">
        <v>3052809</v>
      </c>
      <c r="J29" s="2458"/>
      <c r="K29" s="2458"/>
      <c r="L29" s="2458"/>
      <c r="M29" s="2458"/>
      <c r="N29" s="2458"/>
      <c r="O29" s="2458"/>
      <c r="P29" s="2458"/>
      <c r="Q29" s="2458"/>
      <c r="R29" s="2458"/>
      <c r="S29" s="2458"/>
      <c r="T29" s="2458"/>
      <c r="U29" s="2458"/>
      <c r="V29" s="2459"/>
    </row>
    <row r="30" spans="1:22">
      <c r="A30" s="1594"/>
      <c r="B30" s="1594"/>
      <c r="C30" s="1594"/>
      <c r="D30" s="1594"/>
      <c r="E30" s="1594"/>
      <c r="F30" s="1594"/>
      <c r="G30" s="1594"/>
      <c r="H30" s="1594"/>
      <c r="I30" s="1594"/>
      <c r="J30" s="1594"/>
      <c r="K30" s="1594"/>
      <c r="L30" s="1594"/>
      <c r="M30" s="1594"/>
      <c r="N30" s="1594"/>
      <c r="O30" s="1594"/>
      <c r="P30" s="1594"/>
      <c r="Q30" s="1594"/>
      <c r="R30" s="1594"/>
      <c r="S30" s="1594"/>
      <c r="T30" s="1594"/>
      <c r="U30" s="1594"/>
      <c r="V30" s="1594"/>
    </row>
  </sheetData>
  <mergeCells count="104">
    <mergeCell ref="T28:V28"/>
    <mergeCell ref="A29:H29"/>
    <mergeCell ref="I29:V29"/>
    <mergeCell ref="A28:F28"/>
    <mergeCell ref="G28:H28"/>
    <mergeCell ref="J28:L28"/>
    <mergeCell ref="N28:O28"/>
    <mergeCell ref="P28:Q28"/>
    <mergeCell ref="R28:S28"/>
    <mergeCell ref="U26:V26"/>
    <mergeCell ref="C27:D27"/>
    <mergeCell ref="G27:H27"/>
    <mergeCell ref="J27:L27"/>
    <mergeCell ref="N27:O27"/>
    <mergeCell ref="P27:Q27"/>
    <mergeCell ref="R27:S27"/>
    <mergeCell ref="U27:V27"/>
    <mergeCell ref="C26:D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A15:A19"/>
    <mergeCell ref="B15:B19"/>
    <mergeCell ref="C15:D19"/>
    <mergeCell ref="E15:E19"/>
    <mergeCell ref="F15:F19"/>
    <mergeCell ref="G15:S15"/>
    <mergeCell ref="N19:O19"/>
    <mergeCell ref="P19:Q19"/>
    <mergeCell ref="R19:S19"/>
    <mergeCell ref="A11:U11"/>
    <mergeCell ref="A12:G12"/>
    <mergeCell ref="H12:J12"/>
    <mergeCell ref="L12:N12"/>
    <mergeCell ref="O12:U12"/>
    <mergeCell ref="A5:U5"/>
    <mergeCell ref="A6:U6"/>
    <mergeCell ref="A7:C7"/>
    <mergeCell ref="D7:R7"/>
    <mergeCell ref="S7:U7"/>
    <mergeCell ref="A8:U8"/>
    <mergeCell ref="A2:P2"/>
    <mergeCell ref="Q2:U2"/>
    <mergeCell ref="A3:P3"/>
    <mergeCell ref="Q3:U3"/>
    <mergeCell ref="A4:C4"/>
    <mergeCell ref="D4:R4"/>
    <mergeCell ref="S4:U4"/>
    <mergeCell ref="A9:U9"/>
    <mergeCell ref="A10:U10"/>
  </mergeCell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V33"/>
  <sheetViews>
    <sheetView workbookViewId="0">
      <selection activeCell="M18" sqref="M18:S18"/>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6.140625" style="21" customWidth="1"/>
    <col min="10" max="10" width="1" style="21" customWidth="1"/>
    <col min="11" max="11" width="7.140625" style="21" customWidth="1"/>
    <col min="12" max="12" width="7.7109375" style="21" customWidth="1"/>
    <col min="13" max="13" width="16.7109375" style="21" customWidth="1"/>
    <col min="14" max="14" width="1.85546875" style="21" customWidth="1"/>
    <col min="15" max="15" width="10.85546875" style="21" customWidth="1"/>
    <col min="16" max="16" width="11.85546875" style="21" customWidth="1"/>
    <col min="17" max="17" width="2.85546875" style="21" customWidth="1"/>
    <col min="18" max="18" width="10.7109375" style="21" customWidth="1"/>
    <col min="19" max="19" width="3.85546875" style="21" customWidth="1"/>
    <col min="20" max="20" width="13.28515625" style="21" customWidth="1"/>
    <col min="21" max="21" width="19" style="21" customWidth="1"/>
    <col min="22" max="22" width="22.8554687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6.140625" style="21" customWidth="1"/>
    <col min="266" max="266" width="1" style="21" customWidth="1"/>
    <col min="267" max="267" width="7.140625" style="21" customWidth="1"/>
    <col min="268" max="268" width="7.7109375" style="21" customWidth="1"/>
    <col min="269" max="269" width="16.7109375" style="21" customWidth="1"/>
    <col min="270" max="270" width="1.85546875" style="21" customWidth="1"/>
    <col min="271" max="271" width="10.85546875" style="21" customWidth="1"/>
    <col min="272" max="272" width="11.85546875" style="21" customWidth="1"/>
    <col min="273" max="273" width="2.85546875" style="21" customWidth="1"/>
    <col min="274" max="274" width="10.7109375" style="21" customWidth="1"/>
    <col min="275" max="275" width="3.85546875" style="21" customWidth="1"/>
    <col min="276" max="276" width="13.28515625" style="21" customWidth="1"/>
    <col min="277" max="277" width="19" style="21" customWidth="1"/>
    <col min="278" max="278" width="22.8554687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6.140625" style="21" customWidth="1"/>
    <col min="522" max="522" width="1" style="21" customWidth="1"/>
    <col min="523" max="523" width="7.140625" style="21" customWidth="1"/>
    <col min="524" max="524" width="7.7109375" style="21" customWidth="1"/>
    <col min="525" max="525" width="16.7109375" style="21" customWidth="1"/>
    <col min="526" max="526" width="1.85546875" style="21" customWidth="1"/>
    <col min="527" max="527" width="10.85546875" style="21" customWidth="1"/>
    <col min="528" max="528" width="11.85546875" style="21" customWidth="1"/>
    <col min="529" max="529" width="2.85546875" style="21" customWidth="1"/>
    <col min="530" max="530" width="10.7109375" style="21" customWidth="1"/>
    <col min="531" max="531" width="3.85546875" style="21" customWidth="1"/>
    <col min="532" max="532" width="13.28515625" style="21" customWidth="1"/>
    <col min="533" max="533" width="19" style="21" customWidth="1"/>
    <col min="534" max="534" width="22.8554687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6.140625" style="21" customWidth="1"/>
    <col min="778" max="778" width="1" style="21" customWidth="1"/>
    <col min="779" max="779" width="7.140625" style="21" customWidth="1"/>
    <col min="780" max="780" width="7.7109375" style="21" customWidth="1"/>
    <col min="781" max="781" width="16.7109375" style="21" customWidth="1"/>
    <col min="782" max="782" width="1.85546875" style="21" customWidth="1"/>
    <col min="783" max="783" width="10.85546875" style="21" customWidth="1"/>
    <col min="784" max="784" width="11.85546875" style="21" customWidth="1"/>
    <col min="785" max="785" width="2.85546875" style="21" customWidth="1"/>
    <col min="786" max="786" width="10.7109375" style="21" customWidth="1"/>
    <col min="787" max="787" width="3.85546875" style="21" customWidth="1"/>
    <col min="788" max="788" width="13.28515625" style="21" customWidth="1"/>
    <col min="789" max="789" width="19" style="21" customWidth="1"/>
    <col min="790" max="790" width="22.8554687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6.140625" style="21" customWidth="1"/>
    <col min="1034" max="1034" width="1" style="21" customWidth="1"/>
    <col min="1035" max="1035" width="7.140625" style="21" customWidth="1"/>
    <col min="1036" max="1036" width="7.7109375" style="21" customWidth="1"/>
    <col min="1037" max="1037" width="16.7109375" style="21" customWidth="1"/>
    <col min="1038" max="1038" width="1.85546875" style="21" customWidth="1"/>
    <col min="1039" max="1039" width="10.85546875" style="21" customWidth="1"/>
    <col min="1040" max="1040" width="11.85546875" style="21" customWidth="1"/>
    <col min="1041" max="1041" width="2.85546875" style="21" customWidth="1"/>
    <col min="1042" max="1042" width="10.7109375" style="21" customWidth="1"/>
    <col min="1043" max="1043" width="3.85546875" style="21" customWidth="1"/>
    <col min="1044" max="1044" width="13.28515625" style="21" customWidth="1"/>
    <col min="1045" max="1045" width="19" style="21" customWidth="1"/>
    <col min="1046" max="1046" width="22.8554687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6.140625" style="21" customWidth="1"/>
    <col min="1290" max="1290" width="1" style="21" customWidth="1"/>
    <col min="1291" max="1291" width="7.140625" style="21" customWidth="1"/>
    <col min="1292" max="1292" width="7.7109375" style="21" customWidth="1"/>
    <col min="1293" max="1293" width="16.7109375" style="21" customWidth="1"/>
    <col min="1294" max="1294" width="1.85546875" style="21" customWidth="1"/>
    <col min="1295" max="1295" width="10.85546875" style="21" customWidth="1"/>
    <col min="1296" max="1296" width="11.85546875" style="21" customWidth="1"/>
    <col min="1297" max="1297" width="2.85546875" style="21" customWidth="1"/>
    <col min="1298" max="1298" width="10.7109375" style="21" customWidth="1"/>
    <col min="1299" max="1299" width="3.85546875" style="21" customWidth="1"/>
    <col min="1300" max="1300" width="13.28515625" style="21" customWidth="1"/>
    <col min="1301" max="1301" width="19" style="21" customWidth="1"/>
    <col min="1302" max="1302" width="22.8554687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6.140625" style="21" customWidth="1"/>
    <col min="1546" max="1546" width="1" style="21" customWidth="1"/>
    <col min="1547" max="1547" width="7.140625" style="21" customWidth="1"/>
    <col min="1548" max="1548" width="7.7109375" style="21" customWidth="1"/>
    <col min="1549" max="1549" width="16.7109375" style="21" customWidth="1"/>
    <col min="1550" max="1550" width="1.85546875" style="21" customWidth="1"/>
    <col min="1551" max="1551" width="10.85546875" style="21" customWidth="1"/>
    <col min="1552" max="1552" width="11.85546875" style="21" customWidth="1"/>
    <col min="1553" max="1553" width="2.85546875" style="21" customWidth="1"/>
    <col min="1554" max="1554" width="10.7109375" style="21" customWidth="1"/>
    <col min="1555" max="1555" width="3.85546875" style="21" customWidth="1"/>
    <col min="1556" max="1556" width="13.28515625" style="21" customWidth="1"/>
    <col min="1557" max="1557" width="19" style="21" customWidth="1"/>
    <col min="1558" max="1558" width="22.8554687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6.140625" style="21" customWidth="1"/>
    <col min="1802" max="1802" width="1" style="21" customWidth="1"/>
    <col min="1803" max="1803" width="7.140625" style="21" customWidth="1"/>
    <col min="1804" max="1804" width="7.7109375" style="21" customWidth="1"/>
    <col min="1805" max="1805" width="16.7109375" style="21" customWidth="1"/>
    <col min="1806" max="1806" width="1.85546875" style="21" customWidth="1"/>
    <col min="1807" max="1807" width="10.85546875" style="21" customWidth="1"/>
    <col min="1808" max="1808" width="11.85546875" style="21" customWidth="1"/>
    <col min="1809" max="1809" width="2.85546875" style="21" customWidth="1"/>
    <col min="1810" max="1810" width="10.7109375" style="21" customWidth="1"/>
    <col min="1811" max="1811" width="3.85546875" style="21" customWidth="1"/>
    <col min="1812" max="1812" width="13.28515625" style="21" customWidth="1"/>
    <col min="1813" max="1813" width="19" style="21" customWidth="1"/>
    <col min="1814" max="1814" width="22.8554687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6.140625" style="21" customWidth="1"/>
    <col min="2058" max="2058" width="1" style="21" customWidth="1"/>
    <col min="2059" max="2059" width="7.140625" style="21" customWidth="1"/>
    <col min="2060" max="2060" width="7.7109375" style="21" customWidth="1"/>
    <col min="2061" max="2061" width="16.7109375" style="21" customWidth="1"/>
    <col min="2062" max="2062" width="1.85546875" style="21" customWidth="1"/>
    <col min="2063" max="2063" width="10.85546875" style="21" customWidth="1"/>
    <col min="2064" max="2064" width="11.85546875" style="21" customWidth="1"/>
    <col min="2065" max="2065" width="2.85546875" style="21" customWidth="1"/>
    <col min="2066" max="2066" width="10.7109375" style="21" customWidth="1"/>
    <col min="2067" max="2067" width="3.85546875" style="21" customWidth="1"/>
    <col min="2068" max="2068" width="13.28515625" style="21" customWidth="1"/>
    <col min="2069" max="2069" width="19" style="21" customWidth="1"/>
    <col min="2070" max="2070" width="22.8554687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6.140625" style="21" customWidth="1"/>
    <col min="2314" max="2314" width="1" style="21" customWidth="1"/>
    <col min="2315" max="2315" width="7.140625" style="21" customWidth="1"/>
    <col min="2316" max="2316" width="7.7109375" style="21" customWidth="1"/>
    <col min="2317" max="2317" width="16.7109375" style="21" customWidth="1"/>
    <col min="2318" max="2318" width="1.85546875" style="21" customWidth="1"/>
    <col min="2319" max="2319" width="10.85546875" style="21" customWidth="1"/>
    <col min="2320" max="2320" width="11.85546875" style="21" customWidth="1"/>
    <col min="2321" max="2321" width="2.85546875" style="21" customWidth="1"/>
    <col min="2322" max="2322" width="10.7109375" style="21" customWidth="1"/>
    <col min="2323" max="2323" width="3.85546875" style="21" customWidth="1"/>
    <col min="2324" max="2324" width="13.28515625" style="21" customWidth="1"/>
    <col min="2325" max="2325" width="19" style="21" customWidth="1"/>
    <col min="2326" max="2326" width="22.8554687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6.140625" style="21" customWidth="1"/>
    <col min="2570" max="2570" width="1" style="21" customWidth="1"/>
    <col min="2571" max="2571" width="7.140625" style="21" customWidth="1"/>
    <col min="2572" max="2572" width="7.7109375" style="21" customWidth="1"/>
    <col min="2573" max="2573" width="16.7109375" style="21" customWidth="1"/>
    <col min="2574" max="2574" width="1.85546875" style="21" customWidth="1"/>
    <col min="2575" max="2575" width="10.85546875" style="21" customWidth="1"/>
    <col min="2576" max="2576" width="11.85546875" style="21" customWidth="1"/>
    <col min="2577" max="2577" width="2.85546875" style="21" customWidth="1"/>
    <col min="2578" max="2578" width="10.7109375" style="21" customWidth="1"/>
    <col min="2579" max="2579" width="3.85546875" style="21" customWidth="1"/>
    <col min="2580" max="2580" width="13.28515625" style="21" customWidth="1"/>
    <col min="2581" max="2581" width="19" style="21" customWidth="1"/>
    <col min="2582" max="2582" width="22.8554687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6.140625" style="21" customWidth="1"/>
    <col min="2826" max="2826" width="1" style="21" customWidth="1"/>
    <col min="2827" max="2827" width="7.140625" style="21" customWidth="1"/>
    <col min="2828" max="2828" width="7.7109375" style="21" customWidth="1"/>
    <col min="2829" max="2829" width="16.7109375" style="21" customWidth="1"/>
    <col min="2830" max="2830" width="1.85546875" style="21" customWidth="1"/>
    <col min="2831" max="2831" width="10.85546875" style="21" customWidth="1"/>
    <col min="2832" max="2832" width="11.85546875" style="21" customWidth="1"/>
    <col min="2833" max="2833" width="2.85546875" style="21" customWidth="1"/>
    <col min="2834" max="2834" width="10.7109375" style="21" customWidth="1"/>
    <col min="2835" max="2835" width="3.85546875" style="21" customWidth="1"/>
    <col min="2836" max="2836" width="13.28515625" style="21" customWidth="1"/>
    <col min="2837" max="2837" width="19" style="21" customWidth="1"/>
    <col min="2838" max="2838" width="22.8554687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6.140625" style="21" customWidth="1"/>
    <col min="3082" max="3082" width="1" style="21" customWidth="1"/>
    <col min="3083" max="3083" width="7.140625" style="21" customWidth="1"/>
    <col min="3084" max="3084" width="7.7109375" style="21" customWidth="1"/>
    <col min="3085" max="3085" width="16.7109375" style="21" customWidth="1"/>
    <col min="3086" max="3086" width="1.85546875" style="21" customWidth="1"/>
    <col min="3087" max="3087" width="10.85546875" style="21" customWidth="1"/>
    <col min="3088" max="3088" width="11.85546875" style="21" customWidth="1"/>
    <col min="3089" max="3089" width="2.85546875" style="21" customWidth="1"/>
    <col min="3090" max="3090" width="10.7109375" style="21" customWidth="1"/>
    <col min="3091" max="3091" width="3.85546875" style="21" customWidth="1"/>
    <col min="3092" max="3092" width="13.28515625" style="21" customWidth="1"/>
    <col min="3093" max="3093" width="19" style="21" customWidth="1"/>
    <col min="3094" max="3094" width="22.8554687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6.140625" style="21" customWidth="1"/>
    <col min="3338" max="3338" width="1" style="21" customWidth="1"/>
    <col min="3339" max="3339" width="7.140625" style="21" customWidth="1"/>
    <col min="3340" max="3340" width="7.7109375" style="21" customWidth="1"/>
    <col min="3341" max="3341" width="16.7109375" style="21" customWidth="1"/>
    <col min="3342" max="3342" width="1.85546875" style="21" customWidth="1"/>
    <col min="3343" max="3343" width="10.85546875" style="21" customWidth="1"/>
    <col min="3344" max="3344" width="11.85546875" style="21" customWidth="1"/>
    <col min="3345" max="3345" width="2.85546875" style="21" customWidth="1"/>
    <col min="3346" max="3346" width="10.7109375" style="21" customWidth="1"/>
    <col min="3347" max="3347" width="3.85546875" style="21" customWidth="1"/>
    <col min="3348" max="3348" width="13.28515625" style="21" customWidth="1"/>
    <col min="3349" max="3349" width="19" style="21" customWidth="1"/>
    <col min="3350" max="3350" width="22.8554687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6.140625" style="21" customWidth="1"/>
    <col min="3594" max="3594" width="1" style="21" customWidth="1"/>
    <col min="3595" max="3595" width="7.140625" style="21" customWidth="1"/>
    <col min="3596" max="3596" width="7.7109375" style="21" customWidth="1"/>
    <col min="3597" max="3597" width="16.7109375" style="21" customWidth="1"/>
    <col min="3598" max="3598" width="1.85546875" style="21" customWidth="1"/>
    <col min="3599" max="3599" width="10.85546875" style="21" customWidth="1"/>
    <col min="3600" max="3600" width="11.85546875" style="21" customWidth="1"/>
    <col min="3601" max="3601" width="2.85546875" style="21" customWidth="1"/>
    <col min="3602" max="3602" width="10.7109375" style="21" customWidth="1"/>
    <col min="3603" max="3603" width="3.85546875" style="21" customWidth="1"/>
    <col min="3604" max="3604" width="13.28515625" style="21" customWidth="1"/>
    <col min="3605" max="3605" width="19" style="21" customWidth="1"/>
    <col min="3606" max="3606" width="22.8554687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6.140625" style="21" customWidth="1"/>
    <col min="3850" max="3850" width="1" style="21" customWidth="1"/>
    <col min="3851" max="3851" width="7.140625" style="21" customWidth="1"/>
    <col min="3852" max="3852" width="7.7109375" style="21" customWidth="1"/>
    <col min="3853" max="3853" width="16.7109375" style="21" customWidth="1"/>
    <col min="3854" max="3854" width="1.85546875" style="21" customWidth="1"/>
    <col min="3855" max="3855" width="10.85546875" style="21" customWidth="1"/>
    <col min="3856" max="3856" width="11.85546875" style="21" customWidth="1"/>
    <col min="3857" max="3857" width="2.85546875" style="21" customWidth="1"/>
    <col min="3858" max="3858" width="10.7109375" style="21" customWidth="1"/>
    <col min="3859" max="3859" width="3.85546875" style="21" customWidth="1"/>
    <col min="3860" max="3860" width="13.28515625" style="21" customWidth="1"/>
    <col min="3861" max="3861" width="19" style="21" customWidth="1"/>
    <col min="3862" max="3862" width="22.8554687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6.140625" style="21" customWidth="1"/>
    <col min="4106" max="4106" width="1" style="21" customWidth="1"/>
    <col min="4107" max="4107" width="7.140625" style="21" customWidth="1"/>
    <col min="4108" max="4108" width="7.7109375" style="21" customWidth="1"/>
    <col min="4109" max="4109" width="16.7109375" style="21" customWidth="1"/>
    <col min="4110" max="4110" width="1.85546875" style="21" customWidth="1"/>
    <col min="4111" max="4111" width="10.85546875" style="21" customWidth="1"/>
    <col min="4112" max="4112" width="11.85546875" style="21" customWidth="1"/>
    <col min="4113" max="4113" width="2.85546875" style="21" customWidth="1"/>
    <col min="4114" max="4114" width="10.7109375" style="21" customWidth="1"/>
    <col min="4115" max="4115" width="3.85546875" style="21" customWidth="1"/>
    <col min="4116" max="4116" width="13.28515625" style="21" customWidth="1"/>
    <col min="4117" max="4117" width="19" style="21" customWidth="1"/>
    <col min="4118" max="4118" width="22.8554687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6.140625" style="21" customWidth="1"/>
    <col min="4362" max="4362" width="1" style="21" customWidth="1"/>
    <col min="4363" max="4363" width="7.140625" style="21" customWidth="1"/>
    <col min="4364" max="4364" width="7.7109375" style="21" customWidth="1"/>
    <col min="4365" max="4365" width="16.7109375" style="21" customWidth="1"/>
    <col min="4366" max="4366" width="1.85546875" style="21" customWidth="1"/>
    <col min="4367" max="4367" width="10.85546875" style="21" customWidth="1"/>
    <col min="4368" max="4368" width="11.85546875" style="21" customWidth="1"/>
    <col min="4369" max="4369" width="2.85546875" style="21" customWidth="1"/>
    <col min="4370" max="4370" width="10.7109375" style="21" customWidth="1"/>
    <col min="4371" max="4371" width="3.85546875" style="21" customWidth="1"/>
    <col min="4372" max="4372" width="13.28515625" style="21" customWidth="1"/>
    <col min="4373" max="4373" width="19" style="21" customWidth="1"/>
    <col min="4374" max="4374" width="22.8554687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6.140625" style="21" customWidth="1"/>
    <col min="4618" max="4618" width="1" style="21" customWidth="1"/>
    <col min="4619" max="4619" width="7.140625" style="21" customWidth="1"/>
    <col min="4620" max="4620" width="7.7109375" style="21" customWidth="1"/>
    <col min="4621" max="4621" width="16.7109375" style="21" customWidth="1"/>
    <col min="4622" max="4622" width="1.85546875" style="21" customWidth="1"/>
    <col min="4623" max="4623" width="10.85546875" style="21" customWidth="1"/>
    <col min="4624" max="4624" width="11.85546875" style="21" customWidth="1"/>
    <col min="4625" max="4625" width="2.85546875" style="21" customWidth="1"/>
    <col min="4626" max="4626" width="10.7109375" style="21" customWidth="1"/>
    <col min="4627" max="4627" width="3.85546875" style="21" customWidth="1"/>
    <col min="4628" max="4628" width="13.28515625" style="21" customWidth="1"/>
    <col min="4629" max="4629" width="19" style="21" customWidth="1"/>
    <col min="4630" max="4630" width="22.8554687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6.140625" style="21" customWidth="1"/>
    <col min="4874" max="4874" width="1" style="21" customWidth="1"/>
    <col min="4875" max="4875" width="7.140625" style="21" customWidth="1"/>
    <col min="4876" max="4876" width="7.7109375" style="21" customWidth="1"/>
    <col min="4877" max="4877" width="16.7109375" style="21" customWidth="1"/>
    <col min="4878" max="4878" width="1.85546875" style="21" customWidth="1"/>
    <col min="4879" max="4879" width="10.85546875" style="21" customWidth="1"/>
    <col min="4880" max="4880" width="11.85546875" style="21" customWidth="1"/>
    <col min="4881" max="4881" width="2.85546875" style="21" customWidth="1"/>
    <col min="4882" max="4882" width="10.7109375" style="21" customWidth="1"/>
    <col min="4883" max="4883" width="3.85546875" style="21" customWidth="1"/>
    <col min="4884" max="4884" width="13.28515625" style="21" customWidth="1"/>
    <col min="4885" max="4885" width="19" style="21" customWidth="1"/>
    <col min="4886" max="4886" width="22.8554687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6.140625" style="21" customWidth="1"/>
    <col min="5130" max="5130" width="1" style="21" customWidth="1"/>
    <col min="5131" max="5131" width="7.140625" style="21" customWidth="1"/>
    <col min="5132" max="5132" width="7.7109375" style="21" customWidth="1"/>
    <col min="5133" max="5133" width="16.7109375" style="21" customWidth="1"/>
    <col min="5134" max="5134" width="1.85546875" style="21" customWidth="1"/>
    <col min="5135" max="5135" width="10.85546875" style="21" customWidth="1"/>
    <col min="5136" max="5136" width="11.85546875" style="21" customWidth="1"/>
    <col min="5137" max="5137" width="2.85546875" style="21" customWidth="1"/>
    <col min="5138" max="5138" width="10.7109375" style="21" customWidth="1"/>
    <col min="5139" max="5139" width="3.85546875" style="21" customWidth="1"/>
    <col min="5140" max="5140" width="13.28515625" style="21" customWidth="1"/>
    <col min="5141" max="5141" width="19" style="21" customWidth="1"/>
    <col min="5142" max="5142" width="22.8554687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6.140625" style="21" customWidth="1"/>
    <col min="5386" max="5386" width="1" style="21" customWidth="1"/>
    <col min="5387" max="5387" width="7.140625" style="21" customWidth="1"/>
    <col min="5388" max="5388" width="7.7109375" style="21" customWidth="1"/>
    <col min="5389" max="5389" width="16.7109375" style="21" customWidth="1"/>
    <col min="5390" max="5390" width="1.85546875" style="21" customWidth="1"/>
    <col min="5391" max="5391" width="10.85546875" style="21" customWidth="1"/>
    <col min="5392" max="5392" width="11.85546875" style="21" customWidth="1"/>
    <col min="5393" max="5393" width="2.85546875" style="21" customWidth="1"/>
    <col min="5394" max="5394" width="10.7109375" style="21" customWidth="1"/>
    <col min="5395" max="5395" width="3.85546875" style="21" customWidth="1"/>
    <col min="5396" max="5396" width="13.28515625" style="21" customWidth="1"/>
    <col min="5397" max="5397" width="19" style="21" customWidth="1"/>
    <col min="5398" max="5398" width="22.8554687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6.140625" style="21" customWidth="1"/>
    <col min="5642" max="5642" width="1" style="21" customWidth="1"/>
    <col min="5643" max="5643" width="7.140625" style="21" customWidth="1"/>
    <col min="5644" max="5644" width="7.7109375" style="21" customWidth="1"/>
    <col min="5645" max="5645" width="16.7109375" style="21" customWidth="1"/>
    <col min="5646" max="5646" width="1.85546875" style="21" customWidth="1"/>
    <col min="5647" max="5647" width="10.85546875" style="21" customWidth="1"/>
    <col min="5648" max="5648" width="11.85546875" style="21" customWidth="1"/>
    <col min="5649" max="5649" width="2.85546875" style="21" customWidth="1"/>
    <col min="5650" max="5650" width="10.7109375" style="21" customWidth="1"/>
    <col min="5651" max="5651" width="3.85546875" style="21" customWidth="1"/>
    <col min="5652" max="5652" width="13.28515625" style="21" customWidth="1"/>
    <col min="5653" max="5653" width="19" style="21" customWidth="1"/>
    <col min="5654" max="5654" width="22.8554687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6.140625" style="21" customWidth="1"/>
    <col min="5898" max="5898" width="1" style="21" customWidth="1"/>
    <col min="5899" max="5899" width="7.140625" style="21" customWidth="1"/>
    <col min="5900" max="5900" width="7.7109375" style="21" customWidth="1"/>
    <col min="5901" max="5901" width="16.7109375" style="21" customWidth="1"/>
    <col min="5902" max="5902" width="1.85546875" style="21" customWidth="1"/>
    <col min="5903" max="5903" width="10.85546875" style="21" customWidth="1"/>
    <col min="5904" max="5904" width="11.85546875" style="21" customWidth="1"/>
    <col min="5905" max="5905" width="2.85546875" style="21" customWidth="1"/>
    <col min="5906" max="5906" width="10.7109375" style="21" customWidth="1"/>
    <col min="5907" max="5907" width="3.85546875" style="21" customWidth="1"/>
    <col min="5908" max="5908" width="13.28515625" style="21" customWidth="1"/>
    <col min="5909" max="5909" width="19" style="21" customWidth="1"/>
    <col min="5910" max="5910" width="22.8554687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6.140625" style="21" customWidth="1"/>
    <col min="6154" max="6154" width="1" style="21" customWidth="1"/>
    <col min="6155" max="6155" width="7.140625" style="21" customWidth="1"/>
    <col min="6156" max="6156" width="7.7109375" style="21" customWidth="1"/>
    <col min="6157" max="6157" width="16.7109375" style="21" customWidth="1"/>
    <col min="6158" max="6158" width="1.85546875" style="21" customWidth="1"/>
    <col min="6159" max="6159" width="10.85546875" style="21" customWidth="1"/>
    <col min="6160" max="6160" width="11.85546875" style="21" customWidth="1"/>
    <col min="6161" max="6161" width="2.85546875" style="21" customWidth="1"/>
    <col min="6162" max="6162" width="10.7109375" style="21" customWidth="1"/>
    <col min="6163" max="6163" width="3.85546875" style="21" customWidth="1"/>
    <col min="6164" max="6164" width="13.28515625" style="21" customWidth="1"/>
    <col min="6165" max="6165" width="19" style="21" customWidth="1"/>
    <col min="6166" max="6166" width="22.8554687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6.140625" style="21" customWidth="1"/>
    <col min="6410" max="6410" width="1" style="21" customWidth="1"/>
    <col min="6411" max="6411" width="7.140625" style="21" customWidth="1"/>
    <col min="6412" max="6412" width="7.7109375" style="21" customWidth="1"/>
    <col min="6413" max="6413" width="16.7109375" style="21" customWidth="1"/>
    <col min="6414" max="6414" width="1.85546875" style="21" customWidth="1"/>
    <col min="6415" max="6415" width="10.85546875" style="21" customWidth="1"/>
    <col min="6416" max="6416" width="11.85546875" style="21" customWidth="1"/>
    <col min="6417" max="6417" width="2.85546875" style="21" customWidth="1"/>
    <col min="6418" max="6418" width="10.7109375" style="21" customWidth="1"/>
    <col min="6419" max="6419" width="3.85546875" style="21" customWidth="1"/>
    <col min="6420" max="6420" width="13.28515625" style="21" customWidth="1"/>
    <col min="6421" max="6421" width="19" style="21" customWidth="1"/>
    <col min="6422" max="6422" width="22.8554687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6.140625" style="21" customWidth="1"/>
    <col min="6666" max="6666" width="1" style="21" customWidth="1"/>
    <col min="6667" max="6667" width="7.140625" style="21" customWidth="1"/>
    <col min="6668" max="6668" width="7.7109375" style="21" customWidth="1"/>
    <col min="6669" max="6669" width="16.7109375" style="21" customWidth="1"/>
    <col min="6670" max="6670" width="1.85546875" style="21" customWidth="1"/>
    <col min="6671" max="6671" width="10.85546875" style="21" customWidth="1"/>
    <col min="6672" max="6672" width="11.85546875" style="21" customWidth="1"/>
    <col min="6673" max="6673" width="2.85546875" style="21" customWidth="1"/>
    <col min="6674" max="6674" width="10.7109375" style="21" customWidth="1"/>
    <col min="6675" max="6675" width="3.85546875" style="21" customWidth="1"/>
    <col min="6676" max="6676" width="13.28515625" style="21" customWidth="1"/>
    <col min="6677" max="6677" width="19" style="21" customWidth="1"/>
    <col min="6678" max="6678" width="22.8554687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6.140625" style="21" customWidth="1"/>
    <col min="6922" max="6922" width="1" style="21" customWidth="1"/>
    <col min="6923" max="6923" width="7.140625" style="21" customWidth="1"/>
    <col min="6924" max="6924" width="7.7109375" style="21" customWidth="1"/>
    <col min="6925" max="6925" width="16.7109375" style="21" customWidth="1"/>
    <col min="6926" max="6926" width="1.85546875" style="21" customWidth="1"/>
    <col min="6927" max="6927" width="10.85546875" style="21" customWidth="1"/>
    <col min="6928" max="6928" width="11.85546875" style="21" customWidth="1"/>
    <col min="6929" max="6929" width="2.85546875" style="21" customWidth="1"/>
    <col min="6930" max="6930" width="10.7109375" style="21" customWidth="1"/>
    <col min="6931" max="6931" width="3.85546875" style="21" customWidth="1"/>
    <col min="6932" max="6932" width="13.28515625" style="21" customWidth="1"/>
    <col min="6933" max="6933" width="19" style="21" customWidth="1"/>
    <col min="6934" max="6934" width="22.8554687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6.140625" style="21" customWidth="1"/>
    <col min="7178" max="7178" width="1" style="21" customWidth="1"/>
    <col min="7179" max="7179" width="7.140625" style="21" customWidth="1"/>
    <col min="7180" max="7180" width="7.7109375" style="21" customWidth="1"/>
    <col min="7181" max="7181" width="16.7109375" style="21" customWidth="1"/>
    <col min="7182" max="7182" width="1.85546875" style="21" customWidth="1"/>
    <col min="7183" max="7183" width="10.85546875" style="21" customWidth="1"/>
    <col min="7184" max="7184" width="11.85546875" style="21" customWidth="1"/>
    <col min="7185" max="7185" width="2.85546875" style="21" customWidth="1"/>
    <col min="7186" max="7186" width="10.7109375" style="21" customWidth="1"/>
    <col min="7187" max="7187" width="3.85546875" style="21" customWidth="1"/>
    <col min="7188" max="7188" width="13.28515625" style="21" customWidth="1"/>
    <col min="7189" max="7189" width="19" style="21" customWidth="1"/>
    <col min="7190" max="7190" width="22.8554687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6.140625" style="21" customWidth="1"/>
    <col min="7434" max="7434" width="1" style="21" customWidth="1"/>
    <col min="7435" max="7435" width="7.140625" style="21" customWidth="1"/>
    <col min="7436" max="7436" width="7.7109375" style="21" customWidth="1"/>
    <col min="7437" max="7437" width="16.7109375" style="21" customWidth="1"/>
    <col min="7438" max="7438" width="1.85546875" style="21" customWidth="1"/>
    <col min="7439" max="7439" width="10.85546875" style="21" customWidth="1"/>
    <col min="7440" max="7440" width="11.85546875" style="21" customWidth="1"/>
    <col min="7441" max="7441" width="2.85546875" style="21" customWidth="1"/>
    <col min="7442" max="7442" width="10.7109375" style="21" customWidth="1"/>
    <col min="7443" max="7443" width="3.85546875" style="21" customWidth="1"/>
    <col min="7444" max="7444" width="13.28515625" style="21" customWidth="1"/>
    <col min="7445" max="7445" width="19" style="21" customWidth="1"/>
    <col min="7446" max="7446" width="22.8554687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6.140625" style="21" customWidth="1"/>
    <col min="7690" max="7690" width="1" style="21" customWidth="1"/>
    <col min="7691" max="7691" width="7.140625" style="21" customWidth="1"/>
    <col min="7692" max="7692" width="7.7109375" style="21" customWidth="1"/>
    <col min="7693" max="7693" width="16.7109375" style="21" customWidth="1"/>
    <col min="7694" max="7694" width="1.85546875" style="21" customWidth="1"/>
    <col min="7695" max="7695" width="10.85546875" style="21" customWidth="1"/>
    <col min="7696" max="7696" width="11.85546875" style="21" customWidth="1"/>
    <col min="7697" max="7697" width="2.85546875" style="21" customWidth="1"/>
    <col min="7698" max="7698" width="10.7109375" style="21" customWidth="1"/>
    <col min="7699" max="7699" width="3.85546875" style="21" customWidth="1"/>
    <col min="7700" max="7700" width="13.28515625" style="21" customWidth="1"/>
    <col min="7701" max="7701" width="19" style="21" customWidth="1"/>
    <col min="7702" max="7702" width="22.8554687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6.140625" style="21" customWidth="1"/>
    <col min="7946" max="7946" width="1" style="21" customWidth="1"/>
    <col min="7947" max="7947" width="7.140625" style="21" customWidth="1"/>
    <col min="7948" max="7948" width="7.7109375" style="21" customWidth="1"/>
    <col min="7949" max="7949" width="16.7109375" style="21" customWidth="1"/>
    <col min="7950" max="7950" width="1.85546875" style="21" customWidth="1"/>
    <col min="7951" max="7951" width="10.85546875" style="21" customWidth="1"/>
    <col min="7952" max="7952" width="11.85546875" style="21" customWidth="1"/>
    <col min="7953" max="7953" width="2.85546875" style="21" customWidth="1"/>
    <col min="7954" max="7954" width="10.7109375" style="21" customWidth="1"/>
    <col min="7955" max="7955" width="3.85546875" style="21" customWidth="1"/>
    <col min="7956" max="7956" width="13.28515625" style="21" customWidth="1"/>
    <col min="7957" max="7957" width="19" style="21" customWidth="1"/>
    <col min="7958" max="7958" width="22.8554687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6.140625" style="21" customWidth="1"/>
    <col min="8202" max="8202" width="1" style="21" customWidth="1"/>
    <col min="8203" max="8203" width="7.140625" style="21" customWidth="1"/>
    <col min="8204" max="8204" width="7.7109375" style="21" customWidth="1"/>
    <col min="8205" max="8205" width="16.7109375" style="21" customWidth="1"/>
    <col min="8206" max="8206" width="1.85546875" style="21" customWidth="1"/>
    <col min="8207" max="8207" width="10.85546875" style="21" customWidth="1"/>
    <col min="8208" max="8208" width="11.85546875" style="21" customWidth="1"/>
    <col min="8209" max="8209" width="2.85546875" style="21" customWidth="1"/>
    <col min="8210" max="8210" width="10.7109375" style="21" customWidth="1"/>
    <col min="8211" max="8211" width="3.85546875" style="21" customWidth="1"/>
    <col min="8212" max="8212" width="13.28515625" style="21" customWidth="1"/>
    <col min="8213" max="8213" width="19" style="21" customWidth="1"/>
    <col min="8214" max="8214" width="22.8554687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6.140625" style="21" customWidth="1"/>
    <col min="8458" max="8458" width="1" style="21" customWidth="1"/>
    <col min="8459" max="8459" width="7.140625" style="21" customWidth="1"/>
    <col min="8460" max="8460" width="7.7109375" style="21" customWidth="1"/>
    <col min="8461" max="8461" width="16.7109375" style="21" customWidth="1"/>
    <col min="8462" max="8462" width="1.85546875" style="21" customWidth="1"/>
    <col min="8463" max="8463" width="10.85546875" style="21" customWidth="1"/>
    <col min="8464" max="8464" width="11.85546875" style="21" customWidth="1"/>
    <col min="8465" max="8465" width="2.85546875" style="21" customWidth="1"/>
    <col min="8466" max="8466" width="10.7109375" style="21" customWidth="1"/>
    <col min="8467" max="8467" width="3.85546875" style="21" customWidth="1"/>
    <col min="8468" max="8468" width="13.28515625" style="21" customWidth="1"/>
    <col min="8469" max="8469" width="19" style="21" customWidth="1"/>
    <col min="8470" max="8470" width="22.8554687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6.140625" style="21" customWidth="1"/>
    <col min="8714" max="8714" width="1" style="21" customWidth="1"/>
    <col min="8715" max="8715" width="7.140625" style="21" customWidth="1"/>
    <col min="8716" max="8716" width="7.7109375" style="21" customWidth="1"/>
    <col min="8717" max="8717" width="16.7109375" style="21" customWidth="1"/>
    <col min="8718" max="8718" width="1.85546875" style="21" customWidth="1"/>
    <col min="8719" max="8719" width="10.85546875" style="21" customWidth="1"/>
    <col min="8720" max="8720" width="11.85546875" style="21" customWidth="1"/>
    <col min="8721" max="8721" width="2.85546875" style="21" customWidth="1"/>
    <col min="8722" max="8722" width="10.7109375" style="21" customWidth="1"/>
    <col min="8723" max="8723" width="3.85546875" style="21" customWidth="1"/>
    <col min="8724" max="8724" width="13.28515625" style="21" customWidth="1"/>
    <col min="8725" max="8725" width="19" style="21" customWidth="1"/>
    <col min="8726" max="8726" width="22.8554687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6.140625" style="21" customWidth="1"/>
    <col min="8970" max="8970" width="1" style="21" customWidth="1"/>
    <col min="8971" max="8971" width="7.140625" style="21" customWidth="1"/>
    <col min="8972" max="8972" width="7.7109375" style="21" customWidth="1"/>
    <col min="8973" max="8973" width="16.7109375" style="21" customWidth="1"/>
    <col min="8974" max="8974" width="1.85546875" style="21" customWidth="1"/>
    <col min="8975" max="8975" width="10.85546875" style="21" customWidth="1"/>
    <col min="8976" max="8976" width="11.85546875" style="21" customWidth="1"/>
    <col min="8977" max="8977" width="2.85546875" style="21" customWidth="1"/>
    <col min="8978" max="8978" width="10.7109375" style="21" customWidth="1"/>
    <col min="8979" max="8979" width="3.85546875" style="21" customWidth="1"/>
    <col min="8980" max="8980" width="13.28515625" style="21" customWidth="1"/>
    <col min="8981" max="8981" width="19" style="21" customWidth="1"/>
    <col min="8982" max="8982" width="22.8554687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6.140625" style="21" customWidth="1"/>
    <col min="9226" max="9226" width="1" style="21" customWidth="1"/>
    <col min="9227" max="9227" width="7.140625" style="21" customWidth="1"/>
    <col min="9228" max="9228" width="7.7109375" style="21" customWidth="1"/>
    <col min="9229" max="9229" width="16.7109375" style="21" customWidth="1"/>
    <col min="9230" max="9230" width="1.85546875" style="21" customWidth="1"/>
    <col min="9231" max="9231" width="10.85546875" style="21" customWidth="1"/>
    <col min="9232" max="9232" width="11.85546875" style="21" customWidth="1"/>
    <col min="9233" max="9233" width="2.85546875" style="21" customWidth="1"/>
    <col min="9234" max="9234" width="10.7109375" style="21" customWidth="1"/>
    <col min="9235" max="9235" width="3.85546875" style="21" customWidth="1"/>
    <col min="9236" max="9236" width="13.28515625" style="21" customWidth="1"/>
    <col min="9237" max="9237" width="19" style="21" customWidth="1"/>
    <col min="9238" max="9238" width="22.8554687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6.140625" style="21" customWidth="1"/>
    <col min="9482" max="9482" width="1" style="21" customWidth="1"/>
    <col min="9483" max="9483" width="7.140625" style="21" customWidth="1"/>
    <col min="9484" max="9484" width="7.7109375" style="21" customWidth="1"/>
    <col min="9485" max="9485" width="16.7109375" style="21" customWidth="1"/>
    <col min="9486" max="9486" width="1.85546875" style="21" customWidth="1"/>
    <col min="9487" max="9487" width="10.85546875" style="21" customWidth="1"/>
    <col min="9488" max="9488" width="11.85546875" style="21" customWidth="1"/>
    <col min="9489" max="9489" width="2.85546875" style="21" customWidth="1"/>
    <col min="9490" max="9490" width="10.7109375" style="21" customWidth="1"/>
    <col min="9491" max="9491" width="3.85546875" style="21" customWidth="1"/>
    <col min="9492" max="9492" width="13.28515625" style="21" customWidth="1"/>
    <col min="9493" max="9493" width="19" style="21" customWidth="1"/>
    <col min="9494" max="9494" width="22.8554687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6.140625" style="21" customWidth="1"/>
    <col min="9738" max="9738" width="1" style="21" customWidth="1"/>
    <col min="9739" max="9739" width="7.140625" style="21" customWidth="1"/>
    <col min="9740" max="9740" width="7.7109375" style="21" customWidth="1"/>
    <col min="9741" max="9741" width="16.7109375" style="21" customWidth="1"/>
    <col min="9742" max="9742" width="1.85546875" style="21" customWidth="1"/>
    <col min="9743" max="9743" width="10.85546875" style="21" customWidth="1"/>
    <col min="9744" max="9744" width="11.85546875" style="21" customWidth="1"/>
    <col min="9745" max="9745" width="2.85546875" style="21" customWidth="1"/>
    <col min="9746" max="9746" width="10.7109375" style="21" customWidth="1"/>
    <col min="9747" max="9747" width="3.85546875" style="21" customWidth="1"/>
    <col min="9748" max="9748" width="13.28515625" style="21" customWidth="1"/>
    <col min="9749" max="9749" width="19" style="21" customWidth="1"/>
    <col min="9750" max="9750" width="22.8554687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6.140625" style="21" customWidth="1"/>
    <col min="9994" max="9994" width="1" style="21" customWidth="1"/>
    <col min="9995" max="9995" width="7.140625" style="21" customWidth="1"/>
    <col min="9996" max="9996" width="7.7109375" style="21" customWidth="1"/>
    <col min="9997" max="9997" width="16.7109375" style="21" customWidth="1"/>
    <col min="9998" max="9998" width="1.85546875" style="21" customWidth="1"/>
    <col min="9999" max="9999" width="10.855468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13.28515625" style="21" customWidth="1"/>
    <col min="10005" max="10005" width="19" style="21" customWidth="1"/>
    <col min="10006" max="10006" width="22.8554687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6.140625" style="21" customWidth="1"/>
    <col min="10250" max="10250" width="1" style="21" customWidth="1"/>
    <col min="10251" max="10251" width="7.140625" style="21" customWidth="1"/>
    <col min="10252" max="10252" width="7.7109375" style="21" customWidth="1"/>
    <col min="10253" max="10253" width="16.7109375" style="21" customWidth="1"/>
    <col min="10254" max="10254" width="1.85546875" style="21" customWidth="1"/>
    <col min="10255" max="10255" width="10.855468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13.28515625" style="21" customWidth="1"/>
    <col min="10261" max="10261" width="19" style="21" customWidth="1"/>
    <col min="10262" max="10262" width="22.8554687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6.140625" style="21" customWidth="1"/>
    <col min="10506" max="10506" width="1" style="21" customWidth="1"/>
    <col min="10507" max="10507" width="7.140625" style="21" customWidth="1"/>
    <col min="10508" max="10508" width="7.7109375" style="21" customWidth="1"/>
    <col min="10509" max="10509" width="16.7109375" style="21" customWidth="1"/>
    <col min="10510" max="10510" width="1.85546875" style="21" customWidth="1"/>
    <col min="10511" max="10511" width="10.855468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13.28515625" style="21" customWidth="1"/>
    <col min="10517" max="10517" width="19" style="21" customWidth="1"/>
    <col min="10518" max="10518" width="22.8554687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6.140625" style="21" customWidth="1"/>
    <col min="10762" max="10762" width="1" style="21" customWidth="1"/>
    <col min="10763" max="10763" width="7.140625" style="21" customWidth="1"/>
    <col min="10764" max="10764" width="7.7109375" style="21" customWidth="1"/>
    <col min="10765" max="10765" width="16.7109375" style="21" customWidth="1"/>
    <col min="10766" max="10766" width="1.85546875" style="21" customWidth="1"/>
    <col min="10767" max="10767" width="10.855468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13.28515625" style="21" customWidth="1"/>
    <col min="10773" max="10773" width="19" style="21" customWidth="1"/>
    <col min="10774" max="10774" width="22.8554687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6.140625" style="21" customWidth="1"/>
    <col min="11018" max="11018" width="1" style="21" customWidth="1"/>
    <col min="11019" max="11019" width="7.140625" style="21" customWidth="1"/>
    <col min="11020" max="11020" width="7.7109375" style="21" customWidth="1"/>
    <col min="11021" max="11021" width="16.7109375" style="21" customWidth="1"/>
    <col min="11022" max="11022" width="1.85546875" style="21" customWidth="1"/>
    <col min="11023" max="11023" width="10.855468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13.28515625" style="21" customWidth="1"/>
    <col min="11029" max="11029" width="19" style="21" customWidth="1"/>
    <col min="11030" max="11030" width="22.8554687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6.140625" style="21" customWidth="1"/>
    <col min="11274" max="11274" width="1" style="21" customWidth="1"/>
    <col min="11275" max="11275" width="7.140625" style="21" customWidth="1"/>
    <col min="11276" max="11276" width="7.7109375" style="21" customWidth="1"/>
    <col min="11277" max="11277" width="16.7109375" style="21" customWidth="1"/>
    <col min="11278" max="11278" width="1.85546875" style="21" customWidth="1"/>
    <col min="11279" max="11279" width="10.855468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13.28515625" style="21" customWidth="1"/>
    <col min="11285" max="11285" width="19" style="21" customWidth="1"/>
    <col min="11286" max="11286" width="22.8554687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6.140625" style="21" customWidth="1"/>
    <col min="11530" max="11530" width="1" style="21" customWidth="1"/>
    <col min="11531" max="11531" width="7.140625" style="21" customWidth="1"/>
    <col min="11532" max="11532" width="7.7109375" style="21" customWidth="1"/>
    <col min="11533" max="11533" width="16.7109375" style="21" customWidth="1"/>
    <col min="11534" max="11534" width="1.85546875" style="21" customWidth="1"/>
    <col min="11535" max="11535" width="10.855468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13.28515625" style="21" customWidth="1"/>
    <col min="11541" max="11541" width="19" style="21" customWidth="1"/>
    <col min="11542" max="11542" width="22.8554687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6.140625" style="21" customWidth="1"/>
    <col min="11786" max="11786" width="1" style="21" customWidth="1"/>
    <col min="11787" max="11787" width="7.140625" style="21" customWidth="1"/>
    <col min="11788" max="11788" width="7.7109375" style="21" customWidth="1"/>
    <col min="11789" max="11789" width="16.7109375" style="21" customWidth="1"/>
    <col min="11790" max="11790" width="1.85546875" style="21" customWidth="1"/>
    <col min="11791" max="11791" width="10.855468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13.28515625" style="21" customWidth="1"/>
    <col min="11797" max="11797" width="19" style="21" customWidth="1"/>
    <col min="11798" max="11798" width="22.8554687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6.140625" style="21" customWidth="1"/>
    <col min="12042" max="12042" width="1" style="21" customWidth="1"/>
    <col min="12043" max="12043" width="7.140625" style="21" customWidth="1"/>
    <col min="12044" max="12044" width="7.7109375" style="21" customWidth="1"/>
    <col min="12045" max="12045" width="16.7109375" style="21" customWidth="1"/>
    <col min="12046" max="12046" width="1.85546875" style="21" customWidth="1"/>
    <col min="12047" max="12047" width="10.855468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13.28515625" style="21" customWidth="1"/>
    <col min="12053" max="12053" width="19" style="21" customWidth="1"/>
    <col min="12054" max="12054" width="22.8554687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6.140625" style="21" customWidth="1"/>
    <col min="12298" max="12298" width="1" style="21" customWidth="1"/>
    <col min="12299" max="12299" width="7.140625" style="21" customWidth="1"/>
    <col min="12300" max="12300" width="7.7109375" style="21" customWidth="1"/>
    <col min="12301" max="12301" width="16.7109375" style="21" customWidth="1"/>
    <col min="12302" max="12302" width="1.85546875" style="21" customWidth="1"/>
    <col min="12303" max="12303" width="10.855468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13.28515625" style="21" customWidth="1"/>
    <col min="12309" max="12309" width="19" style="21" customWidth="1"/>
    <col min="12310" max="12310" width="22.8554687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6.140625" style="21" customWidth="1"/>
    <col min="12554" max="12554" width="1" style="21" customWidth="1"/>
    <col min="12555" max="12555" width="7.140625" style="21" customWidth="1"/>
    <col min="12556" max="12556" width="7.7109375" style="21" customWidth="1"/>
    <col min="12557" max="12557" width="16.7109375" style="21" customWidth="1"/>
    <col min="12558" max="12558" width="1.85546875" style="21" customWidth="1"/>
    <col min="12559" max="12559" width="10.855468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13.28515625" style="21" customWidth="1"/>
    <col min="12565" max="12565" width="19" style="21" customWidth="1"/>
    <col min="12566" max="12566" width="22.8554687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6.140625" style="21" customWidth="1"/>
    <col min="12810" max="12810" width="1" style="21" customWidth="1"/>
    <col min="12811" max="12811" width="7.140625" style="21" customWidth="1"/>
    <col min="12812" max="12812" width="7.7109375" style="21" customWidth="1"/>
    <col min="12813" max="12813" width="16.7109375" style="21" customWidth="1"/>
    <col min="12814" max="12814" width="1.85546875" style="21" customWidth="1"/>
    <col min="12815" max="12815" width="10.855468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13.28515625" style="21" customWidth="1"/>
    <col min="12821" max="12821" width="19" style="21" customWidth="1"/>
    <col min="12822" max="12822" width="22.8554687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6.140625" style="21" customWidth="1"/>
    <col min="13066" max="13066" width="1" style="21" customWidth="1"/>
    <col min="13067" max="13067" width="7.140625" style="21" customWidth="1"/>
    <col min="13068" max="13068" width="7.7109375" style="21" customWidth="1"/>
    <col min="13069" max="13069" width="16.7109375" style="21" customWidth="1"/>
    <col min="13070" max="13070" width="1.85546875" style="21" customWidth="1"/>
    <col min="13071" max="13071" width="10.855468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13.28515625" style="21" customWidth="1"/>
    <col min="13077" max="13077" width="19" style="21" customWidth="1"/>
    <col min="13078" max="13078" width="22.8554687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6.140625" style="21" customWidth="1"/>
    <col min="13322" max="13322" width="1" style="21" customWidth="1"/>
    <col min="13323" max="13323" width="7.140625" style="21" customWidth="1"/>
    <col min="13324" max="13324" width="7.7109375" style="21" customWidth="1"/>
    <col min="13325" max="13325" width="16.7109375" style="21" customWidth="1"/>
    <col min="13326" max="13326" width="1.85546875" style="21" customWidth="1"/>
    <col min="13327" max="13327" width="10.855468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13.28515625" style="21" customWidth="1"/>
    <col min="13333" max="13333" width="19" style="21" customWidth="1"/>
    <col min="13334" max="13334" width="22.8554687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6.140625" style="21" customWidth="1"/>
    <col min="13578" max="13578" width="1" style="21" customWidth="1"/>
    <col min="13579" max="13579" width="7.140625" style="21" customWidth="1"/>
    <col min="13580" max="13580" width="7.7109375" style="21" customWidth="1"/>
    <col min="13581" max="13581" width="16.7109375" style="21" customWidth="1"/>
    <col min="13582" max="13582" width="1.85546875" style="21" customWidth="1"/>
    <col min="13583" max="13583" width="10.855468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13.28515625" style="21" customWidth="1"/>
    <col min="13589" max="13589" width="19" style="21" customWidth="1"/>
    <col min="13590" max="13590" width="22.8554687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6.140625" style="21" customWidth="1"/>
    <col min="13834" max="13834" width="1" style="21" customWidth="1"/>
    <col min="13835" max="13835" width="7.140625" style="21" customWidth="1"/>
    <col min="13836" max="13836" width="7.7109375" style="21" customWidth="1"/>
    <col min="13837" max="13837" width="16.7109375" style="21" customWidth="1"/>
    <col min="13838" max="13838" width="1.85546875" style="21" customWidth="1"/>
    <col min="13839" max="13839" width="10.855468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13.28515625" style="21" customWidth="1"/>
    <col min="13845" max="13845" width="19" style="21" customWidth="1"/>
    <col min="13846" max="13846" width="22.8554687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6.140625" style="21" customWidth="1"/>
    <col min="14090" max="14090" width="1" style="21" customWidth="1"/>
    <col min="14091" max="14091" width="7.140625" style="21" customWidth="1"/>
    <col min="14092" max="14092" width="7.7109375" style="21" customWidth="1"/>
    <col min="14093" max="14093" width="16.7109375" style="21" customWidth="1"/>
    <col min="14094" max="14094" width="1.85546875" style="21" customWidth="1"/>
    <col min="14095" max="14095" width="10.855468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13.28515625" style="21" customWidth="1"/>
    <col min="14101" max="14101" width="19" style="21" customWidth="1"/>
    <col min="14102" max="14102" width="22.8554687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6.140625" style="21" customWidth="1"/>
    <col min="14346" max="14346" width="1" style="21" customWidth="1"/>
    <col min="14347" max="14347" width="7.140625" style="21" customWidth="1"/>
    <col min="14348" max="14348" width="7.7109375" style="21" customWidth="1"/>
    <col min="14349" max="14349" width="16.7109375" style="21" customWidth="1"/>
    <col min="14350" max="14350" width="1.85546875" style="21" customWidth="1"/>
    <col min="14351" max="14351" width="10.855468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13.28515625" style="21" customWidth="1"/>
    <col min="14357" max="14357" width="19" style="21" customWidth="1"/>
    <col min="14358" max="14358" width="22.8554687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6.140625" style="21" customWidth="1"/>
    <col min="14602" max="14602" width="1" style="21" customWidth="1"/>
    <col min="14603" max="14603" width="7.140625" style="21" customWidth="1"/>
    <col min="14604" max="14604" width="7.7109375" style="21" customWidth="1"/>
    <col min="14605" max="14605" width="16.7109375" style="21" customWidth="1"/>
    <col min="14606" max="14606" width="1.85546875" style="21" customWidth="1"/>
    <col min="14607" max="14607" width="10.855468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13.28515625" style="21" customWidth="1"/>
    <col min="14613" max="14613" width="19" style="21" customWidth="1"/>
    <col min="14614" max="14614" width="22.8554687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6.140625" style="21" customWidth="1"/>
    <col min="14858" max="14858" width="1" style="21" customWidth="1"/>
    <col min="14859" max="14859" width="7.140625" style="21" customWidth="1"/>
    <col min="14860" max="14860" width="7.7109375" style="21" customWidth="1"/>
    <col min="14861" max="14861" width="16.7109375" style="21" customWidth="1"/>
    <col min="14862" max="14862" width="1.85546875" style="21" customWidth="1"/>
    <col min="14863" max="14863" width="10.855468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13.28515625" style="21" customWidth="1"/>
    <col min="14869" max="14869" width="19" style="21" customWidth="1"/>
    <col min="14870" max="14870" width="22.8554687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6.140625" style="21" customWidth="1"/>
    <col min="15114" max="15114" width="1" style="21" customWidth="1"/>
    <col min="15115" max="15115" width="7.140625" style="21" customWidth="1"/>
    <col min="15116" max="15116" width="7.7109375" style="21" customWidth="1"/>
    <col min="15117" max="15117" width="16.7109375" style="21" customWidth="1"/>
    <col min="15118" max="15118" width="1.85546875" style="21" customWidth="1"/>
    <col min="15119" max="15119" width="10.855468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13.28515625" style="21" customWidth="1"/>
    <col min="15125" max="15125" width="19" style="21" customWidth="1"/>
    <col min="15126" max="15126" width="22.8554687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6.140625" style="21" customWidth="1"/>
    <col min="15370" max="15370" width="1" style="21" customWidth="1"/>
    <col min="15371" max="15371" width="7.140625" style="21" customWidth="1"/>
    <col min="15372" max="15372" width="7.7109375" style="21" customWidth="1"/>
    <col min="15373" max="15373" width="16.7109375" style="21" customWidth="1"/>
    <col min="15374" max="15374" width="1.85546875" style="21" customWidth="1"/>
    <col min="15375" max="15375" width="10.855468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13.28515625" style="21" customWidth="1"/>
    <col min="15381" max="15381" width="19" style="21" customWidth="1"/>
    <col min="15382" max="15382" width="22.8554687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6.140625" style="21" customWidth="1"/>
    <col min="15626" max="15626" width="1" style="21" customWidth="1"/>
    <col min="15627" max="15627" width="7.140625" style="21" customWidth="1"/>
    <col min="15628" max="15628" width="7.7109375" style="21" customWidth="1"/>
    <col min="15629" max="15629" width="16.7109375" style="21" customWidth="1"/>
    <col min="15630" max="15630" width="1.85546875" style="21" customWidth="1"/>
    <col min="15631" max="15631" width="10.855468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13.28515625" style="21" customWidth="1"/>
    <col min="15637" max="15637" width="19" style="21" customWidth="1"/>
    <col min="15638" max="15638" width="22.8554687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6.140625" style="21" customWidth="1"/>
    <col min="15882" max="15882" width="1" style="21" customWidth="1"/>
    <col min="15883" max="15883" width="7.140625" style="21" customWidth="1"/>
    <col min="15884" max="15884" width="7.7109375" style="21" customWidth="1"/>
    <col min="15885" max="15885" width="16.7109375" style="21" customWidth="1"/>
    <col min="15886" max="15886" width="1.85546875" style="21" customWidth="1"/>
    <col min="15887" max="15887" width="10.855468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13.28515625" style="21" customWidth="1"/>
    <col min="15893" max="15893" width="19" style="21" customWidth="1"/>
    <col min="15894" max="15894" width="22.8554687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6.140625" style="21" customWidth="1"/>
    <col min="16138" max="16138" width="1" style="21" customWidth="1"/>
    <col min="16139" max="16139" width="7.140625" style="21" customWidth="1"/>
    <col min="16140" max="16140" width="7.7109375" style="21" customWidth="1"/>
    <col min="16141" max="16141" width="16.7109375" style="21" customWidth="1"/>
    <col min="16142" max="16142" width="1.85546875" style="21" customWidth="1"/>
    <col min="16143" max="16143" width="10.855468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13.28515625" style="21" customWidth="1"/>
    <col min="16149" max="16149" width="19" style="21" customWidth="1"/>
    <col min="16150" max="16150" width="22.85546875" style="21" customWidth="1"/>
    <col min="16151" max="16384" width="9.140625" style="21"/>
  </cols>
  <sheetData>
    <row r="1" spans="1:22" ht="11.45" customHeight="1"/>
    <row r="2" spans="1:22" ht="62.25" customHeight="1">
      <c r="A2" s="2204"/>
      <c r="B2" s="1846"/>
      <c r="C2" s="1846"/>
      <c r="D2" s="1846"/>
      <c r="E2" s="1846"/>
      <c r="F2" s="1846"/>
      <c r="G2" s="1846"/>
      <c r="H2" s="1846"/>
      <c r="I2" s="1846"/>
      <c r="J2" s="1846"/>
      <c r="K2" s="1846"/>
      <c r="L2" s="1846"/>
      <c r="M2" s="1846"/>
      <c r="N2" s="1846"/>
      <c r="O2" s="1846"/>
      <c r="P2" s="1846"/>
      <c r="Q2" s="2404" t="s">
        <v>4497</v>
      </c>
      <c r="R2" s="2404"/>
      <c r="S2" s="2404"/>
      <c r="T2" s="2404"/>
      <c r="U2" s="2404"/>
      <c r="V2" s="2404"/>
    </row>
    <row r="3" spans="1:22" ht="16.899999999999999" customHeight="1">
      <c r="A3" s="2204"/>
      <c r="B3" s="1846"/>
      <c r="C3" s="1846"/>
      <c r="D3" s="1846"/>
      <c r="E3" s="1846"/>
      <c r="F3" s="1846"/>
      <c r="G3" s="1846"/>
      <c r="H3" s="1846"/>
      <c r="I3" s="1846"/>
      <c r="J3" s="1846"/>
      <c r="K3" s="1846"/>
      <c r="L3" s="1846"/>
      <c r="M3" s="1846"/>
      <c r="N3" s="1846"/>
      <c r="O3" s="1846"/>
      <c r="P3" s="1846"/>
      <c r="Q3" s="2283"/>
      <c r="R3" s="1846"/>
      <c r="S3" s="1846"/>
      <c r="T3" s="1846"/>
      <c r="U3" s="1846"/>
    </row>
    <row r="4" spans="1:22" ht="16.899999999999999" customHeight="1">
      <c r="A4" s="2284"/>
      <c r="B4" s="1846"/>
      <c r="C4" s="1846"/>
      <c r="D4" s="2285" t="s">
        <v>77</v>
      </c>
      <c r="E4" s="2190"/>
      <c r="F4" s="2190"/>
      <c r="G4" s="2190"/>
      <c r="H4" s="2190"/>
      <c r="I4" s="2190"/>
      <c r="J4" s="2190"/>
      <c r="K4" s="2190"/>
      <c r="L4" s="2190"/>
      <c r="M4" s="2190"/>
      <c r="N4" s="2190"/>
      <c r="O4" s="2190"/>
      <c r="P4" s="2190"/>
      <c r="Q4" s="2190"/>
      <c r="R4" s="2190"/>
      <c r="S4" s="2284"/>
      <c r="T4" s="1846"/>
      <c r="U4" s="1846"/>
    </row>
    <row r="5" spans="1:22" ht="17.100000000000001" customHeight="1">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ht="16.899999999999999" customHeight="1">
      <c r="A6" s="2204"/>
      <c r="B6" s="1846"/>
      <c r="C6" s="1846"/>
      <c r="D6" s="1846"/>
      <c r="E6" s="1846"/>
      <c r="F6" s="1846"/>
      <c r="G6" s="1846"/>
      <c r="H6" s="1846"/>
      <c r="I6" s="1846"/>
      <c r="J6" s="1846"/>
      <c r="K6" s="1846"/>
      <c r="L6" s="1846"/>
      <c r="M6" s="1846"/>
      <c r="N6" s="1846"/>
      <c r="O6" s="1846"/>
      <c r="P6" s="1846"/>
      <c r="Q6" s="1846"/>
      <c r="R6" s="1846"/>
      <c r="S6" s="1846"/>
      <c r="T6" s="1846"/>
      <c r="U6" s="1846"/>
    </row>
    <row r="7" spans="1:22" ht="16.899999999999999" customHeight="1">
      <c r="A7" s="2284"/>
      <c r="B7" s="1846"/>
      <c r="C7" s="1846"/>
      <c r="D7" s="2286" t="s">
        <v>3700</v>
      </c>
      <c r="E7" s="2190"/>
      <c r="F7" s="2190"/>
      <c r="G7" s="2190"/>
      <c r="H7" s="2190"/>
      <c r="I7" s="2190"/>
      <c r="J7" s="2190"/>
      <c r="K7" s="2190"/>
      <c r="L7" s="2190"/>
      <c r="M7" s="2190"/>
      <c r="N7" s="2190"/>
      <c r="O7" s="2190"/>
      <c r="P7" s="2190"/>
      <c r="Q7" s="2190"/>
      <c r="R7" s="2190"/>
      <c r="S7" s="2284"/>
      <c r="T7" s="1846"/>
      <c r="U7" s="1846"/>
    </row>
    <row r="8" spans="1:22" ht="16.899999999999999" customHeight="1">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ht="15" customHeight="1">
      <c r="A9" s="2287"/>
      <c r="B9" s="1846"/>
      <c r="C9" s="1846"/>
      <c r="D9" s="1846"/>
      <c r="E9" s="1846"/>
      <c r="F9" s="1846"/>
      <c r="G9" s="1846"/>
      <c r="H9" s="1846"/>
      <c r="I9" s="1846"/>
      <c r="J9" s="1846"/>
      <c r="K9" s="1846"/>
      <c r="L9" s="1846"/>
      <c r="M9" s="1846"/>
      <c r="N9" s="1846"/>
      <c r="O9" s="1846"/>
      <c r="P9" s="1846"/>
      <c r="Q9" s="1846"/>
      <c r="R9" s="1846"/>
      <c r="S9" s="1846"/>
      <c r="T9" s="1846"/>
      <c r="U9" s="1846"/>
    </row>
    <row r="10" spans="1:22" ht="15" customHeight="1">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7.100000000000001" customHeight="1">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c r="A12" s="2284"/>
      <c r="B12" s="1846"/>
      <c r="C12" s="1846"/>
      <c r="D12" s="1846"/>
      <c r="E12" s="1846"/>
      <c r="F12" s="1846"/>
      <c r="G12" s="1846"/>
      <c r="H12" s="2289" t="s">
        <v>3701</v>
      </c>
      <c r="I12" s="2190"/>
      <c r="J12" s="2190"/>
      <c r="K12" s="1409" t="s">
        <v>7</v>
      </c>
      <c r="L12" s="2289" t="s">
        <v>3702</v>
      </c>
      <c r="M12" s="2190"/>
      <c r="N12" s="2190"/>
      <c r="O12" s="2284"/>
      <c r="P12" s="1846"/>
      <c r="Q12" s="1846"/>
      <c r="R12" s="1846"/>
      <c r="S12" s="1846"/>
      <c r="T12" s="1846"/>
      <c r="U12" s="1846"/>
    </row>
    <row r="13" spans="1:22" ht="409.6" hidden="1" customHeight="1"/>
    <row r="14" spans="1:22" ht="12.2" customHeight="1"/>
    <row r="15" spans="1:22" ht="17.25" customHeight="1">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45"/>
    </row>
    <row r="16" spans="1:22" ht="20.45" customHeight="1">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47"/>
    </row>
    <row r="17" spans="1:22" ht="16.149999999999999" customHeight="1">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47"/>
    </row>
    <row r="18" spans="1:22" ht="17.100000000000001" customHeight="1">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47"/>
    </row>
    <row r="19" spans="1:22" ht="49.9" customHeight="1">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9"/>
    </row>
    <row r="20" spans="1:22">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3"/>
    </row>
    <row r="21" spans="1:22" ht="69.599999999999994" customHeight="1">
      <c r="A21" s="1791" t="s">
        <v>1052</v>
      </c>
      <c r="B21" s="1791" t="s">
        <v>345</v>
      </c>
      <c r="C21" s="2476" t="s">
        <v>388</v>
      </c>
      <c r="D21" s="2477"/>
      <c r="E21" s="1791"/>
      <c r="F21" s="1791"/>
      <c r="G21" s="2478">
        <v>3993</v>
      </c>
      <c r="H21" s="2477"/>
      <c r="I21" s="1792">
        <v>3394.05</v>
      </c>
      <c r="J21" s="2478">
        <v>0</v>
      </c>
      <c r="K21" s="2479"/>
      <c r="L21" s="2477"/>
      <c r="M21" s="1792">
        <v>0</v>
      </c>
      <c r="N21" s="2478">
        <v>598.95000000000005</v>
      </c>
      <c r="O21" s="2477"/>
      <c r="P21" s="2478">
        <v>0</v>
      </c>
      <c r="Q21" s="2477"/>
      <c r="R21" s="2478">
        <v>0</v>
      </c>
      <c r="S21" s="2477"/>
      <c r="T21" s="1793">
        <v>42874</v>
      </c>
      <c r="U21" s="2480" t="s">
        <v>3703</v>
      </c>
      <c r="V21" s="2477"/>
    </row>
    <row r="22" spans="1:22" ht="66.599999999999994" customHeight="1">
      <c r="A22" s="1791" t="s">
        <v>3647</v>
      </c>
      <c r="B22" s="1791" t="s">
        <v>184</v>
      </c>
      <c r="C22" s="2476" t="s">
        <v>191</v>
      </c>
      <c r="D22" s="2477"/>
      <c r="E22" s="1791"/>
      <c r="F22" s="1791"/>
      <c r="G22" s="2478">
        <v>101765.7</v>
      </c>
      <c r="H22" s="2477"/>
      <c r="I22" s="1792">
        <v>86500.800000000003</v>
      </c>
      <c r="J22" s="2478">
        <v>0</v>
      </c>
      <c r="K22" s="2479"/>
      <c r="L22" s="2477"/>
      <c r="M22" s="1792">
        <v>0</v>
      </c>
      <c r="N22" s="2478">
        <v>15264.9</v>
      </c>
      <c r="O22" s="2477"/>
      <c r="P22" s="2478">
        <v>0</v>
      </c>
      <c r="Q22" s="2477"/>
      <c r="R22" s="2478">
        <v>0</v>
      </c>
      <c r="S22" s="2477"/>
      <c r="T22" s="1793">
        <v>42767</v>
      </c>
      <c r="U22" s="2480" t="s">
        <v>3703</v>
      </c>
      <c r="V22" s="2477"/>
    </row>
    <row r="23" spans="1:22" ht="68.45" customHeight="1">
      <c r="A23" s="1791" t="s">
        <v>1087</v>
      </c>
      <c r="B23" s="1791" t="s">
        <v>184</v>
      </c>
      <c r="C23" s="2476" t="s">
        <v>603</v>
      </c>
      <c r="D23" s="2477"/>
      <c r="E23" s="1791"/>
      <c r="F23" s="1791"/>
      <c r="G23" s="2478">
        <v>736538</v>
      </c>
      <c r="H23" s="2477"/>
      <c r="I23" s="1792">
        <v>626057</v>
      </c>
      <c r="J23" s="2478">
        <v>0</v>
      </c>
      <c r="K23" s="2479"/>
      <c r="L23" s="2477"/>
      <c r="M23" s="1792">
        <v>0</v>
      </c>
      <c r="N23" s="2478">
        <v>110481</v>
      </c>
      <c r="O23" s="2477"/>
      <c r="P23" s="2478">
        <v>0</v>
      </c>
      <c r="Q23" s="2477"/>
      <c r="R23" s="2478">
        <v>0</v>
      </c>
      <c r="S23" s="2477"/>
      <c r="T23" s="1793">
        <v>43222</v>
      </c>
      <c r="U23" s="2480" t="s">
        <v>3703</v>
      </c>
      <c r="V23" s="2477"/>
    </row>
    <row r="24" spans="1:22" ht="68.45" customHeight="1">
      <c r="A24" s="1791" t="s">
        <v>843</v>
      </c>
      <c r="B24" s="1791" t="s">
        <v>235</v>
      </c>
      <c r="C24" s="2476" t="s">
        <v>378</v>
      </c>
      <c r="D24" s="2477"/>
      <c r="E24" s="1791"/>
      <c r="F24" s="1791"/>
      <c r="G24" s="2478">
        <v>121153.53</v>
      </c>
      <c r="H24" s="2477"/>
      <c r="I24" s="1792">
        <v>102980.52</v>
      </c>
      <c r="J24" s="2478">
        <v>0</v>
      </c>
      <c r="K24" s="2479"/>
      <c r="L24" s="2477"/>
      <c r="M24" s="1792">
        <v>0</v>
      </c>
      <c r="N24" s="2478">
        <v>18173.009999999998</v>
      </c>
      <c r="O24" s="2477"/>
      <c r="P24" s="2478">
        <v>0</v>
      </c>
      <c r="Q24" s="2477"/>
      <c r="R24" s="2478">
        <v>0</v>
      </c>
      <c r="S24" s="2477"/>
      <c r="T24" s="1793">
        <v>42884</v>
      </c>
      <c r="U24" s="2480" t="s">
        <v>3703</v>
      </c>
      <c r="V24" s="2477"/>
    </row>
    <row r="25" spans="1:22" ht="68.45" customHeight="1">
      <c r="A25" s="1791" t="s">
        <v>1070</v>
      </c>
      <c r="B25" s="1791" t="s">
        <v>161</v>
      </c>
      <c r="C25" s="2476" t="s">
        <v>290</v>
      </c>
      <c r="D25" s="2477"/>
      <c r="E25" s="1791"/>
      <c r="F25" s="1791"/>
      <c r="G25" s="2478">
        <v>442298.59</v>
      </c>
      <c r="H25" s="2477"/>
      <c r="I25" s="1792">
        <v>375953.81</v>
      </c>
      <c r="J25" s="2478">
        <v>0</v>
      </c>
      <c r="K25" s="2479"/>
      <c r="L25" s="2477"/>
      <c r="M25" s="1792">
        <v>0</v>
      </c>
      <c r="N25" s="2478">
        <v>66344.78</v>
      </c>
      <c r="O25" s="2477"/>
      <c r="P25" s="2478">
        <v>0</v>
      </c>
      <c r="Q25" s="2477"/>
      <c r="R25" s="2478">
        <v>0</v>
      </c>
      <c r="S25" s="2477"/>
      <c r="T25" s="1793">
        <v>42825</v>
      </c>
      <c r="U25" s="2480" t="s">
        <v>3703</v>
      </c>
      <c r="V25" s="2477"/>
    </row>
    <row r="26" spans="1:22" ht="68.45" customHeight="1">
      <c r="A26" s="1791" t="s">
        <v>1093</v>
      </c>
      <c r="B26" s="1791" t="s">
        <v>161</v>
      </c>
      <c r="C26" s="2476" t="s">
        <v>1443</v>
      </c>
      <c r="D26" s="2477"/>
      <c r="E26" s="1791"/>
      <c r="F26" s="1791"/>
      <c r="G26" s="2478">
        <v>149792</v>
      </c>
      <c r="H26" s="2477"/>
      <c r="I26" s="1792">
        <v>127323</v>
      </c>
      <c r="J26" s="2478">
        <v>0</v>
      </c>
      <c r="K26" s="2479"/>
      <c r="L26" s="2477"/>
      <c r="M26" s="1792">
        <v>0</v>
      </c>
      <c r="N26" s="2478">
        <v>22469</v>
      </c>
      <c r="O26" s="2477"/>
      <c r="P26" s="2478">
        <v>0</v>
      </c>
      <c r="Q26" s="2477"/>
      <c r="R26" s="2478">
        <v>0</v>
      </c>
      <c r="S26" s="2477"/>
      <c r="T26" s="1793">
        <v>43495</v>
      </c>
      <c r="U26" s="2480" t="s">
        <v>3703</v>
      </c>
      <c r="V26" s="2477"/>
    </row>
    <row r="27" spans="1:22" ht="68.45" customHeight="1">
      <c r="A27" s="1791" t="s">
        <v>1094</v>
      </c>
      <c r="B27" s="1791" t="s">
        <v>282</v>
      </c>
      <c r="C27" s="2476" t="s">
        <v>306</v>
      </c>
      <c r="D27" s="2477"/>
      <c r="E27" s="1791"/>
      <c r="F27" s="1791"/>
      <c r="G27" s="2478">
        <v>554211</v>
      </c>
      <c r="H27" s="2477"/>
      <c r="I27" s="1792">
        <v>471079</v>
      </c>
      <c r="J27" s="2478">
        <v>0</v>
      </c>
      <c r="K27" s="2479"/>
      <c r="L27" s="2477"/>
      <c r="M27" s="1792">
        <v>0</v>
      </c>
      <c r="N27" s="2478">
        <v>83132</v>
      </c>
      <c r="O27" s="2477"/>
      <c r="P27" s="2478">
        <v>0</v>
      </c>
      <c r="Q27" s="2477"/>
      <c r="R27" s="2478">
        <v>0</v>
      </c>
      <c r="S27" s="2477"/>
      <c r="T27" s="1793">
        <v>43465</v>
      </c>
      <c r="U27" s="2480" t="s">
        <v>3703</v>
      </c>
      <c r="V27" s="2477"/>
    </row>
    <row r="28" spans="1:22" ht="68.45" customHeight="1" thickBot="1">
      <c r="A28" s="1791" t="s">
        <v>1096</v>
      </c>
      <c r="B28" s="1791" t="s">
        <v>282</v>
      </c>
      <c r="C28" s="2476" t="s">
        <v>305</v>
      </c>
      <c r="D28" s="2477"/>
      <c r="E28" s="1791"/>
      <c r="F28" s="1791"/>
      <c r="G28" s="2478">
        <v>296679.24</v>
      </c>
      <c r="H28" s="2477"/>
      <c r="I28" s="1792">
        <v>252177.35</v>
      </c>
      <c r="J28" s="2478">
        <v>0</v>
      </c>
      <c r="K28" s="2479"/>
      <c r="L28" s="2477"/>
      <c r="M28" s="1792">
        <v>0</v>
      </c>
      <c r="N28" s="2478">
        <v>44501.89</v>
      </c>
      <c r="O28" s="2477"/>
      <c r="P28" s="2478">
        <v>0</v>
      </c>
      <c r="Q28" s="2477"/>
      <c r="R28" s="2478">
        <v>0</v>
      </c>
      <c r="S28" s="2477"/>
      <c r="T28" s="1793">
        <v>42795</v>
      </c>
      <c r="U28" s="2480" t="s">
        <v>3703</v>
      </c>
      <c r="V28" s="2477"/>
    </row>
    <row r="29" spans="1:22">
      <c r="A29" s="2485" t="s">
        <v>3649</v>
      </c>
      <c r="B29" s="2484"/>
      <c r="C29" s="2484"/>
      <c r="D29" s="2484"/>
      <c r="E29" s="2484"/>
      <c r="F29" s="2483"/>
      <c r="G29" s="2482">
        <v>2406431.06</v>
      </c>
      <c r="H29" s="2483"/>
      <c r="I29" s="1794">
        <v>2045465.53</v>
      </c>
      <c r="J29" s="2482">
        <v>0</v>
      </c>
      <c r="K29" s="2484"/>
      <c r="L29" s="2483"/>
      <c r="M29" s="1794">
        <v>0</v>
      </c>
      <c r="N29" s="2482">
        <v>360965.53</v>
      </c>
      <c r="O29" s="2483"/>
      <c r="P29" s="2482">
        <v>0</v>
      </c>
      <c r="Q29" s="2483"/>
      <c r="R29" s="2482">
        <v>0</v>
      </c>
      <c r="S29" s="2483"/>
      <c r="T29" s="2486"/>
      <c r="U29" s="2484"/>
      <c r="V29" s="2483"/>
    </row>
    <row r="30" spans="1:22" ht="16.899999999999999" customHeight="1">
      <c r="A30" s="2480" t="s">
        <v>3650</v>
      </c>
      <c r="B30" s="2479"/>
      <c r="C30" s="2479"/>
      <c r="D30" s="2479"/>
      <c r="E30" s="2479"/>
      <c r="F30" s="2479"/>
      <c r="G30" s="2479"/>
      <c r="H30" s="2477"/>
      <c r="I30" s="2481">
        <v>2131629</v>
      </c>
      <c r="J30" s="2479"/>
      <c r="K30" s="2479"/>
      <c r="L30" s="2479"/>
      <c r="M30" s="2479"/>
      <c r="N30" s="2479"/>
      <c r="O30" s="2479"/>
      <c r="P30" s="2479"/>
      <c r="Q30" s="2479"/>
      <c r="R30" s="2479"/>
      <c r="S30" s="2479"/>
      <c r="T30" s="2479"/>
      <c r="U30" s="2479"/>
      <c r="V30" s="2477"/>
    </row>
    <row r="31" spans="1:22" ht="33.6" customHeight="1">
      <c r="A31" s="1395"/>
      <c r="B31" s="1395"/>
      <c r="C31" s="1395"/>
      <c r="D31" s="1395"/>
      <c r="E31" s="1395"/>
      <c r="F31" s="1395"/>
      <c r="G31" s="1395"/>
      <c r="H31" s="1395"/>
      <c r="I31" s="1795"/>
      <c r="J31" s="1395"/>
      <c r="K31" s="1395"/>
      <c r="L31" s="1395"/>
      <c r="M31" s="1395"/>
      <c r="N31" s="1395"/>
      <c r="O31" s="1395"/>
      <c r="P31" s="1395"/>
      <c r="Q31" s="1395"/>
      <c r="R31" s="1395"/>
      <c r="S31" s="1395"/>
      <c r="T31" s="1395"/>
      <c r="U31" s="1395"/>
      <c r="V31" s="1395"/>
    </row>
    <row r="32" spans="1:22" ht="409.6" hidden="1" customHeight="1"/>
    <row r="33" ht="36.6" customHeight="1"/>
  </sheetData>
  <mergeCells count="111">
    <mergeCell ref="A30:H30"/>
    <mergeCell ref="I30:V30"/>
    <mergeCell ref="U28:V28"/>
    <mergeCell ref="G29:H29"/>
    <mergeCell ref="J29:L29"/>
    <mergeCell ref="N29:O29"/>
    <mergeCell ref="P29:Q29"/>
    <mergeCell ref="R29:S29"/>
    <mergeCell ref="C28:D28"/>
    <mergeCell ref="G28:H28"/>
    <mergeCell ref="J28:L28"/>
    <mergeCell ref="N28:O28"/>
    <mergeCell ref="P28:Q28"/>
    <mergeCell ref="R28:S28"/>
    <mergeCell ref="A29:F29"/>
    <mergeCell ref="T29:V29"/>
    <mergeCell ref="U26:V26"/>
    <mergeCell ref="C27:D27"/>
    <mergeCell ref="G27:H27"/>
    <mergeCell ref="J27:L27"/>
    <mergeCell ref="N27:O27"/>
    <mergeCell ref="P27:Q27"/>
    <mergeCell ref="R27:S27"/>
    <mergeCell ref="U27:V27"/>
    <mergeCell ref="C26:D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A15:A19"/>
    <mergeCell ref="B15:B19"/>
    <mergeCell ref="C15:D19"/>
    <mergeCell ref="E15:E19"/>
    <mergeCell ref="F15:F19"/>
    <mergeCell ref="G15:S15"/>
    <mergeCell ref="N19:O19"/>
    <mergeCell ref="P19:Q19"/>
    <mergeCell ref="R19:S19"/>
    <mergeCell ref="A11:U11"/>
    <mergeCell ref="A12:G12"/>
    <mergeCell ref="H12:J12"/>
    <mergeCell ref="L12:N12"/>
    <mergeCell ref="O12:U12"/>
    <mergeCell ref="A5:U5"/>
    <mergeCell ref="A6:U6"/>
    <mergeCell ref="A7:C7"/>
    <mergeCell ref="D7:R7"/>
    <mergeCell ref="S7:U7"/>
    <mergeCell ref="A8:U8"/>
    <mergeCell ref="A2:P2"/>
    <mergeCell ref="A3:P3"/>
    <mergeCell ref="Q3:U3"/>
    <mergeCell ref="A4:C4"/>
    <mergeCell ref="D4:R4"/>
    <mergeCell ref="S4:U4"/>
    <mergeCell ref="A9:U9"/>
    <mergeCell ref="A10:U10"/>
    <mergeCell ref="Q2:V2"/>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2:V27"/>
  <sheetViews>
    <sheetView workbookViewId="0">
      <selection activeCell="B20" sqref="B20"/>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ht="74.25" customHeight="1">
      <c r="A2" s="2204"/>
      <c r="B2" s="1846"/>
      <c r="C2" s="1846"/>
      <c r="D2" s="1846"/>
      <c r="E2" s="1846"/>
      <c r="F2" s="1846"/>
      <c r="G2" s="1846"/>
      <c r="H2" s="1846"/>
      <c r="I2" s="1846"/>
      <c r="J2" s="1846"/>
      <c r="K2" s="1846"/>
      <c r="L2" s="1846"/>
      <c r="M2" s="1846"/>
      <c r="N2" s="1846"/>
      <c r="O2" s="1846"/>
      <c r="P2" s="1846"/>
      <c r="Q2" s="2283" t="s">
        <v>4192</v>
      </c>
      <c r="R2" s="2205"/>
      <c r="S2" s="2205"/>
      <c r="T2" s="2205"/>
      <c r="U2" s="2205"/>
    </row>
    <row r="3" spans="1:22">
      <c r="A3" s="2204"/>
      <c r="B3" s="1846"/>
      <c r="C3" s="1846"/>
      <c r="D3" s="1846"/>
      <c r="E3" s="1846"/>
      <c r="F3" s="1846"/>
      <c r="G3" s="1846"/>
      <c r="H3" s="1846"/>
      <c r="I3" s="1846"/>
      <c r="J3" s="1846"/>
      <c r="K3" s="1846"/>
      <c r="L3" s="1846"/>
      <c r="M3" s="1846"/>
      <c r="N3" s="1846"/>
      <c r="O3" s="1846"/>
      <c r="P3" s="1846"/>
      <c r="Q3" s="2283"/>
      <c r="R3" s="2205"/>
      <c r="S3" s="2205"/>
      <c r="T3" s="2205"/>
      <c r="U3" s="2205"/>
    </row>
    <row r="4" spans="1:22" ht="15" customHeight="1">
      <c r="A4" s="2284"/>
      <c r="B4" s="1846"/>
      <c r="C4" s="1846"/>
      <c r="D4" s="2285" t="s">
        <v>82</v>
      </c>
      <c r="E4" s="2190"/>
      <c r="F4" s="2190"/>
      <c r="G4" s="2190"/>
      <c r="H4" s="2190"/>
      <c r="I4" s="2190"/>
      <c r="J4" s="2190"/>
      <c r="K4" s="2190"/>
      <c r="L4" s="2190"/>
      <c r="M4" s="2190"/>
      <c r="N4" s="2190"/>
      <c r="O4" s="2190"/>
      <c r="P4" s="2190"/>
      <c r="Q4" s="2190"/>
      <c r="R4" s="2190"/>
      <c r="S4" s="2284"/>
      <c r="T4" s="1846"/>
      <c r="U4" s="1846"/>
    </row>
    <row r="5" spans="1:22" ht="15" customHeight="1">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c r="A6" s="2204"/>
      <c r="B6" s="1846"/>
      <c r="C6" s="1846"/>
      <c r="D6" s="1846"/>
      <c r="E6" s="1846"/>
      <c r="F6" s="1846"/>
      <c r="G6" s="1846"/>
      <c r="H6" s="1846"/>
      <c r="I6" s="1846"/>
      <c r="J6" s="1846"/>
      <c r="K6" s="1846"/>
      <c r="L6" s="1846"/>
      <c r="M6" s="1846"/>
      <c r="N6" s="1846"/>
      <c r="O6" s="1846"/>
      <c r="P6" s="1846"/>
      <c r="Q6" s="1846"/>
      <c r="R6" s="1846"/>
      <c r="S6" s="1846"/>
      <c r="T6" s="1846"/>
      <c r="U6" s="1846"/>
    </row>
    <row r="7" spans="1:22" ht="15" customHeight="1">
      <c r="A7" s="2284"/>
      <c r="B7" s="1846"/>
      <c r="C7" s="1846"/>
      <c r="D7" s="2286" t="s">
        <v>3696</v>
      </c>
      <c r="E7" s="2190"/>
      <c r="F7" s="2190"/>
      <c r="G7" s="2190"/>
      <c r="H7" s="2190"/>
      <c r="I7" s="2190"/>
      <c r="J7" s="2190"/>
      <c r="K7" s="2190"/>
      <c r="L7" s="2190"/>
      <c r="M7" s="2190"/>
      <c r="N7" s="2190"/>
      <c r="O7" s="2190"/>
      <c r="P7" s="2190"/>
      <c r="Q7" s="2190"/>
      <c r="R7" s="2190"/>
      <c r="S7" s="2284"/>
      <c r="T7" s="1846"/>
      <c r="U7" s="1846"/>
    </row>
    <row r="8" spans="1:22" ht="15" customHeight="1">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c r="A9" s="2287"/>
      <c r="B9" s="1846"/>
      <c r="C9" s="1846"/>
      <c r="D9" s="1846"/>
      <c r="E9" s="1846"/>
      <c r="F9" s="1846"/>
      <c r="G9" s="1846"/>
      <c r="H9" s="1846"/>
      <c r="I9" s="1846"/>
      <c r="J9" s="1846"/>
      <c r="K9" s="1846"/>
      <c r="L9" s="1846"/>
      <c r="M9" s="1846"/>
      <c r="N9" s="1846"/>
      <c r="O9" s="1846"/>
      <c r="P9" s="1846"/>
      <c r="Q9" s="1846"/>
      <c r="R9" s="1846"/>
      <c r="S9" s="1846"/>
      <c r="T9" s="1846"/>
      <c r="U9" s="1846"/>
    </row>
    <row r="10" spans="1:22" ht="15" customHeight="1">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5.75">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ht="15" customHeight="1">
      <c r="A12" s="2284"/>
      <c r="B12" s="1846"/>
      <c r="C12" s="1846"/>
      <c r="D12" s="1846"/>
      <c r="E12" s="1846"/>
      <c r="F12" s="1846"/>
      <c r="G12" s="1846"/>
      <c r="H12" s="2289" t="s">
        <v>3697</v>
      </c>
      <c r="I12" s="2190"/>
      <c r="J12" s="2190"/>
      <c r="K12" s="1409" t="s">
        <v>7</v>
      </c>
      <c r="L12" s="2289" t="s">
        <v>3698</v>
      </c>
      <c r="M12" s="2190"/>
      <c r="N12" s="2190"/>
      <c r="O12" s="2284"/>
      <c r="P12" s="1846"/>
      <c r="Q12" s="1846"/>
      <c r="R12" s="1846"/>
      <c r="S12" s="1846"/>
      <c r="T12" s="1846"/>
      <c r="U12" s="1846"/>
    </row>
    <row r="13" spans="1:22" ht="409.6" hidden="1" customHeight="1"/>
    <row r="15" spans="1:22" ht="15" customHeight="1">
      <c r="A15" s="2176" t="s">
        <v>1045</v>
      </c>
      <c r="B15" s="2176" t="s">
        <v>50</v>
      </c>
      <c r="C15" s="2176" t="s">
        <v>3635</v>
      </c>
      <c r="D15" s="2179"/>
      <c r="E15" s="2176" t="s">
        <v>3636</v>
      </c>
      <c r="F15" s="2176" t="s">
        <v>3637</v>
      </c>
      <c r="G15" s="2176" t="s">
        <v>3638</v>
      </c>
      <c r="H15" s="2171"/>
      <c r="I15" s="2171"/>
      <c r="J15" s="2171"/>
      <c r="K15" s="2171"/>
      <c r="L15" s="2171"/>
      <c r="M15" s="2171"/>
      <c r="N15" s="2171"/>
      <c r="O15" s="2171"/>
      <c r="P15" s="2171"/>
      <c r="Q15" s="2171"/>
      <c r="R15" s="2171"/>
      <c r="S15" s="2162"/>
      <c r="T15" s="2176" t="s">
        <v>3639</v>
      </c>
      <c r="U15" s="2176" t="s">
        <v>3640</v>
      </c>
      <c r="V15" s="2179"/>
    </row>
    <row r="16" spans="1:22" ht="15" customHeight="1">
      <c r="A16" s="2177"/>
      <c r="B16" s="2177"/>
      <c r="C16" s="2180"/>
      <c r="D16" s="2181"/>
      <c r="E16" s="2177"/>
      <c r="F16" s="2177"/>
      <c r="G16" s="2176" t="s">
        <v>9</v>
      </c>
      <c r="H16" s="2179"/>
      <c r="I16" s="2176" t="s">
        <v>3641</v>
      </c>
      <c r="J16" s="2171"/>
      <c r="K16" s="2171"/>
      <c r="L16" s="2162"/>
      <c r="M16" s="2184" t="s">
        <v>3642</v>
      </c>
      <c r="N16" s="1846"/>
      <c r="O16" s="1846"/>
      <c r="P16" s="1846"/>
      <c r="Q16" s="1846"/>
      <c r="R16" s="1846"/>
      <c r="S16" s="1846"/>
      <c r="T16" s="2177"/>
      <c r="U16" s="2180"/>
      <c r="V16" s="2181"/>
    </row>
    <row r="17" spans="1:22" ht="15" customHeight="1">
      <c r="A17" s="2177"/>
      <c r="B17" s="2177"/>
      <c r="C17" s="2180"/>
      <c r="D17" s="2181"/>
      <c r="E17" s="2177"/>
      <c r="F17" s="2177"/>
      <c r="G17" s="2180"/>
      <c r="H17" s="2181"/>
      <c r="I17" s="2176" t="s">
        <v>3643</v>
      </c>
      <c r="J17" s="2185"/>
      <c r="K17" s="2171"/>
      <c r="L17" s="2171"/>
      <c r="M17" s="2186" t="s">
        <v>3644</v>
      </c>
      <c r="N17" s="2187"/>
      <c r="O17" s="2187"/>
      <c r="P17" s="2187"/>
      <c r="Q17" s="2187"/>
      <c r="R17" s="2187"/>
      <c r="S17" s="2188"/>
      <c r="T17" s="2177"/>
      <c r="U17" s="2180"/>
      <c r="V17" s="2181"/>
    </row>
    <row r="18" spans="1:22" ht="15" customHeight="1">
      <c r="A18" s="2177"/>
      <c r="B18" s="2177"/>
      <c r="C18" s="2180"/>
      <c r="D18" s="2181"/>
      <c r="E18" s="2177"/>
      <c r="F18" s="2177"/>
      <c r="G18" s="2180"/>
      <c r="H18" s="2181"/>
      <c r="I18" s="2177"/>
      <c r="J18" s="2176" t="s">
        <v>3645</v>
      </c>
      <c r="K18" s="2189"/>
      <c r="L18" s="2179"/>
      <c r="M18" s="2176" t="s">
        <v>1974</v>
      </c>
      <c r="N18" s="2171"/>
      <c r="O18" s="2171"/>
      <c r="P18" s="2171"/>
      <c r="Q18" s="2171"/>
      <c r="R18" s="2171"/>
      <c r="S18" s="2162"/>
      <c r="T18" s="2177"/>
      <c r="U18" s="2180"/>
      <c r="V18" s="2181"/>
    </row>
    <row r="19" spans="1:22" ht="48" customHeight="1">
      <c r="A19" s="2178"/>
      <c r="B19" s="2178"/>
      <c r="C19" s="2182"/>
      <c r="D19" s="2183"/>
      <c r="E19" s="2178"/>
      <c r="F19" s="2178"/>
      <c r="G19" s="2182"/>
      <c r="H19" s="2183"/>
      <c r="I19" s="2178"/>
      <c r="J19" s="2182"/>
      <c r="K19" s="2190"/>
      <c r="L19" s="2183"/>
      <c r="M19" s="1396" t="s">
        <v>3645</v>
      </c>
      <c r="N19" s="2176" t="s">
        <v>2010</v>
      </c>
      <c r="O19" s="2162"/>
      <c r="P19" s="2176" t="s">
        <v>61</v>
      </c>
      <c r="Q19" s="2162"/>
      <c r="R19" s="2176" t="s">
        <v>60</v>
      </c>
      <c r="S19" s="2162"/>
      <c r="T19" s="2178"/>
      <c r="U19" s="2182"/>
      <c r="V19" s="2183"/>
    </row>
    <row r="20" spans="1:22" ht="15" customHeight="1">
      <c r="A20" s="1397" t="s">
        <v>2024</v>
      </c>
      <c r="B20" s="1397" t="s">
        <v>2534</v>
      </c>
      <c r="C20" s="2175" t="s">
        <v>2535</v>
      </c>
      <c r="D20" s="2162"/>
      <c r="E20" s="1397" t="s">
        <v>2536</v>
      </c>
      <c r="F20" s="1397" t="s">
        <v>2025</v>
      </c>
      <c r="G20" s="2175" t="s">
        <v>2072</v>
      </c>
      <c r="H20" s="2162"/>
      <c r="I20" s="1397" t="s">
        <v>2074</v>
      </c>
      <c r="J20" s="2175" t="s">
        <v>2075</v>
      </c>
      <c r="K20" s="2171"/>
      <c r="L20" s="2162"/>
      <c r="M20" s="1397" t="s">
        <v>2026</v>
      </c>
      <c r="N20" s="2175" t="s">
        <v>1706</v>
      </c>
      <c r="O20" s="2162"/>
      <c r="P20" s="2175" t="s">
        <v>1707</v>
      </c>
      <c r="Q20" s="2162"/>
      <c r="R20" s="2175" t="s">
        <v>1709</v>
      </c>
      <c r="S20" s="2162"/>
      <c r="T20" s="1397" t="s">
        <v>1710</v>
      </c>
      <c r="U20" s="2175" t="s">
        <v>1711</v>
      </c>
      <c r="V20" s="2162"/>
    </row>
    <row r="21" spans="1:22" ht="33.75">
      <c r="A21" s="1326" t="s">
        <v>1052</v>
      </c>
      <c r="B21" s="1326" t="s">
        <v>345</v>
      </c>
      <c r="C21" s="2290" t="s">
        <v>270</v>
      </c>
      <c r="D21" s="2162"/>
      <c r="E21" s="1326"/>
      <c r="F21" s="1326"/>
      <c r="G21" s="2161">
        <v>208223.53</v>
      </c>
      <c r="H21" s="2162"/>
      <c r="I21" s="1398">
        <v>176990</v>
      </c>
      <c r="J21" s="2161">
        <v>0</v>
      </c>
      <c r="K21" s="2171"/>
      <c r="L21" s="2162"/>
      <c r="M21" s="1398">
        <v>0</v>
      </c>
      <c r="N21" s="2161">
        <v>31233.53</v>
      </c>
      <c r="O21" s="2162"/>
      <c r="P21" s="2161">
        <v>0</v>
      </c>
      <c r="Q21" s="2162"/>
      <c r="R21" s="2161">
        <v>0</v>
      </c>
      <c r="S21" s="2162"/>
      <c r="T21" s="1399">
        <v>42755</v>
      </c>
      <c r="U21" s="2163" t="s">
        <v>4193</v>
      </c>
      <c r="V21" s="2162"/>
    </row>
    <row r="22" spans="1:22" ht="33.75" customHeight="1">
      <c r="A22" s="1326" t="s">
        <v>3647</v>
      </c>
      <c r="B22" s="1326" t="s">
        <v>161</v>
      </c>
      <c r="C22" s="2290" t="s">
        <v>2108</v>
      </c>
      <c r="D22" s="2162"/>
      <c r="E22" s="1326"/>
      <c r="F22" s="1326"/>
      <c r="G22" s="2161">
        <v>288106</v>
      </c>
      <c r="H22" s="2162"/>
      <c r="I22" s="1398">
        <v>244890.1</v>
      </c>
      <c r="J22" s="2161">
        <v>0</v>
      </c>
      <c r="K22" s="2171"/>
      <c r="L22" s="2162"/>
      <c r="M22" s="1398">
        <v>0</v>
      </c>
      <c r="N22" s="2161">
        <v>43215.9</v>
      </c>
      <c r="O22" s="2162"/>
      <c r="P22" s="2161">
        <v>0</v>
      </c>
      <c r="Q22" s="2162"/>
      <c r="R22" s="2161">
        <v>0</v>
      </c>
      <c r="S22" s="2162"/>
      <c r="T22" s="1399">
        <v>42706</v>
      </c>
      <c r="U22" s="2163" t="s">
        <v>4193</v>
      </c>
      <c r="V22" s="2162"/>
    </row>
    <row r="23" spans="1:22" ht="49.5" customHeight="1" thickBot="1">
      <c r="A23" s="1326" t="s">
        <v>1087</v>
      </c>
      <c r="B23" s="1326" t="s">
        <v>161</v>
      </c>
      <c r="C23" s="2290" t="s">
        <v>3699</v>
      </c>
      <c r="D23" s="2162"/>
      <c r="E23" s="1326"/>
      <c r="F23" s="1326"/>
      <c r="G23" s="2161">
        <v>222988.12</v>
      </c>
      <c r="H23" s="2162"/>
      <c r="I23" s="1398">
        <v>189539.9</v>
      </c>
      <c r="J23" s="2161">
        <v>0</v>
      </c>
      <c r="K23" s="2171"/>
      <c r="L23" s="2162"/>
      <c r="M23" s="1398">
        <v>0</v>
      </c>
      <c r="N23" s="2161">
        <v>33448.22</v>
      </c>
      <c r="O23" s="2162"/>
      <c r="P23" s="2161">
        <v>0</v>
      </c>
      <c r="Q23" s="2162"/>
      <c r="R23" s="2161">
        <v>0</v>
      </c>
      <c r="S23" s="2162"/>
      <c r="T23" s="1399">
        <v>43553</v>
      </c>
      <c r="U23" s="2163" t="s">
        <v>4193</v>
      </c>
      <c r="V23" s="2162"/>
    </row>
    <row r="24" spans="1:22" ht="15" customHeight="1">
      <c r="A24" s="2173" t="s">
        <v>3649</v>
      </c>
      <c r="B24" s="2169"/>
      <c r="C24" s="2169"/>
      <c r="D24" s="2169"/>
      <c r="E24" s="2169"/>
      <c r="F24" s="2170"/>
      <c r="G24" s="2174">
        <v>719317.65</v>
      </c>
      <c r="H24" s="2170"/>
      <c r="I24" s="1401">
        <v>611420</v>
      </c>
      <c r="J24" s="2174">
        <v>0</v>
      </c>
      <c r="K24" s="2169"/>
      <c r="L24" s="2170"/>
      <c r="M24" s="1401">
        <v>0</v>
      </c>
      <c r="N24" s="2174">
        <v>107897.65</v>
      </c>
      <c r="O24" s="2170"/>
      <c r="P24" s="2174">
        <v>0</v>
      </c>
      <c r="Q24" s="2170"/>
      <c r="R24" s="2174">
        <v>0</v>
      </c>
      <c r="S24" s="2170"/>
      <c r="T24" s="2168"/>
      <c r="U24" s="2169"/>
      <c r="V24" s="2170"/>
    </row>
    <row r="25" spans="1:22" ht="15" customHeight="1">
      <c r="A25" s="2163" t="s">
        <v>3650</v>
      </c>
      <c r="B25" s="2171"/>
      <c r="C25" s="2171"/>
      <c r="D25" s="2171"/>
      <c r="E25" s="2171"/>
      <c r="F25" s="2171"/>
      <c r="G25" s="2171"/>
      <c r="H25" s="2162"/>
      <c r="I25" s="2172">
        <v>611420</v>
      </c>
      <c r="J25" s="2171"/>
      <c r="K25" s="2171"/>
      <c r="L25" s="2171"/>
      <c r="M25" s="2171"/>
      <c r="N25" s="2171"/>
      <c r="O25" s="2171"/>
      <c r="P25" s="2171"/>
      <c r="Q25" s="2171"/>
      <c r="R25" s="2171"/>
      <c r="S25" s="2171"/>
      <c r="T25" s="2171"/>
      <c r="U25" s="2171"/>
      <c r="V25" s="2162"/>
    </row>
    <row r="27" spans="1:22" ht="409.6" hidden="1" customHeight="1"/>
  </sheetData>
  <mergeCells count="76">
    <mergeCell ref="T24:V24"/>
    <mergeCell ref="A25:H25"/>
    <mergeCell ref="I25:V25"/>
    <mergeCell ref="A24:F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Q2:U2"/>
    <mergeCell ref="A3:P3"/>
    <mergeCell ref="Q3:U3"/>
    <mergeCell ref="A4:C4"/>
    <mergeCell ref="D4:R4"/>
    <mergeCell ref="S4:U4"/>
    <mergeCell ref="A5:U5"/>
    <mergeCell ref="A6:U6"/>
    <mergeCell ref="A7:C7"/>
    <mergeCell ref="D7:R7"/>
    <mergeCell ref="S7:U7"/>
  </mergeCell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2:V31"/>
  <sheetViews>
    <sheetView workbookViewId="0">
      <selection activeCell="G23" sqref="G23:H23"/>
    </sheetView>
  </sheetViews>
  <sheetFormatPr defaultRowHeight="15"/>
  <cols>
    <col min="1" max="1" width="5.42578125" customWidth="1"/>
    <col min="2" max="2" width="13.7109375" customWidth="1"/>
    <col min="3" max="3" width="18.85546875" customWidth="1"/>
    <col min="4" max="4" width="0.140625" customWidth="1"/>
    <col min="5" max="5" width="18.28515625" hidden="1" customWidth="1"/>
    <col min="6" max="6" width="15.28515625" hidden="1" customWidth="1"/>
    <col min="7" max="7" width="12.42578125" customWidth="1"/>
    <col min="8" max="8" width="0.5703125" customWidth="1"/>
    <col min="9" max="9" width="18.28515625" customWidth="1"/>
    <col min="10" max="10" width="1" customWidth="1"/>
    <col min="11" max="11" width="7.140625" customWidth="1"/>
    <col min="12" max="12" width="6.85546875" customWidth="1"/>
    <col min="13" max="13" width="13" customWidth="1"/>
    <col min="14" max="14" width="1.85546875" customWidth="1"/>
    <col min="15" max="15" width="12.28515625" customWidth="1"/>
    <col min="16" max="16" width="10.140625" customWidth="1"/>
    <col min="17" max="17" width="2.85546875" hidden="1" customWidth="1"/>
    <col min="18" max="18" width="10.7109375" customWidth="1"/>
    <col min="19" max="19" width="0.5703125" customWidth="1"/>
    <col min="20" max="20" width="15.28515625" customWidth="1"/>
    <col min="21" max="21" width="19" customWidth="1"/>
    <col min="22" max="22" width="3.140625" customWidth="1"/>
    <col min="257" max="257" width="5.42578125" customWidth="1"/>
    <col min="258" max="258" width="13.7109375" customWidth="1"/>
    <col min="259" max="259" width="18.85546875" customWidth="1"/>
    <col min="260" max="260" width="0.140625" customWidth="1"/>
    <col min="261" max="262" width="0" hidden="1" customWidth="1"/>
    <col min="263" max="263" width="12.42578125" customWidth="1"/>
    <col min="264" max="264" width="0.5703125" customWidth="1"/>
    <col min="265" max="265" width="18.28515625" customWidth="1"/>
    <col min="266" max="266" width="1" customWidth="1"/>
    <col min="267" max="267" width="7.140625" customWidth="1"/>
    <col min="268" max="268" width="6.85546875" customWidth="1"/>
    <col min="269" max="269" width="13" customWidth="1"/>
    <col min="270" max="270" width="1.85546875" customWidth="1"/>
    <col min="271" max="271" width="12.28515625" customWidth="1"/>
    <col min="272" max="272" width="10.140625" customWidth="1"/>
    <col min="273" max="273" width="0" hidden="1" customWidth="1"/>
    <col min="274" max="274" width="10.7109375" customWidth="1"/>
    <col min="275" max="275" width="0.5703125" customWidth="1"/>
    <col min="276" max="276" width="15.28515625" customWidth="1"/>
    <col min="277" max="277" width="19" customWidth="1"/>
    <col min="278" max="278" width="3.140625" customWidth="1"/>
    <col min="513" max="513" width="5.42578125" customWidth="1"/>
    <col min="514" max="514" width="13.7109375" customWidth="1"/>
    <col min="515" max="515" width="18.85546875" customWidth="1"/>
    <col min="516" max="516" width="0.140625" customWidth="1"/>
    <col min="517" max="518" width="0" hidden="1" customWidth="1"/>
    <col min="519" max="519" width="12.42578125" customWidth="1"/>
    <col min="520" max="520" width="0.5703125" customWidth="1"/>
    <col min="521" max="521" width="18.28515625" customWidth="1"/>
    <col min="522" max="522" width="1" customWidth="1"/>
    <col min="523" max="523" width="7.140625" customWidth="1"/>
    <col min="524" max="524" width="6.85546875" customWidth="1"/>
    <col min="525" max="525" width="13" customWidth="1"/>
    <col min="526" max="526" width="1.85546875" customWidth="1"/>
    <col min="527" max="527" width="12.28515625" customWidth="1"/>
    <col min="528" max="528" width="10.140625" customWidth="1"/>
    <col min="529" max="529" width="0" hidden="1" customWidth="1"/>
    <col min="530" max="530" width="10.7109375" customWidth="1"/>
    <col min="531" max="531" width="0.5703125" customWidth="1"/>
    <col min="532" max="532" width="15.28515625" customWidth="1"/>
    <col min="533" max="533" width="19" customWidth="1"/>
    <col min="534" max="534" width="3.140625" customWidth="1"/>
    <col min="769" max="769" width="5.42578125" customWidth="1"/>
    <col min="770" max="770" width="13.7109375" customWidth="1"/>
    <col min="771" max="771" width="18.85546875" customWidth="1"/>
    <col min="772" max="772" width="0.140625" customWidth="1"/>
    <col min="773" max="774" width="0" hidden="1" customWidth="1"/>
    <col min="775" max="775" width="12.42578125" customWidth="1"/>
    <col min="776" max="776" width="0.5703125" customWidth="1"/>
    <col min="777" max="777" width="18.28515625" customWidth="1"/>
    <col min="778" max="778" width="1" customWidth="1"/>
    <col min="779" max="779" width="7.140625" customWidth="1"/>
    <col min="780" max="780" width="6.85546875" customWidth="1"/>
    <col min="781" max="781" width="13" customWidth="1"/>
    <col min="782" max="782" width="1.85546875" customWidth="1"/>
    <col min="783" max="783" width="12.28515625" customWidth="1"/>
    <col min="784" max="784" width="10.140625" customWidth="1"/>
    <col min="785" max="785" width="0" hidden="1" customWidth="1"/>
    <col min="786" max="786" width="10.7109375" customWidth="1"/>
    <col min="787" max="787" width="0.5703125" customWidth="1"/>
    <col min="788" max="788" width="15.28515625" customWidth="1"/>
    <col min="789" max="789" width="19" customWidth="1"/>
    <col min="790" max="790" width="3.140625" customWidth="1"/>
    <col min="1025" max="1025" width="5.42578125" customWidth="1"/>
    <col min="1026" max="1026" width="13.7109375" customWidth="1"/>
    <col min="1027" max="1027" width="18.85546875" customWidth="1"/>
    <col min="1028" max="1028" width="0.140625" customWidth="1"/>
    <col min="1029" max="1030" width="0" hidden="1" customWidth="1"/>
    <col min="1031" max="1031" width="12.42578125" customWidth="1"/>
    <col min="1032" max="1032" width="0.5703125" customWidth="1"/>
    <col min="1033" max="1033" width="18.28515625" customWidth="1"/>
    <col min="1034" max="1034" width="1" customWidth="1"/>
    <col min="1035" max="1035" width="7.140625" customWidth="1"/>
    <col min="1036" max="1036" width="6.85546875" customWidth="1"/>
    <col min="1037" max="1037" width="13" customWidth="1"/>
    <col min="1038" max="1038" width="1.85546875" customWidth="1"/>
    <col min="1039" max="1039" width="12.28515625" customWidth="1"/>
    <col min="1040" max="1040" width="10.140625" customWidth="1"/>
    <col min="1041" max="1041" width="0" hidden="1" customWidth="1"/>
    <col min="1042" max="1042" width="10.7109375" customWidth="1"/>
    <col min="1043" max="1043" width="0.5703125" customWidth="1"/>
    <col min="1044" max="1044" width="15.28515625" customWidth="1"/>
    <col min="1045" max="1045" width="19" customWidth="1"/>
    <col min="1046" max="1046" width="3.140625" customWidth="1"/>
    <col min="1281" max="1281" width="5.42578125" customWidth="1"/>
    <col min="1282" max="1282" width="13.7109375" customWidth="1"/>
    <col min="1283" max="1283" width="18.85546875" customWidth="1"/>
    <col min="1284" max="1284" width="0.140625" customWidth="1"/>
    <col min="1285" max="1286" width="0" hidden="1" customWidth="1"/>
    <col min="1287" max="1287" width="12.42578125" customWidth="1"/>
    <col min="1288" max="1288" width="0.5703125" customWidth="1"/>
    <col min="1289" max="1289" width="18.28515625" customWidth="1"/>
    <col min="1290" max="1290" width="1" customWidth="1"/>
    <col min="1291" max="1291" width="7.140625" customWidth="1"/>
    <col min="1292" max="1292" width="6.85546875" customWidth="1"/>
    <col min="1293" max="1293" width="13" customWidth="1"/>
    <col min="1294" max="1294" width="1.85546875" customWidth="1"/>
    <col min="1295" max="1295" width="12.28515625" customWidth="1"/>
    <col min="1296" max="1296" width="10.140625" customWidth="1"/>
    <col min="1297" max="1297" width="0" hidden="1" customWidth="1"/>
    <col min="1298" max="1298" width="10.7109375" customWidth="1"/>
    <col min="1299" max="1299" width="0.5703125" customWidth="1"/>
    <col min="1300" max="1300" width="15.28515625" customWidth="1"/>
    <col min="1301" max="1301" width="19" customWidth="1"/>
    <col min="1302" max="1302" width="3.140625" customWidth="1"/>
    <col min="1537" max="1537" width="5.42578125" customWidth="1"/>
    <col min="1538" max="1538" width="13.7109375" customWidth="1"/>
    <col min="1539" max="1539" width="18.85546875" customWidth="1"/>
    <col min="1540" max="1540" width="0.140625" customWidth="1"/>
    <col min="1541" max="1542" width="0" hidden="1" customWidth="1"/>
    <col min="1543" max="1543" width="12.42578125" customWidth="1"/>
    <col min="1544" max="1544" width="0.5703125" customWidth="1"/>
    <col min="1545" max="1545" width="18.28515625" customWidth="1"/>
    <col min="1546" max="1546" width="1" customWidth="1"/>
    <col min="1547" max="1547" width="7.140625" customWidth="1"/>
    <col min="1548" max="1548" width="6.85546875" customWidth="1"/>
    <col min="1549" max="1549" width="13" customWidth="1"/>
    <col min="1550" max="1550" width="1.85546875" customWidth="1"/>
    <col min="1551" max="1551" width="12.28515625" customWidth="1"/>
    <col min="1552" max="1552" width="10.140625" customWidth="1"/>
    <col min="1553" max="1553" width="0" hidden="1" customWidth="1"/>
    <col min="1554" max="1554" width="10.7109375" customWidth="1"/>
    <col min="1555" max="1555" width="0.5703125" customWidth="1"/>
    <col min="1556" max="1556" width="15.28515625" customWidth="1"/>
    <col min="1557" max="1557" width="19" customWidth="1"/>
    <col min="1558" max="1558" width="3.140625" customWidth="1"/>
    <col min="1793" max="1793" width="5.42578125" customWidth="1"/>
    <col min="1794" max="1794" width="13.7109375" customWidth="1"/>
    <col min="1795" max="1795" width="18.85546875" customWidth="1"/>
    <col min="1796" max="1796" width="0.140625" customWidth="1"/>
    <col min="1797" max="1798" width="0" hidden="1" customWidth="1"/>
    <col min="1799" max="1799" width="12.42578125" customWidth="1"/>
    <col min="1800" max="1800" width="0.5703125" customWidth="1"/>
    <col min="1801" max="1801" width="18.28515625" customWidth="1"/>
    <col min="1802" max="1802" width="1" customWidth="1"/>
    <col min="1803" max="1803" width="7.140625" customWidth="1"/>
    <col min="1804" max="1804" width="6.85546875" customWidth="1"/>
    <col min="1805" max="1805" width="13" customWidth="1"/>
    <col min="1806" max="1806" width="1.85546875" customWidth="1"/>
    <col min="1807" max="1807" width="12.28515625" customWidth="1"/>
    <col min="1808" max="1808" width="10.140625" customWidth="1"/>
    <col min="1809" max="1809" width="0" hidden="1" customWidth="1"/>
    <col min="1810" max="1810" width="10.7109375" customWidth="1"/>
    <col min="1811" max="1811" width="0.5703125" customWidth="1"/>
    <col min="1812" max="1812" width="15.28515625" customWidth="1"/>
    <col min="1813" max="1813" width="19" customWidth="1"/>
    <col min="1814" max="1814" width="3.140625" customWidth="1"/>
    <col min="2049" max="2049" width="5.42578125" customWidth="1"/>
    <col min="2050" max="2050" width="13.7109375" customWidth="1"/>
    <col min="2051" max="2051" width="18.85546875" customWidth="1"/>
    <col min="2052" max="2052" width="0.140625" customWidth="1"/>
    <col min="2053" max="2054" width="0" hidden="1" customWidth="1"/>
    <col min="2055" max="2055" width="12.42578125" customWidth="1"/>
    <col min="2056" max="2056" width="0.5703125" customWidth="1"/>
    <col min="2057" max="2057" width="18.28515625" customWidth="1"/>
    <col min="2058" max="2058" width="1" customWidth="1"/>
    <col min="2059" max="2059" width="7.140625" customWidth="1"/>
    <col min="2060" max="2060" width="6.85546875" customWidth="1"/>
    <col min="2061" max="2061" width="13" customWidth="1"/>
    <col min="2062" max="2062" width="1.85546875" customWidth="1"/>
    <col min="2063" max="2063" width="12.28515625" customWidth="1"/>
    <col min="2064" max="2064" width="10.140625" customWidth="1"/>
    <col min="2065" max="2065" width="0" hidden="1" customWidth="1"/>
    <col min="2066" max="2066" width="10.7109375" customWidth="1"/>
    <col min="2067" max="2067" width="0.5703125" customWidth="1"/>
    <col min="2068" max="2068" width="15.28515625" customWidth="1"/>
    <col min="2069" max="2069" width="19" customWidth="1"/>
    <col min="2070" max="2070" width="3.140625" customWidth="1"/>
    <col min="2305" max="2305" width="5.42578125" customWidth="1"/>
    <col min="2306" max="2306" width="13.7109375" customWidth="1"/>
    <col min="2307" max="2307" width="18.85546875" customWidth="1"/>
    <col min="2308" max="2308" width="0.140625" customWidth="1"/>
    <col min="2309" max="2310" width="0" hidden="1" customWidth="1"/>
    <col min="2311" max="2311" width="12.42578125" customWidth="1"/>
    <col min="2312" max="2312" width="0.5703125" customWidth="1"/>
    <col min="2313" max="2313" width="18.28515625" customWidth="1"/>
    <col min="2314" max="2314" width="1" customWidth="1"/>
    <col min="2315" max="2315" width="7.140625" customWidth="1"/>
    <col min="2316" max="2316" width="6.85546875" customWidth="1"/>
    <col min="2317" max="2317" width="13" customWidth="1"/>
    <col min="2318" max="2318" width="1.85546875" customWidth="1"/>
    <col min="2319" max="2319" width="12.28515625" customWidth="1"/>
    <col min="2320" max="2320" width="10.140625" customWidth="1"/>
    <col min="2321" max="2321" width="0" hidden="1" customWidth="1"/>
    <col min="2322" max="2322" width="10.7109375" customWidth="1"/>
    <col min="2323" max="2323" width="0.5703125" customWidth="1"/>
    <col min="2324" max="2324" width="15.28515625" customWidth="1"/>
    <col min="2325" max="2325" width="19" customWidth="1"/>
    <col min="2326" max="2326" width="3.140625" customWidth="1"/>
    <col min="2561" max="2561" width="5.42578125" customWidth="1"/>
    <col min="2562" max="2562" width="13.7109375" customWidth="1"/>
    <col min="2563" max="2563" width="18.85546875" customWidth="1"/>
    <col min="2564" max="2564" width="0.140625" customWidth="1"/>
    <col min="2565" max="2566" width="0" hidden="1" customWidth="1"/>
    <col min="2567" max="2567" width="12.42578125" customWidth="1"/>
    <col min="2568" max="2568" width="0.5703125" customWidth="1"/>
    <col min="2569" max="2569" width="18.28515625" customWidth="1"/>
    <col min="2570" max="2570" width="1" customWidth="1"/>
    <col min="2571" max="2571" width="7.140625" customWidth="1"/>
    <col min="2572" max="2572" width="6.85546875" customWidth="1"/>
    <col min="2573" max="2573" width="13" customWidth="1"/>
    <col min="2574" max="2574" width="1.85546875" customWidth="1"/>
    <col min="2575" max="2575" width="12.28515625" customWidth="1"/>
    <col min="2576" max="2576" width="10.140625" customWidth="1"/>
    <col min="2577" max="2577" width="0" hidden="1" customWidth="1"/>
    <col min="2578" max="2578" width="10.7109375" customWidth="1"/>
    <col min="2579" max="2579" width="0.5703125" customWidth="1"/>
    <col min="2580" max="2580" width="15.28515625" customWidth="1"/>
    <col min="2581" max="2581" width="19" customWidth="1"/>
    <col min="2582" max="2582" width="3.140625" customWidth="1"/>
    <col min="2817" max="2817" width="5.42578125" customWidth="1"/>
    <col min="2818" max="2818" width="13.7109375" customWidth="1"/>
    <col min="2819" max="2819" width="18.85546875" customWidth="1"/>
    <col min="2820" max="2820" width="0.140625" customWidth="1"/>
    <col min="2821" max="2822" width="0" hidden="1" customWidth="1"/>
    <col min="2823" max="2823" width="12.42578125" customWidth="1"/>
    <col min="2824" max="2824" width="0.5703125" customWidth="1"/>
    <col min="2825" max="2825" width="18.28515625" customWidth="1"/>
    <col min="2826" max="2826" width="1" customWidth="1"/>
    <col min="2827" max="2827" width="7.140625" customWidth="1"/>
    <col min="2828" max="2828" width="6.85546875" customWidth="1"/>
    <col min="2829" max="2829" width="13" customWidth="1"/>
    <col min="2830" max="2830" width="1.85546875" customWidth="1"/>
    <col min="2831" max="2831" width="12.28515625" customWidth="1"/>
    <col min="2832" max="2832" width="10.140625" customWidth="1"/>
    <col min="2833" max="2833" width="0" hidden="1" customWidth="1"/>
    <col min="2834" max="2834" width="10.7109375" customWidth="1"/>
    <col min="2835" max="2835" width="0.5703125" customWidth="1"/>
    <col min="2836" max="2836" width="15.28515625" customWidth="1"/>
    <col min="2837" max="2837" width="19" customWidth="1"/>
    <col min="2838" max="2838" width="3.140625" customWidth="1"/>
    <col min="3073" max="3073" width="5.42578125" customWidth="1"/>
    <col min="3074" max="3074" width="13.7109375" customWidth="1"/>
    <col min="3075" max="3075" width="18.85546875" customWidth="1"/>
    <col min="3076" max="3076" width="0.140625" customWidth="1"/>
    <col min="3077" max="3078" width="0" hidden="1" customWidth="1"/>
    <col min="3079" max="3079" width="12.42578125" customWidth="1"/>
    <col min="3080" max="3080" width="0.5703125" customWidth="1"/>
    <col min="3081" max="3081" width="18.28515625" customWidth="1"/>
    <col min="3082" max="3082" width="1" customWidth="1"/>
    <col min="3083" max="3083" width="7.140625" customWidth="1"/>
    <col min="3084" max="3084" width="6.85546875" customWidth="1"/>
    <col min="3085" max="3085" width="13" customWidth="1"/>
    <col min="3086" max="3086" width="1.85546875" customWidth="1"/>
    <col min="3087" max="3087" width="12.28515625" customWidth="1"/>
    <col min="3088" max="3088" width="10.140625" customWidth="1"/>
    <col min="3089" max="3089" width="0" hidden="1" customWidth="1"/>
    <col min="3090" max="3090" width="10.7109375" customWidth="1"/>
    <col min="3091" max="3091" width="0.5703125" customWidth="1"/>
    <col min="3092" max="3092" width="15.28515625" customWidth="1"/>
    <col min="3093" max="3093" width="19" customWidth="1"/>
    <col min="3094" max="3094" width="3.140625" customWidth="1"/>
    <col min="3329" max="3329" width="5.42578125" customWidth="1"/>
    <col min="3330" max="3330" width="13.7109375" customWidth="1"/>
    <col min="3331" max="3331" width="18.85546875" customWidth="1"/>
    <col min="3332" max="3332" width="0.140625" customWidth="1"/>
    <col min="3333" max="3334" width="0" hidden="1" customWidth="1"/>
    <col min="3335" max="3335" width="12.42578125" customWidth="1"/>
    <col min="3336" max="3336" width="0.5703125" customWidth="1"/>
    <col min="3337" max="3337" width="18.28515625" customWidth="1"/>
    <col min="3338" max="3338" width="1" customWidth="1"/>
    <col min="3339" max="3339" width="7.140625" customWidth="1"/>
    <col min="3340" max="3340" width="6.85546875" customWidth="1"/>
    <col min="3341" max="3341" width="13" customWidth="1"/>
    <col min="3342" max="3342" width="1.85546875" customWidth="1"/>
    <col min="3343" max="3343" width="12.28515625" customWidth="1"/>
    <col min="3344" max="3344" width="10.140625" customWidth="1"/>
    <col min="3345" max="3345" width="0" hidden="1" customWidth="1"/>
    <col min="3346" max="3346" width="10.7109375" customWidth="1"/>
    <col min="3347" max="3347" width="0.5703125" customWidth="1"/>
    <col min="3348" max="3348" width="15.28515625" customWidth="1"/>
    <col min="3349" max="3349" width="19" customWidth="1"/>
    <col min="3350" max="3350" width="3.140625" customWidth="1"/>
    <col min="3585" max="3585" width="5.42578125" customWidth="1"/>
    <col min="3586" max="3586" width="13.7109375" customWidth="1"/>
    <col min="3587" max="3587" width="18.85546875" customWidth="1"/>
    <col min="3588" max="3588" width="0.140625" customWidth="1"/>
    <col min="3589" max="3590" width="0" hidden="1" customWidth="1"/>
    <col min="3591" max="3591" width="12.42578125" customWidth="1"/>
    <col min="3592" max="3592" width="0.5703125" customWidth="1"/>
    <col min="3593" max="3593" width="18.28515625" customWidth="1"/>
    <col min="3594" max="3594" width="1" customWidth="1"/>
    <col min="3595" max="3595" width="7.140625" customWidth="1"/>
    <col min="3596" max="3596" width="6.85546875" customWidth="1"/>
    <col min="3597" max="3597" width="13" customWidth="1"/>
    <col min="3598" max="3598" width="1.85546875" customWidth="1"/>
    <col min="3599" max="3599" width="12.28515625" customWidth="1"/>
    <col min="3600" max="3600" width="10.140625" customWidth="1"/>
    <col min="3601" max="3601" width="0" hidden="1" customWidth="1"/>
    <col min="3602" max="3602" width="10.7109375" customWidth="1"/>
    <col min="3603" max="3603" width="0.5703125" customWidth="1"/>
    <col min="3604" max="3604" width="15.28515625" customWidth="1"/>
    <col min="3605" max="3605" width="19" customWidth="1"/>
    <col min="3606" max="3606" width="3.140625" customWidth="1"/>
    <col min="3841" max="3841" width="5.42578125" customWidth="1"/>
    <col min="3842" max="3842" width="13.7109375" customWidth="1"/>
    <col min="3843" max="3843" width="18.85546875" customWidth="1"/>
    <col min="3844" max="3844" width="0.140625" customWidth="1"/>
    <col min="3845" max="3846" width="0" hidden="1" customWidth="1"/>
    <col min="3847" max="3847" width="12.42578125" customWidth="1"/>
    <col min="3848" max="3848" width="0.5703125" customWidth="1"/>
    <col min="3849" max="3849" width="18.28515625" customWidth="1"/>
    <col min="3850" max="3850" width="1" customWidth="1"/>
    <col min="3851" max="3851" width="7.140625" customWidth="1"/>
    <col min="3852" max="3852" width="6.85546875" customWidth="1"/>
    <col min="3853" max="3853" width="13" customWidth="1"/>
    <col min="3854" max="3854" width="1.85546875" customWidth="1"/>
    <col min="3855" max="3855" width="12.28515625" customWidth="1"/>
    <col min="3856" max="3856" width="10.140625" customWidth="1"/>
    <col min="3857" max="3857" width="0" hidden="1" customWidth="1"/>
    <col min="3858" max="3858" width="10.7109375" customWidth="1"/>
    <col min="3859" max="3859" width="0.5703125" customWidth="1"/>
    <col min="3860" max="3860" width="15.28515625" customWidth="1"/>
    <col min="3861" max="3861" width="19" customWidth="1"/>
    <col min="3862" max="3862" width="3.140625" customWidth="1"/>
    <col min="4097" max="4097" width="5.42578125" customWidth="1"/>
    <col min="4098" max="4098" width="13.7109375" customWidth="1"/>
    <col min="4099" max="4099" width="18.85546875" customWidth="1"/>
    <col min="4100" max="4100" width="0.140625" customWidth="1"/>
    <col min="4101" max="4102" width="0" hidden="1" customWidth="1"/>
    <col min="4103" max="4103" width="12.42578125" customWidth="1"/>
    <col min="4104" max="4104" width="0.5703125" customWidth="1"/>
    <col min="4105" max="4105" width="18.28515625" customWidth="1"/>
    <col min="4106" max="4106" width="1" customWidth="1"/>
    <col min="4107" max="4107" width="7.140625" customWidth="1"/>
    <col min="4108" max="4108" width="6.85546875" customWidth="1"/>
    <col min="4109" max="4109" width="13" customWidth="1"/>
    <col min="4110" max="4110" width="1.85546875" customWidth="1"/>
    <col min="4111" max="4111" width="12.28515625" customWidth="1"/>
    <col min="4112" max="4112" width="10.140625" customWidth="1"/>
    <col min="4113" max="4113" width="0" hidden="1" customWidth="1"/>
    <col min="4114" max="4114" width="10.7109375" customWidth="1"/>
    <col min="4115" max="4115" width="0.5703125" customWidth="1"/>
    <col min="4116" max="4116" width="15.28515625" customWidth="1"/>
    <col min="4117" max="4117" width="19" customWidth="1"/>
    <col min="4118" max="4118" width="3.140625" customWidth="1"/>
    <col min="4353" max="4353" width="5.42578125" customWidth="1"/>
    <col min="4354" max="4354" width="13.7109375" customWidth="1"/>
    <col min="4355" max="4355" width="18.85546875" customWidth="1"/>
    <col min="4356" max="4356" width="0.140625" customWidth="1"/>
    <col min="4357" max="4358" width="0" hidden="1" customWidth="1"/>
    <col min="4359" max="4359" width="12.42578125" customWidth="1"/>
    <col min="4360" max="4360" width="0.5703125" customWidth="1"/>
    <col min="4361" max="4361" width="18.28515625" customWidth="1"/>
    <col min="4362" max="4362" width="1" customWidth="1"/>
    <col min="4363" max="4363" width="7.140625" customWidth="1"/>
    <col min="4364" max="4364" width="6.85546875" customWidth="1"/>
    <col min="4365" max="4365" width="13" customWidth="1"/>
    <col min="4366" max="4366" width="1.85546875" customWidth="1"/>
    <col min="4367" max="4367" width="12.28515625" customWidth="1"/>
    <col min="4368" max="4368" width="10.140625" customWidth="1"/>
    <col min="4369" max="4369" width="0" hidden="1" customWidth="1"/>
    <col min="4370" max="4370" width="10.7109375" customWidth="1"/>
    <col min="4371" max="4371" width="0.5703125" customWidth="1"/>
    <col min="4372" max="4372" width="15.28515625" customWidth="1"/>
    <col min="4373" max="4373" width="19" customWidth="1"/>
    <col min="4374" max="4374" width="3.140625" customWidth="1"/>
    <col min="4609" max="4609" width="5.42578125" customWidth="1"/>
    <col min="4610" max="4610" width="13.7109375" customWidth="1"/>
    <col min="4611" max="4611" width="18.85546875" customWidth="1"/>
    <col min="4612" max="4612" width="0.140625" customWidth="1"/>
    <col min="4613" max="4614" width="0" hidden="1" customWidth="1"/>
    <col min="4615" max="4615" width="12.42578125" customWidth="1"/>
    <col min="4616" max="4616" width="0.5703125" customWidth="1"/>
    <col min="4617" max="4617" width="18.28515625" customWidth="1"/>
    <col min="4618" max="4618" width="1" customWidth="1"/>
    <col min="4619" max="4619" width="7.140625" customWidth="1"/>
    <col min="4620" max="4620" width="6.85546875" customWidth="1"/>
    <col min="4621" max="4621" width="13" customWidth="1"/>
    <col min="4622" max="4622" width="1.85546875" customWidth="1"/>
    <col min="4623" max="4623" width="12.28515625" customWidth="1"/>
    <col min="4624" max="4624" width="10.140625" customWidth="1"/>
    <col min="4625" max="4625" width="0" hidden="1" customWidth="1"/>
    <col min="4626" max="4626" width="10.7109375" customWidth="1"/>
    <col min="4627" max="4627" width="0.5703125" customWidth="1"/>
    <col min="4628" max="4628" width="15.28515625" customWidth="1"/>
    <col min="4629" max="4629" width="19" customWidth="1"/>
    <col min="4630" max="4630" width="3.140625" customWidth="1"/>
    <col min="4865" max="4865" width="5.42578125" customWidth="1"/>
    <col min="4866" max="4866" width="13.7109375" customWidth="1"/>
    <col min="4867" max="4867" width="18.85546875" customWidth="1"/>
    <col min="4868" max="4868" width="0.140625" customWidth="1"/>
    <col min="4869" max="4870" width="0" hidden="1" customWidth="1"/>
    <col min="4871" max="4871" width="12.42578125" customWidth="1"/>
    <col min="4872" max="4872" width="0.5703125" customWidth="1"/>
    <col min="4873" max="4873" width="18.28515625" customWidth="1"/>
    <col min="4874" max="4874" width="1" customWidth="1"/>
    <col min="4875" max="4875" width="7.140625" customWidth="1"/>
    <col min="4876" max="4876" width="6.85546875" customWidth="1"/>
    <col min="4877" max="4877" width="13" customWidth="1"/>
    <col min="4878" max="4878" width="1.85546875" customWidth="1"/>
    <col min="4879" max="4879" width="12.28515625" customWidth="1"/>
    <col min="4880" max="4880" width="10.140625" customWidth="1"/>
    <col min="4881" max="4881" width="0" hidden="1" customWidth="1"/>
    <col min="4882" max="4882" width="10.7109375" customWidth="1"/>
    <col min="4883" max="4883" width="0.5703125" customWidth="1"/>
    <col min="4884" max="4884" width="15.28515625" customWidth="1"/>
    <col min="4885" max="4885" width="19" customWidth="1"/>
    <col min="4886" max="4886" width="3.140625" customWidth="1"/>
    <col min="5121" max="5121" width="5.42578125" customWidth="1"/>
    <col min="5122" max="5122" width="13.7109375" customWidth="1"/>
    <col min="5123" max="5123" width="18.85546875" customWidth="1"/>
    <col min="5124" max="5124" width="0.140625" customWidth="1"/>
    <col min="5125" max="5126" width="0" hidden="1" customWidth="1"/>
    <col min="5127" max="5127" width="12.42578125" customWidth="1"/>
    <col min="5128" max="5128" width="0.5703125" customWidth="1"/>
    <col min="5129" max="5129" width="18.28515625" customWidth="1"/>
    <col min="5130" max="5130" width="1" customWidth="1"/>
    <col min="5131" max="5131" width="7.140625" customWidth="1"/>
    <col min="5132" max="5132" width="6.85546875" customWidth="1"/>
    <col min="5133" max="5133" width="13" customWidth="1"/>
    <col min="5134" max="5134" width="1.85546875" customWidth="1"/>
    <col min="5135" max="5135" width="12.28515625" customWidth="1"/>
    <col min="5136" max="5136" width="10.140625" customWidth="1"/>
    <col min="5137" max="5137" width="0" hidden="1" customWidth="1"/>
    <col min="5138" max="5138" width="10.7109375" customWidth="1"/>
    <col min="5139" max="5139" width="0.5703125" customWidth="1"/>
    <col min="5140" max="5140" width="15.28515625" customWidth="1"/>
    <col min="5141" max="5141" width="19" customWidth="1"/>
    <col min="5142" max="5142" width="3.140625" customWidth="1"/>
    <col min="5377" max="5377" width="5.42578125" customWidth="1"/>
    <col min="5378" max="5378" width="13.7109375" customWidth="1"/>
    <col min="5379" max="5379" width="18.85546875" customWidth="1"/>
    <col min="5380" max="5380" width="0.140625" customWidth="1"/>
    <col min="5381" max="5382" width="0" hidden="1" customWidth="1"/>
    <col min="5383" max="5383" width="12.42578125" customWidth="1"/>
    <col min="5384" max="5384" width="0.5703125" customWidth="1"/>
    <col min="5385" max="5385" width="18.28515625" customWidth="1"/>
    <col min="5386" max="5386" width="1" customWidth="1"/>
    <col min="5387" max="5387" width="7.140625" customWidth="1"/>
    <col min="5388" max="5388" width="6.85546875" customWidth="1"/>
    <col min="5389" max="5389" width="13" customWidth="1"/>
    <col min="5390" max="5390" width="1.85546875" customWidth="1"/>
    <col min="5391" max="5391" width="12.28515625" customWidth="1"/>
    <col min="5392" max="5392" width="10.140625" customWidth="1"/>
    <col min="5393" max="5393" width="0" hidden="1" customWidth="1"/>
    <col min="5394" max="5394" width="10.7109375" customWidth="1"/>
    <col min="5395" max="5395" width="0.5703125" customWidth="1"/>
    <col min="5396" max="5396" width="15.28515625" customWidth="1"/>
    <col min="5397" max="5397" width="19" customWidth="1"/>
    <col min="5398" max="5398" width="3.140625" customWidth="1"/>
    <col min="5633" max="5633" width="5.42578125" customWidth="1"/>
    <col min="5634" max="5634" width="13.7109375" customWidth="1"/>
    <col min="5635" max="5635" width="18.85546875" customWidth="1"/>
    <col min="5636" max="5636" width="0.140625" customWidth="1"/>
    <col min="5637" max="5638" width="0" hidden="1" customWidth="1"/>
    <col min="5639" max="5639" width="12.42578125" customWidth="1"/>
    <col min="5640" max="5640" width="0.5703125" customWidth="1"/>
    <col min="5641" max="5641" width="18.28515625" customWidth="1"/>
    <col min="5642" max="5642" width="1" customWidth="1"/>
    <col min="5643" max="5643" width="7.140625" customWidth="1"/>
    <col min="5644" max="5644" width="6.85546875" customWidth="1"/>
    <col min="5645" max="5645" width="13" customWidth="1"/>
    <col min="5646" max="5646" width="1.85546875" customWidth="1"/>
    <col min="5647" max="5647" width="12.28515625" customWidth="1"/>
    <col min="5648" max="5648" width="10.140625" customWidth="1"/>
    <col min="5649" max="5649" width="0" hidden="1" customWidth="1"/>
    <col min="5650" max="5650" width="10.7109375" customWidth="1"/>
    <col min="5651" max="5651" width="0.5703125" customWidth="1"/>
    <col min="5652" max="5652" width="15.28515625" customWidth="1"/>
    <col min="5653" max="5653" width="19" customWidth="1"/>
    <col min="5654" max="5654" width="3.140625" customWidth="1"/>
    <col min="5889" max="5889" width="5.42578125" customWidth="1"/>
    <col min="5890" max="5890" width="13.7109375" customWidth="1"/>
    <col min="5891" max="5891" width="18.85546875" customWidth="1"/>
    <col min="5892" max="5892" width="0.140625" customWidth="1"/>
    <col min="5893" max="5894" width="0" hidden="1" customWidth="1"/>
    <col min="5895" max="5895" width="12.42578125" customWidth="1"/>
    <col min="5896" max="5896" width="0.5703125" customWidth="1"/>
    <col min="5897" max="5897" width="18.28515625" customWidth="1"/>
    <col min="5898" max="5898" width="1" customWidth="1"/>
    <col min="5899" max="5899" width="7.140625" customWidth="1"/>
    <col min="5900" max="5900" width="6.85546875" customWidth="1"/>
    <col min="5901" max="5901" width="13" customWidth="1"/>
    <col min="5902" max="5902" width="1.85546875" customWidth="1"/>
    <col min="5903" max="5903" width="12.28515625" customWidth="1"/>
    <col min="5904" max="5904" width="10.140625" customWidth="1"/>
    <col min="5905" max="5905" width="0" hidden="1" customWidth="1"/>
    <col min="5906" max="5906" width="10.7109375" customWidth="1"/>
    <col min="5907" max="5907" width="0.5703125" customWidth="1"/>
    <col min="5908" max="5908" width="15.28515625" customWidth="1"/>
    <col min="5909" max="5909" width="19" customWidth="1"/>
    <col min="5910" max="5910" width="3.140625" customWidth="1"/>
    <col min="6145" max="6145" width="5.42578125" customWidth="1"/>
    <col min="6146" max="6146" width="13.7109375" customWidth="1"/>
    <col min="6147" max="6147" width="18.85546875" customWidth="1"/>
    <col min="6148" max="6148" width="0.140625" customWidth="1"/>
    <col min="6149" max="6150" width="0" hidden="1" customWidth="1"/>
    <col min="6151" max="6151" width="12.42578125" customWidth="1"/>
    <col min="6152" max="6152" width="0.5703125" customWidth="1"/>
    <col min="6153" max="6153" width="18.28515625" customWidth="1"/>
    <col min="6154" max="6154" width="1" customWidth="1"/>
    <col min="6155" max="6155" width="7.140625" customWidth="1"/>
    <col min="6156" max="6156" width="6.85546875" customWidth="1"/>
    <col min="6157" max="6157" width="13" customWidth="1"/>
    <col min="6158" max="6158" width="1.85546875" customWidth="1"/>
    <col min="6159" max="6159" width="12.28515625" customWidth="1"/>
    <col min="6160" max="6160" width="10.140625" customWidth="1"/>
    <col min="6161" max="6161" width="0" hidden="1" customWidth="1"/>
    <col min="6162" max="6162" width="10.7109375" customWidth="1"/>
    <col min="6163" max="6163" width="0.5703125" customWidth="1"/>
    <col min="6164" max="6164" width="15.28515625" customWidth="1"/>
    <col min="6165" max="6165" width="19" customWidth="1"/>
    <col min="6166" max="6166" width="3.140625" customWidth="1"/>
    <col min="6401" max="6401" width="5.42578125" customWidth="1"/>
    <col min="6402" max="6402" width="13.7109375" customWidth="1"/>
    <col min="6403" max="6403" width="18.85546875" customWidth="1"/>
    <col min="6404" max="6404" width="0.140625" customWidth="1"/>
    <col min="6405" max="6406" width="0" hidden="1" customWidth="1"/>
    <col min="6407" max="6407" width="12.42578125" customWidth="1"/>
    <col min="6408" max="6408" width="0.5703125" customWidth="1"/>
    <col min="6409" max="6409" width="18.28515625" customWidth="1"/>
    <col min="6410" max="6410" width="1" customWidth="1"/>
    <col min="6411" max="6411" width="7.140625" customWidth="1"/>
    <col min="6412" max="6412" width="6.85546875" customWidth="1"/>
    <col min="6413" max="6413" width="13" customWidth="1"/>
    <col min="6414" max="6414" width="1.85546875" customWidth="1"/>
    <col min="6415" max="6415" width="12.28515625" customWidth="1"/>
    <col min="6416" max="6416" width="10.140625" customWidth="1"/>
    <col min="6417" max="6417" width="0" hidden="1" customWidth="1"/>
    <col min="6418" max="6418" width="10.7109375" customWidth="1"/>
    <col min="6419" max="6419" width="0.5703125" customWidth="1"/>
    <col min="6420" max="6420" width="15.28515625" customWidth="1"/>
    <col min="6421" max="6421" width="19" customWidth="1"/>
    <col min="6422" max="6422" width="3.140625" customWidth="1"/>
    <col min="6657" max="6657" width="5.42578125" customWidth="1"/>
    <col min="6658" max="6658" width="13.7109375" customWidth="1"/>
    <col min="6659" max="6659" width="18.85546875" customWidth="1"/>
    <col min="6660" max="6660" width="0.140625" customWidth="1"/>
    <col min="6661" max="6662" width="0" hidden="1" customWidth="1"/>
    <col min="6663" max="6663" width="12.42578125" customWidth="1"/>
    <col min="6664" max="6664" width="0.5703125" customWidth="1"/>
    <col min="6665" max="6665" width="18.28515625" customWidth="1"/>
    <col min="6666" max="6666" width="1" customWidth="1"/>
    <col min="6667" max="6667" width="7.140625" customWidth="1"/>
    <col min="6668" max="6668" width="6.85546875" customWidth="1"/>
    <col min="6669" max="6669" width="13" customWidth="1"/>
    <col min="6670" max="6670" width="1.85546875" customWidth="1"/>
    <col min="6671" max="6671" width="12.28515625" customWidth="1"/>
    <col min="6672" max="6672" width="10.140625" customWidth="1"/>
    <col min="6673" max="6673" width="0" hidden="1" customWidth="1"/>
    <col min="6674" max="6674" width="10.7109375" customWidth="1"/>
    <col min="6675" max="6675" width="0.5703125" customWidth="1"/>
    <col min="6676" max="6676" width="15.28515625" customWidth="1"/>
    <col min="6677" max="6677" width="19" customWidth="1"/>
    <col min="6678" max="6678" width="3.140625" customWidth="1"/>
    <col min="6913" max="6913" width="5.42578125" customWidth="1"/>
    <col min="6914" max="6914" width="13.7109375" customWidth="1"/>
    <col min="6915" max="6915" width="18.85546875" customWidth="1"/>
    <col min="6916" max="6916" width="0.140625" customWidth="1"/>
    <col min="6917" max="6918" width="0" hidden="1" customWidth="1"/>
    <col min="6919" max="6919" width="12.42578125" customWidth="1"/>
    <col min="6920" max="6920" width="0.5703125" customWidth="1"/>
    <col min="6921" max="6921" width="18.28515625" customWidth="1"/>
    <col min="6922" max="6922" width="1" customWidth="1"/>
    <col min="6923" max="6923" width="7.140625" customWidth="1"/>
    <col min="6924" max="6924" width="6.85546875" customWidth="1"/>
    <col min="6925" max="6925" width="13" customWidth="1"/>
    <col min="6926" max="6926" width="1.85546875" customWidth="1"/>
    <col min="6927" max="6927" width="12.28515625" customWidth="1"/>
    <col min="6928" max="6928" width="10.140625" customWidth="1"/>
    <col min="6929" max="6929" width="0" hidden="1" customWidth="1"/>
    <col min="6930" max="6930" width="10.7109375" customWidth="1"/>
    <col min="6931" max="6931" width="0.5703125" customWidth="1"/>
    <col min="6932" max="6932" width="15.28515625" customWidth="1"/>
    <col min="6933" max="6933" width="19" customWidth="1"/>
    <col min="6934" max="6934" width="3.140625" customWidth="1"/>
    <col min="7169" max="7169" width="5.42578125" customWidth="1"/>
    <col min="7170" max="7170" width="13.7109375" customWidth="1"/>
    <col min="7171" max="7171" width="18.85546875" customWidth="1"/>
    <col min="7172" max="7172" width="0.140625" customWidth="1"/>
    <col min="7173" max="7174" width="0" hidden="1" customWidth="1"/>
    <col min="7175" max="7175" width="12.42578125" customWidth="1"/>
    <col min="7176" max="7176" width="0.5703125" customWidth="1"/>
    <col min="7177" max="7177" width="18.28515625" customWidth="1"/>
    <col min="7178" max="7178" width="1" customWidth="1"/>
    <col min="7179" max="7179" width="7.140625" customWidth="1"/>
    <col min="7180" max="7180" width="6.85546875" customWidth="1"/>
    <col min="7181" max="7181" width="13" customWidth="1"/>
    <col min="7182" max="7182" width="1.85546875" customWidth="1"/>
    <col min="7183" max="7183" width="12.28515625" customWidth="1"/>
    <col min="7184" max="7184" width="10.140625" customWidth="1"/>
    <col min="7185" max="7185" width="0" hidden="1" customWidth="1"/>
    <col min="7186" max="7186" width="10.7109375" customWidth="1"/>
    <col min="7187" max="7187" width="0.5703125" customWidth="1"/>
    <col min="7188" max="7188" width="15.28515625" customWidth="1"/>
    <col min="7189" max="7189" width="19" customWidth="1"/>
    <col min="7190" max="7190" width="3.140625" customWidth="1"/>
    <col min="7425" max="7425" width="5.42578125" customWidth="1"/>
    <col min="7426" max="7426" width="13.7109375" customWidth="1"/>
    <col min="7427" max="7427" width="18.85546875" customWidth="1"/>
    <col min="7428" max="7428" width="0.140625" customWidth="1"/>
    <col min="7429" max="7430" width="0" hidden="1" customWidth="1"/>
    <col min="7431" max="7431" width="12.42578125" customWidth="1"/>
    <col min="7432" max="7432" width="0.5703125" customWidth="1"/>
    <col min="7433" max="7433" width="18.28515625" customWidth="1"/>
    <col min="7434" max="7434" width="1" customWidth="1"/>
    <col min="7435" max="7435" width="7.140625" customWidth="1"/>
    <col min="7436" max="7436" width="6.85546875" customWidth="1"/>
    <col min="7437" max="7437" width="13" customWidth="1"/>
    <col min="7438" max="7438" width="1.85546875" customWidth="1"/>
    <col min="7439" max="7439" width="12.28515625" customWidth="1"/>
    <col min="7440" max="7440" width="10.140625" customWidth="1"/>
    <col min="7441" max="7441" width="0" hidden="1" customWidth="1"/>
    <col min="7442" max="7442" width="10.7109375" customWidth="1"/>
    <col min="7443" max="7443" width="0.5703125" customWidth="1"/>
    <col min="7444" max="7444" width="15.28515625" customWidth="1"/>
    <col min="7445" max="7445" width="19" customWidth="1"/>
    <col min="7446" max="7446" width="3.140625" customWidth="1"/>
    <col min="7681" max="7681" width="5.42578125" customWidth="1"/>
    <col min="7682" max="7682" width="13.7109375" customWidth="1"/>
    <col min="7683" max="7683" width="18.85546875" customWidth="1"/>
    <col min="7684" max="7684" width="0.140625" customWidth="1"/>
    <col min="7685" max="7686" width="0" hidden="1" customWidth="1"/>
    <col min="7687" max="7687" width="12.42578125" customWidth="1"/>
    <col min="7688" max="7688" width="0.5703125" customWidth="1"/>
    <col min="7689" max="7689" width="18.28515625" customWidth="1"/>
    <col min="7690" max="7690" width="1" customWidth="1"/>
    <col min="7691" max="7691" width="7.140625" customWidth="1"/>
    <col min="7692" max="7692" width="6.85546875" customWidth="1"/>
    <col min="7693" max="7693" width="13" customWidth="1"/>
    <col min="7694" max="7694" width="1.85546875" customWidth="1"/>
    <col min="7695" max="7695" width="12.28515625" customWidth="1"/>
    <col min="7696" max="7696" width="10.140625" customWidth="1"/>
    <col min="7697" max="7697" width="0" hidden="1" customWidth="1"/>
    <col min="7698" max="7698" width="10.7109375" customWidth="1"/>
    <col min="7699" max="7699" width="0.5703125" customWidth="1"/>
    <col min="7700" max="7700" width="15.28515625" customWidth="1"/>
    <col min="7701" max="7701" width="19" customWidth="1"/>
    <col min="7702" max="7702" width="3.140625" customWidth="1"/>
    <col min="7937" max="7937" width="5.42578125" customWidth="1"/>
    <col min="7938" max="7938" width="13.7109375" customWidth="1"/>
    <col min="7939" max="7939" width="18.85546875" customWidth="1"/>
    <col min="7940" max="7940" width="0.140625" customWidth="1"/>
    <col min="7941" max="7942" width="0" hidden="1" customWidth="1"/>
    <col min="7943" max="7943" width="12.42578125" customWidth="1"/>
    <col min="7944" max="7944" width="0.5703125" customWidth="1"/>
    <col min="7945" max="7945" width="18.28515625" customWidth="1"/>
    <col min="7946" max="7946" width="1" customWidth="1"/>
    <col min="7947" max="7947" width="7.140625" customWidth="1"/>
    <col min="7948" max="7948" width="6.85546875" customWidth="1"/>
    <col min="7949" max="7949" width="13" customWidth="1"/>
    <col min="7950" max="7950" width="1.85546875" customWidth="1"/>
    <col min="7951" max="7951" width="12.28515625" customWidth="1"/>
    <col min="7952" max="7952" width="10.140625" customWidth="1"/>
    <col min="7953" max="7953" width="0" hidden="1" customWidth="1"/>
    <col min="7954" max="7954" width="10.7109375" customWidth="1"/>
    <col min="7955" max="7955" width="0.5703125" customWidth="1"/>
    <col min="7956" max="7956" width="15.28515625" customWidth="1"/>
    <col min="7957" max="7957" width="19" customWidth="1"/>
    <col min="7958" max="7958" width="3.140625" customWidth="1"/>
    <col min="8193" max="8193" width="5.42578125" customWidth="1"/>
    <col min="8194" max="8194" width="13.7109375" customWidth="1"/>
    <col min="8195" max="8195" width="18.85546875" customWidth="1"/>
    <col min="8196" max="8196" width="0.140625" customWidth="1"/>
    <col min="8197" max="8198" width="0" hidden="1" customWidth="1"/>
    <col min="8199" max="8199" width="12.42578125" customWidth="1"/>
    <col min="8200" max="8200" width="0.5703125" customWidth="1"/>
    <col min="8201" max="8201" width="18.28515625" customWidth="1"/>
    <col min="8202" max="8202" width="1" customWidth="1"/>
    <col min="8203" max="8203" width="7.140625" customWidth="1"/>
    <col min="8204" max="8204" width="6.85546875" customWidth="1"/>
    <col min="8205" max="8205" width="13" customWidth="1"/>
    <col min="8206" max="8206" width="1.85546875" customWidth="1"/>
    <col min="8207" max="8207" width="12.28515625" customWidth="1"/>
    <col min="8208" max="8208" width="10.140625" customWidth="1"/>
    <col min="8209" max="8209" width="0" hidden="1" customWidth="1"/>
    <col min="8210" max="8210" width="10.7109375" customWidth="1"/>
    <col min="8211" max="8211" width="0.5703125" customWidth="1"/>
    <col min="8212" max="8212" width="15.28515625" customWidth="1"/>
    <col min="8213" max="8213" width="19" customWidth="1"/>
    <col min="8214" max="8214" width="3.140625" customWidth="1"/>
    <col min="8449" max="8449" width="5.42578125" customWidth="1"/>
    <col min="8450" max="8450" width="13.7109375" customWidth="1"/>
    <col min="8451" max="8451" width="18.85546875" customWidth="1"/>
    <col min="8452" max="8452" width="0.140625" customWidth="1"/>
    <col min="8453" max="8454" width="0" hidden="1" customWidth="1"/>
    <col min="8455" max="8455" width="12.42578125" customWidth="1"/>
    <col min="8456" max="8456" width="0.5703125" customWidth="1"/>
    <col min="8457" max="8457" width="18.28515625" customWidth="1"/>
    <col min="8458" max="8458" width="1" customWidth="1"/>
    <col min="8459" max="8459" width="7.140625" customWidth="1"/>
    <col min="8460" max="8460" width="6.85546875" customWidth="1"/>
    <col min="8461" max="8461" width="13" customWidth="1"/>
    <col min="8462" max="8462" width="1.85546875" customWidth="1"/>
    <col min="8463" max="8463" width="12.28515625" customWidth="1"/>
    <col min="8464" max="8464" width="10.140625" customWidth="1"/>
    <col min="8465" max="8465" width="0" hidden="1" customWidth="1"/>
    <col min="8466" max="8466" width="10.7109375" customWidth="1"/>
    <col min="8467" max="8467" width="0.5703125" customWidth="1"/>
    <col min="8468" max="8468" width="15.28515625" customWidth="1"/>
    <col min="8469" max="8469" width="19" customWidth="1"/>
    <col min="8470" max="8470" width="3.140625" customWidth="1"/>
    <col min="8705" max="8705" width="5.42578125" customWidth="1"/>
    <col min="8706" max="8706" width="13.7109375" customWidth="1"/>
    <col min="8707" max="8707" width="18.85546875" customWidth="1"/>
    <col min="8708" max="8708" width="0.140625" customWidth="1"/>
    <col min="8709" max="8710" width="0" hidden="1" customWidth="1"/>
    <col min="8711" max="8711" width="12.42578125" customWidth="1"/>
    <col min="8712" max="8712" width="0.5703125" customWidth="1"/>
    <col min="8713" max="8713" width="18.28515625" customWidth="1"/>
    <col min="8714" max="8714" width="1" customWidth="1"/>
    <col min="8715" max="8715" width="7.140625" customWidth="1"/>
    <col min="8716" max="8716" width="6.85546875" customWidth="1"/>
    <col min="8717" max="8717" width="13" customWidth="1"/>
    <col min="8718" max="8718" width="1.85546875" customWidth="1"/>
    <col min="8719" max="8719" width="12.28515625" customWidth="1"/>
    <col min="8720" max="8720" width="10.140625" customWidth="1"/>
    <col min="8721" max="8721" width="0" hidden="1" customWidth="1"/>
    <col min="8722" max="8722" width="10.7109375" customWidth="1"/>
    <col min="8723" max="8723" width="0.5703125" customWidth="1"/>
    <col min="8724" max="8724" width="15.28515625" customWidth="1"/>
    <col min="8725" max="8725" width="19" customWidth="1"/>
    <col min="8726" max="8726" width="3.140625" customWidth="1"/>
    <col min="8961" max="8961" width="5.42578125" customWidth="1"/>
    <col min="8962" max="8962" width="13.7109375" customWidth="1"/>
    <col min="8963" max="8963" width="18.85546875" customWidth="1"/>
    <col min="8964" max="8964" width="0.140625" customWidth="1"/>
    <col min="8965" max="8966" width="0" hidden="1" customWidth="1"/>
    <col min="8967" max="8967" width="12.42578125" customWidth="1"/>
    <col min="8968" max="8968" width="0.5703125" customWidth="1"/>
    <col min="8969" max="8969" width="18.28515625" customWidth="1"/>
    <col min="8970" max="8970" width="1" customWidth="1"/>
    <col min="8971" max="8971" width="7.140625" customWidth="1"/>
    <col min="8972" max="8972" width="6.85546875" customWidth="1"/>
    <col min="8973" max="8973" width="13" customWidth="1"/>
    <col min="8974" max="8974" width="1.85546875" customWidth="1"/>
    <col min="8975" max="8975" width="12.28515625" customWidth="1"/>
    <col min="8976" max="8976" width="10.140625" customWidth="1"/>
    <col min="8977" max="8977" width="0" hidden="1" customWidth="1"/>
    <col min="8978" max="8978" width="10.7109375" customWidth="1"/>
    <col min="8979" max="8979" width="0.5703125" customWidth="1"/>
    <col min="8980" max="8980" width="15.28515625" customWidth="1"/>
    <col min="8981" max="8981" width="19" customWidth="1"/>
    <col min="8982" max="8982" width="3.140625" customWidth="1"/>
    <col min="9217" max="9217" width="5.42578125" customWidth="1"/>
    <col min="9218" max="9218" width="13.7109375" customWidth="1"/>
    <col min="9219" max="9219" width="18.85546875" customWidth="1"/>
    <col min="9220" max="9220" width="0.140625" customWidth="1"/>
    <col min="9221" max="9222" width="0" hidden="1" customWidth="1"/>
    <col min="9223" max="9223" width="12.42578125" customWidth="1"/>
    <col min="9224" max="9224" width="0.5703125" customWidth="1"/>
    <col min="9225" max="9225" width="18.28515625" customWidth="1"/>
    <col min="9226" max="9226" width="1" customWidth="1"/>
    <col min="9227" max="9227" width="7.140625" customWidth="1"/>
    <col min="9228" max="9228" width="6.85546875" customWidth="1"/>
    <col min="9229" max="9229" width="13" customWidth="1"/>
    <col min="9230" max="9230" width="1.85546875" customWidth="1"/>
    <col min="9231" max="9231" width="12.28515625" customWidth="1"/>
    <col min="9232" max="9232" width="10.140625" customWidth="1"/>
    <col min="9233" max="9233" width="0" hidden="1" customWidth="1"/>
    <col min="9234" max="9234" width="10.7109375" customWidth="1"/>
    <col min="9235" max="9235" width="0.5703125" customWidth="1"/>
    <col min="9236" max="9236" width="15.28515625" customWidth="1"/>
    <col min="9237" max="9237" width="19" customWidth="1"/>
    <col min="9238" max="9238" width="3.140625" customWidth="1"/>
    <col min="9473" max="9473" width="5.42578125" customWidth="1"/>
    <col min="9474" max="9474" width="13.7109375" customWidth="1"/>
    <col min="9475" max="9475" width="18.85546875" customWidth="1"/>
    <col min="9476" max="9476" width="0.140625" customWidth="1"/>
    <col min="9477" max="9478" width="0" hidden="1" customWidth="1"/>
    <col min="9479" max="9479" width="12.42578125" customWidth="1"/>
    <col min="9480" max="9480" width="0.5703125" customWidth="1"/>
    <col min="9481" max="9481" width="18.28515625" customWidth="1"/>
    <col min="9482" max="9482" width="1" customWidth="1"/>
    <col min="9483" max="9483" width="7.140625" customWidth="1"/>
    <col min="9484" max="9484" width="6.85546875" customWidth="1"/>
    <col min="9485" max="9485" width="13" customWidth="1"/>
    <col min="9486" max="9486" width="1.85546875" customWidth="1"/>
    <col min="9487" max="9487" width="12.28515625" customWidth="1"/>
    <col min="9488" max="9488" width="10.140625" customWidth="1"/>
    <col min="9489" max="9489" width="0" hidden="1" customWidth="1"/>
    <col min="9490" max="9490" width="10.7109375" customWidth="1"/>
    <col min="9491" max="9491" width="0.5703125" customWidth="1"/>
    <col min="9492" max="9492" width="15.28515625" customWidth="1"/>
    <col min="9493" max="9493" width="19" customWidth="1"/>
    <col min="9494" max="9494" width="3.140625" customWidth="1"/>
    <col min="9729" max="9729" width="5.42578125" customWidth="1"/>
    <col min="9730" max="9730" width="13.7109375" customWidth="1"/>
    <col min="9731" max="9731" width="18.85546875" customWidth="1"/>
    <col min="9732" max="9732" width="0.140625" customWidth="1"/>
    <col min="9733" max="9734" width="0" hidden="1" customWidth="1"/>
    <col min="9735" max="9735" width="12.42578125" customWidth="1"/>
    <col min="9736" max="9736" width="0.5703125" customWidth="1"/>
    <col min="9737" max="9737" width="18.28515625" customWidth="1"/>
    <col min="9738" max="9738" width="1" customWidth="1"/>
    <col min="9739" max="9739" width="7.140625" customWidth="1"/>
    <col min="9740" max="9740" width="6.85546875" customWidth="1"/>
    <col min="9741" max="9741" width="13" customWidth="1"/>
    <col min="9742" max="9742" width="1.85546875" customWidth="1"/>
    <col min="9743" max="9743" width="12.28515625" customWidth="1"/>
    <col min="9744" max="9744" width="10.140625" customWidth="1"/>
    <col min="9745" max="9745" width="0" hidden="1" customWidth="1"/>
    <col min="9746" max="9746" width="10.7109375" customWidth="1"/>
    <col min="9747" max="9747" width="0.5703125" customWidth="1"/>
    <col min="9748" max="9748" width="15.28515625" customWidth="1"/>
    <col min="9749" max="9749" width="19" customWidth="1"/>
    <col min="9750" max="9750" width="3.140625" customWidth="1"/>
    <col min="9985" max="9985" width="5.42578125" customWidth="1"/>
    <col min="9986" max="9986" width="13.7109375" customWidth="1"/>
    <col min="9987" max="9987" width="18.85546875" customWidth="1"/>
    <col min="9988" max="9988" width="0.140625" customWidth="1"/>
    <col min="9989" max="9990" width="0" hidden="1" customWidth="1"/>
    <col min="9991" max="9991" width="12.42578125" customWidth="1"/>
    <col min="9992" max="9992" width="0.5703125" customWidth="1"/>
    <col min="9993" max="9993" width="18.28515625" customWidth="1"/>
    <col min="9994" max="9994" width="1" customWidth="1"/>
    <col min="9995" max="9995" width="7.140625" customWidth="1"/>
    <col min="9996" max="9996" width="6.85546875" customWidth="1"/>
    <col min="9997" max="9997" width="13" customWidth="1"/>
    <col min="9998" max="9998" width="1.85546875" customWidth="1"/>
    <col min="9999" max="9999" width="12.28515625" customWidth="1"/>
    <col min="10000" max="10000" width="10.140625" customWidth="1"/>
    <col min="10001" max="10001" width="0" hidden="1" customWidth="1"/>
    <col min="10002" max="10002" width="10.7109375" customWidth="1"/>
    <col min="10003" max="10003" width="0.5703125" customWidth="1"/>
    <col min="10004" max="10004" width="15.28515625" customWidth="1"/>
    <col min="10005" max="10005" width="19" customWidth="1"/>
    <col min="10006" max="10006" width="3.140625" customWidth="1"/>
    <col min="10241" max="10241" width="5.42578125" customWidth="1"/>
    <col min="10242" max="10242" width="13.7109375" customWidth="1"/>
    <col min="10243" max="10243" width="18.85546875" customWidth="1"/>
    <col min="10244" max="10244" width="0.140625" customWidth="1"/>
    <col min="10245" max="10246" width="0" hidden="1" customWidth="1"/>
    <col min="10247" max="10247" width="12.42578125" customWidth="1"/>
    <col min="10248" max="10248" width="0.5703125" customWidth="1"/>
    <col min="10249" max="10249" width="18.28515625" customWidth="1"/>
    <col min="10250" max="10250" width="1" customWidth="1"/>
    <col min="10251" max="10251" width="7.140625" customWidth="1"/>
    <col min="10252" max="10252" width="6.85546875" customWidth="1"/>
    <col min="10253" max="10253" width="13" customWidth="1"/>
    <col min="10254" max="10254" width="1.85546875" customWidth="1"/>
    <col min="10255" max="10255" width="12.28515625" customWidth="1"/>
    <col min="10256" max="10256" width="10.140625" customWidth="1"/>
    <col min="10257" max="10257" width="0" hidden="1" customWidth="1"/>
    <col min="10258" max="10258" width="10.7109375" customWidth="1"/>
    <col min="10259" max="10259" width="0.5703125" customWidth="1"/>
    <col min="10260" max="10260" width="15.28515625" customWidth="1"/>
    <col min="10261" max="10261" width="19" customWidth="1"/>
    <col min="10262" max="10262" width="3.140625" customWidth="1"/>
    <col min="10497" max="10497" width="5.42578125" customWidth="1"/>
    <col min="10498" max="10498" width="13.7109375" customWidth="1"/>
    <col min="10499" max="10499" width="18.85546875" customWidth="1"/>
    <col min="10500" max="10500" width="0.140625" customWidth="1"/>
    <col min="10501" max="10502" width="0" hidden="1" customWidth="1"/>
    <col min="10503" max="10503" width="12.42578125" customWidth="1"/>
    <col min="10504" max="10504" width="0.5703125" customWidth="1"/>
    <col min="10505" max="10505" width="18.28515625" customWidth="1"/>
    <col min="10506" max="10506" width="1" customWidth="1"/>
    <col min="10507" max="10507" width="7.140625" customWidth="1"/>
    <col min="10508" max="10508" width="6.85546875" customWidth="1"/>
    <col min="10509" max="10509" width="13" customWidth="1"/>
    <col min="10510" max="10510" width="1.85546875" customWidth="1"/>
    <col min="10511" max="10511" width="12.28515625" customWidth="1"/>
    <col min="10512" max="10512" width="10.140625" customWidth="1"/>
    <col min="10513" max="10513" width="0" hidden="1" customWidth="1"/>
    <col min="10514" max="10514" width="10.7109375" customWidth="1"/>
    <col min="10515" max="10515" width="0.5703125" customWidth="1"/>
    <col min="10516" max="10516" width="15.28515625" customWidth="1"/>
    <col min="10517" max="10517" width="19" customWidth="1"/>
    <col min="10518" max="10518" width="3.140625" customWidth="1"/>
    <col min="10753" max="10753" width="5.42578125" customWidth="1"/>
    <col min="10754" max="10754" width="13.7109375" customWidth="1"/>
    <col min="10755" max="10755" width="18.85546875" customWidth="1"/>
    <col min="10756" max="10756" width="0.140625" customWidth="1"/>
    <col min="10757" max="10758" width="0" hidden="1" customWidth="1"/>
    <col min="10759" max="10759" width="12.42578125" customWidth="1"/>
    <col min="10760" max="10760" width="0.5703125" customWidth="1"/>
    <col min="10761" max="10761" width="18.28515625" customWidth="1"/>
    <col min="10762" max="10762" width="1" customWidth="1"/>
    <col min="10763" max="10763" width="7.140625" customWidth="1"/>
    <col min="10764" max="10764" width="6.85546875" customWidth="1"/>
    <col min="10765" max="10765" width="13" customWidth="1"/>
    <col min="10766" max="10766" width="1.85546875" customWidth="1"/>
    <col min="10767" max="10767" width="12.28515625" customWidth="1"/>
    <col min="10768" max="10768" width="10.140625" customWidth="1"/>
    <col min="10769" max="10769" width="0" hidden="1" customWidth="1"/>
    <col min="10770" max="10770" width="10.7109375" customWidth="1"/>
    <col min="10771" max="10771" width="0.5703125" customWidth="1"/>
    <col min="10772" max="10772" width="15.28515625" customWidth="1"/>
    <col min="10773" max="10773" width="19" customWidth="1"/>
    <col min="10774" max="10774" width="3.140625" customWidth="1"/>
    <col min="11009" max="11009" width="5.42578125" customWidth="1"/>
    <col min="11010" max="11010" width="13.7109375" customWidth="1"/>
    <col min="11011" max="11011" width="18.85546875" customWidth="1"/>
    <col min="11012" max="11012" width="0.140625" customWidth="1"/>
    <col min="11013" max="11014" width="0" hidden="1" customWidth="1"/>
    <col min="11015" max="11015" width="12.42578125" customWidth="1"/>
    <col min="11016" max="11016" width="0.5703125" customWidth="1"/>
    <col min="11017" max="11017" width="18.28515625" customWidth="1"/>
    <col min="11018" max="11018" width="1" customWidth="1"/>
    <col min="11019" max="11019" width="7.140625" customWidth="1"/>
    <col min="11020" max="11020" width="6.85546875" customWidth="1"/>
    <col min="11021" max="11021" width="13" customWidth="1"/>
    <col min="11022" max="11022" width="1.85546875" customWidth="1"/>
    <col min="11023" max="11023" width="12.28515625" customWidth="1"/>
    <col min="11024" max="11024" width="10.140625" customWidth="1"/>
    <col min="11025" max="11025" width="0" hidden="1" customWidth="1"/>
    <col min="11026" max="11026" width="10.7109375" customWidth="1"/>
    <col min="11027" max="11027" width="0.5703125" customWidth="1"/>
    <col min="11028" max="11028" width="15.28515625" customWidth="1"/>
    <col min="11029" max="11029" width="19" customWidth="1"/>
    <col min="11030" max="11030" width="3.140625" customWidth="1"/>
    <col min="11265" max="11265" width="5.42578125" customWidth="1"/>
    <col min="11266" max="11266" width="13.7109375" customWidth="1"/>
    <col min="11267" max="11267" width="18.85546875" customWidth="1"/>
    <col min="11268" max="11268" width="0.140625" customWidth="1"/>
    <col min="11269" max="11270" width="0" hidden="1" customWidth="1"/>
    <col min="11271" max="11271" width="12.42578125" customWidth="1"/>
    <col min="11272" max="11272" width="0.5703125" customWidth="1"/>
    <col min="11273" max="11273" width="18.28515625" customWidth="1"/>
    <col min="11274" max="11274" width="1" customWidth="1"/>
    <col min="11275" max="11275" width="7.140625" customWidth="1"/>
    <col min="11276" max="11276" width="6.85546875" customWidth="1"/>
    <col min="11277" max="11277" width="13" customWidth="1"/>
    <col min="11278" max="11278" width="1.85546875" customWidth="1"/>
    <col min="11279" max="11279" width="12.28515625" customWidth="1"/>
    <col min="11280" max="11280" width="10.140625" customWidth="1"/>
    <col min="11281" max="11281" width="0" hidden="1" customWidth="1"/>
    <col min="11282" max="11282" width="10.7109375" customWidth="1"/>
    <col min="11283" max="11283" width="0.5703125" customWidth="1"/>
    <col min="11284" max="11284" width="15.28515625" customWidth="1"/>
    <col min="11285" max="11285" width="19" customWidth="1"/>
    <col min="11286" max="11286" width="3.140625" customWidth="1"/>
    <col min="11521" max="11521" width="5.42578125" customWidth="1"/>
    <col min="11522" max="11522" width="13.7109375" customWidth="1"/>
    <col min="11523" max="11523" width="18.85546875" customWidth="1"/>
    <col min="11524" max="11524" width="0.140625" customWidth="1"/>
    <col min="11525" max="11526" width="0" hidden="1" customWidth="1"/>
    <col min="11527" max="11527" width="12.42578125" customWidth="1"/>
    <col min="11528" max="11528" width="0.5703125" customWidth="1"/>
    <col min="11529" max="11529" width="18.28515625" customWidth="1"/>
    <col min="11530" max="11530" width="1" customWidth="1"/>
    <col min="11531" max="11531" width="7.140625" customWidth="1"/>
    <col min="11532" max="11532" width="6.85546875" customWidth="1"/>
    <col min="11533" max="11533" width="13" customWidth="1"/>
    <col min="11534" max="11534" width="1.85546875" customWidth="1"/>
    <col min="11535" max="11535" width="12.28515625" customWidth="1"/>
    <col min="11536" max="11536" width="10.140625" customWidth="1"/>
    <col min="11537" max="11537" width="0" hidden="1" customWidth="1"/>
    <col min="11538" max="11538" width="10.7109375" customWidth="1"/>
    <col min="11539" max="11539" width="0.5703125" customWidth="1"/>
    <col min="11540" max="11540" width="15.28515625" customWidth="1"/>
    <col min="11541" max="11541" width="19" customWidth="1"/>
    <col min="11542" max="11542" width="3.140625" customWidth="1"/>
    <col min="11777" max="11777" width="5.42578125" customWidth="1"/>
    <col min="11778" max="11778" width="13.7109375" customWidth="1"/>
    <col min="11779" max="11779" width="18.85546875" customWidth="1"/>
    <col min="11780" max="11780" width="0.140625" customWidth="1"/>
    <col min="11781" max="11782" width="0" hidden="1" customWidth="1"/>
    <col min="11783" max="11783" width="12.42578125" customWidth="1"/>
    <col min="11784" max="11784" width="0.5703125" customWidth="1"/>
    <col min="11785" max="11785" width="18.28515625" customWidth="1"/>
    <col min="11786" max="11786" width="1" customWidth="1"/>
    <col min="11787" max="11787" width="7.140625" customWidth="1"/>
    <col min="11788" max="11788" width="6.85546875" customWidth="1"/>
    <col min="11789" max="11789" width="13" customWidth="1"/>
    <col min="11790" max="11790" width="1.85546875" customWidth="1"/>
    <col min="11791" max="11791" width="12.28515625" customWidth="1"/>
    <col min="11792" max="11792" width="10.140625" customWidth="1"/>
    <col min="11793" max="11793" width="0" hidden="1" customWidth="1"/>
    <col min="11794" max="11794" width="10.7109375" customWidth="1"/>
    <col min="11795" max="11795" width="0.5703125" customWidth="1"/>
    <col min="11796" max="11796" width="15.28515625" customWidth="1"/>
    <col min="11797" max="11797" width="19" customWidth="1"/>
    <col min="11798" max="11798" width="3.140625" customWidth="1"/>
    <col min="12033" max="12033" width="5.42578125" customWidth="1"/>
    <col min="12034" max="12034" width="13.7109375" customWidth="1"/>
    <col min="12035" max="12035" width="18.85546875" customWidth="1"/>
    <col min="12036" max="12036" width="0.140625" customWidth="1"/>
    <col min="12037" max="12038" width="0" hidden="1" customWidth="1"/>
    <col min="12039" max="12039" width="12.42578125" customWidth="1"/>
    <col min="12040" max="12040" width="0.5703125" customWidth="1"/>
    <col min="12041" max="12041" width="18.28515625" customWidth="1"/>
    <col min="12042" max="12042" width="1" customWidth="1"/>
    <col min="12043" max="12043" width="7.140625" customWidth="1"/>
    <col min="12044" max="12044" width="6.85546875" customWidth="1"/>
    <col min="12045" max="12045" width="13" customWidth="1"/>
    <col min="12046" max="12046" width="1.85546875" customWidth="1"/>
    <col min="12047" max="12047" width="12.28515625" customWidth="1"/>
    <col min="12048" max="12048" width="10.140625" customWidth="1"/>
    <col min="12049" max="12049" width="0" hidden="1" customWidth="1"/>
    <col min="12050" max="12050" width="10.7109375" customWidth="1"/>
    <col min="12051" max="12051" width="0.5703125" customWidth="1"/>
    <col min="12052" max="12052" width="15.28515625" customWidth="1"/>
    <col min="12053" max="12053" width="19" customWidth="1"/>
    <col min="12054" max="12054" width="3.140625" customWidth="1"/>
    <col min="12289" max="12289" width="5.42578125" customWidth="1"/>
    <col min="12290" max="12290" width="13.7109375" customWidth="1"/>
    <col min="12291" max="12291" width="18.85546875" customWidth="1"/>
    <col min="12292" max="12292" width="0.140625" customWidth="1"/>
    <col min="12293" max="12294" width="0" hidden="1" customWidth="1"/>
    <col min="12295" max="12295" width="12.42578125" customWidth="1"/>
    <col min="12296" max="12296" width="0.5703125" customWidth="1"/>
    <col min="12297" max="12297" width="18.28515625" customWidth="1"/>
    <col min="12298" max="12298" width="1" customWidth="1"/>
    <col min="12299" max="12299" width="7.140625" customWidth="1"/>
    <col min="12300" max="12300" width="6.85546875" customWidth="1"/>
    <col min="12301" max="12301" width="13" customWidth="1"/>
    <col min="12302" max="12302" width="1.85546875" customWidth="1"/>
    <col min="12303" max="12303" width="12.28515625" customWidth="1"/>
    <col min="12304" max="12304" width="10.140625" customWidth="1"/>
    <col min="12305" max="12305" width="0" hidden="1" customWidth="1"/>
    <col min="12306" max="12306" width="10.7109375" customWidth="1"/>
    <col min="12307" max="12307" width="0.5703125" customWidth="1"/>
    <col min="12308" max="12308" width="15.28515625" customWidth="1"/>
    <col min="12309" max="12309" width="19" customWidth="1"/>
    <col min="12310" max="12310" width="3.140625" customWidth="1"/>
    <col min="12545" max="12545" width="5.42578125" customWidth="1"/>
    <col min="12546" max="12546" width="13.7109375" customWidth="1"/>
    <col min="12547" max="12547" width="18.85546875" customWidth="1"/>
    <col min="12548" max="12548" width="0.140625" customWidth="1"/>
    <col min="12549" max="12550" width="0" hidden="1" customWidth="1"/>
    <col min="12551" max="12551" width="12.42578125" customWidth="1"/>
    <col min="12552" max="12552" width="0.5703125" customWidth="1"/>
    <col min="12553" max="12553" width="18.28515625" customWidth="1"/>
    <col min="12554" max="12554" width="1" customWidth="1"/>
    <col min="12555" max="12555" width="7.140625" customWidth="1"/>
    <col min="12556" max="12556" width="6.85546875" customWidth="1"/>
    <col min="12557" max="12557" width="13" customWidth="1"/>
    <col min="12558" max="12558" width="1.85546875" customWidth="1"/>
    <col min="12559" max="12559" width="12.28515625" customWidth="1"/>
    <col min="12560" max="12560" width="10.140625" customWidth="1"/>
    <col min="12561" max="12561" width="0" hidden="1" customWidth="1"/>
    <col min="12562" max="12562" width="10.7109375" customWidth="1"/>
    <col min="12563" max="12563" width="0.5703125" customWidth="1"/>
    <col min="12564" max="12564" width="15.28515625" customWidth="1"/>
    <col min="12565" max="12565" width="19" customWidth="1"/>
    <col min="12566" max="12566" width="3.140625" customWidth="1"/>
    <col min="12801" max="12801" width="5.42578125" customWidth="1"/>
    <col min="12802" max="12802" width="13.7109375" customWidth="1"/>
    <col min="12803" max="12803" width="18.85546875" customWidth="1"/>
    <col min="12804" max="12804" width="0.140625" customWidth="1"/>
    <col min="12805" max="12806" width="0" hidden="1" customWidth="1"/>
    <col min="12807" max="12807" width="12.42578125" customWidth="1"/>
    <col min="12808" max="12808" width="0.5703125" customWidth="1"/>
    <col min="12809" max="12809" width="18.28515625" customWidth="1"/>
    <col min="12810" max="12810" width="1" customWidth="1"/>
    <col min="12811" max="12811" width="7.140625" customWidth="1"/>
    <col min="12812" max="12812" width="6.85546875" customWidth="1"/>
    <col min="12813" max="12813" width="13" customWidth="1"/>
    <col min="12814" max="12814" width="1.85546875" customWidth="1"/>
    <col min="12815" max="12815" width="12.28515625" customWidth="1"/>
    <col min="12816" max="12816" width="10.140625" customWidth="1"/>
    <col min="12817" max="12817" width="0" hidden="1" customWidth="1"/>
    <col min="12818" max="12818" width="10.7109375" customWidth="1"/>
    <col min="12819" max="12819" width="0.5703125" customWidth="1"/>
    <col min="12820" max="12820" width="15.28515625" customWidth="1"/>
    <col min="12821" max="12821" width="19" customWidth="1"/>
    <col min="12822" max="12822" width="3.140625" customWidth="1"/>
    <col min="13057" max="13057" width="5.42578125" customWidth="1"/>
    <col min="13058" max="13058" width="13.7109375" customWidth="1"/>
    <col min="13059" max="13059" width="18.85546875" customWidth="1"/>
    <col min="13060" max="13060" width="0.140625" customWidth="1"/>
    <col min="13061" max="13062" width="0" hidden="1" customWidth="1"/>
    <col min="13063" max="13063" width="12.42578125" customWidth="1"/>
    <col min="13064" max="13064" width="0.5703125" customWidth="1"/>
    <col min="13065" max="13065" width="18.28515625" customWidth="1"/>
    <col min="13066" max="13066" width="1" customWidth="1"/>
    <col min="13067" max="13067" width="7.140625" customWidth="1"/>
    <col min="13068" max="13068" width="6.85546875" customWidth="1"/>
    <col min="13069" max="13069" width="13" customWidth="1"/>
    <col min="13070" max="13070" width="1.85546875" customWidth="1"/>
    <col min="13071" max="13071" width="12.28515625" customWidth="1"/>
    <col min="13072" max="13072" width="10.140625" customWidth="1"/>
    <col min="13073" max="13073" width="0" hidden="1" customWidth="1"/>
    <col min="13074" max="13074" width="10.7109375" customWidth="1"/>
    <col min="13075" max="13075" width="0.5703125" customWidth="1"/>
    <col min="13076" max="13076" width="15.28515625" customWidth="1"/>
    <col min="13077" max="13077" width="19" customWidth="1"/>
    <col min="13078" max="13078" width="3.140625" customWidth="1"/>
    <col min="13313" max="13313" width="5.42578125" customWidth="1"/>
    <col min="13314" max="13314" width="13.7109375" customWidth="1"/>
    <col min="13315" max="13315" width="18.85546875" customWidth="1"/>
    <col min="13316" max="13316" width="0.140625" customWidth="1"/>
    <col min="13317" max="13318" width="0" hidden="1" customWidth="1"/>
    <col min="13319" max="13319" width="12.42578125" customWidth="1"/>
    <col min="13320" max="13320" width="0.5703125" customWidth="1"/>
    <col min="13321" max="13321" width="18.28515625" customWidth="1"/>
    <col min="13322" max="13322" width="1" customWidth="1"/>
    <col min="13323" max="13323" width="7.140625" customWidth="1"/>
    <col min="13324" max="13324" width="6.85546875" customWidth="1"/>
    <col min="13325" max="13325" width="13" customWidth="1"/>
    <col min="13326" max="13326" width="1.85546875" customWidth="1"/>
    <col min="13327" max="13327" width="12.28515625" customWidth="1"/>
    <col min="13328" max="13328" width="10.140625" customWidth="1"/>
    <col min="13329" max="13329" width="0" hidden="1" customWidth="1"/>
    <col min="13330" max="13330" width="10.7109375" customWidth="1"/>
    <col min="13331" max="13331" width="0.5703125" customWidth="1"/>
    <col min="13332" max="13332" width="15.28515625" customWidth="1"/>
    <col min="13333" max="13333" width="19" customWidth="1"/>
    <col min="13334" max="13334" width="3.140625" customWidth="1"/>
    <col min="13569" max="13569" width="5.42578125" customWidth="1"/>
    <col min="13570" max="13570" width="13.7109375" customWidth="1"/>
    <col min="13571" max="13571" width="18.85546875" customWidth="1"/>
    <col min="13572" max="13572" width="0.140625" customWidth="1"/>
    <col min="13573" max="13574" width="0" hidden="1" customWidth="1"/>
    <col min="13575" max="13575" width="12.42578125" customWidth="1"/>
    <col min="13576" max="13576" width="0.5703125" customWidth="1"/>
    <col min="13577" max="13577" width="18.28515625" customWidth="1"/>
    <col min="13578" max="13578" width="1" customWidth="1"/>
    <col min="13579" max="13579" width="7.140625" customWidth="1"/>
    <col min="13580" max="13580" width="6.85546875" customWidth="1"/>
    <col min="13581" max="13581" width="13" customWidth="1"/>
    <col min="13582" max="13582" width="1.85546875" customWidth="1"/>
    <col min="13583" max="13583" width="12.28515625" customWidth="1"/>
    <col min="13584" max="13584" width="10.140625" customWidth="1"/>
    <col min="13585" max="13585" width="0" hidden="1" customWidth="1"/>
    <col min="13586" max="13586" width="10.7109375" customWidth="1"/>
    <col min="13587" max="13587" width="0.5703125" customWidth="1"/>
    <col min="13588" max="13588" width="15.28515625" customWidth="1"/>
    <col min="13589" max="13589" width="19" customWidth="1"/>
    <col min="13590" max="13590" width="3.140625" customWidth="1"/>
    <col min="13825" max="13825" width="5.42578125" customWidth="1"/>
    <col min="13826" max="13826" width="13.7109375" customWidth="1"/>
    <col min="13827" max="13827" width="18.85546875" customWidth="1"/>
    <col min="13828" max="13828" width="0.140625" customWidth="1"/>
    <col min="13829" max="13830" width="0" hidden="1" customWidth="1"/>
    <col min="13831" max="13831" width="12.42578125" customWidth="1"/>
    <col min="13832" max="13832" width="0.5703125" customWidth="1"/>
    <col min="13833" max="13833" width="18.28515625" customWidth="1"/>
    <col min="13834" max="13834" width="1" customWidth="1"/>
    <col min="13835" max="13835" width="7.140625" customWidth="1"/>
    <col min="13836" max="13836" width="6.85546875" customWidth="1"/>
    <col min="13837" max="13837" width="13" customWidth="1"/>
    <col min="13838" max="13838" width="1.85546875" customWidth="1"/>
    <col min="13839" max="13839" width="12.28515625" customWidth="1"/>
    <col min="13840" max="13840" width="10.140625" customWidth="1"/>
    <col min="13841" max="13841" width="0" hidden="1" customWidth="1"/>
    <col min="13842" max="13842" width="10.7109375" customWidth="1"/>
    <col min="13843" max="13843" width="0.5703125" customWidth="1"/>
    <col min="13844" max="13844" width="15.28515625" customWidth="1"/>
    <col min="13845" max="13845" width="19" customWidth="1"/>
    <col min="13846" max="13846" width="3.140625" customWidth="1"/>
    <col min="14081" max="14081" width="5.42578125" customWidth="1"/>
    <col min="14082" max="14082" width="13.7109375" customWidth="1"/>
    <col min="14083" max="14083" width="18.85546875" customWidth="1"/>
    <col min="14084" max="14084" width="0.140625" customWidth="1"/>
    <col min="14085" max="14086" width="0" hidden="1" customWidth="1"/>
    <col min="14087" max="14087" width="12.42578125" customWidth="1"/>
    <col min="14088" max="14088" width="0.5703125" customWidth="1"/>
    <col min="14089" max="14089" width="18.28515625" customWidth="1"/>
    <col min="14090" max="14090" width="1" customWidth="1"/>
    <col min="14091" max="14091" width="7.140625" customWidth="1"/>
    <col min="14092" max="14092" width="6.85546875" customWidth="1"/>
    <col min="14093" max="14093" width="13" customWidth="1"/>
    <col min="14094" max="14094" width="1.85546875" customWidth="1"/>
    <col min="14095" max="14095" width="12.28515625" customWidth="1"/>
    <col min="14096" max="14096" width="10.140625" customWidth="1"/>
    <col min="14097" max="14097" width="0" hidden="1" customWidth="1"/>
    <col min="14098" max="14098" width="10.7109375" customWidth="1"/>
    <col min="14099" max="14099" width="0.5703125" customWidth="1"/>
    <col min="14100" max="14100" width="15.28515625" customWidth="1"/>
    <col min="14101" max="14101" width="19" customWidth="1"/>
    <col min="14102" max="14102" width="3.140625" customWidth="1"/>
    <col min="14337" max="14337" width="5.42578125" customWidth="1"/>
    <col min="14338" max="14338" width="13.7109375" customWidth="1"/>
    <col min="14339" max="14339" width="18.85546875" customWidth="1"/>
    <col min="14340" max="14340" width="0.140625" customWidth="1"/>
    <col min="14341" max="14342" width="0" hidden="1" customWidth="1"/>
    <col min="14343" max="14343" width="12.42578125" customWidth="1"/>
    <col min="14344" max="14344" width="0.5703125" customWidth="1"/>
    <col min="14345" max="14345" width="18.28515625" customWidth="1"/>
    <col min="14346" max="14346" width="1" customWidth="1"/>
    <col min="14347" max="14347" width="7.140625" customWidth="1"/>
    <col min="14348" max="14348" width="6.85546875" customWidth="1"/>
    <col min="14349" max="14349" width="13" customWidth="1"/>
    <col min="14350" max="14350" width="1.85546875" customWidth="1"/>
    <col min="14351" max="14351" width="12.28515625" customWidth="1"/>
    <col min="14352" max="14352" width="10.140625" customWidth="1"/>
    <col min="14353" max="14353" width="0" hidden="1" customWidth="1"/>
    <col min="14354" max="14354" width="10.7109375" customWidth="1"/>
    <col min="14355" max="14355" width="0.5703125" customWidth="1"/>
    <col min="14356" max="14356" width="15.28515625" customWidth="1"/>
    <col min="14357" max="14357" width="19" customWidth="1"/>
    <col min="14358" max="14358" width="3.140625" customWidth="1"/>
    <col min="14593" max="14593" width="5.42578125" customWidth="1"/>
    <col min="14594" max="14594" width="13.7109375" customWidth="1"/>
    <col min="14595" max="14595" width="18.85546875" customWidth="1"/>
    <col min="14596" max="14596" width="0.140625" customWidth="1"/>
    <col min="14597" max="14598" width="0" hidden="1" customWidth="1"/>
    <col min="14599" max="14599" width="12.42578125" customWidth="1"/>
    <col min="14600" max="14600" width="0.5703125" customWidth="1"/>
    <col min="14601" max="14601" width="18.28515625" customWidth="1"/>
    <col min="14602" max="14602" width="1" customWidth="1"/>
    <col min="14603" max="14603" width="7.140625" customWidth="1"/>
    <col min="14604" max="14604" width="6.85546875" customWidth="1"/>
    <col min="14605" max="14605" width="13" customWidth="1"/>
    <col min="14606" max="14606" width="1.85546875" customWidth="1"/>
    <col min="14607" max="14607" width="12.28515625" customWidth="1"/>
    <col min="14608" max="14608" width="10.140625" customWidth="1"/>
    <col min="14609" max="14609" width="0" hidden="1" customWidth="1"/>
    <col min="14610" max="14610" width="10.7109375" customWidth="1"/>
    <col min="14611" max="14611" width="0.5703125" customWidth="1"/>
    <col min="14612" max="14612" width="15.28515625" customWidth="1"/>
    <col min="14613" max="14613" width="19" customWidth="1"/>
    <col min="14614" max="14614" width="3.140625" customWidth="1"/>
    <col min="14849" max="14849" width="5.42578125" customWidth="1"/>
    <col min="14850" max="14850" width="13.7109375" customWidth="1"/>
    <col min="14851" max="14851" width="18.85546875" customWidth="1"/>
    <col min="14852" max="14852" width="0.140625" customWidth="1"/>
    <col min="14853" max="14854" width="0" hidden="1" customWidth="1"/>
    <col min="14855" max="14855" width="12.42578125" customWidth="1"/>
    <col min="14856" max="14856" width="0.5703125" customWidth="1"/>
    <col min="14857" max="14857" width="18.28515625" customWidth="1"/>
    <col min="14858" max="14858" width="1" customWidth="1"/>
    <col min="14859" max="14859" width="7.140625" customWidth="1"/>
    <col min="14860" max="14860" width="6.85546875" customWidth="1"/>
    <col min="14861" max="14861" width="13" customWidth="1"/>
    <col min="14862" max="14862" width="1.85546875" customWidth="1"/>
    <col min="14863" max="14863" width="12.28515625" customWidth="1"/>
    <col min="14864" max="14864" width="10.140625" customWidth="1"/>
    <col min="14865" max="14865" width="0" hidden="1" customWidth="1"/>
    <col min="14866" max="14866" width="10.7109375" customWidth="1"/>
    <col min="14867" max="14867" width="0.5703125" customWidth="1"/>
    <col min="14868" max="14868" width="15.28515625" customWidth="1"/>
    <col min="14869" max="14869" width="19" customWidth="1"/>
    <col min="14870" max="14870" width="3.140625" customWidth="1"/>
    <col min="15105" max="15105" width="5.42578125" customWidth="1"/>
    <col min="15106" max="15106" width="13.7109375" customWidth="1"/>
    <col min="15107" max="15107" width="18.85546875" customWidth="1"/>
    <col min="15108" max="15108" width="0.140625" customWidth="1"/>
    <col min="15109" max="15110" width="0" hidden="1" customWidth="1"/>
    <col min="15111" max="15111" width="12.42578125" customWidth="1"/>
    <col min="15112" max="15112" width="0.5703125" customWidth="1"/>
    <col min="15113" max="15113" width="18.28515625" customWidth="1"/>
    <col min="15114" max="15114" width="1" customWidth="1"/>
    <col min="15115" max="15115" width="7.140625" customWidth="1"/>
    <col min="15116" max="15116" width="6.85546875" customWidth="1"/>
    <col min="15117" max="15117" width="13" customWidth="1"/>
    <col min="15118" max="15118" width="1.85546875" customWidth="1"/>
    <col min="15119" max="15119" width="12.28515625" customWidth="1"/>
    <col min="15120" max="15120" width="10.140625" customWidth="1"/>
    <col min="15121" max="15121" width="0" hidden="1" customWidth="1"/>
    <col min="15122" max="15122" width="10.7109375" customWidth="1"/>
    <col min="15123" max="15123" width="0.5703125" customWidth="1"/>
    <col min="15124" max="15124" width="15.28515625" customWidth="1"/>
    <col min="15125" max="15125" width="19" customWidth="1"/>
    <col min="15126" max="15126" width="3.140625" customWidth="1"/>
    <col min="15361" max="15361" width="5.42578125" customWidth="1"/>
    <col min="15362" max="15362" width="13.7109375" customWidth="1"/>
    <col min="15363" max="15363" width="18.85546875" customWidth="1"/>
    <col min="15364" max="15364" width="0.140625" customWidth="1"/>
    <col min="15365" max="15366" width="0" hidden="1" customWidth="1"/>
    <col min="15367" max="15367" width="12.42578125" customWidth="1"/>
    <col min="15368" max="15368" width="0.5703125" customWidth="1"/>
    <col min="15369" max="15369" width="18.28515625" customWidth="1"/>
    <col min="15370" max="15370" width="1" customWidth="1"/>
    <col min="15371" max="15371" width="7.140625" customWidth="1"/>
    <col min="15372" max="15372" width="6.85546875" customWidth="1"/>
    <col min="15373" max="15373" width="13" customWidth="1"/>
    <col min="15374" max="15374" width="1.85546875" customWidth="1"/>
    <col min="15375" max="15375" width="12.28515625" customWidth="1"/>
    <col min="15376" max="15376" width="10.140625" customWidth="1"/>
    <col min="15377" max="15377" width="0" hidden="1" customWidth="1"/>
    <col min="15378" max="15378" width="10.7109375" customWidth="1"/>
    <col min="15379" max="15379" width="0.5703125" customWidth="1"/>
    <col min="15380" max="15380" width="15.28515625" customWidth="1"/>
    <col min="15381" max="15381" width="19" customWidth="1"/>
    <col min="15382" max="15382" width="3.140625" customWidth="1"/>
    <col min="15617" max="15617" width="5.42578125" customWidth="1"/>
    <col min="15618" max="15618" width="13.7109375" customWidth="1"/>
    <col min="15619" max="15619" width="18.85546875" customWidth="1"/>
    <col min="15620" max="15620" width="0.140625" customWidth="1"/>
    <col min="15621" max="15622" width="0" hidden="1" customWidth="1"/>
    <col min="15623" max="15623" width="12.42578125" customWidth="1"/>
    <col min="15624" max="15624" width="0.5703125" customWidth="1"/>
    <col min="15625" max="15625" width="18.28515625" customWidth="1"/>
    <col min="15626" max="15626" width="1" customWidth="1"/>
    <col min="15627" max="15627" width="7.140625" customWidth="1"/>
    <col min="15628" max="15628" width="6.85546875" customWidth="1"/>
    <col min="15629" max="15629" width="13" customWidth="1"/>
    <col min="15630" max="15630" width="1.85546875" customWidth="1"/>
    <col min="15631" max="15631" width="12.28515625" customWidth="1"/>
    <col min="15632" max="15632" width="10.140625" customWidth="1"/>
    <col min="15633" max="15633" width="0" hidden="1" customWidth="1"/>
    <col min="15634" max="15634" width="10.7109375" customWidth="1"/>
    <col min="15635" max="15635" width="0.5703125" customWidth="1"/>
    <col min="15636" max="15636" width="15.28515625" customWidth="1"/>
    <col min="15637" max="15637" width="19" customWidth="1"/>
    <col min="15638" max="15638" width="3.140625" customWidth="1"/>
    <col min="15873" max="15873" width="5.42578125" customWidth="1"/>
    <col min="15874" max="15874" width="13.7109375" customWidth="1"/>
    <col min="15875" max="15875" width="18.85546875" customWidth="1"/>
    <col min="15876" max="15876" width="0.140625" customWidth="1"/>
    <col min="15877" max="15878" width="0" hidden="1" customWidth="1"/>
    <col min="15879" max="15879" width="12.42578125" customWidth="1"/>
    <col min="15880" max="15880" width="0.5703125" customWidth="1"/>
    <col min="15881" max="15881" width="18.28515625" customWidth="1"/>
    <col min="15882" max="15882" width="1" customWidth="1"/>
    <col min="15883" max="15883" width="7.140625" customWidth="1"/>
    <col min="15884" max="15884" width="6.85546875" customWidth="1"/>
    <col min="15885" max="15885" width="13" customWidth="1"/>
    <col min="15886" max="15886" width="1.85546875" customWidth="1"/>
    <col min="15887" max="15887" width="12.28515625" customWidth="1"/>
    <col min="15888" max="15888" width="10.140625" customWidth="1"/>
    <col min="15889" max="15889" width="0" hidden="1" customWidth="1"/>
    <col min="15890" max="15890" width="10.7109375" customWidth="1"/>
    <col min="15891" max="15891" width="0.5703125" customWidth="1"/>
    <col min="15892" max="15892" width="15.28515625" customWidth="1"/>
    <col min="15893" max="15893" width="19" customWidth="1"/>
    <col min="15894" max="15894" width="3.140625" customWidth="1"/>
    <col min="16129" max="16129" width="5.42578125" customWidth="1"/>
    <col min="16130" max="16130" width="13.7109375" customWidth="1"/>
    <col min="16131" max="16131" width="18.85546875" customWidth="1"/>
    <col min="16132" max="16132" width="0.140625" customWidth="1"/>
    <col min="16133" max="16134" width="0" hidden="1" customWidth="1"/>
    <col min="16135" max="16135" width="12.42578125" customWidth="1"/>
    <col min="16136" max="16136" width="0.5703125" customWidth="1"/>
    <col min="16137" max="16137" width="18.28515625" customWidth="1"/>
    <col min="16138" max="16138" width="1" customWidth="1"/>
    <col min="16139" max="16139" width="7.140625" customWidth="1"/>
    <col min="16140" max="16140" width="6.85546875" customWidth="1"/>
    <col min="16141" max="16141" width="13" customWidth="1"/>
    <col min="16142" max="16142" width="1.85546875" customWidth="1"/>
    <col min="16143" max="16143" width="12.28515625" customWidth="1"/>
    <col min="16144" max="16144" width="10.140625" customWidth="1"/>
    <col min="16145" max="16145" width="0" hidden="1" customWidth="1"/>
    <col min="16146" max="16146" width="10.7109375" customWidth="1"/>
    <col min="16147" max="16147" width="0.5703125" customWidth="1"/>
    <col min="16148" max="16148" width="15.28515625" customWidth="1"/>
    <col min="16149" max="16149" width="19" customWidth="1"/>
    <col min="16150" max="16150" width="3.140625" customWidth="1"/>
  </cols>
  <sheetData>
    <row r="2" spans="1:22" ht="76.5" customHeight="1">
      <c r="A2" s="2204"/>
      <c r="B2" s="2205"/>
      <c r="C2" s="2205"/>
      <c r="D2" s="2205"/>
      <c r="E2" s="2205"/>
      <c r="F2" s="2205"/>
      <c r="G2" s="2205"/>
      <c r="H2" s="2205"/>
      <c r="I2" s="2205"/>
      <c r="J2" s="2205"/>
      <c r="K2" s="2205"/>
      <c r="L2" s="2205"/>
      <c r="M2" s="2205"/>
      <c r="N2" s="2205"/>
      <c r="O2" s="2205"/>
      <c r="P2" s="2205"/>
      <c r="Q2" s="2404" t="s">
        <v>4190</v>
      </c>
      <c r="R2" s="2404"/>
      <c r="S2" s="2404"/>
      <c r="T2" s="2404"/>
      <c r="U2" s="2404"/>
      <c r="V2" s="2404"/>
    </row>
    <row r="3" spans="1:22">
      <c r="A3" s="2204"/>
      <c r="B3" s="2205"/>
      <c r="C3" s="2205"/>
      <c r="D3" s="2205"/>
      <c r="E3" s="2205"/>
      <c r="F3" s="2205"/>
      <c r="G3" s="2205"/>
      <c r="H3" s="2205"/>
      <c r="I3" s="2205"/>
      <c r="J3" s="2205"/>
      <c r="K3" s="2205"/>
      <c r="L3" s="2205"/>
      <c r="M3" s="2205"/>
      <c r="N3" s="2205"/>
      <c r="O3" s="2205"/>
      <c r="P3" s="2205"/>
      <c r="Q3" s="2283"/>
      <c r="R3" s="2205"/>
      <c r="S3" s="2205"/>
      <c r="T3" s="2205"/>
      <c r="U3" s="2205"/>
      <c r="V3" s="1395"/>
    </row>
    <row r="4" spans="1:22" ht="18.75" customHeight="1">
      <c r="A4" s="2284"/>
      <c r="B4" s="2205"/>
      <c r="C4" s="2205"/>
      <c r="D4" s="2285" t="s">
        <v>3629</v>
      </c>
      <c r="E4" s="2342"/>
      <c r="F4" s="2342"/>
      <c r="G4" s="2342"/>
      <c r="H4" s="2342"/>
      <c r="I4" s="2342"/>
      <c r="J4" s="2342"/>
      <c r="K4" s="2342"/>
      <c r="L4" s="2342"/>
      <c r="M4" s="2342"/>
      <c r="N4" s="2342"/>
      <c r="O4" s="2342"/>
      <c r="P4" s="2342"/>
      <c r="Q4" s="2342"/>
      <c r="R4" s="2342"/>
      <c r="S4" s="2284"/>
      <c r="T4" s="2205"/>
      <c r="U4" s="2205"/>
      <c r="V4" s="1395"/>
    </row>
    <row r="5" spans="1:22" ht="24.75" customHeight="1">
      <c r="A5" s="2282" t="s">
        <v>3630</v>
      </c>
      <c r="B5" s="2205"/>
      <c r="C5" s="2205"/>
      <c r="D5" s="2205"/>
      <c r="E5" s="2205"/>
      <c r="F5" s="2205"/>
      <c r="G5" s="2205"/>
      <c r="H5" s="2205"/>
      <c r="I5" s="2205"/>
      <c r="J5" s="2205"/>
      <c r="K5" s="2205"/>
      <c r="L5" s="2205"/>
      <c r="M5" s="2205"/>
      <c r="N5" s="2205"/>
      <c r="O5" s="2205"/>
      <c r="P5" s="2205"/>
      <c r="Q5" s="2205"/>
      <c r="R5" s="2205"/>
      <c r="S5" s="2205"/>
      <c r="T5" s="2205"/>
      <c r="U5" s="2205"/>
      <c r="V5" s="1395"/>
    </row>
    <row r="6" spans="1:22">
      <c r="A6" s="2204"/>
      <c r="B6" s="2205"/>
      <c r="C6" s="2205"/>
      <c r="D6" s="2205"/>
      <c r="E6" s="2205"/>
      <c r="F6" s="2205"/>
      <c r="G6" s="2205"/>
      <c r="H6" s="2205"/>
      <c r="I6" s="2205"/>
      <c r="J6" s="2205"/>
      <c r="K6" s="2205"/>
      <c r="L6" s="2205"/>
      <c r="M6" s="2205"/>
      <c r="N6" s="2205"/>
      <c r="O6" s="2205"/>
      <c r="P6" s="2205"/>
      <c r="Q6" s="2205"/>
      <c r="R6" s="2205"/>
      <c r="S6" s="2205"/>
      <c r="T6" s="2205"/>
      <c r="U6" s="2205"/>
      <c r="V6" s="1395"/>
    </row>
    <row r="7" spans="1:22" ht="19.5" customHeight="1">
      <c r="A7" s="2284"/>
      <c r="B7" s="2205"/>
      <c r="C7" s="2205"/>
      <c r="D7" s="2286" t="s">
        <v>3631</v>
      </c>
      <c r="E7" s="2342"/>
      <c r="F7" s="2342"/>
      <c r="G7" s="2342"/>
      <c r="H7" s="2342"/>
      <c r="I7" s="2342"/>
      <c r="J7" s="2342"/>
      <c r="K7" s="2342"/>
      <c r="L7" s="2342"/>
      <c r="M7" s="2342"/>
      <c r="N7" s="2342"/>
      <c r="O7" s="2342"/>
      <c r="P7" s="2342"/>
      <c r="Q7" s="2342"/>
      <c r="R7" s="2342"/>
      <c r="S7" s="2284"/>
      <c r="T7" s="2205"/>
      <c r="U7" s="2205"/>
      <c r="V7" s="1395"/>
    </row>
    <row r="8" spans="1:22" ht="15" customHeight="1">
      <c r="A8" s="2282" t="s">
        <v>3632</v>
      </c>
      <c r="B8" s="2205"/>
      <c r="C8" s="2205"/>
      <c r="D8" s="2205"/>
      <c r="E8" s="2205"/>
      <c r="F8" s="2205"/>
      <c r="G8" s="2205"/>
      <c r="H8" s="2205"/>
      <c r="I8" s="2205"/>
      <c r="J8" s="2205"/>
      <c r="K8" s="2205"/>
      <c r="L8" s="2205"/>
      <c r="M8" s="2205"/>
      <c r="N8" s="2205"/>
      <c r="O8" s="2205"/>
      <c r="P8" s="2205"/>
      <c r="Q8" s="2205"/>
      <c r="R8" s="2205"/>
      <c r="S8" s="2205"/>
      <c r="T8" s="2205"/>
      <c r="U8" s="2205"/>
      <c r="V8" s="1395"/>
    </row>
    <row r="9" spans="1:22">
      <c r="A9" s="2287"/>
      <c r="B9" s="2205"/>
      <c r="C9" s="2205"/>
      <c r="D9" s="2205"/>
      <c r="E9" s="2205"/>
      <c r="F9" s="2205"/>
      <c r="G9" s="2205"/>
      <c r="H9" s="2205"/>
      <c r="I9" s="2205"/>
      <c r="J9" s="2205"/>
      <c r="K9" s="2205"/>
      <c r="L9" s="2205"/>
      <c r="M9" s="2205"/>
      <c r="N9" s="2205"/>
      <c r="O9" s="2205"/>
      <c r="P9" s="2205"/>
      <c r="Q9" s="2205"/>
      <c r="R9" s="2205"/>
      <c r="S9" s="2205"/>
      <c r="T9" s="2205"/>
      <c r="U9" s="2205"/>
      <c r="V9" s="1395"/>
    </row>
    <row r="10" spans="1:22" ht="15" customHeight="1">
      <c r="A10" s="2288" t="s">
        <v>3652</v>
      </c>
      <c r="B10" s="2205"/>
      <c r="C10" s="2205"/>
      <c r="D10" s="2205"/>
      <c r="E10" s="2205"/>
      <c r="F10" s="2205"/>
      <c r="G10" s="2205"/>
      <c r="H10" s="2205"/>
      <c r="I10" s="2205"/>
      <c r="J10" s="2205"/>
      <c r="K10" s="2205"/>
      <c r="L10" s="2205"/>
      <c r="M10" s="2205"/>
      <c r="N10" s="2205"/>
      <c r="O10" s="2205"/>
      <c r="P10" s="2205"/>
      <c r="Q10" s="2205"/>
      <c r="R10" s="2205"/>
      <c r="S10" s="2205"/>
      <c r="T10" s="2205"/>
      <c r="U10" s="2205"/>
      <c r="V10" s="1395"/>
    </row>
    <row r="11" spans="1:22" ht="15.75">
      <c r="A11" s="2248"/>
      <c r="B11" s="2205"/>
      <c r="C11" s="2205"/>
      <c r="D11" s="2205"/>
      <c r="E11" s="2205"/>
      <c r="F11" s="2205"/>
      <c r="G11" s="2205"/>
      <c r="H11" s="2205"/>
      <c r="I11" s="2205"/>
      <c r="J11" s="2205"/>
      <c r="K11" s="2205"/>
      <c r="L11" s="2205"/>
      <c r="M11" s="2205"/>
      <c r="N11" s="2205"/>
      <c r="O11" s="2205"/>
      <c r="P11" s="2205"/>
      <c r="Q11" s="2205"/>
      <c r="R11" s="2205"/>
      <c r="S11" s="2205"/>
      <c r="T11" s="2205"/>
      <c r="U11" s="2205"/>
      <c r="V11" s="1395"/>
    </row>
    <row r="12" spans="1:22" ht="15" customHeight="1">
      <c r="A12" s="2284"/>
      <c r="B12" s="2205"/>
      <c r="C12" s="2205"/>
      <c r="D12" s="2205"/>
      <c r="E12" s="2205"/>
      <c r="F12" s="2205"/>
      <c r="G12" s="2205"/>
      <c r="H12" s="2289" t="s">
        <v>3633</v>
      </c>
      <c r="I12" s="2342"/>
      <c r="J12" s="2342"/>
      <c r="K12" s="1409" t="s">
        <v>7</v>
      </c>
      <c r="L12" s="2289" t="s">
        <v>3634</v>
      </c>
      <c r="M12" s="2342"/>
      <c r="N12" s="2342"/>
      <c r="O12" s="2284"/>
      <c r="P12" s="2205"/>
      <c r="Q12" s="2205"/>
      <c r="R12" s="2205"/>
      <c r="S12" s="2205"/>
      <c r="T12" s="2205"/>
      <c r="U12" s="2205"/>
      <c r="V12" s="1395"/>
    </row>
    <row r="13" spans="1:22" ht="409.6" hidden="1" customHeight="1">
      <c r="A13" s="1395"/>
      <c r="B13" s="1395"/>
      <c r="C13" s="1395"/>
      <c r="D13" s="1395"/>
      <c r="E13" s="1395"/>
      <c r="F13" s="1395"/>
      <c r="G13" s="1395"/>
      <c r="H13" s="1395"/>
      <c r="I13" s="1395"/>
      <c r="J13" s="1395"/>
      <c r="K13" s="1395"/>
      <c r="L13" s="1395"/>
      <c r="M13" s="1395"/>
      <c r="N13" s="1395"/>
      <c r="O13" s="1395"/>
      <c r="P13" s="1395"/>
      <c r="Q13" s="1395"/>
      <c r="R13" s="1395"/>
      <c r="S13" s="1395"/>
      <c r="T13" s="1395"/>
      <c r="U13" s="1395"/>
      <c r="V13" s="1395"/>
    </row>
    <row r="14" spans="1:22">
      <c r="A14" s="1395"/>
      <c r="B14" s="1395"/>
      <c r="C14" s="1395"/>
      <c r="D14" s="1395"/>
      <c r="E14" s="1395"/>
      <c r="F14" s="1395"/>
      <c r="G14" s="1395"/>
      <c r="H14" s="1395"/>
      <c r="I14" s="1395"/>
      <c r="J14" s="1395"/>
      <c r="K14" s="1395"/>
      <c r="L14" s="1395"/>
      <c r="M14" s="1395"/>
      <c r="N14" s="1395"/>
      <c r="O14" s="1395"/>
      <c r="P14" s="1395"/>
      <c r="Q14" s="1395"/>
      <c r="R14" s="1395"/>
      <c r="S14" s="1395"/>
      <c r="T14" s="1395"/>
      <c r="U14" s="1395"/>
      <c r="V14" s="1395"/>
    </row>
    <row r="15" spans="1:22" ht="15" customHeight="1">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45"/>
    </row>
    <row r="16" spans="1:22" ht="15" customHeight="1">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47"/>
    </row>
    <row r="17" spans="1:22" ht="15" customHeight="1">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47"/>
    </row>
    <row r="18" spans="1:22" ht="15" customHeight="1">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47"/>
    </row>
    <row r="19" spans="1:22" ht="48" customHeight="1">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9"/>
    </row>
    <row r="20" spans="1:22" ht="15" customHeight="1">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3"/>
    </row>
    <row r="21" spans="1:22" ht="33.75" customHeight="1">
      <c r="A21" s="1326" t="s">
        <v>1052</v>
      </c>
      <c r="B21" s="1326" t="s">
        <v>345</v>
      </c>
      <c r="C21" s="2290" t="s">
        <v>386</v>
      </c>
      <c r="D21" s="2353"/>
      <c r="E21" s="1326"/>
      <c r="F21" s="1326"/>
      <c r="G21" s="2161">
        <v>1143469</v>
      </c>
      <c r="H21" s="2353"/>
      <c r="I21" s="1398">
        <v>971949</v>
      </c>
      <c r="J21" s="2161">
        <v>0</v>
      </c>
      <c r="K21" s="2352"/>
      <c r="L21" s="2353"/>
      <c r="M21" s="1398">
        <v>0</v>
      </c>
      <c r="N21" s="2161">
        <v>171520</v>
      </c>
      <c r="O21" s="2353"/>
      <c r="P21" s="2161">
        <v>0</v>
      </c>
      <c r="Q21" s="2353"/>
      <c r="R21" s="2161">
        <v>0</v>
      </c>
      <c r="S21" s="2353"/>
      <c r="T21" s="1399">
        <v>43616</v>
      </c>
      <c r="U21" s="2163" t="s">
        <v>3646</v>
      </c>
      <c r="V21" s="2353"/>
    </row>
    <row r="22" spans="1:22" ht="33.75" customHeight="1">
      <c r="A22" s="1326" t="s">
        <v>3647</v>
      </c>
      <c r="B22" s="1326" t="s">
        <v>235</v>
      </c>
      <c r="C22" s="2290" t="s">
        <v>1404</v>
      </c>
      <c r="D22" s="2353"/>
      <c r="E22" s="1326"/>
      <c r="F22" s="1326"/>
      <c r="G22" s="2161">
        <v>160836.24</v>
      </c>
      <c r="H22" s="2353"/>
      <c r="I22" s="1398">
        <v>136710.79999999999</v>
      </c>
      <c r="J22" s="2161">
        <v>0</v>
      </c>
      <c r="K22" s="2352"/>
      <c r="L22" s="2353"/>
      <c r="M22" s="1398">
        <v>0</v>
      </c>
      <c r="N22" s="2161">
        <v>24125.439999999999</v>
      </c>
      <c r="O22" s="2353"/>
      <c r="P22" s="2161">
        <v>0</v>
      </c>
      <c r="Q22" s="2353"/>
      <c r="R22" s="2161">
        <v>0</v>
      </c>
      <c r="S22" s="2353"/>
      <c r="T22" s="1399">
        <v>43630</v>
      </c>
      <c r="U22" s="2163" t="s">
        <v>3646</v>
      </c>
      <c r="V22" s="2353"/>
    </row>
    <row r="23" spans="1:22" ht="58.5" customHeight="1">
      <c r="A23" s="1326" t="s">
        <v>1087</v>
      </c>
      <c r="B23" s="1326" t="s">
        <v>235</v>
      </c>
      <c r="C23" s="2290" t="s">
        <v>1414</v>
      </c>
      <c r="D23" s="2353"/>
      <c r="E23" s="1326"/>
      <c r="F23" s="1326"/>
      <c r="G23" s="2161">
        <v>250000</v>
      </c>
      <c r="H23" s="2353"/>
      <c r="I23" s="1398">
        <v>212500</v>
      </c>
      <c r="J23" s="2161">
        <v>0</v>
      </c>
      <c r="K23" s="2352"/>
      <c r="L23" s="2353"/>
      <c r="M23" s="1398">
        <v>0</v>
      </c>
      <c r="N23" s="2161">
        <v>37500</v>
      </c>
      <c r="O23" s="2353"/>
      <c r="P23" s="2161">
        <v>0</v>
      </c>
      <c r="Q23" s="2353"/>
      <c r="R23" s="2161">
        <v>0</v>
      </c>
      <c r="S23" s="2353"/>
      <c r="T23" s="1399">
        <v>43736</v>
      </c>
      <c r="U23" s="2163" t="s">
        <v>3646</v>
      </c>
      <c r="V23" s="2353"/>
    </row>
    <row r="24" spans="1:22" ht="34.5" customHeight="1" thickBot="1">
      <c r="A24" s="1326" t="s">
        <v>843</v>
      </c>
      <c r="B24" s="1326" t="s">
        <v>235</v>
      </c>
      <c r="C24" s="2290" t="s">
        <v>3648</v>
      </c>
      <c r="D24" s="2353"/>
      <c r="E24" s="1326"/>
      <c r="F24" s="1326"/>
      <c r="G24" s="2161">
        <v>290000</v>
      </c>
      <c r="H24" s="2353"/>
      <c r="I24" s="1398">
        <v>246500</v>
      </c>
      <c r="J24" s="2161">
        <v>0</v>
      </c>
      <c r="K24" s="2352"/>
      <c r="L24" s="2353"/>
      <c r="M24" s="1398">
        <v>0</v>
      </c>
      <c r="N24" s="2161">
        <v>43500</v>
      </c>
      <c r="O24" s="2353"/>
      <c r="P24" s="2161">
        <v>0</v>
      </c>
      <c r="Q24" s="2353"/>
      <c r="R24" s="2161">
        <v>0</v>
      </c>
      <c r="S24" s="2353"/>
      <c r="T24" s="1399">
        <v>43630</v>
      </c>
      <c r="U24" s="2163" t="s">
        <v>3646</v>
      </c>
      <c r="V24" s="2353"/>
    </row>
    <row r="25" spans="1:22" ht="15" customHeight="1">
      <c r="A25" s="2173" t="s">
        <v>3649</v>
      </c>
      <c r="B25" s="2356"/>
      <c r="C25" s="2356"/>
      <c r="D25" s="2356"/>
      <c r="E25" s="2356"/>
      <c r="F25" s="2357"/>
      <c r="G25" s="2174">
        <v>1844305.24</v>
      </c>
      <c r="H25" s="2357"/>
      <c r="I25" s="1401">
        <v>1567659.8</v>
      </c>
      <c r="J25" s="2174">
        <v>0</v>
      </c>
      <c r="K25" s="2356"/>
      <c r="L25" s="2357"/>
      <c r="M25" s="1401">
        <v>0</v>
      </c>
      <c r="N25" s="2174">
        <v>276645.44</v>
      </c>
      <c r="O25" s="2357"/>
      <c r="P25" s="2174">
        <v>0</v>
      </c>
      <c r="Q25" s="2357"/>
      <c r="R25" s="2174">
        <v>0</v>
      </c>
      <c r="S25" s="2357"/>
      <c r="T25" s="2168"/>
      <c r="U25" s="2356"/>
      <c r="V25" s="2357"/>
    </row>
    <row r="26" spans="1:22" ht="15" customHeight="1">
      <c r="A26" s="2163" t="s">
        <v>3650</v>
      </c>
      <c r="B26" s="2352"/>
      <c r="C26" s="2352"/>
      <c r="D26" s="2352"/>
      <c r="E26" s="2352"/>
      <c r="F26" s="2352"/>
      <c r="G26" s="2352"/>
      <c r="H26" s="2353"/>
      <c r="I26" s="2172">
        <v>1567660</v>
      </c>
      <c r="J26" s="2352"/>
      <c r="K26" s="2352"/>
      <c r="L26" s="2352"/>
      <c r="M26" s="2352"/>
      <c r="N26" s="2352"/>
      <c r="O26" s="2352"/>
      <c r="P26" s="2352"/>
      <c r="Q26" s="2352"/>
      <c r="R26" s="2352"/>
      <c r="S26" s="2352"/>
      <c r="T26" s="2352"/>
      <c r="U26" s="2352"/>
      <c r="V26" s="2353"/>
    </row>
    <row r="27" spans="1:22">
      <c r="A27" s="1395"/>
      <c r="B27" s="1395"/>
      <c r="C27" s="1395"/>
      <c r="D27" s="1395"/>
      <c r="E27" s="1395"/>
      <c r="F27" s="1395"/>
      <c r="G27" s="1395"/>
      <c r="H27" s="1395"/>
      <c r="I27" s="1395"/>
      <c r="J27" s="1395"/>
      <c r="K27" s="1395"/>
      <c r="L27" s="1395"/>
      <c r="M27" s="1395"/>
      <c r="N27" s="1395"/>
      <c r="O27" s="1395"/>
      <c r="P27" s="1395"/>
      <c r="Q27" s="1395"/>
      <c r="R27" s="1395"/>
      <c r="S27" s="1395"/>
      <c r="T27" s="1395"/>
      <c r="U27" s="1395"/>
      <c r="V27" s="1395"/>
    </row>
    <row r="28" spans="1:22" ht="409.6" hidden="1" customHeight="1">
      <c r="A28" s="1395"/>
      <c r="B28" s="1395"/>
      <c r="C28" s="1395"/>
      <c r="D28" s="1395"/>
      <c r="E28" s="1395"/>
      <c r="F28" s="1395"/>
      <c r="G28" s="1395"/>
      <c r="H28" s="1395"/>
      <c r="I28" s="1395"/>
      <c r="J28" s="1395"/>
      <c r="K28" s="1395"/>
      <c r="L28" s="1395"/>
      <c r="M28" s="1395"/>
      <c r="N28" s="1395"/>
      <c r="O28" s="1395"/>
      <c r="P28" s="1395"/>
      <c r="Q28" s="1395"/>
      <c r="R28" s="1395"/>
      <c r="S28" s="1395"/>
      <c r="T28" s="1395"/>
      <c r="U28" s="1395"/>
      <c r="V28" s="1395"/>
    </row>
    <row r="29" spans="1:22">
      <c r="A29" s="1395"/>
      <c r="B29" s="1395"/>
      <c r="C29" s="1395"/>
      <c r="D29" s="1395"/>
      <c r="E29" s="1395"/>
      <c r="F29" s="1395"/>
      <c r="G29" s="1395"/>
      <c r="H29" s="1395"/>
      <c r="I29" s="1395"/>
      <c r="J29" s="1395"/>
      <c r="K29" s="1395"/>
      <c r="L29" s="1395"/>
      <c r="M29" s="1395"/>
      <c r="N29" s="1395"/>
      <c r="O29" s="1395"/>
      <c r="P29" s="1395"/>
      <c r="Q29" s="1395"/>
      <c r="R29" s="1395"/>
      <c r="S29" s="1395"/>
      <c r="T29" s="1395"/>
      <c r="U29" s="1395"/>
      <c r="V29" s="1395"/>
    </row>
    <row r="30" spans="1:22">
      <c r="A30" s="1395"/>
      <c r="B30" s="1395"/>
      <c r="C30" s="1395"/>
      <c r="D30" s="1395"/>
      <c r="E30" s="1395"/>
      <c r="F30" s="1395"/>
      <c r="G30" s="1395"/>
      <c r="H30" s="1395"/>
      <c r="I30" s="1395"/>
      <c r="J30" s="1395"/>
      <c r="K30" s="1395"/>
      <c r="L30" s="1395"/>
      <c r="M30" s="1395"/>
      <c r="N30" s="1395"/>
      <c r="O30" s="1395"/>
      <c r="P30" s="1395"/>
      <c r="Q30" s="1395"/>
      <c r="R30" s="1395"/>
      <c r="S30" s="1395"/>
      <c r="T30" s="1395"/>
      <c r="U30" s="1395"/>
      <c r="V30" s="1395"/>
    </row>
    <row r="31" spans="1:22">
      <c r="A31" s="1395"/>
      <c r="B31" s="1395"/>
      <c r="C31" s="1395"/>
      <c r="D31" s="1395"/>
      <c r="E31" s="1395"/>
      <c r="F31" s="1395"/>
      <c r="G31" s="1395"/>
      <c r="H31" s="1395"/>
      <c r="I31" s="1395"/>
      <c r="J31" s="1395"/>
      <c r="K31" s="1395"/>
      <c r="L31" s="1395"/>
      <c r="M31" s="1395"/>
      <c r="N31" s="1395"/>
      <c r="O31" s="1395"/>
      <c r="P31" s="1395"/>
      <c r="Q31" s="1395"/>
      <c r="R31" s="1395"/>
      <c r="S31" s="1395"/>
      <c r="T31" s="1395"/>
      <c r="U31" s="1395"/>
      <c r="V31" s="1395"/>
    </row>
  </sheetData>
  <mergeCells count="83">
    <mergeCell ref="A8:U8"/>
    <mergeCell ref="A2:P2"/>
    <mergeCell ref="Q2:V2"/>
    <mergeCell ref="A3:P3"/>
    <mergeCell ref="Q3:U3"/>
    <mergeCell ref="A4:C4"/>
    <mergeCell ref="D4:R4"/>
    <mergeCell ref="S4:U4"/>
    <mergeCell ref="A5:U5"/>
    <mergeCell ref="A6:U6"/>
    <mergeCell ref="A7:C7"/>
    <mergeCell ref="D7:R7"/>
    <mergeCell ref="S7:U7"/>
    <mergeCell ref="A9:U9"/>
    <mergeCell ref="A10:U10"/>
    <mergeCell ref="A11:U11"/>
    <mergeCell ref="A12:G12"/>
    <mergeCell ref="H12:J12"/>
    <mergeCell ref="L12:N12"/>
    <mergeCell ref="O12:U12"/>
    <mergeCell ref="A15:A19"/>
    <mergeCell ref="B15:B19"/>
    <mergeCell ref="C15:D19"/>
    <mergeCell ref="E15:E19"/>
    <mergeCell ref="F15:F19"/>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A26:H26"/>
    <mergeCell ref="I26:V26"/>
    <mergeCell ref="U24:V24"/>
    <mergeCell ref="A25:F25"/>
    <mergeCell ref="G25:H25"/>
    <mergeCell ref="J25:L25"/>
    <mergeCell ref="N25:O25"/>
    <mergeCell ref="P25:Q25"/>
    <mergeCell ref="R25:S25"/>
    <mergeCell ref="T25:V25"/>
    <mergeCell ref="C24:D24"/>
    <mergeCell ref="G24:H24"/>
    <mergeCell ref="J24:L24"/>
    <mergeCell ref="N24:O24"/>
    <mergeCell ref="P24:Q24"/>
    <mergeCell ref="R24:S24"/>
  </mergeCells>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2:T27"/>
  <sheetViews>
    <sheetView workbookViewId="0">
      <selection activeCell="R15" sqref="R15:R19"/>
    </sheetView>
  </sheetViews>
  <sheetFormatPr defaultRowHeight="12.75"/>
  <cols>
    <col min="1" max="1" width="5.42578125" style="1402" customWidth="1"/>
    <col min="2" max="2" width="13.7109375" style="1402" customWidth="1"/>
    <col min="3" max="3" width="18.85546875" style="1402" customWidth="1"/>
    <col min="4" max="4" width="0.140625" style="1402" customWidth="1"/>
    <col min="5" max="5" width="12.42578125" style="1402" customWidth="1"/>
    <col min="6" max="6" width="0.5703125" style="1402" customWidth="1"/>
    <col min="7" max="7" width="18.28515625" style="1402" customWidth="1"/>
    <col min="8" max="8" width="1" style="1402" customWidth="1"/>
    <col min="9" max="9" width="7.140625" style="1402" customWidth="1"/>
    <col min="10" max="10" width="9.7109375" style="1402" customWidth="1"/>
    <col min="11" max="11" width="16.7109375" style="1402" customWidth="1"/>
    <col min="12" max="12" width="1.85546875" style="1402" customWidth="1"/>
    <col min="13" max="13" width="14.7109375" style="1402" customWidth="1"/>
    <col min="14" max="14" width="11.85546875" style="1402" customWidth="1"/>
    <col min="15" max="15" width="2.85546875" style="1402" customWidth="1"/>
    <col min="16" max="16" width="10.7109375" style="1402" customWidth="1"/>
    <col min="17" max="17" width="3.85546875" style="1402" customWidth="1"/>
    <col min="18" max="18" width="20.5703125" style="1402" customWidth="1"/>
    <col min="19" max="19" width="19" style="1402" customWidth="1"/>
    <col min="20" max="20" width="3.140625" style="1402" customWidth="1"/>
    <col min="21" max="256" width="9.140625" style="1402"/>
    <col min="257" max="257" width="5.42578125" style="1402" customWidth="1"/>
    <col min="258" max="258" width="13.7109375" style="1402" customWidth="1"/>
    <col min="259" max="259" width="18.85546875" style="1402" customWidth="1"/>
    <col min="260" max="260" width="0.140625" style="1402" customWidth="1"/>
    <col min="261" max="261" width="12.42578125" style="1402" customWidth="1"/>
    <col min="262" max="262" width="0.5703125" style="1402" customWidth="1"/>
    <col min="263" max="263" width="18.28515625" style="1402" customWidth="1"/>
    <col min="264" max="264" width="1" style="1402" customWidth="1"/>
    <col min="265" max="265" width="7.140625" style="1402" customWidth="1"/>
    <col min="266" max="266" width="9.7109375" style="1402" customWidth="1"/>
    <col min="267" max="267" width="16.7109375" style="1402" customWidth="1"/>
    <col min="268" max="268" width="1.85546875" style="1402" customWidth="1"/>
    <col min="269" max="269" width="14.7109375" style="1402" customWidth="1"/>
    <col min="270" max="270" width="11.85546875" style="1402" customWidth="1"/>
    <col min="271" max="271" width="2.85546875" style="1402" customWidth="1"/>
    <col min="272" max="272" width="10.7109375" style="1402" customWidth="1"/>
    <col min="273" max="273" width="3.85546875" style="1402" customWidth="1"/>
    <col min="274" max="274" width="20.5703125" style="1402" customWidth="1"/>
    <col min="275" max="275" width="19" style="1402" customWidth="1"/>
    <col min="276" max="276" width="3.140625" style="1402" customWidth="1"/>
    <col min="277" max="512" width="9.140625" style="1402"/>
    <col min="513" max="513" width="5.42578125" style="1402" customWidth="1"/>
    <col min="514" max="514" width="13.7109375" style="1402" customWidth="1"/>
    <col min="515" max="515" width="18.85546875" style="1402" customWidth="1"/>
    <col min="516" max="516" width="0.140625" style="1402" customWidth="1"/>
    <col min="517" max="517" width="12.42578125" style="1402" customWidth="1"/>
    <col min="518" max="518" width="0.5703125" style="1402" customWidth="1"/>
    <col min="519" max="519" width="18.28515625" style="1402" customWidth="1"/>
    <col min="520" max="520" width="1" style="1402" customWidth="1"/>
    <col min="521" max="521" width="7.140625" style="1402" customWidth="1"/>
    <col min="522" max="522" width="9.7109375" style="1402" customWidth="1"/>
    <col min="523" max="523" width="16.7109375" style="1402" customWidth="1"/>
    <col min="524" max="524" width="1.85546875" style="1402" customWidth="1"/>
    <col min="525" max="525" width="14.7109375" style="1402" customWidth="1"/>
    <col min="526" max="526" width="11.85546875" style="1402" customWidth="1"/>
    <col min="527" max="527" width="2.85546875" style="1402" customWidth="1"/>
    <col min="528" max="528" width="10.7109375" style="1402" customWidth="1"/>
    <col min="529" max="529" width="3.85546875" style="1402" customWidth="1"/>
    <col min="530" max="530" width="20.5703125" style="1402" customWidth="1"/>
    <col min="531" max="531" width="19" style="1402" customWidth="1"/>
    <col min="532" max="532" width="3.140625" style="1402" customWidth="1"/>
    <col min="533" max="768" width="9.140625" style="1402"/>
    <col min="769" max="769" width="5.42578125" style="1402" customWidth="1"/>
    <col min="770" max="770" width="13.7109375" style="1402" customWidth="1"/>
    <col min="771" max="771" width="18.85546875" style="1402" customWidth="1"/>
    <col min="772" max="772" width="0.140625" style="1402" customWidth="1"/>
    <col min="773" max="773" width="12.42578125" style="1402" customWidth="1"/>
    <col min="774" max="774" width="0.5703125" style="1402" customWidth="1"/>
    <col min="775" max="775" width="18.28515625" style="1402" customWidth="1"/>
    <col min="776" max="776" width="1" style="1402" customWidth="1"/>
    <col min="777" max="777" width="7.140625" style="1402" customWidth="1"/>
    <col min="778" max="778" width="9.7109375" style="1402" customWidth="1"/>
    <col min="779" max="779" width="16.7109375" style="1402" customWidth="1"/>
    <col min="780" max="780" width="1.85546875" style="1402" customWidth="1"/>
    <col min="781" max="781" width="14.7109375" style="1402" customWidth="1"/>
    <col min="782" max="782" width="11.85546875" style="1402" customWidth="1"/>
    <col min="783" max="783" width="2.85546875" style="1402" customWidth="1"/>
    <col min="784" max="784" width="10.7109375" style="1402" customWidth="1"/>
    <col min="785" max="785" width="3.85546875" style="1402" customWidth="1"/>
    <col min="786" max="786" width="20.5703125" style="1402" customWidth="1"/>
    <col min="787" max="787" width="19" style="1402" customWidth="1"/>
    <col min="788" max="788" width="3.140625" style="1402" customWidth="1"/>
    <col min="789" max="1024" width="9.140625" style="1402"/>
    <col min="1025" max="1025" width="5.42578125" style="1402" customWidth="1"/>
    <col min="1026" max="1026" width="13.7109375" style="1402" customWidth="1"/>
    <col min="1027" max="1027" width="18.85546875" style="1402" customWidth="1"/>
    <col min="1028" max="1028" width="0.140625" style="1402" customWidth="1"/>
    <col min="1029" max="1029" width="12.42578125" style="1402" customWidth="1"/>
    <col min="1030" max="1030" width="0.5703125" style="1402" customWidth="1"/>
    <col min="1031" max="1031" width="18.28515625" style="1402" customWidth="1"/>
    <col min="1032" max="1032" width="1" style="1402" customWidth="1"/>
    <col min="1033" max="1033" width="7.140625" style="1402" customWidth="1"/>
    <col min="1034" max="1034" width="9.7109375" style="1402" customWidth="1"/>
    <col min="1035" max="1035" width="16.7109375" style="1402" customWidth="1"/>
    <col min="1036" max="1036" width="1.85546875" style="1402" customWidth="1"/>
    <col min="1037" max="1037" width="14.7109375" style="1402" customWidth="1"/>
    <col min="1038" max="1038" width="11.85546875" style="1402" customWidth="1"/>
    <col min="1039" max="1039" width="2.85546875" style="1402" customWidth="1"/>
    <col min="1040" max="1040" width="10.7109375" style="1402" customWidth="1"/>
    <col min="1041" max="1041" width="3.85546875" style="1402" customWidth="1"/>
    <col min="1042" max="1042" width="20.5703125" style="1402" customWidth="1"/>
    <col min="1043" max="1043" width="19" style="1402" customWidth="1"/>
    <col min="1044" max="1044" width="3.140625" style="1402" customWidth="1"/>
    <col min="1045" max="1280" width="9.140625" style="1402"/>
    <col min="1281" max="1281" width="5.42578125" style="1402" customWidth="1"/>
    <col min="1282" max="1282" width="13.7109375" style="1402" customWidth="1"/>
    <col min="1283" max="1283" width="18.85546875" style="1402" customWidth="1"/>
    <col min="1284" max="1284" width="0.140625" style="1402" customWidth="1"/>
    <col min="1285" max="1285" width="12.42578125" style="1402" customWidth="1"/>
    <col min="1286" max="1286" width="0.5703125" style="1402" customWidth="1"/>
    <col min="1287" max="1287" width="18.28515625" style="1402" customWidth="1"/>
    <col min="1288" max="1288" width="1" style="1402" customWidth="1"/>
    <col min="1289" max="1289" width="7.140625" style="1402" customWidth="1"/>
    <col min="1290" max="1290" width="9.7109375" style="1402" customWidth="1"/>
    <col min="1291" max="1291" width="16.7109375" style="1402" customWidth="1"/>
    <col min="1292" max="1292" width="1.85546875" style="1402" customWidth="1"/>
    <col min="1293" max="1293" width="14.7109375" style="1402" customWidth="1"/>
    <col min="1294" max="1294" width="11.85546875" style="1402" customWidth="1"/>
    <col min="1295" max="1295" width="2.85546875" style="1402" customWidth="1"/>
    <col min="1296" max="1296" width="10.7109375" style="1402" customWidth="1"/>
    <col min="1297" max="1297" width="3.85546875" style="1402" customWidth="1"/>
    <col min="1298" max="1298" width="20.5703125" style="1402" customWidth="1"/>
    <col min="1299" max="1299" width="19" style="1402" customWidth="1"/>
    <col min="1300" max="1300" width="3.140625" style="1402" customWidth="1"/>
    <col min="1301" max="1536" width="9.140625" style="1402"/>
    <col min="1537" max="1537" width="5.42578125" style="1402" customWidth="1"/>
    <col min="1538" max="1538" width="13.7109375" style="1402" customWidth="1"/>
    <col min="1539" max="1539" width="18.85546875" style="1402" customWidth="1"/>
    <col min="1540" max="1540" width="0.140625" style="1402" customWidth="1"/>
    <col min="1541" max="1541" width="12.42578125" style="1402" customWidth="1"/>
    <col min="1542" max="1542" width="0.5703125" style="1402" customWidth="1"/>
    <col min="1543" max="1543" width="18.28515625" style="1402" customWidth="1"/>
    <col min="1544" max="1544" width="1" style="1402" customWidth="1"/>
    <col min="1545" max="1545" width="7.140625" style="1402" customWidth="1"/>
    <col min="1546" max="1546" width="9.7109375" style="1402" customWidth="1"/>
    <col min="1547" max="1547" width="16.7109375" style="1402" customWidth="1"/>
    <col min="1548" max="1548" width="1.85546875" style="1402" customWidth="1"/>
    <col min="1549" max="1549" width="14.7109375" style="1402" customWidth="1"/>
    <col min="1550" max="1550" width="11.85546875" style="1402" customWidth="1"/>
    <col min="1551" max="1551" width="2.85546875" style="1402" customWidth="1"/>
    <col min="1552" max="1552" width="10.7109375" style="1402" customWidth="1"/>
    <col min="1553" max="1553" width="3.85546875" style="1402" customWidth="1"/>
    <col min="1554" max="1554" width="20.5703125" style="1402" customWidth="1"/>
    <col min="1555" max="1555" width="19" style="1402" customWidth="1"/>
    <col min="1556" max="1556" width="3.140625" style="1402" customWidth="1"/>
    <col min="1557" max="1792" width="9.140625" style="1402"/>
    <col min="1793" max="1793" width="5.42578125" style="1402" customWidth="1"/>
    <col min="1794" max="1794" width="13.7109375" style="1402" customWidth="1"/>
    <col min="1795" max="1795" width="18.85546875" style="1402" customWidth="1"/>
    <col min="1796" max="1796" width="0.140625" style="1402" customWidth="1"/>
    <col min="1797" max="1797" width="12.42578125" style="1402" customWidth="1"/>
    <col min="1798" max="1798" width="0.5703125" style="1402" customWidth="1"/>
    <col min="1799" max="1799" width="18.28515625" style="1402" customWidth="1"/>
    <col min="1800" max="1800" width="1" style="1402" customWidth="1"/>
    <col min="1801" max="1801" width="7.140625" style="1402" customWidth="1"/>
    <col min="1802" max="1802" width="9.7109375" style="1402" customWidth="1"/>
    <col min="1803" max="1803" width="16.7109375" style="1402" customWidth="1"/>
    <col min="1804" max="1804" width="1.85546875" style="1402" customWidth="1"/>
    <col min="1805" max="1805" width="14.7109375" style="1402" customWidth="1"/>
    <col min="1806" max="1806" width="11.85546875" style="1402" customWidth="1"/>
    <col min="1807" max="1807" width="2.85546875" style="1402" customWidth="1"/>
    <col min="1808" max="1808" width="10.7109375" style="1402" customWidth="1"/>
    <col min="1809" max="1809" width="3.85546875" style="1402" customWidth="1"/>
    <col min="1810" max="1810" width="20.5703125" style="1402" customWidth="1"/>
    <col min="1811" max="1811" width="19" style="1402" customWidth="1"/>
    <col min="1812" max="1812" width="3.140625" style="1402" customWidth="1"/>
    <col min="1813" max="2048" width="9.140625" style="1402"/>
    <col min="2049" max="2049" width="5.42578125" style="1402" customWidth="1"/>
    <col min="2050" max="2050" width="13.7109375" style="1402" customWidth="1"/>
    <col min="2051" max="2051" width="18.85546875" style="1402" customWidth="1"/>
    <col min="2052" max="2052" width="0.140625" style="1402" customWidth="1"/>
    <col min="2053" max="2053" width="12.42578125" style="1402" customWidth="1"/>
    <col min="2054" max="2054" width="0.5703125" style="1402" customWidth="1"/>
    <col min="2055" max="2055" width="18.28515625" style="1402" customWidth="1"/>
    <col min="2056" max="2056" width="1" style="1402" customWidth="1"/>
    <col min="2057" max="2057" width="7.140625" style="1402" customWidth="1"/>
    <col min="2058" max="2058" width="9.7109375" style="1402" customWidth="1"/>
    <col min="2059" max="2059" width="16.7109375" style="1402" customWidth="1"/>
    <col min="2060" max="2060" width="1.85546875" style="1402" customWidth="1"/>
    <col min="2061" max="2061" width="14.7109375" style="1402" customWidth="1"/>
    <col min="2062" max="2062" width="11.85546875" style="1402" customWidth="1"/>
    <col min="2063" max="2063" width="2.85546875" style="1402" customWidth="1"/>
    <col min="2064" max="2064" width="10.7109375" style="1402" customWidth="1"/>
    <col min="2065" max="2065" width="3.85546875" style="1402" customWidth="1"/>
    <col min="2066" max="2066" width="20.5703125" style="1402" customWidth="1"/>
    <col min="2067" max="2067" width="19" style="1402" customWidth="1"/>
    <col min="2068" max="2068" width="3.140625" style="1402" customWidth="1"/>
    <col min="2069" max="2304" width="9.140625" style="1402"/>
    <col min="2305" max="2305" width="5.42578125" style="1402" customWidth="1"/>
    <col min="2306" max="2306" width="13.7109375" style="1402" customWidth="1"/>
    <col min="2307" max="2307" width="18.85546875" style="1402" customWidth="1"/>
    <col min="2308" max="2308" width="0.140625" style="1402" customWidth="1"/>
    <col min="2309" max="2309" width="12.42578125" style="1402" customWidth="1"/>
    <col min="2310" max="2310" width="0.5703125" style="1402" customWidth="1"/>
    <col min="2311" max="2311" width="18.28515625" style="1402" customWidth="1"/>
    <col min="2312" max="2312" width="1" style="1402" customWidth="1"/>
    <col min="2313" max="2313" width="7.140625" style="1402" customWidth="1"/>
    <col min="2314" max="2314" width="9.7109375" style="1402" customWidth="1"/>
    <col min="2315" max="2315" width="16.7109375" style="1402" customWidth="1"/>
    <col min="2316" max="2316" width="1.85546875" style="1402" customWidth="1"/>
    <col min="2317" max="2317" width="14.7109375" style="1402" customWidth="1"/>
    <col min="2318" max="2318" width="11.85546875" style="1402" customWidth="1"/>
    <col min="2319" max="2319" width="2.85546875" style="1402" customWidth="1"/>
    <col min="2320" max="2320" width="10.7109375" style="1402" customWidth="1"/>
    <col min="2321" max="2321" width="3.85546875" style="1402" customWidth="1"/>
    <col min="2322" max="2322" width="20.5703125" style="1402" customWidth="1"/>
    <col min="2323" max="2323" width="19" style="1402" customWidth="1"/>
    <col min="2324" max="2324" width="3.140625" style="1402" customWidth="1"/>
    <col min="2325" max="2560" width="9.140625" style="1402"/>
    <col min="2561" max="2561" width="5.42578125" style="1402" customWidth="1"/>
    <col min="2562" max="2562" width="13.7109375" style="1402" customWidth="1"/>
    <col min="2563" max="2563" width="18.85546875" style="1402" customWidth="1"/>
    <col min="2564" max="2564" width="0.140625" style="1402" customWidth="1"/>
    <col min="2565" max="2565" width="12.42578125" style="1402" customWidth="1"/>
    <col min="2566" max="2566" width="0.5703125" style="1402" customWidth="1"/>
    <col min="2567" max="2567" width="18.28515625" style="1402" customWidth="1"/>
    <col min="2568" max="2568" width="1" style="1402" customWidth="1"/>
    <col min="2569" max="2569" width="7.140625" style="1402" customWidth="1"/>
    <col min="2570" max="2570" width="9.7109375" style="1402" customWidth="1"/>
    <col min="2571" max="2571" width="16.7109375" style="1402" customWidth="1"/>
    <col min="2572" max="2572" width="1.85546875" style="1402" customWidth="1"/>
    <col min="2573" max="2573" width="14.7109375" style="1402" customWidth="1"/>
    <col min="2574" max="2574" width="11.85546875" style="1402" customWidth="1"/>
    <col min="2575" max="2575" width="2.85546875" style="1402" customWidth="1"/>
    <col min="2576" max="2576" width="10.7109375" style="1402" customWidth="1"/>
    <col min="2577" max="2577" width="3.85546875" style="1402" customWidth="1"/>
    <col min="2578" max="2578" width="20.5703125" style="1402" customWidth="1"/>
    <col min="2579" max="2579" width="19" style="1402" customWidth="1"/>
    <col min="2580" max="2580" width="3.140625" style="1402" customWidth="1"/>
    <col min="2581" max="2816" width="9.140625" style="1402"/>
    <col min="2817" max="2817" width="5.42578125" style="1402" customWidth="1"/>
    <col min="2818" max="2818" width="13.7109375" style="1402" customWidth="1"/>
    <col min="2819" max="2819" width="18.85546875" style="1402" customWidth="1"/>
    <col min="2820" max="2820" width="0.140625" style="1402" customWidth="1"/>
    <col min="2821" max="2821" width="12.42578125" style="1402" customWidth="1"/>
    <col min="2822" max="2822" width="0.5703125" style="1402" customWidth="1"/>
    <col min="2823" max="2823" width="18.28515625" style="1402" customWidth="1"/>
    <col min="2824" max="2824" width="1" style="1402" customWidth="1"/>
    <col min="2825" max="2825" width="7.140625" style="1402" customWidth="1"/>
    <col min="2826" max="2826" width="9.7109375" style="1402" customWidth="1"/>
    <col min="2827" max="2827" width="16.7109375" style="1402" customWidth="1"/>
    <col min="2828" max="2828" width="1.85546875" style="1402" customWidth="1"/>
    <col min="2829" max="2829" width="14.7109375" style="1402" customWidth="1"/>
    <col min="2830" max="2830" width="11.85546875" style="1402" customWidth="1"/>
    <col min="2831" max="2831" width="2.85546875" style="1402" customWidth="1"/>
    <col min="2832" max="2832" width="10.7109375" style="1402" customWidth="1"/>
    <col min="2833" max="2833" width="3.85546875" style="1402" customWidth="1"/>
    <col min="2834" max="2834" width="20.5703125" style="1402" customWidth="1"/>
    <col min="2835" max="2835" width="19" style="1402" customWidth="1"/>
    <col min="2836" max="2836" width="3.140625" style="1402" customWidth="1"/>
    <col min="2837" max="3072" width="9.140625" style="1402"/>
    <col min="3073" max="3073" width="5.42578125" style="1402" customWidth="1"/>
    <col min="3074" max="3074" width="13.7109375" style="1402" customWidth="1"/>
    <col min="3075" max="3075" width="18.85546875" style="1402" customWidth="1"/>
    <col min="3076" max="3076" width="0.140625" style="1402" customWidth="1"/>
    <col min="3077" max="3077" width="12.42578125" style="1402" customWidth="1"/>
    <col min="3078" max="3078" width="0.5703125" style="1402" customWidth="1"/>
    <col min="3079" max="3079" width="18.28515625" style="1402" customWidth="1"/>
    <col min="3080" max="3080" width="1" style="1402" customWidth="1"/>
    <col min="3081" max="3081" width="7.140625" style="1402" customWidth="1"/>
    <col min="3082" max="3082" width="9.7109375" style="1402" customWidth="1"/>
    <col min="3083" max="3083" width="16.7109375" style="1402" customWidth="1"/>
    <col min="3084" max="3084" width="1.85546875" style="1402" customWidth="1"/>
    <col min="3085" max="3085" width="14.7109375" style="1402" customWidth="1"/>
    <col min="3086" max="3086" width="11.85546875" style="1402" customWidth="1"/>
    <col min="3087" max="3087" width="2.85546875" style="1402" customWidth="1"/>
    <col min="3088" max="3088" width="10.7109375" style="1402" customWidth="1"/>
    <col min="3089" max="3089" width="3.85546875" style="1402" customWidth="1"/>
    <col min="3090" max="3090" width="20.5703125" style="1402" customWidth="1"/>
    <col min="3091" max="3091" width="19" style="1402" customWidth="1"/>
    <col min="3092" max="3092" width="3.140625" style="1402" customWidth="1"/>
    <col min="3093" max="3328" width="9.140625" style="1402"/>
    <col min="3329" max="3329" width="5.42578125" style="1402" customWidth="1"/>
    <col min="3330" max="3330" width="13.7109375" style="1402" customWidth="1"/>
    <col min="3331" max="3331" width="18.85546875" style="1402" customWidth="1"/>
    <col min="3332" max="3332" width="0.140625" style="1402" customWidth="1"/>
    <col min="3333" max="3333" width="12.42578125" style="1402" customWidth="1"/>
    <col min="3334" max="3334" width="0.5703125" style="1402" customWidth="1"/>
    <col min="3335" max="3335" width="18.28515625" style="1402" customWidth="1"/>
    <col min="3336" max="3336" width="1" style="1402" customWidth="1"/>
    <col min="3337" max="3337" width="7.140625" style="1402" customWidth="1"/>
    <col min="3338" max="3338" width="9.7109375" style="1402" customWidth="1"/>
    <col min="3339" max="3339" width="16.7109375" style="1402" customWidth="1"/>
    <col min="3340" max="3340" width="1.85546875" style="1402" customWidth="1"/>
    <col min="3341" max="3341" width="14.7109375" style="1402" customWidth="1"/>
    <col min="3342" max="3342" width="11.85546875" style="1402" customWidth="1"/>
    <col min="3343" max="3343" width="2.85546875" style="1402" customWidth="1"/>
    <col min="3344" max="3344" width="10.7109375" style="1402" customWidth="1"/>
    <col min="3345" max="3345" width="3.85546875" style="1402" customWidth="1"/>
    <col min="3346" max="3346" width="20.5703125" style="1402" customWidth="1"/>
    <col min="3347" max="3347" width="19" style="1402" customWidth="1"/>
    <col min="3348" max="3348" width="3.140625" style="1402" customWidth="1"/>
    <col min="3349" max="3584" width="9.140625" style="1402"/>
    <col min="3585" max="3585" width="5.42578125" style="1402" customWidth="1"/>
    <col min="3586" max="3586" width="13.7109375" style="1402" customWidth="1"/>
    <col min="3587" max="3587" width="18.85546875" style="1402" customWidth="1"/>
    <col min="3588" max="3588" width="0.140625" style="1402" customWidth="1"/>
    <col min="3589" max="3589" width="12.42578125" style="1402" customWidth="1"/>
    <col min="3590" max="3590" width="0.5703125" style="1402" customWidth="1"/>
    <col min="3591" max="3591" width="18.28515625" style="1402" customWidth="1"/>
    <col min="3592" max="3592" width="1" style="1402" customWidth="1"/>
    <col min="3593" max="3593" width="7.140625" style="1402" customWidth="1"/>
    <col min="3594" max="3594" width="9.7109375" style="1402" customWidth="1"/>
    <col min="3595" max="3595" width="16.7109375" style="1402" customWidth="1"/>
    <col min="3596" max="3596" width="1.85546875" style="1402" customWidth="1"/>
    <col min="3597" max="3597" width="14.7109375" style="1402" customWidth="1"/>
    <col min="3598" max="3598" width="11.85546875" style="1402" customWidth="1"/>
    <col min="3599" max="3599" width="2.85546875" style="1402" customWidth="1"/>
    <col min="3600" max="3600" width="10.7109375" style="1402" customWidth="1"/>
    <col min="3601" max="3601" width="3.85546875" style="1402" customWidth="1"/>
    <col min="3602" max="3602" width="20.5703125" style="1402" customWidth="1"/>
    <col min="3603" max="3603" width="19" style="1402" customWidth="1"/>
    <col min="3604" max="3604" width="3.140625" style="1402" customWidth="1"/>
    <col min="3605" max="3840" width="9.140625" style="1402"/>
    <col min="3841" max="3841" width="5.42578125" style="1402" customWidth="1"/>
    <col min="3842" max="3842" width="13.7109375" style="1402" customWidth="1"/>
    <col min="3843" max="3843" width="18.85546875" style="1402" customWidth="1"/>
    <col min="3844" max="3844" width="0.140625" style="1402" customWidth="1"/>
    <col min="3845" max="3845" width="12.42578125" style="1402" customWidth="1"/>
    <col min="3846" max="3846" width="0.5703125" style="1402" customWidth="1"/>
    <col min="3847" max="3847" width="18.28515625" style="1402" customWidth="1"/>
    <col min="3848" max="3848" width="1" style="1402" customWidth="1"/>
    <col min="3849" max="3849" width="7.140625" style="1402" customWidth="1"/>
    <col min="3850" max="3850" width="9.7109375" style="1402" customWidth="1"/>
    <col min="3851" max="3851" width="16.7109375" style="1402" customWidth="1"/>
    <col min="3852" max="3852" width="1.85546875" style="1402" customWidth="1"/>
    <col min="3853" max="3853" width="14.7109375" style="1402" customWidth="1"/>
    <col min="3854" max="3854" width="11.85546875" style="1402" customWidth="1"/>
    <col min="3855" max="3855" width="2.85546875" style="1402" customWidth="1"/>
    <col min="3856" max="3856" width="10.7109375" style="1402" customWidth="1"/>
    <col min="3857" max="3857" width="3.85546875" style="1402" customWidth="1"/>
    <col min="3858" max="3858" width="20.5703125" style="1402" customWidth="1"/>
    <col min="3859" max="3859" width="19" style="1402" customWidth="1"/>
    <col min="3860" max="3860" width="3.140625" style="1402" customWidth="1"/>
    <col min="3861" max="4096" width="9.140625" style="1402"/>
    <col min="4097" max="4097" width="5.42578125" style="1402" customWidth="1"/>
    <col min="4098" max="4098" width="13.7109375" style="1402" customWidth="1"/>
    <col min="4099" max="4099" width="18.85546875" style="1402" customWidth="1"/>
    <col min="4100" max="4100" width="0.140625" style="1402" customWidth="1"/>
    <col min="4101" max="4101" width="12.42578125" style="1402" customWidth="1"/>
    <col min="4102" max="4102" width="0.5703125" style="1402" customWidth="1"/>
    <col min="4103" max="4103" width="18.28515625" style="1402" customWidth="1"/>
    <col min="4104" max="4104" width="1" style="1402" customWidth="1"/>
    <col min="4105" max="4105" width="7.140625" style="1402" customWidth="1"/>
    <col min="4106" max="4106" width="9.7109375" style="1402" customWidth="1"/>
    <col min="4107" max="4107" width="16.7109375" style="1402" customWidth="1"/>
    <col min="4108" max="4108" width="1.85546875" style="1402" customWidth="1"/>
    <col min="4109" max="4109" width="14.7109375" style="1402" customWidth="1"/>
    <col min="4110" max="4110" width="11.85546875" style="1402" customWidth="1"/>
    <col min="4111" max="4111" width="2.85546875" style="1402" customWidth="1"/>
    <col min="4112" max="4112" width="10.7109375" style="1402" customWidth="1"/>
    <col min="4113" max="4113" width="3.85546875" style="1402" customWidth="1"/>
    <col min="4114" max="4114" width="20.5703125" style="1402" customWidth="1"/>
    <col min="4115" max="4115" width="19" style="1402" customWidth="1"/>
    <col min="4116" max="4116" width="3.140625" style="1402" customWidth="1"/>
    <col min="4117" max="4352" width="9.140625" style="1402"/>
    <col min="4353" max="4353" width="5.42578125" style="1402" customWidth="1"/>
    <col min="4354" max="4354" width="13.7109375" style="1402" customWidth="1"/>
    <col min="4355" max="4355" width="18.85546875" style="1402" customWidth="1"/>
    <col min="4356" max="4356" width="0.140625" style="1402" customWidth="1"/>
    <col min="4357" max="4357" width="12.42578125" style="1402" customWidth="1"/>
    <col min="4358" max="4358" width="0.5703125" style="1402" customWidth="1"/>
    <col min="4359" max="4359" width="18.28515625" style="1402" customWidth="1"/>
    <col min="4360" max="4360" width="1" style="1402" customWidth="1"/>
    <col min="4361" max="4361" width="7.140625" style="1402" customWidth="1"/>
    <col min="4362" max="4362" width="9.7109375" style="1402" customWidth="1"/>
    <col min="4363" max="4363" width="16.7109375" style="1402" customWidth="1"/>
    <col min="4364" max="4364" width="1.85546875" style="1402" customWidth="1"/>
    <col min="4365" max="4365" width="14.7109375" style="1402" customWidth="1"/>
    <col min="4366" max="4366" width="11.85546875" style="1402" customWidth="1"/>
    <col min="4367" max="4367" width="2.85546875" style="1402" customWidth="1"/>
    <col min="4368" max="4368" width="10.7109375" style="1402" customWidth="1"/>
    <col min="4369" max="4369" width="3.85546875" style="1402" customWidth="1"/>
    <col min="4370" max="4370" width="20.5703125" style="1402" customWidth="1"/>
    <col min="4371" max="4371" width="19" style="1402" customWidth="1"/>
    <col min="4372" max="4372" width="3.140625" style="1402" customWidth="1"/>
    <col min="4373" max="4608" width="9.140625" style="1402"/>
    <col min="4609" max="4609" width="5.42578125" style="1402" customWidth="1"/>
    <col min="4610" max="4610" width="13.7109375" style="1402" customWidth="1"/>
    <col min="4611" max="4611" width="18.85546875" style="1402" customWidth="1"/>
    <col min="4612" max="4612" width="0.140625" style="1402" customWidth="1"/>
    <col min="4613" max="4613" width="12.42578125" style="1402" customWidth="1"/>
    <col min="4614" max="4614" width="0.5703125" style="1402" customWidth="1"/>
    <col min="4615" max="4615" width="18.28515625" style="1402" customWidth="1"/>
    <col min="4616" max="4616" width="1" style="1402" customWidth="1"/>
    <col min="4617" max="4617" width="7.140625" style="1402" customWidth="1"/>
    <col min="4618" max="4618" width="9.7109375" style="1402" customWidth="1"/>
    <col min="4619" max="4619" width="16.7109375" style="1402" customWidth="1"/>
    <col min="4620" max="4620" width="1.85546875" style="1402" customWidth="1"/>
    <col min="4621" max="4621" width="14.7109375" style="1402" customWidth="1"/>
    <col min="4622" max="4622" width="11.85546875" style="1402" customWidth="1"/>
    <col min="4623" max="4623" width="2.85546875" style="1402" customWidth="1"/>
    <col min="4624" max="4624" width="10.7109375" style="1402" customWidth="1"/>
    <col min="4625" max="4625" width="3.85546875" style="1402" customWidth="1"/>
    <col min="4626" max="4626" width="20.5703125" style="1402" customWidth="1"/>
    <col min="4627" max="4627" width="19" style="1402" customWidth="1"/>
    <col min="4628" max="4628" width="3.140625" style="1402" customWidth="1"/>
    <col min="4629" max="4864" width="9.140625" style="1402"/>
    <col min="4865" max="4865" width="5.42578125" style="1402" customWidth="1"/>
    <col min="4866" max="4866" width="13.7109375" style="1402" customWidth="1"/>
    <col min="4867" max="4867" width="18.85546875" style="1402" customWidth="1"/>
    <col min="4868" max="4868" width="0.140625" style="1402" customWidth="1"/>
    <col min="4869" max="4869" width="12.42578125" style="1402" customWidth="1"/>
    <col min="4870" max="4870" width="0.5703125" style="1402" customWidth="1"/>
    <col min="4871" max="4871" width="18.28515625" style="1402" customWidth="1"/>
    <col min="4872" max="4872" width="1" style="1402" customWidth="1"/>
    <col min="4873" max="4873" width="7.140625" style="1402" customWidth="1"/>
    <col min="4874" max="4874" width="9.7109375" style="1402" customWidth="1"/>
    <col min="4875" max="4875" width="16.7109375" style="1402" customWidth="1"/>
    <col min="4876" max="4876" width="1.85546875" style="1402" customWidth="1"/>
    <col min="4877" max="4877" width="14.7109375" style="1402" customWidth="1"/>
    <col min="4878" max="4878" width="11.85546875" style="1402" customWidth="1"/>
    <col min="4879" max="4879" width="2.85546875" style="1402" customWidth="1"/>
    <col min="4880" max="4880" width="10.7109375" style="1402" customWidth="1"/>
    <col min="4881" max="4881" width="3.85546875" style="1402" customWidth="1"/>
    <col min="4882" max="4882" width="20.5703125" style="1402" customWidth="1"/>
    <col min="4883" max="4883" width="19" style="1402" customWidth="1"/>
    <col min="4884" max="4884" width="3.140625" style="1402" customWidth="1"/>
    <col min="4885" max="5120" width="9.140625" style="1402"/>
    <col min="5121" max="5121" width="5.42578125" style="1402" customWidth="1"/>
    <col min="5122" max="5122" width="13.7109375" style="1402" customWidth="1"/>
    <col min="5123" max="5123" width="18.85546875" style="1402" customWidth="1"/>
    <col min="5124" max="5124" width="0.140625" style="1402" customWidth="1"/>
    <col min="5125" max="5125" width="12.42578125" style="1402" customWidth="1"/>
    <col min="5126" max="5126" width="0.5703125" style="1402" customWidth="1"/>
    <col min="5127" max="5127" width="18.28515625" style="1402" customWidth="1"/>
    <col min="5128" max="5128" width="1" style="1402" customWidth="1"/>
    <col min="5129" max="5129" width="7.140625" style="1402" customWidth="1"/>
    <col min="5130" max="5130" width="9.7109375" style="1402" customWidth="1"/>
    <col min="5131" max="5131" width="16.7109375" style="1402" customWidth="1"/>
    <col min="5132" max="5132" width="1.85546875" style="1402" customWidth="1"/>
    <col min="5133" max="5133" width="14.7109375" style="1402" customWidth="1"/>
    <col min="5134" max="5134" width="11.85546875" style="1402" customWidth="1"/>
    <col min="5135" max="5135" width="2.85546875" style="1402" customWidth="1"/>
    <col min="5136" max="5136" width="10.7109375" style="1402" customWidth="1"/>
    <col min="5137" max="5137" width="3.85546875" style="1402" customWidth="1"/>
    <col min="5138" max="5138" width="20.5703125" style="1402" customWidth="1"/>
    <col min="5139" max="5139" width="19" style="1402" customWidth="1"/>
    <col min="5140" max="5140" width="3.140625" style="1402" customWidth="1"/>
    <col min="5141" max="5376" width="9.140625" style="1402"/>
    <col min="5377" max="5377" width="5.42578125" style="1402" customWidth="1"/>
    <col min="5378" max="5378" width="13.7109375" style="1402" customWidth="1"/>
    <col min="5379" max="5379" width="18.85546875" style="1402" customWidth="1"/>
    <col min="5380" max="5380" width="0.140625" style="1402" customWidth="1"/>
    <col min="5381" max="5381" width="12.42578125" style="1402" customWidth="1"/>
    <col min="5382" max="5382" width="0.5703125" style="1402" customWidth="1"/>
    <col min="5383" max="5383" width="18.28515625" style="1402" customWidth="1"/>
    <col min="5384" max="5384" width="1" style="1402" customWidth="1"/>
    <col min="5385" max="5385" width="7.140625" style="1402" customWidth="1"/>
    <col min="5386" max="5386" width="9.7109375" style="1402" customWidth="1"/>
    <col min="5387" max="5387" width="16.7109375" style="1402" customWidth="1"/>
    <col min="5388" max="5388" width="1.85546875" style="1402" customWidth="1"/>
    <col min="5389" max="5389" width="14.7109375" style="1402" customWidth="1"/>
    <col min="5390" max="5390" width="11.85546875" style="1402" customWidth="1"/>
    <col min="5391" max="5391" width="2.85546875" style="1402" customWidth="1"/>
    <col min="5392" max="5392" width="10.7109375" style="1402" customWidth="1"/>
    <col min="5393" max="5393" width="3.85546875" style="1402" customWidth="1"/>
    <col min="5394" max="5394" width="20.5703125" style="1402" customWidth="1"/>
    <col min="5395" max="5395" width="19" style="1402" customWidth="1"/>
    <col min="5396" max="5396" width="3.140625" style="1402" customWidth="1"/>
    <col min="5397" max="5632" width="9.140625" style="1402"/>
    <col min="5633" max="5633" width="5.42578125" style="1402" customWidth="1"/>
    <col min="5634" max="5634" width="13.7109375" style="1402" customWidth="1"/>
    <col min="5635" max="5635" width="18.85546875" style="1402" customWidth="1"/>
    <col min="5636" max="5636" width="0.140625" style="1402" customWidth="1"/>
    <col min="5637" max="5637" width="12.42578125" style="1402" customWidth="1"/>
    <col min="5638" max="5638" width="0.5703125" style="1402" customWidth="1"/>
    <col min="5639" max="5639" width="18.28515625" style="1402" customWidth="1"/>
    <col min="5640" max="5640" width="1" style="1402" customWidth="1"/>
    <col min="5641" max="5641" width="7.140625" style="1402" customWidth="1"/>
    <col min="5642" max="5642" width="9.7109375" style="1402" customWidth="1"/>
    <col min="5643" max="5643" width="16.7109375" style="1402" customWidth="1"/>
    <col min="5644" max="5644" width="1.85546875" style="1402" customWidth="1"/>
    <col min="5645" max="5645" width="14.7109375" style="1402" customWidth="1"/>
    <col min="5646" max="5646" width="11.85546875" style="1402" customWidth="1"/>
    <col min="5647" max="5647" width="2.85546875" style="1402" customWidth="1"/>
    <col min="5648" max="5648" width="10.7109375" style="1402" customWidth="1"/>
    <col min="5649" max="5649" width="3.85546875" style="1402" customWidth="1"/>
    <col min="5650" max="5650" width="20.5703125" style="1402" customWidth="1"/>
    <col min="5651" max="5651" width="19" style="1402" customWidth="1"/>
    <col min="5652" max="5652" width="3.140625" style="1402" customWidth="1"/>
    <col min="5653" max="5888" width="9.140625" style="1402"/>
    <col min="5889" max="5889" width="5.42578125" style="1402" customWidth="1"/>
    <col min="5890" max="5890" width="13.7109375" style="1402" customWidth="1"/>
    <col min="5891" max="5891" width="18.85546875" style="1402" customWidth="1"/>
    <col min="5892" max="5892" width="0.140625" style="1402" customWidth="1"/>
    <col min="5893" max="5893" width="12.42578125" style="1402" customWidth="1"/>
    <col min="5894" max="5894" width="0.5703125" style="1402" customWidth="1"/>
    <col min="5895" max="5895" width="18.28515625" style="1402" customWidth="1"/>
    <col min="5896" max="5896" width="1" style="1402" customWidth="1"/>
    <col min="5897" max="5897" width="7.140625" style="1402" customWidth="1"/>
    <col min="5898" max="5898" width="9.7109375" style="1402" customWidth="1"/>
    <col min="5899" max="5899" width="16.7109375" style="1402" customWidth="1"/>
    <col min="5900" max="5900" width="1.85546875" style="1402" customWidth="1"/>
    <col min="5901" max="5901" width="14.7109375" style="1402" customWidth="1"/>
    <col min="5902" max="5902" width="11.85546875" style="1402" customWidth="1"/>
    <col min="5903" max="5903" width="2.85546875" style="1402" customWidth="1"/>
    <col min="5904" max="5904" width="10.7109375" style="1402" customWidth="1"/>
    <col min="5905" max="5905" width="3.85546875" style="1402" customWidth="1"/>
    <col min="5906" max="5906" width="20.5703125" style="1402" customWidth="1"/>
    <col min="5907" max="5907" width="19" style="1402" customWidth="1"/>
    <col min="5908" max="5908" width="3.140625" style="1402" customWidth="1"/>
    <col min="5909" max="6144" width="9.140625" style="1402"/>
    <col min="6145" max="6145" width="5.42578125" style="1402" customWidth="1"/>
    <col min="6146" max="6146" width="13.7109375" style="1402" customWidth="1"/>
    <col min="6147" max="6147" width="18.85546875" style="1402" customWidth="1"/>
    <col min="6148" max="6148" width="0.140625" style="1402" customWidth="1"/>
    <col min="6149" max="6149" width="12.42578125" style="1402" customWidth="1"/>
    <col min="6150" max="6150" width="0.5703125" style="1402" customWidth="1"/>
    <col min="6151" max="6151" width="18.28515625" style="1402" customWidth="1"/>
    <col min="6152" max="6152" width="1" style="1402" customWidth="1"/>
    <col min="6153" max="6153" width="7.140625" style="1402" customWidth="1"/>
    <col min="6154" max="6154" width="9.7109375" style="1402" customWidth="1"/>
    <col min="6155" max="6155" width="16.7109375" style="1402" customWidth="1"/>
    <col min="6156" max="6156" width="1.85546875" style="1402" customWidth="1"/>
    <col min="6157" max="6157" width="14.7109375" style="1402" customWidth="1"/>
    <col min="6158" max="6158" width="11.85546875" style="1402" customWidth="1"/>
    <col min="6159" max="6159" width="2.85546875" style="1402" customWidth="1"/>
    <col min="6160" max="6160" width="10.7109375" style="1402" customWidth="1"/>
    <col min="6161" max="6161" width="3.85546875" style="1402" customWidth="1"/>
    <col min="6162" max="6162" width="20.5703125" style="1402" customWidth="1"/>
    <col min="6163" max="6163" width="19" style="1402" customWidth="1"/>
    <col min="6164" max="6164" width="3.140625" style="1402" customWidth="1"/>
    <col min="6165" max="6400" width="9.140625" style="1402"/>
    <col min="6401" max="6401" width="5.42578125" style="1402" customWidth="1"/>
    <col min="6402" max="6402" width="13.7109375" style="1402" customWidth="1"/>
    <col min="6403" max="6403" width="18.85546875" style="1402" customWidth="1"/>
    <col min="6404" max="6404" width="0.140625" style="1402" customWidth="1"/>
    <col min="6405" max="6405" width="12.42578125" style="1402" customWidth="1"/>
    <col min="6406" max="6406" width="0.5703125" style="1402" customWidth="1"/>
    <col min="6407" max="6407" width="18.28515625" style="1402" customWidth="1"/>
    <col min="6408" max="6408" width="1" style="1402" customWidth="1"/>
    <col min="6409" max="6409" width="7.140625" style="1402" customWidth="1"/>
    <col min="6410" max="6410" width="9.7109375" style="1402" customWidth="1"/>
    <col min="6411" max="6411" width="16.7109375" style="1402" customWidth="1"/>
    <col min="6412" max="6412" width="1.85546875" style="1402" customWidth="1"/>
    <col min="6413" max="6413" width="14.7109375" style="1402" customWidth="1"/>
    <col min="6414" max="6414" width="11.85546875" style="1402" customWidth="1"/>
    <col min="6415" max="6415" width="2.85546875" style="1402" customWidth="1"/>
    <col min="6416" max="6416" width="10.7109375" style="1402" customWidth="1"/>
    <col min="6417" max="6417" width="3.85546875" style="1402" customWidth="1"/>
    <col min="6418" max="6418" width="20.5703125" style="1402" customWidth="1"/>
    <col min="6419" max="6419" width="19" style="1402" customWidth="1"/>
    <col min="6420" max="6420" width="3.140625" style="1402" customWidth="1"/>
    <col min="6421" max="6656" width="9.140625" style="1402"/>
    <col min="6657" max="6657" width="5.42578125" style="1402" customWidth="1"/>
    <col min="6658" max="6658" width="13.7109375" style="1402" customWidth="1"/>
    <col min="6659" max="6659" width="18.85546875" style="1402" customWidth="1"/>
    <col min="6660" max="6660" width="0.140625" style="1402" customWidth="1"/>
    <col min="6661" max="6661" width="12.42578125" style="1402" customWidth="1"/>
    <col min="6662" max="6662" width="0.5703125" style="1402" customWidth="1"/>
    <col min="6663" max="6663" width="18.28515625" style="1402" customWidth="1"/>
    <col min="6664" max="6664" width="1" style="1402" customWidth="1"/>
    <col min="6665" max="6665" width="7.140625" style="1402" customWidth="1"/>
    <col min="6666" max="6666" width="9.7109375" style="1402" customWidth="1"/>
    <col min="6667" max="6667" width="16.7109375" style="1402" customWidth="1"/>
    <col min="6668" max="6668" width="1.85546875" style="1402" customWidth="1"/>
    <col min="6669" max="6669" width="14.7109375" style="1402" customWidth="1"/>
    <col min="6670" max="6670" width="11.85546875" style="1402" customWidth="1"/>
    <col min="6671" max="6671" width="2.85546875" style="1402" customWidth="1"/>
    <col min="6672" max="6672" width="10.7109375" style="1402" customWidth="1"/>
    <col min="6673" max="6673" width="3.85546875" style="1402" customWidth="1"/>
    <col min="6674" max="6674" width="20.5703125" style="1402" customWidth="1"/>
    <col min="6675" max="6675" width="19" style="1402" customWidth="1"/>
    <col min="6676" max="6676" width="3.140625" style="1402" customWidth="1"/>
    <col min="6677" max="6912" width="9.140625" style="1402"/>
    <col min="6913" max="6913" width="5.42578125" style="1402" customWidth="1"/>
    <col min="6914" max="6914" width="13.7109375" style="1402" customWidth="1"/>
    <col min="6915" max="6915" width="18.85546875" style="1402" customWidth="1"/>
    <col min="6916" max="6916" width="0.140625" style="1402" customWidth="1"/>
    <col min="6917" max="6917" width="12.42578125" style="1402" customWidth="1"/>
    <col min="6918" max="6918" width="0.5703125" style="1402" customWidth="1"/>
    <col min="6919" max="6919" width="18.28515625" style="1402" customWidth="1"/>
    <col min="6920" max="6920" width="1" style="1402" customWidth="1"/>
    <col min="6921" max="6921" width="7.140625" style="1402" customWidth="1"/>
    <col min="6922" max="6922" width="9.7109375" style="1402" customWidth="1"/>
    <col min="6923" max="6923" width="16.7109375" style="1402" customWidth="1"/>
    <col min="6924" max="6924" width="1.85546875" style="1402" customWidth="1"/>
    <col min="6925" max="6925" width="14.7109375" style="1402" customWidth="1"/>
    <col min="6926" max="6926" width="11.85546875" style="1402" customWidth="1"/>
    <col min="6927" max="6927" width="2.85546875" style="1402" customWidth="1"/>
    <col min="6928" max="6928" width="10.7109375" style="1402" customWidth="1"/>
    <col min="6929" max="6929" width="3.85546875" style="1402" customWidth="1"/>
    <col min="6930" max="6930" width="20.5703125" style="1402" customWidth="1"/>
    <col min="6931" max="6931" width="19" style="1402" customWidth="1"/>
    <col min="6932" max="6932" width="3.140625" style="1402" customWidth="1"/>
    <col min="6933" max="7168" width="9.140625" style="1402"/>
    <col min="7169" max="7169" width="5.42578125" style="1402" customWidth="1"/>
    <col min="7170" max="7170" width="13.7109375" style="1402" customWidth="1"/>
    <col min="7171" max="7171" width="18.85546875" style="1402" customWidth="1"/>
    <col min="7172" max="7172" width="0.140625" style="1402" customWidth="1"/>
    <col min="7173" max="7173" width="12.42578125" style="1402" customWidth="1"/>
    <col min="7174" max="7174" width="0.5703125" style="1402" customWidth="1"/>
    <col min="7175" max="7175" width="18.28515625" style="1402" customWidth="1"/>
    <col min="7176" max="7176" width="1" style="1402" customWidth="1"/>
    <col min="7177" max="7177" width="7.140625" style="1402" customWidth="1"/>
    <col min="7178" max="7178" width="9.7109375" style="1402" customWidth="1"/>
    <col min="7179" max="7179" width="16.7109375" style="1402" customWidth="1"/>
    <col min="7180" max="7180" width="1.85546875" style="1402" customWidth="1"/>
    <col min="7181" max="7181" width="14.7109375" style="1402" customWidth="1"/>
    <col min="7182" max="7182" width="11.85546875" style="1402" customWidth="1"/>
    <col min="7183" max="7183" width="2.85546875" style="1402" customWidth="1"/>
    <col min="7184" max="7184" width="10.7109375" style="1402" customWidth="1"/>
    <col min="7185" max="7185" width="3.85546875" style="1402" customWidth="1"/>
    <col min="7186" max="7186" width="20.5703125" style="1402" customWidth="1"/>
    <col min="7187" max="7187" width="19" style="1402" customWidth="1"/>
    <col min="7188" max="7188" width="3.140625" style="1402" customWidth="1"/>
    <col min="7189" max="7424" width="9.140625" style="1402"/>
    <col min="7425" max="7425" width="5.42578125" style="1402" customWidth="1"/>
    <col min="7426" max="7426" width="13.7109375" style="1402" customWidth="1"/>
    <col min="7427" max="7427" width="18.85546875" style="1402" customWidth="1"/>
    <col min="7428" max="7428" width="0.140625" style="1402" customWidth="1"/>
    <col min="7429" max="7429" width="12.42578125" style="1402" customWidth="1"/>
    <col min="7430" max="7430" width="0.5703125" style="1402" customWidth="1"/>
    <col min="7431" max="7431" width="18.28515625" style="1402" customWidth="1"/>
    <col min="7432" max="7432" width="1" style="1402" customWidth="1"/>
    <col min="7433" max="7433" width="7.140625" style="1402" customWidth="1"/>
    <col min="7434" max="7434" width="9.7109375" style="1402" customWidth="1"/>
    <col min="7435" max="7435" width="16.7109375" style="1402" customWidth="1"/>
    <col min="7436" max="7436" width="1.85546875" style="1402" customWidth="1"/>
    <col min="7437" max="7437" width="14.7109375" style="1402" customWidth="1"/>
    <col min="7438" max="7438" width="11.85546875" style="1402" customWidth="1"/>
    <col min="7439" max="7439" width="2.85546875" style="1402" customWidth="1"/>
    <col min="7440" max="7440" width="10.7109375" style="1402" customWidth="1"/>
    <col min="7441" max="7441" width="3.85546875" style="1402" customWidth="1"/>
    <col min="7442" max="7442" width="20.5703125" style="1402" customWidth="1"/>
    <col min="7443" max="7443" width="19" style="1402" customWidth="1"/>
    <col min="7444" max="7444" width="3.140625" style="1402" customWidth="1"/>
    <col min="7445" max="7680" width="9.140625" style="1402"/>
    <col min="7681" max="7681" width="5.42578125" style="1402" customWidth="1"/>
    <col min="7682" max="7682" width="13.7109375" style="1402" customWidth="1"/>
    <col min="7683" max="7683" width="18.85546875" style="1402" customWidth="1"/>
    <col min="7684" max="7684" width="0.140625" style="1402" customWidth="1"/>
    <col min="7685" max="7685" width="12.42578125" style="1402" customWidth="1"/>
    <col min="7686" max="7686" width="0.5703125" style="1402" customWidth="1"/>
    <col min="7687" max="7687" width="18.28515625" style="1402" customWidth="1"/>
    <col min="7688" max="7688" width="1" style="1402" customWidth="1"/>
    <col min="7689" max="7689" width="7.140625" style="1402" customWidth="1"/>
    <col min="7690" max="7690" width="9.7109375" style="1402" customWidth="1"/>
    <col min="7691" max="7691" width="16.7109375" style="1402" customWidth="1"/>
    <col min="7692" max="7692" width="1.85546875" style="1402" customWidth="1"/>
    <col min="7693" max="7693" width="14.7109375" style="1402" customWidth="1"/>
    <col min="7694" max="7694" width="11.85546875" style="1402" customWidth="1"/>
    <col min="7695" max="7695" width="2.85546875" style="1402" customWidth="1"/>
    <col min="7696" max="7696" width="10.7109375" style="1402" customWidth="1"/>
    <col min="7697" max="7697" width="3.85546875" style="1402" customWidth="1"/>
    <col min="7698" max="7698" width="20.5703125" style="1402" customWidth="1"/>
    <col min="7699" max="7699" width="19" style="1402" customWidth="1"/>
    <col min="7700" max="7700" width="3.140625" style="1402" customWidth="1"/>
    <col min="7701" max="7936" width="9.140625" style="1402"/>
    <col min="7937" max="7937" width="5.42578125" style="1402" customWidth="1"/>
    <col min="7938" max="7938" width="13.7109375" style="1402" customWidth="1"/>
    <col min="7939" max="7939" width="18.85546875" style="1402" customWidth="1"/>
    <col min="7940" max="7940" width="0.140625" style="1402" customWidth="1"/>
    <col min="7941" max="7941" width="12.42578125" style="1402" customWidth="1"/>
    <col min="7942" max="7942" width="0.5703125" style="1402" customWidth="1"/>
    <col min="7943" max="7943" width="18.28515625" style="1402" customWidth="1"/>
    <col min="7944" max="7944" width="1" style="1402" customWidth="1"/>
    <col min="7945" max="7945" width="7.140625" style="1402" customWidth="1"/>
    <col min="7946" max="7946" width="9.7109375" style="1402" customWidth="1"/>
    <col min="7947" max="7947" width="16.7109375" style="1402" customWidth="1"/>
    <col min="7948" max="7948" width="1.85546875" style="1402" customWidth="1"/>
    <col min="7949" max="7949" width="14.7109375" style="1402" customWidth="1"/>
    <col min="7950" max="7950" width="11.85546875" style="1402" customWidth="1"/>
    <col min="7951" max="7951" width="2.85546875" style="1402" customWidth="1"/>
    <col min="7952" max="7952" width="10.7109375" style="1402" customWidth="1"/>
    <col min="7953" max="7953" width="3.85546875" style="1402" customWidth="1"/>
    <col min="7954" max="7954" width="20.5703125" style="1402" customWidth="1"/>
    <col min="7955" max="7955" width="19" style="1402" customWidth="1"/>
    <col min="7956" max="7956" width="3.140625" style="1402" customWidth="1"/>
    <col min="7957" max="8192" width="9.140625" style="1402"/>
    <col min="8193" max="8193" width="5.42578125" style="1402" customWidth="1"/>
    <col min="8194" max="8194" width="13.7109375" style="1402" customWidth="1"/>
    <col min="8195" max="8195" width="18.85546875" style="1402" customWidth="1"/>
    <col min="8196" max="8196" width="0.140625" style="1402" customWidth="1"/>
    <col min="8197" max="8197" width="12.42578125" style="1402" customWidth="1"/>
    <col min="8198" max="8198" width="0.5703125" style="1402" customWidth="1"/>
    <col min="8199" max="8199" width="18.28515625" style="1402" customWidth="1"/>
    <col min="8200" max="8200" width="1" style="1402" customWidth="1"/>
    <col min="8201" max="8201" width="7.140625" style="1402" customWidth="1"/>
    <col min="8202" max="8202" width="9.7109375" style="1402" customWidth="1"/>
    <col min="8203" max="8203" width="16.7109375" style="1402" customWidth="1"/>
    <col min="8204" max="8204" width="1.85546875" style="1402" customWidth="1"/>
    <col min="8205" max="8205" width="14.7109375" style="1402" customWidth="1"/>
    <col min="8206" max="8206" width="11.85546875" style="1402" customWidth="1"/>
    <col min="8207" max="8207" width="2.85546875" style="1402" customWidth="1"/>
    <col min="8208" max="8208" width="10.7109375" style="1402" customWidth="1"/>
    <col min="8209" max="8209" width="3.85546875" style="1402" customWidth="1"/>
    <col min="8210" max="8210" width="20.5703125" style="1402" customWidth="1"/>
    <col min="8211" max="8211" width="19" style="1402" customWidth="1"/>
    <col min="8212" max="8212" width="3.140625" style="1402" customWidth="1"/>
    <col min="8213" max="8448" width="9.140625" style="1402"/>
    <col min="8449" max="8449" width="5.42578125" style="1402" customWidth="1"/>
    <col min="8450" max="8450" width="13.7109375" style="1402" customWidth="1"/>
    <col min="8451" max="8451" width="18.85546875" style="1402" customWidth="1"/>
    <col min="8452" max="8452" width="0.140625" style="1402" customWidth="1"/>
    <col min="8453" max="8453" width="12.42578125" style="1402" customWidth="1"/>
    <col min="8454" max="8454" width="0.5703125" style="1402" customWidth="1"/>
    <col min="8455" max="8455" width="18.28515625" style="1402" customWidth="1"/>
    <col min="8456" max="8456" width="1" style="1402" customWidth="1"/>
    <col min="8457" max="8457" width="7.140625" style="1402" customWidth="1"/>
    <col min="8458" max="8458" width="9.7109375" style="1402" customWidth="1"/>
    <col min="8459" max="8459" width="16.7109375" style="1402" customWidth="1"/>
    <col min="8460" max="8460" width="1.85546875" style="1402" customWidth="1"/>
    <col min="8461" max="8461" width="14.7109375" style="1402" customWidth="1"/>
    <col min="8462" max="8462" width="11.85546875" style="1402" customWidth="1"/>
    <col min="8463" max="8463" width="2.85546875" style="1402" customWidth="1"/>
    <col min="8464" max="8464" width="10.7109375" style="1402" customWidth="1"/>
    <col min="8465" max="8465" width="3.85546875" style="1402" customWidth="1"/>
    <col min="8466" max="8466" width="20.5703125" style="1402" customWidth="1"/>
    <col min="8467" max="8467" width="19" style="1402" customWidth="1"/>
    <col min="8468" max="8468" width="3.140625" style="1402" customWidth="1"/>
    <col min="8469" max="8704" width="9.140625" style="1402"/>
    <col min="8705" max="8705" width="5.42578125" style="1402" customWidth="1"/>
    <col min="8706" max="8706" width="13.7109375" style="1402" customWidth="1"/>
    <col min="8707" max="8707" width="18.85546875" style="1402" customWidth="1"/>
    <col min="8708" max="8708" width="0.140625" style="1402" customWidth="1"/>
    <col min="8709" max="8709" width="12.42578125" style="1402" customWidth="1"/>
    <col min="8710" max="8710" width="0.5703125" style="1402" customWidth="1"/>
    <col min="8711" max="8711" width="18.28515625" style="1402" customWidth="1"/>
    <col min="8712" max="8712" width="1" style="1402" customWidth="1"/>
    <col min="8713" max="8713" width="7.140625" style="1402" customWidth="1"/>
    <col min="8714" max="8714" width="9.7109375" style="1402" customWidth="1"/>
    <col min="8715" max="8715" width="16.7109375" style="1402" customWidth="1"/>
    <col min="8716" max="8716" width="1.85546875" style="1402" customWidth="1"/>
    <col min="8717" max="8717" width="14.7109375" style="1402" customWidth="1"/>
    <col min="8718" max="8718" width="11.85546875" style="1402" customWidth="1"/>
    <col min="8719" max="8719" width="2.85546875" style="1402" customWidth="1"/>
    <col min="8720" max="8720" width="10.7109375" style="1402" customWidth="1"/>
    <col min="8721" max="8721" width="3.85546875" style="1402" customWidth="1"/>
    <col min="8722" max="8722" width="20.5703125" style="1402" customWidth="1"/>
    <col min="8723" max="8723" width="19" style="1402" customWidth="1"/>
    <col min="8724" max="8724" width="3.140625" style="1402" customWidth="1"/>
    <col min="8725" max="8960" width="9.140625" style="1402"/>
    <col min="8961" max="8961" width="5.42578125" style="1402" customWidth="1"/>
    <col min="8962" max="8962" width="13.7109375" style="1402" customWidth="1"/>
    <col min="8963" max="8963" width="18.85546875" style="1402" customWidth="1"/>
    <col min="8964" max="8964" width="0.140625" style="1402" customWidth="1"/>
    <col min="8965" max="8965" width="12.42578125" style="1402" customWidth="1"/>
    <col min="8966" max="8966" width="0.5703125" style="1402" customWidth="1"/>
    <col min="8967" max="8967" width="18.28515625" style="1402" customWidth="1"/>
    <col min="8968" max="8968" width="1" style="1402" customWidth="1"/>
    <col min="8969" max="8969" width="7.140625" style="1402" customWidth="1"/>
    <col min="8970" max="8970" width="9.7109375" style="1402" customWidth="1"/>
    <col min="8971" max="8971" width="16.7109375" style="1402" customWidth="1"/>
    <col min="8972" max="8972" width="1.85546875" style="1402" customWidth="1"/>
    <col min="8973" max="8973" width="14.7109375" style="1402" customWidth="1"/>
    <col min="8974" max="8974" width="11.85546875" style="1402" customWidth="1"/>
    <col min="8975" max="8975" width="2.85546875" style="1402" customWidth="1"/>
    <col min="8976" max="8976" width="10.7109375" style="1402" customWidth="1"/>
    <col min="8977" max="8977" width="3.85546875" style="1402" customWidth="1"/>
    <col min="8978" max="8978" width="20.5703125" style="1402" customWidth="1"/>
    <col min="8979" max="8979" width="19" style="1402" customWidth="1"/>
    <col min="8980" max="8980" width="3.140625" style="1402" customWidth="1"/>
    <col min="8981" max="9216" width="9.140625" style="1402"/>
    <col min="9217" max="9217" width="5.42578125" style="1402" customWidth="1"/>
    <col min="9218" max="9218" width="13.7109375" style="1402" customWidth="1"/>
    <col min="9219" max="9219" width="18.85546875" style="1402" customWidth="1"/>
    <col min="9220" max="9220" width="0.140625" style="1402" customWidth="1"/>
    <col min="9221" max="9221" width="12.42578125" style="1402" customWidth="1"/>
    <col min="9222" max="9222" width="0.5703125" style="1402" customWidth="1"/>
    <col min="9223" max="9223" width="18.28515625" style="1402" customWidth="1"/>
    <col min="9224" max="9224" width="1" style="1402" customWidth="1"/>
    <col min="9225" max="9225" width="7.140625" style="1402" customWidth="1"/>
    <col min="9226" max="9226" width="9.7109375" style="1402" customWidth="1"/>
    <col min="9227" max="9227" width="16.7109375" style="1402" customWidth="1"/>
    <col min="9228" max="9228" width="1.85546875" style="1402" customWidth="1"/>
    <col min="9229" max="9229" width="14.7109375" style="1402" customWidth="1"/>
    <col min="9230" max="9230" width="11.85546875" style="1402" customWidth="1"/>
    <col min="9231" max="9231" width="2.85546875" style="1402" customWidth="1"/>
    <col min="9232" max="9232" width="10.7109375" style="1402" customWidth="1"/>
    <col min="9233" max="9233" width="3.85546875" style="1402" customWidth="1"/>
    <col min="9234" max="9234" width="20.5703125" style="1402" customWidth="1"/>
    <col min="9235" max="9235" width="19" style="1402" customWidth="1"/>
    <col min="9236" max="9236" width="3.140625" style="1402" customWidth="1"/>
    <col min="9237" max="9472" width="9.140625" style="1402"/>
    <col min="9473" max="9473" width="5.42578125" style="1402" customWidth="1"/>
    <col min="9474" max="9474" width="13.7109375" style="1402" customWidth="1"/>
    <col min="9475" max="9475" width="18.85546875" style="1402" customWidth="1"/>
    <col min="9476" max="9476" width="0.140625" style="1402" customWidth="1"/>
    <col min="9477" max="9477" width="12.42578125" style="1402" customWidth="1"/>
    <col min="9478" max="9478" width="0.5703125" style="1402" customWidth="1"/>
    <col min="9479" max="9479" width="18.28515625" style="1402" customWidth="1"/>
    <col min="9480" max="9480" width="1" style="1402" customWidth="1"/>
    <col min="9481" max="9481" width="7.140625" style="1402" customWidth="1"/>
    <col min="9482" max="9482" width="9.7109375" style="1402" customWidth="1"/>
    <col min="9483" max="9483" width="16.7109375" style="1402" customWidth="1"/>
    <col min="9484" max="9484" width="1.85546875" style="1402" customWidth="1"/>
    <col min="9485" max="9485" width="14.7109375" style="1402" customWidth="1"/>
    <col min="9486" max="9486" width="11.85546875" style="1402" customWidth="1"/>
    <col min="9487" max="9487" width="2.85546875" style="1402" customWidth="1"/>
    <col min="9488" max="9488" width="10.7109375" style="1402" customWidth="1"/>
    <col min="9489" max="9489" width="3.85546875" style="1402" customWidth="1"/>
    <col min="9490" max="9490" width="20.5703125" style="1402" customWidth="1"/>
    <col min="9491" max="9491" width="19" style="1402" customWidth="1"/>
    <col min="9492" max="9492" width="3.140625" style="1402" customWidth="1"/>
    <col min="9493" max="9728" width="9.140625" style="1402"/>
    <col min="9729" max="9729" width="5.42578125" style="1402" customWidth="1"/>
    <col min="9730" max="9730" width="13.7109375" style="1402" customWidth="1"/>
    <col min="9731" max="9731" width="18.85546875" style="1402" customWidth="1"/>
    <col min="9732" max="9732" width="0.140625" style="1402" customWidth="1"/>
    <col min="9733" max="9733" width="12.42578125" style="1402" customWidth="1"/>
    <col min="9734" max="9734" width="0.5703125" style="1402" customWidth="1"/>
    <col min="9735" max="9735" width="18.28515625" style="1402" customWidth="1"/>
    <col min="9736" max="9736" width="1" style="1402" customWidth="1"/>
    <col min="9737" max="9737" width="7.140625" style="1402" customWidth="1"/>
    <col min="9738" max="9738" width="9.7109375" style="1402" customWidth="1"/>
    <col min="9739" max="9739" width="16.7109375" style="1402" customWidth="1"/>
    <col min="9740" max="9740" width="1.85546875" style="1402" customWidth="1"/>
    <col min="9741" max="9741" width="14.7109375" style="1402" customWidth="1"/>
    <col min="9742" max="9742" width="11.85546875" style="1402" customWidth="1"/>
    <col min="9743" max="9743" width="2.85546875" style="1402" customWidth="1"/>
    <col min="9744" max="9744" width="10.7109375" style="1402" customWidth="1"/>
    <col min="9745" max="9745" width="3.85546875" style="1402" customWidth="1"/>
    <col min="9746" max="9746" width="20.5703125" style="1402" customWidth="1"/>
    <col min="9747" max="9747" width="19" style="1402" customWidth="1"/>
    <col min="9748" max="9748" width="3.140625" style="1402" customWidth="1"/>
    <col min="9749" max="9984" width="9.140625" style="1402"/>
    <col min="9985" max="9985" width="5.42578125" style="1402" customWidth="1"/>
    <col min="9986" max="9986" width="13.7109375" style="1402" customWidth="1"/>
    <col min="9987" max="9987" width="18.85546875" style="1402" customWidth="1"/>
    <col min="9988" max="9988" width="0.140625" style="1402" customWidth="1"/>
    <col min="9989" max="9989" width="12.42578125" style="1402" customWidth="1"/>
    <col min="9990" max="9990" width="0.5703125" style="1402" customWidth="1"/>
    <col min="9991" max="9991" width="18.28515625" style="1402" customWidth="1"/>
    <col min="9992" max="9992" width="1" style="1402" customWidth="1"/>
    <col min="9993" max="9993" width="7.140625" style="1402" customWidth="1"/>
    <col min="9994" max="9994" width="9.7109375" style="1402" customWidth="1"/>
    <col min="9995" max="9995" width="16.7109375" style="1402" customWidth="1"/>
    <col min="9996" max="9996" width="1.85546875" style="1402" customWidth="1"/>
    <col min="9997" max="9997" width="14.7109375" style="1402" customWidth="1"/>
    <col min="9998" max="9998" width="11.85546875" style="1402" customWidth="1"/>
    <col min="9999" max="9999" width="2.85546875" style="1402" customWidth="1"/>
    <col min="10000" max="10000" width="10.7109375" style="1402" customWidth="1"/>
    <col min="10001" max="10001" width="3.85546875" style="1402" customWidth="1"/>
    <col min="10002" max="10002" width="20.5703125" style="1402" customWidth="1"/>
    <col min="10003" max="10003" width="19" style="1402" customWidth="1"/>
    <col min="10004" max="10004" width="3.140625" style="1402" customWidth="1"/>
    <col min="10005" max="10240" width="9.140625" style="1402"/>
    <col min="10241" max="10241" width="5.42578125" style="1402" customWidth="1"/>
    <col min="10242" max="10242" width="13.7109375" style="1402" customWidth="1"/>
    <col min="10243" max="10243" width="18.85546875" style="1402" customWidth="1"/>
    <col min="10244" max="10244" width="0.140625" style="1402" customWidth="1"/>
    <col min="10245" max="10245" width="12.42578125" style="1402" customWidth="1"/>
    <col min="10246" max="10246" width="0.5703125" style="1402" customWidth="1"/>
    <col min="10247" max="10247" width="18.28515625" style="1402" customWidth="1"/>
    <col min="10248" max="10248" width="1" style="1402" customWidth="1"/>
    <col min="10249" max="10249" width="7.140625" style="1402" customWidth="1"/>
    <col min="10250" max="10250" width="9.7109375" style="1402" customWidth="1"/>
    <col min="10251" max="10251" width="16.7109375" style="1402" customWidth="1"/>
    <col min="10252" max="10252" width="1.85546875" style="1402" customWidth="1"/>
    <col min="10253" max="10253" width="14.7109375" style="1402" customWidth="1"/>
    <col min="10254" max="10254" width="11.85546875" style="1402" customWidth="1"/>
    <col min="10255" max="10255" width="2.85546875" style="1402" customWidth="1"/>
    <col min="10256" max="10256" width="10.7109375" style="1402" customWidth="1"/>
    <col min="10257" max="10257" width="3.85546875" style="1402" customWidth="1"/>
    <col min="10258" max="10258" width="20.5703125" style="1402" customWidth="1"/>
    <col min="10259" max="10259" width="19" style="1402" customWidth="1"/>
    <col min="10260" max="10260" width="3.140625" style="1402" customWidth="1"/>
    <col min="10261" max="10496" width="9.140625" style="1402"/>
    <col min="10497" max="10497" width="5.42578125" style="1402" customWidth="1"/>
    <col min="10498" max="10498" width="13.7109375" style="1402" customWidth="1"/>
    <col min="10499" max="10499" width="18.85546875" style="1402" customWidth="1"/>
    <col min="10500" max="10500" width="0.140625" style="1402" customWidth="1"/>
    <col min="10501" max="10501" width="12.42578125" style="1402" customWidth="1"/>
    <col min="10502" max="10502" width="0.5703125" style="1402" customWidth="1"/>
    <col min="10503" max="10503" width="18.28515625" style="1402" customWidth="1"/>
    <col min="10504" max="10504" width="1" style="1402" customWidth="1"/>
    <col min="10505" max="10505" width="7.140625" style="1402" customWidth="1"/>
    <col min="10506" max="10506" width="9.7109375" style="1402" customWidth="1"/>
    <col min="10507" max="10507" width="16.7109375" style="1402" customWidth="1"/>
    <col min="10508" max="10508" width="1.85546875" style="1402" customWidth="1"/>
    <col min="10509" max="10509" width="14.7109375" style="1402" customWidth="1"/>
    <col min="10510" max="10510" width="11.85546875" style="1402" customWidth="1"/>
    <col min="10511" max="10511" width="2.85546875" style="1402" customWidth="1"/>
    <col min="10512" max="10512" width="10.7109375" style="1402" customWidth="1"/>
    <col min="10513" max="10513" width="3.85546875" style="1402" customWidth="1"/>
    <col min="10514" max="10514" width="20.5703125" style="1402" customWidth="1"/>
    <col min="10515" max="10515" width="19" style="1402" customWidth="1"/>
    <col min="10516" max="10516" width="3.140625" style="1402" customWidth="1"/>
    <col min="10517" max="10752" width="9.140625" style="1402"/>
    <col min="10753" max="10753" width="5.42578125" style="1402" customWidth="1"/>
    <col min="10754" max="10754" width="13.7109375" style="1402" customWidth="1"/>
    <col min="10755" max="10755" width="18.85546875" style="1402" customWidth="1"/>
    <col min="10756" max="10756" width="0.140625" style="1402" customWidth="1"/>
    <col min="10757" max="10757" width="12.42578125" style="1402" customWidth="1"/>
    <col min="10758" max="10758" width="0.5703125" style="1402" customWidth="1"/>
    <col min="10759" max="10759" width="18.28515625" style="1402" customWidth="1"/>
    <col min="10760" max="10760" width="1" style="1402" customWidth="1"/>
    <col min="10761" max="10761" width="7.140625" style="1402" customWidth="1"/>
    <col min="10762" max="10762" width="9.7109375" style="1402" customWidth="1"/>
    <col min="10763" max="10763" width="16.7109375" style="1402" customWidth="1"/>
    <col min="10764" max="10764" width="1.85546875" style="1402" customWidth="1"/>
    <col min="10765" max="10765" width="14.7109375" style="1402" customWidth="1"/>
    <col min="10766" max="10766" width="11.85546875" style="1402" customWidth="1"/>
    <col min="10767" max="10767" width="2.85546875" style="1402" customWidth="1"/>
    <col min="10768" max="10768" width="10.7109375" style="1402" customWidth="1"/>
    <col min="10769" max="10769" width="3.85546875" style="1402" customWidth="1"/>
    <col min="10770" max="10770" width="20.5703125" style="1402" customWidth="1"/>
    <col min="10771" max="10771" width="19" style="1402" customWidth="1"/>
    <col min="10772" max="10772" width="3.140625" style="1402" customWidth="1"/>
    <col min="10773" max="11008" width="9.140625" style="1402"/>
    <col min="11009" max="11009" width="5.42578125" style="1402" customWidth="1"/>
    <col min="11010" max="11010" width="13.7109375" style="1402" customWidth="1"/>
    <col min="11011" max="11011" width="18.85546875" style="1402" customWidth="1"/>
    <col min="11012" max="11012" width="0.140625" style="1402" customWidth="1"/>
    <col min="11013" max="11013" width="12.42578125" style="1402" customWidth="1"/>
    <col min="11014" max="11014" width="0.5703125" style="1402" customWidth="1"/>
    <col min="11015" max="11015" width="18.28515625" style="1402" customWidth="1"/>
    <col min="11016" max="11016" width="1" style="1402" customWidth="1"/>
    <col min="11017" max="11017" width="7.140625" style="1402" customWidth="1"/>
    <col min="11018" max="11018" width="9.7109375" style="1402" customWidth="1"/>
    <col min="11019" max="11019" width="16.7109375" style="1402" customWidth="1"/>
    <col min="11020" max="11020" width="1.85546875" style="1402" customWidth="1"/>
    <col min="11021" max="11021" width="14.7109375" style="1402" customWidth="1"/>
    <col min="11022" max="11022" width="11.85546875" style="1402" customWidth="1"/>
    <col min="11023" max="11023" width="2.85546875" style="1402" customWidth="1"/>
    <col min="11024" max="11024" width="10.7109375" style="1402" customWidth="1"/>
    <col min="11025" max="11025" width="3.85546875" style="1402" customWidth="1"/>
    <col min="11026" max="11026" width="20.5703125" style="1402" customWidth="1"/>
    <col min="11027" max="11027" width="19" style="1402" customWidth="1"/>
    <col min="11028" max="11028" width="3.140625" style="1402" customWidth="1"/>
    <col min="11029" max="11264" width="9.140625" style="1402"/>
    <col min="11265" max="11265" width="5.42578125" style="1402" customWidth="1"/>
    <col min="11266" max="11266" width="13.7109375" style="1402" customWidth="1"/>
    <col min="11267" max="11267" width="18.85546875" style="1402" customWidth="1"/>
    <col min="11268" max="11268" width="0.140625" style="1402" customWidth="1"/>
    <col min="11269" max="11269" width="12.42578125" style="1402" customWidth="1"/>
    <col min="11270" max="11270" width="0.5703125" style="1402" customWidth="1"/>
    <col min="11271" max="11271" width="18.28515625" style="1402" customWidth="1"/>
    <col min="11272" max="11272" width="1" style="1402" customWidth="1"/>
    <col min="11273" max="11273" width="7.140625" style="1402" customWidth="1"/>
    <col min="11274" max="11274" width="9.7109375" style="1402" customWidth="1"/>
    <col min="11275" max="11275" width="16.7109375" style="1402" customWidth="1"/>
    <col min="11276" max="11276" width="1.85546875" style="1402" customWidth="1"/>
    <col min="11277" max="11277" width="14.7109375" style="1402" customWidth="1"/>
    <col min="11278" max="11278" width="11.85546875" style="1402" customWidth="1"/>
    <col min="11279" max="11279" width="2.85546875" style="1402" customWidth="1"/>
    <col min="11280" max="11280" width="10.7109375" style="1402" customWidth="1"/>
    <col min="11281" max="11281" width="3.85546875" style="1402" customWidth="1"/>
    <col min="11282" max="11282" width="20.5703125" style="1402" customWidth="1"/>
    <col min="11283" max="11283" width="19" style="1402" customWidth="1"/>
    <col min="11284" max="11284" width="3.140625" style="1402" customWidth="1"/>
    <col min="11285" max="11520" width="9.140625" style="1402"/>
    <col min="11521" max="11521" width="5.42578125" style="1402" customWidth="1"/>
    <col min="11522" max="11522" width="13.7109375" style="1402" customWidth="1"/>
    <col min="11523" max="11523" width="18.85546875" style="1402" customWidth="1"/>
    <col min="11524" max="11524" width="0.140625" style="1402" customWidth="1"/>
    <col min="11525" max="11525" width="12.42578125" style="1402" customWidth="1"/>
    <col min="11526" max="11526" width="0.5703125" style="1402" customWidth="1"/>
    <col min="11527" max="11527" width="18.28515625" style="1402" customWidth="1"/>
    <col min="11528" max="11528" width="1" style="1402" customWidth="1"/>
    <col min="11529" max="11529" width="7.140625" style="1402" customWidth="1"/>
    <col min="11530" max="11530" width="9.7109375" style="1402" customWidth="1"/>
    <col min="11531" max="11531" width="16.7109375" style="1402" customWidth="1"/>
    <col min="11532" max="11532" width="1.85546875" style="1402" customWidth="1"/>
    <col min="11533" max="11533" width="14.7109375" style="1402" customWidth="1"/>
    <col min="11534" max="11534" width="11.85546875" style="1402" customWidth="1"/>
    <col min="11535" max="11535" width="2.85546875" style="1402" customWidth="1"/>
    <col min="11536" max="11536" width="10.7109375" style="1402" customWidth="1"/>
    <col min="11537" max="11537" width="3.85546875" style="1402" customWidth="1"/>
    <col min="11538" max="11538" width="20.5703125" style="1402" customWidth="1"/>
    <col min="11539" max="11539" width="19" style="1402" customWidth="1"/>
    <col min="11540" max="11540" width="3.140625" style="1402" customWidth="1"/>
    <col min="11541" max="11776" width="9.140625" style="1402"/>
    <col min="11777" max="11777" width="5.42578125" style="1402" customWidth="1"/>
    <col min="11778" max="11778" width="13.7109375" style="1402" customWidth="1"/>
    <col min="11779" max="11779" width="18.85546875" style="1402" customWidth="1"/>
    <col min="11780" max="11780" width="0.140625" style="1402" customWidth="1"/>
    <col min="11781" max="11781" width="12.42578125" style="1402" customWidth="1"/>
    <col min="11782" max="11782" width="0.5703125" style="1402" customWidth="1"/>
    <col min="11783" max="11783" width="18.28515625" style="1402" customWidth="1"/>
    <col min="11784" max="11784" width="1" style="1402" customWidth="1"/>
    <col min="11785" max="11785" width="7.140625" style="1402" customWidth="1"/>
    <col min="11786" max="11786" width="9.7109375" style="1402" customWidth="1"/>
    <col min="11787" max="11787" width="16.7109375" style="1402" customWidth="1"/>
    <col min="11788" max="11788" width="1.85546875" style="1402" customWidth="1"/>
    <col min="11789" max="11789" width="14.7109375" style="1402" customWidth="1"/>
    <col min="11790" max="11790" width="11.85546875" style="1402" customWidth="1"/>
    <col min="11791" max="11791" width="2.85546875" style="1402" customWidth="1"/>
    <col min="11792" max="11792" width="10.7109375" style="1402" customWidth="1"/>
    <col min="11793" max="11793" width="3.85546875" style="1402" customWidth="1"/>
    <col min="11794" max="11794" width="20.5703125" style="1402" customWidth="1"/>
    <col min="11795" max="11795" width="19" style="1402" customWidth="1"/>
    <col min="11796" max="11796" width="3.140625" style="1402" customWidth="1"/>
    <col min="11797" max="12032" width="9.140625" style="1402"/>
    <col min="12033" max="12033" width="5.42578125" style="1402" customWidth="1"/>
    <col min="12034" max="12034" width="13.7109375" style="1402" customWidth="1"/>
    <col min="12035" max="12035" width="18.85546875" style="1402" customWidth="1"/>
    <col min="12036" max="12036" width="0.140625" style="1402" customWidth="1"/>
    <col min="12037" max="12037" width="12.42578125" style="1402" customWidth="1"/>
    <col min="12038" max="12038" width="0.5703125" style="1402" customWidth="1"/>
    <col min="12039" max="12039" width="18.28515625" style="1402" customWidth="1"/>
    <col min="12040" max="12040" width="1" style="1402" customWidth="1"/>
    <col min="12041" max="12041" width="7.140625" style="1402" customWidth="1"/>
    <col min="12042" max="12042" width="9.7109375" style="1402" customWidth="1"/>
    <col min="12043" max="12043" width="16.7109375" style="1402" customWidth="1"/>
    <col min="12044" max="12044" width="1.85546875" style="1402" customWidth="1"/>
    <col min="12045" max="12045" width="14.7109375" style="1402" customWidth="1"/>
    <col min="12046" max="12046" width="11.85546875" style="1402" customWidth="1"/>
    <col min="12047" max="12047" width="2.85546875" style="1402" customWidth="1"/>
    <col min="12048" max="12048" width="10.7109375" style="1402" customWidth="1"/>
    <col min="12049" max="12049" width="3.85546875" style="1402" customWidth="1"/>
    <col min="12050" max="12050" width="20.5703125" style="1402" customWidth="1"/>
    <col min="12051" max="12051" width="19" style="1402" customWidth="1"/>
    <col min="12052" max="12052" width="3.140625" style="1402" customWidth="1"/>
    <col min="12053" max="12288" width="9.140625" style="1402"/>
    <col min="12289" max="12289" width="5.42578125" style="1402" customWidth="1"/>
    <col min="12290" max="12290" width="13.7109375" style="1402" customWidth="1"/>
    <col min="12291" max="12291" width="18.85546875" style="1402" customWidth="1"/>
    <col min="12292" max="12292" width="0.140625" style="1402" customWidth="1"/>
    <col min="12293" max="12293" width="12.42578125" style="1402" customWidth="1"/>
    <col min="12294" max="12294" width="0.5703125" style="1402" customWidth="1"/>
    <col min="12295" max="12295" width="18.28515625" style="1402" customWidth="1"/>
    <col min="12296" max="12296" width="1" style="1402" customWidth="1"/>
    <col min="12297" max="12297" width="7.140625" style="1402" customWidth="1"/>
    <col min="12298" max="12298" width="9.7109375" style="1402" customWidth="1"/>
    <col min="12299" max="12299" width="16.7109375" style="1402" customWidth="1"/>
    <col min="12300" max="12300" width="1.85546875" style="1402" customWidth="1"/>
    <col min="12301" max="12301" width="14.7109375" style="1402" customWidth="1"/>
    <col min="12302" max="12302" width="11.85546875" style="1402" customWidth="1"/>
    <col min="12303" max="12303" width="2.85546875" style="1402" customWidth="1"/>
    <col min="12304" max="12304" width="10.7109375" style="1402" customWidth="1"/>
    <col min="12305" max="12305" width="3.85546875" style="1402" customWidth="1"/>
    <col min="12306" max="12306" width="20.5703125" style="1402" customWidth="1"/>
    <col min="12307" max="12307" width="19" style="1402" customWidth="1"/>
    <col min="12308" max="12308" width="3.140625" style="1402" customWidth="1"/>
    <col min="12309" max="12544" width="9.140625" style="1402"/>
    <col min="12545" max="12545" width="5.42578125" style="1402" customWidth="1"/>
    <col min="12546" max="12546" width="13.7109375" style="1402" customWidth="1"/>
    <col min="12547" max="12547" width="18.85546875" style="1402" customWidth="1"/>
    <col min="12548" max="12548" width="0.140625" style="1402" customWidth="1"/>
    <col min="12549" max="12549" width="12.42578125" style="1402" customWidth="1"/>
    <col min="12550" max="12550" width="0.5703125" style="1402" customWidth="1"/>
    <col min="12551" max="12551" width="18.28515625" style="1402" customWidth="1"/>
    <col min="12552" max="12552" width="1" style="1402" customWidth="1"/>
    <col min="12553" max="12553" width="7.140625" style="1402" customWidth="1"/>
    <col min="12554" max="12554" width="9.7109375" style="1402" customWidth="1"/>
    <col min="12555" max="12555" width="16.7109375" style="1402" customWidth="1"/>
    <col min="12556" max="12556" width="1.85546875" style="1402" customWidth="1"/>
    <col min="12557" max="12557" width="14.7109375" style="1402" customWidth="1"/>
    <col min="12558" max="12558" width="11.85546875" style="1402" customWidth="1"/>
    <col min="12559" max="12559" width="2.85546875" style="1402" customWidth="1"/>
    <col min="12560" max="12560" width="10.7109375" style="1402" customWidth="1"/>
    <col min="12561" max="12561" width="3.85546875" style="1402" customWidth="1"/>
    <col min="12562" max="12562" width="20.5703125" style="1402" customWidth="1"/>
    <col min="12563" max="12563" width="19" style="1402" customWidth="1"/>
    <col min="12564" max="12564" width="3.140625" style="1402" customWidth="1"/>
    <col min="12565" max="12800" width="9.140625" style="1402"/>
    <col min="12801" max="12801" width="5.42578125" style="1402" customWidth="1"/>
    <col min="12802" max="12802" width="13.7109375" style="1402" customWidth="1"/>
    <col min="12803" max="12803" width="18.85546875" style="1402" customWidth="1"/>
    <col min="12804" max="12804" width="0.140625" style="1402" customWidth="1"/>
    <col min="12805" max="12805" width="12.42578125" style="1402" customWidth="1"/>
    <col min="12806" max="12806" width="0.5703125" style="1402" customWidth="1"/>
    <col min="12807" max="12807" width="18.28515625" style="1402" customWidth="1"/>
    <col min="12808" max="12808" width="1" style="1402" customWidth="1"/>
    <col min="12809" max="12809" width="7.140625" style="1402" customWidth="1"/>
    <col min="12810" max="12810" width="9.7109375" style="1402" customWidth="1"/>
    <col min="12811" max="12811" width="16.7109375" style="1402" customWidth="1"/>
    <col min="12812" max="12812" width="1.85546875" style="1402" customWidth="1"/>
    <col min="12813" max="12813" width="14.7109375" style="1402" customWidth="1"/>
    <col min="12814" max="12814" width="11.85546875" style="1402" customWidth="1"/>
    <col min="12815" max="12815" width="2.85546875" style="1402" customWidth="1"/>
    <col min="12816" max="12816" width="10.7109375" style="1402" customWidth="1"/>
    <col min="12817" max="12817" width="3.85546875" style="1402" customWidth="1"/>
    <col min="12818" max="12818" width="20.5703125" style="1402" customWidth="1"/>
    <col min="12819" max="12819" width="19" style="1402" customWidth="1"/>
    <col min="12820" max="12820" width="3.140625" style="1402" customWidth="1"/>
    <col min="12821" max="13056" width="9.140625" style="1402"/>
    <col min="13057" max="13057" width="5.42578125" style="1402" customWidth="1"/>
    <col min="13058" max="13058" width="13.7109375" style="1402" customWidth="1"/>
    <col min="13059" max="13059" width="18.85546875" style="1402" customWidth="1"/>
    <col min="13060" max="13060" width="0.140625" style="1402" customWidth="1"/>
    <col min="13061" max="13061" width="12.42578125" style="1402" customWidth="1"/>
    <col min="13062" max="13062" width="0.5703125" style="1402" customWidth="1"/>
    <col min="13063" max="13063" width="18.28515625" style="1402" customWidth="1"/>
    <col min="13064" max="13064" width="1" style="1402" customWidth="1"/>
    <col min="13065" max="13065" width="7.140625" style="1402" customWidth="1"/>
    <col min="13066" max="13066" width="9.7109375" style="1402" customWidth="1"/>
    <col min="13067" max="13067" width="16.7109375" style="1402" customWidth="1"/>
    <col min="13068" max="13068" width="1.85546875" style="1402" customWidth="1"/>
    <col min="13069" max="13069" width="14.7109375" style="1402" customWidth="1"/>
    <col min="13070" max="13070" width="11.85546875" style="1402" customWidth="1"/>
    <col min="13071" max="13071" width="2.85546875" style="1402" customWidth="1"/>
    <col min="13072" max="13072" width="10.7109375" style="1402" customWidth="1"/>
    <col min="13073" max="13073" width="3.85546875" style="1402" customWidth="1"/>
    <col min="13074" max="13074" width="20.5703125" style="1402" customWidth="1"/>
    <col min="13075" max="13075" width="19" style="1402" customWidth="1"/>
    <col min="13076" max="13076" width="3.140625" style="1402" customWidth="1"/>
    <col min="13077" max="13312" width="9.140625" style="1402"/>
    <col min="13313" max="13313" width="5.42578125" style="1402" customWidth="1"/>
    <col min="13314" max="13314" width="13.7109375" style="1402" customWidth="1"/>
    <col min="13315" max="13315" width="18.85546875" style="1402" customWidth="1"/>
    <col min="13316" max="13316" width="0.140625" style="1402" customWidth="1"/>
    <col min="13317" max="13317" width="12.42578125" style="1402" customWidth="1"/>
    <col min="13318" max="13318" width="0.5703125" style="1402" customWidth="1"/>
    <col min="13319" max="13319" width="18.28515625" style="1402" customWidth="1"/>
    <col min="13320" max="13320" width="1" style="1402" customWidth="1"/>
    <col min="13321" max="13321" width="7.140625" style="1402" customWidth="1"/>
    <col min="13322" max="13322" width="9.7109375" style="1402" customWidth="1"/>
    <col min="13323" max="13323" width="16.7109375" style="1402" customWidth="1"/>
    <col min="13324" max="13324" width="1.85546875" style="1402" customWidth="1"/>
    <col min="13325" max="13325" width="14.7109375" style="1402" customWidth="1"/>
    <col min="13326" max="13326" width="11.85546875" style="1402" customWidth="1"/>
    <col min="13327" max="13327" width="2.85546875" style="1402" customWidth="1"/>
    <col min="13328" max="13328" width="10.7109375" style="1402" customWidth="1"/>
    <col min="13329" max="13329" width="3.85546875" style="1402" customWidth="1"/>
    <col min="13330" max="13330" width="20.5703125" style="1402" customWidth="1"/>
    <col min="13331" max="13331" width="19" style="1402" customWidth="1"/>
    <col min="13332" max="13332" width="3.140625" style="1402" customWidth="1"/>
    <col min="13333" max="13568" width="9.140625" style="1402"/>
    <col min="13569" max="13569" width="5.42578125" style="1402" customWidth="1"/>
    <col min="13570" max="13570" width="13.7109375" style="1402" customWidth="1"/>
    <col min="13571" max="13571" width="18.85546875" style="1402" customWidth="1"/>
    <col min="13572" max="13572" width="0.140625" style="1402" customWidth="1"/>
    <col min="13573" max="13573" width="12.42578125" style="1402" customWidth="1"/>
    <col min="13574" max="13574" width="0.5703125" style="1402" customWidth="1"/>
    <col min="13575" max="13575" width="18.28515625" style="1402" customWidth="1"/>
    <col min="13576" max="13576" width="1" style="1402" customWidth="1"/>
    <col min="13577" max="13577" width="7.140625" style="1402" customWidth="1"/>
    <col min="13578" max="13578" width="9.7109375" style="1402" customWidth="1"/>
    <col min="13579" max="13579" width="16.7109375" style="1402" customWidth="1"/>
    <col min="13580" max="13580" width="1.85546875" style="1402" customWidth="1"/>
    <col min="13581" max="13581" width="14.7109375" style="1402" customWidth="1"/>
    <col min="13582" max="13582" width="11.85546875" style="1402" customWidth="1"/>
    <col min="13583" max="13583" width="2.85546875" style="1402" customWidth="1"/>
    <col min="13584" max="13584" width="10.7109375" style="1402" customWidth="1"/>
    <col min="13585" max="13585" width="3.85546875" style="1402" customWidth="1"/>
    <col min="13586" max="13586" width="20.5703125" style="1402" customWidth="1"/>
    <col min="13587" max="13587" width="19" style="1402" customWidth="1"/>
    <col min="13588" max="13588" width="3.140625" style="1402" customWidth="1"/>
    <col min="13589" max="13824" width="9.140625" style="1402"/>
    <col min="13825" max="13825" width="5.42578125" style="1402" customWidth="1"/>
    <col min="13826" max="13826" width="13.7109375" style="1402" customWidth="1"/>
    <col min="13827" max="13827" width="18.85546875" style="1402" customWidth="1"/>
    <col min="13828" max="13828" width="0.140625" style="1402" customWidth="1"/>
    <col min="13829" max="13829" width="12.42578125" style="1402" customWidth="1"/>
    <col min="13830" max="13830" width="0.5703125" style="1402" customWidth="1"/>
    <col min="13831" max="13831" width="18.28515625" style="1402" customWidth="1"/>
    <col min="13832" max="13832" width="1" style="1402" customWidth="1"/>
    <col min="13833" max="13833" width="7.140625" style="1402" customWidth="1"/>
    <col min="13834" max="13834" width="9.7109375" style="1402" customWidth="1"/>
    <col min="13835" max="13835" width="16.7109375" style="1402" customWidth="1"/>
    <col min="13836" max="13836" width="1.85546875" style="1402" customWidth="1"/>
    <col min="13837" max="13837" width="14.7109375" style="1402" customWidth="1"/>
    <col min="13838" max="13838" width="11.85546875" style="1402" customWidth="1"/>
    <col min="13839" max="13839" width="2.85546875" style="1402" customWidth="1"/>
    <col min="13840" max="13840" width="10.7109375" style="1402" customWidth="1"/>
    <col min="13841" max="13841" width="3.85546875" style="1402" customWidth="1"/>
    <col min="13842" max="13842" width="20.5703125" style="1402" customWidth="1"/>
    <col min="13843" max="13843" width="19" style="1402" customWidth="1"/>
    <col min="13844" max="13844" width="3.140625" style="1402" customWidth="1"/>
    <col min="13845" max="14080" width="9.140625" style="1402"/>
    <col min="14081" max="14081" width="5.42578125" style="1402" customWidth="1"/>
    <col min="14082" max="14082" width="13.7109375" style="1402" customWidth="1"/>
    <col min="14083" max="14083" width="18.85546875" style="1402" customWidth="1"/>
    <col min="14084" max="14084" width="0.140625" style="1402" customWidth="1"/>
    <col min="14085" max="14085" width="12.42578125" style="1402" customWidth="1"/>
    <col min="14086" max="14086" width="0.5703125" style="1402" customWidth="1"/>
    <col min="14087" max="14087" width="18.28515625" style="1402" customWidth="1"/>
    <col min="14088" max="14088" width="1" style="1402" customWidth="1"/>
    <col min="14089" max="14089" width="7.140625" style="1402" customWidth="1"/>
    <col min="14090" max="14090" width="9.7109375" style="1402" customWidth="1"/>
    <col min="14091" max="14091" width="16.7109375" style="1402" customWidth="1"/>
    <col min="14092" max="14092" width="1.85546875" style="1402" customWidth="1"/>
    <col min="14093" max="14093" width="14.7109375" style="1402" customWidth="1"/>
    <col min="14094" max="14094" width="11.85546875" style="1402" customWidth="1"/>
    <col min="14095" max="14095" width="2.85546875" style="1402" customWidth="1"/>
    <col min="14096" max="14096" width="10.7109375" style="1402" customWidth="1"/>
    <col min="14097" max="14097" width="3.85546875" style="1402" customWidth="1"/>
    <col min="14098" max="14098" width="20.5703125" style="1402" customWidth="1"/>
    <col min="14099" max="14099" width="19" style="1402" customWidth="1"/>
    <col min="14100" max="14100" width="3.140625" style="1402" customWidth="1"/>
    <col min="14101" max="14336" width="9.140625" style="1402"/>
    <col min="14337" max="14337" width="5.42578125" style="1402" customWidth="1"/>
    <col min="14338" max="14338" width="13.7109375" style="1402" customWidth="1"/>
    <col min="14339" max="14339" width="18.85546875" style="1402" customWidth="1"/>
    <col min="14340" max="14340" width="0.140625" style="1402" customWidth="1"/>
    <col min="14341" max="14341" width="12.42578125" style="1402" customWidth="1"/>
    <col min="14342" max="14342" width="0.5703125" style="1402" customWidth="1"/>
    <col min="14343" max="14343" width="18.28515625" style="1402" customWidth="1"/>
    <col min="14344" max="14344" width="1" style="1402" customWidth="1"/>
    <col min="14345" max="14345" width="7.140625" style="1402" customWidth="1"/>
    <col min="14346" max="14346" width="9.7109375" style="1402" customWidth="1"/>
    <col min="14347" max="14347" width="16.7109375" style="1402" customWidth="1"/>
    <col min="14348" max="14348" width="1.85546875" style="1402" customWidth="1"/>
    <col min="14349" max="14349" width="14.7109375" style="1402" customWidth="1"/>
    <col min="14350" max="14350" width="11.85546875" style="1402" customWidth="1"/>
    <col min="14351" max="14351" width="2.85546875" style="1402" customWidth="1"/>
    <col min="14352" max="14352" width="10.7109375" style="1402" customWidth="1"/>
    <col min="14353" max="14353" width="3.85546875" style="1402" customWidth="1"/>
    <col min="14354" max="14354" width="20.5703125" style="1402" customWidth="1"/>
    <col min="14355" max="14355" width="19" style="1402" customWidth="1"/>
    <col min="14356" max="14356" width="3.140625" style="1402" customWidth="1"/>
    <col min="14357" max="14592" width="9.140625" style="1402"/>
    <col min="14593" max="14593" width="5.42578125" style="1402" customWidth="1"/>
    <col min="14594" max="14594" width="13.7109375" style="1402" customWidth="1"/>
    <col min="14595" max="14595" width="18.85546875" style="1402" customWidth="1"/>
    <col min="14596" max="14596" width="0.140625" style="1402" customWidth="1"/>
    <col min="14597" max="14597" width="12.42578125" style="1402" customWidth="1"/>
    <col min="14598" max="14598" width="0.5703125" style="1402" customWidth="1"/>
    <col min="14599" max="14599" width="18.28515625" style="1402" customWidth="1"/>
    <col min="14600" max="14600" width="1" style="1402" customWidth="1"/>
    <col min="14601" max="14601" width="7.140625" style="1402" customWidth="1"/>
    <col min="14602" max="14602" width="9.7109375" style="1402" customWidth="1"/>
    <col min="14603" max="14603" width="16.7109375" style="1402" customWidth="1"/>
    <col min="14604" max="14604" width="1.85546875" style="1402" customWidth="1"/>
    <col min="14605" max="14605" width="14.7109375" style="1402" customWidth="1"/>
    <col min="14606" max="14606" width="11.85546875" style="1402" customWidth="1"/>
    <col min="14607" max="14607" width="2.85546875" style="1402" customWidth="1"/>
    <col min="14608" max="14608" width="10.7109375" style="1402" customWidth="1"/>
    <col min="14609" max="14609" width="3.85546875" style="1402" customWidth="1"/>
    <col min="14610" max="14610" width="20.5703125" style="1402" customWidth="1"/>
    <col min="14611" max="14611" width="19" style="1402" customWidth="1"/>
    <col min="14612" max="14612" width="3.140625" style="1402" customWidth="1"/>
    <col min="14613" max="14848" width="9.140625" style="1402"/>
    <col min="14849" max="14849" width="5.42578125" style="1402" customWidth="1"/>
    <col min="14850" max="14850" width="13.7109375" style="1402" customWidth="1"/>
    <col min="14851" max="14851" width="18.85546875" style="1402" customWidth="1"/>
    <col min="14852" max="14852" width="0.140625" style="1402" customWidth="1"/>
    <col min="14853" max="14853" width="12.42578125" style="1402" customWidth="1"/>
    <col min="14854" max="14854" width="0.5703125" style="1402" customWidth="1"/>
    <col min="14855" max="14855" width="18.28515625" style="1402" customWidth="1"/>
    <col min="14856" max="14856" width="1" style="1402" customWidth="1"/>
    <col min="14857" max="14857" width="7.140625" style="1402" customWidth="1"/>
    <col min="14858" max="14858" width="9.7109375" style="1402" customWidth="1"/>
    <col min="14859" max="14859" width="16.7109375" style="1402" customWidth="1"/>
    <col min="14860" max="14860" width="1.85546875" style="1402" customWidth="1"/>
    <col min="14861" max="14861" width="14.7109375" style="1402" customWidth="1"/>
    <col min="14862" max="14862" width="11.85546875" style="1402" customWidth="1"/>
    <col min="14863" max="14863" width="2.85546875" style="1402" customWidth="1"/>
    <col min="14864" max="14864" width="10.7109375" style="1402" customWidth="1"/>
    <col min="14865" max="14865" width="3.85546875" style="1402" customWidth="1"/>
    <col min="14866" max="14866" width="20.5703125" style="1402" customWidth="1"/>
    <col min="14867" max="14867" width="19" style="1402" customWidth="1"/>
    <col min="14868" max="14868" width="3.140625" style="1402" customWidth="1"/>
    <col min="14869" max="15104" width="9.140625" style="1402"/>
    <col min="15105" max="15105" width="5.42578125" style="1402" customWidth="1"/>
    <col min="15106" max="15106" width="13.7109375" style="1402" customWidth="1"/>
    <col min="15107" max="15107" width="18.85546875" style="1402" customWidth="1"/>
    <col min="15108" max="15108" width="0.140625" style="1402" customWidth="1"/>
    <col min="15109" max="15109" width="12.42578125" style="1402" customWidth="1"/>
    <col min="15110" max="15110" width="0.5703125" style="1402" customWidth="1"/>
    <col min="15111" max="15111" width="18.28515625" style="1402" customWidth="1"/>
    <col min="15112" max="15112" width="1" style="1402" customWidth="1"/>
    <col min="15113" max="15113" width="7.140625" style="1402" customWidth="1"/>
    <col min="15114" max="15114" width="9.7109375" style="1402" customWidth="1"/>
    <col min="15115" max="15115" width="16.7109375" style="1402" customWidth="1"/>
    <col min="15116" max="15116" width="1.85546875" style="1402" customWidth="1"/>
    <col min="15117" max="15117" width="14.7109375" style="1402" customWidth="1"/>
    <col min="15118" max="15118" width="11.85546875" style="1402" customWidth="1"/>
    <col min="15119" max="15119" width="2.85546875" style="1402" customWidth="1"/>
    <col min="15120" max="15120" width="10.7109375" style="1402" customWidth="1"/>
    <col min="15121" max="15121" width="3.85546875" style="1402" customWidth="1"/>
    <col min="15122" max="15122" width="20.5703125" style="1402" customWidth="1"/>
    <col min="15123" max="15123" width="19" style="1402" customWidth="1"/>
    <col min="15124" max="15124" width="3.140625" style="1402" customWidth="1"/>
    <col min="15125" max="15360" width="9.140625" style="1402"/>
    <col min="15361" max="15361" width="5.42578125" style="1402" customWidth="1"/>
    <col min="15362" max="15362" width="13.7109375" style="1402" customWidth="1"/>
    <col min="15363" max="15363" width="18.85546875" style="1402" customWidth="1"/>
    <col min="15364" max="15364" width="0.140625" style="1402" customWidth="1"/>
    <col min="15365" max="15365" width="12.42578125" style="1402" customWidth="1"/>
    <col min="15366" max="15366" width="0.5703125" style="1402" customWidth="1"/>
    <col min="15367" max="15367" width="18.28515625" style="1402" customWidth="1"/>
    <col min="15368" max="15368" width="1" style="1402" customWidth="1"/>
    <col min="15369" max="15369" width="7.140625" style="1402" customWidth="1"/>
    <col min="15370" max="15370" width="9.7109375" style="1402" customWidth="1"/>
    <col min="15371" max="15371" width="16.7109375" style="1402" customWidth="1"/>
    <col min="15372" max="15372" width="1.85546875" style="1402" customWidth="1"/>
    <col min="15373" max="15373" width="14.7109375" style="1402" customWidth="1"/>
    <col min="15374" max="15374" width="11.85546875" style="1402" customWidth="1"/>
    <col min="15375" max="15375" width="2.85546875" style="1402" customWidth="1"/>
    <col min="15376" max="15376" width="10.7109375" style="1402" customWidth="1"/>
    <col min="15377" max="15377" width="3.85546875" style="1402" customWidth="1"/>
    <col min="15378" max="15378" width="20.5703125" style="1402" customWidth="1"/>
    <col min="15379" max="15379" width="19" style="1402" customWidth="1"/>
    <col min="15380" max="15380" width="3.140625" style="1402" customWidth="1"/>
    <col min="15381" max="15616" width="9.140625" style="1402"/>
    <col min="15617" max="15617" width="5.42578125" style="1402" customWidth="1"/>
    <col min="15618" max="15618" width="13.7109375" style="1402" customWidth="1"/>
    <col min="15619" max="15619" width="18.85546875" style="1402" customWidth="1"/>
    <col min="15620" max="15620" width="0.140625" style="1402" customWidth="1"/>
    <col min="15621" max="15621" width="12.42578125" style="1402" customWidth="1"/>
    <col min="15622" max="15622" width="0.5703125" style="1402" customWidth="1"/>
    <col min="15623" max="15623" width="18.28515625" style="1402" customWidth="1"/>
    <col min="15624" max="15624" width="1" style="1402" customWidth="1"/>
    <col min="15625" max="15625" width="7.140625" style="1402" customWidth="1"/>
    <col min="15626" max="15626" width="9.7109375" style="1402" customWidth="1"/>
    <col min="15627" max="15627" width="16.7109375" style="1402" customWidth="1"/>
    <col min="15628" max="15628" width="1.85546875" style="1402" customWidth="1"/>
    <col min="15629" max="15629" width="14.7109375" style="1402" customWidth="1"/>
    <col min="15630" max="15630" width="11.85546875" style="1402" customWidth="1"/>
    <col min="15631" max="15631" width="2.85546875" style="1402" customWidth="1"/>
    <col min="15632" max="15632" width="10.7109375" style="1402" customWidth="1"/>
    <col min="15633" max="15633" width="3.85546875" style="1402" customWidth="1"/>
    <col min="15634" max="15634" width="20.5703125" style="1402" customWidth="1"/>
    <col min="15635" max="15635" width="19" style="1402" customWidth="1"/>
    <col min="15636" max="15636" width="3.140625" style="1402" customWidth="1"/>
    <col min="15637" max="15872" width="9.140625" style="1402"/>
    <col min="15873" max="15873" width="5.42578125" style="1402" customWidth="1"/>
    <col min="15874" max="15874" width="13.7109375" style="1402" customWidth="1"/>
    <col min="15875" max="15875" width="18.85546875" style="1402" customWidth="1"/>
    <col min="15876" max="15876" width="0.140625" style="1402" customWidth="1"/>
    <col min="15877" max="15877" width="12.42578125" style="1402" customWidth="1"/>
    <col min="15878" max="15878" width="0.5703125" style="1402" customWidth="1"/>
    <col min="15879" max="15879" width="18.28515625" style="1402" customWidth="1"/>
    <col min="15880" max="15880" width="1" style="1402" customWidth="1"/>
    <col min="15881" max="15881" width="7.140625" style="1402" customWidth="1"/>
    <col min="15882" max="15882" width="9.7109375" style="1402" customWidth="1"/>
    <col min="15883" max="15883" width="16.7109375" style="1402" customWidth="1"/>
    <col min="15884" max="15884" width="1.85546875" style="1402" customWidth="1"/>
    <col min="15885" max="15885" width="14.7109375" style="1402" customWidth="1"/>
    <col min="15886" max="15886" width="11.85546875" style="1402" customWidth="1"/>
    <col min="15887" max="15887" width="2.85546875" style="1402" customWidth="1"/>
    <col min="15888" max="15888" width="10.7109375" style="1402" customWidth="1"/>
    <col min="15889" max="15889" width="3.85546875" style="1402" customWidth="1"/>
    <col min="15890" max="15890" width="20.5703125" style="1402" customWidth="1"/>
    <col min="15891" max="15891" width="19" style="1402" customWidth="1"/>
    <col min="15892" max="15892" width="3.140625" style="1402" customWidth="1"/>
    <col min="15893" max="16128" width="9.140625" style="1402"/>
    <col min="16129" max="16129" width="5.42578125" style="1402" customWidth="1"/>
    <col min="16130" max="16130" width="13.7109375" style="1402" customWidth="1"/>
    <col min="16131" max="16131" width="18.85546875" style="1402" customWidth="1"/>
    <col min="16132" max="16132" width="0.140625" style="1402" customWidth="1"/>
    <col min="16133" max="16133" width="12.42578125" style="1402" customWidth="1"/>
    <col min="16134" max="16134" width="0.5703125" style="1402" customWidth="1"/>
    <col min="16135" max="16135" width="18.28515625" style="1402" customWidth="1"/>
    <col min="16136" max="16136" width="1" style="1402" customWidth="1"/>
    <col min="16137" max="16137" width="7.140625" style="1402" customWidth="1"/>
    <col min="16138" max="16138" width="9.7109375" style="1402" customWidth="1"/>
    <col min="16139" max="16139" width="16.7109375" style="1402" customWidth="1"/>
    <col min="16140" max="16140" width="1.85546875" style="1402" customWidth="1"/>
    <col min="16141" max="16141" width="14.7109375" style="1402" customWidth="1"/>
    <col min="16142" max="16142" width="11.85546875" style="1402" customWidth="1"/>
    <col min="16143" max="16143" width="2.85546875" style="1402" customWidth="1"/>
    <col min="16144" max="16144" width="10.7109375" style="1402" customWidth="1"/>
    <col min="16145" max="16145" width="3.85546875" style="1402" customWidth="1"/>
    <col min="16146" max="16146" width="20.5703125" style="1402" customWidth="1"/>
    <col min="16147" max="16147" width="19" style="1402" customWidth="1"/>
    <col min="16148" max="16148" width="3.140625" style="1402" customWidth="1"/>
    <col min="16149" max="16384" width="9.140625" style="1402"/>
  </cols>
  <sheetData>
    <row r="2" spans="1:20" ht="84" customHeight="1">
      <c r="A2" s="2240"/>
      <c r="B2" s="2239"/>
      <c r="C2" s="2239"/>
      <c r="D2" s="2239"/>
      <c r="E2" s="2239"/>
      <c r="F2" s="2239"/>
      <c r="G2" s="2239"/>
      <c r="H2" s="2239"/>
      <c r="I2" s="2239"/>
      <c r="J2" s="2239"/>
      <c r="K2" s="2239"/>
      <c r="L2" s="2239"/>
      <c r="M2" s="2239"/>
      <c r="N2" s="2239"/>
      <c r="O2" s="2241" t="s">
        <v>4244</v>
      </c>
      <c r="P2" s="2239"/>
      <c r="Q2" s="2239"/>
      <c r="R2" s="2239"/>
      <c r="S2" s="2239"/>
    </row>
    <row r="3" spans="1:20" ht="14.25">
      <c r="A3" s="2240"/>
      <c r="B3" s="2239"/>
      <c r="C3" s="2239"/>
      <c r="D3" s="2239"/>
      <c r="E3" s="2239"/>
      <c r="F3" s="2239"/>
      <c r="G3" s="2239"/>
      <c r="H3" s="2239"/>
      <c r="I3" s="2239"/>
      <c r="J3" s="2239"/>
      <c r="K3" s="2239"/>
      <c r="L3" s="2239"/>
      <c r="M3" s="2239"/>
      <c r="N3" s="2239"/>
      <c r="O3" s="2241"/>
      <c r="P3" s="2239"/>
      <c r="Q3" s="2239"/>
      <c r="R3" s="2239"/>
      <c r="S3" s="2239"/>
    </row>
    <row r="4" spans="1:20" ht="12.75" customHeight="1">
      <c r="A4" s="2242"/>
      <c r="B4" s="2239"/>
      <c r="C4" s="2239"/>
      <c r="D4" s="2243" t="s">
        <v>3629</v>
      </c>
      <c r="E4" s="2244"/>
      <c r="F4" s="2244"/>
      <c r="G4" s="2244"/>
      <c r="H4" s="2244"/>
      <c r="I4" s="2244"/>
      <c r="J4" s="2244"/>
      <c r="K4" s="2244"/>
      <c r="L4" s="2244"/>
      <c r="M4" s="2244"/>
      <c r="N4" s="2244"/>
      <c r="O4" s="2244"/>
      <c r="P4" s="2244"/>
      <c r="Q4" s="2242"/>
      <c r="R4" s="2239"/>
      <c r="S4" s="2239"/>
    </row>
    <row r="5" spans="1:20" ht="12.75" customHeight="1">
      <c r="A5" s="2238" t="s">
        <v>3630</v>
      </c>
      <c r="B5" s="2239"/>
      <c r="C5" s="2239"/>
      <c r="D5" s="2239"/>
      <c r="E5" s="2239"/>
      <c r="F5" s="2239"/>
      <c r="G5" s="2239"/>
      <c r="H5" s="2239"/>
      <c r="I5" s="2239"/>
      <c r="J5" s="2239"/>
      <c r="K5" s="2239"/>
      <c r="L5" s="2239"/>
      <c r="M5" s="2239"/>
      <c r="N5" s="2239"/>
      <c r="O5" s="2239"/>
      <c r="P5" s="2239"/>
      <c r="Q5" s="2239"/>
      <c r="R5" s="2239"/>
      <c r="S5" s="2239"/>
    </row>
    <row r="6" spans="1:20" ht="14.25">
      <c r="A6" s="2240"/>
      <c r="B6" s="2239"/>
      <c r="C6" s="2239"/>
      <c r="D6" s="2239"/>
      <c r="E6" s="2239"/>
      <c r="F6" s="2239"/>
      <c r="G6" s="2239"/>
      <c r="H6" s="2239"/>
      <c r="I6" s="2239"/>
      <c r="J6" s="2239"/>
      <c r="K6" s="2239"/>
      <c r="L6" s="2239"/>
      <c r="M6" s="2239"/>
      <c r="N6" s="2239"/>
      <c r="O6" s="2239"/>
      <c r="P6" s="2239"/>
      <c r="Q6" s="2239"/>
      <c r="R6" s="2239"/>
      <c r="S6" s="2239"/>
    </row>
    <row r="7" spans="1:20" ht="12.75" customHeight="1">
      <c r="A7" s="2242"/>
      <c r="B7" s="2239"/>
      <c r="C7" s="2239"/>
      <c r="D7" s="2245" t="s">
        <v>3651</v>
      </c>
      <c r="E7" s="2244"/>
      <c r="F7" s="2244"/>
      <c r="G7" s="2244"/>
      <c r="H7" s="2244"/>
      <c r="I7" s="2244"/>
      <c r="J7" s="2244"/>
      <c r="K7" s="2244"/>
      <c r="L7" s="2244"/>
      <c r="M7" s="2244"/>
      <c r="N7" s="2244"/>
      <c r="O7" s="2244"/>
      <c r="P7" s="2244"/>
      <c r="Q7" s="2242"/>
      <c r="R7" s="2239"/>
      <c r="S7" s="2239"/>
    </row>
    <row r="8" spans="1:20" ht="12.75" customHeight="1">
      <c r="A8" s="2238" t="s">
        <v>3632</v>
      </c>
      <c r="B8" s="2239"/>
      <c r="C8" s="2239"/>
      <c r="D8" s="2239"/>
      <c r="E8" s="2239"/>
      <c r="F8" s="2239"/>
      <c r="G8" s="2239"/>
      <c r="H8" s="2239"/>
      <c r="I8" s="2239"/>
      <c r="J8" s="2239"/>
      <c r="K8" s="2239"/>
      <c r="L8" s="2239"/>
      <c r="M8" s="2239"/>
      <c r="N8" s="2239"/>
      <c r="O8" s="2239"/>
      <c r="P8" s="2239"/>
      <c r="Q8" s="2239"/>
      <c r="R8" s="2239"/>
      <c r="S8" s="2239"/>
    </row>
    <row r="9" spans="1:20">
      <c r="A9" s="2246"/>
      <c r="B9" s="2239"/>
      <c r="C9" s="2239"/>
      <c r="D9" s="2239"/>
      <c r="E9" s="2239"/>
      <c r="F9" s="2239"/>
      <c r="G9" s="2239"/>
      <c r="H9" s="2239"/>
      <c r="I9" s="2239"/>
      <c r="J9" s="2239"/>
      <c r="K9" s="2239"/>
      <c r="L9" s="2239"/>
      <c r="M9" s="2239"/>
      <c r="N9" s="2239"/>
      <c r="O9" s="2239"/>
      <c r="P9" s="2239"/>
      <c r="Q9" s="2239"/>
      <c r="R9" s="2239"/>
      <c r="S9" s="2239"/>
    </row>
    <row r="10" spans="1:20" ht="12.75" customHeight="1">
      <c r="A10" s="2247" t="s">
        <v>3652</v>
      </c>
      <c r="B10" s="2239"/>
      <c r="C10" s="2239"/>
      <c r="D10" s="2239"/>
      <c r="E10" s="2239"/>
      <c r="F10" s="2239"/>
      <c r="G10" s="2239"/>
      <c r="H10" s="2239"/>
      <c r="I10" s="2239"/>
      <c r="J10" s="2239"/>
      <c r="K10" s="2239"/>
      <c r="L10" s="2239"/>
      <c r="M10" s="2239"/>
      <c r="N10" s="2239"/>
      <c r="O10" s="2239"/>
      <c r="P10" s="2239"/>
      <c r="Q10" s="2239"/>
      <c r="R10" s="2239"/>
      <c r="S10" s="2239"/>
    </row>
    <row r="11" spans="1:20" ht="15.75">
      <c r="A11" s="2248"/>
      <c r="B11" s="2239"/>
      <c r="C11" s="2239"/>
      <c r="D11" s="2239"/>
      <c r="E11" s="2239"/>
      <c r="F11" s="2239"/>
      <c r="G11" s="2239"/>
      <c r="H11" s="2239"/>
      <c r="I11" s="2239"/>
      <c r="J11" s="2239"/>
      <c r="K11" s="2239"/>
      <c r="L11" s="2239"/>
      <c r="M11" s="2239"/>
      <c r="N11" s="2239"/>
      <c r="O11" s="2239"/>
      <c r="P11" s="2239"/>
      <c r="Q11" s="2239"/>
      <c r="R11" s="2239"/>
      <c r="S11" s="2239"/>
    </row>
    <row r="12" spans="1:20">
      <c r="A12" s="2242"/>
      <c r="B12" s="2239"/>
      <c r="C12" s="2239"/>
      <c r="D12" s="2239"/>
      <c r="E12" s="2239"/>
      <c r="F12" s="2249" t="s">
        <v>3653</v>
      </c>
      <c r="G12" s="2244"/>
      <c r="H12" s="2244"/>
      <c r="I12" s="1433" t="s">
        <v>7</v>
      </c>
      <c r="J12" s="2249" t="s">
        <v>3654</v>
      </c>
      <c r="K12" s="2244"/>
      <c r="L12" s="2244"/>
      <c r="M12" s="2242"/>
      <c r="N12" s="2239"/>
      <c r="O12" s="2239"/>
      <c r="P12" s="2239"/>
      <c r="Q12" s="2239"/>
      <c r="R12" s="2239"/>
      <c r="S12" s="2239"/>
    </row>
    <row r="13" spans="1:20" ht="409.6" hidden="1" customHeight="1"/>
    <row r="15" spans="1:20" ht="12.75" customHeight="1">
      <c r="A15" s="2250" t="s">
        <v>1045</v>
      </c>
      <c r="B15" s="2250" t="s">
        <v>50</v>
      </c>
      <c r="C15" s="2250" t="s">
        <v>3635</v>
      </c>
      <c r="D15" s="2253"/>
      <c r="E15" s="2250" t="s">
        <v>3638</v>
      </c>
      <c r="F15" s="2258"/>
      <c r="G15" s="2258"/>
      <c r="H15" s="2258"/>
      <c r="I15" s="2258"/>
      <c r="J15" s="2258"/>
      <c r="K15" s="2258"/>
      <c r="L15" s="2258"/>
      <c r="M15" s="2258"/>
      <c r="N15" s="2258"/>
      <c r="O15" s="2258"/>
      <c r="P15" s="2258"/>
      <c r="Q15" s="2259"/>
      <c r="R15" s="2250" t="s">
        <v>3639</v>
      </c>
      <c r="S15" s="2250" t="s">
        <v>3640</v>
      </c>
      <c r="T15" s="2253"/>
    </row>
    <row r="16" spans="1:20" ht="12.75" customHeight="1">
      <c r="A16" s="2251"/>
      <c r="B16" s="2251"/>
      <c r="C16" s="2254"/>
      <c r="D16" s="2255"/>
      <c r="E16" s="2250" t="s">
        <v>9</v>
      </c>
      <c r="F16" s="2253"/>
      <c r="G16" s="2250" t="s">
        <v>3641</v>
      </c>
      <c r="H16" s="2258"/>
      <c r="I16" s="2258"/>
      <c r="J16" s="2259"/>
      <c r="K16" s="2212" t="s">
        <v>3642</v>
      </c>
      <c r="L16" s="2239"/>
      <c r="M16" s="2239"/>
      <c r="N16" s="2239"/>
      <c r="O16" s="2239"/>
      <c r="P16" s="2239"/>
      <c r="Q16" s="2239"/>
      <c r="R16" s="2251"/>
      <c r="S16" s="2254"/>
      <c r="T16" s="2255"/>
    </row>
    <row r="17" spans="1:20" ht="12.75" customHeight="1">
      <c r="A17" s="2251"/>
      <c r="B17" s="2251"/>
      <c r="C17" s="2254"/>
      <c r="D17" s="2255"/>
      <c r="E17" s="2254"/>
      <c r="F17" s="2255"/>
      <c r="G17" s="2250" t="s">
        <v>3643</v>
      </c>
      <c r="H17" s="2260"/>
      <c r="I17" s="2258"/>
      <c r="J17" s="2258"/>
      <c r="K17" s="2224" t="s">
        <v>3644</v>
      </c>
      <c r="L17" s="2261"/>
      <c r="M17" s="2261"/>
      <c r="N17" s="2261"/>
      <c r="O17" s="2261"/>
      <c r="P17" s="2261"/>
      <c r="Q17" s="2262"/>
      <c r="R17" s="2251"/>
      <c r="S17" s="2254"/>
      <c r="T17" s="2255"/>
    </row>
    <row r="18" spans="1:20" ht="12.75" customHeight="1">
      <c r="A18" s="2251"/>
      <c r="B18" s="2251"/>
      <c r="C18" s="2254"/>
      <c r="D18" s="2255"/>
      <c r="E18" s="2254"/>
      <c r="F18" s="2255"/>
      <c r="G18" s="2251"/>
      <c r="H18" s="2250" t="s">
        <v>3645</v>
      </c>
      <c r="I18" s="2263"/>
      <c r="J18" s="2253"/>
      <c r="K18" s="2250" t="s">
        <v>1974</v>
      </c>
      <c r="L18" s="2258"/>
      <c r="M18" s="2258"/>
      <c r="N18" s="2258"/>
      <c r="O18" s="2258"/>
      <c r="P18" s="2258"/>
      <c r="Q18" s="2259"/>
      <c r="R18" s="2251"/>
      <c r="S18" s="2254"/>
      <c r="T18" s="2255"/>
    </row>
    <row r="19" spans="1:20" ht="48" customHeight="1">
      <c r="A19" s="2252"/>
      <c r="B19" s="2252"/>
      <c r="C19" s="2256"/>
      <c r="D19" s="2257"/>
      <c r="E19" s="2256"/>
      <c r="F19" s="2257"/>
      <c r="G19" s="2252"/>
      <c r="H19" s="2256"/>
      <c r="I19" s="2244"/>
      <c r="J19" s="2257"/>
      <c r="K19" s="1407" t="s">
        <v>3645</v>
      </c>
      <c r="L19" s="2250" t="s">
        <v>2010</v>
      </c>
      <c r="M19" s="2259"/>
      <c r="N19" s="2250" t="s">
        <v>61</v>
      </c>
      <c r="O19" s="2259"/>
      <c r="P19" s="2250" t="s">
        <v>60</v>
      </c>
      <c r="Q19" s="2259"/>
      <c r="R19" s="2252"/>
      <c r="S19" s="2256"/>
      <c r="T19" s="2257"/>
    </row>
    <row r="20" spans="1:20">
      <c r="A20" s="1408" t="s">
        <v>2024</v>
      </c>
      <c r="B20" s="1408" t="s">
        <v>2534</v>
      </c>
      <c r="C20" s="2264" t="s">
        <v>2535</v>
      </c>
      <c r="D20" s="2259"/>
      <c r="E20" s="2264" t="s">
        <v>2072</v>
      </c>
      <c r="F20" s="2259"/>
      <c r="G20" s="1408" t="s">
        <v>2074</v>
      </c>
      <c r="H20" s="2264" t="s">
        <v>2075</v>
      </c>
      <c r="I20" s="2258"/>
      <c r="J20" s="2259"/>
      <c r="K20" s="1408" t="s">
        <v>2026</v>
      </c>
      <c r="L20" s="2264" t="s">
        <v>1706</v>
      </c>
      <c r="M20" s="2259"/>
      <c r="N20" s="2264" t="s">
        <v>1707</v>
      </c>
      <c r="O20" s="2259"/>
      <c r="P20" s="2264" t="s">
        <v>1709</v>
      </c>
      <c r="Q20" s="2259"/>
      <c r="R20" s="1408" t="s">
        <v>1710</v>
      </c>
      <c r="S20" s="2264" t="s">
        <v>1711</v>
      </c>
      <c r="T20" s="2259"/>
    </row>
    <row r="21" spans="1:20" ht="33.75" customHeight="1">
      <c r="A21" s="1403" t="s">
        <v>1052</v>
      </c>
      <c r="B21" s="1403" t="s">
        <v>345</v>
      </c>
      <c r="C21" s="2265" t="s">
        <v>633</v>
      </c>
      <c r="D21" s="2489"/>
      <c r="E21" s="2267">
        <f>SUM(G21:Q21)</f>
        <v>133670.07</v>
      </c>
      <c r="F21" s="2489"/>
      <c r="G21" s="1404">
        <v>113619.56</v>
      </c>
      <c r="H21" s="2267">
        <v>0</v>
      </c>
      <c r="I21" s="2490"/>
      <c r="J21" s="2489"/>
      <c r="K21" s="1404">
        <v>0</v>
      </c>
      <c r="L21" s="2267">
        <v>20050.509999999998</v>
      </c>
      <c r="M21" s="2489"/>
      <c r="N21" s="2267">
        <v>0</v>
      </c>
      <c r="O21" s="2489"/>
      <c r="P21" s="2267">
        <v>0</v>
      </c>
      <c r="Q21" s="2489"/>
      <c r="R21" s="1405">
        <v>42916</v>
      </c>
      <c r="S21" s="2487" t="s">
        <v>3655</v>
      </c>
      <c r="T21" s="2488"/>
    </row>
    <row r="22" spans="1:20" ht="33.75" customHeight="1">
      <c r="A22" s="1403" t="s">
        <v>3647</v>
      </c>
      <c r="B22" s="1403" t="s">
        <v>184</v>
      </c>
      <c r="C22" s="2265" t="s">
        <v>380</v>
      </c>
      <c r="D22" s="2489"/>
      <c r="E22" s="2267">
        <f>SUM(G22:Q22)</f>
        <v>98949.56</v>
      </c>
      <c r="F22" s="2489"/>
      <c r="G22" s="1404">
        <v>84107.13</v>
      </c>
      <c r="H22" s="2267">
        <v>0</v>
      </c>
      <c r="I22" s="2490"/>
      <c r="J22" s="2489"/>
      <c r="K22" s="1404">
        <v>0</v>
      </c>
      <c r="L22" s="2267">
        <v>14842.43</v>
      </c>
      <c r="M22" s="2489"/>
      <c r="N22" s="2267">
        <v>0</v>
      </c>
      <c r="O22" s="2489"/>
      <c r="P22" s="2267">
        <v>0</v>
      </c>
      <c r="Q22" s="2489"/>
      <c r="R22" s="1405">
        <v>43131</v>
      </c>
      <c r="S22" s="2487" t="s">
        <v>3655</v>
      </c>
      <c r="T22" s="2488"/>
    </row>
    <row r="23" spans="1:20" ht="33.75" customHeight="1">
      <c r="A23" s="1403" t="s">
        <v>1087</v>
      </c>
      <c r="B23" s="1403" t="s">
        <v>235</v>
      </c>
      <c r="C23" s="2265" t="s">
        <v>3656</v>
      </c>
      <c r="D23" s="2489"/>
      <c r="E23" s="2267">
        <f>SUM(G23:Q23)</f>
        <v>71089.02</v>
      </c>
      <c r="F23" s="2489"/>
      <c r="G23" s="1404">
        <v>56623</v>
      </c>
      <c r="H23" s="2267">
        <v>0</v>
      </c>
      <c r="I23" s="2490"/>
      <c r="J23" s="2489"/>
      <c r="K23" s="1404">
        <v>0</v>
      </c>
      <c r="L23" s="2267">
        <v>14466.02</v>
      </c>
      <c r="M23" s="2489"/>
      <c r="N23" s="2267">
        <v>0</v>
      </c>
      <c r="O23" s="2489"/>
      <c r="P23" s="2267">
        <v>0</v>
      </c>
      <c r="Q23" s="2489"/>
      <c r="R23" s="1405">
        <v>43510</v>
      </c>
      <c r="S23" s="2487" t="s">
        <v>3655</v>
      </c>
      <c r="T23" s="2488"/>
    </row>
    <row r="24" spans="1:20" ht="33.75" customHeight="1">
      <c r="A24" s="1403" t="s">
        <v>843</v>
      </c>
      <c r="B24" s="1403" t="s">
        <v>161</v>
      </c>
      <c r="C24" s="2265" t="s">
        <v>319</v>
      </c>
      <c r="D24" s="2489"/>
      <c r="E24" s="2267">
        <f>SUM(G24:Q24)</f>
        <v>100658.08</v>
      </c>
      <c r="F24" s="2489"/>
      <c r="G24" s="1404">
        <v>73501</v>
      </c>
      <c r="H24" s="2267">
        <v>0</v>
      </c>
      <c r="I24" s="2490"/>
      <c r="J24" s="2489"/>
      <c r="K24" s="1404">
        <v>0</v>
      </c>
      <c r="L24" s="2267">
        <v>27157.08</v>
      </c>
      <c r="M24" s="2489"/>
      <c r="N24" s="2267">
        <v>0</v>
      </c>
      <c r="O24" s="2489"/>
      <c r="P24" s="2267">
        <v>0</v>
      </c>
      <c r="Q24" s="2489"/>
      <c r="R24" s="1405">
        <v>43010</v>
      </c>
      <c r="S24" s="2487" t="s">
        <v>3655</v>
      </c>
      <c r="T24" s="2488"/>
    </row>
    <row r="25" spans="1:20" ht="34.5" customHeight="1" thickBot="1">
      <c r="A25" s="1403" t="s">
        <v>1070</v>
      </c>
      <c r="B25" s="1403" t="s">
        <v>282</v>
      </c>
      <c r="C25" s="2265" t="s">
        <v>642</v>
      </c>
      <c r="D25" s="2489"/>
      <c r="E25" s="2267">
        <f>SUM(G25:Q25)</f>
        <v>95080</v>
      </c>
      <c r="F25" s="2489"/>
      <c r="G25" s="1404">
        <v>80810</v>
      </c>
      <c r="H25" s="2267">
        <v>0</v>
      </c>
      <c r="I25" s="2490"/>
      <c r="J25" s="2489"/>
      <c r="K25" s="1404">
        <v>0</v>
      </c>
      <c r="L25" s="2267">
        <v>14270</v>
      </c>
      <c r="M25" s="2489"/>
      <c r="N25" s="2267">
        <v>0</v>
      </c>
      <c r="O25" s="2489"/>
      <c r="P25" s="2267">
        <v>0</v>
      </c>
      <c r="Q25" s="2489"/>
      <c r="R25" s="1405">
        <v>43100</v>
      </c>
      <c r="S25" s="2487" t="s">
        <v>3655</v>
      </c>
      <c r="T25" s="2488"/>
    </row>
    <row r="26" spans="1:20">
      <c r="A26" s="2269" t="s">
        <v>3649</v>
      </c>
      <c r="B26" s="2331"/>
      <c r="C26" s="2331"/>
      <c r="D26" s="2331"/>
      <c r="E26" s="2281">
        <f>SUM(E21:E25)</f>
        <v>499446.73000000004</v>
      </c>
      <c r="F26" s="2332"/>
      <c r="G26" s="1406">
        <f>SUM(G21:G25)</f>
        <v>408660.69</v>
      </c>
      <c r="H26" s="2281">
        <f>SUM(H21:H25)</f>
        <v>0</v>
      </c>
      <c r="I26" s="2331"/>
      <c r="J26" s="2332"/>
      <c r="K26" s="1406">
        <f>SUM(K21:K25)</f>
        <v>0</v>
      </c>
      <c r="L26" s="2281">
        <f>SUM(L21:L25)</f>
        <v>90786.040000000008</v>
      </c>
      <c r="M26" s="2332"/>
      <c r="N26" s="2281">
        <v>0</v>
      </c>
      <c r="O26" s="2332"/>
      <c r="P26" s="2281">
        <v>0</v>
      </c>
      <c r="Q26" s="2332"/>
      <c r="R26" s="2269"/>
      <c r="S26" s="2331"/>
      <c r="T26" s="2332"/>
    </row>
    <row r="27" spans="1:20" ht="12.75" customHeight="1">
      <c r="A27" s="2411" t="s">
        <v>3650</v>
      </c>
      <c r="B27" s="2258"/>
      <c r="C27" s="2258"/>
      <c r="D27" s="2258"/>
      <c r="E27" s="2258"/>
      <c r="F27" s="2259"/>
      <c r="G27" s="2275">
        <v>415732</v>
      </c>
      <c r="H27" s="2276"/>
      <c r="I27" s="2276"/>
      <c r="J27" s="2276"/>
      <c r="K27" s="2276"/>
      <c r="L27" s="2276"/>
      <c r="M27" s="2276"/>
      <c r="N27" s="2276"/>
      <c r="O27" s="2276"/>
      <c r="P27" s="2276"/>
      <c r="Q27" s="2276"/>
      <c r="R27" s="2276"/>
      <c r="S27" s="2276"/>
      <c r="T27" s="2277"/>
    </row>
  </sheetData>
  <mergeCells count="88">
    <mergeCell ref="A8:S8"/>
    <mergeCell ref="A2:N2"/>
    <mergeCell ref="O2:S2"/>
    <mergeCell ref="A3:N3"/>
    <mergeCell ref="O3:S3"/>
    <mergeCell ref="A4:C4"/>
    <mergeCell ref="D4:P4"/>
    <mergeCell ref="Q4:S4"/>
    <mergeCell ref="A5:S5"/>
    <mergeCell ref="A6:S6"/>
    <mergeCell ref="A7:C7"/>
    <mergeCell ref="D7:P7"/>
    <mergeCell ref="Q7:S7"/>
    <mergeCell ref="A9:S9"/>
    <mergeCell ref="A10:S10"/>
    <mergeCell ref="A11:S11"/>
    <mergeCell ref="A12:E12"/>
    <mergeCell ref="F12:H12"/>
    <mergeCell ref="J12:L12"/>
    <mergeCell ref="M12:S12"/>
    <mergeCell ref="S15:T19"/>
    <mergeCell ref="E16:F19"/>
    <mergeCell ref="G16:J16"/>
    <mergeCell ref="K16:Q16"/>
    <mergeCell ref="G17:G19"/>
    <mergeCell ref="A15:A19"/>
    <mergeCell ref="B15:B19"/>
    <mergeCell ref="C15:D19"/>
    <mergeCell ref="E15:Q15"/>
    <mergeCell ref="R15:R19"/>
    <mergeCell ref="H17:J17"/>
    <mergeCell ref="K17:Q17"/>
    <mergeCell ref="H18:J19"/>
    <mergeCell ref="K18:Q18"/>
    <mergeCell ref="L19:M19"/>
    <mergeCell ref="N19:O19"/>
    <mergeCell ref="P19:Q19"/>
    <mergeCell ref="S20:T20"/>
    <mergeCell ref="C21:D21"/>
    <mergeCell ref="E21:F21"/>
    <mergeCell ref="H21:J21"/>
    <mergeCell ref="L21:M21"/>
    <mergeCell ref="N21:O21"/>
    <mergeCell ref="P21:Q21"/>
    <mergeCell ref="S21:T21"/>
    <mergeCell ref="C20:D20"/>
    <mergeCell ref="E20:F20"/>
    <mergeCell ref="H20:J20"/>
    <mergeCell ref="L20:M20"/>
    <mergeCell ref="N20:O20"/>
    <mergeCell ref="P20:Q20"/>
    <mergeCell ref="S22:T22"/>
    <mergeCell ref="C23:D23"/>
    <mergeCell ref="E23:F23"/>
    <mergeCell ref="H23:J23"/>
    <mergeCell ref="L23:M23"/>
    <mergeCell ref="N23:O23"/>
    <mergeCell ref="P23:Q23"/>
    <mergeCell ref="S23:T23"/>
    <mergeCell ref="C22:D22"/>
    <mergeCell ref="E22:F22"/>
    <mergeCell ref="H22:J22"/>
    <mergeCell ref="L22:M22"/>
    <mergeCell ref="N22:O22"/>
    <mergeCell ref="P22:Q22"/>
    <mergeCell ref="S24:T24"/>
    <mergeCell ref="C25:D25"/>
    <mergeCell ref="E25:F25"/>
    <mergeCell ref="H25:J25"/>
    <mergeCell ref="L25:M25"/>
    <mergeCell ref="N25:O25"/>
    <mergeCell ref="P25:Q25"/>
    <mergeCell ref="S25:T25"/>
    <mergeCell ref="C24:D24"/>
    <mergeCell ref="E24:F24"/>
    <mergeCell ref="H24:J24"/>
    <mergeCell ref="L24:M24"/>
    <mergeCell ref="N24:O24"/>
    <mergeCell ref="P24:Q24"/>
    <mergeCell ref="R26:T26"/>
    <mergeCell ref="A27:F27"/>
    <mergeCell ref="G27:T27"/>
    <mergeCell ref="A26:D26"/>
    <mergeCell ref="E26:F26"/>
    <mergeCell ref="H26:J26"/>
    <mergeCell ref="L26:M26"/>
    <mergeCell ref="N26:O26"/>
    <mergeCell ref="P26:Q26"/>
  </mergeCells>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2:V28"/>
  <sheetViews>
    <sheetView workbookViewId="0">
      <selection activeCell="G21" sqref="G21:H21"/>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ht="93" customHeight="1">
      <c r="A2" s="2204"/>
      <c r="B2" s="1846"/>
      <c r="C2" s="1846"/>
      <c r="D2" s="1846"/>
      <c r="E2" s="1846"/>
      <c r="F2" s="1846"/>
      <c r="G2" s="1846"/>
      <c r="H2" s="1846"/>
      <c r="I2" s="1846"/>
      <c r="J2" s="1846"/>
      <c r="K2" s="1846"/>
      <c r="L2" s="1846"/>
      <c r="M2" s="1846"/>
      <c r="N2" s="1846"/>
      <c r="O2" s="1846"/>
      <c r="P2" s="1846"/>
      <c r="Q2" s="2241" t="s">
        <v>4499</v>
      </c>
      <c r="R2" s="2239"/>
      <c r="S2" s="2239"/>
      <c r="T2" s="2239"/>
      <c r="U2" s="2239"/>
    </row>
    <row r="3" spans="1:22" ht="47.25" customHeight="1">
      <c r="A3" s="2240"/>
      <c r="B3" s="2239"/>
      <c r="C3" s="2239"/>
      <c r="D3" s="2239"/>
      <c r="E3" s="2239"/>
      <c r="F3" s="2239"/>
      <c r="G3" s="2239"/>
      <c r="H3" s="2239"/>
      <c r="I3" s="2239"/>
      <c r="J3" s="2239"/>
      <c r="K3" s="2239"/>
      <c r="L3" s="2239"/>
      <c r="M3" s="2239"/>
      <c r="N3" s="2239"/>
      <c r="O3" s="2239"/>
      <c r="P3" s="2239"/>
      <c r="Q3" s="2241"/>
      <c r="R3" s="2239"/>
      <c r="S3" s="2239"/>
      <c r="T3" s="2239"/>
      <c r="U3" s="2239"/>
      <c r="V3" s="1402"/>
    </row>
    <row r="4" spans="1:22" ht="15" customHeight="1">
      <c r="A4" s="2242"/>
      <c r="B4" s="2239"/>
      <c r="C4" s="2239"/>
      <c r="D4" s="2243" t="s">
        <v>3629</v>
      </c>
      <c r="E4" s="2244"/>
      <c r="F4" s="2244"/>
      <c r="G4" s="2244"/>
      <c r="H4" s="2244"/>
      <c r="I4" s="2244"/>
      <c r="J4" s="2244"/>
      <c r="K4" s="2244"/>
      <c r="L4" s="2244"/>
      <c r="M4" s="2244"/>
      <c r="N4" s="2244"/>
      <c r="O4" s="2244"/>
      <c r="P4" s="2244"/>
      <c r="Q4" s="2244"/>
      <c r="R4" s="2244"/>
      <c r="S4" s="2242"/>
      <c r="T4" s="2239"/>
      <c r="U4" s="2239"/>
      <c r="V4" s="1402"/>
    </row>
    <row r="5" spans="1:22" ht="15" customHeight="1">
      <c r="A5" s="2238" t="s">
        <v>3630</v>
      </c>
      <c r="B5" s="2239"/>
      <c r="C5" s="2239"/>
      <c r="D5" s="2239"/>
      <c r="E5" s="2239"/>
      <c r="F5" s="2239"/>
      <c r="G5" s="2239"/>
      <c r="H5" s="2239"/>
      <c r="I5" s="2239"/>
      <c r="J5" s="2239"/>
      <c r="K5" s="2239"/>
      <c r="L5" s="2239"/>
      <c r="M5" s="2239"/>
      <c r="N5" s="2239"/>
      <c r="O5" s="2239"/>
      <c r="P5" s="2239"/>
      <c r="Q5" s="2239"/>
      <c r="R5" s="2239"/>
      <c r="S5" s="2239"/>
      <c r="T5" s="2239"/>
      <c r="U5" s="2239"/>
      <c r="V5" s="1402"/>
    </row>
    <row r="6" spans="1:22">
      <c r="A6" s="2240"/>
      <c r="B6" s="2239"/>
      <c r="C6" s="2239"/>
      <c r="D6" s="2239"/>
      <c r="E6" s="2239"/>
      <c r="F6" s="2239"/>
      <c r="G6" s="2239"/>
      <c r="H6" s="2239"/>
      <c r="I6" s="2239"/>
      <c r="J6" s="2239"/>
      <c r="K6" s="2239"/>
      <c r="L6" s="2239"/>
      <c r="M6" s="2239"/>
      <c r="N6" s="2239"/>
      <c r="O6" s="2239"/>
      <c r="P6" s="2239"/>
      <c r="Q6" s="2239"/>
      <c r="R6" s="2239"/>
      <c r="S6" s="2239"/>
      <c r="T6" s="2239"/>
      <c r="U6" s="2239"/>
      <c r="V6" s="1402"/>
    </row>
    <row r="7" spans="1:22" ht="15" customHeight="1">
      <c r="A7" s="2242"/>
      <c r="B7" s="2239"/>
      <c r="C7" s="2239"/>
      <c r="D7" s="2245" t="s">
        <v>3657</v>
      </c>
      <c r="E7" s="2244"/>
      <c r="F7" s="2244"/>
      <c r="G7" s="2244"/>
      <c r="H7" s="2244"/>
      <c r="I7" s="2244"/>
      <c r="J7" s="2244"/>
      <c r="K7" s="2244"/>
      <c r="L7" s="2244"/>
      <c r="M7" s="2244"/>
      <c r="N7" s="2244"/>
      <c r="O7" s="2244"/>
      <c r="P7" s="2244"/>
      <c r="Q7" s="2244"/>
      <c r="R7" s="2244"/>
      <c r="S7" s="2242"/>
      <c r="T7" s="2239"/>
      <c r="U7" s="2239"/>
      <c r="V7" s="1402"/>
    </row>
    <row r="8" spans="1:22" ht="15" customHeight="1">
      <c r="A8" s="2238" t="s">
        <v>3632</v>
      </c>
      <c r="B8" s="2239"/>
      <c r="C8" s="2239"/>
      <c r="D8" s="2239"/>
      <c r="E8" s="2239"/>
      <c r="F8" s="2239"/>
      <c r="G8" s="2239"/>
      <c r="H8" s="2239"/>
      <c r="I8" s="2239"/>
      <c r="J8" s="2239"/>
      <c r="K8" s="2239"/>
      <c r="L8" s="2239"/>
      <c r="M8" s="2239"/>
      <c r="N8" s="2239"/>
      <c r="O8" s="2239"/>
      <c r="P8" s="2239"/>
      <c r="Q8" s="2239"/>
      <c r="R8" s="2239"/>
      <c r="S8" s="2239"/>
      <c r="T8" s="2239"/>
      <c r="U8" s="2239"/>
      <c r="V8" s="1402"/>
    </row>
    <row r="9" spans="1:22">
      <c r="A9" s="2246"/>
      <c r="B9" s="2239"/>
      <c r="C9" s="2239"/>
      <c r="D9" s="2239"/>
      <c r="E9" s="2239"/>
      <c r="F9" s="2239"/>
      <c r="G9" s="2239"/>
      <c r="H9" s="2239"/>
      <c r="I9" s="2239"/>
      <c r="J9" s="2239"/>
      <c r="K9" s="2239"/>
      <c r="L9" s="2239"/>
      <c r="M9" s="2239"/>
      <c r="N9" s="2239"/>
      <c r="O9" s="2239"/>
      <c r="P9" s="2239"/>
      <c r="Q9" s="2239"/>
      <c r="R9" s="2239"/>
      <c r="S9" s="2239"/>
      <c r="T9" s="2239"/>
      <c r="U9" s="2239"/>
      <c r="V9" s="1402"/>
    </row>
    <row r="10" spans="1:22" ht="15" customHeight="1">
      <c r="A10" s="2247" t="s">
        <v>3652</v>
      </c>
      <c r="B10" s="2239"/>
      <c r="C10" s="2239"/>
      <c r="D10" s="2239"/>
      <c r="E10" s="2239"/>
      <c r="F10" s="2239"/>
      <c r="G10" s="2239"/>
      <c r="H10" s="2239"/>
      <c r="I10" s="2239"/>
      <c r="J10" s="2239"/>
      <c r="K10" s="2239"/>
      <c r="L10" s="2239"/>
      <c r="M10" s="2239"/>
      <c r="N10" s="2239"/>
      <c r="O10" s="2239"/>
      <c r="P10" s="2239"/>
      <c r="Q10" s="2239"/>
      <c r="R10" s="2239"/>
      <c r="S10" s="2239"/>
      <c r="T10" s="2239"/>
      <c r="U10" s="2239"/>
      <c r="V10" s="1402"/>
    </row>
    <row r="11" spans="1:22" ht="15.75">
      <c r="A11" s="2248"/>
      <c r="B11" s="2239"/>
      <c r="C11" s="2239"/>
      <c r="D11" s="2239"/>
      <c r="E11" s="2239"/>
      <c r="F11" s="2239"/>
      <c r="G11" s="2239"/>
      <c r="H11" s="2239"/>
      <c r="I11" s="2239"/>
      <c r="J11" s="2239"/>
      <c r="K11" s="2239"/>
      <c r="L11" s="2239"/>
      <c r="M11" s="2239"/>
      <c r="N11" s="2239"/>
      <c r="O11" s="2239"/>
      <c r="P11" s="2239"/>
      <c r="Q11" s="2239"/>
      <c r="R11" s="2239"/>
      <c r="S11" s="2239"/>
      <c r="T11" s="2239"/>
      <c r="U11" s="2239"/>
      <c r="V11" s="1402"/>
    </row>
    <row r="12" spans="1:22" ht="15" customHeight="1">
      <c r="A12" s="2242"/>
      <c r="B12" s="2239"/>
      <c r="C12" s="2239"/>
      <c r="D12" s="2239"/>
      <c r="E12" s="2239"/>
      <c r="F12" s="2239"/>
      <c r="G12" s="2239"/>
      <c r="H12" s="2249" t="s">
        <v>3658</v>
      </c>
      <c r="I12" s="2244"/>
      <c r="J12" s="2244"/>
      <c r="K12" s="1433" t="s">
        <v>7</v>
      </c>
      <c r="L12" s="2249" t="s">
        <v>3659</v>
      </c>
      <c r="M12" s="2244"/>
      <c r="N12" s="2244"/>
      <c r="O12" s="2242"/>
      <c r="P12" s="2239"/>
      <c r="Q12" s="2239"/>
      <c r="R12" s="2239"/>
      <c r="S12" s="2239"/>
      <c r="T12" s="2239"/>
      <c r="U12" s="2239"/>
      <c r="V12" s="1402"/>
    </row>
    <row r="13" spans="1:22" ht="409.6" hidden="1" customHeight="1">
      <c r="A13" s="1402"/>
      <c r="B13" s="1402"/>
      <c r="C13" s="1402"/>
      <c r="D13" s="1402"/>
      <c r="E13" s="1402"/>
      <c r="F13" s="1402"/>
      <c r="G13" s="1402"/>
      <c r="H13" s="1402"/>
      <c r="I13" s="1402"/>
      <c r="J13" s="1402"/>
      <c r="K13" s="1402"/>
      <c r="L13" s="1402"/>
      <c r="M13" s="1402"/>
      <c r="N13" s="1402"/>
      <c r="O13" s="1402"/>
      <c r="P13" s="1402"/>
      <c r="Q13" s="1402"/>
      <c r="R13" s="1402"/>
      <c r="S13" s="1402"/>
      <c r="T13" s="1402"/>
      <c r="U13" s="1402"/>
      <c r="V13" s="1402"/>
    </row>
    <row r="14" spans="1:22">
      <c r="A14" s="1402"/>
      <c r="B14" s="1402"/>
      <c r="C14" s="1402"/>
      <c r="D14" s="1402"/>
      <c r="E14" s="1402"/>
      <c r="F14" s="1402"/>
      <c r="G14" s="1402"/>
      <c r="H14" s="1402"/>
      <c r="I14" s="1402"/>
      <c r="J14" s="1402"/>
      <c r="K14" s="1402"/>
      <c r="L14" s="1402"/>
      <c r="M14" s="1402"/>
      <c r="N14" s="1402"/>
      <c r="O14" s="1402"/>
      <c r="P14" s="1402"/>
      <c r="Q14" s="1402"/>
      <c r="R14" s="1402"/>
      <c r="S14" s="1402"/>
      <c r="T14" s="1402"/>
      <c r="U14" s="1402"/>
      <c r="V14" s="1402"/>
    </row>
    <row r="15" spans="1:22" ht="15" customHeight="1">
      <c r="A15" s="2250" t="s">
        <v>1045</v>
      </c>
      <c r="B15" s="2250" t="s">
        <v>50</v>
      </c>
      <c r="C15" s="2250" t="s">
        <v>3635</v>
      </c>
      <c r="D15" s="2253"/>
      <c r="E15" s="2250" t="s">
        <v>3636</v>
      </c>
      <c r="F15" s="2250" t="s">
        <v>3637</v>
      </c>
      <c r="G15" s="2250" t="s">
        <v>3638</v>
      </c>
      <c r="H15" s="2258"/>
      <c r="I15" s="2258"/>
      <c r="J15" s="2258"/>
      <c r="K15" s="2258"/>
      <c r="L15" s="2258"/>
      <c r="M15" s="2258"/>
      <c r="N15" s="2258"/>
      <c r="O15" s="2258"/>
      <c r="P15" s="2258"/>
      <c r="Q15" s="2258"/>
      <c r="R15" s="2258"/>
      <c r="S15" s="2259"/>
      <c r="T15" s="2250" t="s">
        <v>3639</v>
      </c>
      <c r="U15" s="2250" t="s">
        <v>3640</v>
      </c>
      <c r="V15" s="2253"/>
    </row>
    <row r="16" spans="1:22" ht="15" customHeight="1">
      <c r="A16" s="2251"/>
      <c r="B16" s="2251"/>
      <c r="C16" s="2254"/>
      <c r="D16" s="2255"/>
      <c r="E16" s="2251"/>
      <c r="F16" s="2251"/>
      <c r="G16" s="2250" t="s">
        <v>9</v>
      </c>
      <c r="H16" s="2253"/>
      <c r="I16" s="2250" t="s">
        <v>3641</v>
      </c>
      <c r="J16" s="2258"/>
      <c r="K16" s="2258"/>
      <c r="L16" s="2259"/>
      <c r="M16" s="2212" t="s">
        <v>3642</v>
      </c>
      <c r="N16" s="2239"/>
      <c r="O16" s="2239"/>
      <c r="P16" s="2239"/>
      <c r="Q16" s="2239"/>
      <c r="R16" s="2239"/>
      <c r="S16" s="2239"/>
      <c r="T16" s="2251"/>
      <c r="U16" s="2254"/>
      <c r="V16" s="2255"/>
    </row>
    <row r="17" spans="1:22" ht="15" customHeight="1">
      <c r="A17" s="2251"/>
      <c r="B17" s="2251"/>
      <c r="C17" s="2254"/>
      <c r="D17" s="2255"/>
      <c r="E17" s="2251"/>
      <c r="F17" s="2251"/>
      <c r="G17" s="2254"/>
      <c r="H17" s="2255"/>
      <c r="I17" s="2250" t="s">
        <v>3643</v>
      </c>
      <c r="J17" s="2260"/>
      <c r="K17" s="2258"/>
      <c r="L17" s="2258"/>
      <c r="M17" s="2224" t="s">
        <v>3644</v>
      </c>
      <c r="N17" s="2261"/>
      <c r="O17" s="2261"/>
      <c r="P17" s="2261"/>
      <c r="Q17" s="2261"/>
      <c r="R17" s="2261"/>
      <c r="S17" s="2262"/>
      <c r="T17" s="2251"/>
      <c r="U17" s="2254"/>
      <c r="V17" s="2255"/>
    </row>
    <row r="18" spans="1:22" ht="15" customHeight="1">
      <c r="A18" s="2251"/>
      <c r="B18" s="2251"/>
      <c r="C18" s="2254"/>
      <c r="D18" s="2255"/>
      <c r="E18" s="2251"/>
      <c r="F18" s="2251"/>
      <c r="G18" s="2254"/>
      <c r="H18" s="2255"/>
      <c r="I18" s="2251"/>
      <c r="J18" s="2250" t="s">
        <v>3645</v>
      </c>
      <c r="K18" s="2263"/>
      <c r="L18" s="2253"/>
      <c r="M18" s="2250" t="s">
        <v>1974</v>
      </c>
      <c r="N18" s="2258"/>
      <c r="O18" s="2258"/>
      <c r="P18" s="2258"/>
      <c r="Q18" s="2258"/>
      <c r="R18" s="2258"/>
      <c r="S18" s="2259"/>
      <c r="T18" s="2251"/>
      <c r="U18" s="2254"/>
      <c r="V18" s="2255"/>
    </row>
    <row r="19" spans="1:22" ht="48" customHeight="1">
      <c r="A19" s="2252"/>
      <c r="B19" s="2252"/>
      <c r="C19" s="2256"/>
      <c r="D19" s="2257"/>
      <c r="E19" s="2252"/>
      <c r="F19" s="2252"/>
      <c r="G19" s="2256"/>
      <c r="H19" s="2257"/>
      <c r="I19" s="2252"/>
      <c r="J19" s="2256"/>
      <c r="K19" s="2244"/>
      <c r="L19" s="2257"/>
      <c r="M19" s="1407" t="s">
        <v>3645</v>
      </c>
      <c r="N19" s="2250" t="s">
        <v>2010</v>
      </c>
      <c r="O19" s="2259"/>
      <c r="P19" s="2250" t="s">
        <v>61</v>
      </c>
      <c r="Q19" s="2259"/>
      <c r="R19" s="2250" t="s">
        <v>60</v>
      </c>
      <c r="S19" s="2259"/>
      <c r="T19" s="2252"/>
      <c r="U19" s="2256"/>
      <c r="V19" s="2257"/>
    </row>
    <row r="20" spans="1:22" ht="15" customHeight="1">
      <c r="A20" s="1408" t="s">
        <v>2024</v>
      </c>
      <c r="B20" s="1408" t="s">
        <v>2534</v>
      </c>
      <c r="C20" s="2264" t="s">
        <v>2535</v>
      </c>
      <c r="D20" s="2259"/>
      <c r="E20" s="1408" t="s">
        <v>2536</v>
      </c>
      <c r="F20" s="1408" t="s">
        <v>2025</v>
      </c>
      <c r="G20" s="2264" t="s">
        <v>2072</v>
      </c>
      <c r="H20" s="2259"/>
      <c r="I20" s="1408" t="s">
        <v>2074</v>
      </c>
      <c r="J20" s="2264" t="s">
        <v>2075</v>
      </c>
      <c r="K20" s="2258"/>
      <c r="L20" s="2259"/>
      <c r="M20" s="1408" t="s">
        <v>2026</v>
      </c>
      <c r="N20" s="2264" t="s">
        <v>1706</v>
      </c>
      <c r="O20" s="2259"/>
      <c r="P20" s="2264" t="s">
        <v>1707</v>
      </c>
      <c r="Q20" s="2259"/>
      <c r="R20" s="2264" t="s">
        <v>1709</v>
      </c>
      <c r="S20" s="2259"/>
      <c r="T20" s="1408" t="s">
        <v>1710</v>
      </c>
      <c r="U20" s="2264" t="s">
        <v>1711</v>
      </c>
      <c r="V20" s="2259"/>
    </row>
    <row r="21" spans="1:22" ht="46.5" customHeight="1">
      <c r="A21" s="1588" t="s">
        <v>1052</v>
      </c>
      <c r="B21" s="1588" t="s">
        <v>345</v>
      </c>
      <c r="C21" s="2406" t="s">
        <v>4199</v>
      </c>
      <c r="D21" s="2259"/>
      <c r="E21" s="1588"/>
      <c r="F21" s="1588"/>
      <c r="G21" s="2407">
        <v>496813.9</v>
      </c>
      <c r="H21" s="2259"/>
      <c r="I21" s="1670">
        <v>345177</v>
      </c>
      <c r="J21" s="2407">
        <v>0</v>
      </c>
      <c r="K21" s="2258"/>
      <c r="L21" s="2259"/>
      <c r="M21" s="1670">
        <v>0</v>
      </c>
      <c r="N21" s="2407">
        <v>151636.9</v>
      </c>
      <c r="O21" s="2259"/>
      <c r="P21" s="2407">
        <v>0</v>
      </c>
      <c r="Q21" s="2259"/>
      <c r="R21" s="2407">
        <v>0</v>
      </c>
      <c r="S21" s="2259"/>
      <c r="T21" s="1671">
        <v>43646</v>
      </c>
      <c r="U21" s="2429" t="s">
        <v>3660</v>
      </c>
      <c r="V21" s="2491"/>
    </row>
    <row r="22" spans="1:22" ht="42" customHeight="1">
      <c r="A22" s="1588" t="s">
        <v>3647</v>
      </c>
      <c r="B22" s="1588" t="s">
        <v>184</v>
      </c>
      <c r="C22" s="2406" t="s">
        <v>1525</v>
      </c>
      <c r="D22" s="2259"/>
      <c r="E22" s="1588"/>
      <c r="F22" s="1588"/>
      <c r="G22" s="2407">
        <v>496947</v>
      </c>
      <c r="H22" s="2259"/>
      <c r="I22" s="1670">
        <v>277249</v>
      </c>
      <c r="J22" s="2407">
        <v>0</v>
      </c>
      <c r="K22" s="2258"/>
      <c r="L22" s="2259"/>
      <c r="M22" s="1670">
        <v>0</v>
      </c>
      <c r="N22" s="2407">
        <v>133574.5</v>
      </c>
      <c r="O22" s="2259"/>
      <c r="P22" s="2407">
        <v>0</v>
      </c>
      <c r="Q22" s="2259"/>
      <c r="R22" s="2407">
        <v>86123.5</v>
      </c>
      <c r="S22" s="2259"/>
      <c r="T22" s="1671">
        <v>43633</v>
      </c>
      <c r="U22" s="2429" t="s">
        <v>3660</v>
      </c>
      <c r="V22" s="2491"/>
    </row>
    <row r="23" spans="1:22" ht="60" customHeight="1">
      <c r="A23" s="1588" t="s">
        <v>1087</v>
      </c>
      <c r="B23" s="1588" t="s">
        <v>235</v>
      </c>
      <c r="C23" s="2406" t="s">
        <v>629</v>
      </c>
      <c r="D23" s="2259"/>
      <c r="E23" s="1588"/>
      <c r="F23" s="1588"/>
      <c r="G23" s="2407">
        <v>840036.45</v>
      </c>
      <c r="H23" s="2259"/>
      <c r="I23" s="1670">
        <v>417548</v>
      </c>
      <c r="J23" s="2407">
        <v>0</v>
      </c>
      <c r="K23" s="2258"/>
      <c r="L23" s="2259"/>
      <c r="M23" s="1670">
        <v>0</v>
      </c>
      <c r="N23" s="2407">
        <v>0</v>
      </c>
      <c r="O23" s="2259"/>
      <c r="P23" s="2407">
        <v>0</v>
      </c>
      <c r="Q23" s="2259"/>
      <c r="R23" s="2407">
        <v>422488.45</v>
      </c>
      <c r="S23" s="2259"/>
      <c r="T23" s="1671">
        <v>43343</v>
      </c>
      <c r="U23" s="2429" t="s">
        <v>3660</v>
      </c>
      <c r="V23" s="2491"/>
    </row>
    <row r="24" spans="1:22" ht="61.5" customHeight="1" thickBot="1">
      <c r="A24" s="1588" t="s">
        <v>843</v>
      </c>
      <c r="B24" s="1588" t="s">
        <v>161</v>
      </c>
      <c r="C24" s="2406" t="s">
        <v>3423</v>
      </c>
      <c r="D24" s="2259"/>
      <c r="E24" s="1588"/>
      <c r="F24" s="1588"/>
      <c r="G24" s="2407">
        <v>262703</v>
      </c>
      <c r="H24" s="2259"/>
      <c r="I24" s="1670">
        <v>223297</v>
      </c>
      <c r="J24" s="2407">
        <v>0</v>
      </c>
      <c r="K24" s="2258"/>
      <c r="L24" s="2259"/>
      <c r="M24" s="1670">
        <v>0</v>
      </c>
      <c r="N24" s="2407">
        <v>39406</v>
      </c>
      <c r="O24" s="2259"/>
      <c r="P24" s="2407">
        <v>0</v>
      </c>
      <c r="Q24" s="2259"/>
      <c r="R24" s="2407">
        <v>0</v>
      </c>
      <c r="S24" s="2259"/>
      <c r="T24" s="1671">
        <v>43343</v>
      </c>
      <c r="U24" s="2429" t="s">
        <v>3660</v>
      </c>
      <c r="V24" s="2491"/>
    </row>
    <row r="25" spans="1:22" ht="15" customHeight="1">
      <c r="A25" s="2278" t="s">
        <v>3649</v>
      </c>
      <c r="B25" s="2279"/>
      <c r="C25" s="2279"/>
      <c r="D25" s="2279"/>
      <c r="E25" s="2279"/>
      <c r="F25" s="2280"/>
      <c r="G25" s="2413">
        <v>2096500.35</v>
      </c>
      <c r="H25" s="2280"/>
      <c r="I25" s="1665">
        <v>1263271</v>
      </c>
      <c r="J25" s="2413">
        <v>0</v>
      </c>
      <c r="K25" s="2279"/>
      <c r="L25" s="2280"/>
      <c r="M25" s="1665">
        <v>0</v>
      </c>
      <c r="N25" s="2413">
        <v>324617.40000000002</v>
      </c>
      <c r="O25" s="2280"/>
      <c r="P25" s="2413">
        <v>0</v>
      </c>
      <c r="Q25" s="2280"/>
      <c r="R25" s="2413">
        <v>508611.95</v>
      </c>
      <c r="S25" s="2280"/>
      <c r="T25" s="2410"/>
      <c r="U25" s="2279"/>
      <c r="V25" s="2280"/>
    </row>
    <row r="26" spans="1:22" ht="15" customHeight="1">
      <c r="A26" s="2411" t="s">
        <v>3650</v>
      </c>
      <c r="B26" s="2258"/>
      <c r="C26" s="2258"/>
      <c r="D26" s="2258"/>
      <c r="E26" s="2258"/>
      <c r="F26" s="2258"/>
      <c r="G26" s="2258"/>
      <c r="H26" s="2259"/>
      <c r="I26" s="2412">
        <v>1263272</v>
      </c>
      <c r="J26" s="2273"/>
      <c r="K26" s="2273"/>
      <c r="L26" s="2273"/>
      <c r="M26" s="2273"/>
      <c r="N26" s="2273"/>
      <c r="O26" s="2273"/>
      <c r="P26" s="2273"/>
      <c r="Q26" s="2273"/>
      <c r="R26" s="2273"/>
      <c r="S26" s="2273"/>
      <c r="T26" s="2273"/>
      <c r="U26" s="2273"/>
      <c r="V26" s="2274"/>
    </row>
    <row r="27" spans="1:22" ht="33.6" hidden="1" customHeight="1">
      <c r="A27" s="1402"/>
      <c r="B27" s="1402"/>
      <c r="C27" s="1402"/>
      <c r="D27" s="1402"/>
      <c r="E27" s="1402"/>
      <c r="F27" s="1402"/>
      <c r="G27" s="1402"/>
      <c r="H27" s="1402"/>
      <c r="I27" s="1402"/>
      <c r="J27" s="1402"/>
      <c r="K27" s="1402"/>
      <c r="L27" s="1402"/>
      <c r="M27" s="1402"/>
      <c r="N27" s="1402"/>
      <c r="O27" s="1402"/>
      <c r="P27" s="1402"/>
      <c r="Q27" s="1402"/>
      <c r="R27" s="1402"/>
      <c r="S27" s="1402"/>
      <c r="T27" s="1402"/>
      <c r="U27" s="1402"/>
      <c r="V27" s="1402"/>
    </row>
    <row r="28" spans="1:22" ht="409.6" hidden="1" customHeight="1"/>
  </sheetData>
  <mergeCells count="83">
    <mergeCell ref="A8:U8"/>
    <mergeCell ref="A2:P2"/>
    <mergeCell ref="A3:P3"/>
    <mergeCell ref="A4:C4"/>
    <mergeCell ref="D4:R4"/>
    <mergeCell ref="S4:U4"/>
    <mergeCell ref="A5:U5"/>
    <mergeCell ref="A6:U6"/>
    <mergeCell ref="A7:C7"/>
    <mergeCell ref="D7:R7"/>
    <mergeCell ref="S7:U7"/>
    <mergeCell ref="Q2:U2"/>
    <mergeCell ref="Q3:U3"/>
    <mergeCell ref="A9:U9"/>
    <mergeCell ref="A10:U10"/>
    <mergeCell ref="A11:U11"/>
    <mergeCell ref="A12:G12"/>
    <mergeCell ref="H12:J12"/>
    <mergeCell ref="L12:N12"/>
    <mergeCell ref="O12:U12"/>
    <mergeCell ref="A15:A19"/>
    <mergeCell ref="B15:B19"/>
    <mergeCell ref="C15:D19"/>
    <mergeCell ref="E15:E19"/>
    <mergeCell ref="F15:F19"/>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R25:S25"/>
    <mergeCell ref="T25:V25"/>
    <mergeCell ref="A26:H26"/>
    <mergeCell ref="I26:V26"/>
    <mergeCell ref="G24:H24"/>
    <mergeCell ref="J24:L24"/>
    <mergeCell ref="N24:O24"/>
    <mergeCell ref="P24:Q24"/>
    <mergeCell ref="R24:S24"/>
    <mergeCell ref="C24:D24"/>
    <mergeCell ref="U24:V24"/>
    <mergeCell ref="A25:F25"/>
    <mergeCell ref="G25:H25"/>
    <mergeCell ref="J25:L25"/>
    <mergeCell ref="N25:O25"/>
    <mergeCell ref="P25:Q25"/>
  </mergeCell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2:V23"/>
  <sheetViews>
    <sheetView workbookViewId="0">
      <selection activeCell="M28" sqref="M28"/>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17" style="21" customWidth="1"/>
    <col min="21" max="21" width="21.85546875" style="21" customWidth="1"/>
    <col min="22" max="22" width="11.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17" style="21" customWidth="1"/>
    <col min="277" max="277" width="21.85546875" style="21" customWidth="1"/>
    <col min="278" max="278" width="11.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17" style="21" customWidth="1"/>
    <col min="533" max="533" width="21.85546875" style="21" customWidth="1"/>
    <col min="534" max="534" width="11.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17" style="21" customWidth="1"/>
    <col min="789" max="789" width="21.85546875" style="21" customWidth="1"/>
    <col min="790" max="790" width="11.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17" style="21" customWidth="1"/>
    <col min="1045" max="1045" width="21.85546875" style="21" customWidth="1"/>
    <col min="1046" max="1046" width="11.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17" style="21" customWidth="1"/>
    <col min="1301" max="1301" width="21.85546875" style="21" customWidth="1"/>
    <col min="1302" max="1302" width="11.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17" style="21" customWidth="1"/>
    <col min="1557" max="1557" width="21.85546875" style="21" customWidth="1"/>
    <col min="1558" max="1558" width="11.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17" style="21" customWidth="1"/>
    <col min="1813" max="1813" width="21.85546875" style="21" customWidth="1"/>
    <col min="1814" max="1814" width="11.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17" style="21" customWidth="1"/>
    <col min="2069" max="2069" width="21.85546875" style="21" customWidth="1"/>
    <col min="2070" max="2070" width="11.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17" style="21" customWidth="1"/>
    <col min="2325" max="2325" width="21.85546875" style="21" customWidth="1"/>
    <col min="2326" max="2326" width="11.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17" style="21" customWidth="1"/>
    <col min="2581" max="2581" width="21.85546875" style="21" customWidth="1"/>
    <col min="2582" max="2582" width="11.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17" style="21" customWidth="1"/>
    <col min="2837" max="2837" width="21.85546875" style="21" customWidth="1"/>
    <col min="2838" max="2838" width="11.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17" style="21" customWidth="1"/>
    <col min="3093" max="3093" width="21.85546875" style="21" customWidth="1"/>
    <col min="3094" max="3094" width="11.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17" style="21" customWidth="1"/>
    <col min="3349" max="3349" width="21.85546875" style="21" customWidth="1"/>
    <col min="3350" max="3350" width="11.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17" style="21" customWidth="1"/>
    <col min="3605" max="3605" width="21.85546875" style="21" customWidth="1"/>
    <col min="3606" max="3606" width="11.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17" style="21" customWidth="1"/>
    <col min="3861" max="3861" width="21.85546875" style="21" customWidth="1"/>
    <col min="3862" max="3862" width="11.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17" style="21" customWidth="1"/>
    <col min="4117" max="4117" width="21.85546875" style="21" customWidth="1"/>
    <col min="4118" max="4118" width="11.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17" style="21" customWidth="1"/>
    <col min="4373" max="4373" width="21.85546875" style="21" customWidth="1"/>
    <col min="4374" max="4374" width="11.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17" style="21" customWidth="1"/>
    <col min="4629" max="4629" width="21.85546875" style="21" customWidth="1"/>
    <col min="4630" max="4630" width="11.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17" style="21" customWidth="1"/>
    <col min="4885" max="4885" width="21.85546875" style="21" customWidth="1"/>
    <col min="4886" max="4886" width="11.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17" style="21" customWidth="1"/>
    <col min="5141" max="5141" width="21.85546875" style="21" customWidth="1"/>
    <col min="5142" max="5142" width="11.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17" style="21" customWidth="1"/>
    <col min="5397" max="5397" width="21.85546875" style="21" customWidth="1"/>
    <col min="5398" max="5398" width="11.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17" style="21" customWidth="1"/>
    <col min="5653" max="5653" width="21.85546875" style="21" customWidth="1"/>
    <col min="5654" max="5654" width="11.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17" style="21" customWidth="1"/>
    <col min="5909" max="5909" width="21.85546875" style="21" customWidth="1"/>
    <col min="5910" max="5910" width="11.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17" style="21" customWidth="1"/>
    <col min="6165" max="6165" width="21.85546875" style="21" customWidth="1"/>
    <col min="6166" max="6166" width="11.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17" style="21" customWidth="1"/>
    <col min="6421" max="6421" width="21.85546875" style="21" customWidth="1"/>
    <col min="6422" max="6422" width="11.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17" style="21" customWidth="1"/>
    <col min="6677" max="6677" width="21.85546875" style="21" customWidth="1"/>
    <col min="6678" max="6678" width="11.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17" style="21" customWidth="1"/>
    <col min="6933" max="6933" width="21.85546875" style="21" customWidth="1"/>
    <col min="6934" max="6934" width="11.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17" style="21" customWidth="1"/>
    <col min="7189" max="7189" width="21.85546875" style="21" customWidth="1"/>
    <col min="7190" max="7190" width="11.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17" style="21" customWidth="1"/>
    <col min="7445" max="7445" width="21.85546875" style="21" customWidth="1"/>
    <col min="7446" max="7446" width="11.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17" style="21" customWidth="1"/>
    <col min="7701" max="7701" width="21.85546875" style="21" customWidth="1"/>
    <col min="7702" max="7702" width="11.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17" style="21" customWidth="1"/>
    <col min="7957" max="7957" width="21.85546875" style="21" customWidth="1"/>
    <col min="7958" max="7958" width="11.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17" style="21" customWidth="1"/>
    <col min="8213" max="8213" width="21.85546875" style="21" customWidth="1"/>
    <col min="8214" max="8214" width="11.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17" style="21" customWidth="1"/>
    <col min="8469" max="8469" width="21.85546875" style="21" customWidth="1"/>
    <col min="8470" max="8470" width="11.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17" style="21" customWidth="1"/>
    <col min="8725" max="8725" width="21.85546875" style="21" customWidth="1"/>
    <col min="8726" max="8726" width="11.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17" style="21" customWidth="1"/>
    <col min="8981" max="8981" width="21.85546875" style="21" customWidth="1"/>
    <col min="8982" max="8982" width="11.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17" style="21" customWidth="1"/>
    <col min="9237" max="9237" width="21.85546875" style="21" customWidth="1"/>
    <col min="9238" max="9238" width="11.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17" style="21" customWidth="1"/>
    <col min="9493" max="9493" width="21.85546875" style="21" customWidth="1"/>
    <col min="9494" max="9494" width="11.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17" style="21" customWidth="1"/>
    <col min="9749" max="9749" width="21.85546875" style="21" customWidth="1"/>
    <col min="9750" max="9750" width="11.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17" style="21" customWidth="1"/>
    <col min="10005" max="10005" width="21.85546875" style="21" customWidth="1"/>
    <col min="10006" max="10006" width="11.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17" style="21" customWidth="1"/>
    <col min="10261" max="10261" width="21.85546875" style="21" customWidth="1"/>
    <col min="10262" max="10262" width="11.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17" style="21" customWidth="1"/>
    <col min="10517" max="10517" width="21.85546875" style="21" customWidth="1"/>
    <col min="10518" max="10518" width="11.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17" style="21" customWidth="1"/>
    <col min="10773" max="10773" width="21.85546875" style="21" customWidth="1"/>
    <col min="10774" max="10774" width="11.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17" style="21" customWidth="1"/>
    <col min="11029" max="11029" width="21.85546875" style="21" customWidth="1"/>
    <col min="11030" max="11030" width="11.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17" style="21" customWidth="1"/>
    <col min="11285" max="11285" width="21.85546875" style="21" customWidth="1"/>
    <col min="11286" max="11286" width="11.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17" style="21" customWidth="1"/>
    <col min="11541" max="11541" width="21.85546875" style="21" customWidth="1"/>
    <col min="11542" max="11542" width="11.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17" style="21" customWidth="1"/>
    <col min="11797" max="11797" width="21.85546875" style="21" customWidth="1"/>
    <col min="11798" max="11798" width="11.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17" style="21" customWidth="1"/>
    <col min="12053" max="12053" width="21.85546875" style="21" customWidth="1"/>
    <col min="12054" max="12054" width="11.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17" style="21" customWidth="1"/>
    <col min="12309" max="12309" width="21.85546875" style="21" customWidth="1"/>
    <col min="12310" max="12310" width="11.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17" style="21" customWidth="1"/>
    <col min="12565" max="12565" width="21.85546875" style="21" customWidth="1"/>
    <col min="12566" max="12566" width="11.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17" style="21" customWidth="1"/>
    <col min="12821" max="12821" width="21.85546875" style="21" customWidth="1"/>
    <col min="12822" max="12822" width="11.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17" style="21" customWidth="1"/>
    <col min="13077" max="13077" width="21.85546875" style="21" customWidth="1"/>
    <col min="13078" max="13078" width="11.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17" style="21" customWidth="1"/>
    <col min="13333" max="13333" width="21.85546875" style="21" customWidth="1"/>
    <col min="13334" max="13334" width="11.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17" style="21" customWidth="1"/>
    <col min="13589" max="13589" width="21.85546875" style="21" customWidth="1"/>
    <col min="13590" max="13590" width="11.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17" style="21" customWidth="1"/>
    <col min="13845" max="13845" width="21.85546875" style="21" customWidth="1"/>
    <col min="13846" max="13846" width="11.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17" style="21" customWidth="1"/>
    <col min="14101" max="14101" width="21.85546875" style="21" customWidth="1"/>
    <col min="14102" max="14102" width="11.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17" style="21" customWidth="1"/>
    <col min="14357" max="14357" width="21.85546875" style="21" customWidth="1"/>
    <col min="14358" max="14358" width="11.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17" style="21" customWidth="1"/>
    <col min="14613" max="14613" width="21.85546875" style="21" customWidth="1"/>
    <col min="14614" max="14614" width="11.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17" style="21" customWidth="1"/>
    <col min="14869" max="14869" width="21.85546875" style="21" customWidth="1"/>
    <col min="14870" max="14870" width="11.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17" style="21" customWidth="1"/>
    <col min="15125" max="15125" width="21.85546875" style="21" customWidth="1"/>
    <col min="15126" max="15126" width="11.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17" style="21" customWidth="1"/>
    <col min="15381" max="15381" width="21.85546875" style="21" customWidth="1"/>
    <col min="15382" max="15382" width="11.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17" style="21" customWidth="1"/>
    <col min="15637" max="15637" width="21.85546875" style="21" customWidth="1"/>
    <col min="15638" max="15638" width="11.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17" style="21" customWidth="1"/>
    <col min="15893" max="15893" width="21.85546875" style="21" customWidth="1"/>
    <col min="15894" max="15894" width="11.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17" style="21" customWidth="1"/>
    <col min="16149" max="16149" width="21.85546875" style="21" customWidth="1"/>
    <col min="16150" max="16150" width="11.140625" style="21" customWidth="1"/>
    <col min="16151" max="16384" width="9.140625" style="21"/>
  </cols>
  <sheetData>
    <row r="2" spans="1:22" ht="89.25" customHeight="1">
      <c r="A2" s="2204"/>
      <c r="B2" s="1846"/>
      <c r="C2" s="1846"/>
      <c r="D2" s="1846"/>
      <c r="E2" s="1846"/>
      <c r="F2" s="1846"/>
      <c r="G2" s="1846"/>
      <c r="H2" s="1846"/>
      <c r="I2" s="1846"/>
      <c r="J2" s="1846"/>
      <c r="K2" s="1846"/>
      <c r="L2" s="1846"/>
      <c r="M2" s="1846"/>
      <c r="N2" s="1846"/>
      <c r="O2" s="1846"/>
      <c r="P2" s="1846"/>
      <c r="Q2" s="2283" t="s">
        <v>3661</v>
      </c>
      <c r="R2" s="2205"/>
      <c r="S2" s="2205"/>
      <c r="T2" s="2205"/>
      <c r="U2" s="2205"/>
    </row>
    <row r="3" spans="1:22">
      <c r="A3" s="2204"/>
      <c r="B3" s="1846"/>
      <c r="C3" s="1846"/>
      <c r="D3" s="1846"/>
      <c r="E3" s="1846"/>
      <c r="F3" s="1846"/>
      <c r="G3" s="1846"/>
      <c r="H3" s="1846"/>
      <c r="I3" s="1846"/>
      <c r="J3" s="1846"/>
      <c r="K3" s="1846"/>
      <c r="L3" s="1846"/>
      <c r="M3" s="1846"/>
      <c r="N3" s="1846"/>
      <c r="O3" s="1846"/>
      <c r="P3" s="1846"/>
      <c r="Q3" s="2283"/>
      <c r="R3" s="1846"/>
      <c r="S3" s="1846"/>
      <c r="T3" s="1846"/>
      <c r="U3" s="1846"/>
    </row>
    <row r="4" spans="1:22">
      <c r="A4" s="2284"/>
      <c r="B4" s="1846"/>
      <c r="C4" s="1846"/>
      <c r="D4" s="2285" t="s">
        <v>1100</v>
      </c>
      <c r="E4" s="2190"/>
      <c r="F4" s="2190"/>
      <c r="G4" s="2190"/>
      <c r="H4" s="2190"/>
      <c r="I4" s="2190"/>
      <c r="J4" s="2190"/>
      <c r="K4" s="2190"/>
      <c r="L4" s="2190"/>
      <c r="M4" s="2190"/>
      <c r="N4" s="2190"/>
      <c r="O4" s="2190"/>
      <c r="P4" s="2190"/>
      <c r="Q4" s="2190"/>
      <c r="R4" s="2190"/>
      <c r="S4" s="2284"/>
      <c r="T4" s="1846"/>
      <c r="U4" s="1846"/>
    </row>
    <row r="5" spans="1:22">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c r="A6" s="2204"/>
      <c r="B6" s="1846"/>
      <c r="C6" s="1846"/>
      <c r="D6" s="1846"/>
      <c r="E6" s="1846"/>
      <c r="F6" s="1846"/>
      <c r="G6" s="1846"/>
      <c r="H6" s="1846"/>
      <c r="I6" s="1846"/>
      <c r="J6" s="1846"/>
      <c r="K6" s="1846"/>
      <c r="L6" s="1846"/>
      <c r="M6" s="1846"/>
      <c r="N6" s="1846"/>
      <c r="O6" s="1846"/>
      <c r="P6" s="1846"/>
      <c r="Q6" s="1846"/>
      <c r="R6" s="1846"/>
      <c r="S6" s="1846"/>
      <c r="T6" s="1846"/>
      <c r="U6" s="1846"/>
    </row>
    <row r="7" spans="1:22">
      <c r="A7" s="2284"/>
      <c r="B7" s="1846"/>
      <c r="C7" s="1846"/>
      <c r="D7" s="2286" t="s">
        <v>3662</v>
      </c>
      <c r="E7" s="2190"/>
      <c r="F7" s="2190"/>
      <c r="G7" s="2190"/>
      <c r="H7" s="2190"/>
      <c r="I7" s="2190"/>
      <c r="J7" s="2190"/>
      <c r="K7" s="2190"/>
      <c r="L7" s="2190"/>
      <c r="M7" s="2190"/>
      <c r="N7" s="2190"/>
      <c r="O7" s="2190"/>
      <c r="P7" s="2190"/>
      <c r="Q7" s="2190"/>
      <c r="R7" s="2190"/>
      <c r="S7" s="2284"/>
      <c r="T7" s="1846"/>
      <c r="U7" s="1846"/>
    </row>
    <row r="8" spans="1:22">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c r="A9" s="2287"/>
      <c r="B9" s="1846"/>
      <c r="C9" s="1846"/>
      <c r="D9" s="1846"/>
      <c r="E9" s="1846"/>
      <c r="F9" s="1846"/>
      <c r="G9" s="1846"/>
      <c r="H9" s="1846"/>
      <c r="I9" s="1846"/>
      <c r="J9" s="1846"/>
      <c r="K9" s="1846"/>
      <c r="L9" s="1846"/>
      <c r="M9" s="1846"/>
      <c r="N9" s="1846"/>
      <c r="O9" s="1846"/>
      <c r="P9" s="1846"/>
      <c r="Q9" s="1846"/>
      <c r="R9" s="1846"/>
      <c r="S9" s="1846"/>
      <c r="T9" s="1846"/>
      <c r="U9" s="1846"/>
    </row>
    <row r="10" spans="1:22">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5.75">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c r="A12" s="2284"/>
      <c r="B12" s="1846"/>
      <c r="C12" s="1846"/>
      <c r="D12" s="1846"/>
      <c r="E12" s="1846"/>
      <c r="F12" s="1846"/>
      <c r="G12" s="1846"/>
      <c r="H12" s="2289" t="s">
        <v>3663</v>
      </c>
      <c r="I12" s="2190"/>
      <c r="J12" s="2190"/>
      <c r="K12" s="1409" t="s">
        <v>7</v>
      </c>
      <c r="L12" s="2289" t="s">
        <v>3664</v>
      </c>
      <c r="M12" s="2190"/>
      <c r="N12" s="2190"/>
      <c r="O12" s="2284"/>
      <c r="P12" s="1846"/>
      <c r="Q12" s="1846"/>
      <c r="R12" s="1846"/>
      <c r="S12" s="1846"/>
      <c r="T12" s="1846"/>
      <c r="U12" s="1846"/>
    </row>
    <row r="13" spans="1:22" hidden="1"/>
    <row r="15" spans="1:22">
      <c r="A15" s="2176" t="s">
        <v>1045</v>
      </c>
      <c r="B15" s="2176" t="s">
        <v>50</v>
      </c>
      <c r="C15" s="2176" t="s">
        <v>3635</v>
      </c>
      <c r="D15" s="2179"/>
      <c r="E15" s="2176" t="s">
        <v>3636</v>
      </c>
      <c r="F15" s="2176" t="s">
        <v>3637</v>
      </c>
      <c r="G15" s="2176" t="s">
        <v>3638</v>
      </c>
      <c r="H15" s="2171"/>
      <c r="I15" s="2171"/>
      <c r="J15" s="2171"/>
      <c r="K15" s="2171"/>
      <c r="L15" s="2171"/>
      <c r="M15" s="2171"/>
      <c r="N15" s="2171"/>
      <c r="O15" s="2171"/>
      <c r="P15" s="2171"/>
      <c r="Q15" s="2171"/>
      <c r="R15" s="2171"/>
      <c r="S15" s="2162"/>
      <c r="T15" s="2176" t="s">
        <v>3639</v>
      </c>
      <c r="U15" s="2176" t="s">
        <v>3640</v>
      </c>
      <c r="V15" s="2179"/>
    </row>
    <row r="16" spans="1:22">
      <c r="A16" s="2177"/>
      <c r="B16" s="2177"/>
      <c r="C16" s="2180"/>
      <c r="D16" s="2181"/>
      <c r="E16" s="2177"/>
      <c r="F16" s="2177"/>
      <c r="G16" s="2176" t="s">
        <v>9</v>
      </c>
      <c r="H16" s="2179"/>
      <c r="I16" s="2176" t="s">
        <v>3641</v>
      </c>
      <c r="J16" s="2171"/>
      <c r="K16" s="2171"/>
      <c r="L16" s="2162"/>
      <c r="M16" s="2184" t="s">
        <v>3642</v>
      </c>
      <c r="N16" s="1846"/>
      <c r="O16" s="1846"/>
      <c r="P16" s="1846"/>
      <c r="Q16" s="1846"/>
      <c r="R16" s="1846"/>
      <c r="S16" s="1846"/>
      <c r="T16" s="2177"/>
      <c r="U16" s="2180"/>
      <c r="V16" s="2181"/>
    </row>
    <row r="17" spans="1:22">
      <c r="A17" s="2177"/>
      <c r="B17" s="2177"/>
      <c r="C17" s="2180"/>
      <c r="D17" s="2181"/>
      <c r="E17" s="2177"/>
      <c r="F17" s="2177"/>
      <c r="G17" s="2180"/>
      <c r="H17" s="2181"/>
      <c r="I17" s="2176" t="s">
        <v>3643</v>
      </c>
      <c r="J17" s="2185"/>
      <c r="K17" s="2171"/>
      <c r="L17" s="2171"/>
      <c r="M17" s="2186" t="s">
        <v>3644</v>
      </c>
      <c r="N17" s="2187"/>
      <c r="O17" s="2187"/>
      <c r="P17" s="2187"/>
      <c r="Q17" s="2187"/>
      <c r="R17" s="2187"/>
      <c r="S17" s="2188"/>
      <c r="T17" s="2177"/>
      <c r="U17" s="2180"/>
      <c r="V17" s="2181"/>
    </row>
    <row r="18" spans="1:22">
      <c r="A18" s="2177"/>
      <c r="B18" s="2177"/>
      <c r="C18" s="2180"/>
      <c r="D18" s="2181"/>
      <c r="E18" s="2177"/>
      <c r="F18" s="2177"/>
      <c r="G18" s="2180"/>
      <c r="H18" s="2181"/>
      <c r="I18" s="2177"/>
      <c r="J18" s="2176" t="s">
        <v>3645</v>
      </c>
      <c r="K18" s="2189"/>
      <c r="L18" s="2179"/>
      <c r="M18" s="2176" t="s">
        <v>1974</v>
      </c>
      <c r="N18" s="2171"/>
      <c r="O18" s="2171"/>
      <c r="P18" s="2171"/>
      <c r="Q18" s="2171"/>
      <c r="R18" s="2171"/>
      <c r="S18" s="2162"/>
      <c r="T18" s="2177"/>
      <c r="U18" s="2180"/>
      <c r="V18" s="2181"/>
    </row>
    <row r="19" spans="1:22" ht="48">
      <c r="A19" s="2178"/>
      <c r="B19" s="2178"/>
      <c r="C19" s="2182"/>
      <c r="D19" s="2183"/>
      <c r="E19" s="2178"/>
      <c r="F19" s="2178"/>
      <c r="G19" s="2182"/>
      <c r="H19" s="2183"/>
      <c r="I19" s="2178"/>
      <c r="J19" s="2182"/>
      <c r="K19" s="2190"/>
      <c r="L19" s="2183"/>
      <c r="M19" s="1396" t="s">
        <v>3645</v>
      </c>
      <c r="N19" s="2176" t="s">
        <v>2010</v>
      </c>
      <c r="O19" s="2162"/>
      <c r="P19" s="2176" t="s">
        <v>61</v>
      </c>
      <c r="Q19" s="2162"/>
      <c r="R19" s="2176" t="s">
        <v>60</v>
      </c>
      <c r="S19" s="2162"/>
      <c r="T19" s="2178"/>
      <c r="U19" s="2182"/>
      <c r="V19" s="2183"/>
    </row>
    <row r="20" spans="1:22">
      <c r="A20" s="1397" t="s">
        <v>2024</v>
      </c>
      <c r="B20" s="1397" t="s">
        <v>2534</v>
      </c>
      <c r="C20" s="2175" t="s">
        <v>2535</v>
      </c>
      <c r="D20" s="2162"/>
      <c r="E20" s="1397" t="s">
        <v>2536</v>
      </c>
      <c r="F20" s="1397" t="s">
        <v>2025</v>
      </c>
      <c r="G20" s="2175" t="s">
        <v>2072</v>
      </c>
      <c r="H20" s="2162"/>
      <c r="I20" s="1397" t="s">
        <v>2074</v>
      </c>
      <c r="J20" s="2175" t="s">
        <v>2075</v>
      </c>
      <c r="K20" s="2171"/>
      <c r="L20" s="2162"/>
      <c r="M20" s="1397" t="s">
        <v>2026</v>
      </c>
      <c r="N20" s="2175" t="s">
        <v>1706</v>
      </c>
      <c r="O20" s="2162"/>
      <c r="P20" s="2175" t="s">
        <v>1707</v>
      </c>
      <c r="Q20" s="2162"/>
      <c r="R20" s="2175" t="s">
        <v>1709</v>
      </c>
      <c r="S20" s="2162"/>
      <c r="T20" s="1397" t="s">
        <v>1710</v>
      </c>
      <c r="U20" s="2175" t="s">
        <v>1711</v>
      </c>
      <c r="V20" s="2162"/>
    </row>
    <row r="21" spans="1:22" ht="23.25" thickBot="1">
      <c r="A21" s="1326" t="s">
        <v>1052</v>
      </c>
      <c r="B21" s="1326" t="s">
        <v>3665</v>
      </c>
      <c r="C21" s="2290" t="s">
        <v>304</v>
      </c>
      <c r="D21" s="2162"/>
      <c r="E21" s="1326"/>
      <c r="F21" s="1326"/>
      <c r="G21" s="2161">
        <v>3999404</v>
      </c>
      <c r="H21" s="2162"/>
      <c r="I21" s="1398">
        <v>3399493</v>
      </c>
      <c r="J21" s="2161">
        <v>0</v>
      </c>
      <c r="K21" s="2171"/>
      <c r="L21" s="2162"/>
      <c r="M21" s="1398">
        <v>0</v>
      </c>
      <c r="N21" s="2161">
        <v>0</v>
      </c>
      <c r="O21" s="2162"/>
      <c r="P21" s="2161">
        <v>0</v>
      </c>
      <c r="Q21" s="2162"/>
      <c r="R21" s="2161">
        <v>599911</v>
      </c>
      <c r="S21" s="2162"/>
      <c r="T21" s="1399">
        <v>42726</v>
      </c>
      <c r="U21" s="2291" t="s">
        <v>3666</v>
      </c>
      <c r="V21" s="2292"/>
    </row>
    <row r="22" spans="1:22">
      <c r="A22" s="2173" t="s">
        <v>3649</v>
      </c>
      <c r="B22" s="2169"/>
      <c r="C22" s="2169"/>
      <c r="D22" s="2169"/>
      <c r="E22" s="2169"/>
      <c r="F22" s="2170"/>
      <c r="G22" s="2174">
        <v>3999404</v>
      </c>
      <c r="H22" s="2170"/>
      <c r="I22" s="1401">
        <v>3399493</v>
      </c>
      <c r="J22" s="2174">
        <v>0</v>
      </c>
      <c r="K22" s="2169"/>
      <c r="L22" s="2170"/>
      <c r="M22" s="1401">
        <v>0</v>
      </c>
      <c r="N22" s="2174">
        <v>0</v>
      </c>
      <c r="O22" s="2170"/>
      <c r="P22" s="2174">
        <v>0</v>
      </c>
      <c r="Q22" s="2170"/>
      <c r="R22" s="2174">
        <v>599911</v>
      </c>
      <c r="S22" s="2170"/>
      <c r="T22" s="2168"/>
      <c r="U22" s="2169"/>
      <c r="V22" s="2170"/>
    </row>
    <row r="23" spans="1:22">
      <c r="A23" s="2163" t="s">
        <v>3650</v>
      </c>
      <c r="B23" s="2171"/>
      <c r="C23" s="2171"/>
      <c r="D23" s="2171"/>
      <c r="E23" s="2171"/>
      <c r="F23" s="2171"/>
      <c r="G23" s="2171"/>
      <c r="H23" s="2162"/>
      <c r="I23" s="2338">
        <v>3399493.48</v>
      </c>
      <c r="J23" s="2339"/>
      <c r="K23" s="2339"/>
      <c r="L23" s="2339"/>
      <c r="M23" s="2339"/>
      <c r="N23" s="2339"/>
      <c r="O23" s="2339"/>
      <c r="P23" s="2339"/>
      <c r="Q23" s="2339"/>
      <c r="R23" s="2339"/>
      <c r="S23" s="2339"/>
      <c r="T23" s="2339"/>
      <c r="U23" s="2339"/>
      <c r="V23" s="2340"/>
    </row>
  </sheetData>
  <mergeCells count="62">
    <mergeCell ref="A8:U8"/>
    <mergeCell ref="A2:P2"/>
    <mergeCell ref="Q2:U2"/>
    <mergeCell ref="A3:P3"/>
    <mergeCell ref="Q3:U3"/>
    <mergeCell ref="A4:C4"/>
    <mergeCell ref="D4:R4"/>
    <mergeCell ref="S4:U4"/>
    <mergeCell ref="A5:U5"/>
    <mergeCell ref="A6:U6"/>
    <mergeCell ref="A7:C7"/>
    <mergeCell ref="D7:R7"/>
    <mergeCell ref="S7:U7"/>
    <mergeCell ref="A9:U9"/>
    <mergeCell ref="A10:U10"/>
    <mergeCell ref="A11:U11"/>
    <mergeCell ref="A12:G12"/>
    <mergeCell ref="H12:J12"/>
    <mergeCell ref="L12:N12"/>
    <mergeCell ref="O12:U12"/>
    <mergeCell ref="A15:A19"/>
    <mergeCell ref="B15:B19"/>
    <mergeCell ref="C15:D19"/>
    <mergeCell ref="E15:E19"/>
    <mergeCell ref="F15:F19"/>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22:V22"/>
    <mergeCell ref="A23:H23"/>
    <mergeCell ref="I23:V23"/>
    <mergeCell ref="A22:F22"/>
    <mergeCell ref="G22:H22"/>
    <mergeCell ref="J22:L22"/>
    <mergeCell ref="N22:O22"/>
    <mergeCell ref="P22:Q22"/>
    <mergeCell ref="R22:S22"/>
  </mergeCell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B1:M27"/>
  <sheetViews>
    <sheetView topLeftCell="A6" workbookViewId="0">
      <selection activeCell="J18" sqref="J18"/>
    </sheetView>
  </sheetViews>
  <sheetFormatPr defaultColWidth="9.140625" defaultRowHeight="15.75"/>
  <cols>
    <col min="1" max="1" width="2.28515625" style="117" customWidth="1"/>
    <col min="2" max="2" width="6.7109375" style="117" customWidth="1"/>
    <col min="3" max="3" width="18.5703125" style="117" customWidth="1"/>
    <col min="4" max="4" width="43.140625" style="117" customWidth="1"/>
    <col min="5" max="5" width="15.5703125" style="117" customWidth="1"/>
    <col min="6" max="6" width="17.7109375" style="117" customWidth="1"/>
    <col min="7" max="7" width="14.28515625" style="117" customWidth="1"/>
    <col min="8" max="8" width="13.7109375" style="117" customWidth="1"/>
    <col min="9" max="9" width="13.42578125" style="117" customWidth="1"/>
    <col min="10" max="10" width="11.7109375" style="117" customWidth="1"/>
    <col min="11" max="11" width="15.42578125" style="117" customWidth="1"/>
    <col min="12" max="12" width="17.28515625" style="117" customWidth="1"/>
    <col min="13" max="13" width="40.5703125" style="117" customWidth="1"/>
    <col min="14" max="17" width="9.140625" style="117"/>
    <col min="18" max="18" width="30.85546875" style="117" customWidth="1"/>
    <col min="19" max="16384" width="9.140625" style="117"/>
  </cols>
  <sheetData>
    <row r="1" spans="2:13" hidden="1"/>
    <row r="2" spans="2:13" ht="45">
      <c r="B2" s="1411"/>
      <c r="C2" s="1411"/>
      <c r="D2" s="1411"/>
      <c r="E2" s="1411"/>
      <c r="F2" s="1411"/>
      <c r="G2" s="1411"/>
      <c r="H2" s="1411"/>
      <c r="I2" s="1412"/>
      <c r="J2" s="1412"/>
      <c r="K2" s="1412"/>
      <c r="L2" s="1413"/>
      <c r="M2" s="1414" t="s">
        <v>3667</v>
      </c>
    </row>
    <row r="3" spans="2:13" hidden="1">
      <c r="B3" s="2504"/>
      <c r="C3" s="2504"/>
      <c r="D3" s="2504"/>
      <c r="E3" s="2504"/>
      <c r="F3" s="2504"/>
      <c r="G3" s="2504"/>
      <c r="H3" s="2504"/>
      <c r="I3" s="2504"/>
      <c r="J3" s="2504"/>
      <c r="K3" s="2504"/>
      <c r="L3" s="2504"/>
      <c r="M3" s="2504"/>
    </row>
    <row r="4" spans="2:13" hidden="1">
      <c r="B4" s="1415"/>
      <c r="C4" s="1415"/>
      <c r="D4" s="1415"/>
      <c r="E4" s="1415"/>
      <c r="F4" s="1415"/>
      <c r="G4" s="1415"/>
      <c r="H4" s="1415"/>
      <c r="I4" s="1415"/>
      <c r="J4" s="1415"/>
      <c r="K4" s="1415"/>
      <c r="L4" s="1415"/>
      <c r="M4" s="1415"/>
    </row>
    <row r="5" spans="2:13">
      <c r="B5" s="2505"/>
      <c r="C5" s="2506"/>
      <c r="D5" s="2506"/>
      <c r="E5" s="2506"/>
      <c r="F5" s="2506"/>
      <c r="G5" s="2506"/>
      <c r="H5" s="2506"/>
      <c r="I5" s="2506"/>
      <c r="J5" s="2506"/>
      <c r="K5" s="2506"/>
      <c r="L5" s="2506"/>
      <c r="M5" s="2506"/>
    </row>
    <row r="6" spans="2:13">
      <c r="B6" s="2507" t="s">
        <v>3668</v>
      </c>
      <c r="C6" s="2507"/>
      <c r="D6" s="2507"/>
      <c r="E6" s="2507"/>
      <c r="F6" s="2507"/>
      <c r="G6" s="2507"/>
      <c r="H6" s="2507"/>
      <c r="I6" s="2507"/>
      <c r="J6" s="2507"/>
      <c r="K6" s="2507"/>
      <c r="L6" s="2507"/>
      <c r="M6" s="2507"/>
    </row>
    <row r="7" spans="2:13">
      <c r="B7" s="2507" t="s">
        <v>3669</v>
      </c>
      <c r="C7" s="2507"/>
      <c r="D7" s="2507"/>
      <c r="E7" s="2507"/>
      <c r="F7" s="2507"/>
      <c r="G7" s="2507"/>
      <c r="H7" s="2507"/>
      <c r="I7" s="2507"/>
      <c r="J7" s="2507"/>
      <c r="K7" s="2507"/>
      <c r="L7" s="2507"/>
      <c r="M7" s="2507"/>
    </row>
    <row r="8" spans="2:13">
      <c r="B8" s="2507" t="s">
        <v>3670</v>
      </c>
      <c r="C8" s="2507"/>
      <c r="D8" s="2507"/>
      <c r="E8" s="2507"/>
      <c r="F8" s="2507"/>
      <c r="G8" s="2507"/>
      <c r="H8" s="2507"/>
      <c r="I8" s="2507"/>
      <c r="J8" s="2507"/>
      <c r="K8" s="2507"/>
      <c r="L8" s="2507"/>
      <c r="M8" s="2507"/>
    </row>
    <row r="9" spans="2:13">
      <c r="B9" s="1416"/>
      <c r="C9" s="1416"/>
      <c r="D9" s="1416"/>
      <c r="E9" s="1416"/>
      <c r="F9" s="2503"/>
      <c r="G9" s="2503"/>
      <c r="H9" s="2503"/>
      <c r="I9" s="2503"/>
      <c r="J9" s="2503"/>
      <c r="K9" s="2503"/>
      <c r="L9" s="2503"/>
      <c r="M9" s="1417"/>
    </row>
    <row r="10" spans="2:13">
      <c r="B10" s="1416"/>
      <c r="C10" s="1416"/>
      <c r="D10" s="1416"/>
      <c r="E10" s="2500">
        <v>42754</v>
      </c>
      <c r="F10" s="2501"/>
      <c r="G10" s="2502" t="s">
        <v>3671</v>
      </c>
      <c r="H10" s="2502"/>
      <c r="I10" s="1418"/>
      <c r="J10" s="1416"/>
      <c r="K10" s="1416"/>
      <c r="L10" s="1416"/>
      <c r="M10" s="1101"/>
    </row>
    <row r="11" spans="2:13">
      <c r="B11" s="1411"/>
      <c r="C11" s="1411"/>
      <c r="D11" s="1411"/>
      <c r="E11" s="1419"/>
      <c r="F11" s="1419"/>
      <c r="G11" s="1419"/>
      <c r="H11" s="1419"/>
      <c r="I11" s="1411"/>
      <c r="J11" s="1411"/>
      <c r="K11" s="1411"/>
      <c r="L11" s="1411"/>
      <c r="M11" s="1411"/>
    </row>
    <row r="12" spans="2:13">
      <c r="B12" s="2499" t="s">
        <v>1045</v>
      </c>
      <c r="C12" s="2499" t="s">
        <v>50</v>
      </c>
      <c r="D12" s="2499" t="s">
        <v>3672</v>
      </c>
      <c r="E12" s="2499" t="s">
        <v>3638</v>
      </c>
      <c r="F12" s="2499"/>
      <c r="G12" s="2499"/>
      <c r="H12" s="2499"/>
      <c r="I12" s="2499"/>
      <c r="J12" s="2499"/>
      <c r="K12" s="2499"/>
      <c r="L12" s="2499" t="s">
        <v>3639</v>
      </c>
      <c r="M12" s="2499" t="s">
        <v>3673</v>
      </c>
    </row>
    <row r="13" spans="2:13">
      <c r="B13" s="2499"/>
      <c r="C13" s="2499"/>
      <c r="D13" s="2499"/>
      <c r="E13" s="2499" t="s">
        <v>9</v>
      </c>
      <c r="F13" s="2499" t="s">
        <v>3641</v>
      </c>
      <c r="G13" s="2499"/>
      <c r="H13" s="2499" t="s">
        <v>3642</v>
      </c>
      <c r="I13" s="2499"/>
      <c r="J13" s="2499"/>
      <c r="K13" s="2499"/>
      <c r="L13" s="2499"/>
      <c r="M13" s="2499"/>
    </row>
    <row r="14" spans="2:13">
      <c r="B14" s="2499"/>
      <c r="C14" s="2499"/>
      <c r="D14" s="2499"/>
      <c r="E14" s="2499"/>
      <c r="F14" s="2499" t="s">
        <v>3643</v>
      </c>
      <c r="G14" s="2499" t="s">
        <v>3674</v>
      </c>
      <c r="H14" s="2499"/>
      <c r="I14" s="2499"/>
      <c r="J14" s="2499"/>
      <c r="K14" s="2499"/>
      <c r="L14" s="2499"/>
      <c r="M14" s="2499"/>
    </row>
    <row r="15" spans="2:13">
      <c r="B15" s="2499"/>
      <c r="C15" s="2499"/>
      <c r="D15" s="2499"/>
      <c r="E15" s="2499"/>
      <c r="F15" s="2499"/>
      <c r="G15" s="2499" t="s">
        <v>3675</v>
      </c>
      <c r="H15" s="2499" t="s">
        <v>1974</v>
      </c>
      <c r="I15" s="2499"/>
      <c r="J15" s="2499"/>
      <c r="K15" s="2499"/>
      <c r="L15" s="2499"/>
      <c r="M15" s="2499"/>
    </row>
    <row r="16" spans="2:13" ht="78.75">
      <c r="B16" s="2499"/>
      <c r="C16" s="2499"/>
      <c r="D16" s="2499"/>
      <c r="E16" s="2499"/>
      <c r="F16" s="2499"/>
      <c r="G16" s="2499"/>
      <c r="H16" s="1420" t="s">
        <v>3676</v>
      </c>
      <c r="I16" s="1420" t="s">
        <v>3677</v>
      </c>
      <c r="J16" s="1420" t="s">
        <v>3678</v>
      </c>
      <c r="K16" s="1420" t="s">
        <v>60</v>
      </c>
      <c r="L16" s="2499"/>
      <c r="M16" s="2499"/>
    </row>
    <row r="17" spans="2:13">
      <c r="B17" s="1421">
        <v>1</v>
      </c>
      <c r="C17" s="1421">
        <v>2</v>
      </c>
      <c r="D17" s="1421">
        <v>3</v>
      </c>
      <c r="E17" s="1422">
        <v>4</v>
      </c>
      <c r="F17" s="1421">
        <v>5</v>
      </c>
      <c r="G17" s="1421">
        <v>6</v>
      </c>
      <c r="H17" s="1421">
        <v>7</v>
      </c>
      <c r="I17" s="1421">
        <v>8</v>
      </c>
      <c r="J17" s="1421">
        <v>9</v>
      </c>
      <c r="K17" s="1421">
        <v>10</v>
      </c>
      <c r="L17" s="1421">
        <v>11</v>
      </c>
      <c r="M17" s="1421">
        <v>12</v>
      </c>
    </row>
    <row r="18" spans="2:13" ht="126">
      <c r="B18" s="1420">
        <v>1</v>
      </c>
      <c r="C18" s="1423" t="s">
        <v>3679</v>
      </c>
      <c r="D18" s="1424" t="s">
        <v>2085</v>
      </c>
      <c r="E18" s="1425">
        <f>SUM(F18:K18)</f>
        <v>4325492</v>
      </c>
      <c r="F18" s="1425">
        <v>3352807.77</v>
      </c>
      <c r="G18" s="1426">
        <v>0</v>
      </c>
      <c r="H18" s="1426">
        <v>0</v>
      </c>
      <c r="I18" s="1426">
        <v>0</v>
      </c>
      <c r="J18" s="1426">
        <v>0</v>
      </c>
      <c r="K18" s="1427">
        <v>972684.23</v>
      </c>
      <c r="L18" s="1428" t="s">
        <v>3680</v>
      </c>
      <c r="M18" s="590" t="s">
        <v>3681</v>
      </c>
    </row>
    <row r="19" spans="2:13">
      <c r="B19" s="2492" t="s">
        <v>3649</v>
      </c>
      <c r="C19" s="2492"/>
      <c r="D19" s="2492"/>
      <c r="E19" s="2493">
        <f t="shared" ref="E19:K19" si="0">SUM(E18:E18)</f>
        <v>4325492</v>
      </c>
      <c r="F19" s="1429">
        <f t="shared" si="0"/>
        <v>3352807.77</v>
      </c>
      <c r="G19" s="1429">
        <f t="shared" si="0"/>
        <v>0</v>
      </c>
      <c r="H19" s="1429">
        <f t="shared" si="0"/>
        <v>0</v>
      </c>
      <c r="I19" s="1429">
        <f t="shared" si="0"/>
        <v>0</v>
      </c>
      <c r="J19" s="1429">
        <f t="shared" si="0"/>
        <v>0</v>
      </c>
      <c r="K19" s="1429">
        <f t="shared" si="0"/>
        <v>972684.23</v>
      </c>
      <c r="L19" s="2494"/>
      <c r="M19" s="2495"/>
    </row>
    <row r="20" spans="2:13">
      <c r="B20" s="2492"/>
      <c r="C20" s="2492"/>
      <c r="D20" s="2492"/>
      <c r="E20" s="2493"/>
      <c r="F20" s="2492"/>
      <c r="G20" s="2496"/>
      <c r="H20" s="2496"/>
      <c r="I20" s="2496"/>
      <c r="J20" s="2496"/>
      <c r="K20" s="2496"/>
      <c r="L20" s="2495"/>
      <c r="M20" s="2495"/>
    </row>
    <row r="21" spans="2:13">
      <c r="B21" s="2497" t="s">
        <v>3650</v>
      </c>
      <c r="C21" s="2497"/>
      <c r="D21" s="2497"/>
      <c r="E21" s="2497"/>
      <c r="F21" s="2498">
        <v>3352807.77</v>
      </c>
      <c r="G21" s="2498"/>
      <c r="H21" s="2498"/>
      <c r="I21" s="2498"/>
      <c r="J21" s="2498"/>
      <c r="K21" s="2498"/>
      <c r="L21" s="2498"/>
      <c r="M21" s="2498"/>
    </row>
    <row r="23" spans="2:13">
      <c r="E23" s="1430"/>
      <c r="F23" s="1430"/>
      <c r="G23" s="1430"/>
      <c r="H23" s="1430"/>
      <c r="I23" s="1430"/>
      <c r="J23" s="1430"/>
      <c r="K23" s="1430"/>
    </row>
    <row r="25" spans="2:13">
      <c r="E25" s="1431"/>
    </row>
    <row r="27" spans="2:13">
      <c r="F27" s="1430"/>
    </row>
  </sheetData>
  <mergeCells count="27">
    <mergeCell ref="F9:L9"/>
    <mergeCell ref="B3:M3"/>
    <mergeCell ref="B5:M5"/>
    <mergeCell ref="B6:M6"/>
    <mergeCell ref="B7:M7"/>
    <mergeCell ref="B8:M8"/>
    <mergeCell ref="E10:F10"/>
    <mergeCell ref="G10:H10"/>
    <mergeCell ref="B12:B16"/>
    <mergeCell ref="C12:C16"/>
    <mergeCell ref="D12:D16"/>
    <mergeCell ref="E12:K12"/>
    <mergeCell ref="L12:L16"/>
    <mergeCell ref="M12:M16"/>
    <mergeCell ref="E13:E16"/>
    <mergeCell ref="F13:G13"/>
    <mergeCell ref="H13:K13"/>
    <mergeCell ref="F14:F16"/>
    <mergeCell ref="G14:K14"/>
    <mergeCell ref="G15:G16"/>
    <mergeCell ref="H15:K15"/>
    <mergeCell ref="B19:D20"/>
    <mergeCell ref="E19:E20"/>
    <mergeCell ref="L19:M20"/>
    <mergeCell ref="F20:K20"/>
    <mergeCell ref="B21:E21"/>
    <mergeCell ref="F21:M21"/>
  </mergeCell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2:V27"/>
  <sheetViews>
    <sheetView workbookViewId="0">
      <selection activeCell="M28" sqref="M28"/>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6.7109375" style="21" customWidth="1"/>
    <col min="14" max="14" width="1.85546875" style="21" customWidth="1"/>
    <col min="15" max="15" width="14.7109375" style="21" customWidth="1"/>
    <col min="16" max="16" width="11.85546875" style="21" customWidth="1"/>
    <col min="17" max="17" width="2.85546875" style="21" customWidth="1"/>
    <col min="18" max="18" width="10.7109375" style="21" customWidth="1"/>
    <col min="19" max="19" width="3.85546875" style="21" customWidth="1"/>
    <col min="20" max="20" width="20.5703125" style="21" customWidth="1"/>
    <col min="21" max="21" width="19" style="21" customWidth="1"/>
    <col min="22" max="22" width="3.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6.7109375" style="21" customWidth="1"/>
    <col min="270" max="270" width="1.85546875" style="21" customWidth="1"/>
    <col min="271" max="271" width="14.7109375" style="21" customWidth="1"/>
    <col min="272" max="272" width="11.85546875" style="21" customWidth="1"/>
    <col min="273" max="273" width="2.85546875" style="21" customWidth="1"/>
    <col min="274" max="274" width="10.7109375" style="21" customWidth="1"/>
    <col min="275" max="275" width="3.85546875" style="21" customWidth="1"/>
    <col min="276" max="276" width="20.5703125" style="21" customWidth="1"/>
    <col min="277" max="277" width="19" style="21" customWidth="1"/>
    <col min="278" max="278" width="3.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6.7109375" style="21" customWidth="1"/>
    <col min="526" max="526" width="1.85546875" style="21" customWidth="1"/>
    <col min="527" max="527" width="14.7109375" style="21" customWidth="1"/>
    <col min="528" max="528" width="11.85546875" style="21" customWidth="1"/>
    <col min="529" max="529" width="2.85546875" style="21" customWidth="1"/>
    <col min="530" max="530" width="10.7109375" style="21" customWidth="1"/>
    <col min="531" max="531" width="3.85546875" style="21" customWidth="1"/>
    <col min="532" max="532" width="20.5703125" style="21" customWidth="1"/>
    <col min="533" max="533" width="19" style="21" customWidth="1"/>
    <col min="534" max="534" width="3.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6.7109375" style="21" customWidth="1"/>
    <col min="782" max="782" width="1.85546875" style="21" customWidth="1"/>
    <col min="783" max="783" width="14.7109375" style="21" customWidth="1"/>
    <col min="784" max="784" width="11.85546875" style="21" customWidth="1"/>
    <col min="785" max="785" width="2.85546875" style="21" customWidth="1"/>
    <col min="786" max="786" width="10.7109375" style="21" customWidth="1"/>
    <col min="787" max="787" width="3.85546875" style="21" customWidth="1"/>
    <col min="788" max="788" width="20.5703125" style="21" customWidth="1"/>
    <col min="789" max="789" width="19" style="21" customWidth="1"/>
    <col min="790" max="790" width="3.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6.7109375" style="21" customWidth="1"/>
    <col min="1038" max="1038" width="1.85546875" style="21" customWidth="1"/>
    <col min="1039" max="1039" width="14.7109375" style="21" customWidth="1"/>
    <col min="1040" max="1040" width="11.85546875" style="21" customWidth="1"/>
    <col min="1041" max="1041" width="2.85546875" style="21" customWidth="1"/>
    <col min="1042" max="1042" width="10.7109375" style="21" customWidth="1"/>
    <col min="1043" max="1043" width="3.85546875" style="21" customWidth="1"/>
    <col min="1044" max="1044" width="20.5703125" style="21" customWidth="1"/>
    <col min="1045" max="1045" width="19" style="21" customWidth="1"/>
    <col min="1046" max="1046" width="3.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6.7109375" style="21" customWidth="1"/>
    <col min="1294" max="1294" width="1.85546875" style="21" customWidth="1"/>
    <col min="1295" max="1295" width="14.7109375" style="21" customWidth="1"/>
    <col min="1296" max="1296" width="11.85546875" style="21" customWidth="1"/>
    <col min="1297" max="1297" width="2.85546875" style="21" customWidth="1"/>
    <col min="1298" max="1298" width="10.7109375" style="21" customWidth="1"/>
    <col min="1299" max="1299" width="3.85546875" style="21" customWidth="1"/>
    <col min="1300" max="1300" width="20.5703125" style="21" customWidth="1"/>
    <col min="1301" max="1301" width="19" style="21" customWidth="1"/>
    <col min="1302" max="1302" width="3.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6.7109375" style="21" customWidth="1"/>
    <col min="1550" max="1550" width="1.85546875" style="21" customWidth="1"/>
    <col min="1551" max="1551" width="14.7109375" style="21" customWidth="1"/>
    <col min="1552" max="1552" width="11.85546875" style="21" customWidth="1"/>
    <col min="1553" max="1553" width="2.85546875" style="21" customWidth="1"/>
    <col min="1554" max="1554" width="10.7109375" style="21" customWidth="1"/>
    <col min="1555" max="1555" width="3.85546875" style="21" customWidth="1"/>
    <col min="1556" max="1556" width="20.5703125" style="21" customWidth="1"/>
    <col min="1557" max="1557" width="19" style="21" customWidth="1"/>
    <col min="1558" max="1558" width="3.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6.7109375" style="21" customWidth="1"/>
    <col min="1806" max="1806" width="1.85546875" style="21" customWidth="1"/>
    <col min="1807" max="1807" width="14.7109375" style="21" customWidth="1"/>
    <col min="1808" max="1808" width="11.85546875" style="21" customWidth="1"/>
    <col min="1809" max="1809" width="2.85546875" style="21" customWidth="1"/>
    <col min="1810" max="1810" width="10.7109375" style="21" customWidth="1"/>
    <col min="1811" max="1811" width="3.85546875" style="21" customWidth="1"/>
    <col min="1812" max="1812" width="20.5703125" style="21" customWidth="1"/>
    <col min="1813" max="1813" width="19" style="21" customWidth="1"/>
    <col min="1814" max="1814" width="3.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6.7109375" style="21" customWidth="1"/>
    <col min="2062" max="2062" width="1.85546875" style="21" customWidth="1"/>
    <col min="2063" max="2063" width="14.7109375" style="21" customWidth="1"/>
    <col min="2064" max="2064" width="11.85546875" style="21" customWidth="1"/>
    <col min="2065" max="2065" width="2.85546875" style="21" customWidth="1"/>
    <col min="2066" max="2066" width="10.7109375" style="21" customWidth="1"/>
    <col min="2067" max="2067" width="3.85546875" style="21" customWidth="1"/>
    <col min="2068" max="2068" width="20.5703125" style="21" customWidth="1"/>
    <col min="2069" max="2069" width="19" style="21" customWidth="1"/>
    <col min="2070" max="2070" width="3.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6.7109375" style="21" customWidth="1"/>
    <col min="2318" max="2318" width="1.85546875" style="21" customWidth="1"/>
    <col min="2319" max="2319" width="14.7109375" style="21" customWidth="1"/>
    <col min="2320" max="2320" width="11.85546875" style="21" customWidth="1"/>
    <col min="2321" max="2321" width="2.85546875" style="21" customWidth="1"/>
    <col min="2322" max="2322" width="10.7109375" style="21" customWidth="1"/>
    <col min="2323" max="2323" width="3.85546875" style="21" customWidth="1"/>
    <col min="2324" max="2324" width="20.5703125" style="21" customWidth="1"/>
    <col min="2325" max="2325" width="19" style="21" customWidth="1"/>
    <col min="2326" max="2326" width="3.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6.7109375" style="21" customWidth="1"/>
    <col min="2574" max="2574" width="1.85546875" style="21" customWidth="1"/>
    <col min="2575" max="2575" width="14.7109375" style="21" customWidth="1"/>
    <col min="2576" max="2576" width="11.85546875" style="21" customWidth="1"/>
    <col min="2577" max="2577" width="2.85546875" style="21" customWidth="1"/>
    <col min="2578" max="2578" width="10.7109375" style="21" customWidth="1"/>
    <col min="2579" max="2579" width="3.85546875" style="21" customWidth="1"/>
    <col min="2580" max="2580" width="20.5703125" style="21" customWidth="1"/>
    <col min="2581" max="2581" width="19" style="21" customWidth="1"/>
    <col min="2582" max="2582" width="3.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6.7109375" style="21" customWidth="1"/>
    <col min="2830" max="2830" width="1.85546875" style="21" customWidth="1"/>
    <col min="2831" max="2831" width="14.7109375" style="21" customWidth="1"/>
    <col min="2832" max="2832" width="11.85546875" style="21" customWidth="1"/>
    <col min="2833" max="2833" width="2.85546875" style="21" customWidth="1"/>
    <col min="2834" max="2834" width="10.7109375" style="21" customWidth="1"/>
    <col min="2835" max="2835" width="3.85546875" style="21" customWidth="1"/>
    <col min="2836" max="2836" width="20.5703125" style="21" customWidth="1"/>
    <col min="2837" max="2837" width="19" style="21" customWidth="1"/>
    <col min="2838" max="2838" width="3.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6.7109375" style="21" customWidth="1"/>
    <col min="3086" max="3086" width="1.85546875" style="21" customWidth="1"/>
    <col min="3087" max="3087" width="14.7109375" style="21" customWidth="1"/>
    <col min="3088" max="3088" width="11.85546875" style="21" customWidth="1"/>
    <col min="3089" max="3089" width="2.85546875" style="21" customWidth="1"/>
    <col min="3090" max="3090" width="10.7109375" style="21" customWidth="1"/>
    <col min="3091" max="3091" width="3.85546875" style="21" customWidth="1"/>
    <col min="3092" max="3092" width="20.5703125" style="21" customWidth="1"/>
    <col min="3093" max="3093" width="19" style="21" customWidth="1"/>
    <col min="3094" max="3094" width="3.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6.7109375" style="21" customWidth="1"/>
    <col min="3342" max="3342" width="1.85546875" style="21" customWidth="1"/>
    <col min="3343" max="3343" width="14.7109375" style="21" customWidth="1"/>
    <col min="3344" max="3344" width="11.85546875" style="21" customWidth="1"/>
    <col min="3345" max="3345" width="2.85546875" style="21" customWidth="1"/>
    <col min="3346" max="3346" width="10.7109375" style="21" customWidth="1"/>
    <col min="3347" max="3347" width="3.85546875" style="21" customWidth="1"/>
    <col min="3348" max="3348" width="20.5703125" style="21" customWidth="1"/>
    <col min="3349" max="3349" width="19" style="21" customWidth="1"/>
    <col min="3350" max="3350" width="3.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6.7109375" style="21" customWidth="1"/>
    <col min="3598" max="3598" width="1.85546875" style="21" customWidth="1"/>
    <col min="3599" max="3599" width="14.7109375" style="21" customWidth="1"/>
    <col min="3600" max="3600" width="11.85546875" style="21" customWidth="1"/>
    <col min="3601" max="3601" width="2.85546875" style="21" customWidth="1"/>
    <col min="3602" max="3602" width="10.7109375" style="21" customWidth="1"/>
    <col min="3603" max="3603" width="3.85546875" style="21" customWidth="1"/>
    <col min="3604" max="3604" width="20.5703125" style="21" customWidth="1"/>
    <col min="3605" max="3605" width="19" style="21" customWidth="1"/>
    <col min="3606" max="3606" width="3.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6.7109375" style="21" customWidth="1"/>
    <col min="3854" max="3854" width="1.85546875" style="21" customWidth="1"/>
    <col min="3855" max="3855" width="14.7109375" style="21" customWidth="1"/>
    <col min="3856" max="3856" width="11.85546875" style="21" customWidth="1"/>
    <col min="3857" max="3857" width="2.85546875" style="21" customWidth="1"/>
    <col min="3858" max="3858" width="10.7109375" style="21" customWidth="1"/>
    <col min="3859" max="3859" width="3.85546875" style="21" customWidth="1"/>
    <col min="3860" max="3860" width="20.5703125" style="21" customWidth="1"/>
    <col min="3861" max="3861" width="19" style="21" customWidth="1"/>
    <col min="3862" max="3862" width="3.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6.7109375" style="21" customWidth="1"/>
    <col min="4110" max="4110" width="1.85546875" style="21" customWidth="1"/>
    <col min="4111" max="4111" width="14.7109375" style="21" customWidth="1"/>
    <col min="4112" max="4112" width="11.85546875" style="21" customWidth="1"/>
    <col min="4113" max="4113" width="2.85546875" style="21" customWidth="1"/>
    <col min="4114" max="4114" width="10.7109375" style="21" customWidth="1"/>
    <col min="4115" max="4115" width="3.85546875" style="21" customWidth="1"/>
    <col min="4116" max="4116" width="20.5703125" style="21" customWidth="1"/>
    <col min="4117" max="4117" width="19" style="21" customWidth="1"/>
    <col min="4118" max="4118" width="3.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6.7109375" style="21" customWidth="1"/>
    <col min="4366" max="4366" width="1.85546875" style="21" customWidth="1"/>
    <col min="4367" max="4367" width="14.7109375" style="21" customWidth="1"/>
    <col min="4368" max="4368" width="11.85546875" style="21" customWidth="1"/>
    <col min="4369" max="4369" width="2.85546875" style="21" customWidth="1"/>
    <col min="4370" max="4370" width="10.7109375" style="21" customWidth="1"/>
    <col min="4371" max="4371" width="3.85546875" style="21" customWidth="1"/>
    <col min="4372" max="4372" width="20.5703125" style="21" customWidth="1"/>
    <col min="4373" max="4373" width="19" style="21" customWidth="1"/>
    <col min="4374" max="4374" width="3.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6.7109375" style="21" customWidth="1"/>
    <col min="4622" max="4622" width="1.85546875" style="21" customWidth="1"/>
    <col min="4623" max="4623" width="14.7109375" style="21" customWidth="1"/>
    <col min="4624" max="4624" width="11.85546875" style="21" customWidth="1"/>
    <col min="4625" max="4625" width="2.85546875" style="21" customWidth="1"/>
    <col min="4626" max="4626" width="10.7109375" style="21" customWidth="1"/>
    <col min="4627" max="4627" width="3.85546875" style="21" customWidth="1"/>
    <col min="4628" max="4628" width="20.5703125" style="21" customWidth="1"/>
    <col min="4629" max="4629" width="19" style="21" customWidth="1"/>
    <col min="4630" max="4630" width="3.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6.7109375" style="21" customWidth="1"/>
    <col min="4878" max="4878" width="1.85546875" style="21" customWidth="1"/>
    <col min="4879" max="4879" width="14.7109375" style="21" customWidth="1"/>
    <col min="4880" max="4880" width="11.85546875" style="21" customWidth="1"/>
    <col min="4881" max="4881" width="2.85546875" style="21" customWidth="1"/>
    <col min="4882" max="4882" width="10.7109375" style="21" customWidth="1"/>
    <col min="4883" max="4883" width="3.85546875" style="21" customWidth="1"/>
    <col min="4884" max="4884" width="20.5703125" style="21" customWidth="1"/>
    <col min="4885" max="4885" width="19" style="21" customWidth="1"/>
    <col min="4886" max="4886" width="3.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6.7109375" style="21" customWidth="1"/>
    <col min="5134" max="5134" width="1.85546875" style="21" customWidth="1"/>
    <col min="5135" max="5135" width="14.7109375" style="21" customWidth="1"/>
    <col min="5136" max="5136" width="11.85546875" style="21" customWidth="1"/>
    <col min="5137" max="5137" width="2.85546875" style="21" customWidth="1"/>
    <col min="5138" max="5138" width="10.7109375" style="21" customWidth="1"/>
    <col min="5139" max="5139" width="3.85546875" style="21" customWidth="1"/>
    <col min="5140" max="5140" width="20.5703125" style="21" customWidth="1"/>
    <col min="5141" max="5141" width="19" style="21" customWidth="1"/>
    <col min="5142" max="5142" width="3.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6.7109375" style="21" customWidth="1"/>
    <col min="5390" max="5390" width="1.85546875" style="21" customWidth="1"/>
    <col min="5391" max="5391" width="14.7109375" style="21" customWidth="1"/>
    <col min="5392" max="5392" width="11.85546875" style="21" customWidth="1"/>
    <col min="5393" max="5393" width="2.85546875" style="21" customWidth="1"/>
    <col min="5394" max="5394" width="10.7109375" style="21" customWidth="1"/>
    <col min="5395" max="5395" width="3.85546875" style="21" customWidth="1"/>
    <col min="5396" max="5396" width="20.5703125" style="21" customWidth="1"/>
    <col min="5397" max="5397" width="19" style="21" customWidth="1"/>
    <col min="5398" max="5398" width="3.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6.7109375" style="21" customWidth="1"/>
    <col min="5646" max="5646" width="1.85546875" style="21" customWidth="1"/>
    <col min="5647" max="5647" width="14.7109375" style="21" customWidth="1"/>
    <col min="5648" max="5648" width="11.85546875" style="21" customWidth="1"/>
    <col min="5649" max="5649" width="2.85546875" style="21" customWidth="1"/>
    <col min="5650" max="5650" width="10.7109375" style="21" customWidth="1"/>
    <col min="5651" max="5651" width="3.85546875" style="21" customWidth="1"/>
    <col min="5652" max="5652" width="20.5703125" style="21" customWidth="1"/>
    <col min="5653" max="5653" width="19" style="21" customWidth="1"/>
    <col min="5654" max="5654" width="3.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6.7109375" style="21" customWidth="1"/>
    <col min="5902" max="5902" width="1.85546875" style="21" customWidth="1"/>
    <col min="5903" max="5903" width="14.7109375" style="21" customWidth="1"/>
    <col min="5904" max="5904" width="11.85546875" style="21" customWidth="1"/>
    <col min="5905" max="5905" width="2.85546875" style="21" customWidth="1"/>
    <col min="5906" max="5906" width="10.7109375" style="21" customWidth="1"/>
    <col min="5907" max="5907" width="3.85546875" style="21" customWidth="1"/>
    <col min="5908" max="5908" width="20.5703125" style="21" customWidth="1"/>
    <col min="5909" max="5909" width="19" style="21" customWidth="1"/>
    <col min="5910" max="5910" width="3.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6.7109375" style="21" customWidth="1"/>
    <col min="6158" max="6158" width="1.85546875" style="21" customWidth="1"/>
    <col min="6159" max="6159" width="14.7109375" style="21" customWidth="1"/>
    <col min="6160" max="6160" width="11.85546875" style="21" customWidth="1"/>
    <col min="6161" max="6161" width="2.85546875" style="21" customWidth="1"/>
    <col min="6162" max="6162" width="10.7109375" style="21" customWidth="1"/>
    <col min="6163" max="6163" width="3.85546875" style="21" customWidth="1"/>
    <col min="6164" max="6164" width="20.5703125" style="21" customWidth="1"/>
    <col min="6165" max="6165" width="19" style="21" customWidth="1"/>
    <col min="6166" max="6166" width="3.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6.7109375" style="21" customWidth="1"/>
    <col min="6414" max="6414" width="1.85546875" style="21" customWidth="1"/>
    <col min="6415" max="6415" width="14.7109375" style="21" customWidth="1"/>
    <col min="6416" max="6416" width="11.85546875" style="21" customWidth="1"/>
    <col min="6417" max="6417" width="2.85546875" style="21" customWidth="1"/>
    <col min="6418" max="6418" width="10.7109375" style="21" customWidth="1"/>
    <col min="6419" max="6419" width="3.85546875" style="21" customWidth="1"/>
    <col min="6420" max="6420" width="20.5703125" style="21" customWidth="1"/>
    <col min="6421" max="6421" width="19" style="21" customWidth="1"/>
    <col min="6422" max="6422" width="3.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6.7109375" style="21" customWidth="1"/>
    <col min="6670" max="6670" width="1.85546875" style="21" customWidth="1"/>
    <col min="6671" max="6671" width="14.7109375" style="21" customWidth="1"/>
    <col min="6672" max="6672" width="11.85546875" style="21" customWidth="1"/>
    <col min="6673" max="6673" width="2.85546875" style="21" customWidth="1"/>
    <col min="6674" max="6674" width="10.7109375" style="21" customWidth="1"/>
    <col min="6675" max="6675" width="3.85546875" style="21" customWidth="1"/>
    <col min="6676" max="6676" width="20.5703125" style="21" customWidth="1"/>
    <col min="6677" max="6677" width="19" style="21" customWidth="1"/>
    <col min="6678" max="6678" width="3.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6.7109375" style="21" customWidth="1"/>
    <col min="6926" max="6926" width="1.85546875" style="21" customWidth="1"/>
    <col min="6927" max="6927" width="14.7109375" style="21" customWidth="1"/>
    <col min="6928" max="6928" width="11.85546875" style="21" customWidth="1"/>
    <col min="6929" max="6929" width="2.85546875" style="21" customWidth="1"/>
    <col min="6930" max="6930" width="10.7109375" style="21" customWidth="1"/>
    <col min="6931" max="6931" width="3.85546875" style="21" customWidth="1"/>
    <col min="6932" max="6932" width="20.5703125" style="21" customWidth="1"/>
    <col min="6933" max="6933" width="19" style="21" customWidth="1"/>
    <col min="6934" max="6934" width="3.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6.7109375" style="21" customWidth="1"/>
    <col min="7182" max="7182" width="1.85546875" style="21" customWidth="1"/>
    <col min="7183" max="7183" width="14.7109375" style="21" customWidth="1"/>
    <col min="7184" max="7184" width="11.85546875" style="21" customWidth="1"/>
    <col min="7185" max="7185" width="2.85546875" style="21" customWidth="1"/>
    <col min="7186" max="7186" width="10.7109375" style="21" customWidth="1"/>
    <col min="7187" max="7187" width="3.85546875" style="21" customWidth="1"/>
    <col min="7188" max="7188" width="20.5703125" style="21" customWidth="1"/>
    <col min="7189" max="7189" width="19" style="21" customWidth="1"/>
    <col min="7190" max="7190" width="3.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6.7109375" style="21" customWidth="1"/>
    <col min="7438" max="7438" width="1.85546875" style="21" customWidth="1"/>
    <col min="7439" max="7439" width="14.7109375" style="21" customWidth="1"/>
    <col min="7440" max="7440" width="11.85546875" style="21" customWidth="1"/>
    <col min="7441" max="7441" width="2.85546875" style="21" customWidth="1"/>
    <col min="7442" max="7442" width="10.7109375" style="21" customWidth="1"/>
    <col min="7443" max="7443" width="3.85546875" style="21" customWidth="1"/>
    <col min="7444" max="7444" width="20.5703125" style="21" customWidth="1"/>
    <col min="7445" max="7445" width="19" style="21" customWidth="1"/>
    <col min="7446" max="7446" width="3.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6.7109375" style="21" customWidth="1"/>
    <col min="7694" max="7694" width="1.85546875" style="21" customWidth="1"/>
    <col min="7695" max="7695" width="14.7109375" style="21" customWidth="1"/>
    <col min="7696" max="7696" width="11.85546875" style="21" customWidth="1"/>
    <col min="7697" max="7697" width="2.85546875" style="21" customWidth="1"/>
    <col min="7698" max="7698" width="10.7109375" style="21" customWidth="1"/>
    <col min="7699" max="7699" width="3.85546875" style="21" customWidth="1"/>
    <col min="7700" max="7700" width="20.5703125" style="21" customWidth="1"/>
    <col min="7701" max="7701" width="19" style="21" customWidth="1"/>
    <col min="7702" max="7702" width="3.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6.7109375" style="21" customWidth="1"/>
    <col min="7950" max="7950" width="1.85546875" style="21" customWidth="1"/>
    <col min="7951" max="7951" width="14.7109375" style="21" customWidth="1"/>
    <col min="7952" max="7952" width="11.85546875" style="21" customWidth="1"/>
    <col min="7953" max="7953" width="2.85546875" style="21" customWidth="1"/>
    <col min="7954" max="7954" width="10.7109375" style="21" customWidth="1"/>
    <col min="7955" max="7955" width="3.85546875" style="21" customWidth="1"/>
    <col min="7956" max="7956" width="20.5703125" style="21" customWidth="1"/>
    <col min="7957" max="7957" width="19" style="21" customWidth="1"/>
    <col min="7958" max="7958" width="3.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6.7109375" style="21" customWidth="1"/>
    <col min="8206" max="8206" width="1.85546875" style="21" customWidth="1"/>
    <col min="8207" max="8207" width="14.7109375" style="21" customWidth="1"/>
    <col min="8208" max="8208" width="11.85546875" style="21" customWidth="1"/>
    <col min="8209" max="8209" width="2.85546875" style="21" customWidth="1"/>
    <col min="8210" max="8210" width="10.7109375" style="21" customWidth="1"/>
    <col min="8211" max="8211" width="3.85546875" style="21" customWidth="1"/>
    <col min="8212" max="8212" width="20.5703125" style="21" customWidth="1"/>
    <col min="8213" max="8213" width="19" style="21" customWidth="1"/>
    <col min="8214" max="8214" width="3.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6.7109375" style="21" customWidth="1"/>
    <col min="8462" max="8462" width="1.85546875" style="21" customWidth="1"/>
    <col min="8463" max="8463" width="14.7109375" style="21" customWidth="1"/>
    <col min="8464" max="8464" width="11.85546875" style="21" customWidth="1"/>
    <col min="8465" max="8465" width="2.85546875" style="21" customWidth="1"/>
    <col min="8466" max="8466" width="10.7109375" style="21" customWidth="1"/>
    <col min="8467" max="8467" width="3.85546875" style="21" customWidth="1"/>
    <col min="8468" max="8468" width="20.5703125" style="21" customWidth="1"/>
    <col min="8469" max="8469" width="19" style="21" customWidth="1"/>
    <col min="8470" max="8470" width="3.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6.7109375" style="21" customWidth="1"/>
    <col min="8718" max="8718" width="1.85546875" style="21" customWidth="1"/>
    <col min="8719" max="8719" width="14.7109375" style="21" customWidth="1"/>
    <col min="8720" max="8720" width="11.85546875" style="21" customWidth="1"/>
    <col min="8721" max="8721" width="2.85546875" style="21" customWidth="1"/>
    <col min="8722" max="8722" width="10.7109375" style="21" customWidth="1"/>
    <col min="8723" max="8723" width="3.85546875" style="21" customWidth="1"/>
    <col min="8724" max="8724" width="20.5703125" style="21" customWidth="1"/>
    <col min="8725" max="8725" width="19" style="21" customWidth="1"/>
    <col min="8726" max="8726" width="3.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6.7109375" style="21" customWidth="1"/>
    <col min="8974" max="8974" width="1.85546875" style="21" customWidth="1"/>
    <col min="8975" max="8975" width="14.7109375" style="21" customWidth="1"/>
    <col min="8976" max="8976" width="11.85546875" style="21" customWidth="1"/>
    <col min="8977" max="8977" width="2.85546875" style="21" customWidth="1"/>
    <col min="8978" max="8978" width="10.7109375" style="21" customWidth="1"/>
    <col min="8979" max="8979" width="3.85546875" style="21" customWidth="1"/>
    <col min="8980" max="8980" width="20.5703125" style="21" customWidth="1"/>
    <col min="8981" max="8981" width="19" style="21" customWidth="1"/>
    <col min="8982" max="8982" width="3.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6.7109375" style="21" customWidth="1"/>
    <col min="9230" max="9230" width="1.85546875" style="21" customWidth="1"/>
    <col min="9231" max="9231" width="14.7109375" style="21" customWidth="1"/>
    <col min="9232" max="9232" width="11.85546875" style="21" customWidth="1"/>
    <col min="9233" max="9233" width="2.85546875" style="21" customWidth="1"/>
    <col min="9234" max="9234" width="10.7109375" style="21" customWidth="1"/>
    <col min="9235" max="9235" width="3.85546875" style="21" customWidth="1"/>
    <col min="9236" max="9236" width="20.5703125" style="21" customWidth="1"/>
    <col min="9237" max="9237" width="19" style="21" customWidth="1"/>
    <col min="9238" max="9238" width="3.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6.7109375" style="21" customWidth="1"/>
    <col min="9486" max="9486" width="1.85546875" style="21" customWidth="1"/>
    <col min="9487" max="9487" width="14.7109375" style="21" customWidth="1"/>
    <col min="9488" max="9488" width="11.85546875" style="21" customWidth="1"/>
    <col min="9489" max="9489" width="2.85546875" style="21" customWidth="1"/>
    <col min="9490" max="9490" width="10.7109375" style="21" customWidth="1"/>
    <col min="9491" max="9491" width="3.85546875" style="21" customWidth="1"/>
    <col min="9492" max="9492" width="20.5703125" style="21" customWidth="1"/>
    <col min="9493" max="9493" width="19" style="21" customWidth="1"/>
    <col min="9494" max="9494" width="3.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6.7109375" style="21" customWidth="1"/>
    <col min="9742" max="9742" width="1.85546875" style="21" customWidth="1"/>
    <col min="9743" max="9743" width="14.7109375" style="21" customWidth="1"/>
    <col min="9744" max="9744" width="11.85546875" style="21" customWidth="1"/>
    <col min="9745" max="9745" width="2.85546875" style="21" customWidth="1"/>
    <col min="9746" max="9746" width="10.7109375" style="21" customWidth="1"/>
    <col min="9747" max="9747" width="3.85546875" style="21" customWidth="1"/>
    <col min="9748" max="9748" width="20.5703125" style="21" customWidth="1"/>
    <col min="9749" max="9749" width="19" style="21" customWidth="1"/>
    <col min="9750" max="9750" width="3.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6.7109375" style="21" customWidth="1"/>
    <col min="9998" max="9998" width="1.85546875" style="21" customWidth="1"/>
    <col min="9999" max="9999" width="14.7109375" style="21" customWidth="1"/>
    <col min="10000" max="10000" width="11.85546875" style="21" customWidth="1"/>
    <col min="10001" max="10001" width="2.85546875" style="21" customWidth="1"/>
    <col min="10002" max="10002" width="10.7109375" style="21" customWidth="1"/>
    <col min="10003" max="10003" width="3.85546875" style="21" customWidth="1"/>
    <col min="10004" max="10004" width="20.5703125" style="21" customWidth="1"/>
    <col min="10005" max="10005" width="19" style="21" customWidth="1"/>
    <col min="10006" max="10006" width="3.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6.7109375" style="21" customWidth="1"/>
    <col min="10254" max="10254" width="1.85546875" style="21" customWidth="1"/>
    <col min="10255" max="10255" width="14.7109375" style="21" customWidth="1"/>
    <col min="10256" max="10256" width="11.85546875" style="21" customWidth="1"/>
    <col min="10257" max="10257" width="2.85546875" style="21" customWidth="1"/>
    <col min="10258" max="10258" width="10.7109375" style="21" customWidth="1"/>
    <col min="10259" max="10259" width="3.85546875" style="21" customWidth="1"/>
    <col min="10260" max="10260" width="20.5703125" style="21" customWidth="1"/>
    <col min="10261" max="10261" width="19" style="21" customWidth="1"/>
    <col min="10262" max="10262" width="3.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6.7109375" style="21" customWidth="1"/>
    <col min="10510" max="10510" width="1.85546875" style="21" customWidth="1"/>
    <col min="10511" max="10511" width="14.7109375" style="21" customWidth="1"/>
    <col min="10512" max="10512" width="11.85546875" style="21" customWidth="1"/>
    <col min="10513" max="10513" width="2.85546875" style="21" customWidth="1"/>
    <col min="10514" max="10514" width="10.7109375" style="21" customWidth="1"/>
    <col min="10515" max="10515" width="3.85546875" style="21" customWidth="1"/>
    <col min="10516" max="10516" width="20.5703125" style="21" customWidth="1"/>
    <col min="10517" max="10517" width="19" style="21" customWidth="1"/>
    <col min="10518" max="10518" width="3.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6.7109375" style="21" customWidth="1"/>
    <col min="10766" max="10766" width="1.85546875" style="21" customWidth="1"/>
    <col min="10767" max="10767" width="14.7109375" style="21" customWidth="1"/>
    <col min="10768" max="10768" width="11.85546875" style="21" customWidth="1"/>
    <col min="10769" max="10769" width="2.85546875" style="21" customWidth="1"/>
    <col min="10770" max="10770" width="10.7109375" style="21" customWidth="1"/>
    <col min="10771" max="10771" width="3.85546875" style="21" customWidth="1"/>
    <col min="10772" max="10772" width="20.5703125" style="21" customWidth="1"/>
    <col min="10773" max="10773" width="19" style="21" customWidth="1"/>
    <col min="10774" max="10774" width="3.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6.7109375" style="21" customWidth="1"/>
    <col min="11022" max="11022" width="1.85546875" style="21" customWidth="1"/>
    <col min="11023" max="11023" width="14.7109375" style="21" customWidth="1"/>
    <col min="11024" max="11024" width="11.85546875" style="21" customWidth="1"/>
    <col min="11025" max="11025" width="2.85546875" style="21" customWidth="1"/>
    <col min="11026" max="11026" width="10.7109375" style="21" customWidth="1"/>
    <col min="11027" max="11027" width="3.85546875" style="21" customWidth="1"/>
    <col min="11028" max="11028" width="20.5703125" style="21" customWidth="1"/>
    <col min="11029" max="11029" width="19" style="21" customWidth="1"/>
    <col min="11030" max="11030" width="3.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6.7109375" style="21" customWidth="1"/>
    <col min="11278" max="11278" width="1.85546875" style="21" customWidth="1"/>
    <col min="11279" max="11279" width="14.7109375" style="21" customWidth="1"/>
    <col min="11280" max="11280" width="11.85546875" style="21" customWidth="1"/>
    <col min="11281" max="11281" width="2.85546875" style="21" customWidth="1"/>
    <col min="11282" max="11282" width="10.7109375" style="21" customWidth="1"/>
    <col min="11283" max="11283" width="3.85546875" style="21" customWidth="1"/>
    <col min="11284" max="11284" width="20.5703125" style="21" customWidth="1"/>
    <col min="11285" max="11285" width="19" style="21" customWidth="1"/>
    <col min="11286" max="11286" width="3.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6.7109375" style="21" customWidth="1"/>
    <col min="11534" max="11534" width="1.85546875" style="21" customWidth="1"/>
    <col min="11535" max="11535" width="14.7109375" style="21" customWidth="1"/>
    <col min="11536" max="11536" width="11.85546875" style="21" customWidth="1"/>
    <col min="11537" max="11537" width="2.85546875" style="21" customWidth="1"/>
    <col min="11538" max="11538" width="10.7109375" style="21" customWidth="1"/>
    <col min="11539" max="11539" width="3.85546875" style="21" customWidth="1"/>
    <col min="11540" max="11540" width="20.5703125" style="21" customWidth="1"/>
    <col min="11541" max="11541" width="19" style="21" customWidth="1"/>
    <col min="11542" max="11542" width="3.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6.7109375" style="21" customWidth="1"/>
    <col min="11790" max="11790" width="1.85546875" style="21" customWidth="1"/>
    <col min="11791" max="11791" width="14.7109375" style="21" customWidth="1"/>
    <col min="11792" max="11792" width="11.85546875" style="21" customWidth="1"/>
    <col min="11793" max="11793" width="2.85546875" style="21" customWidth="1"/>
    <col min="11794" max="11794" width="10.7109375" style="21" customWidth="1"/>
    <col min="11795" max="11795" width="3.85546875" style="21" customWidth="1"/>
    <col min="11796" max="11796" width="20.5703125" style="21" customWidth="1"/>
    <col min="11797" max="11797" width="19" style="21" customWidth="1"/>
    <col min="11798" max="11798" width="3.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6.7109375" style="21" customWidth="1"/>
    <col min="12046" max="12046" width="1.85546875" style="21" customWidth="1"/>
    <col min="12047" max="12047" width="14.7109375" style="21" customWidth="1"/>
    <col min="12048" max="12048" width="11.85546875" style="21" customWidth="1"/>
    <col min="12049" max="12049" width="2.85546875" style="21" customWidth="1"/>
    <col min="12050" max="12050" width="10.7109375" style="21" customWidth="1"/>
    <col min="12051" max="12051" width="3.85546875" style="21" customWidth="1"/>
    <col min="12052" max="12052" width="20.5703125" style="21" customWidth="1"/>
    <col min="12053" max="12053" width="19" style="21" customWidth="1"/>
    <col min="12054" max="12054" width="3.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6.7109375" style="21" customWidth="1"/>
    <col min="12302" max="12302" width="1.85546875" style="21" customWidth="1"/>
    <col min="12303" max="12303" width="14.7109375" style="21" customWidth="1"/>
    <col min="12304" max="12304" width="11.85546875" style="21" customWidth="1"/>
    <col min="12305" max="12305" width="2.85546875" style="21" customWidth="1"/>
    <col min="12306" max="12306" width="10.7109375" style="21" customWidth="1"/>
    <col min="12307" max="12307" width="3.85546875" style="21" customWidth="1"/>
    <col min="12308" max="12308" width="20.5703125" style="21" customWidth="1"/>
    <col min="12309" max="12309" width="19" style="21" customWidth="1"/>
    <col min="12310" max="12310" width="3.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6.7109375" style="21" customWidth="1"/>
    <col min="12558" max="12558" width="1.85546875" style="21" customWidth="1"/>
    <col min="12559" max="12559" width="14.7109375" style="21" customWidth="1"/>
    <col min="12560" max="12560" width="11.85546875" style="21" customWidth="1"/>
    <col min="12561" max="12561" width="2.85546875" style="21" customWidth="1"/>
    <col min="12562" max="12562" width="10.7109375" style="21" customWidth="1"/>
    <col min="12563" max="12563" width="3.85546875" style="21" customWidth="1"/>
    <col min="12564" max="12564" width="20.5703125" style="21" customWidth="1"/>
    <col min="12565" max="12565" width="19" style="21" customWidth="1"/>
    <col min="12566" max="12566" width="3.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6.7109375" style="21" customWidth="1"/>
    <col min="12814" max="12814" width="1.85546875" style="21" customWidth="1"/>
    <col min="12815" max="12815" width="14.7109375" style="21" customWidth="1"/>
    <col min="12816" max="12816" width="11.85546875" style="21" customWidth="1"/>
    <col min="12817" max="12817" width="2.85546875" style="21" customWidth="1"/>
    <col min="12818" max="12818" width="10.7109375" style="21" customWidth="1"/>
    <col min="12819" max="12819" width="3.85546875" style="21" customWidth="1"/>
    <col min="12820" max="12820" width="20.5703125" style="21" customWidth="1"/>
    <col min="12821" max="12821" width="19" style="21" customWidth="1"/>
    <col min="12822" max="12822" width="3.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6.7109375" style="21" customWidth="1"/>
    <col min="13070" max="13070" width="1.85546875" style="21" customWidth="1"/>
    <col min="13071" max="13071" width="14.7109375" style="21" customWidth="1"/>
    <col min="13072" max="13072" width="11.85546875" style="21" customWidth="1"/>
    <col min="13073" max="13073" width="2.85546875" style="21" customWidth="1"/>
    <col min="13074" max="13074" width="10.7109375" style="21" customWidth="1"/>
    <col min="13075" max="13075" width="3.85546875" style="21" customWidth="1"/>
    <col min="13076" max="13076" width="20.5703125" style="21" customWidth="1"/>
    <col min="13077" max="13077" width="19" style="21" customWidth="1"/>
    <col min="13078" max="13078" width="3.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6.7109375" style="21" customWidth="1"/>
    <col min="13326" max="13326" width="1.85546875" style="21" customWidth="1"/>
    <col min="13327" max="13327" width="14.7109375" style="21" customWidth="1"/>
    <col min="13328" max="13328" width="11.85546875" style="21" customWidth="1"/>
    <col min="13329" max="13329" width="2.85546875" style="21" customWidth="1"/>
    <col min="13330" max="13330" width="10.7109375" style="21" customWidth="1"/>
    <col min="13331" max="13331" width="3.85546875" style="21" customWidth="1"/>
    <col min="13332" max="13332" width="20.5703125" style="21" customWidth="1"/>
    <col min="13333" max="13333" width="19" style="21" customWidth="1"/>
    <col min="13334" max="13334" width="3.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6.7109375" style="21" customWidth="1"/>
    <col min="13582" max="13582" width="1.85546875" style="21" customWidth="1"/>
    <col min="13583" max="13583" width="14.7109375" style="21" customWidth="1"/>
    <col min="13584" max="13584" width="11.85546875" style="21" customWidth="1"/>
    <col min="13585" max="13585" width="2.85546875" style="21" customWidth="1"/>
    <col min="13586" max="13586" width="10.7109375" style="21" customWidth="1"/>
    <col min="13587" max="13587" width="3.85546875" style="21" customWidth="1"/>
    <col min="13588" max="13588" width="20.5703125" style="21" customWidth="1"/>
    <col min="13589" max="13589" width="19" style="21" customWidth="1"/>
    <col min="13590" max="13590" width="3.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6.7109375" style="21" customWidth="1"/>
    <col min="13838" max="13838" width="1.85546875" style="21" customWidth="1"/>
    <col min="13839" max="13839" width="14.7109375" style="21" customWidth="1"/>
    <col min="13840" max="13840" width="11.85546875" style="21" customWidth="1"/>
    <col min="13841" max="13841" width="2.85546875" style="21" customWidth="1"/>
    <col min="13842" max="13842" width="10.7109375" style="21" customWidth="1"/>
    <col min="13843" max="13843" width="3.85546875" style="21" customWidth="1"/>
    <col min="13844" max="13844" width="20.5703125" style="21" customWidth="1"/>
    <col min="13845" max="13845" width="19" style="21" customWidth="1"/>
    <col min="13846" max="13846" width="3.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6.7109375" style="21" customWidth="1"/>
    <col min="14094" max="14094" width="1.85546875" style="21" customWidth="1"/>
    <col min="14095" max="14095" width="14.7109375" style="21" customWidth="1"/>
    <col min="14096" max="14096" width="11.85546875" style="21" customWidth="1"/>
    <col min="14097" max="14097" width="2.85546875" style="21" customWidth="1"/>
    <col min="14098" max="14098" width="10.7109375" style="21" customWidth="1"/>
    <col min="14099" max="14099" width="3.85546875" style="21" customWidth="1"/>
    <col min="14100" max="14100" width="20.5703125" style="21" customWidth="1"/>
    <col min="14101" max="14101" width="19" style="21" customWidth="1"/>
    <col min="14102" max="14102" width="3.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6.7109375" style="21" customWidth="1"/>
    <col min="14350" max="14350" width="1.85546875" style="21" customWidth="1"/>
    <col min="14351" max="14351" width="14.7109375" style="21" customWidth="1"/>
    <col min="14352" max="14352" width="11.85546875" style="21" customWidth="1"/>
    <col min="14353" max="14353" width="2.85546875" style="21" customWidth="1"/>
    <col min="14354" max="14354" width="10.7109375" style="21" customWidth="1"/>
    <col min="14355" max="14355" width="3.85546875" style="21" customWidth="1"/>
    <col min="14356" max="14356" width="20.5703125" style="21" customWidth="1"/>
    <col min="14357" max="14357" width="19" style="21" customWidth="1"/>
    <col min="14358" max="14358" width="3.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6.7109375" style="21" customWidth="1"/>
    <col min="14606" max="14606" width="1.85546875" style="21" customWidth="1"/>
    <col min="14607" max="14607" width="14.7109375" style="21" customWidth="1"/>
    <col min="14608" max="14608" width="11.85546875" style="21" customWidth="1"/>
    <col min="14609" max="14609" width="2.85546875" style="21" customWidth="1"/>
    <col min="14610" max="14610" width="10.7109375" style="21" customWidth="1"/>
    <col min="14611" max="14611" width="3.85546875" style="21" customWidth="1"/>
    <col min="14612" max="14612" width="20.5703125" style="21" customWidth="1"/>
    <col min="14613" max="14613" width="19" style="21" customWidth="1"/>
    <col min="14614" max="14614" width="3.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6.7109375" style="21" customWidth="1"/>
    <col min="14862" max="14862" width="1.85546875" style="21" customWidth="1"/>
    <col min="14863" max="14863" width="14.7109375" style="21" customWidth="1"/>
    <col min="14864" max="14864" width="11.85546875" style="21" customWidth="1"/>
    <col min="14865" max="14865" width="2.85546875" style="21" customWidth="1"/>
    <col min="14866" max="14866" width="10.7109375" style="21" customWidth="1"/>
    <col min="14867" max="14867" width="3.85546875" style="21" customWidth="1"/>
    <col min="14868" max="14868" width="20.5703125" style="21" customWidth="1"/>
    <col min="14869" max="14869" width="19" style="21" customWidth="1"/>
    <col min="14870" max="14870" width="3.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6.7109375" style="21" customWidth="1"/>
    <col min="15118" max="15118" width="1.85546875" style="21" customWidth="1"/>
    <col min="15119" max="15119" width="14.7109375" style="21" customWidth="1"/>
    <col min="15120" max="15120" width="11.85546875" style="21" customWidth="1"/>
    <col min="15121" max="15121" width="2.85546875" style="21" customWidth="1"/>
    <col min="15122" max="15122" width="10.7109375" style="21" customWidth="1"/>
    <col min="15123" max="15123" width="3.85546875" style="21" customWidth="1"/>
    <col min="15124" max="15124" width="20.5703125" style="21" customWidth="1"/>
    <col min="15125" max="15125" width="19" style="21" customWidth="1"/>
    <col min="15126" max="15126" width="3.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6.7109375" style="21" customWidth="1"/>
    <col min="15374" max="15374" width="1.85546875" style="21" customWidth="1"/>
    <col min="15375" max="15375" width="14.7109375" style="21" customWidth="1"/>
    <col min="15376" max="15376" width="11.85546875" style="21" customWidth="1"/>
    <col min="15377" max="15377" width="2.85546875" style="21" customWidth="1"/>
    <col min="15378" max="15378" width="10.7109375" style="21" customWidth="1"/>
    <col min="15379" max="15379" width="3.85546875" style="21" customWidth="1"/>
    <col min="15380" max="15380" width="20.5703125" style="21" customWidth="1"/>
    <col min="15381" max="15381" width="19" style="21" customWidth="1"/>
    <col min="15382" max="15382" width="3.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6.7109375" style="21" customWidth="1"/>
    <col min="15630" max="15630" width="1.85546875" style="21" customWidth="1"/>
    <col min="15631" max="15631" width="14.7109375" style="21" customWidth="1"/>
    <col min="15632" max="15632" width="11.85546875" style="21" customWidth="1"/>
    <col min="15633" max="15633" width="2.85546875" style="21" customWidth="1"/>
    <col min="15634" max="15634" width="10.7109375" style="21" customWidth="1"/>
    <col min="15635" max="15635" width="3.85546875" style="21" customWidth="1"/>
    <col min="15636" max="15636" width="20.5703125" style="21" customWidth="1"/>
    <col min="15637" max="15637" width="19" style="21" customWidth="1"/>
    <col min="15638" max="15638" width="3.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6.7109375" style="21" customWidth="1"/>
    <col min="15886" max="15886" width="1.85546875" style="21" customWidth="1"/>
    <col min="15887" max="15887" width="14.7109375" style="21" customWidth="1"/>
    <col min="15888" max="15888" width="11.85546875" style="21" customWidth="1"/>
    <col min="15889" max="15889" width="2.85546875" style="21" customWidth="1"/>
    <col min="15890" max="15890" width="10.7109375" style="21" customWidth="1"/>
    <col min="15891" max="15891" width="3.85546875" style="21" customWidth="1"/>
    <col min="15892" max="15892" width="20.5703125" style="21" customWidth="1"/>
    <col min="15893" max="15893" width="19" style="21" customWidth="1"/>
    <col min="15894" max="15894" width="3.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6.7109375" style="21" customWidth="1"/>
    <col min="16142" max="16142" width="1.85546875" style="21" customWidth="1"/>
    <col min="16143" max="16143" width="14.7109375" style="21" customWidth="1"/>
    <col min="16144" max="16144" width="11.85546875" style="21" customWidth="1"/>
    <col min="16145" max="16145" width="2.85546875" style="21" customWidth="1"/>
    <col min="16146" max="16146" width="10.7109375" style="21" customWidth="1"/>
    <col min="16147" max="16147" width="3.85546875" style="21" customWidth="1"/>
    <col min="16148" max="16148" width="20.5703125" style="21" customWidth="1"/>
    <col min="16149" max="16149" width="19" style="21" customWidth="1"/>
    <col min="16150" max="16150" width="3.140625" style="21" customWidth="1"/>
    <col min="16151" max="16384" width="9.140625" style="21"/>
  </cols>
  <sheetData>
    <row r="2" spans="1:22" ht="77.25" customHeight="1">
      <c r="A2" s="2204"/>
      <c r="B2" s="2205"/>
      <c r="C2" s="2205"/>
      <c r="D2" s="2205"/>
      <c r="E2" s="2205"/>
      <c r="F2" s="2205"/>
      <c r="G2" s="2205"/>
      <c r="H2" s="2205"/>
      <c r="I2" s="2205"/>
      <c r="J2" s="2205"/>
      <c r="K2" s="2205"/>
      <c r="L2" s="2205"/>
      <c r="M2" s="2205"/>
      <c r="N2" s="2205"/>
      <c r="O2" s="2205"/>
      <c r="P2" s="2205"/>
      <c r="Q2" s="2283" t="s">
        <v>3682</v>
      </c>
      <c r="R2" s="2205"/>
      <c r="S2" s="2205"/>
      <c r="T2" s="2205"/>
      <c r="U2" s="2205"/>
      <c r="V2" s="1395"/>
    </row>
    <row r="3" spans="1:22">
      <c r="A3" s="2204"/>
      <c r="B3" s="2205"/>
      <c r="C3" s="2205"/>
      <c r="D3" s="2205"/>
      <c r="E3" s="2205"/>
      <c r="F3" s="2205"/>
      <c r="G3" s="2205"/>
      <c r="H3" s="2205"/>
      <c r="I3" s="2205"/>
      <c r="J3" s="2205"/>
      <c r="K3" s="2205"/>
      <c r="L3" s="2205"/>
      <c r="M3" s="2205"/>
      <c r="N3" s="2205"/>
      <c r="O3" s="2205"/>
      <c r="P3" s="2205"/>
      <c r="Q3" s="2283"/>
      <c r="R3" s="2205"/>
      <c r="S3" s="2205"/>
      <c r="T3" s="2205"/>
      <c r="U3" s="2205"/>
      <c r="V3" s="1395"/>
    </row>
    <row r="4" spans="1:22">
      <c r="A4" s="2284"/>
      <c r="B4" s="2205"/>
      <c r="C4" s="2205"/>
      <c r="D4" s="2285" t="s">
        <v>77</v>
      </c>
      <c r="E4" s="2342"/>
      <c r="F4" s="2342"/>
      <c r="G4" s="2342"/>
      <c r="H4" s="2342"/>
      <c r="I4" s="2342"/>
      <c r="J4" s="2342"/>
      <c r="K4" s="2342"/>
      <c r="L4" s="2342"/>
      <c r="M4" s="2342"/>
      <c r="N4" s="2342"/>
      <c r="O4" s="2342"/>
      <c r="P4" s="2342"/>
      <c r="Q4" s="2342"/>
      <c r="R4" s="2342"/>
      <c r="S4" s="2284"/>
      <c r="T4" s="2205"/>
      <c r="U4" s="2205"/>
      <c r="V4" s="1395"/>
    </row>
    <row r="5" spans="1:22">
      <c r="A5" s="2282" t="s">
        <v>3630</v>
      </c>
      <c r="B5" s="2205"/>
      <c r="C5" s="2205"/>
      <c r="D5" s="2205"/>
      <c r="E5" s="2205"/>
      <c r="F5" s="2205"/>
      <c r="G5" s="2205"/>
      <c r="H5" s="2205"/>
      <c r="I5" s="2205"/>
      <c r="J5" s="2205"/>
      <c r="K5" s="2205"/>
      <c r="L5" s="2205"/>
      <c r="M5" s="2205"/>
      <c r="N5" s="2205"/>
      <c r="O5" s="2205"/>
      <c r="P5" s="2205"/>
      <c r="Q5" s="2205"/>
      <c r="R5" s="2205"/>
      <c r="S5" s="2205"/>
      <c r="T5" s="2205"/>
      <c r="U5" s="2205"/>
      <c r="V5" s="1395"/>
    </row>
    <row r="6" spans="1:22">
      <c r="A6" s="2204"/>
      <c r="B6" s="2205"/>
      <c r="C6" s="2205"/>
      <c r="D6" s="2205"/>
      <c r="E6" s="2205"/>
      <c r="F6" s="2205"/>
      <c r="G6" s="2205"/>
      <c r="H6" s="2205"/>
      <c r="I6" s="2205"/>
      <c r="J6" s="2205"/>
      <c r="K6" s="2205"/>
      <c r="L6" s="2205"/>
      <c r="M6" s="2205"/>
      <c r="N6" s="2205"/>
      <c r="O6" s="2205"/>
      <c r="P6" s="2205"/>
      <c r="Q6" s="2205"/>
      <c r="R6" s="2205"/>
      <c r="S6" s="2205"/>
      <c r="T6" s="2205"/>
      <c r="U6" s="2205"/>
      <c r="V6" s="1395"/>
    </row>
    <row r="7" spans="1:22">
      <c r="A7" s="2284"/>
      <c r="B7" s="2205"/>
      <c r="C7" s="2205"/>
      <c r="D7" s="2286" t="s">
        <v>3683</v>
      </c>
      <c r="E7" s="2342"/>
      <c r="F7" s="2342"/>
      <c r="G7" s="2342"/>
      <c r="H7" s="2342"/>
      <c r="I7" s="2342"/>
      <c r="J7" s="2342"/>
      <c r="K7" s="2342"/>
      <c r="L7" s="2342"/>
      <c r="M7" s="2342"/>
      <c r="N7" s="2342"/>
      <c r="O7" s="2342"/>
      <c r="P7" s="2342"/>
      <c r="Q7" s="2342"/>
      <c r="R7" s="2342"/>
      <c r="S7" s="2284"/>
      <c r="T7" s="2205"/>
      <c r="U7" s="2205"/>
      <c r="V7" s="1395"/>
    </row>
    <row r="8" spans="1:22">
      <c r="A8" s="2282" t="s">
        <v>3632</v>
      </c>
      <c r="B8" s="2205"/>
      <c r="C8" s="2205"/>
      <c r="D8" s="2205"/>
      <c r="E8" s="2205"/>
      <c r="F8" s="2205"/>
      <c r="G8" s="2205"/>
      <c r="H8" s="2205"/>
      <c r="I8" s="2205"/>
      <c r="J8" s="2205"/>
      <c r="K8" s="2205"/>
      <c r="L8" s="2205"/>
      <c r="M8" s="2205"/>
      <c r="N8" s="2205"/>
      <c r="O8" s="2205"/>
      <c r="P8" s="2205"/>
      <c r="Q8" s="2205"/>
      <c r="R8" s="2205"/>
      <c r="S8" s="2205"/>
      <c r="T8" s="2205"/>
      <c r="U8" s="2205"/>
      <c r="V8" s="1395"/>
    </row>
    <row r="9" spans="1:22">
      <c r="A9" s="2287"/>
      <c r="B9" s="2205"/>
      <c r="C9" s="2205"/>
      <c r="D9" s="2205"/>
      <c r="E9" s="2205"/>
      <c r="F9" s="2205"/>
      <c r="G9" s="2205"/>
      <c r="H9" s="2205"/>
      <c r="I9" s="2205"/>
      <c r="J9" s="2205"/>
      <c r="K9" s="2205"/>
      <c r="L9" s="2205"/>
      <c r="M9" s="2205"/>
      <c r="N9" s="2205"/>
      <c r="O9" s="2205"/>
      <c r="P9" s="2205"/>
      <c r="Q9" s="2205"/>
      <c r="R9" s="2205"/>
      <c r="S9" s="2205"/>
      <c r="T9" s="2205"/>
      <c r="U9" s="2205"/>
      <c r="V9" s="1395"/>
    </row>
    <row r="10" spans="1:22">
      <c r="A10" s="2288" t="s">
        <v>3652</v>
      </c>
      <c r="B10" s="2205"/>
      <c r="C10" s="2205"/>
      <c r="D10" s="2205"/>
      <c r="E10" s="2205"/>
      <c r="F10" s="2205"/>
      <c r="G10" s="2205"/>
      <c r="H10" s="2205"/>
      <c r="I10" s="2205"/>
      <c r="J10" s="2205"/>
      <c r="K10" s="2205"/>
      <c r="L10" s="2205"/>
      <c r="M10" s="2205"/>
      <c r="N10" s="2205"/>
      <c r="O10" s="2205"/>
      <c r="P10" s="2205"/>
      <c r="Q10" s="2205"/>
      <c r="R10" s="2205"/>
      <c r="S10" s="2205"/>
      <c r="T10" s="2205"/>
      <c r="U10" s="2205"/>
      <c r="V10" s="1395"/>
    </row>
    <row r="11" spans="1:22" ht="15.75">
      <c r="A11" s="2248"/>
      <c r="B11" s="2205"/>
      <c r="C11" s="2205"/>
      <c r="D11" s="2205"/>
      <c r="E11" s="2205"/>
      <c r="F11" s="2205"/>
      <c r="G11" s="2205"/>
      <c r="H11" s="2205"/>
      <c r="I11" s="2205"/>
      <c r="J11" s="2205"/>
      <c r="K11" s="2205"/>
      <c r="L11" s="2205"/>
      <c r="M11" s="2205"/>
      <c r="N11" s="2205"/>
      <c r="O11" s="2205"/>
      <c r="P11" s="2205"/>
      <c r="Q11" s="2205"/>
      <c r="R11" s="2205"/>
      <c r="S11" s="2205"/>
      <c r="T11" s="2205"/>
      <c r="U11" s="2205"/>
      <c r="V11" s="1395"/>
    </row>
    <row r="12" spans="1:22">
      <c r="A12" s="2284"/>
      <c r="B12" s="2205"/>
      <c r="C12" s="2205"/>
      <c r="D12" s="2205"/>
      <c r="E12" s="2205"/>
      <c r="F12" s="2205"/>
      <c r="G12" s="2205"/>
      <c r="H12" s="2289" t="s">
        <v>3663</v>
      </c>
      <c r="I12" s="2342"/>
      <c r="J12" s="2342"/>
      <c r="K12" s="1409" t="s">
        <v>7</v>
      </c>
      <c r="L12" s="2289" t="s">
        <v>3684</v>
      </c>
      <c r="M12" s="2342"/>
      <c r="N12" s="2342"/>
      <c r="O12" s="2284"/>
      <c r="P12" s="2205"/>
      <c r="Q12" s="2205"/>
      <c r="R12" s="2205"/>
      <c r="S12" s="2205"/>
      <c r="T12" s="2205"/>
      <c r="U12" s="2205"/>
      <c r="V12" s="1395"/>
    </row>
    <row r="13" spans="1:22" hidden="1">
      <c r="A13" s="1395"/>
      <c r="B13" s="1395"/>
      <c r="C13" s="1395"/>
      <c r="D13" s="1395"/>
      <c r="E13" s="1395"/>
      <c r="F13" s="1395"/>
      <c r="G13" s="1395"/>
      <c r="H13" s="1395"/>
      <c r="I13" s="1395"/>
      <c r="J13" s="1395"/>
      <c r="K13" s="1395"/>
      <c r="L13" s="1395"/>
      <c r="M13" s="1395"/>
      <c r="N13" s="1395"/>
      <c r="O13" s="1395"/>
      <c r="P13" s="1395"/>
      <c r="Q13" s="1395"/>
      <c r="R13" s="1395"/>
      <c r="S13" s="1395"/>
      <c r="T13" s="1395"/>
      <c r="U13" s="1395"/>
      <c r="V13" s="1395"/>
    </row>
    <row r="14" spans="1:22">
      <c r="A14" s="1395"/>
      <c r="B14" s="1395"/>
      <c r="C14" s="1395"/>
      <c r="D14" s="1395"/>
      <c r="E14" s="1395"/>
      <c r="F14" s="1395"/>
      <c r="G14" s="1395"/>
      <c r="H14" s="1395"/>
      <c r="I14" s="1395"/>
      <c r="J14" s="1395"/>
      <c r="K14" s="1395"/>
      <c r="L14" s="1395"/>
      <c r="M14" s="1395"/>
      <c r="N14" s="1395"/>
      <c r="O14" s="1395"/>
      <c r="P14" s="1395"/>
      <c r="Q14" s="1395"/>
      <c r="R14" s="1395"/>
      <c r="S14" s="1395"/>
      <c r="T14" s="1395"/>
      <c r="U14" s="1395"/>
      <c r="V14" s="1395"/>
    </row>
    <row r="15" spans="1:22">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45"/>
    </row>
    <row r="16" spans="1:22">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47"/>
    </row>
    <row r="17" spans="1:22">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47"/>
    </row>
    <row r="18" spans="1:22">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47"/>
    </row>
    <row r="19" spans="1:22" ht="48">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9"/>
    </row>
    <row r="20" spans="1:22">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3"/>
    </row>
    <row r="21" spans="1:22" ht="67.5">
      <c r="A21" s="1326" t="s">
        <v>1052</v>
      </c>
      <c r="B21" s="1326" t="s">
        <v>3685</v>
      </c>
      <c r="C21" s="2290" t="s">
        <v>303</v>
      </c>
      <c r="D21" s="2353"/>
      <c r="E21" s="1326"/>
      <c r="F21" s="1326"/>
      <c r="G21" s="2161">
        <v>1571000</v>
      </c>
      <c r="H21" s="2353"/>
      <c r="I21" s="1398">
        <v>920475</v>
      </c>
      <c r="J21" s="2161">
        <v>0</v>
      </c>
      <c r="K21" s="2352"/>
      <c r="L21" s="2353"/>
      <c r="M21" s="1398">
        <v>0</v>
      </c>
      <c r="N21" s="2161">
        <v>0</v>
      </c>
      <c r="O21" s="2353"/>
      <c r="P21" s="2161">
        <v>0</v>
      </c>
      <c r="Q21" s="2353"/>
      <c r="R21" s="2161">
        <v>650525</v>
      </c>
      <c r="S21" s="2353"/>
      <c r="T21" s="1399">
        <v>42919</v>
      </c>
      <c r="U21" s="2163" t="s">
        <v>3686</v>
      </c>
      <c r="V21" s="2353"/>
    </row>
    <row r="22" spans="1:22" ht="42.75" customHeight="1">
      <c r="A22" s="1326" t="s">
        <v>3647</v>
      </c>
      <c r="B22" s="1326" t="s">
        <v>3687</v>
      </c>
      <c r="C22" s="2290" t="s">
        <v>297</v>
      </c>
      <c r="D22" s="2353"/>
      <c r="E22" s="1326"/>
      <c r="F22" s="1326"/>
      <c r="G22" s="2161">
        <f>SUM(I22:S22)</f>
        <v>5160736.5999999996</v>
      </c>
      <c r="H22" s="2353"/>
      <c r="I22" s="1398">
        <v>2874174.73</v>
      </c>
      <c r="J22" s="2161">
        <v>0</v>
      </c>
      <c r="K22" s="2352"/>
      <c r="L22" s="2353"/>
      <c r="M22" s="1398">
        <v>0</v>
      </c>
      <c r="N22" s="2161">
        <v>0</v>
      </c>
      <c r="O22" s="2353"/>
      <c r="P22" s="2161">
        <v>0</v>
      </c>
      <c r="Q22" s="2353"/>
      <c r="R22" s="2161">
        <v>2286561.87</v>
      </c>
      <c r="S22" s="2353"/>
      <c r="T22" s="1399">
        <v>42704</v>
      </c>
      <c r="U22" s="2163" t="s">
        <v>3686</v>
      </c>
      <c r="V22" s="2353"/>
    </row>
    <row r="23" spans="1:22" ht="33" customHeight="1">
      <c r="A23" s="1326" t="s">
        <v>1087</v>
      </c>
      <c r="B23" s="1326" t="s">
        <v>3688</v>
      </c>
      <c r="C23" s="2290" t="s">
        <v>387</v>
      </c>
      <c r="D23" s="2353"/>
      <c r="E23" s="1326"/>
      <c r="F23" s="1326"/>
      <c r="G23" s="2161">
        <v>5706088</v>
      </c>
      <c r="H23" s="2353"/>
      <c r="I23" s="1398">
        <v>2696984.31</v>
      </c>
      <c r="J23" s="2161">
        <v>0</v>
      </c>
      <c r="K23" s="2352"/>
      <c r="L23" s="2353"/>
      <c r="M23" s="1398">
        <v>0</v>
      </c>
      <c r="N23" s="2161">
        <v>0</v>
      </c>
      <c r="O23" s="2353"/>
      <c r="P23" s="2161">
        <v>0</v>
      </c>
      <c r="Q23" s="2353"/>
      <c r="R23" s="2161">
        <v>3009103.69</v>
      </c>
      <c r="S23" s="2353"/>
      <c r="T23" s="1399">
        <v>42704</v>
      </c>
      <c r="U23" s="2163" t="s">
        <v>3686</v>
      </c>
      <c r="V23" s="2353"/>
    </row>
    <row r="24" spans="1:22" ht="36" customHeight="1">
      <c r="A24" s="1326" t="s">
        <v>843</v>
      </c>
      <c r="B24" s="1326" t="s">
        <v>3689</v>
      </c>
      <c r="C24" s="2290" t="s">
        <v>278</v>
      </c>
      <c r="D24" s="2353"/>
      <c r="E24" s="1326"/>
      <c r="F24" s="1326"/>
      <c r="G24" s="2161">
        <v>1434076.43</v>
      </c>
      <c r="H24" s="2353"/>
      <c r="I24" s="1398">
        <v>796102</v>
      </c>
      <c r="J24" s="2161">
        <v>0</v>
      </c>
      <c r="K24" s="2352"/>
      <c r="L24" s="2353"/>
      <c r="M24" s="1398">
        <v>0</v>
      </c>
      <c r="N24" s="2161">
        <v>0</v>
      </c>
      <c r="O24" s="2353"/>
      <c r="P24" s="2161">
        <v>0</v>
      </c>
      <c r="Q24" s="2353"/>
      <c r="R24" s="2161">
        <v>637974.43000000005</v>
      </c>
      <c r="S24" s="2353"/>
      <c r="T24" s="1399">
        <v>42734</v>
      </c>
      <c r="U24" s="2163" t="s">
        <v>3686</v>
      </c>
      <c r="V24" s="2353"/>
    </row>
    <row r="25" spans="1:22" ht="25.5" customHeight="1" thickBot="1">
      <c r="A25" s="1326" t="s">
        <v>1070</v>
      </c>
      <c r="B25" s="1326" t="s">
        <v>3690</v>
      </c>
      <c r="C25" s="2290" t="s">
        <v>293</v>
      </c>
      <c r="D25" s="2353"/>
      <c r="E25" s="1326"/>
      <c r="F25" s="1326"/>
      <c r="G25" s="2161">
        <v>2539908.79</v>
      </c>
      <c r="H25" s="2353"/>
      <c r="I25" s="1398">
        <v>1614228.26</v>
      </c>
      <c r="J25" s="2161">
        <v>0</v>
      </c>
      <c r="K25" s="2352"/>
      <c r="L25" s="2353"/>
      <c r="M25" s="1398">
        <v>0</v>
      </c>
      <c r="N25" s="2161">
        <v>0</v>
      </c>
      <c r="O25" s="2353"/>
      <c r="P25" s="2161">
        <v>0</v>
      </c>
      <c r="Q25" s="2353"/>
      <c r="R25" s="2161">
        <v>925680.53</v>
      </c>
      <c r="S25" s="2353"/>
      <c r="T25" s="1399">
        <v>42674</v>
      </c>
      <c r="U25" s="2163" t="s">
        <v>3686</v>
      </c>
      <c r="V25" s="2353"/>
    </row>
    <row r="26" spans="1:22">
      <c r="A26" s="2173" t="s">
        <v>3649</v>
      </c>
      <c r="B26" s="2356"/>
      <c r="C26" s="2356"/>
      <c r="D26" s="2356"/>
      <c r="E26" s="2356"/>
      <c r="F26" s="2357"/>
      <c r="G26" s="2174">
        <f>SUM(G21:H25)</f>
        <v>16411809.82</v>
      </c>
      <c r="H26" s="2357"/>
      <c r="I26" s="1401">
        <f>SUM(I21:I25)</f>
        <v>8901964.3000000007</v>
      </c>
      <c r="J26" s="2174">
        <v>0</v>
      </c>
      <c r="K26" s="2356"/>
      <c r="L26" s="2357"/>
      <c r="M26" s="1401">
        <v>0</v>
      </c>
      <c r="N26" s="2174">
        <v>0</v>
      </c>
      <c r="O26" s="2357"/>
      <c r="P26" s="2174">
        <v>0</v>
      </c>
      <c r="Q26" s="2357"/>
      <c r="R26" s="2174">
        <v>7590653.2999999998</v>
      </c>
      <c r="S26" s="2357"/>
      <c r="T26" s="2168"/>
      <c r="U26" s="2356"/>
      <c r="V26" s="2357"/>
    </row>
    <row r="27" spans="1:22">
      <c r="A27" s="2163" t="s">
        <v>3650</v>
      </c>
      <c r="B27" s="2352"/>
      <c r="C27" s="2352"/>
      <c r="D27" s="2352"/>
      <c r="E27" s="2352"/>
      <c r="F27" s="2352"/>
      <c r="G27" s="2352"/>
      <c r="H27" s="2353"/>
      <c r="I27" s="2172">
        <v>9294484.6400000006</v>
      </c>
      <c r="J27" s="2352"/>
      <c r="K27" s="2352"/>
      <c r="L27" s="2352"/>
      <c r="M27" s="2352"/>
      <c r="N27" s="2352"/>
      <c r="O27" s="2352"/>
      <c r="P27" s="2352"/>
      <c r="Q27" s="2352"/>
      <c r="R27" s="2352"/>
      <c r="S27" s="2352"/>
      <c r="T27" s="2352"/>
      <c r="U27" s="2352"/>
      <c r="V27" s="2353"/>
    </row>
  </sheetData>
  <mergeCells count="90">
    <mergeCell ref="A8:U8"/>
    <mergeCell ref="A2:P2"/>
    <mergeCell ref="Q2:U2"/>
    <mergeCell ref="A3:P3"/>
    <mergeCell ref="Q3:U3"/>
    <mergeCell ref="A4:C4"/>
    <mergeCell ref="D4:R4"/>
    <mergeCell ref="S4:U4"/>
    <mergeCell ref="A5:U5"/>
    <mergeCell ref="A6:U6"/>
    <mergeCell ref="A7:C7"/>
    <mergeCell ref="D7:R7"/>
    <mergeCell ref="S7:U7"/>
    <mergeCell ref="A9:U9"/>
    <mergeCell ref="A10:U10"/>
    <mergeCell ref="A11:U11"/>
    <mergeCell ref="A12:G12"/>
    <mergeCell ref="H12:J12"/>
    <mergeCell ref="L12:N12"/>
    <mergeCell ref="O12:U12"/>
    <mergeCell ref="A15:A19"/>
    <mergeCell ref="B15:B19"/>
    <mergeCell ref="C15:D19"/>
    <mergeCell ref="E15:E19"/>
    <mergeCell ref="F15:F19"/>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T26:V26"/>
    <mergeCell ref="A27:H27"/>
    <mergeCell ref="I27:V27"/>
    <mergeCell ref="A26:F26"/>
    <mergeCell ref="G26:H26"/>
    <mergeCell ref="J26:L26"/>
    <mergeCell ref="N26:O26"/>
    <mergeCell ref="P26:Q26"/>
    <mergeCell ref="R26:S26"/>
  </mergeCell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2:V27"/>
  <sheetViews>
    <sheetView workbookViewId="0">
      <selection activeCell="M28" sqref="M28"/>
    </sheetView>
  </sheetViews>
  <sheetFormatPr defaultRowHeight="15"/>
  <cols>
    <col min="1" max="1" width="5.42578125" style="21" customWidth="1"/>
    <col min="2" max="2" width="13.7109375" style="21" customWidth="1"/>
    <col min="3" max="3" width="18.85546875" style="21" customWidth="1"/>
    <col min="4" max="4" width="0.140625" style="21" customWidth="1"/>
    <col min="5" max="5" width="18.28515625" style="21" hidden="1" customWidth="1"/>
    <col min="6" max="6" width="15.28515625" style="21" hidden="1" customWidth="1"/>
    <col min="7" max="7" width="12.42578125" style="21" customWidth="1"/>
    <col min="8" max="8" width="0.5703125" style="21" customWidth="1"/>
    <col min="9" max="9" width="18.28515625" style="21" customWidth="1"/>
    <col min="10" max="10" width="1" style="21" customWidth="1"/>
    <col min="11" max="11" width="7.140625" style="21" customWidth="1"/>
    <col min="12" max="12" width="9.7109375" style="21" customWidth="1"/>
    <col min="13" max="13" width="15.7109375" style="21" customWidth="1"/>
    <col min="14" max="14" width="1.85546875" style="21" customWidth="1"/>
    <col min="15" max="15" width="13.7109375" style="21" customWidth="1"/>
    <col min="16" max="16" width="10.7109375" style="21" customWidth="1"/>
    <col min="17" max="17" width="2.85546875" style="21" customWidth="1"/>
    <col min="18" max="18" width="10.7109375" style="21" customWidth="1"/>
    <col min="19" max="19" width="3.85546875" style="21" customWidth="1"/>
    <col min="20" max="21" width="19" style="21" customWidth="1"/>
    <col min="22" max="22" width="8.140625" style="21" customWidth="1"/>
    <col min="23" max="256" width="9.140625" style="21"/>
    <col min="257" max="257" width="5.42578125" style="21" customWidth="1"/>
    <col min="258" max="258" width="13.7109375" style="21" customWidth="1"/>
    <col min="259" max="259" width="18.85546875" style="21" customWidth="1"/>
    <col min="260" max="260" width="0.140625" style="21" customWidth="1"/>
    <col min="261" max="262" width="0" style="21" hidden="1" customWidth="1"/>
    <col min="263" max="263" width="12.42578125" style="21" customWidth="1"/>
    <col min="264" max="264" width="0.5703125" style="21" customWidth="1"/>
    <col min="265" max="265" width="18.28515625" style="21" customWidth="1"/>
    <col min="266" max="266" width="1" style="21" customWidth="1"/>
    <col min="267" max="267" width="7.140625" style="21" customWidth="1"/>
    <col min="268" max="268" width="9.7109375" style="21" customWidth="1"/>
    <col min="269" max="269" width="15.7109375" style="21" customWidth="1"/>
    <col min="270" max="270" width="1.85546875" style="21" customWidth="1"/>
    <col min="271" max="271" width="13.7109375" style="21" customWidth="1"/>
    <col min="272" max="272" width="10.7109375" style="21" customWidth="1"/>
    <col min="273" max="273" width="2.85546875" style="21" customWidth="1"/>
    <col min="274" max="274" width="10.7109375" style="21" customWidth="1"/>
    <col min="275" max="275" width="3.85546875" style="21" customWidth="1"/>
    <col min="276" max="277" width="19" style="21" customWidth="1"/>
    <col min="278" max="278" width="8.140625" style="21" customWidth="1"/>
    <col min="279" max="512" width="9.140625" style="21"/>
    <col min="513" max="513" width="5.42578125" style="21" customWidth="1"/>
    <col min="514" max="514" width="13.7109375" style="21" customWidth="1"/>
    <col min="515" max="515" width="18.85546875" style="21" customWidth="1"/>
    <col min="516" max="516" width="0.140625" style="21" customWidth="1"/>
    <col min="517" max="518" width="0" style="21" hidden="1" customWidth="1"/>
    <col min="519" max="519" width="12.42578125" style="21" customWidth="1"/>
    <col min="520" max="520" width="0.5703125" style="21" customWidth="1"/>
    <col min="521" max="521" width="18.28515625" style="21" customWidth="1"/>
    <col min="522" max="522" width="1" style="21" customWidth="1"/>
    <col min="523" max="523" width="7.140625" style="21" customWidth="1"/>
    <col min="524" max="524" width="9.7109375" style="21" customWidth="1"/>
    <col min="525" max="525" width="15.7109375" style="21" customWidth="1"/>
    <col min="526" max="526" width="1.85546875" style="21" customWidth="1"/>
    <col min="527" max="527" width="13.7109375" style="21" customWidth="1"/>
    <col min="528" max="528" width="10.7109375" style="21" customWidth="1"/>
    <col min="529" max="529" width="2.85546875" style="21" customWidth="1"/>
    <col min="530" max="530" width="10.7109375" style="21" customWidth="1"/>
    <col min="531" max="531" width="3.85546875" style="21" customWidth="1"/>
    <col min="532" max="533" width="19" style="21" customWidth="1"/>
    <col min="534" max="534" width="8.140625" style="21" customWidth="1"/>
    <col min="535" max="768" width="9.140625" style="21"/>
    <col min="769" max="769" width="5.42578125" style="21" customWidth="1"/>
    <col min="770" max="770" width="13.7109375" style="21" customWidth="1"/>
    <col min="771" max="771" width="18.85546875" style="21" customWidth="1"/>
    <col min="772" max="772" width="0.140625" style="21" customWidth="1"/>
    <col min="773" max="774" width="0" style="21" hidden="1" customWidth="1"/>
    <col min="775" max="775" width="12.42578125" style="21" customWidth="1"/>
    <col min="776" max="776" width="0.5703125" style="21" customWidth="1"/>
    <col min="777" max="777" width="18.28515625" style="21" customWidth="1"/>
    <col min="778" max="778" width="1" style="21" customWidth="1"/>
    <col min="779" max="779" width="7.140625" style="21" customWidth="1"/>
    <col min="780" max="780" width="9.7109375" style="21" customWidth="1"/>
    <col min="781" max="781" width="15.7109375" style="21" customWidth="1"/>
    <col min="782" max="782" width="1.85546875" style="21" customWidth="1"/>
    <col min="783" max="783" width="13.7109375" style="21" customWidth="1"/>
    <col min="784" max="784" width="10.7109375" style="21" customWidth="1"/>
    <col min="785" max="785" width="2.85546875" style="21" customWidth="1"/>
    <col min="786" max="786" width="10.7109375" style="21" customWidth="1"/>
    <col min="787" max="787" width="3.85546875" style="21" customWidth="1"/>
    <col min="788" max="789" width="19" style="21" customWidth="1"/>
    <col min="790" max="790" width="8.140625" style="21" customWidth="1"/>
    <col min="791" max="1024" width="9.140625" style="21"/>
    <col min="1025" max="1025" width="5.42578125" style="21" customWidth="1"/>
    <col min="1026" max="1026" width="13.7109375" style="21" customWidth="1"/>
    <col min="1027" max="1027" width="18.85546875" style="21" customWidth="1"/>
    <col min="1028" max="1028" width="0.140625" style="21" customWidth="1"/>
    <col min="1029" max="1030" width="0" style="21" hidden="1" customWidth="1"/>
    <col min="1031" max="1031" width="12.42578125" style="21" customWidth="1"/>
    <col min="1032" max="1032" width="0.5703125" style="21" customWidth="1"/>
    <col min="1033" max="1033" width="18.28515625" style="21" customWidth="1"/>
    <col min="1034" max="1034" width="1" style="21" customWidth="1"/>
    <col min="1035" max="1035" width="7.140625" style="21" customWidth="1"/>
    <col min="1036" max="1036" width="9.7109375" style="21" customWidth="1"/>
    <col min="1037" max="1037" width="15.7109375" style="21" customWidth="1"/>
    <col min="1038" max="1038" width="1.85546875" style="21" customWidth="1"/>
    <col min="1039" max="1039" width="13.7109375" style="21" customWidth="1"/>
    <col min="1040" max="1040" width="10.7109375" style="21" customWidth="1"/>
    <col min="1041" max="1041" width="2.85546875" style="21" customWidth="1"/>
    <col min="1042" max="1042" width="10.7109375" style="21" customWidth="1"/>
    <col min="1043" max="1043" width="3.85546875" style="21" customWidth="1"/>
    <col min="1044" max="1045" width="19" style="21" customWidth="1"/>
    <col min="1046" max="1046" width="8.140625" style="21" customWidth="1"/>
    <col min="1047" max="1280" width="9.140625" style="21"/>
    <col min="1281" max="1281" width="5.42578125" style="21" customWidth="1"/>
    <col min="1282" max="1282" width="13.7109375" style="21" customWidth="1"/>
    <col min="1283" max="1283" width="18.85546875" style="21" customWidth="1"/>
    <col min="1284" max="1284" width="0.140625" style="21" customWidth="1"/>
    <col min="1285" max="1286" width="0" style="21" hidden="1" customWidth="1"/>
    <col min="1287" max="1287" width="12.42578125" style="21" customWidth="1"/>
    <col min="1288" max="1288" width="0.5703125" style="21" customWidth="1"/>
    <col min="1289" max="1289" width="18.28515625" style="21" customWidth="1"/>
    <col min="1290" max="1290" width="1" style="21" customWidth="1"/>
    <col min="1291" max="1291" width="7.140625" style="21" customWidth="1"/>
    <col min="1292" max="1292" width="9.7109375" style="21" customWidth="1"/>
    <col min="1293" max="1293" width="15.7109375" style="21" customWidth="1"/>
    <col min="1294" max="1294" width="1.85546875" style="21" customWidth="1"/>
    <col min="1295" max="1295" width="13.7109375" style="21" customWidth="1"/>
    <col min="1296" max="1296" width="10.7109375" style="21" customWidth="1"/>
    <col min="1297" max="1297" width="2.85546875" style="21" customWidth="1"/>
    <col min="1298" max="1298" width="10.7109375" style="21" customWidth="1"/>
    <col min="1299" max="1299" width="3.85546875" style="21" customWidth="1"/>
    <col min="1300" max="1301" width="19" style="21" customWidth="1"/>
    <col min="1302" max="1302" width="8.140625" style="21" customWidth="1"/>
    <col min="1303" max="1536" width="9.140625" style="21"/>
    <col min="1537" max="1537" width="5.42578125" style="21" customWidth="1"/>
    <col min="1538" max="1538" width="13.7109375" style="21" customWidth="1"/>
    <col min="1539" max="1539" width="18.85546875" style="21" customWidth="1"/>
    <col min="1540" max="1540" width="0.140625" style="21" customWidth="1"/>
    <col min="1541" max="1542" width="0" style="21" hidden="1" customWidth="1"/>
    <col min="1543" max="1543" width="12.42578125" style="21" customWidth="1"/>
    <col min="1544" max="1544" width="0.5703125" style="21" customWidth="1"/>
    <col min="1545" max="1545" width="18.28515625" style="21" customWidth="1"/>
    <col min="1546" max="1546" width="1" style="21" customWidth="1"/>
    <col min="1547" max="1547" width="7.140625" style="21" customWidth="1"/>
    <col min="1548" max="1548" width="9.7109375" style="21" customWidth="1"/>
    <col min="1549" max="1549" width="15.7109375" style="21" customWidth="1"/>
    <col min="1550" max="1550" width="1.85546875" style="21" customWidth="1"/>
    <col min="1551" max="1551" width="13.7109375" style="21" customWidth="1"/>
    <col min="1552" max="1552" width="10.7109375" style="21" customWidth="1"/>
    <col min="1553" max="1553" width="2.85546875" style="21" customWidth="1"/>
    <col min="1554" max="1554" width="10.7109375" style="21" customWidth="1"/>
    <col min="1555" max="1555" width="3.85546875" style="21" customWidth="1"/>
    <col min="1556" max="1557" width="19" style="21" customWidth="1"/>
    <col min="1558" max="1558" width="8.140625" style="21" customWidth="1"/>
    <col min="1559" max="1792" width="9.140625" style="21"/>
    <col min="1793" max="1793" width="5.42578125" style="21" customWidth="1"/>
    <col min="1794" max="1794" width="13.7109375" style="21" customWidth="1"/>
    <col min="1795" max="1795" width="18.85546875" style="21" customWidth="1"/>
    <col min="1796" max="1796" width="0.140625" style="21" customWidth="1"/>
    <col min="1797" max="1798" width="0" style="21" hidden="1" customWidth="1"/>
    <col min="1799" max="1799" width="12.42578125" style="21" customWidth="1"/>
    <col min="1800" max="1800" width="0.5703125" style="21" customWidth="1"/>
    <col min="1801" max="1801" width="18.28515625" style="21" customWidth="1"/>
    <col min="1802" max="1802" width="1" style="21" customWidth="1"/>
    <col min="1803" max="1803" width="7.140625" style="21" customWidth="1"/>
    <col min="1804" max="1804" width="9.7109375" style="21" customWidth="1"/>
    <col min="1805" max="1805" width="15.7109375" style="21" customWidth="1"/>
    <col min="1806" max="1806" width="1.85546875" style="21" customWidth="1"/>
    <col min="1807" max="1807" width="13.7109375" style="21" customWidth="1"/>
    <col min="1808" max="1808" width="10.7109375" style="21" customWidth="1"/>
    <col min="1809" max="1809" width="2.85546875" style="21" customWidth="1"/>
    <col min="1810" max="1810" width="10.7109375" style="21" customWidth="1"/>
    <col min="1811" max="1811" width="3.85546875" style="21" customWidth="1"/>
    <col min="1812" max="1813" width="19" style="21" customWidth="1"/>
    <col min="1814" max="1814" width="8.140625" style="21" customWidth="1"/>
    <col min="1815" max="2048" width="9.140625" style="21"/>
    <col min="2049" max="2049" width="5.42578125" style="21" customWidth="1"/>
    <col min="2050" max="2050" width="13.7109375" style="21" customWidth="1"/>
    <col min="2051" max="2051" width="18.85546875" style="21" customWidth="1"/>
    <col min="2052" max="2052" width="0.140625" style="21" customWidth="1"/>
    <col min="2053" max="2054" width="0" style="21" hidden="1" customWidth="1"/>
    <col min="2055" max="2055" width="12.42578125" style="21" customWidth="1"/>
    <col min="2056" max="2056" width="0.5703125" style="21" customWidth="1"/>
    <col min="2057" max="2057" width="18.28515625" style="21" customWidth="1"/>
    <col min="2058" max="2058" width="1" style="21" customWidth="1"/>
    <col min="2059" max="2059" width="7.140625" style="21" customWidth="1"/>
    <col min="2060" max="2060" width="9.7109375" style="21" customWidth="1"/>
    <col min="2061" max="2061" width="15.7109375" style="21" customWidth="1"/>
    <col min="2062" max="2062" width="1.85546875" style="21" customWidth="1"/>
    <col min="2063" max="2063" width="13.7109375" style="21" customWidth="1"/>
    <col min="2064" max="2064" width="10.7109375" style="21" customWidth="1"/>
    <col min="2065" max="2065" width="2.85546875" style="21" customWidth="1"/>
    <col min="2066" max="2066" width="10.7109375" style="21" customWidth="1"/>
    <col min="2067" max="2067" width="3.85546875" style="21" customWidth="1"/>
    <col min="2068" max="2069" width="19" style="21" customWidth="1"/>
    <col min="2070" max="2070" width="8.140625" style="21" customWidth="1"/>
    <col min="2071" max="2304" width="9.140625" style="21"/>
    <col min="2305" max="2305" width="5.42578125" style="21" customWidth="1"/>
    <col min="2306" max="2306" width="13.7109375" style="21" customWidth="1"/>
    <col min="2307" max="2307" width="18.85546875" style="21" customWidth="1"/>
    <col min="2308" max="2308" width="0.140625" style="21" customWidth="1"/>
    <col min="2309" max="2310" width="0" style="21" hidden="1" customWidth="1"/>
    <col min="2311" max="2311" width="12.42578125" style="21" customWidth="1"/>
    <col min="2312" max="2312" width="0.5703125" style="21" customWidth="1"/>
    <col min="2313" max="2313" width="18.28515625" style="21" customWidth="1"/>
    <col min="2314" max="2314" width="1" style="21" customWidth="1"/>
    <col min="2315" max="2315" width="7.140625" style="21" customWidth="1"/>
    <col min="2316" max="2316" width="9.7109375" style="21" customWidth="1"/>
    <col min="2317" max="2317" width="15.7109375" style="21" customWidth="1"/>
    <col min="2318" max="2318" width="1.85546875" style="21" customWidth="1"/>
    <col min="2319" max="2319" width="13.7109375" style="21" customWidth="1"/>
    <col min="2320" max="2320" width="10.7109375" style="21" customWidth="1"/>
    <col min="2321" max="2321" width="2.85546875" style="21" customWidth="1"/>
    <col min="2322" max="2322" width="10.7109375" style="21" customWidth="1"/>
    <col min="2323" max="2323" width="3.85546875" style="21" customWidth="1"/>
    <col min="2324" max="2325" width="19" style="21" customWidth="1"/>
    <col min="2326" max="2326" width="8.140625" style="21" customWidth="1"/>
    <col min="2327" max="2560" width="9.140625" style="21"/>
    <col min="2561" max="2561" width="5.42578125" style="21" customWidth="1"/>
    <col min="2562" max="2562" width="13.7109375" style="21" customWidth="1"/>
    <col min="2563" max="2563" width="18.85546875" style="21" customWidth="1"/>
    <col min="2564" max="2564" width="0.140625" style="21" customWidth="1"/>
    <col min="2565" max="2566" width="0" style="21" hidden="1" customWidth="1"/>
    <col min="2567" max="2567" width="12.42578125" style="21" customWidth="1"/>
    <col min="2568" max="2568" width="0.5703125" style="21" customWidth="1"/>
    <col min="2569" max="2569" width="18.28515625" style="21" customWidth="1"/>
    <col min="2570" max="2570" width="1" style="21" customWidth="1"/>
    <col min="2571" max="2571" width="7.140625" style="21" customWidth="1"/>
    <col min="2572" max="2572" width="9.7109375" style="21" customWidth="1"/>
    <col min="2573" max="2573" width="15.7109375" style="21" customWidth="1"/>
    <col min="2574" max="2574" width="1.85546875" style="21" customWidth="1"/>
    <col min="2575" max="2575" width="13.7109375" style="21" customWidth="1"/>
    <col min="2576" max="2576" width="10.7109375" style="21" customWidth="1"/>
    <col min="2577" max="2577" width="2.85546875" style="21" customWidth="1"/>
    <col min="2578" max="2578" width="10.7109375" style="21" customWidth="1"/>
    <col min="2579" max="2579" width="3.85546875" style="21" customWidth="1"/>
    <col min="2580" max="2581" width="19" style="21" customWidth="1"/>
    <col min="2582" max="2582" width="8.140625" style="21" customWidth="1"/>
    <col min="2583" max="2816" width="9.140625" style="21"/>
    <col min="2817" max="2817" width="5.42578125" style="21" customWidth="1"/>
    <col min="2818" max="2818" width="13.7109375" style="21" customWidth="1"/>
    <col min="2819" max="2819" width="18.85546875" style="21" customWidth="1"/>
    <col min="2820" max="2820" width="0.140625" style="21" customWidth="1"/>
    <col min="2821" max="2822" width="0" style="21" hidden="1" customWidth="1"/>
    <col min="2823" max="2823" width="12.42578125" style="21" customWidth="1"/>
    <col min="2824" max="2824" width="0.5703125" style="21" customWidth="1"/>
    <col min="2825" max="2825" width="18.28515625" style="21" customWidth="1"/>
    <col min="2826" max="2826" width="1" style="21" customWidth="1"/>
    <col min="2827" max="2827" width="7.140625" style="21" customWidth="1"/>
    <col min="2828" max="2828" width="9.7109375" style="21" customWidth="1"/>
    <col min="2829" max="2829" width="15.7109375" style="21" customWidth="1"/>
    <col min="2830" max="2830" width="1.85546875" style="21" customWidth="1"/>
    <col min="2831" max="2831" width="13.7109375" style="21" customWidth="1"/>
    <col min="2832" max="2832" width="10.7109375" style="21" customWidth="1"/>
    <col min="2833" max="2833" width="2.85546875" style="21" customWidth="1"/>
    <col min="2834" max="2834" width="10.7109375" style="21" customWidth="1"/>
    <col min="2835" max="2835" width="3.85546875" style="21" customWidth="1"/>
    <col min="2836" max="2837" width="19" style="21" customWidth="1"/>
    <col min="2838" max="2838" width="8.140625" style="21" customWidth="1"/>
    <col min="2839" max="3072" width="9.140625" style="21"/>
    <col min="3073" max="3073" width="5.42578125" style="21" customWidth="1"/>
    <col min="3074" max="3074" width="13.7109375" style="21" customWidth="1"/>
    <col min="3075" max="3075" width="18.85546875" style="21" customWidth="1"/>
    <col min="3076" max="3076" width="0.140625" style="21" customWidth="1"/>
    <col min="3077" max="3078" width="0" style="21" hidden="1" customWidth="1"/>
    <col min="3079" max="3079" width="12.42578125" style="21" customWidth="1"/>
    <col min="3080" max="3080" width="0.5703125" style="21" customWidth="1"/>
    <col min="3081" max="3081" width="18.28515625" style="21" customWidth="1"/>
    <col min="3082" max="3082" width="1" style="21" customWidth="1"/>
    <col min="3083" max="3083" width="7.140625" style="21" customWidth="1"/>
    <col min="3084" max="3084" width="9.7109375" style="21" customWidth="1"/>
    <col min="3085" max="3085" width="15.7109375" style="21" customWidth="1"/>
    <col min="3086" max="3086" width="1.85546875" style="21" customWidth="1"/>
    <col min="3087" max="3087" width="13.7109375" style="21" customWidth="1"/>
    <col min="3088" max="3088" width="10.7109375" style="21" customWidth="1"/>
    <col min="3089" max="3089" width="2.85546875" style="21" customWidth="1"/>
    <col min="3090" max="3090" width="10.7109375" style="21" customWidth="1"/>
    <col min="3091" max="3091" width="3.85546875" style="21" customWidth="1"/>
    <col min="3092" max="3093" width="19" style="21" customWidth="1"/>
    <col min="3094" max="3094" width="8.140625" style="21" customWidth="1"/>
    <col min="3095" max="3328" width="9.140625" style="21"/>
    <col min="3329" max="3329" width="5.42578125" style="21" customWidth="1"/>
    <col min="3330" max="3330" width="13.7109375" style="21" customWidth="1"/>
    <col min="3331" max="3331" width="18.85546875" style="21" customWidth="1"/>
    <col min="3332" max="3332" width="0.140625" style="21" customWidth="1"/>
    <col min="3333" max="3334" width="0" style="21" hidden="1" customWidth="1"/>
    <col min="3335" max="3335" width="12.42578125" style="21" customWidth="1"/>
    <col min="3336" max="3336" width="0.5703125" style="21" customWidth="1"/>
    <col min="3337" max="3337" width="18.28515625" style="21" customWidth="1"/>
    <col min="3338" max="3338" width="1" style="21" customWidth="1"/>
    <col min="3339" max="3339" width="7.140625" style="21" customWidth="1"/>
    <col min="3340" max="3340" width="9.7109375" style="21" customWidth="1"/>
    <col min="3341" max="3341" width="15.7109375" style="21" customWidth="1"/>
    <col min="3342" max="3342" width="1.85546875" style="21" customWidth="1"/>
    <col min="3343" max="3343" width="13.7109375" style="21" customWidth="1"/>
    <col min="3344" max="3344" width="10.7109375" style="21" customWidth="1"/>
    <col min="3345" max="3345" width="2.85546875" style="21" customWidth="1"/>
    <col min="3346" max="3346" width="10.7109375" style="21" customWidth="1"/>
    <col min="3347" max="3347" width="3.85546875" style="21" customWidth="1"/>
    <col min="3348" max="3349" width="19" style="21" customWidth="1"/>
    <col min="3350" max="3350" width="8.140625" style="21" customWidth="1"/>
    <col min="3351" max="3584" width="9.140625" style="21"/>
    <col min="3585" max="3585" width="5.42578125" style="21" customWidth="1"/>
    <col min="3586" max="3586" width="13.7109375" style="21" customWidth="1"/>
    <col min="3587" max="3587" width="18.85546875" style="21" customWidth="1"/>
    <col min="3588" max="3588" width="0.140625" style="21" customWidth="1"/>
    <col min="3589" max="3590" width="0" style="21" hidden="1" customWidth="1"/>
    <col min="3591" max="3591" width="12.42578125" style="21" customWidth="1"/>
    <col min="3592" max="3592" width="0.5703125" style="21" customWidth="1"/>
    <col min="3593" max="3593" width="18.28515625" style="21" customWidth="1"/>
    <col min="3594" max="3594" width="1" style="21" customWidth="1"/>
    <col min="3595" max="3595" width="7.140625" style="21" customWidth="1"/>
    <col min="3596" max="3596" width="9.7109375" style="21" customWidth="1"/>
    <col min="3597" max="3597" width="15.7109375" style="21" customWidth="1"/>
    <col min="3598" max="3598" width="1.85546875" style="21" customWidth="1"/>
    <col min="3599" max="3599" width="13.7109375" style="21" customWidth="1"/>
    <col min="3600" max="3600" width="10.7109375" style="21" customWidth="1"/>
    <col min="3601" max="3601" width="2.85546875" style="21" customWidth="1"/>
    <col min="3602" max="3602" width="10.7109375" style="21" customWidth="1"/>
    <col min="3603" max="3603" width="3.85546875" style="21" customWidth="1"/>
    <col min="3604" max="3605" width="19" style="21" customWidth="1"/>
    <col min="3606" max="3606" width="8.140625" style="21" customWidth="1"/>
    <col min="3607" max="3840" width="9.140625" style="21"/>
    <col min="3841" max="3841" width="5.42578125" style="21" customWidth="1"/>
    <col min="3842" max="3842" width="13.7109375" style="21" customWidth="1"/>
    <col min="3843" max="3843" width="18.85546875" style="21" customWidth="1"/>
    <col min="3844" max="3844" width="0.140625" style="21" customWidth="1"/>
    <col min="3845" max="3846" width="0" style="21" hidden="1" customWidth="1"/>
    <col min="3847" max="3847" width="12.42578125" style="21" customWidth="1"/>
    <col min="3848" max="3848" width="0.5703125" style="21" customWidth="1"/>
    <col min="3849" max="3849" width="18.28515625" style="21" customWidth="1"/>
    <col min="3850" max="3850" width="1" style="21" customWidth="1"/>
    <col min="3851" max="3851" width="7.140625" style="21" customWidth="1"/>
    <col min="3852" max="3852" width="9.7109375" style="21" customWidth="1"/>
    <col min="3853" max="3853" width="15.7109375" style="21" customWidth="1"/>
    <col min="3854" max="3854" width="1.85546875" style="21" customWidth="1"/>
    <col min="3855" max="3855" width="13.7109375" style="21" customWidth="1"/>
    <col min="3856" max="3856" width="10.7109375" style="21" customWidth="1"/>
    <col min="3857" max="3857" width="2.85546875" style="21" customWidth="1"/>
    <col min="3858" max="3858" width="10.7109375" style="21" customWidth="1"/>
    <col min="3859" max="3859" width="3.85546875" style="21" customWidth="1"/>
    <col min="3860" max="3861" width="19" style="21" customWidth="1"/>
    <col min="3862" max="3862" width="8.140625" style="21" customWidth="1"/>
    <col min="3863" max="4096" width="9.140625" style="21"/>
    <col min="4097" max="4097" width="5.42578125" style="21" customWidth="1"/>
    <col min="4098" max="4098" width="13.7109375" style="21" customWidth="1"/>
    <col min="4099" max="4099" width="18.85546875" style="21" customWidth="1"/>
    <col min="4100" max="4100" width="0.140625" style="21" customWidth="1"/>
    <col min="4101" max="4102" width="0" style="21" hidden="1" customWidth="1"/>
    <col min="4103" max="4103" width="12.42578125" style="21" customWidth="1"/>
    <col min="4104" max="4104" width="0.5703125" style="21" customWidth="1"/>
    <col min="4105" max="4105" width="18.28515625" style="21" customWidth="1"/>
    <col min="4106" max="4106" width="1" style="21" customWidth="1"/>
    <col min="4107" max="4107" width="7.140625" style="21" customWidth="1"/>
    <col min="4108" max="4108" width="9.7109375" style="21" customWidth="1"/>
    <col min="4109" max="4109" width="15.7109375" style="21" customWidth="1"/>
    <col min="4110" max="4110" width="1.85546875" style="21" customWidth="1"/>
    <col min="4111" max="4111" width="13.7109375" style="21" customWidth="1"/>
    <col min="4112" max="4112" width="10.7109375" style="21" customWidth="1"/>
    <col min="4113" max="4113" width="2.85546875" style="21" customWidth="1"/>
    <col min="4114" max="4114" width="10.7109375" style="21" customWidth="1"/>
    <col min="4115" max="4115" width="3.85546875" style="21" customWidth="1"/>
    <col min="4116" max="4117" width="19" style="21" customWidth="1"/>
    <col min="4118" max="4118" width="8.140625" style="21" customWidth="1"/>
    <col min="4119" max="4352" width="9.140625" style="21"/>
    <col min="4353" max="4353" width="5.42578125" style="21" customWidth="1"/>
    <col min="4354" max="4354" width="13.7109375" style="21" customWidth="1"/>
    <col min="4355" max="4355" width="18.85546875" style="21" customWidth="1"/>
    <col min="4356" max="4356" width="0.140625" style="21" customWidth="1"/>
    <col min="4357" max="4358" width="0" style="21" hidden="1" customWidth="1"/>
    <col min="4359" max="4359" width="12.42578125" style="21" customWidth="1"/>
    <col min="4360" max="4360" width="0.5703125" style="21" customWidth="1"/>
    <col min="4361" max="4361" width="18.28515625" style="21" customWidth="1"/>
    <col min="4362" max="4362" width="1" style="21" customWidth="1"/>
    <col min="4363" max="4363" width="7.140625" style="21" customWidth="1"/>
    <col min="4364" max="4364" width="9.7109375" style="21" customWidth="1"/>
    <col min="4365" max="4365" width="15.7109375" style="21" customWidth="1"/>
    <col min="4366" max="4366" width="1.85546875" style="21" customWidth="1"/>
    <col min="4367" max="4367" width="13.7109375" style="21" customWidth="1"/>
    <col min="4368" max="4368" width="10.7109375" style="21" customWidth="1"/>
    <col min="4369" max="4369" width="2.85546875" style="21" customWidth="1"/>
    <col min="4370" max="4370" width="10.7109375" style="21" customWidth="1"/>
    <col min="4371" max="4371" width="3.85546875" style="21" customWidth="1"/>
    <col min="4372" max="4373" width="19" style="21" customWidth="1"/>
    <col min="4374" max="4374" width="8.140625" style="21" customWidth="1"/>
    <col min="4375" max="4608" width="9.140625" style="21"/>
    <col min="4609" max="4609" width="5.42578125" style="21" customWidth="1"/>
    <col min="4610" max="4610" width="13.7109375" style="21" customWidth="1"/>
    <col min="4611" max="4611" width="18.85546875" style="21" customWidth="1"/>
    <col min="4612" max="4612" width="0.140625" style="21" customWidth="1"/>
    <col min="4613" max="4614" width="0" style="21" hidden="1" customWidth="1"/>
    <col min="4615" max="4615" width="12.42578125" style="21" customWidth="1"/>
    <col min="4616" max="4616" width="0.5703125" style="21" customWidth="1"/>
    <col min="4617" max="4617" width="18.28515625" style="21" customWidth="1"/>
    <col min="4618" max="4618" width="1" style="21" customWidth="1"/>
    <col min="4619" max="4619" width="7.140625" style="21" customWidth="1"/>
    <col min="4620" max="4620" width="9.7109375" style="21" customWidth="1"/>
    <col min="4621" max="4621" width="15.7109375" style="21" customWidth="1"/>
    <col min="4622" max="4622" width="1.85546875" style="21" customWidth="1"/>
    <col min="4623" max="4623" width="13.7109375" style="21" customWidth="1"/>
    <col min="4624" max="4624" width="10.7109375" style="21" customWidth="1"/>
    <col min="4625" max="4625" width="2.85546875" style="21" customWidth="1"/>
    <col min="4626" max="4626" width="10.7109375" style="21" customWidth="1"/>
    <col min="4627" max="4627" width="3.85546875" style="21" customWidth="1"/>
    <col min="4628" max="4629" width="19" style="21" customWidth="1"/>
    <col min="4630" max="4630" width="8.140625" style="21" customWidth="1"/>
    <col min="4631" max="4864" width="9.140625" style="21"/>
    <col min="4865" max="4865" width="5.42578125" style="21" customWidth="1"/>
    <col min="4866" max="4866" width="13.7109375" style="21" customWidth="1"/>
    <col min="4867" max="4867" width="18.85546875" style="21" customWidth="1"/>
    <col min="4868" max="4868" width="0.140625" style="21" customWidth="1"/>
    <col min="4869" max="4870" width="0" style="21" hidden="1" customWidth="1"/>
    <col min="4871" max="4871" width="12.42578125" style="21" customWidth="1"/>
    <col min="4872" max="4872" width="0.5703125" style="21" customWidth="1"/>
    <col min="4873" max="4873" width="18.28515625" style="21" customWidth="1"/>
    <col min="4874" max="4874" width="1" style="21" customWidth="1"/>
    <col min="4875" max="4875" width="7.140625" style="21" customWidth="1"/>
    <col min="4876" max="4876" width="9.7109375" style="21" customWidth="1"/>
    <col min="4877" max="4877" width="15.7109375" style="21" customWidth="1"/>
    <col min="4878" max="4878" width="1.85546875" style="21" customWidth="1"/>
    <col min="4879" max="4879" width="13.7109375" style="21" customWidth="1"/>
    <col min="4880" max="4880" width="10.7109375" style="21" customWidth="1"/>
    <col min="4881" max="4881" width="2.85546875" style="21" customWidth="1"/>
    <col min="4882" max="4882" width="10.7109375" style="21" customWidth="1"/>
    <col min="4883" max="4883" width="3.85546875" style="21" customWidth="1"/>
    <col min="4884" max="4885" width="19" style="21" customWidth="1"/>
    <col min="4886" max="4886" width="8.140625" style="21" customWidth="1"/>
    <col min="4887" max="5120" width="9.140625" style="21"/>
    <col min="5121" max="5121" width="5.42578125" style="21" customWidth="1"/>
    <col min="5122" max="5122" width="13.7109375" style="21" customWidth="1"/>
    <col min="5123" max="5123" width="18.85546875" style="21" customWidth="1"/>
    <col min="5124" max="5124" width="0.140625" style="21" customWidth="1"/>
    <col min="5125" max="5126" width="0" style="21" hidden="1" customWidth="1"/>
    <col min="5127" max="5127" width="12.42578125" style="21" customWidth="1"/>
    <col min="5128" max="5128" width="0.5703125" style="21" customWidth="1"/>
    <col min="5129" max="5129" width="18.28515625" style="21" customWidth="1"/>
    <col min="5130" max="5130" width="1" style="21" customWidth="1"/>
    <col min="5131" max="5131" width="7.140625" style="21" customWidth="1"/>
    <col min="5132" max="5132" width="9.7109375" style="21" customWidth="1"/>
    <col min="5133" max="5133" width="15.7109375" style="21" customWidth="1"/>
    <col min="5134" max="5134" width="1.85546875" style="21" customWidth="1"/>
    <col min="5135" max="5135" width="13.7109375" style="21" customWidth="1"/>
    <col min="5136" max="5136" width="10.7109375" style="21" customWidth="1"/>
    <col min="5137" max="5137" width="2.85546875" style="21" customWidth="1"/>
    <col min="5138" max="5138" width="10.7109375" style="21" customWidth="1"/>
    <col min="5139" max="5139" width="3.85546875" style="21" customWidth="1"/>
    <col min="5140" max="5141" width="19" style="21" customWidth="1"/>
    <col min="5142" max="5142" width="8.140625" style="21" customWidth="1"/>
    <col min="5143" max="5376" width="9.140625" style="21"/>
    <col min="5377" max="5377" width="5.42578125" style="21" customWidth="1"/>
    <col min="5378" max="5378" width="13.7109375" style="21" customWidth="1"/>
    <col min="5379" max="5379" width="18.85546875" style="21" customWidth="1"/>
    <col min="5380" max="5380" width="0.140625" style="21" customWidth="1"/>
    <col min="5381" max="5382" width="0" style="21" hidden="1" customWidth="1"/>
    <col min="5383" max="5383" width="12.42578125" style="21" customWidth="1"/>
    <col min="5384" max="5384" width="0.5703125" style="21" customWidth="1"/>
    <col min="5385" max="5385" width="18.28515625" style="21" customWidth="1"/>
    <col min="5386" max="5386" width="1" style="21" customWidth="1"/>
    <col min="5387" max="5387" width="7.140625" style="21" customWidth="1"/>
    <col min="5388" max="5388" width="9.7109375" style="21" customWidth="1"/>
    <col min="5389" max="5389" width="15.7109375" style="21" customWidth="1"/>
    <col min="5390" max="5390" width="1.85546875" style="21" customWidth="1"/>
    <col min="5391" max="5391" width="13.7109375" style="21" customWidth="1"/>
    <col min="5392" max="5392" width="10.7109375" style="21" customWidth="1"/>
    <col min="5393" max="5393" width="2.85546875" style="21" customWidth="1"/>
    <col min="5394" max="5394" width="10.7109375" style="21" customWidth="1"/>
    <col min="5395" max="5395" width="3.85546875" style="21" customWidth="1"/>
    <col min="5396" max="5397" width="19" style="21" customWidth="1"/>
    <col min="5398" max="5398" width="8.140625" style="21" customWidth="1"/>
    <col min="5399" max="5632" width="9.140625" style="21"/>
    <col min="5633" max="5633" width="5.42578125" style="21" customWidth="1"/>
    <col min="5634" max="5634" width="13.7109375" style="21" customWidth="1"/>
    <col min="5635" max="5635" width="18.85546875" style="21" customWidth="1"/>
    <col min="5636" max="5636" width="0.140625" style="21" customWidth="1"/>
    <col min="5637" max="5638" width="0" style="21" hidden="1" customWidth="1"/>
    <col min="5639" max="5639" width="12.42578125" style="21" customWidth="1"/>
    <col min="5640" max="5640" width="0.5703125" style="21" customWidth="1"/>
    <col min="5641" max="5641" width="18.28515625" style="21" customWidth="1"/>
    <col min="5642" max="5642" width="1" style="21" customWidth="1"/>
    <col min="5643" max="5643" width="7.140625" style="21" customWidth="1"/>
    <col min="5644" max="5644" width="9.7109375" style="21" customWidth="1"/>
    <col min="5645" max="5645" width="15.7109375" style="21" customWidth="1"/>
    <col min="5646" max="5646" width="1.85546875" style="21" customWidth="1"/>
    <col min="5647" max="5647" width="13.7109375" style="21" customWidth="1"/>
    <col min="5648" max="5648" width="10.7109375" style="21" customWidth="1"/>
    <col min="5649" max="5649" width="2.85546875" style="21" customWidth="1"/>
    <col min="5650" max="5650" width="10.7109375" style="21" customWidth="1"/>
    <col min="5651" max="5651" width="3.85546875" style="21" customWidth="1"/>
    <col min="5652" max="5653" width="19" style="21" customWidth="1"/>
    <col min="5654" max="5654" width="8.140625" style="21" customWidth="1"/>
    <col min="5655" max="5888" width="9.140625" style="21"/>
    <col min="5889" max="5889" width="5.42578125" style="21" customWidth="1"/>
    <col min="5890" max="5890" width="13.7109375" style="21" customWidth="1"/>
    <col min="5891" max="5891" width="18.85546875" style="21" customWidth="1"/>
    <col min="5892" max="5892" width="0.140625" style="21" customWidth="1"/>
    <col min="5893" max="5894" width="0" style="21" hidden="1" customWidth="1"/>
    <col min="5895" max="5895" width="12.42578125" style="21" customWidth="1"/>
    <col min="5896" max="5896" width="0.5703125" style="21" customWidth="1"/>
    <col min="5897" max="5897" width="18.28515625" style="21" customWidth="1"/>
    <col min="5898" max="5898" width="1" style="21" customWidth="1"/>
    <col min="5899" max="5899" width="7.140625" style="21" customWidth="1"/>
    <col min="5900" max="5900" width="9.7109375" style="21" customWidth="1"/>
    <col min="5901" max="5901" width="15.7109375" style="21" customWidth="1"/>
    <col min="5902" max="5902" width="1.85546875" style="21" customWidth="1"/>
    <col min="5903" max="5903" width="13.7109375" style="21" customWidth="1"/>
    <col min="5904" max="5904" width="10.7109375" style="21" customWidth="1"/>
    <col min="5905" max="5905" width="2.85546875" style="21" customWidth="1"/>
    <col min="5906" max="5906" width="10.7109375" style="21" customWidth="1"/>
    <col min="5907" max="5907" width="3.85546875" style="21" customWidth="1"/>
    <col min="5908" max="5909" width="19" style="21" customWidth="1"/>
    <col min="5910" max="5910" width="8.140625" style="21" customWidth="1"/>
    <col min="5911" max="6144" width="9.140625" style="21"/>
    <col min="6145" max="6145" width="5.42578125" style="21" customWidth="1"/>
    <col min="6146" max="6146" width="13.7109375" style="21" customWidth="1"/>
    <col min="6147" max="6147" width="18.85546875" style="21" customWidth="1"/>
    <col min="6148" max="6148" width="0.140625" style="21" customWidth="1"/>
    <col min="6149" max="6150" width="0" style="21" hidden="1" customWidth="1"/>
    <col min="6151" max="6151" width="12.42578125" style="21" customWidth="1"/>
    <col min="6152" max="6152" width="0.5703125" style="21" customWidth="1"/>
    <col min="6153" max="6153" width="18.28515625" style="21" customWidth="1"/>
    <col min="6154" max="6154" width="1" style="21" customWidth="1"/>
    <col min="6155" max="6155" width="7.140625" style="21" customWidth="1"/>
    <col min="6156" max="6156" width="9.7109375" style="21" customWidth="1"/>
    <col min="6157" max="6157" width="15.7109375" style="21" customWidth="1"/>
    <col min="6158" max="6158" width="1.85546875" style="21" customWidth="1"/>
    <col min="6159" max="6159" width="13.7109375" style="21" customWidth="1"/>
    <col min="6160" max="6160" width="10.7109375" style="21" customWidth="1"/>
    <col min="6161" max="6161" width="2.85546875" style="21" customWidth="1"/>
    <col min="6162" max="6162" width="10.7109375" style="21" customWidth="1"/>
    <col min="6163" max="6163" width="3.85546875" style="21" customWidth="1"/>
    <col min="6164" max="6165" width="19" style="21" customWidth="1"/>
    <col min="6166" max="6166" width="8.140625" style="21" customWidth="1"/>
    <col min="6167" max="6400" width="9.140625" style="21"/>
    <col min="6401" max="6401" width="5.42578125" style="21" customWidth="1"/>
    <col min="6402" max="6402" width="13.7109375" style="21" customWidth="1"/>
    <col min="6403" max="6403" width="18.85546875" style="21" customWidth="1"/>
    <col min="6404" max="6404" width="0.140625" style="21" customWidth="1"/>
    <col min="6405" max="6406" width="0" style="21" hidden="1" customWidth="1"/>
    <col min="6407" max="6407" width="12.42578125" style="21" customWidth="1"/>
    <col min="6408" max="6408" width="0.5703125" style="21" customWidth="1"/>
    <col min="6409" max="6409" width="18.28515625" style="21" customWidth="1"/>
    <col min="6410" max="6410" width="1" style="21" customWidth="1"/>
    <col min="6411" max="6411" width="7.140625" style="21" customWidth="1"/>
    <col min="6412" max="6412" width="9.7109375" style="21" customWidth="1"/>
    <col min="6413" max="6413" width="15.7109375" style="21" customWidth="1"/>
    <col min="6414" max="6414" width="1.85546875" style="21" customWidth="1"/>
    <col min="6415" max="6415" width="13.7109375" style="21" customWidth="1"/>
    <col min="6416" max="6416" width="10.7109375" style="21" customWidth="1"/>
    <col min="6417" max="6417" width="2.85546875" style="21" customWidth="1"/>
    <col min="6418" max="6418" width="10.7109375" style="21" customWidth="1"/>
    <col min="6419" max="6419" width="3.85546875" style="21" customWidth="1"/>
    <col min="6420" max="6421" width="19" style="21" customWidth="1"/>
    <col min="6422" max="6422" width="8.140625" style="21" customWidth="1"/>
    <col min="6423" max="6656" width="9.140625" style="21"/>
    <col min="6657" max="6657" width="5.42578125" style="21" customWidth="1"/>
    <col min="6658" max="6658" width="13.7109375" style="21" customWidth="1"/>
    <col min="6659" max="6659" width="18.85546875" style="21" customWidth="1"/>
    <col min="6660" max="6660" width="0.140625" style="21" customWidth="1"/>
    <col min="6661" max="6662" width="0" style="21" hidden="1" customWidth="1"/>
    <col min="6663" max="6663" width="12.42578125" style="21" customWidth="1"/>
    <col min="6664" max="6664" width="0.5703125" style="21" customWidth="1"/>
    <col min="6665" max="6665" width="18.28515625" style="21" customWidth="1"/>
    <col min="6666" max="6666" width="1" style="21" customWidth="1"/>
    <col min="6667" max="6667" width="7.140625" style="21" customWidth="1"/>
    <col min="6668" max="6668" width="9.7109375" style="21" customWidth="1"/>
    <col min="6669" max="6669" width="15.7109375" style="21" customWidth="1"/>
    <col min="6670" max="6670" width="1.85546875" style="21" customWidth="1"/>
    <col min="6671" max="6671" width="13.7109375" style="21" customWidth="1"/>
    <col min="6672" max="6672" width="10.7109375" style="21" customWidth="1"/>
    <col min="6673" max="6673" width="2.85546875" style="21" customWidth="1"/>
    <col min="6674" max="6674" width="10.7109375" style="21" customWidth="1"/>
    <col min="6675" max="6675" width="3.85546875" style="21" customWidth="1"/>
    <col min="6676" max="6677" width="19" style="21" customWidth="1"/>
    <col min="6678" max="6678" width="8.140625" style="21" customWidth="1"/>
    <col min="6679" max="6912" width="9.140625" style="21"/>
    <col min="6913" max="6913" width="5.42578125" style="21" customWidth="1"/>
    <col min="6914" max="6914" width="13.7109375" style="21" customWidth="1"/>
    <col min="6915" max="6915" width="18.85546875" style="21" customWidth="1"/>
    <col min="6916" max="6916" width="0.140625" style="21" customWidth="1"/>
    <col min="6917" max="6918" width="0" style="21" hidden="1" customWidth="1"/>
    <col min="6919" max="6919" width="12.42578125" style="21" customWidth="1"/>
    <col min="6920" max="6920" width="0.5703125" style="21" customWidth="1"/>
    <col min="6921" max="6921" width="18.28515625" style="21" customWidth="1"/>
    <col min="6922" max="6922" width="1" style="21" customWidth="1"/>
    <col min="6923" max="6923" width="7.140625" style="21" customWidth="1"/>
    <col min="6924" max="6924" width="9.7109375" style="21" customWidth="1"/>
    <col min="6925" max="6925" width="15.7109375" style="21" customWidth="1"/>
    <col min="6926" max="6926" width="1.85546875" style="21" customWidth="1"/>
    <col min="6927" max="6927" width="13.7109375" style="21" customWidth="1"/>
    <col min="6928" max="6928" width="10.7109375" style="21" customWidth="1"/>
    <col min="6929" max="6929" width="2.85546875" style="21" customWidth="1"/>
    <col min="6930" max="6930" width="10.7109375" style="21" customWidth="1"/>
    <col min="6931" max="6931" width="3.85546875" style="21" customWidth="1"/>
    <col min="6932" max="6933" width="19" style="21" customWidth="1"/>
    <col min="6934" max="6934" width="8.140625" style="21" customWidth="1"/>
    <col min="6935" max="7168" width="9.140625" style="21"/>
    <col min="7169" max="7169" width="5.42578125" style="21" customWidth="1"/>
    <col min="7170" max="7170" width="13.7109375" style="21" customWidth="1"/>
    <col min="7171" max="7171" width="18.85546875" style="21" customWidth="1"/>
    <col min="7172" max="7172" width="0.140625" style="21" customWidth="1"/>
    <col min="7173" max="7174" width="0" style="21" hidden="1" customWidth="1"/>
    <col min="7175" max="7175" width="12.42578125" style="21" customWidth="1"/>
    <col min="7176" max="7176" width="0.5703125" style="21" customWidth="1"/>
    <col min="7177" max="7177" width="18.28515625" style="21" customWidth="1"/>
    <col min="7178" max="7178" width="1" style="21" customWidth="1"/>
    <col min="7179" max="7179" width="7.140625" style="21" customWidth="1"/>
    <col min="7180" max="7180" width="9.7109375" style="21" customWidth="1"/>
    <col min="7181" max="7181" width="15.7109375" style="21" customWidth="1"/>
    <col min="7182" max="7182" width="1.85546875" style="21" customWidth="1"/>
    <col min="7183" max="7183" width="13.7109375" style="21" customWidth="1"/>
    <col min="7184" max="7184" width="10.7109375" style="21" customWidth="1"/>
    <col min="7185" max="7185" width="2.85546875" style="21" customWidth="1"/>
    <col min="7186" max="7186" width="10.7109375" style="21" customWidth="1"/>
    <col min="7187" max="7187" width="3.85546875" style="21" customWidth="1"/>
    <col min="7188" max="7189" width="19" style="21" customWidth="1"/>
    <col min="7190" max="7190" width="8.140625" style="21" customWidth="1"/>
    <col min="7191" max="7424" width="9.140625" style="21"/>
    <col min="7425" max="7425" width="5.42578125" style="21" customWidth="1"/>
    <col min="7426" max="7426" width="13.7109375" style="21" customWidth="1"/>
    <col min="7427" max="7427" width="18.85546875" style="21" customWidth="1"/>
    <col min="7428" max="7428" width="0.140625" style="21" customWidth="1"/>
    <col min="7429" max="7430" width="0" style="21" hidden="1" customWidth="1"/>
    <col min="7431" max="7431" width="12.42578125" style="21" customWidth="1"/>
    <col min="7432" max="7432" width="0.5703125" style="21" customWidth="1"/>
    <col min="7433" max="7433" width="18.28515625" style="21" customWidth="1"/>
    <col min="7434" max="7434" width="1" style="21" customWidth="1"/>
    <col min="7435" max="7435" width="7.140625" style="21" customWidth="1"/>
    <col min="7436" max="7436" width="9.7109375" style="21" customWidth="1"/>
    <col min="7437" max="7437" width="15.7109375" style="21" customWidth="1"/>
    <col min="7438" max="7438" width="1.85546875" style="21" customWidth="1"/>
    <col min="7439" max="7439" width="13.7109375" style="21" customWidth="1"/>
    <col min="7440" max="7440" width="10.7109375" style="21" customWidth="1"/>
    <col min="7441" max="7441" width="2.85546875" style="21" customWidth="1"/>
    <col min="7442" max="7442" width="10.7109375" style="21" customWidth="1"/>
    <col min="7443" max="7443" width="3.85546875" style="21" customWidth="1"/>
    <col min="7444" max="7445" width="19" style="21" customWidth="1"/>
    <col min="7446" max="7446" width="8.140625" style="21" customWidth="1"/>
    <col min="7447" max="7680" width="9.140625" style="21"/>
    <col min="7681" max="7681" width="5.42578125" style="21" customWidth="1"/>
    <col min="7682" max="7682" width="13.7109375" style="21" customWidth="1"/>
    <col min="7683" max="7683" width="18.85546875" style="21" customWidth="1"/>
    <col min="7684" max="7684" width="0.140625" style="21" customWidth="1"/>
    <col min="7685" max="7686" width="0" style="21" hidden="1" customWidth="1"/>
    <col min="7687" max="7687" width="12.42578125" style="21" customWidth="1"/>
    <col min="7688" max="7688" width="0.5703125" style="21" customWidth="1"/>
    <col min="7689" max="7689" width="18.28515625" style="21" customWidth="1"/>
    <col min="7690" max="7690" width="1" style="21" customWidth="1"/>
    <col min="7691" max="7691" width="7.140625" style="21" customWidth="1"/>
    <col min="7692" max="7692" width="9.7109375" style="21" customWidth="1"/>
    <col min="7693" max="7693" width="15.7109375" style="21" customWidth="1"/>
    <col min="7694" max="7694" width="1.85546875" style="21" customWidth="1"/>
    <col min="7695" max="7695" width="13.7109375" style="21" customWidth="1"/>
    <col min="7696" max="7696" width="10.7109375" style="21" customWidth="1"/>
    <col min="7697" max="7697" width="2.85546875" style="21" customWidth="1"/>
    <col min="7698" max="7698" width="10.7109375" style="21" customWidth="1"/>
    <col min="7699" max="7699" width="3.85546875" style="21" customWidth="1"/>
    <col min="7700" max="7701" width="19" style="21" customWidth="1"/>
    <col min="7702" max="7702" width="8.140625" style="21" customWidth="1"/>
    <col min="7703" max="7936" width="9.140625" style="21"/>
    <col min="7937" max="7937" width="5.42578125" style="21" customWidth="1"/>
    <col min="7938" max="7938" width="13.7109375" style="21" customWidth="1"/>
    <col min="7939" max="7939" width="18.85546875" style="21" customWidth="1"/>
    <col min="7940" max="7940" width="0.140625" style="21" customWidth="1"/>
    <col min="7941" max="7942" width="0" style="21" hidden="1" customWidth="1"/>
    <col min="7943" max="7943" width="12.42578125" style="21" customWidth="1"/>
    <col min="7944" max="7944" width="0.5703125" style="21" customWidth="1"/>
    <col min="7945" max="7945" width="18.28515625" style="21" customWidth="1"/>
    <col min="7946" max="7946" width="1" style="21" customWidth="1"/>
    <col min="7947" max="7947" width="7.140625" style="21" customWidth="1"/>
    <col min="7948" max="7948" width="9.7109375" style="21" customWidth="1"/>
    <col min="7949" max="7949" width="15.7109375" style="21" customWidth="1"/>
    <col min="7950" max="7950" width="1.85546875" style="21" customWidth="1"/>
    <col min="7951" max="7951" width="13.7109375" style="21" customWidth="1"/>
    <col min="7952" max="7952" width="10.7109375" style="21" customWidth="1"/>
    <col min="7953" max="7953" width="2.85546875" style="21" customWidth="1"/>
    <col min="7954" max="7954" width="10.7109375" style="21" customWidth="1"/>
    <col min="7955" max="7955" width="3.85546875" style="21" customWidth="1"/>
    <col min="7956" max="7957" width="19" style="21" customWidth="1"/>
    <col min="7958" max="7958" width="8.140625" style="21" customWidth="1"/>
    <col min="7959" max="8192" width="9.140625" style="21"/>
    <col min="8193" max="8193" width="5.42578125" style="21" customWidth="1"/>
    <col min="8194" max="8194" width="13.7109375" style="21" customWidth="1"/>
    <col min="8195" max="8195" width="18.85546875" style="21" customWidth="1"/>
    <col min="8196" max="8196" width="0.140625" style="21" customWidth="1"/>
    <col min="8197" max="8198" width="0" style="21" hidden="1" customWidth="1"/>
    <col min="8199" max="8199" width="12.42578125" style="21" customWidth="1"/>
    <col min="8200" max="8200" width="0.5703125" style="21" customWidth="1"/>
    <col min="8201" max="8201" width="18.28515625" style="21" customWidth="1"/>
    <col min="8202" max="8202" width="1" style="21" customWidth="1"/>
    <col min="8203" max="8203" width="7.140625" style="21" customWidth="1"/>
    <col min="8204" max="8204" width="9.7109375" style="21" customWidth="1"/>
    <col min="8205" max="8205" width="15.7109375" style="21" customWidth="1"/>
    <col min="8206" max="8206" width="1.85546875" style="21" customWidth="1"/>
    <col min="8207" max="8207" width="13.7109375" style="21" customWidth="1"/>
    <col min="8208" max="8208" width="10.7109375" style="21" customWidth="1"/>
    <col min="8209" max="8209" width="2.85546875" style="21" customWidth="1"/>
    <col min="8210" max="8210" width="10.7109375" style="21" customWidth="1"/>
    <col min="8211" max="8211" width="3.85546875" style="21" customWidth="1"/>
    <col min="8212" max="8213" width="19" style="21" customWidth="1"/>
    <col min="8214" max="8214" width="8.140625" style="21" customWidth="1"/>
    <col min="8215" max="8448" width="9.140625" style="21"/>
    <col min="8449" max="8449" width="5.42578125" style="21" customWidth="1"/>
    <col min="8450" max="8450" width="13.7109375" style="21" customWidth="1"/>
    <col min="8451" max="8451" width="18.85546875" style="21" customWidth="1"/>
    <col min="8452" max="8452" width="0.140625" style="21" customWidth="1"/>
    <col min="8453" max="8454" width="0" style="21" hidden="1" customWidth="1"/>
    <col min="8455" max="8455" width="12.42578125" style="21" customWidth="1"/>
    <col min="8456" max="8456" width="0.5703125" style="21" customWidth="1"/>
    <col min="8457" max="8457" width="18.28515625" style="21" customWidth="1"/>
    <col min="8458" max="8458" width="1" style="21" customWidth="1"/>
    <col min="8459" max="8459" width="7.140625" style="21" customWidth="1"/>
    <col min="8460" max="8460" width="9.7109375" style="21" customWidth="1"/>
    <col min="8461" max="8461" width="15.7109375" style="21" customWidth="1"/>
    <col min="8462" max="8462" width="1.85546875" style="21" customWidth="1"/>
    <col min="8463" max="8463" width="13.7109375" style="21" customWidth="1"/>
    <col min="8464" max="8464" width="10.7109375" style="21" customWidth="1"/>
    <col min="8465" max="8465" width="2.85546875" style="21" customWidth="1"/>
    <col min="8466" max="8466" width="10.7109375" style="21" customWidth="1"/>
    <col min="8467" max="8467" width="3.85546875" style="21" customWidth="1"/>
    <col min="8468" max="8469" width="19" style="21" customWidth="1"/>
    <col min="8470" max="8470" width="8.140625" style="21" customWidth="1"/>
    <col min="8471" max="8704" width="9.140625" style="21"/>
    <col min="8705" max="8705" width="5.42578125" style="21" customWidth="1"/>
    <col min="8706" max="8706" width="13.7109375" style="21" customWidth="1"/>
    <col min="8707" max="8707" width="18.85546875" style="21" customWidth="1"/>
    <col min="8708" max="8708" width="0.140625" style="21" customWidth="1"/>
    <col min="8709" max="8710" width="0" style="21" hidden="1" customWidth="1"/>
    <col min="8711" max="8711" width="12.42578125" style="21" customWidth="1"/>
    <col min="8712" max="8712" width="0.5703125" style="21" customWidth="1"/>
    <col min="8713" max="8713" width="18.28515625" style="21" customWidth="1"/>
    <col min="8714" max="8714" width="1" style="21" customWidth="1"/>
    <col min="8715" max="8715" width="7.140625" style="21" customWidth="1"/>
    <col min="8716" max="8716" width="9.7109375" style="21" customWidth="1"/>
    <col min="8717" max="8717" width="15.7109375" style="21" customWidth="1"/>
    <col min="8718" max="8718" width="1.85546875" style="21" customWidth="1"/>
    <col min="8719" max="8719" width="13.7109375" style="21" customWidth="1"/>
    <col min="8720" max="8720" width="10.7109375" style="21" customWidth="1"/>
    <col min="8721" max="8721" width="2.85546875" style="21" customWidth="1"/>
    <col min="8722" max="8722" width="10.7109375" style="21" customWidth="1"/>
    <col min="8723" max="8723" width="3.85546875" style="21" customWidth="1"/>
    <col min="8724" max="8725" width="19" style="21" customWidth="1"/>
    <col min="8726" max="8726" width="8.140625" style="21" customWidth="1"/>
    <col min="8727" max="8960" width="9.140625" style="21"/>
    <col min="8961" max="8961" width="5.42578125" style="21" customWidth="1"/>
    <col min="8962" max="8962" width="13.7109375" style="21" customWidth="1"/>
    <col min="8963" max="8963" width="18.85546875" style="21" customWidth="1"/>
    <col min="8964" max="8964" width="0.140625" style="21" customWidth="1"/>
    <col min="8965" max="8966" width="0" style="21" hidden="1" customWidth="1"/>
    <col min="8967" max="8967" width="12.42578125" style="21" customWidth="1"/>
    <col min="8968" max="8968" width="0.5703125" style="21" customWidth="1"/>
    <col min="8969" max="8969" width="18.28515625" style="21" customWidth="1"/>
    <col min="8970" max="8970" width="1" style="21" customWidth="1"/>
    <col min="8971" max="8971" width="7.140625" style="21" customWidth="1"/>
    <col min="8972" max="8972" width="9.7109375" style="21" customWidth="1"/>
    <col min="8973" max="8973" width="15.7109375" style="21" customWidth="1"/>
    <col min="8974" max="8974" width="1.85546875" style="21" customWidth="1"/>
    <col min="8975" max="8975" width="13.7109375" style="21" customWidth="1"/>
    <col min="8976" max="8976" width="10.7109375" style="21" customWidth="1"/>
    <col min="8977" max="8977" width="2.85546875" style="21" customWidth="1"/>
    <col min="8978" max="8978" width="10.7109375" style="21" customWidth="1"/>
    <col min="8979" max="8979" width="3.85546875" style="21" customWidth="1"/>
    <col min="8980" max="8981" width="19" style="21" customWidth="1"/>
    <col min="8982" max="8982" width="8.140625" style="21" customWidth="1"/>
    <col min="8983" max="9216" width="9.140625" style="21"/>
    <col min="9217" max="9217" width="5.42578125" style="21" customWidth="1"/>
    <col min="9218" max="9218" width="13.7109375" style="21" customWidth="1"/>
    <col min="9219" max="9219" width="18.85546875" style="21" customWidth="1"/>
    <col min="9220" max="9220" width="0.140625" style="21" customWidth="1"/>
    <col min="9221" max="9222" width="0" style="21" hidden="1" customWidth="1"/>
    <col min="9223" max="9223" width="12.42578125" style="21" customWidth="1"/>
    <col min="9224" max="9224" width="0.5703125" style="21" customWidth="1"/>
    <col min="9225" max="9225" width="18.28515625" style="21" customWidth="1"/>
    <col min="9226" max="9226" width="1" style="21" customWidth="1"/>
    <col min="9227" max="9227" width="7.140625" style="21" customWidth="1"/>
    <col min="9228" max="9228" width="9.7109375" style="21" customWidth="1"/>
    <col min="9229" max="9229" width="15.7109375" style="21" customWidth="1"/>
    <col min="9230" max="9230" width="1.85546875" style="21" customWidth="1"/>
    <col min="9231" max="9231" width="13.7109375" style="21" customWidth="1"/>
    <col min="9232" max="9232" width="10.7109375" style="21" customWidth="1"/>
    <col min="9233" max="9233" width="2.85546875" style="21" customWidth="1"/>
    <col min="9234" max="9234" width="10.7109375" style="21" customWidth="1"/>
    <col min="9235" max="9235" width="3.85546875" style="21" customWidth="1"/>
    <col min="9236" max="9237" width="19" style="21" customWidth="1"/>
    <col min="9238" max="9238" width="8.140625" style="21" customWidth="1"/>
    <col min="9239" max="9472" width="9.140625" style="21"/>
    <col min="9473" max="9473" width="5.42578125" style="21" customWidth="1"/>
    <col min="9474" max="9474" width="13.7109375" style="21" customWidth="1"/>
    <col min="9475" max="9475" width="18.85546875" style="21" customWidth="1"/>
    <col min="9476" max="9476" width="0.140625" style="21" customWidth="1"/>
    <col min="9477" max="9478" width="0" style="21" hidden="1" customWidth="1"/>
    <col min="9479" max="9479" width="12.42578125" style="21" customWidth="1"/>
    <col min="9480" max="9480" width="0.5703125" style="21" customWidth="1"/>
    <col min="9481" max="9481" width="18.28515625" style="21" customWidth="1"/>
    <col min="9482" max="9482" width="1" style="21" customWidth="1"/>
    <col min="9483" max="9483" width="7.140625" style="21" customWidth="1"/>
    <col min="9484" max="9484" width="9.7109375" style="21" customWidth="1"/>
    <col min="9485" max="9485" width="15.7109375" style="21" customWidth="1"/>
    <col min="9486" max="9486" width="1.85546875" style="21" customWidth="1"/>
    <col min="9487" max="9487" width="13.7109375" style="21" customWidth="1"/>
    <col min="9488" max="9488" width="10.7109375" style="21" customWidth="1"/>
    <col min="9489" max="9489" width="2.85546875" style="21" customWidth="1"/>
    <col min="9490" max="9490" width="10.7109375" style="21" customWidth="1"/>
    <col min="9491" max="9491" width="3.85546875" style="21" customWidth="1"/>
    <col min="9492" max="9493" width="19" style="21" customWidth="1"/>
    <col min="9494" max="9494" width="8.140625" style="21" customWidth="1"/>
    <col min="9495" max="9728" width="9.140625" style="21"/>
    <col min="9729" max="9729" width="5.42578125" style="21" customWidth="1"/>
    <col min="9730" max="9730" width="13.7109375" style="21" customWidth="1"/>
    <col min="9731" max="9731" width="18.85546875" style="21" customWidth="1"/>
    <col min="9732" max="9732" width="0.140625" style="21" customWidth="1"/>
    <col min="9733" max="9734" width="0" style="21" hidden="1" customWidth="1"/>
    <col min="9735" max="9735" width="12.42578125" style="21" customWidth="1"/>
    <col min="9736" max="9736" width="0.5703125" style="21" customWidth="1"/>
    <col min="9737" max="9737" width="18.28515625" style="21" customWidth="1"/>
    <col min="9738" max="9738" width="1" style="21" customWidth="1"/>
    <col min="9739" max="9739" width="7.140625" style="21" customWidth="1"/>
    <col min="9740" max="9740" width="9.7109375" style="21" customWidth="1"/>
    <col min="9741" max="9741" width="15.7109375" style="21" customWidth="1"/>
    <col min="9742" max="9742" width="1.85546875" style="21" customWidth="1"/>
    <col min="9743" max="9743" width="13.7109375" style="21" customWidth="1"/>
    <col min="9744" max="9744" width="10.7109375" style="21" customWidth="1"/>
    <col min="9745" max="9745" width="2.85546875" style="21" customWidth="1"/>
    <col min="9746" max="9746" width="10.7109375" style="21" customWidth="1"/>
    <col min="9747" max="9747" width="3.85546875" style="21" customWidth="1"/>
    <col min="9748" max="9749" width="19" style="21" customWidth="1"/>
    <col min="9750" max="9750" width="8.140625" style="21" customWidth="1"/>
    <col min="9751" max="9984" width="9.140625" style="21"/>
    <col min="9985" max="9985" width="5.42578125" style="21" customWidth="1"/>
    <col min="9986" max="9986" width="13.7109375" style="21" customWidth="1"/>
    <col min="9987" max="9987" width="18.85546875" style="21" customWidth="1"/>
    <col min="9988" max="9988" width="0.140625" style="21" customWidth="1"/>
    <col min="9989" max="9990" width="0" style="21" hidden="1" customWidth="1"/>
    <col min="9991" max="9991" width="12.42578125" style="21" customWidth="1"/>
    <col min="9992" max="9992" width="0.5703125" style="21" customWidth="1"/>
    <col min="9993" max="9993" width="18.28515625" style="21" customWidth="1"/>
    <col min="9994" max="9994" width="1" style="21" customWidth="1"/>
    <col min="9995" max="9995" width="7.140625" style="21" customWidth="1"/>
    <col min="9996" max="9996" width="9.7109375" style="21" customWidth="1"/>
    <col min="9997" max="9997" width="15.7109375" style="21" customWidth="1"/>
    <col min="9998" max="9998" width="1.85546875" style="21" customWidth="1"/>
    <col min="9999" max="9999" width="13.7109375" style="21" customWidth="1"/>
    <col min="10000" max="10000" width="10.7109375" style="21" customWidth="1"/>
    <col min="10001" max="10001" width="2.85546875" style="21" customWidth="1"/>
    <col min="10002" max="10002" width="10.7109375" style="21" customWidth="1"/>
    <col min="10003" max="10003" width="3.85546875" style="21" customWidth="1"/>
    <col min="10004" max="10005" width="19" style="21" customWidth="1"/>
    <col min="10006" max="10006" width="8.140625" style="21" customWidth="1"/>
    <col min="10007" max="10240" width="9.140625" style="21"/>
    <col min="10241" max="10241" width="5.42578125" style="21" customWidth="1"/>
    <col min="10242" max="10242" width="13.7109375" style="21" customWidth="1"/>
    <col min="10243" max="10243" width="18.85546875" style="21" customWidth="1"/>
    <col min="10244" max="10244" width="0.140625" style="21" customWidth="1"/>
    <col min="10245" max="10246" width="0" style="21" hidden="1" customWidth="1"/>
    <col min="10247" max="10247" width="12.42578125" style="21" customWidth="1"/>
    <col min="10248" max="10248" width="0.5703125" style="21" customWidth="1"/>
    <col min="10249" max="10249" width="18.28515625" style="21" customWidth="1"/>
    <col min="10250" max="10250" width="1" style="21" customWidth="1"/>
    <col min="10251" max="10251" width="7.140625" style="21" customWidth="1"/>
    <col min="10252" max="10252" width="9.7109375" style="21" customWidth="1"/>
    <col min="10253" max="10253" width="15.7109375" style="21" customWidth="1"/>
    <col min="10254" max="10254" width="1.85546875" style="21" customWidth="1"/>
    <col min="10255" max="10255" width="13.7109375" style="21" customWidth="1"/>
    <col min="10256" max="10256" width="10.7109375" style="21" customWidth="1"/>
    <col min="10257" max="10257" width="2.85546875" style="21" customWidth="1"/>
    <col min="10258" max="10258" width="10.7109375" style="21" customWidth="1"/>
    <col min="10259" max="10259" width="3.85546875" style="21" customWidth="1"/>
    <col min="10260" max="10261" width="19" style="21" customWidth="1"/>
    <col min="10262" max="10262" width="8.140625" style="21" customWidth="1"/>
    <col min="10263" max="10496" width="9.140625" style="21"/>
    <col min="10497" max="10497" width="5.42578125" style="21" customWidth="1"/>
    <col min="10498" max="10498" width="13.7109375" style="21" customWidth="1"/>
    <col min="10499" max="10499" width="18.85546875" style="21" customWidth="1"/>
    <col min="10500" max="10500" width="0.140625" style="21" customWidth="1"/>
    <col min="10501" max="10502" width="0" style="21" hidden="1" customWidth="1"/>
    <col min="10503" max="10503" width="12.42578125" style="21" customWidth="1"/>
    <col min="10504" max="10504" width="0.5703125" style="21" customWidth="1"/>
    <col min="10505" max="10505" width="18.28515625" style="21" customWidth="1"/>
    <col min="10506" max="10506" width="1" style="21" customWidth="1"/>
    <col min="10507" max="10507" width="7.140625" style="21" customWidth="1"/>
    <col min="10508" max="10508" width="9.7109375" style="21" customWidth="1"/>
    <col min="10509" max="10509" width="15.7109375" style="21" customWidth="1"/>
    <col min="10510" max="10510" width="1.85546875" style="21" customWidth="1"/>
    <col min="10511" max="10511" width="13.7109375" style="21" customWidth="1"/>
    <col min="10512" max="10512" width="10.7109375" style="21" customWidth="1"/>
    <col min="10513" max="10513" width="2.85546875" style="21" customWidth="1"/>
    <col min="10514" max="10514" width="10.7109375" style="21" customWidth="1"/>
    <col min="10515" max="10515" width="3.85546875" style="21" customWidth="1"/>
    <col min="10516" max="10517" width="19" style="21" customWidth="1"/>
    <col min="10518" max="10518" width="8.140625" style="21" customWidth="1"/>
    <col min="10519" max="10752" width="9.140625" style="21"/>
    <col min="10753" max="10753" width="5.42578125" style="21" customWidth="1"/>
    <col min="10754" max="10754" width="13.7109375" style="21" customWidth="1"/>
    <col min="10755" max="10755" width="18.85546875" style="21" customWidth="1"/>
    <col min="10756" max="10756" width="0.140625" style="21" customWidth="1"/>
    <col min="10757" max="10758" width="0" style="21" hidden="1" customWidth="1"/>
    <col min="10759" max="10759" width="12.42578125" style="21" customWidth="1"/>
    <col min="10760" max="10760" width="0.5703125" style="21" customWidth="1"/>
    <col min="10761" max="10761" width="18.28515625" style="21" customWidth="1"/>
    <col min="10762" max="10762" width="1" style="21" customWidth="1"/>
    <col min="10763" max="10763" width="7.140625" style="21" customWidth="1"/>
    <col min="10764" max="10764" width="9.7109375" style="21" customWidth="1"/>
    <col min="10765" max="10765" width="15.7109375" style="21" customWidth="1"/>
    <col min="10766" max="10766" width="1.85546875" style="21" customWidth="1"/>
    <col min="10767" max="10767" width="13.7109375" style="21" customWidth="1"/>
    <col min="10768" max="10768" width="10.7109375" style="21" customWidth="1"/>
    <col min="10769" max="10769" width="2.85546875" style="21" customWidth="1"/>
    <col min="10770" max="10770" width="10.7109375" style="21" customWidth="1"/>
    <col min="10771" max="10771" width="3.85546875" style="21" customWidth="1"/>
    <col min="10772" max="10773" width="19" style="21" customWidth="1"/>
    <col min="10774" max="10774" width="8.140625" style="21" customWidth="1"/>
    <col min="10775" max="11008" width="9.140625" style="21"/>
    <col min="11009" max="11009" width="5.42578125" style="21" customWidth="1"/>
    <col min="11010" max="11010" width="13.7109375" style="21" customWidth="1"/>
    <col min="11011" max="11011" width="18.85546875" style="21" customWidth="1"/>
    <col min="11012" max="11012" width="0.140625" style="21" customWidth="1"/>
    <col min="11013" max="11014" width="0" style="21" hidden="1" customWidth="1"/>
    <col min="11015" max="11015" width="12.42578125" style="21" customWidth="1"/>
    <col min="11016" max="11016" width="0.5703125" style="21" customWidth="1"/>
    <col min="11017" max="11017" width="18.28515625" style="21" customWidth="1"/>
    <col min="11018" max="11018" width="1" style="21" customWidth="1"/>
    <col min="11019" max="11019" width="7.140625" style="21" customWidth="1"/>
    <col min="11020" max="11020" width="9.7109375" style="21" customWidth="1"/>
    <col min="11021" max="11021" width="15.7109375" style="21" customWidth="1"/>
    <col min="11022" max="11022" width="1.85546875" style="21" customWidth="1"/>
    <col min="11023" max="11023" width="13.7109375" style="21" customWidth="1"/>
    <col min="11024" max="11024" width="10.7109375" style="21" customWidth="1"/>
    <col min="11025" max="11025" width="2.85546875" style="21" customWidth="1"/>
    <col min="11026" max="11026" width="10.7109375" style="21" customWidth="1"/>
    <col min="11027" max="11027" width="3.85546875" style="21" customWidth="1"/>
    <col min="11028" max="11029" width="19" style="21" customWidth="1"/>
    <col min="11030" max="11030" width="8.140625" style="21" customWidth="1"/>
    <col min="11031" max="11264" width="9.140625" style="21"/>
    <col min="11265" max="11265" width="5.42578125" style="21" customWidth="1"/>
    <col min="11266" max="11266" width="13.7109375" style="21" customWidth="1"/>
    <col min="11267" max="11267" width="18.85546875" style="21" customWidth="1"/>
    <col min="11268" max="11268" width="0.140625" style="21" customWidth="1"/>
    <col min="11269" max="11270" width="0" style="21" hidden="1" customWidth="1"/>
    <col min="11271" max="11271" width="12.42578125" style="21" customWidth="1"/>
    <col min="11272" max="11272" width="0.5703125" style="21" customWidth="1"/>
    <col min="11273" max="11273" width="18.28515625" style="21" customWidth="1"/>
    <col min="11274" max="11274" width="1" style="21" customWidth="1"/>
    <col min="11275" max="11275" width="7.140625" style="21" customWidth="1"/>
    <col min="11276" max="11276" width="9.7109375" style="21" customWidth="1"/>
    <col min="11277" max="11277" width="15.7109375" style="21" customWidth="1"/>
    <col min="11278" max="11278" width="1.85546875" style="21" customWidth="1"/>
    <col min="11279" max="11279" width="13.7109375" style="21" customWidth="1"/>
    <col min="11280" max="11280" width="10.7109375" style="21" customWidth="1"/>
    <col min="11281" max="11281" width="2.85546875" style="21" customWidth="1"/>
    <col min="11282" max="11282" width="10.7109375" style="21" customWidth="1"/>
    <col min="11283" max="11283" width="3.85546875" style="21" customWidth="1"/>
    <col min="11284" max="11285" width="19" style="21" customWidth="1"/>
    <col min="11286" max="11286" width="8.140625" style="21" customWidth="1"/>
    <col min="11287" max="11520" width="9.140625" style="21"/>
    <col min="11521" max="11521" width="5.42578125" style="21" customWidth="1"/>
    <col min="11522" max="11522" width="13.7109375" style="21" customWidth="1"/>
    <col min="11523" max="11523" width="18.85546875" style="21" customWidth="1"/>
    <col min="11524" max="11524" width="0.140625" style="21" customWidth="1"/>
    <col min="11525" max="11526" width="0" style="21" hidden="1" customWidth="1"/>
    <col min="11527" max="11527" width="12.42578125" style="21" customWidth="1"/>
    <col min="11528" max="11528" width="0.5703125" style="21" customWidth="1"/>
    <col min="11529" max="11529" width="18.28515625" style="21" customWidth="1"/>
    <col min="11530" max="11530" width="1" style="21" customWidth="1"/>
    <col min="11531" max="11531" width="7.140625" style="21" customWidth="1"/>
    <col min="11532" max="11532" width="9.7109375" style="21" customWidth="1"/>
    <col min="11533" max="11533" width="15.7109375" style="21" customWidth="1"/>
    <col min="11534" max="11534" width="1.85546875" style="21" customWidth="1"/>
    <col min="11535" max="11535" width="13.7109375" style="21" customWidth="1"/>
    <col min="11536" max="11536" width="10.7109375" style="21" customWidth="1"/>
    <col min="11537" max="11537" width="2.85546875" style="21" customWidth="1"/>
    <col min="11538" max="11538" width="10.7109375" style="21" customWidth="1"/>
    <col min="11539" max="11539" width="3.85546875" style="21" customWidth="1"/>
    <col min="11540" max="11541" width="19" style="21" customWidth="1"/>
    <col min="11542" max="11542" width="8.140625" style="21" customWidth="1"/>
    <col min="11543" max="11776" width="9.140625" style="21"/>
    <col min="11777" max="11777" width="5.42578125" style="21" customWidth="1"/>
    <col min="11778" max="11778" width="13.7109375" style="21" customWidth="1"/>
    <col min="11779" max="11779" width="18.85546875" style="21" customWidth="1"/>
    <col min="11780" max="11780" width="0.140625" style="21" customWidth="1"/>
    <col min="11781" max="11782" width="0" style="21" hidden="1" customWidth="1"/>
    <col min="11783" max="11783" width="12.42578125" style="21" customWidth="1"/>
    <col min="11784" max="11784" width="0.5703125" style="21" customWidth="1"/>
    <col min="11785" max="11785" width="18.28515625" style="21" customWidth="1"/>
    <col min="11786" max="11786" width="1" style="21" customWidth="1"/>
    <col min="11787" max="11787" width="7.140625" style="21" customWidth="1"/>
    <col min="11788" max="11788" width="9.7109375" style="21" customWidth="1"/>
    <col min="11789" max="11789" width="15.7109375" style="21" customWidth="1"/>
    <col min="11790" max="11790" width="1.85546875" style="21" customWidth="1"/>
    <col min="11791" max="11791" width="13.7109375" style="21" customWidth="1"/>
    <col min="11792" max="11792" width="10.7109375" style="21" customWidth="1"/>
    <col min="11793" max="11793" width="2.85546875" style="21" customWidth="1"/>
    <col min="11794" max="11794" width="10.7109375" style="21" customWidth="1"/>
    <col min="11795" max="11795" width="3.85546875" style="21" customWidth="1"/>
    <col min="11796" max="11797" width="19" style="21" customWidth="1"/>
    <col min="11798" max="11798" width="8.140625" style="21" customWidth="1"/>
    <col min="11799" max="12032" width="9.140625" style="21"/>
    <col min="12033" max="12033" width="5.42578125" style="21" customWidth="1"/>
    <col min="12034" max="12034" width="13.7109375" style="21" customWidth="1"/>
    <col min="12035" max="12035" width="18.85546875" style="21" customWidth="1"/>
    <col min="12036" max="12036" width="0.140625" style="21" customWidth="1"/>
    <col min="12037" max="12038" width="0" style="21" hidden="1" customWidth="1"/>
    <col min="12039" max="12039" width="12.42578125" style="21" customWidth="1"/>
    <col min="12040" max="12040" width="0.5703125" style="21" customWidth="1"/>
    <col min="12041" max="12041" width="18.28515625" style="21" customWidth="1"/>
    <col min="12042" max="12042" width="1" style="21" customWidth="1"/>
    <col min="12043" max="12043" width="7.140625" style="21" customWidth="1"/>
    <col min="12044" max="12044" width="9.7109375" style="21" customWidth="1"/>
    <col min="12045" max="12045" width="15.7109375" style="21" customWidth="1"/>
    <col min="12046" max="12046" width="1.85546875" style="21" customWidth="1"/>
    <col min="12047" max="12047" width="13.7109375" style="21" customWidth="1"/>
    <col min="12048" max="12048" width="10.7109375" style="21" customWidth="1"/>
    <col min="12049" max="12049" width="2.85546875" style="21" customWidth="1"/>
    <col min="12050" max="12050" width="10.7109375" style="21" customWidth="1"/>
    <col min="12051" max="12051" width="3.85546875" style="21" customWidth="1"/>
    <col min="12052" max="12053" width="19" style="21" customWidth="1"/>
    <col min="12054" max="12054" width="8.140625" style="21" customWidth="1"/>
    <col min="12055" max="12288" width="9.140625" style="21"/>
    <col min="12289" max="12289" width="5.42578125" style="21" customWidth="1"/>
    <col min="12290" max="12290" width="13.7109375" style="21" customWidth="1"/>
    <col min="12291" max="12291" width="18.85546875" style="21" customWidth="1"/>
    <col min="12292" max="12292" width="0.140625" style="21" customWidth="1"/>
    <col min="12293" max="12294" width="0" style="21" hidden="1" customWidth="1"/>
    <col min="12295" max="12295" width="12.42578125" style="21" customWidth="1"/>
    <col min="12296" max="12296" width="0.5703125" style="21" customWidth="1"/>
    <col min="12297" max="12297" width="18.28515625" style="21" customWidth="1"/>
    <col min="12298" max="12298" width="1" style="21" customWidth="1"/>
    <col min="12299" max="12299" width="7.140625" style="21" customWidth="1"/>
    <col min="12300" max="12300" width="9.7109375" style="21" customWidth="1"/>
    <col min="12301" max="12301" width="15.7109375" style="21" customWidth="1"/>
    <col min="12302" max="12302" width="1.85546875" style="21" customWidth="1"/>
    <col min="12303" max="12303" width="13.7109375" style="21" customWidth="1"/>
    <col min="12304" max="12304" width="10.7109375" style="21" customWidth="1"/>
    <col min="12305" max="12305" width="2.85546875" style="21" customWidth="1"/>
    <col min="12306" max="12306" width="10.7109375" style="21" customWidth="1"/>
    <col min="12307" max="12307" width="3.85546875" style="21" customWidth="1"/>
    <col min="12308" max="12309" width="19" style="21" customWidth="1"/>
    <col min="12310" max="12310" width="8.140625" style="21" customWidth="1"/>
    <col min="12311" max="12544" width="9.140625" style="21"/>
    <col min="12545" max="12545" width="5.42578125" style="21" customWidth="1"/>
    <col min="12546" max="12546" width="13.7109375" style="21" customWidth="1"/>
    <col min="12547" max="12547" width="18.85546875" style="21" customWidth="1"/>
    <col min="12548" max="12548" width="0.140625" style="21" customWidth="1"/>
    <col min="12549" max="12550" width="0" style="21" hidden="1" customWidth="1"/>
    <col min="12551" max="12551" width="12.42578125" style="21" customWidth="1"/>
    <col min="12552" max="12552" width="0.5703125" style="21" customWidth="1"/>
    <col min="12553" max="12553" width="18.28515625" style="21" customWidth="1"/>
    <col min="12554" max="12554" width="1" style="21" customWidth="1"/>
    <col min="12555" max="12555" width="7.140625" style="21" customWidth="1"/>
    <col min="12556" max="12556" width="9.7109375" style="21" customWidth="1"/>
    <col min="12557" max="12557" width="15.7109375" style="21" customWidth="1"/>
    <col min="12558" max="12558" width="1.85546875" style="21" customWidth="1"/>
    <col min="12559" max="12559" width="13.7109375" style="21" customWidth="1"/>
    <col min="12560" max="12560" width="10.7109375" style="21" customWidth="1"/>
    <col min="12561" max="12561" width="2.85546875" style="21" customWidth="1"/>
    <col min="12562" max="12562" width="10.7109375" style="21" customWidth="1"/>
    <col min="12563" max="12563" width="3.85546875" style="21" customWidth="1"/>
    <col min="12564" max="12565" width="19" style="21" customWidth="1"/>
    <col min="12566" max="12566" width="8.140625" style="21" customWidth="1"/>
    <col min="12567" max="12800" width="9.140625" style="21"/>
    <col min="12801" max="12801" width="5.42578125" style="21" customWidth="1"/>
    <col min="12802" max="12802" width="13.7109375" style="21" customWidth="1"/>
    <col min="12803" max="12803" width="18.85546875" style="21" customWidth="1"/>
    <col min="12804" max="12804" width="0.140625" style="21" customWidth="1"/>
    <col min="12805" max="12806" width="0" style="21" hidden="1" customWidth="1"/>
    <col min="12807" max="12807" width="12.42578125" style="21" customWidth="1"/>
    <col min="12808" max="12808" width="0.5703125" style="21" customWidth="1"/>
    <col min="12809" max="12809" width="18.28515625" style="21" customWidth="1"/>
    <col min="12810" max="12810" width="1" style="21" customWidth="1"/>
    <col min="12811" max="12811" width="7.140625" style="21" customWidth="1"/>
    <col min="12812" max="12812" width="9.7109375" style="21" customWidth="1"/>
    <col min="12813" max="12813" width="15.7109375" style="21" customWidth="1"/>
    <col min="12814" max="12814" width="1.85546875" style="21" customWidth="1"/>
    <col min="12815" max="12815" width="13.7109375" style="21" customWidth="1"/>
    <col min="12816" max="12816" width="10.7109375" style="21" customWidth="1"/>
    <col min="12817" max="12817" width="2.85546875" style="21" customWidth="1"/>
    <col min="12818" max="12818" width="10.7109375" style="21" customWidth="1"/>
    <col min="12819" max="12819" width="3.85546875" style="21" customWidth="1"/>
    <col min="12820" max="12821" width="19" style="21" customWidth="1"/>
    <col min="12822" max="12822" width="8.140625" style="21" customWidth="1"/>
    <col min="12823" max="13056" width="9.140625" style="21"/>
    <col min="13057" max="13057" width="5.42578125" style="21" customWidth="1"/>
    <col min="13058" max="13058" width="13.7109375" style="21" customWidth="1"/>
    <col min="13059" max="13059" width="18.85546875" style="21" customWidth="1"/>
    <col min="13060" max="13060" width="0.140625" style="21" customWidth="1"/>
    <col min="13061" max="13062" width="0" style="21" hidden="1" customWidth="1"/>
    <col min="13063" max="13063" width="12.42578125" style="21" customWidth="1"/>
    <col min="13064" max="13064" width="0.5703125" style="21" customWidth="1"/>
    <col min="13065" max="13065" width="18.28515625" style="21" customWidth="1"/>
    <col min="13066" max="13066" width="1" style="21" customWidth="1"/>
    <col min="13067" max="13067" width="7.140625" style="21" customWidth="1"/>
    <col min="13068" max="13068" width="9.7109375" style="21" customWidth="1"/>
    <col min="13069" max="13069" width="15.7109375" style="21" customWidth="1"/>
    <col min="13070" max="13070" width="1.85546875" style="21" customWidth="1"/>
    <col min="13071" max="13071" width="13.7109375" style="21" customWidth="1"/>
    <col min="13072" max="13072" width="10.7109375" style="21" customWidth="1"/>
    <col min="13073" max="13073" width="2.85546875" style="21" customWidth="1"/>
    <col min="13074" max="13074" width="10.7109375" style="21" customWidth="1"/>
    <col min="13075" max="13075" width="3.85546875" style="21" customWidth="1"/>
    <col min="13076" max="13077" width="19" style="21" customWidth="1"/>
    <col min="13078" max="13078" width="8.140625" style="21" customWidth="1"/>
    <col min="13079" max="13312" width="9.140625" style="21"/>
    <col min="13313" max="13313" width="5.42578125" style="21" customWidth="1"/>
    <col min="13314" max="13314" width="13.7109375" style="21" customWidth="1"/>
    <col min="13315" max="13315" width="18.85546875" style="21" customWidth="1"/>
    <col min="13316" max="13316" width="0.140625" style="21" customWidth="1"/>
    <col min="13317" max="13318" width="0" style="21" hidden="1" customWidth="1"/>
    <col min="13319" max="13319" width="12.42578125" style="21" customWidth="1"/>
    <col min="13320" max="13320" width="0.5703125" style="21" customWidth="1"/>
    <col min="13321" max="13321" width="18.28515625" style="21" customWidth="1"/>
    <col min="13322" max="13322" width="1" style="21" customWidth="1"/>
    <col min="13323" max="13323" width="7.140625" style="21" customWidth="1"/>
    <col min="13324" max="13324" width="9.7109375" style="21" customWidth="1"/>
    <col min="13325" max="13325" width="15.7109375" style="21" customWidth="1"/>
    <col min="13326" max="13326" width="1.85546875" style="21" customWidth="1"/>
    <col min="13327" max="13327" width="13.7109375" style="21" customWidth="1"/>
    <col min="13328" max="13328" width="10.7109375" style="21" customWidth="1"/>
    <col min="13329" max="13329" width="2.85546875" style="21" customWidth="1"/>
    <col min="13330" max="13330" width="10.7109375" style="21" customWidth="1"/>
    <col min="13331" max="13331" width="3.85546875" style="21" customWidth="1"/>
    <col min="13332" max="13333" width="19" style="21" customWidth="1"/>
    <col min="13334" max="13334" width="8.140625" style="21" customWidth="1"/>
    <col min="13335" max="13568" width="9.140625" style="21"/>
    <col min="13569" max="13569" width="5.42578125" style="21" customWidth="1"/>
    <col min="13570" max="13570" width="13.7109375" style="21" customWidth="1"/>
    <col min="13571" max="13571" width="18.85546875" style="21" customWidth="1"/>
    <col min="13572" max="13572" width="0.140625" style="21" customWidth="1"/>
    <col min="13573" max="13574" width="0" style="21" hidden="1" customWidth="1"/>
    <col min="13575" max="13575" width="12.42578125" style="21" customWidth="1"/>
    <col min="13576" max="13576" width="0.5703125" style="21" customWidth="1"/>
    <col min="13577" max="13577" width="18.28515625" style="21" customWidth="1"/>
    <col min="13578" max="13578" width="1" style="21" customWidth="1"/>
    <col min="13579" max="13579" width="7.140625" style="21" customWidth="1"/>
    <col min="13580" max="13580" width="9.7109375" style="21" customWidth="1"/>
    <col min="13581" max="13581" width="15.7109375" style="21" customWidth="1"/>
    <col min="13582" max="13582" width="1.85546875" style="21" customWidth="1"/>
    <col min="13583" max="13583" width="13.7109375" style="21" customWidth="1"/>
    <col min="13584" max="13584" width="10.7109375" style="21" customWidth="1"/>
    <col min="13585" max="13585" width="2.85546875" style="21" customWidth="1"/>
    <col min="13586" max="13586" width="10.7109375" style="21" customWidth="1"/>
    <col min="13587" max="13587" width="3.85546875" style="21" customWidth="1"/>
    <col min="13588" max="13589" width="19" style="21" customWidth="1"/>
    <col min="13590" max="13590" width="8.140625" style="21" customWidth="1"/>
    <col min="13591" max="13824" width="9.140625" style="21"/>
    <col min="13825" max="13825" width="5.42578125" style="21" customWidth="1"/>
    <col min="13826" max="13826" width="13.7109375" style="21" customWidth="1"/>
    <col min="13827" max="13827" width="18.85546875" style="21" customWidth="1"/>
    <col min="13828" max="13828" width="0.140625" style="21" customWidth="1"/>
    <col min="13829" max="13830" width="0" style="21" hidden="1" customWidth="1"/>
    <col min="13831" max="13831" width="12.42578125" style="21" customWidth="1"/>
    <col min="13832" max="13832" width="0.5703125" style="21" customWidth="1"/>
    <col min="13833" max="13833" width="18.28515625" style="21" customWidth="1"/>
    <col min="13834" max="13834" width="1" style="21" customWidth="1"/>
    <col min="13835" max="13835" width="7.140625" style="21" customWidth="1"/>
    <col min="13836" max="13836" width="9.7109375" style="21" customWidth="1"/>
    <col min="13837" max="13837" width="15.7109375" style="21" customWidth="1"/>
    <col min="13838" max="13838" width="1.85546875" style="21" customWidth="1"/>
    <col min="13839" max="13839" width="13.7109375" style="21" customWidth="1"/>
    <col min="13840" max="13840" width="10.7109375" style="21" customWidth="1"/>
    <col min="13841" max="13841" width="2.85546875" style="21" customWidth="1"/>
    <col min="13842" max="13842" width="10.7109375" style="21" customWidth="1"/>
    <col min="13843" max="13843" width="3.85546875" style="21" customWidth="1"/>
    <col min="13844" max="13845" width="19" style="21" customWidth="1"/>
    <col min="13846" max="13846" width="8.140625" style="21" customWidth="1"/>
    <col min="13847" max="14080" width="9.140625" style="21"/>
    <col min="14081" max="14081" width="5.42578125" style="21" customWidth="1"/>
    <col min="14082" max="14082" width="13.7109375" style="21" customWidth="1"/>
    <col min="14083" max="14083" width="18.85546875" style="21" customWidth="1"/>
    <col min="14084" max="14084" width="0.140625" style="21" customWidth="1"/>
    <col min="14085" max="14086" width="0" style="21" hidden="1" customWidth="1"/>
    <col min="14087" max="14087" width="12.42578125" style="21" customWidth="1"/>
    <col min="14088" max="14088" width="0.5703125" style="21" customWidth="1"/>
    <col min="14089" max="14089" width="18.28515625" style="21" customWidth="1"/>
    <col min="14090" max="14090" width="1" style="21" customWidth="1"/>
    <col min="14091" max="14091" width="7.140625" style="21" customWidth="1"/>
    <col min="14092" max="14092" width="9.7109375" style="21" customWidth="1"/>
    <col min="14093" max="14093" width="15.7109375" style="21" customWidth="1"/>
    <col min="14094" max="14094" width="1.85546875" style="21" customWidth="1"/>
    <col min="14095" max="14095" width="13.7109375" style="21" customWidth="1"/>
    <col min="14096" max="14096" width="10.7109375" style="21" customWidth="1"/>
    <col min="14097" max="14097" width="2.85546875" style="21" customWidth="1"/>
    <col min="14098" max="14098" width="10.7109375" style="21" customWidth="1"/>
    <col min="14099" max="14099" width="3.85546875" style="21" customWidth="1"/>
    <col min="14100" max="14101" width="19" style="21" customWidth="1"/>
    <col min="14102" max="14102" width="8.140625" style="21" customWidth="1"/>
    <col min="14103" max="14336" width="9.140625" style="21"/>
    <col min="14337" max="14337" width="5.42578125" style="21" customWidth="1"/>
    <col min="14338" max="14338" width="13.7109375" style="21" customWidth="1"/>
    <col min="14339" max="14339" width="18.85546875" style="21" customWidth="1"/>
    <col min="14340" max="14340" width="0.140625" style="21" customWidth="1"/>
    <col min="14341" max="14342" width="0" style="21" hidden="1" customWidth="1"/>
    <col min="14343" max="14343" width="12.42578125" style="21" customWidth="1"/>
    <col min="14344" max="14344" width="0.5703125" style="21" customWidth="1"/>
    <col min="14345" max="14345" width="18.28515625" style="21" customWidth="1"/>
    <col min="14346" max="14346" width="1" style="21" customWidth="1"/>
    <col min="14347" max="14347" width="7.140625" style="21" customWidth="1"/>
    <col min="14348" max="14348" width="9.7109375" style="21" customWidth="1"/>
    <col min="14349" max="14349" width="15.7109375" style="21" customWidth="1"/>
    <col min="14350" max="14350" width="1.85546875" style="21" customWidth="1"/>
    <col min="14351" max="14351" width="13.7109375" style="21" customWidth="1"/>
    <col min="14352" max="14352" width="10.7109375" style="21" customWidth="1"/>
    <col min="14353" max="14353" width="2.85546875" style="21" customWidth="1"/>
    <col min="14354" max="14354" width="10.7109375" style="21" customWidth="1"/>
    <col min="14355" max="14355" width="3.85546875" style="21" customWidth="1"/>
    <col min="14356" max="14357" width="19" style="21" customWidth="1"/>
    <col min="14358" max="14358" width="8.140625" style="21" customWidth="1"/>
    <col min="14359" max="14592" width="9.140625" style="21"/>
    <col min="14593" max="14593" width="5.42578125" style="21" customWidth="1"/>
    <col min="14594" max="14594" width="13.7109375" style="21" customWidth="1"/>
    <col min="14595" max="14595" width="18.85546875" style="21" customWidth="1"/>
    <col min="14596" max="14596" width="0.140625" style="21" customWidth="1"/>
    <col min="14597" max="14598" width="0" style="21" hidden="1" customWidth="1"/>
    <col min="14599" max="14599" width="12.42578125" style="21" customWidth="1"/>
    <col min="14600" max="14600" width="0.5703125" style="21" customWidth="1"/>
    <col min="14601" max="14601" width="18.28515625" style="21" customWidth="1"/>
    <col min="14602" max="14602" width="1" style="21" customWidth="1"/>
    <col min="14603" max="14603" width="7.140625" style="21" customWidth="1"/>
    <col min="14604" max="14604" width="9.7109375" style="21" customWidth="1"/>
    <col min="14605" max="14605" width="15.7109375" style="21" customWidth="1"/>
    <col min="14606" max="14606" width="1.85546875" style="21" customWidth="1"/>
    <col min="14607" max="14607" width="13.7109375" style="21" customWidth="1"/>
    <col min="14608" max="14608" width="10.7109375" style="21" customWidth="1"/>
    <col min="14609" max="14609" width="2.85546875" style="21" customWidth="1"/>
    <col min="14610" max="14610" width="10.7109375" style="21" customWidth="1"/>
    <col min="14611" max="14611" width="3.85546875" style="21" customWidth="1"/>
    <col min="14612" max="14613" width="19" style="21" customWidth="1"/>
    <col min="14614" max="14614" width="8.140625" style="21" customWidth="1"/>
    <col min="14615" max="14848" width="9.140625" style="21"/>
    <col min="14849" max="14849" width="5.42578125" style="21" customWidth="1"/>
    <col min="14850" max="14850" width="13.7109375" style="21" customWidth="1"/>
    <col min="14851" max="14851" width="18.85546875" style="21" customWidth="1"/>
    <col min="14852" max="14852" width="0.140625" style="21" customWidth="1"/>
    <col min="14853" max="14854" width="0" style="21" hidden="1" customWidth="1"/>
    <col min="14855" max="14855" width="12.42578125" style="21" customWidth="1"/>
    <col min="14856" max="14856" width="0.5703125" style="21" customWidth="1"/>
    <col min="14857" max="14857" width="18.28515625" style="21" customWidth="1"/>
    <col min="14858" max="14858" width="1" style="21" customWidth="1"/>
    <col min="14859" max="14859" width="7.140625" style="21" customWidth="1"/>
    <col min="14860" max="14860" width="9.7109375" style="21" customWidth="1"/>
    <col min="14861" max="14861" width="15.7109375" style="21" customWidth="1"/>
    <col min="14862" max="14862" width="1.85546875" style="21" customWidth="1"/>
    <col min="14863" max="14863" width="13.7109375" style="21" customWidth="1"/>
    <col min="14864" max="14864" width="10.7109375" style="21" customWidth="1"/>
    <col min="14865" max="14865" width="2.85546875" style="21" customWidth="1"/>
    <col min="14866" max="14866" width="10.7109375" style="21" customWidth="1"/>
    <col min="14867" max="14867" width="3.85546875" style="21" customWidth="1"/>
    <col min="14868" max="14869" width="19" style="21" customWidth="1"/>
    <col min="14870" max="14870" width="8.140625" style="21" customWidth="1"/>
    <col min="14871" max="15104" width="9.140625" style="21"/>
    <col min="15105" max="15105" width="5.42578125" style="21" customWidth="1"/>
    <col min="15106" max="15106" width="13.7109375" style="21" customWidth="1"/>
    <col min="15107" max="15107" width="18.85546875" style="21" customWidth="1"/>
    <col min="15108" max="15108" width="0.140625" style="21" customWidth="1"/>
    <col min="15109" max="15110" width="0" style="21" hidden="1" customWidth="1"/>
    <col min="15111" max="15111" width="12.42578125" style="21" customWidth="1"/>
    <col min="15112" max="15112" width="0.5703125" style="21" customWidth="1"/>
    <col min="15113" max="15113" width="18.28515625" style="21" customWidth="1"/>
    <col min="15114" max="15114" width="1" style="21" customWidth="1"/>
    <col min="15115" max="15115" width="7.140625" style="21" customWidth="1"/>
    <col min="15116" max="15116" width="9.7109375" style="21" customWidth="1"/>
    <col min="15117" max="15117" width="15.7109375" style="21" customWidth="1"/>
    <col min="15118" max="15118" width="1.85546875" style="21" customWidth="1"/>
    <col min="15119" max="15119" width="13.7109375" style="21" customWidth="1"/>
    <col min="15120" max="15120" width="10.7109375" style="21" customWidth="1"/>
    <col min="15121" max="15121" width="2.85546875" style="21" customWidth="1"/>
    <col min="15122" max="15122" width="10.7109375" style="21" customWidth="1"/>
    <col min="15123" max="15123" width="3.85546875" style="21" customWidth="1"/>
    <col min="15124" max="15125" width="19" style="21" customWidth="1"/>
    <col min="15126" max="15126" width="8.140625" style="21" customWidth="1"/>
    <col min="15127" max="15360" width="9.140625" style="21"/>
    <col min="15361" max="15361" width="5.42578125" style="21" customWidth="1"/>
    <col min="15362" max="15362" width="13.7109375" style="21" customWidth="1"/>
    <col min="15363" max="15363" width="18.85546875" style="21" customWidth="1"/>
    <col min="15364" max="15364" width="0.140625" style="21" customWidth="1"/>
    <col min="15365" max="15366" width="0" style="21" hidden="1" customWidth="1"/>
    <col min="15367" max="15367" width="12.42578125" style="21" customWidth="1"/>
    <col min="15368" max="15368" width="0.5703125" style="21" customWidth="1"/>
    <col min="15369" max="15369" width="18.28515625" style="21" customWidth="1"/>
    <col min="15370" max="15370" width="1" style="21" customWidth="1"/>
    <col min="15371" max="15371" width="7.140625" style="21" customWidth="1"/>
    <col min="15372" max="15372" width="9.7109375" style="21" customWidth="1"/>
    <col min="15373" max="15373" width="15.7109375" style="21" customWidth="1"/>
    <col min="15374" max="15374" width="1.85546875" style="21" customWidth="1"/>
    <col min="15375" max="15375" width="13.7109375" style="21" customWidth="1"/>
    <col min="15376" max="15376" width="10.7109375" style="21" customWidth="1"/>
    <col min="15377" max="15377" width="2.85546875" style="21" customWidth="1"/>
    <col min="15378" max="15378" width="10.7109375" style="21" customWidth="1"/>
    <col min="15379" max="15379" width="3.85546875" style="21" customWidth="1"/>
    <col min="15380" max="15381" width="19" style="21" customWidth="1"/>
    <col min="15382" max="15382" width="8.140625" style="21" customWidth="1"/>
    <col min="15383" max="15616" width="9.140625" style="21"/>
    <col min="15617" max="15617" width="5.42578125" style="21" customWidth="1"/>
    <col min="15618" max="15618" width="13.7109375" style="21" customWidth="1"/>
    <col min="15619" max="15619" width="18.85546875" style="21" customWidth="1"/>
    <col min="15620" max="15620" width="0.140625" style="21" customWidth="1"/>
    <col min="15621" max="15622" width="0" style="21" hidden="1" customWidth="1"/>
    <col min="15623" max="15623" width="12.42578125" style="21" customWidth="1"/>
    <col min="15624" max="15624" width="0.5703125" style="21" customWidth="1"/>
    <col min="15625" max="15625" width="18.28515625" style="21" customWidth="1"/>
    <col min="15626" max="15626" width="1" style="21" customWidth="1"/>
    <col min="15627" max="15627" width="7.140625" style="21" customWidth="1"/>
    <col min="15628" max="15628" width="9.7109375" style="21" customWidth="1"/>
    <col min="15629" max="15629" width="15.7109375" style="21" customWidth="1"/>
    <col min="15630" max="15630" width="1.85546875" style="21" customWidth="1"/>
    <col min="15631" max="15631" width="13.7109375" style="21" customWidth="1"/>
    <col min="15632" max="15632" width="10.7109375" style="21" customWidth="1"/>
    <col min="15633" max="15633" width="2.85546875" style="21" customWidth="1"/>
    <col min="15634" max="15634" width="10.7109375" style="21" customWidth="1"/>
    <col min="15635" max="15635" width="3.85546875" style="21" customWidth="1"/>
    <col min="15636" max="15637" width="19" style="21" customWidth="1"/>
    <col min="15638" max="15638" width="8.140625" style="21" customWidth="1"/>
    <col min="15639" max="15872" width="9.140625" style="21"/>
    <col min="15873" max="15873" width="5.42578125" style="21" customWidth="1"/>
    <col min="15874" max="15874" width="13.7109375" style="21" customWidth="1"/>
    <col min="15875" max="15875" width="18.85546875" style="21" customWidth="1"/>
    <col min="15876" max="15876" width="0.140625" style="21" customWidth="1"/>
    <col min="15877" max="15878" width="0" style="21" hidden="1" customWidth="1"/>
    <col min="15879" max="15879" width="12.42578125" style="21" customWidth="1"/>
    <col min="15880" max="15880" width="0.5703125" style="21" customWidth="1"/>
    <col min="15881" max="15881" width="18.28515625" style="21" customWidth="1"/>
    <col min="15882" max="15882" width="1" style="21" customWidth="1"/>
    <col min="15883" max="15883" width="7.140625" style="21" customWidth="1"/>
    <col min="15884" max="15884" width="9.7109375" style="21" customWidth="1"/>
    <col min="15885" max="15885" width="15.7109375" style="21" customWidth="1"/>
    <col min="15886" max="15886" width="1.85546875" style="21" customWidth="1"/>
    <col min="15887" max="15887" width="13.7109375" style="21" customWidth="1"/>
    <col min="15888" max="15888" width="10.7109375" style="21" customWidth="1"/>
    <col min="15889" max="15889" width="2.85546875" style="21" customWidth="1"/>
    <col min="15890" max="15890" width="10.7109375" style="21" customWidth="1"/>
    <col min="15891" max="15891" width="3.85546875" style="21" customWidth="1"/>
    <col min="15892" max="15893" width="19" style="21" customWidth="1"/>
    <col min="15894" max="15894" width="8.140625" style="21" customWidth="1"/>
    <col min="15895" max="16128" width="9.140625" style="21"/>
    <col min="16129" max="16129" width="5.42578125" style="21" customWidth="1"/>
    <col min="16130" max="16130" width="13.7109375" style="21" customWidth="1"/>
    <col min="16131" max="16131" width="18.85546875" style="21" customWidth="1"/>
    <col min="16132" max="16132" width="0.140625" style="21" customWidth="1"/>
    <col min="16133" max="16134" width="0" style="21" hidden="1" customWidth="1"/>
    <col min="16135" max="16135" width="12.42578125" style="21" customWidth="1"/>
    <col min="16136" max="16136" width="0.5703125" style="21" customWidth="1"/>
    <col min="16137" max="16137" width="18.28515625" style="21" customWidth="1"/>
    <col min="16138" max="16138" width="1" style="21" customWidth="1"/>
    <col min="16139" max="16139" width="7.140625" style="21" customWidth="1"/>
    <col min="16140" max="16140" width="9.7109375" style="21" customWidth="1"/>
    <col min="16141" max="16141" width="15.7109375" style="21" customWidth="1"/>
    <col min="16142" max="16142" width="1.85546875" style="21" customWidth="1"/>
    <col min="16143" max="16143" width="13.7109375" style="21" customWidth="1"/>
    <col min="16144" max="16144" width="10.7109375" style="21" customWidth="1"/>
    <col min="16145" max="16145" width="2.85546875" style="21" customWidth="1"/>
    <col min="16146" max="16146" width="10.7109375" style="21" customWidth="1"/>
    <col min="16147" max="16147" width="3.85546875" style="21" customWidth="1"/>
    <col min="16148" max="16149" width="19" style="21" customWidth="1"/>
    <col min="16150" max="16150" width="8.140625" style="21" customWidth="1"/>
    <col min="16151" max="16384" width="9.140625" style="21"/>
  </cols>
  <sheetData>
    <row r="2" spans="1:22" ht="73.5" customHeight="1">
      <c r="A2" s="2204"/>
      <c r="B2" s="1846"/>
      <c r="C2" s="1846"/>
      <c r="D2" s="1846"/>
      <c r="E2" s="1846"/>
      <c r="F2" s="1846"/>
      <c r="G2" s="1846"/>
      <c r="H2" s="1846"/>
      <c r="I2" s="1846"/>
      <c r="J2" s="1846"/>
      <c r="K2" s="1846"/>
      <c r="L2" s="1846"/>
      <c r="M2" s="1846"/>
      <c r="N2" s="1846"/>
      <c r="O2" s="1846"/>
      <c r="P2" s="1846"/>
      <c r="Q2" s="2404" t="s">
        <v>4500</v>
      </c>
      <c r="R2" s="2404"/>
      <c r="S2" s="2404"/>
      <c r="T2" s="2404"/>
      <c r="U2" s="2404"/>
      <c r="V2" s="2404"/>
    </row>
    <row r="3" spans="1:22">
      <c r="A3" s="2204"/>
      <c r="B3" s="1846"/>
      <c r="C3" s="1846"/>
      <c r="D3" s="1846"/>
      <c r="E3" s="1846"/>
      <c r="F3" s="1846"/>
      <c r="G3" s="1846"/>
      <c r="H3" s="1846"/>
      <c r="I3" s="1846"/>
      <c r="J3" s="1846"/>
      <c r="K3" s="1846"/>
      <c r="L3" s="1846"/>
      <c r="M3" s="1846"/>
      <c r="N3" s="1846"/>
      <c r="O3" s="1846"/>
      <c r="P3" s="1846"/>
      <c r="Q3" s="2283"/>
      <c r="R3" s="1846"/>
      <c r="S3" s="1846"/>
      <c r="T3" s="1846"/>
      <c r="U3" s="1846"/>
    </row>
    <row r="4" spans="1:22" ht="15" customHeight="1">
      <c r="A4" s="2284"/>
      <c r="B4" s="1846"/>
      <c r="C4" s="1846"/>
      <c r="D4" s="2285" t="s">
        <v>116</v>
      </c>
      <c r="E4" s="2190"/>
      <c r="F4" s="2190"/>
      <c r="G4" s="2190"/>
      <c r="H4" s="2190"/>
      <c r="I4" s="2190"/>
      <c r="J4" s="2190"/>
      <c r="K4" s="2190"/>
      <c r="L4" s="2190"/>
      <c r="M4" s="2190"/>
      <c r="N4" s="2190"/>
      <c r="O4" s="2190"/>
      <c r="P4" s="2190"/>
      <c r="Q4" s="2190"/>
      <c r="R4" s="2190"/>
      <c r="S4" s="2284"/>
      <c r="T4" s="1846"/>
      <c r="U4" s="1846"/>
    </row>
    <row r="5" spans="1:22" ht="15" customHeight="1">
      <c r="A5" s="2282" t="s">
        <v>3630</v>
      </c>
      <c r="B5" s="1846"/>
      <c r="C5" s="1846"/>
      <c r="D5" s="1846"/>
      <c r="E5" s="1846"/>
      <c r="F5" s="1846"/>
      <c r="G5" s="1846"/>
      <c r="H5" s="1846"/>
      <c r="I5" s="1846"/>
      <c r="J5" s="1846"/>
      <c r="K5" s="1846"/>
      <c r="L5" s="1846"/>
      <c r="M5" s="1846"/>
      <c r="N5" s="1846"/>
      <c r="O5" s="1846"/>
      <c r="P5" s="1846"/>
      <c r="Q5" s="1846"/>
      <c r="R5" s="1846"/>
      <c r="S5" s="1846"/>
      <c r="T5" s="1846"/>
      <c r="U5" s="1846"/>
    </row>
    <row r="6" spans="1:22">
      <c r="A6" s="2204"/>
      <c r="B6" s="1846"/>
      <c r="C6" s="1846"/>
      <c r="D6" s="1846"/>
      <c r="E6" s="1846"/>
      <c r="F6" s="1846"/>
      <c r="G6" s="1846"/>
      <c r="H6" s="1846"/>
      <c r="I6" s="1846"/>
      <c r="J6" s="1846"/>
      <c r="K6" s="1846"/>
      <c r="L6" s="1846"/>
      <c r="M6" s="1846"/>
      <c r="N6" s="1846"/>
      <c r="O6" s="1846"/>
      <c r="P6" s="1846"/>
      <c r="Q6" s="1846"/>
      <c r="R6" s="1846"/>
      <c r="S6" s="1846"/>
      <c r="T6" s="1846"/>
      <c r="U6" s="1846"/>
    </row>
    <row r="7" spans="1:22" ht="15" customHeight="1">
      <c r="A7" s="2284"/>
      <c r="B7" s="1846"/>
      <c r="C7" s="1846"/>
      <c r="D7" s="2286" t="s">
        <v>3691</v>
      </c>
      <c r="E7" s="2190"/>
      <c r="F7" s="2190"/>
      <c r="G7" s="2190"/>
      <c r="H7" s="2190"/>
      <c r="I7" s="2190"/>
      <c r="J7" s="2190"/>
      <c r="K7" s="2190"/>
      <c r="L7" s="2190"/>
      <c r="M7" s="2190"/>
      <c r="N7" s="2190"/>
      <c r="O7" s="2190"/>
      <c r="P7" s="2190"/>
      <c r="Q7" s="2190"/>
      <c r="R7" s="2190"/>
      <c r="S7" s="2284"/>
      <c r="T7" s="1846"/>
      <c r="U7" s="1846"/>
    </row>
    <row r="8" spans="1:22" ht="15" customHeight="1">
      <c r="A8" s="2282" t="s">
        <v>3632</v>
      </c>
      <c r="B8" s="1846"/>
      <c r="C8" s="1846"/>
      <c r="D8" s="1846"/>
      <c r="E8" s="1846"/>
      <c r="F8" s="1846"/>
      <c r="G8" s="1846"/>
      <c r="H8" s="1846"/>
      <c r="I8" s="1846"/>
      <c r="J8" s="1846"/>
      <c r="K8" s="1846"/>
      <c r="L8" s="1846"/>
      <c r="M8" s="1846"/>
      <c r="N8" s="1846"/>
      <c r="O8" s="1846"/>
      <c r="P8" s="1846"/>
      <c r="Q8" s="1846"/>
      <c r="R8" s="1846"/>
      <c r="S8" s="1846"/>
      <c r="T8" s="1846"/>
      <c r="U8" s="1846"/>
    </row>
    <row r="9" spans="1:22">
      <c r="A9" s="2287"/>
      <c r="B9" s="1846"/>
      <c r="C9" s="1846"/>
      <c r="D9" s="1846"/>
      <c r="E9" s="1846"/>
      <c r="F9" s="1846"/>
      <c r="G9" s="1846"/>
      <c r="H9" s="1846"/>
      <c r="I9" s="1846"/>
      <c r="J9" s="1846"/>
      <c r="K9" s="1846"/>
      <c r="L9" s="1846"/>
      <c r="M9" s="1846"/>
      <c r="N9" s="1846"/>
      <c r="O9" s="1846"/>
      <c r="P9" s="1846"/>
      <c r="Q9" s="1846"/>
      <c r="R9" s="1846"/>
      <c r="S9" s="1846"/>
      <c r="T9" s="1846"/>
      <c r="U9" s="1846"/>
    </row>
    <row r="10" spans="1:22" ht="15" customHeight="1">
      <c r="A10" s="2288" t="s">
        <v>3652</v>
      </c>
      <c r="B10" s="1846"/>
      <c r="C10" s="1846"/>
      <c r="D10" s="1846"/>
      <c r="E10" s="1846"/>
      <c r="F10" s="1846"/>
      <c r="G10" s="1846"/>
      <c r="H10" s="1846"/>
      <c r="I10" s="1846"/>
      <c r="J10" s="1846"/>
      <c r="K10" s="1846"/>
      <c r="L10" s="1846"/>
      <c r="M10" s="1846"/>
      <c r="N10" s="1846"/>
      <c r="O10" s="1846"/>
      <c r="P10" s="1846"/>
      <c r="Q10" s="1846"/>
      <c r="R10" s="1846"/>
      <c r="S10" s="1846"/>
      <c r="T10" s="1846"/>
      <c r="U10" s="1846"/>
    </row>
    <row r="11" spans="1:22" ht="15.75">
      <c r="A11" s="2248"/>
      <c r="B11" s="1846"/>
      <c r="C11" s="1846"/>
      <c r="D11" s="1846"/>
      <c r="E11" s="1846"/>
      <c r="F11" s="1846"/>
      <c r="G11" s="1846"/>
      <c r="H11" s="1846"/>
      <c r="I11" s="1846"/>
      <c r="J11" s="1846"/>
      <c r="K11" s="1846"/>
      <c r="L11" s="1846"/>
      <c r="M11" s="1846"/>
      <c r="N11" s="1846"/>
      <c r="O11" s="1846"/>
      <c r="P11" s="1846"/>
      <c r="Q11" s="1846"/>
      <c r="R11" s="1846"/>
      <c r="S11" s="1846"/>
      <c r="T11" s="1846"/>
      <c r="U11" s="1846"/>
    </row>
    <row r="12" spans="1:22" ht="15" customHeight="1">
      <c r="A12" s="2284"/>
      <c r="B12" s="1846"/>
      <c r="C12" s="1846"/>
      <c r="D12" s="1846"/>
      <c r="E12" s="1846"/>
      <c r="F12" s="1846"/>
      <c r="G12" s="1846"/>
      <c r="H12" s="2289" t="s">
        <v>3692</v>
      </c>
      <c r="I12" s="2190"/>
      <c r="J12" s="2190"/>
      <c r="K12" s="1409" t="s">
        <v>7</v>
      </c>
      <c r="L12" s="2289" t="s">
        <v>3693</v>
      </c>
      <c r="M12" s="2190"/>
      <c r="N12" s="2190"/>
      <c r="O12" s="2284"/>
      <c r="P12" s="1846"/>
      <c r="Q12" s="1846"/>
      <c r="R12" s="1846"/>
      <c r="S12" s="1846"/>
      <c r="T12" s="1846"/>
      <c r="U12" s="1846"/>
    </row>
    <row r="13" spans="1:22" ht="409.6" hidden="1" customHeight="1"/>
    <row r="15" spans="1:22" ht="15" customHeight="1">
      <c r="A15" s="2176" t="s">
        <v>1045</v>
      </c>
      <c r="B15" s="2176" t="s">
        <v>50</v>
      </c>
      <c r="C15" s="2176" t="s">
        <v>3635</v>
      </c>
      <c r="D15" s="2345"/>
      <c r="E15" s="2176" t="s">
        <v>3636</v>
      </c>
      <c r="F15" s="2176" t="s">
        <v>3637</v>
      </c>
      <c r="G15" s="2176" t="s">
        <v>3638</v>
      </c>
      <c r="H15" s="2352"/>
      <c r="I15" s="2352"/>
      <c r="J15" s="2352"/>
      <c r="K15" s="2352"/>
      <c r="L15" s="2352"/>
      <c r="M15" s="2352"/>
      <c r="N15" s="2352"/>
      <c r="O15" s="2352"/>
      <c r="P15" s="2352"/>
      <c r="Q15" s="2352"/>
      <c r="R15" s="2352"/>
      <c r="S15" s="2353"/>
      <c r="T15" s="2176" t="s">
        <v>3639</v>
      </c>
      <c r="U15" s="2176" t="s">
        <v>3640</v>
      </c>
      <c r="V15" s="2345"/>
    </row>
    <row r="16" spans="1:22" ht="15" customHeight="1">
      <c r="A16" s="2343"/>
      <c r="B16" s="2343"/>
      <c r="C16" s="2346"/>
      <c r="D16" s="2347"/>
      <c r="E16" s="2343"/>
      <c r="F16" s="2343"/>
      <c r="G16" s="2176" t="s">
        <v>9</v>
      </c>
      <c r="H16" s="2345"/>
      <c r="I16" s="2176" t="s">
        <v>3641</v>
      </c>
      <c r="J16" s="2352"/>
      <c r="K16" s="2352"/>
      <c r="L16" s="2353"/>
      <c r="M16" s="2184" t="s">
        <v>3642</v>
      </c>
      <c r="N16" s="2205"/>
      <c r="O16" s="2205"/>
      <c r="P16" s="2205"/>
      <c r="Q16" s="2205"/>
      <c r="R16" s="2205"/>
      <c r="S16" s="2205"/>
      <c r="T16" s="2343"/>
      <c r="U16" s="2346"/>
      <c r="V16" s="2347"/>
    </row>
    <row r="17" spans="1:22" ht="15" customHeight="1">
      <c r="A17" s="2343"/>
      <c r="B17" s="2343"/>
      <c r="C17" s="2346"/>
      <c r="D17" s="2347"/>
      <c r="E17" s="2343"/>
      <c r="F17" s="2343"/>
      <c r="G17" s="2346"/>
      <c r="H17" s="2347"/>
      <c r="I17" s="2176" t="s">
        <v>3643</v>
      </c>
      <c r="J17" s="2185"/>
      <c r="K17" s="2352"/>
      <c r="L17" s="2352"/>
      <c r="M17" s="2186" t="s">
        <v>3644</v>
      </c>
      <c r="N17" s="2354"/>
      <c r="O17" s="2354"/>
      <c r="P17" s="2354"/>
      <c r="Q17" s="2354"/>
      <c r="R17" s="2354"/>
      <c r="S17" s="2355"/>
      <c r="T17" s="2343"/>
      <c r="U17" s="2346"/>
      <c r="V17" s="2347"/>
    </row>
    <row r="18" spans="1:22" ht="15" customHeight="1">
      <c r="A18" s="2343"/>
      <c r="B18" s="2343"/>
      <c r="C18" s="2346"/>
      <c r="D18" s="2347"/>
      <c r="E18" s="2343"/>
      <c r="F18" s="2343"/>
      <c r="G18" s="2346"/>
      <c r="H18" s="2347"/>
      <c r="I18" s="2343"/>
      <c r="J18" s="2176" t="s">
        <v>3645</v>
      </c>
      <c r="K18" s="2350"/>
      <c r="L18" s="2345"/>
      <c r="M18" s="2176" t="s">
        <v>1974</v>
      </c>
      <c r="N18" s="2352"/>
      <c r="O18" s="2352"/>
      <c r="P18" s="2352"/>
      <c r="Q18" s="2352"/>
      <c r="R18" s="2352"/>
      <c r="S18" s="2353"/>
      <c r="T18" s="2343"/>
      <c r="U18" s="2346"/>
      <c r="V18" s="2347"/>
    </row>
    <row r="19" spans="1:22" ht="48" customHeight="1">
      <c r="A19" s="2344"/>
      <c r="B19" s="2344"/>
      <c r="C19" s="2348"/>
      <c r="D19" s="2349"/>
      <c r="E19" s="2344"/>
      <c r="F19" s="2344"/>
      <c r="G19" s="2348"/>
      <c r="H19" s="2349"/>
      <c r="I19" s="2344"/>
      <c r="J19" s="2348"/>
      <c r="K19" s="2342"/>
      <c r="L19" s="2349"/>
      <c r="M19" s="1396" t="s">
        <v>3645</v>
      </c>
      <c r="N19" s="2176" t="s">
        <v>2010</v>
      </c>
      <c r="O19" s="2353"/>
      <c r="P19" s="2176" t="s">
        <v>61</v>
      </c>
      <c r="Q19" s="2353"/>
      <c r="R19" s="2176" t="s">
        <v>60</v>
      </c>
      <c r="S19" s="2353"/>
      <c r="T19" s="2344"/>
      <c r="U19" s="2348"/>
      <c r="V19" s="2349"/>
    </row>
    <row r="20" spans="1:22" ht="15" customHeight="1">
      <c r="A20" s="1397" t="s">
        <v>2024</v>
      </c>
      <c r="B20" s="1397" t="s">
        <v>2534</v>
      </c>
      <c r="C20" s="2175" t="s">
        <v>2535</v>
      </c>
      <c r="D20" s="2353"/>
      <c r="E20" s="1397" t="s">
        <v>2536</v>
      </c>
      <c r="F20" s="1397" t="s">
        <v>2025</v>
      </c>
      <c r="G20" s="2175" t="s">
        <v>2072</v>
      </c>
      <c r="H20" s="2353"/>
      <c r="I20" s="1397" t="s">
        <v>2074</v>
      </c>
      <c r="J20" s="2175" t="s">
        <v>2075</v>
      </c>
      <c r="K20" s="2352"/>
      <c r="L20" s="2353"/>
      <c r="M20" s="1397" t="s">
        <v>2026</v>
      </c>
      <c r="N20" s="2175" t="s">
        <v>1706</v>
      </c>
      <c r="O20" s="2353"/>
      <c r="P20" s="2175" t="s">
        <v>1707</v>
      </c>
      <c r="Q20" s="2353"/>
      <c r="R20" s="2175" t="s">
        <v>1709</v>
      </c>
      <c r="S20" s="2353"/>
      <c r="T20" s="1397" t="s">
        <v>1710</v>
      </c>
      <c r="U20" s="2175" t="s">
        <v>1711</v>
      </c>
      <c r="V20" s="2353"/>
    </row>
    <row r="21" spans="1:22" ht="33.75" customHeight="1">
      <c r="A21" s="1326" t="s">
        <v>1052</v>
      </c>
      <c r="B21" s="1326" t="s">
        <v>345</v>
      </c>
      <c r="C21" s="2290" t="s">
        <v>631</v>
      </c>
      <c r="D21" s="2353"/>
      <c r="E21" s="1326"/>
      <c r="F21" s="1326"/>
      <c r="G21" s="2161">
        <v>444560.16</v>
      </c>
      <c r="H21" s="2353"/>
      <c r="I21" s="1398">
        <v>206056</v>
      </c>
      <c r="J21" s="2161">
        <v>0</v>
      </c>
      <c r="K21" s="2352"/>
      <c r="L21" s="2353"/>
      <c r="M21" s="1398">
        <v>0</v>
      </c>
      <c r="N21" s="2161">
        <v>238504.16</v>
      </c>
      <c r="O21" s="2353"/>
      <c r="P21" s="2161">
        <v>0</v>
      </c>
      <c r="Q21" s="2353"/>
      <c r="R21" s="2161">
        <v>0</v>
      </c>
      <c r="S21" s="2353"/>
      <c r="T21" s="1399">
        <v>43190</v>
      </c>
      <c r="U21" s="2291" t="s">
        <v>3694</v>
      </c>
      <c r="V21" s="2508"/>
    </row>
    <row r="22" spans="1:22" ht="33.75" customHeight="1">
      <c r="A22" s="1326" t="s">
        <v>3647</v>
      </c>
      <c r="B22" s="1326" t="s">
        <v>184</v>
      </c>
      <c r="C22" s="2290" t="s">
        <v>377</v>
      </c>
      <c r="D22" s="2353"/>
      <c r="E22" s="1326"/>
      <c r="F22" s="1326"/>
      <c r="G22" s="2161">
        <v>260122</v>
      </c>
      <c r="H22" s="2353"/>
      <c r="I22" s="1398">
        <v>206056</v>
      </c>
      <c r="J22" s="2161">
        <v>0</v>
      </c>
      <c r="K22" s="2352"/>
      <c r="L22" s="2353"/>
      <c r="M22" s="1398">
        <v>0</v>
      </c>
      <c r="N22" s="2161">
        <v>54066</v>
      </c>
      <c r="O22" s="2353"/>
      <c r="P22" s="2161">
        <v>0</v>
      </c>
      <c r="Q22" s="2353"/>
      <c r="R22" s="2161">
        <v>0</v>
      </c>
      <c r="S22" s="2353"/>
      <c r="T22" s="1399">
        <v>43190</v>
      </c>
      <c r="U22" s="2291" t="s">
        <v>3695</v>
      </c>
      <c r="V22" s="2508"/>
    </row>
    <row r="23" spans="1:22" ht="33.75" customHeight="1">
      <c r="A23" s="1326" t="s">
        <v>1087</v>
      </c>
      <c r="B23" s="1326" t="s">
        <v>235</v>
      </c>
      <c r="C23" s="2290" t="s">
        <v>389</v>
      </c>
      <c r="D23" s="2353"/>
      <c r="E23" s="1326"/>
      <c r="F23" s="1326"/>
      <c r="G23" s="2161">
        <v>297670.40999999997</v>
      </c>
      <c r="H23" s="2353"/>
      <c r="I23" s="1398">
        <v>206056</v>
      </c>
      <c r="J23" s="2161">
        <v>0</v>
      </c>
      <c r="K23" s="2352"/>
      <c r="L23" s="2353"/>
      <c r="M23" s="1398">
        <v>0</v>
      </c>
      <c r="N23" s="2161">
        <v>91614.41</v>
      </c>
      <c r="O23" s="2353"/>
      <c r="P23" s="2161">
        <v>0</v>
      </c>
      <c r="Q23" s="2353"/>
      <c r="R23" s="2161">
        <v>0</v>
      </c>
      <c r="S23" s="2353"/>
      <c r="T23" s="1399">
        <v>43190</v>
      </c>
      <c r="U23" s="2291" t="s">
        <v>3694</v>
      </c>
      <c r="V23" s="2508"/>
    </row>
    <row r="24" spans="1:22" ht="33.75" customHeight="1">
      <c r="A24" s="1326" t="s">
        <v>843</v>
      </c>
      <c r="B24" s="1326" t="s">
        <v>161</v>
      </c>
      <c r="C24" s="2290" t="s">
        <v>2918</v>
      </c>
      <c r="D24" s="2353"/>
      <c r="E24" s="1326"/>
      <c r="F24" s="1326"/>
      <c r="G24" s="2161">
        <v>242419</v>
      </c>
      <c r="H24" s="2353"/>
      <c r="I24" s="1398">
        <v>206056</v>
      </c>
      <c r="J24" s="2161">
        <v>0</v>
      </c>
      <c r="K24" s="2352"/>
      <c r="L24" s="2353"/>
      <c r="M24" s="1398">
        <v>0</v>
      </c>
      <c r="N24" s="2161">
        <v>36363</v>
      </c>
      <c r="O24" s="2353"/>
      <c r="P24" s="2161">
        <v>0</v>
      </c>
      <c r="Q24" s="2353"/>
      <c r="R24" s="2161">
        <v>0</v>
      </c>
      <c r="S24" s="2353"/>
      <c r="T24" s="1399">
        <v>43179</v>
      </c>
      <c r="U24" s="2291" t="s">
        <v>3694</v>
      </c>
      <c r="V24" s="2508"/>
    </row>
    <row r="25" spans="1:22" ht="34.5" customHeight="1" thickBot="1">
      <c r="A25" s="1326" t="s">
        <v>1070</v>
      </c>
      <c r="B25" s="1326" t="s">
        <v>282</v>
      </c>
      <c r="C25" s="2290" t="s">
        <v>641</v>
      </c>
      <c r="D25" s="2353"/>
      <c r="E25" s="1326"/>
      <c r="F25" s="1326"/>
      <c r="G25" s="2161">
        <v>242419</v>
      </c>
      <c r="H25" s="2353"/>
      <c r="I25" s="1398">
        <v>206056</v>
      </c>
      <c r="J25" s="2161">
        <v>0</v>
      </c>
      <c r="K25" s="2352"/>
      <c r="L25" s="2353"/>
      <c r="M25" s="1398">
        <v>0</v>
      </c>
      <c r="N25" s="2161">
        <v>36363</v>
      </c>
      <c r="O25" s="2353"/>
      <c r="P25" s="2161">
        <v>0</v>
      </c>
      <c r="Q25" s="2353"/>
      <c r="R25" s="2161">
        <v>0</v>
      </c>
      <c r="S25" s="2353"/>
      <c r="T25" s="1399">
        <v>43190</v>
      </c>
      <c r="U25" s="2291" t="s">
        <v>3694</v>
      </c>
      <c r="V25" s="2508"/>
    </row>
    <row r="26" spans="1:22" ht="15" customHeight="1">
      <c r="A26" s="2173" t="s">
        <v>3649</v>
      </c>
      <c r="B26" s="2356"/>
      <c r="C26" s="2356"/>
      <c r="D26" s="2356"/>
      <c r="E26" s="2356"/>
      <c r="F26" s="2357"/>
      <c r="G26" s="2174">
        <f>SUM(G21:H25)</f>
        <v>1487190.5699999998</v>
      </c>
      <c r="H26" s="2357"/>
      <c r="I26" s="1401">
        <f>SUM(I21:I25)</f>
        <v>1030280</v>
      </c>
      <c r="J26" s="2174">
        <v>0</v>
      </c>
      <c r="K26" s="2356"/>
      <c r="L26" s="2357"/>
      <c r="M26" s="1401">
        <v>0</v>
      </c>
      <c r="N26" s="2174">
        <f>SUM(N21:O25)</f>
        <v>456910.57000000007</v>
      </c>
      <c r="O26" s="2357"/>
      <c r="P26" s="2174">
        <v>0</v>
      </c>
      <c r="Q26" s="2357"/>
      <c r="R26" s="2174">
        <v>0</v>
      </c>
      <c r="S26" s="2357"/>
      <c r="T26" s="2168"/>
      <c r="U26" s="2356"/>
      <c r="V26" s="2357"/>
    </row>
    <row r="27" spans="1:22" ht="15" customHeight="1">
      <c r="A27" s="2163" t="s">
        <v>3650</v>
      </c>
      <c r="B27" s="2352"/>
      <c r="C27" s="2352"/>
      <c r="D27" s="2352"/>
      <c r="E27" s="2352"/>
      <c r="F27" s="2352"/>
      <c r="G27" s="2352"/>
      <c r="H27" s="2353"/>
      <c r="I27" s="2338">
        <v>1030281.61</v>
      </c>
      <c r="J27" s="2339"/>
      <c r="K27" s="2339"/>
      <c r="L27" s="2339"/>
      <c r="M27" s="2339"/>
      <c r="N27" s="2339"/>
      <c r="O27" s="2339"/>
      <c r="P27" s="2339"/>
      <c r="Q27" s="2339"/>
      <c r="R27" s="2339"/>
      <c r="S27" s="2339"/>
      <c r="T27" s="2339"/>
      <c r="U27" s="2339"/>
      <c r="V27" s="2340"/>
    </row>
  </sheetData>
  <mergeCells count="90">
    <mergeCell ref="T26:V26"/>
    <mergeCell ref="A27:H27"/>
    <mergeCell ref="I27:V27"/>
    <mergeCell ref="A26:F26"/>
    <mergeCell ref="G26:H26"/>
    <mergeCell ref="J26:L26"/>
    <mergeCell ref="N26:O26"/>
    <mergeCell ref="P26:Q26"/>
    <mergeCell ref="R26:S26"/>
    <mergeCell ref="U24:V24"/>
    <mergeCell ref="C25:D25"/>
    <mergeCell ref="G25:H25"/>
    <mergeCell ref="J25:L25"/>
    <mergeCell ref="N25:O25"/>
    <mergeCell ref="P25:Q25"/>
    <mergeCell ref="R25:S25"/>
    <mergeCell ref="U25:V25"/>
    <mergeCell ref="C24:D24"/>
    <mergeCell ref="G24:H24"/>
    <mergeCell ref="J24:L24"/>
    <mergeCell ref="N24:O24"/>
    <mergeCell ref="P24:Q24"/>
    <mergeCell ref="R24:S24"/>
    <mergeCell ref="U22:V22"/>
    <mergeCell ref="C23:D23"/>
    <mergeCell ref="G23:H23"/>
    <mergeCell ref="J23:L23"/>
    <mergeCell ref="N23:O23"/>
    <mergeCell ref="P23:Q23"/>
    <mergeCell ref="R23:S23"/>
    <mergeCell ref="U23:V23"/>
    <mergeCell ref="C22:D22"/>
    <mergeCell ref="G22:H22"/>
    <mergeCell ref="J22:L22"/>
    <mergeCell ref="N22:O22"/>
    <mergeCell ref="P22:Q22"/>
    <mergeCell ref="R22:S22"/>
    <mergeCell ref="U20:V20"/>
    <mergeCell ref="C21:D21"/>
    <mergeCell ref="G21:H21"/>
    <mergeCell ref="J21:L21"/>
    <mergeCell ref="N21:O21"/>
    <mergeCell ref="P21:Q21"/>
    <mergeCell ref="R21:S21"/>
    <mergeCell ref="U21:V21"/>
    <mergeCell ref="C20:D20"/>
    <mergeCell ref="G20:H20"/>
    <mergeCell ref="J20:L20"/>
    <mergeCell ref="N20:O20"/>
    <mergeCell ref="P20:Q20"/>
    <mergeCell ref="R20:S20"/>
    <mergeCell ref="T15:T19"/>
    <mergeCell ref="U15:V19"/>
    <mergeCell ref="G16:H19"/>
    <mergeCell ref="I16:L16"/>
    <mergeCell ref="M16:S16"/>
    <mergeCell ref="I17:I19"/>
    <mergeCell ref="J17:L17"/>
    <mergeCell ref="M17:S17"/>
    <mergeCell ref="J18:L19"/>
    <mergeCell ref="M18:S18"/>
    <mergeCell ref="G15:S15"/>
    <mergeCell ref="N19:O19"/>
    <mergeCell ref="P19:Q19"/>
    <mergeCell ref="R19:S19"/>
    <mergeCell ref="A15:A19"/>
    <mergeCell ref="B15:B19"/>
    <mergeCell ref="C15:D19"/>
    <mergeCell ref="E15:E19"/>
    <mergeCell ref="F15:F19"/>
    <mergeCell ref="A9:U9"/>
    <mergeCell ref="A10:U10"/>
    <mergeCell ref="A11:U11"/>
    <mergeCell ref="A12:G12"/>
    <mergeCell ref="H12:J12"/>
    <mergeCell ref="L12:N12"/>
    <mergeCell ref="O12:U12"/>
    <mergeCell ref="A8:U8"/>
    <mergeCell ref="A2:P2"/>
    <mergeCell ref="A3:P3"/>
    <mergeCell ref="Q3:U3"/>
    <mergeCell ref="A4:C4"/>
    <mergeCell ref="D4:R4"/>
    <mergeCell ref="S4:U4"/>
    <mergeCell ref="A5:U5"/>
    <mergeCell ref="A6:U6"/>
    <mergeCell ref="A7:C7"/>
    <mergeCell ref="D7:R7"/>
    <mergeCell ref="S7:U7"/>
    <mergeCell ref="Q2:V2"/>
  </mergeCell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pageSetUpPr fitToPage="1"/>
  </sheetPr>
  <dimension ref="A1:Z168"/>
  <sheetViews>
    <sheetView workbookViewId="0">
      <pane ySplit="1740" topLeftCell="A49" activePane="bottomLeft"/>
      <selection activeCell="J1" sqref="J1"/>
      <selection pane="bottomLeft" activeCell="J5" sqref="J5"/>
    </sheetView>
  </sheetViews>
  <sheetFormatPr defaultColWidth="9.140625" defaultRowHeight="12"/>
  <cols>
    <col min="1" max="1" width="5.140625" style="1272" customWidth="1"/>
    <col min="2" max="2" width="15.28515625" style="1272" customWidth="1"/>
    <col min="3" max="3" width="11.7109375" style="1272" customWidth="1"/>
    <col min="4" max="4" width="24.140625" style="1272" customWidth="1"/>
    <col min="5" max="5" width="16.42578125" style="1272" customWidth="1"/>
    <col min="6" max="6" width="12.28515625" style="1272" customWidth="1"/>
    <col min="7" max="7" width="11" style="1272" customWidth="1"/>
    <col min="8" max="8" width="10.7109375" style="1272" customWidth="1"/>
    <col min="9" max="9" width="11.5703125" style="1272" customWidth="1"/>
    <col min="10" max="10" width="13.140625" style="1272" customWidth="1"/>
    <col min="11" max="11" width="12.7109375" style="1272" customWidth="1"/>
    <col min="12" max="12" width="10.5703125" style="1272" customWidth="1"/>
    <col min="13" max="13" width="10.7109375" style="1272" customWidth="1"/>
    <col min="14" max="14" width="10.140625" style="1272" customWidth="1"/>
    <col min="15" max="15" width="9.5703125" style="1272" hidden="1" customWidth="1"/>
    <col min="16" max="16" width="9.5703125" style="1272" customWidth="1"/>
    <col min="17" max="17" width="9.140625" style="1272" customWidth="1"/>
    <col min="18" max="18" width="15.28515625" style="1272" hidden="1" customWidth="1"/>
    <col min="19" max="19" width="15.28515625" style="1272" customWidth="1"/>
    <col min="20" max="20" width="11.5703125" style="1272" customWidth="1"/>
    <col min="21" max="21" width="11.28515625" style="1272" customWidth="1"/>
    <col min="22" max="22" width="9.140625" style="1272"/>
    <col min="23" max="23" width="12.85546875" style="1272" customWidth="1"/>
    <col min="24" max="24" width="12.140625" style="1272" customWidth="1"/>
    <col min="25" max="16384" width="9.140625" style="1272"/>
  </cols>
  <sheetData>
    <row r="1" spans="1:26" ht="72">
      <c r="A1" s="1270" t="s">
        <v>1045</v>
      </c>
      <c r="B1" s="1271" t="s">
        <v>1829</v>
      </c>
      <c r="C1" s="1271" t="s">
        <v>690</v>
      </c>
      <c r="D1" s="1271" t="s">
        <v>1816</v>
      </c>
      <c r="E1" s="1271" t="s">
        <v>1817</v>
      </c>
      <c r="F1" s="1271" t="s">
        <v>1815</v>
      </c>
      <c r="G1" s="1271" t="s">
        <v>1818</v>
      </c>
      <c r="H1" s="1271" t="s">
        <v>1819</v>
      </c>
      <c r="I1" s="1271" t="s">
        <v>3473</v>
      </c>
      <c r="J1" s="1271" t="s">
        <v>3474</v>
      </c>
      <c r="K1" s="1271" t="s">
        <v>3472</v>
      </c>
      <c r="L1" s="1271" t="s">
        <v>3471</v>
      </c>
      <c r="M1" s="1271" t="s">
        <v>1913</v>
      </c>
      <c r="N1" s="1271" t="s">
        <v>3468</v>
      </c>
      <c r="O1" s="1271" t="s">
        <v>3461</v>
      </c>
      <c r="P1" s="1271" t="s">
        <v>3469</v>
      </c>
      <c r="Q1" s="1271" t="s">
        <v>1912</v>
      </c>
      <c r="R1" s="1271" t="s">
        <v>3475</v>
      </c>
      <c r="S1" s="1291" t="s">
        <v>1820</v>
      </c>
      <c r="T1" s="1291" t="s">
        <v>1821</v>
      </c>
      <c r="U1" s="1271" t="s">
        <v>1822</v>
      </c>
      <c r="V1" s="1271" t="s">
        <v>1823</v>
      </c>
      <c r="W1" s="1271" t="s">
        <v>1824</v>
      </c>
      <c r="X1" s="1271" t="s">
        <v>1919</v>
      </c>
      <c r="Y1" s="1271" t="s">
        <v>1825</v>
      </c>
      <c r="Z1" s="1271" t="s">
        <v>1826</v>
      </c>
    </row>
    <row r="2" spans="1:26" s="1284" customFormat="1" ht="48">
      <c r="A2" s="1278">
        <f>SUM('ES lėšos'!A2)</f>
        <v>1</v>
      </c>
      <c r="B2" s="1282" t="str">
        <f>CONCATENATE('ES lėšos'!C2)</f>
        <v xml:space="preserve">Pagrindinės paslaugos ir kaimų atnaujinimas kaimo vietovėse </v>
      </c>
      <c r="C2" s="1282" t="str">
        <f>CONCATENATE('ketv. 6 '!C9)</f>
        <v>20KI-KA-17-1-02616-PR001</v>
      </c>
      <c r="D2" s="1282" t="str">
        <f>CONCATENATE('ES lėšos'!B2)</f>
        <v xml:space="preserve">Druskininkų savivaldybės Viečiūnų seniūnijos Ilgio ir Raigardo seniūnaitijų kelių būklės gerinimas  </v>
      </c>
      <c r="E2" s="1282" t="str">
        <f>CONCATENATE('ES lėšos'!D2)</f>
        <v xml:space="preserve">Druskininkų savivaldybės administracija  </v>
      </c>
      <c r="F2" s="1282" t="str">
        <f>CONCATENATE('ES lėšos'!E2)</f>
        <v>Druskininkų sav.</v>
      </c>
      <c r="G2" s="1285">
        <v>42776</v>
      </c>
      <c r="H2" s="1278" t="s">
        <v>1844</v>
      </c>
      <c r="I2" s="1310">
        <f>SUM('ES lėšos'!H2)</f>
        <v>135247.75</v>
      </c>
      <c r="J2" s="1311">
        <f>SUM('ES lėšos'!I2)</f>
        <v>159115</v>
      </c>
      <c r="K2" s="1279">
        <f>IF(J2&gt;0,I2-J2,"finansavimas dar neskirtas")</f>
        <v>-23867.25</v>
      </c>
      <c r="L2" s="1281">
        <f>IF(J2&gt;0,'ketv. 6 '!AF9/'ketv. 6 '!L9,"finansavimas dar neskirtas")</f>
        <v>0.63451584345565193</v>
      </c>
      <c r="M2" s="1308"/>
      <c r="N2" s="1283">
        <f>IF('ketv. 5 '!U9=0,'ketv. 5 '!R9,'ketv. 5 '!U9)</f>
        <v>43465</v>
      </c>
      <c r="O2" s="1283"/>
      <c r="P2" s="1306"/>
      <c r="Q2" s="1290">
        <f t="shared" ref="Q2:Q24" si="0">SUM((M2-O2)/(365/12))</f>
        <v>0</v>
      </c>
      <c r="R2" s="1280"/>
      <c r="S2" s="1311">
        <f>SUMIF('mokėjimų ataskaita'!I13:I600,C2,'mokėjimų ataskaita'!AK13:AK600)</f>
        <v>0</v>
      </c>
      <c r="T2" s="1311">
        <f>SUMIF('mokėjimų ataskaita'!I13:I600,C2,'mokėjimų ataskaita'!BS13:BS600)/2</f>
        <v>0</v>
      </c>
      <c r="U2" s="1281">
        <f t="shared" ref="U2:U24" si="1">IF(J2&gt;0,R2/J2,"finansavimas dar neskirtas")</f>
        <v>0</v>
      </c>
      <c r="V2" s="1312"/>
      <c r="W2" s="1309" t="s">
        <v>1914</v>
      </c>
      <c r="X2" s="1312"/>
      <c r="Y2" s="1282" t="s">
        <v>1828</v>
      </c>
      <c r="Z2" s="1282"/>
    </row>
    <row r="3" spans="1:26" ht="48">
      <c r="A3" s="1278">
        <f>SUM('ES lėšos'!A3)</f>
        <v>2</v>
      </c>
      <c r="B3" s="1273" t="str">
        <f>CONCATENATE('ES lėšos'!C3)</f>
        <v xml:space="preserve">Pagrindinės paslaugos ir kaimų atnaujinimas kaimo vietovėse </v>
      </c>
      <c r="C3" s="1273" t="str">
        <f>CONCATENATE('ketv. 6 '!C10)</f>
        <v>20KI-KA-17-1-02617-PR001</v>
      </c>
      <c r="D3" s="1273" t="str">
        <f>CONCATENATE('ES lėšos'!B3)</f>
        <v>Druskininkų savivaldybės Viečiūnų seniūnijos Ratnyčėlės seniūnaitijos kelių būklės gerinimas</v>
      </c>
      <c r="E3" s="1273" t="str">
        <f>CONCATENATE('ES lėšos'!D3)</f>
        <v xml:space="preserve">Druskininkų savivaldybės administracija  </v>
      </c>
      <c r="F3" s="1273" t="str">
        <f>CONCATENATE('ES lėšos'!E3)</f>
        <v>Druskininkų sav.</v>
      </c>
      <c r="G3" s="1285">
        <v>42776</v>
      </c>
      <c r="H3" s="1278" t="s">
        <v>1845</v>
      </c>
      <c r="I3" s="1310">
        <f>SUM('ES lėšos'!H3)</f>
        <v>102910.35</v>
      </c>
      <c r="J3" s="1311">
        <f>SUM('ES lėšos'!I3)</f>
        <v>121071</v>
      </c>
      <c r="K3" s="1279">
        <f t="shared" ref="K3:K66" si="2">IF(J3&gt;0,I3-J3,"finansavimas dar neskirtas")</f>
        <v>-18160.649999999994</v>
      </c>
      <c r="L3" s="1281">
        <f>IF(J3&gt;0,'ketv. 6 '!AF10/'ketv. 6 '!L10,"finansavimas dar neskirtas")</f>
        <v>0.6438611139178575</v>
      </c>
      <c r="M3" s="1308"/>
      <c r="N3" s="1283">
        <f>IF('ketv. 5 '!U10=0,'ketv. 5 '!R10,'ketv. 5 '!U10)</f>
        <v>43465</v>
      </c>
      <c r="O3" s="1283"/>
      <c r="P3" s="1306"/>
      <c r="Q3" s="1290">
        <f t="shared" si="0"/>
        <v>0</v>
      </c>
      <c r="R3" s="1293"/>
      <c r="S3" s="1311">
        <f>SUMIF('mokėjimų ataskaita'!I14:I601,C3,'mokėjimų ataskaita'!AK14:AK601)</f>
        <v>0</v>
      </c>
      <c r="T3" s="1311">
        <f>SUMIF('mokėjimų ataskaita'!I14:I601,C3,'mokėjimų ataskaita'!BS14:BS601)/2</f>
        <v>0</v>
      </c>
      <c r="U3" s="1281">
        <f t="shared" si="1"/>
        <v>0</v>
      </c>
      <c r="V3" s="1313"/>
      <c r="W3" s="1309" t="s">
        <v>1914</v>
      </c>
      <c r="X3" s="1313"/>
      <c r="Y3" s="1273"/>
      <c r="Z3" s="1273"/>
    </row>
    <row r="4" spans="1:26" ht="48">
      <c r="A4" s="1278">
        <f>SUM('ES lėšos'!A4)</f>
        <v>3</v>
      </c>
      <c r="B4" s="1273" t="str">
        <f>CONCATENATE('ES lėšos'!C4)</f>
        <v xml:space="preserve">Pagrindinės paslaugos ir kaimų atnaujinimas kaimo vietovėse </v>
      </c>
      <c r="C4" s="1273" t="str">
        <f>CONCATENATE('ketv. 6 '!C11)</f>
        <v>20KI-KA-17-1-02622-PR001</v>
      </c>
      <c r="D4" s="1273" t="str">
        <f>CONCATENATE('ES lėšos'!B4)</f>
        <v>Druskininkų savivaldybės Leipalingio seniūnijos Klonio seniūnaitijos kelių būklės gerinimas</v>
      </c>
      <c r="E4" s="1273" t="str">
        <f>CONCATENATE('ES lėšos'!D4)</f>
        <v xml:space="preserve">Druskininkų savivaldybės administracija  </v>
      </c>
      <c r="F4" s="1273" t="str">
        <f>CONCATENATE('ES lėšos'!E4)</f>
        <v>Druskininkų sav.</v>
      </c>
      <c r="G4" s="1285">
        <v>42776</v>
      </c>
      <c r="H4" s="1278" t="s">
        <v>1843</v>
      </c>
      <c r="I4" s="1310">
        <f>SUM('ES lėšos'!H4)</f>
        <v>131279.1</v>
      </c>
      <c r="J4" s="1311">
        <f>SUM('ES lėšos'!I4)</f>
        <v>154446</v>
      </c>
      <c r="K4" s="1279">
        <f t="shared" si="2"/>
        <v>-23166.899999999994</v>
      </c>
      <c r="L4" s="1281">
        <f>IF(J4&gt;0,'ketv. 6 '!AF11/'ketv. 6 '!L11,"finansavimas dar neskirtas")</f>
        <v>0.69470445620932086</v>
      </c>
      <c r="M4" s="1308"/>
      <c r="N4" s="1283">
        <f>IF('ketv. 5 '!U11=0,'ketv. 5 '!R11,'ketv. 5 '!U11)</f>
        <v>43465</v>
      </c>
      <c r="O4" s="1283"/>
      <c r="P4" s="1306"/>
      <c r="Q4" s="1290">
        <f t="shared" si="0"/>
        <v>0</v>
      </c>
      <c r="R4" s="1293"/>
      <c r="S4" s="1311">
        <f>SUMIF('mokėjimų ataskaita'!I15:I602,C4,'mokėjimų ataskaita'!AK15:AK602)</f>
        <v>0</v>
      </c>
      <c r="T4" s="1311">
        <f>SUMIF('mokėjimų ataskaita'!I15:I602,C4,'mokėjimų ataskaita'!BS15:BS602)/2</f>
        <v>0</v>
      </c>
      <c r="U4" s="1281">
        <f t="shared" si="1"/>
        <v>0</v>
      </c>
      <c r="V4" s="1313"/>
      <c r="W4" s="1309" t="s">
        <v>1914</v>
      </c>
      <c r="X4" s="1313"/>
      <c r="Y4" s="1273"/>
      <c r="Z4" s="1273"/>
    </row>
    <row r="5" spans="1:26" ht="48">
      <c r="A5" s="1278">
        <f>SUM('ES lėšos'!A5)</f>
        <v>4</v>
      </c>
      <c r="B5" s="1273" t="str">
        <f>CONCATENATE('ES lėšos'!C5)</f>
        <v xml:space="preserve">Pagrindinės paslaugos ir kaimų atnaujinimas kaimo vietovėse </v>
      </c>
      <c r="C5" s="1273" t="str">
        <f>CONCATENATE('ketv. 6 '!C12)</f>
        <v>20KI-KA-17-1-02368-PR001</v>
      </c>
      <c r="D5" s="1273" t="str">
        <f>CONCATENATE('ES lėšos'!B5)</f>
        <v>Rudaminos laisvalaikio salės pritaikymas bendruomenės poreikiams ir liaudies amatų plėtrai</v>
      </c>
      <c r="E5" s="1273" t="str">
        <f>CONCATENATE('ES lėšos'!D5)</f>
        <v>Viešoji įstaiga Lazdijų kultūros centras</v>
      </c>
      <c r="F5" s="1273" t="str">
        <f>CONCATENATE('ES lėšos'!E5)</f>
        <v>Lazdijų r. sav.</v>
      </c>
      <c r="G5" s="1285">
        <v>42775</v>
      </c>
      <c r="H5" s="1278" t="s">
        <v>1838</v>
      </c>
      <c r="I5" s="1310">
        <f>SUM('ES lėšos'!H5)</f>
        <v>83748.800000000003</v>
      </c>
      <c r="J5" s="1311">
        <f>SUM('ES lėšos'!I5)</f>
        <v>98528</v>
      </c>
      <c r="K5" s="1279">
        <f t="shared" si="2"/>
        <v>-14779.199999999997</v>
      </c>
      <c r="L5" s="1281">
        <f>IF(J5&gt;0,'ketv. 6 '!AF12/'ketv. 6 '!L12,"finansavimas dar neskirtas")</f>
        <v>0.8</v>
      </c>
      <c r="M5" s="1308"/>
      <c r="N5" s="1283">
        <f>IF('ketv. 5 '!U12=0,'ketv. 5 '!R12,'ketv. 5 '!U12)</f>
        <v>43373</v>
      </c>
      <c r="O5" s="1283"/>
      <c r="P5" s="1306"/>
      <c r="Q5" s="1290">
        <f t="shared" si="0"/>
        <v>0</v>
      </c>
      <c r="R5" s="1293"/>
      <c r="S5" s="1311">
        <f>SUMIF('mokėjimų ataskaita'!I16:I603,C5,'mokėjimų ataskaita'!AK16:AK603)</f>
        <v>0</v>
      </c>
      <c r="T5" s="1311">
        <f>SUMIF('mokėjimų ataskaita'!I16:I603,C5,'mokėjimų ataskaita'!BS16:BS603)/2</f>
        <v>0</v>
      </c>
      <c r="U5" s="1281">
        <f t="shared" si="1"/>
        <v>0</v>
      </c>
      <c r="V5" s="1313"/>
      <c r="W5" s="1309" t="s">
        <v>1914</v>
      </c>
      <c r="X5" s="1313"/>
      <c r="Y5" s="1273"/>
      <c r="Z5" s="1273"/>
    </row>
    <row r="6" spans="1:26" ht="48">
      <c r="A6" s="1278">
        <f>SUM('ES lėšos'!A6)</f>
        <v>5</v>
      </c>
      <c r="B6" s="1273" t="str">
        <f>CONCATENATE('ES lėšos'!C6)</f>
        <v xml:space="preserve">Pagrindinės paslaugos ir kaimų atnaujinimas kaimo vietovėse </v>
      </c>
      <c r="C6" s="1273" t="str">
        <f>CONCATENATE('ketv. 6 '!C13)</f>
        <v>20KI-KA-17-1-02619-PR001</v>
      </c>
      <c r="D6" s="1273" t="str">
        <f>CONCATENATE('ES lėšos'!B6)</f>
        <v>Druskininkų savivaldybės Leipalingio seniūnijos Bilso seniūnaitijos kelių būklės gerinimas</v>
      </c>
      <c r="E6" s="1273" t="str">
        <f>CONCATENATE('ES lėšos'!D6)</f>
        <v xml:space="preserve">Druskininkų savivaldybės administracija  </v>
      </c>
      <c r="F6" s="1273" t="str">
        <f>CONCATENATE('ES lėšos'!E6)</f>
        <v>Druskininkų sav.</v>
      </c>
      <c r="G6" s="1285">
        <v>42775</v>
      </c>
      <c r="H6" s="1278" t="s">
        <v>1842</v>
      </c>
      <c r="I6" s="1310">
        <f>SUM('ES lėšos'!H6)</f>
        <v>108837.4</v>
      </c>
      <c r="J6" s="1311">
        <f>SUM('ES lėšos'!I6)</f>
        <v>128044</v>
      </c>
      <c r="K6" s="1279">
        <f t="shared" si="2"/>
        <v>-19206.600000000006</v>
      </c>
      <c r="L6" s="1281">
        <f>IF(J6&gt;0,'ketv. 6 '!AF13/'ketv. 6 '!L13,"finansavimas dar neskirtas")</f>
        <v>0.48304637160663355</v>
      </c>
      <c r="M6" s="1308"/>
      <c r="N6" s="1283">
        <f>IF('ketv. 5 '!U13=0,'ketv. 5 '!R13,'ketv. 5 '!U13)</f>
        <v>43465</v>
      </c>
      <c r="O6" s="1283"/>
      <c r="P6" s="1306"/>
      <c r="Q6" s="1290">
        <f t="shared" si="0"/>
        <v>0</v>
      </c>
      <c r="R6" s="1293"/>
      <c r="S6" s="1311">
        <f>SUMIF('mokėjimų ataskaita'!I17:I604,C6,'mokėjimų ataskaita'!AK17:AK604)</f>
        <v>0</v>
      </c>
      <c r="T6" s="1311">
        <f>SUMIF('mokėjimų ataskaita'!I17:I604,C6,'mokėjimų ataskaita'!BS17:BS604)/2</f>
        <v>0</v>
      </c>
      <c r="U6" s="1281">
        <f t="shared" si="1"/>
        <v>0</v>
      </c>
      <c r="V6" s="1313"/>
      <c r="W6" s="1309" t="s">
        <v>1914</v>
      </c>
      <c r="X6" s="1313"/>
      <c r="Y6" s="1273"/>
      <c r="Z6" s="1273"/>
    </row>
    <row r="7" spans="1:26" ht="48">
      <c r="A7" s="1278">
        <f>SUM('ES lėšos'!A7)</f>
        <v>6</v>
      </c>
      <c r="B7" s="1273" t="str">
        <f>CONCATENATE('ES lėšos'!C7)</f>
        <v xml:space="preserve">Pagrindinės paslaugos ir kaimų atnaujinimas kaimo vietovėse </v>
      </c>
      <c r="C7" s="1273" t="str">
        <f>CONCATENATE('ketv. 6 '!C14)</f>
        <v>20KI-KA-17-1-02374-PR001</v>
      </c>
      <c r="D7" s="1273" t="str">
        <f>CONCATENATE('ES lėšos'!B7)</f>
        <v>Lazdijų rajono kaimų patrauklumo didinimas atnaujinant bibliotekas</v>
      </c>
      <c r="E7" s="1273" t="str">
        <f>CONCATENATE('ES lėšos'!D7)</f>
        <v xml:space="preserve">Biudžetinė įstaiga Lazdijų rajono savivaldybės viešoji biblioteka </v>
      </c>
      <c r="F7" s="1273" t="str">
        <f>CONCATENATE('ES lėšos'!E7)</f>
        <v>Lazdijų r. sav.</v>
      </c>
      <c r="G7" s="1285">
        <v>42775</v>
      </c>
      <c r="H7" s="1278" t="s">
        <v>1835</v>
      </c>
      <c r="I7" s="1310">
        <f>SUM('ES lėšos'!H7)</f>
        <v>135938.79999999999</v>
      </c>
      <c r="J7" s="1311">
        <f>SUM('ES lėšos'!I7)</f>
        <v>159928</v>
      </c>
      <c r="K7" s="1279">
        <f t="shared" si="2"/>
        <v>-23989.200000000012</v>
      </c>
      <c r="L7" s="1281">
        <f>IF(J7&gt;0,'ketv. 6 '!AF14/'ketv. 6 '!L14,"finansavimas dar neskirtas")</f>
        <v>0.79566565007786105</v>
      </c>
      <c r="M7" s="1309"/>
      <c r="N7" s="1283">
        <f>IF('ketv. 5 '!U14=0,'ketv. 5 '!R14,'ketv. 5 '!U14)</f>
        <v>43373</v>
      </c>
      <c r="O7" s="1283"/>
      <c r="P7" s="1306"/>
      <c r="Q7" s="1290">
        <f t="shared" si="0"/>
        <v>0</v>
      </c>
      <c r="R7" s="1293"/>
      <c r="S7" s="1311">
        <f>SUMIF('mokėjimų ataskaita'!I18:I605,C7,'mokėjimų ataskaita'!AK18:AK605)</f>
        <v>0</v>
      </c>
      <c r="T7" s="1311">
        <f>SUMIF('mokėjimų ataskaita'!I18:I605,C7,'mokėjimų ataskaita'!BS18:BS605)/2</f>
        <v>0</v>
      </c>
      <c r="U7" s="1281">
        <f t="shared" si="1"/>
        <v>0</v>
      </c>
      <c r="V7" s="1313"/>
      <c r="W7" s="1309" t="s">
        <v>1914</v>
      </c>
      <c r="X7" s="1313"/>
      <c r="Y7" s="1273"/>
      <c r="Z7" s="1273"/>
    </row>
    <row r="8" spans="1:26" ht="48">
      <c r="A8" s="1278">
        <f>SUM('ES lėšos'!A8)</f>
        <v>7</v>
      </c>
      <c r="B8" s="1273" t="str">
        <f>CONCATENATE('ES lėšos'!C8)</f>
        <v xml:space="preserve">Pagrindinės paslaugos ir kaimų atnaujinimas kaimo vietovėse </v>
      </c>
      <c r="C8" s="1273" t="str">
        <f>CONCATENATE('ketv. 6 '!C15)</f>
        <v>20KI-KA-17-1-02437-PR001</v>
      </c>
      <c r="D8" s="1273" t="str">
        <f>CONCATENATE('ES lėšos'!B8)</f>
        <v>Alytaus rajono Miroslavo kaimo multifunkcinės sporto aikštės įrengimas ir gatvių bei šaligatvių rekonstrukcija</v>
      </c>
      <c r="E8" s="1273" t="str">
        <f>CONCATENATE('ES lėšos'!D8)</f>
        <v>Alytaus rajono savivaldybės administracija</v>
      </c>
      <c r="F8" s="1273" t="str">
        <f>CONCATENATE('ES lėšos'!E8)</f>
        <v>Alytaus r. sav.</v>
      </c>
      <c r="G8" s="1285">
        <v>42776</v>
      </c>
      <c r="H8" s="1278" t="s">
        <v>1849</v>
      </c>
      <c r="I8" s="1310">
        <f>SUM('ES lėšos'!H8)</f>
        <v>170000</v>
      </c>
      <c r="J8" s="1311">
        <f>SUM('ES lėšos'!I8)</f>
        <v>200000</v>
      </c>
      <c r="K8" s="1279">
        <f t="shared" si="2"/>
        <v>-30000</v>
      </c>
      <c r="L8" s="1281">
        <f>IF(J8&gt;0,'ketv. 6 '!AF15/'ketv. 6 '!L15,"finansavimas dar neskirtas")</f>
        <v>0.79298493804408676</v>
      </c>
      <c r="M8" s="1308"/>
      <c r="N8" s="1283">
        <f>IF('ketv. 5 '!U15=0,'ketv. 5 '!R15,'ketv. 5 '!U15)</f>
        <v>43465</v>
      </c>
      <c r="O8" s="1283"/>
      <c r="P8" s="1306"/>
      <c r="Q8" s="1290">
        <f t="shared" si="0"/>
        <v>0</v>
      </c>
      <c r="R8" s="1293"/>
      <c r="S8" s="1311">
        <f>SUMIF('mokėjimų ataskaita'!I19:I606,C8,'mokėjimų ataskaita'!AK19:AK606)</f>
        <v>0</v>
      </c>
      <c r="T8" s="1311">
        <f>SUMIF('mokėjimų ataskaita'!I19:I606,C8,'mokėjimų ataskaita'!BS19:BS606)/2</f>
        <v>0</v>
      </c>
      <c r="U8" s="1281">
        <f t="shared" si="1"/>
        <v>0</v>
      </c>
      <c r="V8" s="1313"/>
      <c r="W8" s="1309" t="s">
        <v>1914</v>
      </c>
      <c r="X8" s="1313"/>
      <c r="Y8" s="1273"/>
      <c r="Z8" s="1273"/>
    </row>
    <row r="9" spans="1:26" ht="48">
      <c r="A9" s="1278">
        <f>SUM('ES lėšos'!A9)</f>
        <v>8</v>
      </c>
      <c r="B9" s="1273" t="str">
        <f>CONCATENATE('ES lėšos'!C9)</f>
        <v xml:space="preserve">Pagrindinės paslaugos ir kaimų atnaujinimas kaimo vietovėse </v>
      </c>
      <c r="C9" s="1273" t="str">
        <f>CONCATENATE('ketv. 6 '!C16)</f>
        <v>20KI-KA-17-1-02242-PR001</v>
      </c>
      <c r="D9" s="1273" t="str">
        <f>CONCATENATE('ES lėšos'!B9)</f>
        <v>Alytaus rajono Luksnėnų kaimo multifunkcinės sporto aikštės įrengimas ir gatvių rekonstrukcija</v>
      </c>
      <c r="E9" s="1273" t="str">
        <f>CONCATENATE('ES lėšos'!D9)</f>
        <v>Alytaus rajono savivaldybės administracija</v>
      </c>
      <c r="F9" s="1273" t="str">
        <f>CONCATENATE('ES lėšos'!E9)</f>
        <v>Alytaus r. sav.</v>
      </c>
      <c r="G9" s="1285">
        <v>42776</v>
      </c>
      <c r="H9" s="1278" t="s">
        <v>1848</v>
      </c>
      <c r="I9" s="1310">
        <f>SUM('ES lėšos'!H9)</f>
        <v>170000</v>
      </c>
      <c r="J9" s="1311">
        <f>SUM('ES lėšos'!I9)</f>
        <v>200000</v>
      </c>
      <c r="K9" s="1279">
        <f t="shared" si="2"/>
        <v>-30000</v>
      </c>
      <c r="L9" s="1281">
        <f>IF(J9&gt;0,'ketv. 6 '!AF16/'ketv. 6 '!L16,"finansavimas dar neskirtas")</f>
        <v>0.79901149493892132</v>
      </c>
      <c r="M9" s="1308"/>
      <c r="N9" s="1283">
        <f>IF('ketv. 5 '!U16=0,'ketv. 5 '!R16,'ketv. 5 '!U16)</f>
        <v>43465</v>
      </c>
      <c r="O9" s="1283"/>
      <c r="P9" s="1306"/>
      <c r="Q9" s="1290">
        <f t="shared" si="0"/>
        <v>0</v>
      </c>
      <c r="R9" s="1293"/>
      <c r="S9" s="1311">
        <f>SUMIF('mokėjimų ataskaita'!I20:I607,C9,'mokėjimų ataskaita'!AK20:AK607)</f>
        <v>0</v>
      </c>
      <c r="T9" s="1311">
        <f>SUMIF('mokėjimų ataskaita'!I20:I607,C9,'mokėjimų ataskaita'!BS20:BS607)/2</f>
        <v>0</v>
      </c>
      <c r="U9" s="1281">
        <f t="shared" si="1"/>
        <v>0</v>
      </c>
      <c r="V9" s="1313"/>
      <c r="W9" s="1309" t="s">
        <v>1914</v>
      </c>
      <c r="X9" s="1313"/>
      <c r="Y9" s="1273"/>
      <c r="Z9" s="1273"/>
    </row>
    <row r="10" spans="1:26" ht="48">
      <c r="A10" s="1278">
        <f>SUM('ES lėšos'!A10)</f>
        <v>9</v>
      </c>
      <c r="B10" s="1273" t="str">
        <f>CONCATENATE('ES lėšos'!C10)</f>
        <v xml:space="preserve">Pagrindinės paslaugos ir kaimų atnaujinimas kaimo vietovėse </v>
      </c>
      <c r="C10" s="1273" t="str">
        <f>CONCATENATE('ketv. 6 '!C17)</f>
        <v>20KI-KA-17-1-02372-PR001</v>
      </c>
      <c r="D10" s="1273" t="str">
        <f>CONCATENATE('ES lėšos'!B10)</f>
        <v>Krikštonių laisvalaikio salės pritaikymas bendruomenės poreikiams</v>
      </c>
      <c r="E10" s="1273" t="str">
        <f>CONCATENATE('ES lėšos'!D10)</f>
        <v xml:space="preserve">Viešoji įstaiga Lazdijų kultūros centras </v>
      </c>
      <c r="F10" s="1273" t="str">
        <f>CONCATENATE('ES lėšos'!E10)</f>
        <v>Lazdijų r. sav.</v>
      </c>
      <c r="G10" s="1285">
        <v>42775</v>
      </c>
      <c r="H10" s="1278" t="s">
        <v>1836</v>
      </c>
      <c r="I10" s="1310">
        <f>SUM('ES lėšos'!H10)</f>
        <v>170000</v>
      </c>
      <c r="J10" s="1311">
        <f>SUM('ES lėšos'!I10)</f>
        <v>200000</v>
      </c>
      <c r="K10" s="1279">
        <f t="shared" si="2"/>
        <v>-30000</v>
      </c>
      <c r="L10" s="1281">
        <f>IF(J10&gt;0,'ketv. 6 '!AF17/'ketv. 6 '!L17,"finansavimas dar neskirtas")</f>
        <v>0.8</v>
      </c>
      <c r="M10" s="1308"/>
      <c r="N10" s="1283">
        <f>IF('ketv. 5 '!U17=0,'ketv. 5 '!R17,'ketv. 5 '!U17)</f>
        <v>43373</v>
      </c>
      <c r="O10" s="1283"/>
      <c r="P10" s="1306"/>
      <c r="Q10" s="1290">
        <f t="shared" si="0"/>
        <v>0</v>
      </c>
      <c r="R10" s="1293"/>
      <c r="S10" s="1311">
        <f>SUMIF('mokėjimų ataskaita'!I21:I608,C10,'mokėjimų ataskaita'!AK21:AK608)</f>
        <v>0</v>
      </c>
      <c r="T10" s="1311">
        <f>SUMIF('mokėjimų ataskaita'!I21:I608,C10,'mokėjimų ataskaita'!BS21:BS608)/2</f>
        <v>0</v>
      </c>
      <c r="U10" s="1281">
        <f t="shared" si="1"/>
        <v>0</v>
      </c>
      <c r="V10" s="1313"/>
      <c r="W10" s="1309" t="s">
        <v>1914</v>
      </c>
      <c r="X10" s="1313"/>
      <c r="Y10" s="1273"/>
      <c r="Z10" s="1273"/>
    </row>
    <row r="11" spans="1:26" ht="48">
      <c r="A11" s="1278">
        <f>SUM('ES lėšos'!A11)</f>
        <v>10</v>
      </c>
      <c r="B11" s="1273" t="str">
        <f>CONCATENATE('ES lėšos'!C11)</f>
        <v xml:space="preserve">Pagrindinės paslaugos ir kaimų atnaujinimas kaimo vietovėse </v>
      </c>
      <c r="C11" s="1273" t="str">
        <f>CONCATENATE('ketv. 6 '!C18)</f>
        <v>20KI-KA-17-1-02370-PR001</v>
      </c>
      <c r="D11" s="1273" t="str">
        <f>CONCATENATE('ES lėšos'!B11)</f>
        <v>Kučiūnų laisvalaikio salės pritaikymas bendruomenės poreikiams</v>
      </c>
      <c r="E11" s="1273" t="str">
        <f>CONCATENATE('ES lėšos'!D11)</f>
        <v xml:space="preserve">Viešoji įstaiga Lazdijų kultūros centras </v>
      </c>
      <c r="F11" s="1273" t="str">
        <f>CONCATENATE('ES lėšos'!E11)</f>
        <v>Lazdijų r. sav.</v>
      </c>
      <c r="G11" s="1285">
        <v>42775</v>
      </c>
      <c r="H11" s="1278" t="s">
        <v>1837</v>
      </c>
      <c r="I11" s="1310">
        <f>SUM('ES lėšos'!H11)</f>
        <v>159409</v>
      </c>
      <c r="J11" s="1311">
        <f>SUM('ES lėšos'!I11)</f>
        <v>187540</v>
      </c>
      <c r="K11" s="1279">
        <f t="shared" si="2"/>
        <v>-28131</v>
      </c>
      <c r="L11" s="1281">
        <f>IF(J11&gt;0,'ketv. 6 '!AF18/'ketv. 6 '!L18,"finansavimas dar neskirtas")</f>
        <v>0.75016000000000005</v>
      </c>
      <c r="M11" s="1308"/>
      <c r="N11" s="1283">
        <f>IF('ketv. 5 '!U18=0,'ketv. 5 '!R18,'ketv. 5 '!U18)</f>
        <v>43291</v>
      </c>
      <c r="O11" s="1283"/>
      <c r="P11" s="1306"/>
      <c r="Q11" s="1290">
        <f t="shared" si="0"/>
        <v>0</v>
      </c>
      <c r="R11" s="1293"/>
      <c r="S11" s="1311">
        <f>SUMIF('mokėjimų ataskaita'!I22:I609,C11,'mokėjimų ataskaita'!AK22:AK609)</f>
        <v>0</v>
      </c>
      <c r="T11" s="1311">
        <f>SUMIF('mokėjimų ataskaita'!I22:I609,C11,'mokėjimų ataskaita'!BS22:BS609)/2</f>
        <v>0</v>
      </c>
      <c r="U11" s="1281">
        <f t="shared" si="1"/>
        <v>0</v>
      </c>
      <c r="V11" s="1313"/>
      <c r="W11" s="1309" t="s">
        <v>1914</v>
      </c>
      <c r="X11" s="1313"/>
      <c r="Y11" s="1273"/>
      <c r="Z11" s="1273"/>
    </row>
    <row r="12" spans="1:26" ht="48">
      <c r="A12" s="1278">
        <f>SUM('ES lėšos'!A12)</f>
        <v>11</v>
      </c>
      <c r="B12" s="1273" t="str">
        <f>CONCATENATE('ES lėšos'!C12)</f>
        <v xml:space="preserve">Pagrindinės paslaugos ir kaimų atnaujinimas kaimo vietovėse </v>
      </c>
      <c r="C12" s="1273" t="str">
        <f>CONCATENATE('ketv. 6 '!C19)</f>
        <v>20KI-KA-17-1-02354-PR001</v>
      </c>
      <c r="D12" s="1273" t="str">
        <f>CONCATENATE('ES lėšos'!B12)</f>
        <v>Laisvalaikio infrastruktūros sukūrimas Lazdijų rajono kaimo gyvenamosiose vietovėse</v>
      </c>
      <c r="E12" s="1273" t="str">
        <f>CONCATENATE('ES lėšos'!D12)</f>
        <v>Lazdijų rajono savivaldybės administracija</v>
      </c>
      <c r="F12" s="1273" t="str">
        <f>CONCATENATE('ES lėšos'!E12)</f>
        <v>Lazdijų r. sav.</v>
      </c>
      <c r="G12" s="1285">
        <v>42775</v>
      </c>
      <c r="H12" s="1278" t="s">
        <v>1840</v>
      </c>
      <c r="I12" s="1310">
        <f>SUM('ES lėšos'!H12)</f>
        <v>85000</v>
      </c>
      <c r="J12" s="1311">
        <f>SUM('ES lėšos'!I12)</f>
        <v>100000</v>
      </c>
      <c r="K12" s="1279">
        <f t="shared" si="2"/>
        <v>-15000</v>
      </c>
      <c r="L12" s="1281">
        <f>IF(J12&gt;0,'ketv. 6 '!AF19/'ketv. 6 '!L19,"finansavimas dar neskirtas")</f>
        <v>0.8</v>
      </c>
      <c r="M12" s="1308"/>
      <c r="N12" s="1283">
        <f>IF('ketv. 5 '!U19=0,'ketv. 5 '!R19,'ketv. 5 '!U19)</f>
        <v>43292</v>
      </c>
      <c r="O12" s="1283"/>
      <c r="P12" s="1306"/>
      <c r="Q12" s="1290">
        <f t="shared" si="0"/>
        <v>0</v>
      </c>
      <c r="R12" s="1293"/>
      <c r="S12" s="1311">
        <f>SUMIF('mokėjimų ataskaita'!I23:I610,C12,'mokėjimų ataskaita'!AK23:AK610)</f>
        <v>0</v>
      </c>
      <c r="T12" s="1311">
        <f>SUMIF('mokėjimų ataskaita'!I23:I610,C12,'mokėjimų ataskaita'!BS23:BS610)/2</f>
        <v>0</v>
      </c>
      <c r="U12" s="1281">
        <f t="shared" si="1"/>
        <v>0</v>
      </c>
      <c r="V12" s="1313"/>
      <c r="W12" s="1309" t="s">
        <v>1914</v>
      </c>
      <c r="X12" s="1313"/>
      <c r="Y12" s="1273"/>
      <c r="Z12" s="1273"/>
    </row>
    <row r="13" spans="1:26" ht="48">
      <c r="A13" s="1278">
        <f>SUM('ES lėšos'!A13)</f>
        <v>12</v>
      </c>
      <c r="B13" s="1273" t="str">
        <f>CONCATENATE('ES lėšos'!C13)</f>
        <v xml:space="preserve">Pagrindinės paslaugos ir kaimų atnaujinimas kaimo vietovėse </v>
      </c>
      <c r="C13" s="1273" t="str">
        <f>CONCATENATE('ketv. 6 '!C20)</f>
        <v>20KI-KA-17-1-02470-PR001</v>
      </c>
      <c r="D13" s="1273" t="str">
        <f>CONCATENATE('ES lėšos'!B13)</f>
        <v>Alytaus rajono Butrimonių miestelio šaligatvių kapitalinis remontas ir gyvenvietės apšvietimo įrengimas</v>
      </c>
      <c r="E13" s="1273" t="str">
        <f>CONCATENATE('ES lėšos'!D13)</f>
        <v>Alytaus rajono savivaldybės administracija</v>
      </c>
      <c r="F13" s="1273" t="str">
        <f>CONCATENATE('ES lėšos'!E13)</f>
        <v>Alytaus r. sav.</v>
      </c>
      <c r="G13" s="1285">
        <v>42776</v>
      </c>
      <c r="H13" s="1278" t="s">
        <v>1846</v>
      </c>
      <c r="I13" s="1310">
        <f>SUM('ES lėšos'!H13)</f>
        <v>104424.2</v>
      </c>
      <c r="J13" s="1311">
        <f>SUM('ES lėšos'!I13)</f>
        <v>122852</v>
      </c>
      <c r="K13" s="1279">
        <f t="shared" si="2"/>
        <v>-18427.800000000003</v>
      </c>
      <c r="L13" s="1281">
        <f>IF(J13&gt;0,'ketv. 6 '!AF20/'ketv. 6 '!L20,"finansavimas dar neskirtas")</f>
        <v>0.64402692444798593</v>
      </c>
      <c r="M13" s="1308"/>
      <c r="N13" s="1283">
        <f>IF('ketv. 5 '!U20=0,'ketv. 5 '!R20,'ketv. 5 '!U20)</f>
        <v>43465</v>
      </c>
      <c r="O13" s="1283"/>
      <c r="P13" s="1306"/>
      <c r="Q13" s="1290">
        <f t="shared" si="0"/>
        <v>0</v>
      </c>
      <c r="R13" s="1293"/>
      <c r="S13" s="1311">
        <f>SUMIF('mokėjimų ataskaita'!I24:I611,C13,'mokėjimų ataskaita'!AK24:AK611)</f>
        <v>0</v>
      </c>
      <c r="T13" s="1311">
        <f>SUMIF('mokėjimų ataskaita'!I24:I611,C13,'mokėjimų ataskaita'!BS24:BS611)/2</f>
        <v>0</v>
      </c>
      <c r="U13" s="1281">
        <f t="shared" si="1"/>
        <v>0</v>
      </c>
      <c r="V13" s="1313"/>
      <c r="W13" s="1309" t="s">
        <v>1914</v>
      </c>
      <c r="X13" s="1313"/>
      <c r="Y13" s="1273"/>
      <c r="Z13" s="1273"/>
    </row>
    <row r="14" spans="1:26" ht="48">
      <c r="A14" s="1278">
        <f>SUM('ES lėšos'!A14)</f>
        <v>13</v>
      </c>
      <c r="B14" s="1273" t="str">
        <f>CONCATENATE('ES lėšos'!C14)</f>
        <v xml:space="preserve">Pagrindinės paslaugos ir kaimų atnaujinimas kaimo vietovėse </v>
      </c>
      <c r="C14" s="1273" t="str">
        <f>CONCATENATE('ketv. 6 '!C21)</f>
        <v>20KI-KA-17-1-02438-PR001</v>
      </c>
      <c r="D14" s="1273" t="str">
        <f>CONCATENATE('ES lėšos'!B14)</f>
        <v>Alytaus rajono Genių kaimo sporto aikštės įrengimas ir gatvių rekonstrukcija</v>
      </c>
      <c r="E14" s="1273" t="str">
        <f>CONCATENATE('ES lėšos'!D14)</f>
        <v>Alytaus rajono savivaldybės administracija</v>
      </c>
      <c r="F14" s="1273" t="str">
        <f>CONCATENATE('ES lėšos'!E14)</f>
        <v>Alytaus r. sav.</v>
      </c>
      <c r="G14" s="1285">
        <v>42776</v>
      </c>
      <c r="H14" s="1278" t="s">
        <v>1847</v>
      </c>
      <c r="I14" s="1310">
        <f>SUM('ES lėšos'!H14)</f>
        <v>170000</v>
      </c>
      <c r="J14" s="1311">
        <f>SUM('ES lėšos'!I14)</f>
        <v>200000</v>
      </c>
      <c r="K14" s="1279">
        <f t="shared" si="2"/>
        <v>-30000</v>
      </c>
      <c r="L14" s="1281">
        <f>IF(J14&gt;0,'ketv. 6 '!AF21/'ketv. 6 '!L21,"finansavimas dar neskirtas")</f>
        <v>0.80843207590077726</v>
      </c>
      <c r="M14" s="1308"/>
      <c r="N14" s="1283">
        <f>IF('ketv. 5 '!U21=0,'ketv. 5 '!R21,'ketv. 5 '!U21)</f>
        <v>43465</v>
      </c>
      <c r="O14" s="1283"/>
      <c r="P14" s="1306"/>
      <c r="Q14" s="1290">
        <f t="shared" si="0"/>
        <v>0</v>
      </c>
      <c r="R14" s="1293"/>
      <c r="S14" s="1311">
        <f>SUMIF('mokėjimų ataskaita'!I25:I612,C14,'mokėjimų ataskaita'!AK25:AK612)</f>
        <v>0</v>
      </c>
      <c r="T14" s="1311">
        <f>SUMIF('mokėjimų ataskaita'!I25:I612,C14,'mokėjimų ataskaita'!BS25:BS612)/2</f>
        <v>0</v>
      </c>
      <c r="U14" s="1281">
        <f t="shared" si="1"/>
        <v>0</v>
      </c>
      <c r="V14" s="1313"/>
      <c r="W14" s="1309" t="s">
        <v>1914</v>
      </c>
      <c r="X14" s="1313"/>
      <c r="Y14" s="1273"/>
      <c r="Z14" s="1273"/>
    </row>
    <row r="15" spans="1:26" ht="48">
      <c r="A15" s="1278">
        <f>SUM('ES lėšos'!A15)</f>
        <v>14</v>
      </c>
      <c r="B15" s="1273" t="str">
        <f>CONCATENATE('ES lėšos'!C15)</f>
        <v xml:space="preserve">Pagrindinės paslaugos ir kaimų atnaujinimas kaimo vietovėse </v>
      </c>
      <c r="C15" s="1273" t="str">
        <f>CONCATENATE('ketv. 6 '!C22)</f>
        <v>20KI-KA-17-1-01647-PR001</v>
      </c>
      <c r="D15" s="1273" t="str">
        <f>CONCATENATE('ES lėšos'!B15)</f>
        <v>Varėnos r. Dargužių kaimo Liepų gatvės ir viešosios erdvės įrengimas</v>
      </c>
      <c r="E15" s="1273" t="str">
        <f>CONCATENATE('ES lėšos'!D15)</f>
        <v xml:space="preserve">Varėnos rajono savivaldybės administracija </v>
      </c>
      <c r="F15" s="1273" t="str">
        <f>CONCATENATE('ES lėšos'!E15)</f>
        <v>Varėnos r. sav.</v>
      </c>
      <c r="G15" s="1285">
        <v>42775</v>
      </c>
      <c r="H15" s="1278" t="s">
        <v>1830</v>
      </c>
      <c r="I15" s="1310">
        <f>SUM('ES lėšos'!H15)</f>
        <v>146625.68</v>
      </c>
      <c r="J15" s="1311">
        <f>SUM('ES lėšos'!I15)</f>
        <v>172500.8</v>
      </c>
      <c r="K15" s="1279">
        <f t="shared" si="2"/>
        <v>-25875.119999999995</v>
      </c>
      <c r="L15" s="1281">
        <f>IF(J15&gt;0,'ketv. 6 '!AF22/'ketv. 6 '!L22,"finansavimas dar neskirtas")</f>
        <v>0.79999999999999993</v>
      </c>
      <c r="M15" s="1308"/>
      <c r="N15" s="1283">
        <f>IF('ketv. 5 '!U22=0,'ketv. 5 '!R22,'ketv. 5 '!U22)</f>
        <v>43830</v>
      </c>
      <c r="O15" s="1288"/>
      <c r="P15" s="1307"/>
      <c r="Q15" s="1290">
        <f t="shared" si="0"/>
        <v>0</v>
      </c>
      <c r="R15" s="1293"/>
      <c r="S15" s="1311">
        <f>SUMIF('mokėjimų ataskaita'!I26:I613,C15,'mokėjimų ataskaita'!AK26:AK613)</f>
        <v>0</v>
      </c>
      <c r="T15" s="1311">
        <f>SUMIF('mokėjimų ataskaita'!I26:I613,C15,'mokėjimų ataskaita'!BS26:BS613)/2</f>
        <v>0</v>
      </c>
      <c r="U15" s="1281">
        <f t="shared" si="1"/>
        <v>0</v>
      </c>
      <c r="V15" s="1313"/>
      <c r="W15" s="1309" t="s">
        <v>1914</v>
      </c>
      <c r="X15" s="1313"/>
      <c r="Y15" s="1273"/>
      <c r="Z15" s="1273"/>
    </row>
    <row r="16" spans="1:26" ht="48">
      <c r="A16" s="1278">
        <f>SUM('ES lėšos'!A16)</f>
        <v>15</v>
      </c>
      <c r="B16" s="1273" t="str">
        <f>CONCATENATE('ES lėšos'!C16)</f>
        <v xml:space="preserve">Pagrindinės paslaugos ir kaimų atnaujinimas kaimo vietovėse </v>
      </c>
      <c r="C16" s="1273" t="str">
        <f>CONCATENATE('ketv. 4 '!C24)</f>
        <v>20KI-KA-17-1-02469-PR001</v>
      </c>
      <c r="D16" s="1273" t="str">
        <f>CONCATENATE('ES lėšos'!B16)</f>
        <v>Alytaus rajono Vaisodžių kaimo sporto aikštės įrengimas ir gatvių apšvietimo atnaujinimas bei plėtra</v>
      </c>
      <c r="E16" s="1273" t="str">
        <f>CONCATENATE('ES lėšos'!D16)</f>
        <v>Alytaus rajono savivaldybės administracija</v>
      </c>
      <c r="F16" s="1273" t="str">
        <f>CONCATENATE('ES lėšos'!E16)</f>
        <v>Alytaus r. sav.</v>
      </c>
      <c r="G16" s="1285">
        <v>42776</v>
      </c>
      <c r="H16" s="1278" t="s">
        <v>1852</v>
      </c>
      <c r="I16" s="1310">
        <f>SUM('ES lėšos'!H16)</f>
        <v>51598</v>
      </c>
      <c r="J16" s="1311">
        <f>SUM('ES lėšos'!I16)</f>
        <v>60704</v>
      </c>
      <c r="K16" s="1279">
        <f t="shared" si="2"/>
        <v>-9106</v>
      </c>
      <c r="L16" s="1281">
        <f>IF(J16&gt;0,'ketv. 6 '!AF23/'ketv. 6 '!L23,"finansavimas dar neskirtas")</f>
        <v>0.8</v>
      </c>
      <c r="M16" s="1308"/>
      <c r="N16" s="1283">
        <f>IF('ketv. 5 '!U23=0,'ketv. 5 '!R23,'ketv. 5 '!U23)</f>
        <v>43465</v>
      </c>
      <c r="O16" s="1283"/>
      <c r="P16" s="1306"/>
      <c r="Q16" s="1290">
        <f t="shared" si="0"/>
        <v>0</v>
      </c>
      <c r="R16" s="1293"/>
      <c r="S16" s="1311">
        <f>SUMIF('mokėjimų ataskaita'!I27:I614,C16,'mokėjimų ataskaita'!AK27:AK614)</f>
        <v>0</v>
      </c>
      <c r="T16" s="1311">
        <f>SUMIF('mokėjimų ataskaita'!I27:I614,C16,'mokėjimų ataskaita'!BS27:BS614)/2</f>
        <v>0</v>
      </c>
      <c r="U16" s="1281">
        <f t="shared" si="1"/>
        <v>0</v>
      </c>
      <c r="V16" s="1313"/>
      <c r="W16" s="1309" t="s">
        <v>1942</v>
      </c>
      <c r="X16" s="1313"/>
      <c r="Y16" s="1273"/>
      <c r="Z16" s="1273"/>
    </row>
    <row r="17" spans="1:26" ht="48">
      <c r="A17" s="1278">
        <f>SUM('ES lėšos'!A17)</f>
        <v>16</v>
      </c>
      <c r="B17" s="1273" t="str">
        <f>CONCATENATE('ES lėšos'!C17)</f>
        <v xml:space="preserve">Pagrindinės paslaugos ir kaimų atnaujinimas kaimo vietovėse </v>
      </c>
      <c r="C17" s="1273" t="str">
        <f>CONCATENATE('ketv. 6 '!C24)</f>
        <v>20KI-KA-17-1-02240-PR001</v>
      </c>
      <c r="D17" s="1273" t="str">
        <f>CONCATENATE('ES lėšos'!B17)</f>
        <v>Alytaus rajono Talokių kaimo sporto aikštės įrengimas ir Plytinės gatvės apšvietimas</v>
      </c>
      <c r="E17" s="1273" t="str">
        <f>CONCATENATE('ES lėšos'!D17)</f>
        <v>Alytaus rajono savivaldybės administracija</v>
      </c>
      <c r="F17" s="1273" t="str">
        <f>CONCATENATE('ES lėšos'!E17)</f>
        <v>Alytaus r. sav.</v>
      </c>
      <c r="G17" s="1285">
        <v>42776</v>
      </c>
      <c r="H17" s="1278" t="s">
        <v>1851</v>
      </c>
      <c r="I17" s="1310">
        <f>SUM('ES lėšos'!H17)</f>
        <v>81939.149999999994</v>
      </c>
      <c r="J17" s="1311">
        <f>SUM('ES lėšos'!I17)</f>
        <v>96399</v>
      </c>
      <c r="K17" s="1279">
        <f t="shared" si="2"/>
        <v>-14459.850000000006</v>
      </c>
      <c r="L17" s="1281">
        <f>IF(J17&gt;0,'ketv. 6 '!AF24/'ketv. 6 '!L24,"finansavimas dar neskirtas")</f>
        <v>0.68217136548913049</v>
      </c>
      <c r="M17" s="1308"/>
      <c r="N17" s="1283">
        <f>IF('ketv. 5 '!U24=0,'ketv. 5 '!R24,'ketv. 5 '!U24)</f>
        <v>43465</v>
      </c>
      <c r="O17" s="1283"/>
      <c r="P17" s="1306"/>
      <c r="Q17" s="1290">
        <f t="shared" si="0"/>
        <v>0</v>
      </c>
      <c r="R17" s="1293"/>
      <c r="S17" s="1311">
        <f>SUMIF('mokėjimų ataskaita'!I28:I615,C17,'mokėjimų ataskaita'!AK28:AK615)</f>
        <v>0</v>
      </c>
      <c r="T17" s="1311">
        <f>SUMIF('mokėjimų ataskaita'!I28:I615,C17,'mokėjimų ataskaita'!BS28:BS615)/2</f>
        <v>0</v>
      </c>
      <c r="U17" s="1281">
        <f t="shared" si="1"/>
        <v>0</v>
      </c>
      <c r="V17" s="1313"/>
      <c r="W17" s="1309" t="s">
        <v>1914</v>
      </c>
      <c r="X17" s="1313"/>
      <c r="Y17" s="1273"/>
      <c r="Z17" s="1273"/>
    </row>
    <row r="18" spans="1:26" ht="48">
      <c r="A18" s="1278">
        <f>SUM('ES lėšos'!A18)</f>
        <v>17</v>
      </c>
      <c r="B18" s="1273" t="str">
        <f>CONCATENATE('ES lėšos'!C18)</f>
        <v xml:space="preserve">Pagrindinės paslaugos ir kaimų atnaujinimas kaimo vietovėse </v>
      </c>
      <c r="C18" s="1273" t="str">
        <f>CONCATENATE('ketv. 6 '!C25)</f>
        <v>20KI-KA-17-1-01639-PR001</v>
      </c>
      <c r="D18" s="1273" t="str">
        <f>CONCATENATE('ES lėšos'!B18)</f>
        <v>Varėnos r. Rudnios kaimo Pušyno gatvės įrengimas</v>
      </c>
      <c r="E18" s="1273" t="str">
        <f>CONCATENATE('ES lėšos'!D18)</f>
        <v xml:space="preserve">Varėnos rajono savivaldybės administracija </v>
      </c>
      <c r="F18" s="1273" t="str">
        <f>CONCATENATE('ES lėšos'!E18)</f>
        <v>Varėnos r. sav.</v>
      </c>
      <c r="G18" s="1285">
        <v>42775</v>
      </c>
      <c r="H18" s="1278" t="s">
        <v>1833</v>
      </c>
      <c r="I18" s="1310">
        <f>SUM('ES lėšos'!H18)</f>
        <v>78624.149999999994</v>
      </c>
      <c r="J18" s="1311">
        <f>SUM('ES lėšos'!I18)</f>
        <v>92499</v>
      </c>
      <c r="K18" s="1279">
        <f t="shared" si="2"/>
        <v>-13874.850000000006</v>
      </c>
      <c r="L18" s="1281">
        <f>IF(J18&gt;0,'ketv. 6 '!AF25/'ketv. 6 '!L25,"finansavimas dar neskirtas")</f>
        <v>0.79999827025531034</v>
      </c>
      <c r="M18" s="1308"/>
      <c r="N18" s="1283">
        <f>IF('ketv. 5 '!U25=0,'ketv. 5 '!R25,'ketv. 5 '!U25)</f>
        <v>43830</v>
      </c>
      <c r="O18" s="1283"/>
      <c r="P18" s="1306"/>
      <c r="Q18" s="1290">
        <f t="shared" si="0"/>
        <v>0</v>
      </c>
      <c r="R18" s="1293"/>
      <c r="S18" s="1311">
        <f>SUMIF('mokėjimų ataskaita'!I29:I616,C18,'mokėjimų ataskaita'!AK29:AK616)</f>
        <v>0</v>
      </c>
      <c r="T18" s="1311">
        <f>SUMIF('mokėjimų ataskaita'!I29:I616,C18,'mokėjimų ataskaita'!BS29:BS616)/2</f>
        <v>0</v>
      </c>
      <c r="U18" s="1281">
        <f t="shared" si="1"/>
        <v>0</v>
      </c>
      <c r="V18" s="1313"/>
      <c r="W18" s="1309" t="s">
        <v>1914</v>
      </c>
      <c r="X18" s="1313"/>
      <c r="Y18" s="1273"/>
      <c r="Z18" s="1273"/>
    </row>
    <row r="19" spans="1:26" ht="48">
      <c r="A19" s="1278">
        <f>SUM('ES lėšos'!A19)</f>
        <v>18</v>
      </c>
      <c r="B19" s="1273" t="str">
        <f>CONCATENATE('ES lėšos'!C19)</f>
        <v xml:space="preserve">Pagrindinės paslaugos ir kaimų atnaujinimas kaimo vietovėse </v>
      </c>
      <c r="C19" s="1273" t="str">
        <f>CONCATENATE('ketv. 6 '!C26)</f>
        <v>20KI-KA-17-1-01666-PR001</v>
      </c>
      <c r="D19" s="1273" t="str">
        <f>CONCATENATE('ES lėšos'!B19)</f>
        <v>Varėnos kultūros centro Žilinų filialo pastato atnaujinimas ir pritaikymas bendruomenės poreikiams</v>
      </c>
      <c r="E19" s="1273" t="str">
        <f>CONCATENATE('ES lėšos'!D19)</f>
        <v xml:space="preserve">Varėnos rajono savivaldybės administracija </v>
      </c>
      <c r="F19" s="1273" t="str">
        <f>CONCATENATE('ES lėšos'!E19)</f>
        <v>Varėnos r. sav.</v>
      </c>
      <c r="G19" s="1285">
        <v>42775</v>
      </c>
      <c r="H19" s="1278" t="s">
        <v>1834</v>
      </c>
      <c r="I19" s="1310">
        <f>SUM('ES lėšos'!H19)</f>
        <v>170000</v>
      </c>
      <c r="J19" s="1311">
        <f>SUM('ES lėšos'!I19)</f>
        <v>200000</v>
      </c>
      <c r="K19" s="1279">
        <f t="shared" si="2"/>
        <v>-30000</v>
      </c>
      <c r="L19" s="1281">
        <f>IF(J19&gt;0,'ketv. 6 '!AF26/'ketv. 6 '!L26,"finansavimas dar neskirtas")</f>
        <v>0.8</v>
      </c>
      <c r="M19" s="1308"/>
      <c r="N19" s="1283">
        <f>IF('ketv. 5 '!U26=0,'ketv. 5 '!R26,'ketv. 5 '!U26)</f>
        <v>43830</v>
      </c>
      <c r="O19" s="1283"/>
      <c r="P19" s="1306"/>
      <c r="Q19" s="1290">
        <f t="shared" si="0"/>
        <v>0</v>
      </c>
      <c r="R19" s="1293"/>
      <c r="S19" s="1311">
        <f>SUMIF('mokėjimų ataskaita'!I30:I617,C19,'mokėjimų ataskaita'!AK30:AK617)</f>
        <v>0</v>
      </c>
      <c r="T19" s="1311">
        <f>SUMIF('mokėjimų ataskaita'!I30:I617,C19,'mokėjimų ataskaita'!BS30:BS617)/2</f>
        <v>0</v>
      </c>
      <c r="U19" s="1281">
        <f t="shared" si="1"/>
        <v>0</v>
      </c>
      <c r="V19" s="1313"/>
      <c r="W19" s="1309" t="s">
        <v>1914</v>
      </c>
      <c r="X19" s="1313"/>
      <c r="Y19" s="1273"/>
      <c r="Z19" s="1273"/>
    </row>
    <row r="20" spans="1:26" ht="48">
      <c r="A20" s="1278">
        <f>SUM('ES lėšos'!A20)</f>
        <v>19</v>
      </c>
      <c r="B20" s="1273" t="str">
        <f>CONCATENATE('ES lėšos'!C20)</f>
        <v xml:space="preserve">Pagrindinės paslaugos ir kaimų atnaujinimas kaimo vietovėse </v>
      </c>
      <c r="C20" s="1273" t="str">
        <f>CONCATENATE('ketv. 6 '!C27)</f>
        <v>20KI-KA-17-1-02648-PR001</v>
      </c>
      <c r="D20" s="1273" t="str">
        <f>CONCATENATE('ES lėšos'!B20)</f>
        <v>Alytaus rajono Pivašiūnų kaimo šaligatvių, laiptų kapitalinis remontas ir gyvenvietės apšvietimo įrengimas</v>
      </c>
      <c r="E20" s="1273" t="str">
        <f>CONCATENATE('ES lėšos'!D20)</f>
        <v>Alytaus rajono savivaldybės administracija</v>
      </c>
      <c r="F20" s="1273" t="str">
        <f>CONCATENATE('ES lėšos'!E20)</f>
        <v>Alytaus r. sav.</v>
      </c>
      <c r="G20" s="1285">
        <v>42776</v>
      </c>
      <c r="H20" s="1278" t="s">
        <v>1850</v>
      </c>
      <c r="I20" s="1310">
        <f>SUM('ES lėšos'!H20)</f>
        <v>80230.649999999994</v>
      </c>
      <c r="J20" s="1311">
        <f>SUM('ES lėšos'!I20)</f>
        <v>94389</v>
      </c>
      <c r="K20" s="1279">
        <f t="shared" si="2"/>
        <v>-14158.350000000006</v>
      </c>
      <c r="L20" s="1281">
        <f>IF(J20&gt;0,'ketv. 6 '!AF27/'ketv. 6 '!L27,"finansavimas dar neskirtas")</f>
        <v>0.79746033355299839</v>
      </c>
      <c r="M20" s="1308"/>
      <c r="N20" s="1283">
        <f>IF('ketv. 5 '!U27=0,'ketv. 5 '!R27,'ketv. 5 '!U27)</f>
        <v>43465</v>
      </c>
      <c r="O20" s="1283"/>
      <c r="P20" s="1306"/>
      <c r="Q20" s="1290">
        <f t="shared" si="0"/>
        <v>0</v>
      </c>
      <c r="R20" s="1293"/>
      <c r="S20" s="1311">
        <f>SUMIF('mokėjimų ataskaita'!I31:I618,C20,'mokėjimų ataskaita'!AK31:AK618)</f>
        <v>0</v>
      </c>
      <c r="T20" s="1311">
        <f>SUMIF('mokėjimų ataskaita'!I31:I618,C20,'mokėjimų ataskaita'!BS31:BS618)/2</f>
        <v>0</v>
      </c>
      <c r="U20" s="1281">
        <f t="shared" si="1"/>
        <v>0</v>
      </c>
      <c r="V20" s="1313"/>
      <c r="W20" s="1309" t="s">
        <v>1914</v>
      </c>
      <c r="X20" s="1313"/>
      <c r="Y20" s="1273"/>
      <c r="Z20" s="1273"/>
    </row>
    <row r="21" spans="1:26" ht="48">
      <c r="A21" s="1278">
        <f>SUM('ES lėšos'!A21)</f>
        <v>20</v>
      </c>
      <c r="B21" s="1273" t="str">
        <f>CONCATENATE('ES lėšos'!C21)</f>
        <v xml:space="preserve">Pagrindinės paslaugos ir kaimų atnaujinimas kaimo vietovėse </v>
      </c>
      <c r="C21" s="1273" t="str">
        <f>CONCATENATE('ketv. 6 '!C28)</f>
        <v>20KI-KA-17-1-01736-PR001</v>
      </c>
      <c r="D21" s="1273" t="str">
        <f>CONCATENATE('ES lėšos'!B21)</f>
        <v>Pastato, esančio Pušelės g. 11, Naujųjų Valkininkų k., Varėnos r., atnaujinimas ir pritaikymas bendruomenės poreikiams</v>
      </c>
      <c r="E21" s="1273" t="str">
        <f>CONCATENATE('ES lėšos'!D21)</f>
        <v xml:space="preserve">Varėnos rajono savivaldybės administracija </v>
      </c>
      <c r="F21" s="1273" t="str">
        <f>CONCATENATE('ES lėšos'!E21)</f>
        <v>Varėnos r. sav.</v>
      </c>
      <c r="G21" s="1285">
        <v>42775</v>
      </c>
      <c r="H21" s="1278" t="s">
        <v>1832</v>
      </c>
      <c r="I21" s="1310">
        <f>SUM('ES lėšos'!H21)</f>
        <v>170000</v>
      </c>
      <c r="J21" s="1311">
        <f>SUM('ES lėšos'!I21)</f>
        <v>200000</v>
      </c>
      <c r="K21" s="1279">
        <f t="shared" si="2"/>
        <v>-30000</v>
      </c>
      <c r="L21" s="1281">
        <f>IF(J21&gt;0,'ketv. 6 '!AF28/'ketv. 6 '!L28,"finansavimas dar neskirtas")</f>
        <v>0.8</v>
      </c>
      <c r="M21" s="1308"/>
      <c r="N21" s="1283">
        <f>IF('ketv. 5 '!U28=0,'ketv. 5 '!R28,'ketv. 5 '!U28)</f>
        <v>43830</v>
      </c>
      <c r="O21" s="1283"/>
      <c r="P21" s="1306"/>
      <c r="Q21" s="1290">
        <f t="shared" si="0"/>
        <v>0</v>
      </c>
      <c r="R21" s="1293"/>
      <c r="S21" s="1311">
        <f>SUMIF('mokėjimų ataskaita'!I32:I619,C21,'mokėjimų ataskaita'!AK32:AK619)</f>
        <v>0</v>
      </c>
      <c r="T21" s="1311">
        <f>SUMIF('mokėjimų ataskaita'!I32:I619,C21,'mokėjimų ataskaita'!BS32:BS619)/2</f>
        <v>0</v>
      </c>
      <c r="U21" s="1281">
        <f t="shared" si="1"/>
        <v>0</v>
      </c>
      <c r="V21" s="1313"/>
      <c r="W21" s="1309" t="s">
        <v>1914</v>
      </c>
      <c r="X21" s="1313"/>
      <c r="Y21" s="1273"/>
      <c r="Z21" s="1273"/>
    </row>
    <row r="22" spans="1:26" ht="48">
      <c r="A22" s="1278">
        <f>SUM('ES lėšos'!A22)</f>
        <v>21</v>
      </c>
      <c r="B22" s="1273" t="str">
        <f>CONCATENATE('ES lėšos'!C22)</f>
        <v xml:space="preserve">Pagrindinės paslaugos ir kaimų atnaujinimas kaimo vietovėse </v>
      </c>
      <c r="C22" s="1273" t="str">
        <f>CONCATENATE('ketv. 6 '!C29)</f>
        <v>20KI-KA-17-1-02364-PR001</v>
      </c>
      <c r="D22" s="1273" t="str">
        <f>CONCATENATE('ES lėšos'!B22)</f>
        <v>Kaimo gyvenamųjų vietovių Lazdijų rajono savivaldybėje patrauklumo gerinimas</v>
      </c>
      <c r="E22" s="1273" t="str">
        <f>CONCATENATE('ES lėšos'!D22)</f>
        <v>Lazdijų rajono savivaldybės administracija</v>
      </c>
      <c r="F22" s="1273" t="str">
        <f>CONCATENATE('ES lėšos'!E22)</f>
        <v>Lazdijų r. sav.</v>
      </c>
      <c r="G22" s="1285">
        <v>42775</v>
      </c>
      <c r="H22" s="1278" t="s">
        <v>1839</v>
      </c>
      <c r="I22" s="1310">
        <f>SUM('ES lėšos'!H22)</f>
        <v>115600</v>
      </c>
      <c r="J22" s="1311">
        <f>SUM('ES lėšos'!I22)</f>
        <v>136000</v>
      </c>
      <c r="K22" s="1279">
        <f t="shared" si="2"/>
        <v>-20400</v>
      </c>
      <c r="L22" s="1281">
        <f>IF(J22&gt;0,'ketv. 6 '!AF29/'ketv. 6 '!L29,"finansavimas dar neskirtas")</f>
        <v>0.8</v>
      </c>
      <c r="M22" s="1308"/>
      <c r="N22" s="1283">
        <f>IF('ketv. 5 '!U29=0,'ketv. 5 '!R29,'ketv. 5 '!U29)</f>
        <v>43291</v>
      </c>
      <c r="O22" s="1283"/>
      <c r="P22" s="1306"/>
      <c r="Q22" s="1290">
        <f t="shared" si="0"/>
        <v>0</v>
      </c>
      <c r="R22" s="1293"/>
      <c r="S22" s="1311">
        <f>SUMIF('mokėjimų ataskaita'!I33:I620,C22,'mokėjimų ataskaita'!AK33:AK620)</f>
        <v>0</v>
      </c>
      <c r="T22" s="1311">
        <f>SUMIF('mokėjimų ataskaita'!I33:I620,C22,'mokėjimų ataskaita'!BS33:BS620)/2</f>
        <v>0</v>
      </c>
      <c r="U22" s="1281">
        <f t="shared" si="1"/>
        <v>0</v>
      </c>
      <c r="V22" s="1313"/>
      <c r="W22" s="1309" t="s">
        <v>1914</v>
      </c>
      <c r="X22" s="1313"/>
      <c r="Y22" s="1273"/>
      <c r="Z22" s="1273"/>
    </row>
    <row r="23" spans="1:26" ht="48">
      <c r="A23" s="1278">
        <f>SUM('ES lėšos'!A23)</f>
        <v>22</v>
      </c>
      <c r="B23" s="1273" t="str">
        <f>CONCATENATE('ES lėšos'!C23)</f>
        <v xml:space="preserve">Pagrindinės paslaugos ir kaimų atnaujinimas kaimo vietovėse </v>
      </c>
      <c r="C23" s="1273" t="str">
        <f>CONCATENATE('ketv. 4 '!C31)</f>
        <v>20KI-KA-17-1-02241-PR001</v>
      </c>
      <c r="D23" s="1273" t="str">
        <f>CONCATENATE('ES lėšos'!B23)</f>
        <v>Alytaus rajono Makniūnų kaimo šaligatvių atnaujinimas ir plėtra</v>
      </c>
      <c r="E23" s="1273" t="str">
        <f>CONCATENATE('ES lėšos'!D23)</f>
        <v>Alytaus rajono savivaldybės administracija</v>
      </c>
      <c r="F23" s="1273" t="str">
        <f>CONCATENATE('ES lėšos'!E23)</f>
        <v>Alytaus r. sav.</v>
      </c>
      <c r="G23" s="1285">
        <v>42775</v>
      </c>
      <c r="H23" s="1278" t="s">
        <v>1841</v>
      </c>
      <c r="I23" s="1310">
        <f>SUM('ES lėšos'!H23)</f>
        <v>48274.05</v>
      </c>
      <c r="J23" s="1311">
        <f>SUM('ES lėšos'!I23)</f>
        <v>56793</v>
      </c>
      <c r="K23" s="1279">
        <f t="shared" si="2"/>
        <v>-8518.9499999999971</v>
      </c>
      <c r="L23" s="1281">
        <f>IF(J23&gt;0,'ketv. 6 '!AF30/'ketv. 6 '!L30,"finansavimas dar neskirtas")</f>
        <v>0.38960156957440384</v>
      </c>
      <c r="M23" s="1309"/>
      <c r="N23" s="1283">
        <f>IF('ketv. 5 '!U30=0,'ketv. 5 '!R30,'ketv. 5 '!U30)</f>
        <v>43465</v>
      </c>
      <c r="O23" s="1283"/>
      <c r="P23" s="1306"/>
      <c r="Q23" s="1290">
        <f t="shared" si="0"/>
        <v>0</v>
      </c>
      <c r="R23" s="1293"/>
      <c r="S23" s="1311">
        <f>SUMIF('mokėjimų ataskaita'!I34:I621,C23,'mokėjimų ataskaita'!AK34:AK621)</f>
        <v>0</v>
      </c>
      <c r="T23" s="1311">
        <f>SUMIF('mokėjimų ataskaita'!I34:I621,C23,'mokėjimų ataskaita'!BS34:BS621)/2</f>
        <v>0</v>
      </c>
      <c r="U23" s="1281">
        <f t="shared" si="1"/>
        <v>0</v>
      </c>
      <c r="V23" s="1313"/>
      <c r="W23" s="1309" t="s">
        <v>1942</v>
      </c>
      <c r="X23" s="1313"/>
      <c r="Y23" s="1273"/>
      <c r="Z23" s="1273"/>
    </row>
    <row r="24" spans="1:26" ht="48">
      <c r="A24" s="1278">
        <f>SUM('ES lėšos'!A24)</f>
        <v>23</v>
      </c>
      <c r="B24" s="1273" t="str">
        <f>CONCATENATE('ES lėšos'!C24)</f>
        <v xml:space="preserve">Pagrindinės paslaugos ir kaimų atnaujinimas kaimo vietovėse </v>
      </c>
      <c r="C24" s="1278" t="str">
        <f>CONCATENATE('ketv. 6 '!C31)</f>
        <v>-</v>
      </c>
      <c r="D24" s="1273" t="str">
        <f>CONCATENATE('ES lėšos'!B24)</f>
        <v>Varėnos r. Vazgirdonių kaimo Klevų gatvės įrengimas</v>
      </c>
      <c r="E24" s="1273" t="str">
        <f>CONCATENATE('ES lėšos'!D24)</f>
        <v xml:space="preserve">Varėnos rajono savivaldybės administracija </v>
      </c>
      <c r="F24" s="1273" t="str">
        <f>CONCATENATE('ES lėšos'!E24)</f>
        <v>Varėnos r. sav.</v>
      </c>
      <c r="G24" s="1285">
        <v>42775</v>
      </c>
      <c r="H24" s="1278" t="s">
        <v>1831</v>
      </c>
      <c r="I24" s="1310">
        <f>SUM('ES lėšos'!H24)</f>
        <v>104206.77</v>
      </c>
      <c r="J24" s="1311">
        <f>SUM('ES lėšos'!I24)</f>
        <v>0</v>
      </c>
      <c r="K24" s="1279" t="str">
        <f t="shared" si="2"/>
        <v>finansavimas dar neskirtas</v>
      </c>
      <c r="L24" s="1281" t="str">
        <f>IF(J24&gt;0,'ketv. 6 '!AF31/'ketv. 6 '!L31,"finansavimas dar neskirtas")</f>
        <v>finansavimas dar neskirtas</v>
      </c>
      <c r="M24" s="1308"/>
      <c r="N24" s="1283">
        <f>IF('ketv. 5 '!U31=0,'ketv. 5 '!R31,'ketv. 5 '!U31)</f>
        <v>43830</v>
      </c>
      <c r="O24" s="1283"/>
      <c r="P24" s="1306"/>
      <c r="Q24" s="1290">
        <f t="shared" si="0"/>
        <v>0</v>
      </c>
      <c r="R24" s="1293"/>
      <c r="S24" s="1311">
        <f>SUMIF('mokėjimų ataskaita'!I35:I622,C24,'mokėjimų ataskaita'!AK35:AK622)</f>
        <v>0</v>
      </c>
      <c r="T24" s="1311">
        <f>SUMIF('mokėjimų ataskaita'!I35:I622,C24,'mokėjimų ataskaita'!BS35:BS622)/2</f>
        <v>0</v>
      </c>
      <c r="U24" s="1281" t="str">
        <f t="shared" si="1"/>
        <v>finansavimas dar neskirtas</v>
      </c>
      <c r="V24" s="1313"/>
      <c r="W24" s="1314"/>
      <c r="X24" s="1313"/>
      <c r="Y24" s="1273"/>
      <c r="Z24" s="1273"/>
    </row>
    <row r="25" spans="1:26" ht="47.25" customHeight="1">
      <c r="A25" s="1278">
        <f>SUM('ES lėšos'!A25)</f>
        <v>24</v>
      </c>
      <c r="B25" s="1273" t="str">
        <f>CONCATENATE('ES lėšos'!C25)</f>
        <v>8.2.1-CPVA-R-908</v>
      </c>
      <c r="C25" s="1273" t="str">
        <f>CONCATENATE('ketv. 6 '!C33)</f>
        <v>08.2.1-CPVA-R-908-11-0002</v>
      </c>
      <c r="D25" s="1273" t="str">
        <f>CONCATENATE('ES lėšos'!B25)</f>
        <v>Matuizų kaimo viešosios infrastruktūros atnaujinimas ir pritaikymas bendruomenės poreikiams</v>
      </c>
      <c r="E25" s="1273" t="str">
        <f>CONCATENATE('ES lėšos'!D25)</f>
        <v>Varėnos rajono savivaldybės administracija</v>
      </c>
      <c r="F25" s="1273" t="str">
        <f>CONCATENATE('ES lėšos'!E25)</f>
        <v>Varėnos r. sav.</v>
      </c>
      <c r="G25" s="1285">
        <v>43090</v>
      </c>
      <c r="H25" s="1278" t="s">
        <v>1854</v>
      </c>
      <c r="I25" s="1279">
        <f>SUM('ES lėšos'!H25)</f>
        <v>487341</v>
      </c>
      <c r="J25" s="1280">
        <f>SUM('ES lėšos'!I25)</f>
        <v>487341</v>
      </c>
      <c r="K25" s="1279">
        <f t="shared" si="2"/>
        <v>0</v>
      </c>
      <c r="L25" s="1281">
        <f>IF(J25&gt;0,'ketv. 6 '!AF33/'ketv. 6 '!L33,"finansavimas dar neskirtas")</f>
        <v>0.5975702334561861</v>
      </c>
      <c r="M25" s="1289">
        <f>SUMIF(Projektu_sutarciu_ataskaita!$J$19:$J$600,C25,Projektu_sutarciu_ataskaita!$BP$19:$BP$600)</f>
        <v>44196</v>
      </c>
      <c r="N25" s="1283">
        <f>IF('ketv. 5 '!U33=0,'ketv. 5 '!R33,'ketv. 5 '!U33)</f>
        <v>44196</v>
      </c>
      <c r="O25" s="1289">
        <f>SUMIF(Projektu_sutarciu_ataskaita!$J$19:$J$600,C25,Projektu_sutarciu_ataskaita!$BO$19:$BO$600)</f>
        <v>42188</v>
      </c>
      <c r="P25" s="1289">
        <f>SUMIF(Projektu_sutarciu_ataskaita!$J$19:$J$600,C25,Projektu_sutarciu_ataskaita!$L$19:$L$600)</f>
        <v>43279</v>
      </c>
      <c r="Q25" s="1290">
        <f t="shared" ref="Q25:Q33" si="3">SUM((M25-O25)/(365/12))</f>
        <v>66.016438356164386</v>
      </c>
      <c r="R25" s="1280">
        <f>SUM('ketv. 7 '!AL32)</f>
        <v>2705.17</v>
      </c>
      <c r="S25" s="1280">
        <f>SUMIF('mokėjimų ataskaita'!I36:I623,C25,'mokėjimų ataskaita'!AK36:AK623)/2</f>
        <v>2705.17</v>
      </c>
      <c r="T25" s="1280">
        <f>SUMIF('mokėjimų ataskaita'!I36:I623,C25,'mokėjimų ataskaita'!BS36:BS623)/2</f>
        <v>2705.17</v>
      </c>
      <c r="U25" s="1281">
        <f t="shared" ref="U25:U56" si="4">IF(J25&gt;0,R25/J25,"finansavimas dar neskirtas")</f>
        <v>5.5508771065845069E-3</v>
      </c>
      <c r="V25" s="1309"/>
      <c r="W25" s="1309" t="s">
        <v>1914</v>
      </c>
      <c r="X25" s="1313" t="s">
        <v>1934</v>
      </c>
      <c r="Y25" s="1273"/>
      <c r="Z25" s="1273"/>
    </row>
    <row r="26" spans="1:26" ht="48">
      <c r="A26" s="1278">
        <f>SUM('ES lėšos'!A26)</f>
        <v>25</v>
      </c>
      <c r="B26" s="1273" t="str">
        <f>CONCATENATE('ES lėšos'!C26)</f>
        <v>8.2.1-CPVA-R-908</v>
      </c>
      <c r="C26" s="1273" t="str">
        <f>CONCATENATE('ketv. 6 '!C34)</f>
        <v>08.2.1-CPVA-R-908-11-0001</v>
      </c>
      <c r="D26" s="1273" t="str">
        <f>CONCATENATE('ES lėšos'!B26)</f>
        <v>Senosios Varėnos kaimo viešosios infrastruktūros atnaujinimas ir pritaikymas bendruomenės poreikiams</v>
      </c>
      <c r="E26" s="1273" t="str">
        <f>CONCATENATE('ES lėšos'!D26)</f>
        <v>Varėnos rajono savivaldybės administracija</v>
      </c>
      <c r="F26" s="1273" t="str">
        <f>CONCATENATE('ES lėšos'!E26)</f>
        <v>Varėnos r. sav.</v>
      </c>
      <c r="G26" s="1285">
        <v>42958</v>
      </c>
      <c r="H26" s="1278" t="s">
        <v>1853</v>
      </c>
      <c r="I26" s="1279">
        <f>SUM('ES lėšos'!H26)</f>
        <v>514270.57</v>
      </c>
      <c r="J26" s="1280">
        <f>SUM('ES lėšos'!I26)</f>
        <v>514270.57</v>
      </c>
      <c r="K26" s="1279">
        <f t="shared" si="2"/>
        <v>0</v>
      </c>
      <c r="L26" s="1281">
        <f>IF(J26&gt;0,'ketv. 6 '!AF34/'ketv. 6 '!L34,"finansavimas dar neskirtas")</f>
        <v>0.85000000000000009</v>
      </c>
      <c r="M26" s="1289">
        <f>SUMIF(Projektu_sutarciu_ataskaita!$J$19:$J$600,C26,Projektu_sutarciu_ataskaita!$BP$19:$BP$600)</f>
        <v>43890</v>
      </c>
      <c r="N26" s="1283">
        <f>IF('ketv. 5 '!U34=0,'ketv. 5 '!R34,'ketv. 5 '!U34)</f>
        <v>44196</v>
      </c>
      <c r="O26" s="1289">
        <f>SUMIF(Projektu_sutarciu_ataskaita!$J$19:$J$600,C26,Projektu_sutarciu_ataskaita!$BO$19:$BO$600)</f>
        <v>42188</v>
      </c>
      <c r="P26" s="1289">
        <f>SUMIF(Projektu_sutarciu_ataskaita!$J$19:$J$600,C26,Projektu_sutarciu_ataskaita!$L$19:$L$600)</f>
        <v>43125</v>
      </c>
      <c r="Q26" s="1290">
        <f t="shared" si="3"/>
        <v>55.956164383561642</v>
      </c>
      <c r="R26" s="1280">
        <f>SUM('ketv. 7 '!AL33)</f>
        <v>140093.69</v>
      </c>
      <c r="S26" s="1280">
        <f>SUMIF('mokėjimų ataskaita'!I37:I624,C26,'mokėjimų ataskaita'!AK37:AK624)/2</f>
        <v>140093.69</v>
      </c>
      <c r="T26" s="1280">
        <f>SUMIF('mokėjimų ataskaita'!I37:I624,C26,'mokėjimų ataskaita'!BS37:BS624)/2</f>
        <v>71184.36</v>
      </c>
      <c r="U26" s="1281">
        <f t="shared" si="4"/>
        <v>0.27241241901126095</v>
      </c>
      <c r="V26" s="1309"/>
      <c r="W26" s="1309" t="s">
        <v>1914</v>
      </c>
      <c r="X26" s="1313" t="s">
        <v>1934</v>
      </c>
      <c r="Y26" s="1273"/>
      <c r="Z26" s="1273"/>
    </row>
    <row r="27" spans="1:26" ht="36">
      <c r="A27" s="1278">
        <f>SUM('ES lėšos'!A27)</f>
        <v>26</v>
      </c>
      <c r="B27" s="1273" t="str">
        <f>CONCATENATE('ES lėšos'!C27)</f>
        <v>8.2.1-CPVA-R-908</v>
      </c>
      <c r="C27" s="1278" t="str">
        <f>CONCATENATE('ketv. 6 '!C35)</f>
        <v>-</v>
      </c>
      <c r="D27" s="1273" t="str">
        <f>CONCATENATE('ES lėšos'!B27)</f>
        <v>Kompleksinė Miklusėnų gyvenvietės plėtra</v>
      </c>
      <c r="E27" s="1273" t="str">
        <f>CONCATENATE('ES lėšos'!D27)</f>
        <v>Alytaus rajono savivaldybės administracija</v>
      </c>
      <c r="F27" s="1273" t="str">
        <f>CONCATENATE('ES lėšos'!E27)</f>
        <v>Alytaus r. sav.</v>
      </c>
      <c r="G27" s="1285" t="s">
        <v>66</v>
      </c>
      <c r="H27" s="1278" t="s">
        <v>66</v>
      </c>
      <c r="I27" s="1279">
        <f>SUM('ES lėšos'!H27)</f>
        <v>886946</v>
      </c>
      <c r="J27" s="1280">
        <f>SUM('ES lėšos'!I27)</f>
        <v>0</v>
      </c>
      <c r="K27" s="1279" t="str">
        <f t="shared" si="2"/>
        <v>finansavimas dar neskirtas</v>
      </c>
      <c r="L27" s="1281" t="str">
        <f>IF(J27&gt;0,'ketv. 6 '!AF35/'ketv. 6 '!L35,"finansavimas dar neskirtas")</f>
        <v>finansavimas dar neskirtas</v>
      </c>
      <c r="M27" s="1289"/>
      <c r="N27" s="1283">
        <f>IF('ketv. 5 '!U35=0,'ketv. 5 '!R35,'ketv. 5 '!U35)</f>
        <v>44377</v>
      </c>
      <c r="O27" s="1289"/>
      <c r="P27" s="1289"/>
      <c r="Q27" s="1290">
        <f t="shared" si="3"/>
        <v>0</v>
      </c>
      <c r="R27" s="1280">
        <f>SUM('ketv. 7 '!AL34)</f>
        <v>0</v>
      </c>
      <c r="S27" s="1280">
        <f>SUMIF('mokėjimų ataskaita'!I38:I625,C27,'mokėjimų ataskaita'!AK38:AK625)/2</f>
        <v>0</v>
      </c>
      <c r="T27" s="1280">
        <f>SUMIF('mokėjimų ataskaita'!I38:I625,C27,'mokėjimų ataskaita'!BS38:BS625)/2</f>
        <v>0</v>
      </c>
      <c r="U27" s="1281" t="str">
        <f t="shared" si="4"/>
        <v>finansavimas dar neskirtas</v>
      </c>
      <c r="V27" s="1309"/>
      <c r="W27" s="1314"/>
      <c r="X27" s="1313"/>
      <c r="Y27" s="1273"/>
      <c r="Z27" s="1273"/>
    </row>
    <row r="28" spans="1:26" ht="36">
      <c r="A28" s="1278">
        <f>SUM('ES lėšos'!A28)</f>
        <v>27</v>
      </c>
      <c r="B28" s="1273" t="str">
        <f>CONCATENATE('ES lėšos'!C28)</f>
        <v>8.2.1-CPVA-R-908</v>
      </c>
      <c r="C28" s="1273" t="str">
        <f>CONCATENATE('ketv. 6 '!C36)</f>
        <v>08.2.1-CPVA-R-908-11-0003</v>
      </c>
      <c r="D28" s="1273" t="str">
        <f>CONCATENATE('ES lėšos'!B28)</f>
        <v>Leipalingio viešosios erdvės pritaikymas bendruomenės poreikiams</v>
      </c>
      <c r="E28" s="1273" t="str">
        <f>CONCATENATE('ES lėšos'!D28)</f>
        <v xml:space="preserve">Druskininkų savivaldybės administracija  </v>
      </c>
      <c r="F28" s="1273" t="str">
        <f>CONCATENATE('ES lėšos'!E28)</f>
        <v>Druskininkų sav.</v>
      </c>
      <c r="G28" s="1285">
        <v>43087</v>
      </c>
      <c r="H28" s="1278" t="s">
        <v>1855</v>
      </c>
      <c r="I28" s="1279">
        <f>SUM('ES lėšos'!H28)</f>
        <v>355096.91</v>
      </c>
      <c r="J28" s="1280">
        <f>SUM('ES lėšos'!I28)</f>
        <v>355096.91</v>
      </c>
      <c r="K28" s="1279">
        <f t="shared" si="2"/>
        <v>0</v>
      </c>
      <c r="L28" s="1281">
        <f>IF(J28&gt;0,'ketv. 6 '!AF36/'ketv. 6 '!L36,"finansavimas dar neskirtas")</f>
        <v>0.61284996889729138</v>
      </c>
      <c r="M28" s="1289">
        <f>SUMIF(Projektu_sutarciu_ataskaita!$J$19:$J$600,C28,Projektu_sutarciu_ataskaita!$BP$19:$BP$600)</f>
        <v>43708</v>
      </c>
      <c r="N28" s="1283">
        <f>IF('ketv. 5 '!U36=0,'ketv. 5 '!R36,'ketv. 5 '!U36)</f>
        <v>43830</v>
      </c>
      <c r="O28" s="1289">
        <f>SUMIF(Projektu_sutarciu_ataskaita!$J$19:$J$600,C28,Projektu_sutarciu_ataskaita!$BO$19:$BO$600)</f>
        <v>42524</v>
      </c>
      <c r="P28" s="1289">
        <f>SUMIF(Projektu_sutarciu_ataskaita!$J$19:$J$600,C28,Projektu_sutarciu_ataskaita!$L$19:$L$600)</f>
        <v>43328</v>
      </c>
      <c r="Q28" s="1290">
        <f t="shared" si="3"/>
        <v>38.92602739726027</v>
      </c>
      <c r="R28" s="1280">
        <f>SUM('ketv. 7 '!AL35)</f>
        <v>313291.7</v>
      </c>
      <c r="S28" s="1280">
        <f>SUMIF('mokėjimų ataskaita'!I39:I626,C28,'mokėjimų ataskaita'!AK39:AK626)/2</f>
        <v>313291.7</v>
      </c>
      <c r="T28" s="1280">
        <f>SUMIF('mokėjimų ataskaita'!I39:I626,C28,'mokėjimų ataskaita'!BS39:BS626)/2</f>
        <v>313291.7</v>
      </c>
      <c r="U28" s="1281">
        <f t="shared" si="4"/>
        <v>0.88227098343379007</v>
      </c>
      <c r="V28" s="1309"/>
      <c r="W28" s="1309" t="s">
        <v>1914</v>
      </c>
      <c r="X28" s="1313" t="s">
        <v>1943</v>
      </c>
      <c r="Y28" s="1273"/>
      <c r="Z28" s="1273"/>
    </row>
    <row r="29" spans="1:26" ht="36">
      <c r="A29" s="1278">
        <f>SUM('ES lėšos'!A29)</f>
        <v>28</v>
      </c>
      <c r="B29" s="1273" t="str">
        <f>CONCATENATE('ES lėšos'!C29)</f>
        <v>8.2.1-CPVA-R-908</v>
      </c>
      <c r="C29" s="1273" t="str">
        <f>CONCATENATE('ketv. 6 '!C37)</f>
        <v>08.2.1-CPVA-R-908-11-0004</v>
      </c>
      <c r="D29" s="1273" t="str">
        <f>CONCATENATE('ES lėšos'!B29)</f>
        <v>Viečiūnų viešosios erdvės pritaikymas bendruomenės poreikiams</v>
      </c>
      <c r="E29" s="1273" t="str">
        <f>CONCATENATE('ES lėšos'!D29)</f>
        <v xml:space="preserve">Druskininkų savivaldybės administracija  </v>
      </c>
      <c r="F29" s="1273" t="str">
        <f>CONCATENATE('ES lėšos'!E29)</f>
        <v>Druskininkų sav.</v>
      </c>
      <c r="G29" s="1285">
        <v>43115</v>
      </c>
      <c r="H29" s="1278" t="s">
        <v>1856</v>
      </c>
      <c r="I29" s="1279">
        <f>SUM('ES lėšos'!H29)</f>
        <v>572796.16000000003</v>
      </c>
      <c r="J29" s="1280">
        <f>SUM('ES lėšos'!I29)</f>
        <v>572796.16000000003</v>
      </c>
      <c r="K29" s="1279">
        <f t="shared" si="2"/>
        <v>0</v>
      </c>
      <c r="L29" s="1281">
        <f>IF(J29&gt;0,'ketv. 6 '!AF37/'ketv. 6 '!L37,"finansavimas dar neskirtas")</f>
        <v>0.84999979224726141</v>
      </c>
      <c r="M29" s="1289">
        <f>SUMIF(Projektu_sutarciu_ataskaita!$J$19:$J$600,C29,Projektu_sutarciu_ataskaita!$BP$19:$BP$600)</f>
        <v>43830</v>
      </c>
      <c r="N29" s="1283">
        <f>IF('ketv. 5 '!U37=0,'ketv. 5 '!R37,'ketv. 5 '!U37)</f>
        <v>43830</v>
      </c>
      <c r="O29" s="1289">
        <f>SUMIF(Projektu_sutarciu_ataskaita!$J$19:$J$600,C29,Projektu_sutarciu_ataskaita!$BO$19:$BO$600)</f>
        <v>42200</v>
      </c>
      <c r="P29" s="1289">
        <f>SUMIF(Projektu_sutarciu_ataskaita!$J$19:$J$600,C29,Projektu_sutarciu_ataskaita!$L$19:$L$600)</f>
        <v>43333</v>
      </c>
      <c r="Q29" s="1290">
        <f t="shared" si="3"/>
        <v>53.589041095890408</v>
      </c>
      <c r="R29" s="1280">
        <f>SUM('ketv. 7 '!AL36)</f>
        <v>215019.31</v>
      </c>
      <c r="S29" s="1280">
        <f>SUMIF('mokėjimų ataskaita'!I40:I627,C29,'mokėjimų ataskaita'!AK40:AK627)/2</f>
        <v>215019.31</v>
      </c>
      <c r="T29" s="1280">
        <f>SUMIF('mokėjimų ataskaita'!I40:I627,C29,'mokėjimų ataskaita'!BS40:BS627)/2</f>
        <v>171094.99</v>
      </c>
      <c r="U29" s="1281">
        <f t="shared" si="4"/>
        <v>0.37538539015345351</v>
      </c>
      <c r="V29" s="1309"/>
      <c r="W29" s="1309" t="s">
        <v>1914</v>
      </c>
      <c r="X29" s="1313" t="s">
        <v>1943</v>
      </c>
      <c r="Y29" s="1273"/>
      <c r="Z29" s="1273"/>
    </row>
    <row r="30" spans="1:26" ht="48">
      <c r="A30" s="1278">
        <f>SUM('ES lėšos'!A30)</f>
        <v>29</v>
      </c>
      <c r="B30" s="1273" t="str">
        <f>CONCATENATE('ES lėšos'!C30)</f>
        <v xml:space="preserve">07.1.1-CPVA-R-905 </v>
      </c>
      <c r="C30" s="1273" t="str">
        <f>CONCATENATE('ketv. 6 '!C39)</f>
        <v>07.1.1-CPVA-R-905-11-0001</v>
      </c>
      <c r="D30" s="1273" t="str">
        <f>CONCATENATE('ES lėšos'!B30)</f>
        <v>Varėnos miesto centrinės dalies modernizavimas ir pritaikymas visuomenės poreikiams (I etapas)</v>
      </c>
      <c r="E30" s="1273" t="str">
        <f>CONCATENATE('ES lėšos'!D30)</f>
        <v>Varėnos rajono savivaldybės administracija</v>
      </c>
      <c r="F30" s="1273" t="str">
        <f>CONCATENATE('ES lėšos'!E30)</f>
        <v>Varėnos r. sav.</v>
      </c>
      <c r="G30" s="1285">
        <v>42516</v>
      </c>
      <c r="H30" s="1278" t="s">
        <v>1833</v>
      </c>
      <c r="I30" s="1279">
        <f>SUM('ES lėšos'!H30)</f>
        <v>1289301.81</v>
      </c>
      <c r="J30" s="1280">
        <f>SUM('ES lėšos'!I30)</f>
        <v>1263024.5600000003</v>
      </c>
      <c r="K30" s="1279">
        <f t="shared" si="2"/>
        <v>26277.249999999767</v>
      </c>
      <c r="L30" s="1281">
        <f>IF(J30&gt;0,'ketv. 6 '!AF39/'ketv. 6 '!L39,"finansavimas dar neskirtas")</f>
        <v>0.83267615058228805</v>
      </c>
      <c r="M30" s="1289">
        <f>SUMIF(Projektu_sutarciu_ataskaita!$J$19:$J$600,C30,Projektu_sutarciu_ataskaita!$BP$19:$BP$600)</f>
        <v>43354</v>
      </c>
      <c r="N30" s="1283">
        <f>IF('ketv. 5 '!U39=0,'ketv. 5 '!R39,'ketv. 5 '!U39)</f>
        <v>43453</v>
      </c>
      <c r="O30" s="1289">
        <f>SUMIF(Projektu_sutarciu_ataskaita!$J$19:$J$600,C30,Projektu_sutarciu_ataskaita!$BO$19:$BO$600)</f>
        <v>41969</v>
      </c>
      <c r="P30" s="1289">
        <f>SUMIF(Projektu_sutarciu_ataskaita!$J$19:$J$600,C30,Projektu_sutarciu_ataskaita!$L$19:$L$600)</f>
        <v>42733</v>
      </c>
      <c r="Q30" s="1290">
        <f t="shared" si="3"/>
        <v>45.534246575342465</v>
      </c>
      <c r="R30" s="1280">
        <f>SUM('ketv. 7 '!AL38)</f>
        <v>1263024.5600000003</v>
      </c>
      <c r="S30" s="1280">
        <f>SUMIF('mokėjimų ataskaita'!I41:I628,C30,'mokėjimų ataskaita'!AK41:AK628)/2</f>
        <v>1263024.5600000003</v>
      </c>
      <c r="T30" s="1280">
        <f>SUMIF('mokėjimų ataskaita'!I41:I628,C30,'mokėjimų ataskaita'!BS41:BS628)/2</f>
        <v>1104697.3400000001</v>
      </c>
      <c r="U30" s="1281">
        <f t="shared" si="4"/>
        <v>1</v>
      </c>
      <c r="V30" s="1309"/>
      <c r="W30" s="1309" t="s">
        <v>1914</v>
      </c>
      <c r="X30" s="1313" t="s">
        <v>1941</v>
      </c>
      <c r="Y30" s="1273"/>
      <c r="Z30" s="1273"/>
    </row>
    <row r="31" spans="1:26" ht="48">
      <c r="A31" s="1278">
        <f>SUM('ES lėšos'!A31)</f>
        <v>30</v>
      </c>
      <c r="B31" s="1273" t="str">
        <f>CONCATENATE('ES lėšos'!C31)</f>
        <v xml:space="preserve">07.1.1-CPVA-R-905 </v>
      </c>
      <c r="C31" s="1273" t="str">
        <f>CONCATENATE('ketv. 6 '!C40)</f>
        <v>07.1.1-CPVA-R-905-11-0002</v>
      </c>
      <c r="D31" s="1273" t="str">
        <f>CONCATENATE('ES lėšos'!B31)</f>
        <v>Varėnos miesto centrinės dalies modernizavimas ir pritaikymas visuomenės poreikiams (II etapas)</v>
      </c>
      <c r="E31" s="1273" t="str">
        <f>CONCATENATE('ES lėšos'!D31)</f>
        <v>Varėnos rajono savivaldybės administracija</v>
      </c>
      <c r="F31" s="1273" t="str">
        <f>CONCATENATE('ES lėšos'!E31)</f>
        <v>Varėnos r. sav.</v>
      </c>
      <c r="G31" s="1286">
        <v>42815</v>
      </c>
      <c r="H31" s="1278" t="s">
        <v>1857</v>
      </c>
      <c r="I31" s="1279">
        <f>SUM('ES lėšos'!H31)</f>
        <v>685370.28</v>
      </c>
      <c r="J31" s="1280">
        <f>SUM('ES lėšos'!I31)</f>
        <v>685370.28</v>
      </c>
      <c r="K31" s="1279">
        <f t="shared" si="2"/>
        <v>0</v>
      </c>
      <c r="L31" s="1281">
        <f>IF(J31&gt;0,'ketv. 6 '!AF40/'ketv. 6 '!L40,"finansavimas dar neskirtas")</f>
        <v>0.85000000682113042</v>
      </c>
      <c r="M31" s="1289">
        <f>SUMIF(Projektu_sutarciu_ataskaita!$J$19:$J$600,C31,Projektu_sutarciu_ataskaita!$BP$19:$BP$600)</f>
        <v>43738</v>
      </c>
      <c r="N31" s="1283">
        <f>IF('ketv. 5 '!U40=0,'ketv. 5 '!R40,'ketv. 5 '!U40)</f>
        <v>43830</v>
      </c>
      <c r="O31" s="1289">
        <f>SUMIF(Projektu_sutarciu_ataskaita!$J$19:$J$600,C31,Projektu_sutarciu_ataskaita!$BO$19:$BO$600)</f>
        <v>42095</v>
      </c>
      <c r="P31" s="1289">
        <f>SUMIF(Projektu_sutarciu_ataskaita!$J$19:$J$600,C31,Projektu_sutarciu_ataskaita!$L$19:$L$600)</f>
        <v>42984</v>
      </c>
      <c r="Q31" s="1290">
        <f t="shared" si="3"/>
        <v>54.016438356164379</v>
      </c>
      <c r="R31" s="1280">
        <f>SUM('ketv. 7 '!AL39)</f>
        <v>685370.28</v>
      </c>
      <c r="S31" s="1280">
        <f>SUMIF('mokėjimų ataskaita'!I42:I629,C31,'mokėjimų ataskaita'!AK42:AK629)/2</f>
        <v>685370.28</v>
      </c>
      <c r="T31" s="1280">
        <f>SUMIF('mokėjimų ataskaita'!I42:I629,C31,'mokėjimų ataskaita'!BS42:BS629)/2</f>
        <v>490461.04000000004</v>
      </c>
      <c r="U31" s="1281">
        <f t="shared" si="4"/>
        <v>1</v>
      </c>
      <c r="V31" s="1309"/>
      <c r="W31" s="1309" t="s">
        <v>1914</v>
      </c>
      <c r="X31" s="1313" t="s">
        <v>1941</v>
      </c>
      <c r="Y31" s="1273"/>
      <c r="Z31" s="1273"/>
    </row>
    <row r="32" spans="1:26" ht="48">
      <c r="A32" s="1278">
        <f>SUM('ES lėšos'!A32)</f>
        <v>31</v>
      </c>
      <c r="B32" s="1273" t="str">
        <f>CONCATENATE('ES lėšos'!C32)</f>
        <v xml:space="preserve">07.1.1-CPVA-R-905 </v>
      </c>
      <c r="C32" s="1273" t="str">
        <f>CONCATENATE('ketv. 6 '!C41)</f>
        <v>07.1.1-CPVA-R-905-11-0004</v>
      </c>
      <c r="D32" s="1273" t="str">
        <f>CONCATENATE('ES lėšos'!B32)</f>
        <v>Varėnos miesto Dainų slėnio infrastruktūros atnaujinimas ir pritaikymas visuomenės poreikiams</v>
      </c>
      <c r="E32" s="1273" t="str">
        <f>CONCATENATE('ES lėšos'!D32)</f>
        <v>Varėnos rajono savivaldybės administracija</v>
      </c>
      <c r="F32" s="1273" t="str">
        <f>CONCATENATE('ES lėšos'!E32)</f>
        <v>Varėnos r. sav.</v>
      </c>
      <c r="G32" s="1285">
        <v>43166</v>
      </c>
      <c r="H32" s="1278" t="s">
        <v>1858</v>
      </c>
      <c r="I32" s="1279">
        <f>SUM('ES lėšos'!H32)</f>
        <v>437449.44</v>
      </c>
      <c r="J32" s="1280">
        <f>SUM('ES lėšos'!I32)</f>
        <v>437449.44</v>
      </c>
      <c r="K32" s="1279">
        <f t="shared" si="2"/>
        <v>0</v>
      </c>
      <c r="L32" s="1281">
        <f>IF(J32&gt;0,'ketv. 6 '!AF41/'ketv. 6 '!L41,"finansavimas dar neskirtas")</f>
        <v>0.8499999834838059</v>
      </c>
      <c r="M32" s="1289">
        <f>SUMIF(Projektu_sutarciu_ataskaita!$J$19:$J$600,C32,Projektu_sutarciu_ataskaita!$BP$19:$BP$600)</f>
        <v>43982</v>
      </c>
      <c r="N32" s="1283">
        <f>IF('ketv. 5 '!U41=0,'ketv. 5 '!R41,'ketv. 5 '!U41)</f>
        <v>44196</v>
      </c>
      <c r="O32" s="1289">
        <f>SUMIF(Projektu_sutarciu_ataskaita!$J$19:$J$600,C32,Projektu_sutarciu_ataskaita!$BO$19:$BO$600)</f>
        <v>41967</v>
      </c>
      <c r="P32" s="1289">
        <f>SUMIF(Projektu_sutarciu_ataskaita!$J$19:$J$600,C32,Projektu_sutarciu_ataskaita!$L$19:$L$600)</f>
        <v>43321</v>
      </c>
      <c r="Q32" s="1290">
        <f t="shared" si="3"/>
        <v>66.246575342465746</v>
      </c>
      <c r="R32" s="1280">
        <f>SUM('ketv. 7 '!AL40)</f>
        <v>14429.59</v>
      </c>
      <c r="S32" s="1280">
        <f>SUMIF('mokėjimų ataskaita'!I43:I630,C32,'mokėjimų ataskaita'!AK43:AK630)/2</f>
        <v>14429.59</v>
      </c>
      <c r="T32" s="1280">
        <f>SUMIF('mokėjimų ataskaita'!I43:I630,C32,'mokėjimų ataskaita'!BS43:BS630)/2</f>
        <v>0</v>
      </c>
      <c r="U32" s="1281">
        <f t="shared" si="4"/>
        <v>3.2985732019682093E-2</v>
      </c>
      <c r="V32" s="1309"/>
      <c r="W32" s="1309" t="s">
        <v>1914</v>
      </c>
      <c r="X32" s="1313" t="s">
        <v>1931</v>
      </c>
      <c r="Y32" s="1273"/>
      <c r="Z32" s="1273"/>
    </row>
    <row r="33" spans="1:26" ht="36">
      <c r="A33" s="1278">
        <f>SUM('ES lėšos'!A33)</f>
        <v>32</v>
      </c>
      <c r="B33" s="1273" t="str">
        <f>CONCATENATE('ES lėšos'!C33)</f>
        <v xml:space="preserve">07.1.1-CPVA-R-905 </v>
      </c>
      <c r="C33" s="1273" t="str">
        <f>CONCATENATE('ketv. 6 '!C42)</f>
        <v>07.1.1-CPVA-R-905-11-0003</v>
      </c>
      <c r="D33" s="1273" t="str">
        <f>CONCATENATE('ES lėšos'!B33)</f>
        <v>Karloniškės ežero ir jo prieigų sutvarkymas ir pritaikymas aktyviam poilsiui</v>
      </c>
      <c r="E33" s="1273" t="str">
        <f>CONCATENATE('ES lėšos'!D33)</f>
        <v>Varėnos rajono savivaldybės administracija</v>
      </c>
      <c r="F33" s="1273" t="str">
        <f>CONCATENATE('ES lėšos'!E33)</f>
        <v>Varėnos r. sav.</v>
      </c>
      <c r="G33" s="1285">
        <v>42909</v>
      </c>
      <c r="H33" s="1278" t="s">
        <v>1859</v>
      </c>
      <c r="I33" s="1279">
        <f>SUM('ES lėšos'!H33)</f>
        <v>745889.15</v>
      </c>
      <c r="J33" s="1280">
        <f>SUM('ES lėšos'!I33)</f>
        <v>643658.59</v>
      </c>
      <c r="K33" s="1279">
        <f t="shared" si="2"/>
        <v>102230.56000000006</v>
      </c>
      <c r="L33" s="1281">
        <f>IF(J33&gt;0,'ketv. 6 '!AF42/'ketv. 6 '!L42,"finansavimas dar neskirtas")</f>
        <v>0.73350014498300409</v>
      </c>
      <c r="M33" s="1289">
        <f>SUMIF(Projektu_sutarciu_ataskaita!$J$19:$J$600,C33,Projektu_sutarciu_ataskaita!$BP$19:$BP$600)</f>
        <v>43769</v>
      </c>
      <c r="N33" s="1283">
        <f>IF('ketv. 5 '!U42=0,'ketv. 5 '!R42,'ketv. 5 '!U42)</f>
        <v>43861</v>
      </c>
      <c r="O33" s="1289">
        <f>SUMIF(Projektu_sutarciu_ataskaita!$J$19:$J$600,C33,Projektu_sutarciu_ataskaita!$BO$19:$BO$600)</f>
        <v>42796</v>
      </c>
      <c r="P33" s="1289">
        <f>SUMIF(Projektu_sutarciu_ataskaita!$J$19:$J$600,C33,Projektu_sutarciu_ataskaita!$L$19:$L$600)</f>
        <v>43105</v>
      </c>
      <c r="Q33" s="1290">
        <f t="shared" si="3"/>
        <v>31.989041095890411</v>
      </c>
      <c r="R33" s="1280">
        <f>SUM('ketv. 7 '!AL41)</f>
        <v>164652.37</v>
      </c>
      <c r="S33" s="1280">
        <f>SUMIF('mokėjimų ataskaita'!I44:I631,C33,'mokėjimų ataskaita'!AK44:AK631)/2</f>
        <v>164652.37</v>
      </c>
      <c r="T33" s="1280">
        <f>SUMIF('mokėjimų ataskaita'!I44:I631,C33,'mokėjimų ataskaita'!BS44:BS631)/2</f>
        <v>16408.97</v>
      </c>
      <c r="U33" s="1281">
        <f t="shared" si="4"/>
        <v>0.25580699544458813</v>
      </c>
      <c r="V33" s="1309"/>
      <c r="W33" s="1309" t="s">
        <v>1914</v>
      </c>
      <c r="X33" s="1313" t="s">
        <v>1941</v>
      </c>
      <c r="Y33" s="1273"/>
      <c r="Z33" s="1273"/>
    </row>
    <row r="34" spans="1:26" ht="36">
      <c r="A34" s="1278">
        <f>SUM('ES lėšos'!A34)</f>
        <v>33</v>
      </c>
      <c r="B34" s="1273" t="str">
        <f>CONCATENATE('ES lėšos'!C34)</f>
        <v xml:space="preserve">07.1.1-CPVA-R-905 </v>
      </c>
      <c r="C34" s="1273" t="str">
        <f>CONCATENATE('ketv. 2'!B43)</f>
        <v>07.1.1-CPVA-R-905-11-0005</v>
      </c>
      <c r="D34" s="1273" t="str">
        <f>CONCATENATE('ES lėšos'!B34)</f>
        <v>Nenaudojamų teritorijų Varėnos mieste sutvarkymas ir pritaikymas verslui</v>
      </c>
      <c r="E34" s="1273" t="str">
        <f>CONCATENATE('ES lėšos'!D34)</f>
        <v>Varėnos rajono savivaldybės administracija</v>
      </c>
      <c r="F34" s="1273" t="str">
        <f>CONCATENATE('ES lėšos'!E34)</f>
        <v>Varėnos r. sav.</v>
      </c>
      <c r="G34" s="1285">
        <v>43304</v>
      </c>
      <c r="H34" s="1278" t="s">
        <v>1859</v>
      </c>
      <c r="I34" s="1279">
        <f>SUM('ES lėšos'!H34)</f>
        <v>127500</v>
      </c>
      <c r="J34" s="1280">
        <f>SUM('ES lėšos'!I34)</f>
        <v>127500</v>
      </c>
      <c r="K34" s="1279">
        <f t="shared" si="2"/>
        <v>0</v>
      </c>
      <c r="L34" s="1281">
        <f>IF(J34&gt;0,'ketv. 6 '!AF43/'ketv. 6 '!L43,"finansavimas dar neskirtas")</f>
        <v>0.7344230174049039</v>
      </c>
      <c r="M34" s="1289"/>
      <c r="N34" s="1283">
        <f>IF('ketv. 5 '!U43=0,'ketv. 5 '!R43,'ketv. 5 '!U43)</f>
        <v>44165</v>
      </c>
      <c r="O34" s="1289"/>
      <c r="P34" s="1289"/>
      <c r="Q34" s="1290"/>
      <c r="R34" s="1280">
        <f>SUM('ketv. 7 '!AL42)</f>
        <v>2618.9299999999998</v>
      </c>
      <c r="S34" s="1280">
        <f>SUMIF('mokėjimų ataskaita'!I45:I632,C34,'mokėjimų ataskaita'!AK45:AK632)/2</f>
        <v>2618.9299999999998</v>
      </c>
      <c r="T34" s="1280">
        <f>SUMIF('mokėjimų ataskaita'!I45:I632,C34,'mokėjimų ataskaita'!BS45:BS632)/2</f>
        <v>0</v>
      </c>
      <c r="U34" s="1281">
        <f t="shared" si="4"/>
        <v>2.0540627450980391E-2</v>
      </c>
      <c r="V34" s="1309"/>
      <c r="W34" s="1314" t="s">
        <v>1942</v>
      </c>
      <c r="X34" s="1313" t="s">
        <v>1941</v>
      </c>
      <c r="Y34" s="1273"/>
      <c r="Z34" s="1273"/>
    </row>
    <row r="35" spans="1:26" ht="60">
      <c r="A35" s="1278">
        <f>SUM('ES lėšos'!A35)</f>
        <v>34</v>
      </c>
      <c r="B35" s="1273" t="str">
        <f>CONCATENATE('ES lėšos'!C35)</f>
        <v xml:space="preserve">07.1.1-CPVA-R-905 </v>
      </c>
      <c r="C35" s="1273" t="str">
        <f>CONCATENATE('ketv. 2'!B44)</f>
        <v>07.1.1-CPVA-R-905-11-0006</v>
      </c>
      <c r="D35" s="1273" t="str">
        <f>CONCATENATE('ES lėšos'!B35)</f>
        <v>Teritorijų prie daugiabučių gyvenamųjų pastatų Varėnos mieste sutvarkymas ir pritaikymas visuomenės poreikiams</v>
      </c>
      <c r="E35" s="1273" t="str">
        <f>CONCATENATE('ES lėšos'!D35)</f>
        <v>Varėnos rajono savivaldybės administracija</v>
      </c>
      <c r="F35" s="1273" t="str">
        <f>CONCATENATE('ES lėšos'!E35)</f>
        <v>Varėnos r. sav.</v>
      </c>
      <c r="G35" s="1285">
        <v>43304</v>
      </c>
      <c r="H35" s="1278" t="s">
        <v>1860</v>
      </c>
      <c r="I35" s="1279">
        <f>SUM('ES lėšos'!H35)</f>
        <v>411789.06</v>
      </c>
      <c r="J35" s="1280">
        <f>SUM('ES lėšos'!I35)</f>
        <v>255317.05</v>
      </c>
      <c r="K35" s="1279">
        <f t="shared" si="2"/>
        <v>156472.01</v>
      </c>
      <c r="L35" s="1281">
        <f>IF(J35&gt;0,'ketv. 6 '!AF44/'ketv. 6 '!L44,"finansavimas dar neskirtas")</f>
        <v>0.52573272322483877</v>
      </c>
      <c r="M35" s="1289"/>
      <c r="N35" s="1283">
        <f>IF('ketv. 5 '!U44=0,'ketv. 5 '!R44,'ketv. 5 '!U44)</f>
        <v>44165</v>
      </c>
      <c r="O35" s="1289"/>
      <c r="P35" s="1289"/>
      <c r="Q35" s="1290"/>
      <c r="R35" s="1280">
        <f>SUM('ketv. 7 '!AL43)</f>
        <v>0</v>
      </c>
      <c r="S35" s="1280">
        <f>SUMIF('mokėjimų ataskaita'!I46:I633,C35,'mokėjimų ataskaita'!AK46:AK633)/2</f>
        <v>0</v>
      </c>
      <c r="T35" s="1280">
        <f>SUMIF('mokėjimų ataskaita'!I46:I633,C35,'mokėjimų ataskaita'!BS46:BS633)/2</f>
        <v>0</v>
      </c>
      <c r="U35" s="1281">
        <f t="shared" si="4"/>
        <v>0</v>
      </c>
      <c r="V35" s="1309"/>
      <c r="W35" s="1314" t="s">
        <v>1942</v>
      </c>
      <c r="X35" s="1313" t="s">
        <v>1941</v>
      </c>
      <c r="Y35" s="1273"/>
      <c r="Z35" s="1273"/>
    </row>
    <row r="36" spans="1:26" ht="36">
      <c r="A36" s="1278">
        <f>SUM('ES lėšos'!A36)</f>
        <v>35</v>
      </c>
      <c r="B36" s="1273" t="str">
        <f>CONCATENATE('ES lėšos'!C36)</f>
        <v>07.1.1-CPVA-R-903</v>
      </c>
      <c r="C36" s="1273" t="str">
        <f>CONCATENATE('ketv. 6 '!C47)</f>
        <v>07.1.1-CPVA-R-903-11-0001</v>
      </c>
      <c r="D36" s="1273" t="str">
        <f>CONCATENATE('ES lėšos'!B36)</f>
        <v>Amatų centro „Menų kalvė“ Druskininkuose įkūrimas</v>
      </c>
      <c r="E36" s="1273" t="str">
        <f>CONCATENATE('ES lėšos'!D36)</f>
        <v xml:space="preserve">Druskininkų savivaldybės administracija  </v>
      </c>
      <c r="F36" s="1273" t="str">
        <f>CONCATENATE('ES lėšos'!E36)</f>
        <v>Druskininkų sav.</v>
      </c>
      <c r="G36" s="1285">
        <v>42458</v>
      </c>
      <c r="H36" s="1278" t="s">
        <v>1863</v>
      </c>
      <c r="I36" s="1279">
        <f ca="1">SUM('ES lėšos'!H36)</f>
        <v>283503.94</v>
      </c>
      <c r="J36" s="1280">
        <f>SUM('ES lėšos'!I36)</f>
        <v>283503.94</v>
      </c>
      <c r="K36" s="1279">
        <f t="shared" ca="1" si="2"/>
        <v>0</v>
      </c>
      <c r="L36" s="1281">
        <f>IF(J36&gt;0,'ketv. 6 '!AF47/'ketv. 6 '!L47,"finansavimas dar neskirtas")</f>
        <v>0.59712193334231989</v>
      </c>
      <c r="M36" s="1289">
        <f>SUMIF(Projektu_sutarciu_ataskaita!$J$19:$J$600,C36,Projektu_sutarciu_ataskaita!$BP$19:$BP$600)</f>
        <v>43616</v>
      </c>
      <c r="N36" s="1283">
        <f>IF('ketv. 5 '!U47=0,'ketv. 5 '!R47,'ketv. 5 '!U47)</f>
        <v>43465</v>
      </c>
      <c r="O36" s="1289">
        <f>SUMIF(Projektu_sutarciu_ataskaita!$J$19:$J$600,C36,Projektu_sutarciu_ataskaita!$BO$19:$BO$600)</f>
        <v>42468</v>
      </c>
      <c r="P36" s="1289">
        <f>SUMIF(Projektu_sutarciu_ataskaita!$J$19:$J$600,C36,Projektu_sutarciu_ataskaita!$L$19:$L$600)</f>
        <v>42699</v>
      </c>
      <c r="Q36" s="1290">
        <f t="shared" ref="Q36:Q45" si="5">SUM((M36-O36)/(365/12))</f>
        <v>37.742465753424653</v>
      </c>
      <c r="R36" s="1280">
        <f>SUM('ketv. 7 '!AL46)</f>
        <v>283407.53999999998</v>
      </c>
      <c r="S36" s="1280">
        <f>SUMIF('mokėjimų ataskaita'!I47:I634,C36,'mokėjimų ataskaita'!AK47:AK634)/2</f>
        <v>283407.53999999998</v>
      </c>
      <c r="T36" s="1280">
        <f>SUMIF('mokėjimų ataskaita'!I47:I634,C36,'mokėjimų ataskaita'!BS47:BS634)/2</f>
        <v>189439.78000000003</v>
      </c>
      <c r="U36" s="1281">
        <f t="shared" si="4"/>
        <v>0.99965996945227631</v>
      </c>
      <c r="V36" s="1309"/>
      <c r="W36" s="1309" t="s">
        <v>1914</v>
      </c>
      <c r="X36" s="1313" t="s">
        <v>1940</v>
      </c>
      <c r="Y36" s="1273"/>
      <c r="Z36" s="1273"/>
    </row>
    <row r="37" spans="1:26" ht="36">
      <c r="A37" s="1278">
        <f>SUM('ES lėšos'!A37)</f>
        <v>36</v>
      </c>
      <c r="B37" s="1273" t="str">
        <f>CONCATENATE('ES lėšos'!C37)</f>
        <v>07.1.1-CPVA-R-903</v>
      </c>
      <c r="C37" s="1273" t="str">
        <f>CONCATENATE('ketv. 6 '!C48)</f>
        <v>07.1.1-CPVA-R-903-11-0002</v>
      </c>
      <c r="D37" s="1273" t="str">
        <f>CONCATENATE('ES lėšos'!B37)</f>
        <v>Lazdijų miesto kompleksinė infrastruktūros plėtra, III etapas</v>
      </c>
      <c r="E37" s="1273" t="str">
        <f>CONCATENATE('ES lėšos'!D37)</f>
        <v>Lazdijų rajono savivaldybės administracija</v>
      </c>
      <c r="F37" s="1273" t="str">
        <f>CONCATENATE('ES lėšos'!E37)</f>
        <v>Lazdijų r. sav.</v>
      </c>
      <c r="G37" s="1285">
        <v>42482</v>
      </c>
      <c r="H37" s="1278" t="s">
        <v>1831</v>
      </c>
      <c r="I37" s="1279">
        <f ca="1">SUM('ES lėšos'!H37)</f>
        <v>291980.95</v>
      </c>
      <c r="J37" s="1280">
        <f>SUM('ES lėšos'!I37)</f>
        <v>291980.95</v>
      </c>
      <c r="K37" s="1279">
        <f t="shared" ca="1" si="2"/>
        <v>0</v>
      </c>
      <c r="L37" s="1281">
        <f>IF(J37&gt;0,'ketv. 6 '!AF48/'ketv. 6 '!L48,"finansavimas dar neskirtas")</f>
        <v>0.85000000000000009</v>
      </c>
      <c r="M37" s="1289">
        <f>SUMIF(Projektu_sutarciu_ataskaita!$J$19:$J$600,C37,Projektu_sutarciu_ataskaita!$BP$19:$BP$600)</f>
        <v>43553</v>
      </c>
      <c r="N37" s="1283">
        <f>IF('ketv. 5 '!U48=0,'ketv. 5 '!R48,'ketv. 5 '!U48)</f>
        <v>43465</v>
      </c>
      <c r="O37" s="1289">
        <f>SUMIF(Projektu_sutarciu_ataskaita!$J$19:$J$600,C37,Projektu_sutarciu_ataskaita!$BO$19:$BO$600)</f>
        <v>42383</v>
      </c>
      <c r="P37" s="1289">
        <f>SUMIF(Projektu_sutarciu_ataskaita!$J$19:$J$600,C37,Projektu_sutarciu_ataskaita!$L$19:$L$600)</f>
        <v>42709</v>
      </c>
      <c r="Q37" s="1290">
        <f t="shared" si="5"/>
        <v>38.465753424657535</v>
      </c>
      <c r="R37" s="1280">
        <f>SUM('ketv. 7 '!AL47)</f>
        <v>176856.91</v>
      </c>
      <c r="S37" s="1280">
        <f>SUMIF('mokėjimų ataskaita'!I48:I635,C37,'mokėjimų ataskaita'!AK48:AK635)/2</f>
        <v>176856.91</v>
      </c>
      <c r="T37" s="1280">
        <f>SUMIF('mokėjimų ataskaita'!I48:I635,C37,'mokėjimų ataskaita'!BS48:BS635)/2</f>
        <v>170638.78</v>
      </c>
      <c r="U37" s="1281">
        <f t="shared" si="4"/>
        <v>0.60571386592173226</v>
      </c>
      <c r="V37" s="1309"/>
      <c r="W37" s="1309" t="s">
        <v>1914</v>
      </c>
      <c r="X37" s="1313" t="s">
        <v>1916</v>
      </c>
      <c r="Y37" s="1273"/>
      <c r="Z37" s="1273"/>
    </row>
    <row r="38" spans="1:26" ht="48">
      <c r="A38" s="1278">
        <f>SUM('ES lėšos'!A38)</f>
        <v>37</v>
      </c>
      <c r="B38" s="1273" t="str">
        <f>CONCATENATE('ES lėšos'!C38)</f>
        <v>05.3.2-APVA-R-014</v>
      </c>
      <c r="C38" s="1273" t="str">
        <f>CONCATENATE('ketv. 6 '!C50)</f>
        <v>05.3.2-APVA-R-014-11-0001</v>
      </c>
      <c r="D38" s="1273" t="str">
        <f>CONCATENATE('ES lėšos'!B38)</f>
        <v>Geriamojo vandens tiekimo ir nuotekų tvarkymo sistemų renovavimas ir plėtra Varėnos rajone</v>
      </c>
      <c r="E38" s="1273" t="str">
        <f>CONCATENATE('ES lėšos'!D38)</f>
        <v>UAB „Varėnos vandenys“</v>
      </c>
      <c r="F38" s="1273" t="str">
        <f>CONCATENATE('ES lėšos'!E38)</f>
        <v>Varėnos r. sav.</v>
      </c>
      <c r="G38" s="1285">
        <v>42508</v>
      </c>
      <c r="H38" s="1278" t="s">
        <v>1864</v>
      </c>
      <c r="I38" s="1279">
        <f>SUM('ES lėšos'!H38)</f>
        <v>1614228.26</v>
      </c>
      <c r="J38" s="1280">
        <f>SUM('ES lėšos'!I38)</f>
        <v>1614228.26</v>
      </c>
      <c r="K38" s="1279">
        <f t="shared" si="2"/>
        <v>0</v>
      </c>
      <c r="L38" s="1281">
        <f>IF(J38&gt;0,'ketv. 6 '!AF50/'ketv. 6 '!L50,"finansavimas dar neskirtas")</f>
        <v>0.65235239866994055</v>
      </c>
      <c r="M38" s="1289">
        <f>SUMIF(Projektu_sutarciu_ataskaita!$J$19:$J$600,C38,Projektu_sutarciu_ataskaita!$BP$19:$BP$600)</f>
        <v>43861</v>
      </c>
      <c r="N38" s="1283">
        <f>IF('ketv. 5 '!U50=0,'ketv. 5 '!R50,'ketv. 5 '!U50)</f>
        <v>44012</v>
      </c>
      <c r="O38" s="1289">
        <f>SUMIF(Projektu_sutarciu_ataskaita!$J$19:$J$600,C38,Projektu_sutarciu_ataskaita!$BO$19:$BO$600)</f>
        <v>42044</v>
      </c>
      <c r="P38" s="1289">
        <f>SUMIF(Projektu_sutarciu_ataskaita!$J$19:$J$600,C38,Projektu_sutarciu_ataskaita!$L$19:$L$600)</f>
        <v>42766</v>
      </c>
      <c r="Q38" s="1290">
        <f t="shared" si="5"/>
        <v>59.736986301369861</v>
      </c>
      <c r="R38" s="1292">
        <f>SUM('ketv. 7 '!AL49)</f>
        <v>1214116.9400000002</v>
      </c>
      <c r="S38" s="1280">
        <f>SUMIF('mokėjimų ataskaita'!I49:I636,C38,'mokėjimų ataskaita'!AK49:AK636)/2</f>
        <v>1214116.9400000002</v>
      </c>
      <c r="T38" s="1280">
        <f>SUMIF('mokėjimų ataskaita'!I49:I636,C38,'mokėjimų ataskaita'!BS49:BS636)/2</f>
        <v>894103.62</v>
      </c>
      <c r="U38" s="1281">
        <f t="shared" si="4"/>
        <v>0.75213460827404932</v>
      </c>
      <c r="V38" s="1309"/>
      <c r="W38" s="1309" t="s">
        <v>1914</v>
      </c>
      <c r="X38" s="1313" t="s">
        <v>1924</v>
      </c>
      <c r="Y38" s="1273"/>
      <c r="Z38" s="1273"/>
    </row>
    <row r="39" spans="1:26" ht="36">
      <c r="A39" s="1278">
        <f>SUM('ES lėšos'!A39)</f>
        <v>38</v>
      </c>
      <c r="B39" s="1273" t="str">
        <f>CONCATENATE('ES lėšos'!C39)</f>
        <v>05.3.2-APVA-R-014</v>
      </c>
      <c r="C39" s="1273" t="str">
        <f>CONCATENATE('ketv. 6 '!C51)</f>
        <v>05.3.2-APVA-R-014-11-0002</v>
      </c>
      <c r="D39" s="1273" t="str">
        <f>CONCATENATE('ES lėšos'!B39)</f>
        <v>Geriamojo vandens ir nuotekų tvarkymo sistemų renovavimas Alytaus mieste</v>
      </c>
      <c r="E39" s="1273" t="str">
        <f>CONCATENATE('ES lėšos'!D39)</f>
        <v>UAB “Dzūkijos vandenys“</v>
      </c>
      <c r="F39" s="1273" t="str">
        <f>CONCATENATE('ES lėšos'!E39)</f>
        <v>Alytaus m. sav.</v>
      </c>
      <c r="G39" s="1285">
        <v>42528</v>
      </c>
      <c r="H39" s="1278" t="s">
        <v>1858</v>
      </c>
      <c r="I39" s="1279">
        <f>SUM('ES lėšos'!H39)</f>
        <v>2696984.31</v>
      </c>
      <c r="J39" s="1280">
        <f>SUM('ES lėšos'!I39)</f>
        <v>2645996.25</v>
      </c>
      <c r="K39" s="1279">
        <f t="shared" si="2"/>
        <v>50988.060000000056</v>
      </c>
      <c r="L39" s="1281">
        <f>IF(J39&gt;0,'ketv. 6 '!AF51/'ketv. 6 '!L51,"finansavimas dar neskirtas")</f>
        <v>0.47265032525569328</v>
      </c>
      <c r="M39" s="1289">
        <f>SUMIF(Projektu_sutarciu_ataskaita!$J$19:$J$600,C39,Projektu_sutarciu_ataskaita!$BP$19:$BP$600)</f>
        <v>43830</v>
      </c>
      <c r="N39" s="1283">
        <f>IF('ketv. 5 '!U51=0,'ketv. 5 '!R51,'ketv. 5 '!U51)</f>
        <v>44195</v>
      </c>
      <c r="O39" s="1289">
        <f>SUMIF(Projektu_sutarciu_ataskaita!$J$19:$J$600,C39,Projektu_sutarciu_ataskaita!$BO$19:$BO$600)</f>
        <v>42173</v>
      </c>
      <c r="P39" s="1289">
        <f>SUMIF(Projektu_sutarciu_ataskaita!$J$19:$J$600,C39,Projektu_sutarciu_ataskaita!$L$19:$L$600)</f>
        <v>42726</v>
      </c>
      <c r="Q39" s="1290">
        <f t="shared" si="5"/>
        <v>54.476712328767121</v>
      </c>
      <c r="R39" s="1280">
        <f>SUM('ketv. 7 '!AL50)</f>
        <v>1476827.27</v>
      </c>
      <c r="S39" s="1280">
        <f>SUMIF('mokėjimų ataskaita'!I50:I637,C39,'mokėjimų ataskaita'!AK50:AK637)/2</f>
        <v>1476827.27</v>
      </c>
      <c r="T39" s="1280">
        <f>SUMIF('mokėjimų ataskaita'!I50:I637,C39,'mokėjimų ataskaita'!BS50:BS637)/2</f>
        <v>1279459.5299999998</v>
      </c>
      <c r="U39" s="1281">
        <f t="shared" si="4"/>
        <v>0.55813656954351321</v>
      </c>
      <c r="V39" s="1309"/>
      <c r="W39" s="1309" t="s">
        <v>1914</v>
      </c>
      <c r="X39" s="1313" t="s">
        <v>1922</v>
      </c>
      <c r="Y39" s="1273"/>
      <c r="Z39" s="1273"/>
    </row>
    <row r="40" spans="1:26" ht="48">
      <c r="A40" s="1278">
        <f>SUM('ES lėšos'!A40)</f>
        <v>39</v>
      </c>
      <c r="B40" s="1273" t="str">
        <f>CONCATENATE('ES lėšos'!C40)</f>
        <v>05.3.2-APVA-R-014</v>
      </c>
      <c r="C40" s="1273" t="str">
        <f>CONCATENATE('ketv. 6 '!C52)</f>
        <v>05.3.2-APVA-R-014-11-0004</v>
      </c>
      <c r="D40" s="1273" t="str">
        <f>CONCATENATE('ES lėšos'!B40)</f>
        <v>Geriamojo vandens tiekimo ir nuotekų tvarkymo sistemų renovavimas ir plėtra Lazdijų rajono savivaldybėje</v>
      </c>
      <c r="E40" s="1273" t="str">
        <f>CONCATENATE('ES lėšos'!D40)</f>
        <v>UAB „Lazdijų vanduo“</v>
      </c>
      <c r="F40" s="1273" t="str">
        <f>CONCATENATE('ES lėšos'!E40)</f>
        <v>Lazdijų r. sav.</v>
      </c>
      <c r="G40" s="1285">
        <v>42515</v>
      </c>
      <c r="H40" s="1278" t="s">
        <v>1834</v>
      </c>
      <c r="I40" s="1279">
        <f>SUM('ES lėšos'!H40)</f>
        <v>796102</v>
      </c>
      <c r="J40" s="1280">
        <f>SUM('ES lėšos'!I40)</f>
        <v>796102</v>
      </c>
      <c r="K40" s="1279">
        <f t="shared" si="2"/>
        <v>0</v>
      </c>
      <c r="L40" s="1281">
        <f>IF(J40&gt;0,'ketv. 6 '!AF52/'ketv. 6 '!L52,"finansavimas dar neskirtas")</f>
        <v>0.61296434425164503</v>
      </c>
      <c r="M40" s="1289">
        <f>SUMIF(Projektu_sutarciu_ataskaita!$J$19:$J$600,C40,Projektu_sutarciu_ataskaita!$BP$19:$BP$600)</f>
        <v>43708</v>
      </c>
      <c r="N40" s="1283">
        <f>IF('ketv. 5 '!U52=0,'ketv. 5 '!R52,'ketv. 5 '!U52)</f>
        <v>43646</v>
      </c>
      <c r="O40" s="1289">
        <f>SUMIF(Projektu_sutarciu_ataskaita!$J$19:$J$600,C40,Projektu_sutarciu_ataskaita!$BO$19:$BO$600)</f>
        <v>42818</v>
      </c>
      <c r="P40" s="1289">
        <f>SUMIF(Projektu_sutarciu_ataskaita!$J$19:$J$600,C40,Projektu_sutarciu_ataskaita!$L$19:$L$600)</f>
        <v>42818</v>
      </c>
      <c r="Q40" s="1290">
        <f t="shared" si="5"/>
        <v>29.260273972602739</v>
      </c>
      <c r="R40" s="1280">
        <f>SUM('ketv. 7 '!AL51)</f>
        <v>705970.12</v>
      </c>
      <c r="S40" s="1280">
        <f>SUMIF('mokėjimų ataskaita'!I51:I638,C40,'mokėjimų ataskaita'!AK51:AK638)/2</f>
        <v>705970.12</v>
      </c>
      <c r="T40" s="1280">
        <f>SUMIF('mokėjimų ataskaita'!I51:I638,C40,'mokėjimų ataskaita'!BS51:BS638)/2</f>
        <v>656765.65</v>
      </c>
      <c r="U40" s="1281">
        <f t="shared" si="4"/>
        <v>0.88678350261649885</v>
      </c>
      <c r="V40" s="1309"/>
      <c r="W40" s="1309" t="s">
        <v>1914</v>
      </c>
      <c r="X40" s="1313" t="s">
        <v>1926</v>
      </c>
      <c r="Y40" s="1273"/>
      <c r="Z40" s="1273"/>
    </row>
    <row r="41" spans="1:26" ht="48">
      <c r="A41" s="1278">
        <f>SUM('ES lėšos'!A41)</f>
        <v>40</v>
      </c>
      <c r="B41" s="1273" t="str">
        <f>CONCATENATE('ES lėšos'!C41)</f>
        <v>05.3.2-APVA-R-014</v>
      </c>
      <c r="C41" s="1273" t="str">
        <f>CONCATENATE('ketv. 6 '!C53)</f>
        <v>05.3.2-APVA-R-014-11-0003</v>
      </c>
      <c r="D41" s="1273" t="str">
        <f>CONCATENATE('ES lėšos'!B41)</f>
        <v>Vandens tiekimo ir nuotekų šalinimo infrastruktūros renovavimas ir plėtra Druskininkų savivaldybėje</v>
      </c>
      <c r="E41" s="1273" t="str">
        <f>CONCATENATE('ES lėšos'!D41)</f>
        <v>UAB "Druskininkų vandenys"</v>
      </c>
      <c r="F41" s="1273" t="str">
        <f>CONCATENATE('ES lėšos'!E41)</f>
        <v>Druskininkų sav.</v>
      </c>
      <c r="G41" s="1285">
        <v>43252</v>
      </c>
      <c r="H41" s="1278" t="s">
        <v>1849</v>
      </c>
      <c r="I41" s="1279">
        <f>SUM('ES lėšos'!H41)</f>
        <v>2874174.73</v>
      </c>
      <c r="J41" s="1280">
        <f>SUM('ES lėšos'!I41)</f>
        <v>2874174.73</v>
      </c>
      <c r="K41" s="1279">
        <f t="shared" si="2"/>
        <v>0</v>
      </c>
      <c r="L41" s="1281">
        <f>IF(J41&gt;0,'ketv. 6 '!AF53/'ketv. 6 '!L53,"finansavimas dar neskirtas")</f>
        <v>0.55693110359478537</v>
      </c>
      <c r="M41" s="1289">
        <f>SUMIF(Projektu_sutarciu_ataskaita!$J$19:$J$600,C41,Projektu_sutarciu_ataskaita!$BP$19:$BP$600)</f>
        <v>44195</v>
      </c>
      <c r="N41" s="1283">
        <f>IF('ketv. 5 '!U53=0,'ketv. 5 '!R53,'ketv. 5 '!U53)</f>
        <v>44440</v>
      </c>
      <c r="O41" s="1289">
        <f>SUMIF(Projektu_sutarciu_ataskaita!$J$19:$J$600,C41,Projektu_sutarciu_ataskaita!$BO$19:$BO$600)</f>
        <v>41978</v>
      </c>
      <c r="P41" s="1289">
        <f>SUMIF(Projektu_sutarciu_ataskaita!$J$19:$J$600,C41,Projektu_sutarciu_ataskaita!$L$19:$L$600)</f>
        <v>42810</v>
      </c>
      <c r="Q41" s="1290">
        <f t="shared" si="5"/>
        <v>72.887671232876713</v>
      </c>
      <c r="R41" s="1292">
        <f>SUM('ketv. 7 '!AL52)</f>
        <v>744197.79</v>
      </c>
      <c r="S41" s="1280">
        <f>SUMIF('mokėjimų ataskaita'!I52:I639,C41,'mokėjimų ataskaita'!AK52:AK639)/2</f>
        <v>744197.79</v>
      </c>
      <c r="T41" s="1280">
        <f>SUMIF('mokėjimų ataskaita'!I52:I639,C41,'mokėjimų ataskaita'!BS52:BS639)/2</f>
        <v>675823.22</v>
      </c>
      <c r="U41" s="1281">
        <f t="shared" si="4"/>
        <v>0.25892572996075297</v>
      </c>
      <c r="V41" s="1309"/>
      <c r="W41" s="1309" t="s">
        <v>1914</v>
      </c>
      <c r="X41" s="1313" t="s">
        <v>1925</v>
      </c>
      <c r="Y41" s="1273"/>
      <c r="Z41" s="1273"/>
    </row>
    <row r="42" spans="1:26" ht="36">
      <c r="A42" s="1278">
        <f>SUM('ES lėšos'!A42)</f>
        <v>41</v>
      </c>
      <c r="B42" s="1273" t="str">
        <f>CONCATENATE('ES lėšos'!C42)</f>
        <v>05.3.2-APVA-R-014</v>
      </c>
      <c r="C42" s="1273" t="str">
        <f>CONCATENATE('ketv. 6 '!C54)</f>
        <v>05.3.2-APVA-R-014-11-0005</v>
      </c>
      <c r="D42" s="1273" t="str">
        <f>CONCATENATE('ES lėšos'!B42)</f>
        <v>Vandens tiekimo ir nuotekų tvarkymo infrastruktūros plėtra Alytaus rajone (Krokialaukyje)</v>
      </c>
      <c r="E42" s="1273" t="str">
        <f>CONCATENATE('ES lėšos'!D42)</f>
        <v>SĮ „Simno komunalininkas“</v>
      </c>
      <c r="F42" s="1273" t="str">
        <f>CONCATENATE('ES lėšos'!E42)</f>
        <v>Alytaus r. sav.</v>
      </c>
      <c r="G42" s="1285">
        <v>42528</v>
      </c>
      <c r="H42" s="1278" t="s">
        <v>1865</v>
      </c>
      <c r="I42" s="1279">
        <f>SUM('ES lėšos'!H42)</f>
        <v>920475</v>
      </c>
      <c r="J42" s="1280">
        <f>SUM('ES lėšos'!I42)</f>
        <v>867744</v>
      </c>
      <c r="K42" s="1279">
        <f t="shared" si="2"/>
        <v>52731</v>
      </c>
      <c r="L42" s="1281">
        <f>IF(J42&gt;0,'ketv. 6 '!AF54/'ketv. 6 '!L54,"finansavimas dar neskirtas")</f>
        <v>0.58591762322754892</v>
      </c>
      <c r="M42" s="1289">
        <f>SUMIF(Projektu_sutarciu_ataskaita!$J$19:$J$600,C42,Projektu_sutarciu_ataskaita!$BP$19:$BP$600)</f>
        <v>44027</v>
      </c>
      <c r="N42" s="1283">
        <f>IF('ketv. 5 '!U54=0,'ketv. 5 '!R54,'ketv. 5 '!U54)</f>
        <v>44196</v>
      </c>
      <c r="O42" s="1289">
        <f>SUMIF(Projektu_sutarciu_ataskaita!$J$19:$J$600,C42,Projektu_sutarciu_ataskaita!$BO$19:$BO$600)</f>
        <v>42403</v>
      </c>
      <c r="P42" s="1289">
        <f>SUMIF(Projektu_sutarciu_ataskaita!$J$19:$J$600,C42,Projektu_sutarciu_ataskaita!$L$19:$L$600)</f>
        <v>43146</v>
      </c>
      <c r="Q42" s="1290">
        <f t="shared" si="5"/>
        <v>53.391780821917806</v>
      </c>
      <c r="R42" s="1280">
        <f>SUM('ketv. 7 '!AL53)</f>
        <v>46859.28</v>
      </c>
      <c r="S42" s="1280">
        <f>SUMIF('mokėjimų ataskaita'!I53:I640,C42,'mokėjimų ataskaita'!AK53:AK640)/2</f>
        <v>46859.28</v>
      </c>
      <c r="T42" s="1280">
        <f>SUMIF('mokėjimų ataskaita'!I53:I640,C42,'mokėjimų ataskaita'!BS53:BS640)/2</f>
        <v>14023.73</v>
      </c>
      <c r="U42" s="1281">
        <f t="shared" si="4"/>
        <v>5.4001272264631042E-2</v>
      </c>
      <c r="V42" s="1309"/>
      <c r="W42" s="1309" t="s">
        <v>1914</v>
      </c>
      <c r="X42" s="1313" t="s">
        <v>1927</v>
      </c>
      <c r="Y42" s="1273"/>
      <c r="Z42" s="1273"/>
    </row>
    <row r="43" spans="1:26" ht="24">
      <c r="A43" s="1278">
        <f>SUM('ES lėšos'!A43)</f>
        <v>42</v>
      </c>
      <c r="B43" s="1273" t="str">
        <f>CONCATENATE('ES lėšos'!C43)</f>
        <v>05.1.1-APVA-R-007</v>
      </c>
      <c r="C43" s="1273" t="str">
        <f>CONCATENATE('ketv. 6 '!C56)</f>
        <v>05.1.1-APVA-R-007-11-0001</v>
      </c>
      <c r="D43" s="1273" t="str">
        <f>CONCATENATE('ES lėšos'!B43)</f>
        <v>Paviršinių nuotekų sistemų tvarkymas Alytaus mieste</v>
      </c>
      <c r="E43" s="1273" t="str">
        <f>CONCATENATE('ES lėšos'!D43)</f>
        <v>UAB “Dzūkijos vandenys“</v>
      </c>
      <c r="F43" s="1273" t="str">
        <f>CONCATENATE('ES lėšos'!E43)</f>
        <v>Alytaus m. sav.</v>
      </c>
      <c r="G43" s="1285">
        <v>43227</v>
      </c>
      <c r="H43" s="1278" t="s">
        <v>1866</v>
      </c>
      <c r="I43" s="1279">
        <f>SUM('ES lėšos'!H43)</f>
        <v>3399493</v>
      </c>
      <c r="J43" s="1280">
        <f>SUM('ES lėšos'!I43)</f>
        <v>3392312.19</v>
      </c>
      <c r="K43" s="1279">
        <f t="shared" si="2"/>
        <v>7180.8100000000559</v>
      </c>
      <c r="L43" s="1281">
        <f>IF(J43&gt;0,'ketv. 6 '!AF56/'ketv. 6 '!L56,"finansavimas dar neskirtas")</f>
        <v>0.85000000162868272</v>
      </c>
      <c r="M43" s="1289">
        <f>SUMIF(Projektu_sutarciu_ataskaita!$J$19:$J$600,C43,Projektu_sutarciu_ataskaita!$BP$19:$BP$600)</f>
        <v>44286</v>
      </c>
      <c r="N43" s="1283">
        <f>IF('ketv. 5 '!U56=0,'ketv. 5 '!R56,'ketv. 5 '!U56)</f>
        <v>44196</v>
      </c>
      <c r="O43" s="1289">
        <f>SUMIF(Projektu_sutarciu_ataskaita!$J$19:$J$600,C43,Projektu_sutarciu_ataskaita!$BO$19:$BO$600)</f>
        <v>42724</v>
      </c>
      <c r="P43" s="1289">
        <f>SUMIF(Projektu_sutarciu_ataskaita!$J$19:$J$600,C43,Projektu_sutarciu_ataskaita!$L$19:$L$600)</f>
        <v>42815</v>
      </c>
      <c r="Q43" s="1290">
        <f t="shared" si="5"/>
        <v>51.353424657534248</v>
      </c>
      <c r="R43" s="1292">
        <f>SUM('ketv. 7 '!AL55)</f>
        <v>1319973.5499999998</v>
      </c>
      <c r="S43" s="1280">
        <f>SUMIF('mokėjimų ataskaita'!I54:I641,C43,'mokėjimų ataskaita'!AK54:AK641)/2</f>
        <v>269688.625</v>
      </c>
      <c r="T43" s="1280">
        <f>SUMIF('mokėjimų ataskaita'!I54:I641,C43,'mokėjimų ataskaita'!BS54:BS641)/2</f>
        <v>170211.73499999999</v>
      </c>
      <c r="U43" s="1281">
        <f t="shared" si="4"/>
        <v>0.38910733330825892</v>
      </c>
      <c r="V43" s="1309"/>
      <c r="W43" s="1309" t="s">
        <v>1914</v>
      </c>
      <c r="X43" s="1313" t="s">
        <v>1922</v>
      </c>
      <c r="Y43" s="1273"/>
      <c r="Z43" s="1273"/>
    </row>
    <row r="44" spans="1:26" ht="36">
      <c r="A44" s="1278">
        <f>SUM('ES lėšos'!A44)</f>
        <v>43</v>
      </c>
      <c r="B44" s="1273" t="str">
        <f>CONCATENATE('ES lėšos'!C44)</f>
        <v>05.4.1-LVPA-R-821</v>
      </c>
      <c r="C44" s="1273" t="str">
        <f>CONCATENATE('ketv. 6 '!C58)</f>
        <v>05.4.1-LVPA-R-821-11-0002</v>
      </c>
      <c r="D44" s="1273" t="str">
        <f>CONCATENATE('ES lėšos'!B44)</f>
        <v>Alytaus regiono turizmo informacinės infrastruktūros plėtra</v>
      </c>
      <c r="E44" s="1273" t="str">
        <f>CONCATENATE('ES lėšos'!D44)</f>
        <v>Alytaus miesto savivaldybės administracija</v>
      </c>
      <c r="F44" s="1273" t="str">
        <f>CONCATENATE('ES lėšos'!E44)</f>
        <v>Alytaus regionas</v>
      </c>
      <c r="G44" s="1285">
        <v>42618</v>
      </c>
      <c r="H44" s="1278" t="s">
        <v>1843</v>
      </c>
      <c r="I44" s="1279">
        <f>SUM('ES lėšos'!H44)</f>
        <v>176990</v>
      </c>
      <c r="J44" s="1280">
        <f>SUM('ES lėšos'!I44)</f>
        <v>176990</v>
      </c>
      <c r="K44" s="1279">
        <f t="shared" si="2"/>
        <v>0</v>
      </c>
      <c r="L44" s="1281">
        <f>IF(J44&gt;0,'ketv. 6 '!AF58/'ketv. 6 '!L58,"finansavimas dar neskirtas")</f>
        <v>0.84999999759873446</v>
      </c>
      <c r="M44" s="1289">
        <f>SUMIF(Projektu_sutarciu_ataskaita!$J$19:$J$600,C44,Projektu_sutarciu_ataskaita!$BP$19:$BP$600)</f>
        <v>43646</v>
      </c>
      <c r="N44" s="1283">
        <f>IF('ketv. 5 '!U58=0,'ketv. 5 '!R58,'ketv. 5 '!U58)</f>
        <v>43465</v>
      </c>
      <c r="O44" s="1289">
        <f>SUMIF(Projektu_sutarciu_ataskaita!$J$19:$J$600,C44,Projektu_sutarciu_ataskaita!$BO$19:$BO$600)</f>
        <v>42835</v>
      </c>
      <c r="P44" s="1289">
        <f>SUMIF(Projektu_sutarciu_ataskaita!$J$19:$J$600,C44,Projektu_sutarciu_ataskaita!$L$19:$L$600)</f>
        <v>42835</v>
      </c>
      <c r="Q44" s="1290">
        <f t="shared" si="5"/>
        <v>26.663013698630134</v>
      </c>
      <c r="R44" s="1280">
        <f>SUM('ketv. 7 '!AL57)</f>
        <v>7158.36</v>
      </c>
      <c r="S44" s="1280">
        <f>SUMIF('mokėjimų ataskaita'!I55:I642,C44,'mokėjimų ataskaita'!AK55:AK642)/2</f>
        <v>7158.36</v>
      </c>
      <c r="T44" s="1280">
        <f>SUMIF('mokėjimų ataskaita'!I55:I642,C44,'mokėjimų ataskaita'!BS55:BS642)/2</f>
        <v>7158.36</v>
      </c>
      <c r="U44" s="1281">
        <f t="shared" si="4"/>
        <v>4.0444996892479802E-2</v>
      </c>
      <c r="V44" s="1309"/>
      <c r="W44" s="1309" t="s">
        <v>1914</v>
      </c>
      <c r="X44" s="1313" t="s">
        <v>1915</v>
      </c>
      <c r="Y44" s="1273"/>
      <c r="Z44" s="1273"/>
    </row>
    <row r="45" spans="1:26" ht="108">
      <c r="A45" s="1278">
        <f>SUM('ES lėšos'!A45)</f>
        <v>44</v>
      </c>
      <c r="B45" s="1273" t="str">
        <f>CONCATENATE('ES lėšos'!C45)</f>
        <v>05.4.1-LVPA-R-821</v>
      </c>
      <c r="C45" s="1273" t="str">
        <f>CONCATENATE('ketv. 6 '!C59)</f>
        <v>05.4.1-LVPA-R-821-11-0001</v>
      </c>
      <c r="D45" s="1273" t="str">
        <f>CONCATENATE('ES lėšos'!B45)</f>
        <v>Turizmo trasų ir maršrutų informacinės infrastruktūros plėtra Lazdijų, Varėnos rajonų ir Druskininkų savivaldybėse</v>
      </c>
      <c r="E45" s="1273" t="str">
        <f>CONCATENATE('ES lėšos'!D45)</f>
        <v>Lazdijų rajono savivaldybės administracija</v>
      </c>
      <c r="F45" s="1273" t="str">
        <f>CONCATENATE('ES lėšos'!E45)</f>
        <v xml:space="preserve">Lazdijų, Varėnos rajonų ir Druskininkų savivaldybės </v>
      </c>
      <c r="G45" s="1285">
        <v>42626</v>
      </c>
      <c r="H45" s="1278" t="s">
        <v>1846</v>
      </c>
      <c r="I45" s="1279">
        <f>SUM('ES lėšos'!H45)</f>
        <v>244890.1</v>
      </c>
      <c r="J45" s="1280">
        <f>SUM('ES lėšos'!I45)</f>
        <v>244890.1</v>
      </c>
      <c r="K45" s="1279">
        <f t="shared" si="2"/>
        <v>0</v>
      </c>
      <c r="L45" s="1281">
        <f>IF(J45&gt;0,'ketv. 6 '!AF59/'ketv. 6 '!L59,"finansavimas dar neskirtas")</f>
        <v>0.85</v>
      </c>
      <c r="M45" s="1289">
        <f>SUMIF(Projektu_sutarciu_ataskaita!$J$19:$J$600,C45,Projektu_sutarciu_ataskaita!$BP$19:$BP$600)</f>
        <v>43722</v>
      </c>
      <c r="N45" s="1283">
        <f>IF('ketv. 5 '!U59=0,'ketv. 5 '!R59,'ketv. 5 '!U59)</f>
        <v>43585</v>
      </c>
      <c r="O45" s="1289">
        <f>SUMIF(Projektu_sutarciu_ataskaita!$J$19:$J$600,C45,Projektu_sutarciu_ataskaita!$BO$19:$BO$600)</f>
        <v>42811</v>
      </c>
      <c r="P45" s="1289">
        <f>SUMIF(Projektu_sutarciu_ataskaita!$J$19:$J$600,C45,Projektu_sutarciu_ataskaita!$L$19:$L$600)</f>
        <v>42811</v>
      </c>
      <c r="Q45" s="1290">
        <f t="shared" si="5"/>
        <v>29.950684931506849</v>
      </c>
      <c r="R45" s="1280">
        <f>SUM('ketv. 7 '!AL58)</f>
        <v>47727.439999999995</v>
      </c>
      <c r="S45" s="1280">
        <f>SUMIF('mokėjimų ataskaita'!I56:I643,C45,'mokėjimų ataskaita'!AK56:AK643)/2</f>
        <v>47727.439999999995</v>
      </c>
      <c r="T45" s="1280">
        <f>SUMIF('mokėjimų ataskaita'!I56:I643,C45,'mokėjimų ataskaita'!BS56:BS643)/2</f>
        <v>47727.439999999995</v>
      </c>
      <c r="U45" s="1281">
        <f t="shared" si="4"/>
        <v>0.19489330111752168</v>
      </c>
      <c r="V45" s="1309"/>
      <c r="W45" s="1309" t="s">
        <v>1914</v>
      </c>
      <c r="X45" s="1313" t="s">
        <v>1932</v>
      </c>
      <c r="Y45" s="1273"/>
      <c r="Z45" s="1273"/>
    </row>
    <row r="46" spans="1:26" ht="60">
      <c r="A46" s="1278">
        <f>SUM('ES lėšos'!A46)</f>
        <v>45</v>
      </c>
      <c r="B46" s="1273" t="str">
        <f>CONCATENATE('ES lėšos'!C46)</f>
        <v>05.4.1-LVPA-R-821</v>
      </c>
      <c r="C46" s="1273" t="str">
        <f>CONCATENATE('ketv. 6 '!C60)</f>
        <v>-</v>
      </c>
      <c r="D46" s="1273" t="str">
        <f>CONCATENATE('ES lėšos'!B46)</f>
        <v>Turizmo trasų ir maršrutų informacinės infrastruktūros plėtra Lazdijų, Varėnos rajonų ir Druskininkų savivaldybėse, II etapas</v>
      </c>
      <c r="E46" s="1273" t="str">
        <f>CONCATENATE('ES lėšos'!D46)</f>
        <v>Lazdijų rajono savivaldybės administracija</v>
      </c>
      <c r="F46" s="1273" t="str">
        <f>CONCATENATE('ES lėšos'!E46)</f>
        <v xml:space="preserve">Lazdijų, Varėnos rajonų ir Druskininkų savivaldybės </v>
      </c>
      <c r="G46" s="1285" t="s">
        <v>66</v>
      </c>
      <c r="H46" s="1278" t="s">
        <v>66</v>
      </c>
      <c r="I46" s="1279">
        <f>SUM('ES lėšos'!H46)</f>
        <v>189539.9</v>
      </c>
      <c r="J46" s="1280">
        <f>SUM('ES lėšos'!I46)</f>
        <v>0</v>
      </c>
      <c r="K46" s="1279" t="str">
        <f t="shared" si="2"/>
        <v>finansavimas dar neskirtas</v>
      </c>
      <c r="L46" s="1281" t="str">
        <f>IF(J46&gt;0,'ketv. 6 '!AF60/'ketv. 6 '!L60,"finansavimas dar neskirtas")</f>
        <v>finansavimas dar neskirtas</v>
      </c>
      <c r="M46" s="1289"/>
      <c r="N46" s="1283">
        <f>IF('ketv. 5 '!U60=0,'ketv. 5 '!R60,'ketv. 5 '!U60)</f>
        <v>44376</v>
      </c>
      <c r="O46" s="1289"/>
      <c r="P46" s="1289"/>
      <c r="Q46" s="1290"/>
      <c r="R46" s="1280">
        <f>SUM('ketv. 7 '!AL59)</f>
        <v>0</v>
      </c>
      <c r="S46" s="1280">
        <f>SUMIF('mokėjimų ataskaita'!I57:I644,C46,'mokėjimų ataskaita'!AK57:AK644)/2</f>
        <v>0</v>
      </c>
      <c r="T46" s="1280">
        <f>SUMIF('mokėjimų ataskaita'!I57:I644,C46,'mokėjimų ataskaita'!BS57:BS644)/2</f>
        <v>0</v>
      </c>
      <c r="U46" s="1281" t="str">
        <f t="shared" si="4"/>
        <v>finansavimas dar neskirtas</v>
      </c>
      <c r="V46" s="1309"/>
      <c r="W46" s="1314"/>
      <c r="X46" s="1313"/>
      <c r="Y46" s="1273"/>
      <c r="Z46" s="1273"/>
    </row>
    <row r="47" spans="1:26" ht="36">
      <c r="A47" s="1278">
        <f>SUM('ES lėšos'!A47)</f>
        <v>46</v>
      </c>
      <c r="B47" s="1273" t="str">
        <f>CONCATENATE('ES lėšos'!C47)</f>
        <v>07.1.1-CPVA-R-305</v>
      </c>
      <c r="C47" s="1273" t="str">
        <f>CONCATENATE('ketv. 6 '!C62)</f>
        <v>07.1.1-CPVA-R-305-11-0001</v>
      </c>
      <c r="D47" s="1273" t="str">
        <f>CONCATENATE('ES lėšos'!B47)</f>
        <v>Kultūros įstaigų infrastruktūros modernizavimas Varėnos mieste</v>
      </c>
      <c r="E47" s="1273" t="str">
        <f>CONCATENATE('ES lėšos'!D47)</f>
        <v>Varėnos rajono savivaldybės administracija</v>
      </c>
      <c r="F47" s="1273" t="str">
        <f>CONCATENATE('ES lėšos'!E47)</f>
        <v>Varėnos r. sav.</v>
      </c>
      <c r="G47" s="1285">
        <v>42613</v>
      </c>
      <c r="H47" s="1278" t="s">
        <v>1841</v>
      </c>
      <c r="I47" s="1279">
        <f>SUM('ES lėšos'!H47)</f>
        <v>299540.84999999998</v>
      </c>
      <c r="J47" s="1280">
        <f>SUM('ES lėšos'!I47)</f>
        <v>299540.84999999998</v>
      </c>
      <c r="K47" s="1279">
        <f t="shared" si="2"/>
        <v>0</v>
      </c>
      <c r="L47" s="1281">
        <f>IF(J47&gt;0,'ketv. 6 '!AF62/'ketv. 6 '!L62,"finansavimas dar neskirtas")</f>
        <v>0.85</v>
      </c>
      <c r="M47" s="1289">
        <f>SUMIF(Projektu_sutarciu_ataskaita!$J$19:$J$600,C47,Projektu_sutarciu_ataskaita!$BP$19:$BP$600)</f>
        <v>43585</v>
      </c>
      <c r="N47" s="1283">
        <f>IF('ketv. 5 '!U62=0,'ketv. 5 '!R62,'ketv. 5 '!U62)</f>
        <v>43585</v>
      </c>
      <c r="O47" s="1289">
        <f>SUMIF(Projektu_sutarciu_ataskaita!$J$19:$J$600,C47,Projektu_sutarciu_ataskaita!$BO$19:$BO$600)</f>
        <v>42327</v>
      </c>
      <c r="P47" s="1289">
        <f>SUMIF(Projektu_sutarciu_ataskaita!$J$19:$J$600,C47,Projektu_sutarciu_ataskaita!$L$19:$L$600)</f>
        <v>42860</v>
      </c>
      <c r="Q47" s="1290">
        <f t="shared" ref="Q47:Q53" si="6">SUM((M47-O47)/(365/12))</f>
        <v>41.358904109589041</v>
      </c>
      <c r="R47" s="1280">
        <f>SUM('ketv. 7 '!AL61)</f>
        <v>295224.15000000002</v>
      </c>
      <c r="S47" s="1280">
        <f>SUMIF('mokėjimų ataskaita'!I58:I645,C47,'mokėjimų ataskaita'!AK58:AK645)/2</f>
        <v>295224.15000000002</v>
      </c>
      <c r="T47" s="1280">
        <f>SUMIF('mokėjimų ataskaita'!I58:I645,C47,'mokėjimų ataskaita'!BS58:BS645)/2</f>
        <v>185138.96000000002</v>
      </c>
      <c r="U47" s="1281">
        <f t="shared" si="4"/>
        <v>0.9855889438786064</v>
      </c>
      <c r="V47" s="1309"/>
      <c r="W47" s="1309" t="s">
        <v>1914</v>
      </c>
      <c r="X47" s="1313" t="s">
        <v>1931</v>
      </c>
      <c r="Y47" s="1273"/>
      <c r="Z47" s="1273"/>
    </row>
    <row r="48" spans="1:26" ht="48">
      <c r="A48" s="1278">
        <f>SUM('ES lėšos'!A48)</f>
        <v>47</v>
      </c>
      <c r="B48" s="1273" t="str">
        <f>CONCATENATE('ES lėšos'!C48)</f>
        <v>07.1.1-CPVA-R-305</v>
      </c>
      <c r="C48" s="1273" t="str">
        <f>CONCATENATE('ketv. 6 '!C63)</f>
        <v>07.1.1-CPVA-R-305-11-0002</v>
      </c>
      <c r="D48" s="1273" t="str">
        <f>CONCATENATE('ES lėšos'!B48)</f>
        <v>VšĮ Alytaus kultūros ir komunikacijos centro pastato Alytuje, Pramonės g. 1B, rekonstravimas</v>
      </c>
      <c r="E48" s="1273" t="str">
        <f>CONCATENATE('ES lėšos'!D48)</f>
        <v>Alytaus miesto savivaldybės administracija</v>
      </c>
      <c r="F48" s="1273" t="str">
        <f>CONCATENATE('ES lėšos'!E48)</f>
        <v>Alytaus m. sav.</v>
      </c>
      <c r="G48" s="1285">
        <v>42664</v>
      </c>
      <c r="H48" s="1278" t="s">
        <v>1867</v>
      </c>
      <c r="I48" s="1279">
        <f>SUM('ES lėšos'!H48)</f>
        <v>299541</v>
      </c>
      <c r="J48" s="1280">
        <f>SUM('ES lėšos'!I48)</f>
        <v>299541</v>
      </c>
      <c r="K48" s="1279">
        <f t="shared" si="2"/>
        <v>0</v>
      </c>
      <c r="L48" s="1281">
        <f>IF(J48&gt;0,'ketv. 6 '!AF63/'ketv. 6 '!L63,"finansavimas dar neskirtas")</f>
        <v>0.38242653666165444</v>
      </c>
      <c r="M48" s="1289">
        <f>SUMIF(Projektu_sutarciu_ataskaita!$J$19:$J$600,C48,Projektu_sutarciu_ataskaita!$BP$19:$BP$600)</f>
        <v>43373</v>
      </c>
      <c r="N48" s="1283">
        <f>IF('ketv. 5 '!U63=0,'ketv. 5 '!R63,'ketv. 5 '!U63)</f>
        <v>43465</v>
      </c>
      <c r="O48" s="1289">
        <f>SUMIF(Projektu_sutarciu_ataskaita!$J$19:$J$600,C48,Projektu_sutarciu_ataskaita!$BO$19:$BO$600)</f>
        <v>42584</v>
      </c>
      <c r="P48" s="1289">
        <f>SUMIF(Projektu_sutarciu_ataskaita!$J$19:$J$600,C48,Projektu_sutarciu_ataskaita!$L$19:$L$600)</f>
        <v>42886</v>
      </c>
      <c r="Q48" s="1290">
        <f t="shared" si="6"/>
        <v>25.93972602739726</v>
      </c>
      <c r="R48" s="1280">
        <f>SUM('ketv. 7 '!AL62)</f>
        <v>295499.17999999993</v>
      </c>
      <c r="S48" s="1280">
        <f>SUMIF('mokėjimų ataskaita'!I59:I646,C48,'mokėjimų ataskaita'!AK59:AK646)/2</f>
        <v>295499.17999999993</v>
      </c>
      <c r="T48" s="1280">
        <f>SUMIF('mokėjimų ataskaita'!I59:I646,C48,'mokėjimų ataskaita'!BS59:BS646)/2</f>
        <v>273415.96000000002</v>
      </c>
      <c r="U48" s="1281">
        <f t="shared" si="4"/>
        <v>0.9865066217980174</v>
      </c>
      <c r="V48" s="1309"/>
      <c r="W48" s="1309" t="s">
        <v>1914</v>
      </c>
      <c r="X48" s="1313" t="s">
        <v>1930</v>
      </c>
      <c r="Y48" s="1273"/>
      <c r="Z48" s="1273"/>
    </row>
    <row r="49" spans="1:26" ht="48">
      <c r="A49" s="1278">
        <f>SUM('ES lėšos'!A49)</f>
        <v>48</v>
      </c>
      <c r="B49" s="1273" t="str">
        <f>CONCATENATE('ES lėšos'!C49)</f>
        <v>07.1.1-CPVA-R-305</v>
      </c>
      <c r="C49" s="1273" t="str">
        <f>CONCATENATE('ketv. 6 '!C64)</f>
        <v>07.1.1-CPVA-R-305-11-0003</v>
      </c>
      <c r="D49" s="1273" t="str">
        <f>CONCATENATE('ES lėšos'!B49)</f>
        <v>Druskininkų kultūros centro lauko scenos, Vilniaus al. 24, Druskininkai, modernizavimas ir pritaikymas kultūros poreikiams</v>
      </c>
      <c r="E49" s="1273" t="str">
        <f>CONCATENATE('ES lėšos'!D49)</f>
        <v xml:space="preserve">Druskininkų savivaldybės administracija  </v>
      </c>
      <c r="F49" s="1273" t="str">
        <f>CONCATENATE('ES lėšos'!E49)</f>
        <v>Druskininkų sav.</v>
      </c>
      <c r="G49" s="1285">
        <v>42655</v>
      </c>
      <c r="H49" s="1278" t="s">
        <v>1851</v>
      </c>
      <c r="I49" s="1279">
        <f>SUM('ES lėšos'!H49)</f>
        <v>299540.84999999998</v>
      </c>
      <c r="J49" s="1280">
        <f>SUM('ES lėšos'!I49)</f>
        <v>299540.84999999998</v>
      </c>
      <c r="K49" s="1279">
        <f t="shared" si="2"/>
        <v>0</v>
      </c>
      <c r="L49" s="1281">
        <f>IF(J49&gt;0,'ketv. 6 '!AF64/'ketv. 6 '!L64,"finansavimas dar neskirtas")</f>
        <v>0.85</v>
      </c>
      <c r="M49" s="1289">
        <f>SUMIF(Projektu_sutarciu_ataskaita!$J$19:$J$600,C49,Projektu_sutarciu_ataskaita!$BP$19:$BP$600)</f>
        <v>43830</v>
      </c>
      <c r="N49" s="1283">
        <f>IF('ketv. 5 '!U64=0,'ketv. 5 '!R64,'ketv. 5 '!U64)</f>
        <v>43830</v>
      </c>
      <c r="O49" s="1289">
        <f>SUMIF(Projektu_sutarciu_ataskaita!$J$19:$J$600,C49,Projektu_sutarciu_ataskaita!$BO$19:$BO$600)</f>
        <v>42857</v>
      </c>
      <c r="P49" s="1289">
        <f>SUMIF(Projektu_sutarciu_ataskaita!$J$19:$J$600,C49,Projektu_sutarciu_ataskaita!$L$19:$L$600)</f>
        <v>42857</v>
      </c>
      <c r="Q49" s="1290">
        <f t="shared" si="6"/>
        <v>31.989041095890411</v>
      </c>
      <c r="R49" s="1280">
        <f>SUM('ketv. 7 '!AL63)</f>
        <v>176851.15</v>
      </c>
      <c r="S49" s="1280">
        <f>SUMIF('mokėjimų ataskaita'!I60:I647,C49,'mokėjimų ataskaita'!AK60:AK647)/2</f>
        <v>176851.15</v>
      </c>
      <c r="T49" s="1280">
        <f>SUMIF('mokėjimų ataskaita'!I60:I647,C49,'mokėjimų ataskaita'!BS60:BS647)/2</f>
        <v>159992.47</v>
      </c>
      <c r="U49" s="1281">
        <f t="shared" si="4"/>
        <v>0.59040745193852529</v>
      </c>
      <c r="V49" s="1309"/>
      <c r="W49" s="1309" t="s">
        <v>1914</v>
      </c>
      <c r="X49" s="1313" t="s">
        <v>1929</v>
      </c>
      <c r="Y49" s="1273"/>
      <c r="Z49" s="1273"/>
    </row>
    <row r="50" spans="1:26" ht="48">
      <c r="A50" s="1278">
        <f>SUM('ES lėšos'!A50)</f>
        <v>49</v>
      </c>
      <c r="B50" s="1273" t="str">
        <f>CONCATENATE('ES lėšos'!C50)</f>
        <v>07.1.1-CPVA-R-305</v>
      </c>
      <c r="C50" s="1273" t="str">
        <f>CONCATENATE('ketv. 6 '!C65)</f>
        <v>07.1.1-CPVA-R-305-11-0004</v>
      </c>
      <c r="D50" s="1273" t="str">
        <f>CONCATENATE('ES lėšos'!B50)</f>
        <v>Pastato rekonstrukcija ir pritaikymas kultūrinėms, muziejinėms ir edukacinėms reikmėms</v>
      </c>
      <c r="E50" s="1273" t="str">
        <f>CONCATENATE('ES lėšos'!D50)</f>
        <v>Lazdijų rajono savivaldybės administracija</v>
      </c>
      <c r="F50" s="1273" t="str">
        <f>CONCATENATE('ES lėšos'!E50)</f>
        <v>Lazdijų r. sav.</v>
      </c>
      <c r="G50" s="1285">
        <v>42655</v>
      </c>
      <c r="H50" s="1278" t="s">
        <v>1852</v>
      </c>
      <c r="I50" s="1279">
        <f>SUM('ES lėšos'!H50)</f>
        <v>299541</v>
      </c>
      <c r="J50" s="1280">
        <f>SUM('ES lėšos'!I50)</f>
        <v>299541</v>
      </c>
      <c r="K50" s="1279">
        <f t="shared" si="2"/>
        <v>0</v>
      </c>
      <c r="L50" s="1281">
        <f>IF(J50&gt;0,'ketv. 6 '!AF65/'ketv. 6 '!L65,"finansavimas dar neskirtas")</f>
        <v>0.61790416411433602</v>
      </c>
      <c r="M50" s="1289">
        <f>SUMIF(Projektu_sutarciu_ataskaita!$J$19:$J$600,C50,Projektu_sutarciu_ataskaita!$BP$19:$BP$600)</f>
        <v>43830</v>
      </c>
      <c r="N50" s="1283">
        <f>IF('ketv. 5 '!U65=0,'ketv. 5 '!R65,'ketv. 5 '!U65)</f>
        <v>43830</v>
      </c>
      <c r="O50" s="1289">
        <f>SUMIF(Projektu_sutarciu_ataskaita!$J$19:$J$600,C50,Projektu_sutarciu_ataskaita!$BO$19:$BO$600)</f>
        <v>42501</v>
      </c>
      <c r="P50" s="1289">
        <f>SUMIF(Projektu_sutarciu_ataskaita!$J$19:$J$600,C50,Projektu_sutarciu_ataskaita!$L$19:$L$600)</f>
        <v>43203</v>
      </c>
      <c r="Q50" s="1290">
        <f t="shared" si="6"/>
        <v>43.693150684931503</v>
      </c>
      <c r="R50" s="1280">
        <f>SUM('ketv. 7 '!AL64)</f>
        <v>37975.51</v>
      </c>
      <c r="S50" s="1280">
        <f>SUMIF('mokėjimų ataskaita'!I61:I648,C50,'mokėjimų ataskaita'!AK61:AK648)/2</f>
        <v>37975.51</v>
      </c>
      <c r="T50" s="1280">
        <f>SUMIF('mokėjimų ataskaita'!I61:I648,C50,'mokėjimų ataskaita'!BS61:BS648)/2</f>
        <v>18509.79</v>
      </c>
      <c r="U50" s="1281">
        <f t="shared" si="4"/>
        <v>0.12677900521130664</v>
      </c>
      <c r="V50" s="1309"/>
      <c r="W50" s="1309" t="s">
        <v>1914</v>
      </c>
      <c r="X50" s="1313" t="s">
        <v>1928</v>
      </c>
      <c r="Y50" s="1273"/>
      <c r="Z50" s="1273"/>
    </row>
    <row r="51" spans="1:26" ht="48">
      <c r="A51" s="1278">
        <f>SUM('ES lėšos'!A51)</f>
        <v>50</v>
      </c>
      <c r="B51" s="1273" t="str">
        <f>CONCATENATE('ES lėšos'!C51)</f>
        <v>05.4.1-CPVA-R-302</v>
      </c>
      <c r="C51" s="1273" t="str">
        <f>CONCATENATE('ketv. 6 '!C67)</f>
        <v>05.4.1-CPVA-R-302-11-0003</v>
      </c>
      <c r="D51" s="1273" t="str">
        <f>CONCATENATE('ES lėšos'!B51)</f>
        <v>Buvusios sinagogos pastato Kauno g. 9A Alytuje rekonstravimas ir aplinkinės teritorijos sutvarkymas</v>
      </c>
      <c r="E51" s="1273" t="str">
        <f>CONCATENATE('ES lėšos'!D51)</f>
        <v>Alytaus miesto savivaldybės administracija</v>
      </c>
      <c r="F51" s="1273" t="str">
        <f>CONCATENATE('ES lėšos'!E51)</f>
        <v>Alytaus m. sav.</v>
      </c>
      <c r="G51" s="1285">
        <v>42767</v>
      </c>
      <c r="H51" s="1278" t="s">
        <v>1872</v>
      </c>
      <c r="I51" s="1279">
        <f>SUM('ES lėšos'!H51)</f>
        <v>206056</v>
      </c>
      <c r="J51" s="1280">
        <f>SUM('ES lėšos'!I51)</f>
        <v>206056</v>
      </c>
      <c r="K51" s="1279">
        <f t="shared" si="2"/>
        <v>0</v>
      </c>
      <c r="L51" s="1281">
        <f>IF(J51&gt;0,'ketv. 6 '!AF67/'ketv. 6 '!L67,"finansavimas dar neskirtas")</f>
        <v>0.46350532175442799</v>
      </c>
      <c r="M51" s="1289">
        <f>SUMIF(Projektu_sutarciu_ataskaita!$J$19:$J$600,C51,Projektu_sutarciu_ataskaita!$BP$19:$BP$600)</f>
        <v>44012</v>
      </c>
      <c r="N51" s="1283">
        <f>IF('ketv. 5 '!U67=0,'ketv. 5 '!R67,'ketv. 5 '!U67)</f>
        <v>44196</v>
      </c>
      <c r="O51" s="1289">
        <f>SUMIF(Projektu_sutarciu_ataskaita!$J$19:$J$600,C51,Projektu_sutarciu_ataskaita!$BO$19:$BO$600)</f>
        <v>43276</v>
      </c>
      <c r="P51" s="1289">
        <f>SUMIF(Projektu_sutarciu_ataskaita!$J$19:$J$600,C51,Projektu_sutarciu_ataskaita!$L$19:$L$600)</f>
        <v>43276</v>
      </c>
      <c r="Q51" s="1290">
        <f t="shared" si="6"/>
        <v>24.197260273972603</v>
      </c>
      <c r="R51" s="1280">
        <f>SUM('ketv. 7 '!AL66)</f>
        <v>12222</v>
      </c>
      <c r="S51" s="1280">
        <f>SUMIF('mokėjimų ataskaita'!I62:I649,C51,'mokėjimų ataskaita'!AK62:AK649)/2</f>
        <v>12222</v>
      </c>
      <c r="T51" s="1280">
        <f>SUMIF('mokėjimų ataskaita'!I62:I649,C51,'mokėjimų ataskaita'!BS62:BS649)/2</f>
        <v>0</v>
      </c>
      <c r="U51" s="1281">
        <f t="shared" si="4"/>
        <v>5.9313972900570722E-2</v>
      </c>
      <c r="V51" s="1309"/>
      <c r="W51" s="1309" t="s">
        <v>1914</v>
      </c>
      <c r="X51" s="1313" t="s">
        <v>1930</v>
      </c>
      <c r="Y51" s="1273"/>
      <c r="Z51" s="1273"/>
    </row>
    <row r="52" spans="1:26" ht="48">
      <c r="A52" s="1278">
        <f>SUM('ES lėšos'!A52)</f>
        <v>51</v>
      </c>
      <c r="B52" s="1273" t="str">
        <f>CONCATENATE('ES lėšos'!C52)</f>
        <v>05.4.1-CPVA-R-302</v>
      </c>
      <c r="C52" s="1273" t="str">
        <f>CONCATENATE('ketv. 6 '!C68)</f>
        <v>05.4.1-CPVA-R-302-11-0002</v>
      </c>
      <c r="D52" s="1273" t="str">
        <f>CONCATENATE('ES lėšos'!B52)</f>
        <v>Mažosios dailės galerijos, M.K.Čiurlionio g. 37, Druskininkai, modernizavimas ir pritaikymas kultūros poreikiams</v>
      </c>
      <c r="E52" s="1273" t="str">
        <f>CONCATENATE('ES lėšos'!D52)</f>
        <v xml:space="preserve">Druskininkų savivaldybės administracija  </v>
      </c>
      <c r="F52" s="1273" t="str">
        <f>CONCATENATE('ES lėšos'!E52)</f>
        <v>Druskininkų sav.</v>
      </c>
      <c r="G52" s="1285">
        <v>42740</v>
      </c>
      <c r="H52" s="1278" t="s">
        <v>1871</v>
      </c>
      <c r="I52" s="1279">
        <f>SUM('ES lėšos'!H52)</f>
        <v>206056</v>
      </c>
      <c r="J52" s="1280">
        <f>SUM('ES lėšos'!I52)</f>
        <v>206056</v>
      </c>
      <c r="K52" s="1279">
        <f t="shared" si="2"/>
        <v>0</v>
      </c>
      <c r="L52" s="1281">
        <f>IF(J52&gt;0,'ketv. 6 '!AF68/'ketv. 6 '!L68,"finansavimas dar neskirtas")</f>
        <v>0.69222869683284938</v>
      </c>
      <c r="M52" s="1289">
        <f>SUMIF(Projektu_sutarciu_ataskaita!$J$19:$J$600,C52,Projektu_sutarciu_ataskaita!$BP$19:$BP$600)</f>
        <v>43738</v>
      </c>
      <c r="N52" s="1283">
        <f>IF('ketv. 5 '!U68=0,'ketv. 5 '!R68,'ketv. 5 '!U68)</f>
        <v>43739</v>
      </c>
      <c r="O52" s="1289">
        <f>SUMIF(Projektu_sutarciu_ataskaita!$J$19:$J$600,C52,Projektu_sutarciu_ataskaita!$BO$19:$BO$600)</f>
        <v>43039</v>
      </c>
      <c r="P52" s="1289">
        <f>SUMIF(Projektu_sutarciu_ataskaita!$J$19:$J$600,C52,Projektu_sutarciu_ataskaita!$L$19:$L$600)</f>
        <v>43285</v>
      </c>
      <c r="Q52" s="1290">
        <f t="shared" si="6"/>
        <v>22.980821917808218</v>
      </c>
      <c r="R52" s="1280">
        <f>SUM('ketv. 7 '!AL67)</f>
        <v>7329.05</v>
      </c>
      <c r="S52" s="1280">
        <f>SUMIF('mokėjimų ataskaita'!I63:I650,C52,'mokėjimų ataskaita'!AK63:AK650)/2</f>
        <v>7329.05</v>
      </c>
      <c r="T52" s="1280">
        <f>SUMIF('mokėjimų ataskaita'!I63:I650,C52,'mokėjimų ataskaita'!BS63:BS650)/2</f>
        <v>7329.05</v>
      </c>
      <c r="U52" s="1281">
        <f t="shared" si="4"/>
        <v>3.5568243584268355E-2</v>
      </c>
      <c r="V52" s="1309"/>
      <c r="W52" s="1309" t="s">
        <v>1914</v>
      </c>
      <c r="X52" s="1313" t="s">
        <v>1929</v>
      </c>
      <c r="Y52" s="1273"/>
      <c r="Z52" s="1273"/>
    </row>
    <row r="53" spans="1:26" ht="36">
      <c r="A53" s="1278">
        <f>SUM('ES lėšos'!A53)</f>
        <v>52</v>
      </c>
      <c r="B53" s="1273" t="str">
        <f>CONCATENATE('ES lėšos'!C53)</f>
        <v>05.4.1-CPVA-R-302</v>
      </c>
      <c r="C53" s="1273" t="str">
        <f>CONCATENATE('ketv. 6 '!C69)</f>
        <v>05.4.1-CPVA-R-302-11-0001</v>
      </c>
      <c r="D53" s="1273" t="str">
        <f>CONCATENATE('ES lėšos'!B53)</f>
        <v>Motiejaus Gustaičio memorialinio namo kompleksinis sutvarkymas</v>
      </c>
      <c r="E53" s="1273" t="str">
        <f>CONCATENATE('ES lėšos'!D53)</f>
        <v>Lazdijų rajono savivaldybės administracija</v>
      </c>
      <c r="F53" s="1273" t="str">
        <f>CONCATENATE('ES lėšos'!E53)</f>
        <v>Lazdijų r. sav.</v>
      </c>
      <c r="G53" s="1285">
        <v>42765</v>
      </c>
      <c r="H53" s="1278" t="s">
        <v>1870</v>
      </c>
      <c r="I53" s="1279">
        <f>SUM('ES lėšos'!H53)</f>
        <v>206056</v>
      </c>
      <c r="J53" s="1280">
        <f>SUM('ES lėšos'!I53)</f>
        <v>206056</v>
      </c>
      <c r="K53" s="1279">
        <f t="shared" si="2"/>
        <v>0</v>
      </c>
      <c r="L53" s="1281">
        <f>IF(J53&gt;0,'ketv. 6 '!AF69/'ketv. 6 '!L69,"finansavimas dar neskirtas")</f>
        <v>0.84999938123661922</v>
      </c>
      <c r="M53" s="1289">
        <f>SUMIF(Projektu_sutarciu_ataskaita!$J$19:$J$600,C53,Projektu_sutarciu_ataskaita!$BP$19:$BP$600)</f>
        <v>43861</v>
      </c>
      <c r="N53" s="1283">
        <f>IF('ketv. 5 '!U69=0,'ketv. 5 '!R69,'ketv. 5 '!U69)</f>
        <v>43830</v>
      </c>
      <c r="O53" s="1289">
        <f>SUMIF(Projektu_sutarciu_ataskaita!$J$19:$J$600,C53,Projektu_sutarciu_ataskaita!$BO$19:$BO$600)</f>
        <v>42501</v>
      </c>
      <c r="P53" s="1289">
        <f>SUMIF(Projektu_sutarciu_ataskaita!$J$19:$J$600,C53,Projektu_sutarciu_ataskaita!$L$19:$L$600)</f>
        <v>43335</v>
      </c>
      <c r="Q53" s="1290">
        <f t="shared" si="6"/>
        <v>44.712328767123289</v>
      </c>
      <c r="R53" s="1280">
        <f>SUM('ketv. 7 '!AL68)</f>
        <v>16168.310000000001</v>
      </c>
      <c r="S53" s="1280">
        <f>SUMIF('mokėjimų ataskaita'!I64:I651,C53,'mokėjimų ataskaita'!AK64:AK651)/2</f>
        <v>16168.310000000001</v>
      </c>
      <c r="T53" s="1280">
        <f>SUMIF('mokėjimų ataskaita'!I64:I651,C53,'mokėjimų ataskaita'!BS64:BS651)/2</f>
        <v>16271.16</v>
      </c>
      <c r="U53" s="1281">
        <f t="shared" si="4"/>
        <v>7.8465611290134726E-2</v>
      </c>
      <c r="V53" s="1309"/>
      <c r="W53" s="1309" t="s">
        <v>1914</v>
      </c>
      <c r="X53" s="1313" t="s">
        <v>1928</v>
      </c>
      <c r="Y53" s="1273"/>
      <c r="Z53" s="1273"/>
    </row>
    <row r="54" spans="1:26" ht="48">
      <c r="A54" s="1278">
        <f>SUM('ES lėšos'!A54)</f>
        <v>53</v>
      </c>
      <c r="B54" s="1273" t="str">
        <f>CONCATENATE('ES lėšos'!C54)</f>
        <v>05.4.1-CPVA-R-302</v>
      </c>
      <c r="C54" s="1273" t="str">
        <f>CONCATENATE('ketv. 4 '!C71)</f>
        <v>05.4.1-CPVA-R-302-11-0004</v>
      </c>
      <c r="D54" s="1273" t="str">
        <f>CONCATENATE('ES lėšos'!B54)</f>
        <v>Kurnėnų Lauryno Radziukyno mokyklos pritaikymas kultūrinėms ir turistinėms reikmėms</v>
      </c>
      <c r="E54" s="1273" t="str">
        <f>CONCATENATE('ES lėšos'!D54)</f>
        <v>Alytaus rajono savivaldybės administracija</v>
      </c>
      <c r="F54" s="1273" t="str">
        <f>CONCATENATE('ES lėšos'!E54)</f>
        <v>Alytaus r. sav.</v>
      </c>
      <c r="G54" s="1285">
        <v>42968</v>
      </c>
      <c r="H54" s="1278" t="s">
        <v>1873</v>
      </c>
      <c r="I54" s="1279">
        <f>SUM('ES lėšos'!H54)</f>
        <v>206056</v>
      </c>
      <c r="J54" s="1280">
        <f>SUM('ES lėšos'!I54)</f>
        <v>199641.66</v>
      </c>
      <c r="K54" s="1279">
        <f t="shared" si="2"/>
        <v>6414.3399999999965</v>
      </c>
      <c r="L54" s="1281">
        <f>IF(J54&gt;0,'ketv. 6 '!AF70/'ketv. 6 '!L70,"finansavimas dar neskirtas")</f>
        <v>0.84999996806778833</v>
      </c>
      <c r="M54" s="1289"/>
      <c r="N54" s="1283">
        <f>IF('ketv. 5 '!U70=0,'ketv. 5 '!R70,'ketv. 5 '!U70)</f>
        <v>44196</v>
      </c>
      <c r="O54" s="1289"/>
      <c r="P54" s="1289"/>
      <c r="Q54" s="1290"/>
      <c r="R54" s="1280">
        <f>SUM('ketv. 7 '!AL69)</f>
        <v>0</v>
      </c>
      <c r="S54" s="1280">
        <f>SUMIF('mokėjimų ataskaita'!I65:I652,C54,'mokėjimų ataskaita'!AK65:AK652)/2</f>
        <v>0</v>
      </c>
      <c r="T54" s="1280">
        <f>SUMIF('mokėjimų ataskaita'!I65:I652,C54,'mokėjimų ataskaita'!BS65:BS652)/2</f>
        <v>0</v>
      </c>
      <c r="U54" s="1281">
        <f t="shared" si="4"/>
        <v>0</v>
      </c>
      <c r="V54" s="1309"/>
      <c r="W54" s="1314" t="s">
        <v>1942</v>
      </c>
      <c r="X54" s="1313" t="s">
        <v>1918</v>
      </c>
      <c r="Y54" s="1273"/>
      <c r="Z54" s="1273"/>
    </row>
    <row r="55" spans="1:26" ht="36">
      <c r="A55" s="1278">
        <f>SUM('ES lėšos'!A55)</f>
        <v>54</v>
      </c>
      <c r="B55" s="1273" t="str">
        <f>CONCATENATE('ES lėšos'!C55)</f>
        <v>05.4.1-CPVA-R-302</v>
      </c>
      <c r="C55" s="1273" t="str">
        <f>CONCATENATE('ketv. 6 '!C71)</f>
        <v>05.4.1-CPVA-R-302-11-0005</v>
      </c>
      <c r="D55" s="1273" t="str">
        <f>CONCATENATE('ES lėšos'!B55)</f>
        <v>Vinco Krėvės-Mickevičiaus memorialinio muziejaus atnaujinimas</v>
      </c>
      <c r="E55" s="1273" t="str">
        <f>CONCATENATE('ES lėšos'!D55)</f>
        <v>Varėnos rajono savivaldybės administracija</v>
      </c>
      <c r="F55" s="1273" t="str">
        <f>CONCATENATE('ES lėšos'!E55)</f>
        <v>Varėnos r. sav.</v>
      </c>
      <c r="G55" s="1285">
        <v>42765</v>
      </c>
      <c r="H55" s="1278" t="s">
        <v>1869</v>
      </c>
      <c r="I55" s="1279">
        <f>SUM('ES lėšos'!H55)</f>
        <v>206056</v>
      </c>
      <c r="J55" s="1280">
        <f>SUM('ES lėšos'!I55)</f>
        <v>173914.72</v>
      </c>
      <c r="K55" s="1279">
        <f t="shared" si="2"/>
        <v>32141.279999999999</v>
      </c>
      <c r="L55" s="1281">
        <f>IF(J55&gt;0,'ketv. 6 '!AF71/'ketv. 6 '!L71,"finansavimas dar neskirtas")</f>
        <v>0.84999997067528377</v>
      </c>
      <c r="M55" s="1289">
        <f>SUMIF(Projektu_sutarciu_ataskaita!$J$19:$J$600,C55,Projektu_sutarciu_ataskaita!$BP$19:$BP$600)</f>
        <v>43951</v>
      </c>
      <c r="N55" s="1283">
        <f>IF('ketv. 5 '!U71=0,'ketv. 5 '!R71,'ketv. 5 '!U71)</f>
        <v>44196</v>
      </c>
      <c r="O55" s="1289">
        <f>SUMIF(Projektu_sutarciu_ataskaita!$J$19:$J$600,C55,Projektu_sutarciu_ataskaita!$BO$19:$BO$600)</f>
        <v>42515</v>
      </c>
      <c r="P55" s="1289">
        <f>SUMIF(Projektu_sutarciu_ataskaita!$J$19:$J$600,C55,Projektu_sutarciu_ataskaita!$L$19:$L$600)</f>
        <v>43307</v>
      </c>
      <c r="Q55" s="1290">
        <f>SUM((M55-O55)/(365/12))</f>
        <v>47.210958904109589</v>
      </c>
      <c r="R55" s="1292">
        <f>SUM('ketv. 7 '!AL70)</f>
        <v>14321.260000000002</v>
      </c>
      <c r="S55" s="1280">
        <f>SUMIF('mokėjimų ataskaita'!I66:I653,C55,'mokėjimų ataskaita'!AK66:AK653)/2</f>
        <v>14321.260000000002</v>
      </c>
      <c r="T55" s="1280">
        <f>SUMIF('mokėjimų ataskaita'!I66:I653,C55,'mokėjimų ataskaita'!BS66:BS653)/2</f>
        <v>14321.260000000002</v>
      </c>
      <c r="U55" s="1281">
        <f t="shared" si="4"/>
        <v>8.2346451180210639E-2</v>
      </c>
      <c r="V55" s="1309"/>
      <c r="W55" s="1309" t="s">
        <v>1914</v>
      </c>
      <c r="X55" s="1313" t="s">
        <v>1931</v>
      </c>
      <c r="Y55" s="1273"/>
      <c r="Z55" s="1273"/>
    </row>
    <row r="56" spans="1:26" ht="36">
      <c r="A56" s="1278">
        <f>SUM('ES lėšos'!A56)</f>
        <v>55</v>
      </c>
      <c r="B56" s="1273" t="str">
        <f>CONCATENATE('ES lėšos'!C56)</f>
        <v>04.5.1-TID-R-518</v>
      </c>
      <c r="C56" s="1278" t="str">
        <f>CONCATENATE('ketv. 6 '!C74)</f>
        <v>-</v>
      </c>
      <c r="D56" s="1273" t="str">
        <f>CONCATENATE('ES lėšos'!B56)</f>
        <v>Nekenksmingų aplinkai viešojo transporto priemonių įsigijimas Alytaus mieste</v>
      </c>
      <c r="E56" s="1273" t="str">
        <f>CONCATENATE('ES lėšos'!D56)</f>
        <v>Alytaus miesto savivaldybės administracija</v>
      </c>
      <c r="F56" s="1273" t="str">
        <f>CONCATENATE('ES lėšos'!E56)</f>
        <v>Alytaus m. sav.</v>
      </c>
      <c r="G56" s="1285" t="s">
        <v>66</v>
      </c>
      <c r="H56" s="1278" t="s">
        <v>66</v>
      </c>
      <c r="I56" s="1279">
        <f>SUM('ES lėšos'!H56)</f>
        <v>345177</v>
      </c>
      <c r="J56" s="1280">
        <f>SUM('ES lėšos'!I56)</f>
        <v>0</v>
      </c>
      <c r="K56" s="1279" t="str">
        <f t="shared" si="2"/>
        <v>finansavimas dar neskirtas</v>
      </c>
      <c r="L56" s="1281" t="str">
        <f>IF(J56&gt;0,'ketv. 6 '!AF74/'ketv. 6 '!L74,"finansavimas dar neskirtas")</f>
        <v>finansavimas dar neskirtas</v>
      </c>
      <c r="M56" s="1289"/>
      <c r="N56" s="1283">
        <f>IF('ketv. 5 '!U74=0,'ketv. 5 '!R74,'ketv. 5 '!U74)</f>
        <v>44377</v>
      </c>
      <c r="O56" s="1289"/>
      <c r="P56" s="1289"/>
      <c r="Q56" s="1290"/>
      <c r="R56" s="1280">
        <f>SUM('ketv. 7 '!AL72)</f>
        <v>0</v>
      </c>
      <c r="S56" s="1280">
        <f>SUMIF('mokėjimų ataskaita'!I67:I654,C56,'mokėjimų ataskaita'!AK67:AK654)/2</f>
        <v>0</v>
      </c>
      <c r="T56" s="1280">
        <f>SUMIF('mokėjimų ataskaita'!I67:I654,C56,'mokėjimų ataskaita'!BS67:BS654)/2</f>
        <v>0</v>
      </c>
      <c r="U56" s="1281" t="str">
        <f t="shared" si="4"/>
        <v>finansavimas dar neskirtas</v>
      </c>
      <c r="V56" s="1309"/>
      <c r="W56" s="1314"/>
      <c r="X56" s="1313"/>
      <c r="Y56" s="1273"/>
      <c r="Z56" s="1273"/>
    </row>
    <row r="57" spans="1:26" ht="36">
      <c r="A57" s="1278">
        <f>SUM('ES lėšos'!A57)</f>
        <v>56</v>
      </c>
      <c r="B57" s="1273" t="str">
        <f>CONCATENATE('ES lėšos'!C57)</f>
        <v>04.5.1-TID-R-518</v>
      </c>
      <c r="C57" s="1278" t="str">
        <f>CONCATENATE('ketv. 6 '!C75)</f>
        <v>-</v>
      </c>
      <c r="D57" s="1273" t="str">
        <f>CONCATENATE('ES lėšos'!B57)</f>
        <v>Vietinio susisiekimo transporto priemonių įsigijimas</v>
      </c>
      <c r="E57" s="1273" t="str">
        <f>CONCATENATE('ES lėšos'!D57)</f>
        <v>Alytaus rajono savivaldybės administracija</v>
      </c>
      <c r="F57" s="1273" t="str">
        <f>CONCATENATE('ES lėšos'!E57)</f>
        <v>Alytaus r. sav.</v>
      </c>
      <c r="G57" s="1285">
        <v>43279</v>
      </c>
      <c r="H57" s="1278" t="s">
        <v>1867</v>
      </c>
      <c r="I57" s="1279">
        <f>SUM('ES lėšos'!H57)</f>
        <v>277249</v>
      </c>
      <c r="J57" s="1280">
        <f>SUM('ES lėšos'!I57)</f>
        <v>0</v>
      </c>
      <c r="K57" s="1279" t="str">
        <f t="shared" si="2"/>
        <v>finansavimas dar neskirtas</v>
      </c>
      <c r="L57" s="1281" t="str">
        <f>IF(J57&gt;0,'ketv. 6 '!AF75/'ketv. 6 '!L75,"finansavimas dar neskirtas")</f>
        <v>finansavimas dar neskirtas</v>
      </c>
      <c r="M57" s="1289"/>
      <c r="N57" s="1283">
        <f>IF('ketv. 5 '!U75=0,'ketv. 5 '!R75,'ketv. 5 '!U75)</f>
        <v>44285</v>
      </c>
      <c r="O57" s="1289"/>
      <c r="P57" s="1289"/>
      <c r="Q57" s="1290"/>
      <c r="R57" s="1280">
        <f>SUM('ketv. 7 '!AL73)</f>
        <v>0</v>
      </c>
      <c r="S57" s="1280">
        <f>SUMIF('mokėjimų ataskaita'!I68:I655,C57,'mokėjimų ataskaita'!AK68:AK655)/2</f>
        <v>0</v>
      </c>
      <c r="T57" s="1280">
        <f>SUMIF('mokėjimų ataskaita'!I68:I655,C57,'mokėjimų ataskaita'!BS68:BS655)/2</f>
        <v>0</v>
      </c>
      <c r="U57" s="1281" t="str">
        <f t="shared" ref="U57:U88" si="7">IF(J57&gt;0,R57/J57,"finansavimas dar neskirtas")</f>
        <v>finansavimas dar neskirtas</v>
      </c>
      <c r="V57" s="1309"/>
      <c r="W57" s="1314"/>
      <c r="X57" s="1313"/>
      <c r="Y57" s="1273"/>
      <c r="Z57" s="1273"/>
    </row>
    <row r="58" spans="1:26" ht="36">
      <c r="A58" s="1278">
        <f>SUM('ES lėšos'!A58)</f>
        <v>57</v>
      </c>
      <c r="B58" s="1273" t="str">
        <f>CONCATENATE('ES lėšos'!C58)</f>
        <v>04.5.1-TID-R-518</v>
      </c>
      <c r="C58" s="1278" t="str">
        <f>CONCATENATE('ketv. 2'!B76)</f>
        <v>04.5.1-TID-R-518-11-0002</v>
      </c>
      <c r="D58" s="1273" t="str">
        <f>CONCATENATE('ES lėšos'!B58)</f>
        <v>Ekologiškų transporto priemonių įsigijimas Druskininkų savivaldybėje</v>
      </c>
      <c r="E58" s="1273" t="str">
        <f>CONCATENATE('ES lėšos'!D58)</f>
        <v xml:space="preserve">Druskininkų savivaldybės administracija  </v>
      </c>
      <c r="F58" s="1273" t="str">
        <f>CONCATENATE('ES lėšos'!E58)</f>
        <v>Druskininkų sav.</v>
      </c>
      <c r="G58" s="1285">
        <v>43081</v>
      </c>
      <c r="H58" s="1278" t="s">
        <v>1875</v>
      </c>
      <c r="I58" s="1279">
        <f>SUM('ES lėšos'!H58)</f>
        <v>417548</v>
      </c>
      <c r="J58" s="1280">
        <f>SUM('ES lėšos'!I58)</f>
        <v>417548</v>
      </c>
      <c r="K58" s="1279">
        <f t="shared" si="2"/>
        <v>0</v>
      </c>
      <c r="L58" s="1281">
        <f>IF(J58&gt;0,'ketv. 6 '!AF76/'ketv. 6 '!L76,"finansavimas dar neskirtas")</f>
        <v>0.60144185410049766</v>
      </c>
      <c r="M58" s="1289"/>
      <c r="N58" s="1283">
        <f>IF('ketv. 5 '!U76=0,'ketv. 5 '!R76,'ketv. 5 '!U76)</f>
        <v>43830</v>
      </c>
      <c r="O58" s="1289"/>
      <c r="P58" s="1289"/>
      <c r="Q58" s="1290"/>
      <c r="R58" s="1280">
        <f>SUM('ketv. 7 '!AL74)</f>
        <v>0</v>
      </c>
      <c r="S58" s="1280">
        <f>SUMIF('mokėjimų ataskaita'!I69:I656,C58,'mokėjimų ataskaita'!AK69:AK656)/2</f>
        <v>0</v>
      </c>
      <c r="T58" s="1280">
        <f>SUMIF('mokėjimų ataskaita'!I69:I656,C58,'mokėjimų ataskaita'!BS69:BS656)/2</f>
        <v>0</v>
      </c>
      <c r="U58" s="1281">
        <f t="shared" si="7"/>
        <v>0</v>
      </c>
      <c r="V58" s="1309"/>
      <c r="W58" s="1314" t="s">
        <v>1942</v>
      </c>
      <c r="X58" s="1313" t="s">
        <v>1921</v>
      </c>
      <c r="Y58" s="1273"/>
      <c r="Z58" s="1273"/>
    </row>
    <row r="59" spans="1:26" ht="36">
      <c r="A59" s="1278">
        <f>SUM('ES lėšos'!A59)</f>
        <v>58</v>
      </c>
      <c r="B59" s="1273" t="str">
        <f>CONCATENATE('ES lėšos'!C59)</f>
        <v>04.5.1-TID-R-518</v>
      </c>
      <c r="C59" s="1278" t="str">
        <f>CONCATENATE('ketv. 2'!B77)</f>
        <v>04.5.1-TID-R-518-11-0001</v>
      </c>
      <c r="D59" s="1273" t="str">
        <f>CONCATENATE('ES lėšos'!B59)</f>
        <v>Ekologiškų transporto priemonių įsigijimas Lazdijų rajono savivaldybėje</v>
      </c>
      <c r="E59" s="1273" t="str">
        <f>CONCATENATE('ES lėšos'!D59)</f>
        <v>Lazdijų rajono savivaldybės administracija</v>
      </c>
      <c r="F59" s="1273" t="str">
        <f>CONCATENATE('ES lėšos'!E59)</f>
        <v>Lazdijų r. sav.</v>
      </c>
      <c r="G59" s="1285">
        <v>42934</v>
      </c>
      <c r="H59" s="1278" t="s">
        <v>1874</v>
      </c>
      <c r="I59" s="1279">
        <f>SUM('ES lėšos'!H59)</f>
        <v>223297</v>
      </c>
      <c r="J59" s="1280">
        <f>SUM('ES lėšos'!I59)</f>
        <v>185436</v>
      </c>
      <c r="K59" s="1279">
        <f t="shared" si="2"/>
        <v>37861</v>
      </c>
      <c r="L59" s="1281">
        <f>IF(J59&gt;0,'ketv. 6 '!AF77/'ketv. 6 '!L77,"finansavimas dar neskirtas")</f>
        <v>0.85</v>
      </c>
      <c r="M59" s="1289"/>
      <c r="N59" s="1283">
        <f>IF('ketv. 5 '!U77=0,'ketv. 5 '!R77,'ketv. 5 '!U77)</f>
        <v>44165</v>
      </c>
      <c r="O59" s="1289"/>
      <c r="P59" s="1289"/>
      <c r="Q59" s="1290"/>
      <c r="R59" s="1280">
        <f>SUM('ketv. 7 '!AL75)</f>
        <v>0</v>
      </c>
      <c r="S59" s="1280">
        <f>SUMIF('mokėjimų ataskaita'!I70:I657,C59,'mokėjimų ataskaita'!AK70:AK657)/2</f>
        <v>0</v>
      </c>
      <c r="T59" s="1280">
        <f>SUMIF('mokėjimų ataskaita'!I70:I657,C59,'mokėjimų ataskaita'!BS70:BS657)/2</f>
        <v>0</v>
      </c>
      <c r="U59" s="1281">
        <f t="shared" si="7"/>
        <v>0</v>
      </c>
      <c r="V59" s="1309"/>
      <c r="W59" s="1314" t="s">
        <v>1942</v>
      </c>
      <c r="X59" s="1313" t="s">
        <v>1920</v>
      </c>
      <c r="Y59" s="1273"/>
      <c r="Z59" s="1273"/>
    </row>
    <row r="60" spans="1:26" ht="36">
      <c r="A60" s="1278">
        <f>SUM('ES lėšos'!A60)</f>
        <v>59</v>
      </c>
      <c r="B60" s="1273" t="str">
        <f>CONCATENATE('ES lėšos'!C60)</f>
        <v>04.5.1.-TID-R-514</v>
      </c>
      <c r="C60" s="1278" t="str">
        <f>CONCATENATE('ketv. 6 '!C79)</f>
        <v>-</v>
      </c>
      <c r="D60" s="1273" t="str">
        <f>CONCATENATE('ES lėšos'!B60)</f>
        <v>Darnaus judumo priemonių diegimas Alytaus mieste</v>
      </c>
      <c r="E60" s="1273" t="str">
        <f>CONCATENATE('ES lėšos'!D60)</f>
        <v>Alytaus miesto savivaldybės administracija</v>
      </c>
      <c r="F60" s="1273" t="str">
        <f>CONCATENATE('ES lėšos'!E60)</f>
        <v>Alytaus m. sav.</v>
      </c>
      <c r="G60" s="1285">
        <v>43377</v>
      </c>
      <c r="H60" s="1278" t="s">
        <v>1878</v>
      </c>
      <c r="I60" s="1279">
        <f>SUM('ES lėšos'!H60)</f>
        <v>971949</v>
      </c>
      <c r="J60" s="1280">
        <f>SUM('ES lėšos'!I60)</f>
        <v>0</v>
      </c>
      <c r="K60" s="1279" t="str">
        <f t="shared" si="2"/>
        <v>finansavimas dar neskirtas</v>
      </c>
      <c r="L60" s="1281" t="str">
        <f>IF(J60&gt;0,'ketv. 6 '!AF79/'ketv. 6 '!L79,"finansavimas dar neskirtas")</f>
        <v>finansavimas dar neskirtas</v>
      </c>
      <c r="M60" s="1289"/>
      <c r="N60" s="1283">
        <f>IF('ketv. 5 '!U79=0,'ketv. 5 '!R79,'ketv. 5 '!U79)</f>
        <v>44346</v>
      </c>
      <c r="O60" s="1289"/>
      <c r="P60" s="1289"/>
      <c r="Q60" s="1290"/>
      <c r="R60" s="1280">
        <f>SUM('ketv. 7 '!AL78)</f>
        <v>0</v>
      </c>
      <c r="S60" s="1280">
        <f>SUMIF('mokėjimų ataskaita'!I71:I658,C60,'mokėjimų ataskaita'!AK71:AK658)/2</f>
        <v>0</v>
      </c>
      <c r="T60" s="1280">
        <f>SUMIF('mokėjimų ataskaita'!I71:I658,C60,'mokėjimų ataskaita'!BS71:BS658)/2</f>
        <v>0</v>
      </c>
      <c r="U60" s="1281" t="str">
        <f t="shared" si="7"/>
        <v>finansavimas dar neskirtas</v>
      </c>
      <c r="V60" s="1309"/>
      <c r="W60" s="1314"/>
      <c r="X60" s="1313"/>
      <c r="Y60" s="1273"/>
      <c r="Z60" s="1273"/>
    </row>
    <row r="61" spans="1:26" ht="36">
      <c r="A61" s="1278">
        <f>SUM('ES lėšos'!A61)</f>
        <v>60</v>
      </c>
      <c r="B61" s="1273" t="str">
        <f>CONCATENATE('ES lėšos'!C61)</f>
        <v>04.5.1.-TID-R-514</v>
      </c>
      <c r="C61" s="1278" t="str">
        <f>CONCATENATE('ketv. 6 '!C81)</f>
        <v>-</v>
      </c>
      <c r="D61" s="1273" t="str">
        <f>CONCATENATE('ES lėšos'!B61)</f>
        <v>Intelektinių transporto sistemų diegimas Druskininkuose</v>
      </c>
      <c r="E61" s="1273" t="str">
        <f>CONCATENATE('ES lėšos'!D61)</f>
        <v>Druskininkų savivaldybės administracija</v>
      </c>
      <c r="F61" s="1273" t="str">
        <f>CONCATENATE('ES lėšos'!E61)</f>
        <v>Druskininkų sav.</v>
      </c>
      <c r="G61" s="1285">
        <v>43291</v>
      </c>
      <c r="H61" s="1278" t="s">
        <v>1876</v>
      </c>
      <c r="I61" s="1279">
        <f>SUM('ES lėšos'!H61)</f>
        <v>136710.79999999999</v>
      </c>
      <c r="J61" s="1280">
        <f>SUM('ES lėšos'!I61)</f>
        <v>0</v>
      </c>
      <c r="K61" s="1279" t="str">
        <f t="shared" si="2"/>
        <v>finansavimas dar neskirtas</v>
      </c>
      <c r="L61" s="1281" t="str">
        <f>IF(J61&gt;0,'ketv. 6 '!AF81/'ketv. 6 '!L81,"finansavimas dar neskirtas")</f>
        <v>finansavimas dar neskirtas</v>
      </c>
      <c r="M61" s="1289"/>
      <c r="N61" s="1283">
        <f>IF('ketv. 5 '!U81=0,'ketv. 5 '!R81,'ketv. 5 '!U81)</f>
        <v>44003</v>
      </c>
      <c r="O61" s="1289"/>
      <c r="P61" s="1289"/>
      <c r="Q61" s="1290"/>
      <c r="R61" s="1280">
        <f>SUM('ketv. 7 '!AL80)</f>
        <v>0</v>
      </c>
      <c r="S61" s="1280">
        <f>SUMIF('mokėjimų ataskaita'!I72:I659,C61,'mokėjimų ataskaita'!AK72:AK659)/2</f>
        <v>0</v>
      </c>
      <c r="T61" s="1280">
        <f>SUMIF('mokėjimų ataskaita'!I72:I659,C61,'mokėjimų ataskaita'!BS72:BS659)/2</f>
        <v>0</v>
      </c>
      <c r="U61" s="1281" t="str">
        <f t="shared" si="7"/>
        <v>finansavimas dar neskirtas</v>
      </c>
      <c r="V61" s="1309"/>
      <c r="W61" s="1314"/>
      <c r="X61" s="1313"/>
      <c r="Y61" s="1273"/>
      <c r="Z61" s="1273"/>
    </row>
    <row r="62" spans="1:26" ht="48">
      <c r="A62" s="1278">
        <f>SUM('ES lėšos'!A62)</f>
        <v>61</v>
      </c>
      <c r="B62" s="1273" t="str">
        <f>CONCATENATE('ES lėšos'!C62)</f>
        <v>04.5.1.-TID-R-514</v>
      </c>
      <c r="C62" s="1278" t="str">
        <f>CONCATENATE('ketv. 6 '!C83)</f>
        <v>-</v>
      </c>
      <c r="D62" s="1273" t="str">
        <f>CONCATENATE('ES lėšos'!B62)</f>
        <v>Viešojo transporto organizavimo tobulinimas rekonstruojant Druskininkų miesto gatvių infrastruktūrą</v>
      </c>
      <c r="E62" s="1273" t="str">
        <f>CONCATENATE('ES lėšos'!D62)</f>
        <v>Druskininkų savivaldybės administracija</v>
      </c>
      <c r="F62" s="1273" t="str">
        <f>CONCATENATE('ES lėšos'!E62)</f>
        <v>Druskininkų sav.</v>
      </c>
      <c r="G62" s="1285">
        <v>43291</v>
      </c>
      <c r="H62" s="1278" t="s">
        <v>1868</v>
      </c>
      <c r="I62" s="1279">
        <f>SUM('ES lėšos'!H62)</f>
        <v>246500</v>
      </c>
      <c r="J62" s="1280">
        <f>SUM('ES lėšos'!I62)</f>
        <v>0</v>
      </c>
      <c r="K62" s="1279" t="str">
        <f t="shared" si="2"/>
        <v>finansavimas dar neskirtas</v>
      </c>
      <c r="L62" s="1281" t="str">
        <f>IF(J62&gt;0,'ketv. 6 '!AF82/'ketv. 6 '!L82,"finansavimas dar neskirtas")</f>
        <v>finansavimas dar neskirtas</v>
      </c>
      <c r="M62" s="1289"/>
      <c r="N62" s="1283">
        <f>IF('ketv. 5 '!U83=0,'ketv. 5 '!R83,'ketv. 5 '!U83)</f>
        <v>44003</v>
      </c>
      <c r="O62" s="1289"/>
      <c r="P62" s="1289"/>
      <c r="Q62" s="1290"/>
      <c r="R62" s="1280">
        <f>SUM('ketv. 7 '!AL82)</f>
        <v>0</v>
      </c>
      <c r="S62" s="1280">
        <f>SUMIF('mokėjimų ataskaita'!I73:I660,C62,'mokėjimų ataskaita'!AK73:AK660)/2</f>
        <v>0</v>
      </c>
      <c r="T62" s="1280">
        <f>SUMIF('mokėjimų ataskaita'!I73:I660,C62,'mokėjimų ataskaita'!BS73:BS660)/2</f>
        <v>0</v>
      </c>
      <c r="U62" s="1281" t="str">
        <f t="shared" si="7"/>
        <v>finansavimas dar neskirtas</v>
      </c>
      <c r="V62" s="1309"/>
      <c r="W62" s="1314"/>
      <c r="X62" s="1313"/>
      <c r="Y62" s="1273"/>
      <c r="Z62" s="1273"/>
    </row>
    <row r="63" spans="1:26" ht="36">
      <c r="A63" s="1278">
        <f>SUM('ES lėšos'!A63)</f>
        <v>62</v>
      </c>
      <c r="B63" s="1273" t="str">
        <f>CONCATENATE('ES lėšos'!C63)</f>
        <v>04.5.1.-TID-R-514</v>
      </c>
      <c r="C63" s="1278" t="str">
        <f>CONCATENATE('ketv. 6 '!C84)</f>
        <v>-</v>
      </c>
      <c r="D63" s="1273" t="str">
        <f>CONCATENATE('ES lėšos'!B63)</f>
        <v>Vandens transporto infrastruktūros įrengimas skatinant kitų rūšių transportą</v>
      </c>
      <c r="E63" s="1273" t="str">
        <f>CONCATENATE('ES lėšos'!D63)</f>
        <v>Druskininkų savivaldybės administracija</v>
      </c>
      <c r="F63" s="1273" t="str">
        <f>CONCATENATE('ES lėšos'!E63)</f>
        <v>Druskininkų sav.</v>
      </c>
      <c r="G63" s="1285">
        <v>43291</v>
      </c>
      <c r="H63" s="1278" t="s">
        <v>1877</v>
      </c>
      <c r="I63" s="1279">
        <f>SUM('ES lėšos'!H63)</f>
        <v>212500</v>
      </c>
      <c r="J63" s="1280">
        <f>SUM('ES lėšos'!I63)</f>
        <v>0</v>
      </c>
      <c r="K63" s="1279" t="str">
        <f t="shared" si="2"/>
        <v>finansavimas dar neskirtas</v>
      </c>
      <c r="L63" s="1281" t="str">
        <f>IF(J63&gt;0,'ketv. 6 '!AF83/'ketv. 6 '!L83,"finansavimas dar neskirtas")</f>
        <v>finansavimas dar neskirtas</v>
      </c>
      <c r="M63" s="1289"/>
      <c r="N63" s="1283">
        <f>IF('ketv. 5 '!U84=0,'ketv. 5 '!R84,'ketv. 5 '!U84)</f>
        <v>44501</v>
      </c>
      <c r="O63" s="1289"/>
      <c r="P63" s="1289"/>
      <c r="Q63" s="1290"/>
      <c r="R63" s="1280">
        <f>SUM('ketv. 7 '!AL83)</f>
        <v>0</v>
      </c>
      <c r="S63" s="1280">
        <f>SUMIF('mokėjimų ataskaita'!I74:I661,C63,'mokėjimų ataskaita'!AK74:AK661)/2</f>
        <v>0</v>
      </c>
      <c r="T63" s="1280">
        <f>SUMIF('mokėjimų ataskaita'!I74:I661,C63,'mokėjimų ataskaita'!BS74:BS661)/2</f>
        <v>0</v>
      </c>
      <c r="U63" s="1281" t="str">
        <f t="shared" si="7"/>
        <v>finansavimas dar neskirtas</v>
      </c>
      <c r="V63" s="1309"/>
      <c r="W63" s="1314"/>
      <c r="X63" s="1313"/>
      <c r="Y63" s="1273"/>
      <c r="Z63" s="1273"/>
    </row>
    <row r="64" spans="1:26" ht="36">
      <c r="A64" s="1278">
        <f>SUM('ES lėšos'!A64)</f>
        <v>63</v>
      </c>
      <c r="B64" s="1273" t="str">
        <f>CONCATENATE('ES lėšos'!C64)</f>
        <v>04.5.1-TID-R-516</v>
      </c>
      <c r="C64" s="1273" t="str">
        <f>CONCATENATE('ketv. 6 '!C86)</f>
        <v>04.5.1-TID-R-516-11-0004</v>
      </c>
      <c r="D64" s="1273" t="str">
        <f>CONCATENATE('ES lėšos'!B64)</f>
        <v>Dviračių ir pėsčiųjų takų įrengimas Varėnos miesto J. Basanavičiaus ir Žiedo gatvėse</v>
      </c>
      <c r="E64" s="1273" t="str">
        <f>CONCATENATE('ES lėšos'!D64)</f>
        <v>Varėnos rajono savivaldybės administracija</v>
      </c>
      <c r="F64" s="1273" t="str">
        <f>CONCATENATE('ES lėšos'!E64)</f>
        <v>Varėnos r. sav.</v>
      </c>
      <c r="G64" s="1285">
        <v>42703</v>
      </c>
      <c r="H64" s="1278" t="s">
        <v>1859</v>
      </c>
      <c r="I64" s="1279">
        <f>SUM('ES lėšos'!H64)</f>
        <v>80810</v>
      </c>
      <c r="J64" s="1280">
        <f>SUM('ES lėšos'!I64)</f>
        <v>80810</v>
      </c>
      <c r="K64" s="1279">
        <f t="shared" si="2"/>
        <v>0</v>
      </c>
      <c r="L64" s="1281">
        <f>IF(J64&gt;0,'ketv. 6 '!AF86/'ketv. 6 '!L86,"finansavimas dar neskirtas")</f>
        <v>0.8499158603281447</v>
      </c>
      <c r="M64" s="1289">
        <f>SUMIF(Projektu_sutarciu_ataskaita!$J$19:$J$600,C64,Projektu_sutarciu_ataskaita!$BP$19:$BP$600)</f>
        <v>44104</v>
      </c>
      <c r="N64" s="1283">
        <f>IF('ketv. 5 '!U86=0,'ketv. 5 '!R86,'ketv. 5 '!U86)</f>
        <v>44104</v>
      </c>
      <c r="O64" s="1289">
        <f>SUMIF(Projektu_sutarciu_ataskaita!$J$19:$J$600,C64,Projektu_sutarciu_ataskaita!$BO$19:$BO$600)</f>
        <v>42878</v>
      </c>
      <c r="P64" s="1289">
        <f>SUMIF(Projektu_sutarciu_ataskaita!$J$19:$J$600,C64,Projektu_sutarciu_ataskaita!$L$19:$L$600)</f>
        <v>43193</v>
      </c>
      <c r="Q64" s="1290">
        <f>SUM((M64-P64)/(365/12))</f>
        <v>29.950684931506849</v>
      </c>
      <c r="R64" s="1280">
        <f>SUM('ketv. 7 '!AL85)</f>
        <v>65766.759999999995</v>
      </c>
      <c r="S64" s="1280">
        <f>SUMIF('mokėjimų ataskaita'!I13:I600,C64,'mokėjimų ataskaita'!AK13:AK600)/2</f>
        <v>65766.759999999995</v>
      </c>
      <c r="T64" s="1280">
        <f>SUMIF('mokėjimų ataskaita'!I13:I600,C64,'mokėjimų ataskaita'!BS13:BS600)/2</f>
        <v>42009.23</v>
      </c>
      <c r="U64" s="1281">
        <f t="shared" si="7"/>
        <v>0.81384432619725278</v>
      </c>
      <c r="V64" s="1309"/>
      <c r="W64" s="1309" t="s">
        <v>1914</v>
      </c>
      <c r="X64" s="1313" t="s">
        <v>1917</v>
      </c>
      <c r="Y64" s="1273"/>
      <c r="Z64" s="1273"/>
    </row>
    <row r="65" spans="1:26" ht="48">
      <c r="A65" s="1278">
        <f>SUM('ES lėšos'!A65)</f>
        <v>64</v>
      </c>
      <c r="B65" s="1273" t="str">
        <f>CONCATENATE('ES lėšos'!C65)</f>
        <v>04.5.1-TID-R-516</v>
      </c>
      <c r="C65" s="1273" t="str">
        <f>CONCATENATE('ketv. 6 '!C87)</f>
        <v>04.5.1-TID-R-516-11-0001</v>
      </c>
      <c r="D65" s="1273" t="str">
        <f>CONCATENATE('ES lėšos'!B65)</f>
        <v>Dviračių trasų infrastruktūros įrengimas nuo Putinų g. žiedo Pramonės gatvėje, Alytaus mieste</v>
      </c>
      <c r="E65" s="1273" t="str">
        <f>CONCATENATE('ES lėšos'!D65)</f>
        <v>Alytaus miesto savivaldybės administracija</v>
      </c>
      <c r="F65" s="1273" t="str">
        <f>CONCATENATE('ES lėšos'!E65)</f>
        <v>Alytaus m. sav.</v>
      </c>
      <c r="G65" s="1285">
        <v>42703</v>
      </c>
      <c r="H65" s="1278" t="s">
        <v>1879</v>
      </c>
      <c r="I65" s="1279">
        <f>SUM('ES lėšos'!H65)</f>
        <v>113619.56</v>
      </c>
      <c r="J65" s="1280">
        <f>SUM('ES lėšos'!I65)</f>
        <v>113619.55999999998</v>
      </c>
      <c r="K65" s="1279">
        <f t="shared" si="2"/>
        <v>1.4551915228366852E-11</v>
      </c>
      <c r="L65" s="1281">
        <f>IF(J65&gt;0,'ketv. 6 '!AF87/'ketv. 6 '!L87,"finansavimas dar neskirtas")</f>
        <v>0.85000000374055318</v>
      </c>
      <c r="M65" s="1289">
        <f>SUMIF(Projektu_sutarciu_ataskaita!$J$19:$J$600,C65,Projektu_sutarciu_ataskaita!$BP$19:$BP$600)</f>
        <v>43343</v>
      </c>
      <c r="N65" s="1283">
        <f>IF('ketv. 5 '!U87=0,'ketv. 5 '!R87,'ketv. 5 '!U87)</f>
        <v>43410</v>
      </c>
      <c r="O65" s="1289">
        <f>SUMIF(Projektu_sutarciu_ataskaita!$J$19:$J$600,C65,Projektu_sutarciu_ataskaita!$BO$19:$BO$600)</f>
        <v>42905</v>
      </c>
      <c r="P65" s="1289">
        <f>SUMIF(Projektu_sutarciu_ataskaita!$J$19:$J$600,C65,Projektu_sutarciu_ataskaita!$L$19:$L$600)</f>
        <v>42991</v>
      </c>
      <c r="Q65" s="1290">
        <f t="shared" ref="Q65:Q128" si="8">SUM((M65-P65)/(365/12))</f>
        <v>11.572602739726028</v>
      </c>
      <c r="R65" s="1292">
        <f>SUM('ketv. 7 '!AL86)</f>
        <v>113619.55999999998</v>
      </c>
      <c r="S65" s="1280">
        <f>SUMIF('mokėjimų ataskaita'!$I$14:$I$601,C65,'mokėjimų ataskaita'!$AK$14:$AK$601)/2</f>
        <v>113619.55999999998</v>
      </c>
      <c r="T65" s="1280">
        <f>SUMIF('mokėjimų ataskaita'!I14:I601,C65,'mokėjimų ataskaita'!BS14:BS601)/2</f>
        <v>113619.55999999998</v>
      </c>
      <c r="U65" s="1281">
        <f t="shared" si="7"/>
        <v>1</v>
      </c>
      <c r="V65" s="1309"/>
      <c r="W65" s="1309" t="s">
        <v>1914</v>
      </c>
      <c r="X65" s="1313" t="s">
        <v>1915</v>
      </c>
      <c r="Y65" s="1273"/>
      <c r="Z65" s="1273"/>
    </row>
    <row r="66" spans="1:26" ht="48">
      <c r="A66" s="1278">
        <f>SUM('ES lėšos'!A66)</f>
        <v>65</v>
      </c>
      <c r="B66" s="1273" t="str">
        <f>CONCATENATE('ES lėšos'!C66)</f>
        <v>04.5.1-TID-R-516</v>
      </c>
      <c r="C66" s="1273" t="str">
        <f>CONCATENATE('ketv. 6 '!C88)</f>
        <v>04.5.1-TID-R-516-11-0002</v>
      </c>
      <c r="D66" s="1273" t="str">
        <f>CONCATENATE('ES lėšos'!B66)</f>
        <v>Dviračių ir pėsčiųjų takų plėtra Lazdijų miesto Turistų gatvėje iki sodų bendrijos „Baltasis“ Lazdijų seniūnijoje</v>
      </c>
      <c r="E66" s="1273" t="str">
        <f>CONCATENATE('ES lėšos'!D66)</f>
        <v>Lazdijų rajono savivaldybės administracija</v>
      </c>
      <c r="F66" s="1273" t="str">
        <f>CONCATENATE('ES lėšos'!E66)</f>
        <v>Lazdijų r. sav.</v>
      </c>
      <c r="G66" s="1285">
        <v>42703</v>
      </c>
      <c r="H66" s="1278" t="s">
        <v>1860</v>
      </c>
      <c r="I66" s="1279">
        <f>SUM('ES lėšos'!H66)</f>
        <v>73501</v>
      </c>
      <c r="J66" s="1280">
        <f>SUM('ES lėšos'!I66)</f>
        <v>73501</v>
      </c>
      <c r="K66" s="1279">
        <f t="shared" si="2"/>
        <v>0</v>
      </c>
      <c r="L66" s="1281">
        <f>IF(J66&gt;0,'ketv. 6 '!AF88/'ketv. 6 '!L88,"finansavimas dar neskirtas")</f>
        <v>0.78243811211642689</v>
      </c>
      <c r="M66" s="1289">
        <f>SUMIF(Projektu_sutarciu_ataskaita!$J$19:$J$600,C66,Projektu_sutarciu_ataskaita!$BP$19:$BP$600)</f>
        <v>43465</v>
      </c>
      <c r="N66" s="1283">
        <f>IF('ketv. 5 '!U88=0,'ketv. 5 '!R88,'ketv. 5 '!U88)</f>
        <v>43830</v>
      </c>
      <c r="O66" s="1289">
        <f>SUMIF(Projektu_sutarciu_ataskaita!$J$19:$J$600,C66,Projektu_sutarciu_ataskaita!$BO$19:$BO$600)</f>
        <v>42773</v>
      </c>
      <c r="P66" s="1289">
        <f>SUMIF(Projektu_sutarciu_ataskaita!$J$19:$J$600,C66,Projektu_sutarciu_ataskaita!$L$19:$L$600)</f>
        <v>43119</v>
      </c>
      <c r="Q66" s="1290">
        <f t="shared" si="8"/>
        <v>11.375342465753425</v>
      </c>
      <c r="R66" s="1280">
        <f>SUM('ketv. 7 '!AL87)</f>
        <v>45882.680000000008</v>
      </c>
      <c r="S66" s="1280">
        <f>SUMIF('mokėjimų ataskaita'!$I$14:$I$601,C66,'mokėjimų ataskaita'!$AK$14:$AK$601)/2</f>
        <v>45882.680000000008</v>
      </c>
      <c r="T66" s="1280">
        <f>SUMIF('mokėjimų ataskaita'!I15:I602,C66,'mokėjimų ataskaita'!BS15:BS602)/2</f>
        <v>8760.4500000000007</v>
      </c>
      <c r="U66" s="1281">
        <f t="shared" si="7"/>
        <v>0.62424565652168007</v>
      </c>
      <c r="V66" s="1309"/>
      <c r="W66" s="1309" t="s">
        <v>1914</v>
      </c>
      <c r="X66" s="1313" t="s">
        <v>1916</v>
      </c>
      <c r="Y66" s="1273"/>
      <c r="Z66" s="1273"/>
    </row>
    <row r="67" spans="1:26" ht="36">
      <c r="A67" s="1278">
        <f>SUM('ES lėšos'!A67)</f>
        <v>66</v>
      </c>
      <c r="B67" s="1273" t="str">
        <f>CONCATENATE('ES lėšos'!C67)</f>
        <v>04.5.1-TID-R-516</v>
      </c>
      <c r="C67" s="1273" t="str">
        <f>CONCATENATE('ketv. 6 '!C89)</f>
        <v>04.5.1-TID-R-516-11-0005</v>
      </c>
      <c r="D67" s="1273" t="str">
        <f>CONCATENATE('ES lėšos'!B67)</f>
        <v>Pėsčiųjų ir dviračių takų plėtra Simno seniūnijoje</v>
      </c>
      <c r="E67" s="1273" t="str">
        <f>CONCATENATE('ES lėšos'!D67)</f>
        <v>Alytaus rajono savivaldybės administracija</v>
      </c>
      <c r="F67" s="1273" t="str">
        <f>CONCATENATE('ES lėšos'!E67)</f>
        <v>Alytaus r. sav.</v>
      </c>
      <c r="G67" s="1285">
        <v>42724</v>
      </c>
      <c r="H67" s="1278" t="s">
        <v>1874</v>
      </c>
      <c r="I67" s="1279">
        <f>SUM('ES lėšos'!H67)</f>
        <v>84107.13</v>
      </c>
      <c r="J67" s="1280">
        <f>SUM('ES lėšos'!I67)</f>
        <v>84107.13</v>
      </c>
      <c r="K67" s="1279">
        <f t="shared" ref="K67:K130" si="9">IF(J67&gt;0,I67-J67,"finansavimas dar neskirtas")</f>
        <v>0</v>
      </c>
      <c r="L67" s="1281">
        <f>IF(J67&gt;0,'ketv. 6 '!AF89/'ketv. 6 '!L89,"finansavimas dar neskirtas")</f>
        <v>0.85000004042463662</v>
      </c>
      <c r="M67" s="1289">
        <f>SUMIF(Projektu_sutarciu_ataskaita!$J$19:$J$600,C67,Projektu_sutarciu_ataskaita!$BP$19:$BP$600)</f>
        <v>43585</v>
      </c>
      <c r="N67" s="1283">
        <f>IF('ketv. 5 '!U89=0,'ketv. 5 '!R89,'ketv. 5 '!U89)</f>
        <v>43830</v>
      </c>
      <c r="O67" s="1289">
        <f>SUMIF(Projektu_sutarciu_ataskaita!$J$19:$J$600,C67,Projektu_sutarciu_ataskaita!$BO$19:$BO$600)</f>
        <v>43126</v>
      </c>
      <c r="P67" s="1289">
        <f>SUMIF(Projektu_sutarciu_ataskaita!$J$19:$J$600,C67,Projektu_sutarciu_ataskaita!$L$19:$L$600)</f>
        <v>43243</v>
      </c>
      <c r="Q67" s="1290">
        <f t="shared" si="8"/>
        <v>11.243835616438355</v>
      </c>
      <c r="R67" s="1292">
        <f>SUM('ketv. 7 '!AL88)</f>
        <v>77910.06</v>
      </c>
      <c r="S67" s="1280">
        <f>SUMIF('mokėjimų ataskaita'!$I$14:$I$601,C67,'mokėjimų ataskaita'!$AK$14:$AK$601)/2</f>
        <v>77910.06</v>
      </c>
      <c r="T67" s="1280">
        <f>SUMIF('mokėjimų ataskaita'!I16:I603,C67,'mokėjimų ataskaita'!BS16:BS603)/2</f>
        <v>14347.49</v>
      </c>
      <c r="U67" s="1281">
        <f t="shared" si="7"/>
        <v>0.92631932631633007</v>
      </c>
      <c r="V67" s="1309"/>
      <c r="W67" s="1309" t="s">
        <v>1914</v>
      </c>
      <c r="X67" s="1313" t="s">
        <v>1918</v>
      </c>
      <c r="Y67" s="1273"/>
      <c r="Z67" s="1273"/>
    </row>
    <row r="68" spans="1:26" ht="48">
      <c r="A68" s="1278">
        <f>SUM('ES lėšos'!A68)</f>
        <v>67</v>
      </c>
      <c r="B68" s="1273" t="str">
        <f>CONCATENATE('ES lėšos'!C68)</f>
        <v>04.5.1-TID-R-516</v>
      </c>
      <c r="C68" s="1278" t="str">
        <f>CONCATENATE('ketv. 6 '!C90)</f>
        <v>-</v>
      </c>
      <c r="D68" s="1273" t="str">
        <f>CONCATENATE('ES lėšos'!B68)</f>
        <v>Dviračių ir pėsčiųjų tako, esančio šalia Ratnyčios upelio Druskininkų mieste, rekonstrukcija</v>
      </c>
      <c r="E68" s="1273" t="str">
        <f>CONCATENATE('ES lėšos'!D68)</f>
        <v xml:space="preserve">Druskininkų savivaldybės administracija  </v>
      </c>
      <c r="F68" s="1273" t="str">
        <f>CONCATENATE('ES lėšos'!E68)</f>
        <v>Druskininkų sav.</v>
      </c>
      <c r="G68" s="1285">
        <v>42724</v>
      </c>
      <c r="H68" s="1278" t="s">
        <v>1880</v>
      </c>
      <c r="I68" s="1279">
        <f>SUM('ES lėšos'!H68)</f>
        <v>56623</v>
      </c>
      <c r="J68" s="1280">
        <f>SUM('ES lėšos'!I68)</f>
        <v>0</v>
      </c>
      <c r="K68" s="1279" t="str">
        <f t="shared" si="9"/>
        <v>finansavimas dar neskirtas</v>
      </c>
      <c r="L68" s="1281" t="str">
        <f>IF(J68&gt;0,'ketv. 6 '!AF90/'ketv. 6 '!L90,"finansavimas dar neskirtas")</f>
        <v>finansavimas dar neskirtas</v>
      </c>
      <c r="M68" s="1289"/>
      <c r="N68" s="1283">
        <f>IF('ketv. 5 '!U90=0,'ketv. 5 '!R90,'ketv. 5 '!U90)</f>
        <v>43997</v>
      </c>
      <c r="O68" s="1289"/>
      <c r="P68" s="1289"/>
      <c r="Q68" s="1290">
        <f t="shared" si="8"/>
        <v>0</v>
      </c>
      <c r="R68" s="1280">
        <f>SUM('ketv. 7 '!AL89)</f>
        <v>0</v>
      </c>
      <c r="S68" s="1280">
        <f>SUMIF('mokėjimų ataskaita'!$I$14:$I$601,C68,'mokėjimų ataskaita'!$AK$14:$AK$601)/2</f>
        <v>0</v>
      </c>
      <c r="T68" s="1280">
        <f>SUMIF('mokėjimų ataskaita'!I17:I604,C68,'mokėjimų ataskaita'!BS17:BS604)/2</f>
        <v>0</v>
      </c>
      <c r="U68" s="1281" t="str">
        <f t="shared" si="7"/>
        <v>finansavimas dar neskirtas</v>
      </c>
      <c r="V68" s="1309"/>
      <c r="W68" s="1314"/>
      <c r="X68" s="1313"/>
      <c r="Y68" s="1273"/>
      <c r="Z68" s="1273"/>
    </row>
    <row r="69" spans="1:26" ht="36">
      <c r="A69" s="1278">
        <f>SUM('ES lėšos'!A69)</f>
        <v>68</v>
      </c>
      <c r="B69" s="1273" t="str">
        <f>CONCATENATE('ES lėšos'!C69)</f>
        <v>06.2.1-TID-R-511</v>
      </c>
      <c r="C69" s="1273" t="str">
        <f>CONCATENATE('ketv. 6 '!C92)</f>
        <v>06.2.1-TID-R-511-11-0002</v>
      </c>
      <c r="D69" s="1273" t="str">
        <f>CONCATENATE('ES lėšos'!B69)</f>
        <v>Varėnos miesto J. Basanavičiaus, Savanorių, M. K. Čiurlionio gatvių rekonstrukcija</v>
      </c>
      <c r="E69" s="1273" t="str">
        <f>CONCATENATE('ES lėšos'!D69)</f>
        <v>Varėnos rajono savivaldybės administracija</v>
      </c>
      <c r="F69" s="1273" t="str">
        <f>CONCATENATE('ES lėšos'!E69)</f>
        <v>Varėnos r. sav.</v>
      </c>
      <c r="G69" s="1285">
        <v>42696</v>
      </c>
      <c r="H69" s="1278" t="s">
        <v>1881</v>
      </c>
      <c r="I69" s="1279">
        <f>SUM('ES lėšos'!H69)</f>
        <v>710144</v>
      </c>
      <c r="J69" s="1280">
        <f>SUM('ES lėšos'!I69)</f>
        <v>710144</v>
      </c>
      <c r="K69" s="1279">
        <f t="shared" si="9"/>
        <v>0</v>
      </c>
      <c r="L69" s="1281">
        <f>IF(J69&gt;0,'ketv. 6 '!AF92/'ketv. 6 '!L92,"finansavimas dar neskirtas")</f>
        <v>0.84999952122413414</v>
      </c>
      <c r="M69" s="1289">
        <f>SUMIF(Projektu_sutarciu_ataskaita!$J$19:$J$600,C69,Projektu_sutarciu_ataskaita!$BP$19:$BP$600)</f>
        <v>44074</v>
      </c>
      <c r="N69" s="1283">
        <f>IF('ketv. 5 '!U92=0,'ketv. 5 '!R92,'ketv. 5 '!U92)</f>
        <v>44196</v>
      </c>
      <c r="O69" s="1289">
        <f>SUMIF(Projektu_sutarciu_ataskaita!$J$19:$J$600,C69,Projektu_sutarciu_ataskaita!$BO$19:$BO$600)</f>
        <v>41975</v>
      </c>
      <c r="P69" s="1289">
        <f>SUMIF(Projektu_sutarciu_ataskaita!$J$19:$J$600,C69,Projektu_sutarciu_ataskaita!$L$19:$L$600)</f>
        <v>42992</v>
      </c>
      <c r="Q69" s="1290">
        <f t="shared" si="8"/>
        <v>35.572602739726022</v>
      </c>
      <c r="R69" s="1280">
        <f>SUM('ketv. 7 '!AL91)</f>
        <v>710143.99999999988</v>
      </c>
      <c r="S69" s="1280">
        <f>SUMIF('mokėjimų ataskaita'!$I$14:$I$601,C69,'mokėjimų ataskaita'!$AK$14:$AK$601)/2</f>
        <v>710143.99999999988</v>
      </c>
      <c r="T69" s="1280">
        <f>SUMIF('mokėjimų ataskaita'!I18:I605,C69,'mokėjimų ataskaita'!BS18:BS605)/2</f>
        <v>538622.16</v>
      </c>
      <c r="U69" s="1281">
        <f t="shared" si="7"/>
        <v>0.99999999999999989</v>
      </c>
      <c r="V69" s="1309"/>
      <c r="W69" s="1309" t="s">
        <v>1914</v>
      </c>
      <c r="X69" s="1313" t="s">
        <v>1917</v>
      </c>
      <c r="Y69" s="1273"/>
      <c r="Z69" s="1273"/>
    </row>
    <row r="70" spans="1:26" ht="36">
      <c r="A70" s="1278">
        <f>SUM('ES lėšos'!A70)</f>
        <v>69</v>
      </c>
      <c r="B70" s="1273" t="str">
        <f>CONCATENATE('ES lėšos'!C70)</f>
        <v>06.2.1-TID-R-511</v>
      </c>
      <c r="C70" s="1273" t="str">
        <f>CONCATENATE('ketv. 6 '!C93)</f>
        <v>06.2.1-TID-R-511-11-0001</v>
      </c>
      <c r="D70" s="1273" t="str">
        <f>CONCATENATE('ES lėšos'!B70)</f>
        <v>Perspektyvinės gatvės nuo Pramonės g. iki Naujosios g. Alytuje įrengimas</v>
      </c>
      <c r="E70" s="1273" t="str">
        <f>CONCATENATE('ES lėšos'!D70)</f>
        <v>Alytaus miesto savivaldybės administracija</v>
      </c>
      <c r="F70" s="1273" t="str">
        <f>CONCATENATE('ES lėšos'!E70)</f>
        <v>Alytaus m. sav.</v>
      </c>
      <c r="G70" s="1285">
        <v>42710</v>
      </c>
      <c r="H70" s="1278" t="s">
        <v>1882</v>
      </c>
      <c r="I70" s="1279">
        <f>SUM('ES lėšos'!H70)</f>
        <v>747938</v>
      </c>
      <c r="J70" s="1280">
        <f>SUM('ES lėšos'!I70)</f>
        <v>747938</v>
      </c>
      <c r="K70" s="1279">
        <f t="shared" si="9"/>
        <v>0</v>
      </c>
      <c r="L70" s="1281">
        <f>IF(J70&gt;0,'ketv. 6 '!AF93/'ketv. 6 '!L93,"finansavimas dar neskirtas")</f>
        <v>0.84999999886354216</v>
      </c>
      <c r="M70" s="1289">
        <f>SUMIF(Projektu_sutarciu_ataskaita!$J$19:$J$600,C70,Projektu_sutarciu_ataskaita!$BP$19:$BP$600)</f>
        <v>43373</v>
      </c>
      <c r="N70" s="1283">
        <f>IF('ketv. 5 '!U93=0,'ketv. 5 '!R93,'ketv. 5 '!U93)</f>
        <v>43447</v>
      </c>
      <c r="O70" s="1289">
        <f>SUMIF(Projektu_sutarciu_ataskaita!$J$19:$J$600,C70,Projektu_sutarciu_ataskaita!$BO$19:$BO$600)</f>
        <v>41751</v>
      </c>
      <c r="P70" s="1289">
        <f>SUMIF(Projektu_sutarciu_ataskaita!$J$19:$J$600,C70,Projektu_sutarciu_ataskaita!$L$19:$L$600)</f>
        <v>42920</v>
      </c>
      <c r="Q70" s="1290">
        <f t="shared" si="8"/>
        <v>14.893150684931506</v>
      </c>
      <c r="R70" s="1280">
        <f>SUM('ketv. 7 '!AL92)</f>
        <v>747938</v>
      </c>
      <c r="S70" s="1280">
        <f>SUMIF('mokėjimų ataskaita'!$I$14:$I$601,C70,'mokėjimų ataskaita'!$AK$14:$AK$601)/2</f>
        <v>747938</v>
      </c>
      <c r="T70" s="1280">
        <f>SUMIF('mokėjimų ataskaita'!I19:I606,C70,'mokėjimų ataskaita'!BS19:BS606)/2</f>
        <v>669660.37</v>
      </c>
      <c r="U70" s="1281">
        <f t="shared" si="7"/>
        <v>1</v>
      </c>
      <c r="V70" s="1309"/>
      <c r="W70" s="1309" t="s">
        <v>1914</v>
      </c>
      <c r="X70" s="1313" t="s">
        <v>1936</v>
      </c>
      <c r="Y70" s="1273"/>
      <c r="Z70" s="1273"/>
    </row>
    <row r="71" spans="1:26" ht="36">
      <c r="A71" s="1278">
        <f>SUM('ES lėšos'!A71)</f>
        <v>70</v>
      </c>
      <c r="B71" s="1273" t="str">
        <f>CONCATENATE('ES lėšos'!C71)</f>
        <v>06.2.1-TID-R-511</v>
      </c>
      <c r="C71" s="1273" t="str">
        <f>CONCATENATE('ketv. 2'!B94)</f>
        <v>06.2.1-TID-R-511-11-0008</v>
      </c>
      <c r="D71" s="1273" t="str">
        <f>CONCATENATE('ES lėšos'!B71)</f>
        <v>Saugaus eismo priemonių diegimas Alytaus mieste</v>
      </c>
      <c r="E71" s="1273" t="str">
        <f>CONCATENATE('ES lėšos'!D71)</f>
        <v>Alytaus miesto savivaldybės administracija</v>
      </c>
      <c r="F71" s="1273" t="str">
        <f>CONCATENATE('ES lėšos'!E71)</f>
        <v>Alytaus m. sav.</v>
      </c>
      <c r="G71" s="1285">
        <v>42691</v>
      </c>
      <c r="H71" s="1278" t="s">
        <v>1883</v>
      </c>
      <c r="I71" s="1279">
        <f>SUM('ES lėšos'!H71)</f>
        <v>250299</v>
      </c>
      <c r="J71" s="1280">
        <f>SUM('ES lėšos'!I71)</f>
        <v>233024.78</v>
      </c>
      <c r="K71" s="1279">
        <f t="shared" si="9"/>
        <v>17274.22</v>
      </c>
      <c r="L71" s="1281">
        <f>IF(J71&gt;0,'ketv. 6 '!AF94/'ketv. 6 '!L94,"finansavimas dar neskirtas")</f>
        <v>0.85</v>
      </c>
      <c r="M71" s="1289"/>
      <c r="N71" s="1283">
        <f>IF('ketv. 5 '!U94=0,'ketv. 5 '!R94,'ketv. 5 '!U94)</f>
        <v>43829</v>
      </c>
      <c r="O71" s="1289"/>
      <c r="P71" s="1289"/>
      <c r="Q71" s="1290">
        <f t="shared" si="8"/>
        <v>0</v>
      </c>
      <c r="R71" s="1280">
        <f>SUM('ketv. 7 '!AL93)</f>
        <v>0</v>
      </c>
      <c r="S71" s="1280">
        <f>SUMIF('mokėjimų ataskaita'!$I$14:$I$601,C71,'mokėjimų ataskaita'!$AK$14:$AK$601)/2</f>
        <v>0</v>
      </c>
      <c r="T71" s="1280">
        <f>SUMIF('mokėjimų ataskaita'!I20:I607,C71,'mokėjimų ataskaita'!BS20:BS607)/2</f>
        <v>0</v>
      </c>
      <c r="U71" s="1281">
        <f t="shared" si="7"/>
        <v>0</v>
      </c>
      <c r="V71" s="1309"/>
      <c r="W71" s="1314" t="s">
        <v>1942</v>
      </c>
      <c r="X71" s="1313" t="s">
        <v>1939</v>
      </c>
      <c r="Y71" s="1273"/>
      <c r="Z71" s="1273"/>
    </row>
    <row r="72" spans="1:26" ht="36">
      <c r="A72" s="1278">
        <f>SUM('ES lėšos'!A72)</f>
        <v>71</v>
      </c>
      <c r="B72" s="1273" t="str">
        <f>CONCATENATE('ES lėšos'!C72)</f>
        <v>06.2.1-TID-R-511</v>
      </c>
      <c r="C72" s="1273" t="str">
        <f>CONCATENATE('ketv. 6 '!C95)</f>
        <v>06.2.1-TID-R-511-11-0006</v>
      </c>
      <c r="D72" s="1273" t="str">
        <f>CONCATENATE('ES lėšos'!B72)</f>
        <v>Eismo saugos priemonių diegimas Alytaus rajono savivaldybėje</v>
      </c>
      <c r="E72" s="1273" t="str">
        <f>CONCATENATE('ES lėšos'!D72)</f>
        <v>Alytaus rajono savivaldybės administracija</v>
      </c>
      <c r="F72" s="1273" t="str">
        <f>CONCATENATE('ES lėšos'!E72)</f>
        <v>Alytaus r. sav.</v>
      </c>
      <c r="G72" s="1285">
        <v>42691</v>
      </c>
      <c r="H72" s="1278" t="s">
        <v>1884</v>
      </c>
      <c r="I72" s="1279">
        <f>SUM('ES lėšos'!H72)</f>
        <v>200844</v>
      </c>
      <c r="J72" s="1280">
        <f>SUM('ES lėšos'!I72)</f>
        <v>200844</v>
      </c>
      <c r="K72" s="1279">
        <f t="shared" si="9"/>
        <v>0</v>
      </c>
      <c r="L72" s="1281">
        <f>IF(J72&gt;0,'ketv. 6 '!AF95/'ketv. 6 '!L95,"finansavimas dar neskirtas")</f>
        <v>0.7308255449661627</v>
      </c>
      <c r="M72" s="1289">
        <f>SUMIF(Projektu_sutarciu_ataskaita!$J$19:$J$600,C72,Projektu_sutarciu_ataskaita!$BP$19:$BP$600)</f>
        <v>43738</v>
      </c>
      <c r="N72" s="1283">
        <f>IF('ketv. 5 '!U95=0,'ketv. 5 '!R95,'ketv. 5 '!U95)</f>
        <v>43738</v>
      </c>
      <c r="O72" s="1289">
        <f>SUMIF(Projektu_sutarciu_ataskaita!$J$19:$J$600,C72,Projektu_sutarciu_ataskaita!$BO$19:$BO$600)</f>
        <v>43123</v>
      </c>
      <c r="P72" s="1289">
        <f>SUMIF(Projektu_sutarciu_ataskaita!$J$19:$J$600,C72,Projektu_sutarciu_ataskaita!$L$19:$L$600)</f>
        <v>43367</v>
      </c>
      <c r="Q72" s="1290">
        <f t="shared" si="8"/>
        <v>12.197260273972603</v>
      </c>
      <c r="R72" s="1280">
        <f>SUM('ketv. 7 '!AL94)</f>
        <v>141236.57999999999</v>
      </c>
      <c r="S72" s="1280">
        <f>SUMIF('mokėjimų ataskaita'!$I$14:$I$601,C72,'mokėjimų ataskaita'!$AK$14:$AK$601)/2</f>
        <v>141236.57999999999</v>
      </c>
      <c r="T72" s="1280">
        <f>SUMIF('mokėjimų ataskaita'!I21:I608,C72,'mokėjimų ataskaita'!BS21:BS608)/2</f>
        <v>0</v>
      </c>
      <c r="U72" s="1281">
        <f t="shared" si="7"/>
        <v>0.70321533130190594</v>
      </c>
      <c r="V72" s="1309"/>
      <c r="W72" s="1309" t="s">
        <v>1914</v>
      </c>
      <c r="X72" s="1313" t="s">
        <v>1918</v>
      </c>
      <c r="Y72" s="1273"/>
      <c r="Z72" s="1273"/>
    </row>
    <row r="73" spans="1:26" ht="36">
      <c r="A73" s="1278">
        <f>SUM('ES lėšos'!A73)</f>
        <v>72</v>
      </c>
      <c r="B73" s="1273" t="str">
        <f>CONCATENATE('ES lėšos'!C73)</f>
        <v>06.2.1-TID-R-511</v>
      </c>
      <c r="C73" s="1273" t="str">
        <f>CONCATENATE('ketv. 2'!B96)</f>
        <v>06.2.1-TID-R-511-11-0007</v>
      </c>
      <c r="D73" s="1273" t="str">
        <f>CONCATENATE('ES lėšos'!B73)</f>
        <v>M.K. Čiurlionio gatvės atkarpos Druskininkų m. rekonstrukcija</v>
      </c>
      <c r="E73" s="1273" t="str">
        <f>CONCATENATE('ES lėšos'!D73)</f>
        <v xml:space="preserve">Druskininkų savivaldybės administracija  </v>
      </c>
      <c r="F73" s="1273" t="str">
        <f>CONCATENATE('ES lėšos'!E73)</f>
        <v>Druskininkų sav.</v>
      </c>
      <c r="G73" s="1285">
        <v>42696</v>
      </c>
      <c r="H73" s="1278" t="s">
        <v>1885</v>
      </c>
      <c r="I73" s="1279">
        <f>SUM('ES lėšos'!H73)</f>
        <v>384649</v>
      </c>
      <c r="J73" s="1280">
        <f>SUM('ES lėšos'!I73)</f>
        <v>346184.1</v>
      </c>
      <c r="K73" s="1279">
        <f t="shared" si="9"/>
        <v>38464.900000000023</v>
      </c>
      <c r="L73" s="1281">
        <f>IF(J73&gt;0,'ketv. 6 '!AF96/'ketv. 6 '!L96,"finansavimas dar neskirtas")</f>
        <v>0.37769666200317514</v>
      </c>
      <c r="M73" s="1289"/>
      <c r="N73" s="1283">
        <f>IF('ketv. 5 '!U96=0,'ketv. 5 '!R96,'ketv. 5 '!U96)</f>
        <v>43830</v>
      </c>
      <c r="O73" s="1289"/>
      <c r="P73" s="1289"/>
      <c r="Q73" s="1290">
        <f t="shared" si="8"/>
        <v>0</v>
      </c>
      <c r="R73" s="1280">
        <f>SUM('ketv. 7 '!AL95)</f>
        <v>103855.23</v>
      </c>
      <c r="S73" s="1280">
        <f>SUMIF('mokėjimų ataskaita'!$I$14:$I$601,C73,'mokėjimų ataskaita'!$AK$14:$AK$601)/2</f>
        <v>103855.23</v>
      </c>
      <c r="T73" s="1280">
        <f>SUMIF('mokėjimų ataskaita'!I22:I609,C73,'mokėjimų ataskaita'!BS22:BS609)/2</f>
        <v>0</v>
      </c>
      <c r="U73" s="1281">
        <f t="shared" si="7"/>
        <v>0.3</v>
      </c>
      <c r="V73" s="1309"/>
      <c r="W73" s="1314" t="s">
        <v>1942</v>
      </c>
      <c r="X73" s="1313" t="s">
        <v>1938</v>
      </c>
      <c r="Y73" s="1273"/>
      <c r="Z73" s="1273"/>
    </row>
    <row r="74" spans="1:26" ht="48">
      <c r="A74" s="1278">
        <f>SUM('ES lėšos'!A74)</f>
        <v>73</v>
      </c>
      <c r="B74" s="1273" t="str">
        <f>CONCATENATE('ES lėšos'!C74)</f>
        <v>06.2.1-TID-R-511</v>
      </c>
      <c r="C74" s="1273" t="str">
        <f>CONCATENATE('ketv. 6 '!C97)</f>
        <v>06.2.1-TID-R-511-11-0004</v>
      </c>
      <c r="D74" s="1273" t="str">
        <f>CONCATENATE('ES lėšos'!B74)</f>
        <v>Lazdijų miesto Seinų ir Lazdijos gatvių bei vietinės reikšmės kelio nuo Janonio gatvės iki Lazdijų hipodromo rekonstravimas</v>
      </c>
      <c r="E74" s="1273" t="str">
        <f>CONCATENATE('ES lėšos'!D74)</f>
        <v>Lazdijų rajono savivaldybės administracija</v>
      </c>
      <c r="F74" s="1273" t="str">
        <f>CONCATENATE('ES lėšos'!E74)</f>
        <v>Lazdijų r. sav.</v>
      </c>
      <c r="G74" s="1285">
        <v>42705</v>
      </c>
      <c r="H74" s="1278" t="s">
        <v>1886</v>
      </c>
      <c r="I74" s="1279">
        <f>SUM('ES lėšos'!H74)</f>
        <v>645944</v>
      </c>
      <c r="J74" s="1280">
        <f>SUM('ES lėšos'!I74)</f>
        <v>645944</v>
      </c>
      <c r="K74" s="1279">
        <f t="shared" si="9"/>
        <v>0</v>
      </c>
      <c r="L74" s="1281">
        <f>IF(J74&gt;0,'ketv. 6 '!AF97/'ketv. 6 '!L97,"finansavimas dar neskirtas")</f>
        <v>0.85000013159037491</v>
      </c>
      <c r="M74" s="1289">
        <f>SUMIF(Projektu_sutarciu_ataskaita!$J$19:$J$600,C74,Projektu_sutarciu_ataskaita!$BP$19:$BP$600)</f>
        <v>43738</v>
      </c>
      <c r="N74" s="1283">
        <f>IF('ketv. 5 '!U97=0,'ketv. 5 '!R97,'ketv. 5 '!U97)</f>
        <v>43830</v>
      </c>
      <c r="O74" s="1289">
        <f>SUMIF(Projektu_sutarciu_ataskaita!$J$19:$J$600,C74,Projektu_sutarciu_ataskaita!$BO$19:$BO$600)</f>
        <v>42765</v>
      </c>
      <c r="P74" s="1289">
        <f>SUMIF(Projektu_sutarciu_ataskaita!$J$19:$J$600,C74,Projektu_sutarciu_ataskaita!$L$19:$L$600)</f>
        <v>43217</v>
      </c>
      <c r="Q74" s="1290">
        <f t="shared" si="8"/>
        <v>17.12876712328767</v>
      </c>
      <c r="R74" s="1280">
        <f>SUM('ketv. 7 '!AL96)</f>
        <v>556085.34</v>
      </c>
      <c r="S74" s="1280">
        <f>SUMIF('mokėjimų ataskaita'!$I$14:$I$601,C74,'mokėjimų ataskaita'!$AK$14:$AK$601)/2</f>
        <v>556085.34</v>
      </c>
      <c r="T74" s="1280">
        <f>SUMIF('mokėjimų ataskaita'!I23:I610,C74,'mokėjimų ataskaita'!BS23:BS610)/2</f>
        <v>397251.81000000006</v>
      </c>
      <c r="U74" s="1281">
        <f t="shared" si="7"/>
        <v>0.86088784786297257</v>
      </c>
      <c r="V74" s="1309"/>
      <c r="W74" s="1309" t="s">
        <v>1914</v>
      </c>
      <c r="X74" s="1313" t="s">
        <v>1937</v>
      </c>
      <c r="Y74" s="1273"/>
      <c r="Z74" s="1273"/>
    </row>
    <row r="75" spans="1:26" ht="36">
      <c r="A75" s="1278">
        <f>SUM('ES lėšos'!A75)</f>
        <v>74</v>
      </c>
      <c r="B75" s="1273" t="str">
        <f>CONCATENATE('ES lėšos'!C75)</f>
        <v>06.2.1-TID-R-511</v>
      </c>
      <c r="C75" s="1273" t="str">
        <f>CONCATENATE('ketv. 6 '!C98)</f>
        <v>06.2.1-TID-R-511-11-0009</v>
      </c>
      <c r="D75" s="1273" t="str">
        <f>CONCATENATE('ES lėšos'!B75)</f>
        <v>Eismo saugumo priemonių diegimas Druskininkų savivaldybėje</v>
      </c>
      <c r="E75" s="1273" t="str">
        <f>CONCATENATE('ES lėšos'!D75)</f>
        <v xml:space="preserve">Druskininkų savivaldybės administracija  </v>
      </c>
      <c r="F75" s="1273" t="str">
        <f>CONCATENATE('ES lėšos'!E75)</f>
        <v>Druskininkų sav.</v>
      </c>
      <c r="G75" s="1285" t="s">
        <v>66</v>
      </c>
      <c r="H75" s="1278" t="s">
        <v>66</v>
      </c>
      <c r="I75" s="1279">
        <f>SUM('ES lėšos'!H75)</f>
        <v>112989</v>
      </c>
      <c r="J75" s="1280">
        <f>SUM('ES lėšos'!I75)</f>
        <v>112989</v>
      </c>
      <c r="K75" s="1279">
        <f t="shared" si="9"/>
        <v>0</v>
      </c>
      <c r="L75" s="1281">
        <f>IF(J75&gt;0,'ketv. 6 '!AF98/'ketv. 6 '!L98,"finansavimas dar neskirtas")</f>
        <v>0.35235124893703523</v>
      </c>
      <c r="M75" s="1289"/>
      <c r="N75" s="1283">
        <f>IF('ketv. 5 '!U98=0,'ketv. 5 '!R98,'ketv. 5 '!U98)</f>
        <v>43830</v>
      </c>
      <c r="O75" s="1289"/>
      <c r="P75" s="1289"/>
      <c r="Q75" s="1290">
        <f t="shared" si="8"/>
        <v>0</v>
      </c>
      <c r="R75" s="1280">
        <f>SUM('ketv. 7 '!AL97)</f>
        <v>0</v>
      </c>
      <c r="S75" s="1280">
        <f>SUMIF('mokėjimų ataskaita'!$I$14:$I$601,C75,'mokėjimų ataskaita'!$AK$14:$AK$601)/2</f>
        <v>0</v>
      </c>
      <c r="T75" s="1280">
        <f>SUMIF('mokėjimų ataskaita'!I24:I611,C75,'mokėjimų ataskaita'!BS24:BS611)/2</f>
        <v>0</v>
      </c>
      <c r="U75" s="1281">
        <f t="shared" si="7"/>
        <v>0</v>
      </c>
      <c r="V75" s="1309"/>
      <c r="W75" s="1314"/>
      <c r="X75" s="1313"/>
      <c r="Y75" s="1273"/>
      <c r="Z75" s="1273"/>
    </row>
    <row r="76" spans="1:26" ht="60">
      <c r="A76" s="1278">
        <f>SUM('ES lėšos'!A76)</f>
        <v>75</v>
      </c>
      <c r="B76" s="1273" t="str">
        <f>CONCATENATE('ES lėšos'!C76)</f>
        <v>09.1.3-CPVA-R-724</v>
      </c>
      <c r="C76" s="1273" t="str">
        <f>CONCATENATE('ketv. 6 '!C102)</f>
        <v>09.1.3-CPVA-R-724-11-0003</v>
      </c>
      <c r="D76" s="1273" t="str">
        <f>CONCATENATE('ES lėšos'!B76)</f>
        <v>Varėnos r. Merkinės Vinco Krėvės gimnazijos laisvų patalpų pritaikymas ikimokyklinio ir priešmokyklinio ugdymo grupėms įrengti</v>
      </c>
      <c r="E76" s="1273" t="str">
        <f>CONCATENATE('ES lėšos'!D76)</f>
        <v>Varėnos rajono savivaldybės administracija</v>
      </c>
      <c r="F76" s="1273" t="str">
        <f>CONCATENATE('ES lėšos'!E76)</f>
        <v>Varėnos r. sav.</v>
      </c>
      <c r="G76" s="1285">
        <v>42886</v>
      </c>
      <c r="H76" s="1278" t="s">
        <v>1889</v>
      </c>
      <c r="I76" s="1279">
        <f>SUM('ES lėšos'!H76)</f>
        <v>187385</v>
      </c>
      <c r="J76" s="1280">
        <f>SUM('ES lėšos'!I76)</f>
        <v>187385</v>
      </c>
      <c r="K76" s="1279">
        <f t="shared" si="9"/>
        <v>0</v>
      </c>
      <c r="L76" s="1281">
        <f>IF(J76&gt;0,'ketv. 6 '!AF102/'ketv. 6 '!L102,"finansavimas dar neskirtas")</f>
        <v>0.84999977319428632</v>
      </c>
      <c r="M76" s="1289">
        <f>SUMIF(Projektu_sutarciu_ataskaita!$J$19:$J$600,C76,Projektu_sutarciu_ataskaita!$BP$19:$BP$600)</f>
        <v>43738</v>
      </c>
      <c r="N76" s="1283">
        <f>IF('ketv. 5 '!U102=0,'ketv. 5 '!R102,'ketv. 5 '!U102)</f>
        <v>43830</v>
      </c>
      <c r="O76" s="1289">
        <f>SUMIF(Projektu_sutarciu_ataskaita!$J$19:$J$600,C76,Projektu_sutarciu_ataskaita!$BO$19:$BO$600)</f>
        <v>43117</v>
      </c>
      <c r="P76" s="1289">
        <f>SUMIF(Projektu_sutarciu_ataskaita!$J$19:$J$600,C76,Projektu_sutarciu_ataskaita!$L$19:$L$600)</f>
        <v>43117</v>
      </c>
      <c r="Q76" s="1290">
        <f t="shared" si="8"/>
        <v>20.416438356164385</v>
      </c>
      <c r="R76" s="1280">
        <f>SUM('ketv. 7 '!AL101)</f>
        <v>0</v>
      </c>
      <c r="S76" s="1280">
        <f>SUMIF('mokėjimų ataskaita'!$I$14:$I$601,C76,'mokėjimų ataskaita'!$AK$14:$AK$601)/2</f>
        <v>0</v>
      </c>
      <c r="T76" s="1280">
        <f>SUMIF('mokėjimų ataskaita'!I25:I612,C76,'mokėjimų ataskaita'!BS25:BS612)/2</f>
        <v>0</v>
      </c>
      <c r="U76" s="1281">
        <f t="shared" si="7"/>
        <v>0</v>
      </c>
      <c r="V76" s="1309"/>
      <c r="W76" s="1309" t="s">
        <v>1914</v>
      </c>
      <c r="X76" s="1313" t="s">
        <v>1941</v>
      </c>
      <c r="Y76" s="1273"/>
      <c r="Z76" s="1273"/>
    </row>
    <row r="77" spans="1:26" ht="48">
      <c r="A77" s="1278">
        <f>SUM('ES lėšos'!A77)</f>
        <v>76</v>
      </c>
      <c r="B77" s="1273" t="str">
        <f>CONCATENATE('ES lėšos'!C77)</f>
        <v>09.1.3-CPVA-R-724</v>
      </c>
      <c r="C77" s="1273" t="str">
        <f>CONCATENATE('ketv. 6 '!C103)</f>
        <v>09.1.3-CPVA-R-724-11-0005</v>
      </c>
      <c r="D77" s="1273" t="str">
        <f>CONCATENATE('ES lėšos'!B77)</f>
        <v>Alytaus rajono bendrojo ugdymo įstaigų aprūpinimas gamtos, technologijų, menų ir kitų mokslų laboratorijų įranga</v>
      </c>
      <c r="E77" s="1273" t="str">
        <f>CONCATENATE('ES lėšos'!D77)</f>
        <v>Alytaus rajono savivaldybės administracija</v>
      </c>
      <c r="F77" s="1273" t="str">
        <f>CONCATENATE('ES lėšos'!E77)</f>
        <v>Alytaus r. sav.</v>
      </c>
      <c r="G77" s="1285">
        <v>42887</v>
      </c>
      <c r="H77" s="1278" t="s">
        <v>1888</v>
      </c>
      <c r="I77" s="1279">
        <f>SUM('ES lėšos'!H77)</f>
        <v>90818</v>
      </c>
      <c r="J77" s="1280">
        <f>SUM('ES lėšos'!I77)</f>
        <v>90818</v>
      </c>
      <c r="K77" s="1279">
        <f t="shared" si="9"/>
        <v>0</v>
      </c>
      <c r="L77" s="1281">
        <f>IF(J77&gt;0,'ketv. 6 '!AF103/'ketv. 6 '!L103,"finansavimas dar neskirtas")</f>
        <v>0.84999439844912383</v>
      </c>
      <c r="M77" s="1289">
        <f>SUMIF(Projektu_sutarciu_ataskaita!$J$19:$J$600,C77,Projektu_sutarciu_ataskaita!$BP$19:$BP$600)</f>
        <v>43585</v>
      </c>
      <c r="N77" s="1283">
        <f>IF('ketv. 5 '!U103=0,'ketv. 5 '!R103,'ketv. 5 '!U103)</f>
        <v>43526</v>
      </c>
      <c r="O77" s="1289">
        <f>SUMIF(Projektu_sutarciu_ataskaita!$J$19:$J$600,C77,Projektu_sutarciu_ataskaita!$BO$19:$BO$600)</f>
        <v>43054</v>
      </c>
      <c r="P77" s="1289">
        <f>SUMIF(Projektu_sutarciu_ataskaita!$J$19:$J$600,C77,Projektu_sutarciu_ataskaita!$L$19:$L$600)</f>
        <v>43112</v>
      </c>
      <c r="Q77" s="1290">
        <f t="shared" si="8"/>
        <v>15.550684931506849</v>
      </c>
      <c r="R77" s="1280">
        <f>SUM('ketv. 7 '!AL102)</f>
        <v>50148.04</v>
      </c>
      <c r="S77" s="1280">
        <f>SUMIF('mokėjimų ataskaita'!$I$14:$I$601,C77,'mokėjimų ataskaita'!$AK$14:$AK$601)/2</f>
        <v>0</v>
      </c>
      <c r="T77" s="1280">
        <f>SUMIF('mokėjimų ataskaita'!I26:I613,C77,'mokėjimų ataskaita'!BS26:BS613)/2</f>
        <v>0</v>
      </c>
      <c r="U77" s="1281">
        <f t="shared" si="7"/>
        <v>0.55218172608954175</v>
      </c>
      <c r="V77" s="1309"/>
      <c r="W77" s="1309" t="s">
        <v>1914</v>
      </c>
      <c r="X77" s="1313" t="s">
        <v>1964</v>
      </c>
      <c r="Y77" s="1273"/>
      <c r="Z77" s="1273"/>
    </row>
    <row r="78" spans="1:26" ht="36">
      <c r="A78" s="1278">
        <f>SUM('ES lėšos'!A78)</f>
        <v>77</v>
      </c>
      <c r="B78" s="1273" t="str">
        <f>CONCATENATE('ES lėšos'!C78)</f>
        <v>09.1.3-CPVA-R-724</v>
      </c>
      <c r="C78" s="1273" t="str">
        <f>CONCATENATE('ketv. 6 '!C104)</f>
        <v>09.1.3-CPVA-R-724-11-0002</v>
      </c>
      <c r="D78" s="1273" t="str">
        <f>CONCATENATE('ES lėšos'!B78)</f>
        <v>Modernių ir saugių erdvių kūrimas Dzūkijos pagrindinėje mokykloje, Alytuje</v>
      </c>
      <c r="E78" s="1273" t="str">
        <f>CONCATENATE('ES lėšos'!D78)</f>
        <v>Alytaus miesto savivaldybės administracija</v>
      </c>
      <c r="F78" s="1273" t="str">
        <f>CONCATENATE('ES lėšos'!E78)</f>
        <v>Alytaus m. sav.</v>
      </c>
      <c r="G78" s="1285">
        <v>42926</v>
      </c>
      <c r="H78" s="1278" t="s">
        <v>1882</v>
      </c>
      <c r="I78" s="1279">
        <f>SUM('ES lėšos'!H78)</f>
        <v>558467</v>
      </c>
      <c r="J78" s="1280">
        <f>SUM('ES lėšos'!I78)</f>
        <v>558467</v>
      </c>
      <c r="K78" s="1279">
        <f t="shared" si="9"/>
        <v>0</v>
      </c>
      <c r="L78" s="1281">
        <f>IF(J78&gt;0,'ketv. 6 '!AF104/'ketv. 6 '!L104,"finansavimas dar neskirtas")</f>
        <v>0.84999870628183882</v>
      </c>
      <c r="M78" s="1289">
        <f>SUMIF(Projektu_sutarciu_ataskaita!$J$19:$J$600,C78,Projektu_sutarciu_ataskaita!$BP$19:$BP$600)</f>
        <v>43646</v>
      </c>
      <c r="N78" s="1283">
        <f>IF('ketv. 5 '!U104=0,'ketv. 5 '!R104,'ketv. 5 '!U104)</f>
        <v>43830</v>
      </c>
      <c r="O78" s="1289">
        <f>SUMIF(Projektu_sutarciu_ataskaita!$J$19:$J$600,C78,Projektu_sutarciu_ataskaita!$BO$19:$BO$600)</f>
        <v>42177</v>
      </c>
      <c r="P78" s="1289">
        <f>SUMIF(Projektu_sutarciu_ataskaita!$J$19:$J$600,C78,Projektu_sutarciu_ataskaita!$L$19:$L$600)</f>
        <v>43139</v>
      </c>
      <c r="Q78" s="1290">
        <f t="shared" si="8"/>
        <v>16.668493150684931</v>
      </c>
      <c r="R78" s="1280">
        <f>SUM('ketv. 7 '!AL103)</f>
        <v>301803.58</v>
      </c>
      <c r="S78" s="1280">
        <f>SUMIF('mokėjimų ataskaita'!$I$14:$I$601,C78,'mokėjimų ataskaita'!$AK$14:$AK$601)/2</f>
        <v>0</v>
      </c>
      <c r="T78" s="1280">
        <f>SUMIF('mokėjimų ataskaita'!I27:I614,C78,'mokėjimų ataskaita'!BS27:BS614)/2</f>
        <v>0</v>
      </c>
      <c r="U78" s="1281">
        <f t="shared" si="7"/>
        <v>0.54041434856491077</v>
      </c>
      <c r="V78" s="1309"/>
      <c r="W78" s="1309" t="s">
        <v>1914</v>
      </c>
      <c r="X78" s="1313" t="s">
        <v>1939</v>
      </c>
      <c r="Y78" s="1273"/>
      <c r="Z78" s="1273"/>
    </row>
    <row r="79" spans="1:26" ht="36">
      <c r="A79" s="1278">
        <f>SUM('ES lėšos'!A79)</f>
        <v>78</v>
      </c>
      <c r="B79" s="1273" t="str">
        <f>CONCATENATE('ES lėšos'!C79)</f>
        <v>09.1.3-CPVA-R-724</v>
      </c>
      <c r="C79" s="1273" t="str">
        <f>CONCATENATE('ketv. 6 '!C105)</f>
        <v>09.1.3-CPVA-R-724-11-0004</v>
      </c>
      <c r="D79" s="1273" t="str">
        <f>CONCATENATE('ES lėšos'!B79)</f>
        <v>Modernių ir saugių erdvių sukūrimas bendrojo ugdymo mokyklose Druskininkų sav.</v>
      </c>
      <c r="E79" s="1273" t="str">
        <f>CONCATENATE('ES lėšos'!D79)</f>
        <v>Druskininkų savivaldybės administracija</v>
      </c>
      <c r="F79" s="1273" t="str">
        <f>CONCATENATE('ES lėšos'!E79)</f>
        <v>Druskininkų sav.</v>
      </c>
      <c r="G79" s="1285">
        <v>42885</v>
      </c>
      <c r="H79" s="1278" t="s">
        <v>1877</v>
      </c>
      <c r="I79" s="1279">
        <f>SUM('ES lėšos'!H79)</f>
        <v>139295</v>
      </c>
      <c r="J79" s="1280">
        <f>SUM('ES lėšos'!I79)</f>
        <v>139295</v>
      </c>
      <c r="K79" s="1279">
        <f t="shared" si="9"/>
        <v>0</v>
      </c>
      <c r="L79" s="1281">
        <f>IF(J79&gt;0,'ketv. 6 '!AF105/'ketv. 6 '!L105,"finansavimas dar neskirtas")</f>
        <v>0.84999725403808957</v>
      </c>
      <c r="M79" s="1289">
        <f>SUMIF(Projektu_sutarciu_ataskaita!$J$19:$J$600,C79,Projektu_sutarciu_ataskaita!$BP$19:$BP$600)</f>
        <v>43555</v>
      </c>
      <c r="N79" s="1283">
        <f>IF('ketv. 5 '!U105=0,'ketv. 5 '!R105,'ketv. 5 '!U105)</f>
        <v>43830</v>
      </c>
      <c r="O79" s="1289">
        <f>SUMIF(Projektu_sutarciu_ataskaita!$J$19:$J$600,C79,Projektu_sutarciu_ataskaita!$BO$19:$BO$600)</f>
        <v>43098</v>
      </c>
      <c r="P79" s="1289">
        <f>SUMIF(Projektu_sutarciu_ataskaita!$J$19:$J$600,C79,Projektu_sutarciu_ataskaita!$L$19:$L$600)</f>
        <v>43098</v>
      </c>
      <c r="Q79" s="1290">
        <f t="shared" si="8"/>
        <v>15.024657534246575</v>
      </c>
      <c r="R79" s="1280">
        <f>SUM('ketv. 7 '!AL104)</f>
        <v>139228.57</v>
      </c>
      <c r="S79" s="1280">
        <f>SUMIF('mokėjimų ataskaita'!$I$14:$I$601,C79,'mokėjimų ataskaita'!$AK$14:$AK$601)/2</f>
        <v>0</v>
      </c>
      <c r="T79" s="1280">
        <f>SUMIF('mokėjimų ataskaita'!I28:I615,C79,'mokėjimų ataskaita'!BS28:BS615)/2</f>
        <v>0</v>
      </c>
      <c r="U79" s="1281">
        <f t="shared" si="7"/>
        <v>0.99952309846010268</v>
      </c>
      <c r="V79" s="1309"/>
      <c r="W79" s="1309" t="s">
        <v>1914</v>
      </c>
      <c r="X79" s="1313" t="s">
        <v>1938</v>
      </c>
      <c r="Y79" s="1273"/>
      <c r="Z79" s="1273"/>
    </row>
    <row r="80" spans="1:26" ht="48">
      <c r="A80" s="1278">
        <f>SUM('ES lėšos'!A80)</f>
        <v>79</v>
      </c>
      <c r="B80" s="1273" t="str">
        <f>CONCATENATE('ES lėšos'!C80)</f>
        <v>09.1.3-CPVA-R-724</v>
      </c>
      <c r="C80" s="1273" t="str">
        <f>CONCATENATE('ketv. 6 '!C106)</f>
        <v>09.1.3-CPVA-R-724-11-0001</v>
      </c>
      <c r="D80" s="1273" t="str">
        <f>CONCATENATE('ES lėšos'!B80)</f>
        <v>Modernių ir saugių erdvių sukūrimas bendrojo ugdymo įstaigose Lazdijų rajono savivaldybėje</v>
      </c>
      <c r="E80" s="1273" t="str">
        <f>CONCATENATE('ES lėšos'!D80)</f>
        <v>Lazdijų rajono savivaldybės administracija</v>
      </c>
      <c r="F80" s="1273" t="str">
        <f>CONCATENATE('ES lėšos'!E80)</f>
        <v>Lazdijų r. sav.</v>
      </c>
      <c r="G80" s="1285">
        <v>42887</v>
      </c>
      <c r="H80" s="1278" t="s">
        <v>1887</v>
      </c>
      <c r="I80" s="1279">
        <f>SUM('ES lėšos'!H80)</f>
        <v>166412</v>
      </c>
      <c r="J80" s="1280">
        <f>SUM('ES lėšos'!I80)</f>
        <v>166412</v>
      </c>
      <c r="K80" s="1279">
        <f t="shared" si="9"/>
        <v>0</v>
      </c>
      <c r="L80" s="1281">
        <f>IF(J80&gt;0,'ketv. 6 '!AF106/'ketv. 6 '!L106,"finansavimas dar neskirtas")</f>
        <v>0.84999923382998177</v>
      </c>
      <c r="M80" s="1289">
        <f>SUMIF(Projektu_sutarciu_ataskaita!$J$19:$J$600,C80,Projektu_sutarciu_ataskaita!$BP$19:$BP$600)</f>
        <v>43646</v>
      </c>
      <c r="N80" s="1283">
        <f>IF('ketv. 5 '!U106=0,'ketv. 5 '!R106,'ketv. 5 '!U106)</f>
        <v>43709</v>
      </c>
      <c r="O80" s="1289">
        <f>SUMIF(Projektu_sutarciu_ataskaita!$J$19:$J$600,C80,Projektu_sutarciu_ataskaita!$BO$19:$BO$600)</f>
        <v>42942</v>
      </c>
      <c r="P80" s="1289">
        <f>SUMIF(Projektu_sutarciu_ataskaita!$J$19:$J$600,C80,Projektu_sutarciu_ataskaita!$L$19:$L$600)</f>
        <v>43150</v>
      </c>
      <c r="Q80" s="1290">
        <f t="shared" si="8"/>
        <v>16.306849315068494</v>
      </c>
      <c r="R80" s="1280">
        <f>SUM('ketv. 7 '!AL105)</f>
        <v>164082.42000000001</v>
      </c>
      <c r="S80" s="1280">
        <f>SUMIF('mokėjimų ataskaita'!$I$14:$I$601,C80,'mokėjimų ataskaita'!$AK$14:$AK$601)/2</f>
        <v>0</v>
      </c>
      <c r="T80" s="1280">
        <f>SUMIF('mokėjimų ataskaita'!I29:I616,C80,'mokėjimų ataskaita'!BS29:BS616)/2</f>
        <v>64500.785000000003</v>
      </c>
      <c r="U80" s="1281">
        <f t="shared" si="7"/>
        <v>0.98600112972622178</v>
      </c>
      <c r="V80" s="1309"/>
      <c r="W80" s="1309" t="s">
        <v>1914</v>
      </c>
      <c r="X80" s="1313" t="s">
        <v>1963</v>
      </c>
      <c r="Y80" s="1273"/>
      <c r="Z80" s="1273"/>
    </row>
    <row r="81" spans="1:26" ht="36">
      <c r="A81" s="1278">
        <f>SUM('ES lėšos'!A81)</f>
        <v>80</v>
      </c>
      <c r="B81" s="1273" t="str">
        <f>CONCATENATE('ES lėšos'!C81)</f>
        <v>09.13.CPVA-R-725</v>
      </c>
      <c r="C81" s="1273" t="str">
        <f>CONCATENATE('ketv. 6 '!C108)</f>
        <v>09.1.3-CPVA-R-725-11-0003</v>
      </c>
      <c r="D81" s="1273" t="str">
        <f>CONCATENATE('ES lėšos'!B81)</f>
        <v>Varėnos moksleivių kūrybos centro pastato J.Basanavičiaus g. 38, Varėnoje, modernizavimas</v>
      </c>
      <c r="E81" s="1273" t="str">
        <f>CONCATENATE('ES lėšos'!D81)</f>
        <v>Varėnos rajono savivaldybės administracija</v>
      </c>
      <c r="F81" s="1273" t="str">
        <f>CONCATENATE('ES lėšos'!E81)</f>
        <v>Varėnos r. sav.</v>
      </c>
      <c r="G81" s="1285">
        <v>42895</v>
      </c>
      <c r="H81" s="1278" t="s">
        <v>1860</v>
      </c>
      <c r="I81" s="1279">
        <f>SUM('ES lėšos'!H81)</f>
        <v>371918</v>
      </c>
      <c r="J81" s="1280">
        <f>SUM('ES lėšos'!I81)</f>
        <v>371918</v>
      </c>
      <c r="K81" s="1279">
        <f t="shared" si="9"/>
        <v>0</v>
      </c>
      <c r="L81" s="1281">
        <f>IF(J81&gt;0,'ketv. 6 '!AF108/'ketv. 6 '!L108,"finansavimas dar neskirtas")</f>
        <v>0.84999920009324625</v>
      </c>
      <c r="M81" s="1289">
        <f>SUMIF(Projektu_sutarciu_ataskaita!$J$19:$J$600,C81,Projektu_sutarciu_ataskaita!$BP$19:$BP$600)</f>
        <v>43830</v>
      </c>
      <c r="N81" s="1283">
        <f>IF('ketv. 5 '!U108=0,'ketv. 5 '!R108,'ketv. 5 '!U108)</f>
        <v>43830</v>
      </c>
      <c r="O81" s="1289">
        <f>SUMIF(Projektu_sutarciu_ataskaita!$J$19:$J$600,C81,Projektu_sutarciu_ataskaita!$BO$19:$BO$600)</f>
        <v>42745</v>
      </c>
      <c r="P81" s="1289">
        <f>SUMIF(Projektu_sutarciu_ataskaita!$J$19:$J$600,C81,Projektu_sutarciu_ataskaita!$L$19:$L$600)</f>
        <v>43097</v>
      </c>
      <c r="Q81" s="1290">
        <f t="shared" si="8"/>
        <v>24.098630136986301</v>
      </c>
      <c r="R81" s="1280">
        <f>SUM('ketv. 7 '!AL107)</f>
        <v>21596.75</v>
      </c>
      <c r="S81" s="1280">
        <f>SUMIF('mokėjimų ataskaita'!$I$14:$I$601,C81,'mokėjimų ataskaita'!$AK$14:$AK$601)/2</f>
        <v>0</v>
      </c>
      <c r="T81" s="1280">
        <f>SUMIF('mokėjimų ataskaita'!I30:I617,C81,'mokėjimų ataskaita'!BS30:BS617)/2</f>
        <v>0</v>
      </c>
      <c r="U81" s="1281">
        <f t="shared" si="7"/>
        <v>5.8068579633144941E-2</v>
      </c>
      <c r="V81" s="1309"/>
      <c r="W81" s="1309" t="s">
        <v>1914</v>
      </c>
      <c r="X81" s="1313" t="s">
        <v>1934</v>
      </c>
      <c r="Y81" s="1273"/>
      <c r="Z81" s="1273"/>
    </row>
    <row r="82" spans="1:26" ht="36">
      <c r="A82" s="1278">
        <f>SUM('ES lėšos'!A82)</f>
        <v>81</v>
      </c>
      <c r="B82" s="1273" t="str">
        <f>CONCATENATE('ES lėšos'!C82)</f>
        <v>09.13.CPVA-R-725</v>
      </c>
      <c r="C82" s="1273" t="str">
        <f>CONCATENATE('ketv. 6 '!C109)</f>
        <v>09.1.3-CPVA-R-725-11-0005</v>
      </c>
      <c r="D82" s="1273" t="str">
        <f>CONCATENATE('ES lėšos'!B82)</f>
        <v>Alytaus r. meno ir sporto mokyklos edukacinių erdvių įkūrimas ir atnaujinimas</v>
      </c>
      <c r="E82" s="1273" t="str">
        <f>CONCATENATE('ES lėšos'!D82)</f>
        <v>Alytaus rajono savivaldybės administracija</v>
      </c>
      <c r="F82" s="1273" t="str">
        <f>CONCATENATE('ES lėšos'!E82)</f>
        <v>Alytaus r. sav.</v>
      </c>
      <c r="G82" s="1285">
        <v>42916</v>
      </c>
      <c r="H82" s="1278" t="s">
        <v>1879</v>
      </c>
      <c r="I82" s="1279">
        <f>SUM('ES lėšos'!H82)</f>
        <v>536611</v>
      </c>
      <c r="J82" s="1280">
        <f>SUM('ES lėšos'!I82)</f>
        <v>536611</v>
      </c>
      <c r="K82" s="1279">
        <f t="shared" si="9"/>
        <v>0</v>
      </c>
      <c r="L82" s="1281">
        <f>IF(J82&gt;0,'ketv. 6 '!AF109/'ketv. 6 '!L109,"finansavimas dar neskirtas")</f>
        <v>0.62657100760547735</v>
      </c>
      <c r="M82" s="1289">
        <f>SUMIF(Projektu_sutarciu_ataskaita!$J$19:$J$600,C82,Projektu_sutarciu_ataskaita!$BP$19:$BP$600)</f>
        <v>43861</v>
      </c>
      <c r="N82" s="1283">
        <f>IF('ketv. 5 '!U109=0,'ketv. 5 '!R109,'ketv. 5 '!U109)</f>
        <v>43832</v>
      </c>
      <c r="O82" s="1289">
        <f>SUMIF(Projektu_sutarciu_ataskaita!$J$19:$J$600,C82,Projektu_sutarciu_ataskaita!$BO$19:$BO$600)</f>
        <v>43115</v>
      </c>
      <c r="P82" s="1289">
        <f>SUMIF(Projektu_sutarciu_ataskaita!$J$19:$J$600,C82,Projektu_sutarciu_ataskaita!$L$19:$L$600)</f>
        <v>43115</v>
      </c>
      <c r="Q82" s="1290">
        <f t="shared" si="8"/>
        <v>24.526027397260272</v>
      </c>
      <c r="R82" s="1280">
        <f>SUM('ketv. 7 '!AL108)</f>
        <v>289669.20999999996</v>
      </c>
      <c r="S82" s="1280">
        <f>SUMIF('mokėjimų ataskaita'!$I$14:$I$601,C82,'mokėjimų ataskaita'!$AK$14:$AK$601)/2</f>
        <v>0</v>
      </c>
      <c r="T82" s="1280">
        <f>SUMIF('mokėjimų ataskaita'!I31:I618,C82,'mokėjimų ataskaita'!BS31:BS618)/2</f>
        <v>0</v>
      </c>
      <c r="U82" s="1281">
        <f t="shared" si="7"/>
        <v>0.53981228487675426</v>
      </c>
      <c r="V82" s="1309"/>
      <c r="W82" s="1309" t="s">
        <v>1914</v>
      </c>
      <c r="X82" s="1313" t="s">
        <v>1918</v>
      </c>
      <c r="Y82" s="1273"/>
      <c r="Z82" s="1273"/>
    </row>
    <row r="83" spans="1:26" ht="36">
      <c r="A83" s="1278">
        <f>SUM('ES lėšos'!A83)</f>
        <v>82</v>
      </c>
      <c r="B83" s="1273" t="str">
        <f>CONCATENATE('ES lėšos'!C83)</f>
        <v>09.13.CPVA-R-725</v>
      </c>
      <c r="C83" s="1273" t="str">
        <f>CONCATENATE('ketv. 6 '!C110)</f>
        <v>09.1.3-CPVA-R-725-11-0004</v>
      </c>
      <c r="D83" s="1273" t="str">
        <f>CONCATENATE('ES lėšos'!B83)</f>
        <v>Alytaus muzikos mokyklos pastato modernizavimas ir ugdymo aplinkos gerinimas</v>
      </c>
      <c r="E83" s="1273" t="str">
        <f>CONCATENATE('ES lėšos'!D83)</f>
        <v>Alytaus miesto savivaldybės administracija</v>
      </c>
      <c r="F83" s="1273" t="str">
        <f>CONCATENATE('ES lėšos'!E83)</f>
        <v>Alytaus m. sav.</v>
      </c>
      <c r="G83" s="1285">
        <v>42916</v>
      </c>
      <c r="H83" s="1278" t="s">
        <v>1859</v>
      </c>
      <c r="I83" s="1279">
        <f>SUM('ES lėšos'!H83)</f>
        <v>337771</v>
      </c>
      <c r="J83" s="1280">
        <f>SUM('ES lėšos'!I83)</f>
        <v>337771</v>
      </c>
      <c r="K83" s="1279">
        <f t="shared" si="9"/>
        <v>0</v>
      </c>
      <c r="L83" s="1281">
        <f>IF(J83&gt;0,'ketv. 6 '!AF110/'ketv. 6 '!L110,"finansavimas dar neskirtas")</f>
        <v>0.8499992450513113</v>
      </c>
      <c r="M83" s="1289">
        <f>SUMIF(Projektu_sutarciu_ataskaita!$J$19:$J$600,C83,Projektu_sutarciu_ataskaita!$BP$19:$BP$600)</f>
        <v>43677</v>
      </c>
      <c r="N83" s="1283">
        <f>IF('ketv. 5 '!U110=0,'ketv. 5 '!R110,'ketv. 5 '!U110)</f>
        <v>43830</v>
      </c>
      <c r="O83" s="1289">
        <f>SUMIF(Projektu_sutarciu_ataskaita!$J$19:$J$600,C83,Projektu_sutarciu_ataskaita!$BO$19:$BO$600)</f>
        <v>42177</v>
      </c>
      <c r="P83" s="1289">
        <f>SUMIF(Projektu_sutarciu_ataskaita!$J$19:$J$600,C83,Projektu_sutarciu_ataskaita!$L$19:$L$600)</f>
        <v>43119</v>
      </c>
      <c r="Q83" s="1290">
        <f t="shared" si="8"/>
        <v>18.345205479452055</v>
      </c>
      <c r="R83" s="1280">
        <f>SUM('ketv. 7 '!AL109)</f>
        <v>333433.97000000003</v>
      </c>
      <c r="S83" s="1280">
        <f>SUMIF('mokėjimų ataskaita'!$I$14:$I$601,C83,'mokėjimų ataskaita'!$AK$14:$AK$601)/2</f>
        <v>0</v>
      </c>
      <c r="T83" s="1280">
        <f>SUMIF('mokėjimų ataskaita'!I32:I619,C83,'mokėjimų ataskaita'!BS32:BS619)/2</f>
        <v>0</v>
      </c>
      <c r="U83" s="1281">
        <f t="shared" si="7"/>
        <v>0.9871598509049031</v>
      </c>
      <c r="V83" s="1309"/>
      <c r="W83" s="1309" t="s">
        <v>1914</v>
      </c>
      <c r="X83" s="1313" t="s">
        <v>1939</v>
      </c>
      <c r="Y83" s="1273"/>
      <c r="Z83" s="1273"/>
    </row>
    <row r="84" spans="1:26" ht="36">
      <c r="A84" s="1278">
        <f>SUM('ES lėšos'!A84)</f>
        <v>83</v>
      </c>
      <c r="B84" s="1273" t="str">
        <f>CONCATENATE('ES lėšos'!C84)</f>
        <v>09.13.CPVA-R-725</v>
      </c>
      <c r="C84" s="1273" t="str">
        <f>CONCATENATE('ketv. 6 '!C111)</f>
        <v>09.1.3-CPVA-R-725-11-0002</v>
      </c>
      <c r="D84" s="1273" t="str">
        <f>CONCATENATE('ES lėšos'!B84)</f>
        <v>Druskininkų M. K. Čiurlionio meno mokyklos infrastruktūros tobulinimas</v>
      </c>
      <c r="E84" s="1273" t="str">
        <f>CONCATENATE('ES lėšos'!D84)</f>
        <v xml:space="preserve">Druskininkų savivaldybės administracija  </v>
      </c>
      <c r="F84" s="1273" t="str">
        <f>CONCATENATE('ES lėšos'!E84)</f>
        <v>Druskininkų sav.</v>
      </c>
      <c r="G84" s="1285">
        <v>42839</v>
      </c>
      <c r="H84" s="1278" t="s">
        <v>1868</v>
      </c>
      <c r="I84" s="1279">
        <f>SUM('ES lėšos'!H84)</f>
        <v>124266</v>
      </c>
      <c r="J84" s="1280">
        <f>SUM('ES lėšos'!I84)</f>
        <v>124266</v>
      </c>
      <c r="K84" s="1279">
        <f t="shared" si="9"/>
        <v>0</v>
      </c>
      <c r="L84" s="1281">
        <f>IF(J84&gt;0,'ketv. 6 '!AF111/'ketv. 6 '!L111,"finansavimas dar neskirtas")</f>
        <v>0.84706238416166624</v>
      </c>
      <c r="M84" s="1289">
        <f>SUMIF(Projektu_sutarciu_ataskaita!$J$19:$J$600,C84,Projektu_sutarciu_ataskaita!$BP$19:$BP$600)</f>
        <v>43585</v>
      </c>
      <c r="N84" s="1283">
        <f>IF('ketv. 5 '!U111=0,'ketv. 5 '!R111,'ketv. 5 '!U111)</f>
        <v>43449</v>
      </c>
      <c r="O84" s="1289">
        <f>SUMIF(Projektu_sutarciu_ataskaita!$J$19:$J$600,C84,Projektu_sutarciu_ataskaita!$BO$19:$BO$600)</f>
        <v>43097</v>
      </c>
      <c r="P84" s="1289">
        <f>SUMIF(Projektu_sutarciu_ataskaita!$J$19:$J$600,C84,Projektu_sutarciu_ataskaita!$L$19:$L$600)</f>
        <v>43097</v>
      </c>
      <c r="Q84" s="1290">
        <f t="shared" si="8"/>
        <v>16.043835616438354</v>
      </c>
      <c r="R84" s="1280">
        <f>SUM('ketv. 7 '!AL110)</f>
        <v>107584.40000000001</v>
      </c>
      <c r="S84" s="1280">
        <f>SUMIF('mokėjimų ataskaita'!$I$14:$I$601,C84,'mokėjimų ataskaita'!$AK$14:$AK$601)/2</f>
        <v>0</v>
      </c>
      <c r="T84" s="1280">
        <f>SUMIF('mokėjimų ataskaita'!I33:I620,C84,'mokėjimų ataskaita'!BS33:BS620)/2</f>
        <v>0</v>
      </c>
      <c r="U84" s="1281">
        <f t="shared" si="7"/>
        <v>0.86575893647498114</v>
      </c>
      <c r="V84" s="1309"/>
      <c r="W84" s="1309" t="s">
        <v>1914</v>
      </c>
      <c r="X84" s="1313" t="s">
        <v>1938</v>
      </c>
      <c r="Y84" s="1273"/>
      <c r="Z84" s="1273"/>
    </row>
    <row r="85" spans="1:26" ht="72">
      <c r="A85" s="1278">
        <f>SUM('ES lėšos'!A85)</f>
        <v>84</v>
      </c>
      <c r="B85" s="1273" t="str">
        <f>CONCATENATE('ES lėšos'!C85)</f>
        <v>09.13.CPVA-R-725</v>
      </c>
      <c r="C85" s="1273" t="str">
        <f>CONCATENATE('ketv. 6 '!C112)</f>
        <v>09.1.3-CPVA-R-725-11-0001</v>
      </c>
      <c r="D85" s="1273" t="str">
        <f>CONCATENATE('ES lėšos'!B85)</f>
        <v>Neformaliojo švietimo įstaigų Lazdijų rajono savivaldybėje infrastruktūros tobulinimas</v>
      </c>
      <c r="E85" s="1273" t="str">
        <f>CONCATENATE('ES lėšos'!D85)</f>
        <v>VšĮ „Lazdijų sporto centras“</v>
      </c>
      <c r="F85" s="1273" t="str">
        <f>CONCATENATE('ES lėšos'!E85)</f>
        <v>Lazdijų r. sav.</v>
      </c>
      <c r="G85" s="1285">
        <v>42844</v>
      </c>
      <c r="H85" s="1278" t="s">
        <v>1876</v>
      </c>
      <c r="I85" s="1279">
        <f>SUM('ES lėšos'!H85)</f>
        <v>115442</v>
      </c>
      <c r="J85" s="1280">
        <f>SUM('ES lėšos'!I85)</f>
        <v>115441</v>
      </c>
      <c r="K85" s="1279">
        <f t="shared" si="9"/>
        <v>1</v>
      </c>
      <c r="L85" s="1281">
        <f>IF(J85&gt;0,'ketv. 6 '!AF112/'ketv. 6 '!L112,"finansavimas dar neskirtas")</f>
        <v>0.84999337328994062</v>
      </c>
      <c r="M85" s="1289">
        <f>SUMIF(Projektu_sutarciu_ataskaita!$J$19:$J$600,C85,Projektu_sutarciu_ataskaita!$BP$19:$BP$600)</f>
        <v>43549</v>
      </c>
      <c r="N85" s="1283">
        <f>IF('ketv. 5 '!U112=0,'ketv. 5 '!R112,'ketv. 5 '!U112)</f>
        <v>43739</v>
      </c>
      <c r="O85" s="1289">
        <f>SUMIF(Projektu_sutarciu_ataskaita!$J$19:$J$600,C85,Projektu_sutarciu_ataskaita!$BO$19:$BO$600)</f>
        <v>42825</v>
      </c>
      <c r="P85" s="1289">
        <f>SUMIF(Projektu_sutarciu_ataskaita!$J$19:$J$600,C85,Projektu_sutarciu_ataskaita!$L$19:$L$600)</f>
        <v>43045</v>
      </c>
      <c r="Q85" s="1290">
        <f t="shared" si="8"/>
        <v>16.56986301369863</v>
      </c>
      <c r="R85" s="1292">
        <f>SUM('ketv. 7 '!AL111)</f>
        <v>114697.73000000001</v>
      </c>
      <c r="S85" s="1280">
        <f>SUMIF('mokėjimų ataskaita'!$I$14:$I$601,C85,'mokėjimų ataskaita'!$AK$14:$AK$601)/2</f>
        <v>0</v>
      </c>
      <c r="T85" s="1280">
        <f>SUMIF('mokėjimų ataskaita'!I34:I621,C85,'mokėjimų ataskaita'!BS34:BS621)/2</f>
        <v>0</v>
      </c>
      <c r="U85" s="1281">
        <f t="shared" si="7"/>
        <v>0.99356147296021358</v>
      </c>
      <c r="V85" s="1309"/>
      <c r="W85" s="1309" t="s">
        <v>1914</v>
      </c>
      <c r="X85" s="1313" t="s">
        <v>1965</v>
      </c>
      <c r="Y85" s="1273"/>
      <c r="Z85" s="1273"/>
    </row>
    <row r="86" spans="1:26" ht="36">
      <c r="A86" s="1278">
        <f>SUM('ES lėšos'!A86)</f>
        <v>85</v>
      </c>
      <c r="B86" s="1273" t="str">
        <f>CONCATENATE('ES lėšos'!C86)</f>
        <v>09.1.3-CPVA-R-705</v>
      </c>
      <c r="C86" s="1273" t="str">
        <f>CONCATENATE('ketv. 6 '!C114)</f>
        <v>09.1.3-CPVA-R-705-11-0003</v>
      </c>
      <c r="D86" s="1273" t="str">
        <f>CONCATENATE('ES lėšos'!B86)</f>
        <v>Varėnos "Pasakos" vaikų lopšelio-darželio pastato modernizavimas</v>
      </c>
      <c r="E86" s="1273" t="str">
        <f>CONCATENATE('ES lėšos'!D86)</f>
        <v>Varėnos rajono savivaldybės administracija</v>
      </c>
      <c r="F86" s="1273" t="str">
        <f>CONCATENATE('ES lėšos'!E86)</f>
        <v>Varėnos r. sav.</v>
      </c>
      <c r="G86" s="1285">
        <v>43024</v>
      </c>
      <c r="H86" s="1278" t="s">
        <v>1892</v>
      </c>
      <c r="I86" s="1279">
        <f>SUM('ES lėšos'!H86)</f>
        <v>287307</v>
      </c>
      <c r="J86" s="1280">
        <f>SUM('ES lėšos'!I86)</f>
        <v>287307</v>
      </c>
      <c r="K86" s="1279">
        <f t="shared" si="9"/>
        <v>0</v>
      </c>
      <c r="L86" s="1281">
        <f>IF(J86&gt;0,'ketv. 6 '!AF114/'ketv. 6 '!L114,"finansavimas dar neskirtas")</f>
        <v>0.77650540540540536</v>
      </c>
      <c r="M86" s="1289">
        <f>SUMIF(Projektu_sutarciu_ataskaita!$J$19:$J$600,C86,Projektu_sutarciu_ataskaita!$BP$19:$BP$600)</f>
        <v>43799</v>
      </c>
      <c r="N86" s="1283">
        <f>IF('ketv. 5 '!U114=0,'ketv. 5 '!R114,'ketv. 5 '!U114)</f>
        <v>43679</v>
      </c>
      <c r="O86" s="1289">
        <f>SUMIF(Projektu_sutarciu_ataskaita!$J$19:$J$600,C86,Projektu_sutarciu_ataskaita!$BO$19:$BO$600)</f>
        <v>42745</v>
      </c>
      <c r="P86" s="1289">
        <f>SUMIF(Projektu_sutarciu_ataskaita!$J$19:$J$600,C86,Projektu_sutarciu_ataskaita!$L$19:$L$600)</f>
        <v>43179</v>
      </c>
      <c r="Q86" s="1290">
        <f t="shared" si="8"/>
        <v>20.383561643835616</v>
      </c>
      <c r="R86" s="1280">
        <f>SUM('ketv. 7 '!AL113)</f>
        <v>17258.62</v>
      </c>
      <c r="S86" s="1280">
        <f>SUMIF('mokėjimų ataskaita'!$I$14:$I$601,C86,'mokėjimų ataskaita'!$AK$14:$AK$601)/2</f>
        <v>0</v>
      </c>
      <c r="T86" s="1280">
        <f>SUMIF('mokėjimų ataskaita'!I35:I622,C86,'mokėjimų ataskaita'!BS35:BS622)/2</f>
        <v>718.1</v>
      </c>
      <c r="U86" s="1281">
        <f t="shared" si="7"/>
        <v>6.0070308067676735E-2</v>
      </c>
      <c r="V86" s="1309"/>
      <c r="W86" s="1309" t="s">
        <v>1914</v>
      </c>
      <c r="X86" s="1313" t="s">
        <v>1941</v>
      </c>
      <c r="Y86" s="1273"/>
      <c r="Z86" s="1273"/>
    </row>
    <row r="87" spans="1:26" ht="48">
      <c r="A87" s="1278">
        <f>SUM('ES lėšos'!A87)</f>
        <v>86</v>
      </c>
      <c r="B87" s="1273" t="str">
        <f>CONCATENATE('ES lėšos'!C87)</f>
        <v>09.1.3-CPVA-R-705</v>
      </c>
      <c r="C87" s="1273" t="str">
        <f>CONCATENATE('ketv. 6 '!C115)</f>
        <v>09.1.3-CPVA-R-705-11-0004</v>
      </c>
      <c r="D87" s="1273" t="str">
        <f>CONCATENATE('ES lėšos'!B87)</f>
        <v>Alytaus r. ikimokyklinio ir priešmokyklinio ugdymo prieinamumo didinimas įkuriant ir atnaujinant edukacines erdves</v>
      </c>
      <c r="E87" s="1273" t="str">
        <f>CONCATENATE('ES lėšos'!D87)</f>
        <v>Alytaus rajono savivaldybės administracija</v>
      </c>
      <c r="F87" s="1273" t="str">
        <f>CONCATENATE('ES lėšos'!E87)</f>
        <v>Alytaus r. sav.</v>
      </c>
      <c r="G87" s="1285">
        <v>43028</v>
      </c>
      <c r="H87" s="1278" t="s">
        <v>1893</v>
      </c>
      <c r="I87" s="1279">
        <f>SUM('ES lėšos'!H87)</f>
        <v>494007</v>
      </c>
      <c r="J87" s="1280">
        <f>SUM('ES lėšos'!I87)</f>
        <v>494007</v>
      </c>
      <c r="K87" s="1279">
        <f t="shared" si="9"/>
        <v>0</v>
      </c>
      <c r="L87" s="1281">
        <f>IF(J87&gt;0,'ketv. 6 '!AF115/'ketv. 6 '!L115,"finansavimas dar neskirtas")</f>
        <v>0.82684962971721077</v>
      </c>
      <c r="M87" s="1289">
        <f>SUMIF(Projektu_sutarciu_ataskaita!$J$19:$J$600,C87,Projektu_sutarciu_ataskaita!$BP$19:$BP$600)</f>
        <v>43921</v>
      </c>
      <c r="N87" s="1283">
        <f>IF('ketv. 5 '!U115=0,'ketv. 5 '!R115,'ketv. 5 '!U115)</f>
        <v>43845</v>
      </c>
      <c r="O87" s="1289">
        <f>SUMIF(Projektu_sutarciu_ataskaita!$J$19:$J$600,C87,Projektu_sutarciu_ataskaita!$BO$19:$BO$600)</f>
        <v>43186</v>
      </c>
      <c r="P87" s="1289">
        <f>SUMIF(Projektu_sutarciu_ataskaita!$J$19:$J$600,C87,Projektu_sutarciu_ataskaita!$L$19:$L$600)</f>
        <v>43186</v>
      </c>
      <c r="Q87" s="1290">
        <f t="shared" si="8"/>
        <v>24.164383561643834</v>
      </c>
      <c r="R87" s="1280">
        <f>SUM('ketv. 7 '!AL114)</f>
        <v>316749.76</v>
      </c>
      <c r="S87" s="1280">
        <f>SUMIF('mokėjimų ataskaita'!$I$14:$I$601,C87,'mokėjimų ataskaita'!$AK$14:$AK$601)/2</f>
        <v>0</v>
      </c>
      <c r="T87" s="1280">
        <f>SUMIF('mokėjimų ataskaita'!I36:I623,C87,'mokėjimų ataskaita'!BS36:BS623)/2</f>
        <v>0</v>
      </c>
      <c r="U87" s="1281">
        <f t="shared" si="7"/>
        <v>0.64118476053983042</v>
      </c>
      <c r="V87" s="1309"/>
      <c r="W87" s="1309" t="s">
        <v>1914</v>
      </c>
      <c r="X87" s="1313" t="s">
        <v>1918</v>
      </c>
      <c r="Y87" s="1273"/>
      <c r="Z87" s="1273"/>
    </row>
    <row r="88" spans="1:26" ht="36">
      <c r="A88" s="1278">
        <f>SUM('ES lėšos'!A88)</f>
        <v>87</v>
      </c>
      <c r="B88" s="1273" t="str">
        <f>CONCATENATE('ES lėšos'!C88)</f>
        <v>09.1.3-CPVA-R-705</v>
      </c>
      <c r="C88" s="1273" t="str">
        <f>CONCATENATE('ketv. 6 '!C116)</f>
        <v>09.1.3-CPVA-R-705-11-0001</v>
      </c>
      <c r="D88" s="1273" t="str">
        <f>CONCATENATE('ES lėšos'!B88)</f>
        <v>Alytaus lopšelio-darželio „Girinukas“ ugdymo aplinkos modernizavimas</v>
      </c>
      <c r="E88" s="1273" t="str">
        <f>CONCATENATE('ES lėšos'!D88)</f>
        <v>Alytaus miesto savivaldybės administracija</v>
      </c>
      <c r="F88" s="1273" t="str">
        <f>CONCATENATE('ES lėšos'!E88)</f>
        <v>Alytaus m. sav.</v>
      </c>
      <c r="G88" s="1285">
        <v>42984</v>
      </c>
      <c r="H88" s="1278" t="s">
        <v>1890</v>
      </c>
      <c r="I88" s="1279">
        <f>SUM('ES lėšos'!H88)</f>
        <v>154688</v>
      </c>
      <c r="J88" s="1280">
        <f>SUM('ES lėšos'!I88)</f>
        <v>154688</v>
      </c>
      <c r="K88" s="1279">
        <f t="shared" si="9"/>
        <v>0</v>
      </c>
      <c r="L88" s="1281">
        <f>IF(J88&gt;0,'ketv. 6 '!AF116/'ketv. 6 '!L116,"finansavimas dar neskirtas")</f>
        <v>0.84999945050718184</v>
      </c>
      <c r="M88" s="1289">
        <f>SUMIF(Projektu_sutarciu_ataskaita!$J$19:$J$600,C88,Projektu_sutarciu_ataskaita!$BP$19:$BP$600)</f>
        <v>43646</v>
      </c>
      <c r="N88" s="1283">
        <f>IF('ketv. 5 '!U116=0,'ketv. 5 '!R116,'ketv. 5 '!U116)</f>
        <v>43739.5</v>
      </c>
      <c r="O88" s="1289">
        <f>SUMIF(Projektu_sutarciu_ataskaita!$J$19:$J$600,C88,Projektu_sutarciu_ataskaita!$BO$19:$BO$600)</f>
        <v>43105</v>
      </c>
      <c r="P88" s="1289">
        <f>SUMIF(Projektu_sutarciu_ataskaita!$J$19:$J$600,C88,Projektu_sutarciu_ataskaita!$L$19:$L$600)</f>
        <v>43164</v>
      </c>
      <c r="Q88" s="1290">
        <f t="shared" si="8"/>
        <v>15.846575342465753</v>
      </c>
      <c r="R88" s="1280">
        <f>SUM('ketv. 7 '!AL115)</f>
        <v>112683.00999999998</v>
      </c>
      <c r="S88" s="1280">
        <f>SUMIF('mokėjimų ataskaita'!$I$14:$I$601,C88,'mokėjimų ataskaita'!$AK$14:$AK$601)/2</f>
        <v>112683.00999999998</v>
      </c>
      <c r="T88" s="1280">
        <f>SUMIF('mokėjimų ataskaita'!I37:I624,C88,'mokėjimų ataskaita'!BS37:BS624)/2</f>
        <v>41951.06</v>
      </c>
      <c r="U88" s="1281">
        <f t="shared" si="7"/>
        <v>0.72845346762515506</v>
      </c>
      <c r="V88" s="1309"/>
      <c r="W88" s="1309" t="s">
        <v>1914</v>
      </c>
      <c r="X88" s="1313" t="s">
        <v>1939</v>
      </c>
      <c r="Y88" s="1273"/>
      <c r="Z88" s="1273"/>
    </row>
    <row r="89" spans="1:26" ht="48">
      <c r="A89" s="1278">
        <f>SUM('ES lėšos'!A89)</f>
        <v>88</v>
      </c>
      <c r="B89" s="1273" t="str">
        <f>CONCATENATE('ES lėšos'!C89)</f>
        <v>09.1.3-CPVA-R-705</v>
      </c>
      <c r="C89" s="1273" t="str">
        <f>CONCATENATE('ketv. 6 '!C117)</f>
        <v>09.1.3-CPVA-R-705-11-0006</v>
      </c>
      <c r="D89" s="1273" t="str">
        <f>CONCATENATE('ES lėšos'!B89)</f>
        <v>Druskininkų sav. Viečiūnų progimnazijos ikimokyklinio ugdymo skyriaus „Linelis“ ugdymo prieinamumo didinimas</v>
      </c>
      <c r="E89" s="1273" t="str">
        <f>CONCATENATE('ES lėšos'!D89)</f>
        <v xml:space="preserve">Druskininkų savivaldybės administracija  </v>
      </c>
      <c r="F89" s="1273" t="str">
        <f>CONCATENATE('ES lėšos'!E89)</f>
        <v>Druskininkų sav.</v>
      </c>
      <c r="G89" s="1285">
        <v>43049</v>
      </c>
      <c r="H89" s="1278" t="s">
        <v>1894</v>
      </c>
      <c r="I89" s="1279">
        <f>SUM('ES lėšos'!H89)</f>
        <v>89074</v>
      </c>
      <c r="J89" s="1280">
        <f>SUM('ES lėšos'!I89)</f>
        <v>89074</v>
      </c>
      <c r="K89" s="1279">
        <f t="shared" si="9"/>
        <v>0</v>
      </c>
      <c r="L89" s="1281">
        <f>IF(J89&gt;0,'ketv. 6 '!AF117/'ketv. 6 '!L117,"finansavimas dar neskirtas")</f>
        <v>0.50603131333628903</v>
      </c>
      <c r="M89" s="1289">
        <f>SUMIF(Projektu_sutarciu_ataskaita!$J$19:$J$600,C89,Projektu_sutarciu_ataskaita!$BP$19:$BP$600)</f>
        <v>43830</v>
      </c>
      <c r="N89" s="1283">
        <f>IF('ketv. 5 '!U117=0,'ketv. 5 '!R117,'ketv. 5 '!U117)</f>
        <v>43707</v>
      </c>
      <c r="O89" s="1289">
        <f>SUMIF(Projektu_sutarciu_ataskaita!$J$19:$J$600,C89,Projektu_sutarciu_ataskaita!$BO$19:$BO$600)</f>
        <v>43017</v>
      </c>
      <c r="P89" s="1289">
        <f>SUMIF(Projektu_sutarciu_ataskaita!$J$19:$J$600,C89,Projektu_sutarciu_ataskaita!$L$19:$L$600)</f>
        <v>43265</v>
      </c>
      <c r="Q89" s="1290">
        <f t="shared" si="8"/>
        <v>18.575342465753423</v>
      </c>
      <c r="R89" s="1280">
        <f>SUM('ketv. 7 '!AL116)</f>
        <v>4342.25</v>
      </c>
      <c r="S89" s="1280">
        <f>SUMIF('mokėjimų ataskaita'!$I$14:$I$601,C89,'mokėjimų ataskaita'!$AK$14:$AK$601)/2</f>
        <v>0</v>
      </c>
      <c r="T89" s="1280">
        <f>SUMIF('mokėjimų ataskaita'!I38:I625,C89,'mokėjimų ataskaita'!BS38:BS625)/2</f>
        <v>4342.25</v>
      </c>
      <c r="U89" s="1281">
        <f t="shared" ref="U89:U120" si="10">IF(J89&gt;0,R89/J89,"finansavimas dar neskirtas")</f>
        <v>4.874879313828951E-2</v>
      </c>
      <c r="V89" s="1309"/>
      <c r="W89" s="1309" t="s">
        <v>1914</v>
      </c>
      <c r="X89" s="1313" t="s">
        <v>1962</v>
      </c>
      <c r="Y89" s="1273"/>
      <c r="Z89" s="1273"/>
    </row>
    <row r="90" spans="1:26" ht="48">
      <c r="A90" s="1278">
        <f>SUM('ES lėšos'!A90)</f>
        <v>89</v>
      </c>
      <c r="B90" s="1273" t="str">
        <f>CONCATENATE('ES lėšos'!C90)</f>
        <v>09.1.3-CPVA-R-705</v>
      </c>
      <c r="C90" s="1273" t="str">
        <f>CONCATENATE('ketv. 6 '!C118)</f>
        <v>09.1.3-CPVA-R-705-11-0002</v>
      </c>
      <c r="D90" s="1273" t="str">
        <f>CONCATENATE('ES lėšos'!B90)</f>
        <v>Ikimokyklinio ir priešmokyklinio ugdymo įstaigų Lazdijų rajono savivaldybėje modernizavimas</v>
      </c>
      <c r="E90" s="1273" t="str">
        <f>CONCATENATE('ES lėšos'!D90)</f>
        <v>Lazdijų rajono savivaldybės administracija</v>
      </c>
      <c r="F90" s="1273" t="str">
        <f>CONCATENATE('ES lėšos'!E90)</f>
        <v>Lazdijų r. sav.</v>
      </c>
      <c r="G90" s="1285">
        <v>42979</v>
      </c>
      <c r="H90" s="1278" t="s">
        <v>1891</v>
      </c>
      <c r="I90" s="1279">
        <f>SUM('ES lėšos'!H90)</f>
        <v>113512</v>
      </c>
      <c r="J90" s="1280">
        <f>SUM('ES lėšos'!I90)</f>
        <v>113512</v>
      </c>
      <c r="K90" s="1279">
        <f t="shared" si="9"/>
        <v>0</v>
      </c>
      <c r="L90" s="1281">
        <f>IF(J90&gt;0,'ketv. 6 '!AF118/'ketv. 6 '!L118,"finansavimas dar neskirtas")</f>
        <v>0.84993202385757816</v>
      </c>
      <c r="M90" s="1289">
        <f>SUMIF(Projektu_sutarciu_ataskaita!$J$19:$J$600,C90,Projektu_sutarciu_ataskaita!$BP$19:$BP$600)</f>
        <v>43769</v>
      </c>
      <c r="N90" s="1283">
        <f>IF('ketv. 5 '!U118=0,'ketv. 5 '!R118,'ketv. 5 '!U118)</f>
        <v>43739</v>
      </c>
      <c r="O90" s="1289">
        <f>SUMIF(Projektu_sutarciu_ataskaita!$J$19:$J$600,C90,Projektu_sutarciu_ataskaita!$BO$19:$BO$600)</f>
        <v>42998</v>
      </c>
      <c r="P90" s="1289">
        <f>SUMIF(Projektu_sutarciu_ataskaita!$J$19:$J$600,C90,Projektu_sutarciu_ataskaita!$L$19:$L$600)</f>
        <v>43193</v>
      </c>
      <c r="Q90" s="1290">
        <f t="shared" si="8"/>
        <v>18.936986301369863</v>
      </c>
      <c r="R90" s="1280">
        <f>SUM('ketv. 7 '!AL117)</f>
        <v>77440.679999999993</v>
      </c>
      <c r="S90" s="1280">
        <f>SUMIF('mokėjimų ataskaita'!$I$14:$I$601,C90,'mokėjimų ataskaita'!$AK$14:$AK$601)/2</f>
        <v>77440.679999999993</v>
      </c>
      <c r="T90" s="1280">
        <f>SUMIF('mokėjimų ataskaita'!I39:I626,C90,'mokėjimų ataskaita'!BS39:BS626)/2</f>
        <v>1354.72</v>
      </c>
      <c r="U90" s="1281">
        <f t="shared" si="10"/>
        <v>0.68222461061385575</v>
      </c>
      <c r="V90" s="1309"/>
      <c r="W90" s="1309" t="s">
        <v>1914</v>
      </c>
      <c r="X90" s="1313" t="s">
        <v>1961</v>
      </c>
      <c r="Y90" s="1273"/>
      <c r="Z90" s="1273"/>
    </row>
    <row r="91" spans="1:26" ht="48">
      <c r="A91" s="1278">
        <f>SUM('ES lėšos'!A91)</f>
        <v>90</v>
      </c>
      <c r="B91" s="1273" t="str">
        <f>CONCATENATE('ES lėšos'!C91)</f>
        <v>08.1.3-CPVA-R-609</v>
      </c>
      <c r="C91" s="1273" t="str">
        <f>CONCATENATE('ketv. 2'!B121)</f>
        <v>08.1.3-CPVA-R-609-11-0002</v>
      </c>
      <c r="D91" s="1273" t="str">
        <f>CONCATENATE('ES lėšos'!B91)</f>
        <v>Alytaus poliklinikos teikiamų pirminės sveikatos priežiūros paslaugų prieinamumo didinimas ir kokybės gerinimas</v>
      </c>
      <c r="E91" s="1273" t="str">
        <f>CONCATENATE('ES lėšos'!D91)</f>
        <v>VšĮ Alytaus poliklinika</v>
      </c>
      <c r="F91" s="1273" t="str">
        <f>CONCATENATE('ES lėšos'!E91)</f>
        <v>Alytaus m. sav.</v>
      </c>
      <c r="G91" s="1285">
        <v>43298</v>
      </c>
      <c r="H91" s="1278" t="s">
        <v>1887</v>
      </c>
      <c r="I91" s="1279">
        <f>SUM('ES lėšos'!H91)</f>
        <v>389456</v>
      </c>
      <c r="J91" s="1280">
        <f>SUM('ES lėšos'!I91)</f>
        <v>389456</v>
      </c>
      <c r="K91" s="1279">
        <f t="shared" si="9"/>
        <v>0</v>
      </c>
      <c r="L91" s="1281">
        <f>IF(J91&gt;0,'ketv. 6 '!AF121/'ketv. 6 '!L121,"finansavimas dar neskirtas")</f>
        <v>0.83436621473258288</v>
      </c>
      <c r="M91" s="1289"/>
      <c r="N91" s="1283">
        <f>IF('ketv. 5 '!U121=0,'ketv. 5 '!R121,'ketv. 5 '!U121)</f>
        <v>44367</v>
      </c>
      <c r="O91" s="1289"/>
      <c r="P91" s="1289"/>
      <c r="Q91" s="1290">
        <f t="shared" si="8"/>
        <v>0</v>
      </c>
      <c r="R91" s="1280">
        <f>SUM('ketv. 7 '!AL120)</f>
        <v>0</v>
      </c>
      <c r="S91" s="1280">
        <f>SUMIF('mokėjimų ataskaita'!$I$14:$I$601,C91,'mokėjimų ataskaita'!$AK$14:$AK$601)/2</f>
        <v>0</v>
      </c>
      <c r="T91" s="1280">
        <f>SUMIF('mokėjimų ataskaita'!I40:I627,C91,'mokėjimų ataskaita'!BS40:BS627)/2</f>
        <v>0</v>
      </c>
      <c r="U91" s="1281">
        <f t="shared" si="10"/>
        <v>0</v>
      </c>
      <c r="V91" s="1309"/>
      <c r="W91" s="1314" t="s">
        <v>1942</v>
      </c>
      <c r="X91" s="1313" t="s">
        <v>1949</v>
      </c>
      <c r="Y91" s="1273"/>
      <c r="Z91" s="1273"/>
    </row>
    <row r="92" spans="1:26" ht="48">
      <c r="A92" s="1278">
        <f>SUM('ES lėšos'!A92)</f>
        <v>91</v>
      </c>
      <c r="B92" s="1273" t="str">
        <f>CONCATENATE('ES lėšos'!C92)</f>
        <v>08.1.3-CPVA-R-609</v>
      </c>
      <c r="C92" s="1273" t="str">
        <f>CONCATENATE('ketv. 2'!B122)</f>
        <v>08.1.3-CPVA-R-609-11-0004</v>
      </c>
      <c r="D92" s="1273" t="str">
        <f>CONCATENATE('ES lėšos'!B92)</f>
        <v>Sveikatos priežiūros paslaugų modernizavimas bei optimizavimas pirminės sveikatos priežiūros centre</v>
      </c>
      <c r="E92" s="1273" t="str">
        <f>CONCATENATE('ES lėšos'!D92)</f>
        <v xml:space="preserve">VšĮ Alytaus miesto savivaldybės pirminės sveikatos priežiūros centras </v>
      </c>
      <c r="F92" s="1273" t="str">
        <f>CONCATENATE('ES lėšos'!E92)</f>
        <v>Alytaus m. sav.</v>
      </c>
      <c r="G92" s="1285">
        <v>43244</v>
      </c>
      <c r="H92" s="1278" t="s">
        <v>1844</v>
      </c>
      <c r="I92" s="1279">
        <f>SUM('ES lėšos'!H92)</f>
        <v>42802</v>
      </c>
      <c r="J92" s="1280">
        <f>SUM('ES lėšos'!I92)</f>
        <v>42802</v>
      </c>
      <c r="K92" s="1279">
        <f t="shared" si="9"/>
        <v>0</v>
      </c>
      <c r="L92" s="1281">
        <f>IF(J92&gt;0,'ketv. 6 '!AF122/'ketv. 6 '!L122,"finansavimas dar neskirtas")</f>
        <v>0.84998808483596788</v>
      </c>
      <c r="M92" s="1289"/>
      <c r="N92" s="1283">
        <f>IF('ketv. 5 '!U122=0,'ketv. 5 '!R122,'ketv. 5 '!U122)</f>
        <v>44196</v>
      </c>
      <c r="O92" s="1289"/>
      <c r="P92" s="1289"/>
      <c r="Q92" s="1290">
        <f t="shared" si="8"/>
        <v>0</v>
      </c>
      <c r="R92" s="1280">
        <f>SUM('ketv. 7 '!AL121)</f>
        <v>0</v>
      </c>
      <c r="S92" s="1280">
        <f>SUMIF('mokėjimų ataskaita'!$I$14:$I$601,C92,'mokėjimų ataskaita'!$AK$14:$AK$601)/2</f>
        <v>0</v>
      </c>
      <c r="T92" s="1280">
        <f>SUMIF('mokėjimų ataskaita'!I41:I628,C92,'mokėjimų ataskaita'!BS41:BS628)/2</f>
        <v>0</v>
      </c>
      <c r="U92" s="1281">
        <f t="shared" si="10"/>
        <v>0</v>
      </c>
      <c r="V92" s="1309"/>
      <c r="W92" s="1314" t="s">
        <v>1942</v>
      </c>
      <c r="X92" s="1313" t="s">
        <v>1951</v>
      </c>
      <c r="Y92" s="1273"/>
      <c r="Z92" s="1273"/>
    </row>
    <row r="93" spans="1:26" ht="60">
      <c r="A93" s="1278">
        <f>SUM('ES lėšos'!A93)</f>
        <v>92</v>
      </c>
      <c r="B93" s="1273" t="str">
        <f>CONCATENATE('ES lėšos'!C93)</f>
        <v>08.1.3-CPVA-R-609</v>
      </c>
      <c r="C93" s="1273" t="str">
        <f>CONCATENATE('ketv. 2'!B123)</f>
        <v>08.1.3-CPVA-R-609-11-0003</v>
      </c>
      <c r="D93" s="1273" t="str">
        <f>CONCATENATE('ES lėšos'!B93)</f>
        <v>UAB "MediCA klinika" teikiamų pirminės asmens sveikatos priežiūros paslaugų efektyvumo didinimas Alytaus miesto savivaldybėje</v>
      </c>
      <c r="E93" s="1273" t="str">
        <f>CONCATENATE('ES lėšos'!D93)</f>
        <v>UAB „MediCA klinika“</v>
      </c>
      <c r="F93" s="1273" t="str">
        <f>CONCATENATE('ES lėšos'!E93)</f>
        <v>Alytaus m. sav.</v>
      </c>
      <c r="G93" s="1285">
        <v>43244</v>
      </c>
      <c r="H93" s="1278" t="s">
        <v>1841</v>
      </c>
      <c r="I93" s="1279">
        <f>SUM('ES lėšos'!H93)</f>
        <v>70498</v>
      </c>
      <c r="J93" s="1280">
        <f>SUM('ES lėšos'!I93)</f>
        <v>70498</v>
      </c>
      <c r="K93" s="1279">
        <f t="shared" si="9"/>
        <v>0</v>
      </c>
      <c r="L93" s="1281">
        <f>IF(J93&gt;0,'ketv. 6 '!AF123/'ketv. 6 '!L123,"finansavimas dar neskirtas")</f>
        <v>0.85000844003954756</v>
      </c>
      <c r="M93" s="1289"/>
      <c r="N93" s="1283">
        <f>IF('ketv. 5 '!U123=0,'ketv. 5 '!R123,'ketv. 5 '!U123)</f>
        <v>44196</v>
      </c>
      <c r="O93" s="1289"/>
      <c r="P93" s="1289"/>
      <c r="Q93" s="1290">
        <f t="shared" si="8"/>
        <v>0</v>
      </c>
      <c r="R93" s="1280">
        <f>SUM('ketv. 7 '!AL122)</f>
        <v>0</v>
      </c>
      <c r="S93" s="1280">
        <f>SUMIF('mokėjimų ataskaita'!$I$14:$I$601,C93,'mokėjimų ataskaita'!$AK$14:$AK$601)/2</f>
        <v>0</v>
      </c>
      <c r="T93" s="1280">
        <f>SUMIF('mokėjimų ataskaita'!I42:I629,C93,'mokėjimų ataskaita'!BS42:BS629)/2</f>
        <v>0</v>
      </c>
      <c r="U93" s="1281">
        <f t="shared" si="10"/>
        <v>0</v>
      </c>
      <c r="V93" s="1309"/>
      <c r="W93" s="1314" t="s">
        <v>1942</v>
      </c>
      <c r="X93" s="1313" t="s">
        <v>1950</v>
      </c>
      <c r="Y93" s="1273"/>
      <c r="Z93" s="1273"/>
    </row>
    <row r="94" spans="1:26" ht="36">
      <c r="A94" s="1278">
        <f>SUM('ES lėšos'!A94)</f>
        <v>93</v>
      </c>
      <c r="B94" s="1273" t="str">
        <f>CONCATENATE('ES lėšos'!C94)</f>
        <v>08.1.3-CPVA-R-609</v>
      </c>
      <c r="C94" s="1273" t="str">
        <f>CONCATENATE('ketv. 2'!B124)</f>
        <v>08.1.3-CPVA-R-609-11-0005</v>
      </c>
      <c r="D94" s="1273" t="str">
        <f>CONCATENATE('ES lėšos'!B94)</f>
        <v>UAB "Pagalba ligoniui" teikiamų paslaugų efektyvumo didinimas</v>
      </c>
      <c r="E94" s="1273" t="str">
        <f>CONCATENATE('ES lėšos'!D94)</f>
        <v>UAB „Pagalba ligoniui“, Alytaus filialas</v>
      </c>
      <c r="F94" s="1273" t="str">
        <f>CONCATENATE('ES lėšos'!E94)</f>
        <v>Alytaus m. sav.</v>
      </c>
      <c r="G94" s="1285">
        <v>43244</v>
      </c>
      <c r="H94" s="1278" t="s">
        <v>1842</v>
      </c>
      <c r="I94" s="1279">
        <f>SUM('ES lėšos'!H94)</f>
        <v>36901.08</v>
      </c>
      <c r="J94" s="1280">
        <f>SUM('ES lėšos'!I94)</f>
        <v>36901.08</v>
      </c>
      <c r="K94" s="1279">
        <f t="shared" si="9"/>
        <v>0</v>
      </c>
      <c r="L94" s="1281">
        <f>IF(J94&gt;0,'ketv. 6 '!AF124/'ketv. 6 '!L124,"finansavimas dar neskirtas")</f>
        <v>0.85000010365551548</v>
      </c>
      <c r="M94" s="1289"/>
      <c r="N94" s="1283">
        <f>IF('ketv. 5 '!U124=0,'ketv. 5 '!R124,'ketv. 5 '!U124)</f>
        <v>44561</v>
      </c>
      <c r="O94" s="1289"/>
      <c r="P94" s="1289"/>
      <c r="Q94" s="1290">
        <f t="shared" si="8"/>
        <v>0</v>
      </c>
      <c r="R94" s="1280">
        <f>SUM('ketv. 7 '!AL123)</f>
        <v>23048.6</v>
      </c>
      <c r="S94" s="1280">
        <f>SUMIF('mokėjimų ataskaita'!$I$14:$I$601,C94,'mokėjimų ataskaita'!$AK$14:$AK$601)/2</f>
        <v>23048.6</v>
      </c>
      <c r="T94" s="1280">
        <f>SUMIF('mokėjimų ataskaita'!I43:I630,C94,'mokėjimų ataskaita'!BS43:BS630)/2</f>
        <v>0</v>
      </c>
      <c r="U94" s="1281">
        <f t="shared" si="10"/>
        <v>0.62460502511037608</v>
      </c>
      <c r="V94" s="1309"/>
      <c r="W94" s="1314" t="s">
        <v>1942</v>
      </c>
      <c r="X94" s="1313" t="s">
        <v>1952</v>
      </c>
      <c r="Y94" s="1273"/>
      <c r="Z94" s="1273"/>
    </row>
    <row r="95" spans="1:26" ht="48">
      <c r="A95" s="1278">
        <f>SUM('ES lėšos'!A95)</f>
        <v>94</v>
      </c>
      <c r="B95" s="1273" t="str">
        <f>CONCATENATE('ES lėšos'!C95)</f>
        <v>08.1.3-CPVA-R-609</v>
      </c>
      <c r="C95" s="1273" t="str">
        <f>CONCATENATE('ketv. 6 '!C125)</f>
        <v>08.1.3-CPVA-R-609-11-0009</v>
      </c>
      <c r="D95" s="1273" t="str">
        <f>CONCATENATE('ES lėšos'!B95)</f>
        <v>Pirminės asmens sveikatos priežiūros veiklos efektyvumo didinimas Alytaus rajono savivaldybėje</v>
      </c>
      <c r="E95" s="1273" t="str">
        <f>CONCATENATE('ES lėšos'!D95)</f>
        <v>VšĮ Alytaus rajono savivaldybės pirminės sveikatos priežiūros centras</v>
      </c>
      <c r="F95" s="1273" t="str">
        <f>CONCATENATE('ES lėšos'!E95)</f>
        <v>Alytaus r. sav.</v>
      </c>
      <c r="G95" s="1285">
        <v>43244</v>
      </c>
      <c r="H95" s="1278" t="s">
        <v>1839</v>
      </c>
      <c r="I95" s="1279">
        <f>SUM('ES lėšos'!H95)</f>
        <v>145890</v>
      </c>
      <c r="J95" s="1280">
        <f>SUM('ES lėšos'!I95)</f>
        <v>145890</v>
      </c>
      <c r="K95" s="1279">
        <f t="shared" si="9"/>
        <v>0</v>
      </c>
      <c r="L95" s="1281">
        <f>IF(J95&gt;0,'ketv. 6 '!AF125/'ketv. 6 '!L125,"finansavimas dar neskirtas")</f>
        <v>0.84749440188383207</v>
      </c>
      <c r="M95" s="1289"/>
      <c r="N95" s="1283">
        <f>IF('ketv. 5 '!U125=0,'ketv. 5 '!R125,'ketv. 5 '!U125)</f>
        <v>44134</v>
      </c>
      <c r="O95" s="1289"/>
      <c r="P95" s="1289"/>
      <c r="Q95" s="1290">
        <f t="shared" si="8"/>
        <v>0</v>
      </c>
      <c r="R95" s="1280">
        <f>SUM('ketv. 7 '!AL124)</f>
        <v>0</v>
      </c>
      <c r="S95" s="1280">
        <f>SUMIF('mokėjimų ataskaita'!$I$14:$I$601,C95,'mokėjimų ataskaita'!$AK$14:$AK$601)/2</f>
        <v>0</v>
      </c>
      <c r="T95" s="1280">
        <f>SUMIF('mokėjimų ataskaita'!I44:I631,C95,'mokėjimų ataskaita'!BS44:BS631)/2</f>
        <v>0</v>
      </c>
      <c r="U95" s="1281">
        <f t="shared" si="10"/>
        <v>0</v>
      </c>
      <c r="V95" s="1309"/>
      <c r="W95" s="1314"/>
      <c r="X95" s="1313"/>
      <c r="Y95" s="1273"/>
      <c r="Z95" s="1273"/>
    </row>
    <row r="96" spans="1:26" ht="24">
      <c r="A96" s="1278">
        <f>SUM('ES lėšos'!A96)</f>
        <v>95</v>
      </c>
      <c r="B96" s="1273" t="str">
        <f>CONCATENATE('ES lėšos'!C96)</f>
        <v>08.1.3-CPVA-R-609</v>
      </c>
      <c r="C96" s="1273" t="str">
        <f>CONCATENATE('ketv. 6 '!C126)</f>
        <v>08.1.3-CPVA-R-609-11-0011</v>
      </c>
      <c r="D96" s="1273" t="str">
        <f>CONCATENATE('ES lėšos'!B96)</f>
        <v>Sveikatos priežiūros paslaugų gerinimas UAB „Disolis“</v>
      </c>
      <c r="E96" s="1273" t="str">
        <f>CONCATENATE('ES lėšos'!D96)</f>
        <v>UAB „Disolis“</v>
      </c>
      <c r="F96" s="1273" t="str">
        <f>CONCATENATE('ES lėšos'!E96)</f>
        <v>Alytaus r. sav.</v>
      </c>
      <c r="G96" s="1285">
        <v>43244</v>
      </c>
      <c r="H96" s="1278" t="s">
        <v>1840</v>
      </c>
      <c r="I96" s="1279">
        <f>SUM('ES lėšos'!H96)</f>
        <v>14778</v>
      </c>
      <c r="J96" s="1280">
        <f>SUM('ES lėšos'!I96)</f>
        <v>15815.88</v>
      </c>
      <c r="K96" s="1279">
        <f t="shared" si="9"/>
        <v>-1037.8799999999992</v>
      </c>
      <c r="L96" s="1281">
        <f>IF(J96&gt;0,'ketv. 6 '!AF126/'ketv. 6 '!L126,"finansavimas dar neskirtas")</f>
        <v>0.65924826120701374</v>
      </c>
      <c r="M96" s="1289"/>
      <c r="N96" s="1283">
        <f>IF('ketv. 5 '!U126=0,'ketv. 5 '!R126,'ketv. 5 '!U126)</f>
        <v>43830</v>
      </c>
      <c r="O96" s="1289"/>
      <c r="P96" s="1289"/>
      <c r="Q96" s="1290">
        <f t="shared" si="8"/>
        <v>0</v>
      </c>
      <c r="R96" s="1280">
        <f>SUM('ketv. 7 '!AL125)</f>
        <v>10642.9</v>
      </c>
      <c r="S96" s="1280">
        <f>SUMIF('mokėjimų ataskaita'!$I$14:$I$601,C96,'mokėjimų ataskaita'!$AK$14:$AK$601)/2</f>
        <v>10642.9</v>
      </c>
      <c r="T96" s="1280">
        <f>SUMIF('mokėjimų ataskaita'!I45:I632,C96,'mokėjimų ataskaita'!BS45:BS632)/2</f>
        <v>0</v>
      </c>
      <c r="U96" s="1281">
        <f t="shared" si="10"/>
        <v>0.67292493367425654</v>
      </c>
      <c r="V96" s="1309"/>
      <c r="W96" s="1314"/>
      <c r="X96" s="1313"/>
      <c r="Y96" s="1273"/>
      <c r="Z96" s="1273"/>
    </row>
    <row r="97" spans="1:26" ht="48">
      <c r="A97" s="1278">
        <f>SUM('ES lėšos'!A97)</f>
        <v>96</v>
      </c>
      <c r="B97" s="1273" t="str">
        <f>CONCATENATE('ES lėšos'!C97)</f>
        <v>08.1.3-CPVA-R-609</v>
      </c>
      <c r="C97" s="1273" t="str">
        <f>CONCATENATE('ketv. 6 '!C127)</f>
        <v>08.1.3-CPVA-R-609-11-0007</v>
      </c>
      <c r="D97" s="1273" t="str">
        <f>CONCATENATE('ES lėšos'!B97)</f>
        <v>Pirminės asmens sveikatos priežiūros kokybės ir prieinamumo gerinimas Druskininkų savivaldybėje</v>
      </c>
      <c r="E97" s="1273" t="str">
        <f>CONCATENATE('ES lėšos'!D97)</f>
        <v>VšĮ Druskininkų pirminės sveikatos priežiūros centras</v>
      </c>
      <c r="F97" s="1273" t="str">
        <f>CONCATENATE('ES lėšos'!E97)</f>
        <v>Druskininkų sav.</v>
      </c>
      <c r="G97" s="1285">
        <v>43249</v>
      </c>
      <c r="H97" s="1278" t="s">
        <v>1847</v>
      </c>
      <c r="I97" s="1279">
        <f>SUM('ES lėšos'!H97)</f>
        <v>139002</v>
      </c>
      <c r="J97" s="1280">
        <f>SUM('ES lėšos'!I97)</f>
        <v>139002</v>
      </c>
      <c r="K97" s="1279">
        <f t="shared" si="9"/>
        <v>0</v>
      </c>
      <c r="L97" s="1281">
        <f>IF(J97&gt;0,'ketv. 6 '!AF127/'ketv. 6 '!L127,"finansavimas dar neskirtas")</f>
        <v>0.84999877699777415</v>
      </c>
      <c r="M97" s="1289"/>
      <c r="N97" s="1283">
        <f>IF('ketv. 5 '!U127=0,'ketv. 5 '!R127,'ketv. 5 '!U127)</f>
        <v>44196</v>
      </c>
      <c r="O97" s="1289"/>
      <c r="P97" s="1289"/>
      <c r="Q97" s="1290">
        <f t="shared" si="8"/>
        <v>0</v>
      </c>
      <c r="R97" s="1280">
        <f>SUM('ketv. 7 '!AL126)</f>
        <v>0</v>
      </c>
      <c r="S97" s="1280">
        <f>SUMIF('mokėjimų ataskaita'!$I$14:$I$601,C97,'mokėjimų ataskaita'!$AK$14:$AK$601)/2</f>
        <v>0</v>
      </c>
      <c r="T97" s="1280">
        <f>SUMIF('mokėjimų ataskaita'!I46:I633,C97,'mokėjimų ataskaita'!BS46:BS633)/2</f>
        <v>0</v>
      </c>
      <c r="U97" s="1281">
        <f t="shared" si="10"/>
        <v>0</v>
      </c>
      <c r="V97" s="1309"/>
      <c r="W97" s="1314"/>
      <c r="X97" s="1313"/>
      <c r="Y97" s="1273"/>
      <c r="Z97" s="1273"/>
    </row>
    <row r="98" spans="1:26" ht="60">
      <c r="A98" s="1278">
        <f>SUM('ES lėšos'!A98)</f>
        <v>97</v>
      </c>
      <c r="B98" s="1273" t="str">
        <f>CONCATENATE('ES lėšos'!C98)</f>
        <v>08.1.3-CPVA-R-609</v>
      </c>
      <c r="C98" s="1273" t="str">
        <f>CONCATENATE('ketv. 6 '!C128)</f>
        <v>08.1.3-CPVA-R-609-11-0006</v>
      </c>
      <c r="D98" s="1273" t="str">
        <f>CONCATENATE('ES lėšos'!B98)</f>
        <v>UAB "Druskininkų šeimos klinika" asmens sveikatos priežiūros paslaugų prieinamumo ir efektyvumo didinimas</v>
      </c>
      <c r="E98" s="1273" t="str">
        <f>CONCATENATE('ES lėšos'!D98)</f>
        <v>UAB „Druskininkų šeimos klinika“</v>
      </c>
      <c r="F98" s="1273" t="str">
        <f>CONCATENATE('ES lėšos'!E98)</f>
        <v>Druskininkų sav.</v>
      </c>
      <c r="G98" s="1285">
        <v>43244</v>
      </c>
      <c r="H98" s="1278" t="s">
        <v>1895</v>
      </c>
      <c r="I98" s="1279">
        <f>SUM('ES lėšos'!H98)</f>
        <v>10445</v>
      </c>
      <c r="J98" s="1280">
        <f>SUM('ES lėšos'!I98)</f>
        <v>10445</v>
      </c>
      <c r="K98" s="1279">
        <f t="shared" si="9"/>
        <v>0</v>
      </c>
      <c r="L98" s="1281">
        <f>IF(J98&gt;0,'ketv. 6 '!AF128/'ketv. 6 '!L128,"finansavimas dar neskirtas")</f>
        <v>0.34828276092030674</v>
      </c>
      <c r="M98" s="1289"/>
      <c r="N98" s="1283">
        <f>IF('ketv. 5 '!U128=0,'ketv. 5 '!R128,'ketv. 5 '!U128)</f>
        <v>43922</v>
      </c>
      <c r="O98" s="1289"/>
      <c r="P98" s="1289"/>
      <c r="Q98" s="1290">
        <f t="shared" si="8"/>
        <v>0</v>
      </c>
      <c r="R98" s="1280">
        <f>SUM('ketv. 7 '!AL127)</f>
        <v>0</v>
      </c>
      <c r="S98" s="1280">
        <f>SUMIF('mokėjimų ataskaita'!$I$14:$I$601,C98,'mokėjimų ataskaita'!$AK$14:$AK$601)/2</f>
        <v>0</v>
      </c>
      <c r="T98" s="1280">
        <f>SUMIF('mokėjimų ataskaita'!I47:I634,C98,'mokėjimų ataskaita'!BS47:BS634)/2</f>
        <v>0</v>
      </c>
      <c r="U98" s="1281">
        <f t="shared" si="10"/>
        <v>0</v>
      </c>
      <c r="V98" s="1309"/>
      <c r="W98" s="1314"/>
      <c r="X98" s="1313"/>
      <c r="Y98" s="1273"/>
      <c r="Z98" s="1273"/>
    </row>
    <row r="99" spans="1:26" ht="60">
      <c r="A99" s="1278">
        <f>SUM('ES lėšos'!A99)</f>
        <v>98</v>
      </c>
      <c r="B99" s="1273" t="str">
        <f>CONCATENATE('ES lėšos'!C99)</f>
        <v>08.1.3-CPVA-R-609</v>
      </c>
      <c r="C99" s="1273" t="str">
        <f>CONCATENATE('ketv. 2'!B129)</f>
        <v>08.1.3-CPVA-R-609-11-0001</v>
      </c>
      <c r="D99" s="1273" t="str">
        <f>CONCATENATE('ES lėšos'!B99)</f>
        <v>I. S. Kavaliauskienės įmonės teikiamų pirminės ambulatorinės asmens sveikatos priežiūros paslaugų kokybės ir prieinamumo gerinimas</v>
      </c>
      <c r="E99" s="1273" t="str">
        <f>CONCATENATE('ES lėšos'!D99)</f>
        <v>Irenos Stanislavos Kavaliauskienės įmonė</v>
      </c>
      <c r="F99" s="1273" t="str">
        <f>CONCATENATE('ES lėšos'!E99)</f>
        <v>Druskininkų sav.</v>
      </c>
      <c r="G99" s="1285">
        <v>43249</v>
      </c>
      <c r="H99" s="1278" t="s">
        <v>1896</v>
      </c>
      <c r="I99" s="1279">
        <f>SUM('ES lėšos'!H99)</f>
        <v>21689.45</v>
      </c>
      <c r="J99" s="1280">
        <f>SUM('ES lėšos'!I99)</f>
        <v>21689.45</v>
      </c>
      <c r="K99" s="1279">
        <f t="shared" si="9"/>
        <v>0</v>
      </c>
      <c r="L99" s="1281">
        <f>IF(J99&gt;0,'ketv. 6 '!AF129/'ketv. 6 '!L129,"finansavimas dar neskirtas")</f>
        <v>0.85</v>
      </c>
      <c r="M99" s="1289"/>
      <c r="N99" s="1283">
        <f>IF('ketv. 5 '!U129=0,'ketv. 5 '!R129,'ketv. 5 '!U129)</f>
        <v>43830</v>
      </c>
      <c r="O99" s="1289"/>
      <c r="P99" s="1289"/>
      <c r="Q99" s="1290">
        <f t="shared" si="8"/>
        <v>0</v>
      </c>
      <c r="R99" s="1280">
        <f>SUM('ketv. 7 '!AL128)</f>
        <v>0</v>
      </c>
      <c r="S99" s="1280">
        <f>SUMIF('mokėjimų ataskaita'!$I$14:$I$601,C99,'mokėjimų ataskaita'!$AK$14:$AK$601)/2</f>
        <v>0</v>
      </c>
      <c r="T99" s="1280">
        <f>SUMIF('mokėjimų ataskaita'!I48:I635,C99,'mokėjimų ataskaita'!BS48:BS635)/2</f>
        <v>0</v>
      </c>
      <c r="U99" s="1281">
        <f t="shared" si="10"/>
        <v>0</v>
      </c>
      <c r="V99" s="1309"/>
      <c r="W99" s="1314" t="s">
        <v>1942</v>
      </c>
      <c r="X99" s="1313" t="s">
        <v>1948</v>
      </c>
      <c r="Y99" s="1273"/>
      <c r="Z99" s="1273"/>
    </row>
    <row r="100" spans="1:26" ht="60">
      <c r="A100" s="1278">
        <f>SUM('ES lėšos'!A100)</f>
        <v>99</v>
      </c>
      <c r="B100" s="1273" t="str">
        <f>CONCATENATE('ES lėšos'!C100)</f>
        <v>08.1.3-CPVA-R-609</v>
      </c>
      <c r="C100" s="1273" t="str">
        <f>CONCATENATE('ketv. 6 '!C130)</f>
        <v>08.1.3-CPVA-R-609-11-0008</v>
      </c>
      <c r="D100" s="1273" t="str">
        <f>CONCATENATE('ES lėšos'!B100)</f>
        <v>Pirminės ambulatorinės asmens sveikatos priežiūros efektyvumo didinimas R. Ambrazaitienės ir L. Puzinovienės šeimos gydytojų kabinetuose</v>
      </c>
      <c r="E100" s="1273" t="str">
        <f>CONCATENATE('ES lėšos'!D100)</f>
        <v>UAB „Rasos Ambrazaitienės šeimos gydytojo kabinetas“</v>
      </c>
      <c r="F100" s="1273" t="str">
        <f>CONCATENATE('ES lėšos'!E100)</f>
        <v>Druskininkų sav.</v>
      </c>
      <c r="G100" s="1285">
        <v>43244</v>
      </c>
      <c r="H100" s="1278" t="s">
        <v>1843</v>
      </c>
      <c r="I100" s="1279">
        <f>SUM('ES lėšos'!H100)</f>
        <v>23720</v>
      </c>
      <c r="J100" s="1280">
        <f>SUM('ES lėšos'!I100)</f>
        <v>23720.1</v>
      </c>
      <c r="K100" s="1279">
        <f t="shared" si="9"/>
        <v>-9.9999999998544808E-2</v>
      </c>
      <c r="L100" s="1281">
        <f>IF(J100&gt;0,'ketv. 6 '!AF130/'ketv. 6 '!L130,"finansavimas dar neskirtas")</f>
        <v>0.85</v>
      </c>
      <c r="M100" s="1289"/>
      <c r="N100" s="1283">
        <f>IF('ketv. 5 '!U130=0,'ketv. 5 '!R130,'ketv. 5 '!U130)</f>
        <v>44196</v>
      </c>
      <c r="O100" s="1289"/>
      <c r="P100" s="1289"/>
      <c r="Q100" s="1290">
        <f t="shared" si="8"/>
        <v>0</v>
      </c>
      <c r="R100" s="1280">
        <f>SUM('ketv. 7 '!AL129)</f>
        <v>0</v>
      </c>
      <c r="S100" s="1280">
        <f>SUMIF('mokėjimų ataskaita'!$I$14:$I$601,C100,'mokėjimų ataskaita'!$AK$14:$AK$601)/2</f>
        <v>0</v>
      </c>
      <c r="T100" s="1280">
        <f>SUMIF('mokėjimų ataskaita'!I49:I636,C100,'mokėjimų ataskaita'!BS49:BS636)/2</f>
        <v>0</v>
      </c>
      <c r="U100" s="1281">
        <f t="shared" si="10"/>
        <v>0</v>
      </c>
      <c r="V100" s="1309"/>
      <c r="W100" s="1314"/>
      <c r="X100" s="1313"/>
      <c r="Y100" s="1273"/>
      <c r="Z100" s="1273"/>
    </row>
    <row r="101" spans="1:26" ht="48">
      <c r="A101" s="1278">
        <f>SUM('ES lėšos'!A101)</f>
        <v>100</v>
      </c>
      <c r="B101" s="1273" t="str">
        <f>CONCATENATE('ES lėšos'!C101)</f>
        <v>08.1.3-CPVA-R-609</v>
      </c>
      <c r="C101" s="1273" t="str">
        <f>CONCATENATE('ketv. 6 '!C131)</f>
        <v>08.1.3-CPVA-R-609-11-0010</v>
      </c>
      <c r="D101" s="1273" t="str">
        <f>CONCATENATE('ES lėšos'!B101)</f>
        <v>Pirminės asmens sveikatos priežiūros veiklos efektyvumo didinimas Lazdijų rajono savivaldybėje</v>
      </c>
      <c r="E101" s="1273" t="str">
        <f>CONCATENATE('ES lėšos'!D101)</f>
        <v>Lazdijų rajono savivaldybės administracija</v>
      </c>
      <c r="F101" s="1273" t="str">
        <f>CONCATENATE('ES lėšos'!E101)</f>
        <v>Lazdijų r. sav.</v>
      </c>
      <c r="G101" s="1285">
        <v>43249</v>
      </c>
      <c r="H101" s="1278" t="s">
        <v>1848</v>
      </c>
      <c r="I101" s="1279">
        <f>SUM('ES lėšos'!H101)</f>
        <v>163810.96</v>
      </c>
      <c r="J101" s="1280">
        <f>SUM('ES lėšos'!I101)</f>
        <v>163810.96</v>
      </c>
      <c r="K101" s="1279">
        <f t="shared" si="9"/>
        <v>0</v>
      </c>
      <c r="L101" s="1281">
        <f>IF(J101&gt;0,'ketv. 6 '!AF131/'ketv. 6 '!L131,"finansavimas dar neskirtas")</f>
        <v>0.84515740184009103</v>
      </c>
      <c r="M101" s="1289"/>
      <c r="N101" s="1283">
        <f>IF('ketv. 5 '!U131=0,'ketv. 5 '!R131,'ketv. 5 '!U131)</f>
        <v>44531</v>
      </c>
      <c r="O101" s="1289"/>
      <c r="P101" s="1289"/>
      <c r="Q101" s="1290">
        <f t="shared" si="8"/>
        <v>0</v>
      </c>
      <c r="R101" s="1280">
        <f>SUM('ketv. 7 '!AL130)</f>
        <v>0</v>
      </c>
      <c r="S101" s="1280">
        <f>SUMIF('mokėjimų ataskaita'!$I$14:$I$601,C101,'mokėjimų ataskaita'!$AK$14:$AK$601)/2</f>
        <v>0</v>
      </c>
      <c r="T101" s="1280">
        <f>SUMIF('mokėjimų ataskaita'!I50:I637,C101,'mokėjimų ataskaita'!BS50:BS637)/2</f>
        <v>0</v>
      </c>
      <c r="U101" s="1281">
        <f t="shared" si="10"/>
        <v>0</v>
      </c>
      <c r="V101" s="1309"/>
      <c r="W101" s="1314"/>
      <c r="X101" s="1313"/>
      <c r="Y101" s="1273"/>
      <c r="Z101" s="1273"/>
    </row>
    <row r="102" spans="1:26" ht="48">
      <c r="A102" s="1278">
        <f>SUM('ES lėšos'!A102)</f>
        <v>101</v>
      </c>
      <c r="B102" s="1273" t="str">
        <f>CONCATENATE('ES lėšos'!C102)</f>
        <v>08.1.3-CPVA-R-609</v>
      </c>
      <c r="C102" s="1273" t="str">
        <f>CONCATENATE('ketv. 6 '!C132)</f>
        <v>08.1.3-CPVA-R-609-11-0012</v>
      </c>
      <c r="D102" s="1273" t="str">
        <f>CONCATENATE('ES lėšos'!B102)</f>
        <v>Pirminės asmens sveikatos priežiūros veiklos efektyvumo didinimas Varėnos rajono savivaldybėje</v>
      </c>
      <c r="E102" s="1273" t="str">
        <f>CONCATENATE('ES lėšos'!D102)</f>
        <v>VšĮ Varėnos pirminės sveikatos priežiūros centras</v>
      </c>
      <c r="F102" s="1273" t="str">
        <f>CONCATENATE('ES lėšos'!E102)</f>
        <v>Varėnos r. sav.</v>
      </c>
      <c r="G102" s="1285">
        <v>43249</v>
      </c>
      <c r="H102" s="1278" t="s">
        <v>1846</v>
      </c>
      <c r="I102" s="1279">
        <f>SUM('ES lėšos'!H102)</f>
        <v>163764.63</v>
      </c>
      <c r="J102" s="1280">
        <f>SUM('ES lėšos'!I102)</f>
        <v>163764.54999999999</v>
      </c>
      <c r="K102" s="1279">
        <f t="shared" si="9"/>
        <v>8.0000000016298145E-2</v>
      </c>
      <c r="L102" s="1281">
        <f>IF(J102&gt;0,'ketv. 6 '!AF132/'ketv. 6 '!L132,"finansavimas dar neskirtas")</f>
        <v>0.84999998442886471</v>
      </c>
      <c r="M102" s="1289"/>
      <c r="N102" s="1283">
        <f>IF('ketv. 5 '!U132=0,'ketv. 5 '!R132,'ketv. 5 '!U132)</f>
        <v>44227</v>
      </c>
      <c r="O102" s="1289"/>
      <c r="P102" s="1289"/>
      <c r="Q102" s="1290">
        <f t="shared" si="8"/>
        <v>0</v>
      </c>
      <c r="R102" s="1280">
        <f>SUM('ketv. 7 '!AL131)</f>
        <v>0</v>
      </c>
      <c r="S102" s="1280">
        <f>SUMIF('mokėjimų ataskaita'!$I$14:$I$601,C102,'mokėjimų ataskaita'!$AK$14:$AK$601)/2</f>
        <v>0</v>
      </c>
      <c r="T102" s="1280">
        <f>SUMIF('mokėjimų ataskaita'!I51:I638,C102,'mokėjimų ataskaita'!BS51:BS638)/2</f>
        <v>0</v>
      </c>
      <c r="U102" s="1281">
        <f t="shared" si="10"/>
        <v>0</v>
      </c>
      <c r="V102" s="1309"/>
      <c r="W102" s="1314"/>
      <c r="X102" s="1313"/>
      <c r="Y102" s="1273"/>
      <c r="Z102" s="1273"/>
    </row>
    <row r="103" spans="1:26" ht="48">
      <c r="A103" s="1278">
        <f>SUM('ES lėšos'!A103)</f>
        <v>102</v>
      </c>
      <c r="B103" s="1273" t="str">
        <f>CONCATENATE('ES lėšos'!C103)</f>
        <v>08.1.3-CPVA-R-609</v>
      </c>
      <c r="C103" s="1273" t="str">
        <f>CONCATENATE('ketv. 6 '!C133)</f>
        <v>-</v>
      </c>
      <c r="D103" s="1273" t="str">
        <f>CONCATENATE('ES lėšos'!B103)</f>
        <v>Pirminės asmens sveikatos priežiūros veiklos efektyvumo didinimas N. Jarašienės personalinėje įmonėje</v>
      </c>
      <c r="E103" s="1273" t="str">
        <f>CONCATENATE('ES lėšos'!D103)</f>
        <v>N. Jarašienės personalinė įmonė</v>
      </c>
      <c r="F103" s="1273" t="str">
        <f>CONCATENATE('ES lėšos'!E103)</f>
        <v>Varėnos r. sav.</v>
      </c>
      <c r="G103" s="1285">
        <v>43249</v>
      </c>
      <c r="H103" s="1278" t="s">
        <v>1845</v>
      </c>
      <c r="I103" s="1279">
        <f>SUM('ES lėšos'!H103)</f>
        <v>7059</v>
      </c>
      <c r="J103" s="1280">
        <f>SUM('ES lėšos'!I103)</f>
        <v>0</v>
      </c>
      <c r="K103" s="1279" t="str">
        <f t="shared" si="9"/>
        <v>finansavimas dar neskirtas</v>
      </c>
      <c r="L103" s="1281" t="str">
        <f>IF(J103&gt;0,'ketv. 6 '!AF133/'ketv. 6 '!L133,"finansavimas dar neskirtas")</f>
        <v>finansavimas dar neskirtas</v>
      </c>
      <c r="M103" s="1289"/>
      <c r="N103" s="1283">
        <f>IF('ketv. 5 '!U133=0,'ketv. 5 '!R133,'ketv. 5 '!U133)</f>
        <v>43830</v>
      </c>
      <c r="O103" s="1289"/>
      <c r="P103" s="1289"/>
      <c r="Q103" s="1290">
        <f t="shared" si="8"/>
        <v>0</v>
      </c>
      <c r="R103" s="1280">
        <f>SUM('ketv. 7 '!AL132)</f>
        <v>0</v>
      </c>
      <c r="S103" s="1280">
        <f>SUMIF('mokėjimų ataskaita'!$I$14:$I$601,C103,'mokėjimų ataskaita'!$AK$14:$AK$601)/2</f>
        <v>0</v>
      </c>
      <c r="T103" s="1280">
        <f>SUMIF('mokėjimų ataskaita'!I52:I639,C103,'mokėjimų ataskaita'!BS52:BS639)/2</f>
        <v>0</v>
      </c>
      <c r="U103" s="1281" t="str">
        <f t="shared" si="10"/>
        <v>finansavimas dar neskirtas</v>
      </c>
      <c r="V103" s="1309"/>
      <c r="W103" s="1314"/>
      <c r="X103" s="1313"/>
      <c r="Y103" s="1273"/>
      <c r="Z103" s="1273"/>
    </row>
    <row r="104" spans="1:26" ht="84">
      <c r="A104" s="1278">
        <f>SUM('ES lėšos'!A104)</f>
        <v>103</v>
      </c>
      <c r="B104" s="1273" t="str">
        <f>CONCATENATE('ES lėšos'!C104)</f>
        <v>08.4.2-ESFA-R-630</v>
      </c>
      <c r="C104" s="1273" t="str">
        <f>CONCATENATE('ketv. 6 '!C135)</f>
        <v>08.4.2-ESFA-R-630-11-0004</v>
      </c>
      <c r="D104" s="1273" t="str">
        <f>CONCATENATE('ES lėšos'!B104)</f>
        <v>Sveikos gyvensenos skatinimas Alytaus rajone</v>
      </c>
      <c r="E104" s="1273" t="str">
        <f>CONCATENATE('ES lėšos'!D104)</f>
        <v>Alytaus rajono savivaldybės visuomenės sveikatos biuras</v>
      </c>
      <c r="F104" s="1273" t="str">
        <f>CONCATENATE('ES lėšos'!E104)</f>
        <v>Alytaus r. sav.</v>
      </c>
      <c r="G104" s="1285">
        <v>43137</v>
      </c>
      <c r="H104" s="1278" t="s">
        <v>1872</v>
      </c>
      <c r="I104" s="1279">
        <f>SUM('ES lėšos'!H104)</f>
        <v>169147.6</v>
      </c>
      <c r="J104" s="1280">
        <f>SUM('ES lėšos'!I104)</f>
        <v>169147.6</v>
      </c>
      <c r="K104" s="1279">
        <f t="shared" si="9"/>
        <v>0</v>
      </c>
      <c r="L104" s="1281">
        <f>IF(J104&gt;0,'ketv. 6 '!AF135/'ketv. 6 '!L135,"finansavimas dar neskirtas")</f>
        <v>0.84999998492440954</v>
      </c>
      <c r="M104" s="1289">
        <f>SUMIF(Projektu_sutarciu_ataskaita!$J$19:$J$600,C104,Projektu_sutarciu_ataskaita!$BP$19:$BP$600)</f>
        <v>44380</v>
      </c>
      <c r="N104" s="1283">
        <f>IF('ketv. 5 '!U135=0,'ketv. 5 '!R135,'ketv. 5 '!U135)</f>
        <v>44380</v>
      </c>
      <c r="O104" s="1289">
        <f>SUMIF(Projektu_sutarciu_ataskaita!$J$19:$J$600,C104,Projektu_sutarciu_ataskaita!$BO$19:$BO$600)</f>
        <v>43284</v>
      </c>
      <c r="P104" s="1289">
        <f>SUMIF(Projektu_sutarciu_ataskaita!$J$19:$J$600,C104,Projektu_sutarciu_ataskaita!$L$19:$L$600)</f>
        <v>43284</v>
      </c>
      <c r="Q104" s="1290">
        <f t="shared" si="8"/>
        <v>36.032876712328765</v>
      </c>
      <c r="R104" s="1280">
        <f>SUM('ketv. 7 '!AL134)</f>
        <v>33481.870000000003</v>
      </c>
      <c r="S104" s="1280">
        <f>SUMIF('mokėjimų ataskaita'!$I$14:$I$601,C104,'mokėjimų ataskaita'!$AK$14:$AK$601)/2</f>
        <v>33481.870000000003</v>
      </c>
      <c r="T104" s="1280">
        <f>SUMIF('mokėjimų ataskaita'!I53:I640,C104,'mokėjimų ataskaita'!BS53:BS640)/2</f>
        <v>6967.33</v>
      </c>
      <c r="U104" s="1281">
        <f t="shared" si="10"/>
        <v>0.19794469445620275</v>
      </c>
      <c r="V104" s="1309"/>
      <c r="W104" s="1309" t="s">
        <v>1914</v>
      </c>
      <c r="X104" s="1313" t="s">
        <v>1959</v>
      </c>
      <c r="Y104" s="1273"/>
      <c r="Z104" s="1273"/>
    </row>
    <row r="105" spans="1:26" ht="36">
      <c r="A105" s="1278">
        <f>SUM('ES lėšos'!A105)</f>
        <v>104</v>
      </c>
      <c r="B105" s="1273" t="str">
        <f>CONCATENATE('ES lėšos'!C105)</f>
        <v>08.4.2-ESFA-R-630</v>
      </c>
      <c r="C105" s="1273" t="str">
        <f>CONCATENATE('ketv. 6 '!C136)</f>
        <v>08.4.2-ESFA-R-630-11-0001</v>
      </c>
      <c r="D105" s="1273" t="str">
        <f>CONCATENATE('ES lėšos'!B105)</f>
        <v>Mažais žingsneliais – sveikos gyvensenos link</v>
      </c>
      <c r="E105" s="1273" t="str">
        <f>CONCATENATE('ES lėšos'!D105)</f>
        <v>Alytaus miesto savivaldybės administracija</v>
      </c>
      <c r="F105" s="1273" t="str">
        <f>CONCATENATE('ES lėšos'!E105)</f>
        <v>Alytaus m. sav.</v>
      </c>
      <c r="G105" s="1285">
        <v>43139</v>
      </c>
      <c r="H105" s="1278" t="s">
        <v>1833</v>
      </c>
      <c r="I105" s="1279">
        <f>SUM('ES lėšos'!H105)</f>
        <v>169146.6</v>
      </c>
      <c r="J105" s="1280">
        <f>SUM('ES lėšos'!I105)</f>
        <v>169146.6</v>
      </c>
      <c r="K105" s="1279">
        <f t="shared" si="9"/>
        <v>0</v>
      </c>
      <c r="L105" s="1281">
        <f>IF(J105&gt;0,'ketv. 6 '!AF136/'ketv. 6 '!L136,"finansavimas dar neskirtas")</f>
        <v>0.85</v>
      </c>
      <c r="M105" s="1289">
        <f>SUMIF(Projektu_sutarciu_ataskaita!$J$19:$J$600,C105,Projektu_sutarciu_ataskaita!$BP$19:$BP$600)</f>
        <v>44380</v>
      </c>
      <c r="N105" s="1283">
        <f>IF('ketv. 5 '!U136=0,'ketv. 5 '!R136,'ketv. 5 '!U136)</f>
        <v>44380</v>
      </c>
      <c r="O105" s="1289">
        <f>SUMIF(Projektu_sutarciu_ataskaita!$J$19:$J$600,C105,Projektu_sutarciu_ataskaita!$BO$19:$BO$600)</f>
        <v>43284</v>
      </c>
      <c r="P105" s="1289">
        <f>SUMIF(Projektu_sutarciu_ataskaita!$J$19:$J$600,C105,Projektu_sutarciu_ataskaita!$L$19:$L$600)</f>
        <v>43284</v>
      </c>
      <c r="Q105" s="1290">
        <f t="shared" si="8"/>
        <v>36.032876712328765</v>
      </c>
      <c r="R105" s="1280">
        <f>SUM('ketv. 7 '!AL135)</f>
        <v>49067.409999999996</v>
      </c>
      <c r="S105" s="1280">
        <f>SUMIF('mokėjimų ataskaita'!$I$14:$I$601,C105,'mokėjimų ataskaita'!$AK$14:$AK$601)/2</f>
        <v>49067.409999999996</v>
      </c>
      <c r="T105" s="1280">
        <f>SUMIF('mokėjimų ataskaita'!I54:I641,C105,'mokėjimų ataskaita'!BS54:BS641)/2</f>
        <v>1096.98</v>
      </c>
      <c r="U105" s="1281">
        <f t="shared" si="10"/>
        <v>0.29008806561881822</v>
      </c>
      <c r="V105" s="1309"/>
      <c r="W105" s="1309" t="s">
        <v>1914</v>
      </c>
      <c r="X105" s="1313" t="s">
        <v>1947</v>
      </c>
      <c r="Y105" s="1273"/>
      <c r="Z105" s="1273"/>
    </row>
    <row r="106" spans="1:26" ht="96">
      <c r="A106" s="1278">
        <f>SUM('ES lėšos'!A106)</f>
        <v>105</v>
      </c>
      <c r="B106" s="1273" t="str">
        <f>CONCATENATE('ES lėšos'!C106)</f>
        <v>08.4.2-ESFA-R-630</v>
      </c>
      <c r="C106" s="1273" t="str">
        <f>CONCATENATE('ketv. 6 '!C137)</f>
        <v>08.4.2-ESFA-R-630-11-0005</v>
      </c>
      <c r="D106" s="1273" t="str">
        <f>CONCATENATE('ES lėšos'!B106)</f>
        <v>Sveikos gyvensenos skatinimas Varėnos rajono savivaldybėje</v>
      </c>
      <c r="E106" s="1273" t="str">
        <f>CONCATENATE('ES lėšos'!D106)</f>
        <v>Varėnos rajono savivaldybės visuomenės sveikatos biuras</v>
      </c>
      <c r="F106" s="1273" t="str">
        <f>CONCATENATE('ES lėšos'!E106)</f>
        <v>Varėnos r. sav.</v>
      </c>
      <c r="G106" s="1285">
        <v>43131</v>
      </c>
      <c r="H106" s="1278" t="s">
        <v>1897</v>
      </c>
      <c r="I106" s="1279">
        <f>SUM('ES lėšos'!H106)</f>
        <v>169147.45</v>
      </c>
      <c r="J106" s="1280">
        <f>SUM('ES lėšos'!I106)</f>
        <v>169147.45</v>
      </c>
      <c r="K106" s="1279">
        <f t="shared" si="9"/>
        <v>0</v>
      </c>
      <c r="L106" s="1281">
        <f>IF(J106&gt;0,'ketv. 6 '!AF137/'ketv. 6 '!L137,"finansavimas dar neskirtas")</f>
        <v>0.85000000000000009</v>
      </c>
      <c r="M106" s="1289">
        <f>SUMIF(Projektu_sutarciu_ataskaita!$J$19:$J$600,C106,Projektu_sutarciu_ataskaita!$BP$19:$BP$600)</f>
        <v>44394</v>
      </c>
      <c r="N106" s="1283">
        <f>IF('ketv. 5 '!U137=0,'ketv. 5 '!R137,'ketv. 5 '!U137)</f>
        <v>44561</v>
      </c>
      <c r="O106" s="1289">
        <f>SUMIF(Projektu_sutarciu_ataskaita!$J$19:$J$600,C106,Projektu_sutarciu_ataskaita!$BO$19:$BO$600)</f>
        <v>43298</v>
      </c>
      <c r="P106" s="1289">
        <f>SUMIF(Projektu_sutarciu_ataskaita!$J$19:$J$600,C106,Projektu_sutarciu_ataskaita!$L$19:$L$600)</f>
        <v>43298</v>
      </c>
      <c r="Q106" s="1290">
        <f t="shared" si="8"/>
        <v>36.032876712328765</v>
      </c>
      <c r="R106" s="1280">
        <f>SUM('ketv. 7 '!AL136)</f>
        <v>64521.270000000004</v>
      </c>
      <c r="S106" s="1280">
        <f>SUMIF('mokėjimų ataskaita'!$I$14:$I$601,C106,'mokėjimų ataskaita'!$AK$14:$AK$601)/2</f>
        <v>64521.270000000004</v>
      </c>
      <c r="T106" s="1280">
        <f>SUMIF('mokėjimų ataskaita'!I55:I642,C106,'mokėjimų ataskaita'!BS55:BS642)/2</f>
        <v>1727.29</v>
      </c>
      <c r="U106" s="1281">
        <f t="shared" si="10"/>
        <v>0.38144985336757958</v>
      </c>
      <c r="V106" s="1309"/>
      <c r="W106" s="1309" t="s">
        <v>1914</v>
      </c>
      <c r="X106" s="1313" t="s">
        <v>1960</v>
      </c>
      <c r="Y106" s="1273"/>
      <c r="Z106" s="1273"/>
    </row>
    <row r="107" spans="1:26" ht="108">
      <c r="A107" s="1278">
        <f>SUM('ES lėšos'!A107)</f>
        <v>106</v>
      </c>
      <c r="B107" s="1273" t="str">
        <f>CONCATENATE('ES lėšos'!C107)</f>
        <v>08.4.2-ESFA-R-630</v>
      </c>
      <c r="C107" s="1273" t="str">
        <f>CONCATENATE('ketv. 6 '!C138)</f>
        <v>08.4.2-ESFA-R-630-11-0003</v>
      </c>
      <c r="D107" s="1273" t="str">
        <f>CONCATENATE('ES lėšos'!B107)</f>
        <v>Sveika bendruomenė – stipri visuomenė</v>
      </c>
      <c r="E107" s="1273" t="str">
        <f>CONCATENATE('ES lėšos'!D107)</f>
        <v>Druskininkų savivaldybės visuomenės sveikatos biuras</v>
      </c>
      <c r="F107" s="1273" t="str">
        <f>CONCATENATE('ES lėšos'!E107)</f>
        <v>Druskininkų sav.</v>
      </c>
      <c r="G107" s="1285">
        <v>43137</v>
      </c>
      <c r="H107" s="1278" t="s">
        <v>1870</v>
      </c>
      <c r="I107" s="1279">
        <f>SUM('ES lėšos'!H107)</f>
        <v>169147.6</v>
      </c>
      <c r="J107" s="1280">
        <f>SUM('ES lėšos'!I107)</f>
        <v>169147.6</v>
      </c>
      <c r="K107" s="1279">
        <f t="shared" si="9"/>
        <v>0</v>
      </c>
      <c r="L107" s="1281">
        <f>IF(J107&gt;0,'ketv. 6 '!AF138/'ketv. 6 '!L138,"finansavimas dar neskirtas")</f>
        <v>0.84999998492440954</v>
      </c>
      <c r="M107" s="1289">
        <f>SUMIF(Projektu_sutarciu_ataskaita!$J$19:$J$600,C107,Projektu_sutarciu_ataskaita!$BP$19:$BP$600)</f>
        <v>44382</v>
      </c>
      <c r="N107" s="1283">
        <f>IF('ketv. 5 '!U138=0,'ketv. 5 '!R138,'ketv. 5 '!U138)</f>
        <v>44561</v>
      </c>
      <c r="O107" s="1289">
        <f>SUMIF(Projektu_sutarciu_ataskaita!$J$19:$J$600,C107,Projektu_sutarciu_ataskaita!$BO$19:$BO$600)</f>
        <v>43262</v>
      </c>
      <c r="P107" s="1289">
        <f>SUMIF(Projektu_sutarciu_ataskaita!$J$19:$J$600,C107,Projektu_sutarciu_ataskaita!$L$19:$L$600)</f>
        <v>43286</v>
      </c>
      <c r="Q107" s="1290">
        <f t="shared" si="8"/>
        <v>36.032876712328765</v>
      </c>
      <c r="R107" s="1280">
        <f>SUM('ketv. 7 '!AL137)</f>
        <v>110535</v>
      </c>
      <c r="S107" s="1280">
        <f>SUMIF('mokėjimų ataskaita'!$I$14:$I$601,C107,'mokėjimų ataskaita'!$AK$14:$AK$601)/2</f>
        <v>110535</v>
      </c>
      <c r="T107" s="1280">
        <f>SUMIF('mokėjimų ataskaita'!I56:I643,C107,'mokėjimų ataskaita'!BS56:BS643)/2</f>
        <v>48047.24</v>
      </c>
      <c r="U107" s="1281">
        <f t="shared" si="10"/>
        <v>0.65348252059148337</v>
      </c>
      <c r="V107" s="1309"/>
      <c r="W107" s="1309" t="s">
        <v>1914</v>
      </c>
      <c r="X107" s="1313" t="s">
        <v>1958</v>
      </c>
      <c r="Y107" s="1273"/>
      <c r="Z107" s="1273"/>
    </row>
    <row r="108" spans="1:26" ht="84">
      <c r="A108" s="1278">
        <f>SUM('ES lėšos'!A108)</f>
        <v>107</v>
      </c>
      <c r="B108" s="1273" t="str">
        <f>CONCATENATE('ES lėšos'!C108)</f>
        <v>08.4.2-ESFA-R-630</v>
      </c>
      <c r="C108" s="1273" t="str">
        <f>CONCATENATE('ketv. 6 '!C139)</f>
        <v>08.4.2-ESFA-R-630-11-0002</v>
      </c>
      <c r="D108" s="1273" t="str">
        <f>CONCATENATE('ES lėšos'!B108)</f>
        <v>Sveikos gyvensenos skatinimas Lazdijų rajono savivaldybėje</v>
      </c>
      <c r="E108" s="1273" t="str">
        <f>CONCATENATE('ES lėšos'!D108)</f>
        <v>Lazdijų rajono savivaldybės visuomenės sveikatos biuras</v>
      </c>
      <c r="F108" s="1273" t="str">
        <f>CONCATENATE('ES lėšos'!E108)</f>
        <v>Lazdijų r. sav.</v>
      </c>
      <c r="G108" s="1285">
        <v>43138</v>
      </c>
      <c r="H108" s="1278" t="s">
        <v>1832</v>
      </c>
      <c r="I108" s="1279">
        <f>SUM('ES lėšos'!H108)</f>
        <v>169147.6</v>
      </c>
      <c r="J108" s="1280">
        <f>SUM('ES lėšos'!I108)</f>
        <v>169147.6</v>
      </c>
      <c r="K108" s="1279">
        <f t="shared" si="9"/>
        <v>0</v>
      </c>
      <c r="L108" s="1281">
        <f>IF(J108&gt;0,'ketv. 6 '!AF139/'ketv. 6 '!L139,"finansavimas dar neskirtas")</f>
        <v>0.84999998492440954</v>
      </c>
      <c r="M108" s="1289">
        <f>SUMIF(Projektu_sutarciu_ataskaita!$J$19:$J$600,C108,Projektu_sutarciu_ataskaita!$BP$19:$BP$600)</f>
        <v>44380</v>
      </c>
      <c r="N108" s="1283">
        <f>IF('ketv. 5 '!U139=0,'ketv. 5 '!R139,'ketv. 5 '!U139)</f>
        <v>44561</v>
      </c>
      <c r="O108" s="1289">
        <f>SUMIF(Projektu_sutarciu_ataskaita!$J$19:$J$600,C108,Projektu_sutarciu_ataskaita!$BO$19:$BO$600)</f>
        <v>43284</v>
      </c>
      <c r="P108" s="1289">
        <f>SUMIF(Projektu_sutarciu_ataskaita!$J$19:$J$600,C108,Projektu_sutarciu_ataskaita!$L$19:$L$600)</f>
        <v>43284</v>
      </c>
      <c r="Q108" s="1290">
        <f t="shared" si="8"/>
        <v>36.032876712328765</v>
      </c>
      <c r="R108" s="1280">
        <f>SUM('ketv. 7 '!AL138)</f>
        <v>72379.23</v>
      </c>
      <c r="S108" s="1280">
        <f>SUMIF('mokėjimų ataskaita'!$I$14:$I$601,C108,'mokėjimų ataskaita'!$AK$14:$AK$601)/2</f>
        <v>72379.23</v>
      </c>
      <c r="T108" s="1280">
        <f>SUMIF('mokėjimų ataskaita'!I57:I644,C108,'mokėjimų ataskaita'!BS57:BS644)/2</f>
        <v>994.26</v>
      </c>
      <c r="U108" s="1281">
        <f t="shared" si="10"/>
        <v>0.42790574622400784</v>
      </c>
      <c r="V108" s="1309"/>
      <c r="W108" s="1309" t="s">
        <v>1914</v>
      </c>
      <c r="X108" s="1313" t="s">
        <v>1957</v>
      </c>
      <c r="Y108" s="1273"/>
      <c r="Z108" s="1273"/>
    </row>
    <row r="109" spans="1:26" ht="72">
      <c r="A109" s="1278">
        <f>SUM('ES lėšos'!A109)</f>
        <v>108</v>
      </c>
      <c r="B109" s="1273" t="str">
        <f>CONCATENATE('ES lėšos'!C109)</f>
        <v>08.4.2-ESFA-R-615</v>
      </c>
      <c r="C109" s="1273" t="str">
        <f>CONCATENATE('ketv. 2'!B141)</f>
        <v>08.4.2-ESFA-R-615-11-0004</v>
      </c>
      <c r="D109" s="1273" t="str">
        <f>CONCATENATE('ES lėšos'!B109)</f>
        <v>Priemonių, gerinančių ambulatorinių sveikatos priežiūros paslaugų prieinamumą tuberkulioze sergantiems asmenims, Alytaus rajone, įgyvendinimas</v>
      </c>
      <c r="E109" s="1273" t="str">
        <f>CONCATENATE('ES lėšos'!D109)</f>
        <v>VšĮ Alytaus rajono savivaldybės pirminės sveikatos priežiūros centras</v>
      </c>
      <c r="F109" s="1273" t="str">
        <f>CONCATENATE('ES lėšos'!E109)</f>
        <v>Alytaus r. sav.</v>
      </c>
      <c r="G109" s="1285">
        <v>43360</v>
      </c>
      <c r="H109" s="1278" t="s">
        <v>1873</v>
      </c>
      <c r="I109" s="1279">
        <f>SUM('ES lėšos'!H109)</f>
        <v>8214.61</v>
      </c>
      <c r="J109" s="1280">
        <f>SUM('ES lėšos'!I109)</f>
        <v>8214.61</v>
      </c>
      <c r="K109" s="1279">
        <f t="shared" si="9"/>
        <v>0</v>
      </c>
      <c r="L109" s="1281">
        <f>IF(J109&gt;0,'ketv. 6 '!AF141/'ketv. 6 '!L141,"finansavimas dar neskirtas")</f>
        <v>0.78586147517459104</v>
      </c>
      <c r="M109" s="1289">
        <f>SUMIF(Projektu_sutarciu_ataskaita!$J$19:$J$600,C109,Projektu_sutarciu_ataskaita!$BP$19:$BP$600)</f>
        <v>44686</v>
      </c>
      <c r="N109" s="1283">
        <f>IF('ketv. 5 '!U141=0,'ketv. 5 '!R141,'ketv. 5 '!U141)</f>
        <v>44686</v>
      </c>
      <c r="O109" s="1289">
        <f>SUMIF(Projektu_sutarciu_ataskaita!$J$19:$J$600,C109,Projektu_sutarciu_ataskaita!$BO$19:$BO$600)</f>
        <v>43409</v>
      </c>
      <c r="P109" s="1289">
        <f>SUMIF(Projektu_sutarciu_ataskaita!$J$19:$J$600,C109,Projektu_sutarciu_ataskaita!$L$19:$L$600)</f>
        <v>43409</v>
      </c>
      <c r="Q109" s="1290">
        <f t="shared" si="8"/>
        <v>41.983561643835614</v>
      </c>
      <c r="R109" s="1280">
        <f>SUM('ketv. 7 '!AL140)</f>
        <v>850</v>
      </c>
      <c r="S109" s="1280">
        <f>SUMIF('mokėjimų ataskaita'!$I$14:$I$601,C109,'mokėjimų ataskaita'!$AK$14:$AK$601)/2</f>
        <v>850</v>
      </c>
      <c r="T109" s="1280">
        <f>SUMIF('mokėjimų ataskaita'!I58:I645,C109,'mokėjimų ataskaita'!BS58:BS645)/2</f>
        <v>0</v>
      </c>
      <c r="U109" s="1281">
        <f t="shared" si="10"/>
        <v>0.10347417588905621</v>
      </c>
      <c r="V109" s="1309"/>
      <c r="W109" s="1314" t="s">
        <v>1942</v>
      </c>
      <c r="X109" s="1313" t="s">
        <v>1956</v>
      </c>
      <c r="Y109" s="1273"/>
      <c r="Z109" s="1273"/>
    </row>
    <row r="110" spans="1:26" ht="48">
      <c r="A110" s="1278">
        <f>SUM('ES lėšos'!A110)</f>
        <v>109</v>
      </c>
      <c r="B110" s="1273" t="str">
        <f>CONCATENATE('ES lėšos'!C110)</f>
        <v>08.4.2-ESFA-R-615</v>
      </c>
      <c r="C110" s="1273" t="str">
        <f>CONCATENATE('ketv. 6 '!C142)</f>
        <v>08.4.2-ESFA-R-615-11-0005</v>
      </c>
      <c r="D110" s="1273" t="str">
        <f>CONCATENATE('ES lėšos'!B110)</f>
        <v>Ambulatorinių sveikatos priežiūros paslaugų gerinimas tuberkulioze sergantiems asmenims</v>
      </c>
      <c r="E110" s="1273" t="str">
        <f>CONCATENATE('ES lėšos'!D110)</f>
        <v>Alytaus miesto savivaldybės administracija</v>
      </c>
      <c r="F110" s="1273" t="str">
        <f>CONCATENATE('ES lėšos'!E110)</f>
        <v>Alytaus m. sav.</v>
      </c>
      <c r="G110" s="1285">
        <v>43144</v>
      </c>
      <c r="H110" s="1278" t="s">
        <v>1835</v>
      </c>
      <c r="I110" s="1279">
        <f>SUM('ES lėšos'!H110)</f>
        <v>14485.09</v>
      </c>
      <c r="J110" s="1280">
        <f>SUM('ES lėšos'!I110)</f>
        <v>14485.09</v>
      </c>
      <c r="K110" s="1279">
        <f t="shared" si="9"/>
        <v>0</v>
      </c>
      <c r="L110" s="1281">
        <f>IF(J110&gt;0,'ketv. 6 '!AF142/'ketv. 6 '!L142,"finansavimas dar neskirtas")</f>
        <v>0.85000510528026818</v>
      </c>
      <c r="M110" s="1289">
        <f>SUMIF(Projektu_sutarciu_ataskaita!$J$19:$J$600,C110,Projektu_sutarciu_ataskaita!$BP$19:$BP$600)</f>
        <v>44449</v>
      </c>
      <c r="N110" s="1283">
        <f>IF('ketv. 5 '!U142=0,'ketv. 5 '!R142,'ketv. 5 '!U142)</f>
        <v>44449</v>
      </c>
      <c r="O110" s="1289">
        <f>SUMIF(Projektu_sutarciu_ataskaita!$J$19:$J$600,C110,Projektu_sutarciu_ataskaita!$BO$19:$BO$600)</f>
        <v>43353</v>
      </c>
      <c r="P110" s="1289">
        <f>SUMIF(Projektu_sutarciu_ataskaita!$J$19:$J$600,C110,Projektu_sutarciu_ataskaita!$L$19:$L$600)</f>
        <v>43353</v>
      </c>
      <c r="Q110" s="1290">
        <f t="shared" si="8"/>
        <v>36.032876712328765</v>
      </c>
      <c r="R110" s="1280">
        <f>SUM('ketv. 7 '!AL141)</f>
        <v>4318.95</v>
      </c>
      <c r="S110" s="1280">
        <f>SUMIF('mokėjimų ataskaita'!$I$14:$I$601,C110,'mokėjimų ataskaita'!$AK$14:$AK$601)/2</f>
        <v>4318.95</v>
      </c>
      <c r="T110" s="1280">
        <f>SUMIF('mokėjimų ataskaita'!I59:I646,C110,'mokėjimų ataskaita'!BS59:BS646)/2</f>
        <v>0</v>
      </c>
      <c r="U110" s="1281">
        <f t="shared" si="10"/>
        <v>0.2981652167849837</v>
      </c>
      <c r="V110" s="1309"/>
      <c r="W110" s="1309" t="s">
        <v>1914</v>
      </c>
      <c r="X110" s="1313" t="s">
        <v>1947</v>
      </c>
      <c r="Y110" s="1273"/>
      <c r="Z110" s="1273"/>
    </row>
    <row r="111" spans="1:26" ht="36">
      <c r="A111" s="1278">
        <f>SUM('ES lėšos'!A111)</f>
        <v>110</v>
      </c>
      <c r="B111" s="1273" t="str">
        <f>CONCATENATE('ES lėšos'!C111)</f>
        <v>08.4.2-ESFA-R-615</v>
      </c>
      <c r="C111" s="1273" t="str">
        <f>CONCATENATE('ketv. 6 '!C143)</f>
        <v>08.4.2-ESFA-R-615-11-0001</v>
      </c>
      <c r="D111" s="1273" t="str">
        <f>CONCATENATE('ES lėšos'!B111)</f>
        <v>Paslaugų tuberkulioze sergantiems asmenims gerinimas Lazdijų rajono savivaldybėje</v>
      </c>
      <c r="E111" s="1273" t="str">
        <f>CONCATENATE('ES lėšos'!D111)</f>
        <v>Lazdijų rajono savivaldybės administracija</v>
      </c>
      <c r="F111" s="1273" t="str">
        <f>CONCATENATE('ES lėšos'!E111)</f>
        <v>Lazdijų r. sav.</v>
      </c>
      <c r="G111" s="1285">
        <v>43138</v>
      </c>
      <c r="H111" s="1278" t="s">
        <v>1831</v>
      </c>
      <c r="I111" s="1279">
        <f>SUM('ES lėšos'!H111)</f>
        <v>12940.4</v>
      </c>
      <c r="J111" s="1280">
        <f>SUM('ES lėšos'!I111)</f>
        <v>12940.4</v>
      </c>
      <c r="K111" s="1279">
        <f t="shared" si="9"/>
        <v>0</v>
      </c>
      <c r="L111" s="1281">
        <f>IF(J111&gt;0,'ketv. 6 '!AF143/'ketv. 6 '!L143,"finansavimas dar neskirtas")</f>
        <v>0.85</v>
      </c>
      <c r="M111" s="1289">
        <f>SUMIF(Projektu_sutarciu_ataskaita!$J$19:$J$600,C111,Projektu_sutarciu_ataskaita!$BP$19:$BP$600)</f>
        <v>44530</v>
      </c>
      <c r="N111" s="1283">
        <f>IF('ketv. 5 '!U143=0,'ketv. 5 '!R143,'ketv. 5 '!U143)</f>
        <v>44561</v>
      </c>
      <c r="O111" s="1289">
        <f>SUMIF(Projektu_sutarciu_ataskaita!$J$19:$J$600,C111,Projektu_sutarciu_ataskaita!$BO$19:$BO$600)</f>
        <v>43235</v>
      </c>
      <c r="P111" s="1289">
        <f>SUMIF(Projektu_sutarciu_ataskaita!$J$19:$J$600,C111,Projektu_sutarciu_ataskaita!$L$19:$L$600)</f>
        <v>43235</v>
      </c>
      <c r="Q111" s="1290">
        <f t="shared" si="8"/>
        <v>42.575342465753423</v>
      </c>
      <c r="R111" s="1280">
        <f>SUM('ketv. 7 '!AL142)</f>
        <v>983.37</v>
      </c>
      <c r="S111" s="1280">
        <f>SUMIF('mokėjimų ataskaita'!$I$14:$I$601,C111,'mokėjimų ataskaita'!$AK$14:$AK$601)/2</f>
        <v>983.37</v>
      </c>
      <c r="T111" s="1280">
        <f>SUMIF('mokėjimų ataskaita'!I60:I647,C111,'mokėjimų ataskaita'!BS60:BS647)/2</f>
        <v>0</v>
      </c>
      <c r="U111" s="1281">
        <f t="shared" si="10"/>
        <v>7.5992241352662984E-2</v>
      </c>
      <c r="V111" s="1309"/>
      <c r="W111" s="1309" t="s">
        <v>1914</v>
      </c>
      <c r="X111" s="1313" t="s">
        <v>1953</v>
      </c>
      <c r="Y111" s="1273"/>
      <c r="Z111" s="1273"/>
    </row>
    <row r="112" spans="1:26" ht="120">
      <c r="A112" s="1278">
        <f>SUM('ES lėšos'!A112)</f>
        <v>111</v>
      </c>
      <c r="B112" s="1273" t="str">
        <f>CONCATENATE('ES lėšos'!C112)</f>
        <v>08.4.2-ESFA-R-615</v>
      </c>
      <c r="C112" s="1273" t="str">
        <f>CONCATENATE('ketv. 6 '!C144)</f>
        <v>08.4.2-ESFA-R-615-11-0002</v>
      </c>
      <c r="D112" s="1273" t="str">
        <f>CONCATENATE('ES lėšos'!B112)</f>
        <v>Ambulatorinių sveikatos priežiūros paslaugų tuberkulioze sergantiems asmenims prieinamumo gerinimas Druskininkų savivaldybėje</v>
      </c>
      <c r="E112" s="1273" t="str">
        <f>CONCATENATE('ES lėšos'!D112)</f>
        <v>Druskininkų pirminės sveikatos priežiūros centras</v>
      </c>
      <c r="F112" s="1273" t="str">
        <f>CONCATENATE('ES lėšos'!E112)</f>
        <v>Druskininkų sav.</v>
      </c>
      <c r="G112" s="1285">
        <v>43133</v>
      </c>
      <c r="H112" s="1278" t="s">
        <v>1869</v>
      </c>
      <c r="I112" s="1279">
        <f>SUM('ES lėšos'!H112)</f>
        <v>5793.6</v>
      </c>
      <c r="J112" s="1280">
        <f>SUM('ES lėšos'!I112)</f>
        <v>5793.6</v>
      </c>
      <c r="K112" s="1279">
        <f t="shared" si="9"/>
        <v>0</v>
      </c>
      <c r="L112" s="1281">
        <f>IF(J112&gt;0,'ketv. 6 '!AF144/'ketv. 6 '!L144,"finansavimas dar neskirtas")</f>
        <v>0.85000000000000009</v>
      </c>
      <c r="M112" s="1289">
        <f>SUMIF(Projektu_sutarciu_ataskaita!$J$19:$J$600,C112,Projektu_sutarciu_ataskaita!$BP$19:$BP$600)</f>
        <v>44418</v>
      </c>
      <c r="N112" s="1283">
        <f>IF('ketv. 5 '!U144=0,'ketv. 5 '!R144,'ketv. 5 '!U144)</f>
        <v>44440</v>
      </c>
      <c r="O112" s="1289">
        <f>SUMIF(Projektu_sutarciu_ataskaita!$J$19:$J$600,C112,Projektu_sutarciu_ataskaita!$BO$19:$BO$600)</f>
        <v>43322</v>
      </c>
      <c r="P112" s="1289">
        <f>SUMIF(Projektu_sutarciu_ataskaita!$J$19:$J$600,C112,Projektu_sutarciu_ataskaita!$L$19:$L$600)</f>
        <v>43322</v>
      </c>
      <c r="Q112" s="1290">
        <f t="shared" si="8"/>
        <v>36.032876712328765</v>
      </c>
      <c r="R112" s="1280">
        <f>SUM('ketv. 7 '!AL143)</f>
        <v>2183.5499999999997</v>
      </c>
      <c r="S112" s="1280">
        <f>SUMIF('mokėjimų ataskaita'!$I$14:$I$601,C112,'mokėjimų ataskaita'!$AK$14:$AK$601)/2</f>
        <v>2183.5499999999997</v>
      </c>
      <c r="T112" s="1280">
        <f>SUMIF('mokėjimų ataskaita'!I61:I648,C112,'mokėjimų ataskaita'!BS61:BS648)/2</f>
        <v>0</v>
      </c>
      <c r="U112" s="1281">
        <f t="shared" si="10"/>
        <v>0.3768900165700082</v>
      </c>
      <c r="V112" s="1309"/>
      <c r="W112" s="1309" t="s">
        <v>1914</v>
      </c>
      <c r="X112" s="1313" t="s">
        <v>1954</v>
      </c>
      <c r="Y112" s="1273"/>
      <c r="Z112" s="1273"/>
    </row>
    <row r="113" spans="1:26" ht="72">
      <c r="A113" s="1278">
        <f>SUM('ES lėšos'!A113)</f>
        <v>112</v>
      </c>
      <c r="B113" s="1273" t="str">
        <f>CONCATENATE('ES lėšos'!C113)</f>
        <v>08.4.2-ESFA-R-615</v>
      </c>
      <c r="C113" s="1273" t="str">
        <f>CONCATENATE('ketv. 6 '!C145)</f>
        <v>08.4.2-ESFA-R-615-11-0003</v>
      </c>
      <c r="D113" s="1273" t="str">
        <f>CONCATENATE('ES lėšos'!B113)</f>
        <v>Ambulatorinių sveikatos priežiūros paslaugų prieinamumo gerinimas tuberkulioze sergantiems asmenims Varėnos rajono savivaldybėje</v>
      </c>
      <c r="E113" s="1273" t="str">
        <f>CONCATENATE('ES lėšos'!D113)</f>
        <v>Varėnos rajono savivaldybės administracija</v>
      </c>
      <c r="F113" s="1273" t="str">
        <f>CONCATENATE('ES lėšos'!E113)</f>
        <v>Varėnos r. sav.</v>
      </c>
      <c r="G113" s="1285">
        <v>43138</v>
      </c>
      <c r="H113" s="1278" t="s">
        <v>1830</v>
      </c>
      <c r="I113" s="1279">
        <f>SUM('ES lėšos'!H113)</f>
        <v>13327</v>
      </c>
      <c r="J113" s="1280">
        <f>SUM('ES lėšos'!I113)</f>
        <v>13327</v>
      </c>
      <c r="K113" s="1279">
        <f t="shared" si="9"/>
        <v>0</v>
      </c>
      <c r="L113" s="1281">
        <f>IF(J113&gt;0,'ketv. 6 '!AF145/'ketv. 6 '!L145,"finansavimas dar neskirtas")</f>
        <v>0.84999043306333311</v>
      </c>
      <c r="M113" s="1289">
        <f>SUMIF(Projektu_sutarciu_ataskaita!$J$19:$J$600,C113,Projektu_sutarciu_ataskaita!$BP$19:$BP$600)</f>
        <v>44445</v>
      </c>
      <c r="N113" s="1283">
        <f>IF('ketv. 5 '!U145=0,'ketv. 5 '!R145,'ketv. 5 '!U145)</f>
        <v>44561</v>
      </c>
      <c r="O113" s="1289">
        <f>SUMIF(Projektu_sutarciu_ataskaita!$J$19:$J$600,C113,Projektu_sutarciu_ataskaita!$BO$19:$BO$600)</f>
        <v>43349</v>
      </c>
      <c r="P113" s="1289">
        <f>SUMIF(Projektu_sutarciu_ataskaita!$J$19:$J$600,C113,Projektu_sutarciu_ataskaita!$L$19:$L$600)</f>
        <v>43349</v>
      </c>
      <c r="Q113" s="1290">
        <f t="shared" si="8"/>
        <v>36.032876712328765</v>
      </c>
      <c r="R113" s="1280">
        <f>SUM('ketv. 7 '!AL144)</f>
        <v>94.24</v>
      </c>
      <c r="S113" s="1280">
        <f>SUMIF('mokėjimų ataskaita'!$I$14:$I$601,C113,'mokėjimų ataskaita'!$AK$14:$AK$601)/2</f>
        <v>94.24</v>
      </c>
      <c r="T113" s="1280">
        <f>SUMIF('mokėjimų ataskaita'!I62:I649,C113,'mokėjimų ataskaita'!BS62:BS649)/2</f>
        <v>0</v>
      </c>
      <c r="U113" s="1281">
        <f t="shared" si="10"/>
        <v>7.0713588954753508E-3</v>
      </c>
      <c r="V113" s="1309"/>
      <c r="W113" s="1309" t="s">
        <v>1914</v>
      </c>
      <c r="X113" s="1313" t="s">
        <v>1955</v>
      </c>
      <c r="Y113" s="1273"/>
      <c r="Z113" s="1273"/>
    </row>
    <row r="114" spans="1:26" ht="36">
      <c r="A114" s="1278">
        <f>SUM('ES lėšos'!A114)</f>
        <v>113</v>
      </c>
      <c r="B114" s="1273" t="str">
        <f>CONCATENATE('ES lėšos'!C114)</f>
        <v>08.1.1-CPVA-R-407</v>
      </c>
      <c r="C114" s="1273" t="str">
        <f>CONCATENATE('ketv. 6 '!C148)</f>
        <v>08.1.1-CPVA-R-407-11-0002</v>
      </c>
      <c r="D114" s="1273" t="str">
        <f>CONCATENATE('ES lėšos'!B114)</f>
        <v>Socialinių paslaugų infrastruktūros plėtra Varėnos rajono savivaldybėje</v>
      </c>
      <c r="E114" s="1273" t="str">
        <f>CONCATENATE('ES lėšos'!D114)</f>
        <v>Varėnos rajono savivaldybės administracija</v>
      </c>
      <c r="F114" s="1273" t="str">
        <f>CONCATENATE('ES lėšos'!E114)</f>
        <v>Varėnos r. sav.</v>
      </c>
      <c r="G114" s="1285">
        <v>42640</v>
      </c>
      <c r="H114" s="1278" t="s">
        <v>1848</v>
      </c>
      <c r="I114" s="1279">
        <f>SUM('ES lėšos'!H114)</f>
        <v>126208</v>
      </c>
      <c r="J114" s="1280">
        <f>SUM('ES lėšos'!I114)</f>
        <v>126208</v>
      </c>
      <c r="K114" s="1279">
        <f t="shared" si="9"/>
        <v>0</v>
      </c>
      <c r="L114" s="1281">
        <f>IF(J114&gt;0,'ketv. 6 '!AF148/'ketv. 6 '!L148,"finansavimas dar neskirtas")</f>
        <v>0.85</v>
      </c>
      <c r="M114" s="1289">
        <f>SUMIF(Projektu_sutarciu_ataskaita!$J$19:$J$600,C114,Projektu_sutarciu_ataskaita!$BP$19:$BP$600)</f>
        <v>43708</v>
      </c>
      <c r="N114" s="1283">
        <f>IF('ketv. 5 '!U148=0,'ketv. 5 '!R148,'ketv. 5 '!U148)</f>
        <v>43465</v>
      </c>
      <c r="O114" s="1289">
        <f>SUMIF(Projektu_sutarciu_ataskaita!$J$19:$J$600,C114,Projektu_sutarciu_ataskaita!$BO$19:$BO$600)</f>
        <v>42849</v>
      </c>
      <c r="P114" s="1289">
        <f>SUMIF(Projektu_sutarciu_ataskaita!$J$19:$J$600,C114,Projektu_sutarciu_ataskaita!$L$19:$L$600)</f>
        <v>42849</v>
      </c>
      <c r="Q114" s="1290">
        <f t="shared" si="8"/>
        <v>28.241095890410957</v>
      </c>
      <c r="R114" s="1280">
        <f>SUM('ketv. 7 '!AL147)</f>
        <v>59607.64</v>
      </c>
      <c r="S114" s="1280">
        <f>SUMIF('mokėjimų ataskaita'!$I$14:$I$601,C114,'mokėjimų ataskaita'!$AK$14:$AK$601)/2</f>
        <v>59607.64</v>
      </c>
      <c r="T114" s="1280">
        <f>SUMIF('mokėjimų ataskaita'!I63:I650,C114,'mokėjimų ataskaita'!BS63:BS650)/2</f>
        <v>21853.64</v>
      </c>
      <c r="U114" s="1281">
        <f t="shared" si="10"/>
        <v>0.47229684330628802</v>
      </c>
      <c r="V114" s="1309"/>
      <c r="W114" s="1309" t="s">
        <v>1914</v>
      </c>
      <c r="X114" s="1313" t="s">
        <v>1944</v>
      </c>
      <c r="Y114" s="1273"/>
      <c r="Z114" s="1273"/>
    </row>
    <row r="115" spans="1:26" ht="36">
      <c r="A115" s="1278">
        <f>SUM('ES lėšos'!A115)</f>
        <v>114</v>
      </c>
      <c r="B115" s="1273" t="str">
        <f>CONCATENATE('ES lėšos'!C115)</f>
        <v>08.1.1-CPVA-R-407</v>
      </c>
      <c r="C115" s="1273" t="str">
        <f>CONCATENATE('ketv. 6 '!C149)</f>
        <v>08.1.1-CPVA-R-407-11-0004</v>
      </c>
      <c r="D115" s="1273" t="str">
        <f>CONCATENATE('ES lėšos'!B115)</f>
        <v>Psichosocialinės pagalbos centro įkūrimas</v>
      </c>
      <c r="E115" s="1273" t="str">
        <f>CONCATENATE('ES lėšos'!D115)</f>
        <v>Alytaus rajono savivaldybės administracija</v>
      </c>
      <c r="F115" s="1273" t="str">
        <f>CONCATENATE('ES lėšos'!E115)</f>
        <v>Alytaus r. sav.</v>
      </c>
      <c r="G115" s="1285">
        <v>42640</v>
      </c>
      <c r="H115" s="1278" t="s">
        <v>1898</v>
      </c>
      <c r="I115" s="1279">
        <f>SUM('ES lėšos'!H115)</f>
        <v>160100</v>
      </c>
      <c r="J115" s="1280">
        <f>SUM('ES lėšos'!I115)</f>
        <v>160100</v>
      </c>
      <c r="K115" s="1279">
        <f t="shared" si="9"/>
        <v>0</v>
      </c>
      <c r="L115" s="1281">
        <f>IF(J115&gt;0,'ketv. 6 '!AF149/'ketv. 6 '!L149,"finansavimas dar neskirtas")</f>
        <v>0.84999973454099487</v>
      </c>
      <c r="M115" s="1289">
        <f>SUMIF(Projektu_sutarciu_ataskaita!$J$19:$J$600,C115,Projektu_sutarciu_ataskaita!$BP$19:$BP$600)</f>
        <v>43616</v>
      </c>
      <c r="N115" s="1283">
        <f>IF('ketv. 5 '!U149=0,'ketv. 5 '!R149,'ketv. 5 '!U149)</f>
        <v>43646</v>
      </c>
      <c r="O115" s="1289">
        <f>SUMIF(Projektu_sutarciu_ataskaita!$J$19:$J$600,C115,Projektu_sutarciu_ataskaita!$BO$19:$BO$600)</f>
        <v>42888</v>
      </c>
      <c r="P115" s="1289">
        <f>SUMIF(Projektu_sutarciu_ataskaita!$J$19:$J$600,C115,Projektu_sutarciu_ataskaita!$L$19:$L$600)</f>
        <v>42888</v>
      </c>
      <c r="Q115" s="1290">
        <f t="shared" si="8"/>
        <v>23.934246575342463</v>
      </c>
      <c r="R115" s="1280">
        <f>SUM('ketv. 7 '!AL148)</f>
        <v>150308.45999999996</v>
      </c>
      <c r="S115" s="1280">
        <f>SUMIF('mokėjimų ataskaita'!$I$14:$I$601,C115,'mokėjimų ataskaita'!$AK$14:$AK$601)/2</f>
        <v>150308.45999999996</v>
      </c>
      <c r="T115" s="1280">
        <f>SUMIF('mokėjimų ataskaita'!I64:I651,C115,'mokėjimų ataskaita'!BS64:BS651)/2</f>
        <v>148078.35999999999</v>
      </c>
      <c r="U115" s="1281">
        <f t="shared" si="10"/>
        <v>0.93884109931292914</v>
      </c>
      <c r="V115" s="1309"/>
      <c r="W115" s="1309" t="s">
        <v>1914</v>
      </c>
      <c r="X115" s="1313" t="s">
        <v>1946</v>
      </c>
      <c r="Y115" s="1273"/>
      <c r="Z115" s="1273"/>
    </row>
    <row r="116" spans="1:26" ht="36">
      <c r="A116" s="1278">
        <f>SUM('ES lėšos'!A116)</f>
        <v>115</v>
      </c>
      <c r="B116" s="1273" t="str">
        <f>CONCATENATE('ES lėšos'!C116)</f>
        <v>08.1.1-CPVA-R-407</v>
      </c>
      <c r="C116" s="1273" t="str">
        <f>CONCATENATE('ketv. 6 '!C150)</f>
        <v>08.1.1-CPVA-R-407-11-0005</v>
      </c>
      <c r="D116" s="1273" t="str">
        <f>CONCATENATE('ES lėšos'!B116)</f>
        <v>Socialinių paslaugų plėtra Alytaus mieste</v>
      </c>
      <c r="E116" s="1273" t="str">
        <f>CONCATENATE('ES lėšos'!D116)</f>
        <v>Alytaus miesto savivaldybės administracija</v>
      </c>
      <c r="F116" s="1273" t="str">
        <f>CONCATENATE('ES lėšos'!E116)</f>
        <v>Alytaus m. sav.</v>
      </c>
      <c r="G116" s="1285">
        <v>42725</v>
      </c>
      <c r="H116" s="1278" t="s">
        <v>1900</v>
      </c>
      <c r="I116" s="1279">
        <f>SUM('ES lėšos'!H116)</f>
        <v>346361</v>
      </c>
      <c r="J116" s="1280">
        <f>SUM('ES lėšos'!I116)</f>
        <v>346360.99999999994</v>
      </c>
      <c r="K116" s="1279">
        <f t="shared" si="9"/>
        <v>5.8207660913467407E-11</v>
      </c>
      <c r="L116" s="1281">
        <f>IF(J116&gt;0,'ketv. 6 '!AF150/'ketv. 6 '!L150,"finansavimas dar neskirtas")</f>
        <v>0.57656415631042612</v>
      </c>
      <c r="M116" s="1289">
        <f>SUMIF(Projektu_sutarciu_ataskaita!$J$19:$J$600,C116,Projektu_sutarciu_ataskaita!$BP$19:$BP$600)</f>
        <v>43616</v>
      </c>
      <c r="N116" s="1283">
        <f>IF('ketv. 5 '!U150=0,'ketv. 5 '!R150,'ketv. 5 '!U150)</f>
        <v>43444</v>
      </c>
      <c r="O116" s="1289">
        <f>SUMIF(Projektu_sutarciu_ataskaita!$J$19:$J$600,C116,Projektu_sutarciu_ataskaita!$BO$19:$BO$600)</f>
        <v>42936</v>
      </c>
      <c r="P116" s="1289">
        <f>SUMIF(Projektu_sutarciu_ataskaita!$J$19:$J$600,C116,Projektu_sutarciu_ataskaita!$L$19:$L$600)</f>
        <v>42936</v>
      </c>
      <c r="Q116" s="1290">
        <f t="shared" si="8"/>
        <v>22.356164383561644</v>
      </c>
      <c r="R116" s="1280">
        <f>SUM('ketv. 7 '!AL149)</f>
        <v>346360.99999999994</v>
      </c>
      <c r="S116" s="1280">
        <f>SUMIF('mokėjimų ataskaita'!$I$14:$I$601,C116,'mokėjimų ataskaita'!$AK$14:$AK$601)/2</f>
        <v>346360.99999999994</v>
      </c>
      <c r="T116" s="1280">
        <f>SUMIF('mokėjimų ataskaita'!I65:I652,C116,'mokėjimų ataskaita'!BS65:BS652)/2</f>
        <v>346302.92999999993</v>
      </c>
      <c r="U116" s="1281">
        <f t="shared" si="10"/>
        <v>1</v>
      </c>
      <c r="V116" s="1309"/>
      <c r="W116" s="1309" t="s">
        <v>1914</v>
      </c>
      <c r="X116" s="1313" t="s">
        <v>1947</v>
      </c>
      <c r="Y116" s="1273"/>
      <c r="Z116" s="1273"/>
    </row>
    <row r="117" spans="1:26" ht="36">
      <c r="A117" s="1278">
        <f>SUM('ES lėšos'!A117)</f>
        <v>116</v>
      </c>
      <c r="B117" s="1273" t="str">
        <f>CONCATENATE('ES lėšos'!C117)</f>
        <v>08.1.1-CPVA-R-407</v>
      </c>
      <c r="C117" s="1273" t="str">
        <f>CONCATENATE('ketv. 6 '!C151)</f>
        <v>08.1.1-CPVA-R-407-11-0001</v>
      </c>
      <c r="D117" s="1273" t="str">
        <f>CONCATENATE('ES lėšos'!B117)</f>
        <v>Socialinių paslaugų infrastruktūros plėtra Druskininkų savivaldybėje</v>
      </c>
      <c r="E117" s="1273" t="str">
        <f>CONCATENATE('ES lėšos'!D117)</f>
        <v>Druskininkų savivaldybės administracija</v>
      </c>
      <c r="F117" s="1273" t="str">
        <f>CONCATENATE('ES lėšos'!E117)</f>
        <v>Druskininkų sav.</v>
      </c>
      <c r="G117" s="1285">
        <v>42640</v>
      </c>
      <c r="H117" s="1278" t="s">
        <v>1899</v>
      </c>
      <c r="I117" s="1279">
        <f>SUM('ES lėšos'!H117)</f>
        <v>128721</v>
      </c>
      <c r="J117" s="1280">
        <f>SUM('ES lėšos'!I117)</f>
        <v>128721</v>
      </c>
      <c r="K117" s="1279">
        <f t="shared" si="9"/>
        <v>0</v>
      </c>
      <c r="L117" s="1281">
        <f>IF(J117&gt;0,'ketv. 6 '!AF151/'ketv. 6 '!L151,"finansavimas dar neskirtas")</f>
        <v>0.84999702846728342</v>
      </c>
      <c r="M117" s="1289">
        <f>SUMIF(Projektu_sutarciu_ataskaita!$J$19:$J$600,C117,Projektu_sutarciu_ataskaita!$BP$19:$BP$600)</f>
        <v>43708</v>
      </c>
      <c r="N117" s="1283">
        <f>IF('ketv. 5 '!U151=0,'ketv. 5 '!R151,'ketv. 5 '!U151)</f>
        <v>43738</v>
      </c>
      <c r="O117" s="1289">
        <f>SUMIF(Projektu_sutarciu_ataskaita!$J$19:$J$600,C117,Projektu_sutarciu_ataskaita!$BO$19:$BO$600)</f>
        <v>42851</v>
      </c>
      <c r="P117" s="1289">
        <f>SUMIF(Projektu_sutarciu_ataskaita!$J$19:$J$600,C117,Projektu_sutarciu_ataskaita!$L$19:$L$600)</f>
        <v>42851</v>
      </c>
      <c r="Q117" s="1290">
        <f t="shared" si="8"/>
        <v>28.175342465753424</v>
      </c>
      <c r="R117" s="1280">
        <f>SUM('ketv. 7 '!AL150)</f>
        <v>28901.67</v>
      </c>
      <c r="S117" s="1280">
        <f>SUMIF('mokėjimų ataskaita'!$I$14:$I$601,C117,'mokėjimų ataskaita'!$AK$14:$AK$601)/2</f>
        <v>28901.67</v>
      </c>
      <c r="T117" s="1280">
        <f>SUMIF('mokėjimų ataskaita'!I66:I653,C117,'mokėjimų ataskaita'!BS66:BS653)/2</f>
        <v>6168.43</v>
      </c>
      <c r="U117" s="1281">
        <f t="shared" si="10"/>
        <v>0.22452956394061574</v>
      </c>
      <c r="V117" s="1309"/>
      <c r="W117" s="1309" t="s">
        <v>1914</v>
      </c>
      <c r="X117" s="1313" t="s">
        <v>1943</v>
      </c>
      <c r="Y117" s="1273"/>
      <c r="Z117" s="1273"/>
    </row>
    <row r="118" spans="1:26" ht="72">
      <c r="A118" s="1278">
        <f>SUM('ES lėšos'!A118)</f>
        <v>117</v>
      </c>
      <c r="B118" s="1273" t="str">
        <f>CONCATENATE('ES lėšos'!C118)</f>
        <v>08.1.1-CPVA-R-407</v>
      </c>
      <c r="C118" s="1273" t="str">
        <f>CONCATENATE('ketv. 6 '!C152)</f>
        <v>08.1.1-CPVA-R-407-11-0003</v>
      </c>
      <c r="D118" s="1273" t="str">
        <f>CONCATENATE('ES lėšos'!B118)</f>
        <v>Socialinių paslaugų infrastruktūros modernizavimas ir plėtra VšĮ Kapčiamiesčio globos namuose</v>
      </c>
      <c r="E118" s="1273" t="str">
        <f>CONCATENATE('ES lėšos'!D118)</f>
        <v>VšĮ Kapčiamiesčio globos namai</v>
      </c>
      <c r="F118" s="1273" t="str">
        <f>CONCATENATE('ES lėšos'!E118)</f>
        <v>Lazdijų r. sav.</v>
      </c>
      <c r="G118" s="1285">
        <v>42640</v>
      </c>
      <c r="H118" s="1278" t="s">
        <v>1896</v>
      </c>
      <c r="I118" s="1279">
        <f>SUM('ES lėšos'!H118)</f>
        <v>124371.15</v>
      </c>
      <c r="J118" s="1280">
        <f>SUM('ES lėšos'!I118)</f>
        <v>124371.15</v>
      </c>
      <c r="K118" s="1279">
        <f t="shared" si="9"/>
        <v>0</v>
      </c>
      <c r="L118" s="1281">
        <f>IF(J118&gt;0,'ketv. 6 '!AF152/'ketv. 6 '!L152,"finansavimas dar neskirtas")</f>
        <v>0.85</v>
      </c>
      <c r="M118" s="1289">
        <f>SUMIF(Projektu_sutarciu_ataskaita!$J$19:$J$600,C118,Projektu_sutarciu_ataskaita!$BP$19:$BP$600)</f>
        <v>43585</v>
      </c>
      <c r="N118" s="1283">
        <f>IF('ketv. 5 '!U152=0,'ketv. 5 '!R152,'ketv. 5 '!U152)</f>
        <v>43488</v>
      </c>
      <c r="O118" s="1289">
        <f>SUMIF(Projektu_sutarciu_ataskaita!$J$19:$J$600,C118,Projektu_sutarciu_ataskaita!$BO$19:$BO$600)</f>
        <v>42825</v>
      </c>
      <c r="P118" s="1289">
        <f>SUMIF(Projektu_sutarciu_ataskaita!$J$19:$J$600,C118,Projektu_sutarciu_ataskaita!$L$19:$L$600)</f>
        <v>42825</v>
      </c>
      <c r="Q118" s="1290">
        <f t="shared" si="8"/>
        <v>24.986301369863014</v>
      </c>
      <c r="R118" s="1280">
        <f>SUM('ketv. 7 '!AL151)</f>
        <v>124371.15</v>
      </c>
      <c r="S118" s="1280">
        <f>SUMIF('mokėjimų ataskaita'!$I$14:$I$601,C118,'mokėjimų ataskaita'!$AK$14:$AK$601)/2</f>
        <v>124371.15</v>
      </c>
      <c r="T118" s="1280">
        <f>SUMIF('mokėjimų ataskaita'!I67:I654,C118,'mokėjimų ataskaita'!BS67:BS654)/2</f>
        <v>116388.94</v>
      </c>
      <c r="U118" s="1281">
        <f t="shared" si="10"/>
        <v>1</v>
      </c>
      <c r="V118" s="1309"/>
      <c r="W118" s="1309" t="s">
        <v>1914</v>
      </c>
      <c r="X118" s="1313" t="s">
        <v>1945</v>
      </c>
      <c r="Y118" s="1273"/>
      <c r="Z118" s="1273"/>
    </row>
    <row r="119" spans="1:26" ht="36">
      <c r="A119" s="1278">
        <f>SUM('ES lėšos'!A119)</f>
        <v>118</v>
      </c>
      <c r="B119" s="1273" t="str">
        <f>CONCATENATE('ES lėšos'!C119)</f>
        <v>08.1.2-CPVA-R-408</v>
      </c>
      <c r="C119" s="1273" t="str">
        <f>CONCATENATE('ketv. 6 '!C154)</f>
        <v>08.1.2-CPVA-R-408-11-0001</v>
      </c>
      <c r="D119" s="1273" t="str">
        <f>CONCATENATE('ES lėšos'!B119)</f>
        <v>Socialinio būsto plėtra Varėnos rajone</v>
      </c>
      <c r="E119" s="1273" t="str">
        <f>CONCATENATE('ES lėšos'!D119)</f>
        <v>Varėnos rajono savivaldybės administracija</v>
      </c>
      <c r="F119" s="1273" t="str">
        <f>CONCATENATE('ES lėšos'!E119)</f>
        <v>Varėnos r. sav.</v>
      </c>
      <c r="G119" s="1285">
        <v>42444</v>
      </c>
      <c r="H119" s="1278" t="s">
        <v>1871</v>
      </c>
      <c r="I119" s="1279">
        <f>SUM('ES lėšos'!H119)</f>
        <v>626024</v>
      </c>
      <c r="J119" s="1280">
        <f>SUM('ES lėšos'!I119)</f>
        <v>626024</v>
      </c>
      <c r="K119" s="1279">
        <f t="shared" si="9"/>
        <v>0</v>
      </c>
      <c r="L119" s="1281">
        <f>IF(J119&gt;0,'ketv. 6 '!AF154/'ketv. 6 '!L154,"finansavimas dar neskirtas")</f>
        <v>0.84999979633373568</v>
      </c>
      <c r="M119" s="1289">
        <f>SUMIF(Projektu_sutarciu_ataskaita!$J$19:$J$600,C119,Projektu_sutarciu_ataskaita!$BP$19:$BP$600)</f>
        <v>43708</v>
      </c>
      <c r="N119" s="1283">
        <f>IF('ketv. 5 '!U154=0,'ketv. 5 '!R154,'ketv. 5 '!U154)</f>
        <v>43738</v>
      </c>
      <c r="O119" s="1289">
        <f>SUMIF(Projektu_sutarciu_ataskaita!$J$19:$J$600,C119,Projektu_sutarciu_ataskaita!$BO$19:$BO$600)</f>
        <v>42296</v>
      </c>
      <c r="P119" s="1289">
        <f>SUMIF(Projektu_sutarciu_ataskaita!$J$19:$J$600,C119,Projektu_sutarciu_ataskaita!$L$19:$L$600)</f>
        <v>42605</v>
      </c>
      <c r="Q119" s="1290">
        <f t="shared" si="8"/>
        <v>36.263013698630132</v>
      </c>
      <c r="R119" s="1280">
        <f>SUM('ketv. 7 '!AL153)</f>
        <v>503981.68</v>
      </c>
      <c r="S119" s="1280">
        <f>SUMIF('mokėjimų ataskaita'!$I$14:$I$601,C119,'mokėjimų ataskaita'!$AK$14:$AK$601)/2</f>
        <v>503981.68</v>
      </c>
      <c r="T119" s="1280">
        <f>SUMIF('mokėjimų ataskaita'!I68:I655,C119,'mokėjimų ataskaita'!BS68:BS655)/2</f>
        <v>340890.04</v>
      </c>
      <c r="U119" s="1281">
        <f t="shared" si="10"/>
        <v>0.80505169130895937</v>
      </c>
      <c r="V119" s="1309"/>
      <c r="W119" s="1309" t="s">
        <v>1914</v>
      </c>
      <c r="X119" s="1313" t="s">
        <v>1941</v>
      </c>
      <c r="Y119" s="1273"/>
      <c r="Z119" s="1273"/>
    </row>
    <row r="120" spans="1:26" ht="48">
      <c r="A120" s="1278">
        <f>SUM('ES lėšos'!A120)</f>
        <v>119</v>
      </c>
      <c r="B120" s="1273" t="str">
        <f>CONCATENATE('ES lėšos'!C120)</f>
        <v>08.1.2-CPVA-R-408</v>
      </c>
      <c r="C120" s="1273" t="str">
        <f>CONCATENATE('ketv. 6 '!C155)</f>
        <v>08.1.2-CPVA-R-408-11-0005</v>
      </c>
      <c r="D120" s="1273" t="str">
        <f>CONCATENATE('ES lėšos'!B120)</f>
        <v>Būsto prieinamumo pažeidžiamoms gyventojų grupėms didinimas Alytaus rajone</v>
      </c>
      <c r="E120" s="1273" t="str">
        <f>CONCATENATE('ES lėšos'!D120)</f>
        <v>Alytaus rajono savivaldybės administracija</v>
      </c>
      <c r="F120" s="1273" t="str">
        <f>CONCATENATE('ES lėšos'!E120)</f>
        <v>Alytaus r. sav.</v>
      </c>
      <c r="G120" s="1285">
        <v>42454</v>
      </c>
      <c r="H120" s="1278" t="s">
        <v>1901</v>
      </c>
      <c r="I120" s="1279">
        <f>SUM('ES lėšos'!H120)</f>
        <v>205605.65</v>
      </c>
      <c r="J120" s="1280">
        <f>SUM('ES lėšos'!I120)</f>
        <v>205605.65</v>
      </c>
      <c r="K120" s="1279">
        <f t="shared" si="9"/>
        <v>0</v>
      </c>
      <c r="L120" s="1281">
        <f>IF(J120&gt;0,'ketv. 6 '!AF155/'ketv. 6 '!L155,"finansavimas dar neskirtas")</f>
        <v>0.85</v>
      </c>
      <c r="M120" s="1289">
        <f>SUMIF(Projektu_sutarciu_ataskaita!$J$19:$J$600,C120,Projektu_sutarciu_ataskaita!$BP$19:$BP$600)</f>
        <v>43343</v>
      </c>
      <c r="N120" s="1283">
        <f>IF('ketv. 5 '!U155=0,'ketv. 5 '!R155,'ketv. 5 '!U155)</f>
        <v>43488</v>
      </c>
      <c r="O120" s="1289">
        <f>SUMIF(Projektu_sutarciu_ataskaita!$J$19:$J$600,C120,Projektu_sutarciu_ataskaita!$BO$19:$BO$600)</f>
        <v>42522</v>
      </c>
      <c r="P120" s="1289">
        <f>SUMIF(Projektu_sutarciu_ataskaita!$J$19:$J$600,C120,Projektu_sutarciu_ataskaita!$L$19:$L$600)</f>
        <v>42626</v>
      </c>
      <c r="Q120" s="1290">
        <f t="shared" si="8"/>
        <v>23.572602739726026</v>
      </c>
      <c r="R120" s="1280">
        <f>SUM('ketv. 7 '!AL154)</f>
        <v>205605.65</v>
      </c>
      <c r="S120" s="1280">
        <f>SUMIF('mokėjimų ataskaita'!$I$14:$I$601,C120,'mokėjimų ataskaita'!$AK$14:$AK$601)/2</f>
        <v>205605.65</v>
      </c>
      <c r="T120" s="1280">
        <f>SUMIF('mokėjimų ataskaita'!I69:I656,C120,'mokėjimų ataskaita'!BS69:BS656)/2</f>
        <v>197013.66</v>
      </c>
      <c r="U120" s="1281">
        <f t="shared" si="10"/>
        <v>1</v>
      </c>
      <c r="V120" s="1309"/>
      <c r="W120" s="1309" t="s">
        <v>1914</v>
      </c>
      <c r="X120" s="1313" t="s">
        <v>1918</v>
      </c>
      <c r="Y120" s="1273"/>
      <c r="Z120" s="1273"/>
    </row>
    <row r="121" spans="1:26" ht="36">
      <c r="A121" s="1278">
        <f>SUM('ES lėšos'!A121)</f>
        <v>120</v>
      </c>
      <c r="B121" s="1273" t="str">
        <f>CONCATENATE('ES lėšos'!C121)</f>
        <v>08.1.2-CPVA-R-408</v>
      </c>
      <c r="C121" s="1273" t="str">
        <f>CONCATENATE('ketv. 6 '!C156)</f>
        <v>08.1.2-CPVA-R-408-11-0002</v>
      </c>
      <c r="D121" s="1273" t="str">
        <f>CONCATENATE('ES lėšos'!B121)</f>
        <v>Socialinio būsto plėtra Alytaus mieste</v>
      </c>
      <c r="E121" s="1273" t="str">
        <f>CONCATENATE('ES lėšos'!D121)</f>
        <v>Alytaus miesto savivaldybės administracija</v>
      </c>
      <c r="F121" s="1273" t="str">
        <f>CONCATENATE('ES lėšos'!E121)</f>
        <v>Alytaus m. sav.</v>
      </c>
      <c r="G121" s="1285">
        <v>42454</v>
      </c>
      <c r="H121" s="1278" t="s">
        <v>1870</v>
      </c>
      <c r="I121" s="1279">
        <f>SUM('ES lėšos'!H121)</f>
        <v>757980</v>
      </c>
      <c r="J121" s="1280">
        <f>SUM('ES lėšos'!I121)</f>
        <v>757980</v>
      </c>
      <c r="K121" s="1279">
        <f t="shared" si="9"/>
        <v>0</v>
      </c>
      <c r="L121" s="1281">
        <f>IF(J121&gt;0,'ketv. 6 '!AF156/'ketv. 6 '!L156,"finansavimas dar neskirtas")</f>
        <v>0.84999999663579517</v>
      </c>
      <c r="M121" s="1289">
        <f>SUMIF(Projektu_sutarciu_ataskaita!$J$19:$J$600,C121,Projektu_sutarciu_ataskaita!$BP$19:$BP$600)</f>
        <v>43707</v>
      </c>
      <c r="N121" s="1283">
        <f>IF('ketv. 5 '!U156=0,'ketv. 5 '!R156,'ketv. 5 '!U156)</f>
        <v>43707</v>
      </c>
      <c r="O121" s="1289">
        <f>SUMIF(Projektu_sutarciu_ataskaita!$J$19:$J$600,C121,Projektu_sutarciu_ataskaita!$BO$19:$BO$600)</f>
        <v>42598</v>
      </c>
      <c r="P121" s="1289">
        <f>SUMIF(Projektu_sutarciu_ataskaita!$J$19:$J$600,C121,Projektu_sutarciu_ataskaita!$L$19:$L$600)</f>
        <v>42599</v>
      </c>
      <c r="Q121" s="1290">
        <f t="shared" si="8"/>
        <v>36.42739726027397</v>
      </c>
      <c r="R121" s="1280">
        <f>SUM('ketv. 7 '!AL155)</f>
        <v>585857.47</v>
      </c>
      <c r="S121" s="1280">
        <f>SUMIF('mokėjimų ataskaita'!$I$14:$I$601,C121,'mokėjimų ataskaita'!$AK$14:$AK$601)/2</f>
        <v>585857.47</v>
      </c>
      <c r="T121" s="1280">
        <f>SUMIF('mokėjimų ataskaita'!I70:I657,C121,'mokėjimų ataskaita'!BS70:BS657)/2</f>
        <v>444947.47</v>
      </c>
      <c r="U121" s="1281">
        <f t="shared" ref="U121:U139" si="11">IF(J121&gt;0,R121/J121,"finansavimas dar neskirtas")</f>
        <v>0.77291943059183621</v>
      </c>
      <c r="V121" s="1309"/>
      <c r="W121" s="1309" t="s">
        <v>1914</v>
      </c>
      <c r="X121" s="1313" t="s">
        <v>1936</v>
      </c>
      <c r="Y121" s="1273"/>
      <c r="Z121" s="1273"/>
    </row>
    <row r="122" spans="1:26" ht="36">
      <c r="A122" s="1278">
        <f>SUM('ES lėšos'!A122)</f>
        <v>121</v>
      </c>
      <c r="B122" s="1273" t="str">
        <f>CONCATENATE('ES lėšos'!C122)</f>
        <v>08.1.2-CPVA-R-408</v>
      </c>
      <c r="C122" s="1273" t="str">
        <f>CONCATENATE('ketv. 6 '!C157)</f>
        <v>08.1.2-CPVA-R-408-11-0003</v>
      </c>
      <c r="D122" s="1273" t="str">
        <f>CONCATENATE('ES lėšos'!B122)</f>
        <v>Socialinio būsto fondo plėtra Druskininkų savivaldybėje</v>
      </c>
      <c r="E122" s="1273" t="str">
        <f>CONCATENATE('ES lėšos'!D122)</f>
        <v>Druskininkų savivaldybės administracija</v>
      </c>
      <c r="F122" s="1273" t="str">
        <f>CONCATENATE('ES lėšos'!E122)</f>
        <v>Druskininkų sav.</v>
      </c>
      <c r="G122" s="1285">
        <v>42447</v>
      </c>
      <c r="H122" s="1278" t="s">
        <v>1897</v>
      </c>
      <c r="I122" s="1279">
        <f>SUM('ES lėšos'!H122)</f>
        <v>618351.99</v>
      </c>
      <c r="J122" s="1280">
        <f>SUM('ES lėšos'!I122)</f>
        <v>618351.99</v>
      </c>
      <c r="K122" s="1279">
        <f t="shared" si="9"/>
        <v>0</v>
      </c>
      <c r="L122" s="1281">
        <f>IF(J122&gt;0,'ketv. 6 '!AF157/'ketv. 6 '!L157,"finansavimas dar neskirtas")</f>
        <v>0.8499999876284059</v>
      </c>
      <c r="M122" s="1289">
        <f>SUMIF(Projektu_sutarciu_ataskaita!$J$19:$J$600,C122,Projektu_sutarciu_ataskaita!$BP$19:$BP$600)</f>
        <v>43585</v>
      </c>
      <c r="N122" s="1283">
        <f>IF('ketv. 5 '!U157=0,'ketv. 5 '!R157,'ketv. 5 '!U157)</f>
        <v>43585</v>
      </c>
      <c r="O122" s="1289">
        <f>SUMIF(Projektu_sutarciu_ataskaita!$J$19:$J$600,C122,Projektu_sutarciu_ataskaita!$BO$19:$BO$600)</f>
        <v>42593</v>
      </c>
      <c r="P122" s="1289">
        <f>SUMIF(Projektu_sutarciu_ataskaita!$J$19:$J$600,C122,Projektu_sutarciu_ataskaita!$L$19:$L$600)</f>
        <v>42593</v>
      </c>
      <c r="Q122" s="1290">
        <f t="shared" si="8"/>
        <v>32.613698630136987</v>
      </c>
      <c r="R122" s="1280">
        <f>SUM('ketv. 7 '!AL156)</f>
        <v>495204.13</v>
      </c>
      <c r="S122" s="1280">
        <f>SUMIF('mokėjimų ataskaita'!$I$14:$I$601,C122,'mokėjimų ataskaita'!$AK$14:$AK$601)/2</f>
        <v>495204.13</v>
      </c>
      <c r="T122" s="1280">
        <f>SUMIF('mokėjimų ataskaita'!I71:I658,C122,'mokėjimų ataskaita'!BS71:BS658)/2</f>
        <v>233190.72</v>
      </c>
      <c r="U122" s="1281">
        <f t="shared" si="11"/>
        <v>0.80084504943535484</v>
      </c>
      <c r="V122" s="1309"/>
      <c r="W122" s="1309" t="s">
        <v>1914</v>
      </c>
      <c r="X122" s="1313" t="s">
        <v>1943</v>
      </c>
      <c r="Y122" s="1273"/>
      <c r="Z122" s="1273"/>
    </row>
    <row r="123" spans="1:26" ht="36">
      <c r="A123" s="1278">
        <f>SUM('ES lėšos'!A123)</f>
        <v>122</v>
      </c>
      <c r="B123" s="1273" t="str">
        <f>CONCATENATE('ES lėšos'!C123)</f>
        <v>08.1.2-CPVA-R-408</v>
      </c>
      <c r="C123" s="1273" t="str">
        <f>CONCATENATE('ketv. 6 '!C158)</f>
        <v>08.1.2-CPVA-R-408-11-0004</v>
      </c>
      <c r="D123" s="1273" t="str">
        <f>CONCATENATE('ES lėšos'!B123)</f>
        <v>Socialinio būsto fondo plėtra Lazdijų rajono savivaldybėje</v>
      </c>
      <c r="E123" s="1273" t="str">
        <f>CONCATENATE('ES lėšos'!D123)</f>
        <v>Lazdijų rajono savivaldybės administracija</v>
      </c>
      <c r="F123" s="1273" t="str">
        <f>CONCATENATE('ES lėšos'!E123)</f>
        <v>Lazdijų r. sav.</v>
      </c>
      <c r="G123" s="1285">
        <v>42450</v>
      </c>
      <c r="H123" s="1278" t="s">
        <v>1869</v>
      </c>
      <c r="I123" s="1279">
        <f>SUM('ES lėšos'!H123)</f>
        <v>313012</v>
      </c>
      <c r="J123" s="1280">
        <f>SUM('ES lėšos'!I123)</f>
        <v>313012</v>
      </c>
      <c r="K123" s="1279">
        <f t="shared" si="9"/>
        <v>0</v>
      </c>
      <c r="L123" s="1281">
        <f>IF(J123&gt;0,'ketv. 6 '!AF158/'ketv. 6 '!L158,"finansavimas dar neskirtas")</f>
        <v>0.84919383937558157</v>
      </c>
      <c r="M123" s="1289">
        <f>SUMIF(Projektu_sutarciu_ataskaita!$J$19:$J$600,C123,Projektu_sutarciu_ataskaita!$BP$19:$BP$600)</f>
        <v>43738</v>
      </c>
      <c r="N123" s="1283">
        <f>IF('ketv. 5 '!U158=0,'ketv. 5 '!R158,'ketv. 5 '!U158)</f>
        <v>43554</v>
      </c>
      <c r="O123" s="1289">
        <f>SUMIF(Projektu_sutarciu_ataskaita!$J$19:$J$600,C123,Projektu_sutarciu_ataskaita!$BO$19:$BO$600)</f>
        <v>42382</v>
      </c>
      <c r="P123" s="1289">
        <f>SUMIF(Projektu_sutarciu_ataskaita!$J$19:$J$600,C123,Projektu_sutarciu_ataskaita!$L$19:$L$600)</f>
        <v>42613</v>
      </c>
      <c r="Q123" s="1290">
        <f t="shared" si="8"/>
        <v>36.986301369863014</v>
      </c>
      <c r="R123" s="1280">
        <f>SUM('ketv. 7 '!AL157)</f>
        <v>158103.12000000002</v>
      </c>
      <c r="S123" s="1280">
        <f>SUMIF('mokėjimų ataskaita'!$I$14:$I$601,C123,'mokėjimų ataskaita'!$AK$14:$AK$601)/2</f>
        <v>158103.12000000002</v>
      </c>
      <c r="T123" s="1280">
        <f>SUMIF('mokėjimų ataskaita'!I72:I659,C123,'mokėjimų ataskaita'!BS72:BS659)/2</f>
        <v>70204.849999999991</v>
      </c>
      <c r="U123" s="1281">
        <f t="shared" si="11"/>
        <v>0.50510242418821016</v>
      </c>
      <c r="V123" s="1309"/>
      <c r="W123" s="1309" t="s">
        <v>1914</v>
      </c>
      <c r="X123" s="1313" t="s">
        <v>1916</v>
      </c>
      <c r="Y123" s="1273"/>
      <c r="Z123" s="1273"/>
    </row>
    <row r="124" spans="1:26" ht="36">
      <c r="A124" s="1278">
        <f>SUM('ES lėšos'!A124)</f>
        <v>123</v>
      </c>
      <c r="B124" s="1273" t="str">
        <f>CONCATENATE('ES lėšos'!C124)</f>
        <v>10.1.3-ESFA-R-920</v>
      </c>
      <c r="C124" s="1273" t="str">
        <f>CONCATENATE('ketv. 6 '!C161)</f>
        <v>10.1.3-ESFA-R-920-11-0001</v>
      </c>
      <c r="D124" s="1273" t="str">
        <f>CONCATENATE('ES lėšos'!B124)</f>
        <v>Paslaugų teikimo ir asmenų aptarnavimo kokybės gerinimas Varėnos rajono savivaldybėje</v>
      </c>
      <c r="E124" s="1273" t="str">
        <f>CONCATENATE('ES lėšos'!D124)</f>
        <v>Varėnos rajono savivaldybės administracija</v>
      </c>
      <c r="F124" s="1273" t="str">
        <f>CONCATENATE('ES lėšos'!E124)</f>
        <v>Varėnos r. sav.</v>
      </c>
      <c r="G124" s="1285">
        <v>42983</v>
      </c>
      <c r="H124" s="1278" t="s">
        <v>1902</v>
      </c>
      <c r="I124" s="1279">
        <f>SUM('ES lėšos'!H124)</f>
        <v>146823.49</v>
      </c>
      <c r="J124" s="1280">
        <f>SUM('ES lėšos'!I124)</f>
        <v>146823.49</v>
      </c>
      <c r="K124" s="1279">
        <f t="shared" si="9"/>
        <v>0</v>
      </c>
      <c r="L124" s="1281">
        <f>IF(J124&gt;0,'ketv. 6 '!AF161/'ketv. 6 '!L161,"finansavimas dar neskirtas")</f>
        <v>0.8499999884214714</v>
      </c>
      <c r="M124" s="1289">
        <f>SUMIF(Projektu_sutarciu_ataskaita!$J$19:$J$600,C124,Projektu_sutarciu_ataskaita!$BP$19:$BP$600)</f>
        <v>43683</v>
      </c>
      <c r="N124" s="1283">
        <f>IF('ketv. 5 '!U161=0,'ketv. 5 '!R161,'ketv. 5 '!U161)</f>
        <v>43830</v>
      </c>
      <c r="O124" s="1289">
        <f>SUMIF(Projektu_sutarciu_ataskaita!$J$19:$J$600,C124,Projektu_sutarciu_ataskaita!$BO$19:$BO$600)</f>
        <v>42808</v>
      </c>
      <c r="P124" s="1289">
        <f>SUMIF(Projektu_sutarciu_ataskaita!$J$19:$J$600,C124,Projektu_sutarciu_ataskaita!$L$19:$L$600)</f>
        <v>43137</v>
      </c>
      <c r="Q124" s="1290">
        <f t="shared" si="8"/>
        <v>17.950684931506849</v>
      </c>
      <c r="R124" s="1280">
        <f>SUM('ketv. 7 '!AL160)</f>
        <v>65502.12000000001</v>
      </c>
      <c r="S124" s="1280">
        <f>SUMIF('mokėjimų ataskaita'!$I$14:$I$601,C124,'mokėjimų ataskaita'!$AK$14:$AK$601)/2</f>
        <v>0</v>
      </c>
      <c r="T124" s="1280">
        <f>SUMIF('mokėjimų ataskaita'!I7:I594,C124,'mokėjimų ataskaita'!BS7:BS594)/2</f>
        <v>0</v>
      </c>
      <c r="U124" s="1281">
        <f t="shared" si="11"/>
        <v>0.44612834090784803</v>
      </c>
      <c r="V124" s="1309"/>
      <c r="W124" s="1309" t="s">
        <v>1914</v>
      </c>
      <c r="X124" s="1313" t="s">
        <v>1966</v>
      </c>
      <c r="Y124" s="1273"/>
      <c r="Z124" s="1273"/>
    </row>
    <row r="125" spans="1:26" ht="36">
      <c r="A125" s="1278">
        <f>SUM('ES lėšos'!A125)</f>
        <v>124</v>
      </c>
      <c r="B125" s="1273" t="str">
        <f>CONCATENATE('ES lėšos'!C125)</f>
        <v>10.1.3-ESFA-R-920</v>
      </c>
      <c r="C125" s="1273" t="str">
        <f>CONCATENATE('ketv. 6 '!C162)</f>
        <v>10.1.3-ESFA-R-920-11-0005</v>
      </c>
      <c r="D125" s="1273" t="str">
        <f>CONCATENATE('ES lėšos'!B125)</f>
        <v>Paslaugų ir asmenų aptarnavimo kokybės gerinimas Alytaus rajono savivaldybėje</v>
      </c>
      <c r="E125" s="1273" t="str">
        <f>CONCATENATE('ES lėšos'!D125)</f>
        <v>Alytaus rajono savivaldybės administracija</v>
      </c>
      <c r="F125" s="1273" t="str">
        <f>CONCATENATE('ES lėšos'!E125)</f>
        <v>Alytaus r. sav.</v>
      </c>
      <c r="G125" s="1285">
        <v>43063</v>
      </c>
      <c r="H125" s="1278" t="s">
        <v>1905</v>
      </c>
      <c r="I125" s="1279">
        <f>SUM('ES lėšos'!H125)</f>
        <v>163907.37</v>
      </c>
      <c r="J125" s="1280">
        <f>SUM('ES lėšos'!I125)</f>
        <v>163907.37</v>
      </c>
      <c r="K125" s="1279">
        <f t="shared" si="9"/>
        <v>0</v>
      </c>
      <c r="L125" s="1281">
        <f>IF(J125&gt;0,'ketv. 6 '!AF162/'ketv. 6 '!L162,"finansavimas dar neskirtas")</f>
        <v>0.84999995592022726</v>
      </c>
      <c r="M125" s="1289">
        <f>SUMIF(Projektu_sutarciu_ataskaita!$J$19:$J$600,C125,Projektu_sutarciu_ataskaita!$BP$19:$BP$600)</f>
        <v>43951</v>
      </c>
      <c r="N125" s="1283">
        <f>IF('ketv. 5 '!U162=0,'ketv. 5 '!R162,'ketv. 5 '!U162)</f>
        <v>44196</v>
      </c>
      <c r="O125" s="1289">
        <f>SUMIF(Projektu_sutarciu_ataskaita!$J$19:$J$600,C125,Projektu_sutarciu_ataskaita!$BO$19:$BO$600)</f>
        <v>42965</v>
      </c>
      <c r="P125" s="1289">
        <f>SUMIF(Projektu_sutarciu_ataskaita!$J$19:$J$600,C125,Projektu_sutarciu_ataskaita!$L$19:$L$600)</f>
        <v>43220</v>
      </c>
      <c r="Q125" s="1290">
        <f t="shared" si="8"/>
        <v>24.032876712328765</v>
      </c>
      <c r="R125" s="1280">
        <f>SUM('ketv. 7 '!AL161)</f>
        <v>28339.46</v>
      </c>
      <c r="S125" s="1280">
        <f>SUMIF('mokėjimų ataskaita'!$I$14:$I$601,C125,'mokėjimų ataskaita'!$AK$14:$AK$601)/2</f>
        <v>0</v>
      </c>
      <c r="T125" s="1280">
        <f>SUMIF('mokėjimų ataskaita'!I8:I595,C125,'mokėjimų ataskaita'!BS8:BS595)/2</f>
        <v>0</v>
      </c>
      <c r="U125" s="1281">
        <f t="shared" si="11"/>
        <v>0.17289924180956598</v>
      </c>
      <c r="V125" s="1309"/>
      <c r="W125" s="1309" t="s">
        <v>1914</v>
      </c>
      <c r="X125" s="1313" t="s">
        <v>1918</v>
      </c>
      <c r="Y125" s="1273"/>
      <c r="Z125" s="1273"/>
    </row>
    <row r="126" spans="1:26" ht="48">
      <c r="A126" s="1278">
        <f>SUM('ES lėšos'!A126)</f>
        <v>125</v>
      </c>
      <c r="B126" s="1273" t="str">
        <f>CONCATENATE('ES lėšos'!C126)</f>
        <v>10.1.3-ESFA-R-920</v>
      </c>
      <c r="C126" s="1273" t="str">
        <f>CONCATENATE('ketv. 6 '!C163)</f>
        <v>10.1.3-ESFA-R-920-11-0003</v>
      </c>
      <c r="D126" s="1273" t="str">
        <f>CONCATENATE('ES lėšos'!B126)</f>
        <v>Lazdijų rajono savivaldybės administracijos ir jos viešojo valdymo institucijų teikiamų paslaugų procesų tobulinimas</v>
      </c>
      <c r="E126" s="1273" t="str">
        <f>CONCATENATE('ES lėšos'!D126)</f>
        <v>Lazdijų rajono savivaldybės administracija</v>
      </c>
      <c r="F126" s="1273" t="str">
        <f>CONCATENATE('ES lėšos'!E126)</f>
        <v>Lazdijų r. sav.</v>
      </c>
      <c r="G126" s="1285">
        <v>43031</v>
      </c>
      <c r="H126" s="1278" t="s">
        <v>1904</v>
      </c>
      <c r="I126" s="1279">
        <f>SUM('ES lėšos'!H126)</f>
        <v>139388</v>
      </c>
      <c r="J126" s="1280">
        <f>SUM('ES lėšos'!I126)</f>
        <v>139388</v>
      </c>
      <c r="K126" s="1279">
        <f t="shared" si="9"/>
        <v>0</v>
      </c>
      <c r="L126" s="1281">
        <f>IF(J126&gt;0,'ketv. 6 '!AF163/'ketv. 6 '!L163,"finansavimas dar neskirtas")</f>
        <v>0.84999482885460098</v>
      </c>
      <c r="M126" s="1289">
        <f>SUMIF(Projektu_sutarciu_ataskaita!$J$19:$J$600,C126,Projektu_sutarciu_ataskaita!$BP$19:$BP$600)</f>
        <v>43874</v>
      </c>
      <c r="N126" s="1283">
        <f>IF('ketv. 5 '!U163=0,'ketv. 5 '!R163,'ketv. 5 '!U163)</f>
        <v>44196</v>
      </c>
      <c r="O126" s="1289">
        <f>SUMIF(Projektu_sutarciu_ataskaita!$J$19:$J$600,C126,Projektu_sutarciu_ataskaita!$BO$19:$BO$600)</f>
        <v>42913</v>
      </c>
      <c r="P126" s="1289">
        <f>SUMIF(Projektu_sutarciu_ataskaita!$J$19:$J$600,C126,Projektu_sutarciu_ataskaita!$L$19:$L$600)</f>
        <v>43144</v>
      </c>
      <c r="Q126" s="1290">
        <f t="shared" si="8"/>
        <v>24</v>
      </c>
      <c r="R126" s="1280">
        <f>SUM('ketv. 7 '!AL162)</f>
        <v>86033.73</v>
      </c>
      <c r="S126" s="1280">
        <f>SUMIF('mokėjimų ataskaita'!$I$14:$I$601,C126,'mokėjimų ataskaita'!$AK$14:$AK$601)/2</f>
        <v>0</v>
      </c>
      <c r="T126" s="1280">
        <f>SUMIF('mokėjimų ataskaita'!I9:I596,C126,'mokėjimų ataskaita'!BS9:BS596)/2</f>
        <v>0</v>
      </c>
      <c r="U126" s="1281">
        <f t="shared" si="11"/>
        <v>0.61722479696960997</v>
      </c>
      <c r="V126" s="1309"/>
      <c r="W126" s="1309" t="s">
        <v>1914</v>
      </c>
      <c r="X126" s="1313" t="s">
        <v>1967</v>
      </c>
      <c r="Y126" s="1273"/>
      <c r="Z126" s="1273"/>
    </row>
    <row r="127" spans="1:26" ht="72">
      <c r="A127" s="1278">
        <f>SUM('ES lėšos'!A127)</f>
        <v>126</v>
      </c>
      <c r="B127" s="1273" t="str">
        <f>CONCATENATE('ES lėšos'!C127)</f>
        <v>10.1.3-ESFA-R-920</v>
      </c>
      <c r="C127" s="1273" t="str">
        <f>CONCATENATE('ketv. 6 '!C164)</f>
        <v>10.1.3-ESFA-R-920-11-0007</v>
      </c>
      <c r="D127" s="1273" t="str">
        <f>CONCATENATE('ES lėšos'!B127)</f>
        <v>Teikiamų paslaugų procesų tobulinimas ir asmenų aptarnavimo kokybės gerinimas Alytaus m. sav. administracijoje ir jai pavaldžiose įstaigose. I etapas</v>
      </c>
      <c r="E127" s="1273" t="str">
        <f>CONCATENATE('ES lėšos'!D127)</f>
        <v>Alytaus miesto savivaldybės administracija</v>
      </c>
      <c r="F127" s="1273" t="str">
        <f>CONCATENATE('ES lėšos'!E127)</f>
        <v>Alytaus m. sav.</v>
      </c>
      <c r="G127" s="1285">
        <v>43049</v>
      </c>
      <c r="H127" s="1278" t="s">
        <v>1906</v>
      </c>
      <c r="I127" s="1279">
        <f>SUM('ES lėšos'!H127)</f>
        <v>183339.18</v>
      </c>
      <c r="J127" s="1280">
        <f>SUM('ES lėšos'!I127)</f>
        <v>183339.18</v>
      </c>
      <c r="K127" s="1279">
        <f t="shared" si="9"/>
        <v>0</v>
      </c>
      <c r="L127" s="1281">
        <f>IF(J127&gt;0,'ketv. 6 '!AF164/'ketv. 6 '!L164,"finansavimas dar neskirtas")</f>
        <v>0.84999997218270618</v>
      </c>
      <c r="M127" s="1289">
        <f>SUMIF(Projektu_sutarciu_ataskaita!$J$19:$J$600,C127,Projektu_sutarciu_ataskaita!$BP$19:$BP$600)</f>
        <v>44152</v>
      </c>
      <c r="N127" s="1283">
        <f>IF('ketv. 5 '!U164=0,'ketv. 5 '!R164,'ketv. 5 '!U164)</f>
        <v>44152</v>
      </c>
      <c r="O127" s="1289">
        <f>SUMIF(Projektu_sutarciu_ataskaita!$J$19:$J$600,C127,Projektu_sutarciu_ataskaita!$BO$19:$BO$600)</f>
        <v>42824</v>
      </c>
      <c r="P127" s="1289">
        <f>SUMIF(Projektu_sutarciu_ataskaita!$J$19:$J$600,C127,Projektu_sutarciu_ataskaita!$L$19:$L$600)</f>
        <v>43237</v>
      </c>
      <c r="Q127" s="1290">
        <f t="shared" si="8"/>
        <v>30.082191780821915</v>
      </c>
      <c r="R127" s="1280">
        <f>SUM('ketv. 7 '!AL163)</f>
        <v>5781.43</v>
      </c>
      <c r="S127" s="1280">
        <f>SUMIF('mokėjimų ataskaita'!$I$14:$I$601,C127,'mokėjimų ataskaita'!$AK$14:$AK$601)/2</f>
        <v>0</v>
      </c>
      <c r="T127" s="1280">
        <f>SUMIF('mokėjimų ataskaita'!I10:I597,C127,'mokėjimų ataskaita'!BS10:BS597)/2</f>
        <v>0</v>
      </c>
      <c r="U127" s="1281">
        <f t="shared" si="11"/>
        <v>3.1534067077206303E-2</v>
      </c>
      <c r="V127" s="1309"/>
      <c r="W127" s="1309" t="s">
        <v>1914</v>
      </c>
      <c r="X127" s="1313" t="s">
        <v>1930</v>
      </c>
      <c r="Y127" s="1273"/>
      <c r="Z127" s="1273"/>
    </row>
    <row r="128" spans="1:26" ht="36">
      <c r="A128" s="1278">
        <f>SUM('ES lėšos'!A128)</f>
        <v>127</v>
      </c>
      <c r="B128" s="1273" t="str">
        <f>CONCATENATE('ES lėšos'!C128)</f>
        <v>10.1.3-ESFA-R-920</v>
      </c>
      <c r="C128" s="1273" t="str">
        <f>CONCATENATE('ketv. 6 '!C165)</f>
        <v>10.1.3-ESFA-R-920-11-0006</v>
      </c>
      <c r="D128" s="1273" t="str">
        <f>CONCATENATE('ES lėšos'!B128)</f>
        <v>Paslaugų teikimo ir asmenų aptarnavimo kokybės gerinimas Druskininkų savivaldybėje</v>
      </c>
      <c r="E128" s="1273" t="str">
        <f>CONCATENATE('ES lėšos'!D128)</f>
        <v>Druskininkų savivaldybės administracija</v>
      </c>
      <c r="F128" s="1273" t="str">
        <f>CONCATENATE('ES lėšos'!E128)</f>
        <v>Druskininkų sav.</v>
      </c>
      <c r="G128" s="1285">
        <v>42986</v>
      </c>
      <c r="H128" s="1278" t="s">
        <v>1903</v>
      </c>
      <c r="I128" s="1279">
        <f>SUM('ES lėšos'!H128)</f>
        <v>137349.79999999999</v>
      </c>
      <c r="J128" s="1280">
        <f>SUM('ES lėšos'!I128)</f>
        <v>137349.79999999999</v>
      </c>
      <c r="K128" s="1279">
        <f t="shared" si="9"/>
        <v>0</v>
      </c>
      <c r="L128" s="1281">
        <f>IF(J128&gt;0,'ketv. 6 '!AF165/'ketv. 6 '!L165,"finansavimas dar neskirtas")</f>
        <v>0.84919089641302725</v>
      </c>
      <c r="M128" s="1289">
        <f>SUMIF(Projektu_sutarciu_ataskaita!$J$19:$J$600,C128,Projektu_sutarciu_ataskaita!$BP$19:$BP$600)</f>
        <v>44153</v>
      </c>
      <c r="N128" s="1283">
        <f>IF('ketv. 5 '!U165=0,'ketv. 5 '!R165,'ketv. 5 '!U165)</f>
        <v>44103.5</v>
      </c>
      <c r="O128" s="1289">
        <f>SUMIF(Projektu_sutarciu_ataskaita!$J$19:$J$600,C128,Projektu_sutarciu_ataskaita!$BO$19:$BO$600)</f>
        <v>42485</v>
      </c>
      <c r="P128" s="1289">
        <f>SUMIF(Projektu_sutarciu_ataskaita!$J$19:$J$600,C128,Projektu_sutarciu_ataskaita!$L$19:$L$600)</f>
        <v>43238</v>
      </c>
      <c r="Q128" s="1290">
        <f t="shared" si="8"/>
        <v>30.082191780821915</v>
      </c>
      <c r="R128" s="1280">
        <f>SUM('ketv. 7 '!AL164)</f>
        <v>33512.69</v>
      </c>
      <c r="S128" s="1280">
        <f>SUMIF('mokėjimų ataskaita'!$I$14:$I$601,C128,'mokėjimų ataskaita'!$AK$14:$AK$601)/2</f>
        <v>0</v>
      </c>
      <c r="T128" s="1280">
        <f>SUMIF('mokėjimų ataskaita'!I11:I598,C128,'mokėjimų ataskaita'!BS11:BS598)/2</f>
        <v>0</v>
      </c>
      <c r="U128" s="1281">
        <f t="shared" si="11"/>
        <v>0.24399518601410417</v>
      </c>
      <c r="V128" s="1309"/>
      <c r="W128" s="1309" t="s">
        <v>1914</v>
      </c>
      <c r="X128" s="1313" t="s">
        <v>1943</v>
      </c>
      <c r="Y128" s="1273"/>
      <c r="Z128" s="1273"/>
    </row>
    <row r="129" spans="1:26" ht="72">
      <c r="A129" s="1278">
        <f>SUM('ES lėšos'!A129)</f>
        <v>128</v>
      </c>
      <c r="B129" s="1273" t="str">
        <f>CONCATENATE('ES lėšos'!C129)</f>
        <v>10.1.3-ESFA-R-920</v>
      </c>
      <c r="C129" s="1273" t="str">
        <f>CONCATENATE('ketv. 6 '!C166)</f>
        <v>-</v>
      </c>
      <c r="D129" s="1273" t="str">
        <f>CONCATENATE('ES lėšos'!B129)</f>
        <v>Teikiamų paslaugų procesų tobulinimas ir asmenų aptarnavimo kokybės gerinimas Alytaus m. sav. administracijoje ir jai pavaldžiose įstaigose. II etapas</v>
      </c>
      <c r="E129" s="1273" t="str">
        <f>CONCATENATE('ES lėšos'!D129)</f>
        <v>Alytaus miesto savivaldybės administracija</v>
      </c>
      <c r="F129" s="1273" t="str">
        <f>CONCATENATE('ES lėšos'!E129)</f>
        <v>Alytaus m. sav.</v>
      </c>
      <c r="G129" s="1285" t="s">
        <v>66</v>
      </c>
      <c r="H129" s="1278" t="s">
        <v>66</v>
      </c>
      <c r="I129" s="1279">
        <f>SUM('ES lėšos'!H129)</f>
        <v>0</v>
      </c>
      <c r="J129" s="1280">
        <f>SUM('ES lėšos'!I129)</f>
        <v>0</v>
      </c>
      <c r="K129" s="1279" t="str">
        <f t="shared" si="9"/>
        <v>finansavimas dar neskirtas</v>
      </c>
      <c r="L129" s="1281" t="str">
        <f>IF(J129&gt;0,'ketv. 6 '!AF166/'ketv. 6 '!L166,"finansavimas dar neskirtas")</f>
        <v>finansavimas dar neskirtas</v>
      </c>
      <c r="M129" s="1289"/>
      <c r="N129" s="1283">
        <f>IF('ketv. 5 '!U166=0,'ketv. 5 '!R166,'ketv. 5 '!U166)</f>
        <v>44196</v>
      </c>
      <c r="O129" s="1289"/>
      <c r="P129" s="1289"/>
      <c r="Q129" s="1290">
        <f t="shared" ref="Q129:Q139" si="12">SUM((M129-P129)/(365/12))</f>
        <v>0</v>
      </c>
      <c r="R129" s="1280">
        <f>SUM('ketv. 7 '!AL165)</f>
        <v>0</v>
      </c>
      <c r="S129" s="1280">
        <f>SUMIF('mokėjimų ataskaita'!$I$14:$I$601,C129,'mokėjimų ataskaita'!$AK$14:$AK$601)/2</f>
        <v>0</v>
      </c>
      <c r="T129" s="1280">
        <f>SUMIF('mokėjimų ataskaita'!I12:I599,C129,'mokėjimų ataskaita'!BS12:BS599)/2</f>
        <v>0</v>
      </c>
      <c r="U129" s="1281" t="str">
        <f t="shared" si="11"/>
        <v>finansavimas dar neskirtas</v>
      </c>
      <c r="V129" s="1309"/>
      <c r="W129" s="1314"/>
      <c r="X129" s="1313"/>
      <c r="Y129" s="1273"/>
      <c r="Z129" s="1273"/>
    </row>
    <row r="130" spans="1:26" ht="36">
      <c r="A130" s="1278">
        <f>SUM('ES lėšos'!A130)</f>
        <v>129</v>
      </c>
      <c r="B130" s="1273" t="str">
        <f>CONCATENATE('ES lėšos'!C130)</f>
        <v>05.2.1-APVA-R-008</v>
      </c>
      <c r="C130" s="1273" t="str">
        <f>CONCATENATE('ketv. 6 '!C170)</f>
        <v>05.2.1-APVA-R-008-11-0001</v>
      </c>
      <c r="D130" s="1273" t="str">
        <f>CONCATENATE('ES lėšos'!B130)</f>
        <v>Komunalinių atliekų tvarkymo infrastruktūros plėtra Alytaus regione</v>
      </c>
      <c r="E130" s="1273" t="str">
        <f>CONCATENATE('ES lėšos'!D130)</f>
        <v>Alytaus regiono atliekų tvarkymo centras</v>
      </c>
      <c r="F130" s="1273" t="str">
        <f>CONCATENATE('ES lėšos'!E130)</f>
        <v>Alytaus regionas</v>
      </c>
      <c r="G130" s="1285">
        <v>42744</v>
      </c>
      <c r="H130" s="1278" t="s">
        <v>1856</v>
      </c>
      <c r="I130" s="1279">
        <f>SUM('ES lėšos'!H130)</f>
        <v>3352807.77</v>
      </c>
      <c r="J130" s="1280">
        <f>SUM('ES lėšos'!I130)</f>
        <v>3352807.77</v>
      </c>
      <c r="K130" s="1279">
        <f t="shared" si="9"/>
        <v>0</v>
      </c>
      <c r="L130" s="1281">
        <f>IF(J130&gt;0,'ketv. 6 '!AF170/'ketv. 6 '!L170,"finansavimas dar neskirtas")</f>
        <v>0.81168283373101335</v>
      </c>
      <c r="M130" s="1289">
        <f>SUMIF(Projektu_sutarciu_ataskaita!$J$19:$J$600,C130,Projektu_sutarciu_ataskaita!$BP$19:$BP$600)</f>
        <v>43565</v>
      </c>
      <c r="N130" s="1283">
        <f>IF('ketv. 5 '!U170=0,'ketv. 5 '!R170,'ketv. 5 '!U170)</f>
        <v>43830</v>
      </c>
      <c r="O130" s="1289">
        <f>SUMIF(Projektu_sutarciu_ataskaita!$J$19:$J$600,C130,Projektu_sutarciu_ataskaita!$BO$19:$BO$600)</f>
        <v>42957</v>
      </c>
      <c r="P130" s="1289">
        <f>SUMIF(Projektu_sutarciu_ataskaita!$J$19:$J$600,C130,Projektu_sutarciu_ataskaita!$L$19:$L$600)</f>
        <v>42957</v>
      </c>
      <c r="Q130" s="1290">
        <f t="shared" si="12"/>
        <v>19.989041095890411</v>
      </c>
      <c r="R130" s="1292">
        <f>SUM('ketv. 7 '!AL169)</f>
        <v>607002.71</v>
      </c>
      <c r="S130" s="1280">
        <f>SUMIF('mokėjimų ataskaita'!$I$14:$I$601,C130,'mokėjimų ataskaita'!$AK$14:$AK$601)/2</f>
        <v>607002.71</v>
      </c>
      <c r="T130" s="1280">
        <f>SUMIF('mokėjimų ataskaita'!$I$13:$I$600,C130,'mokėjimų ataskaita'!$BS$13:$BS$600)/2</f>
        <v>607002.71</v>
      </c>
      <c r="U130" s="1281">
        <f t="shared" si="11"/>
        <v>0.18104309928868959</v>
      </c>
      <c r="V130" s="1309"/>
      <c r="W130" s="1309" t="s">
        <v>1914</v>
      </c>
      <c r="X130" s="1313" t="s">
        <v>1923</v>
      </c>
      <c r="Y130" s="1273"/>
      <c r="Z130" s="1273"/>
    </row>
    <row r="131" spans="1:26" ht="36">
      <c r="A131" s="1278">
        <f>SUM('ES lėšos'!A131)</f>
        <v>130</v>
      </c>
      <c r="B131" s="1273" t="str">
        <f>CONCATENATE('ES lėšos'!C131)</f>
        <v>05.5.1-APVA-R-019</v>
      </c>
      <c r="C131" s="1273" t="str">
        <f>CONCATENATE('ketv. 6 '!C173)</f>
        <v>05.5.1-APVA-R-019-11-0002</v>
      </c>
      <c r="D131" s="1273" t="str">
        <f>CONCATENATE('ES lėšos'!B131)</f>
        <v>Kraštovaizdžio formavimas ir tvarkymas Varėnos r. savivaldybėje (I etapas)</v>
      </c>
      <c r="E131" s="1273" t="str">
        <f>CONCATENATE('ES lėšos'!D131)</f>
        <v>Varėnos rajono savivaldybės administracija</v>
      </c>
      <c r="F131" s="1273" t="str">
        <f>CONCATENATE('ES lėšos'!E131)</f>
        <v>Varėnos r. sav.</v>
      </c>
      <c r="G131" s="1285">
        <v>42621</v>
      </c>
      <c r="H131" s="1278" t="s">
        <v>1909</v>
      </c>
      <c r="I131" s="1279">
        <f>SUM('ES lėšos'!H131)</f>
        <v>252177.35</v>
      </c>
      <c r="J131" s="1280">
        <f>SUM('ES lėšos'!I131)</f>
        <v>252177.35</v>
      </c>
      <c r="K131" s="1279">
        <f t="shared" ref="K131:K139" si="13">IF(J131&gt;0,I131-J131,"finansavimas dar neskirtas")</f>
        <v>0</v>
      </c>
      <c r="L131" s="1281">
        <f>IF(J131&gt;0,'ketv. 6 '!AF173/'ketv. 6 '!L173,"finansavimas dar neskirtas")</f>
        <v>0.84999998651742537</v>
      </c>
      <c r="M131" s="1289">
        <f>SUMIF(Projektu_sutarciu_ataskaita!$J$19:$J$600,C131,Projektu_sutarciu_ataskaita!$BP$19:$BP$600)</f>
        <v>43570</v>
      </c>
      <c r="N131" s="1283">
        <f>IF('ketv. 5 '!U173=0,'ketv. 5 '!R173,'ketv. 5 '!U173)</f>
        <v>43465</v>
      </c>
      <c r="O131" s="1289">
        <f>SUMIF(Projektu_sutarciu_ataskaita!$J$19:$J$600,C131,Projektu_sutarciu_ataskaita!$BO$19:$BO$600)</f>
        <v>42733</v>
      </c>
      <c r="P131" s="1289">
        <f>SUMIF(Projektu_sutarciu_ataskaita!$J$19:$J$600,C131,Projektu_sutarciu_ataskaita!$L$19:$L$600)</f>
        <v>42901</v>
      </c>
      <c r="Q131" s="1290">
        <f t="shared" si="12"/>
        <v>21.994520547945204</v>
      </c>
      <c r="R131" s="1280">
        <f>SUM('ketv. 7 '!AL172)</f>
        <v>200316.06</v>
      </c>
      <c r="S131" s="1280">
        <f>SUMIF('mokėjimų ataskaita'!$I$14:$I$601,C131,'mokėjimų ataskaita'!$AK$14:$AK$601)/2</f>
        <v>200316.06</v>
      </c>
      <c r="T131" s="1280">
        <f>SUMIF('mokėjimų ataskaita'!I14:I601,C131,'mokėjimų ataskaita'!BS14:BS601)/2</f>
        <v>200316.06</v>
      </c>
      <c r="U131" s="1281">
        <f t="shared" si="11"/>
        <v>0.79434596326751783</v>
      </c>
      <c r="V131" s="1309"/>
      <c r="W131" s="1309" t="s">
        <v>1914</v>
      </c>
      <c r="X131" s="1313" t="s">
        <v>1934</v>
      </c>
      <c r="Y131" s="1273"/>
      <c r="Z131" s="1273"/>
    </row>
    <row r="132" spans="1:26" ht="36">
      <c r="A132" s="1278">
        <f>SUM('ES lėšos'!A132)</f>
        <v>131</v>
      </c>
      <c r="B132" s="1273" t="str">
        <f>CONCATENATE('ES lėšos'!C132)</f>
        <v>05.5.1-APVA-R-019</v>
      </c>
      <c r="C132" s="1273" t="str">
        <f>CONCATENATE('ketv. 6 '!C174)</f>
        <v>-</v>
      </c>
      <c r="D132" s="1273" t="str">
        <f>CONCATENATE('ES lėšos'!B132)</f>
        <v>Kraštovaizdžio formavimas ir tvarkymas Varėnos r. savivaldybėje (II etapas)</v>
      </c>
      <c r="E132" s="1273" t="str">
        <f>CONCATENATE('ES lėšos'!D132)</f>
        <v>Varėnos rajono savivaldybės administracija</v>
      </c>
      <c r="F132" s="1273" t="str">
        <f>CONCATENATE('ES lėšos'!E132)</f>
        <v>Varėnos r. sav.</v>
      </c>
      <c r="G132" s="1285">
        <v>43300</v>
      </c>
      <c r="H132" s="1278" t="s">
        <v>1911</v>
      </c>
      <c r="I132" s="1279">
        <f>SUM('ES lėšos'!H132)</f>
        <v>471079</v>
      </c>
      <c r="J132" s="1280">
        <f>SUM('ES lėšos'!I132)</f>
        <v>0</v>
      </c>
      <c r="K132" s="1279" t="str">
        <f t="shared" si="13"/>
        <v>finansavimas dar neskirtas</v>
      </c>
      <c r="L132" s="1281" t="str">
        <f>IF(J132&gt;0,'ketv. 6 '!AF174/'ketv. 6 '!L174,"finansavimas dar neskirtas")</f>
        <v>finansavimas dar neskirtas</v>
      </c>
      <c r="M132" s="1289"/>
      <c r="N132" s="1283">
        <f>IF('ketv. 5 '!U174=0,'ketv. 5 '!R174,'ketv. 5 '!U174)</f>
        <v>44651</v>
      </c>
      <c r="O132" s="1289"/>
      <c r="P132" s="1289"/>
      <c r="Q132" s="1290">
        <f t="shared" si="12"/>
        <v>0</v>
      </c>
      <c r="R132" s="1280">
        <f>SUM('ketv. 7 '!AL173)</f>
        <v>0</v>
      </c>
      <c r="S132" s="1280">
        <f>SUMIF('mokėjimų ataskaita'!$I$14:$I$601,C132,'mokėjimų ataskaita'!$AK$14:$AK$601)/2</f>
        <v>0</v>
      </c>
      <c r="T132" s="1280">
        <f>SUMIF('mokėjimų ataskaita'!I15:I602,C132,'mokėjimų ataskaita'!BS15:BS602)/2</f>
        <v>0</v>
      </c>
      <c r="U132" s="1281" t="str">
        <f t="shared" si="11"/>
        <v>finansavimas dar neskirtas</v>
      </c>
      <c r="V132" s="1309"/>
      <c r="W132" s="1314"/>
      <c r="X132" s="1313"/>
      <c r="Y132" s="1273"/>
      <c r="Z132" s="1273"/>
    </row>
    <row r="133" spans="1:26" ht="36">
      <c r="A133" s="1278">
        <f>SUM('ES lėšos'!A133)</f>
        <v>132</v>
      </c>
      <c r="B133" s="1273" t="str">
        <f>CONCATENATE('ES lėšos'!C133)</f>
        <v>05.5.1-APVA-R-019</v>
      </c>
      <c r="C133" s="1273" t="str">
        <f>CONCATENATE('ketv. 6 '!C175)</f>
        <v>05.5.1-APVA-R-019-11-0001</v>
      </c>
      <c r="D133" s="1273" t="str">
        <f>CONCATENATE('ES lėšos'!B133)</f>
        <v>Bešeimininkių apleistų pastatų ir įrenginių tvarkymas Alytaus rajono savivaldybėje</v>
      </c>
      <c r="E133" s="1273" t="str">
        <f>CONCATENATE('ES lėšos'!D133)</f>
        <v>Alytaus rajono savivaldybės administracija</v>
      </c>
      <c r="F133" s="1273" t="str">
        <f>CONCATENATE('ES lėšos'!E133)</f>
        <v>Alytaus r. sav.</v>
      </c>
      <c r="G133" s="1285">
        <v>42621</v>
      </c>
      <c r="H133" s="1278" t="s">
        <v>1907</v>
      </c>
      <c r="I133" s="1279">
        <f>SUM('ES lėšos'!H133)</f>
        <v>86500.800000000003</v>
      </c>
      <c r="J133" s="1280">
        <f>SUM('ES lėšos'!I133)</f>
        <v>86500.800000000003</v>
      </c>
      <c r="K133" s="1279">
        <f t="shared" si="13"/>
        <v>0</v>
      </c>
      <c r="L133" s="1281">
        <f>IF(J133&gt;0,'ketv. 6 '!AF175/'ketv. 6 '!L175,"finansavimas dar neskirtas")</f>
        <v>0.84999955780778791</v>
      </c>
      <c r="M133" s="1289">
        <f>SUMIF(Projektu_sutarciu_ataskaita!$J$19:$J$600,C133,Projektu_sutarciu_ataskaita!$BP$19:$BP$600)</f>
        <v>43373</v>
      </c>
      <c r="N133" s="1283">
        <f>IF('ketv. 5 '!U175=0,'ketv. 5 '!R175,'ketv. 5 '!U175)</f>
        <v>43452</v>
      </c>
      <c r="O133" s="1289">
        <f>SUMIF(Projektu_sutarciu_ataskaita!$J$19:$J$600,C133,Projektu_sutarciu_ataskaita!$BO$19:$BO$600)</f>
        <v>42971</v>
      </c>
      <c r="P133" s="1289">
        <f>SUMIF(Projektu_sutarciu_ataskaita!$J$19:$J$600,C133,Projektu_sutarciu_ataskaita!$L$19:$L$600)</f>
        <v>43003</v>
      </c>
      <c r="Q133" s="1290">
        <f t="shared" si="12"/>
        <v>12.164383561643834</v>
      </c>
      <c r="R133" s="1280">
        <f>SUM('ketv. 7 '!AL174)</f>
        <v>86500.800000000003</v>
      </c>
      <c r="S133" s="1280">
        <f>SUMIF('mokėjimų ataskaita'!$I$14:$I$601,C133,'mokėjimų ataskaita'!$AK$14:$AK$601)/2</f>
        <v>86500.800000000003</v>
      </c>
      <c r="T133" s="1280">
        <f>SUMIF('mokėjimų ataskaita'!I16:I603,C133,'mokėjimų ataskaita'!BS16:BS603)/2</f>
        <v>86500.800000000003</v>
      </c>
      <c r="U133" s="1281">
        <f t="shared" si="11"/>
        <v>1</v>
      </c>
      <c r="V133" s="1309"/>
      <c r="W133" s="1309" t="s">
        <v>1914</v>
      </c>
      <c r="X133" s="1313" t="s">
        <v>1933</v>
      </c>
      <c r="Y133" s="1273"/>
      <c r="Z133" s="1273"/>
    </row>
    <row r="134" spans="1:26" ht="60">
      <c r="A134" s="1278">
        <f>SUM('ES lėšos'!A134)</f>
        <v>133</v>
      </c>
      <c r="B134" s="1273" t="str">
        <f>CONCATENATE('ES lėšos'!C134)</f>
        <v>05.5.1-APVA-R-019</v>
      </c>
      <c r="C134" s="1273" t="str">
        <f>CONCATENATE('ketv. 6 '!C176)</f>
        <v>05.5.1-APVA-R-019-11-0004</v>
      </c>
      <c r="D134" s="1273" t="str">
        <f>CONCATENATE('ES lėšos'!B134)</f>
        <v>Alytaus miesto bendrojo plano korektūra zonuojant kraštovaizdžio struktūrą, nustatant reglamentus ir principus</v>
      </c>
      <c r="E134" s="1273" t="str">
        <f>CONCATENATE('ES lėšos'!D134)</f>
        <v>Alytaus miesto savivaldybės administracija</v>
      </c>
      <c r="F134" s="1273" t="str">
        <f>CONCATENATE('ES lėšos'!E134)</f>
        <v>Alytaus m. sav.</v>
      </c>
      <c r="G134" s="1285">
        <v>42613</v>
      </c>
      <c r="H134" s="1278" t="s">
        <v>1908</v>
      </c>
      <c r="I134" s="1279">
        <f>SUM('ES lėšos'!H134)</f>
        <v>3394.05</v>
      </c>
      <c r="J134" s="1280">
        <f>SUM('ES lėšos'!I134)</f>
        <v>3394.05</v>
      </c>
      <c r="K134" s="1279">
        <f t="shared" si="13"/>
        <v>0</v>
      </c>
      <c r="L134" s="1281">
        <f>IF(J134&gt;0,'ketv. 6 '!AF176/'ketv. 6 '!L176,"finansavimas dar neskirtas")</f>
        <v>0.85000000000000009</v>
      </c>
      <c r="M134" s="1289">
        <f>SUMIF(Projektu_sutarciu_ataskaita!$J$19:$J$600,C134,Projektu_sutarciu_ataskaita!$BP$19:$BP$600)</f>
        <v>43616</v>
      </c>
      <c r="N134" s="1283">
        <f>IF('ketv. 5 '!U176=0,'ketv. 5 '!R176,'ketv. 5 '!U176)</f>
        <v>43465</v>
      </c>
      <c r="O134" s="1289">
        <f>SUMIF(Projektu_sutarciu_ataskaita!$J$19:$J$600,C134,Projektu_sutarciu_ataskaita!$BO$19:$BO$600)</f>
        <v>42947</v>
      </c>
      <c r="P134" s="1289">
        <f>SUMIF(Projektu_sutarciu_ataskaita!$J$19:$J$600,C134,Projektu_sutarciu_ataskaita!$L$19:$L$600)</f>
        <v>42965</v>
      </c>
      <c r="Q134" s="1290">
        <f t="shared" si="12"/>
        <v>21.402739726027395</v>
      </c>
      <c r="R134" s="1280">
        <f>SUM('ketv. 7 '!AL175)</f>
        <v>1018.22</v>
      </c>
      <c r="S134" s="1280">
        <f>SUMIF('mokėjimų ataskaita'!$I$14:$I$601,C134,'mokėjimų ataskaita'!$AK$14:$AK$601)/2</f>
        <v>1018.22</v>
      </c>
      <c r="T134" s="1280">
        <f>SUMIF('mokėjimų ataskaita'!I17:I604,C134,'mokėjimų ataskaita'!BS17:BS604)/2</f>
        <v>0</v>
      </c>
      <c r="U134" s="1281">
        <f t="shared" si="11"/>
        <v>0.30000147316627629</v>
      </c>
      <c r="V134" s="1309"/>
      <c r="W134" s="1309" t="s">
        <v>1914</v>
      </c>
      <c r="X134" s="1313" t="s">
        <v>1936</v>
      </c>
      <c r="Y134" s="1273"/>
      <c r="Z134" s="1273"/>
    </row>
    <row r="135" spans="1:26" ht="36">
      <c r="A135" s="1278">
        <f>SUM('ES lėšos'!A135)</f>
        <v>134</v>
      </c>
      <c r="B135" s="1273" t="str">
        <f>CONCATENATE('ES lėšos'!C135)</f>
        <v>05.5.1-APVA-R-019</v>
      </c>
      <c r="C135" s="1273" t="str">
        <f>CONCATENATE('ketv. 6 '!C177)</f>
        <v>05.5.1-APVA-R-019-11-0005</v>
      </c>
      <c r="D135" s="1273" t="str">
        <f>CONCATENATE('ES lėšos'!B135)</f>
        <v>Bešeimininkių apleistų pastatų Druskininkų savivaldybės teritorijoje likvidavimas</v>
      </c>
      <c r="E135" s="1273" t="str">
        <f>CONCATENATE('ES lėšos'!D135)</f>
        <v>Druskininkų savivaldybės administracija</v>
      </c>
      <c r="F135" s="1273" t="str">
        <f>CONCATENATE('ES lėšos'!E135)</f>
        <v>Druskininkų sav.</v>
      </c>
      <c r="G135" s="1285">
        <v>42689</v>
      </c>
      <c r="H135" s="1278" t="s">
        <v>1876</v>
      </c>
      <c r="I135" s="1279">
        <f>SUM('ES lėšos'!H135)</f>
        <v>102980.52</v>
      </c>
      <c r="J135" s="1280">
        <f>SUM('ES lėšos'!I135)</f>
        <v>102980.52</v>
      </c>
      <c r="K135" s="1279">
        <f t="shared" si="13"/>
        <v>0</v>
      </c>
      <c r="L135" s="1281">
        <f>IF(J135&gt;0,'ketv. 6 '!AF177/'ketv. 6 '!L177,"finansavimas dar neskirtas")</f>
        <v>0.85000016095280095</v>
      </c>
      <c r="M135" s="1289">
        <f>SUMIF(Projektu_sutarciu_ataskaita!$J$19:$J$600,C135,Projektu_sutarciu_ataskaita!$BP$19:$BP$600)</f>
        <v>43312</v>
      </c>
      <c r="N135" s="1283">
        <f>IF('ketv. 5 '!U177=0,'ketv. 5 '!R177,'ketv. 5 '!U177)</f>
        <v>43355</v>
      </c>
      <c r="O135" s="1289">
        <f>SUMIF(Projektu_sutarciu_ataskaita!$J$19:$J$600,C135,Projektu_sutarciu_ataskaita!$BO$19:$BO$600)</f>
        <v>42716</v>
      </c>
      <c r="P135" s="1289">
        <f>SUMIF(Projektu_sutarciu_ataskaita!$J$19:$J$600,C135,Projektu_sutarciu_ataskaita!$L$19:$L$600)</f>
        <v>42936</v>
      </c>
      <c r="Q135" s="1290">
        <f t="shared" si="12"/>
        <v>12.361643835616437</v>
      </c>
      <c r="R135" s="1280">
        <f>SUM('ketv. 7 '!AL176)</f>
        <v>102980.52</v>
      </c>
      <c r="S135" s="1280">
        <f>SUMIF('mokėjimų ataskaita'!$I$14:$I$601,C135,'mokėjimų ataskaita'!$AK$14:$AK$601)/2</f>
        <v>102980.52</v>
      </c>
      <c r="T135" s="1280">
        <f>SUMIF('mokėjimų ataskaita'!I18:I605,C135,'mokėjimų ataskaita'!BS18:BS605)/2</f>
        <v>102980.52</v>
      </c>
      <c r="U135" s="1281">
        <f t="shared" si="11"/>
        <v>1</v>
      </c>
      <c r="V135" s="1309"/>
      <c r="W135" s="1314" t="s">
        <v>1827</v>
      </c>
      <c r="X135" s="1313" t="s">
        <v>1929</v>
      </c>
      <c r="Y135" s="1273"/>
      <c r="Z135" s="1273"/>
    </row>
    <row r="136" spans="1:26" ht="36">
      <c r="A136" s="1278">
        <f>SUM('ES lėšos'!A136)</f>
        <v>135</v>
      </c>
      <c r="B136" s="1273" t="str">
        <f>CONCATENATE('ES lėšos'!C136)</f>
        <v>05.5.1-APVA-R-019</v>
      </c>
      <c r="C136" s="1273" t="str">
        <f>CONCATENATE('ketv. 6 '!C178)</f>
        <v>05.5.1-APVA-R-019-11-0003</v>
      </c>
      <c r="D136" s="1273" t="str">
        <f>CONCATENATE('ES lėšos'!B136)</f>
        <v>Kraštovaizdžio formavimas Lazdijų rajono savivaldybėje</v>
      </c>
      <c r="E136" s="1273" t="str">
        <f>CONCATENATE('ES lėšos'!D136)</f>
        <v>Lazdijų rajono savivaldybės administracija</v>
      </c>
      <c r="F136" s="1273" t="str">
        <f>CONCATENATE('ES lėšos'!E136)</f>
        <v>Lazdijų r. sav.</v>
      </c>
      <c r="G136" s="1285">
        <v>42682</v>
      </c>
      <c r="H136" s="1278" t="s">
        <v>1910</v>
      </c>
      <c r="I136" s="1279">
        <f>SUM('ES lėšos'!H136)</f>
        <v>375953.81</v>
      </c>
      <c r="J136" s="1280">
        <f>SUM('ES lėšos'!I136)</f>
        <v>375953.81</v>
      </c>
      <c r="K136" s="1279">
        <f t="shared" si="13"/>
        <v>0</v>
      </c>
      <c r="L136" s="1281">
        <f>IF(J136&gt;0,'ketv. 6 '!AF178/'ketv. 6 '!L178,"finansavimas dar neskirtas")</f>
        <v>0.8500000192177869</v>
      </c>
      <c r="M136" s="1289">
        <f>SUMIF(Projektu_sutarciu_ataskaita!$J$19:$J$600,C136,Projektu_sutarciu_ataskaita!$BP$19:$BP$600)</f>
        <v>43830</v>
      </c>
      <c r="N136" s="1283">
        <f>IF('ketv. 5 '!U178=0,'ketv. 5 '!R178,'ketv. 5 '!U178)</f>
        <v>43465</v>
      </c>
      <c r="O136" s="1289">
        <f>SUMIF(Projektu_sutarciu_ataskaita!$J$19:$J$600,C136,Projektu_sutarciu_ataskaita!$BO$19:$BO$600)</f>
        <v>42776</v>
      </c>
      <c r="P136" s="1289">
        <f>SUMIF(Projektu_sutarciu_ataskaita!$J$19:$J$600,C136,Projektu_sutarciu_ataskaita!$L$19:$L$600)</f>
        <v>42935</v>
      </c>
      <c r="Q136" s="1290">
        <f t="shared" si="12"/>
        <v>29.424657534246574</v>
      </c>
      <c r="R136" s="1280">
        <f>SUM('ketv. 7 '!AL177)</f>
        <v>193242.66000000003</v>
      </c>
      <c r="S136" s="1280">
        <f>SUMIF('mokėjimų ataskaita'!$I$14:$I$601,C136,'mokėjimų ataskaita'!$AK$14:$AK$601)/2</f>
        <v>193242.66000000003</v>
      </c>
      <c r="T136" s="1280">
        <f>SUMIF('mokėjimų ataskaita'!I19:I606,C136,'mokėjimų ataskaita'!BS19:BS606)/2</f>
        <v>81242.659999999989</v>
      </c>
      <c r="U136" s="1281">
        <f t="shared" si="11"/>
        <v>0.51400638817837763</v>
      </c>
      <c r="V136" s="1309"/>
      <c r="W136" s="1309" t="s">
        <v>1914</v>
      </c>
      <c r="X136" s="1313" t="s">
        <v>1935</v>
      </c>
      <c r="Y136" s="1273"/>
      <c r="Z136" s="1273"/>
    </row>
    <row r="137" spans="1:26" ht="36">
      <c r="A137" s="1278">
        <f>SUM('ES lėšos'!A137)</f>
        <v>136</v>
      </c>
      <c r="B137" s="1273" t="str">
        <f>CONCATENATE('ES lėšos'!C137)</f>
        <v>05.5.1-APVA-R-019</v>
      </c>
      <c r="C137" s="1273" t="str">
        <f>CONCATENATE('ketv. 6 '!C179)</f>
        <v>-</v>
      </c>
      <c r="D137" s="1273" t="str">
        <f>CONCATENATE('ES lėšos'!B137)</f>
        <v>Kraštovaizdžio formavimas Lazdijų rajono savivaldybėje (II etapas)</v>
      </c>
      <c r="E137" s="1273" t="str">
        <f>CONCATENATE('ES lėšos'!D137)</f>
        <v>Lazdijų rajono savivaldybės administracija</v>
      </c>
      <c r="F137" s="1273" t="str">
        <f>CONCATENATE('ES lėšos'!E137)</f>
        <v>Lazdijų r. sav.</v>
      </c>
      <c r="G137" s="1285">
        <v>43293</v>
      </c>
      <c r="H137" s="1278" t="s">
        <v>1889</v>
      </c>
      <c r="I137" s="1279">
        <f>SUM('ES lėšos'!H137)</f>
        <v>127323</v>
      </c>
      <c r="J137" s="1280">
        <f>SUM('ES lėšos'!I137)</f>
        <v>0</v>
      </c>
      <c r="K137" s="1279" t="str">
        <f t="shared" si="13"/>
        <v>finansavimas dar neskirtas</v>
      </c>
      <c r="L137" s="1281" t="str">
        <f>IF(J137&gt;0,'ketv. 6 '!AF179/'ketv. 6 '!L179,"finansavimas dar neskirtas")</f>
        <v>finansavimas dar neskirtas</v>
      </c>
      <c r="M137" s="1289"/>
      <c r="N137" s="1283">
        <f>IF('ketv. 5 '!U179=0,'ketv. 5 '!R179,'ketv. 5 '!U179)</f>
        <v>44469</v>
      </c>
      <c r="O137" s="1289"/>
      <c r="P137" s="1289"/>
      <c r="Q137" s="1290">
        <f t="shared" si="12"/>
        <v>0</v>
      </c>
      <c r="R137" s="1280">
        <f>SUM('ketv. 7 '!AL178)</f>
        <v>0</v>
      </c>
      <c r="S137" s="1280">
        <f>SUMIF('mokėjimų ataskaita'!$I$14:$I$601,C137,'mokėjimų ataskaita'!$AK$14:$AK$601)/2</f>
        <v>0</v>
      </c>
      <c r="T137" s="1280">
        <f>SUMIF('mokėjimų ataskaita'!I20:I607,C137,'mokėjimų ataskaita'!BS20:BS607)/2</f>
        <v>0</v>
      </c>
      <c r="U137" s="1281" t="str">
        <f t="shared" si="11"/>
        <v>finansavimas dar neskirtas</v>
      </c>
      <c r="V137" s="1309"/>
      <c r="W137" s="1314"/>
      <c r="X137" s="1313"/>
      <c r="Y137" s="1273"/>
      <c r="Z137" s="1273"/>
    </row>
    <row r="138" spans="1:26" ht="36">
      <c r="A138" s="1278">
        <f>SUM('ES lėšos'!A138)</f>
        <v>137</v>
      </c>
      <c r="B138" s="1273" t="str">
        <f>CONCATENATE('ES lėšos'!C138)</f>
        <v>05.5.1-APVA-R-019</v>
      </c>
      <c r="C138" s="1273" t="str">
        <f>CONCATENATE('ketv. 6 '!C180)</f>
        <v>05.5.1-APVA-R-019-11-0006</v>
      </c>
      <c r="D138" s="1273" t="str">
        <f>CONCATENATE('ES lėšos'!B138)</f>
        <v>Bešeimininkių apleistų pastatų ir įrenginių tvarkymas Alytaus rajono savivaldybėje (II etapas)</v>
      </c>
      <c r="E138" s="1273" t="str">
        <f>CONCATENATE('ES lėšos'!D138)</f>
        <v>Alytaus rajono savivaldybės administracija</v>
      </c>
      <c r="F138" s="1273" t="str">
        <f>CONCATENATE('ES lėšos'!E138)</f>
        <v>Alytaus r. sav.</v>
      </c>
      <c r="G138" s="1285">
        <v>43110</v>
      </c>
      <c r="H138" s="1278" t="s">
        <v>1871</v>
      </c>
      <c r="I138" s="1279">
        <f>SUM('ES lėšos'!H138)</f>
        <v>626057</v>
      </c>
      <c r="J138" s="1280">
        <f>SUM('ES lėšos'!I138)</f>
        <v>236024.6</v>
      </c>
      <c r="K138" s="1279">
        <f t="shared" si="13"/>
        <v>390032.4</v>
      </c>
      <c r="L138" s="1281">
        <f>IF(J138&gt;0,'ketv. 6 '!AF180/'ketv. 6 '!L180,"finansavimas dar neskirtas")</f>
        <v>0.85</v>
      </c>
      <c r="M138" s="1289">
        <f>SUMIF(Projektu_sutarciu_ataskaita!$J$19:$J$600,C138,Projektu_sutarciu_ataskaita!$BP$19:$BP$600)</f>
        <v>43728</v>
      </c>
      <c r="N138" s="1283">
        <f>IF('ketv. 5 '!U180=0,'ketv. 5 '!R180,'ketv. 5 '!U180)</f>
        <v>43830</v>
      </c>
      <c r="O138" s="1289">
        <f>SUMIF(Projektu_sutarciu_ataskaita!$J$19:$J$600,C138,Projektu_sutarciu_ataskaita!$BO$19:$BO$600)</f>
        <v>43245</v>
      </c>
      <c r="P138" s="1289">
        <f>SUMIF(Projektu_sutarciu_ataskaita!$J$19:$J$600,C138,Projektu_sutarciu_ataskaita!$L$19:$L$600)</f>
        <v>43370</v>
      </c>
      <c r="Q138" s="1290">
        <f t="shared" si="12"/>
        <v>11.769863013698629</v>
      </c>
      <c r="R138" s="1280">
        <f>SUM('ketv. 7 '!AL179)</f>
        <v>0</v>
      </c>
      <c r="S138" s="1280">
        <f>SUMIF('mokėjimų ataskaita'!$I$14:$I$601,C138,'mokėjimų ataskaita'!$AK$14:$AK$601)/2</f>
        <v>0</v>
      </c>
      <c r="T138" s="1280">
        <f>SUMIF('mokėjimų ataskaita'!I21:I608,C138,'mokėjimų ataskaita'!BS21:BS608)/2</f>
        <v>0</v>
      </c>
      <c r="U138" s="1281">
        <f t="shared" si="11"/>
        <v>0</v>
      </c>
      <c r="V138" s="1309"/>
      <c r="W138" s="1309" t="s">
        <v>1914</v>
      </c>
      <c r="X138" s="1313" t="s">
        <v>1933</v>
      </c>
      <c r="Y138" s="1273"/>
      <c r="Z138" s="1273"/>
    </row>
    <row r="139" spans="1:26" ht="36">
      <c r="A139" s="1278">
        <f>SUM('ES lėšos'!A139)</f>
        <v>138</v>
      </c>
      <c r="B139" s="1273" t="str">
        <f>CONCATENATE('ES lėšos'!C139)</f>
        <v>05.5.1-APVA-R-019</v>
      </c>
      <c r="C139" s="1273" t="str">
        <f>CONCATENATE('ketv. 6 '!C181)</f>
        <v>-</v>
      </c>
      <c r="D139" s="1273" t="str">
        <f>CONCATENATE('ES lėšos'!B139)</f>
        <v>Etaloninio kraštovaizdžio formavimas Druskininkų savivaldybės pasienyje</v>
      </c>
      <c r="E139" s="1273" t="str">
        <f>CONCATENATE('ES lėšos'!D139)</f>
        <v>Druskininkų savivaldybės administracija</v>
      </c>
      <c r="F139" s="1273" t="str">
        <f>CONCATENATE('ES lėšos'!E139)</f>
        <v>Druskininkų sav.</v>
      </c>
      <c r="G139" s="1285">
        <v>43304</v>
      </c>
      <c r="H139" s="1278" t="s">
        <v>1879</v>
      </c>
      <c r="I139" s="1279">
        <f>SUM('ES lėšos'!H139)</f>
        <v>0</v>
      </c>
      <c r="J139" s="1280">
        <f>SUM('ES lėšos'!I139)</f>
        <v>0</v>
      </c>
      <c r="K139" s="1279" t="str">
        <f t="shared" si="13"/>
        <v>finansavimas dar neskirtas</v>
      </c>
      <c r="L139" s="1281" t="str">
        <f>IF(J139&gt;0,'ketv. 6 '!AF181/'ketv. 6 '!L181,"finansavimas dar neskirtas")</f>
        <v>finansavimas dar neskirtas</v>
      </c>
      <c r="M139" s="1289"/>
      <c r="N139" s="1283">
        <f>IF('ketv. 5 '!U181=0,'ketv. 5 '!R181,'ketv. 5 '!U181)</f>
        <v>44196</v>
      </c>
      <c r="O139" s="1289"/>
      <c r="P139" s="1289"/>
      <c r="Q139" s="1290">
        <f t="shared" si="12"/>
        <v>0</v>
      </c>
      <c r="R139" s="1280">
        <f>SUM('ketv. 7 '!AL180)</f>
        <v>0</v>
      </c>
      <c r="S139" s="1280">
        <f>SUMIF('mokėjimų ataskaita'!$I$14:$I$601,C139,'mokėjimų ataskaita'!$AK$14:$AK$601)/2</f>
        <v>0</v>
      </c>
      <c r="T139" s="1280">
        <f>SUMIF('mokėjimų ataskaita'!I22:I609,C139,'mokėjimų ataskaita'!BS22:BS609)/2</f>
        <v>0</v>
      </c>
      <c r="U139" s="1281" t="str">
        <f t="shared" si="11"/>
        <v>finansavimas dar neskirtas</v>
      </c>
      <c r="V139" s="1309"/>
      <c r="W139" s="1314"/>
      <c r="X139" s="1313"/>
      <c r="Y139" s="1273"/>
      <c r="Z139" s="1273"/>
    </row>
    <row r="140" spans="1:26" hidden="1">
      <c r="A140" s="1273"/>
      <c r="B140" s="1273"/>
      <c r="C140" s="1273"/>
      <c r="D140" s="1273"/>
      <c r="E140" s="1273"/>
      <c r="F140" s="1273"/>
      <c r="G140" s="1273"/>
      <c r="H140" s="1273"/>
      <c r="I140" s="1274"/>
      <c r="J140" s="1275"/>
      <c r="K140" s="1274"/>
      <c r="L140" s="1275"/>
      <c r="M140" s="1276"/>
      <c r="N140" s="1276"/>
      <c r="O140" s="1276"/>
      <c r="P140" s="1276"/>
      <c r="Q140" s="1273"/>
      <c r="R140" s="1275"/>
      <c r="S140" s="1275"/>
      <c r="T140" s="1275"/>
      <c r="U140" s="1275"/>
      <c r="V140" s="1273"/>
      <c r="W140" s="1273"/>
      <c r="X140" s="1273"/>
      <c r="Y140" s="1273"/>
      <c r="Z140" s="1273"/>
    </row>
    <row r="141" spans="1:26" hidden="1">
      <c r="A141" s="1273"/>
      <c r="B141" s="1273"/>
      <c r="C141" s="1273"/>
      <c r="D141" s="1273"/>
      <c r="E141" s="1273"/>
      <c r="F141" s="1273"/>
      <c r="G141" s="1273"/>
      <c r="H141" s="1273"/>
      <c r="I141" s="1274"/>
      <c r="J141" s="1275"/>
      <c r="K141" s="1274"/>
      <c r="L141" s="1275"/>
      <c r="M141" s="1276"/>
      <c r="N141" s="1276"/>
      <c r="O141" s="1276"/>
      <c r="P141" s="1276"/>
      <c r="Q141" s="1273"/>
      <c r="R141" s="1275"/>
      <c r="S141" s="1275"/>
      <c r="T141" s="1275"/>
      <c r="U141" s="1275"/>
      <c r="V141" s="1273"/>
      <c r="W141" s="1273"/>
      <c r="X141" s="1273"/>
      <c r="Y141" s="1273"/>
      <c r="Z141" s="1273"/>
    </row>
    <row r="142" spans="1:26" hidden="1">
      <c r="A142" s="1273"/>
      <c r="B142" s="1273"/>
      <c r="C142" s="1273"/>
      <c r="D142" s="1273"/>
      <c r="E142" s="1273"/>
      <c r="F142" s="1273"/>
      <c r="G142" s="1273"/>
      <c r="H142" s="1273"/>
      <c r="I142" s="1274"/>
      <c r="J142" s="1275"/>
      <c r="K142" s="1274"/>
      <c r="L142" s="1275"/>
      <c r="M142" s="1276"/>
      <c r="N142" s="1276"/>
      <c r="O142" s="1276"/>
      <c r="P142" s="1276"/>
      <c r="Q142" s="1273"/>
      <c r="R142" s="1275"/>
      <c r="S142" s="1275"/>
      <c r="T142" s="1275"/>
      <c r="U142" s="1275"/>
      <c r="V142" s="1273"/>
      <c r="W142" s="1273"/>
      <c r="X142" s="1273"/>
      <c r="Y142" s="1273"/>
      <c r="Z142" s="1273"/>
    </row>
    <row r="143" spans="1:26" ht="12.75" thickBot="1">
      <c r="R143" s="1277"/>
      <c r="S143" s="1277"/>
      <c r="T143" s="1277"/>
      <c r="U143" s="1277"/>
    </row>
    <row r="144" spans="1:26" ht="48.75" thickBot="1">
      <c r="B144" s="1299" t="s">
        <v>1829</v>
      </c>
      <c r="C144" s="1299" t="s">
        <v>3470</v>
      </c>
      <c r="D144" s="1299" t="s">
        <v>3467</v>
      </c>
      <c r="K144" s="1298"/>
    </row>
    <row r="145" spans="2:11" ht="48.75" thickBot="1">
      <c r="B145" s="1300" t="s">
        <v>437</v>
      </c>
      <c r="C145" s="1303">
        <f>SUMIF($B$2:$B$139,B145,$K$2:$K$139)</f>
        <v>-471121.71999999991</v>
      </c>
      <c r="D145" s="1303">
        <f>SUMIF('ES lėšos'!$B$153:$B$176,B145,'ES lėšos'!$E$153:$E$176)-SUMIF($B$2:$B$139,B145,$J$2:$J$139)</f>
        <v>122596.20000000019</v>
      </c>
      <c r="K145" s="1297"/>
    </row>
    <row r="146" spans="2:11" ht="12.75" thickBot="1">
      <c r="B146" s="1301" t="s">
        <v>147</v>
      </c>
      <c r="C146" s="1304">
        <f t="shared" ref="C146:C167" si="14">SUMIF($B$2:$B$139,B146,$K$2:$K$139)</f>
        <v>0</v>
      </c>
      <c r="D146" s="1303">
        <f>SUMIF('ES lėšos'!$B$153:$B$176,B146,'ES lėšos'!$E$153:$E$176)-SUMIF($B$2:$B$139,B146,$J$2:$J$139)</f>
        <v>1567659.8</v>
      </c>
      <c r="K146" s="1297"/>
    </row>
    <row r="147" spans="2:11" ht="12.75" thickBot="1">
      <c r="B147" s="1301" t="s">
        <v>148</v>
      </c>
      <c r="C147" s="1304">
        <f t="shared" si="14"/>
        <v>1.4551915228366852E-11</v>
      </c>
      <c r="D147" s="1303">
        <f>SUMIF('ES lėšos'!$B$153:$B$176,B147,'ES lėšos'!$E$153:$E$176)-SUMIF($B$2:$B$139,B147,$J$2:$J$139)</f>
        <v>63623</v>
      </c>
      <c r="K147" s="1297"/>
    </row>
    <row r="148" spans="2:11" ht="12.75" thickBot="1">
      <c r="B148" s="1301" t="s">
        <v>135</v>
      </c>
      <c r="C148" s="1304">
        <f t="shared" si="14"/>
        <v>37861</v>
      </c>
      <c r="D148" s="1303">
        <f>SUMIF('ES lėšos'!$B$153:$B$176,B148,'ES lėšos'!$E$153:$E$176)-SUMIF($B$2:$B$139,B148,$J$2:$J$139)</f>
        <v>660288</v>
      </c>
      <c r="K148" s="1297"/>
    </row>
    <row r="149" spans="2:11" ht="24.75" thickBot="1">
      <c r="B149" s="1301" t="s">
        <v>179</v>
      </c>
      <c r="C149" s="1304">
        <f t="shared" si="14"/>
        <v>7180.8100000000559</v>
      </c>
      <c r="D149" s="1303">
        <f>SUMIF('ES lėšos'!$B$153:$B$176,B149,'ES lėšos'!$E$153:$E$176)-SUMIF($B$2:$B$139,B149,$J$2:$J$139)</f>
        <v>0</v>
      </c>
      <c r="K149" s="1297"/>
    </row>
    <row r="150" spans="2:11" ht="24.75" thickBot="1">
      <c r="B150" s="1301" t="s">
        <v>190</v>
      </c>
      <c r="C150" s="1304">
        <f t="shared" si="14"/>
        <v>0</v>
      </c>
      <c r="D150" s="1303">
        <f>SUMIF('ES lėšos'!$B$153:$B$176,B150,'ES lėšos'!$E$153:$E$176)-SUMIF($B$2:$B$139,B150,$J$2:$J$139)</f>
        <v>0</v>
      </c>
      <c r="K150" s="1297"/>
    </row>
    <row r="151" spans="2:11" ht="24.75" thickBot="1">
      <c r="B151" s="1301" t="s">
        <v>833</v>
      </c>
      <c r="C151" s="1304">
        <f t="shared" si="14"/>
        <v>0</v>
      </c>
      <c r="D151" s="1303">
        <f>SUMIF('ES lėšos'!$B$153:$B$176,B151,'ES lėšos'!$E$153:$E$176)-SUMIF($B$2:$B$139,B151,$J$2:$J$139)</f>
        <v>0</v>
      </c>
      <c r="K151" s="1297"/>
    </row>
    <row r="152" spans="2:11" ht="24.75" thickBot="1">
      <c r="B152" s="1301" t="s">
        <v>182</v>
      </c>
      <c r="C152" s="1304">
        <f t="shared" si="14"/>
        <v>38555.619999999995</v>
      </c>
      <c r="D152" s="1303">
        <f>SUMIF('ES lėšos'!$B$153:$B$176,B152,'ES lėšos'!$E$153:$E$176)-SUMIF($B$2:$B$139,B152,$J$2:$J$139)</f>
        <v>32141.280000000028</v>
      </c>
      <c r="K152" s="1297"/>
    </row>
    <row r="153" spans="2:11" ht="12.75" thickBot="1">
      <c r="B153" s="1301" t="s">
        <v>761</v>
      </c>
      <c r="C153" s="1304">
        <f t="shared" si="14"/>
        <v>0</v>
      </c>
      <c r="D153" s="1303">
        <f>SUMIF('ES lėšos'!$B$153:$B$176,B153,'ES lėšos'!$E$153:$E$176)-SUMIF($B$2:$B$139,B153,$J$2:$J$139)</f>
        <v>189539.90000000002</v>
      </c>
      <c r="K153" s="1297"/>
    </row>
    <row r="154" spans="2:11" ht="24.75" thickBot="1">
      <c r="B154" s="1301" t="s">
        <v>192</v>
      </c>
      <c r="C154" s="1304">
        <f t="shared" si="14"/>
        <v>390032.4</v>
      </c>
      <c r="D154" s="1303">
        <f>SUMIF('ES lėšos'!$B$153:$B$176,B154,'ES lėšos'!$E$153:$E$176)-SUMIF($B$2:$B$139,B154,$J$2:$J$139)</f>
        <v>1074596.6199999999</v>
      </c>
      <c r="K154" s="1297"/>
    </row>
    <row r="155" spans="2:11" ht="12.75" thickBot="1">
      <c r="B155" s="1301" t="s">
        <v>141</v>
      </c>
      <c r="C155" s="1304">
        <f t="shared" si="14"/>
        <v>55739.120000000024</v>
      </c>
      <c r="D155" s="1303">
        <f>SUMIF('ES lėšos'!$B$153:$B$176,B155,'ES lėšos'!$E$153:$E$176)-SUMIF($B$2:$B$139,B155,$J$2:$J$139)</f>
        <v>38464.900000000373</v>
      </c>
      <c r="K155" s="1297"/>
    </row>
    <row r="156" spans="2:11" ht="24.75" thickBot="1">
      <c r="B156" s="1301" t="s">
        <v>143</v>
      </c>
      <c r="C156" s="1304">
        <f t="shared" si="14"/>
        <v>0</v>
      </c>
      <c r="D156" s="1303">
        <f>SUMIF('ES lėšos'!$B$153:$B$176,B156,'ES lėšos'!$E$153:$E$176)-SUMIF($B$2:$B$139,B156,$J$2:$J$139)</f>
        <v>0</v>
      </c>
      <c r="K156" s="1297"/>
    </row>
    <row r="157" spans="2:11" ht="24.75" thickBot="1">
      <c r="B157" s="1301" t="s">
        <v>267</v>
      </c>
      <c r="C157" s="1304">
        <f t="shared" ca="1" si="14"/>
        <v>0</v>
      </c>
      <c r="D157" s="1303">
        <f>SUMIF('ES lėšos'!$B$153:$B$176,B157,'ES lėšos'!$E$153:$E$176)-SUMIF($B$2:$B$139,B157,$J$2:$J$139)</f>
        <v>0</v>
      </c>
      <c r="K157" s="1297"/>
    </row>
    <row r="158" spans="2:11" ht="24.75" thickBot="1">
      <c r="B158" s="1301" t="s">
        <v>834</v>
      </c>
      <c r="C158" s="1304">
        <f t="shared" si="14"/>
        <v>284979.81999999983</v>
      </c>
      <c r="D158" s="1303">
        <f>SUMIF('ES lėšos'!$B$153:$B$176,B158,'ES lėšos'!$E$153:$E$176)-SUMIF($B$2:$B$139,B158,$J$2:$J$139)</f>
        <v>284979.54000000004</v>
      </c>
      <c r="K158" s="1297"/>
    </row>
    <row r="159" spans="2:11" ht="24.75" thickBot="1">
      <c r="B159" s="1301" t="s">
        <v>155</v>
      </c>
      <c r="C159" s="1304">
        <f t="shared" si="14"/>
        <v>0</v>
      </c>
      <c r="D159" s="1303">
        <f>SUMIF('ES lėšos'!$B$153:$B$176,B159,'ES lėšos'!$E$153:$E$176)-SUMIF($B$2:$B$139,B159,$J$2:$J$139)</f>
        <v>0</v>
      </c>
      <c r="K159" s="1297"/>
    </row>
    <row r="160" spans="2:11" ht="24.75" thickBot="1">
      <c r="B160" s="1301" t="s">
        <v>154</v>
      </c>
      <c r="C160" s="1304">
        <f t="shared" si="14"/>
        <v>0</v>
      </c>
      <c r="D160" s="1303">
        <f>SUMIF('ES lėšos'!$B$153:$B$176,B160,'ES lėšos'!$E$153:$E$176)-SUMIF($B$2:$B$139,B160,$J$2:$J$139)</f>
        <v>0</v>
      </c>
      <c r="K160" s="1297"/>
    </row>
    <row r="161" spans="2:11" ht="24.75" thickBot="1">
      <c r="B161" s="1301" t="s">
        <v>153</v>
      </c>
      <c r="C161" s="1304">
        <f t="shared" si="14"/>
        <v>-1037.8999999999814</v>
      </c>
      <c r="D161" s="1303">
        <f>SUMIF('ES lėšos'!$B$153:$B$176,B161,'ES lėšos'!$E$153:$E$176)-SUMIF($B$2:$B$139,B161,$J$2:$J$139)</f>
        <v>6482.5099999997765</v>
      </c>
      <c r="K161" s="1297"/>
    </row>
    <row r="162" spans="2:11" ht="12.75" thickBot="1">
      <c r="B162" s="1301" t="s">
        <v>1191</v>
      </c>
      <c r="C162" s="1304">
        <f t="shared" si="14"/>
        <v>0</v>
      </c>
      <c r="D162" s="1303">
        <f>SUMIF('ES lėšos'!$B$153:$B$176,B162,'ES lėšos'!$E$153:$E$176)-SUMIF($B$2:$B$139,B162,$J$2:$J$139)</f>
        <v>0</v>
      </c>
      <c r="K162" s="1297"/>
    </row>
    <row r="163" spans="2:11" ht="12.75" thickBot="1">
      <c r="B163" s="1301" t="s">
        <v>1176</v>
      </c>
      <c r="C163" s="1304">
        <f t="shared" si="14"/>
        <v>0</v>
      </c>
      <c r="D163" s="1303">
        <f>SUMIF('ES lėšos'!$B$153:$B$176,B163,'ES lėšos'!$E$153:$E$176)-SUMIF($B$2:$B$139,B163,$J$2:$J$139)</f>
        <v>0</v>
      </c>
      <c r="K163" s="1297"/>
    </row>
    <row r="164" spans="2:11" ht="24.75" thickBot="1">
      <c r="B164" s="1301" t="s">
        <v>140</v>
      </c>
      <c r="C164" s="1304">
        <f t="shared" si="14"/>
        <v>0</v>
      </c>
      <c r="D164" s="1303">
        <f>SUMIF('ES lėšos'!$B$153:$B$176,B164,'ES lėšos'!$E$153:$E$176)-SUMIF($B$2:$B$139,B164,$J$2:$J$139)</f>
        <v>0</v>
      </c>
      <c r="K164" s="1297"/>
    </row>
    <row r="165" spans="2:11" ht="24.75" thickBot="1">
      <c r="B165" s="1301" t="s">
        <v>136</v>
      </c>
      <c r="C165" s="1304">
        <f t="shared" si="14"/>
        <v>0</v>
      </c>
      <c r="D165" s="1303">
        <f>SUMIF('ES lėšos'!$B$153:$B$176,B165,'ES lėšos'!$E$153:$E$176)-SUMIF($B$2:$B$139,B165,$J$2:$J$139)</f>
        <v>0</v>
      </c>
      <c r="K165" s="1297"/>
    </row>
    <row r="166" spans="2:11" ht="12.75" thickBot="1">
      <c r="B166" s="1301" t="s">
        <v>139</v>
      </c>
      <c r="C166" s="1304">
        <f t="shared" si="14"/>
        <v>1</v>
      </c>
      <c r="D166" s="1303">
        <f>SUMIF('ES lėšos'!$B$153:$B$176,B166,'ES lėšos'!$E$153:$E$176)-SUMIF($B$2:$B$139,B166,$J$2:$J$139)</f>
        <v>0</v>
      </c>
      <c r="K166" s="1297"/>
    </row>
    <row r="167" spans="2:11" ht="12.75" thickBot="1">
      <c r="B167" s="1301" t="s">
        <v>1122</v>
      </c>
      <c r="C167" s="1304">
        <f t="shared" si="14"/>
        <v>0</v>
      </c>
      <c r="D167" s="1303">
        <f>SUMIF('ES lėšos'!$B$153:$B$176,B167,'ES lėšos'!$E$153:$E$176)-SUMIF($B$2:$B$139,B167,$J$2:$J$139)</f>
        <v>170000</v>
      </c>
      <c r="K167" s="1297"/>
    </row>
    <row r="168" spans="2:11" ht="12.75" thickBot="1">
      <c r="B168" s="1302" t="s">
        <v>146</v>
      </c>
      <c r="C168" s="1305">
        <f t="shared" ref="C168" si="15">SUMIF($B$2:$B$139,#REF!,$K$2:$K$139)</f>
        <v>0</v>
      </c>
      <c r="D168" s="1303">
        <f>SUMIF('ES lėšos'!$B$153:$B$176,B168,'ES lėšos'!$E$153:$E$176)-SUMIF($B$2:$B$139,B168,$J$2:$J$139)</f>
        <v>886946</v>
      </c>
      <c r="K168" s="1297"/>
    </row>
  </sheetData>
  <autoFilter ref="D1:Z139" xr:uid="{00000000-0009-0000-0000-00003D000000}"/>
  <pageMargins left="0.23622047244094491" right="0.23622047244094491" top="0.74803149606299213" bottom="0.74803149606299213" header="0.31496062992125984" footer="0.31496062992125984"/>
  <pageSetup paperSize="8" scale="71" fitToHeight="0"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DH780"/>
  <sheetViews>
    <sheetView workbookViewId="0">
      <selection activeCell="E18" sqref="E18"/>
    </sheetView>
  </sheetViews>
  <sheetFormatPr defaultRowHeight="15"/>
  <cols>
    <col min="1" max="1" width="8.7109375" style="21" customWidth="1"/>
    <col min="2" max="3" width="31.42578125" style="21" customWidth="1"/>
    <col min="4" max="4" width="25.85546875" style="21" customWidth="1"/>
    <col min="5" max="5" width="26.85546875" style="21" customWidth="1"/>
    <col min="6" max="6" width="27" style="21" customWidth="1"/>
    <col min="7" max="7" width="32.28515625" style="21" customWidth="1"/>
    <col min="8" max="8" width="13.42578125" style="21" customWidth="1"/>
    <col min="9" max="9" width="17.85546875" style="21" customWidth="1"/>
    <col min="10" max="10" width="15.85546875" style="21" customWidth="1"/>
    <col min="11" max="11" width="26" style="21" customWidth="1"/>
    <col min="12" max="12" width="21.7109375" style="21" customWidth="1"/>
    <col min="13" max="13" width="16.5703125" style="21" customWidth="1"/>
    <col min="14" max="14" width="25.7109375" style="21" customWidth="1"/>
    <col min="15" max="15" width="31.42578125" style="21" customWidth="1"/>
    <col min="16" max="16" width="18.42578125" style="21" customWidth="1"/>
    <col min="17" max="17" width="13.42578125" style="21" customWidth="1"/>
    <col min="18" max="18" width="18" style="21" customWidth="1"/>
    <col min="19" max="19" width="19.7109375" style="21" customWidth="1"/>
    <col min="20" max="21" width="13.42578125" style="21" customWidth="1"/>
    <col min="22" max="22" width="18" style="21" customWidth="1"/>
    <col min="23" max="23" width="15.42578125" style="21" customWidth="1"/>
    <col min="24" max="24" width="13.42578125" style="21" customWidth="1"/>
    <col min="25" max="25" width="16.140625" style="21" customWidth="1"/>
    <col min="26" max="26" width="18" style="21" customWidth="1"/>
    <col min="27" max="28" width="13.42578125" style="21" customWidth="1"/>
    <col min="29" max="29" width="18.85546875" style="21" customWidth="1"/>
    <col min="30" max="30" width="28.7109375" style="21" customWidth="1"/>
    <col min="31" max="31" width="18.85546875" style="21" customWidth="1"/>
    <col min="32" max="32" width="16" style="21" customWidth="1"/>
    <col min="33" max="33" width="13.42578125" style="21" customWidth="1"/>
    <col min="34" max="34" width="26.28515625" style="21" customWidth="1"/>
    <col min="35" max="35" width="37.140625" style="21" customWidth="1"/>
    <col min="36" max="36" width="13.42578125" style="21" customWidth="1"/>
    <col min="37" max="37" width="16.85546875" style="21" customWidth="1"/>
    <col min="38" max="38" width="29.140625" style="21" customWidth="1"/>
    <col min="39" max="39" width="24.140625" style="21" customWidth="1"/>
    <col min="40" max="40" width="15.140625" style="21" customWidth="1"/>
    <col min="41" max="41" width="18.7109375" style="21" customWidth="1"/>
    <col min="42" max="42" width="19.5703125" style="21" customWidth="1"/>
    <col min="43" max="43" width="26.42578125" style="21" customWidth="1"/>
    <col min="44" max="44" width="25.85546875" style="21" customWidth="1"/>
    <col min="45" max="45" width="13.42578125" style="21" customWidth="1"/>
    <col min="46" max="46" width="26.85546875" style="21" customWidth="1"/>
    <col min="47" max="48" width="31.42578125" style="21" customWidth="1"/>
    <col min="49" max="49" width="26.42578125" style="21" customWidth="1"/>
    <col min="50" max="50" width="40.42578125" style="21" customWidth="1"/>
    <col min="51" max="51" width="33.85546875" style="21" customWidth="1"/>
    <col min="52" max="52" width="37" style="21" customWidth="1"/>
    <col min="53" max="53" width="17.85546875" style="21" customWidth="1"/>
    <col min="54" max="54" width="28.5703125" style="21" customWidth="1"/>
    <col min="55" max="55" width="24.28515625" style="21" customWidth="1"/>
    <col min="56" max="56" width="40.140625" style="21" customWidth="1"/>
    <col min="57" max="57" width="18.7109375" style="21" customWidth="1"/>
    <col min="58" max="58" width="16.28515625" style="21" customWidth="1"/>
    <col min="59" max="59" width="13.42578125" style="21" customWidth="1"/>
    <col min="60" max="60" width="15.42578125" style="21" customWidth="1"/>
    <col min="61" max="61" width="30.85546875" style="21" customWidth="1"/>
    <col min="62" max="62" width="13.42578125" style="21" customWidth="1"/>
    <col min="63" max="63" width="25.7109375" style="21" customWidth="1"/>
    <col min="64" max="64" width="24.28515625" style="21" customWidth="1"/>
    <col min="65" max="65" width="23.85546875" style="21" customWidth="1"/>
    <col min="66" max="66" width="27.5703125" style="21" customWidth="1"/>
    <col min="67" max="67" width="25.42578125" style="21" customWidth="1"/>
    <col min="68" max="70" width="13.42578125" style="21" customWidth="1"/>
    <col min="71" max="71" width="16.28515625" style="21" customWidth="1"/>
    <col min="72" max="72" width="25.28515625" style="21" customWidth="1"/>
    <col min="73" max="74" width="13.42578125" style="21" customWidth="1"/>
    <col min="75" max="75" width="24.7109375" style="21" customWidth="1"/>
    <col min="76" max="76" width="26.85546875" style="21" customWidth="1"/>
    <col min="77" max="77" width="24.42578125" style="21" customWidth="1"/>
    <col min="78" max="78" width="23.140625" style="21" customWidth="1"/>
    <col min="79" max="79" width="21.140625" style="21" customWidth="1"/>
    <col min="80" max="80" width="14.5703125" style="21" customWidth="1"/>
    <col min="81" max="81" width="30.28515625" style="21" customWidth="1"/>
    <col min="82" max="82" width="13.42578125" style="21" customWidth="1"/>
    <col min="83" max="83" width="31.42578125" style="21" customWidth="1"/>
    <col min="84" max="84" width="13.42578125" style="21" customWidth="1"/>
    <col min="85" max="85" width="44.42578125" style="21" customWidth="1"/>
    <col min="86" max="86" width="19.7109375" style="21" customWidth="1"/>
    <col min="87" max="87" width="38.85546875" style="21" customWidth="1"/>
    <col min="88" max="88" width="31.42578125" style="21" customWidth="1"/>
    <col min="89" max="89" width="50.7109375" style="21" customWidth="1"/>
    <col min="90" max="90" width="34.85546875" style="21" customWidth="1"/>
    <col min="91" max="92" width="13.42578125" style="21" customWidth="1"/>
    <col min="93" max="93" width="18.140625" style="21" customWidth="1"/>
    <col min="94" max="94" width="23.7109375" style="21" customWidth="1"/>
    <col min="95" max="95" width="26.85546875" style="21" customWidth="1"/>
    <col min="96" max="96" width="23" style="21" customWidth="1"/>
    <col min="97" max="97" width="25.7109375" style="21" customWidth="1"/>
    <col min="98" max="98" width="29.28515625" style="21" customWidth="1"/>
    <col min="99" max="99" width="29.42578125" style="21" customWidth="1"/>
    <col min="100" max="100" width="23.5703125" style="21" customWidth="1"/>
    <col min="101" max="101" width="32.85546875" style="21" customWidth="1"/>
    <col min="102" max="102" width="30.7109375" style="21" customWidth="1"/>
    <col min="103" max="103" width="33.85546875" style="21" customWidth="1"/>
    <col min="104" max="104" width="15.85546875" style="21" customWidth="1"/>
    <col min="105" max="105" width="17.28515625" style="21" customWidth="1"/>
    <col min="106" max="106" width="26.5703125" style="21" customWidth="1"/>
    <col min="107" max="107" width="21.5703125" style="21" customWidth="1"/>
    <col min="108" max="108" width="42.7109375" style="21" customWidth="1"/>
    <col min="109" max="109" width="44.140625" style="21" customWidth="1"/>
    <col min="110" max="111" width="31.42578125" style="21" customWidth="1"/>
    <col min="112" max="112" width="27.85546875" style="21" customWidth="1"/>
    <col min="113" max="113" width="0" style="21" hidden="1" customWidth="1"/>
    <col min="114" max="114" width="31.42578125" style="21" customWidth="1"/>
    <col min="115" max="256" width="9.140625" style="21"/>
    <col min="257" max="257" width="8.7109375" style="21" customWidth="1"/>
    <col min="258" max="259" width="31.42578125" style="21" customWidth="1"/>
    <col min="260" max="260" width="25.85546875" style="21" customWidth="1"/>
    <col min="261" max="261" width="26.85546875" style="21" customWidth="1"/>
    <col min="262" max="262" width="27" style="21" customWidth="1"/>
    <col min="263" max="263" width="32.28515625" style="21" customWidth="1"/>
    <col min="264" max="264" width="13.42578125" style="21" customWidth="1"/>
    <col min="265" max="265" width="17.85546875" style="21" customWidth="1"/>
    <col min="266" max="266" width="15.85546875" style="21" customWidth="1"/>
    <col min="267" max="267" width="26" style="21" customWidth="1"/>
    <col min="268" max="268" width="21.7109375" style="21" customWidth="1"/>
    <col min="269" max="269" width="16.5703125" style="21" customWidth="1"/>
    <col min="270" max="270" width="25.7109375" style="21" customWidth="1"/>
    <col min="271" max="271" width="31.42578125" style="21" customWidth="1"/>
    <col min="272" max="272" width="18.42578125" style="21" customWidth="1"/>
    <col min="273" max="273" width="13.42578125" style="21" customWidth="1"/>
    <col min="274" max="274" width="18" style="21" customWidth="1"/>
    <col min="275" max="275" width="19.7109375" style="21" customWidth="1"/>
    <col min="276" max="277" width="13.42578125" style="21" customWidth="1"/>
    <col min="278" max="278" width="18" style="21" customWidth="1"/>
    <col min="279" max="279" width="15.42578125" style="21" customWidth="1"/>
    <col min="280" max="280" width="13.42578125" style="21" customWidth="1"/>
    <col min="281" max="281" width="16.140625" style="21" customWidth="1"/>
    <col min="282" max="282" width="18" style="21" customWidth="1"/>
    <col min="283" max="284" width="13.42578125" style="21" customWidth="1"/>
    <col min="285" max="285" width="18.85546875" style="21" customWidth="1"/>
    <col min="286" max="286" width="28.7109375" style="21" customWidth="1"/>
    <col min="287" max="287" width="18.85546875" style="21" customWidth="1"/>
    <col min="288" max="288" width="16" style="21" customWidth="1"/>
    <col min="289" max="289" width="13.42578125" style="21" customWidth="1"/>
    <col min="290" max="290" width="26.28515625" style="21" customWidth="1"/>
    <col min="291" max="291" width="37.140625" style="21" customWidth="1"/>
    <col min="292" max="292" width="13.42578125" style="21" customWidth="1"/>
    <col min="293" max="293" width="16.85546875" style="21" customWidth="1"/>
    <col min="294" max="294" width="29.140625" style="21" customWidth="1"/>
    <col min="295" max="295" width="24.140625" style="21" customWidth="1"/>
    <col min="296" max="296" width="15.140625" style="21" customWidth="1"/>
    <col min="297" max="297" width="18.7109375" style="21" customWidth="1"/>
    <col min="298" max="298" width="19.5703125" style="21" customWidth="1"/>
    <col min="299" max="299" width="26.42578125" style="21" customWidth="1"/>
    <col min="300" max="300" width="25.85546875" style="21" customWidth="1"/>
    <col min="301" max="301" width="13.42578125" style="21" customWidth="1"/>
    <col min="302" max="302" width="26.85546875" style="21" customWidth="1"/>
    <col min="303" max="304" width="31.42578125" style="21" customWidth="1"/>
    <col min="305" max="305" width="26.42578125" style="21" customWidth="1"/>
    <col min="306" max="306" width="40.42578125" style="21" customWidth="1"/>
    <col min="307" max="307" width="33.85546875" style="21" customWidth="1"/>
    <col min="308" max="308" width="37" style="21" customWidth="1"/>
    <col min="309" max="309" width="17.85546875" style="21" customWidth="1"/>
    <col min="310" max="310" width="28.5703125" style="21" customWidth="1"/>
    <col min="311" max="311" width="24.28515625" style="21" customWidth="1"/>
    <col min="312" max="312" width="40.140625" style="21" customWidth="1"/>
    <col min="313" max="313" width="18.7109375" style="21" customWidth="1"/>
    <col min="314" max="314" width="16.28515625" style="21" customWidth="1"/>
    <col min="315" max="315" width="13.42578125" style="21" customWidth="1"/>
    <col min="316" max="316" width="15.42578125" style="21" customWidth="1"/>
    <col min="317" max="317" width="30.85546875" style="21" customWidth="1"/>
    <col min="318" max="318" width="13.42578125" style="21" customWidth="1"/>
    <col min="319" max="319" width="25.7109375" style="21" customWidth="1"/>
    <col min="320" max="320" width="24.28515625" style="21" customWidth="1"/>
    <col min="321" max="321" width="23.85546875" style="21" customWidth="1"/>
    <col min="322" max="322" width="27.5703125" style="21" customWidth="1"/>
    <col min="323" max="323" width="25.42578125" style="21" customWidth="1"/>
    <col min="324" max="326" width="13.42578125" style="21" customWidth="1"/>
    <col min="327" max="327" width="16.28515625" style="21" customWidth="1"/>
    <col min="328" max="328" width="25.28515625" style="21" customWidth="1"/>
    <col min="329" max="330" width="13.42578125" style="21" customWidth="1"/>
    <col min="331" max="331" width="24.7109375" style="21" customWidth="1"/>
    <col min="332" max="332" width="26.85546875" style="21" customWidth="1"/>
    <col min="333" max="333" width="24.42578125" style="21" customWidth="1"/>
    <col min="334" max="334" width="23.140625" style="21" customWidth="1"/>
    <col min="335" max="335" width="21.140625" style="21" customWidth="1"/>
    <col min="336" max="336" width="14.5703125" style="21" customWidth="1"/>
    <col min="337" max="337" width="30.28515625" style="21" customWidth="1"/>
    <col min="338" max="338" width="13.42578125" style="21" customWidth="1"/>
    <col min="339" max="339" width="31.42578125" style="21" customWidth="1"/>
    <col min="340" max="340" width="13.42578125" style="21" customWidth="1"/>
    <col min="341" max="341" width="44.42578125" style="21" customWidth="1"/>
    <col min="342" max="342" width="19.7109375" style="21" customWidth="1"/>
    <col min="343" max="343" width="38.85546875" style="21" customWidth="1"/>
    <col min="344" max="344" width="31.42578125" style="21" customWidth="1"/>
    <col min="345" max="345" width="50.7109375" style="21" customWidth="1"/>
    <col min="346" max="346" width="34.85546875" style="21" customWidth="1"/>
    <col min="347" max="348" width="13.42578125" style="21" customWidth="1"/>
    <col min="349" max="349" width="18.140625" style="21" customWidth="1"/>
    <col min="350" max="350" width="23.7109375" style="21" customWidth="1"/>
    <col min="351" max="351" width="26.85546875" style="21" customWidth="1"/>
    <col min="352" max="352" width="23" style="21" customWidth="1"/>
    <col min="353" max="353" width="25.7109375" style="21" customWidth="1"/>
    <col min="354" max="354" width="29.28515625" style="21" customWidth="1"/>
    <col min="355" max="355" width="29.42578125" style="21" customWidth="1"/>
    <col min="356" max="356" width="23.5703125" style="21" customWidth="1"/>
    <col min="357" max="357" width="32.85546875" style="21" customWidth="1"/>
    <col min="358" max="358" width="30.7109375" style="21" customWidth="1"/>
    <col min="359" max="359" width="33.85546875" style="21" customWidth="1"/>
    <col min="360" max="360" width="15.85546875" style="21" customWidth="1"/>
    <col min="361" max="361" width="17.28515625" style="21" customWidth="1"/>
    <col min="362" max="362" width="26.5703125" style="21" customWidth="1"/>
    <col min="363" max="363" width="21.5703125" style="21" customWidth="1"/>
    <col min="364" max="364" width="42.7109375" style="21" customWidth="1"/>
    <col min="365" max="365" width="44.140625" style="21" customWidth="1"/>
    <col min="366" max="367" width="31.42578125" style="21" customWidth="1"/>
    <col min="368" max="368" width="27.85546875" style="21" customWidth="1"/>
    <col min="369" max="369" width="0" style="21" hidden="1" customWidth="1"/>
    <col min="370" max="370" width="31.42578125" style="21" customWidth="1"/>
    <col min="371" max="512" width="9.140625" style="21"/>
    <col min="513" max="513" width="8.7109375" style="21" customWidth="1"/>
    <col min="514" max="515" width="31.42578125" style="21" customWidth="1"/>
    <col min="516" max="516" width="25.85546875" style="21" customWidth="1"/>
    <col min="517" max="517" width="26.85546875" style="21" customWidth="1"/>
    <col min="518" max="518" width="27" style="21" customWidth="1"/>
    <col min="519" max="519" width="32.28515625" style="21" customWidth="1"/>
    <col min="520" max="520" width="13.42578125" style="21" customWidth="1"/>
    <col min="521" max="521" width="17.85546875" style="21" customWidth="1"/>
    <col min="522" max="522" width="15.85546875" style="21" customWidth="1"/>
    <col min="523" max="523" width="26" style="21" customWidth="1"/>
    <col min="524" max="524" width="21.7109375" style="21" customWidth="1"/>
    <col min="525" max="525" width="16.5703125" style="21" customWidth="1"/>
    <col min="526" max="526" width="25.7109375" style="21" customWidth="1"/>
    <col min="527" max="527" width="31.42578125" style="21" customWidth="1"/>
    <col min="528" max="528" width="18.42578125" style="21" customWidth="1"/>
    <col min="529" max="529" width="13.42578125" style="21" customWidth="1"/>
    <col min="530" max="530" width="18" style="21" customWidth="1"/>
    <col min="531" max="531" width="19.7109375" style="21" customWidth="1"/>
    <col min="532" max="533" width="13.42578125" style="21" customWidth="1"/>
    <col min="534" max="534" width="18" style="21" customWidth="1"/>
    <col min="535" max="535" width="15.42578125" style="21" customWidth="1"/>
    <col min="536" max="536" width="13.42578125" style="21" customWidth="1"/>
    <col min="537" max="537" width="16.140625" style="21" customWidth="1"/>
    <col min="538" max="538" width="18" style="21" customWidth="1"/>
    <col min="539" max="540" width="13.42578125" style="21" customWidth="1"/>
    <col min="541" max="541" width="18.85546875" style="21" customWidth="1"/>
    <col min="542" max="542" width="28.7109375" style="21" customWidth="1"/>
    <col min="543" max="543" width="18.85546875" style="21" customWidth="1"/>
    <col min="544" max="544" width="16" style="21" customWidth="1"/>
    <col min="545" max="545" width="13.42578125" style="21" customWidth="1"/>
    <col min="546" max="546" width="26.28515625" style="21" customWidth="1"/>
    <col min="547" max="547" width="37.140625" style="21" customWidth="1"/>
    <col min="548" max="548" width="13.42578125" style="21" customWidth="1"/>
    <col min="549" max="549" width="16.85546875" style="21" customWidth="1"/>
    <col min="550" max="550" width="29.140625" style="21" customWidth="1"/>
    <col min="551" max="551" width="24.140625" style="21" customWidth="1"/>
    <col min="552" max="552" width="15.140625" style="21" customWidth="1"/>
    <col min="553" max="553" width="18.7109375" style="21" customWidth="1"/>
    <col min="554" max="554" width="19.5703125" style="21" customWidth="1"/>
    <col min="555" max="555" width="26.42578125" style="21" customWidth="1"/>
    <col min="556" max="556" width="25.85546875" style="21" customWidth="1"/>
    <col min="557" max="557" width="13.42578125" style="21" customWidth="1"/>
    <col min="558" max="558" width="26.85546875" style="21" customWidth="1"/>
    <col min="559" max="560" width="31.42578125" style="21" customWidth="1"/>
    <col min="561" max="561" width="26.42578125" style="21" customWidth="1"/>
    <col min="562" max="562" width="40.42578125" style="21" customWidth="1"/>
    <col min="563" max="563" width="33.85546875" style="21" customWidth="1"/>
    <col min="564" max="564" width="37" style="21" customWidth="1"/>
    <col min="565" max="565" width="17.85546875" style="21" customWidth="1"/>
    <col min="566" max="566" width="28.5703125" style="21" customWidth="1"/>
    <col min="567" max="567" width="24.28515625" style="21" customWidth="1"/>
    <col min="568" max="568" width="40.140625" style="21" customWidth="1"/>
    <col min="569" max="569" width="18.7109375" style="21" customWidth="1"/>
    <col min="570" max="570" width="16.28515625" style="21" customWidth="1"/>
    <col min="571" max="571" width="13.42578125" style="21" customWidth="1"/>
    <col min="572" max="572" width="15.42578125" style="21" customWidth="1"/>
    <col min="573" max="573" width="30.85546875" style="21" customWidth="1"/>
    <col min="574" max="574" width="13.42578125" style="21" customWidth="1"/>
    <col min="575" max="575" width="25.7109375" style="21" customWidth="1"/>
    <col min="576" max="576" width="24.28515625" style="21" customWidth="1"/>
    <col min="577" max="577" width="23.85546875" style="21" customWidth="1"/>
    <col min="578" max="578" width="27.5703125" style="21" customWidth="1"/>
    <col min="579" max="579" width="25.42578125" style="21" customWidth="1"/>
    <col min="580" max="582" width="13.42578125" style="21" customWidth="1"/>
    <col min="583" max="583" width="16.28515625" style="21" customWidth="1"/>
    <col min="584" max="584" width="25.28515625" style="21" customWidth="1"/>
    <col min="585" max="586" width="13.42578125" style="21" customWidth="1"/>
    <col min="587" max="587" width="24.7109375" style="21" customWidth="1"/>
    <col min="588" max="588" width="26.85546875" style="21" customWidth="1"/>
    <col min="589" max="589" width="24.42578125" style="21" customWidth="1"/>
    <col min="590" max="590" width="23.140625" style="21" customWidth="1"/>
    <col min="591" max="591" width="21.140625" style="21" customWidth="1"/>
    <col min="592" max="592" width="14.5703125" style="21" customWidth="1"/>
    <col min="593" max="593" width="30.28515625" style="21" customWidth="1"/>
    <col min="594" max="594" width="13.42578125" style="21" customWidth="1"/>
    <col min="595" max="595" width="31.42578125" style="21" customWidth="1"/>
    <col min="596" max="596" width="13.42578125" style="21" customWidth="1"/>
    <col min="597" max="597" width="44.42578125" style="21" customWidth="1"/>
    <col min="598" max="598" width="19.7109375" style="21" customWidth="1"/>
    <col min="599" max="599" width="38.85546875" style="21" customWidth="1"/>
    <col min="600" max="600" width="31.42578125" style="21" customWidth="1"/>
    <col min="601" max="601" width="50.7109375" style="21" customWidth="1"/>
    <col min="602" max="602" width="34.85546875" style="21" customWidth="1"/>
    <col min="603" max="604" width="13.42578125" style="21" customWidth="1"/>
    <col min="605" max="605" width="18.140625" style="21" customWidth="1"/>
    <col min="606" max="606" width="23.7109375" style="21" customWidth="1"/>
    <col min="607" max="607" width="26.85546875" style="21" customWidth="1"/>
    <col min="608" max="608" width="23" style="21" customWidth="1"/>
    <col min="609" max="609" width="25.7109375" style="21" customWidth="1"/>
    <col min="610" max="610" width="29.28515625" style="21" customWidth="1"/>
    <col min="611" max="611" width="29.42578125" style="21" customWidth="1"/>
    <col min="612" max="612" width="23.5703125" style="21" customWidth="1"/>
    <col min="613" max="613" width="32.85546875" style="21" customWidth="1"/>
    <col min="614" max="614" width="30.7109375" style="21" customWidth="1"/>
    <col min="615" max="615" width="33.85546875" style="21" customWidth="1"/>
    <col min="616" max="616" width="15.85546875" style="21" customWidth="1"/>
    <col min="617" max="617" width="17.28515625" style="21" customWidth="1"/>
    <col min="618" max="618" width="26.5703125" style="21" customWidth="1"/>
    <col min="619" max="619" width="21.5703125" style="21" customWidth="1"/>
    <col min="620" max="620" width="42.7109375" style="21" customWidth="1"/>
    <col min="621" max="621" width="44.140625" style="21" customWidth="1"/>
    <col min="622" max="623" width="31.42578125" style="21" customWidth="1"/>
    <col min="624" max="624" width="27.85546875" style="21" customWidth="1"/>
    <col min="625" max="625" width="0" style="21" hidden="1" customWidth="1"/>
    <col min="626" max="626" width="31.42578125" style="21" customWidth="1"/>
    <col min="627" max="768" width="9.140625" style="21"/>
    <col min="769" max="769" width="8.7109375" style="21" customWidth="1"/>
    <col min="770" max="771" width="31.42578125" style="21" customWidth="1"/>
    <col min="772" max="772" width="25.85546875" style="21" customWidth="1"/>
    <col min="773" max="773" width="26.85546875" style="21" customWidth="1"/>
    <col min="774" max="774" width="27" style="21" customWidth="1"/>
    <col min="775" max="775" width="32.28515625" style="21" customWidth="1"/>
    <col min="776" max="776" width="13.42578125" style="21" customWidth="1"/>
    <col min="777" max="777" width="17.85546875" style="21" customWidth="1"/>
    <col min="778" max="778" width="15.85546875" style="21" customWidth="1"/>
    <col min="779" max="779" width="26" style="21" customWidth="1"/>
    <col min="780" max="780" width="21.7109375" style="21" customWidth="1"/>
    <col min="781" max="781" width="16.5703125" style="21" customWidth="1"/>
    <col min="782" max="782" width="25.7109375" style="21" customWidth="1"/>
    <col min="783" max="783" width="31.42578125" style="21" customWidth="1"/>
    <col min="784" max="784" width="18.42578125" style="21" customWidth="1"/>
    <col min="785" max="785" width="13.42578125" style="21" customWidth="1"/>
    <col min="786" max="786" width="18" style="21" customWidth="1"/>
    <col min="787" max="787" width="19.7109375" style="21" customWidth="1"/>
    <col min="788" max="789" width="13.42578125" style="21" customWidth="1"/>
    <col min="790" max="790" width="18" style="21" customWidth="1"/>
    <col min="791" max="791" width="15.42578125" style="21" customWidth="1"/>
    <col min="792" max="792" width="13.42578125" style="21" customWidth="1"/>
    <col min="793" max="793" width="16.140625" style="21" customWidth="1"/>
    <col min="794" max="794" width="18" style="21" customWidth="1"/>
    <col min="795" max="796" width="13.42578125" style="21" customWidth="1"/>
    <col min="797" max="797" width="18.85546875" style="21" customWidth="1"/>
    <col min="798" max="798" width="28.7109375" style="21" customWidth="1"/>
    <col min="799" max="799" width="18.85546875" style="21" customWidth="1"/>
    <col min="800" max="800" width="16" style="21" customWidth="1"/>
    <col min="801" max="801" width="13.42578125" style="21" customWidth="1"/>
    <col min="802" max="802" width="26.28515625" style="21" customWidth="1"/>
    <col min="803" max="803" width="37.140625" style="21" customWidth="1"/>
    <col min="804" max="804" width="13.42578125" style="21" customWidth="1"/>
    <col min="805" max="805" width="16.85546875" style="21" customWidth="1"/>
    <col min="806" max="806" width="29.140625" style="21" customWidth="1"/>
    <col min="807" max="807" width="24.140625" style="21" customWidth="1"/>
    <col min="808" max="808" width="15.140625" style="21" customWidth="1"/>
    <col min="809" max="809" width="18.7109375" style="21" customWidth="1"/>
    <col min="810" max="810" width="19.5703125" style="21" customWidth="1"/>
    <col min="811" max="811" width="26.42578125" style="21" customWidth="1"/>
    <col min="812" max="812" width="25.85546875" style="21" customWidth="1"/>
    <col min="813" max="813" width="13.42578125" style="21" customWidth="1"/>
    <col min="814" max="814" width="26.85546875" style="21" customWidth="1"/>
    <col min="815" max="816" width="31.42578125" style="21" customWidth="1"/>
    <col min="817" max="817" width="26.42578125" style="21" customWidth="1"/>
    <col min="818" max="818" width="40.42578125" style="21" customWidth="1"/>
    <col min="819" max="819" width="33.85546875" style="21" customWidth="1"/>
    <col min="820" max="820" width="37" style="21" customWidth="1"/>
    <col min="821" max="821" width="17.85546875" style="21" customWidth="1"/>
    <col min="822" max="822" width="28.5703125" style="21" customWidth="1"/>
    <col min="823" max="823" width="24.28515625" style="21" customWidth="1"/>
    <col min="824" max="824" width="40.140625" style="21" customWidth="1"/>
    <col min="825" max="825" width="18.7109375" style="21" customWidth="1"/>
    <col min="826" max="826" width="16.28515625" style="21" customWidth="1"/>
    <col min="827" max="827" width="13.42578125" style="21" customWidth="1"/>
    <col min="828" max="828" width="15.42578125" style="21" customWidth="1"/>
    <col min="829" max="829" width="30.85546875" style="21" customWidth="1"/>
    <col min="830" max="830" width="13.42578125" style="21" customWidth="1"/>
    <col min="831" max="831" width="25.7109375" style="21" customWidth="1"/>
    <col min="832" max="832" width="24.28515625" style="21" customWidth="1"/>
    <col min="833" max="833" width="23.85546875" style="21" customWidth="1"/>
    <col min="834" max="834" width="27.5703125" style="21" customWidth="1"/>
    <col min="835" max="835" width="25.42578125" style="21" customWidth="1"/>
    <col min="836" max="838" width="13.42578125" style="21" customWidth="1"/>
    <col min="839" max="839" width="16.28515625" style="21" customWidth="1"/>
    <col min="840" max="840" width="25.28515625" style="21" customWidth="1"/>
    <col min="841" max="842" width="13.42578125" style="21" customWidth="1"/>
    <col min="843" max="843" width="24.7109375" style="21" customWidth="1"/>
    <col min="844" max="844" width="26.85546875" style="21" customWidth="1"/>
    <col min="845" max="845" width="24.42578125" style="21" customWidth="1"/>
    <col min="846" max="846" width="23.140625" style="21" customWidth="1"/>
    <col min="847" max="847" width="21.140625" style="21" customWidth="1"/>
    <col min="848" max="848" width="14.5703125" style="21" customWidth="1"/>
    <col min="849" max="849" width="30.28515625" style="21" customWidth="1"/>
    <col min="850" max="850" width="13.42578125" style="21" customWidth="1"/>
    <col min="851" max="851" width="31.42578125" style="21" customWidth="1"/>
    <col min="852" max="852" width="13.42578125" style="21" customWidth="1"/>
    <col min="853" max="853" width="44.42578125" style="21" customWidth="1"/>
    <col min="854" max="854" width="19.7109375" style="21" customWidth="1"/>
    <col min="855" max="855" width="38.85546875" style="21" customWidth="1"/>
    <col min="856" max="856" width="31.42578125" style="21" customWidth="1"/>
    <col min="857" max="857" width="50.7109375" style="21" customWidth="1"/>
    <col min="858" max="858" width="34.85546875" style="21" customWidth="1"/>
    <col min="859" max="860" width="13.42578125" style="21" customWidth="1"/>
    <col min="861" max="861" width="18.140625" style="21" customWidth="1"/>
    <col min="862" max="862" width="23.7109375" style="21" customWidth="1"/>
    <col min="863" max="863" width="26.85546875" style="21" customWidth="1"/>
    <col min="864" max="864" width="23" style="21" customWidth="1"/>
    <col min="865" max="865" width="25.7109375" style="21" customWidth="1"/>
    <col min="866" max="866" width="29.28515625" style="21" customWidth="1"/>
    <col min="867" max="867" width="29.42578125" style="21" customWidth="1"/>
    <col min="868" max="868" width="23.5703125" style="21" customWidth="1"/>
    <col min="869" max="869" width="32.85546875" style="21" customWidth="1"/>
    <col min="870" max="870" width="30.7109375" style="21" customWidth="1"/>
    <col min="871" max="871" width="33.85546875" style="21" customWidth="1"/>
    <col min="872" max="872" width="15.85546875" style="21" customWidth="1"/>
    <col min="873" max="873" width="17.28515625" style="21" customWidth="1"/>
    <col min="874" max="874" width="26.5703125" style="21" customWidth="1"/>
    <col min="875" max="875" width="21.5703125" style="21" customWidth="1"/>
    <col min="876" max="876" width="42.7109375" style="21" customWidth="1"/>
    <col min="877" max="877" width="44.140625" style="21" customWidth="1"/>
    <col min="878" max="879" width="31.42578125" style="21" customWidth="1"/>
    <col min="880" max="880" width="27.85546875" style="21" customWidth="1"/>
    <col min="881" max="881" width="0" style="21" hidden="1" customWidth="1"/>
    <col min="882" max="882" width="31.42578125" style="21" customWidth="1"/>
    <col min="883" max="1024" width="9.140625" style="21"/>
    <col min="1025" max="1025" width="8.7109375" style="21" customWidth="1"/>
    <col min="1026" max="1027" width="31.42578125" style="21" customWidth="1"/>
    <col min="1028" max="1028" width="25.85546875" style="21" customWidth="1"/>
    <col min="1029" max="1029" width="26.85546875" style="21" customWidth="1"/>
    <col min="1030" max="1030" width="27" style="21" customWidth="1"/>
    <col min="1031" max="1031" width="32.28515625" style="21" customWidth="1"/>
    <col min="1032" max="1032" width="13.42578125" style="21" customWidth="1"/>
    <col min="1033" max="1033" width="17.85546875" style="21" customWidth="1"/>
    <col min="1034" max="1034" width="15.85546875" style="21" customWidth="1"/>
    <col min="1035" max="1035" width="26" style="21" customWidth="1"/>
    <col min="1036" max="1036" width="21.7109375" style="21" customWidth="1"/>
    <col min="1037" max="1037" width="16.5703125" style="21" customWidth="1"/>
    <col min="1038" max="1038" width="25.7109375" style="21" customWidth="1"/>
    <col min="1039" max="1039" width="31.42578125" style="21" customWidth="1"/>
    <col min="1040" max="1040" width="18.42578125" style="21" customWidth="1"/>
    <col min="1041" max="1041" width="13.42578125" style="21" customWidth="1"/>
    <col min="1042" max="1042" width="18" style="21" customWidth="1"/>
    <col min="1043" max="1043" width="19.7109375" style="21" customWidth="1"/>
    <col min="1044" max="1045" width="13.42578125" style="21" customWidth="1"/>
    <col min="1046" max="1046" width="18" style="21" customWidth="1"/>
    <col min="1047" max="1047" width="15.42578125" style="21" customWidth="1"/>
    <col min="1048" max="1048" width="13.42578125" style="21" customWidth="1"/>
    <col min="1049" max="1049" width="16.140625" style="21" customWidth="1"/>
    <col min="1050" max="1050" width="18" style="21" customWidth="1"/>
    <col min="1051" max="1052" width="13.42578125" style="21" customWidth="1"/>
    <col min="1053" max="1053" width="18.85546875" style="21" customWidth="1"/>
    <col min="1054" max="1054" width="28.7109375" style="21" customWidth="1"/>
    <col min="1055" max="1055" width="18.85546875" style="21" customWidth="1"/>
    <col min="1056" max="1056" width="16" style="21" customWidth="1"/>
    <col min="1057" max="1057" width="13.42578125" style="21" customWidth="1"/>
    <col min="1058" max="1058" width="26.28515625" style="21" customWidth="1"/>
    <col min="1059" max="1059" width="37.140625" style="21" customWidth="1"/>
    <col min="1060" max="1060" width="13.42578125" style="21" customWidth="1"/>
    <col min="1061" max="1061" width="16.85546875" style="21" customWidth="1"/>
    <col min="1062" max="1062" width="29.140625" style="21" customWidth="1"/>
    <col min="1063" max="1063" width="24.140625" style="21" customWidth="1"/>
    <col min="1064" max="1064" width="15.140625" style="21" customWidth="1"/>
    <col min="1065" max="1065" width="18.7109375" style="21" customWidth="1"/>
    <col min="1066" max="1066" width="19.5703125" style="21" customWidth="1"/>
    <col min="1067" max="1067" width="26.42578125" style="21" customWidth="1"/>
    <col min="1068" max="1068" width="25.85546875" style="21" customWidth="1"/>
    <col min="1069" max="1069" width="13.42578125" style="21" customWidth="1"/>
    <col min="1070" max="1070" width="26.85546875" style="21" customWidth="1"/>
    <col min="1071" max="1072" width="31.42578125" style="21" customWidth="1"/>
    <col min="1073" max="1073" width="26.42578125" style="21" customWidth="1"/>
    <col min="1074" max="1074" width="40.42578125" style="21" customWidth="1"/>
    <col min="1075" max="1075" width="33.85546875" style="21" customWidth="1"/>
    <col min="1076" max="1076" width="37" style="21" customWidth="1"/>
    <col min="1077" max="1077" width="17.85546875" style="21" customWidth="1"/>
    <col min="1078" max="1078" width="28.5703125" style="21" customWidth="1"/>
    <col min="1079" max="1079" width="24.28515625" style="21" customWidth="1"/>
    <col min="1080" max="1080" width="40.140625" style="21" customWidth="1"/>
    <col min="1081" max="1081" width="18.7109375" style="21" customWidth="1"/>
    <col min="1082" max="1082" width="16.28515625" style="21" customWidth="1"/>
    <col min="1083" max="1083" width="13.42578125" style="21" customWidth="1"/>
    <col min="1084" max="1084" width="15.42578125" style="21" customWidth="1"/>
    <col min="1085" max="1085" width="30.85546875" style="21" customWidth="1"/>
    <col min="1086" max="1086" width="13.42578125" style="21" customWidth="1"/>
    <col min="1087" max="1087" width="25.7109375" style="21" customWidth="1"/>
    <col min="1088" max="1088" width="24.28515625" style="21" customWidth="1"/>
    <col min="1089" max="1089" width="23.85546875" style="21" customWidth="1"/>
    <col min="1090" max="1090" width="27.5703125" style="21" customWidth="1"/>
    <col min="1091" max="1091" width="25.42578125" style="21" customWidth="1"/>
    <col min="1092" max="1094" width="13.42578125" style="21" customWidth="1"/>
    <col min="1095" max="1095" width="16.28515625" style="21" customWidth="1"/>
    <col min="1096" max="1096" width="25.28515625" style="21" customWidth="1"/>
    <col min="1097" max="1098" width="13.42578125" style="21" customWidth="1"/>
    <col min="1099" max="1099" width="24.7109375" style="21" customWidth="1"/>
    <col min="1100" max="1100" width="26.85546875" style="21" customWidth="1"/>
    <col min="1101" max="1101" width="24.42578125" style="21" customWidth="1"/>
    <col min="1102" max="1102" width="23.140625" style="21" customWidth="1"/>
    <col min="1103" max="1103" width="21.140625" style="21" customWidth="1"/>
    <col min="1104" max="1104" width="14.5703125" style="21" customWidth="1"/>
    <col min="1105" max="1105" width="30.28515625" style="21" customWidth="1"/>
    <col min="1106" max="1106" width="13.42578125" style="21" customWidth="1"/>
    <col min="1107" max="1107" width="31.42578125" style="21" customWidth="1"/>
    <col min="1108" max="1108" width="13.42578125" style="21" customWidth="1"/>
    <col min="1109" max="1109" width="44.42578125" style="21" customWidth="1"/>
    <col min="1110" max="1110" width="19.7109375" style="21" customWidth="1"/>
    <col min="1111" max="1111" width="38.85546875" style="21" customWidth="1"/>
    <col min="1112" max="1112" width="31.42578125" style="21" customWidth="1"/>
    <col min="1113" max="1113" width="50.7109375" style="21" customWidth="1"/>
    <col min="1114" max="1114" width="34.85546875" style="21" customWidth="1"/>
    <col min="1115" max="1116" width="13.42578125" style="21" customWidth="1"/>
    <col min="1117" max="1117" width="18.140625" style="21" customWidth="1"/>
    <col min="1118" max="1118" width="23.7109375" style="21" customWidth="1"/>
    <col min="1119" max="1119" width="26.85546875" style="21" customWidth="1"/>
    <col min="1120" max="1120" width="23" style="21" customWidth="1"/>
    <col min="1121" max="1121" width="25.7109375" style="21" customWidth="1"/>
    <col min="1122" max="1122" width="29.28515625" style="21" customWidth="1"/>
    <col min="1123" max="1123" width="29.42578125" style="21" customWidth="1"/>
    <col min="1124" max="1124" width="23.5703125" style="21" customWidth="1"/>
    <col min="1125" max="1125" width="32.85546875" style="21" customWidth="1"/>
    <col min="1126" max="1126" width="30.7109375" style="21" customWidth="1"/>
    <col min="1127" max="1127" width="33.85546875" style="21" customWidth="1"/>
    <col min="1128" max="1128" width="15.85546875" style="21" customWidth="1"/>
    <col min="1129" max="1129" width="17.28515625" style="21" customWidth="1"/>
    <col min="1130" max="1130" width="26.5703125" style="21" customWidth="1"/>
    <col min="1131" max="1131" width="21.5703125" style="21" customWidth="1"/>
    <col min="1132" max="1132" width="42.7109375" style="21" customWidth="1"/>
    <col min="1133" max="1133" width="44.140625" style="21" customWidth="1"/>
    <col min="1134" max="1135" width="31.42578125" style="21" customWidth="1"/>
    <col min="1136" max="1136" width="27.85546875" style="21" customWidth="1"/>
    <col min="1137" max="1137" width="0" style="21" hidden="1" customWidth="1"/>
    <col min="1138" max="1138" width="31.42578125" style="21" customWidth="1"/>
    <col min="1139" max="1280" width="9.140625" style="21"/>
    <col min="1281" max="1281" width="8.7109375" style="21" customWidth="1"/>
    <col min="1282" max="1283" width="31.42578125" style="21" customWidth="1"/>
    <col min="1284" max="1284" width="25.85546875" style="21" customWidth="1"/>
    <col min="1285" max="1285" width="26.85546875" style="21" customWidth="1"/>
    <col min="1286" max="1286" width="27" style="21" customWidth="1"/>
    <col min="1287" max="1287" width="32.28515625" style="21" customWidth="1"/>
    <col min="1288" max="1288" width="13.42578125" style="21" customWidth="1"/>
    <col min="1289" max="1289" width="17.85546875" style="21" customWidth="1"/>
    <col min="1290" max="1290" width="15.85546875" style="21" customWidth="1"/>
    <col min="1291" max="1291" width="26" style="21" customWidth="1"/>
    <col min="1292" max="1292" width="21.7109375" style="21" customWidth="1"/>
    <col min="1293" max="1293" width="16.5703125" style="21" customWidth="1"/>
    <col min="1294" max="1294" width="25.7109375" style="21" customWidth="1"/>
    <col min="1295" max="1295" width="31.42578125" style="21" customWidth="1"/>
    <col min="1296" max="1296" width="18.42578125" style="21" customWidth="1"/>
    <col min="1297" max="1297" width="13.42578125" style="21" customWidth="1"/>
    <col min="1298" max="1298" width="18" style="21" customWidth="1"/>
    <col min="1299" max="1299" width="19.7109375" style="21" customWidth="1"/>
    <col min="1300" max="1301" width="13.42578125" style="21" customWidth="1"/>
    <col min="1302" max="1302" width="18" style="21" customWidth="1"/>
    <col min="1303" max="1303" width="15.42578125" style="21" customWidth="1"/>
    <col min="1304" max="1304" width="13.42578125" style="21" customWidth="1"/>
    <col min="1305" max="1305" width="16.140625" style="21" customWidth="1"/>
    <col min="1306" max="1306" width="18" style="21" customWidth="1"/>
    <col min="1307" max="1308" width="13.42578125" style="21" customWidth="1"/>
    <col min="1309" max="1309" width="18.85546875" style="21" customWidth="1"/>
    <col min="1310" max="1310" width="28.7109375" style="21" customWidth="1"/>
    <col min="1311" max="1311" width="18.85546875" style="21" customWidth="1"/>
    <col min="1312" max="1312" width="16" style="21" customWidth="1"/>
    <col min="1313" max="1313" width="13.42578125" style="21" customWidth="1"/>
    <col min="1314" max="1314" width="26.28515625" style="21" customWidth="1"/>
    <col min="1315" max="1315" width="37.140625" style="21" customWidth="1"/>
    <col min="1316" max="1316" width="13.42578125" style="21" customWidth="1"/>
    <col min="1317" max="1317" width="16.85546875" style="21" customWidth="1"/>
    <col min="1318" max="1318" width="29.140625" style="21" customWidth="1"/>
    <col min="1319" max="1319" width="24.140625" style="21" customWidth="1"/>
    <col min="1320" max="1320" width="15.140625" style="21" customWidth="1"/>
    <col min="1321" max="1321" width="18.7109375" style="21" customWidth="1"/>
    <col min="1322" max="1322" width="19.5703125" style="21" customWidth="1"/>
    <col min="1323" max="1323" width="26.42578125" style="21" customWidth="1"/>
    <col min="1324" max="1324" width="25.85546875" style="21" customWidth="1"/>
    <col min="1325" max="1325" width="13.42578125" style="21" customWidth="1"/>
    <col min="1326" max="1326" width="26.85546875" style="21" customWidth="1"/>
    <col min="1327" max="1328" width="31.42578125" style="21" customWidth="1"/>
    <col min="1329" max="1329" width="26.42578125" style="21" customWidth="1"/>
    <col min="1330" max="1330" width="40.42578125" style="21" customWidth="1"/>
    <col min="1331" max="1331" width="33.85546875" style="21" customWidth="1"/>
    <col min="1332" max="1332" width="37" style="21" customWidth="1"/>
    <col min="1333" max="1333" width="17.85546875" style="21" customWidth="1"/>
    <col min="1334" max="1334" width="28.5703125" style="21" customWidth="1"/>
    <col min="1335" max="1335" width="24.28515625" style="21" customWidth="1"/>
    <col min="1336" max="1336" width="40.140625" style="21" customWidth="1"/>
    <col min="1337" max="1337" width="18.7109375" style="21" customWidth="1"/>
    <col min="1338" max="1338" width="16.28515625" style="21" customWidth="1"/>
    <col min="1339" max="1339" width="13.42578125" style="21" customWidth="1"/>
    <col min="1340" max="1340" width="15.42578125" style="21" customWidth="1"/>
    <col min="1341" max="1341" width="30.85546875" style="21" customWidth="1"/>
    <col min="1342" max="1342" width="13.42578125" style="21" customWidth="1"/>
    <col min="1343" max="1343" width="25.7109375" style="21" customWidth="1"/>
    <col min="1344" max="1344" width="24.28515625" style="21" customWidth="1"/>
    <col min="1345" max="1345" width="23.85546875" style="21" customWidth="1"/>
    <col min="1346" max="1346" width="27.5703125" style="21" customWidth="1"/>
    <col min="1347" max="1347" width="25.42578125" style="21" customWidth="1"/>
    <col min="1348" max="1350" width="13.42578125" style="21" customWidth="1"/>
    <col min="1351" max="1351" width="16.28515625" style="21" customWidth="1"/>
    <col min="1352" max="1352" width="25.28515625" style="21" customWidth="1"/>
    <col min="1353" max="1354" width="13.42578125" style="21" customWidth="1"/>
    <col min="1355" max="1355" width="24.7109375" style="21" customWidth="1"/>
    <col min="1356" max="1356" width="26.85546875" style="21" customWidth="1"/>
    <col min="1357" max="1357" width="24.42578125" style="21" customWidth="1"/>
    <col min="1358" max="1358" width="23.140625" style="21" customWidth="1"/>
    <col min="1359" max="1359" width="21.140625" style="21" customWidth="1"/>
    <col min="1360" max="1360" width="14.5703125" style="21" customWidth="1"/>
    <col min="1361" max="1361" width="30.28515625" style="21" customWidth="1"/>
    <col min="1362" max="1362" width="13.42578125" style="21" customWidth="1"/>
    <col min="1363" max="1363" width="31.42578125" style="21" customWidth="1"/>
    <col min="1364" max="1364" width="13.42578125" style="21" customWidth="1"/>
    <col min="1365" max="1365" width="44.42578125" style="21" customWidth="1"/>
    <col min="1366" max="1366" width="19.7109375" style="21" customWidth="1"/>
    <col min="1367" max="1367" width="38.85546875" style="21" customWidth="1"/>
    <col min="1368" max="1368" width="31.42578125" style="21" customWidth="1"/>
    <col min="1369" max="1369" width="50.7109375" style="21" customWidth="1"/>
    <col min="1370" max="1370" width="34.85546875" style="21" customWidth="1"/>
    <col min="1371" max="1372" width="13.42578125" style="21" customWidth="1"/>
    <col min="1373" max="1373" width="18.140625" style="21" customWidth="1"/>
    <col min="1374" max="1374" width="23.7109375" style="21" customWidth="1"/>
    <col min="1375" max="1375" width="26.85546875" style="21" customWidth="1"/>
    <col min="1376" max="1376" width="23" style="21" customWidth="1"/>
    <col min="1377" max="1377" width="25.7109375" style="21" customWidth="1"/>
    <col min="1378" max="1378" width="29.28515625" style="21" customWidth="1"/>
    <col min="1379" max="1379" width="29.42578125" style="21" customWidth="1"/>
    <col min="1380" max="1380" width="23.5703125" style="21" customWidth="1"/>
    <col min="1381" max="1381" width="32.85546875" style="21" customWidth="1"/>
    <col min="1382" max="1382" width="30.7109375" style="21" customWidth="1"/>
    <col min="1383" max="1383" width="33.85546875" style="21" customWidth="1"/>
    <col min="1384" max="1384" width="15.85546875" style="21" customWidth="1"/>
    <col min="1385" max="1385" width="17.28515625" style="21" customWidth="1"/>
    <col min="1386" max="1386" width="26.5703125" style="21" customWidth="1"/>
    <col min="1387" max="1387" width="21.5703125" style="21" customWidth="1"/>
    <col min="1388" max="1388" width="42.7109375" style="21" customWidth="1"/>
    <col min="1389" max="1389" width="44.140625" style="21" customWidth="1"/>
    <col min="1390" max="1391" width="31.42578125" style="21" customWidth="1"/>
    <col min="1392" max="1392" width="27.85546875" style="21" customWidth="1"/>
    <col min="1393" max="1393" width="0" style="21" hidden="1" customWidth="1"/>
    <col min="1394" max="1394" width="31.42578125" style="21" customWidth="1"/>
    <col min="1395" max="1536" width="9.140625" style="21"/>
    <col min="1537" max="1537" width="8.7109375" style="21" customWidth="1"/>
    <col min="1538" max="1539" width="31.42578125" style="21" customWidth="1"/>
    <col min="1540" max="1540" width="25.85546875" style="21" customWidth="1"/>
    <col min="1541" max="1541" width="26.85546875" style="21" customWidth="1"/>
    <col min="1542" max="1542" width="27" style="21" customWidth="1"/>
    <col min="1543" max="1543" width="32.28515625" style="21" customWidth="1"/>
    <col min="1544" max="1544" width="13.42578125" style="21" customWidth="1"/>
    <col min="1545" max="1545" width="17.85546875" style="21" customWidth="1"/>
    <col min="1546" max="1546" width="15.85546875" style="21" customWidth="1"/>
    <col min="1547" max="1547" width="26" style="21" customWidth="1"/>
    <col min="1548" max="1548" width="21.7109375" style="21" customWidth="1"/>
    <col min="1549" max="1549" width="16.5703125" style="21" customWidth="1"/>
    <col min="1550" max="1550" width="25.7109375" style="21" customWidth="1"/>
    <col min="1551" max="1551" width="31.42578125" style="21" customWidth="1"/>
    <col min="1552" max="1552" width="18.42578125" style="21" customWidth="1"/>
    <col min="1553" max="1553" width="13.42578125" style="21" customWidth="1"/>
    <col min="1554" max="1554" width="18" style="21" customWidth="1"/>
    <col min="1555" max="1555" width="19.7109375" style="21" customWidth="1"/>
    <col min="1556" max="1557" width="13.42578125" style="21" customWidth="1"/>
    <col min="1558" max="1558" width="18" style="21" customWidth="1"/>
    <col min="1559" max="1559" width="15.42578125" style="21" customWidth="1"/>
    <col min="1560" max="1560" width="13.42578125" style="21" customWidth="1"/>
    <col min="1561" max="1561" width="16.140625" style="21" customWidth="1"/>
    <col min="1562" max="1562" width="18" style="21" customWidth="1"/>
    <col min="1563" max="1564" width="13.42578125" style="21" customWidth="1"/>
    <col min="1565" max="1565" width="18.85546875" style="21" customWidth="1"/>
    <col min="1566" max="1566" width="28.7109375" style="21" customWidth="1"/>
    <col min="1567" max="1567" width="18.85546875" style="21" customWidth="1"/>
    <col min="1568" max="1568" width="16" style="21" customWidth="1"/>
    <col min="1569" max="1569" width="13.42578125" style="21" customWidth="1"/>
    <col min="1570" max="1570" width="26.28515625" style="21" customWidth="1"/>
    <col min="1571" max="1571" width="37.140625" style="21" customWidth="1"/>
    <col min="1572" max="1572" width="13.42578125" style="21" customWidth="1"/>
    <col min="1573" max="1573" width="16.85546875" style="21" customWidth="1"/>
    <col min="1574" max="1574" width="29.140625" style="21" customWidth="1"/>
    <col min="1575" max="1575" width="24.140625" style="21" customWidth="1"/>
    <col min="1576" max="1576" width="15.140625" style="21" customWidth="1"/>
    <col min="1577" max="1577" width="18.7109375" style="21" customWidth="1"/>
    <col min="1578" max="1578" width="19.5703125" style="21" customWidth="1"/>
    <col min="1579" max="1579" width="26.42578125" style="21" customWidth="1"/>
    <col min="1580" max="1580" width="25.85546875" style="21" customWidth="1"/>
    <col min="1581" max="1581" width="13.42578125" style="21" customWidth="1"/>
    <col min="1582" max="1582" width="26.85546875" style="21" customWidth="1"/>
    <col min="1583" max="1584" width="31.42578125" style="21" customWidth="1"/>
    <col min="1585" max="1585" width="26.42578125" style="21" customWidth="1"/>
    <col min="1586" max="1586" width="40.42578125" style="21" customWidth="1"/>
    <col min="1587" max="1587" width="33.85546875" style="21" customWidth="1"/>
    <col min="1588" max="1588" width="37" style="21" customWidth="1"/>
    <col min="1589" max="1589" width="17.85546875" style="21" customWidth="1"/>
    <col min="1590" max="1590" width="28.5703125" style="21" customWidth="1"/>
    <col min="1591" max="1591" width="24.28515625" style="21" customWidth="1"/>
    <col min="1592" max="1592" width="40.140625" style="21" customWidth="1"/>
    <col min="1593" max="1593" width="18.7109375" style="21" customWidth="1"/>
    <col min="1594" max="1594" width="16.28515625" style="21" customWidth="1"/>
    <col min="1595" max="1595" width="13.42578125" style="21" customWidth="1"/>
    <col min="1596" max="1596" width="15.42578125" style="21" customWidth="1"/>
    <col min="1597" max="1597" width="30.85546875" style="21" customWidth="1"/>
    <col min="1598" max="1598" width="13.42578125" style="21" customWidth="1"/>
    <col min="1599" max="1599" width="25.7109375" style="21" customWidth="1"/>
    <col min="1600" max="1600" width="24.28515625" style="21" customWidth="1"/>
    <col min="1601" max="1601" width="23.85546875" style="21" customWidth="1"/>
    <col min="1602" max="1602" width="27.5703125" style="21" customWidth="1"/>
    <col min="1603" max="1603" width="25.42578125" style="21" customWidth="1"/>
    <col min="1604" max="1606" width="13.42578125" style="21" customWidth="1"/>
    <col min="1607" max="1607" width="16.28515625" style="21" customWidth="1"/>
    <col min="1608" max="1608" width="25.28515625" style="21" customWidth="1"/>
    <col min="1609" max="1610" width="13.42578125" style="21" customWidth="1"/>
    <col min="1611" max="1611" width="24.7109375" style="21" customWidth="1"/>
    <col min="1612" max="1612" width="26.85546875" style="21" customWidth="1"/>
    <col min="1613" max="1613" width="24.42578125" style="21" customWidth="1"/>
    <col min="1614" max="1614" width="23.140625" style="21" customWidth="1"/>
    <col min="1615" max="1615" width="21.140625" style="21" customWidth="1"/>
    <col min="1616" max="1616" width="14.5703125" style="21" customWidth="1"/>
    <col min="1617" max="1617" width="30.28515625" style="21" customWidth="1"/>
    <col min="1618" max="1618" width="13.42578125" style="21" customWidth="1"/>
    <col min="1619" max="1619" width="31.42578125" style="21" customWidth="1"/>
    <col min="1620" max="1620" width="13.42578125" style="21" customWidth="1"/>
    <col min="1621" max="1621" width="44.42578125" style="21" customWidth="1"/>
    <col min="1622" max="1622" width="19.7109375" style="21" customWidth="1"/>
    <col min="1623" max="1623" width="38.85546875" style="21" customWidth="1"/>
    <col min="1624" max="1624" width="31.42578125" style="21" customWidth="1"/>
    <col min="1625" max="1625" width="50.7109375" style="21" customWidth="1"/>
    <col min="1626" max="1626" width="34.85546875" style="21" customWidth="1"/>
    <col min="1627" max="1628" width="13.42578125" style="21" customWidth="1"/>
    <col min="1629" max="1629" width="18.140625" style="21" customWidth="1"/>
    <col min="1630" max="1630" width="23.7109375" style="21" customWidth="1"/>
    <col min="1631" max="1631" width="26.85546875" style="21" customWidth="1"/>
    <col min="1632" max="1632" width="23" style="21" customWidth="1"/>
    <col min="1633" max="1633" width="25.7109375" style="21" customWidth="1"/>
    <col min="1634" max="1634" width="29.28515625" style="21" customWidth="1"/>
    <col min="1635" max="1635" width="29.42578125" style="21" customWidth="1"/>
    <col min="1636" max="1636" width="23.5703125" style="21" customWidth="1"/>
    <col min="1637" max="1637" width="32.85546875" style="21" customWidth="1"/>
    <col min="1638" max="1638" width="30.7109375" style="21" customWidth="1"/>
    <col min="1639" max="1639" width="33.85546875" style="21" customWidth="1"/>
    <col min="1640" max="1640" width="15.85546875" style="21" customWidth="1"/>
    <col min="1641" max="1641" width="17.28515625" style="21" customWidth="1"/>
    <col min="1642" max="1642" width="26.5703125" style="21" customWidth="1"/>
    <col min="1643" max="1643" width="21.5703125" style="21" customWidth="1"/>
    <col min="1644" max="1644" width="42.7109375" style="21" customWidth="1"/>
    <col min="1645" max="1645" width="44.140625" style="21" customWidth="1"/>
    <col min="1646" max="1647" width="31.42578125" style="21" customWidth="1"/>
    <col min="1648" max="1648" width="27.85546875" style="21" customWidth="1"/>
    <col min="1649" max="1649" width="0" style="21" hidden="1" customWidth="1"/>
    <col min="1650" max="1650" width="31.42578125" style="21" customWidth="1"/>
    <col min="1651" max="1792" width="9.140625" style="21"/>
    <col min="1793" max="1793" width="8.7109375" style="21" customWidth="1"/>
    <col min="1794" max="1795" width="31.42578125" style="21" customWidth="1"/>
    <col min="1796" max="1796" width="25.85546875" style="21" customWidth="1"/>
    <col min="1797" max="1797" width="26.85546875" style="21" customWidth="1"/>
    <col min="1798" max="1798" width="27" style="21" customWidth="1"/>
    <col min="1799" max="1799" width="32.28515625" style="21" customWidth="1"/>
    <col min="1800" max="1800" width="13.42578125" style="21" customWidth="1"/>
    <col min="1801" max="1801" width="17.85546875" style="21" customWidth="1"/>
    <col min="1802" max="1802" width="15.85546875" style="21" customWidth="1"/>
    <col min="1803" max="1803" width="26" style="21" customWidth="1"/>
    <col min="1804" max="1804" width="21.7109375" style="21" customWidth="1"/>
    <col min="1805" max="1805" width="16.5703125" style="21" customWidth="1"/>
    <col min="1806" max="1806" width="25.7109375" style="21" customWidth="1"/>
    <col min="1807" max="1807" width="31.42578125" style="21" customWidth="1"/>
    <col min="1808" max="1808" width="18.42578125" style="21" customWidth="1"/>
    <col min="1809" max="1809" width="13.42578125" style="21" customWidth="1"/>
    <col min="1810" max="1810" width="18" style="21" customWidth="1"/>
    <col min="1811" max="1811" width="19.7109375" style="21" customWidth="1"/>
    <col min="1812" max="1813" width="13.42578125" style="21" customWidth="1"/>
    <col min="1814" max="1814" width="18" style="21" customWidth="1"/>
    <col min="1815" max="1815" width="15.42578125" style="21" customWidth="1"/>
    <col min="1816" max="1816" width="13.42578125" style="21" customWidth="1"/>
    <col min="1817" max="1817" width="16.140625" style="21" customWidth="1"/>
    <col min="1818" max="1818" width="18" style="21" customWidth="1"/>
    <col min="1819" max="1820" width="13.42578125" style="21" customWidth="1"/>
    <col min="1821" max="1821" width="18.85546875" style="21" customWidth="1"/>
    <col min="1822" max="1822" width="28.7109375" style="21" customWidth="1"/>
    <col min="1823" max="1823" width="18.85546875" style="21" customWidth="1"/>
    <col min="1824" max="1824" width="16" style="21" customWidth="1"/>
    <col min="1825" max="1825" width="13.42578125" style="21" customWidth="1"/>
    <col min="1826" max="1826" width="26.28515625" style="21" customWidth="1"/>
    <col min="1827" max="1827" width="37.140625" style="21" customWidth="1"/>
    <col min="1828" max="1828" width="13.42578125" style="21" customWidth="1"/>
    <col min="1829" max="1829" width="16.85546875" style="21" customWidth="1"/>
    <col min="1830" max="1830" width="29.140625" style="21" customWidth="1"/>
    <col min="1831" max="1831" width="24.140625" style="21" customWidth="1"/>
    <col min="1832" max="1832" width="15.140625" style="21" customWidth="1"/>
    <col min="1833" max="1833" width="18.7109375" style="21" customWidth="1"/>
    <col min="1834" max="1834" width="19.5703125" style="21" customWidth="1"/>
    <col min="1835" max="1835" width="26.42578125" style="21" customWidth="1"/>
    <col min="1836" max="1836" width="25.85546875" style="21" customWidth="1"/>
    <col min="1837" max="1837" width="13.42578125" style="21" customWidth="1"/>
    <col min="1838" max="1838" width="26.85546875" style="21" customWidth="1"/>
    <col min="1839" max="1840" width="31.42578125" style="21" customWidth="1"/>
    <col min="1841" max="1841" width="26.42578125" style="21" customWidth="1"/>
    <col min="1842" max="1842" width="40.42578125" style="21" customWidth="1"/>
    <col min="1843" max="1843" width="33.85546875" style="21" customWidth="1"/>
    <col min="1844" max="1844" width="37" style="21" customWidth="1"/>
    <col min="1845" max="1845" width="17.85546875" style="21" customWidth="1"/>
    <col min="1846" max="1846" width="28.5703125" style="21" customWidth="1"/>
    <col min="1847" max="1847" width="24.28515625" style="21" customWidth="1"/>
    <col min="1848" max="1848" width="40.140625" style="21" customWidth="1"/>
    <col min="1849" max="1849" width="18.7109375" style="21" customWidth="1"/>
    <col min="1850" max="1850" width="16.28515625" style="21" customWidth="1"/>
    <col min="1851" max="1851" width="13.42578125" style="21" customWidth="1"/>
    <col min="1852" max="1852" width="15.42578125" style="21" customWidth="1"/>
    <col min="1853" max="1853" width="30.85546875" style="21" customWidth="1"/>
    <col min="1854" max="1854" width="13.42578125" style="21" customWidth="1"/>
    <col min="1855" max="1855" width="25.7109375" style="21" customWidth="1"/>
    <col min="1856" max="1856" width="24.28515625" style="21" customWidth="1"/>
    <col min="1857" max="1857" width="23.85546875" style="21" customWidth="1"/>
    <col min="1858" max="1858" width="27.5703125" style="21" customWidth="1"/>
    <col min="1859" max="1859" width="25.42578125" style="21" customWidth="1"/>
    <col min="1860" max="1862" width="13.42578125" style="21" customWidth="1"/>
    <col min="1863" max="1863" width="16.28515625" style="21" customWidth="1"/>
    <col min="1864" max="1864" width="25.28515625" style="21" customWidth="1"/>
    <col min="1865" max="1866" width="13.42578125" style="21" customWidth="1"/>
    <col min="1867" max="1867" width="24.7109375" style="21" customWidth="1"/>
    <col min="1868" max="1868" width="26.85546875" style="21" customWidth="1"/>
    <col min="1869" max="1869" width="24.42578125" style="21" customWidth="1"/>
    <col min="1870" max="1870" width="23.140625" style="21" customWidth="1"/>
    <col min="1871" max="1871" width="21.140625" style="21" customWidth="1"/>
    <col min="1872" max="1872" width="14.5703125" style="21" customWidth="1"/>
    <col min="1873" max="1873" width="30.28515625" style="21" customWidth="1"/>
    <col min="1874" max="1874" width="13.42578125" style="21" customWidth="1"/>
    <col min="1875" max="1875" width="31.42578125" style="21" customWidth="1"/>
    <col min="1876" max="1876" width="13.42578125" style="21" customWidth="1"/>
    <col min="1877" max="1877" width="44.42578125" style="21" customWidth="1"/>
    <col min="1878" max="1878" width="19.7109375" style="21" customWidth="1"/>
    <col min="1879" max="1879" width="38.85546875" style="21" customWidth="1"/>
    <col min="1880" max="1880" width="31.42578125" style="21" customWidth="1"/>
    <col min="1881" max="1881" width="50.7109375" style="21" customWidth="1"/>
    <col min="1882" max="1882" width="34.85546875" style="21" customWidth="1"/>
    <col min="1883" max="1884" width="13.42578125" style="21" customWidth="1"/>
    <col min="1885" max="1885" width="18.140625" style="21" customWidth="1"/>
    <col min="1886" max="1886" width="23.7109375" style="21" customWidth="1"/>
    <col min="1887" max="1887" width="26.85546875" style="21" customWidth="1"/>
    <col min="1888" max="1888" width="23" style="21" customWidth="1"/>
    <col min="1889" max="1889" width="25.7109375" style="21" customWidth="1"/>
    <col min="1890" max="1890" width="29.28515625" style="21" customWidth="1"/>
    <col min="1891" max="1891" width="29.42578125" style="21" customWidth="1"/>
    <col min="1892" max="1892" width="23.5703125" style="21" customWidth="1"/>
    <col min="1893" max="1893" width="32.85546875" style="21" customWidth="1"/>
    <col min="1894" max="1894" width="30.7109375" style="21" customWidth="1"/>
    <col min="1895" max="1895" width="33.85546875" style="21" customWidth="1"/>
    <col min="1896" max="1896" width="15.85546875" style="21" customWidth="1"/>
    <col min="1897" max="1897" width="17.28515625" style="21" customWidth="1"/>
    <col min="1898" max="1898" width="26.5703125" style="21" customWidth="1"/>
    <col min="1899" max="1899" width="21.5703125" style="21" customWidth="1"/>
    <col min="1900" max="1900" width="42.7109375" style="21" customWidth="1"/>
    <col min="1901" max="1901" width="44.140625" style="21" customWidth="1"/>
    <col min="1902" max="1903" width="31.42578125" style="21" customWidth="1"/>
    <col min="1904" max="1904" width="27.85546875" style="21" customWidth="1"/>
    <col min="1905" max="1905" width="0" style="21" hidden="1" customWidth="1"/>
    <col min="1906" max="1906" width="31.42578125" style="21" customWidth="1"/>
    <col min="1907" max="2048" width="9.140625" style="21"/>
    <col min="2049" max="2049" width="8.7109375" style="21" customWidth="1"/>
    <col min="2050" max="2051" width="31.42578125" style="21" customWidth="1"/>
    <col min="2052" max="2052" width="25.85546875" style="21" customWidth="1"/>
    <col min="2053" max="2053" width="26.85546875" style="21" customWidth="1"/>
    <col min="2054" max="2054" width="27" style="21" customWidth="1"/>
    <col min="2055" max="2055" width="32.28515625" style="21" customWidth="1"/>
    <col min="2056" max="2056" width="13.42578125" style="21" customWidth="1"/>
    <col min="2057" max="2057" width="17.85546875" style="21" customWidth="1"/>
    <col min="2058" max="2058" width="15.85546875" style="21" customWidth="1"/>
    <col min="2059" max="2059" width="26" style="21" customWidth="1"/>
    <col min="2060" max="2060" width="21.7109375" style="21" customWidth="1"/>
    <col min="2061" max="2061" width="16.5703125" style="21" customWidth="1"/>
    <col min="2062" max="2062" width="25.7109375" style="21" customWidth="1"/>
    <col min="2063" max="2063" width="31.42578125" style="21" customWidth="1"/>
    <col min="2064" max="2064" width="18.42578125" style="21" customWidth="1"/>
    <col min="2065" max="2065" width="13.42578125" style="21" customWidth="1"/>
    <col min="2066" max="2066" width="18" style="21" customWidth="1"/>
    <col min="2067" max="2067" width="19.7109375" style="21" customWidth="1"/>
    <col min="2068" max="2069" width="13.42578125" style="21" customWidth="1"/>
    <col min="2070" max="2070" width="18" style="21" customWidth="1"/>
    <col min="2071" max="2071" width="15.42578125" style="21" customWidth="1"/>
    <col min="2072" max="2072" width="13.42578125" style="21" customWidth="1"/>
    <col min="2073" max="2073" width="16.140625" style="21" customWidth="1"/>
    <col min="2074" max="2074" width="18" style="21" customWidth="1"/>
    <col min="2075" max="2076" width="13.42578125" style="21" customWidth="1"/>
    <col min="2077" max="2077" width="18.85546875" style="21" customWidth="1"/>
    <col min="2078" max="2078" width="28.7109375" style="21" customWidth="1"/>
    <col min="2079" max="2079" width="18.85546875" style="21" customWidth="1"/>
    <col min="2080" max="2080" width="16" style="21" customWidth="1"/>
    <col min="2081" max="2081" width="13.42578125" style="21" customWidth="1"/>
    <col min="2082" max="2082" width="26.28515625" style="21" customWidth="1"/>
    <col min="2083" max="2083" width="37.140625" style="21" customWidth="1"/>
    <col min="2084" max="2084" width="13.42578125" style="21" customWidth="1"/>
    <col min="2085" max="2085" width="16.85546875" style="21" customWidth="1"/>
    <col min="2086" max="2086" width="29.140625" style="21" customWidth="1"/>
    <col min="2087" max="2087" width="24.140625" style="21" customWidth="1"/>
    <col min="2088" max="2088" width="15.140625" style="21" customWidth="1"/>
    <col min="2089" max="2089" width="18.7109375" style="21" customWidth="1"/>
    <col min="2090" max="2090" width="19.5703125" style="21" customWidth="1"/>
    <col min="2091" max="2091" width="26.42578125" style="21" customWidth="1"/>
    <col min="2092" max="2092" width="25.85546875" style="21" customWidth="1"/>
    <col min="2093" max="2093" width="13.42578125" style="21" customWidth="1"/>
    <col min="2094" max="2094" width="26.85546875" style="21" customWidth="1"/>
    <col min="2095" max="2096" width="31.42578125" style="21" customWidth="1"/>
    <col min="2097" max="2097" width="26.42578125" style="21" customWidth="1"/>
    <col min="2098" max="2098" width="40.42578125" style="21" customWidth="1"/>
    <col min="2099" max="2099" width="33.85546875" style="21" customWidth="1"/>
    <col min="2100" max="2100" width="37" style="21" customWidth="1"/>
    <col min="2101" max="2101" width="17.85546875" style="21" customWidth="1"/>
    <col min="2102" max="2102" width="28.5703125" style="21" customWidth="1"/>
    <col min="2103" max="2103" width="24.28515625" style="21" customWidth="1"/>
    <col min="2104" max="2104" width="40.140625" style="21" customWidth="1"/>
    <col min="2105" max="2105" width="18.7109375" style="21" customWidth="1"/>
    <col min="2106" max="2106" width="16.28515625" style="21" customWidth="1"/>
    <col min="2107" max="2107" width="13.42578125" style="21" customWidth="1"/>
    <col min="2108" max="2108" width="15.42578125" style="21" customWidth="1"/>
    <col min="2109" max="2109" width="30.85546875" style="21" customWidth="1"/>
    <col min="2110" max="2110" width="13.42578125" style="21" customWidth="1"/>
    <col min="2111" max="2111" width="25.7109375" style="21" customWidth="1"/>
    <col min="2112" max="2112" width="24.28515625" style="21" customWidth="1"/>
    <col min="2113" max="2113" width="23.85546875" style="21" customWidth="1"/>
    <col min="2114" max="2114" width="27.5703125" style="21" customWidth="1"/>
    <col min="2115" max="2115" width="25.42578125" style="21" customWidth="1"/>
    <col min="2116" max="2118" width="13.42578125" style="21" customWidth="1"/>
    <col min="2119" max="2119" width="16.28515625" style="21" customWidth="1"/>
    <col min="2120" max="2120" width="25.28515625" style="21" customWidth="1"/>
    <col min="2121" max="2122" width="13.42578125" style="21" customWidth="1"/>
    <col min="2123" max="2123" width="24.7109375" style="21" customWidth="1"/>
    <col min="2124" max="2124" width="26.85546875" style="21" customWidth="1"/>
    <col min="2125" max="2125" width="24.42578125" style="21" customWidth="1"/>
    <col min="2126" max="2126" width="23.140625" style="21" customWidth="1"/>
    <col min="2127" max="2127" width="21.140625" style="21" customWidth="1"/>
    <col min="2128" max="2128" width="14.5703125" style="21" customWidth="1"/>
    <col min="2129" max="2129" width="30.28515625" style="21" customWidth="1"/>
    <col min="2130" max="2130" width="13.42578125" style="21" customWidth="1"/>
    <col min="2131" max="2131" width="31.42578125" style="21" customWidth="1"/>
    <col min="2132" max="2132" width="13.42578125" style="21" customWidth="1"/>
    <col min="2133" max="2133" width="44.42578125" style="21" customWidth="1"/>
    <col min="2134" max="2134" width="19.7109375" style="21" customWidth="1"/>
    <col min="2135" max="2135" width="38.85546875" style="21" customWidth="1"/>
    <col min="2136" max="2136" width="31.42578125" style="21" customWidth="1"/>
    <col min="2137" max="2137" width="50.7109375" style="21" customWidth="1"/>
    <col min="2138" max="2138" width="34.85546875" style="21" customWidth="1"/>
    <col min="2139" max="2140" width="13.42578125" style="21" customWidth="1"/>
    <col min="2141" max="2141" width="18.140625" style="21" customWidth="1"/>
    <col min="2142" max="2142" width="23.7109375" style="21" customWidth="1"/>
    <col min="2143" max="2143" width="26.85546875" style="21" customWidth="1"/>
    <col min="2144" max="2144" width="23" style="21" customWidth="1"/>
    <col min="2145" max="2145" width="25.7109375" style="21" customWidth="1"/>
    <col min="2146" max="2146" width="29.28515625" style="21" customWidth="1"/>
    <col min="2147" max="2147" width="29.42578125" style="21" customWidth="1"/>
    <col min="2148" max="2148" width="23.5703125" style="21" customWidth="1"/>
    <col min="2149" max="2149" width="32.85546875" style="21" customWidth="1"/>
    <col min="2150" max="2150" width="30.7109375" style="21" customWidth="1"/>
    <col min="2151" max="2151" width="33.85546875" style="21" customWidth="1"/>
    <col min="2152" max="2152" width="15.85546875" style="21" customWidth="1"/>
    <col min="2153" max="2153" width="17.28515625" style="21" customWidth="1"/>
    <col min="2154" max="2154" width="26.5703125" style="21" customWidth="1"/>
    <col min="2155" max="2155" width="21.5703125" style="21" customWidth="1"/>
    <col min="2156" max="2156" width="42.7109375" style="21" customWidth="1"/>
    <col min="2157" max="2157" width="44.140625" style="21" customWidth="1"/>
    <col min="2158" max="2159" width="31.42578125" style="21" customWidth="1"/>
    <col min="2160" max="2160" width="27.85546875" style="21" customWidth="1"/>
    <col min="2161" max="2161" width="0" style="21" hidden="1" customWidth="1"/>
    <col min="2162" max="2162" width="31.42578125" style="21" customWidth="1"/>
    <col min="2163" max="2304" width="9.140625" style="21"/>
    <col min="2305" max="2305" width="8.7109375" style="21" customWidth="1"/>
    <col min="2306" max="2307" width="31.42578125" style="21" customWidth="1"/>
    <col min="2308" max="2308" width="25.85546875" style="21" customWidth="1"/>
    <col min="2309" max="2309" width="26.85546875" style="21" customWidth="1"/>
    <col min="2310" max="2310" width="27" style="21" customWidth="1"/>
    <col min="2311" max="2311" width="32.28515625" style="21" customWidth="1"/>
    <col min="2312" max="2312" width="13.42578125" style="21" customWidth="1"/>
    <col min="2313" max="2313" width="17.85546875" style="21" customWidth="1"/>
    <col min="2314" max="2314" width="15.85546875" style="21" customWidth="1"/>
    <col min="2315" max="2315" width="26" style="21" customWidth="1"/>
    <col min="2316" max="2316" width="21.7109375" style="21" customWidth="1"/>
    <col min="2317" max="2317" width="16.5703125" style="21" customWidth="1"/>
    <col min="2318" max="2318" width="25.7109375" style="21" customWidth="1"/>
    <col min="2319" max="2319" width="31.42578125" style="21" customWidth="1"/>
    <col min="2320" max="2320" width="18.42578125" style="21" customWidth="1"/>
    <col min="2321" max="2321" width="13.42578125" style="21" customWidth="1"/>
    <col min="2322" max="2322" width="18" style="21" customWidth="1"/>
    <col min="2323" max="2323" width="19.7109375" style="21" customWidth="1"/>
    <col min="2324" max="2325" width="13.42578125" style="21" customWidth="1"/>
    <col min="2326" max="2326" width="18" style="21" customWidth="1"/>
    <col min="2327" max="2327" width="15.42578125" style="21" customWidth="1"/>
    <col min="2328" max="2328" width="13.42578125" style="21" customWidth="1"/>
    <col min="2329" max="2329" width="16.140625" style="21" customWidth="1"/>
    <col min="2330" max="2330" width="18" style="21" customWidth="1"/>
    <col min="2331" max="2332" width="13.42578125" style="21" customWidth="1"/>
    <col min="2333" max="2333" width="18.85546875" style="21" customWidth="1"/>
    <col min="2334" max="2334" width="28.7109375" style="21" customWidth="1"/>
    <col min="2335" max="2335" width="18.85546875" style="21" customWidth="1"/>
    <col min="2336" max="2336" width="16" style="21" customWidth="1"/>
    <col min="2337" max="2337" width="13.42578125" style="21" customWidth="1"/>
    <col min="2338" max="2338" width="26.28515625" style="21" customWidth="1"/>
    <col min="2339" max="2339" width="37.140625" style="21" customWidth="1"/>
    <col min="2340" max="2340" width="13.42578125" style="21" customWidth="1"/>
    <col min="2341" max="2341" width="16.85546875" style="21" customWidth="1"/>
    <col min="2342" max="2342" width="29.140625" style="21" customWidth="1"/>
    <col min="2343" max="2343" width="24.140625" style="21" customWidth="1"/>
    <col min="2344" max="2344" width="15.140625" style="21" customWidth="1"/>
    <col min="2345" max="2345" width="18.7109375" style="21" customWidth="1"/>
    <col min="2346" max="2346" width="19.5703125" style="21" customWidth="1"/>
    <col min="2347" max="2347" width="26.42578125" style="21" customWidth="1"/>
    <col min="2348" max="2348" width="25.85546875" style="21" customWidth="1"/>
    <col min="2349" max="2349" width="13.42578125" style="21" customWidth="1"/>
    <col min="2350" max="2350" width="26.85546875" style="21" customWidth="1"/>
    <col min="2351" max="2352" width="31.42578125" style="21" customWidth="1"/>
    <col min="2353" max="2353" width="26.42578125" style="21" customWidth="1"/>
    <col min="2354" max="2354" width="40.42578125" style="21" customWidth="1"/>
    <col min="2355" max="2355" width="33.85546875" style="21" customWidth="1"/>
    <col min="2356" max="2356" width="37" style="21" customWidth="1"/>
    <col min="2357" max="2357" width="17.85546875" style="21" customWidth="1"/>
    <col min="2358" max="2358" width="28.5703125" style="21" customWidth="1"/>
    <col min="2359" max="2359" width="24.28515625" style="21" customWidth="1"/>
    <col min="2360" max="2360" width="40.140625" style="21" customWidth="1"/>
    <col min="2361" max="2361" width="18.7109375" style="21" customWidth="1"/>
    <col min="2362" max="2362" width="16.28515625" style="21" customWidth="1"/>
    <col min="2363" max="2363" width="13.42578125" style="21" customWidth="1"/>
    <col min="2364" max="2364" width="15.42578125" style="21" customWidth="1"/>
    <col min="2365" max="2365" width="30.85546875" style="21" customWidth="1"/>
    <col min="2366" max="2366" width="13.42578125" style="21" customWidth="1"/>
    <col min="2367" max="2367" width="25.7109375" style="21" customWidth="1"/>
    <col min="2368" max="2368" width="24.28515625" style="21" customWidth="1"/>
    <col min="2369" max="2369" width="23.85546875" style="21" customWidth="1"/>
    <col min="2370" max="2370" width="27.5703125" style="21" customWidth="1"/>
    <col min="2371" max="2371" width="25.42578125" style="21" customWidth="1"/>
    <col min="2372" max="2374" width="13.42578125" style="21" customWidth="1"/>
    <col min="2375" max="2375" width="16.28515625" style="21" customWidth="1"/>
    <col min="2376" max="2376" width="25.28515625" style="21" customWidth="1"/>
    <col min="2377" max="2378" width="13.42578125" style="21" customWidth="1"/>
    <col min="2379" max="2379" width="24.7109375" style="21" customWidth="1"/>
    <col min="2380" max="2380" width="26.85546875" style="21" customWidth="1"/>
    <col min="2381" max="2381" width="24.42578125" style="21" customWidth="1"/>
    <col min="2382" max="2382" width="23.140625" style="21" customWidth="1"/>
    <col min="2383" max="2383" width="21.140625" style="21" customWidth="1"/>
    <col min="2384" max="2384" width="14.5703125" style="21" customWidth="1"/>
    <col min="2385" max="2385" width="30.28515625" style="21" customWidth="1"/>
    <col min="2386" max="2386" width="13.42578125" style="21" customWidth="1"/>
    <col min="2387" max="2387" width="31.42578125" style="21" customWidth="1"/>
    <col min="2388" max="2388" width="13.42578125" style="21" customWidth="1"/>
    <col min="2389" max="2389" width="44.42578125" style="21" customWidth="1"/>
    <col min="2390" max="2390" width="19.7109375" style="21" customWidth="1"/>
    <col min="2391" max="2391" width="38.85546875" style="21" customWidth="1"/>
    <col min="2392" max="2392" width="31.42578125" style="21" customWidth="1"/>
    <col min="2393" max="2393" width="50.7109375" style="21" customWidth="1"/>
    <col min="2394" max="2394" width="34.85546875" style="21" customWidth="1"/>
    <col min="2395" max="2396" width="13.42578125" style="21" customWidth="1"/>
    <col min="2397" max="2397" width="18.140625" style="21" customWidth="1"/>
    <col min="2398" max="2398" width="23.7109375" style="21" customWidth="1"/>
    <col min="2399" max="2399" width="26.85546875" style="21" customWidth="1"/>
    <col min="2400" max="2400" width="23" style="21" customWidth="1"/>
    <col min="2401" max="2401" width="25.7109375" style="21" customWidth="1"/>
    <col min="2402" max="2402" width="29.28515625" style="21" customWidth="1"/>
    <col min="2403" max="2403" width="29.42578125" style="21" customWidth="1"/>
    <col min="2404" max="2404" width="23.5703125" style="21" customWidth="1"/>
    <col min="2405" max="2405" width="32.85546875" style="21" customWidth="1"/>
    <col min="2406" max="2406" width="30.7109375" style="21" customWidth="1"/>
    <col min="2407" max="2407" width="33.85546875" style="21" customWidth="1"/>
    <col min="2408" max="2408" width="15.85546875" style="21" customWidth="1"/>
    <col min="2409" max="2409" width="17.28515625" style="21" customWidth="1"/>
    <col min="2410" max="2410" width="26.5703125" style="21" customWidth="1"/>
    <col min="2411" max="2411" width="21.5703125" style="21" customWidth="1"/>
    <col min="2412" max="2412" width="42.7109375" style="21" customWidth="1"/>
    <col min="2413" max="2413" width="44.140625" style="21" customWidth="1"/>
    <col min="2414" max="2415" width="31.42578125" style="21" customWidth="1"/>
    <col min="2416" max="2416" width="27.85546875" style="21" customWidth="1"/>
    <col min="2417" max="2417" width="0" style="21" hidden="1" customWidth="1"/>
    <col min="2418" max="2418" width="31.42578125" style="21" customWidth="1"/>
    <col min="2419" max="2560" width="9.140625" style="21"/>
    <col min="2561" max="2561" width="8.7109375" style="21" customWidth="1"/>
    <col min="2562" max="2563" width="31.42578125" style="21" customWidth="1"/>
    <col min="2564" max="2564" width="25.85546875" style="21" customWidth="1"/>
    <col min="2565" max="2565" width="26.85546875" style="21" customWidth="1"/>
    <col min="2566" max="2566" width="27" style="21" customWidth="1"/>
    <col min="2567" max="2567" width="32.28515625" style="21" customWidth="1"/>
    <col min="2568" max="2568" width="13.42578125" style="21" customWidth="1"/>
    <col min="2569" max="2569" width="17.85546875" style="21" customWidth="1"/>
    <col min="2570" max="2570" width="15.85546875" style="21" customWidth="1"/>
    <col min="2571" max="2571" width="26" style="21" customWidth="1"/>
    <col min="2572" max="2572" width="21.7109375" style="21" customWidth="1"/>
    <col min="2573" max="2573" width="16.5703125" style="21" customWidth="1"/>
    <col min="2574" max="2574" width="25.7109375" style="21" customWidth="1"/>
    <col min="2575" max="2575" width="31.42578125" style="21" customWidth="1"/>
    <col min="2576" max="2576" width="18.42578125" style="21" customWidth="1"/>
    <col min="2577" max="2577" width="13.42578125" style="21" customWidth="1"/>
    <col min="2578" max="2578" width="18" style="21" customWidth="1"/>
    <col min="2579" max="2579" width="19.7109375" style="21" customWidth="1"/>
    <col min="2580" max="2581" width="13.42578125" style="21" customWidth="1"/>
    <col min="2582" max="2582" width="18" style="21" customWidth="1"/>
    <col min="2583" max="2583" width="15.42578125" style="21" customWidth="1"/>
    <col min="2584" max="2584" width="13.42578125" style="21" customWidth="1"/>
    <col min="2585" max="2585" width="16.140625" style="21" customWidth="1"/>
    <col min="2586" max="2586" width="18" style="21" customWidth="1"/>
    <col min="2587" max="2588" width="13.42578125" style="21" customWidth="1"/>
    <col min="2589" max="2589" width="18.85546875" style="21" customWidth="1"/>
    <col min="2590" max="2590" width="28.7109375" style="21" customWidth="1"/>
    <col min="2591" max="2591" width="18.85546875" style="21" customWidth="1"/>
    <col min="2592" max="2592" width="16" style="21" customWidth="1"/>
    <col min="2593" max="2593" width="13.42578125" style="21" customWidth="1"/>
    <col min="2594" max="2594" width="26.28515625" style="21" customWidth="1"/>
    <col min="2595" max="2595" width="37.140625" style="21" customWidth="1"/>
    <col min="2596" max="2596" width="13.42578125" style="21" customWidth="1"/>
    <col min="2597" max="2597" width="16.85546875" style="21" customWidth="1"/>
    <col min="2598" max="2598" width="29.140625" style="21" customWidth="1"/>
    <col min="2599" max="2599" width="24.140625" style="21" customWidth="1"/>
    <col min="2600" max="2600" width="15.140625" style="21" customWidth="1"/>
    <col min="2601" max="2601" width="18.7109375" style="21" customWidth="1"/>
    <col min="2602" max="2602" width="19.5703125" style="21" customWidth="1"/>
    <col min="2603" max="2603" width="26.42578125" style="21" customWidth="1"/>
    <col min="2604" max="2604" width="25.85546875" style="21" customWidth="1"/>
    <col min="2605" max="2605" width="13.42578125" style="21" customWidth="1"/>
    <col min="2606" max="2606" width="26.85546875" style="21" customWidth="1"/>
    <col min="2607" max="2608" width="31.42578125" style="21" customWidth="1"/>
    <col min="2609" max="2609" width="26.42578125" style="21" customWidth="1"/>
    <col min="2610" max="2610" width="40.42578125" style="21" customWidth="1"/>
    <col min="2611" max="2611" width="33.85546875" style="21" customWidth="1"/>
    <col min="2612" max="2612" width="37" style="21" customWidth="1"/>
    <col min="2613" max="2613" width="17.85546875" style="21" customWidth="1"/>
    <col min="2614" max="2614" width="28.5703125" style="21" customWidth="1"/>
    <col min="2615" max="2615" width="24.28515625" style="21" customWidth="1"/>
    <col min="2616" max="2616" width="40.140625" style="21" customWidth="1"/>
    <col min="2617" max="2617" width="18.7109375" style="21" customWidth="1"/>
    <col min="2618" max="2618" width="16.28515625" style="21" customWidth="1"/>
    <col min="2619" max="2619" width="13.42578125" style="21" customWidth="1"/>
    <col min="2620" max="2620" width="15.42578125" style="21" customWidth="1"/>
    <col min="2621" max="2621" width="30.85546875" style="21" customWidth="1"/>
    <col min="2622" max="2622" width="13.42578125" style="21" customWidth="1"/>
    <col min="2623" max="2623" width="25.7109375" style="21" customWidth="1"/>
    <col min="2624" max="2624" width="24.28515625" style="21" customWidth="1"/>
    <col min="2625" max="2625" width="23.85546875" style="21" customWidth="1"/>
    <col min="2626" max="2626" width="27.5703125" style="21" customWidth="1"/>
    <col min="2627" max="2627" width="25.42578125" style="21" customWidth="1"/>
    <col min="2628" max="2630" width="13.42578125" style="21" customWidth="1"/>
    <col min="2631" max="2631" width="16.28515625" style="21" customWidth="1"/>
    <col min="2632" max="2632" width="25.28515625" style="21" customWidth="1"/>
    <col min="2633" max="2634" width="13.42578125" style="21" customWidth="1"/>
    <col min="2635" max="2635" width="24.7109375" style="21" customWidth="1"/>
    <col min="2636" max="2636" width="26.85546875" style="21" customWidth="1"/>
    <col min="2637" max="2637" width="24.42578125" style="21" customWidth="1"/>
    <col min="2638" max="2638" width="23.140625" style="21" customWidth="1"/>
    <col min="2639" max="2639" width="21.140625" style="21" customWidth="1"/>
    <col min="2640" max="2640" width="14.5703125" style="21" customWidth="1"/>
    <col min="2641" max="2641" width="30.28515625" style="21" customWidth="1"/>
    <col min="2642" max="2642" width="13.42578125" style="21" customWidth="1"/>
    <col min="2643" max="2643" width="31.42578125" style="21" customWidth="1"/>
    <col min="2644" max="2644" width="13.42578125" style="21" customWidth="1"/>
    <col min="2645" max="2645" width="44.42578125" style="21" customWidth="1"/>
    <col min="2646" max="2646" width="19.7109375" style="21" customWidth="1"/>
    <col min="2647" max="2647" width="38.85546875" style="21" customWidth="1"/>
    <col min="2648" max="2648" width="31.42578125" style="21" customWidth="1"/>
    <col min="2649" max="2649" width="50.7109375" style="21" customWidth="1"/>
    <col min="2650" max="2650" width="34.85546875" style="21" customWidth="1"/>
    <col min="2651" max="2652" width="13.42578125" style="21" customWidth="1"/>
    <col min="2653" max="2653" width="18.140625" style="21" customWidth="1"/>
    <col min="2654" max="2654" width="23.7109375" style="21" customWidth="1"/>
    <col min="2655" max="2655" width="26.85546875" style="21" customWidth="1"/>
    <col min="2656" max="2656" width="23" style="21" customWidth="1"/>
    <col min="2657" max="2657" width="25.7109375" style="21" customWidth="1"/>
    <col min="2658" max="2658" width="29.28515625" style="21" customWidth="1"/>
    <col min="2659" max="2659" width="29.42578125" style="21" customWidth="1"/>
    <col min="2660" max="2660" width="23.5703125" style="21" customWidth="1"/>
    <col min="2661" max="2661" width="32.85546875" style="21" customWidth="1"/>
    <col min="2662" max="2662" width="30.7109375" style="21" customWidth="1"/>
    <col min="2663" max="2663" width="33.85546875" style="21" customWidth="1"/>
    <col min="2664" max="2664" width="15.85546875" style="21" customWidth="1"/>
    <col min="2665" max="2665" width="17.28515625" style="21" customWidth="1"/>
    <col min="2666" max="2666" width="26.5703125" style="21" customWidth="1"/>
    <col min="2667" max="2667" width="21.5703125" style="21" customWidth="1"/>
    <col min="2668" max="2668" width="42.7109375" style="21" customWidth="1"/>
    <col min="2669" max="2669" width="44.140625" style="21" customWidth="1"/>
    <col min="2670" max="2671" width="31.42578125" style="21" customWidth="1"/>
    <col min="2672" max="2672" width="27.85546875" style="21" customWidth="1"/>
    <col min="2673" max="2673" width="0" style="21" hidden="1" customWidth="1"/>
    <col min="2674" max="2674" width="31.42578125" style="21" customWidth="1"/>
    <col min="2675" max="2816" width="9.140625" style="21"/>
    <col min="2817" max="2817" width="8.7109375" style="21" customWidth="1"/>
    <col min="2818" max="2819" width="31.42578125" style="21" customWidth="1"/>
    <col min="2820" max="2820" width="25.85546875" style="21" customWidth="1"/>
    <col min="2821" max="2821" width="26.85546875" style="21" customWidth="1"/>
    <col min="2822" max="2822" width="27" style="21" customWidth="1"/>
    <col min="2823" max="2823" width="32.28515625" style="21" customWidth="1"/>
    <col min="2824" max="2824" width="13.42578125" style="21" customWidth="1"/>
    <col min="2825" max="2825" width="17.85546875" style="21" customWidth="1"/>
    <col min="2826" max="2826" width="15.85546875" style="21" customWidth="1"/>
    <col min="2827" max="2827" width="26" style="21" customWidth="1"/>
    <col min="2828" max="2828" width="21.7109375" style="21" customWidth="1"/>
    <col min="2829" max="2829" width="16.5703125" style="21" customWidth="1"/>
    <col min="2830" max="2830" width="25.7109375" style="21" customWidth="1"/>
    <col min="2831" max="2831" width="31.42578125" style="21" customWidth="1"/>
    <col min="2832" max="2832" width="18.42578125" style="21" customWidth="1"/>
    <col min="2833" max="2833" width="13.42578125" style="21" customWidth="1"/>
    <col min="2834" max="2834" width="18" style="21" customWidth="1"/>
    <col min="2835" max="2835" width="19.7109375" style="21" customWidth="1"/>
    <col min="2836" max="2837" width="13.42578125" style="21" customWidth="1"/>
    <col min="2838" max="2838" width="18" style="21" customWidth="1"/>
    <col min="2839" max="2839" width="15.42578125" style="21" customWidth="1"/>
    <col min="2840" max="2840" width="13.42578125" style="21" customWidth="1"/>
    <col min="2841" max="2841" width="16.140625" style="21" customWidth="1"/>
    <col min="2842" max="2842" width="18" style="21" customWidth="1"/>
    <col min="2843" max="2844" width="13.42578125" style="21" customWidth="1"/>
    <col min="2845" max="2845" width="18.85546875" style="21" customWidth="1"/>
    <col min="2846" max="2846" width="28.7109375" style="21" customWidth="1"/>
    <col min="2847" max="2847" width="18.85546875" style="21" customWidth="1"/>
    <col min="2848" max="2848" width="16" style="21" customWidth="1"/>
    <col min="2849" max="2849" width="13.42578125" style="21" customWidth="1"/>
    <col min="2850" max="2850" width="26.28515625" style="21" customWidth="1"/>
    <col min="2851" max="2851" width="37.140625" style="21" customWidth="1"/>
    <col min="2852" max="2852" width="13.42578125" style="21" customWidth="1"/>
    <col min="2853" max="2853" width="16.85546875" style="21" customWidth="1"/>
    <col min="2854" max="2854" width="29.140625" style="21" customWidth="1"/>
    <col min="2855" max="2855" width="24.140625" style="21" customWidth="1"/>
    <col min="2856" max="2856" width="15.140625" style="21" customWidth="1"/>
    <col min="2857" max="2857" width="18.7109375" style="21" customWidth="1"/>
    <col min="2858" max="2858" width="19.5703125" style="21" customWidth="1"/>
    <col min="2859" max="2859" width="26.42578125" style="21" customWidth="1"/>
    <col min="2860" max="2860" width="25.85546875" style="21" customWidth="1"/>
    <col min="2861" max="2861" width="13.42578125" style="21" customWidth="1"/>
    <col min="2862" max="2862" width="26.85546875" style="21" customWidth="1"/>
    <col min="2863" max="2864" width="31.42578125" style="21" customWidth="1"/>
    <col min="2865" max="2865" width="26.42578125" style="21" customWidth="1"/>
    <col min="2866" max="2866" width="40.42578125" style="21" customWidth="1"/>
    <col min="2867" max="2867" width="33.85546875" style="21" customWidth="1"/>
    <col min="2868" max="2868" width="37" style="21" customWidth="1"/>
    <col min="2869" max="2869" width="17.85546875" style="21" customWidth="1"/>
    <col min="2870" max="2870" width="28.5703125" style="21" customWidth="1"/>
    <col min="2871" max="2871" width="24.28515625" style="21" customWidth="1"/>
    <col min="2872" max="2872" width="40.140625" style="21" customWidth="1"/>
    <col min="2873" max="2873" width="18.7109375" style="21" customWidth="1"/>
    <col min="2874" max="2874" width="16.28515625" style="21" customWidth="1"/>
    <col min="2875" max="2875" width="13.42578125" style="21" customWidth="1"/>
    <col min="2876" max="2876" width="15.42578125" style="21" customWidth="1"/>
    <col min="2877" max="2877" width="30.85546875" style="21" customWidth="1"/>
    <col min="2878" max="2878" width="13.42578125" style="21" customWidth="1"/>
    <col min="2879" max="2879" width="25.7109375" style="21" customWidth="1"/>
    <col min="2880" max="2880" width="24.28515625" style="21" customWidth="1"/>
    <col min="2881" max="2881" width="23.85546875" style="21" customWidth="1"/>
    <col min="2882" max="2882" width="27.5703125" style="21" customWidth="1"/>
    <col min="2883" max="2883" width="25.42578125" style="21" customWidth="1"/>
    <col min="2884" max="2886" width="13.42578125" style="21" customWidth="1"/>
    <col min="2887" max="2887" width="16.28515625" style="21" customWidth="1"/>
    <col min="2888" max="2888" width="25.28515625" style="21" customWidth="1"/>
    <col min="2889" max="2890" width="13.42578125" style="21" customWidth="1"/>
    <col min="2891" max="2891" width="24.7109375" style="21" customWidth="1"/>
    <col min="2892" max="2892" width="26.85546875" style="21" customWidth="1"/>
    <col min="2893" max="2893" width="24.42578125" style="21" customWidth="1"/>
    <col min="2894" max="2894" width="23.140625" style="21" customWidth="1"/>
    <col min="2895" max="2895" width="21.140625" style="21" customWidth="1"/>
    <col min="2896" max="2896" width="14.5703125" style="21" customWidth="1"/>
    <col min="2897" max="2897" width="30.28515625" style="21" customWidth="1"/>
    <col min="2898" max="2898" width="13.42578125" style="21" customWidth="1"/>
    <col min="2899" max="2899" width="31.42578125" style="21" customWidth="1"/>
    <col min="2900" max="2900" width="13.42578125" style="21" customWidth="1"/>
    <col min="2901" max="2901" width="44.42578125" style="21" customWidth="1"/>
    <col min="2902" max="2902" width="19.7109375" style="21" customWidth="1"/>
    <col min="2903" max="2903" width="38.85546875" style="21" customWidth="1"/>
    <col min="2904" max="2904" width="31.42578125" style="21" customWidth="1"/>
    <col min="2905" max="2905" width="50.7109375" style="21" customWidth="1"/>
    <col min="2906" max="2906" width="34.85546875" style="21" customWidth="1"/>
    <col min="2907" max="2908" width="13.42578125" style="21" customWidth="1"/>
    <col min="2909" max="2909" width="18.140625" style="21" customWidth="1"/>
    <col min="2910" max="2910" width="23.7109375" style="21" customWidth="1"/>
    <col min="2911" max="2911" width="26.85546875" style="21" customWidth="1"/>
    <col min="2912" max="2912" width="23" style="21" customWidth="1"/>
    <col min="2913" max="2913" width="25.7109375" style="21" customWidth="1"/>
    <col min="2914" max="2914" width="29.28515625" style="21" customWidth="1"/>
    <col min="2915" max="2915" width="29.42578125" style="21" customWidth="1"/>
    <col min="2916" max="2916" width="23.5703125" style="21" customWidth="1"/>
    <col min="2917" max="2917" width="32.85546875" style="21" customWidth="1"/>
    <col min="2918" max="2918" width="30.7109375" style="21" customWidth="1"/>
    <col min="2919" max="2919" width="33.85546875" style="21" customWidth="1"/>
    <col min="2920" max="2920" width="15.85546875" style="21" customWidth="1"/>
    <col min="2921" max="2921" width="17.28515625" style="21" customWidth="1"/>
    <col min="2922" max="2922" width="26.5703125" style="21" customWidth="1"/>
    <col min="2923" max="2923" width="21.5703125" style="21" customWidth="1"/>
    <col min="2924" max="2924" width="42.7109375" style="21" customWidth="1"/>
    <col min="2925" max="2925" width="44.140625" style="21" customWidth="1"/>
    <col min="2926" max="2927" width="31.42578125" style="21" customWidth="1"/>
    <col min="2928" max="2928" width="27.85546875" style="21" customWidth="1"/>
    <col min="2929" max="2929" width="0" style="21" hidden="1" customWidth="1"/>
    <col min="2930" max="2930" width="31.42578125" style="21" customWidth="1"/>
    <col min="2931" max="3072" width="9.140625" style="21"/>
    <col min="3073" max="3073" width="8.7109375" style="21" customWidth="1"/>
    <col min="3074" max="3075" width="31.42578125" style="21" customWidth="1"/>
    <col min="3076" max="3076" width="25.85546875" style="21" customWidth="1"/>
    <col min="3077" max="3077" width="26.85546875" style="21" customWidth="1"/>
    <col min="3078" max="3078" width="27" style="21" customWidth="1"/>
    <col min="3079" max="3079" width="32.28515625" style="21" customWidth="1"/>
    <col min="3080" max="3080" width="13.42578125" style="21" customWidth="1"/>
    <col min="3081" max="3081" width="17.85546875" style="21" customWidth="1"/>
    <col min="3082" max="3082" width="15.85546875" style="21" customWidth="1"/>
    <col min="3083" max="3083" width="26" style="21" customWidth="1"/>
    <col min="3084" max="3084" width="21.7109375" style="21" customWidth="1"/>
    <col min="3085" max="3085" width="16.5703125" style="21" customWidth="1"/>
    <col min="3086" max="3086" width="25.7109375" style="21" customWidth="1"/>
    <col min="3087" max="3087" width="31.42578125" style="21" customWidth="1"/>
    <col min="3088" max="3088" width="18.42578125" style="21" customWidth="1"/>
    <col min="3089" max="3089" width="13.42578125" style="21" customWidth="1"/>
    <col min="3090" max="3090" width="18" style="21" customWidth="1"/>
    <col min="3091" max="3091" width="19.7109375" style="21" customWidth="1"/>
    <col min="3092" max="3093" width="13.42578125" style="21" customWidth="1"/>
    <col min="3094" max="3094" width="18" style="21" customWidth="1"/>
    <col min="3095" max="3095" width="15.42578125" style="21" customWidth="1"/>
    <col min="3096" max="3096" width="13.42578125" style="21" customWidth="1"/>
    <col min="3097" max="3097" width="16.140625" style="21" customWidth="1"/>
    <col min="3098" max="3098" width="18" style="21" customWidth="1"/>
    <col min="3099" max="3100" width="13.42578125" style="21" customWidth="1"/>
    <col min="3101" max="3101" width="18.85546875" style="21" customWidth="1"/>
    <col min="3102" max="3102" width="28.7109375" style="21" customWidth="1"/>
    <col min="3103" max="3103" width="18.85546875" style="21" customWidth="1"/>
    <col min="3104" max="3104" width="16" style="21" customWidth="1"/>
    <col min="3105" max="3105" width="13.42578125" style="21" customWidth="1"/>
    <col min="3106" max="3106" width="26.28515625" style="21" customWidth="1"/>
    <col min="3107" max="3107" width="37.140625" style="21" customWidth="1"/>
    <col min="3108" max="3108" width="13.42578125" style="21" customWidth="1"/>
    <col min="3109" max="3109" width="16.85546875" style="21" customWidth="1"/>
    <col min="3110" max="3110" width="29.140625" style="21" customWidth="1"/>
    <col min="3111" max="3111" width="24.140625" style="21" customWidth="1"/>
    <col min="3112" max="3112" width="15.140625" style="21" customWidth="1"/>
    <col min="3113" max="3113" width="18.7109375" style="21" customWidth="1"/>
    <col min="3114" max="3114" width="19.5703125" style="21" customWidth="1"/>
    <col min="3115" max="3115" width="26.42578125" style="21" customWidth="1"/>
    <col min="3116" max="3116" width="25.85546875" style="21" customWidth="1"/>
    <col min="3117" max="3117" width="13.42578125" style="21" customWidth="1"/>
    <col min="3118" max="3118" width="26.85546875" style="21" customWidth="1"/>
    <col min="3119" max="3120" width="31.42578125" style="21" customWidth="1"/>
    <col min="3121" max="3121" width="26.42578125" style="21" customWidth="1"/>
    <col min="3122" max="3122" width="40.42578125" style="21" customWidth="1"/>
    <col min="3123" max="3123" width="33.85546875" style="21" customWidth="1"/>
    <col min="3124" max="3124" width="37" style="21" customWidth="1"/>
    <col min="3125" max="3125" width="17.85546875" style="21" customWidth="1"/>
    <col min="3126" max="3126" width="28.5703125" style="21" customWidth="1"/>
    <col min="3127" max="3127" width="24.28515625" style="21" customWidth="1"/>
    <col min="3128" max="3128" width="40.140625" style="21" customWidth="1"/>
    <col min="3129" max="3129" width="18.7109375" style="21" customWidth="1"/>
    <col min="3130" max="3130" width="16.28515625" style="21" customWidth="1"/>
    <col min="3131" max="3131" width="13.42578125" style="21" customWidth="1"/>
    <col min="3132" max="3132" width="15.42578125" style="21" customWidth="1"/>
    <col min="3133" max="3133" width="30.85546875" style="21" customWidth="1"/>
    <col min="3134" max="3134" width="13.42578125" style="21" customWidth="1"/>
    <col min="3135" max="3135" width="25.7109375" style="21" customWidth="1"/>
    <col min="3136" max="3136" width="24.28515625" style="21" customWidth="1"/>
    <col min="3137" max="3137" width="23.85546875" style="21" customWidth="1"/>
    <col min="3138" max="3138" width="27.5703125" style="21" customWidth="1"/>
    <col min="3139" max="3139" width="25.42578125" style="21" customWidth="1"/>
    <col min="3140" max="3142" width="13.42578125" style="21" customWidth="1"/>
    <col min="3143" max="3143" width="16.28515625" style="21" customWidth="1"/>
    <col min="3144" max="3144" width="25.28515625" style="21" customWidth="1"/>
    <col min="3145" max="3146" width="13.42578125" style="21" customWidth="1"/>
    <col min="3147" max="3147" width="24.7109375" style="21" customWidth="1"/>
    <col min="3148" max="3148" width="26.85546875" style="21" customWidth="1"/>
    <col min="3149" max="3149" width="24.42578125" style="21" customWidth="1"/>
    <col min="3150" max="3150" width="23.140625" style="21" customWidth="1"/>
    <col min="3151" max="3151" width="21.140625" style="21" customWidth="1"/>
    <col min="3152" max="3152" width="14.5703125" style="21" customWidth="1"/>
    <col min="3153" max="3153" width="30.28515625" style="21" customWidth="1"/>
    <col min="3154" max="3154" width="13.42578125" style="21" customWidth="1"/>
    <col min="3155" max="3155" width="31.42578125" style="21" customWidth="1"/>
    <col min="3156" max="3156" width="13.42578125" style="21" customWidth="1"/>
    <col min="3157" max="3157" width="44.42578125" style="21" customWidth="1"/>
    <col min="3158" max="3158" width="19.7109375" style="21" customWidth="1"/>
    <col min="3159" max="3159" width="38.85546875" style="21" customWidth="1"/>
    <col min="3160" max="3160" width="31.42578125" style="21" customWidth="1"/>
    <col min="3161" max="3161" width="50.7109375" style="21" customWidth="1"/>
    <col min="3162" max="3162" width="34.85546875" style="21" customWidth="1"/>
    <col min="3163" max="3164" width="13.42578125" style="21" customWidth="1"/>
    <col min="3165" max="3165" width="18.140625" style="21" customWidth="1"/>
    <col min="3166" max="3166" width="23.7109375" style="21" customWidth="1"/>
    <col min="3167" max="3167" width="26.85546875" style="21" customWidth="1"/>
    <col min="3168" max="3168" width="23" style="21" customWidth="1"/>
    <col min="3169" max="3169" width="25.7109375" style="21" customWidth="1"/>
    <col min="3170" max="3170" width="29.28515625" style="21" customWidth="1"/>
    <col min="3171" max="3171" width="29.42578125" style="21" customWidth="1"/>
    <col min="3172" max="3172" width="23.5703125" style="21" customWidth="1"/>
    <col min="3173" max="3173" width="32.85546875" style="21" customWidth="1"/>
    <col min="3174" max="3174" width="30.7109375" style="21" customWidth="1"/>
    <col min="3175" max="3175" width="33.85546875" style="21" customWidth="1"/>
    <col min="3176" max="3176" width="15.85546875" style="21" customWidth="1"/>
    <col min="3177" max="3177" width="17.28515625" style="21" customWidth="1"/>
    <col min="3178" max="3178" width="26.5703125" style="21" customWidth="1"/>
    <col min="3179" max="3179" width="21.5703125" style="21" customWidth="1"/>
    <col min="3180" max="3180" width="42.7109375" style="21" customWidth="1"/>
    <col min="3181" max="3181" width="44.140625" style="21" customWidth="1"/>
    <col min="3182" max="3183" width="31.42578125" style="21" customWidth="1"/>
    <col min="3184" max="3184" width="27.85546875" style="21" customWidth="1"/>
    <col min="3185" max="3185" width="0" style="21" hidden="1" customWidth="1"/>
    <col min="3186" max="3186" width="31.42578125" style="21" customWidth="1"/>
    <col min="3187" max="3328" width="9.140625" style="21"/>
    <col min="3329" max="3329" width="8.7109375" style="21" customWidth="1"/>
    <col min="3330" max="3331" width="31.42578125" style="21" customWidth="1"/>
    <col min="3332" max="3332" width="25.85546875" style="21" customWidth="1"/>
    <col min="3333" max="3333" width="26.85546875" style="21" customWidth="1"/>
    <col min="3334" max="3334" width="27" style="21" customWidth="1"/>
    <col min="3335" max="3335" width="32.28515625" style="21" customWidth="1"/>
    <col min="3336" max="3336" width="13.42578125" style="21" customWidth="1"/>
    <col min="3337" max="3337" width="17.85546875" style="21" customWidth="1"/>
    <col min="3338" max="3338" width="15.85546875" style="21" customWidth="1"/>
    <col min="3339" max="3339" width="26" style="21" customWidth="1"/>
    <col min="3340" max="3340" width="21.7109375" style="21" customWidth="1"/>
    <col min="3341" max="3341" width="16.5703125" style="21" customWidth="1"/>
    <col min="3342" max="3342" width="25.7109375" style="21" customWidth="1"/>
    <col min="3343" max="3343" width="31.42578125" style="21" customWidth="1"/>
    <col min="3344" max="3344" width="18.42578125" style="21" customWidth="1"/>
    <col min="3345" max="3345" width="13.42578125" style="21" customWidth="1"/>
    <col min="3346" max="3346" width="18" style="21" customWidth="1"/>
    <col min="3347" max="3347" width="19.7109375" style="21" customWidth="1"/>
    <col min="3348" max="3349" width="13.42578125" style="21" customWidth="1"/>
    <col min="3350" max="3350" width="18" style="21" customWidth="1"/>
    <col min="3351" max="3351" width="15.42578125" style="21" customWidth="1"/>
    <col min="3352" max="3352" width="13.42578125" style="21" customWidth="1"/>
    <col min="3353" max="3353" width="16.140625" style="21" customWidth="1"/>
    <col min="3354" max="3354" width="18" style="21" customWidth="1"/>
    <col min="3355" max="3356" width="13.42578125" style="21" customWidth="1"/>
    <col min="3357" max="3357" width="18.85546875" style="21" customWidth="1"/>
    <col min="3358" max="3358" width="28.7109375" style="21" customWidth="1"/>
    <col min="3359" max="3359" width="18.85546875" style="21" customWidth="1"/>
    <col min="3360" max="3360" width="16" style="21" customWidth="1"/>
    <col min="3361" max="3361" width="13.42578125" style="21" customWidth="1"/>
    <col min="3362" max="3362" width="26.28515625" style="21" customWidth="1"/>
    <col min="3363" max="3363" width="37.140625" style="21" customWidth="1"/>
    <col min="3364" max="3364" width="13.42578125" style="21" customWidth="1"/>
    <col min="3365" max="3365" width="16.85546875" style="21" customWidth="1"/>
    <col min="3366" max="3366" width="29.140625" style="21" customWidth="1"/>
    <col min="3367" max="3367" width="24.140625" style="21" customWidth="1"/>
    <col min="3368" max="3368" width="15.140625" style="21" customWidth="1"/>
    <col min="3369" max="3369" width="18.7109375" style="21" customWidth="1"/>
    <col min="3370" max="3370" width="19.5703125" style="21" customWidth="1"/>
    <col min="3371" max="3371" width="26.42578125" style="21" customWidth="1"/>
    <col min="3372" max="3372" width="25.85546875" style="21" customWidth="1"/>
    <col min="3373" max="3373" width="13.42578125" style="21" customWidth="1"/>
    <col min="3374" max="3374" width="26.85546875" style="21" customWidth="1"/>
    <col min="3375" max="3376" width="31.42578125" style="21" customWidth="1"/>
    <col min="3377" max="3377" width="26.42578125" style="21" customWidth="1"/>
    <col min="3378" max="3378" width="40.42578125" style="21" customWidth="1"/>
    <col min="3379" max="3379" width="33.85546875" style="21" customWidth="1"/>
    <col min="3380" max="3380" width="37" style="21" customWidth="1"/>
    <col min="3381" max="3381" width="17.85546875" style="21" customWidth="1"/>
    <col min="3382" max="3382" width="28.5703125" style="21" customWidth="1"/>
    <col min="3383" max="3383" width="24.28515625" style="21" customWidth="1"/>
    <col min="3384" max="3384" width="40.140625" style="21" customWidth="1"/>
    <col min="3385" max="3385" width="18.7109375" style="21" customWidth="1"/>
    <col min="3386" max="3386" width="16.28515625" style="21" customWidth="1"/>
    <col min="3387" max="3387" width="13.42578125" style="21" customWidth="1"/>
    <col min="3388" max="3388" width="15.42578125" style="21" customWidth="1"/>
    <col min="3389" max="3389" width="30.85546875" style="21" customWidth="1"/>
    <col min="3390" max="3390" width="13.42578125" style="21" customWidth="1"/>
    <col min="3391" max="3391" width="25.7109375" style="21" customWidth="1"/>
    <col min="3392" max="3392" width="24.28515625" style="21" customWidth="1"/>
    <col min="3393" max="3393" width="23.85546875" style="21" customWidth="1"/>
    <col min="3394" max="3394" width="27.5703125" style="21" customWidth="1"/>
    <col min="3395" max="3395" width="25.42578125" style="21" customWidth="1"/>
    <col min="3396" max="3398" width="13.42578125" style="21" customWidth="1"/>
    <col min="3399" max="3399" width="16.28515625" style="21" customWidth="1"/>
    <col min="3400" max="3400" width="25.28515625" style="21" customWidth="1"/>
    <col min="3401" max="3402" width="13.42578125" style="21" customWidth="1"/>
    <col min="3403" max="3403" width="24.7109375" style="21" customWidth="1"/>
    <col min="3404" max="3404" width="26.85546875" style="21" customWidth="1"/>
    <col min="3405" max="3405" width="24.42578125" style="21" customWidth="1"/>
    <col min="3406" max="3406" width="23.140625" style="21" customWidth="1"/>
    <col min="3407" max="3407" width="21.140625" style="21" customWidth="1"/>
    <col min="3408" max="3408" width="14.5703125" style="21" customWidth="1"/>
    <col min="3409" max="3409" width="30.28515625" style="21" customWidth="1"/>
    <col min="3410" max="3410" width="13.42578125" style="21" customWidth="1"/>
    <col min="3411" max="3411" width="31.42578125" style="21" customWidth="1"/>
    <col min="3412" max="3412" width="13.42578125" style="21" customWidth="1"/>
    <col min="3413" max="3413" width="44.42578125" style="21" customWidth="1"/>
    <col min="3414" max="3414" width="19.7109375" style="21" customWidth="1"/>
    <col min="3415" max="3415" width="38.85546875" style="21" customWidth="1"/>
    <col min="3416" max="3416" width="31.42578125" style="21" customWidth="1"/>
    <col min="3417" max="3417" width="50.7109375" style="21" customWidth="1"/>
    <col min="3418" max="3418" width="34.85546875" style="21" customWidth="1"/>
    <col min="3419" max="3420" width="13.42578125" style="21" customWidth="1"/>
    <col min="3421" max="3421" width="18.140625" style="21" customWidth="1"/>
    <col min="3422" max="3422" width="23.7109375" style="21" customWidth="1"/>
    <col min="3423" max="3423" width="26.85546875" style="21" customWidth="1"/>
    <col min="3424" max="3424" width="23" style="21" customWidth="1"/>
    <col min="3425" max="3425" width="25.7109375" style="21" customWidth="1"/>
    <col min="3426" max="3426" width="29.28515625" style="21" customWidth="1"/>
    <col min="3427" max="3427" width="29.42578125" style="21" customWidth="1"/>
    <col min="3428" max="3428" width="23.5703125" style="21" customWidth="1"/>
    <col min="3429" max="3429" width="32.85546875" style="21" customWidth="1"/>
    <col min="3430" max="3430" width="30.7109375" style="21" customWidth="1"/>
    <col min="3431" max="3431" width="33.85546875" style="21" customWidth="1"/>
    <col min="3432" max="3432" width="15.85546875" style="21" customWidth="1"/>
    <col min="3433" max="3433" width="17.28515625" style="21" customWidth="1"/>
    <col min="3434" max="3434" width="26.5703125" style="21" customWidth="1"/>
    <col min="3435" max="3435" width="21.5703125" style="21" customWidth="1"/>
    <col min="3436" max="3436" width="42.7109375" style="21" customWidth="1"/>
    <col min="3437" max="3437" width="44.140625" style="21" customWidth="1"/>
    <col min="3438" max="3439" width="31.42578125" style="21" customWidth="1"/>
    <col min="3440" max="3440" width="27.85546875" style="21" customWidth="1"/>
    <col min="3441" max="3441" width="0" style="21" hidden="1" customWidth="1"/>
    <col min="3442" max="3442" width="31.42578125" style="21" customWidth="1"/>
    <col min="3443" max="3584" width="9.140625" style="21"/>
    <col min="3585" max="3585" width="8.7109375" style="21" customWidth="1"/>
    <col min="3586" max="3587" width="31.42578125" style="21" customWidth="1"/>
    <col min="3588" max="3588" width="25.85546875" style="21" customWidth="1"/>
    <col min="3589" max="3589" width="26.85546875" style="21" customWidth="1"/>
    <col min="3590" max="3590" width="27" style="21" customWidth="1"/>
    <col min="3591" max="3591" width="32.28515625" style="21" customWidth="1"/>
    <col min="3592" max="3592" width="13.42578125" style="21" customWidth="1"/>
    <col min="3593" max="3593" width="17.85546875" style="21" customWidth="1"/>
    <col min="3594" max="3594" width="15.85546875" style="21" customWidth="1"/>
    <col min="3595" max="3595" width="26" style="21" customWidth="1"/>
    <col min="3596" max="3596" width="21.7109375" style="21" customWidth="1"/>
    <col min="3597" max="3597" width="16.5703125" style="21" customWidth="1"/>
    <col min="3598" max="3598" width="25.7109375" style="21" customWidth="1"/>
    <col min="3599" max="3599" width="31.42578125" style="21" customWidth="1"/>
    <col min="3600" max="3600" width="18.42578125" style="21" customWidth="1"/>
    <col min="3601" max="3601" width="13.42578125" style="21" customWidth="1"/>
    <col min="3602" max="3602" width="18" style="21" customWidth="1"/>
    <col min="3603" max="3603" width="19.7109375" style="21" customWidth="1"/>
    <col min="3604" max="3605" width="13.42578125" style="21" customWidth="1"/>
    <col min="3606" max="3606" width="18" style="21" customWidth="1"/>
    <col min="3607" max="3607" width="15.42578125" style="21" customWidth="1"/>
    <col min="3608" max="3608" width="13.42578125" style="21" customWidth="1"/>
    <col min="3609" max="3609" width="16.140625" style="21" customWidth="1"/>
    <col min="3610" max="3610" width="18" style="21" customWidth="1"/>
    <col min="3611" max="3612" width="13.42578125" style="21" customWidth="1"/>
    <col min="3613" max="3613" width="18.85546875" style="21" customWidth="1"/>
    <col min="3614" max="3614" width="28.7109375" style="21" customWidth="1"/>
    <col min="3615" max="3615" width="18.85546875" style="21" customWidth="1"/>
    <col min="3616" max="3616" width="16" style="21" customWidth="1"/>
    <col min="3617" max="3617" width="13.42578125" style="21" customWidth="1"/>
    <col min="3618" max="3618" width="26.28515625" style="21" customWidth="1"/>
    <col min="3619" max="3619" width="37.140625" style="21" customWidth="1"/>
    <col min="3620" max="3620" width="13.42578125" style="21" customWidth="1"/>
    <col min="3621" max="3621" width="16.85546875" style="21" customWidth="1"/>
    <col min="3622" max="3622" width="29.140625" style="21" customWidth="1"/>
    <col min="3623" max="3623" width="24.140625" style="21" customWidth="1"/>
    <col min="3624" max="3624" width="15.140625" style="21" customWidth="1"/>
    <col min="3625" max="3625" width="18.7109375" style="21" customWidth="1"/>
    <col min="3626" max="3626" width="19.5703125" style="21" customWidth="1"/>
    <col min="3627" max="3627" width="26.42578125" style="21" customWidth="1"/>
    <col min="3628" max="3628" width="25.85546875" style="21" customWidth="1"/>
    <col min="3629" max="3629" width="13.42578125" style="21" customWidth="1"/>
    <col min="3630" max="3630" width="26.85546875" style="21" customWidth="1"/>
    <col min="3631" max="3632" width="31.42578125" style="21" customWidth="1"/>
    <col min="3633" max="3633" width="26.42578125" style="21" customWidth="1"/>
    <col min="3634" max="3634" width="40.42578125" style="21" customWidth="1"/>
    <col min="3635" max="3635" width="33.85546875" style="21" customWidth="1"/>
    <col min="3636" max="3636" width="37" style="21" customWidth="1"/>
    <col min="3637" max="3637" width="17.85546875" style="21" customWidth="1"/>
    <col min="3638" max="3638" width="28.5703125" style="21" customWidth="1"/>
    <col min="3639" max="3639" width="24.28515625" style="21" customWidth="1"/>
    <col min="3640" max="3640" width="40.140625" style="21" customWidth="1"/>
    <col min="3641" max="3641" width="18.7109375" style="21" customWidth="1"/>
    <col min="3642" max="3642" width="16.28515625" style="21" customWidth="1"/>
    <col min="3643" max="3643" width="13.42578125" style="21" customWidth="1"/>
    <col min="3644" max="3644" width="15.42578125" style="21" customWidth="1"/>
    <col min="3645" max="3645" width="30.85546875" style="21" customWidth="1"/>
    <col min="3646" max="3646" width="13.42578125" style="21" customWidth="1"/>
    <col min="3647" max="3647" width="25.7109375" style="21" customWidth="1"/>
    <col min="3648" max="3648" width="24.28515625" style="21" customWidth="1"/>
    <col min="3649" max="3649" width="23.85546875" style="21" customWidth="1"/>
    <col min="3650" max="3650" width="27.5703125" style="21" customWidth="1"/>
    <col min="3651" max="3651" width="25.42578125" style="21" customWidth="1"/>
    <col min="3652" max="3654" width="13.42578125" style="21" customWidth="1"/>
    <col min="3655" max="3655" width="16.28515625" style="21" customWidth="1"/>
    <col min="3656" max="3656" width="25.28515625" style="21" customWidth="1"/>
    <col min="3657" max="3658" width="13.42578125" style="21" customWidth="1"/>
    <col min="3659" max="3659" width="24.7109375" style="21" customWidth="1"/>
    <col min="3660" max="3660" width="26.85546875" style="21" customWidth="1"/>
    <col min="3661" max="3661" width="24.42578125" style="21" customWidth="1"/>
    <col min="3662" max="3662" width="23.140625" style="21" customWidth="1"/>
    <col min="3663" max="3663" width="21.140625" style="21" customWidth="1"/>
    <col min="3664" max="3664" width="14.5703125" style="21" customWidth="1"/>
    <col min="3665" max="3665" width="30.28515625" style="21" customWidth="1"/>
    <col min="3666" max="3666" width="13.42578125" style="21" customWidth="1"/>
    <col min="3667" max="3667" width="31.42578125" style="21" customWidth="1"/>
    <col min="3668" max="3668" width="13.42578125" style="21" customWidth="1"/>
    <col min="3669" max="3669" width="44.42578125" style="21" customWidth="1"/>
    <col min="3670" max="3670" width="19.7109375" style="21" customWidth="1"/>
    <col min="3671" max="3671" width="38.85546875" style="21" customWidth="1"/>
    <col min="3672" max="3672" width="31.42578125" style="21" customWidth="1"/>
    <col min="3673" max="3673" width="50.7109375" style="21" customWidth="1"/>
    <col min="3674" max="3674" width="34.85546875" style="21" customWidth="1"/>
    <col min="3675" max="3676" width="13.42578125" style="21" customWidth="1"/>
    <col min="3677" max="3677" width="18.140625" style="21" customWidth="1"/>
    <col min="3678" max="3678" width="23.7109375" style="21" customWidth="1"/>
    <col min="3679" max="3679" width="26.85546875" style="21" customWidth="1"/>
    <col min="3680" max="3680" width="23" style="21" customWidth="1"/>
    <col min="3681" max="3681" width="25.7109375" style="21" customWidth="1"/>
    <col min="3682" max="3682" width="29.28515625" style="21" customWidth="1"/>
    <col min="3683" max="3683" width="29.42578125" style="21" customWidth="1"/>
    <col min="3684" max="3684" width="23.5703125" style="21" customWidth="1"/>
    <col min="3685" max="3685" width="32.85546875" style="21" customWidth="1"/>
    <col min="3686" max="3686" width="30.7109375" style="21" customWidth="1"/>
    <col min="3687" max="3687" width="33.85546875" style="21" customWidth="1"/>
    <col min="3688" max="3688" width="15.85546875" style="21" customWidth="1"/>
    <col min="3689" max="3689" width="17.28515625" style="21" customWidth="1"/>
    <col min="3690" max="3690" width="26.5703125" style="21" customWidth="1"/>
    <col min="3691" max="3691" width="21.5703125" style="21" customWidth="1"/>
    <col min="3692" max="3692" width="42.7109375" style="21" customWidth="1"/>
    <col min="3693" max="3693" width="44.140625" style="21" customWidth="1"/>
    <col min="3694" max="3695" width="31.42578125" style="21" customWidth="1"/>
    <col min="3696" max="3696" width="27.85546875" style="21" customWidth="1"/>
    <col min="3697" max="3697" width="0" style="21" hidden="1" customWidth="1"/>
    <col min="3698" max="3698" width="31.42578125" style="21" customWidth="1"/>
    <col min="3699" max="3840" width="9.140625" style="21"/>
    <col min="3841" max="3841" width="8.7109375" style="21" customWidth="1"/>
    <col min="3842" max="3843" width="31.42578125" style="21" customWidth="1"/>
    <col min="3844" max="3844" width="25.85546875" style="21" customWidth="1"/>
    <col min="3845" max="3845" width="26.85546875" style="21" customWidth="1"/>
    <col min="3846" max="3846" width="27" style="21" customWidth="1"/>
    <col min="3847" max="3847" width="32.28515625" style="21" customWidth="1"/>
    <col min="3848" max="3848" width="13.42578125" style="21" customWidth="1"/>
    <col min="3849" max="3849" width="17.85546875" style="21" customWidth="1"/>
    <col min="3850" max="3850" width="15.85546875" style="21" customWidth="1"/>
    <col min="3851" max="3851" width="26" style="21" customWidth="1"/>
    <col min="3852" max="3852" width="21.7109375" style="21" customWidth="1"/>
    <col min="3853" max="3853" width="16.5703125" style="21" customWidth="1"/>
    <col min="3854" max="3854" width="25.7109375" style="21" customWidth="1"/>
    <col min="3855" max="3855" width="31.42578125" style="21" customWidth="1"/>
    <col min="3856" max="3856" width="18.42578125" style="21" customWidth="1"/>
    <col min="3857" max="3857" width="13.42578125" style="21" customWidth="1"/>
    <col min="3858" max="3858" width="18" style="21" customWidth="1"/>
    <col min="3859" max="3859" width="19.7109375" style="21" customWidth="1"/>
    <col min="3860" max="3861" width="13.42578125" style="21" customWidth="1"/>
    <col min="3862" max="3862" width="18" style="21" customWidth="1"/>
    <col min="3863" max="3863" width="15.42578125" style="21" customWidth="1"/>
    <col min="3864" max="3864" width="13.42578125" style="21" customWidth="1"/>
    <col min="3865" max="3865" width="16.140625" style="21" customWidth="1"/>
    <col min="3866" max="3866" width="18" style="21" customWidth="1"/>
    <col min="3867" max="3868" width="13.42578125" style="21" customWidth="1"/>
    <col min="3869" max="3869" width="18.85546875" style="21" customWidth="1"/>
    <col min="3870" max="3870" width="28.7109375" style="21" customWidth="1"/>
    <col min="3871" max="3871" width="18.85546875" style="21" customWidth="1"/>
    <col min="3872" max="3872" width="16" style="21" customWidth="1"/>
    <col min="3873" max="3873" width="13.42578125" style="21" customWidth="1"/>
    <col min="3874" max="3874" width="26.28515625" style="21" customWidth="1"/>
    <col min="3875" max="3875" width="37.140625" style="21" customWidth="1"/>
    <col min="3876" max="3876" width="13.42578125" style="21" customWidth="1"/>
    <col min="3877" max="3877" width="16.85546875" style="21" customWidth="1"/>
    <col min="3878" max="3878" width="29.140625" style="21" customWidth="1"/>
    <col min="3879" max="3879" width="24.140625" style="21" customWidth="1"/>
    <col min="3880" max="3880" width="15.140625" style="21" customWidth="1"/>
    <col min="3881" max="3881" width="18.7109375" style="21" customWidth="1"/>
    <col min="3882" max="3882" width="19.5703125" style="21" customWidth="1"/>
    <col min="3883" max="3883" width="26.42578125" style="21" customWidth="1"/>
    <col min="3884" max="3884" width="25.85546875" style="21" customWidth="1"/>
    <col min="3885" max="3885" width="13.42578125" style="21" customWidth="1"/>
    <col min="3886" max="3886" width="26.85546875" style="21" customWidth="1"/>
    <col min="3887" max="3888" width="31.42578125" style="21" customWidth="1"/>
    <col min="3889" max="3889" width="26.42578125" style="21" customWidth="1"/>
    <col min="3890" max="3890" width="40.42578125" style="21" customWidth="1"/>
    <col min="3891" max="3891" width="33.85546875" style="21" customWidth="1"/>
    <col min="3892" max="3892" width="37" style="21" customWidth="1"/>
    <col min="3893" max="3893" width="17.85546875" style="21" customWidth="1"/>
    <col min="3894" max="3894" width="28.5703125" style="21" customWidth="1"/>
    <col min="3895" max="3895" width="24.28515625" style="21" customWidth="1"/>
    <col min="3896" max="3896" width="40.140625" style="21" customWidth="1"/>
    <col min="3897" max="3897" width="18.7109375" style="21" customWidth="1"/>
    <col min="3898" max="3898" width="16.28515625" style="21" customWidth="1"/>
    <col min="3899" max="3899" width="13.42578125" style="21" customWidth="1"/>
    <col min="3900" max="3900" width="15.42578125" style="21" customWidth="1"/>
    <col min="3901" max="3901" width="30.85546875" style="21" customWidth="1"/>
    <col min="3902" max="3902" width="13.42578125" style="21" customWidth="1"/>
    <col min="3903" max="3903" width="25.7109375" style="21" customWidth="1"/>
    <col min="3904" max="3904" width="24.28515625" style="21" customWidth="1"/>
    <col min="3905" max="3905" width="23.85546875" style="21" customWidth="1"/>
    <col min="3906" max="3906" width="27.5703125" style="21" customWidth="1"/>
    <col min="3907" max="3907" width="25.42578125" style="21" customWidth="1"/>
    <col min="3908" max="3910" width="13.42578125" style="21" customWidth="1"/>
    <col min="3911" max="3911" width="16.28515625" style="21" customWidth="1"/>
    <col min="3912" max="3912" width="25.28515625" style="21" customWidth="1"/>
    <col min="3913" max="3914" width="13.42578125" style="21" customWidth="1"/>
    <col min="3915" max="3915" width="24.7109375" style="21" customWidth="1"/>
    <col min="3916" max="3916" width="26.85546875" style="21" customWidth="1"/>
    <col min="3917" max="3917" width="24.42578125" style="21" customWidth="1"/>
    <col min="3918" max="3918" width="23.140625" style="21" customWidth="1"/>
    <col min="3919" max="3919" width="21.140625" style="21" customWidth="1"/>
    <col min="3920" max="3920" width="14.5703125" style="21" customWidth="1"/>
    <col min="3921" max="3921" width="30.28515625" style="21" customWidth="1"/>
    <col min="3922" max="3922" width="13.42578125" style="21" customWidth="1"/>
    <col min="3923" max="3923" width="31.42578125" style="21" customWidth="1"/>
    <col min="3924" max="3924" width="13.42578125" style="21" customWidth="1"/>
    <col min="3925" max="3925" width="44.42578125" style="21" customWidth="1"/>
    <col min="3926" max="3926" width="19.7109375" style="21" customWidth="1"/>
    <col min="3927" max="3927" width="38.85546875" style="21" customWidth="1"/>
    <col min="3928" max="3928" width="31.42578125" style="21" customWidth="1"/>
    <col min="3929" max="3929" width="50.7109375" style="21" customWidth="1"/>
    <col min="3930" max="3930" width="34.85546875" style="21" customWidth="1"/>
    <col min="3931" max="3932" width="13.42578125" style="21" customWidth="1"/>
    <col min="3933" max="3933" width="18.140625" style="21" customWidth="1"/>
    <col min="3934" max="3934" width="23.7109375" style="21" customWidth="1"/>
    <col min="3935" max="3935" width="26.85546875" style="21" customWidth="1"/>
    <col min="3936" max="3936" width="23" style="21" customWidth="1"/>
    <col min="3937" max="3937" width="25.7109375" style="21" customWidth="1"/>
    <col min="3938" max="3938" width="29.28515625" style="21" customWidth="1"/>
    <col min="3939" max="3939" width="29.42578125" style="21" customWidth="1"/>
    <col min="3940" max="3940" width="23.5703125" style="21" customWidth="1"/>
    <col min="3941" max="3941" width="32.85546875" style="21" customWidth="1"/>
    <col min="3942" max="3942" width="30.7109375" style="21" customWidth="1"/>
    <col min="3943" max="3943" width="33.85546875" style="21" customWidth="1"/>
    <col min="3944" max="3944" width="15.85546875" style="21" customWidth="1"/>
    <col min="3945" max="3945" width="17.28515625" style="21" customWidth="1"/>
    <col min="3946" max="3946" width="26.5703125" style="21" customWidth="1"/>
    <col min="3947" max="3947" width="21.5703125" style="21" customWidth="1"/>
    <col min="3948" max="3948" width="42.7109375" style="21" customWidth="1"/>
    <col min="3949" max="3949" width="44.140625" style="21" customWidth="1"/>
    <col min="3950" max="3951" width="31.42578125" style="21" customWidth="1"/>
    <col min="3952" max="3952" width="27.85546875" style="21" customWidth="1"/>
    <col min="3953" max="3953" width="0" style="21" hidden="1" customWidth="1"/>
    <col min="3954" max="3954" width="31.42578125" style="21" customWidth="1"/>
    <col min="3955" max="4096" width="9.140625" style="21"/>
    <col min="4097" max="4097" width="8.7109375" style="21" customWidth="1"/>
    <col min="4098" max="4099" width="31.42578125" style="21" customWidth="1"/>
    <col min="4100" max="4100" width="25.85546875" style="21" customWidth="1"/>
    <col min="4101" max="4101" width="26.85546875" style="21" customWidth="1"/>
    <col min="4102" max="4102" width="27" style="21" customWidth="1"/>
    <col min="4103" max="4103" width="32.28515625" style="21" customWidth="1"/>
    <col min="4104" max="4104" width="13.42578125" style="21" customWidth="1"/>
    <col min="4105" max="4105" width="17.85546875" style="21" customWidth="1"/>
    <col min="4106" max="4106" width="15.85546875" style="21" customWidth="1"/>
    <col min="4107" max="4107" width="26" style="21" customWidth="1"/>
    <col min="4108" max="4108" width="21.7109375" style="21" customWidth="1"/>
    <col min="4109" max="4109" width="16.5703125" style="21" customWidth="1"/>
    <col min="4110" max="4110" width="25.7109375" style="21" customWidth="1"/>
    <col min="4111" max="4111" width="31.42578125" style="21" customWidth="1"/>
    <col min="4112" max="4112" width="18.42578125" style="21" customWidth="1"/>
    <col min="4113" max="4113" width="13.42578125" style="21" customWidth="1"/>
    <col min="4114" max="4114" width="18" style="21" customWidth="1"/>
    <col min="4115" max="4115" width="19.7109375" style="21" customWidth="1"/>
    <col min="4116" max="4117" width="13.42578125" style="21" customWidth="1"/>
    <col min="4118" max="4118" width="18" style="21" customWidth="1"/>
    <col min="4119" max="4119" width="15.42578125" style="21" customWidth="1"/>
    <col min="4120" max="4120" width="13.42578125" style="21" customWidth="1"/>
    <col min="4121" max="4121" width="16.140625" style="21" customWidth="1"/>
    <col min="4122" max="4122" width="18" style="21" customWidth="1"/>
    <col min="4123" max="4124" width="13.42578125" style="21" customWidth="1"/>
    <col min="4125" max="4125" width="18.85546875" style="21" customWidth="1"/>
    <col min="4126" max="4126" width="28.7109375" style="21" customWidth="1"/>
    <col min="4127" max="4127" width="18.85546875" style="21" customWidth="1"/>
    <col min="4128" max="4128" width="16" style="21" customWidth="1"/>
    <col min="4129" max="4129" width="13.42578125" style="21" customWidth="1"/>
    <col min="4130" max="4130" width="26.28515625" style="21" customWidth="1"/>
    <col min="4131" max="4131" width="37.140625" style="21" customWidth="1"/>
    <col min="4132" max="4132" width="13.42578125" style="21" customWidth="1"/>
    <col min="4133" max="4133" width="16.85546875" style="21" customWidth="1"/>
    <col min="4134" max="4134" width="29.140625" style="21" customWidth="1"/>
    <col min="4135" max="4135" width="24.140625" style="21" customWidth="1"/>
    <col min="4136" max="4136" width="15.140625" style="21" customWidth="1"/>
    <col min="4137" max="4137" width="18.7109375" style="21" customWidth="1"/>
    <col min="4138" max="4138" width="19.5703125" style="21" customWidth="1"/>
    <col min="4139" max="4139" width="26.42578125" style="21" customWidth="1"/>
    <col min="4140" max="4140" width="25.85546875" style="21" customWidth="1"/>
    <col min="4141" max="4141" width="13.42578125" style="21" customWidth="1"/>
    <col min="4142" max="4142" width="26.85546875" style="21" customWidth="1"/>
    <col min="4143" max="4144" width="31.42578125" style="21" customWidth="1"/>
    <col min="4145" max="4145" width="26.42578125" style="21" customWidth="1"/>
    <col min="4146" max="4146" width="40.42578125" style="21" customWidth="1"/>
    <col min="4147" max="4147" width="33.85546875" style="21" customWidth="1"/>
    <col min="4148" max="4148" width="37" style="21" customWidth="1"/>
    <col min="4149" max="4149" width="17.85546875" style="21" customWidth="1"/>
    <col min="4150" max="4150" width="28.5703125" style="21" customWidth="1"/>
    <col min="4151" max="4151" width="24.28515625" style="21" customWidth="1"/>
    <col min="4152" max="4152" width="40.140625" style="21" customWidth="1"/>
    <col min="4153" max="4153" width="18.7109375" style="21" customWidth="1"/>
    <col min="4154" max="4154" width="16.28515625" style="21" customWidth="1"/>
    <col min="4155" max="4155" width="13.42578125" style="21" customWidth="1"/>
    <col min="4156" max="4156" width="15.42578125" style="21" customWidth="1"/>
    <col min="4157" max="4157" width="30.85546875" style="21" customWidth="1"/>
    <col min="4158" max="4158" width="13.42578125" style="21" customWidth="1"/>
    <col min="4159" max="4159" width="25.7109375" style="21" customWidth="1"/>
    <col min="4160" max="4160" width="24.28515625" style="21" customWidth="1"/>
    <col min="4161" max="4161" width="23.85546875" style="21" customWidth="1"/>
    <col min="4162" max="4162" width="27.5703125" style="21" customWidth="1"/>
    <col min="4163" max="4163" width="25.42578125" style="21" customWidth="1"/>
    <col min="4164" max="4166" width="13.42578125" style="21" customWidth="1"/>
    <col min="4167" max="4167" width="16.28515625" style="21" customWidth="1"/>
    <col min="4168" max="4168" width="25.28515625" style="21" customWidth="1"/>
    <col min="4169" max="4170" width="13.42578125" style="21" customWidth="1"/>
    <col min="4171" max="4171" width="24.7109375" style="21" customWidth="1"/>
    <col min="4172" max="4172" width="26.85546875" style="21" customWidth="1"/>
    <col min="4173" max="4173" width="24.42578125" style="21" customWidth="1"/>
    <col min="4174" max="4174" width="23.140625" style="21" customWidth="1"/>
    <col min="4175" max="4175" width="21.140625" style="21" customWidth="1"/>
    <col min="4176" max="4176" width="14.5703125" style="21" customWidth="1"/>
    <col min="4177" max="4177" width="30.28515625" style="21" customWidth="1"/>
    <col min="4178" max="4178" width="13.42578125" style="21" customWidth="1"/>
    <col min="4179" max="4179" width="31.42578125" style="21" customWidth="1"/>
    <col min="4180" max="4180" width="13.42578125" style="21" customWidth="1"/>
    <col min="4181" max="4181" width="44.42578125" style="21" customWidth="1"/>
    <col min="4182" max="4182" width="19.7109375" style="21" customWidth="1"/>
    <col min="4183" max="4183" width="38.85546875" style="21" customWidth="1"/>
    <col min="4184" max="4184" width="31.42578125" style="21" customWidth="1"/>
    <col min="4185" max="4185" width="50.7109375" style="21" customWidth="1"/>
    <col min="4186" max="4186" width="34.85546875" style="21" customWidth="1"/>
    <col min="4187" max="4188" width="13.42578125" style="21" customWidth="1"/>
    <col min="4189" max="4189" width="18.140625" style="21" customWidth="1"/>
    <col min="4190" max="4190" width="23.7109375" style="21" customWidth="1"/>
    <col min="4191" max="4191" width="26.85546875" style="21" customWidth="1"/>
    <col min="4192" max="4192" width="23" style="21" customWidth="1"/>
    <col min="4193" max="4193" width="25.7109375" style="21" customWidth="1"/>
    <col min="4194" max="4194" width="29.28515625" style="21" customWidth="1"/>
    <col min="4195" max="4195" width="29.42578125" style="21" customWidth="1"/>
    <col min="4196" max="4196" width="23.5703125" style="21" customWidth="1"/>
    <col min="4197" max="4197" width="32.85546875" style="21" customWidth="1"/>
    <col min="4198" max="4198" width="30.7109375" style="21" customWidth="1"/>
    <col min="4199" max="4199" width="33.85546875" style="21" customWidth="1"/>
    <col min="4200" max="4200" width="15.85546875" style="21" customWidth="1"/>
    <col min="4201" max="4201" width="17.28515625" style="21" customWidth="1"/>
    <col min="4202" max="4202" width="26.5703125" style="21" customWidth="1"/>
    <col min="4203" max="4203" width="21.5703125" style="21" customWidth="1"/>
    <col min="4204" max="4204" width="42.7109375" style="21" customWidth="1"/>
    <col min="4205" max="4205" width="44.140625" style="21" customWidth="1"/>
    <col min="4206" max="4207" width="31.42578125" style="21" customWidth="1"/>
    <col min="4208" max="4208" width="27.85546875" style="21" customWidth="1"/>
    <col min="4209" max="4209" width="0" style="21" hidden="1" customWidth="1"/>
    <col min="4210" max="4210" width="31.42578125" style="21" customWidth="1"/>
    <col min="4211" max="4352" width="9.140625" style="21"/>
    <col min="4353" max="4353" width="8.7109375" style="21" customWidth="1"/>
    <col min="4354" max="4355" width="31.42578125" style="21" customWidth="1"/>
    <col min="4356" max="4356" width="25.85546875" style="21" customWidth="1"/>
    <col min="4357" max="4357" width="26.85546875" style="21" customWidth="1"/>
    <col min="4358" max="4358" width="27" style="21" customWidth="1"/>
    <col min="4359" max="4359" width="32.28515625" style="21" customWidth="1"/>
    <col min="4360" max="4360" width="13.42578125" style="21" customWidth="1"/>
    <col min="4361" max="4361" width="17.85546875" style="21" customWidth="1"/>
    <col min="4362" max="4362" width="15.85546875" style="21" customWidth="1"/>
    <col min="4363" max="4363" width="26" style="21" customWidth="1"/>
    <col min="4364" max="4364" width="21.7109375" style="21" customWidth="1"/>
    <col min="4365" max="4365" width="16.5703125" style="21" customWidth="1"/>
    <col min="4366" max="4366" width="25.7109375" style="21" customWidth="1"/>
    <col min="4367" max="4367" width="31.42578125" style="21" customWidth="1"/>
    <col min="4368" max="4368" width="18.42578125" style="21" customWidth="1"/>
    <col min="4369" max="4369" width="13.42578125" style="21" customWidth="1"/>
    <col min="4370" max="4370" width="18" style="21" customWidth="1"/>
    <col min="4371" max="4371" width="19.7109375" style="21" customWidth="1"/>
    <col min="4372" max="4373" width="13.42578125" style="21" customWidth="1"/>
    <col min="4374" max="4374" width="18" style="21" customWidth="1"/>
    <col min="4375" max="4375" width="15.42578125" style="21" customWidth="1"/>
    <col min="4376" max="4376" width="13.42578125" style="21" customWidth="1"/>
    <col min="4377" max="4377" width="16.140625" style="21" customWidth="1"/>
    <col min="4378" max="4378" width="18" style="21" customWidth="1"/>
    <col min="4379" max="4380" width="13.42578125" style="21" customWidth="1"/>
    <col min="4381" max="4381" width="18.85546875" style="21" customWidth="1"/>
    <col min="4382" max="4382" width="28.7109375" style="21" customWidth="1"/>
    <col min="4383" max="4383" width="18.85546875" style="21" customWidth="1"/>
    <col min="4384" max="4384" width="16" style="21" customWidth="1"/>
    <col min="4385" max="4385" width="13.42578125" style="21" customWidth="1"/>
    <col min="4386" max="4386" width="26.28515625" style="21" customWidth="1"/>
    <col min="4387" max="4387" width="37.140625" style="21" customWidth="1"/>
    <col min="4388" max="4388" width="13.42578125" style="21" customWidth="1"/>
    <col min="4389" max="4389" width="16.85546875" style="21" customWidth="1"/>
    <col min="4390" max="4390" width="29.140625" style="21" customWidth="1"/>
    <col min="4391" max="4391" width="24.140625" style="21" customWidth="1"/>
    <col min="4392" max="4392" width="15.140625" style="21" customWidth="1"/>
    <col min="4393" max="4393" width="18.7109375" style="21" customWidth="1"/>
    <col min="4394" max="4394" width="19.5703125" style="21" customWidth="1"/>
    <col min="4395" max="4395" width="26.42578125" style="21" customWidth="1"/>
    <col min="4396" max="4396" width="25.85546875" style="21" customWidth="1"/>
    <col min="4397" max="4397" width="13.42578125" style="21" customWidth="1"/>
    <col min="4398" max="4398" width="26.85546875" style="21" customWidth="1"/>
    <col min="4399" max="4400" width="31.42578125" style="21" customWidth="1"/>
    <col min="4401" max="4401" width="26.42578125" style="21" customWidth="1"/>
    <col min="4402" max="4402" width="40.42578125" style="21" customWidth="1"/>
    <col min="4403" max="4403" width="33.85546875" style="21" customWidth="1"/>
    <col min="4404" max="4404" width="37" style="21" customWidth="1"/>
    <col min="4405" max="4405" width="17.85546875" style="21" customWidth="1"/>
    <col min="4406" max="4406" width="28.5703125" style="21" customWidth="1"/>
    <col min="4407" max="4407" width="24.28515625" style="21" customWidth="1"/>
    <col min="4408" max="4408" width="40.140625" style="21" customWidth="1"/>
    <col min="4409" max="4409" width="18.7109375" style="21" customWidth="1"/>
    <col min="4410" max="4410" width="16.28515625" style="21" customWidth="1"/>
    <col min="4411" max="4411" width="13.42578125" style="21" customWidth="1"/>
    <col min="4412" max="4412" width="15.42578125" style="21" customWidth="1"/>
    <col min="4413" max="4413" width="30.85546875" style="21" customWidth="1"/>
    <col min="4414" max="4414" width="13.42578125" style="21" customWidth="1"/>
    <col min="4415" max="4415" width="25.7109375" style="21" customWidth="1"/>
    <col min="4416" max="4416" width="24.28515625" style="21" customWidth="1"/>
    <col min="4417" max="4417" width="23.85546875" style="21" customWidth="1"/>
    <col min="4418" max="4418" width="27.5703125" style="21" customWidth="1"/>
    <col min="4419" max="4419" width="25.42578125" style="21" customWidth="1"/>
    <col min="4420" max="4422" width="13.42578125" style="21" customWidth="1"/>
    <col min="4423" max="4423" width="16.28515625" style="21" customWidth="1"/>
    <col min="4424" max="4424" width="25.28515625" style="21" customWidth="1"/>
    <col min="4425" max="4426" width="13.42578125" style="21" customWidth="1"/>
    <col min="4427" max="4427" width="24.7109375" style="21" customWidth="1"/>
    <col min="4428" max="4428" width="26.85546875" style="21" customWidth="1"/>
    <col min="4429" max="4429" width="24.42578125" style="21" customWidth="1"/>
    <col min="4430" max="4430" width="23.140625" style="21" customWidth="1"/>
    <col min="4431" max="4431" width="21.140625" style="21" customWidth="1"/>
    <col min="4432" max="4432" width="14.5703125" style="21" customWidth="1"/>
    <col min="4433" max="4433" width="30.28515625" style="21" customWidth="1"/>
    <col min="4434" max="4434" width="13.42578125" style="21" customWidth="1"/>
    <col min="4435" max="4435" width="31.42578125" style="21" customWidth="1"/>
    <col min="4436" max="4436" width="13.42578125" style="21" customWidth="1"/>
    <col min="4437" max="4437" width="44.42578125" style="21" customWidth="1"/>
    <col min="4438" max="4438" width="19.7109375" style="21" customWidth="1"/>
    <col min="4439" max="4439" width="38.85546875" style="21" customWidth="1"/>
    <col min="4440" max="4440" width="31.42578125" style="21" customWidth="1"/>
    <col min="4441" max="4441" width="50.7109375" style="21" customWidth="1"/>
    <col min="4442" max="4442" width="34.85546875" style="21" customWidth="1"/>
    <col min="4443" max="4444" width="13.42578125" style="21" customWidth="1"/>
    <col min="4445" max="4445" width="18.140625" style="21" customWidth="1"/>
    <col min="4446" max="4446" width="23.7109375" style="21" customWidth="1"/>
    <col min="4447" max="4447" width="26.85546875" style="21" customWidth="1"/>
    <col min="4448" max="4448" width="23" style="21" customWidth="1"/>
    <col min="4449" max="4449" width="25.7109375" style="21" customWidth="1"/>
    <col min="4450" max="4450" width="29.28515625" style="21" customWidth="1"/>
    <col min="4451" max="4451" width="29.42578125" style="21" customWidth="1"/>
    <col min="4452" max="4452" width="23.5703125" style="21" customWidth="1"/>
    <col min="4453" max="4453" width="32.85546875" style="21" customWidth="1"/>
    <col min="4454" max="4454" width="30.7109375" style="21" customWidth="1"/>
    <col min="4455" max="4455" width="33.85546875" style="21" customWidth="1"/>
    <col min="4456" max="4456" width="15.85546875" style="21" customWidth="1"/>
    <col min="4457" max="4457" width="17.28515625" style="21" customWidth="1"/>
    <col min="4458" max="4458" width="26.5703125" style="21" customWidth="1"/>
    <col min="4459" max="4459" width="21.5703125" style="21" customWidth="1"/>
    <col min="4460" max="4460" width="42.7109375" style="21" customWidth="1"/>
    <col min="4461" max="4461" width="44.140625" style="21" customWidth="1"/>
    <col min="4462" max="4463" width="31.42578125" style="21" customWidth="1"/>
    <col min="4464" max="4464" width="27.85546875" style="21" customWidth="1"/>
    <col min="4465" max="4465" width="0" style="21" hidden="1" customWidth="1"/>
    <col min="4466" max="4466" width="31.42578125" style="21" customWidth="1"/>
    <col min="4467" max="4608" width="9.140625" style="21"/>
    <col min="4609" max="4609" width="8.7109375" style="21" customWidth="1"/>
    <col min="4610" max="4611" width="31.42578125" style="21" customWidth="1"/>
    <col min="4612" max="4612" width="25.85546875" style="21" customWidth="1"/>
    <col min="4613" max="4613" width="26.85546875" style="21" customWidth="1"/>
    <col min="4614" max="4614" width="27" style="21" customWidth="1"/>
    <col min="4615" max="4615" width="32.28515625" style="21" customWidth="1"/>
    <col min="4616" max="4616" width="13.42578125" style="21" customWidth="1"/>
    <col min="4617" max="4617" width="17.85546875" style="21" customWidth="1"/>
    <col min="4618" max="4618" width="15.85546875" style="21" customWidth="1"/>
    <col min="4619" max="4619" width="26" style="21" customWidth="1"/>
    <col min="4620" max="4620" width="21.7109375" style="21" customWidth="1"/>
    <col min="4621" max="4621" width="16.5703125" style="21" customWidth="1"/>
    <col min="4622" max="4622" width="25.7109375" style="21" customWidth="1"/>
    <col min="4623" max="4623" width="31.42578125" style="21" customWidth="1"/>
    <col min="4624" max="4624" width="18.42578125" style="21" customWidth="1"/>
    <col min="4625" max="4625" width="13.42578125" style="21" customWidth="1"/>
    <col min="4626" max="4626" width="18" style="21" customWidth="1"/>
    <col min="4627" max="4627" width="19.7109375" style="21" customWidth="1"/>
    <col min="4628" max="4629" width="13.42578125" style="21" customWidth="1"/>
    <col min="4630" max="4630" width="18" style="21" customWidth="1"/>
    <col min="4631" max="4631" width="15.42578125" style="21" customWidth="1"/>
    <col min="4632" max="4632" width="13.42578125" style="21" customWidth="1"/>
    <col min="4633" max="4633" width="16.140625" style="21" customWidth="1"/>
    <col min="4634" max="4634" width="18" style="21" customWidth="1"/>
    <col min="4635" max="4636" width="13.42578125" style="21" customWidth="1"/>
    <col min="4637" max="4637" width="18.85546875" style="21" customWidth="1"/>
    <col min="4638" max="4638" width="28.7109375" style="21" customWidth="1"/>
    <col min="4639" max="4639" width="18.85546875" style="21" customWidth="1"/>
    <col min="4640" max="4640" width="16" style="21" customWidth="1"/>
    <col min="4641" max="4641" width="13.42578125" style="21" customWidth="1"/>
    <col min="4642" max="4642" width="26.28515625" style="21" customWidth="1"/>
    <col min="4643" max="4643" width="37.140625" style="21" customWidth="1"/>
    <col min="4644" max="4644" width="13.42578125" style="21" customWidth="1"/>
    <col min="4645" max="4645" width="16.85546875" style="21" customWidth="1"/>
    <col min="4646" max="4646" width="29.140625" style="21" customWidth="1"/>
    <col min="4647" max="4647" width="24.140625" style="21" customWidth="1"/>
    <col min="4648" max="4648" width="15.140625" style="21" customWidth="1"/>
    <col min="4649" max="4649" width="18.7109375" style="21" customWidth="1"/>
    <col min="4650" max="4650" width="19.5703125" style="21" customWidth="1"/>
    <col min="4651" max="4651" width="26.42578125" style="21" customWidth="1"/>
    <col min="4652" max="4652" width="25.85546875" style="21" customWidth="1"/>
    <col min="4653" max="4653" width="13.42578125" style="21" customWidth="1"/>
    <col min="4654" max="4654" width="26.85546875" style="21" customWidth="1"/>
    <col min="4655" max="4656" width="31.42578125" style="21" customWidth="1"/>
    <col min="4657" max="4657" width="26.42578125" style="21" customWidth="1"/>
    <col min="4658" max="4658" width="40.42578125" style="21" customWidth="1"/>
    <col min="4659" max="4659" width="33.85546875" style="21" customWidth="1"/>
    <col min="4660" max="4660" width="37" style="21" customWidth="1"/>
    <col min="4661" max="4661" width="17.85546875" style="21" customWidth="1"/>
    <col min="4662" max="4662" width="28.5703125" style="21" customWidth="1"/>
    <col min="4663" max="4663" width="24.28515625" style="21" customWidth="1"/>
    <col min="4664" max="4664" width="40.140625" style="21" customWidth="1"/>
    <col min="4665" max="4665" width="18.7109375" style="21" customWidth="1"/>
    <col min="4666" max="4666" width="16.28515625" style="21" customWidth="1"/>
    <col min="4667" max="4667" width="13.42578125" style="21" customWidth="1"/>
    <col min="4668" max="4668" width="15.42578125" style="21" customWidth="1"/>
    <col min="4669" max="4669" width="30.85546875" style="21" customWidth="1"/>
    <col min="4670" max="4670" width="13.42578125" style="21" customWidth="1"/>
    <col min="4671" max="4671" width="25.7109375" style="21" customWidth="1"/>
    <col min="4672" max="4672" width="24.28515625" style="21" customWidth="1"/>
    <col min="4673" max="4673" width="23.85546875" style="21" customWidth="1"/>
    <col min="4674" max="4674" width="27.5703125" style="21" customWidth="1"/>
    <col min="4675" max="4675" width="25.42578125" style="21" customWidth="1"/>
    <col min="4676" max="4678" width="13.42578125" style="21" customWidth="1"/>
    <col min="4679" max="4679" width="16.28515625" style="21" customWidth="1"/>
    <col min="4680" max="4680" width="25.28515625" style="21" customWidth="1"/>
    <col min="4681" max="4682" width="13.42578125" style="21" customWidth="1"/>
    <col min="4683" max="4683" width="24.7109375" style="21" customWidth="1"/>
    <col min="4684" max="4684" width="26.85546875" style="21" customWidth="1"/>
    <col min="4685" max="4685" width="24.42578125" style="21" customWidth="1"/>
    <col min="4686" max="4686" width="23.140625" style="21" customWidth="1"/>
    <col min="4687" max="4687" width="21.140625" style="21" customWidth="1"/>
    <col min="4688" max="4688" width="14.5703125" style="21" customWidth="1"/>
    <col min="4689" max="4689" width="30.28515625" style="21" customWidth="1"/>
    <col min="4690" max="4690" width="13.42578125" style="21" customWidth="1"/>
    <col min="4691" max="4691" width="31.42578125" style="21" customWidth="1"/>
    <col min="4692" max="4692" width="13.42578125" style="21" customWidth="1"/>
    <col min="4693" max="4693" width="44.42578125" style="21" customWidth="1"/>
    <col min="4694" max="4694" width="19.7109375" style="21" customWidth="1"/>
    <col min="4695" max="4695" width="38.85546875" style="21" customWidth="1"/>
    <col min="4696" max="4696" width="31.42578125" style="21" customWidth="1"/>
    <col min="4697" max="4697" width="50.7109375" style="21" customWidth="1"/>
    <col min="4698" max="4698" width="34.85546875" style="21" customWidth="1"/>
    <col min="4699" max="4700" width="13.42578125" style="21" customWidth="1"/>
    <col min="4701" max="4701" width="18.140625" style="21" customWidth="1"/>
    <col min="4702" max="4702" width="23.7109375" style="21" customWidth="1"/>
    <col min="4703" max="4703" width="26.85546875" style="21" customWidth="1"/>
    <col min="4704" max="4704" width="23" style="21" customWidth="1"/>
    <col min="4705" max="4705" width="25.7109375" style="21" customWidth="1"/>
    <col min="4706" max="4706" width="29.28515625" style="21" customWidth="1"/>
    <col min="4707" max="4707" width="29.42578125" style="21" customWidth="1"/>
    <col min="4708" max="4708" width="23.5703125" style="21" customWidth="1"/>
    <col min="4709" max="4709" width="32.85546875" style="21" customWidth="1"/>
    <col min="4710" max="4710" width="30.7109375" style="21" customWidth="1"/>
    <col min="4711" max="4711" width="33.85546875" style="21" customWidth="1"/>
    <col min="4712" max="4712" width="15.85546875" style="21" customWidth="1"/>
    <col min="4713" max="4713" width="17.28515625" style="21" customWidth="1"/>
    <col min="4714" max="4714" width="26.5703125" style="21" customWidth="1"/>
    <col min="4715" max="4715" width="21.5703125" style="21" customWidth="1"/>
    <col min="4716" max="4716" width="42.7109375" style="21" customWidth="1"/>
    <col min="4717" max="4717" width="44.140625" style="21" customWidth="1"/>
    <col min="4718" max="4719" width="31.42578125" style="21" customWidth="1"/>
    <col min="4720" max="4720" width="27.85546875" style="21" customWidth="1"/>
    <col min="4721" max="4721" width="0" style="21" hidden="1" customWidth="1"/>
    <col min="4722" max="4722" width="31.42578125" style="21" customWidth="1"/>
    <col min="4723" max="4864" width="9.140625" style="21"/>
    <col min="4865" max="4865" width="8.7109375" style="21" customWidth="1"/>
    <col min="4866" max="4867" width="31.42578125" style="21" customWidth="1"/>
    <col min="4868" max="4868" width="25.85546875" style="21" customWidth="1"/>
    <col min="4869" max="4869" width="26.85546875" style="21" customWidth="1"/>
    <col min="4870" max="4870" width="27" style="21" customWidth="1"/>
    <col min="4871" max="4871" width="32.28515625" style="21" customWidth="1"/>
    <col min="4872" max="4872" width="13.42578125" style="21" customWidth="1"/>
    <col min="4873" max="4873" width="17.85546875" style="21" customWidth="1"/>
    <col min="4874" max="4874" width="15.85546875" style="21" customWidth="1"/>
    <col min="4875" max="4875" width="26" style="21" customWidth="1"/>
    <col min="4876" max="4876" width="21.7109375" style="21" customWidth="1"/>
    <col min="4877" max="4877" width="16.5703125" style="21" customWidth="1"/>
    <col min="4878" max="4878" width="25.7109375" style="21" customWidth="1"/>
    <col min="4879" max="4879" width="31.42578125" style="21" customWidth="1"/>
    <col min="4880" max="4880" width="18.42578125" style="21" customWidth="1"/>
    <col min="4881" max="4881" width="13.42578125" style="21" customWidth="1"/>
    <col min="4882" max="4882" width="18" style="21" customWidth="1"/>
    <col min="4883" max="4883" width="19.7109375" style="21" customWidth="1"/>
    <col min="4884" max="4885" width="13.42578125" style="21" customWidth="1"/>
    <col min="4886" max="4886" width="18" style="21" customWidth="1"/>
    <col min="4887" max="4887" width="15.42578125" style="21" customWidth="1"/>
    <col min="4888" max="4888" width="13.42578125" style="21" customWidth="1"/>
    <col min="4889" max="4889" width="16.140625" style="21" customWidth="1"/>
    <col min="4890" max="4890" width="18" style="21" customWidth="1"/>
    <col min="4891" max="4892" width="13.42578125" style="21" customWidth="1"/>
    <col min="4893" max="4893" width="18.85546875" style="21" customWidth="1"/>
    <col min="4894" max="4894" width="28.7109375" style="21" customWidth="1"/>
    <col min="4895" max="4895" width="18.85546875" style="21" customWidth="1"/>
    <col min="4896" max="4896" width="16" style="21" customWidth="1"/>
    <col min="4897" max="4897" width="13.42578125" style="21" customWidth="1"/>
    <col min="4898" max="4898" width="26.28515625" style="21" customWidth="1"/>
    <col min="4899" max="4899" width="37.140625" style="21" customWidth="1"/>
    <col min="4900" max="4900" width="13.42578125" style="21" customWidth="1"/>
    <col min="4901" max="4901" width="16.85546875" style="21" customWidth="1"/>
    <col min="4902" max="4902" width="29.140625" style="21" customWidth="1"/>
    <col min="4903" max="4903" width="24.140625" style="21" customWidth="1"/>
    <col min="4904" max="4904" width="15.140625" style="21" customWidth="1"/>
    <col min="4905" max="4905" width="18.7109375" style="21" customWidth="1"/>
    <col min="4906" max="4906" width="19.5703125" style="21" customWidth="1"/>
    <col min="4907" max="4907" width="26.42578125" style="21" customWidth="1"/>
    <col min="4908" max="4908" width="25.85546875" style="21" customWidth="1"/>
    <col min="4909" max="4909" width="13.42578125" style="21" customWidth="1"/>
    <col min="4910" max="4910" width="26.85546875" style="21" customWidth="1"/>
    <col min="4911" max="4912" width="31.42578125" style="21" customWidth="1"/>
    <col min="4913" max="4913" width="26.42578125" style="21" customWidth="1"/>
    <col min="4914" max="4914" width="40.42578125" style="21" customWidth="1"/>
    <col min="4915" max="4915" width="33.85546875" style="21" customWidth="1"/>
    <col min="4916" max="4916" width="37" style="21" customWidth="1"/>
    <col min="4917" max="4917" width="17.85546875" style="21" customWidth="1"/>
    <col min="4918" max="4918" width="28.5703125" style="21" customWidth="1"/>
    <col min="4919" max="4919" width="24.28515625" style="21" customWidth="1"/>
    <col min="4920" max="4920" width="40.140625" style="21" customWidth="1"/>
    <col min="4921" max="4921" width="18.7109375" style="21" customWidth="1"/>
    <col min="4922" max="4922" width="16.28515625" style="21" customWidth="1"/>
    <col min="4923" max="4923" width="13.42578125" style="21" customWidth="1"/>
    <col min="4924" max="4924" width="15.42578125" style="21" customWidth="1"/>
    <col min="4925" max="4925" width="30.85546875" style="21" customWidth="1"/>
    <col min="4926" max="4926" width="13.42578125" style="21" customWidth="1"/>
    <col min="4927" max="4927" width="25.7109375" style="21" customWidth="1"/>
    <col min="4928" max="4928" width="24.28515625" style="21" customWidth="1"/>
    <col min="4929" max="4929" width="23.85546875" style="21" customWidth="1"/>
    <col min="4930" max="4930" width="27.5703125" style="21" customWidth="1"/>
    <col min="4931" max="4931" width="25.42578125" style="21" customWidth="1"/>
    <col min="4932" max="4934" width="13.42578125" style="21" customWidth="1"/>
    <col min="4935" max="4935" width="16.28515625" style="21" customWidth="1"/>
    <col min="4936" max="4936" width="25.28515625" style="21" customWidth="1"/>
    <col min="4937" max="4938" width="13.42578125" style="21" customWidth="1"/>
    <col min="4939" max="4939" width="24.7109375" style="21" customWidth="1"/>
    <col min="4940" max="4940" width="26.85546875" style="21" customWidth="1"/>
    <col min="4941" max="4941" width="24.42578125" style="21" customWidth="1"/>
    <col min="4942" max="4942" width="23.140625" style="21" customWidth="1"/>
    <col min="4943" max="4943" width="21.140625" style="21" customWidth="1"/>
    <col min="4944" max="4944" width="14.5703125" style="21" customWidth="1"/>
    <col min="4945" max="4945" width="30.28515625" style="21" customWidth="1"/>
    <col min="4946" max="4946" width="13.42578125" style="21" customWidth="1"/>
    <col min="4947" max="4947" width="31.42578125" style="21" customWidth="1"/>
    <col min="4948" max="4948" width="13.42578125" style="21" customWidth="1"/>
    <col min="4949" max="4949" width="44.42578125" style="21" customWidth="1"/>
    <col min="4950" max="4950" width="19.7109375" style="21" customWidth="1"/>
    <col min="4951" max="4951" width="38.85546875" style="21" customWidth="1"/>
    <col min="4952" max="4952" width="31.42578125" style="21" customWidth="1"/>
    <col min="4953" max="4953" width="50.7109375" style="21" customWidth="1"/>
    <col min="4954" max="4954" width="34.85546875" style="21" customWidth="1"/>
    <col min="4955" max="4956" width="13.42578125" style="21" customWidth="1"/>
    <col min="4957" max="4957" width="18.140625" style="21" customWidth="1"/>
    <col min="4958" max="4958" width="23.7109375" style="21" customWidth="1"/>
    <col min="4959" max="4959" width="26.85546875" style="21" customWidth="1"/>
    <col min="4960" max="4960" width="23" style="21" customWidth="1"/>
    <col min="4961" max="4961" width="25.7109375" style="21" customWidth="1"/>
    <col min="4962" max="4962" width="29.28515625" style="21" customWidth="1"/>
    <col min="4963" max="4963" width="29.42578125" style="21" customWidth="1"/>
    <col min="4964" max="4964" width="23.5703125" style="21" customWidth="1"/>
    <col min="4965" max="4965" width="32.85546875" style="21" customWidth="1"/>
    <col min="4966" max="4966" width="30.7109375" style="21" customWidth="1"/>
    <col min="4967" max="4967" width="33.85546875" style="21" customWidth="1"/>
    <col min="4968" max="4968" width="15.85546875" style="21" customWidth="1"/>
    <col min="4969" max="4969" width="17.28515625" style="21" customWidth="1"/>
    <col min="4970" max="4970" width="26.5703125" style="21" customWidth="1"/>
    <col min="4971" max="4971" width="21.5703125" style="21" customWidth="1"/>
    <col min="4972" max="4972" width="42.7109375" style="21" customWidth="1"/>
    <col min="4973" max="4973" width="44.140625" style="21" customWidth="1"/>
    <col min="4974" max="4975" width="31.42578125" style="21" customWidth="1"/>
    <col min="4976" max="4976" width="27.85546875" style="21" customWidth="1"/>
    <col min="4977" max="4977" width="0" style="21" hidden="1" customWidth="1"/>
    <col min="4978" max="4978" width="31.42578125" style="21" customWidth="1"/>
    <col min="4979" max="5120" width="9.140625" style="21"/>
    <col min="5121" max="5121" width="8.7109375" style="21" customWidth="1"/>
    <col min="5122" max="5123" width="31.42578125" style="21" customWidth="1"/>
    <col min="5124" max="5124" width="25.85546875" style="21" customWidth="1"/>
    <col min="5125" max="5125" width="26.85546875" style="21" customWidth="1"/>
    <col min="5126" max="5126" width="27" style="21" customWidth="1"/>
    <col min="5127" max="5127" width="32.28515625" style="21" customWidth="1"/>
    <col min="5128" max="5128" width="13.42578125" style="21" customWidth="1"/>
    <col min="5129" max="5129" width="17.85546875" style="21" customWidth="1"/>
    <col min="5130" max="5130" width="15.85546875" style="21" customWidth="1"/>
    <col min="5131" max="5131" width="26" style="21" customWidth="1"/>
    <col min="5132" max="5132" width="21.7109375" style="21" customWidth="1"/>
    <col min="5133" max="5133" width="16.5703125" style="21" customWidth="1"/>
    <col min="5134" max="5134" width="25.7109375" style="21" customWidth="1"/>
    <col min="5135" max="5135" width="31.42578125" style="21" customWidth="1"/>
    <col min="5136" max="5136" width="18.42578125" style="21" customWidth="1"/>
    <col min="5137" max="5137" width="13.42578125" style="21" customWidth="1"/>
    <col min="5138" max="5138" width="18" style="21" customWidth="1"/>
    <col min="5139" max="5139" width="19.7109375" style="21" customWidth="1"/>
    <col min="5140" max="5141" width="13.42578125" style="21" customWidth="1"/>
    <col min="5142" max="5142" width="18" style="21" customWidth="1"/>
    <col min="5143" max="5143" width="15.42578125" style="21" customWidth="1"/>
    <col min="5144" max="5144" width="13.42578125" style="21" customWidth="1"/>
    <col min="5145" max="5145" width="16.140625" style="21" customWidth="1"/>
    <col min="5146" max="5146" width="18" style="21" customWidth="1"/>
    <col min="5147" max="5148" width="13.42578125" style="21" customWidth="1"/>
    <col min="5149" max="5149" width="18.85546875" style="21" customWidth="1"/>
    <col min="5150" max="5150" width="28.7109375" style="21" customWidth="1"/>
    <col min="5151" max="5151" width="18.85546875" style="21" customWidth="1"/>
    <col min="5152" max="5152" width="16" style="21" customWidth="1"/>
    <col min="5153" max="5153" width="13.42578125" style="21" customWidth="1"/>
    <col min="5154" max="5154" width="26.28515625" style="21" customWidth="1"/>
    <col min="5155" max="5155" width="37.140625" style="21" customWidth="1"/>
    <col min="5156" max="5156" width="13.42578125" style="21" customWidth="1"/>
    <col min="5157" max="5157" width="16.85546875" style="21" customWidth="1"/>
    <col min="5158" max="5158" width="29.140625" style="21" customWidth="1"/>
    <col min="5159" max="5159" width="24.140625" style="21" customWidth="1"/>
    <col min="5160" max="5160" width="15.140625" style="21" customWidth="1"/>
    <col min="5161" max="5161" width="18.7109375" style="21" customWidth="1"/>
    <col min="5162" max="5162" width="19.5703125" style="21" customWidth="1"/>
    <col min="5163" max="5163" width="26.42578125" style="21" customWidth="1"/>
    <col min="5164" max="5164" width="25.85546875" style="21" customWidth="1"/>
    <col min="5165" max="5165" width="13.42578125" style="21" customWidth="1"/>
    <col min="5166" max="5166" width="26.85546875" style="21" customWidth="1"/>
    <col min="5167" max="5168" width="31.42578125" style="21" customWidth="1"/>
    <col min="5169" max="5169" width="26.42578125" style="21" customWidth="1"/>
    <col min="5170" max="5170" width="40.42578125" style="21" customWidth="1"/>
    <col min="5171" max="5171" width="33.85546875" style="21" customWidth="1"/>
    <col min="5172" max="5172" width="37" style="21" customWidth="1"/>
    <col min="5173" max="5173" width="17.85546875" style="21" customWidth="1"/>
    <col min="5174" max="5174" width="28.5703125" style="21" customWidth="1"/>
    <col min="5175" max="5175" width="24.28515625" style="21" customWidth="1"/>
    <col min="5176" max="5176" width="40.140625" style="21" customWidth="1"/>
    <col min="5177" max="5177" width="18.7109375" style="21" customWidth="1"/>
    <col min="5178" max="5178" width="16.28515625" style="21" customWidth="1"/>
    <col min="5179" max="5179" width="13.42578125" style="21" customWidth="1"/>
    <col min="5180" max="5180" width="15.42578125" style="21" customWidth="1"/>
    <col min="5181" max="5181" width="30.85546875" style="21" customWidth="1"/>
    <col min="5182" max="5182" width="13.42578125" style="21" customWidth="1"/>
    <col min="5183" max="5183" width="25.7109375" style="21" customWidth="1"/>
    <col min="5184" max="5184" width="24.28515625" style="21" customWidth="1"/>
    <col min="5185" max="5185" width="23.85546875" style="21" customWidth="1"/>
    <col min="5186" max="5186" width="27.5703125" style="21" customWidth="1"/>
    <col min="5187" max="5187" width="25.42578125" style="21" customWidth="1"/>
    <col min="5188" max="5190" width="13.42578125" style="21" customWidth="1"/>
    <col min="5191" max="5191" width="16.28515625" style="21" customWidth="1"/>
    <col min="5192" max="5192" width="25.28515625" style="21" customWidth="1"/>
    <col min="5193" max="5194" width="13.42578125" style="21" customWidth="1"/>
    <col min="5195" max="5195" width="24.7109375" style="21" customWidth="1"/>
    <col min="5196" max="5196" width="26.85546875" style="21" customWidth="1"/>
    <col min="5197" max="5197" width="24.42578125" style="21" customWidth="1"/>
    <col min="5198" max="5198" width="23.140625" style="21" customWidth="1"/>
    <col min="5199" max="5199" width="21.140625" style="21" customWidth="1"/>
    <col min="5200" max="5200" width="14.5703125" style="21" customWidth="1"/>
    <col min="5201" max="5201" width="30.28515625" style="21" customWidth="1"/>
    <col min="5202" max="5202" width="13.42578125" style="21" customWidth="1"/>
    <col min="5203" max="5203" width="31.42578125" style="21" customWidth="1"/>
    <col min="5204" max="5204" width="13.42578125" style="21" customWidth="1"/>
    <col min="5205" max="5205" width="44.42578125" style="21" customWidth="1"/>
    <col min="5206" max="5206" width="19.7109375" style="21" customWidth="1"/>
    <col min="5207" max="5207" width="38.85546875" style="21" customWidth="1"/>
    <col min="5208" max="5208" width="31.42578125" style="21" customWidth="1"/>
    <col min="5209" max="5209" width="50.7109375" style="21" customWidth="1"/>
    <col min="5210" max="5210" width="34.85546875" style="21" customWidth="1"/>
    <col min="5211" max="5212" width="13.42578125" style="21" customWidth="1"/>
    <col min="5213" max="5213" width="18.140625" style="21" customWidth="1"/>
    <col min="5214" max="5214" width="23.7109375" style="21" customWidth="1"/>
    <col min="5215" max="5215" width="26.85546875" style="21" customWidth="1"/>
    <col min="5216" max="5216" width="23" style="21" customWidth="1"/>
    <col min="5217" max="5217" width="25.7109375" style="21" customWidth="1"/>
    <col min="5218" max="5218" width="29.28515625" style="21" customWidth="1"/>
    <col min="5219" max="5219" width="29.42578125" style="21" customWidth="1"/>
    <col min="5220" max="5220" width="23.5703125" style="21" customWidth="1"/>
    <col min="5221" max="5221" width="32.85546875" style="21" customWidth="1"/>
    <col min="5222" max="5222" width="30.7109375" style="21" customWidth="1"/>
    <col min="5223" max="5223" width="33.85546875" style="21" customWidth="1"/>
    <col min="5224" max="5224" width="15.85546875" style="21" customWidth="1"/>
    <col min="5225" max="5225" width="17.28515625" style="21" customWidth="1"/>
    <col min="5226" max="5226" width="26.5703125" style="21" customWidth="1"/>
    <col min="5227" max="5227" width="21.5703125" style="21" customWidth="1"/>
    <col min="5228" max="5228" width="42.7109375" style="21" customWidth="1"/>
    <col min="5229" max="5229" width="44.140625" style="21" customWidth="1"/>
    <col min="5230" max="5231" width="31.42578125" style="21" customWidth="1"/>
    <col min="5232" max="5232" width="27.85546875" style="21" customWidth="1"/>
    <col min="5233" max="5233" width="0" style="21" hidden="1" customWidth="1"/>
    <col min="5234" max="5234" width="31.42578125" style="21" customWidth="1"/>
    <col min="5235" max="5376" width="9.140625" style="21"/>
    <col min="5377" max="5377" width="8.7109375" style="21" customWidth="1"/>
    <col min="5378" max="5379" width="31.42578125" style="21" customWidth="1"/>
    <col min="5380" max="5380" width="25.85546875" style="21" customWidth="1"/>
    <col min="5381" max="5381" width="26.85546875" style="21" customWidth="1"/>
    <col min="5382" max="5382" width="27" style="21" customWidth="1"/>
    <col min="5383" max="5383" width="32.28515625" style="21" customWidth="1"/>
    <col min="5384" max="5384" width="13.42578125" style="21" customWidth="1"/>
    <col min="5385" max="5385" width="17.85546875" style="21" customWidth="1"/>
    <col min="5386" max="5386" width="15.85546875" style="21" customWidth="1"/>
    <col min="5387" max="5387" width="26" style="21" customWidth="1"/>
    <col min="5388" max="5388" width="21.7109375" style="21" customWidth="1"/>
    <col min="5389" max="5389" width="16.5703125" style="21" customWidth="1"/>
    <col min="5390" max="5390" width="25.7109375" style="21" customWidth="1"/>
    <col min="5391" max="5391" width="31.42578125" style="21" customWidth="1"/>
    <col min="5392" max="5392" width="18.42578125" style="21" customWidth="1"/>
    <col min="5393" max="5393" width="13.42578125" style="21" customWidth="1"/>
    <col min="5394" max="5394" width="18" style="21" customWidth="1"/>
    <col min="5395" max="5395" width="19.7109375" style="21" customWidth="1"/>
    <col min="5396" max="5397" width="13.42578125" style="21" customWidth="1"/>
    <col min="5398" max="5398" width="18" style="21" customWidth="1"/>
    <col min="5399" max="5399" width="15.42578125" style="21" customWidth="1"/>
    <col min="5400" max="5400" width="13.42578125" style="21" customWidth="1"/>
    <col min="5401" max="5401" width="16.140625" style="21" customWidth="1"/>
    <col min="5402" max="5402" width="18" style="21" customWidth="1"/>
    <col min="5403" max="5404" width="13.42578125" style="21" customWidth="1"/>
    <col min="5405" max="5405" width="18.85546875" style="21" customWidth="1"/>
    <col min="5406" max="5406" width="28.7109375" style="21" customWidth="1"/>
    <col min="5407" max="5407" width="18.85546875" style="21" customWidth="1"/>
    <col min="5408" max="5408" width="16" style="21" customWidth="1"/>
    <col min="5409" max="5409" width="13.42578125" style="21" customWidth="1"/>
    <col min="5410" max="5410" width="26.28515625" style="21" customWidth="1"/>
    <col min="5411" max="5411" width="37.140625" style="21" customWidth="1"/>
    <col min="5412" max="5412" width="13.42578125" style="21" customWidth="1"/>
    <col min="5413" max="5413" width="16.85546875" style="21" customWidth="1"/>
    <col min="5414" max="5414" width="29.140625" style="21" customWidth="1"/>
    <col min="5415" max="5415" width="24.140625" style="21" customWidth="1"/>
    <col min="5416" max="5416" width="15.140625" style="21" customWidth="1"/>
    <col min="5417" max="5417" width="18.7109375" style="21" customWidth="1"/>
    <col min="5418" max="5418" width="19.5703125" style="21" customWidth="1"/>
    <col min="5419" max="5419" width="26.42578125" style="21" customWidth="1"/>
    <col min="5420" max="5420" width="25.85546875" style="21" customWidth="1"/>
    <col min="5421" max="5421" width="13.42578125" style="21" customWidth="1"/>
    <col min="5422" max="5422" width="26.85546875" style="21" customWidth="1"/>
    <col min="5423" max="5424" width="31.42578125" style="21" customWidth="1"/>
    <col min="5425" max="5425" width="26.42578125" style="21" customWidth="1"/>
    <col min="5426" max="5426" width="40.42578125" style="21" customWidth="1"/>
    <col min="5427" max="5427" width="33.85546875" style="21" customWidth="1"/>
    <col min="5428" max="5428" width="37" style="21" customWidth="1"/>
    <col min="5429" max="5429" width="17.85546875" style="21" customWidth="1"/>
    <col min="5430" max="5430" width="28.5703125" style="21" customWidth="1"/>
    <col min="5431" max="5431" width="24.28515625" style="21" customWidth="1"/>
    <col min="5432" max="5432" width="40.140625" style="21" customWidth="1"/>
    <col min="5433" max="5433" width="18.7109375" style="21" customWidth="1"/>
    <col min="5434" max="5434" width="16.28515625" style="21" customWidth="1"/>
    <col min="5435" max="5435" width="13.42578125" style="21" customWidth="1"/>
    <col min="5436" max="5436" width="15.42578125" style="21" customWidth="1"/>
    <col min="5437" max="5437" width="30.85546875" style="21" customWidth="1"/>
    <col min="5438" max="5438" width="13.42578125" style="21" customWidth="1"/>
    <col min="5439" max="5439" width="25.7109375" style="21" customWidth="1"/>
    <col min="5440" max="5440" width="24.28515625" style="21" customWidth="1"/>
    <col min="5441" max="5441" width="23.85546875" style="21" customWidth="1"/>
    <col min="5442" max="5442" width="27.5703125" style="21" customWidth="1"/>
    <col min="5443" max="5443" width="25.42578125" style="21" customWidth="1"/>
    <col min="5444" max="5446" width="13.42578125" style="21" customWidth="1"/>
    <col min="5447" max="5447" width="16.28515625" style="21" customWidth="1"/>
    <col min="5448" max="5448" width="25.28515625" style="21" customWidth="1"/>
    <col min="5449" max="5450" width="13.42578125" style="21" customWidth="1"/>
    <col min="5451" max="5451" width="24.7109375" style="21" customWidth="1"/>
    <col min="5452" max="5452" width="26.85546875" style="21" customWidth="1"/>
    <col min="5453" max="5453" width="24.42578125" style="21" customWidth="1"/>
    <col min="5454" max="5454" width="23.140625" style="21" customWidth="1"/>
    <col min="5455" max="5455" width="21.140625" style="21" customWidth="1"/>
    <col min="5456" max="5456" width="14.5703125" style="21" customWidth="1"/>
    <col min="5457" max="5457" width="30.28515625" style="21" customWidth="1"/>
    <col min="5458" max="5458" width="13.42578125" style="21" customWidth="1"/>
    <col min="5459" max="5459" width="31.42578125" style="21" customWidth="1"/>
    <col min="5460" max="5460" width="13.42578125" style="21" customWidth="1"/>
    <col min="5461" max="5461" width="44.42578125" style="21" customWidth="1"/>
    <col min="5462" max="5462" width="19.7109375" style="21" customWidth="1"/>
    <col min="5463" max="5463" width="38.85546875" style="21" customWidth="1"/>
    <col min="5464" max="5464" width="31.42578125" style="21" customWidth="1"/>
    <col min="5465" max="5465" width="50.7109375" style="21" customWidth="1"/>
    <col min="5466" max="5466" width="34.85546875" style="21" customWidth="1"/>
    <col min="5467" max="5468" width="13.42578125" style="21" customWidth="1"/>
    <col min="5469" max="5469" width="18.140625" style="21" customWidth="1"/>
    <col min="5470" max="5470" width="23.7109375" style="21" customWidth="1"/>
    <col min="5471" max="5471" width="26.85546875" style="21" customWidth="1"/>
    <col min="5472" max="5472" width="23" style="21" customWidth="1"/>
    <col min="5473" max="5473" width="25.7109375" style="21" customWidth="1"/>
    <col min="5474" max="5474" width="29.28515625" style="21" customWidth="1"/>
    <col min="5475" max="5475" width="29.42578125" style="21" customWidth="1"/>
    <col min="5476" max="5476" width="23.5703125" style="21" customWidth="1"/>
    <col min="5477" max="5477" width="32.85546875" style="21" customWidth="1"/>
    <col min="5478" max="5478" width="30.7109375" style="21" customWidth="1"/>
    <col min="5479" max="5479" width="33.85546875" style="21" customWidth="1"/>
    <col min="5480" max="5480" width="15.85546875" style="21" customWidth="1"/>
    <col min="5481" max="5481" width="17.28515625" style="21" customWidth="1"/>
    <col min="5482" max="5482" width="26.5703125" style="21" customWidth="1"/>
    <col min="5483" max="5483" width="21.5703125" style="21" customWidth="1"/>
    <col min="5484" max="5484" width="42.7109375" style="21" customWidth="1"/>
    <col min="5485" max="5485" width="44.140625" style="21" customWidth="1"/>
    <col min="5486" max="5487" width="31.42578125" style="21" customWidth="1"/>
    <col min="5488" max="5488" width="27.85546875" style="21" customWidth="1"/>
    <col min="5489" max="5489" width="0" style="21" hidden="1" customWidth="1"/>
    <col min="5490" max="5490" width="31.42578125" style="21" customWidth="1"/>
    <col min="5491" max="5632" width="9.140625" style="21"/>
    <col min="5633" max="5633" width="8.7109375" style="21" customWidth="1"/>
    <col min="5634" max="5635" width="31.42578125" style="21" customWidth="1"/>
    <col min="5636" max="5636" width="25.85546875" style="21" customWidth="1"/>
    <col min="5637" max="5637" width="26.85546875" style="21" customWidth="1"/>
    <col min="5638" max="5638" width="27" style="21" customWidth="1"/>
    <col min="5639" max="5639" width="32.28515625" style="21" customWidth="1"/>
    <col min="5640" max="5640" width="13.42578125" style="21" customWidth="1"/>
    <col min="5641" max="5641" width="17.85546875" style="21" customWidth="1"/>
    <col min="5642" max="5642" width="15.85546875" style="21" customWidth="1"/>
    <col min="5643" max="5643" width="26" style="21" customWidth="1"/>
    <col min="5644" max="5644" width="21.7109375" style="21" customWidth="1"/>
    <col min="5645" max="5645" width="16.5703125" style="21" customWidth="1"/>
    <col min="5646" max="5646" width="25.7109375" style="21" customWidth="1"/>
    <col min="5647" max="5647" width="31.42578125" style="21" customWidth="1"/>
    <col min="5648" max="5648" width="18.42578125" style="21" customWidth="1"/>
    <col min="5649" max="5649" width="13.42578125" style="21" customWidth="1"/>
    <col min="5650" max="5650" width="18" style="21" customWidth="1"/>
    <col min="5651" max="5651" width="19.7109375" style="21" customWidth="1"/>
    <col min="5652" max="5653" width="13.42578125" style="21" customWidth="1"/>
    <col min="5654" max="5654" width="18" style="21" customWidth="1"/>
    <col min="5655" max="5655" width="15.42578125" style="21" customWidth="1"/>
    <col min="5656" max="5656" width="13.42578125" style="21" customWidth="1"/>
    <col min="5657" max="5657" width="16.140625" style="21" customWidth="1"/>
    <col min="5658" max="5658" width="18" style="21" customWidth="1"/>
    <col min="5659" max="5660" width="13.42578125" style="21" customWidth="1"/>
    <col min="5661" max="5661" width="18.85546875" style="21" customWidth="1"/>
    <col min="5662" max="5662" width="28.7109375" style="21" customWidth="1"/>
    <col min="5663" max="5663" width="18.85546875" style="21" customWidth="1"/>
    <col min="5664" max="5664" width="16" style="21" customWidth="1"/>
    <col min="5665" max="5665" width="13.42578125" style="21" customWidth="1"/>
    <col min="5666" max="5666" width="26.28515625" style="21" customWidth="1"/>
    <col min="5667" max="5667" width="37.140625" style="21" customWidth="1"/>
    <col min="5668" max="5668" width="13.42578125" style="21" customWidth="1"/>
    <col min="5669" max="5669" width="16.85546875" style="21" customWidth="1"/>
    <col min="5670" max="5670" width="29.140625" style="21" customWidth="1"/>
    <col min="5671" max="5671" width="24.140625" style="21" customWidth="1"/>
    <col min="5672" max="5672" width="15.140625" style="21" customWidth="1"/>
    <col min="5673" max="5673" width="18.7109375" style="21" customWidth="1"/>
    <col min="5674" max="5674" width="19.5703125" style="21" customWidth="1"/>
    <col min="5675" max="5675" width="26.42578125" style="21" customWidth="1"/>
    <col min="5676" max="5676" width="25.85546875" style="21" customWidth="1"/>
    <col min="5677" max="5677" width="13.42578125" style="21" customWidth="1"/>
    <col min="5678" max="5678" width="26.85546875" style="21" customWidth="1"/>
    <col min="5679" max="5680" width="31.42578125" style="21" customWidth="1"/>
    <col min="5681" max="5681" width="26.42578125" style="21" customWidth="1"/>
    <col min="5682" max="5682" width="40.42578125" style="21" customWidth="1"/>
    <col min="5683" max="5683" width="33.85546875" style="21" customWidth="1"/>
    <col min="5684" max="5684" width="37" style="21" customWidth="1"/>
    <col min="5685" max="5685" width="17.85546875" style="21" customWidth="1"/>
    <col min="5686" max="5686" width="28.5703125" style="21" customWidth="1"/>
    <col min="5687" max="5687" width="24.28515625" style="21" customWidth="1"/>
    <col min="5688" max="5688" width="40.140625" style="21" customWidth="1"/>
    <col min="5689" max="5689" width="18.7109375" style="21" customWidth="1"/>
    <col min="5690" max="5690" width="16.28515625" style="21" customWidth="1"/>
    <col min="5691" max="5691" width="13.42578125" style="21" customWidth="1"/>
    <col min="5692" max="5692" width="15.42578125" style="21" customWidth="1"/>
    <col min="5693" max="5693" width="30.85546875" style="21" customWidth="1"/>
    <col min="5694" max="5694" width="13.42578125" style="21" customWidth="1"/>
    <col min="5695" max="5695" width="25.7109375" style="21" customWidth="1"/>
    <col min="5696" max="5696" width="24.28515625" style="21" customWidth="1"/>
    <col min="5697" max="5697" width="23.85546875" style="21" customWidth="1"/>
    <col min="5698" max="5698" width="27.5703125" style="21" customWidth="1"/>
    <col min="5699" max="5699" width="25.42578125" style="21" customWidth="1"/>
    <col min="5700" max="5702" width="13.42578125" style="21" customWidth="1"/>
    <col min="5703" max="5703" width="16.28515625" style="21" customWidth="1"/>
    <col min="5704" max="5704" width="25.28515625" style="21" customWidth="1"/>
    <col min="5705" max="5706" width="13.42578125" style="21" customWidth="1"/>
    <col min="5707" max="5707" width="24.7109375" style="21" customWidth="1"/>
    <col min="5708" max="5708" width="26.85546875" style="21" customWidth="1"/>
    <col min="5709" max="5709" width="24.42578125" style="21" customWidth="1"/>
    <col min="5710" max="5710" width="23.140625" style="21" customWidth="1"/>
    <col min="5711" max="5711" width="21.140625" style="21" customWidth="1"/>
    <col min="5712" max="5712" width="14.5703125" style="21" customWidth="1"/>
    <col min="5713" max="5713" width="30.28515625" style="21" customWidth="1"/>
    <col min="5714" max="5714" width="13.42578125" style="21" customWidth="1"/>
    <col min="5715" max="5715" width="31.42578125" style="21" customWidth="1"/>
    <col min="5716" max="5716" width="13.42578125" style="21" customWidth="1"/>
    <col min="5717" max="5717" width="44.42578125" style="21" customWidth="1"/>
    <col min="5718" max="5718" width="19.7109375" style="21" customWidth="1"/>
    <col min="5719" max="5719" width="38.85546875" style="21" customWidth="1"/>
    <col min="5720" max="5720" width="31.42578125" style="21" customWidth="1"/>
    <col min="5721" max="5721" width="50.7109375" style="21" customWidth="1"/>
    <col min="5722" max="5722" width="34.85546875" style="21" customWidth="1"/>
    <col min="5723" max="5724" width="13.42578125" style="21" customWidth="1"/>
    <col min="5725" max="5725" width="18.140625" style="21" customWidth="1"/>
    <col min="5726" max="5726" width="23.7109375" style="21" customWidth="1"/>
    <col min="5727" max="5727" width="26.85546875" style="21" customWidth="1"/>
    <col min="5728" max="5728" width="23" style="21" customWidth="1"/>
    <col min="5729" max="5729" width="25.7109375" style="21" customWidth="1"/>
    <col min="5730" max="5730" width="29.28515625" style="21" customWidth="1"/>
    <col min="5731" max="5731" width="29.42578125" style="21" customWidth="1"/>
    <col min="5732" max="5732" width="23.5703125" style="21" customWidth="1"/>
    <col min="5733" max="5733" width="32.85546875" style="21" customWidth="1"/>
    <col min="5734" max="5734" width="30.7109375" style="21" customWidth="1"/>
    <col min="5735" max="5735" width="33.85546875" style="21" customWidth="1"/>
    <col min="5736" max="5736" width="15.85546875" style="21" customWidth="1"/>
    <col min="5737" max="5737" width="17.28515625" style="21" customWidth="1"/>
    <col min="5738" max="5738" width="26.5703125" style="21" customWidth="1"/>
    <col min="5739" max="5739" width="21.5703125" style="21" customWidth="1"/>
    <col min="5740" max="5740" width="42.7109375" style="21" customWidth="1"/>
    <col min="5741" max="5741" width="44.140625" style="21" customWidth="1"/>
    <col min="5742" max="5743" width="31.42578125" style="21" customWidth="1"/>
    <col min="5744" max="5744" width="27.85546875" style="21" customWidth="1"/>
    <col min="5745" max="5745" width="0" style="21" hidden="1" customWidth="1"/>
    <col min="5746" max="5746" width="31.42578125" style="21" customWidth="1"/>
    <col min="5747" max="5888" width="9.140625" style="21"/>
    <col min="5889" max="5889" width="8.7109375" style="21" customWidth="1"/>
    <col min="5890" max="5891" width="31.42578125" style="21" customWidth="1"/>
    <col min="5892" max="5892" width="25.85546875" style="21" customWidth="1"/>
    <col min="5893" max="5893" width="26.85546875" style="21" customWidth="1"/>
    <col min="5894" max="5894" width="27" style="21" customWidth="1"/>
    <col min="5895" max="5895" width="32.28515625" style="21" customWidth="1"/>
    <col min="5896" max="5896" width="13.42578125" style="21" customWidth="1"/>
    <col min="5897" max="5897" width="17.85546875" style="21" customWidth="1"/>
    <col min="5898" max="5898" width="15.85546875" style="21" customWidth="1"/>
    <col min="5899" max="5899" width="26" style="21" customWidth="1"/>
    <col min="5900" max="5900" width="21.7109375" style="21" customWidth="1"/>
    <col min="5901" max="5901" width="16.5703125" style="21" customWidth="1"/>
    <col min="5902" max="5902" width="25.7109375" style="21" customWidth="1"/>
    <col min="5903" max="5903" width="31.42578125" style="21" customWidth="1"/>
    <col min="5904" max="5904" width="18.42578125" style="21" customWidth="1"/>
    <col min="5905" max="5905" width="13.42578125" style="21" customWidth="1"/>
    <col min="5906" max="5906" width="18" style="21" customWidth="1"/>
    <col min="5907" max="5907" width="19.7109375" style="21" customWidth="1"/>
    <col min="5908" max="5909" width="13.42578125" style="21" customWidth="1"/>
    <col min="5910" max="5910" width="18" style="21" customWidth="1"/>
    <col min="5911" max="5911" width="15.42578125" style="21" customWidth="1"/>
    <col min="5912" max="5912" width="13.42578125" style="21" customWidth="1"/>
    <col min="5913" max="5913" width="16.140625" style="21" customWidth="1"/>
    <col min="5914" max="5914" width="18" style="21" customWidth="1"/>
    <col min="5915" max="5916" width="13.42578125" style="21" customWidth="1"/>
    <col min="5917" max="5917" width="18.85546875" style="21" customWidth="1"/>
    <col min="5918" max="5918" width="28.7109375" style="21" customWidth="1"/>
    <col min="5919" max="5919" width="18.85546875" style="21" customWidth="1"/>
    <col min="5920" max="5920" width="16" style="21" customWidth="1"/>
    <col min="5921" max="5921" width="13.42578125" style="21" customWidth="1"/>
    <col min="5922" max="5922" width="26.28515625" style="21" customWidth="1"/>
    <col min="5923" max="5923" width="37.140625" style="21" customWidth="1"/>
    <col min="5924" max="5924" width="13.42578125" style="21" customWidth="1"/>
    <col min="5925" max="5925" width="16.85546875" style="21" customWidth="1"/>
    <col min="5926" max="5926" width="29.140625" style="21" customWidth="1"/>
    <col min="5927" max="5927" width="24.140625" style="21" customWidth="1"/>
    <col min="5928" max="5928" width="15.140625" style="21" customWidth="1"/>
    <col min="5929" max="5929" width="18.7109375" style="21" customWidth="1"/>
    <col min="5930" max="5930" width="19.5703125" style="21" customWidth="1"/>
    <col min="5931" max="5931" width="26.42578125" style="21" customWidth="1"/>
    <col min="5932" max="5932" width="25.85546875" style="21" customWidth="1"/>
    <col min="5933" max="5933" width="13.42578125" style="21" customWidth="1"/>
    <col min="5934" max="5934" width="26.85546875" style="21" customWidth="1"/>
    <col min="5935" max="5936" width="31.42578125" style="21" customWidth="1"/>
    <col min="5937" max="5937" width="26.42578125" style="21" customWidth="1"/>
    <col min="5938" max="5938" width="40.42578125" style="21" customWidth="1"/>
    <col min="5939" max="5939" width="33.85546875" style="21" customWidth="1"/>
    <col min="5940" max="5940" width="37" style="21" customWidth="1"/>
    <col min="5941" max="5941" width="17.85546875" style="21" customWidth="1"/>
    <col min="5942" max="5942" width="28.5703125" style="21" customWidth="1"/>
    <col min="5943" max="5943" width="24.28515625" style="21" customWidth="1"/>
    <col min="5944" max="5944" width="40.140625" style="21" customWidth="1"/>
    <col min="5945" max="5945" width="18.7109375" style="21" customWidth="1"/>
    <col min="5946" max="5946" width="16.28515625" style="21" customWidth="1"/>
    <col min="5947" max="5947" width="13.42578125" style="21" customWidth="1"/>
    <col min="5948" max="5948" width="15.42578125" style="21" customWidth="1"/>
    <col min="5949" max="5949" width="30.85546875" style="21" customWidth="1"/>
    <col min="5950" max="5950" width="13.42578125" style="21" customWidth="1"/>
    <col min="5951" max="5951" width="25.7109375" style="21" customWidth="1"/>
    <col min="5952" max="5952" width="24.28515625" style="21" customWidth="1"/>
    <col min="5953" max="5953" width="23.85546875" style="21" customWidth="1"/>
    <col min="5954" max="5954" width="27.5703125" style="21" customWidth="1"/>
    <col min="5955" max="5955" width="25.42578125" style="21" customWidth="1"/>
    <col min="5956" max="5958" width="13.42578125" style="21" customWidth="1"/>
    <col min="5959" max="5959" width="16.28515625" style="21" customWidth="1"/>
    <col min="5960" max="5960" width="25.28515625" style="21" customWidth="1"/>
    <col min="5961" max="5962" width="13.42578125" style="21" customWidth="1"/>
    <col min="5963" max="5963" width="24.7109375" style="21" customWidth="1"/>
    <col min="5964" max="5964" width="26.85546875" style="21" customWidth="1"/>
    <col min="5965" max="5965" width="24.42578125" style="21" customWidth="1"/>
    <col min="5966" max="5966" width="23.140625" style="21" customWidth="1"/>
    <col min="5967" max="5967" width="21.140625" style="21" customWidth="1"/>
    <col min="5968" max="5968" width="14.5703125" style="21" customWidth="1"/>
    <col min="5969" max="5969" width="30.28515625" style="21" customWidth="1"/>
    <col min="5970" max="5970" width="13.42578125" style="21" customWidth="1"/>
    <col min="5971" max="5971" width="31.42578125" style="21" customWidth="1"/>
    <col min="5972" max="5972" width="13.42578125" style="21" customWidth="1"/>
    <col min="5973" max="5973" width="44.42578125" style="21" customWidth="1"/>
    <col min="5974" max="5974" width="19.7109375" style="21" customWidth="1"/>
    <col min="5975" max="5975" width="38.85546875" style="21" customWidth="1"/>
    <col min="5976" max="5976" width="31.42578125" style="21" customWidth="1"/>
    <col min="5977" max="5977" width="50.7109375" style="21" customWidth="1"/>
    <col min="5978" max="5978" width="34.85546875" style="21" customWidth="1"/>
    <col min="5979" max="5980" width="13.42578125" style="21" customWidth="1"/>
    <col min="5981" max="5981" width="18.140625" style="21" customWidth="1"/>
    <col min="5982" max="5982" width="23.7109375" style="21" customWidth="1"/>
    <col min="5983" max="5983" width="26.85546875" style="21" customWidth="1"/>
    <col min="5984" max="5984" width="23" style="21" customWidth="1"/>
    <col min="5985" max="5985" width="25.7109375" style="21" customWidth="1"/>
    <col min="5986" max="5986" width="29.28515625" style="21" customWidth="1"/>
    <col min="5987" max="5987" width="29.42578125" style="21" customWidth="1"/>
    <col min="5988" max="5988" width="23.5703125" style="21" customWidth="1"/>
    <col min="5989" max="5989" width="32.85546875" style="21" customWidth="1"/>
    <col min="5990" max="5990" width="30.7109375" style="21" customWidth="1"/>
    <col min="5991" max="5991" width="33.85546875" style="21" customWidth="1"/>
    <col min="5992" max="5992" width="15.85546875" style="21" customWidth="1"/>
    <col min="5993" max="5993" width="17.28515625" style="21" customWidth="1"/>
    <col min="5994" max="5994" width="26.5703125" style="21" customWidth="1"/>
    <col min="5995" max="5995" width="21.5703125" style="21" customWidth="1"/>
    <col min="5996" max="5996" width="42.7109375" style="21" customWidth="1"/>
    <col min="5997" max="5997" width="44.140625" style="21" customWidth="1"/>
    <col min="5998" max="5999" width="31.42578125" style="21" customWidth="1"/>
    <col min="6000" max="6000" width="27.85546875" style="21" customWidth="1"/>
    <col min="6001" max="6001" width="0" style="21" hidden="1" customWidth="1"/>
    <col min="6002" max="6002" width="31.42578125" style="21" customWidth="1"/>
    <col min="6003" max="6144" width="9.140625" style="21"/>
    <col min="6145" max="6145" width="8.7109375" style="21" customWidth="1"/>
    <col min="6146" max="6147" width="31.42578125" style="21" customWidth="1"/>
    <col min="6148" max="6148" width="25.85546875" style="21" customWidth="1"/>
    <col min="6149" max="6149" width="26.85546875" style="21" customWidth="1"/>
    <col min="6150" max="6150" width="27" style="21" customWidth="1"/>
    <col min="6151" max="6151" width="32.28515625" style="21" customWidth="1"/>
    <col min="6152" max="6152" width="13.42578125" style="21" customWidth="1"/>
    <col min="6153" max="6153" width="17.85546875" style="21" customWidth="1"/>
    <col min="6154" max="6154" width="15.85546875" style="21" customWidth="1"/>
    <col min="6155" max="6155" width="26" style="21" customWidth="1"/>
    <col min="6156" max="6156" width="21.7109375" style="21" customWidth="1"/>
    <col min="6157" max="6157" width="16.5703125" style="21" customWidth="1"/>
    <col min="6158" max="6158" width="25.7109375" style="21" customWidth="1"/>
    <col min="6159" max="6159" width="31.42578125" style="21" customWidth="1"/>
    <col min="6160" max="6160" width="18.42578125" style="21" customWidth="1"/>
    <col min="6161" max="6161" width="13.42578125" style="21" customWidth="1"/>
    <col min="6162" max="6162" width="18" style="21" customWidth="1"/>
    <col min="6163" max="6163" width="19.7109375" style="21" customWidth="1"/>
    <col min="6164" max="6165" width="13.42578125" style="21" customWidth="1"/>
    <col min="6166" max="6166" width="18" style="21" customWidth="1"/>
    <col min="6167" max="6167" width="15.42578125" style="21" customWidth="1"/>
    <col min="6168" max="6168" width="13.42578125" style="21" customWidth="1"/>
    <col min="6169" max="6169" width="16.140625" style="21" customWidth="1"/>
    <col min="6170" max="6170" width="18" style="21" customWidth="1"/>
    <col min="6171" max="6172" width="13.42578125" style="21" customWidth="1"/>
    <col min="6173" max="6173" width="18.85546875" style="21" customWidth="1"/>
    <col min="6174" max="6174" width="28.7109375" style="21" customWidth="1"/>
    <col min="6175" max="6175" width="18.85546875" style="21" customWidth="1"/>
    <col min="6176" max="6176" width="16" style="21" customWidth="1"/>
    <col min="6177" max="6177" width="13.42578125" style="21" customWidth="1"/>
    <col min="6178" max="6178" width="26.28515625" style="21" customWidth="1"/>
    <col min="6179" max="6179" width="37.140625" style="21" customWidth="1"/>
    <col min="6180" max="6180" width="13.42578125" style="21" customWidth="1"/>
    <col min="6181" max="6181" width="16.85546875" style="21" customWidth="1"/>
    <col min="6182" max="6182" width="29.140625" style="21" customWidth="1"/>
    <col min="6183" max="6183" width="24.140625" style="21" customWidth="1"/>
    <col min="6184" max="6184" width="15.140625" style="21" customWidth="1"/>
    <col min="6185" max="6185" width="18.7109375" style="21" customWidth="1"/>
    <col min="6186" max="6186" width="19.5703125" style="21" customWidth="1"/>
    <col min="6187" max="6187" width="26.42578125" style="21" customWidth="1"/>
    <col min="6188" max="6188" width="25.85546875" style="21" customWidth="1"/>
    <col min="6189" max="6189" width="13.42578125" style="21" customWidth="1"/>
    <col min="6190" max="6190" width="26.85546875" style="21" customWidth="1"/>
    <col min="6191" max="6192" width="31.42578125" style="21" customWidth="1"/>
    <col min="6193" max="6193" width="26.42578125" style="21" customWidth="1"/>
    <col min="6194" max="6194" width="40.42578125" style="21" customWidth="1"/>
    <col min="6195" max="6195" width="33.85546875" style="21" customWidth="1"/>
    <col min="6196" max="6196" width="37" style="21" customWidth="1"/>
    <col min="6197" max="6197" width="17.85546875" style="21" customWidth="1"/>
    <col min="6198" max="6198" width="28.5703125" style="21" customWidth="1"/>
    <col min="6199" max="6199" width="24.28515625" style="21" customWidth="1"/>
    <col min="6200" max="6200" width="40.140625" style="21" customWidth="1"/>
    <col min="6201" max="6201" width="18.7109375" style="21" customWidth="1"/>
    <col min="6202" max="6202" width="16.28515625" style="21" customWidth="1"/>
    <col min="6203" max="6203" width="13.42578125" style="21" customWidth="1"/>
    <col min="6204" max="6204" width="15.42578125" style="21" customWidth="1"/>
    <col min="6205" max="6205" width="30.85546875" style="21" customWidth="1"/>
    <col min="6206" max="6206" width="13.42578125" style="21" customWidth="1"/>
    <col min="6207" max="6207" width="25.7109375" style="21" customWidth="1"/>
    <col min="6208" max="6208" width="24.28515625" style="21" customWidth="1"/>
    <col min="6209" max="6209" width="23.85546875" style="21" customWidth="1"/>
    <col min="6210" max="6210" width="27.5703125" style="21" customWidth="1"/>
    <col min="6211" max="6211" width="25.42578125" style="21" customWidth="1"/>
    <col min="6212" max="6214" width="13.42578125" style="21" customWidth="1"/>
    <col min="6215" max="6215" width="16.28515625" style="21" customWidth="1"/>
    <col min="6216" max="6216" width="25.28515625" style="21" customWidth="1"/>
    <col min="6217" max="6218" width="13.42578125" style="21" customWidth="1"/>
    <col min="6219" max="6219" width="24.7109375" style="21" customWidth="1"/>
    <col min="6220" max="6220" width="26.85546875" style="21" customWidth="1"/>
    <col min="6221" max="6221" width="24.42578125" style="21" customWidth="1"/>
    <col min="6222" max="6222" width="23.140625" style="21" customWidth="1"/>
    <col min="6223" max="6223" width="21.140625" style="21" customWidth="1"/>
    <col min="6224" max="6224" width="14.5703125" style="21" customWidth="1"/>
    <col min="6225" max="6225" width="30.28515625" style="21" customWidth="1"/>
    <col min="6226" max="6226" width="13.42578125" style="21" customWidth="1"/>
    <col min="6227" max="6227" width="31.42578125" style="21" customWidth="1"/>
    <col min="6228" max="6228" width="13.42578125" style="21" customWidth="1"/>
    <col min="6229" max="6229" width="44.42578125" style="21" customWidth="1"/>
    <col min="6230" max="6230" width="19.7109375" style="21" customWidth="1"/>
    <col min="6231" max="6231" width="38.85546875" style="21" customWidth="1"/>
    <col min="6232" max="6232" width="31.42578125" style="21" customWidth="1"/>
    <col min="6233" max="6233" width="50.7109375" style="21" customWidth="1"/>
    <col min="6234" max="6234" width="34.85546875" style="21" customWidth="1"/>
    <col min="6235" max="6236" width="13.42578125" style="21" customWidth="1"/>
    <col min="6237" max="6237" width="18.140625" style="21" customWidth="1"/>
    <col min="6238" max="6238" width="23.7109375" style="21" customWidth="1"/>
    <col min="6239" max="6239" width="26.85546875" style="21" customWidth="1"/>
    <col min="6240" max="6240" width="23" style="21" customWidth="1"/>
    <col min="6241" max="6241" width="25.7109375" style="21" customWidth="1"/>
    <col min="6242" max="6242" width="29.28515625" style="21" customWidth="1"/>
    <col min="6243" max="6243" width="29.42578125" style="21" customWidth="1"/>
    <col min="6244" max="6244" width="23.5703125" style="21" customWidth="1"/>
    <col min="6245" max="6245" width="32.85546875" style="21" customWidth="1"/>
    <col min="6246" max="6246" width="30.7109375" style="21" customWidth="1"/>
    <col min="6247" max="6247" width="33.85546875" style="21" customWidth="1"/>
    <col min="6248" max="6248" width="15.85546875" style="21" customWidth="1"/>
    <col min="6249" max="6249" width="17.28515625" style="21" customWidth="1"/>
    <col min="6250" max="6250" width="26.5703125" style="21" customWidth="1"/>
    <col min="6251" max="6251" width="21.5703125" style="21" customWidth="1"/>
    <col min="6252" max="6252" width="42.7109375" style="21" customWidth="1"/>
    <col min="6253" max="6253" width="44.140625" style="21" customWidth="1"/>
    <col min="6254" max="6255" width="31.42578125" style="21" customWidth="1"/>
    <col min="6256" max="6256" width="27.85546875" style="21" customWidth="1"/>
    <col min="6257" max="6257" width="0" style="21" hidden="1" customWidth="1"/>
    <col min="6258" max="6258" width="31.42578125" style="21" customWidth="1"/>
    <col min="6259" max="6400" width="9.140625" style="21"/>
    <col min="6401" max="6401" width="8.7109375" style="21" customWidth="1"/>
    <col min="6402" max="6403" width="31.42578125" style="21" customWidth="1"/>
    <col min="6404" max="6404" width="25.85546875" style="21" customWidth="1"/>
    <col min="6405" max="6405" width="26.85546875" style="21" customWidth="1"/>
    <col min="6406" max="6406" width="27" style="21" customWidth="1"/>
    <col min="6407" max="6407" width="32.28515625" style="21" customWidth="1"/>
    <col min="6408" max="6408" width="13.42578125" style="21" customWidth="1"/>
    <col min="6409" max="6409" width="17.85546875" style="21" customWidth="1"/>
    <col min="6410" max="6410" width="15.85546875" style="21" customWidth="1"/>
    <col min="6411" max="6411" width="26" style="21" customWidth="1"/>
    <col min="6412" max="6412" width="21.7109375" style="21" customWidth="1"/>
    <col min="6413" max="6413" width="16.5703125" style="21" customWidth="1"/>
    <col min="6414" max="6414" width="25.7109375" style="21" customWidth="1"/>
    <col min="6415" max="6415" width="31.42578125" style="21" customWidth="1"/>
    <col min="6416" max="6416" width="18.42578125" style="21" customWidth="1"/>
    <col min="6417" max="6417" width="13.42578125" style="21" customWidth="1"/>
    <col min="6418" max="6418" width="18" style="21" customWidth="1"/>
    <col min="6419" max="6419" width="19.7109375" style="21" customWidth="1"/>
    <col min="6420" max="6421" width="13.42578125" style="21" customWidth="1"/>
    <col min="6422" max="6422" width="18" style="21" customWidth="1"/>
    <col min="6423" max="6423" width="15.42578125" style="21" customWidth="1"/>
    <col min="6424" max="6424" width="13.42578125" style="21" customWidth="1"/>
    <col min="6425" max="6425" width="16.140625" style="21" customWidth="1"/>
    <col min="6426" max="6426" width="18" style="21" customWidth="1"/>
    <col min="6427" max="6428" width="13.42578125" style="21" customWidth="1"/>
    <col min="6429" max="6429" width="18.85546875" style="21" customWidth="1"/>
    <col min="6430" max="6430" width="28.7109375" style="21" customWidth="1"/>
    <col min="6431" max="6431" width="18.85546875" style="21" customWidth="1"/>
    <col min="6432" max="6432" width="16" style="21" customWidth="1"/>
    <col min="6433" max="6433" width="13.42578125" style="21" customWidth="1"/>
    <col min="6434" max="6434" width="26.28515625" style="21" customWidth="1"/>
    <col min="6435" max="6435" width="37.140625" style="21" customWidth="1"/>
    <col min="6436" max="6436" width="13.42578125" style="21" customWidth="1"/>
    <col min="6437" max="6437" width="16.85546875" style="21" customWidth="1"/>
    <col min="6438" max="6438" width="29.140625" style="21" customWidth="1"/>
    <col min="6439" max="6439" width="24.140625" style="21" customWidth="1"/>
    <col min="6440" max="6440" width="15.140625" style="21" customWidth="1"/>
    <col min="6441" max="6441" width="18.7109375" style="21" customWidth="1"/>
    <col min="6442" max="6442" width="19.5703125" style="21" customWidth="1"/>
    <col min="6443" max="6443" width="26.42578125" style="21" customWidth="1"/>
    <col min="6444" max="6444" width="25.85546875" style="21" customWidth="1"/>
    <col min="6445" max="6445" width="13.42578125" style="21" customWidth="1"/>
    <col min="6446" max="6446" width="26.85546875" style="21" customWidth="1"/>
    <col min="6447" max="6448" width="31.42578125" style="21" customWidth="1"/>
    <col min="6449" max="6449" width="26.42578125" style="21" customWidth="1"/>
    <col min="6450" max="6450" width="40.42578125" style="21" customWidth="1"/>
    <col min="6451" max="6451" width="33.85546875" style="21" customWidth="1"/>
    <col min="6452" max="6452" width="37" style="21" customWidth="1"/>
    <col min="6453" max="6453" width="17.85546875" style="21" customWidth="1"/>
    <col min="6454" max="6454" width="28.5703125" style="21" customWidth="1"/>
    <col min="6455" max="6455" width="24.28515625" style="21" customWidth="1"/>
    <col min="6456" max="6456" width="40.140625" style="21" customWidth="1"/>
    <col min="6457" max="6457" width="18.7109375" style="21" customWidth="1"/>
    <col min="6458" max="6458" width="16.28515625" style="21" customWidth="1"/>
    <col min="6459" max="6459" width="13.42578125" style="21" customWidth="1"/>
    <col min="6460" max="6460" width="15.42578125" style="21" customWidth="1"/>
    <col min="6461" max="6461" width="30.85546875" style="21" customWidth="1"/>
    <col min="6462" max="6462" width="13.42578125" style="21" customWidth="1"/>
    <col min="6463" max="6463" width="25.7109375" style="21" customWidth="1"/>
    <col min="6464" max="6464" width="24.28515625" style="21" customWidth="1"/>
    <col min="6465" max="6465" width="23.85546875" style="21" customWidth="1"/>
    <col min="6466" max="6466" width="27.5703125" style="21" customWidth="1"/>
    <col min="6467" max="6467" width="25.42578125" style="21" customWidth="1"/>
    <col min="6468" max="6470" width="13.42578125" style="21" customWidth="1"/>
    <col min="6471" max="6471" width="16.28515625" style="21" customWidth="1"/>
    <col min="6472" max="6472" width="25.28515625" style="21" customWidth="1"/>
    <col min="6473" max="6474" width="13.42578125" style="21" customWidth="1"/>
    <col min="6475" max="6475" width="24.7109375" style="21" customWidth="1"/>
    <col min="6476" max="6476" width="26.85546875" style="21" customWidth="1"/>
    <col min="6477" max="6477" width="24.42578125" style="21" customWidth="1"/>
    <col min="6478" max="6478" width="23.140625" style="21" customWidth="1"/>
    <col min="6479" max="6479" width="21.140625" style="21" customWidth="1"/>
    <col min="6480" max="6480" width="14.5703125" style="21" customWidth="1"/>
    <col min="6481" max="6481" width="30.28515625" style="21" customWidth="1"/>
    <col min="6482" max="6482" width="13.42578125" style="21" customWidth="1"/>
    <col min="6483" max="6483" width="31.42578125" style="21" customWidth="1"/>
    <col min="6484" max="6484" width="13.42578125" style="21" customWidth="1"/>
    <col min="6485" max="6485" width="44.42578125" style="21" customWidth="1"/>
    <col min="6486" max="6486" width="19.7109375" style="21" customWidth="1"/>
    <col min="6487" max="6487" width="38.85546875" style="21" customWidth="1"/>
    <col min="6488" max="6488" width="31.42578125" style="21" customWidth="1"/>
    <col min="6489" max="6489" width="50.7109375" style="21" customWidth="1"/>
    <col min="6490" max="6490" width="34.85546875" style="21" customWidth="1"/>
    <col min="6491" max="6492" width="13.42578125" style="21" customWidth="1"/>
    <col min="6493" max="6493" width="18.140625" style="21" customWidth="1"/>
    <col min="6494" max="6494" width="23.7109375" style="21" customWidth="1"/>
    <col min="6495" max="6495" width="26.85546875" style="21" customWidth="1"/>
    <col min="6496" max="6496" width="23" style="21" customWidth="1"/>
    <col min="6497" max="6497" width="25.7109375" style="21" customWidth="1"/>
    <col min="6498" max="6498" width="29.28515625" style="21" customWidth="1"/>
    <col min="6499" max="6499" width="29.42578125" style="21" customWidth="1"/>
    <col min="6500" max="6500" width="23.5703125" style="21" customWidth="1"/>
    <col min="6501" max="6501" width="32.85546875" style="21" customWidth="1"/>
    <col min="6502" max="6502" width="30.7109375" style="21" customWidth="1"/>
    <col min="6503" max="6503" width="33.85546875" style="21" customWidth="1"/>
    <col min="6504" max="6504" width="15.85546875" style="21" customWidth="1"/>
    <col min="6505" max="6505" width="17.28515625" style="21" customWidth="1"/>
    <col min="6506" max="6506" width="26.5703125" style="21" customWidth="1"/>
    <col min="6507" max="6507" width="21.5703125" style="21" customWidth="1"/>
    <col min="6508" max="6508" width="42.7109375" style="21" customWidth="1"/>
    <col min="6509" max="6509" width="44.140625" style="21" customWidth="1"/>
    <col min="6510" max="6511" width="31.42578125" style="21" customWidth="1"/>
    <col min="6512" max="6512" width="27.85546875" style="21" customWidth="1"/>
    <col min="6513" max="6513" width="0" style="21" hidden="1" customWidth="1"/>
    <col min="6514" max="6514" width="31.42578125" style="21" customWidth="1"/>
    <col min="6515" max="6656" width="9.140625" style="21"/>
    <col min="6657" max="6657" width="8.7109375" style="21" customWidth="1"/>
    <col min="6658" max="6659" width="31.42578125" style="21" customWidth="1"/>
    <col min="6660" max="6660" width="25.85546875" style="21" customWidth="1"/>
    <col min="6661" max="6661" width="26.85546875" style="21" customWidth="1"/>
    <col min="6662" max="6662" width="27" style="21" customWidth="1"/>
    <col min="6663" max="6663" width="32.28515625" style="21" customWidth="1"/>
    <col min="6664" max="6664" width="13.42578125" style="21" customWidth="1"/>
    <col min="6665" max="6665" width="17.85546875" style="21" customWidth="1"/>
    <col min="6666" max="6666" width="15.85546875" style="21" customWidth="1"/>
    <col min="6667" max="6667" width="26" style="21" customWidth="1"/>
    <col min="6668" max="6668" width="21.7109375" style="21" customWidth="1"/>
    <col min="6669" max="6669" width="16.5703125" style="21" customWidth="1"/>
    <col min="6670" max="6670" width="25.7109375" style="21" customWidth="1"/>
    <col min="6671" max="6671" width="31.42578125" style="21" customWidth="1"/>
    <col min="6672" max="6672" width="18.42578125" style="21" customWidth="1"/>
    <col min="6673" max="6673" width="13.42578125" style="21" customWidth="1"/>
    <col min="6674" max="6674" width="18" style="21" customWidth="1"/>
    <col min="6675" max="6675" width="19.7109375" style="21" customWidth="1"/>
    <col min="6676" max="6677" width="13.42578125" style="21" customWidth="1"/>
    <col min="6678" max="6678" width="18" style="21" customWidth="1"/>
    <col min="6679" max="6679" width="15.42578125" style="21" customWidth="1"/>
    <col min="6680" max="6680" width="13.42578125" style="21" customWidth="1"/>
    <col min="6681" max="6681" width="16.140625" style="21" customWidth="1"/>
    <col min="6682" max="6682" width="18" style="21" customWidth="1"/>
    <col min="6683" max="6684" width="13.42578125" style="21" customWidth="1"/>
    <col min="6685" max="6685" width="18.85546875" style="21" customWidth="1"/>
    <col min="6686" max="6686" width="28.7109375" style="21" customWidth="1"/>
    <col min="6687" max="6687" width="18.85546875" style="21" customWidth="1"/>
    <col min="6688" max="6688" width="16" style="21" customWidth="1"/>
    <col min="6689" max="6689" width="13.42578125" style="21" customWidth="1"/>
    <col min="6690" max="6690" width="26.28515625" style="21" customWidth="1"/>
    <col min="6691" max="6691" width="37.140625" style="21" customWidth="1"/>
    <col min="6692" max="6692" width="13.42578125" style="21" customWidth="1"/>
    <col min="6693" max="6693" width="16.85546875" style="21" customWidth="1"/>
    <col min="6694" max="6694" width="29.140625" style="21" customWidth="1"/>
    <col min="6695" max="6695" width="24.140625" style="21" customWidth="1"/>
    <col min="6696" max="6696" width="15.140625" style="21" customWidth="1"/>
    <col min="6697" max="6697" width="18.7109375" style="21" customWidth="1"/>
    <col min="6698" max="6698" width="19.5703125" style="21" customWidth="1"/>
    <col min="6699" max="6699" width="26.42578125" style="21" customWidth="1"/>
    <col min="6700" max="6700" width="25.85546875" style="21" customWidth="1"/>
    <col min="6701" max="6701" width="13.42578125" style="21" customWidth="1"/>
    <col min="6702" max="6702" width="26.85546875" style="21" customWidth="1"/>
    <col min="6703" max="6704" width="31.42578125" style="21" customWidth="1"/>
    <col min="6705" max="6705" width="26.42578125" style="21" customWidth="1"/>
    <col min="6706" max="6706" width="40.42578125" style="21" customWidth="1"/>
    <col min="6707" max="6707" width="33.85546875" style="21" customWidth="1"/>
    <col min="6708" max="6708" width="37" style="21" customWidth="1"/>
    <col min="6709" max="6709" width="17.85546875" style="21" customWidth="1"/>
    <col min="6710" max="6710" width="28.5703125" style="21" customWidth="1"/>
    <col min="6711" max="6711" width="24.28515625" style="21" customWidth="1"/>
    <col min="6712" max="6712" width="40.140625" style="21" customWidth="1"/>
    <col min="6713" max="6713" width="18.7109375" style="21" customWidth="1"/>
    <col min="6714" max="6714" width="16.28515625" style="21" customWidth="1"/>
    <col min="6715" max="6715" width="13.42578125" style="21" customWidth="1"/>
    <col min="6716" max="6716" width="15.42578125" style="21" customWidth="1"/>
    <col min="6717" max="6717" width="30.85546875" style="21" customWidth="1"/>
    <col min="6718" max="6718" width="13.42578125" style="21" customWidth="1"/>
    <col min="6719" max="6719" width="25.7109375" style="21" customWidth="1"/>
    <col min="6720" max="6720" width="24.28515625" style="21" customWidth="1"/>
    <col min="6721" max="6721" width="23.85546875" style="21" customWidth="1"/>
    <col min="6722" max="6722" width="27.5703125" style="21" customWidth="1"/>
    <col min="6723" max="6723" width="25.42578125" style="21" customWidth="1"/>
    <col min="6724" max="6726" width="13.42578125" style="21" customWidth="1"/>
    <col min="6727" max="6727" width="16.28515625" style="21" customWidth="1"/>
    <col min="6728" max="6728" width="25.28515625" style="21" customWidth="1"/>
    <col min="6729" max="6730" width="13.42578125" style="21" customWidth="1"/>
    <col min="6731" max="6731" width="24.7109375" style="21" customWidth="1"/>
    <col min="6732" max="6732" width="26.85546875" style="21" customWidth="1"/>
    <col min="6733" max="6733" width="24.42578125" style="21" customWidth="1"/>
    <col min="6734" max="6734" width="23.140625" style="21" customWidth="1"/>
    <col min="6735" max="6735" width="21.140625" style="21" customWidth="1"/>
    <col min="6736" max="6736" width="14.5703125" style="21" customWidth="1"/>
    <col min="6737" max="6737" width="30.28515625" style="21" customWidth="1"/>
    <col min="6738" max="6738" width="13.42578125" style="21" customWidth="1"/>
    <col min="6739" max="6739" width="31.42578125" style="21" customWidth="1"/>
    <col min="6740" max="6740" width="13.42578125" style="21" customWidth="1"/>
    <col min="6741" max="6741" width="44.42578125" style="21" customWidth="1"/>
    <col min="6742" max="6742" width="19.7109375" style="21" customWidth="1"/>
    <col min="6743" max="6743" width="38.85546875" style="21" customWidth="1"/>
    <col min="6744" max="6744" width="31.42578125" style="21" customWidth="1"/>
    <col min="6745" max="6745" width="50.7109375" style="21" customWidth="1"/>
    <col min="6746" max="6746" width="34.85546875" style="21" customWidth="1"/>
    <col min="6747" max="6748" width="13.42578125" style="21" customWidth="1"/>
    <col min="6749" max="6749" width="18.140625" style="21" customWidth="1"/>
    <col min="6750" max="6750" width="23.7109375" style="21" customWidth="1"/>
    <col min="6751" max="6751" width="26.85546875" style="21" customWidth="1"/>
    <col min="6752" max="6752" width="23" style="21" customWidth="1"/>
    <col min="6753" max="6753" width="25.7109375" style="21" customWidth="1"/>
    <col min="6754" max="6754" width="29.28515625" style="21" customWidth="1"/>
    <col min="6755" max="6755" width="29.42578125" style="21" customWidth="1"/>
    <col min="6756" max="6756" width="23.5703125" style="21" customWidth="1"/>
    <col min="6757" max="6757" width="32.85546875" style="21" customWidth="1"/>
    <col min="6758" max="6758" width="30.7109375" style="21" customWidth="1"/>
    <col min="6759" max="6759" width="33.85546875" style="21" customWidth="1"/>
    <col min="6760" max="6760" width="15.85546875" style="21" customWidth="1"/>
    <col min="6761" max="6761" width="17.28515625" style="21" customWidth="1"/>
    <col min="6762" max="6762" width="26.5703125" style="21" customWidth="1"/>
    <col min="6763" max="6763" width="21.5703125" style="21" customWidth="1"/>
    <col min="6764" max="6764" width="42.7109375" style="21" customWidth="1"/>
    <col min="6765" max="6765" width="44.140625" style="21" customWidth="1"/>
    <col min="6766" max="6767" width="31.42578125" style="21" customWidth="1"/>
    <col min="6768" max="6768" width="27.85546875" style="21" customWidth="1"/>
    <col min="6769" max="6769" width="0" style="21" hidden="1" customWidth="1"/>
    <col min="6770" max="6770" width="31.42578125" style="21" customWidth="1"/>
    <col min="6771" max="6912" width="9.140625" style="21"/>
    <col min="6913" max="6913" width="8.7109375" style="21" customWidth="1"/>
    <col min="6914" max="6915" width="31.42578125" style="21" customWidth="1"/>
    <col min="6916" max="6916" width="25.85546875" style="21" customWidth="1"/>
    <col min="6917" max="6917" width="26.85546875" style="21" customWidth="1"/>
    <col min="6918" max="6918" width="27" style="21" customWidth="1"/>
    <col min="6919" max="6919" width="32.28515625" style="21" customWidth="1"/>
    <col min="6920" max="6920" width="13.42578125" style="21" customWidth="1"/>
    <col min="6921" max="6921" width="17.85546875" style="21" customWidth="1"/>
    <col min="6922" max="6922" width="15.85546875" style="21" customWidth="1"/>
    <col min="6923" max="6923" width="26" style="21" customWidth="1"/>
    <col min="6924" max="6924" width="21.7109375" style="21" customWidth="1"/>
    <col min="6925" max="6925" width="16.5703125" style="21" customWidth="1"/>
    <col min="6926" max="6926" width="25.7109375" style="21" customWidth="1"/>
    <col min="6927" max="6927" width="31.42578125" style="21" customWidth="1"/>
    <col min="6928" max="6928" width="18.42578125" style="21" customWidth="1"/>
    <col min="6929" max="6929" width="13.42578125" style="21" customWidth="1"/>
    <col min="6930" max="6930" width="18" style="21" customWidth="1"/>
    <col min="6931" max="6931" width="19.7109375" style="21" customWidth="1"/>
    <col min="6932" max="6933" width="13.42578125" style="21" customWidth="1"/>
    <col min="6934" max="6934" width="18" style="21" customWidth="1"/>
    <col min="6935" max="6935" width="15.42578125" style="21" customWidth="1"/>
    <col min="6936" max="6936" width="13.42578125" style="21" customWidth="1"/>
    <col min="6937" max="6937" width="16.140625" style="21" customWidth="1"/>
    <col min="6938" max="6938" width="18" style="21" customWidth="1"/>
    <col min="6939" max="6940" width="13.42578125" style="21" customWidth="1"/>
    <col min="6941" max="6941" width="18.85546875" style="21" customWidth="1"/>
    <col min="6942" max="6942" width="28.7109375" style="21" customWidth="1"/>
    <col min="6943" max="6943" width="18.85546875" style="21" customWidth="1"/>
    <col min="6944" max="6944" width="16" style="21" customWidth="1"/>
    <col min="6945" max="6945" width="13.42578125" style="21" customWidth="1"/>
    <col min="6946" max="6946" width="26.28515625" style="21" customWidth="1"/>
    <col min="6947" max="6947" width="37.140625" style="21" customWidth="1"/>
    <col min="6948" max="6948" width="13.42578125" style="21" customWidth="1"/>
    <col min="6949" max="6949" width="16.85546875" style="21" customWidth="1"/>
    <col min="6950" max="6950" width="29.140625" style="21" customWidth="1"/>
    <col min="6951" max="6951" width="24.140625" style="21" customWidth="1"/>
    <col min="6952" max="6952" width="15.140625" style="21" customWidth="1"/>
    <col min="6953" max="6953" width="18.7109375" style="21" customWidth="1"/>
    <col min="6954" max="6954" width="19.5703125" style="21" customWidth="1"/>
    <col min="6955" max="6955" width="26.42578125" style="21" customWidth="1"/>
    <col min="6956" max="6956" width="25.85546875" style="21" customWidth="1"/>
    <col min="6957" max="6957" width="13.42578125" style="21" customWidth="1"/>
    <col min="6958" max="6958" width="26.85546875" style="21" customWidth="1"/>
    <col min="6959" max="6960" width="31.42578125" style="21" customWidth="1"/>
    <col min="6961" max="6961" width="26.42578125" style="21" customWidth="1"/>
    <col min="6962" max="6962" width="40.42578125" style="21" customWidth="1"/>
    <col min="6963" max="6963" width="33.85546875" style="21" customWidth="1"/>
    <col min="6964" max="6964" width="37" style="21" customWidth="1"/>
    <col min="6965" max="6965" width="17.85546875" style="21" customWidth="1"/>
    <col min="6966" max="6966" width="28.5703125" style="21" customWidth="1"/>
    <col min="6967" max="6967" width="24.28515625" style="21" customWidth="1"/>
    <col min="6968" max="6968" width="40.140625" style="21" customWidth="1"/>
    <col min="6969" max="6969" width="18.7109375" style="21" customWidth="1"/>
    <col min="6970" max="6970" width="16.28515625" style="21" customWidth="1"/>
    <col min="6971" max="6971" width="13.42578125" style="21" customWidth="1"/>
    <col min="6972" max="6972" width="15.42578125" style="21" customWidth="1"/>
    <col min="6973" max="6973" width="30.85546875" style="21" customWidth="1"/>
    <col min="6974" max="6974" width="13.42578125" style="21" customWidth="1"/>
    <col min="6975" max="6975" width="25.7109375" style="21" customWidth="1"/>
    <col min="6976" max="6976" width="24.28515625" style="21" customWidth="1"/>
    <col min="6977" max="6977" width="23.85546875" style="21" customWidth="1"/>
    <col min="6978" max="6978" width="27.5703125" style="21" customWidth="1"/>
    <col min="6979" max="6979" width="25.42578125" style="21" customWidth="1"/>
    <col min="6980" max="6982" width="13.42578125" style="21" customWidth="1"/>
    <col min="6983" max="6983" width="16.28515625" style="21" customWidth="1"/>
    <col min="6984" max="6984" width="25.28515625" style="21" customWidth="1"/>
    <col min="6985" max="6986" width="13.42578125" style="21" customWidth="1"/>
    <col min="6987" max="6987" width="24.7109375" style="21" customWidth="1"/>
    <col min="6988" max="6988" width="26.85546875" style="21" customWidth="1"/>
    <col min="6989" max="6989" width="24.42578125" style="21" customWidth="1"/>
    <col min="6990" max="6990" width="23.140625" style="21" customWidth="1"/>
    <col min="6991" max="6991" width="21.140625" style="21" customWidth="1"/>
    <col min="6992" max="6992" width="14.5703125" style="21" customWidth="1"/>
    <col min="6993" max="6993" width="30.28515625" style="21" customWidth="1"/>
    <col min="6994" max="6994" width="13.42578125" style="21" customWidth="1"/>
    <col min="6995" max="6995" width="31.42578125" style="21" customWidth="1"/>
    <col min="6996" max="6996" width="13.42578125" style="21" customWidth="1"/>
    <col min="6997" max="6997" width="44.42578125" style="21" customWidth="1"/>
    <col min="6998" max="6998" width="19.7109375" style="21" customWidth="1"/>
    <col min="6999" max="6999" width="38.85546875" style="21" customWidth="1"/>
    <col min="7000" max="7000" width="31.42578125" style="21" customWidth="1"/>
    <col min="7001" max="7001" width="50.7109375" style="21" customWidth="1"/>
    <col min="7002" max="7002" width="34.85546875" style="21" customWidth="1"/>
    <col min="7003" max="7004" width="13.42578125" style="21" customWidth="1"/>
    <col min="7005" max="7005" width="18.140625" style="21" customWidth="1"/>
    <col min="7006" max="7006" width="23.7109375" style="21" customWidth="1"/>
    <col min="7007" max="7007" width="26.85546875" style="21" customWidth="1"/>
    <col min="7008" max="7008" width="23" style="21" customWidth="1"/>
    <col min="7009" max="7009" width="25.7109375" style="21" customWidth="1"/>
    <col min="7010" max="7010" width="29.28515625" style="21" customWidth="1"/>
    <col min="7011" max="7011" width="29.42578125" style="21" customWidth="1"/>
    <col min="7012" max="7012" width="23.5703125" style="21" customWidth="1"/>
    <col min="7013" max="7013" width="32.85546875" style="21" customWidth="1"/>
    <col min="7014" max="7014" width="30.7109375" style="21" customWidth="1"/>
    <col min="7015" max="7015" width="33.85546875" style="21" customWidth="1"/>
    <col min="7016" max="7016" width="15.85546875" style="21" customWidth="1"/>
    <col min="7017" max="7017" width="17.28515625" style="21" customWidth="1"/>
    <col min="7018" max="7018" width="26.5703125" style="21" customWidth="1"/>
    <col min="7019" max="7019" width="21.5703125" style="21" customWidth="1"/>
    <col min="7020" max="7020" width="42.7109375" style="21" customWidth="1"/>
    <col min="7021" max="7021" width="44.140625" style="21" customWidth="1"/>
    <col min="7022" max="7023" width="31.42578125" style="21" customWidth="1"/>
    <col min="7024" max="7024" width="27.85546875" style="21" customWidth="1"/>
    <col min="7025" max="7025" width="0" style="21" hidden="1" customWidth="1"/>
    <col min="7026" max="7026" width="31.42578125" style="21" customWidth="1"/>
    <col min="7027" max="7168" width="9.140625" style="21"/>
    <col min="7169" max="7169" width="8.7109375" style="21" customWidth="1"/>
    <col min="7170" max="7171" width="31.42578125" style="21" customWidth="1"/>
    <col min="7172" max="7172" width="25.85546875" style="21" customWidth="1"/>
    <col min="7173" max="7173" width="26.85546875" style="21" customWidth="1"/>
    <col min="7174" max="7174" width="27" style="21" customWidth="1"/>
    <col min="7175" max="7175" width="32.28515625" style="21" customWidth="1"/>
    <col min="7176" max="7176" width="13.42578125" style="21" customWidth="1"/>
    <col min="7177" max="7177" width="17.85546875" style="21" customWidth="1"/>
    <col min="7178" max="7178" width="15.85546875" style="21" customWidth="1"/>
    <col min="7179" max="7179" width="26" style="21" customWidth="1"/>
    <col min="7180" max="7180" width="21.7109375" style="21" customWidth="1"/>
    <col min="7181" max="7181" width="16.5703125" style="21" customWidth="1"/>
    <col min="7182" max="7182" width="25.7109375" style="21" customWidth="1"/>
    <col min="7183" max="7183" width="31.42578125" style="21" customWidth="1"/>
    <col min="7184" max="7184" width="18.42578125" style="21" customWidth="1"/>
    <col min="7185" max="7185" width="13.42578125" style="21" customWidth="1"/>
    <col min="7186" max="7186" width="18" style="21" customWidth="1"/>
    <col min="7187" max="7187" width="19.7109375" style="21" customWidth="1"/>
    <col min="7188" max="7189" width="13.42578125" style="21" customWidth="1"/>
    <col min="7190" max="7190" width="18" style="21" customWidth="1"/>
    <col min="7191" max="7191" width="15.42578125" style="21" customWidth="1"/>
    <col min="7192" max="7192" width="13.42578125" style="21" customWidth="1"/>
    <col min="7193" max="7193" width="16.140625" style="21" customWidth="1"/>
    <col min="7194" max="7194" width="18" style="21" customWidth="1"/>
    <col min="7195" max="7196" width="13.42578125" style="21" customWidth="1"/>
    <col min="7197" max="7197" width="18.85546875" style="21" customWidth="1"/>
    <col min="7198" max="7198" width="28.7109375" style="21" customWidth="1"/>
    <col min="7199" max="7199" width="18.85546875" style="21" customWidth="1"/>
    <col min="7200" max="7200" width="16" style="21" customWidth="1"/>
    <col min="7201" max="7201" width="13.42578125" style="21" customWidth="1"/>
    <col min="7202" max="7202" width="26.28515625" style="21" customWidth="1"/>
    <col min="7203" max="7203" width="37.140625" style="21" customWidth="1"/>
    <col min="7204" max="7204" width="13.42578125" style="21" customWidth="1"/>
    <col min="7205" max="7205" width="16.85546875" style="21" customWidth="1"/>
    <col min="7206" max="7206" width="29.140625" style="21" customWidth="1"/>
    <col min="7207" max="7207" width="24.140625" style="21" customWidth="1"/>
    <col min="7208" max="7208" width="15.140625" style="21" customWidth="1"/>
    <col min="7209" max="7209" width="18.7109375" style="21" customWidth="1"/>
    <col min="7210" max="7210" width="19.5703125" style="21" customWidth="1"/>
    <col min="7211" max="7211" width="26.42578125" style="21" customWidth="1"/>
    <col min="7212" max="7212" width="25.85546875" style="21" customWidth="1"/>
    <col min="7213" max="7213" width="13.42578125" style="21" customWidth="1"/>
    <col min="7214" max="7214" width="26.85546875" style="21" customWidth="1"/>
    <col min="7215" max="7216" width="31.42578125" style="21" customWidth="1"/>
    <col min="7217" max="7217" width="26.42578125" style="21" customWidth="1"/>
    <col min="7218" max="7218" width="40.42578125" style="21" customWidth="1"/>
    <col min="7219" max="7219" width="33.85546875" style="21" customWidth="1"/>
    <col min="7220" max="7220" width="37" style="21" customWidth="1"/>
    <col min="7221" max="7221" width="17.85546875" style="21" customWidth="1"/>
    <col min="7222" max="7222" width="28.5703125" style="21" customWidth="1"/>
    <col min="7223" max="7223" width="24.28515625" style="21" customWidth="1"/>
    <col min="7224" max="7224" width="40.140625" style="21" customWidth="1"/>
    <col min="7225" max="7225" width="18.7109375" style="21" customWidth="1"/>
    <col min="7226" max="7226" width="16.28515625" style="21" customWidth="1"/>
    <col min="7227" max="7227" width="13.42578125" style="21" customWidth="1"/>
    <col min="7228" max="7228" width="15.42578125" style="21" customWidth="1"/>
    <col min="7229" max="7229" width="30.85546875" style="21" customWidth="1"/>
    <col min="7230" max="7230" width="13.42578125" style="21" customWidth="1"/>
    <col min="7231" max="7231" width="25.7109375" style="21" customWidth="1"/>
    <col min="7232" max="7232" width="24.28515625" style="21" customWidth="1"/>
    <col min="7233" max="7233" width="23.85546875" style="21" customWidth="1"/>
    <col min="7234" max="7234" width="27.5703125" style="21" customWidth="1"/>
    <col min="7235" max="7235" width="25.42578125" style="21" customWidth="1"/>
    <col min="7236" max="7238" width="13.42578125" style="21" customWidth="1"/>
    <col min="7239" max="7239" width="16.28515625" style="21" customWidth="1"/>
    <col min="7240" max="7240" width="25.28515625" style="21" customWidth="1"/>
    <col min="7241" max="7242" width="13.42578125" style="21" customWidth="1"/>
    <col min="7243" max="7243" width="24.7109375" style="21" customWidth="1"/>
    <col min="7244" max="7244" width="26.85546875" style="21" customWidth="1"/>
    <col min="7245" max="7245" width="24.42578125" style="21" customWidth="1"/>
    <col min="7246" max="7246" width="23.140625" style="21" customWidth="1"/>
    <col min="7247" max="7247" width="21.140625" style="21" customWidth="1"/>
    <col min="7248" max="7248" width="14.5703125" style="21" customWidth="1"/>
    <col min="7249" max="7249" width="30.28515625" style="21" customWidth="1"/>
    <col min="7250" max="7250" width="13.42578125" style="21" customWidth="1"/>
    <col min="7251" max="7251" width="31.42578125" style="21" customWidth="1"/>
    <col min="7252" max="7252" width="13.42578125" style="21" customWidth="1"/>
    <col min="7253" max="7253" width="44.42578125" style="21" customWidth="1"/>
    <col min="7254" max="7254" width="19.7109375" style="21" customWidth="1"/>
    <col min="7255" max="7255" width="38.85546875" style="21" customWidth="1"/>
    <col min="7256" max="7256" width="31.42578125" style="21" customWidth="1"/>
    <col min="7257" max="7257" width="50.7109375" style="21" customWidth="1"/>
    <col min="7258" max="7258" width="34.85546875" style="21" customWidth="1"/>
    <col min="7259" max="7260" width="13.42578125" style="21" customWidth="1"/>
    <col min="7261" max="7261" width="18.140625" style="21" customWidth="1"/>
    <col min="7262" max="7262" width="23.7109375" style="21" customWidth="1"/>
    <col min="7263" max="7263" width="26.85546875" style="21" customWidth="1"/>
    <col min="7264" max="7264" width="23" style="21" customWidth="1"/>
    <col min="7265" max="7265" width="25.7109375" style="21" customWidth="1"/>
    <col min="7266" max="7266" width="29.28515625" style="21" customWidth="1"/>
    <col min="7267" max="7267" width="29.42578125" style="21" customWidth="1"/>
    <col min="7268" max="7268" width="23.5703125" style="21" customWidth="1"/>
    <col min="7269" max="7269" width="32.85546875" style="21" customWidth="1"/>
    <col min="7270" max="7270" width="30.7109375" style="21" customWidth="1"/>
    <col min="7271" max="7271" width="33.85546875" style="21" customWidth="1"/>
    <col min="7272" max="7272" width="15.85546875" style="21" customWidth="1"/>
    <col min="7273" max="7273" width="17.28515625" style="21" customWidth="1"/>
    <col min="7274" max="7274" width="26.5703125" style="21" customWidth="1"/>
    <col min="7275" max="7275" width="21.5703125" style="21" customWidth="1"/>
    <col min="7276" max="7276" width="42.7109375" style="21" customWidth="1"/>
    <col min="7277" max="7277" width="44.140625" style="21" customWidth="1"/>
    <col min="7278" max="7279" width="31.42578125" style="21" customWidth="1"/>
    <col min="7280" max="7280" width="27.85546875" style="21" customWidth="1"/>
    <col min="7281" max="7281" width="0" style="21" hidden="1" customWidth="1"/>
    <col min="7282" max="7282" width="31.42578125" style="21" customWidth="1"/>
    <col min="7283" max="7424" width="9.140625" style="21"/>
    <col min="7425" max="7425" width="8.7109375" style="21" customWidth="1"/>
    <col min="7426" max="7427" width="31.42578125" style="21" customWidth="1"/>
    <col min="7428" max="7428" width="25.85546875" style="21" customWidth="1"/>
    <col min="7429" max="7429" width="26.85546875" style="21" customWidth="1"/>
    <col min="7430" max="7430" width="27" style="21" customWidth="1"/>
    <col min="7431" max="7431" width="32.28515625" style="21" customWidth="1"/>
    <col min="7432" max="7432" width="13.42578125" style="21" customWidth="1"/>
    <col min="7433" max="7433" width="17.85546875" style="21" customWidth="1"/>
    <col min="7434" max="7434" width="15.85546875" style="21" customWidth="1"/>
    <col min="7435" max="7435" width="26" style="21" customWidth="1"/>
    <col min="7436" max="7436" width="21.7109375" style="21" customWidth="1"/>
    <col min="7437" max="7437" width="16.5703125" style="21" customWidth="1"/>
    <col min="7438" max="7438" width="25.7109375" style="21" customWidth="1"/>
    <col min="7439" max="7439" width="31.42578125" style="21" customWidth="1"/>
    <col min="7440" max="7440" width="18.42578125" style="21" customWidth="1"/>
    <col min="7441" max="7441" width="13.42578125" style="21" customWidth="1"/>
    <col min="7442" max="7442" width="18" style="21" customWidth="1"/>
    <col min="7443" max="7443" width="19.7109375" style="21" customWidth="1"/>
    <col min="7444" max="7445" width="13.42578125" style="21" customWidth="1"/>
    <col min="7446" max="7446" width="18" style="21" customWidth="1"/>
    <col min="7447" max="7447" width="15.42578125" style="21" customWidth="1"/>
    <col min="7448" max="7448" width="13.42578125" style="21" customWidth="1"/>
    <col min="7449" max="7449" width="16.140625" style="21" customWidth="1"/>
    <col min="7450" max="7450" width="18" style="21" customWidth="1"/>
    <col min="7451" max="7452" width="13.42578125" style="21" customWidth="1"/>
    <col min="7453" max="7453" width="18.85546875" style="21" customWidth="1"/>
    <col min="7454" max="7454" width="28.7109375" style="21" customWidth="1"/>
    <col min="7455" max="7455" width="18.85546875" style="21" customWidth="1"/>
    <col min="7456" max="7456" width="16" style="21" customWidth="1"/>
    <col min="7457" max="7457" width="13.42578125" style="21" customWidth="1"/>
    <col min="7458" max="7458" width="26.28515625" style="21" customWidth="1"/>
    <col min="7459" max="7459" width="37.140625" style="21" customWidth="1"/>
    <col min="7460" max="7460" width="13.42578125" style="21" customWidth="1"/>
    <col min="7461" max="7461" width="16.85546875" style="21" customWidth="1"/>
    <col min="7462" max="7462" width="29.140625" style="21" customWidth="1"/>
    <col min="7463" max="7463" width="24.140625" style="21" customWidth="1"/>
    <col min="7464" max="7464" width="15.140625" style="21" customWidth="1"/>
    <col min="7465" max="7465" width="18.7109375" style="21" customWidth="1"/>
    <col min="7466" max="7466" width="19.5703125" style="21" customWidth="1"/>
    <col min="7467" max="7467" width="26.42578125" style="21" customWidth="1"/>
    <col min="7468" max="7468" width="25.85546875" style="21" customWidth="1"/>
    <col min="7469" max="7469" width="13.42578125" style="21" customWidth="1"/>
    <col min="7470" max="7470" width="26.85546875" style="21" customWidth="1"/>
    <col min="7471" max="7472" width="31.42578125" style="21" customWidth="1"/>
    <col min="7473" max="7473" width="26.42578125" style="21" customWidth="1"/>
    <col min="7474" max="7474" width="40.42578125" style="21" customWidth="1"/>
    <col min="7475" max="7475" width="33.85546875" style="21" customWidth="1"/>
    <col min="7476" max="7476" width="37" style="21" customWidth="1"/>
    <col min="7477" max="7477" width="17.85546875" style="21" customWidth="1"/>
    <col min="7478" max="7478" width="28.5703125" style="21" customWidth="1"/>
    <col min="7479" max="7479" width="24.28515625" style="21" customWidth="1"/>
    <col min="7480" max="7480" width="40.140625" style="21" customWidth="1"/>
    <col min="7481" max="7481" width="18.7109375" style="21" customWidth="1"/>
    <col min="7482" max="7482" width="16.28515625" style="21" customWidth="1"/>
    <col min="7483" max="7483" width="13.42578125" style="21" customWidth="1"/>
    <col min="7484" max="7484" width="15.42578125" style="21" customWidth="1"/>
    <col min="7485" max="7485" width="30.85546875" style="21" customWidth="1"/>
    <col min="7486" max="7486" width="13.42578125" style="21" customWidth="1"/>
    <col min="7487" max="7487" width="25.7109375" style="21" customWidth="1"/>
    <col min="7488" max="7488" width="24.28515625" style="21" customWidth="1"/>
    <col min="7489" max="7489" width="23.85546875" style="21" customWidth="1"/>
    <col min="7490" max="7490" width="27.5703125" style="21" customWidth="1"/>
    <col min="7491" max="7491" width="25.42578125" style="21" customWidth="1"/>
    <col min="7492" max="7494" width="13.42578125" style="21" customWidth="1"/>
    <col min="7495" max="7495" width="16.28515625" style="21" customWidth="1"/>
    <col min="7496" max="7496" width="25.28515625" style="21" customWidth="1"/>
    <col min="7497" max="7498" width="13.42578125" style="21" customWidth="1"/>
    <col min="7499" max="7499" width="24.7109375" style="21" customWidth="1"/>
    <col min="7500" max="7500" width="26.85546875" style="21" customWidth="1"/>
    <col min="7501" max="7501" width="24.42578125" style="21" customWidth="1"/>
    <col min="7502" max="7502" width="23.140625" style="21" customWidth="1"/>
    <col min="7503" max="7503" width="21.140625" style="21" customWidth="1"/>
    <col min="7504" max="7504" width="14.5703125" style="21" customWidth="1"/>
    <col min="7505" max="7505" width="30.28515625" style="21" customWidth="1"/>
    <col min="7506" max="7506" width="13.42578125" style="21" customWidth="1"/>
    <col min="7507" max="7507" width="31.42578125" style="21" customWidth="1"/>
    <col min="7508" max="7508" width="13.42578125" style="21" customWidth="1"/>
    <col min="7509" max="7509" width="44.42578125" style="21" customWidth="1"/>
    <col min="7510" max="7510" width="19.7109375" style="21" customWidth="1"/>
    <col min="7511" max="7511" width="38.85546875" style="21" customWidth="1"/>
    <col min="7512" max="7512" width="31.42578125" style="21" customWidth="1"/>
    <col min="7513" max="7513" width="50.7109375" style="21" customWidth="1"/>
    <col min="7514" max="7514" width="34.85546875" style="21" customWidth="1"/>
    <col min="7515" max="7516" width="13.42578125" style="21" customWidth="1"/>
    <col min="7517" max="7517" width="18.140625" style="21" customWidth="1"/>
    <col min="7518" max="7518" width="23.7109375" style="21" customWidth="1"/>
    <col min="7519" max="7519" width="26.85546875" style="21" customWidth="1"/>
    <col min="7520" max="7520" width="23" style="21" customWidth="1"/>
    <col min="7521" max="7521" width="25.7109375" style="21" customWidth="1"/>
    <col min="7522" max="7522" width="29.28515625" style="21" customWidth="1"/>
    <col min="7523" max="7523" width="29.42578125" style="21" customWidth="1"/>
    <col min="7524" max="7524" width="23.5703125" style="21" customWidth="1"/>
    <col min="7525" max="7525" width="32.85546875" style="21" customWidth="1"/>
    <col min="7526" max="7526" width="30.7109375" style="21" customWidth="1"/>
    <col min="7527" max="7527" width="33.85546875" style="21" customWidth="1"/>
    <col min="7528" max="7528" width="15.85546875" style="21" customWidth="1"/>
    <col min="7529" max="7529" width="17.28515625" style="21" customWidth="1"/>
    <col min="7530" max="7530" width="26.5703125" style="21" customWidth="1"/>
    <col min="7531" max="7531" width="21.5703125" style="21" customWidth="1"/>
    <col min="7532" max="7532" width="42.7109375" style="21" customWidth="1"/>
    <col min="7533" max="7533" width="44.140625" style="21" customWidth="1"/>
    <col min="7534" max="7535" width="31.42578125" style="21" customWidth="1"/>
    <col min="7536" max="7536" width="27.85546875" style="21" customWidth="1"/>
    <col min="7537" max="7537" width="0" style="21" hidden="1" customWidth="1"/>
    <col min="7538" max="7538" width="31.42578125" style="21" customWidth="1"/>
    <col min="7539" max="7680" width="9.140625" style="21"/>
    <col min="7681" max="7681" width="8.7109375" style="21" customWidth="1"/>
    <col min="7682" max="7683" width="31.42578125" style="21" customWidth="1"/>
    <col min="7684" max="7684" width="25.85546875" style="21" customWidth="1"/>
    <col min="7685" max="7685" width="26.85546875" style="21" customWidth="1"/>
    <col min="7686" max="7686" width="27" style="21" customWidth="1"/>
    <col min="7687" max="7687" width="32.28515625" style="21" customWidth="1"/>
    <col min="7688" max="7688" width="13.42578125" style="21" customWidth="1"/>
    <col min="7689" max="7689" width="17.85546875" style="21" customWidth="1"/>
    <col min="7690" max="7690" width="15.85546875" style="21" customWidth="1"/>
    <col min="7691" max="7691" width="26" style="21" customWidth="1"/>
    <col min="7692" max="7692" width="21.7109375" style="21" customWidth="1"/>
    <col min="7693" max="7693" width="16.5703125" style="21" customWidth="1"/>
    <col min="7694" max="7694" width="25.7109375" style="21" customWidth="1"/>
    <col min="7695" max="7695" width="31.42578125" style="21" customWidth="1"/>
    <col min="7696" max="7696" width="18.42578125" style="21" customWidth="1"/>
    <col min="7697" max="7697" width="13.42578125" style="21" customWidth="1"/>
    <col min="7698" max="7698" width="18" style="21" customWidth="1"/>
    <col min="7699" max="7699" width="19.7109375" style="21" customWidth="1"/>
    <col min="7700" max="7701" width="13.42578125" style="21" customWidth="1"/>
    <col min="7702" max="7702" width="18" style="21" customWidth="1"/>
    <col min="7703" max="7703" width="15.42578125" style="21" customWidth="1"/>
    <col min="7704" max="7704" width="13.42578125" style="21" customWidth="1"/>
    <col min="7705" max="7705" width="16.140625" style="21" customWidth="1"/>
    <col min="7706" max="7706" width="18" style="21" customWidth="1"/>
    <col min="7707" max="7708" width="13.42578125" style="21" customWidth="1"/>
    <col min="7709" max="7709" width="18.85546875" style="21" customWidth="1"/>
    <col min="7710" max="7710" width="28.7109375" style="21" customWidth="1"/>
    <col min="7711" max="7711" width="18.85546875" style="21" customWidth="1"/>
    <col min="7712" max="7712" width="16" style="21" customWidth="1"/>
    <col min="7713" max="7713" width="13.42578125" style="21" customWidth="1"/>
    <col min="7714" max="7714" width="26.28515625" style="21" customWidth="1"/>
    <col min="7715" max="7715" width="37.140625" style="21" customWidth="1"/>
    <col min="7716" max="7716" width="13.42578125" style="21" customWidth="1"/>
    <col min="7717" max="7717" width="16.85546875" style="21" customWidth="1"/>
    <col min="7718" max="7718" width="29.140625" style="21" customWidth="1"/>
    <col min="7719" max="7719" width="24.140625" style="21" customWidth="1"/>
    <col min="7720" max="7720" width="15.140625" style="21" customWidth="1"/>
    <col min="7721" max="7721" width="18.7109375" style="21" customWidth="1"/>
    <col min="7722" max="7722" width="19.5703125" style="21" customWidth="1"/>
    <col min="7723" max="7723" width="26.42578125" style="21" customWidth="1"/>
    <col min="7724" max="7724" width="25.85546875" style="21" customWidth="1"/>
    <col min="7725" max="7725" width="13.42578125" style="21" customWidth="1"/>
    <col min="7726" max="7726" width="26.85546875" style="21" customWidth="1"/>
    <col min="7727" max="7728" width="31.42578125" style="21" customWidth="1"/>
    <col min="7729" max="7729" width="26.42578125" style="21" customWidth="1"/>
    <col min="7730" max="7730" width="40.42578125" style="21" customWidth="1"/>
    <col min="7731" max="7731" width="33.85546875" style="21" customWidth="1"/>
    <col min="7732" max="7732" width="37" style="21" customWidth="1"/>
    <col min="7733" max="7733" width="17.85546875" style="21" customWidth="1"/>
    <col min="7734" max="7734" width="28.5703125" style="21" customWidth="1"/>
    <col min="7735" max="7735" width="24.28515625" style="21" customWidth="1"/>
    <col min="7736" max="7736" width="40.140625" style="21" customWidth="1"/>
    <col min="7737" max="7737" width="18.7109375" style="21" customWidth="1"/>
    <col min="7738" max="7738" width="16.28515625" style="21" customWidth="1"/>
    <col min="7739" max="7739" width="13.42578125" style="21" customWidth="1"/>
    <col min="7740" max="7740" width="15.42578125" style="21" customWidth="1"/>
    <col min="7741" max="7741" width="30.85546875" style="21" customWidth="1"/>
    <col min="7742" max="7742" width="13.42578125" style="21" customWidth="1"/>
    <col min="7743" max="7743" width="25.7109375" style="21" customWidth="1"/>
    <col min="7744" max="7744" width="24.28515625" style="21" customWidth="1"/>
    <col min="7745" max="7745" width="23.85546875" style="21" customWidth="1"/>
    <col min="7746" max="7746" width="27.5703125" style="21" customWidth="1"/>
    <col min="7747" max="7747" width="25.42578125" style="21" customWidth="1"/>
    <col min="7748" max="7750" width="13.42578125" style="21" customWidth="1"/>
    <col min="7751" max="7751" width="16.28515625" style="21" customWidth="1"/>
    <col min="7752" max="7752" width="25.28515625" style="21" customWidth="1"/>
    <col min="7753" max="7754" width="13.42578125" style="21" customWidth="1"/>
    <col min="7755" max="7755" width="24.7109375" style="21" customWidth="1"/>
    <col min="7756" max="7756" width="26.85546875" style="21" customWidth="1"/>
    <col min="7757" max="7757" width="24.42578125" style="21" customWidth="1"/>
    <col min="7758" max="7758" width="23.140625" style="21" customWidth="1"/>
    <col min="7759" max="7759" width="21.140625" style="21" customWidth="1"/>
    <col min="7760" max="7760" width="14.5703125" style="21" customWidth="1"/>
    <col min="7761" max="7761" width="30.28515625" style="21" customWidth="1"/>
    <col min="7762" max="7762" width="13.42578125" style="21" customWidth="1"/>
    <col min="7763" max="7763" width="31.42578125" style="21" customWidth="1"/>
    <col min="7764" max="7764" width="13.42578125" style="21" customWidth="1"/>
    <col min="7765" max="7765" width="44.42578125" style="21" customWidth="1"/>
    <col min="7766" max="7766" width="19.7109375" style="21" customWidth="1"/>
    <col min="7767" max="7767" width="38.85546875" style="21" customWidth="1"/>
    <col min="7768" max="7768" width="31.42578125" style="21" customWidth="1"/>
    <col min="7769" max="7769" width="50.7109375" style="21" customWidth="1"/>
    <col min="7770" max="7770" width="34.85546875" style="21" customWidth="1"/>
    <col min="7771" max="7772" width="13.42578125" style="21" customWidth="1"/>
    <col min="7773" max="7773" width="18.140625" style="21" customWidth="1"/>
    <col min="7774" max="7774" width="23.7109375" style="21" customWidth="1"/>
    <col min="7775" max="7775" width="26.85546875" style="21" customWidth="1"/>
    <col min="7776" max="7776" width="23" style="21" customWidth="1"/>
    <col min="7777" max="7777" width="25.7109375" style="21" customWidth="1"/>
    <col min="7778" max="7778" width="29.28515625" style="21" customWidth="1"/>
    <col min="7779" max="7779" width="29.42578125" style="21" customWidth="1"/>
    <col min="7780" max="7780" width="23.5703125" style="21" customWidth="1"/>
    <col min="7781" max="7781" width="32.85546875" style="21" customWidth="1"/>
    <col min="7782" max="7782" width="30.7109375" style="21" customWidth="1"/>
    <col min="7783" max="7783" width="33.85546875" style="21" customWidth="1"/>
    <col min="7784" max="7784" width="15.85546875" style="21" customWidth="1"/>
    <col min="7785" max="7785" width="17.28515625" style="21" customWidth="1"/>
    <col min="7786" max="7786" width="26.5703125" style="21" customWidth="1"/>
    <col min="7787" max="7787" width="21.5703125" style="21" customWidth="1"/>
    <col min="7788" max="7788" width="42.7109375" style="21" customWidth="1"/>
    <col min="7789" max="7789" width="44.140625" style="21" customWidth="1"/>
    <col min="7790" max="7791" width="31.42578125" style="21" customWidth="1"/>
    <col min="7792" max="7792" width="27.85546875" style="21" customWidth="1"/>
    <col min="7793" max="7793" width="0" style="21" hidden="1" customWidth="1"/>
    <col min="7794" max="7794" width="31.42578125" style="21" customWidth="1"/>
    <col min="7795" max="7936" width="9.140625" style="21"/>
    <col min="7937" max="7937" width="8.7109375" style="21" customWidth="1"/>
    <col min="7938" max="7939" width="31.42578125" style="21" customWidth="1"/>
    <col min="7940" max="7940" width="25.85546875" style="21" customWidth="1"/>
    <col min="7941" max="7941" width="26.85546875" style="21" customWidth="1"/>
    <col min="7942" max="7942" width="27" style="21" customWidth="1"/>
    <col min="7943" max="7943" width="32.28515625" style="21" customWidth="1"/>
    <col min="7944" max="7944" width="13.42578125" style="21" customWidth="1"/>
    <col min="7945" max="7945" width="17.85546875" style="21" customWidth="1"/>
    <col min="7946" max="7946" width="15.85546875" style="21" customWidth="1"/>
    <col min="7947" max="7947" width="26" style="21" customWidth="1"/>
    <col min="7948" max="7948" width="21.7109375" style="21" customWidth="1"/>
    <col min="7949" max="7949" width="16.5703125" style="21" customWidth="1"/>
    <col min="7950" max="7950" width="25.7109375" style="21" customWidth="1"/>
    <col min="7951" max="7951" width="31.42578125" style="21" customWidth="1"/>
    <col min="7952" max="7952" width="18.42578125" style="21" customWidth="1"/>
    <col min="7953" max="7953" width="13.42578125" style="21" customWidth="1"/>
    <col min="7954" max="7954" width="18" style="21" customWidth="1"/>
    <col min="7955" max="7955" width="19.7109375" style="21" customWidth="1"/>
    <col min="7956" max="7957" width="13.42578125" style="21" customWidth="1"/>
    <col min="7958" max="7958" width="18" style="21" customWidth="1"/>
    <col min="7959" max="7959" width="15.42578125" style="21" customWidth="1"/>
    <col min="7960" max="7960" width="13.42578125" style="21" customWidth="1"/>
    <col min="7961" max="7961" width="16.140625" style="21" customWidth="1"/>
    <col min="7962" max="7962" width="18" style="21" customWidth="1"/>
    <col min="7963" max="7964" width="13.42578125" style="21" customWidth="1"/>
    <col min="7965" max="7965" width="18.85546875" style="21" customWidth="1"/>
    <col min="7966" max="7966" width="28.7109375" style="21" customWidth="1"/>
    <col min="7967" max="7967" width="18.85546875" style="21" customWidth="1"/>
    <col min="7968" max="7968" width="16" style="21" customWidth="1"/>
    <col min="7969" max="7969" width="13.42578125" style="21" customWidth="1"/>
    <col min="7970" max="7970" width="26.28515625" style="21" customWidth="1"/>
    <col min="7971" max="7971" width="37.140625" style="21" customWidth="1"/>
    <col min="7972" max="7972" width="13.42578125" style="21" customWidth="1"/>
    <col min="7973" max="7973" width="16.85546875" style="21" customWidth="1"/>
    <col min="7974" max="7974" width="29.140625" style="21" customWidth="1"/>
    <col min="7975" max="7975" width="24.140625" style="21" customWidth="1"/>
    <col min="7976" max="7976" width="15.140625" style="21" customWidth="1"/>
    <col min="7977" max="7977" width="18.7109375" style="21" customWidth="1"/>
    <col min="7978" max="7978" width="19.5703125" style="21" customWidth="1"/>
    <col min="7979" max="7979" width="26.42578125" style="21" customWidth="1"/>
    <col min="7980" max="7980" width="25.85546875" style="21" customWidth="1"/>
    <col min="7981" max="7981" width="13.42578125" style="21" customWidth="1"/>
    <col min="7982" max="7982" width="26.85546875" style="21" customWidth="1"/>
    <col min="7983" max="7984" width="31.42578125" style="21" customWidth="1"/>
    <col min="7985" max="7985" width="26.42578125" style="21" customWidth="1"/>
    <col min="7986" max="7986" width="40.42578125" style="21" customWidth="1"/>
    <col min="7987" max="7987" width="33.85546875" style="21" customWidth="1"/>
    <col min="7988" max="7988" width="37" style="21" customWidth="1"/>
    <col min="7989" max="7989" width="17.85546875" style="21" customWidth="1"/>
    <col min="7990" max="7990" width="28.5703125" style="21" customWidth="1"/>
    <col min="7991" max="7991" width="24.28515625" style="21" customWidth="1"/>
    <col min="7992" max="7992" width="40.140625" style="21" customWidth="1"/>
    <col min="7993" max="7993" width="18.7109375" style="21" customWidth="1"/>
    <col min="7994" max="7994" width="16.28515625" style="21" customWidth="1"/>
    <col min="7995" max="7995" width="13.42578125" style="21" customWidth="1"/>
    <col min="7996" max="7996" width="15.42578125" style="21" customWidth="1"/>
    <col min="7997" max="7997" width="30.85546875" style="21" customWidth="1"/>
    <col min="7998" max="7998" width="13.42578125" style="21" customWidth="1"/>
    <col min="7999" max="7999" width="25.7109375" style="21" customWidth="1"/>
    <col min="8000" max="8000" width="24.28515625" style="21" customWidth="1"/>
    <col min="8001" max="8001" width="23.85546875" style="21" customWidth="1"/>
    <col min="8002" max="8002" width="27.5703125" style="21" customWidth="1"/>
    <col min="8003" max="8003" width="25.42578125" style="21" customWidth="1"/>
    <col min="8004" max="8006" width="13.42578125" style="21" customWidth="1"/>
    <col min="8007" max="8007" width="16.28515625" style="21" customWidth="1"/>
    <col min="8008" max="8008" width="25.28515625" style="21" customWidth="1"/>
    <col min="8009" max="8010" width="13.42578125" style="21" customWidth="1"/>
    <col min="8011" max="8011" width="24.7109375" style="21" customWidth="1"/>
    <col min="8012" max="8012" width="26.85546875" style="21" customWidth="1"/>
    <col min="8013" max="8013" width="24.42578125" style="21" customWidth="1"/>
    <col min="8014" max="8014" width="23.140625" style="21" customWidth="1"/>
    <col min="8015" max="8015" width="21.140625" style="21" customWidth="1"/>
    <col min="8016" max="8016" width="14.5703125" style="21" customWidth="1"/>
    <col min="8017" max="8017" width="30.28515625" style="21" customWidth="1"/>
    <col min="8018" max="8018" width="13.42578125" style="21" customWidth="1"/>
    <col min="8019" max="8019" width="31.42578125" style="21" customWidth="1"/>
    <col min="8020" max="8020" width="13.42578125" style="21" customWidth="1"/>
    <col min="8021" max="8021" width="44.42578125" style="21" customWidth="1"/>
    <col min="8022" max="8022" width="19.7109375" style="21" customWidth="1"/>
    <col min="8023" max="8023" width="38.85546875" style="21" customWidth="1"/>
    <col min="8024" max="8024" width="31.42578125" style="21" customWidth="1"/>
    <col min="8025" max="8025" width="50.7109375" style="21" customWidth="1"/>
    <col min="8026" max="8026" width="34.85546875" style="21" customWidth="1"/>
    <col min="8027" max="8028" width="13.42578125" style="21" customWidth="1"/>
    <col min="8029" max="8029" width="18.140625" style="21" customWidth="1"/>
    <col min="8030" max="8030" width="23.7109375" style="21" customWidth="1"/>
    <col min="8031" max="8031" width="26.85546875" style="21" customWidth="1"/>
    <col min="8032" max="8032" width="23" style="21" customWidth="1"/>
    <col min="8033" max="8033" width="25.7109375" style="21" customWidth="1"/>
    <col min="8034" max="8034" width="29.28515625" style="21" customWidth="1"/>
    <col min="8035" max="8035" width="29.42578125" style="21" customWidth="1"/>
    <col min="8036" max="8036" width="23.5703125" style="21" customWidth="1"/>
    <col min="8037" max="8037" width="32.85546875" style="21" customWidth="1"/>
    <col min="8038" max="8038" width="30.7109375" style="21" customWidth="1"/>
    <col min="8039" max="8039" width="33.85546875" style="21" customWidth="1"/>
    <col min="8040" max="8040" width="15.85546875" style="21" customWidth="1"/>
    <col min="8041" max="8041" width="17.28515625" style="21" customWidth="1"/>
    <col min="8042" max="8042" width="26.5703125" style="21" customWidth="1"/>
    <col min="8043" max="8043" width="21.5703125" style="21" customWidth="1"/>
    <col min="8044" max="8044" width="42.7109375" style="21" customWidth="1"/>
    <col min="8045" max="8045" width="44.140625" style="21" customWidth="1"/>
    <col min="8046" max="8047" width="31.42578125" style="21" customWidth="1"/>
    <col min="8048" max="8048" width="27.85546875" style="21" customWidth="1"/>
    <col min="8049" max="8049" width="0" style="21" hidden="1" customWidth="1"/>
    <col min="8050" max="8050" width="31.42578125" style="21" customWidth="1"/>
    <col min="8051" max="8192" width="9.140625" style="21"/>
    <col min="8193" max="8193" width="8.7109375" style="21" customWidth="1"/>
    <col min="8194" max="8195" width="31.42578125" style="21" customWidth="1"/>
    <col min="8196" max="8196" width="25.85546875" style="21" customWidth="1"/>
    <col min="8197" max="8197" width="26.85546875" style="21" customWidth="1"/>
    <col min="8198" max="8198" width="27" style="21" customWidth="1"/>
    <col min="8199" max="8199" width="32.28515625" style="21" customWidth="1"/>
    <col min="8200" max="8200" width="13.42578125" style="21" customWidth="1"/>
    <col min="8201" max="8201" width="17.85546875" style="21" customWidth="1"/>
    <col min="8202" max="8202" width="15.85546875" style="21" customWidth="1"/>
    <col min="8203" max="8203" width="26" style="21" customWidth="1"/>
    <col min="8204" max="8204" width="21.7109375" style="21" customWidth="1"/>
    <col min="8205" max="8205" width="16.5703125" style="21" customWidth="1"/>
    <col min="8206" max="8206" width="25.7109375" style="21" customWidth="1"/>
    <col min="8207" max="8207" width="31.42578125" style="21" customWidth="1"/>
    <col min="8208" max="8208" width="18.42578125" style="21" customWidth="1"/>
    <col min="8209" max="8209" width="13.42578125" style="21" customWidth="1"/>
    <col min="8210" max="8210" width="18" style="21" customWidth="1"/>
    <col min="8211" max="8211" width="19.7109375" style="21" customWidth="1"/>
    <col min="8212" max="8213" width="13.42578125" style="21" customWidth="1"/>
    <col min="8214" max="8214" width="18" style="21" customWidth="1"/>
    <col min="8215" max="8215" width="15.42578125" style="21" customWidth="1"/>
    <col min="8216" max="8216" width="13.42578125" style="21" customWidth="1"/>
    <col min="8217" max="8217" width="16.140625" style="21" customWidth="1"/>
    <col min="8218" max="8218" width="18" style="21" customWidth="1"/>
    <col min="8219" max="8220" width="13.42578125" style="21" customWidth="1"/>
    <col min="8221" max="8221" width="18.85546875" style="21" customWidth="1"/>
    <col min="8222" max="8222" width="28.7109375" style="21" customWidth="1"/>
    <col min="8223" max="8223" width="18.85546875" style="21" customWidth="1"/>
    <col min="8224" max="8224" width="16" style="21" customWidth="1"/>
    <col min="8225" max="8225" width="13.42578125" style="21" customWidth="1"/>
    <col min="8226" max="8226" width="26.28515625" style="21" customWidth="1"/>
    <col min="8227" max="8227" width="37.140625" style="21" customWidth="1"/>
    <col min="8228" max="8228" width="13.42578125" style="21" customWidth="1"/>
    <col min="8229" max="8229" width="16.85546875" style="21" customWidth="1"/>
    <col min="8230" max="8230" width="29.140625" style="21" customWidth="1"/>
    <col min="8231" max="8231" width="24.140625" style="21" customWidth="1"/>
    <col min="8232" max="8232" width="15.140625" style="21" customWidth="1"/>
    <col min="8233" max="8233" width="18.7109375" style="21" customWidth="1"/>
    <col min="8234" max="8234" width="19.5703125" style="21" customWidth="1"/>
    <col min="8235" max="8235" width="26.42578125" style="21" customWidth="1"/>
    <col min="8236" max="8236" width="25.85546875" style="21" customWidth="1"/>
    <col min="8237" max="8237" width="13.42578125" style="21" customWidth="1"/>
    <col min="8238" max="8238" width="26.85546875" style="21" customWidth="1"/>
    <col min="8239" max="8240" width="31.42578125" style="21" customWidth="1"/>
    <col min="8241" max="8241" width="26.42578125" style="21" customWidth="1"/>
    <col min="8242" max="8242" width="40.42578125" style="21" customWidth="1"/>
    <col min="8243" max="8243" width="33.85546875" style="21" customWidth="1"/>
    <col min="8244" max="8244" width="37" style="21" customWidth="1"/>
    <col min="8245" max="8245" width="17.85546875" style="21" customWidth="1"/>
    <col min="8246" max="8246" width="28.5703125" style="21" customWidth="1"/>
    <col min="8247" max="8247" width="24.28515625" style="21" customWidth="1"/>
    <col min="8248" max="8248" width="40.140625" style="21" customWidth="1"/>
    <col min="8249" max="8249" width="18.7109375" style="21" customWidth="1"/>
    <col min="8250" max="8250" width="16.28515625" style="21" customWidth="1"/>
    <col min="8251" max="8251" width="13.42578125" style="21" customWidth="1"/>
    <col min="8252" max="8252" width="15.42578125" style="21" customWidth="1"/>
    <col min="8253" max="8253" width="30.85546875" style="21" customWidth="1"/>
    <col min="8254" max="8254" width="13.42578125" style="21" customWidth="1"/>
    <col min="8255" max="8255" width="25.7109375" style="21" customWidth="1"/>
    <col min="8256" max="8256" width="24.28515625" style="21" customWidth="1"/>
    <col min="8257" max="8257" width="23.85546875" style="21" customWidth="1"/>
    <col min="8258" max="8258" width="27.5703125" style="21" customWidth="1"/>
    <col min="8259" max="8259" width="25.42578125" style="21" customWidth="1"/>
    <col min="8260" max="8262" width="13.42578125" style="21" customWidth="1"/>
    <col min="8263" max="8263" width="16.28515625" style="21" customWidth="1"/>
    <col min="8264" max="8264" width="25.28515625" style="21" customWidth="1"/>
    <col min="8265" max="8266" width="13.42578125" style="21" customWidth="1"/>
    <col min="8267" max="8267" width="24.7109375" style="21" customWidth="1"/>
    <col min="8268" max="8268" width="26.85546875" style="21" customWidth="1"/>
    <col min="8269" max="8269" width="24.42578125" style="21" customWidth="1"/>
    <col min="8270" max="8270" width="23.140625" style="21" customWidth="1"/>
    <col min="8271" max="8271" width="21.140625" style="21" customWidth="1"/>
    <col min="8272" max="8272" width="14.5703125" style="21" customWidth="1"/>
    <col min="8273" max="8273" width="30.28515625" style="21" customWidth="1"/>
    <col min="8274" max="8274" width="13.42578125" style="21" customWidth="1"/>
    <col min="8275" max="8275" width="31.42578125" style="21" customWidth="1"/>
    <col min="8276" max="8276" width="13.42578125" style="21" customWidth="1"/>
    <col min="8277" max="8277" width="44.42578125" style="21" customWidth="1"/>
    <col min="8278" max="8278" width="19.7109375" style="21" customWidth="1"/>
    <col min="8279" max="8279" width="38.85546875" style="21" customWidth="1"/>
    <col min="8280" max="8280" width="31.42578125" style="21" customWidth="1"/>
    <col min="8281" max="8281" width="50.7109375" style="21" customWidth="1"/>
    <col min="8282" max="8282" width="34.85546875" style="21" customWidth="1"/>
    <col min="8283" max="8284" width="13.42578125" style="21" customWidth="1"/>
    <col min="8285" max="8285" width="18.140625" style="21" customWidth="1"/>
    <col min="8286" max="8286" width="23.7109375" style="21" customWidth="1"/>
    <col min="8287" max="8287" width="26.85546875" style="21" customWidth="1"/>
    <col min="8288" max="8288" width="23" style="21" customWidth="1"/>
    <col min="8289" max="8289" width="25.7109375" style="21" customWidth="1"/>
    <col min="8290" max="8290" width="29.28515625" style="21" customWidth="1"/>
    <col min="8291" max="8291" width="29.42578125" style="21" customWidth="1"/>
    <col min="8292" max="8292" width="23.5703125" style="21" customWidth="1"/>
    <col min="8293" max="8293" width="32.85546875" style="21" customWidth="1"/>
    <col min="8294" max="8294" width="30.7109375" style="21" customWidth="1"/>
    <col min="8295" max="8295" width="33.85546875" style="21" customWidth="1"/>
    <col min="8296" max="8296" width="15.85546875" style="21" customWidth="1"/>
    <col min="8297" max="8297" width="17.28515625" style="21" customWidth="1"/>
    <col min="8298" max="8298" width="26.5703125" style="21" customWidth="1"/>
    <col min="8299" max="8299" width="21.5703125" style="21" customWidth="1"/>
    <col min="8300" max="8300" width="42.7109375" style="21" customWidth="1"/>
    <col min="8301" max="8301" width="44.140625" style="21" customWidth="1"/>
    <col min="8302" max="8303" width="31.42578125" style="21" customWidth="1"/>
    <col min="8304" max="8304" width="27.85546875" style="21" customWidth="1"/>
    <col min="8305" max="8305" width="0" style="21" hidden="1" customWidth="1"/>
    <col min="8306" max="8306" width="31.42578125" style="21" customWidth="1"/>
    <col min="8307" max="8448" width="9.140625" style="21"/>
    <col min="8449" max="8449" width="8.7109375" style="21" customWidth="1"/>
    <col min="8450" max="8451" width="31.42578125" style="21" customWidth="1"/>
    <col min="8452" max="8452" width="25.85546875" style="21" customWidth="1"/>
    <col min="8453" max="8453" width="26.85546875" style="21" customWidth="1"/>
    <col min="8454" max="8454" width="27" style="21" customWidth="1"/>
    <col min="8455" max="8455" width="32.28515625" style="21" customWidth="1"/>
    <col min="8456" max="8456" width="13.42578125" style="21" customWidth="1"/>
    <col min="8457" max="8457" width="17.85546875" style="21" customWidth="1"/>
    <col min="8458" max="8458" width="15.85546875" style="21" customWidth="1"/>
    <col min="8459" max="8459" width="26" style="21" customWidth="1"/>
    <col min="8460" max="8460" width="21.7109375" style="21" customWidth="1"/>
    <col min="8461" max="8461" width="16.5703125" style="21" customWidth="1"/>
    <col min="8462" max="8462" width="25.7109375" style="21" customWidth="1"/>
    <col min="8463" max="8463" width="31.42578125" style="21" customWidth="1"/>
    <col min="8464" max="8464" width="18.42578125" style="21" customWidth="1"/>
    <col min="8465" max="8465" width="13.42578125" style="21" customWidth="1"/>
    <col min="8466" max="8466" width="18" style="21" customWidth="1"/>
    <col min="8467" max="8467" width="19.7109375" style="21" customWidth="1"/>
    <col min="8468" max="8469" width="13.42578125" style="21" customWidth="1"/>
    <col min="8470" max="8470" width="18" style="21" customWidth="1"/>
    <col min="8471" max="8471" width="15.42578125" style="21" customWidth="1"/>
    <col min="8472" max="8472" width="13.42578125" style="21" customWidth="1"/>
    <col min="8473" max="8473" width="16.140625" style="21" customWidth="1"/>
    <col min="8474" max="8474" width="18" style="21" customWidth="1"/>
    <col min="8475" max="8476" width="13.42578125" style="21" customWidth="1"/>
    <col min="8477" max="8477" width="18.85546875" style="21" customWidth="1"/>
    <col min="8478" max="8478" width="28.7109375" style="21" customWidth="1"/>
    <col min="8479" max="8479" width="18.85546875" style="21" customWidth="1"/>
    <col min="8480" max="8480" width="16" style="21" customWidth="1"/>
    <col min="8481" max="8481" width="13.42578125" style="21" customWidth="1"/>
    <col min="8482" max="8482" width="26.28515625" style="21" customWidth="1"/>
    <col min="8483" max="8483" width="37.140625" style="21" customWidth="1"/>
    <col min="8484" max="8484" width="13.42578125" style="21" customWidth="1"/>
    <col min="8485" max="8485" width="16.85546875" style="21" customWidth="1"/>
    <col min="8486" max="8486" width="29.140625" style="21" customWidth="1"/>
    <col min="8487" max="8487" width="24.140625" style="21" customWidth="1"/>
    <col min="8488" max="8488" width="15.140625" style="21" customWidth="1"/>
    <col min="8489" max="8489" width="18.7109375" style="21" customWidth="1"/>
    <col min="8490" max="8490" width="19.5703125" style="21" customWidth="1"/>
    <col min="8491" max="8491" width="26.42578125" style="21" customWidth="1"/>
    <col min="8492" max="8492" width="25.85546875" style="21" customWidth="1"/>
    <col min="8493" max="8493" width="13.42578125" style="21" customWidth="1"/>
    <col min="8494" max="8494" width="26.85546875" style="21" customWidth="1"/>
    <col min="8495" max="8496" width="31.42578125" style="21" customWidth="1"/>
    <col min="8497" max="8497" width="26.42578125" style="21" customWidth="1"/>
    <col min="8498" max="8498" width="40.42578125" style="21" customWidth="1"/>
    <col min="8499" max="8499" width="33.85546875" style="21" customWidth="1"/>
    <col min="8500" max="8500" width="37" style="21" customWidth="1"/>
    <col min="8501" max="8501" width="17.85546875" style="21" customWidth="1"/>
    <col min="8502" max="8502" width="28.5703125" style="21" customWidth="1"/>
    <col min="8503" max="8503" width="24.28515625" style="21" customWidth="1"/>
    <col min="8504" max="8504" width="40.140625" style="21" customWidth="1"/>
    <col min="8505" max="8505" width="18.7109375" style="21" customWidth="1"/>
    <col min="8506" max="8506" width="16.28515625" style="21" customWidth="1"/>
    <col min="8507" max="8507" width="13.42578125" style="21" customWidth="1"/>
    <col min="8508" max="8508" width="15.42578125" style="21" customWidth="1"/>
    <col min="8509" max="8509" width="30.85546875" style="21" customWidth="1"/>
    <col min="8510" max="8510" width="13.42578125" style="21" customWidth="1"/>
    <col min="8511" max="8511" width="25.7109375" style="21" customWidth="1"/>
    <col min="8512" max="8512" width="24.28515625" style="21" customWidth="1"/>
    <col min="8513" max="8513" width="23.85546875" style="21" customWidth="1"/>
    <col min="8514" max="8514" width="27.5703125" style="21" customWidth="1"/>
    <col min="8515" max="8515" width="25.42578125" style="21" customWidth="1"/>
    <col min="8516" max="8518" width="13.42578125" style="21" customWidth="1"/>
    <col min="8519" max="8519" width="16.28515625" style="21" customWidth="1"/>
    <col min="8520" max="8520" width="25.28515625" style="21" customWidth="1"/>
    <col min="8521" max="8522" width="13.42578125" style="21" customWidth="1"/>
    <col min="8523" max="8523" width="24.7109375" style="21" customWidth="1"/>
    <col min="8524" max="8524" width="26.85546875" style="21" customWidth="1"/>
    <col min="8525" max="8525" width="24.42578125" style="21" customWidth="1"/>
    <col min="8526" max="8526" width="23.140625" style="21" customWidth="1"/>
    <col min="8527" max="8527" width="21.140625" style="21" customWidth="1"/>
    <col min="8528" max="8528" width="14.5703125" style="21" customWidth="1"/>
    <col min="8529" max="8529" width="30.28515625" style="21" customWidth="1"/>
    <col min="8530" max="8530" width="13.42578125" style="21" customWidth="1"/>
    <col min="8531" max="8531" width="31.42578125" style="21" customWidth="1"/>
    <col min="8532" max="8532" width="13.42578125" style="21" customWidth="1"/>
    <col min="8533" max="8533" width="44.42578125" style="21" customWidth="1"/>
    <col min="8534" max="8534" width="19.7109375" style="21" customWidth="1"/>
    <col min="8535" max="8535" width="38.85546875" style="21" customWidth="1"/>
    <col min="8536" max="8536" width="31.42578125" style="21" customWidth="1"/>
    <col min="8537" max="8537" width="50.7109375" style="21" customWidth="1"/>
    <col min="8538" max="8538" width="34.85546875" style="21" customWidth="1"/>
    <col min="8539" max="8540" width="13.42578125" style="21" customWidth="1"/>
    <col min="8541" max="8541" width="18.140625" style="21" customWidth="1"/>
    <col min="8542" max="8542" width="23.7109375" style="21" customWidth="1"/>
    <col min="8543" max="8543" width="26.85546875" style="21" customWidth="1"/>
    <col min="8544" max="8544" width="23" style="21" customWidth="1"/>
    <col min="8545" max="8545" width="25.7109375" style="21" customWidth="1"/>
    <col min="8546" max="8546" width="29.28515625" style="21" customWidth="1"/>
    <col min="8547" max="8547" width="29.42578125" style="21" customWidth="1"/>
    <col min="8548" max="8548" width="23.5703125" style="21" customWidth="1"/>
    <col min="8549" max="8549" width="32.85546875" style="21" customWidth="1"/>
    <col min="8550" max="8550" width="30.7109375" style="21" customWidth="1"/>
    <col min="8551" max="8551" width="33.85546875" style="21" customWidth="1"/>
    <col min="8552" max="8552" width="15.85546875" style="21" customWidth="1"/>
    <col min="8553" max="8553" width="17.28515625" style="21" customWidth="1"/>
    <col min="8554" max="8554" width="26.5703125" style="21" customWidth="1"/>
    <col min="8555" max="8555" width="21.5703125" style="21" customWidth="1"/>
    <col min="8556" max="8556" width="42.7109375" style="21" customWidth="1"/>
    <col min="8557" max="8557" width="44.140625" style="21" customWidth="1"/>
    <col min="8558" max="8559" width="31.42578125" style="21" customWidth="1"/>
    <col min="8560" max="8560" width="27.85546875" style="21" customWidth="1"/>
    <col min="8561" max="8561" width="0" style="21" hidden="1" customWidth="1"/>
    <col min="8562" max="8562" width="31.42578125" style="21" customWidth="1"/>
    <col min="8563" max="8704" width="9.140625" style="21"/>
    <col min="8705" max="8705" width="8.7109375" style="21" customWidth="1"/>
    <col min="8706" max="8707" width="31.42578125" style="21" customWidth="1"/>
    <col min="8708" max="8708" width="25.85546875" style="21" customWidth="1"/>
    <col min="8709" max="8709" width="26.85546875" style="21" customWidth="1"/>
    <col min="8710" max="8710" width="27" style="21" customWidth="1"/>
    <col min="8711" max="8711" width="32.28515625" style="21" customWidth="1"/>
    <col min="8712" max="8712" width="13.42578125" style="21" customWidth="1"/>
    <col min="8713" max="8713" width="17.85546875" style="21" customWidth="1"/>
    <col min="8714" max="8714" width="15.85546875" style="21" customWidth="1"/>
    <col min="8715" max="8715" width="26" style="21" customWidth="1"/>
    <col min="8716" max="8716" width="21.7109375" style="21" customWidth="1"/>
    <col min="8717" max="8717" width="16.5703125" style="21" customWidth="1"/>
    <col min="8718" max="8718" width="25.7109375" style="21" customWidth="1"/>
    <col min="8719" max="8719" width="31.42578125" style="21" customWidth="1"/>
    <col min="8720" max="8720" width="18.42578125" style="21" customWidth="1"/>
    <col min="8721" max="8721" width="13.42578125" style="21" customWidth="1"/>
    <col min="8722" max="8722" width="18" style="21" customWidth="1"/>
    <col min="8723" max="8723" width="19.7109375" style="21" customWidth="1"/>
    <col min="8724" max="8725" width="13.42578125" style="21" customWidth="1"/>
    <col min="8726" max="8726" width="18" style="21" customWidth="1"/>
    <col min="8727" max="8727" width="15.42578125" style="21" customWidth="1"/>
    <col min="8728" max="8728" width="13.42578125" style="21" customWidth="1"/>
    <col min="8729" max="8729" width="16.140625" style="21" customWidth="1"/>
    <col min="8730" max="8730" width="18" style="21" customWidth="1"/>
    <col min="8731" max="8732" width="13.42578125" style="21" customWidth="1"/>
    <col min="8733" max="8733" width="18.85546875" style="21" customWidth="1"/>
    <col min="8734" max="8734" width="28.7109375" style="21" customWidth="1"/>
    <col min="8735" max="8735" width="18.85546875" style="21" customWidth="1"/>
    <col min="8736" max="8736" width="16" style="21" customWidth="1"/>
    <col min="8737" max="8737" width="13.42578125" style="21" customWidth="1"/>
    <col min="8738" max="8738" width="26.28515625" style="21" customWidth="1"/>
    <col min="8739" max="8739" width="37.140625" style="21" customWidth="1"/>
    <col min="8740" max="8740" width="13.42578125" style="21" customWidth="1"/>
    <col min="8741" max="8741" width="16.85546875" style="21" customWidth="1"/>
    <col min="8742" max="8742" width="29.140625" style="21" customWidth="1"/>
    <col min="8743" max="8743" width="24.140625" style="21" customWidth="1"/>
    <col min="8744" max="8744" width="15.140625" style="21" customWidth="1"/>
    <col min="8745" max="8745" width="18.7109375" style="21" customWidth="1"/>
    <col min="8746" max="8746" width="19.5703125" style="21" customWidth="1"/>
    <col min="8747" max="8747" width="26.42578125" style="21" customWidth="1"/>
    <col min="8748" max="8748" width="25.85546875" style="21" customWidth="1"/>
    <col min="8749" max="8749" width="13.42578125" style="21" customWidth="1"/>
    <col min="8750" max="8750" width="26.85546875" style="21" customWidth="1"/>
    <col min="8751" max="8752" width="31.42578125" style="21" customWidth="1"/>
    <col min="8753" max="8753" width="26.42578125" style="21" customWidth="1"/>
    <col min="8754" max="8754" width="40.42578125" style="21" customWidth="1"/>
    <col min="8755" max="8755" width="33.85546875" style="21" customWidth="1"/>
    <col min="8756" max="8756" width="37" style="21" customWidth="1"/>
    <col min="8757" max="8757" width="17.85546875" style="21" customWidth="1"/>
    <col min="8758" max="8758" width="28.5703125" style="21" customWidth="1"/>
    <col min="8759" max="8759" width="24.28515625" style="21" customWidth="1"/>
    <col min="8760" max="8760" width="40.140625" style="21" customWidth="1"/>
    <col min="8761" max="8761" width="18.7109375" style="21" customWidth="1"/>
    <col min="8762" max="8762" width="16.28515625" style="21" customWidth="1"/>
    <col min="8763" max="8763" width="13.42578125" style="21" customWidth="1"/>
    <col min="8764" max="8764" width="15.42578125" style="21" customWidth="1"/>
    <col min="8765" max="8765" width="30.85546875" style="21" customWidth="1"/>
    <col min="8766" max="8766" width="13.42578125" style="21" customWidth="1"/>
    <col min="8767" max="8767" width="25.7109375" style="21" customWidth="1"/>
    <col min="8768" max="8768" width="24.28515625" style="21" customWidth="1"/>
    <col min="8769" max="8769" width="23.85546875" style="21" customWidth="1"/>
    <col min="8770" max="8770" width="27.5703125" style="21" customWidth="1"/>
    <col min="8771" max="8771" width="25.42578125" style="21" customWidth="1"/>
    <col min="8772" max="8774" width="13.42578125" style="21" customWidth="1"/>
    <col min="8775" max="8775" width="16.28515625" style="21" customWidth="1"/>
    <col min="8776" max="8776" width="25.28515625" style="21" customWidth="1"/>
    <col min="8777" max="8778" width="13.42578125" style="21" customWidth="1"/>
    <col min="8779" max="8779" width="24.7109375" style="21" customWidth="1"/>
    <col min="8780" max="8780" width="26.85546875" style="21" customWidth="1"/>
    <col min="8781" max="8781" width="24.42578125" style="21" customWidth="1"/>
    <col min="8782" max="8782" width="23.140625" style="21" customWidth="1"/>
    <col min="8783" max="8783" width="21.140625" style="21" customWidth="1"/>
    <col min="8784" max="8784" width="14.5703125" style="21" customWidth="1"/>
    <col min="8785" max="8785" width="30.28515625" style="21" customWidth="1"/>
    <col min="8786" max="8786" width="13.42578125" style="21" customWidth="1"/>
    <col min="8787" max="8787" width="31.42578125" style="21" customWidth="1"/>
    <col min="8788" max="8788" width="13.42578125" style="21" customWidth="1"/>
    <col min="8789" max="8789" width="44.42578125" style="21" customWidth="1"/>
    <col min="8790" max="8790" width="19.7109375" style="21" customWidth="1"/>
    <col min="8791" max="8791" width="38.85546875" style="21" customWidth="1"/>
    <col min="8792" max="8792" width="31.42578125" style="21" customWidth="1"/>
    <col min="8793" max="8793" width="50.7109375" style="21" customWidth="1"/>
    <col min="8794" max="8794" width="34.85546875" style="21" customWidth="1"/>
    <col min="8795" max="8796" width="13.42578125" style="21" customWidth="1"/>
    <col min="8797" max="8797" width="18.140625" style="21" customWidth="1"/>
    <col min="8798" max="8798" width="23.7109375" style="21" customWidth="1"/>
    <col min="8799" max="8799" width="26.85546875" style="21" customWidth="1"/>
    <col min="8800" max="8800" width="23" style="21" customWidth="1"/>
    <col min="8801" max="8801" width="25.7109375" style="21" customWidth="1"/>
    <col min="8802" max="8802" width="29.28515625" style="21" customWidth="1"/>
    <col min="8803" max="8803" width="29.42578125" style="21" customWidth="1"/>
    <col min="8804" max="8804" width="23.5703125" style="21" customWidth="1"/>
    <col min="8805" max="8805" width="32.85546875" style="21" customWidth="1"/>
    <col min="8806" max="8806" width="30.7109375" style="21" customWidth="1"/>
    <col min="8807" max="8807" width="33.85546875" style="21" customWidth="1"/>
    <col min="8808" max="8808" width="15.85546875" style="21" customWidth="1"/>
    <col min="8809" max="8809" width="17.28515625" style="21" customWidth="1"/>
    <col min="8810" max="8810" width="26.5703125" style="21" customWidth="1"/>
    <col min="8811" max="8811" width="21.5703125" style="21" customWidth="1"/>
    <col min="8812" max="8812" width="42.7109375" style="21" customWidth="1"/>
    <col min="8813" max="8813" width="44.140625" style="21" customWidth="1"/>
    <col min="8814" max="8815" width="31.42578125" style="21" customWidth="1"/>
    <col min="8816" max="8816" width="27.85546875" style="21" customWidth="1"/>
    <col min="8817" max="8817" width="0" style="21" hidden="1" customWidth="1"/>
    <col min="8818" max="8818" width="31.42578125" style="21" customWidth="1"/>
    <col min="8819" max="8960" width="9.140625" style="21"/>
    <col min="8961" max="8961" width="8.7109375" style="21" customWidth="1"/>
    <col min="8962" max="8963" width="31.42578125" style="21" customWidth="1"/>
    <col min="8964" max="8964" width="25.85546875" style="21" customWidth="1"/>
    <col min="8965" max="8965" width="26.85546875" style="21" customWidth="1"/>
    <col min="8966" max="8966" width="27" style="21" customWidth="1"/>
    <col min="8967" max="8967" width="32.28515625" style="21" customWidth="1"/>
    <col min="8968" max="8968" width="13.42578125" style="21" customWidth="1"/>
    <col min="8969" max="8969" width="17.85546875" style="21" customWidth="1"/>
    <col min="8970" max="8970" width="15.85546875" style="21" customWidth="1"/>
    <col min="8971" max="8971" width="26" style="21" customWidth="1"/>
    <col min="8972" max="8972" width="21.7109375" style="21" customWidth="1"/>
    <col min="8973" max="8973" width="16.5703125" style="21" customWidth="1"/>
    <col min="8974" max="8974" width="25.7109375" style="21" customWidth="1"/>
    <col min="8975" max="8975" width="31.42578125" style="21" customWidth="1"/>
    <col min="8976" max="8976" width="18.42578125" style="21" customWidth="1"/>
    <col min="8977" max="8977" width="13.42578125" style="21" customWidth="1"/>
    <col min="8978" max="8978" width="18" style="21" customWidth="1"/>
    <col min="8979" max="8979" width="19.7109375" style="21" customWidth="1"/>
    <col min="8980" max="8981" width="13.42578125" style="21" customWidth="1"/>
    <col min="8982" max="8982" width="18" style="21" customWidth="1"/>
    <col min="8983" max="8983" width="15.42578125" style="21" customWidth="1"/>
    <col min="8984" max="8984" width="13.42578125" style="21" customWidth="1"/>
    <col min="8985" max="8985" width="16.140625" style="21" customWidth="1"/>
    <col min="8986" max="8986" width="18" style="21" customWidth="1"/>
    <col min="8987" max="8988" width="13.42578125" style="21" customWidth="1"/>
    <col min="8989" max="8989" width="18.85546875" style="21" customWidth="1"/>
    <col min="8990" max="8990" width="28.7109375" style="21" customWidth="1"/>
    <col min="8991" max="8991" width="18.85546875" style="21" customWidth="1"/>
    <col min="8992" max="8992" width="16" style="21" customWidth="1"/>
    <col min="8993" max="8993" width="13.42578125" style="21" customWidth="1"/>
    <col min="8994" max="8994" width="26.28515625" style="21" customWidth="1"/>
    <col min="8995" max="8995" width="37.140625" style="21" customWidth="1"/>
    <col min="8996" max="8996" width="13.42578125" style="21" customWidth="1"/>
    <col min="8997" max="8997" width="16.85546875" style="21" customWidth="1"/>
    <col min="8998" max="8998" width="29.140625" style="21" customWidth="1"/>
    <col min="8999" max="8999" width="24.140625" style="21" customWidth="1"/>
    <col min="9000" max="9000" width="15.140625" style="21" customWidth="1"/>
    <col min="9001" max="9001" width="18.7109375" style="21" customWidth="1"/>
    <col min="9002" max="9002" width="19.5703125" style="21" customWidth="1"/>
    <col min="9003" max="9003" width="26.42578125" style="21" customWidth="1"/>
    <col min="9004" max="9004" width="25.85546875" style="21" customWidth="1"/>
    <col min="9005" max="9005" width="13.42578125" style="21" customWidth="1"/>
    <col min="9006" max="9006" width="26.85546875" style="21" customWidth="1"/>
    <col min="9007" max="9008" width="31.42578125" style="21" customWidth="1"/>
    <col min="9009" max="9009" width="26.42578125" style="21" customWidth="1"/>
    <col min="9010" max="9010" width="40.42578125" style="21" customWidth="1"/>
    <col min="9011" max="9011" width="33.85546875" style="21" customWidth="1"/>
    <col min="9012" max="9012" width="37" style="21" customWidth="1"/>
    <col min="9013" max="9013" width="17.85546875" style="21" customWidth="1"/>
    <col min="9014" max="9014" width="28.5703125" style="21" customWidth="1"/>
    <col min="9015" max="9015" width="24.28515625" style="21" customWidth="1"/>
    <col min="9016" max="9016" width="40.140625" style="21" customWidth="1"/>
    <col min="9017" max="9017" width="18.7109375" style="21" customWidth="1"/>
    <col min="9018" max="9018" width="16.28515625" style="21" customWidth="1"/>
    <col min="9019" max="9019" width="13.42578125" style="21" customWidth="1"/>
    <col min="9020" max="9020" width="15.42578125" style="21" customWidth="1"/>
    <col min="9021" max="9021" width="30.85546875" style="21" customWidth="1"/>
    <col min="9022" max="9022" width="13.42578125" style="21" customWidth="1"/>
    <col min="9023" max="9023" width="25.7109375" style="21" customWidth="1"/>
    <col min="9024" max="9024" width="24.28515625" style="21" customWidth="1"/>
    <col min="9025" max="9025" width="23.85546875" style="21" customWidth="1"/>
    <col min="9026" max="9026" width="27.5703125" style="21" customWidth="1"/>
    <col min="9027" max="9027" width="25.42578125" style="21" customWidth="1"/>
    <col min="9028" max="9030" width="13.42578125" style="21" customWidth="1"/>
    <col min="9031" max="9031" width="16.28515625" style="21" customWidth="1"/>
    <col min="9032" max="9032" width="25.28515625" style="21" customWidth="1"/>
    <col min="9033" max="9034" width="13.42578125" style="21" customWidth="1"/>
    <col min="9035" max="9035" width="24.7109375" style="21" customWidth="1"/>
    <col min="9036" max="9036" width="26.85546875" style="21" customWidth="1"/>
    <col min="9037" max="9037" width="24.42578125" style="21" customWidth="1"/>
    <col min="9038" max="9038" width="23.140625" style="21" customWidth="1"/>
    <col min="9039" max="9039" width="21.140625" style="21" customWidth="1"/>
    <col min="9040" max="9040" width="14.5703125" style="21" customWidth="1"/>
    <col min="9041" max="9041" width="30.28515625" style="21" customWidth="1"/>
    <col min="9042" max="9042" width="13.42578125" style="21" customWidth="1"/>
    <col min="9043" max="9043" width="31.42578125" style="21" customWidth="1"/>
    <col min="9044" max="9044" width="13.42578125" style="21" customWidth="1"/>
    <col min="9045" max="9045" width="44.42578125" style="21" customWidth="1"/>
    <col min="9046" max="9046" width="19.7109375" style="21" customWidth="1"/>
    <col min="9047" max="9047" width="38.85546875" style="21" customWidth="1"/>
    <col min="9048" max="9048" width="31.42578125" style="21" customWidth="1"/>
    <col min="9049" max="9049" width="50.7109375" style="21" customWidth="1"/>
    <col min="9050" max="9050" width="34.85546875" style="21" customWidth="1"/>
    <col min="9051" max="9052" width="13.42578125" style="21" customWidth="1"/>
    <col min="9053" max="9053" width="18.140625" style="21" customWidth="1"/>
    <col min="9054" max="9054" width="23.7109375" style="21" customWidth="1"/>
    <col min="9055" max="9055" width="26.85546875" style="21" customWidth="1"/>
    <col min="9056" max="9056" width="23" style="21" customWidth="1"/>
    <col min="9057" max="9057" width="25.7109375" style="21" customWidth="1"/>
    <col min="9058" max="9058" width="29.28515625" style="21" customWidth="1"/>
    <col min="9059" max="9059" width="29.42578125" style="21" customWidth="1"/>
    <col min="9060" max="9060" width="23.5703125" style="21" customWidth="1"/>
    <col min="9061" max="9061" width="32.85546875" style="21" customWidth="1"/>
    <col min="9062" max="9062" width="30.7109375" style="21" customWidth="1"/>
    <col min="9063" max="9063" width="33.85546875" style="21" customWidth="1"/>
    <col min="9064" max="9064" width="15.85546875" style="21" customWidth="1"/>
    <col min="9065" max="9065" width="17.28515625" style="21" customWidth="1"/>
    <col min="9066" max="9066" width="26.5703125" style="21" customWidth="1"/>
    <col min="9067" max="9067" width="21.5703125" style="21" customWidth="1"/>
    <col min="9068" max="9068" width="42.7109375" style="21" customWidth="1"/>
    <col min="9069" max="9069" width="44.140625" style="21" customWidth="1"/>
    <col min="9070" max="9071" width="31.42578125" style="21" customWidth="1"/>
    <col min="9072" max="9072" width="27.85546875" style="21" customWidth="1"/>
    <col min="9073" max="9073" width="0" style="21" hidden="1" customWidth="1"/>
    <col min="9074" max="9074" width="31.42578125" style="21" customWidth="1"/>
    <col min="9075" max="9216" width="9.140625" style="21"/>
    <col min="9217" max="9217" width="8.7109375" style="21" customWidth="1"/>
    <col min="9218" max="9219" width="31.42578125" style="21" customWidth="1"/>
    <col min="9220" max="9220" width="25.85546875" style="21" customWidth="1"/>
    <col min="9221" max="9221" width="26.85546875" style="21" customWidth="1"/>
    <col min="9222" max="9222" width="27" style="21" customWidth="1"/>
    <col min="9223" max="9223" width="32.28515625" style="21" customWidth="1"/>
    <col min="9224" max="9224" width="13.42578125" style="21" customWidth="1"/>
    <col min="9225" max="9225" width="17.85546875" style="21" customWidth="1"/>
    <col min="9226" max="9226" width="15.85546875" style="21" customWidth="1"/>
    <col min="9227" max="9227" width="26" style="21" customWidth="1"/>
    <col min="9228" max="9228" width="21.7109375" style="21" customWidth="1"/>
    <col min="9229" max="9229" width="16.5703125" style="21" customWidth="1"/>
    <col min="9230" max="9230" width="25.7109375" style="21" customWidth="1"/>
    <col min="9231" max="9231" width="31.42578125" style="21" customWidth="1"/>
    <col min="9232" max="9232" width="18.42578125" style="21" customWidth="1"/>
    <col min="9233" max="9233" width="13.42578125" style="21" customWidth="1"/>
    <col min="9234" max="9234" width="18" style="21" customWidth="1"/>
    <col min="9235" max="9235" width="19.7109375" style="21" customWidth="1"/>
    <col min="9236" max="9237" width="13.42578125" style="21" customWidth="1"/>
    <col min="9238" max="9238" width="18" style="21" customWidth="1"/>
    <col min="9239" max="9239" width="15.42578125" style="21" customWidth="1"/>
    <col min="9240" max="9240" width="13.42578125" style="21" customWidth="1"/>
    <col min="9241" max="9241" width="16.140625" style="21" customWidth="1"/>
    <col min="9242" max="9242" width="18" style="21" customWidth="1"/>
    <col min="9243" max="9244" width="13.42578125" style="21" customWidth="1"/>
    <col min="9245" max="9245" width="18.85546875" style="21" customWidth="1"/>
    <col min="9246" max="9246" width="28.7109375" style="21" customWidth="1"/>
    <col min="9247" max="9247" width="18.85546875" style="21" customWidth="1"/>
    <col min="9248" max="9248" width="16" style="21" customWidth="1"/>
    <col min="9249" max="9249" width="13.42578125" style="21" customWidth="1"/>
    <col min="9250" max="9250" width="26.28515625" style="21" customWidth="1"/>
    <col min="9251" max="9251" width="37.140625" style="21" customWidth="1"/>
    <col min="9252" max="9252" width="13.42578125" style="21" customWidth="1"/>
    <col min="9253" max="9253" width="16.85546875" style="21" customWidth="1"/>
    <col min="9254" max="9254" width="29.140625" style="21" customWidth="1"/>
    <col min="9255" max="9255" width="24.140625" style="21" customWidth="1"/>
    <col min="9256" max="9256" width="15.140625" style="21" customWidth="1"/>
    <col min="9257" max="9257" width="18.7109375" style="21" customWidth="1"/>
    <col min="9258" max="9258" width="19.5703125" style="21" customWidth="1"/>
    <col min="9259" max="9259" width="26.42578125" style="21" customWidth="1"/>
    <col min="9260" max="9260" width="25.85546875" style="21" customWidth="1"/>
    <col min="9261" max="9261" width="13.42578125" style="21" customWidth="1"/>
    <col min="9262" max="9262" width="26.85546875" style="21" customWidth="1"/>
    <col min="9263" max="9264" width="31.42578125" style="21" customWidth="1"/>
    <col min="9265" max="9265" width="26.42578125" style="21" customWidth="1"/>
    <col min="9266" max="9266" width="40.42578125" style="21" customWidth="1"/>
    <col min="9267" max="9267" width="33.85546875" style="21" customWidth="1"/>
    <col min="9268" max="9268" width="37" style="21" customWidth="1"/>
    <col min="9269" max="9269" width="17.85546875" style="21" customWidth="1"/>
    <col min="9270" max="9270" width="28.5703125" style="21" customWidth="1"/>
    <col min="9271" max="9271" width="24.28515625" style="21" customWidth="1"/>
    <col min="9272" max="9272" width="40.140625" style="21" customWidth="1"/>
    <col min="9273" max="9273" width="18.7109375" style="21" customWidth="1"/>
    <col min="9274" max="9274" width="16.28515625" style="21" customWidth="1"/>
    <col min="9275" max="9275" width="13.42578125" style="21" customWidth="1"/>
    <col min="9276" max="9276" width="15.42578125" style="21" customWidth="1"/>
    <col min="9277" max="9277" width="30.85546875" style="21" customWidth="1"/>
    <col min="9278" max="9278" width="13.42578125" style="21" customWidth="1"/>
    <col min="9279" max="9279" width="25.7109375" style="21" customWidth="1"/>
    <col min="9280" max="9280" width="24.28515625" style="21" customWidth="1"/>
    <col min="9281" max="9281" width="23.85546875" style="21" customWidth="1"/>
    <col min="9282" max="9282" width="27.5703125" style="21" customWidth="1"/>
    <col min="9283" max="9283" width="25.42578125" style="21" customWidth="1"/>
    <col min="9284" max="9286" width="13.42578125" style="21" customWidth="1"/>
    <col min="9287" max="9287" width="16.28515625" style="21" customWidth="1"/>
    <col min="9288" max="9288" width="25.28515625" style="21" customWidth="1"/>
    <col min="9289" max="9290" width="13.42578125" style="21" customWidth="1"/>
    <col min="9291" max="9291" width="24.7109375" style="21" customWidth="1"/>
    <col min="9292" max="9292" width="26.85546875" style="21" customWidth="1"/>
    <col min="9293" max="9293" width="24.42578125" style="21" customWidth="1"/>
    <col min="9294" max="9294" width="23.140625" style="21" customWidth="1"/>
    <col min="9295" max="9295" width="21.140625" style="21" customWidth="1"/>
    <col min="9296" max="9296" width="14.5703125" style="21" customWidth="1"/>
    <col min="9297" max="9297" width="30.28515625" style="21" customWidth="1"/>
    <col min="9298" max="9298" width="13.42578125" style="21" customWidth="1"/>
    <col min="9299" max="9299" width="31.42578125" style="21" customWidth="1"/>
    <col min="9300" max="9300" width="13.42578125" style="21" customWidth="1"/>
    <col min="9301" max="9301" width="44.42578125" style="21" customWidth="1"/>
    <col min="9302" max="9302" width="19.7109375" style="21" customWidth="1"/>
    <col min="9303" max="9303" width="38.85546875" style="21" customWidth="1"/>
    <col min="9304" max="9304" width="31.42578125" style="21" customWidth="1"/>
    <col min="9305" max="9305" width="50.7109375" style="21" customWidth="1"/>
    <col min="9306" max="9306" width="34.85546875" style="21" customWidth="1"/>
    <col min="9307" max="9308" width="13.42578125" style="21" customWidth="1"/>
    <col min="9309" max="9309" width="18.140625" style="21" customWidth="1"/>
    <col min="9310" max="9310" width="23.7109375" style="21" customWidth="1"/>
    <col min="9311" max="9311" width="26.85546875" style="21" customWidth="1"/>
    <col min="9312" max="9312" width="23" style="21" customWidth="1"/>
    <col min="9313" max="9313" width="25.7109375" style="21" customWidth="1"/>
    <col min="9314" max="9314" width="29.28515625" style="21" customWidth="1"/>
    <col min="9315" max="9315" width="29.42578125" style="21" customWidth="1"/>
    <col min="9316" max="9316" width="23.5703125" style="21" customWidth="1"/>
    <col min="9317" max="9317" width="32.85546875" style="21" customWidth="1"/>
    <col min="9318" max="9318" width="30.7109375" style="21" customWidth="1"/>
    <col min="9319" max="9319" width="33.85546875" style="21" customWidth="1"/>
    <col min="9320" max="9320" width="15.85546875" style="21" customWidth="1"/>
    <col min="9321" max="9321" width="17.28515625" style="21" customWidth="1"/>
    <col min="9322" max="9322" width="26.5703125" style="21" customWidth="1"/>
    <col min="9323" max="9323" width="21.5703125" style="21" customWidth="1"/>
    <col min="9324" max="9324" width="42.7109375" style="21" customWidth="1"/>
    <col min="9325" max="9325" width="44.140625" style="21" customWidth="1"/>
    <col min="9326" max="9327" width="31.42578125" style="21" customWidth="1"/>
    <col min="9328" max="9328" width="27.85546875" style="21" customWidth="1"/>
    <col min="9329" max="9329" width="0" style="21" hidden="1" customWidth="1"/>
    <col min="9330" max="9330" width="31.42578125" style="21" customWidth="1"/>
    <col min="9331" max="9472" width="9.140625" style="21"/>
    <col min="9473" max="9473" width="8.7109375" style="21" customWidth="1"/>
    <col min="9474" max="9475" width="31.42578125" style="21" customWidth="1"/>
    <col min="9476" max="9476" width="25.85546875" style="21" customWidth="1"/>
    <col min="9477" max="9477" width="26.85546875" style="21" customWidth="1"/>
    <col min="9478" max="9478" width="27" style="21" customWidth="1"/>
    <col min="9479" max="9479" width="32.28515625" style="21" customWidth="1"/>
    <col min="9480" max="9480" width="13.42578125" style="21" customWidth="1"/>
    <col min="9481" max="9481" width="17.85546875" style="21" customWidth="1"/>
    <col min="9482" max="9482" width="15.85546875" style="21" customWidth="1"/>
    <col min="9483" max="9483" width="26" style="21" customWidth="1"/>
    <col min="9484" max="9484" width="21.7109375" style="21" customWidth="1"/>
    <col min="9485" max="9485" width="16.5703125" style="21" customWidth="1"/>
    <col min="9486" max="9486" width="25.7109375" style="21" customWidth="1"/>
    <col min="9487" max="9487" width="31.42578125" style="21" customWidth="1"/>
    <col min="9488" max="9488" width="18.42578125" style="21" customWidth="1"/>
    <col min="9489" max="9489" width="13.42578125" style="21" customWidth="1"/>
    <col min="9490" max="9490" width="18" style="21" customWidth="1"/>
    <col min="9491" max="9491" width="19.7109375" style="21" customWidth="1"/>
    <col min="9492" max="9493" width="13.42578125" style="21" customWidth="1"/>
    <col min="9494" max="9494" width="18" style="21" customWidth="1"/>
    <col min="9495" max="9495" width="15.42578125" style="21" customWidth="1"/>
    <col min="9496" max="9496" width="13.42578125" style="21" customWidth="1"/>
    <col min="9497" max="9497" width="16.140625" style="21" customWidth="1"/>
    <col min="9498" max="9498" width="18" style="21" customWidth="1"/>
    <col min="9499" max="9500" width="13.42578125" style="21" customWidth="1"/>
    <col min="9501" max="9501" width="18.85546875" style="21" customWidth="1"/>
    <col min="9502" max="9502" width="28.7109375" style="21" customWidth="1"/>
    <col min="9503" max="9503" width="18.85546875" style="21" customWidth="1"/>
    <col min="9504" max="9504" width="16" style="21" customWidth="1"/>
    <col min="9505" max="9505" width="13.42578125" style="21" customWidth="1"/>
    <col min="9506" max="9506" width="26.28515625" style="21" customWidth="1"/>
    <col min="9507" max="9507" width="37.140625" style="21" customWidth="1"/>
    <col min="9508" max="9508" width="13.42578125" style="21" customWidth="1"/>
    <col min="9509" max="9509" width="16.85546875" style="21" customWidth="1"/>
    <col min="9510" max="9510" width="29.140625" style="21" customWidth="1"/>
    <col min="9511" max="9511" width="24.140625" style="21" customWidth="1"/>
    <col min="9512" max="9512" width="15.140625" style="21" customWidth="1"/>
    <col min="9513" max="9513" width="18.7109375" style="21" customWidth="1"/>
    <col min="9514" max="9514" width="19.5703125" style="21" customWidth="1"/>
    <col min="9515" max="9515" width="26.42578125" style="21" customWidth="1"/>
    <col min="9516" max="9516" width="25.85546875" style="21" customWidth="1"/>
    <col min="9517" max="9517" width="13.42578125" style="21" customWidth="1"/>
    <col min="9518" max="9518" width="26.85546875" style="21" customWidth="1"/>
    <col min="9519" max="9520" width="31.42578125" style="21" customWidth="1"/>
    <col min="9521" max="9521" width="26.42578125" style="21" customWidth="1"/>
    <col min="9522" max="9522" width="40.42578125" style="21" customWidth="1"/>
    <col min="9523" max="9523" width="33.85546875" style="21" customWidth="1"/>
    <col min="9524" max="9524" width="37" style="21" customWidth="1"/>
    <col min="9525" max="9525" width="17.85546875" style="21" customWidth="1"/>
    <col min="9526" max="9526" width="28.5703125" style="21" customWidth="1"/>
    <col min="9527" max="9527" width="24.28515625" style="21" customWidth="1"/>
    <col min="9528" max="9528" width="40.140625" style="21" customWidth="1"/>
    <col min="9529" max="9529" width="18.7109375" style="21" customWidth="1"/>
    <col min="9530" max="9530" width="16.28515625" style="21" customWidth="1"/>
    <col min="9531" max="9531" width="13.42578125" style="21" customWidth="1"/>
    <col min="9532" max="9532" width="15.42578125" style="21" customWidth="1"/>
    <col min="9533" max="9533" width="30.85546875" style="21" customWidth="1"/>
    <col min="9534" max="9534" width="13.42578125" style="21" customWidth="1"/>
    <col min="9535" max="9535" width="25.7109375" style="21" customWidth="1"/>
    <col min="9536" max="9536" width="24.28515625" style="21" customWidth="1"/>
    <col min="9537" max="9537" width="23.85546875" style="21" customWidth="1"/>
    <col min="9538" max="9538" width="27.5703125" style="21" customWidth="1"/>
    <col min="9539" max="9539" width="25.42578125" style="21" customWidth="1"/>
    <col min="9540" max="9542" width="13.42578125" style="21" customWidth="1"/>
    <col min="9543" max="9543" width="16.28515625" style="21" customWidth="1"/>
    <col min="9544" max="9544" width="25.28515625" style="21" customWidth="1"/>
    <col min="9545" max="9546" width="13.42578125" style="21" customWidth="1"/>
    <col min="9547" max="9547" width="24.7109375" style="21" customWidth="1"/>
    <col min="9548" max="9548" width="26.85546875" style="21" customWidth="1"/>
    <col min="9549" max="9549" width="24.42578125" style="21" customWidth="1"/>
    <col min="9550" max="9550" width="23.140625" style="21" customWidth="1"/>
    <col min="9551" max="9551" width="21.140625" style="21" customWidth="1"/>
    <col min="9552" max="9552" width="14.5703125" style="21" customWidth="1"/>
    <col min="9553" max="9553" width="30.28515625" style="21" customWidth="1"/>
    <col min="9554" max="9554" width="13.42578125" style="21" customWidth="1"/>
    <col min="9555" max="9555" width="31.42578125" style="21" customWidth="1"/>
    <col min="9556" max="9556" width="13.42578125" style="21" customWidth="1"/>
    <col min="9557" max="9557" width="44.42578125" style="21" customWidth="1"/>
    <col min="9558" max="9558" width="19.7109375" style="21" customWidth="1"/>
    <col min="9559" max="9559" width="38.85546875" style="21" customWidth="1"/>
    <col min="9560" max="9560" width="31.42578125" style="21" customWidth="1"/>
    <col min="9561" max="9561" width="50.7109375" style="21" customWidth="1"/>
    <col min="9562" max="9562" width="34.85546875" style="21" customWidth="1"/>
    <col min="9563" max="9564" width="13.42578125" style="21" customWidth="1"/>
    <col min="9565" max="9565" width="18.140625" style="21" customWidth="1"/>
    <col min="9566" max="9566" width="23.7109375" style="21" customWidth="1"/>
    <col min="9567" max="9567" width="26.85546875" style="21" customWidth="1"/>
    <col min="9568" max="9568" width="23" style="21" customWidth="1"/>
    <col min="9569" max="9569" width="25.7109375" style="21" customWidth="1"/>
    <col min="9570" max="9570" width="29.28515625" style="21" customWidth="1"/>
    <col min="9571" max="9571" width="29.42578125" style="21" customWidth="1"/>
    <col min="9572" max="9572" width="23.5703125" style="21" customWidth="1"/>
    <col min="9573" max="9573" width="32.85546875" style="21" customWidth="1"/>
    <col min="9574" max="9574" width="30.7109375" style="21" customWidth="1"/>
    <col min="9575" max="9575" width="33.85546875" style="21" customWidth="1"/>
    <col min="9576" max="9576" width="15.85546875" style="21" customWidth="1"/>
    <col min="9577" max="9577" width="17.28515625" style="21" customWidth="1"/>
    <col min="9578" max="9578" width="26.5703125" style="21" customWidth="1"/>
    <col min="9579" max="9579" width="21.5703125" style="21" customWidth="1"/>
    <col min="9580" max="9580" width="42.7109375" style="21" customWidth="1"/>
    <col min="9581" max="9581" width="44.140625" style="21" customWidth="1"/>
    <col min="9582" max="9583" width="31.42578125" style="21" customWidth="1"/>
    <col min="9584" max="9584" width="27.85546875" style="21" customWidth="1"/>
    <col min="9585" max="9585" width="0" style="21" hidden="1" customWidth="1"/>
    <col min="9586" max="9586" width="31.42578125" style="21" customWidth="1"/>
    <col min="9587" max="9728" width="9.140625" style="21"/>
    <col min="9729" max="9729" width="8.7109375" style="21" customWidth="1"/>
    <col min="9730" max="9731" width="31.42578125" style="21" customWidth="1"/>
    <col min="9732" max="9732" width="25.85546875" style="21" customWidth="1"/>
    <col min="9733" max="9733" width="26.85546875" style="21" customWidth="1"/>
    <col min="9734" max="9734" width="27" style="21" customWidth="1"/>
    <col min="9735" max="9735" width="32.28515625" style="21" customWidth="1"/>
    <col min="9736" max="9736" width="13.42578125" style="21" customWidth="1"/>
    <col min="9737" max="9737" width="17.85546875" style="21" customWidth="1"/>
    <col min="9738" max="9738" width="15.85546875" style="21" customWidth="1"/>
    <col min="9739" max="9739" width="26" style="21" customWidth="1"/>
    <col min="9740" max="9740" width="21.7109375" style="21" customWidth="1"/>
    <col min="9741" max="9741" width="16.5703125" style="21" customWidth="1"/>
    <col min="9742" max="9742" width="25.7109375" style="21" customWidth="1"/>
    <col min="9743" max="9743" width="31.42578125" style="21" customWidth="1"/>
    <col min="9744" max="9744" width="18.42578125" style="21" customWidth="1"/>
    <col min="9745" max="9745" width="13.42578125" style="21" customWidth="1"/>
    <col min="9746" max="9746" width="18" style="21" customWidth="1"/>
    <col min="9747" max="9747" width="19.7109375" style="21" customWidth="1"/>
    <col min="9748" max="9749" width="13.42578125" style="21" customWidth="1"/>
    <col min="9750" max="9750" width="18" style="21" customWidth="1"/>
    <col min="9751" max="9751" width="15.42578125" style="21" customWidth="1"/>
    <col min="9752" max="9752" width="13.42578125" style="21" customWidth="1"/>
    <col min="9753" max="9753" width="16.140625" style="21" customWidth="1"/>
    <col min="9754" max="9754" width="18" style="21" customWidth="1"/>
    <col min="9755" max="9756" width="13.42578125" style="21" customWidth="1"/>
    <col min="9757" max="9757" width="18.85546875" style="21" customWidth="1"/>
    <col min="9758" max="9758" width="28.7109375" style="21" customWidth="1"/>
    <col min="9759" max="9759" width="18.85546875" style="21" customWidth="1"/>
    <col min="9760" max="9760" width="16" style="21" customWidth="1"/>
    <col min="9761" max="9761" width="13.42578125" style="21" customWidth="1"/>
    <col min="9762" max="9762" width="26.28515625" style="21" customWidth="1"/>
    <col min="9763" max="9763" width="37.140625" style="21" customWidth="1"/>
    <col min="9764" max="9764" width="13.42578125" style="21" customWidth="1"/>
    <col min="9765" max="9765" width="16.85546875" style="21" customWidth="1"/>
    <col min="9766" max="9766" width="29.140625" style="21" customWidth="1"/>
    <col min="9767" max="9767" width="24.140625" style="21" customWidth="1"/>
    <col min="9768" max="9768" width="15.140625" style="21" customWidth="1"/>
    <col min="9769" max="9769" width="18.7109375" style="21" customWidth="1"/>
    <col min="9770" max="9770" width="19.5703125" style="21" customWidth="1"/>
    <col min="9771" max="9771" width="26.42578125" style="21" customWidth="1"/>
    <col min="9772" max="9772" width="25.85546875" style="21" customWidth="1"/>
    <col min="9773" max="9773" width="13.42578125" style="21" customWidth="1"/>
    <col min="9774" max="9774" width="26.85546875" style="21" customWidth="1"/>
    <col min="9775" max="9776" width="31.42578125" style="21" customWidth="1"/>
    <col min="9777" max="9777" width="26.42578125" style="21" customWidth="1"/>
    <col min="9778" max="9778" width="40.42578125" style="21" customWidth="1"/>
    <col min="9779" max="9779" width="33.85546875" style="21" customWidth="1"/>
    <col min="9780" max="9780" width="37" style="21" customWidth="1"/>
    <col min="9781" max="9781" width="17.85546875" style="21" customWidth="1"/>
    <col min="9782" max="9782" width="28.5703125" style="21" customWidth="1"/>
    <col min="9783" max="9783" width="24.28515625" style="21" customWidth="1"/>
    <col min="9784" max="9784" width="40.140625" style="21" customWidth="1"/>
    <col min="9785" max="9785" width="18.7109375" style="21" customWidth="1"/>
    <col min="9786" max="9786" width="16.28515625" style="21" customWidth="1"/>
    <col min="9787" max="9787" width="13.42578125" style="21" customWidth="1"/>
    <col min="9788" max="9788" width="15.42578125" style="21" customWidth="1"/>
    <col min="9789" max="9789" width="30.85546875" style="21" customWidth="1"/>
    <col min="9790" max="9790" width="13.42578125" style="21" customWidth="1"/>
    <col min="9791" max="9791" width="25.7109375" style="21" customWidth="1"/>
    <col min="9792" max="9792" width="24.28515625" style="21" customWidth="1"/>
    <col min="9793" max="9793" width="23.85546875" style="21" customWidth="1"/>
    <col min="9794" max="9794" width="27.5703125" style="21" customWidth="1"/>
    <col min="9795" max="9795" width="25.42578125" style="21" customWidth="1"/>
    <col min="9796" max="9798" width="13.42578125" style="21" customWidth="1"/>
    <col min="9799" max="9799" width="16.28515625" style="21" customWidth="1"/>
    <col min="9800" max="9800" width="25.28515625" style="21" customWidth="1"/>
    <col min="9801" max="9802" width="13.42578125" style="21" customWidth="1"/>
    <col min="9803" max="9803" width="24.7109375" style="21" customWidth="1"/>
    <col min="9804" max="9804" width="26.85546875" style="21" customWidth="1"/>
    <col min="9805" max="9805" width="24.42578125" style="21" customWidth="1"/>
    <col min="9806" max="9806" width="23.140625" style="21" customWidth="1"/>
    <col min="9807" max="9807" width="21.140625" style="21" customWidth="1"/>
    <col min="9808" max="9808" width="14.5703125" style="21" customWidth="1"/>
    <col min="9809" max="9809" width="30.28515625" style="21" customWidth="1"/>
    <col min="9810" max="9810" width="13.42578125" style="21" customWidth="1"/>
    <col min="9811" max="9811" width="31.42578125" style="21" customWidth="1"/>
    <col min="9812" max="9812" width="13.42578125" style="21" customWidth="1"/>
    <col min="9813" max="9813" width="44.42578125" style="21" customWidth="1"/>
    <col min="9814" max="9814" width="19.7109375" style="21" customWidth="1"/>
    <col min="9815" max="9815" width="38.85546875" style="21" customWidth="1"/>
    <col min="9816" max="9816" width="31.42578125" style="21" customWidth="1"/>
    <col min="9817" max="9817" width="50.7109375" style="21" customWidth="1"/>
    <col min="9818" max="9818" width="34.85546875" style="21" customWidth="1"/>
    <col min="9819" max="9820" width="13.42578125" style="21" customWidth="1"/>
    <col min="9821" max="9821" width="18.140625" style="21" customWidth="1"/>
    <col min="9822" max="9822" width="23.7109375" style="21" customWidth="1"/>
    <col min="9823" max="9823" width="26.85546875" style="21" customWidth="1"/>
    <col min="9824" max="9824" width="23" style="21" customWidth="1"/>
    <col min="9825" max="9825" width="25.7109375" style="21" customWidth="1"/>
    <col min="9826" max="9826" width="29.28515625" style="21" customWidth="1"/>
    <col min="9827" max="9827" width="29.42578125" style="21" customWidth="1"/>
    <col min="9828" max="9828" width="23.5703125" style="21" customWidth="1"/>
    <col min="9829" max="9829" width="32.85546875" style="21" customWidth="1"/>
    <col min="9830" max="9830" width="30.7109375" style="21" customWidth="1"/>
    <col min="9831" max="9831" width="33.85546875" style="21" customWidth="1"/>
    <col min="9832" max="9832" width="15.85546875" style="21" customWidth="1"/>
    <col min="9833" max="9833" width="17.28515625" style="21" customWidth="1"/>
    <col min="9834" max="9834" width="26.5703125" style="21" customWidth="1"/>
    <col min="9835" max="9835" width="21.5703125" style="21" customWidth="1"/>
    <col min="9836" max="9836" width="42.7109375" style="21" customWidth="1"/>
    <col min="9837" max="9837" width="44.140625" style="21" customWidth="1"/>
    <col min="9838" max="9839" width="31.42578125" style="21" customWidth="1"/>
    <col min="9840" max="9840" width="27.85546875" style="21" customWidth="1"/>
    <col min="9841" max="9841" width="0" style="21" hidden="1" customWidth="1"/>
    <col min="9842" max="9842" width="31.42578125" style="21" customWidth="1"/>
    <col min="9843" max="9984" width="9.140625" style="21"/>
    <col min="9985" max="9985" width="8.7109375" style="21" customWidth="1"/>
    <col min="9986" max="9987" width="31.42578125" style="21" customWidth="1"/>
    <col min="9988" max="9988" width="25.85546875" style="21" customWidth="1"/>
    <col min="9989" max="9989" width="26.85546875" style="21" customWidth="1"/>
    <col min="9990" max="9990" width="27" style="21" customWidth="1"/>
    <col min="9991" max="9991" width="32.28515625" style="21" customWidth="1"/>
    <col min="9992" max="9992" width="13.42578125" style="21" customWidth="1"/>
    <col min="9993" max="9993" width="17.85546875" style="21" customWidth="1"/>
    <col min="9994" max="9994" width="15.85546875" style="21" customWidth="1"/>
    <col min="9995" max="9995" width="26" style="21" customWidth="1"/>
    <col min="9996" max="9996" width="21.7109375" style="21" customWidth="1"/>
    <col min="9997" max="9997" width="16.5703125" style="21" customWidth="1"/>
    <col min="9998" max="9998" width="25.7109375" style="21" customWidth="1"/>
    <col min="9999" max="9999" width="31.42578125" style="21" customWidth="1"/>
    <col min="10000" max="10000" width="18.42578125" style="21" customWidth="1"/>
    <col min="10001" max="10001" width="13.42578125" style="21" customWidth="1"/>
    <col min="10002" max="10002" width="18" style="21" customWidth="1"/>
    <col min="10003" max="10003" width="19.7109375" style="21" customWidth="1"/>
    <col min="10004" max="10005" width="13.42578125" style="21" customWidth="1"/>
    <col min="10006" max="10006" width="18" style="21" customWidth="1"/>
    <col min="10007" max="10007" width="15.42578125" style="21" customWidth="1"/>
    <col min="10008" max="10008" width="13.42578125" style="21" customWidth="1"/>
    <col min="10009" max="10009" width="16.140625" style="21" customWidth="1"/>
    <col min="10010" max="10010" width="18" style="21" customWidth="1"/>
    <col min="10011" max="10012" width="13.42578125" style="21" customWidth="1"/>
    <col min="10013" max="10013" width="18.85546875" style="21" customWidth="1"/>
    <col min="10014" max="10014" width="28.7109375" style="21" customWidth="1"/>
    <col min="10015" max="10015" width="18.85546875" style="21" customWidth="1"/>
    <col min="10016" max="10016" width="16" style="21" customWidth="1"/>
    <col min="10017" max="10017" width="13.42578125" style="21" customWidth="1"/>
    <col min="10018" max="10018" width="26.28515625" style="21" customWidth="1"/>
    <col min="10019" max="10019" width="37.140625" style="21" customWidth="1"/>
    <col min="10020" max="10020" width="13.42578125" style="21" customWidth="1"/>
    <col min="10021" max="10021" width="16.85546875" style="21" customWidth="1"/>
    <col min="10022" max="10022" width="29.140625" style="21" customWidth="1"/>
    <col min="10023" max="10023" width="24.140625" style="21" customWidth="1"/>
    <col min="10024" max="10024" width="15.140625" style="21" customWidth="1"/>
    <col min="10025" max="10025" width="18.7109375" style="21" customWidth="1"/>
    <col min="10026" max="10026" width="19.5703125" style="21" customWidth="1"/>
    <col min="10027" max="10027" width="26.42578125" style="21" customWidth="1"/>
    <col min="10028" max="10028" width="25.85546875" style="21" customWidth="1"/>
    <col min="10029" max="10029" width="13.42578125" style="21" customWidth="1"/>
    <col min="10030" max="10030" width="26.85546875" style="21" customWidth="1"/>
    <col min="10031" max="10032" width="31.42578125" style="21" customWidth="1"/>
    <col min="10033" max="10033" width="26.42578125" style="21" customWidth="1"/>
    <col min="10034" max="10034" width="40.42578125" style="21" customWidth="1"/>
    <col min="10035" max="10035" width="33.85546875" style="21" customWidth="1"/>
    <col min="10036" max="10036" width="37" style="21" customWidth="1"/>
    <col min="10037" max="10037" width="17.85546875" style="21" customWidth="1"/>
    <col min="10038" max="10038" width="28.5703125" style="21" customWidth="1"/>
    <col min="10039" max="10039" width="24.28515625" style="21" customWidth="1"/>
    <col min="10040" max="10040" width="40.140625" style="21" customWidth="1"/>
    <col min="10041" max="10041" width="18.7109375" style="21" customWidth="1"/>
    <col min="10042" max="10042" width="16.28515625" style="21" customWidth="1"/>
    <col min="10043" max="10043" width="13.42578125" style="21" customWidth="1"/>
    <col min="10044" max="10044" width="15.42578125" style="21" customWidth="1"/>
    <col min="10045" max="10045" width="30.85546875" style="21" customWidth="1"/>
    <col min="10046" max="10046" width="13.42578125" style="21" customWidth="1"/>
    <col min="10047" max="10047" width="25.7109375" style="21" customWidth="1"/>
    <col min="10048" max="10048" width="24.28515625" style="21" customWidth="1"/>
    <col min="10049" max="10049" width="23.85546875" style="21" customWidth="1"/>
    <col min="10050" max="10050" width="27.5703125" style="21" customWidth="1"/>
    <col min="10051" max="10051" width="25.42578125" style="21" customWidth="1"/>
    <col min="10052" max="10054" width="13.42578125" style="21" customWidth="1"/>
    <col min="10055" max="10055" width="16.28515625" style="21" customWidth="1"/>
    <col min="10056" max="10056" width="25.28515625" style="21" customWidth="1"/>
    <col min="10057" max="10058" width="13.42578125" style="21" customWidth="1"/>
    <col min="10059" max="10059" width="24.7109375" style="21" customWidth="1"/>
    <col min="10060" max="10060" width="26.85546875" style="21" customWidth="1"/>
    <col min="10061" max="10061" width="24.42578125" style="21" customWidth="1"/>
    <col min="10062" max="10062" width="23.140625" style="21" customWidth="1"/>
    <col min="10063" max="10063" width="21.140625" style="21" customWidth="1"/>
    <col min="10064" max="10064" width="14.5703125" style="21" customWidth="1"/>
    <col min="10065" max="10065" width="30.28515625" style="21" customWidth="1"/>
    <col min="10066" max="10066" width="13.42578125" style="21" customWidth="1"/>
    <col min="10067" max="10067" width="31.42578125" style="21" customWidth="1"/>
    <col min="10068" max="10068" width="13.42578125" style="21" customWidth="1"/>
    <col min="10069" max="10069" width="44.42578125" style="21" customWidth="1"/>
    <col min="10070" max="10070" width="19.7109375" style="21" customWidth="1"/>
    <col min="10071" max="10071" width="38.85546875" style="21" customWidth="1"/>
    <col min="10072" max="10072" width="31.42578125" style="21" customWidth="1"/>
    <col min="10073" max="10073" width="50.7109375" style="21" customWidth="1"/>
    <col min="10074" max="10074" width="34.85546875" style="21" customWidth="1"/>
    <col min="10075" max="10076" width="13.42578125" style="21" customWidth="1"/>
    <col min="10077" max="10077" width="18.140625" style="21" customWidth="1"/>
    <col min="10078" max="10078" width="23.7109375" style="21" customWidth="1"/>
    <col min="10079" max="10079" width="26.85546875" style="21" customWidth="1"/>
    <col min="10080" max="10080" width="23" style="21" customWidth="1"/>
    <col min="10081" max="10081" width="25.7109375" style="21" customWidth="1"/>
    <col min="10082" max="10082" width="29.28515625" style="21" customWidth="1"/>
    <col min="10083" max="10083" width="29.42578125" style="21" customWidth="1"/>
    <col min="10084" max="10084" width="23.5703125" style="21" customWidth="1"/>
    <col min="10085" max="10085" width="32.85546875" style="21" customWidth="1"/>
    <col min="10086" max="10086" width="30.7109375" style="21" customWidth="1"/>
    <col min="10087" max="10087" width="33.85546875" style="21" customWidth="1"/>
    <col min="10088" max="10088" width="15.85546875" style="21" customWidth="1"/>
    <col min="10089" max="10089" width="17.28515625" style="21" customWidth="1"/>
    <col min="10090" max="10090" width="26.5703125" style="21" customWidth="1"/>
    <col min="10091" max="10091" width="21.5703125" style="21" customWidth="1"/>
    <col min="10092" max="10092" width="42.7109375" style="21" customWidth="1"/>
    <col min="10093" max="10093" width="44.140625" style="21" customWidth="1"/>
    <col min="10094" max="10095" width="31.42578125" style="21" customWidth="1"/>
    <col min="10096" max="10096" width="27.85546875" style="21" customWidth="1"/>
    <col min="10097" max="10097" width="0" style="21" hidden="1" customWidth="1"/>
    <col min="10098" max="10098" width="31.42578125" style="21" customWidth="1"/>
    <col min="10099" max="10240" width="9.140625" style="21"/>
    <col min="10241" max="10241" width="8.7109375" style="21" customWidth="1"/>
    <col min="10242" max="10243" width="31.42578125" style="21" customWidth="1"/>
    <col min="10244" max="10244" width="25.85546875" style="21" customWidth="1"/>
    <col min="10245" max="10245" width="26.85546875" style="21" customWidth="1"/>
    <col min="10246" max="10246" width="27" style="21" customWidth="1"/>
    <col min="10247" max="10247" width="32.28515625" style="21" customWidth="1"/>
    <col min="10248" max="10248" width="13.42578125" style="21" customWidth="1"/>
    <col min="10249" max="10249" width="17.85546875" style="21" customWidth="1"/>
    <col min="10250" max="10250" width="15.85546875" style="21" customWidth="1"/>
    <col min="10251" max="10251" width="26" style="21" customWidth="1"/>
    <col min="10252" max="10252" width="21.7109375" style="21" customWidth="1"/>
    <col min="10253" max="10253" width="16.5703125" style="21" customWidth="1"/>
    <col min="10254" max="10254" width="25.7109375" style="21" customWidth="1"/>
    <col min="10255" max="10255" width="31.42578125" style="21" customWidth="1"/>
    <col min="10256" max="10256" width="18.42578125" style="21" customWidth="1"/>
    <col min="10257" max="10257" width="13.42578125" style="21" customWidth="1"/>
    <col min="10258" max="10258" width="18" style="21" customWidth="1"/>
    <col min="10259" max="10259" width="19.7109375" style="21" customWidth="1"/>
    <col min="10260" max="10261" width="13.42578125" style="21" customWidth="1"/>
    <col min="10262" max="10262" width="18" style="21" customWidth="1"/>
    <col min="10263" max="10263" width="15.42578125" style="21" customWidth="1"/>
    <col min="10264" max="10264" width="13.42578125" style="21" customWidth="1"/>
    <col min="10265" max="10265" width="16.140625" style="21" customWidth="1"/>
    <col min="10266" max="10266" width="18" style="21" customWidth="1"/>
    <col min="10267" max="10268" width="13.42578125" style="21" customWidth="1"/>
    <col min="10269" max="10269" width="18.85546875" style="21" customWidth="1"/>
    <col min="10270" max="10270" width="28.7109375" style="21" customWidth="1"/>
    <col min="10271" max="10271" width="18.85546875" style="21" customWidth="1"/>
    <col min="10272" max="10272" width="16" style="21" customWidth="1"/>
    <col min="10273" max="10273" width="13.42578125" style="21" customWidth="1"/>
    <col min="10274" max="10274" width="26.28515625" style="21" customWidth="1"/>
    <col min="10275" max="10275" width="37.140625" style="21" customWidth="1"/>
    <col min="10276" max="10276" width="13.42578125" style="21" customWidth="1"/>
    <col min="10277" max="10277" width="16.85546875" style="21" customWidth="1"/>
    <col min="10278" max="10278" width="29.140625" style="21" customWidth="1"/>
    <col min="10279" max="10279" width="24.140625" style="21" customWidth="1"/>
    <col min="10280" max="10280" width="15.140625" style="21" customWidth="1"/>
    <col min="10281" max="10281" width="18.7109375" style="21" customWidth="1"/>
    <col min="10282" max="10282" width="19.5703125" style="21" customWidth="1"/>
    <col min="10283" max="10283" width="26.42578125" style="21" customWidth="1"/>
    <col min="10284" max="10284" width="25.85546875" style="21" customWidth="1"/>
    <col min="10285" max="10285" width="13.42578125" style="21" customWidth="1"/>
    <col min="10286" max="10286" width="26.85546875" style="21" customWidth="1"/>
    <col min="10287" max="10288" width="31.42578125" style="21" customWidth="1"/>
    <col min="10289" max="10289" width="26.42578125" style="21" customWidth="1"/>
    <col min="10290" max="10290" width="40.42578125" style="21" customWidth="1"/>
    <col min="10291" max="10291" width="33.85546875" style="21" customWidth="1"/>
    <col min="10292" max="10292" width="37" style="21" customWidth="1"/>
    <col min="10293" max="10293" width="17.85546875" style="21" customWidth="1"/>
    <col min="10294" max="10294" width="28.5703125" style="21" customWidth="1"/>
    <col min="10295" max="10295" width="24.28515625" style="21" customWidth="1"/>
    <col min="10296" max="10296" width="40.140625" style="21" customWidth="1"/>
    <col min="10297" max="10297" width="18.7109375" style="21" customWidth="1"/>
    <col min="10298" max="10298" width="16.28515625" style="21" customWidth="1"/>
    <col min="10299" max="10299" width="13.42578125" style="21" customWidth="1"/>
    <col min="10300" max="10300" width="15.42578125" style="21" customWidth="1"/>
    <col min="10301" max="10301" width="30.85546875" style="21" customWidth="1"/>
    <col min="10302" max="10302" width="13.42578125" style="21" customWidth="1"/>
    <col min="10303" max="10303" width="25.7109375" style="21" customWidth="1"/>
    <col min="10304" max="10304" width="24.28515625" style="21" customWidth="1"/>
    <col min="10305" max="10305" width="23.85546875" style="21" customWidth="1"/>
    <col min="10306" max="10306" width="27.5703125" style="21" customWidth="1"/>
    <col min="10307" max="10307" width="25.42578125" style="21" customWidth="1"/>
    <col min="10308" max="10310" width="13.42578125" style="21" customWidth="1"/>
    <col min="10311" max="10311" width="16.28515625" style="21" customWidth="1"/>
    <col min="10312" max="10312" width="25.28515625" style="21" customWidth="1"/>
    <col min="10313" max="10314" width="13.42578125" style="21" customWidth="1"/>
    <col min="10315" max="10315" width="24.7109375" style="21" customWidth="1"/>
    <col min="10316" max="10316" width="26.85546875" style="21" customWidth="1"/>
    <col min="10317" max="10317" width="24.42578125" style="21" customWidth="1"/>
    <col min="10318" max="10318" width="23.140625" style="21" customWidth="1"/>
    <col min="10319" max="10319" width="21.140625" style="21" customWidth="1"/>
    <col min="10320" max="10320" width="14.5703125" style="21" customWidth="1"/>
    <col min="10321" max="10321" width="30.28515625" style="21" customWidth="1"/>
    <col min="10322" max="10322" width="13.42578125" style="21" customWidth="1"/>
    <col min="10323" max="10323" width="31.42578125" style="21" customWidth="1"/>
    <col min="10324" max="10324" width="13.42578125" style="21" customWidth="1"/>
    <col min="10325" max="10325" width="44.42578125" style="21" customWidth="1"/>
    <col min="10326" max="10326" width="19.7109375" style="21" customWidth="1"/>
    <col min="10327" max="10327" width="38.85546875" style="21" customWidth="1"/>
    <col min="10328" max="10328" width="31.42578125" style="21" customWidth="1"/>
    <col min="10329" max="10329" width="50.7109375" style="21" customWidth="1"/>
    <col min="10330" max="10330" width="34.85546875" style="21" customWidth="1"/>
    <col min="10331" max="10332" width="13.42578125" style="21" customWidth="1"/>
    <col min="10333" max="10333" width="18.140625" style="21" customWidth="1"/>
    <col min="10334" max="10334" width="23.7109375" style="21" customWidth="1"/>
    <col min="10335" max="10335" width="26.85546875" style="21" customWidth="1"/>
    <col min="10336" max="10336" width="23" style="21" customWidth="1"/>
    <col min="10337" max="10337" width="25.7109375" style="21" customWidth="1"/>
    <col min="10338" max="10338" width="29.28515625" style="21" customWidth="1"/>
    <col min="10339" max="10339" width="29.42578125" style="21" customWidth="1"/>
    <col min="10340" max="10340" width="23.5703125" style="21" customWidth="1"/>
    <col min="10341" max="10341" width="32.85546875" style="21" customWidth="1"/>
    <col min="10342" max="10342" width="30.7109375" style="21" customWidth="1"/>
    <col min="10343" max="10343" width="33.85546875" style="21" customWidth="1"/>
    <col min="10344" max="10344" width="15.85546875" style="21" customWidth="1"/>
    <col min="10345" max="10345" width="17.28515625" style="21" customWidth="1"/>
    <col min="10346" max="10346" width="26.5703125" style="21" customWidth="1"/>
    <col min="10347" max="10347" width="21.5703125" style="21" customWidth="1"/>
    <col min="10348" max="10348" width="42.7109375" style="21" customWidth="1"/>
    <col min="10349" max="10349" width="44.140625" style="21" customWidth="1"/>
    <col min="10350" max="10351" width="31.42578125" style="21" customWidth="1"/>
    <col min="10352" max="10352" width="27.85546875" style="21" customWidth="1"/>
    <col min="10353" max="10353" width="0" style="21" hidden="1" customWidth="1"/>
    <col min="10354" max="10354" width="31.42578125" style="21" customWidth="1"/>
    <col min="10355" max="10496" width="9.140625" style="21"/>
    <col min="10497" max="10497" width="8.7109375" style="21" customWidth="1"/>
    <col min="10498" max="10499" width="31.42578125" style="21" customWidth="1"/>
    <col min="10500" max="10500" width="25.85546875" style="21" customWidth="1"/>
    <col min="10501" max="10501" width="26.85546875" style="21" customWidth="1"/>
    <col min="10502" max="10502" width="27" style="21" customWidth="1"/>
    <col min="10503" max="10503" width="32.28515625" style="21" customWidth="1"/>
    <col min="10504" max="10504" width="13.42578125" style="21" customWidth="1"/>
    <col min="10505" max="10505" width="17.85546875" style="21" customWidth="1"/>
    <col min="10506" max="10506" width="15.85546875" style="21" customWidth="1"/>
    <col min="10507" max="10507" width="26" style="21" customWidth="1"/>
    <col min="10508" max="10508" width="21.7109375" style="21" customWidth="1"/>
    <col min="10509" max="10509" width="16.5703125" style="21" customWidth="1"/>
    <col min="10510" max="10510" width="25.7109375" style="21" customWidth="1"/>
    <col min="10511" max="10511" width="31.42578125" style="21" customWidth="1"/>
    <col min="10512" max="10512" width="18.42578125" style="21" customWidth="1"/>
    <col min="10513" max="10513" width="13.42578125" style="21" customWidth="1"/>
    <col min="10514" max="10514" width="18" style="21" customWidth="1"/>
    <col min="10515" max="10515" width="19.7109375" style="21" customWidth="1"/>
    <col min="10516" max="10517" width="13.42578125" style="21" customWidth="1"/>
    <col min="10518" max="10518" width="18" style="21" customWidth="1"/>
    <col min="10519" max="10519" width="15.42578125" style="21" customWidth="1"/>
    <col min="10520" max="10520" width="13.42578125" style="21" customWidth="1"/>
    <col min="10521" max="10521" width="16.140625" style="21" customWidth="1"/>
    <col min="10522" max="10522" width="18" style="21" customWidth="1"/>
    <col min="10523" max="10524" width="13.42578125" style="21" customWidth="1"/>
    <col min="10525" max="10525" width="18.85546875" style="21" customWidth="1"/>
    <col min="10526" max="10526" width="28.7109375" style="21" customWidth="1"/>
    <col min="10527" max="10527" width="18.85546875" style="21" customWidth="1"/>
    <col min="10528" max="10528" width="16" style="21" customWidth="1"/>
    <col min="10529" max="10529" width="13.42578125" style="21" customWidth="1"/>
    <col min="10530" max="10530" width="26.28515625" style="21" customWidth="1"/>
    <col min="10531" max="10531" width="37.140625" style="21" customWidth="1"/>
    <col min="10532" max="10532" width="13.42578125" style="21" customWidth="1"/>
    <col min="10533" max="10533" width="16.85546875" style="21" customWidth="1"/>
    <col min="10534" max="10534" width="29.140625" style="21" customWidth="1"/>
    <col min="10535" max="10535" width="24.140625" style="21" customWidth="1"/>
    <col min="10536" max="10536" width="15.140625" style="21" customWidth="1"/>
    <col min="10537" max="10537" width="18.7109375" style="21" customWidth="1"/>
    <col min="10538" max="10538" width="19.5703125" style="21" customWidth="1"/>
    <col min="10539" max="10539" width="26.42578125" style="21" customWidth="1"/>
    <col min="10540" max="10540" width="25.85546875" style="21" customWidth="1"/>
    <col min="10541" max="10541" width="13.42578125" style="21" customWidth="1"/>
    <col min="10542" max="10542" width="26.85546875" style="21" customWidth="1"/>
    <col min="10543" max="10544" width="31.42578125" style="21" customWidth="1"/>
    <col min="10545" max="10545" width="26.42578125" style="21" customWidth="1"/>
    <col min="10546" max="10546" width="40.42578125" style="21" customWidth="1"/>
    <col min="10547" max="10547" width="33.85546875" style="21" customWidth="1"/>
    <col min="10548" max="10548" width="37" style="21" customWidth="1"/>
    <col min="10549" max="10549" width="17.85546875" style="21" customWidth="1"/>
    <col min="10550" max="10550" width="28.5703125" style="21" customWidth="1"/>
    <col min="10551" max="10551" width="24.28515625" style="21" customWidth="1"/>
    <col min="10552" max="10552" width="40.140625" style="21" customWidth="1"/>
    <col min="10553" max="10553" width="18.7109375" style="21" customWidth="1"/>
    <col min="10554" max="10554" width="16.28515625" style="21" customWidth="1"/>
    <col min="10555" max="10555" width="13.42578125" style="21" customWidth="1"/>
    <col min="10556" max="10556" width="15.42578125" style="21" customWidth="1"/>
    <col min="10557" max="10557" width="30.85546875" style="21" customWidth="1"/>
    <col min="10558" max="10558" width="13.42578125" style="21" customWidth="1"/>
    <col min="10559" max="10559" width="25.7109375" style="21" customWidth="1"/>
    <col min="10560" max="10560" width="24.28515625" style="21" customWidth="1"/>
    <col min="10561" max="10561" width="23.85546875" style="21" customWidth="1"/>
    <col min="10562" max="10562" width="27.5703125" style="21" customWidth="1"/>
    <col min="10563" max="10563" width="25.42578125" style="21" customWidth="1"/>
    <col min="10564" max="10566" width="13.42578125" style="21" customWidth="1"/>
    <col min="10567" max="10567" width="16.28515625" style="21" customWidth="1"/>
    <col min="10568" max="10568" width="25.28515625" style="21" customWidth="1"/>
    <col min="10569" max="10570" width="13.42578125" style="21" customWidth="1"/>
    <col min="10571" max="10571" width="24.7109375" style="21" customWidth="1"/>
    <col min="10572" max="10572" width="26.85546875" style="21" customWidth="1"/>
    <col min="10573" max="10573" width="24.42578125" style="21" customWidth="1"/>
    <col min="10574" max="10574" width="23.140625" style="21" customWidth="1"/>
    <col min="10575" max="10575" width="21.140625" style="21" customWidth="1"/>
    <col min="10576" max="10576" width="14.5703125" style="21" customWidth="1"/>
    <col min="10577" max="10577" width="30.28515625" style="21" customWidth="1"/>
    <col min="10578" max="10578" width="13.42578125" style="21" customWidth="1"/>
    <col min="10579" max="10579" width="31.42578125" style="21" customWidth="1"/>
    <col min="10580" max="10580" width="13.42578125" style="21" customWidth="1"/>
    <col min="10581" max="10581" width="44.42578125" style="21" customWidth="1"/>
    <col min="10582" max="10582" width="19.7109375" style="21" customWidth="1"/>
    <col min="10583" max="10583" width="38.85546875" style="21" customWidth="1"/>
    <col min="10584" max="10584" width="31.42578125" style="21" customWidth="1"/>
    <col min="10585" max="10585" width="50.7109375" style="21" customWidth="1"/>
    <col min="10586" max="10586" width="34.85546875" style="21" customWidth="1"/>
    <col min="10587" max="10588" width="13.42578125" style="21" customWidth="1"/>
    <col min="10589" max="10589" width="18.140625" style="21" customWidth="1"/>
    <col min="10590" max="10590" width="23.7109375" style="21" customWidth="1"/>
    <col min="10591" max="10591" width="26.85546875" style="21" customWidth="1"/>
    <col min="10592" max="10592" width="23" style="21" customWidth="1"/>
    <col min="10593" max="10593" width="25.7109375" style="21" customWidth="1"/>
    <col min="10594" max="10594" width="29.28515625" style="21" customWidth="1"/>
    <col min="10595" max="10595" width="29.42578125" style="21" customWidth="1"/>
    <col min="10596" max="10596" width="23.5703125" style="21" customWidth="1"/>
    <col min="10597" max="10597" width="32.85546875" style="21" customWidth="1"/>
    <col min="10598" max="10598" width="30.7109375" style="21" customWidth="1"/>
    <col min="10599" max="10599" width="33.85546875" style="21" customWidth="1"/>
    <col min="10600" max="10600" width="15.85546875" style="21" customWidth="1"/>
    <col min="10601" max="10601" width="17.28515625" style="21" customWidth="1"/>
    <col min="10602" max="10602" width="26.5703125" style="21" customWidth="1"/>
    <col min="10603" max="10603" width="21.5703125" style="21" customWidth="1"/>
    <col min="10604" max="10604" width="42.7109375" style="21" customWidth="1"/>
    <col min="10605" max="10605" width="44.140625" style="21" customWidth="1"/>
    <col min="10606" max="10607" width="31.42578125" style="21" customWidth="1"/>
    <col min="10608" max="10608" width="27.85546875" style="21" customWidth="1"/>
    <col min="10609" max="10609" width="0" style="21" hidden="1" customWidth="1"/>
    <col min="10610" max="10610" width="31.42578125" style="21" customWidth="1"/>
    <col min="10611" max="10752" width="9.140625" style="21"/>
    <col min="10753" max="10753" width="8.7109375" style="21" customWidth="1"/>
    <col min="10754" max="10755" width="31.42578125" style="21" customWidth="1"/>
    <col min="10756" max="10756" width="25.85546875" style="21" customWidth="1"/>
    <col min="10757" max="10757" width="26.85546875" style="21" customWidth="1"/>
    <col min="10758" max="10758" width="27" style="21" customWidth="1"/>
    <col min="10759" max="10759" width="32.28515625" style="21" customWidth="1"/>
    <col min="10760" max="10760" width="13.42578125" style="21" customWidth="1"/>
    <col min="10761" max="10761" width="17.85546875" style="21" customWidth="1"/>
    <col min="10762" max="10762" width="15.85546875" style="21" customWidth="1"/>
    <col min="10763" max="10763" width="26" style="21" customWidth="1"/>
    <col min="10764" max="10764" width="21.7109375" style="21" customWidth="1"/>
    <col min="10765" max="10765" width="16.5703125" style="21" customWidth="1"/>
    <col min="10766" max="10766" width="25.7109375" style="21" customWidth="1"/>
    <col min="10767" max="10767" width="31.42578125" style="21" customWidth="1"/>
    <col min="10768" max="10768" width="18.42578125" style="21" customWidth="1"/>
    <col min="10769" max="10769" width="13.42578125" style="21" customWidth="1"/>
    <col min="10770" max="10770" width="18" style="21" customWidth="1"/>
    <col min="10771" max="10771" width="19.7109375" style="21" customWidth="1"/>
    <col min="10772" max="10773" width="13.42578125" style="21" customWidth="1"/>
    <col min="10774" max="10774" width="18" style="21" customWidth="1"/>
    <col min="10775" max="10775" width="15.42578125" style="21" customWidth="1"/>
    <col min="10776" max="10776" width="13.42578125" style="21" customWidth="1"/>
    <col min="10777" max="10777" width="16.140625" style="21" customWidth="1"/>
    <col min="10778" max="10778" width="18" style="21" customWidth="1"/>
    <col min="10779" max="10780" width="13.42578125" style="21" customWidth="1"/>
    <col min="10781" max="10781" width="18.85546875" style="21" customWidth="1"/>
    <col min="10782" max="10782" width="28.7109375" style="21" customWidth="1"/>
    <col min="10783" max="10783" width="18.85546875" style="21" customWidth="1"/>
    <col min="10784" max="10784" width="16" style="21" customWidth="1"/>
    <col min="10785" max="10785" width="13.42578125" style="21" customWidth="1"/>
    <col min="10786" max="10786" width="26.28515625" style="21" customWidth="1"/>
    <col min="10787" max="10787" width="37.140625" style="21" customWidth="1"/>
    <col min="10788" max="10788" width="13.42578125" style="21" customWidth="1"/>
    <col min="10789" max="10789" width="16.85546875" style="21" customWidth="1"/>
    <col min="10790" max="10790" width="29.140625" style="21" customWidth="1"/>
    <col min="10791" max="10791" width="24.140625" style="21" customWidth="1"/>
    <col min="10792" max="10792" width="15.140625" style="21" customWidth="1"/>
    <col min="10793" max="10793" width="18.7109375" style="21" customWidth="1"/>
    <col min="10794" max="10794" width="19.5703125" style="21" customWidth="1"/>
    <col min="10795" max="10795" width="26.42578125" style="21" customWidth="1"/>
    <col min="10796" max="10796" width="25.85546875" style="21" customWidth="1"/>
    <col min="10797" max="10797" width="13.42578125" style="21" customWidth="1"/>
    <col min="10798" max="10798" width="26.85546875" style="21" customWidth="1"/>
    <col min="10799" max="10800" width="31.42578125" style="21" customWidth="1"/>
    <col min="10801" max="10801" width="26.42578125" style="21" customWidth="1"/>
    <col min="10802" max="10802" width="40.42578125" style="21" customWidth="1"/>
    <col min="10803" max="10803" width="33.85546875" style="21" customWidth="1"/>
    <col min="10804" max="10804" width="37" style="21" customWidth="1"/>
    <col min="10805" max="10805" width="17.85546875" style="21" customWidth="1"/>
    <col min="10806" max="10806" width="28.5703125" style="21" customWidth="1"/>
    <col min="10807" max="10807" width="24.28515625" style="21" customWidth="1"/>
    <col min="10808" max="10808" width="40.140625" style="21" customWidth="1"/>
    <col min="10809" max="10809" width="18.7109375" style="21" customWidth="1"/>
    <col min="10810" max="10810" width="16.28515625" style="21" customWidth="1"/>
    <col min="10811" max="10811" width="13.42578125" style="21" customWidth="1"/>
    <col min="10812" max="10812" width="15.42578125" style="21" customWidth="1"/>
    <col min="10813" max="10813" width="30.85546875" style="21" customWidth="1"/>
    <col min="10814" max="10814" width="13.42578125" style="21" customWidth="1"/>
    <col min="10815" max="10815" width="25.7109375" style="21" customWidth="1"/>
    <col min="10816" max="10816" width="24.28515625" style="21" customWidth="1"/>
    <col min="10817" max="10817" width="23.85546875" style="21" customWidth="1"/>
    <col min="10818" max="10818" width="27.5703125" style="21" customWidth="1"/>
    <col min="10819" max="10819" width="25.42578125" style="21" customWidth="1"/>
    <col min="10820" max="10822" width="13.42578125" style="21" customWidth="1"/>
    <col min="10823" max="10823" width="16.28515625" style="21" customWidth="1"/>
    <col min="10824" max="10824" width="25.28515625" style="21" customWidth="1"/>
    <col min="10825" max="10826" width="13.42578125" style="21" customWidth="1"/>
    <col min="10827" max="10827" width="24.7109375" style="21" customWidth="1"/>
    <col min="10828" max="10828" width="26.85546875" style="21" customWidth="1"/>
    <col min="10829" max="10829" width="24.42578125" style="21" customWidth="1"/>
    <col min="10830" max="10830" width="23.140625" style="21" customWidth="1"/>
    <col min="10831" max="10831" width="21.140625" style="21" customWidth="1"/>
    <col min="10832" max="10832" width="14.5703125" style="21" customWidth="1"/>
    <col min="10833" max="10833" width="30.28515625" style="21" customWidth="1"/>
    <col min="10834" max="10834" width="13.42578125" style="21" customWidth="1"/>
    <col min="10835" max="10835" width="31.42578125" style="21" customWidth="1"/>
    <col min="10836" max="10836" width="13.42578125" style="21" customWidth="1"/>
    <col min="10837" max="10837" width="44.42578125" style="21" customWidth="1"/>
    <col min="10838" max="10838" width="19.7109375" style="21" customWidth="1"/>
    <col min="10839" max="10839" width="38.85546875" style="21" customWidth="1"/>
    <col min="10840" max="10840" width="31.42578125" style="21" customWidth="1"/>
    <col min="10841" max="10841" width="50.7109375" style="21" customWidth="1"/>
    <col min="10842" max="10842" width="34.85546875" style="21" customWidth="1"/>
    <col min="10843" max="10844" width="13.42578125" style="21" customWidth="1"/>
    <col min="10845" max="10845" width="18.140625" style="21" customWidth="1"/>
    <col min="10846" max="10846" width="23.7109375" style="21" customWidth="1"/>
    <col min="10847" max="10847" width="26.85546875" style="21" customWidth="1"/>
    <col min="10848" max="10848" width="23" style="21" customWidth="1"/>
    <col min="10849" max="10849" width="25.7109375" style="21" customWidth="1"/>
    <col min="10850" max="10850" width="29.28515625" style="21" customWidth="1"/>
    <col min="10851" max="10851" width="29.42578125" style="21" customWidth="1"/>
    <col min="10852" max="10852" width="23.5703125" style="21" customWidth="1"/>
    <col min="10853" max="10853" width="32.85546875" style="21" customWidth="1"/>
    <col min="10854" max="10854" width="30.7109375" style="21" customWidth="1"/>
    <col min="10855" max="10855" width="33.85546875" style="21" customWidth="1"/>
    <col min="10856" max="10856" width="15.85546875" style="21" customWidth="1"/>
    <col min="10857" max="10857" width="17.28515625" style="21" customWidth="1"/>
    <col min="10858" max="10858" width="26.5703125" style="21" customWidth="1"/>
    <col min="10859" max="10859" width="21.5703125" style="21" customWidth="1"/>
    <col min="10860" max="10860" width="42.7109375" style="21" customWidth="1"/>
    <col min="10861" max="10861" width="44.140625" style="21" customWidth="1"/>
    <col min="10862" max="10863" width="31.42578125" style="21" customWidth="1"/>
    <col min="10864" max="10864" width="27.85546875" style="21" customWidth="1"/>
    <col min="10865" max="10865" width="0" style="21" hidden="1" customWidth="1"/>
    <col min="10866" max="10866" width="31.42578125" style="21" customWidth="1"/>
    <col min="10867" max="11008" width="9.140625" style="21"/>
    <col min="11009" max="11009" width="8.7109375" style="21" customWidth="1"/>
    <col min="11010" max="11011" width="31.42578125" style="21" customWidth="1"/>
    <col min="11012" max="11012" width="25.85546875" style="21" customWidth="1"/>
    <col min="11013" max="11013" width="26.85546875" style="21" customWidth="1"/>
    <col min="11014" max="11014" width="27" style="21" customWidth="1"/>
    <col min="11015" max="11015" width="32.28515625" style="21" customWidth="1"/>
    <col min="11016" max="11016" width="13.42578125" style="21" customWidth="1"/>
    <col min="11017" max="11017" width="17.85546875" style="21" customWidth="1"/>
    <col min="11018" max="11018" width="15.85546875" style="21" customWidth="1"/>
    <col min="11019" max="11019" width="26" style="21" customWidth="1"/>
    <col min="11020" max="11020" width="21.7109375" style="21" customWidth="1"/>
    <col min="11021" max="11021" width="16.5703125" style="21" customWidth="1"/>
    <col min="11022" max="11022" width="25.7109375" style="21" customWidth="1"/>
    <col min="11023" max="11023" width="31.42578125" style="21" customWidth="1"/>
    <col min="11024" max="11024" width="18.42578125" style="21" customWidth="1"/>
    <col min="11025" max="11025" width="13.42578125" style="21" customWidth="1"/>
    <col min="11026" max="11026" width="18" style="21" customWidth="1"/>
    <col min="11027" max="11027" width="19.7109375" style="21" customWidth="1"/>
    <col min="11028" max="11029" width="13.42578125" style="21" customWidth="1"/>
    <col min="11030" max="11030" width="18" style="21" customWidth="1"/>
    <col min="11031" max="11031" width="15.42578125" style="21" customWidth="1"/>
    <col min="11032" max="11032" width="13.42578125" style="21" customWidth="1"/>
    <col min="11033" max="11033" width="16.140625" style="21" customWidth="1"/>
    <col min="11034" max="11034" width="18" style="21" customWidth="1"/>
    <col min="11035" max="11036" width="13.42578125" style="21" customWidth="1"/>
    <col min="11037" max="11037" width="18.85546875" style="21" customWidth="1"/>
    <col min="11038" max="11038" width="28.7109375" style="21" customWidth="1"/>
    <col min="11039" max="11039" width="18.85546875" style="21" customWidth="1"/>
    <col min="11040" max="11040" width="16" style="21" customWidth="1"/>
    <col min="11041" max="11041" width="13.42578125" style="21" customWidth="1"/>
    <col min="11042" max="11042" width="26.28515625" style="21" customWidth="1"/>
    <col min="11043" max="11043" width="37.140625" style="21" customWidth="1"/>
    <col min="11044" max="11044" width="13.42578125" style="21" customWidth="1"/>
    <col min="11045" max="11045" width="16.85546875" style="21" customWidth="1"/>
    <col min="11046" max="11046" width="29.140625" style="21" customWidth="1"/>
    <col min="11047" max="11047" width="24.140625" style="21" customWidth="1"/>
    <col min="11048" max="11048" width="15.140625" style="21" customWidth="1"/>
    <col min="11049" max="11049" width="18.7109375" style="21" customWidth="1"/>
    <col min="11050" max="11050" width="19.5703125" style="21" customWidth="1"/>
    <col min="11051" max="11051" width="26.42578125" style="21" customWidth="1"/>
    <col min="11052" max="11052" width="25.85546875" style="21" customWidth="1"/>
    <col min="11053" max="11053" width="13.42578125" style="21" customWidth="1"/>
    <col min="11054" max="11054" width="26.85546875" style="21" customWidth="1"/>
    <col min="11055" max="11056" width="31.42578125" style="21" customWidth="1"/>
    <col min="11057" max="11057" width="26.42578125" style="21" customWidth="1"/>
    <col min="11058" max="11058" width="40.42578125" style="21" customWidth="1"/>
    <col min="11059" max="11059" width="33.85546875" style="21" customWidth="1"/>
    <col min="11060" max="11060" width="37" style="21" customWidth="1"/>
    <col min="11061" max="11061" width="17.85546875" style="21" customWidth="1"/>
    <col min="11062" max="11062" width="28.5703125" style="21" customWidth="1"/>
    <col min="11063" max="11063" width="24.28515625" style="21" customWidth="1"/>
    <col min="11064" max="11064" width="40.140625" style="21" customWidth="1"/>
    <col min="11065" max="11065" width="18.7109375" style="21" customWidth="1"/>
    <col min="11066" max="11066" width="16.28515625" style="21" customWidth="1"/>
    <col min="11067" max="11067" width="13.42578125" style="21" customWidth="1"/>
    <col min="11068" max="11068" width="15.42578125" style="21" customWidth="1"/>
    <col min="11069" max="11069" width="30.85546875" style="21" customWidth="1"/>
    <col min="11070" max="11070" width="13.42578125" style="21" customWidth="1"/>
    <col min="11071" max="11071" width="25.7109375" style="21" customWidth="1"/>
    <col min="11072" max="11072" width="24.28515625" style="21" customWidth="1"/>
    <col min="11073" max="11073" width="23.85546875" style="21" customWidth="1"/>
    <col min="11074" max="11074" width="27.5703125" style="21" customWidth="1"/>
    <col min="11075" max="11075" width="25.42578125" style="21" customWidth="1"/>
    <col min="11076" max="11078" width="13.42578125" style="21" customWidth="1"/>
    <col min="11079" max="11079" width="16.28515625" style="21" customWidth="1"/>
    <col min="11080" max="11080" width="25.28515625" style="21" customWidth="1"/>
    <col min="11081" max="11082" width="13.42578125" style="21" customWidth="1"/>
    <col min="11083" max="11083" width="24.7109375" style="21" customWidth="1"/>
    <col min="11084" max="11084" width="26.85546875" style="21" customWidth="1"/>
    <col min="11085" max="11085" width="24.42578125" style="21" customWidth="1"/>
    <col min="11086" max="11086" width="23.140625" style="21" customWidth="1"/>
    <col min="11087" max="11087" width="21.140625" style="21" customWidth="1"/>
    <col min="11088" max="11088" width="14.5703125" style="21" customWidth="1"/>
    <col min="11089" max="11089" width="30.28515625" style="21" customWidth="1"/>
    <col min="11090" max="11090" width="13.42578125" style="21" customWidth="1"/>
    <col min="11091" max="11091" width="31.42578125" style="21" customWidth="1"/>
    <col min="11092" max="11092" width="13.42578125" style="21" customWidth="1"/>
    <col min="11093" max="11093" width="44.42578125" style="21" customWidth="1"/>
    <col min="11094" max="11094" width="19.7109375" style="21" customWidth="1"/>
    <col min="11095" max="11095" width="38.85546875" style="21" customWidth="1"/>
    <col min="11096" max="11096" width="31.42578125" style="21" customWidth="1"/>
    <col min="11097" max="11097" width="50.7109375" style="21" customWidth="1"/>
    <col min="11098" max="11098" width="34.85546875" style="21" customWidth="1"/>
    <col min="11099" max="11100" width="13.42578125" style="21" customWidth="1"/>
    <col min="11101" max="11101" width="18.140625" style="21" customWidth="1"/>
    <col min="11102" max="11102" width="23.7109375" style="21" customWidth="1"/>
    <col min="11103" max="11103" width="26.85546875" style="21" customWidth="1"/>
    <col min="11104" max="11104" width="23" style="21" customWidth="1"/>
    <col min="11105" max="11105" width="25.7109375" style="21" customWidth="1"/>
    <col min="11106" max="11106" width="29.28515625" style="21" customWidth="1"/>
    <col min="11107" max="11107" width="29.42578125" style="21" customWidth="1"/>
    <col min="11108" max="11108" width="23.5703125" style="21" customWidth="1"/>
    <col min="11109" max="11109" width="32.85546875" style="21" customWidth="1"/>
    <col min="11110" max="11110" width="30.7109375" style="21" customWidth="1"/>
    <col min="11111" max="11111" width="33.85546875" style="21" customWidth="1"/>
    <col min="11112" max="11112" width="15.85546875" style="21" customWidth="1"/>
    <col min="11113" max="11113" width="17.28515625" style="21" customWidth="1"/>
    <col min="11114" max="11114" width="26.5703125" style="21" customWidth="1"/>
    <col min="11115" max="11115" width="21.5703125" style="21" customWidth="1"/>
    <col min="11116" max="11116" width="42.7109375" style="21" customWidth="1"/>
    <col min="11117" max="11117" width="44.140625" style="21" customWidth="1"/>
    <col min="11118" max="11119" width="31.42578125" style="21" customWidth="1"/>
    <col min="11120" max="11120" width="27.85546875" style="21" customWidth="1"/>
    <col min="11121" max="11121" width="0" style="21" hidden="1" customWidth="1"/>
    <col min="11122" max="11122" width="31.42578125" style="21" customWidth="1"/>
    <col min="11123" max="11264" width="9.140625" style="21"/>
    <col min="11265" max="11265" width="8.7109375" style="21" customWidth="1"/>
    <col min="11266" max="11267" width="31.42578125" style="21" customWidth="1"/>
    <col min="11268" max="11268" width="25.85546875" style="21" customWidth="1"/>
    <col min="11269" max="11269" width="26.85546875" style="21" customWidth="1"/>
    <col min="11270" max="11270" width="27" style="21" customWidth="1"/>
    <col min="11271" max="11271" width="32.28515625" style="21" customWidth="1"/>
    <col min="11272" max="11272" width="13.42578125" style="21" customWidth="1"/>
    <col min="11273" max="11273" width="17.85546875" style="21" customWidth="1"/>
    <col min="11274" max="11274" width="15.85546875" style="21" customWidth="1"/>
    <col min="11275" max="11275" width="26" style="21" customWidth="1"/>
    <col min="11276" max="11276" width="21.7109375" style="21" customWidth="1"/>
    <col min="11277" max="11277" width="16.5703125" style="21" customWidth="1"/>
    <col min="11278" max="11278" width="25.7109375" style="21" customWidth="1"/>
    <col min="11279" max="11279" width="31.42578125" style="21" customWidth="1"/>
    <col min="11280" max="11280" width="18.42578125" style="21" customWidth="1"/>
    <col min="11281" max="11281" width="13.42578125" style="21" customWidth="1"/>
    <col min="11282" max="11282" width="18" style="21" customWidth="1"/>
    <col min="11283" max="11283" width="19.7109375" style="21" customWidth="1"/>
    <col min="11284" max="11285" width="13.42578125" style="21" customWidth="1"/>
    <col min="11286" max="11286" width="18" style="21" customWidth="1"/>
    <col min="11287" max="11287" width="15.42578125" style="21" customWidth="1"/>
    <col min="11288" max="11288" width="13.42578125" style="21" customWidth="1"/>
    <col min="11289" max="11289" width="16.140625" style="21" customWidth="1"/>
    <col min="11290" max="11290" width="18" style="21" customWidth="1"/>
    <col min="11291" max="11292" width="13.42578125" style="21" customWidth="1"/>
    <col min="11293" max="11293" width="18.85546875" style="21" customWidth="1"/>
    <col min="11294" max="11294" width="28.7109375" style="21" customWidth="1"/>
    <col min="11295" max="11295" width="18.85546875" style="21" customWidth="1"/>
    <col min="11296" max="11296" width="16" style="21" customWidth="1"/>
    <col min="11297" max="11297" width="13.42578125" style="21" customWidth="1"/>
    <col min="11298" max="11298" width="26.28515625" style="21" customWidth="1"/>
    <col min="11299" max="11299" width="37.140625" style="21" customWidth="1"/>
    <col min="11300" max="11300" width="13.42578125" style="21" customWidth="1"/>
    <col min="11301" max="11301" width="16.85546875" style="21" customWidth="1"/>
    <col min="11302" max="11302" width="29.140625" style="21" customWidth="1"/>
    <col min="11303" max="11303" width="24.140625" style="21" customWidth="1"/>
    <col min="11304" max="11304" width="15.140625" style="21" customWidth="1"/>
    <col min="11305" max="11305" width="18.7109375" style="21" customWidth="1"/>
    <col min="11306" max="11306" width="19.5703125" style="21" customWidth="1"/>
    <col min="11307" max="11307" width="26.42578125" style="21" customWidth="1"/>
    <col min="11308" max="11308" width="25.85546875" style="21" customWidth="1"/>
    <col min="11309" max="11309" width="13.42578125" style="21" customWidth="1"/>
    <col min="11310" max="11310" width="26.85546875" style="21" customWidth="1"/>
    <col min="11311" max="11312" width="31.42578125" style="21" customWidth="1"/>
    <col min="11313" max="11313" width="26.42578125" style="21" customWidth="1"/>
    <col min="11314" max="11314" width="40.42578125" style="21" customWidth="1"/>
    <col min="11315" max="11315" width="33.85546875" style="21" customWidth="1"/>
    <col min="11316" max="11316" width="37" style="21" customWidth="1"/>
    <col min="11317" max="11317" width="17.85546875" style="21" customWidth="1"/>
    <col min="11318" max="11318" width="28.5703125" style="21" customWidth="1"/>
    <col min="11319" max="11319" width="24.28515625" style="21" customWidth="1"/>
    <col min="11320" max="11320" width="40.140625" style="21" customWidth="1"/>
    <col min="11321" max="11321" width="18.7109375" style="21" customWidth="1"/>
    <col min="11322" max="11322" width="16.28515625" style="21" customWidth="1"/>
    <col min="11323" max="11323" width="13.42578125" style="21" customWidth="1"/>
    <col min="11324" max="11324" width="15.42578125" style="21" customWidth="1"/>
    <col min="11325" max="11325" width="30.85546875" style="21" customWidth="1"/>
    <col min="11326" max="11326" width="13.42578125" style="21" customWidth="1"/>
    <col min="11327" max="11327" width="25.7109375" style="21" customWidth="1"/>
    <col min="11328" max="11328" width="24.28515625" style="21" customWidth="1"/>
    <col min="11329" max="11329" width="23.85546875" style="21" customWidth="1"/>
    <col min="11330" max="11330" width="27.5703125" style="21" customWidth="1"/>
    <col min="11331" max="11331" width="25.42578125" style="21" customWidth="1"/>
    <col min="11332" max="11334" width="13.42578125" style="21" customWidth="1"/>
    <col min="11335" max="11335" width="16.28515625" style="21" customWidth="1"/>
    <col min="11336" max="11336" width="25.28515625" style="21" customWidth="1"/>
    <col min="11337" max="11338" width="13.42578125" style="21" customWidth="1"/>
    <col min="11339" max="11339" width="24.7109375" style="21" customWidth="1"/>
    <col min="11340" max="11340" width="26.85546875" style="21" customWidth="1"/>
    <col min="11341" max="11341" width="24.42578125" style="21" customWidth="1"/>
    <col min="11342" max="11342" width="23.140625" style="21" customWidth="1"/>
    <col min="11343" max="11343" width="21.140625" style="21" customWidth="1"/>
    <col min="11344" max="11344" width="14.5703125" style="21" customWidth="1"/>
    <col min="11345" max="11345" width="30.28515625" style="21" customWidth="1"/>
    <col min="11346" max="11346" width="13.42578125" style="21" customWidth="1"/>
    <col min="11347" max="11347" width="31.42578125" style="21" customWidth="1"/>
    <col min="11348" max="11348" width="13.42578125" style="21" customWidth="1"/>
    <col min="11349" max="11349" width="44.42578125" style="21" customWidth="1"/>
    <col min="11350" max="11350" width="19.7109375" style="21" customWidth="1"/>
    <col min="11351" max="11351" width="38.85546875" style="21" customWidth="1"/>
    <col min="11352" max="11352" width="31.42578125" style="21" customWidth="1"/>
    <col min="11353" max="11353" width="50.7109375" style="21" customWidth="1"/>
    <col min="11354" max="11354" width="34.85546875" style="21" customWidth="1"/>
    <col min="11355" max="11356" width="13.42578125" style="21" customWidth="1"/>
    <col min="11357" max="11357" width="18.140625" style="21" customWidth="1"/>
    <col min="11358" max="11358" width="23.7109375" style="21" customWidth="1"/>
    <col min="11359" max="11359" width="26.85546875" style="21" customWidth="1"/>
    <col min="11360" max="11360" width="23" style="21" customWidth="1"/>
    <col min="11361" max="11361" width="25.7109375" style="21" customWidth="1"/>
    <col min="11362" max="11362" width="29.28515625" style="21" customWidth="1"/>
    <col min="11363" max="11363" width="29.42578125" style="21" customWidth="1"/>
    <col min="11364" max="11364" width="23.5703125" style="21" customWidth="1"/>
    <col min="11365" max="11365" width="32.85546875" style="21" customWidth="1"/>
    <col min="11366" max="11366" width="30.7109375" style="21" customWidth="1"/>
    <col min="11367" max="11367" width="33.85546875" style="21" customWidth="1"/>
    <col min="11368" max="11368" width="15.85546875" style="21" customWidth="1"/>
    <col min="11369" max="11369" width="17.28515625" style="21" customWidth="1"/>
    <col min="11370" max="11370" width="26.5703125" style="21" customWidth="1"/>
    <col min="11371" max="11371" width="21.5703125" style="21" customWidth="1"/>
    <col min="11372" max="11372" width="42.7109375" style="21" customWidth="1"/>
    <col min="11373" max="11373" width="44.140625" style="21" customWidth="1"/>
    <col min="11374" max="11375" width="31.42578125" style="21" customWidth="1"/>
    <col min="11376" max="11376" width="27.85546875" style="21" customWidth="1"/>
    <col min="11377" max="11377" width="0" style="21" hidden="1" customWidth="1"/>
    <col min="11378" max="11378" width="31.42578125" style="21" customWidth="1"/>
    <col min="11379" max="11520" width="9.140625" style="21"/>
    <col min="11521" max="11521" width="8.7109375" style="21" customWidth="1"/>
    <col min="11522" max="11523" width="31.42578125" style="21" customWidth="1"/>
    <col min="11524" max="11524" width="25.85546875" style="21" customWidth="1"/>
    <col min="11525" max="11525" width="26.85546875" style="21" customWidth="1"/>
    <col min="11526" max="11526" width="27" style="21" customWidth="1"/>
    <col min="11527" max="11527" width="32.28515625" style="21" customWidth="1"/>
    <col min="11528" max="11528" width="13.42578125" style="21" customWidth="1"/>
    <col min="11529" max="11529" width="17.85546875" style="21" customWidth="1"/>
    <col min="11530" max="11530" width="15.85546875" style="21" customWidth="1"/>
    <col min="11531" max="11531" width="26" style="21" customWidth="1"/>
    <col min="11532" max="11532" width="21.7109375" style="21" customWidth="1"/>
    <col min="11533" max="11533" width="16.5703125" style="21" customWidth="1"/>
    <col min="11534" max="11534" width="25.7109375" style="21" customWidth="1"/>
    <col min="11535" max="11535" width="31.42578125" style="21" customWidth="1"/>
    <col min="11536" max="11536" width="18.42578125" style="21" customWidth="1"/>
    <col min="11537" max="11537" width="13.42578125" style="21" customWidth="1"/>
    <col min="11538" max="11538" width="18" style="21" customWidth="1"/>
    <col min="11539" max="11539" width="19.7109375" style="21" customWidth="1"/>
    <col min="11540" max="11541" width="13.42578125" style="21" customWidth="1"/>
    <col min="11542" max="11542" width="18" style="21" customWidth="1"/>
    <col min="11543" max="11543" width="15.42578125" style="21" customWidth="1"/>
    <col min="11544" max="11544" width="13.42578125" style="21" customWidth="1"/>
    <col min="11545" max="11545" width="16.140625" style="21" customWidth="1"/>
    <col min="11546" max="11546" width="18" style="21" customWidth="1"/>
    <col min="11547" max="11548" width="13.42578125" style="21" customWidth="1"/>
    <col min="11549" max="11549" width="18.85546875" style="21" customWidth="1"/>
    <col min="11550" max="11550" width="28.7109375" style="21" customWidth="1"/>
    <col min="11551" max="11551" width="18.85546875" style="21" customWidth="1"/>
    <col min="11552" max="11552" width="16" style="21" customWidth="1"/>
    <col min="11553" max="11553" width="13.42578125" style="21" customWidth="1"/>
    <col min="11554" max="11554" width="26.28515625" style="21" customWidth="1"/>
    <col min="11555" max="11555" width="37.140625" style="21" customWidth="1"/>
    <col min="11556" max="11556" width="13.42578125" style="21" customWidth="1"/>
    <col min="11557" max="11557" width="16.85546875" style="21" customWidth="1"/>
    <col min="11558" max="11558" width="29.140625" style="21" customWidth="1"/>
    <col min="11559" max="11559" width="24.140625" style="21" customWidth="1"/>
    <col min="11560" max="11560" width="15.140625" style="21" customWidth="1"/>
    <col min="11561" max="11561" width="18.7109375" style="21" customWidth="1"/>
    <col min="11562" max="11562" width="19.5703125" style="21" customWidth="1"/>
    <col min="11563" max="11563" width="26.42578125" style="21" customWidth="1"/>
    <col min="11564" max="11564" width="25.85546875" style="21" customWidth="1"/>
    <col min="11565" max="11565" width="13.42578125" style="21" customWidth="1"/>
    <col min="11566" max="11566" width="26.85546875" style="21" customWidth="1"/>
    <col min="11567" max="11568" width="31.42578125" style="21" customWidth="1"/>
    <col min="11569" max="11569" width="26.42578125" style="21" customWidth="1"/>
    <col min="11570" max="11570" width="40.42578125" style="21" customWidth="1"/>
    <col min="11571" max="11571" width="33.85546875" style="21" customWidth="1"/>
    <col min="11572" max="11572" width="37" style="21" customWidth="1"/>
    <col min="11573" max="11573" width="17.85546875" style="21" customWidth="1"/>
    <col min="11574" max="11574" width="28.5703125" style="21" customWidth="1"/>
    <col min="11575" max="11575" width="24.28515625" style="21" customWidth="1"/>
    <col min="11576" max="11576" width="40.140625" style="21" customWidth="1"/>
    <col min="11577" max="11577" width="18.7109375" style="21" customWidth="1"/>
    <col min="11578" max="11578" width="16.28515625" style="21" customWidth="1"/>
    <col min="11579" max="11579" width="13.42578125" style="21" customWidth="1"/>
    <col min="11580" max="11580" width="15.42578125" style="21" customWidth="1"/>
    <col min="11581" max="11581" width="30.85546875" style="21" customWidth="1"/>
    <col min="11582" max="11582" width="13.42578125" style="21" customWidth="1"/>
    <col min="11583" max="11583" width="25.7109375" style="21" customWidth="1"/>
    <col min="11584" max="11584" width="24.28515625" style="21" customWidth="1"/>
    <col min="11585" max="11585" width="23.85546875" style="21" customWidth="1"/>
    <col min="11586" max="11586" width="27.5703125" style="21" customWidth="1"/>
    <col min="11587" max="11587" width="25.42578125" style="21" customWidth="1"/>
    <col min="11588" max="11590" width="13.42578125" style="21" customWidth="1"/>
    <col min="11591" max="11591" width="16.28515625" style="21" customWidth="1"/>
    <col min="11592" max="11592" width="25.28515625" style="21" customWidth="1"/>
    <col min="11593" max="11594" width="13.42578125" style="21" customWidth="1"/>
    <col min="11595" max="11595" width="24.7109375" style="21" customWidth="1"/>
    <col min="11596" max="11596" width="26.85546875" style="21" customWidth="1"/>
    <col min="11597" max="11597" width="24.42578125" style="21" customWidth="1"/>
    <col min="11598" max="11598" width="23.140625" style="21" customWidth="1"/>
    <col min="11599" max="11599" width="21.140625" style="21" customWidth="1"/>
    <col min="11600" max="11600" width="14.5703125" style="21" customWidth="1"/>
    <col min="11601" max="11601" width="30.28515625" style="21" customWidth="1"/>
    <col min="11602" max="11602" width="13.42578125" style="21" customWidth="1"/>
    <col min="11603" max="11603" width="31.42578125" style="21" customWidth="1"/>
    <col min="11604" max="11604" width="13.42578125" style="21" customWidth="1"/>
    <col min="11605" max="11605" width="44.42578125" style="21" customWidth="1"/>
    <col min="11606" max="11606" width="19.7109375" style="21" customWidth="1"/>
    <col min="11607" max="11607" width="38.85546875" style="21" customWidth="1"/>
    <col min="11608" max="11608" width="31.42578125" style="21" customWidth="1"/>
    <col min="11609" max="11609" width="50.7109375" style="21" customWidth="1"/>
    <col min="11610" max="11610" width="34.85546875" style="21" customWidth="1"/>
    <col min="11611" max="11612" width="13.42578125" style="21" customWidth="1"/>
    <col min="11613" max="11613" width="18.140625" style="21" customWidth="1"/>
    <col min="11614" max="11614" width="23.7109375" style="21" customWidth="1"/>
    <col min="11615" max="11615" width="26.85546875" style="21" customWidth="1"/>
    <col min="11616" max="11616" width="23" style="21" customWidth="1"/>
    <col min="11617" max="11617" width="25.7109375" style="21" customWidth="1"/>
    <col min="11618" max="11618" width="29.28515625" style="21" customWidth="1"/>
    <col min="11619" max="11619" width="29.42578125" style="21" customWidth="1"/>
    <col min="11620" max="11620" width="23.5703125" style="21" customWidth="1"/>
    <col min="11621" max="11621" width="32.85546875" style="21" customWidth="1"/>
    <col min="11622" max="11622" width="30.7109375" style="21" customWidth="1"/>
    <col min="11623" max="11623" width="33.85546875" style="21" customWidth="1"/>
    <col min="11624" max="11624" width="15.85546875" style="21" customWidth="1"/>
    <col min="11625" max="11625" width="17.28515625" style="21" customWidth="1"/>
    <col min="11626" max="11626" width="26.5703125" style="21" customWidth="1"/>
    <col min="11627" max="11627" width="21.5703125" style="21" customWidth="1"/>
    <col min="11628" max="11628" width="42.7109375" style="21" customWidth="1"/>
    <col min="11629" max="11629" width="44.140625" style="21" customWidth="1"/>
    <col min="11630" max="11631" width="31.42578125" style="21" customWidth="1"/>
    <col min="11632" max="11632" width="27.85546875" style="21" customWidth="1"/>
    <col min="11633" max="11633" width="0" style="21" hidden="1" customWidth="1"/>
    <col min="11634" max="11634" width="31.42578125" style="21" customWidth="1"/>
    <col min="11635" max="11776" width="9.140625" style="21"/>
    <col min="11777" max="11777" width="8.7109375" style="21" customWidth="1"/>
    <col min="11778" max="11779" width="31.42578125" style="21" customWidth="1"/>
    <col min="11780" max="11780" width="25.85546875" style="21" customWidth="1"/>
    <col min="11781" max="11781" width="26.85546875" style="21" customWidth="1"/>
    <col min="11782" max="11782" width="27" style="21" customWidth="1"/>
    <col min="11783" max="11783" width="32.28515625" style="21" customWidth="1"/>
    <col min="11784" max="11784" width="13.42578125" style="21" customWidth="1"/>
    <col min="11785" max="11785" width="17.85546875" style="21" customWidth="1"/>
    <col min="11786" max="11786" width="15.85546875" style="21" customWidth="1"/>
    <col min="11787" max="11787" width="26" style="21" customWidth="1"/>
    <col min="11788" max="11788" width="21.7109375" style="21" customWidth="1"/>
    <col min="11789" max="11789" width="16.5703125" style="21" customWidth="1"/>
    <col min="11790" max="11790" width="25.7109375" style="21" customWidth="1"/>
    <col min="11791" max="11791" width="31.42578125" style="21" customWidth="1"/>
    <col min="11792" max="11792" width="18.42578125" style="21" customWidth="1"/>
    <col min="11793" max="11793" width="13.42578125" style="21" customWidth="1"/>
    <col min="11794" max="11794" width="18" style="21" customWidth="1"/>
    <col min="11795" max="11795" width="19.7109375" style="21" customWidth="1"/>
    <col min="11796" max="11797" width="13.42578125" style="21" customWidth="1"/>
    <col min="11798" max="11798" width="18" style="21" customWidth="1"/>
    <col min="11799" max="11799" width="15.42578125" style="21" customWidth="1"/>
    <col min="11800" max="11800" width="13.42578125" style="21" customWidth="1"/>
    <col min="11801" max="11801" width="16.140625" style="21" customWidth="1"/>
    <col min="11802" max="11802" width="18" style="21" customWidth="1"/>
    <col min="11803" max="11804" width="13.42578125" style="21" customWidth="1"/>
    <col min="11805" max="11805" width="18.85546875" style="21" customWidth="1"/>
    <col min="11806" max="11806" width="28.7109375" style="21" customWidth="1"/>
    <col min="11807" max="11807" width="18.85546875" style="21" customWidth="1"/>
    <col min="11808" max="11808" width="16" style="21" customWidth="1"/>
    <col min="11809" max="11809" width="13.42578125" style="21" customWidth="1"/>
    <col min="11810" max="11810" width="26.28515625" style="21" customWidth="1"/>
    <col min="11811" max="11811" width="37.140625" style="21" customWidth="1"/>
    <col min="11812" max="11812" width="13.42578125" style="21" customWidth="1"/>
    <col min="11813" max="11813" width="16.85546875" style="21" customWidth="1"/>
    <col min="11814" max="11814" width="29.140625" style="21" customWidth="1"/>
    <col min="11815" max="11815" width="24.140625" style="21" customWidth="1"/>
    <col min="11816" max="11816" width="15.140625" style="21" customWidth="1"/>
    <col min="11817" max="11817" width="18.7109375" style="21" customWidth="1"/>
    <col min="11818" max="11818" width="19.5703125" style="21" customWidth="1"/>
    <col min="11819" max="11819" width="26.42578125" style="21" customWidth="1"/>
    <col min="11820" max="11820" width="25.85546875" style="21" customWidth="1"/>
    <col min="11821" max="11821" width="13.42578125" style="21" customWidth="1"/>
    <col min="11822" max="11822" width="26.85546875" style="21" customWidth="1"/>
    <col min="11823" max="11824" width="31.42578125" style="21" customWidth="1"/>
    <col min="11825" max="11825" width="26.42578125" style="21" customWidth="1"/>
    <col min="11826" max="11826" width="40.42578125" style="21" customWidth="1"/>
    <col min="11827" max="11827" width="33.85546875" style="21" customWidth="1"/>
    <col min="11828" max="11828" width="37" style="21" customWidth="1"/>
    <col min="11829" max="11829" width="17.85546875" style="21" customWidth="1"/>
    <col min="11830" max="11830" width="28.5703125" style="21" customWidth="1"/>
    <col min="11831" max="11831" width="24.28515625" style="21" customWidth="1"/>
    <col min="11832" max="11832" width="40.140625" style="21" customWidth="1"/>
    <col min="11833" max="11833" width="18.7109375" style="21" customWidth="1"/>
    <col min="11834" max="11834" width="16.28515625" style="21" customWidth="1"/>
    <col min="11835" max="11835" width="13.42578125" style="21" customWidth="1"/>
    <col min="11836" max="11836" width="15.42578125" style="21" customWidth="1"/>
    <col min="11837" max="11837" width="30.85546875" style="21" customWidth="1"/>
    <col min="11838" max="11838" width="13.42578125" style="21" customWidth="1"/>
    <col min="11839" max="11839" width="25.7109375" style="21" customWidth="1"/>
    <col min="11840" max="11840" width="24.28515625" style="21" customWidth="1"/>
    <col min="11841" max="11841" width="23.85546875" style="21" customWidth="1"/>
    <col min="11842" max="11842" width="27.5703125" style="21" customWidth="1"/>
    <col min="11843" max="11843" width="25.42578125" style="21" customWidth="1"/>
    <col min="11844" max="11846" width="13.42578125" style="21" customWidth="1"/>
    <col min="11847" max="11847" width="16.28515625" style="21" customWidth="1"/>
    <col min="11848" max="11848" width="25.28515625" style="21" customWidth="1"/>
    <col min="11849" max="11850" width="13.42578125" style="21" customWidth="1"/>
    <col min="11851" max="11851" width="24.7109375" style="21" customWidth="1"/>
    <col min="11852" max="11852" width="26.85546875" style="21" customWidth="1"/>
    <col min="11853" max="11853" width="24.42578125" style="21" customWidth="1"/>
    <col min="11854" max="11854" width="23.140625" style="21" customWidth="1"/>
    <col min="11855" max="11855" width="21.140625" style="21" customWidth="1"/>
    <col min="11856" max="11856" width="14.5703125" style="21" customWidth="1"/>
    <col min="11857" max="11857" width="30.28515625" style="21" customWidth="1"/>
    <col min="11858" max="11858" width="13.42578125" style="21" customWidth="1"/>
    <col min="11859" max="11859" width="31.42578125" style="21" customWidth="1"/>
    <col min="11860" max="11860" width="13.42578125" style="21" customWidth="1"/>
    <col min="11861" max="11861" width="44.42578125" style="21" customWidth="1"/>
    <col min="11862" max="11862" width="19.7109375" style="21" customWidth="1"/>
    <col min="11863" max="11863" width="38.85546875" style="21" customWidth="1"/>
    <col min="11864" max="11864" width="31.42578125" style="21" customWidth="1"/>
    <col min="11865" max="11865" width="50.7109375" style="21" customWidth="1"/>
    <col min="11866" max="11866" width="34.85546875" style="21" customWidth="1"/>
    <col min="11867" max="11868" width="13.42578125" style="21" customWidth="1"/>
    <col min="11869" max="11869" width="18.140625" style="21" customWidth="1"/>
    <col min="11870" max="11870" width="23.7109375" style="21" customWidth="1"/>
    <col min="11871" max="11871" width="26.85546875" style="21" customWidth="1"/>
    <col min="11872" max="11872" width="23" style="21" customWidth="1"/>
    <col min="11873" max="11873" width="25.7109375" style="21" customWidth="1"/>
    <col min="11874" max="11874" width="29.28515625" style="21" customWidth="1"/>
    <col min="11875" max="11875" width="29.42578125" style="21" customWidth="1"/>
    <col min="11876" max="11876" width="23.5703125" style="21" customWidth="1"/>
    <col min="11877" max="11877" width="32.85546875" style="21" customWidth="1"/>
    <col min="11878" max="11878" width="30.7109375" style="21" customWidth="1"/>
    <col min="11879" max="11879" width="33.85546875" style="21" customWidth="1"/>
    <col min="11880" max="11880" width="15.85546875" style="21" customWidth="1"/>
    <col min="11881" max="11881" width="17.28515625" style="21" customWidth="1"/>
    <col min="11882" max="11882" width="26.5703125" style="21" customWidth="1"/>
    <col min="11883" max="11883" width="21.5703125" style="21" customWidth="1"/>
    <col min="11884" max="11884" width="42.7109375" style="21" customWidth="1"/>
    <col min="11885" max="11885" width="44.140625" style="21" customWidth="1"/>
    <col min="11886" max="11887" width="31.42578125" style="21" customWidth="1"/>
    <col min="11888" max="11888" width="27.85546875" style="21" customWidth="1"/>
    <col min="11889" max="11889" width="0" style="21" hidden="1" customWidth="1"/>
    <col min="11890" max="11890" width="31.42578125" style="21" customWidth="1"/>
    <col min="11891" max="12032" width="9.140625" style="21"/>
    <col min="12033" max="12033" width="8.7109375" style="21" customWidth="1"/>
    <col min="12034" max="12035" width="31.42578125" style="21" customWidth="1"/>
    <col min="12036" max="12036" width="25.85546875" style="21" customWidth="1"/>
    <col min="12037" max="12037" width="26.85546875" style="21" customWidth="1"/>
    <col min="12038" max="12038" width="27" style="21" customWidth="1"/>
    <col min="12039" max="12039" width="32.28515625" style="21" customWidth="1"/>
    <col min="12040" max="12040" width="13.42578125" style="21" customWidth="1"/>
    <col min="12041" max="12041" width="17.85546875" style="21" customWidth="1"/>
    <col min="12042" max="12042" width="15.85546875" style="21" customWidth="1"/>
    <col min="12043" max="12043" width="26" style="21" customWidth="1"/>
    <col min="12044" max="12044" width="21.7109375" style="21" customWidth="1"/>
    <col min="12045" max="12045" width="16.5703125" style="21" customWidth="1"/>
    <col min="12046" max="12046" width="25.7109375" style="21" customWidth="1"/>
    <col min="12047" max="12047" width="31.42578125" style="21" customWidth="1"/>
    <col min="12048" max="12048" width="18.42578125" style="21" customWidth="1"/>
    <col min="12049" max="12049" width="13.42578125" style="21" customWidth="1"/>
    <col min="12050" max="12050" width="18" style="21" customWidth="1"/>
    <col min="12051" max="12051" width="19.7109375" style="21" customWidth="1"/>
    <col min="12052" max="12053" width="13.42578125" style="21" customWidth="1"/>
    <col min="12054" max="12054" width="18" style="21" customWidth="1"/>
    <col min="12055" max="12055" width="15.42578125" style="21" customWidth="1"/>
    <col min="12056" max="12056" width="13.42578125" style="21" customWidth="1"/>
    <col min="12057" max="12057" width="16.140625" style="21" customWidth="1"/>
    <col min="12058" max="12058" width="18" style="21" customWidth="1"/>
    <col min="12059" max="12060" width="13.42578125" style="21" customWidth="1"/>
    <col min="12061" max="12061" width="18.85546875" style="21" customWidth="1"/>
    <col min="12062" max="12062" width="28.7109375" style="21" customWidth="1"/>
    <col min="12063" max="12063" width="18.85546875" style="21" customWidth="1"/>
    <col min="12064" max="12064" width="16" style="21" customWidth="1"/>
    <col min="12065" max="12065" width="13.42578125" style="21" customWidth="1"/>
    <col min="12066" max="12066" width="26.28515625" style="21" customWidth="1"/>
    <col min="12067" max="12067" width="37.140625" style="21" customWidth="1"/>
    <col min="12068" max="12068" width="13.42578125" style="21" customWidth="1"/>
    <col min="12069" max="12069" width="16.85546875" style="21" customWidth="1"/>
    <col min="12070" max="12070" width="29.140625" style="21" customWidth="1"/>
    <col min="12071" max="12071" width="24.140625" style="21" customWidth="1"/>
    <col min="12072" max="12072" width="15.140625" style="21" customWidth="1"/>
    <col min="12073" max="12073" width="18.7109375" style="21" customWidth="1"/>
    <col min="12074" max="12074" width="19.5703125" style="21" customWidth="1"/>
    <col min="12075" max="12075" width="26.42578125" style="21" customWidth="1"/>
    <col min="12076" max="12076" width="25.85546875" style="21" customWidth="1"/>
    <col min="12077" max="12077" width="13.42578125" style="21" customWidth="1"/>
    <col min="12078" max="12078" width="26.85546875" style="21" customWidth="1"/>
    <col min="12079" max="12080" width="31.42578125" style="21" customWidth="1"/>
    <col min="12081" max="12081" width="26.42578125" style="21" customWidth="1"/>
    <col min="12082" max="12082" width="40.42578125" style="21" customWidth="1"/>
    <col min="12083" max="12083" width="33.85546875" style="21" customWidth="1"/>
    <col min="12084" max="12084" width="37" style="21" customWidth="1"/>
    <col min="12085" max="12085" width="17.85546875" style="21" customWidth="1"/>
    <col min="12086" max="12086" width="28.5703125" style="21" customWidth="1"/>
    <col min="12087" max="12087" width="24.28515625" style="21" customWidth="1"/>
    <col min="12088" max="12088" width="40.140625" style="21" customWidth="1"/>
    <col min="12089" max="12089" width="18.7109375" style="21" customWidth="1"/>
    <col min="12090" max="12090" width="16.28515625" style="21" customWidth="1"/>
    <col min="12091" max="12091" width="13.42578125" style="21" customWidth="1"/>
    <col min="12092" max="12092" width="15.42578125" style="21" customWidth="1"/>
    <col min="12093" max="12093" width="30.85546875" style="21" customWidth="1"/>
    <col min="12094" max="12094" width="13.42578125" style="21" customWidth="1"/>
    <col min="12095" max="12095" width="25.7109375" style="21" customWidth="1"/>
    <col min="12096" max="12096" width="24.28515625" style="21" customWidth="1"/>
    <col min="12097" max="12097" width="23.85546875" style="21" customWidth="1"/>
    <col min="12098" max="12098" width="27.5703125" style="21" customWidth="1"/>
    <col min="12099" max="12099" width="25.42578125" style="21" customWidth="1"/>
    <col min="12100" max="12102" width="13.42578125" style="21" customWidth="1"/>
    <col min="12103" max="12103" width="16.28515625" style="21" customWidth="1"/>
    <col min="12104" max="12104" width="25.28515625" style="21" customWidth="1"/>
    <col min="12105" max="12106" width="13.42578125" style="21" customWidth="1"/>
    <col min="12107" max="12107" width="24.7109375" style="21" customWidth="1"/>
    <col min="12108" max="12108" width="26.85546875" style="21" customWidth="1"/>
    <col min="12109" max="12109" width="24.42578125" style="21" customWidth="1"/>
    <col min="12110" max="12110" width="23.140625" style="21" customWidth="1"/>
    <col min="12111" max="12111" width="21.140625" style="21" customWidth="1"/>
    <col min="12112" max="12112" width="14.5703125" style="21" customWidth="1"/>
    <col min="12113" max="12113" width="30.28515625" style="21" customWidth="1"/>
    <col min="12114" max="12114" width="13.42578125" style="21" customWidth="1"/>
    <col min="12115" max="12115" width="31.42578125" style="21" customWidth="1"/>
    <col min="12116" max="12116" width="13.42578125" style="21" customWidth="1"/>
    <col min="12117" max="12117" width="44.42578125" style="21" customWidth="1"/>
    <col min="12118" max="12118" width="19.7109375" style="21" customWidth="1"/>
    <col min="12119" max="12119" width="38.85546875" style="21" customWidth="1"/>
    <col min="12120" max="12120" width="31.42578125" style="21" customWidth="1"/>
    <col min="12121" max="12121" width="50.7109375" style="21" customWidth="1"/>
    <col min="12122" max="12122" width="34.85546875" style="21" customWidth="1"/>
    <col min="12123" max="12124" width="13.42578125" style="21" customWidth="1"/>
    <col min="12125" max="12125" width="18.140625" style="21" customWidth="1"/>
    <col min="12126" max="12126" width="23.7109375" style="21" customWidth="1"/>
    <col min="12127" max="12127" width="26.85546875" style="21" customWidth="1"/>
    <col min="12128" max="12128" width="23" style="21" customWidth="1"/>
    <col min="12129" max="12129" width="25.7109375" style="21" customWidth="1"/>
    <col min="12130" max="12130" width="29.28515625" style="21" customWidth="1"/>
    <col min="12131" max="12131" width="29.42578125" style="21" customWidth="1"/>
    <col min="12132" max="12132" width="23.5703125" style="21" customWidth="1"/>
    <col min="12133" max="12133" width="32.85546875" style="21" customWidth="1"/>
    <col min="12134" max="12134" width="30.7109375" style="21" customWidth="1"/>
    <col min="12135" max="12135" width="33.85546875" style="21" customWidth="1"/>
    <col min="12136" max="12136" width="15.85546875" style="21" customWidth="1"/>
    <col min="12137" max="12137" width="17.28515625" style="21" customWidth="1"/>
    <col min="12138" max="12138" width="26.5703125" style="21" customWidth="1"/>
    <col min="12139" max="12139" width="21.5703125" style="21" customWidth="1"/>
    <col min="12140" max="12140" width="42.7109375" style="21" customWidth="1"/>
    <col min="12141" max="12141" width="44.140625" style="21" customWidth="1"/>
    <col min="12142" max="12143" width="31.42578125" style="21" customWidth="1"/>
    <col min="12144" max="12144" width="27.85546875" style="21" customWidth="1"/>
    <col min="12145" max="12145" width="0" style="21" hidden="1" customWidth="1"/>
    <col min="12146" max="12146" width="31.42578125" style="21" customWidth="1"/>
    <col min="12147" max="12288" width="9.140625" style="21"/>
    <col min="12289" max="12289" width="8.7109375" style="21" customWidth="1"/>
    <col min="12290" max="12291" width="31.42578125" style="21" customWidth="1"/>
    <col min="12292" max="12292" width="25.85546875" style="21" customWidth="1"/>
    <col min="12293" max="12293" width="26.85546875" style="21" customWidth="1"/>
    <col min="12294" max="12294" width="27" style="21" customWidth="1"/>
    <col min="12295" max="12295" width="32.28515625" style="21" customWidth="1"/>
    <col min="12296" max="12296" width="13.42578125" style="21" customWidth="1"/>
    <col min="12297" max="12297" width="17.85546875" style="21" customWidth="1"/>
    <col min="12298" max="12298" width="15.85546875" style="21" customWidth="1"/>
    <col min="12299" max="12299" width="26" style="21" customWidth="1"/>
    <col min="12300" max="12300" width="21.7109375" style="21" customWidth="1"/>
    <col min="12301" max="12301" width="16.5703125" style="21" customWidth="1"/>
    <col min="12302" max="12302" width="25.7109375" style="21" customWidth="1"/>
    <col min="12303" max="12303" width="31.42578125" style="21" customWidth="1"/>
    <col min="12304" max="12304" width="18.42578125" style="21" customWidth="1"/>
    <col min="12305" max="12305" width="13.42578125" style="21" customWidth="1"/>
    <col min="12306" max="12306" width="18" style="21" customWidth="1"/>
    <col min="12307" max="12307" width="19.7109375" style="21" customWidth="1"/>
    <col min="12308" max="12309" width="13.42578125" style="21" customWidth="1"/>
    <col min="12310" max="12310" width="18" style="21" customWidth="1"/>
    <col min="12311" max="12311" width="15.42578125" style="21" customWidth="1"/>
    <col min="12312" max="12312" width="13.42578125" style="21" customWidth="1"/>
    <col min="12313" max="12313" width="16.140625" style="21" customWidth="1"/>
    <col min="12314" max="12314" width="18" style="21" customWidth="1"/>
    <col min="12315" max="12316" width="13.42578125" style="21" customWidth="1"/>
    <col min="12317" max="12317" width="18.85546875" style="21" customWidth="1"/>
    <col min="12318" max="12318" width="28.7109375" style="21" customWidth="1"/>
    <col min="12319" max="12319" width="18.85546875" style="21" customWidth="1"/>
    <col min="12320" max="12320" width="16" style="21" customWidth="1"/>
    <col min="12321" max="12321" width="13.42578125" style="21" customWidth="1"/>
    <col min="12322" max="12322" width="26.28515625" style="21" customWidth="1"/>
    <col min="12323" max="12323" width="37.140625" style="21" customWidth="1"/>
    <col min="12324" max="12324" width="13.42578125" style="21" customWidth="1"/>
    <col min="12325" max="12325" width="16.85546875" style="21" customWidth="1"/>
    <col min="12326" max="12326" width="29.140625" style="21" customWidth="1"/>
    <col min="12327" max="12327" width="24.140625" style="21" customWidth="1"/>
    <col min="12328" max="12328" width="15.140625" style="21" customWidth="1"/>
    <col min="12329" max="12329" width="18.7109375" style="21" customWidth="1"/>
    <col min="12330" max="12330" width="19.5703125" style="21" customWidth="1"/>
    <col min="12331" max="12331" width="26.42578125" style="21" customWidth="1"/>
    <col min="12332" max="12332" width="25.85546875" style="21" customWidth="1"/>
    <col min="12333" max="12333" width="13.42578125" style="21" customWidth="1"/>
    <col min="12334" max="12334" width="26.85546875" style="21" customWidth="1"/>
    <col min="12335" max="12336" width="31.42578125" style="21" customWidth="1"/>
    <col min="12337" max="12337" width="26.42578125" style="21" customWidth="1"/>
    <col min="12338" max="12338" width="40.42578125" style="21" customWidth="1"/>
    <col min="12339" max="12339" width="33.85546875" style="21" customWidth="1"/>
    <col min="12340" max="12340" width="37" style="21" customWidth="1"/>
    <col min="12341" max="12341" width="17.85546875" style="21" customWidth="1"/>
    <col min="12342" max="12342" width="28.5703125" style="21" customWidth="1"/>
    <col min="12343" max="12343" width="24.28515625" style="21" customWidth="1"/>
    <col min="12344" max="12344" width="40.140625" style="21" customWidth="1"/>
    <col min="12345" max="12345" width="18.7109375" style="21" customWidth="1"/>
    <col min="12346" max="12346" width="16.28515625" style="21" customWidth="1"/>
    <col min="12347" max="12347" width="13.42578125" style="21" customWidth="1"/>
    <col min="12348" max="12348" width="15.42578125" style="21" customWidth="1"/>
    <col min="12349" max="12349" width="30.85546875" style="21" customWidth="1"/>
    <col min="12350" max="12350" width="13.42578125" style="21" customWidth="1"/>
    <col min="12351" max="12351" width="25.7109375" style="21" customWidth="1"/>
    <col min="12352" max="12352" width="24.28515625" style="21" customWidth="1"/>
    <col min="12353" max="12353" width="23.85546875" style="21" customWidth="1"/>
    <col min="12354" max="12354" width="27.5703125" style="21" customWidth="1"/>
    <col min="12355" max="12355" width="25.42578125" style="21" customWidth="1"/>
    <col min="12356" max="12358" width="13.42578125" style="21" customWidth="1"/>
    <col min="12359" max="12359" width="16.28515625" style="21" customWidth="1"/>
    <col min="12360" max="12360" width="25.28515625" style="21" customWidth="1"/>
    <col min="12361" max="12362" width="13.42578125" style="21" customWidth="1"/>
    <col min="12363" max="12363" width="24.7109375" style="21" customWidth="1"/>
    <col min="12364" max="12364" width="26.85546875" style="21" customWidth="1"/>
    <col min="12365" max="12365" width="24.42578125" style="21" customWidth="1"/>
    <col min="12366" max="12366" width="23.140625" style="21" customWidth="1"/>
    <col min="12367" max="12367" width="21.140625" style="21" customWidth="1"/>
    <col min="12368" max="12368" width="14.5703125" style="21" customWidth="1"/>
    <col min="12369" max="12369" width="30.28515625" style="21" customWidth="1"/>
    <col min="12370" max="12370" width="13.42578125" style="21" customWidth="1"/>
    <col min="12371" max="12371" width="31.42578125" style="21" customWidth="1"/>
    <col min="12372" max="12372" width="13.42578125" style="21" customWidth="1"/>
    <col min="12373" max="12373" width="44.42578125" style="21" customWidth="1"/>
    <col min="12374" max="12374" width="19.7109375" style="21" customWidth="1"/>
    <col min="12375" max="12375" width="38.85546875" style="21" customWidth="1"/>
    <col min="12376" max="12376" width="31.42578125" style="21" customWidth="1"/>
    <col min="12377" max="12377" width="50.7109375" style="21" customWidth="1"/>
    <col min="12378" max="12378" width="34.85546875" style="21" customWidth="1"/>
    <col min="12379" max="12380" width="13.42578125" style="21" customWidth="1"/>
    <col min="12381" max="12381" width="18.140625" style="21" customWidth="1"/>
    <col min="12382" max="12382" width="23.7109375" style="21" customWidth="1"/>
    <col min="12383" max="12383" width="26.85546875" style="21" customWidth="1"/>
    <col min="12384" max="12384" width="23" style="21" customWidth="1"/>
    <col min="12385" max="12385" width="25.7109375" style="21" customWidth="1"/>
    <col min="12386" max="12386" width="29.28515625" style="21" customWidth="1"/>
    <col min="12387" max="12387" width="29.42578125" style="21" customWidth="1"/>
    <col min="12388" max="12388" width="23.5703125" style="21" customWidth="1"/>
    <col min="12389" max="12389" width="32.85546875" style="21" customWidth="1"/>
    <col min="12390" max="12390" width="30.7109375" style="21" customWidth="1"/>
    <col min="12391" max="12391" width="33.85546875" style="21" customWidth="1"/>
    <col min="12392" max="12392" width="15.85546875" style="21" customWidth="1"/>
    <col min="12393" max="12393" width="17.28515625" style="21" customWidth="1"/>
    <col min="12394" max="12394" width="26.5703125" style="21" customWidth="1"/>
    <col min="12395" max="12395" width="21.5703125" style="21" customWidth="1"/>
    <col min="12396" max="12396" width="42.7109375" style="21" customWidth="1"/>
    <col min="12397" max="12397" width="44.140625" style="21" customWidth="1"/>
    <col min="12398" max="12399" width="31.42578125" style="21" customWidth="1"/>
    <col min="12400" max="12400" width="27.85546875" style="21" customWidth="1"/>
    <col min="12401" max="12401" width="0" style="21" hidden="1" customWidth="1"/>
    <col min="12402" max="12402" width="31.42578125" style="21" customWidth="1"/>
    <col min="12403" max="12544" width="9.140625" style="21"/>
    <col min="12545" max="12545" width="8.7109375" style="21" customWidth="1"/>
    <col min="12546" max="12547" width="31.42578125" style="21" customWidth="1"/>
    <col min="12548" max="12548" width="25.85546875" style="21" customWidth="1"/>
    <col min="12549" max="12549" width="26.85546875" style="21" customWidth="1"/>
    <col min="12550" max="12550" width="27" style="21" customWidth="1"/>
    <col min="12551" max="12551" width="32.28515625" style="21" customWidth="1"/>
    <col min="12552" max="12552" width="13.42578125" style="21" customWidth="1"/>
    <col min="12553" max="12553" width="17.85546875" style="21" customWidth="1"/>
    <col min="12554" max="12554" width="15.85546875" style="21" customWidth="1"/>
    <col min="12555" max="12555" width="26" style="21" customWidth="1"/>
    <col min="12556" max="12556" width="21.7109375" style="21" customWidth="1"/>
    <col min="12557" max="12557" width="16.5703125" style="21" customWidth="1"/>
    <col min="12558" max="12558" width="25.7109375" style="21" customWidth="1"/>
    <col min="12559" max="12559" width="31.42578125" style="21" customWidth="1"/>
    <col min="12560" max="12560" width="18.42578125" style="21" customWidth="1"/>
    <col min="12561" max="12561" width="13.42578125" style="21" customWidth="1"/>
    <col min="12562" max="12562" width="18" style="21" customWidth="1"/>
    <col min="12563" max="12563" width="19.7109375" style="21" customWidth="1"/>
    <col min="12564" max="12565" width="13.42578125" style="21" customWidth="1"/>
    <col min="12566" max="12566" width="18" style="21" customWidth="1"/>
    <col min="12567" max="12567" width="15.42578125" style="21" customWidth="1"/>
    <col min="12568" max="12568" width="13.42578125" style="21" customWidth="1"/>
    <col min="12569" max="12569" width="16.140625" style="21" customWidth="1"/>
    <col min="12570" max="12570" width="18" style="21" customWidth="1"/>
    <col min="12571" max="12572" width="13.42578125" style="21" customWidth="1"/>
    <col min="12573" max="12573" width="18.85546875" style="21" customWidth="1"/>
    <col min="12574" max="12574" width="28.7109375" style="21" customWidth="1"/>
    <col min="12575" max="12575" width="18.85546875" style="21" customWidth="1"/>
    <col min="12576" max="12576" width="16" style="21" customWidth="1"/>
    <col min="12577" max="12577" width="13.42578125" style="21" customWidth="1"/>
    <col min="12578" max="12578" width="26.28515625" style="21" customWidth="1"/>
    <col min="12579" max="12579" width="37.140625" style="21" customWidth="1"/>
    <col min="12580" max="12580" width="13.42578125" style="21" customWidth="1"/>
    <col min="12581" max="12581" width="16.85546875" style="21" customWidth="1"/>
    <col min="12582" max="12582" width="29.140625" style="21" customWidth="1"/>
    <col min="12583" max="12583" width="24.140625" style="21" customWidth="1"/>
    <col min="12584" max="12584" width="15.140625" style="21" customWidth="1"/>
    <col min="12585" max="12585" width="18.7109375" style="21" customWidth="1"/>
    <col min="12586" max="12586" width="19.5703125" style="21" customWidth="1"/>
    <col min="12587" max="12587" width="26.42578125" style="21" customWidth="1"/>
    <col min="12588" max="12588" width="25.85546875" style="21" customWidth="1"/>
    <col min="12589" max="12589" width="13.42578125" style="21" customWidth="1"/>
    <col min="12590" max="12590" width="26.85546875" style="21" customWidth="1"/>
    <col min="12591" max="12592" width="31.42578125" style="21" customWidth="1"/>
    <col min="12593" max="12593" width="26.42578125" style="21" customWidth="1"/>
    <col min="12594" max="12594" width="40.42578125" style="21" customWidth="1"/>
    <col min="12595" max="12595" width="33.85546875" style="21" customWidth="1"/>
    <col min="12596" max="12596" width="37" style="21" customWidth="1"/>
    <col min="12597" max="12597" width="17.85546875" style="21" customWidth="1"/>
    <col min="12598" max="12598" width="28.5703125" style="21" customWidth="1"/>
    <col min="12599" max="12599" width="24.28515625" style="21" customWidth="1"/>
    <col min="12600" max="12600" width="40.140625" style="21" customWidth="1"/>
    <col min="12601" max="12601" width="18.7109375" style="21" customWidth="1"/>
    <col min="12602" max="12602" width="16.28515625" style="21" customWidth="1"/>
    <col min="12603" max="12603" width="13.42578125" style="21" customWidth="1"/>
    <col min="12604" max="12604" width="15.42578125" style="21" customWidth="1"/>
    <col min="12605" max="12605" width="30.85546875" style="21" customWidth="1"/>
    <col min="12606" max="12606" width="13.42578125" style="21" customWidth="1"/>
    <col min="12607" max="12607" width="25.7109375" style="21" customWidth="1"/>
    <col min="12608" max="12608" width="24.28515625" style="21" customWidth="1"/>
    <col min="12609" max="12609" width="23.85546875" style="21" customWidth="1"/>
    <col min="12610" max="12610" width="27.5703125" style="21" customWidth="1"/>
    <col min="12611" max="12611" width="25.42578125" style="21" customWidth="1"/>
    <col min="12612" max="12614" width="13.42578125" style="21" customWidth="1"/>
    <col min="12615" max="12615" width="16.28515625" style="21" customWidth="1"/>
    <col min="12616" max="12616" width="25.28515625" style="21" customWidth="1"/>
    <col min="12617" max="12618" width="13.42578125" style="21" customWidth="1"/>
    <col min="12619" max="12619" width="24.7109375" style="21" customWidth="1"/>
    <col min="12620" max="12620" width="26.85546875" style="21" customWidth="1"/>
    <col min="12621" max="12621" width="24.42578125" style="21" customWidth="1"/>
    <col min="12622" max="12622" width="23.140625" style="21" customWidth="1"/>
    <col min="12623" max="12623" width="21.140625" style="21" customWidth="1"/>
    <col min="12624" max="12624" width="14.5703125" style="21" customWidth="1"/>
    <col min="12625" max="12625" width="30.28515625" style="21" customWidth="1"/>
    <col min="12626" max="12626" width="13.42578125" style="21" customWidth="1"/>
    <col min="12627" max="12627" width="31.42578125" style="21" customWidth="1"/>
    <col min="12628" max="12628" width="13.42578125" style="21" customWidth="1"/>
    <col min="12629" max="12629" width="44.42578125" style="21" customWidth="1"/>
    <col min="12630" max="12630" width="19.7109375" style="21" customWidth="1"/>
    <col min="12631" max="12631" width="38.85546875" style="21" customWidth="1"/>
    <col min="12632" max="12632" width="31.42578125" style="21" customWidth="1"/>
    <col min="12633" max="12633" width="50.7109375" style="21" customWidth="1"/>
    <col min="12634" max="12634" width="34.85546875" style="21" customWidth="1"/>
    <col min="12635" max="12636" width="13.42578125" style="21" customWidth="1"/>
    <col min="12637" max="12637" width="18.140625" style="21" customWidth="1"/>
    <col min="12638" max="12638" width="23.7109375" style="21" customWidth="1"/>
    <col min="12639" max="12639" width="26.85546875" style="21" customWidth="1"/>
    <col min="12640" max="12640" width="23" style="21" customWidth="1"/>
    <col min="12641" max="12641" width="25.7109375" style="21" customWidth="1"/>
    <col min="12642" max="12642" width="29.28515625" style="21" customWidth="1"/>
    <col min="12643" max="12643" width="29.42578125" style="21" customWidth="1"/>
    <col min="12644" max="12644" width="23.5703125" style="21" customWidth="1"/>
    <col min="12645" max="12645" width="32.85546875" style="21" customWidth="1"/>
    <col min="12646" max="12646" width="30.7109375" style="21" customWidth="1"/>
    <col min="12647" max="12647" width="33.85546875" style="21" customWidth="1"/>
    <col min="12648" max="12648" width="15.85546875" style="21" customWidth="1"/>
    <col min="12649" max="12649" width="17.28515625" style="21" customWidth="1"/>
    <col min="12650" max="12650" width="26.5703125" style="21" customWidth="1"/>
    <col min="12651" max="12651" width="21.5703125" style="21" customWidth="1"/>
    <col min="12652" max="12652" width="42.7109375" style="21" customWidth="1"/>
    <col min="12653" max="12653" width="44.140625" style="21" customWidth="1"/>
    <col min="12654" max="12655" width="31.42578125" style="21" customWidth="1"/>
    <col min="12656" max="12656" width="27.85546875" style="21" customWidth="1"/>
    <col min="12657" max="12657" width="0" style="21" hidden="1" customWidth="1"/>
    <col min="12658" max="12658" width="31.42578125" style="21" customWidth="1"/>
    <col min="12659" max="12800" width="9.140625" style="21"/>
    <col min="12801" max="12801" width="8.7109375" style="21" customWidth="1"/>
    <col min="12802" max="12803" width="31.42578125" style="21" customWidth="1"/>
    <col min="12804" max="12804" width="25.85546875" style="21" customWidth="1"/>
    <col min="12805" max="12805" width="26.85546875" style="21" customWidth="1"/>
    <col min="12806" max="12806" width="27" style="21" customWidth="1"/>
    <col min="12807" max="12807" width="32.28515625" style="21" customWidth="1"/>
    <col min="12808" max="12808" width="13.42578125" style="21" customWidth="1"/>
    <col min="12809" max="12809" width="17.85546875" style="21" customWidth="1"/>
    <col min="12810" max="12810" width="15.85546875" style="21" customWidth="1"/>
    <col min="12811" max="12811" width="26" style="21" customWidth="1"/>
    <col min="12812" max="12812" width="21.7109375" style="21" customWidth="1"/>
    <col min="12813" max="12813" width="16.5703125" style="21" customWidth="1"/>
    <col min="12814" max="12814" width="25.7109375" style="21" customWidth="1"/>
    <col min="12815" max="12815" width="31.42578125" style="21" customWidth="1"/>
    <col min="12816" max="12816" width="18.42578125" style="21" customWidth="1"/>
    <col min="12817" max="12817" width="13.42578125" style="21" customWidth="1"/>
    <col min="12818" max="12818" width="18" style="21" customWidth="1"/>
    <col min="12819" max="12819" width="19.7109375" style="21" customWidth="1"/>
    <col min="12820" max="12821" width="13.42578125" style="21" customWidth="1"/>
    <col min="12822" max="12822" width="18" style="21" customWidth="1"/>
    <col min="12823" max="12823" width="15.42578125" style="21" customWidth="1"/>
    <col min="12824" max="12824" width="13.42578125" style="21" customWidth="1"/>
    <col min="12825" max="12825" width="16.140625" style="21" customWidth="1"/>
    <col min="12826" max="12826" width="18" style="21" customWidth="1"/>
    <col min="12827" max="12828" width="13.42578125" style="21" customWidth="1"/>
    <col min="12829" max="12829" width="18.85546875" style="21" customWidth="1"/>
    <col min="12830" max="12830" width="28.7109375" style="21" customWidth="1"/>
    <col min="12831" max="12831" width="18.85546875" style="21" customWidth="1"/>
    <col min="12832" max="12832" width="16" style="21" customWidth="1"/>
    <col min="12833" max="12833" width="13.42578125" style="21" customWidth="1"/>
    <col min="12834" max="12834" width="26.28515625" style="21" customWidth="1"/>
    <col min="12835" max="12835" width="37.140625" style="21" customWidth="1"/>
    <col min="12836" max="12836" width="13.42578125" style="21" customWidth="1"/>
    <col min="12837" max="12837" width="16.85546875" style="21" customWidth="1"/>
    <col min="12838" max="12838" width="29.140625" style="21" customWidth="1"/>
    <col min="12839" max="12839" width="24.140625" style="21" customWidth="1"/>
    <col min="12840" max="12840" width="15.140625" style="21" customWidth="1"/>
    <col min="12841" max="12841" width="18.7109375" style="21" customWidth="1"/>
    <col min="12842" max="12842" width="19.5703125" style="21" customWidth="1"/>
    <col min="12843" max="12843" width="26.42578125" style="21" customWidth="1"/>
    <col min="12844" max="12844" width="25.85546875" style="21" customWidth="1"/>
    <col min="12845" max="12845" width="13.42578125" style="21" customWidth="1"/>
    <col min="12846" max="12846" width="26.85546875" style="21" customWidth="1"/>
    <col min="12847" max="12848" width="31.42578125" style="21" customWidth="1"/>
    <col min="12849" max="12849" width="26.42578125" style="21" customWidth="1"/>
    <col min="12850" max="12850" width="40.42578125" style="21" customWidth="1"/>
    <col min="12851" max="12851" width="33.85546875" style="21" customWidth="1"/>
    <col min="12852" max="12852" width="37" style="21" customWidth="1"/>
    <col min="12853" max="12853" width="17.85546875" style="21" customWidth="1"/>
    <col min="12854" max="12854" width="28.5703125" style="21" customWidth="1"/>
    <col min="12855" max="12855" width="24.28515625" style="21" customWidth="1"/>
    <col min="12856" max="12856" width="40.140625" style="21" customWidth="1"/>
    <col min="12857" max="12857" width="18.7109375" style="21" customWidth="1"/>
    <col min="12858" max="12858" width="16.28515625" style="21" customWidth="1"/>
    <col min="12859" max="12859" width="13.42578125" style="21" customWidth="1"/>
    <col min="12860" max="12860" width="15.42578125" style="21" customWidth="1"/>
    <col min="12861" max="12861" width="30.85546875" style="21" customWidth="1"/>
    <col min="12862" max="12862" width="13.42578125" style="21" customWidth="1"/>
    <col min="12863" max="12863" width="25.7109375" style="21" customWidth="1"/>
    <col min="12864" max="12864" width="24.28515625" style="21" customWidth="1"/>
    <col min="12865" max="12865" width="23.85546875" style="21" customWidth="1"/>
    <col min="12866" max="12866" width="27.5703125" style="21" customWidth="1"/>
    <col min="12867" max="12867" width="25.42578125" style="21" customWidth="1"/>
    <col min="12868" max="12870" width="13.42578125" style="21" customWidth="1"/>
    <col min="12871" max="12871" width="16.28515625" style="21" customWidth="1"/>
    <col min="12872" max="12872" width="25.28515625" style="21" customWidth="1"/>
    <col min="12873" max="12874" width="13.42578125" style="21" customWidth="1"/>
    <col min="12875" max="12875" width="24.7109375" style="21" customWidth="1"/>
    <col min="12876" max="12876" width="26.85546875" style="21" customWidth="1"/>
    <col min="12877" max="12877" width="24.42578125" style="21" customWidth="1"/>
    <col min="12878" max="12878" width="23.140625" style="21" customWidth="1"/>
    <col min="12879" max="12879" width="21.140625" style="21" customWidth="1"/>
    <col min="12880" max="12880" width="14.5703125" style="21" customWidth="1"/>
    <col min="12881" max="12881" width="30.28515625" style="21" customWidth="1"/>
    <col min="12882" max="12882" width="13.42578125" style="21" customWidth="1"/>
    <col min="12883" max="12883" width="31.42578125" style="21" customWidth="1"/>
    <col min="12884" max="12884" width="13.42578125" style="21" customWidth="1"/>
    <col min="12885" max="12885" width="44.42578125" style="21" customWidth="1"/>
    <col min="12886" max="12886" width="19.7109375" style="21" customWidth="1"/>
    <col min="12887" max="12887" width="38.85546875" style="21" customWidth="1"/>
    <col min="12888" max="12888" width="31.42578125" style="21" customWidth="1"/>
    <col min="12889" max="12889" width="50.7109375" style="21" customWidth="1"/>
    <col min="12890" max="12890" width="34.85546875" style="21" customWidth="1"/>
    <col min="12891" max="12892" width="13.42578125" style="21" customWidth="1"/>
    <col min="12893" max="12893" width="18.140625" style="21" customWidth="1"/>
    <col min="12894" max="12894" width="23.7109375" style="21" customWidth="1"/>
    <col min="12895" max="12895" width="26.85546875" style="21" customWidth="1"/>
    <col min="12896" max="12896" width="23" style="21" customWidth="1"/>
    <col min="12897" max="12897" width="25.7109375" style="21" customWidth="1"/>
    <col min="12898" max="12898" width="29.28515625" style="21" customWidth="1"/>
    <col min="12899" max="12899" width="29.42578125" style="21" customWidth="1"/>
    <col min="12900" max="12900" width="23.5703125" style="21" customWidth="1"/>
    <col min="12901" max="12901" width="32.85546875" style="21" customWidth="1"/>
    <col min="12902" max="12902" width="30.7109375" style="21" customWidth="1"/>
    <col min="12903" max="12903" width="33.85546875" style="21" customWidth="1"/>
    <col min="12904" max="12904" width="15.85546875" style="21" customWidth="1"/>
    <col min="12905" max="12905" width="17.28515625" style="21" customWidth="1"/>
    <col min="12906" max="12906" width="26.5703125" style="21" customWidth="1"/>
    <col min="12907" max="12907" width="21.5703125" style="21" customWidth="1"/>
    <col min="12908" max="12908" width="42.7109375" style="21" customWidth="1"/>
    <col min="12909" max="12909" width="44.140625" style="21" customWidth="1"/>
    <col min="12910" max="12911" width="31.42578125" style="21" customWidth="1"/>
    <col min="12912" max="12912" width="27.85546875" style="21" customWidth="1"/>
    <col min="12913" max="12913" width="0" style="21" hidden="1" customWidth="1"/>
    <col min="12914" max="12914" width="31.42578125" style="21" customWidth="1"/>
    <col min="12915" max="13056" width="9.140625" style="21"/>
    <col min="13057" max="13057" width="8.7109375" style="21" customWidth="1"/>
    <col min="13058" max="13059" width="31.42578125" style="21" customWidth="1"/>
    <col min="13060" max="13060" width="25.85546875" style="21" customWidth="1"/>
    <col min="13061" max="13061" width="26.85546875" style="21" customWidth="1"/>
    <col min="13062" max="13062" width="27" style="21" customWidth="1"/>
    <col min="13063" max="13063" width="32.28515625" style="21" customWidth="1"/>
    <col min="13064" max="13064" width="13.42578125" style="21" customWidth="1"/>
    <col min="13065" max="13065" width="17.85546875" style="21" customWidth="1"/>
    <col min="13066" max="13066" width="15.85546875" style="21" customWidth="1"/>
    <col min="13067" max="13067" width="26" style="21" customWidth="1"/>
    <col min="13068" max="13068" width="21.7109375" style="21" customWidth="1"/>
    <col min="13069" max="13069" width="16.5703125" style="21" customWidth="1"/>
    <col min="13070" max="13070" width="25.7109375" style="21" customWidth="1"/>
    <col min="13071" max="13071" width="31.42578125" style="21" customWidth="1"/>
    <col min="13072" max="13072" width="18.42578125" style="21" customWidth="1"/>
    <col min="13073" max="13073" width="13.42578125" style="21" customWidth="1"/>
    <col min="13074" max="13074" width="18" style="21" customWidth="1"/>
    <col min="13075" max="13075" width="19.7109375" style="21" customWidth="1"/>
    <col min="13076" max="13077" width="13.42578125" style="21" customWidth="1"/>
    <col min="13078" max="13078" width="18" style="21" customWidth="1"/>
    <col min="13079" max="13079" width="15.42578125" style="21" customWidth="1"/>
    <col min="13080" max="13080" width="13.42578125" style="21" customWidth="1"/>
    <col min="13081" max="13081" width="16.140625" style="21" customWidth="1"/>
    <col min="13082" max="13082" width="18" style="21" customWidth="1"/>
    <col min="13083" max="13084" width="13.42578125" style="21" customWidth="1"/>
    <col min="13085" max="13085" width="18.85546875" style="21" customWidth="1"/>
    <col min="13086" max="13086" width="28.7109375" style="21" customWidth="1"/>
    <col min="13087" max="13087" width="18.85546875" style="21" customWidth="1"/>
    <col min="13088" max="13088" width="16" style="21" customWidth="1"/>
    <col min="13089" max="13089" width="13.42578125" style="21" customWidth="1"/>
    <col min="13090" max="13090" width="26.28515625" style="21" customWidth="1"/>
    <col min="13091" max="13091" width="37.140625" style="21" customWidth="1"/>
    <col min="13092" max="13092" width="13.42578125" style="21" customWidth="1"/>
    <col min="13093" max="13093" width="16.85546875" style="21" customWidth="1"/>
    <col min="13094" max="13094" width="29.140625" style="21" customWidth="1"/>
    <col min="13095" max="13095" width="24.140625" style="21" customWidth="1"/>
    <col min="13096" max="13096" width="15.140625" style="21" customWidth="1"/>
    <col min="13097" max="13097" width="18.7109375" style="21" customWidth="1"/>
    <col min="13098" max="13098" width="19.5703125" style="21" customWidth="1"/>
    <col min="13099" max="13099" width="26.42578125" style="21" customWidth="1"/>
    <col min="13100" max="13100" width="25.85546875" style="21" customWidth="1"/>
    <col min="13101" max="13101" width="13.42578125" style="21" customWidth="1"/>
    <col min="13102" max="13102" width="26.85546875" style="21" customWidth="1"/>
    <col min="13103" max="13104" width="31.42578125" style="21" customWidth="1"/>
    <col min="13105" max="13105" width="26.42578125" style="21" customWidth="1"/>
    <col min="13106" max="13106" width="40.42578125" style="21" customWidth="1"/>
    <col min="13107" max="13107" width="33.85546875" style="21" customWidth="1"/>
    <col min="13108" max="13108" width="37" style="21" customWidth="1"/>
    <col min="13109" max="13109" width="17.85546875" style="21" customWidth="1"/>
    <col min="13110" max="13110" width="28.5703125" style="21" customWidth="1"/>
    <col min="13111" max="13111" width="24.28515625" style="21" customWidth="1"/>
    <col min="13112" max="13112" width="40.140625" style="21" customWidth="1"/>
    <col min="13113" max="13113" width="18.7109375" style="21" customWidth="1"/>
    <col min="13114" max="13114" width="16.28515625" style="21" customWidth="1"/>
    <col min="13115" max="13115" width="13.42578125" style="21" customWidth="1"/>
    <col min="13116" max="13116" width="15.42578125" style="21" customWidth="1"/>
    <col min="13117" max="13117" width="30.85546875" style="21" customWidth="1"/>
    <col min="13118" max="13118" width="13.42578125" style="21" customWidth="1"/>
    <col min="13119" max="13119" width="25.7109375" style="21" customWidth="1"/>
    <col min="13120" max="13120" width="24.28515625" style="21" customWidth="1"/>
    <col min="13121" max="13121" width="23.85546875" style="21" customWidth="1"/>
    <col min="13122" max="13122" width="27.5703125" style="21" customWidth="1"/>
    <col min="13123" max="13123" width="25.42578125" style="21" customWidth="1"/>
    <col min="13124" max="13126" width="13.42578125" style="21" customWidth="1"/>
    <col min="13127" max="13127" width="16.28515625" style="21" customWidth="1"/>
    <col min="13128" max="13128" width="25.28515625" style="21" customWidth="1"/>
    <col min="13129" max="13130" width="13.42578125" style="21" customWidth="1"/>
    <col min="13131" max="13131" width="24.7109375" style="21" customWidth="1"/>
    <col min="13132" max="13132" width="26.85546875" style="21" customWidth="1"/>
    <col min="13133" max="13133" width="24.42578125" style="21" customWidth="1"/>
    <col min="13134" max="13134" width="23.140625" style="21" customWidth="1"/>
    <col min="13135" max="13135" width="21.140625" style="21" customWidth="1"/>
    <col min="13136" max="13136" width="14.5703125" style="21" customWidth="1"/>
    <col min="13137" max="13137" width="30.28515625" style="21" customWidth="1"/>
    <col min="13138" max="13138" width="13.42578125" style="21" customWidth="1"/>
    <col min="13139" max="13139" width="31.42578125" style="21" customWidth="1"/>
    <col min="13140" max="13140" width="13.42578125" style="21" customWidth="1"/>
    <col min="13141" max="13141" width="44.42578125" style="21" customWidth="1"/>
    <col min="13142" max="13142" width="19.7109375" style="21" customWidth="1"/>
    <col min="13143" max="13143" width="38.85546875" style="21" customWidth="1"/>
    <col min="13144" max="13144" width="31.42578125" style="21" customWidth="1"/>
    <col min="13145" max="13145" width="50.7109375" style="21" customWidth="1"/>
    <col min="13146" max="13146" width="34.85546875" style="21" customWidth="1"/>
    <col min="13147" max="13148" width="13.42578125" style="21" customWidth="1"/>
    <col min="13149" max="13149" width="18.140625" style="21" customWidth="1"/>
    <col min="13150" max="13150" width="23.7109375" style="21" customWidth="1"/>
    <col min="13151" max="13151" width="26.85546875" style="21" customWidth="1"/>
    <col min="13152" max="13152" width="23" style="21" customWidth="1"/>
    <col min="13153" max="13153" width="25.7109375" style="21" customWidth="1"/>
    <col min="13154" max="13154" width="29.28515625" style="21" customWidth="1"/>
    <col min="13155" max="13155" width="29.42578125" style="21" customWidth="1"/>
    <col min="13156" max="13156" width="23.5703125" style="21" customWidth="1"/>
    <col min="13157" max="13157" width="32.85546875" style="21" customWidth="1"/>
    <col min="13158" max="13158" width="30.7109375" style="21" customWidth="1"/>
    <col min="13159" max="13159" width="33.85546875" style="21" customWidth="1"/>
    <col min="13160" max="13160" width="15.85546875" style="21" customWidth="1"/>
    <col min="13161" max="13161" width="17.28515625" style="21" customWidth="1"/>
    <col min="13162" max="13162" width="26.5703125" style="21" customWidth="1"/>
    <col min="13163" max="13163" width="21.5703125" style="21" customWidth="1"/>
    <col min="13164" max="13164" width="42.7109375" style="21" customWidth="1"/>
    <col min="13165" max="13165" width="44.140625" style="21" customWidth="1"/>
    <col min="13166" max="13167" width="31.42578125" style="21" customWidth="1"/>
    <col min="13168" max="13168" width="27.85546875" style="21" customWidth="1"/>
    <col min="13169" max="13169" width="0" style="21" hidden="1" customWidth="1"/>
    <col min="13170" max="13170" width="31.42578125" style="21" customWidth="1"/>
    <col min="13171" max="13312" width="9.140625" style="21"/>
    <col min="13313" max="13313" width="8.7109375" style="21" customWidth="1"/>
    <col min="13314" max="13315" width="31.42578125" style="21" customWidth="1"/>
    <col min="13316" max="13316" width="25.85546875" style="21" customWidth="1"/>
    <col min="13317" max="13317" width="26.85546875" style="21" customWidth="1"/>
    <col min="13318" max="13318" width="27" style="21" customWidth="1"/>
    <col min="13319" max="13319" width="32.28515625" style="21" customWidth="1"/>
    <col min="13320" max="13320" width="13.42578125" style="21" customWidth="1"/>
    <col min="13321" max="13321" width="17.85546875" style="21" customWidth="1"/>
    <col min="13322" max="13322" width="15.85546875" style="21" customWidth="1"/>
    <col min="13323" max="13323" width="26" style="21" customWidth="1"/>
    <col min="13324" max="13324" width="21.7109375" style="21" customWidth="1"/>
    <col min="13325" max="13325" width="16.5703125" style="21" customWidth="1"/>
    <col min="13326" max="13326" width="25.7109375" style="21" customWidth="1"/>
    <col min="13327" max="13327" width="31.42578125" style="21" customWidth="1"/>
    <col min="13328" max="13328" width="18.42578125" style="21" customWidth="1"/>
    <col min="13329" max="13329" width="13.42578125" style="21" customWidth="1"/>
    <col min="13330" max="13330" width="18" style="21" customWidth="1"/>
    <col min="13331" max="13331" width="19.7109375" style="21" customWidth="1"/>
    <col min="13332" max="13333" width="13.42578125" style="21" customWidth="1"/>
    <col min="13334" max="13334" width="18" style="21" customWidth="1"/>
    <col min="13335" max="13335" width="15.42578125" style="21" customWidth="1"/>
    <col min="13336" max="13336" width="13.42578125" style="21" customWidth="1"/>
    <col min="13337" max="13337" width="16.140625" style="21" customWidth="1"/>
    <col min="13338" max="13338" width="18" style="21" customWidth="1"/>
    <col min="13339" max="13340" width="13.42578125" style="21" customWidth="1"/>
    <col min="13341" max="13341" width="18.85546875" style="21" customWidth="1"/>
    <col min="13342" max="13342" width="28.7109375" style="21" customWidth="1"/>
    <col min="13343" max="13343" width="18.85546875" style="21" customWidth="1"/>
    <col min="13344" max="13344" width="16" style="21" customWidth="1"/>
    <col min="13345" max="13345" width="13.42578125" style="21" customWidth="1"/>
    <col min="13346" max="13346" width="26.28515625" style="21" customWidth="1"/>
    <col min="13347" max="13347" width="37.140625" style="21" customWidth="1"/>
    <col min="13348" max="13348" width="13.42578125" style="21" customWidth="1"/>
    <col min="13349" max="13349" width="16.85546875" style="21" customWidth="1"/>
    <col min="13350" max="13350" width="29.140625" style="21" customWidth="1"/>
    <col min="13351" max="13351" width="24.140625" style="21" customWidth="1"/>
    <col min="13352" max="13352" width="15.140625" style="21" customWidth="1"/>
    <col min="13353" max="13353" width="18.7109375" style="21" customWidth="1"/>
    <col min="13354" max="13354" width="19.5703125" style="21" customWidth="1"/>
    <col min="13355" max="13355" width="26.42578125" style="21" customWidth="1"/>
    <col min="13356" max="13356" width="25.85546875" style="21" customWidth="1"/>
    <col min="13357" max="13357" width="13.42578125" style="21" customWidth="1"/>
    <col min="13358" max="13358" width="26.85546875" style="21" customWidth="1"/>
    <col min="13359" max="13360" width="31.42578125" style="21" customWidth="1"/>
    <col min="13361" max="13361" width="26.42578125" style="21" customWidth="1"/>
    <col min="13362" max="13362" width="40.42578125" style="21" customWidth="1"/>
    <col min="13363" max="13363" width="33.85546875" style="21" customWidth="1"/>
    <col min="13364" max="13364" width="37" style="21" customWidth="1"/>
    <col min="13365" max="13365" width="17.85546875" style="21" customWidth="1"/>
    <col min="13366" max="13366" width="28.5703125" style="21" customWidth="1"/>
    <col min="13367" max="13367" width="24.28515625" style="21" customWidth="1"/>
    <col min="13368" max="13368" width="40.140625" style="21" customWidth="1"/>
    <col min="13369" max="13369" width="18.7109375" style="21" customWidth="1"/>
    <col min="13370" max="13370" width="16.28515625" style="21" customWidth="1"/>
    <col min="13371" max="13371" width="13.42578125" style="21" customWidth="1"/>
    <col min="13372" max="13372" width="15.42578125" style="21" customWidth="1"/>
    <col min="13373" max="13373" width="30.85546875" style="21" customWidth="1"/>
    <col min="13374" max="13374" width="13.42578125" style="21" customWidth="1"/>
    <col min="13375" max="13375" width="25.7109375" style="21" customWidth="1"/>
    <col min="13376" max="13376" width="24.28515625" style="21" customWidth="1"/>
    <col min="13377" max="13377" width="23.85546875" style="21" customWidth="1"/>
    <col min="13378" max="13378" width="27.5703125" style="21" customWidth="1"/>
    <col min="13379" max="13379" width="25.42578125" style="21" customWidth="1"/>
    <col min="13380" max="13382" width="13.42578125" style="21" customWidth="1"/>
    <col min="13383" max="13383" width="16.28515625" style="21" customWidth="1"/>
    <col min="13384" max="13384" width="25.28515625" style="21" customWidth="1"/>
    <col min="13385" max="13386" width="13.42578125" style="21" customWidth="1"/>
    <col min="13387" max="13387" width="24.7109375" style="21" customWidth="1"/>
    <col min="13388" max="13388" width="26.85546875" style="21" customWidth="1"/>
    <col min="13389" max="13389" width="24.42578125" style="21" customWidth="1"/>
    <col min="13390" max="13390" width="23.140625" style="21" customWidth="1"/>
    <col min="13391" max="13391" width="21.140625" style="21" customWidth="1"/>
    <col min="13392" max="13392" width="14.5703125" style="21" customWidth="1"/>
    <col min="13393" max="13393" width="30.28515625" style="21" customWidth="1"/>
    <col min="13394" max="13394" width="13.42578125" style="21" customWidth="1"/>
    <col min="13395" max="13395" width="31.42578125" style="21" customWidth="1"/>
    <col min="13396" max="13396" width="13.42578125" style="21" customWidth="1"/>
    <col min="13397" max="13397" width="44.42578125" style="21" customWidth="1"/>
    <col min="13398" max="13398" width="19.7109375" style="21" customWidth="1"/>
    <col min="13399" max="13399" width="38.85546875" style="21" customWidth="1"/>
    <col min="13400" max="13400" width="31.42578125" style="21" customWidth="1"/>
    <col min="13401" max="13401" width="50.7109375" style="21" customWidth="1"/>
    <col min="13402" max="13402" width="34.85546875" style="21" customWidth="1"/>
    <col min="13403" max="13404" width="13.42578125" style="21" customWidth="1"/>
    <col min="13405" max="13405" width="18.140625" style="21" customWidth="1"/>
    <col min="13406" max="13406" width="23.7109375" style="21" customWidth="1"/>
    <col min="13407" max="13407" width="26.85546875" style="21" customWidth="1"/>
    <col min="13408" max="13408" width="23" style="21" customWidth="1"/>
    <col min="13409" max="13409" width="25.7109375" style="21" customWidth="1"/>
    <col min="13410" max="13410" width="29.28515625" style="21" customWidth="1"/>
    <col min="13411" max="13411" width="29.42578125" style="21" customWidth="1"/>
    <col min="13412" max="13412" width="23.5703125" style="21" customWidth="1"/>
    <col min="13413" max="13413" width="32.85546875" style="21" customWidth="1"/>
    <col min="13414" max="13414" width="30.7109375" style="21" customWidth="1"/>
    <col min="13415" max="13415" width="33.85546875" style="21" customWidth="1"/>
    <col min="13416" max="13416" width="15.85546875" style="21" customWidth="1"/>
    <col min="13417" max="13417" width="17.28515625" style="21" customWidth="1"/>
    <col min="13418" max="13418" width="26.5703125" style="21" customWidth="1"/>
    <col min="13419" max="13419" width="21.5703125" style="21" customWidth="1"/>
    <col min="13420" max="13420" width="42.7109375" style="21" customWidth="1"/>
    <col min="13421" max="13421" width="44.140625" style="21" customWidth="1"/>
    <col min="13422" max="13423" width="31.42578125" style="21" customWidth="1"/>
    <col min="13424" max="13424" width="27.85546875" style="21" customWidth="1"/>
    <col min="13425" max="13425" width="0" style="21" hidden="1" customWidth="1"/>
    <col min="13426" max="13426" width="31.42578125" style="21" customWidth="1"/>
    <col min="13427" max="13568" width="9.140625" style="21"/>
    <col min="13569" max="13569" width="8.7109375" style="21" customWidth="1"/>
    <col min="13570" max="13571" width="31.42578125" style="21" customWidth="1"/>
    <col min="13572" max="13572" width="25.85546875" style="21" customWidth="1"/>
    <col min="13573" max="13573" width="26.85546875" style="21" customWidth="1"/>
    <col min="13574" max="13574" width="27" style="21" customWidth="1"/>
    <col min="13575" max="13575" width="32.28515625" style="21" customWidth="1"/>
    <col min="13576" max="13576" width="13.42578125" style="21" customWidth="1"/>
    <col min="13577" max="13577" width="17.85546875" style="21" customWidth="1"/>
    <col min="13578" max="13578" width="15.85546875" style="21" customWidth="1"/>
    <col min="13579" max="13579" width="26" style="21" customWidth="1"/>
    <col min="13580" max="13580" width="21.7109375" style="21" customWidth="1"/>
    <col min="13581" max="13581" width="16.5703125" style="21" customWidth="1"/>
    <col min="13582" max="13582" width="25.7109375" style="21" customWidth="1"/>
    <col min="13583" max="13583" width="31.42578125" style="21" customWidth="1"/>
    <col min="13584" max="13584" width="18.42578125" style="21" customWidth="1"/>
    <col min="13585" max="13585" width="13.42578125" style="21" customWidth="1"/>
    <col min="13586" max="13586" width="18" style="21" customWidth="1"/>
    <col min="13587" max="13587" width="19.7109375" style="21" customWidth="1"/>
    <col min="13588" max="13589" width="13.42578125" style="21" customWidth="1"/>
    <col min="13590" max="13590" width="18" style="21" customWidth="1"/>
    <col min="13591" max="13591" width="15.42578125" style="21" customWidth="1"/>
    <col min="13592" max="13592" width="13.42578125" style="21" customWidth="1"/>
    <col min="13593" max="13593" width="16.140625" style="21" customWidth="1"/>
    <col min="13594" max="13594" width="18" style="21" customWidth="1"/>
    <col min="13595" max="13596" width="13.42578125" style="21" customWidth="1"/>
    <col min="13597" max="13597" width="18.85546875" style="21" customWidth="1"/>
    <col min="13598" max="13598" width="28.7109375" style="21" customWidth="1"/>
    <col min="13599" max="13599" width="18.85546875" style="21" customWidth="1"/>
    <col min="13600" max="13600" width="16" style="21" customWidth="1"/>
    <col min="13601" max="13601" width="13.42578125" style="21" customWidth="1"/>
    <col min="13602" max="13602" width="26.28515625" style="21" customWidth="1"/>
    <col min="13603" max="13603" width="37.140625" style="21" customWidth="1"/>
    <col min="13604" max="13604" width="13.42578125" style="21" customWidth="1"/>
    <col min="13605" max="13605" width="16.85546875" style="21" customWidth="1"/>
    <col min="13606" max="13606" width="29.140625" style="21" customWidth="1"/>
    <col min="13607" max="13607" width="24.140625" style="21" customWidth="1"/>
    <col min="13608" max="13608" width="15.140625" style="21" customWidth="1"/>
    <col min="13609" max="13609" width="18.7109375" style="21" customWidth="1"/>
    <col min="13610" max="13610" width="19.5703125" style="21" customWidth="1"/>
    <col min="13611" max="13611" width="26.42578125" style="21" customWidth="1"/>
    <col min="13612" max="13612" width="25.85546875" style="21" customWidth="1"/>
    <col min="13613" max="13613" width="13.42578125" style="21" customWidth="1"/>
    <col min="13614" max="13614" width="26.85546875" style="21" customWidth="1"/>
    <col min="13615" max="13616" width="31.42578125" style="21" customWidth="1"/>
    <col min="13617" max="13617" width="26.42578125" style="21" customWidth="1"/>
    <col min="13618" max="13618" width="40.42578125" style="21" customWidth="1"/>
    <col min="13619" max="13619" width="33.85546875" style="21" customWidth="1"/>
    <col min="13620" max="13620" width="37" style="21" customWidth="1"/>
    <col min="13621" max="13621" width="17.85546875" style="21" customWidth="1"/>
    <col min="13622" max="13622" width="28.5703125" style="21" customWidth="1"/>
    <col min="13623" max="13623" width="24.28515625" style="21" customWidth="1"/>
    <col min="13624" max="13624" width="40.140625" style="21" customWidth="1"/>
    <col min="13625" max="13625" width="18.7109375" style="21" customWidth="1"/>
    <col min="13626" max="13626" width="16.28515625" style="21" customWidth="1"/>
    <col min="13627" max="13627" width="13.42578125" style="21" customWidth="1"/>
    <col min="13628" max="13628" width="15.42578125" style="21" customWidth="1"/>
    <col min="13629" max="13629" width="30.85546875" style="21" customWidth="1"/>
    <col min="13630" max="13630" width="13.42578125" style="21" customWidth="1"/>
    <col min="13631" max="13631" width="25.7109375" style="21" customWidth="1"/>
    <col min="13632" max="13632" width="24.28515625" style="21" customWidth="1"/>
    <col min="13633" max="13633" width="23.85546875" style="21" customWidth="1"/>
    <col min="13634" max="13634" width="27.5703125" style="21" customWidth="1"/>
    <col min="13635" max="13635" width="25.42578125" style="21" customWidth="1"/>
    <col min="13636" max="13638" width="13.42578125" style="21" customWidth="1"/>
    <col min="13639" max="13639" width="16.28515625" style="21" customWidth="1"/>
    <col min="13640" max="13640" width="25.28515625" style="21" customWidth="1"/>
    <col min="13641" max="13642" width="13.42578125" style="21" customWidth="1"/>
    <col min="13643" max="13643" width="24.7109375" style="21" customWidth="1"/>
    <col min="13644" max="13644" width="26.85546875" style="21" customWidth="1"/>
    <col min="13645" max="13645" width="24.42578125" style="21" customWidth="1"/>
    <col min="13646" max="13646" width="23.140625" style="21" customWidth="1"/>
    <col min="13647" max="13647" width="21.140625" style="21" customWidth="1"/>
    <col min="13648" max="13648" width="14.5703125" style="21" customWidth="1"/>
    <col min="13649" max="13649" width="30.28515625" style="21" customWidth="1"/>
    <col min="13650" max="13650" width="13.42578125" style="21" customWidth="1"/>
    <col min="13651" max="13651" width="31.42578125" style="21" customWidth="1"/>
    <col min="13652" max="13652" width="13.42578125" style="21" customWidth="1"/>
    <col min="13653" max="13653" width="44.42578125" style="21" customWidth="1"/>
    <col min="13654" max="13654" width="19.7109375" style="21" customWidth="1"/>
    <col min="13655" max="13655" width="38.85546875" style="21" customWidth="1"/>
    <col min="13656" max="13656" width="31.42578125" style="21" customWidth="1"/>
    <col min="13657" max="13657" width="50.7109375" style="21" customWidth="1"/>
    <col min="13658" max="13658" width="34.85546875" style="21" customWidth="1"/>
    <col min="13659" max="13660" width="13.42578125" style="21" customWidth="1"/>
    <col min="13661" max="13661" width="18.140625" style="21" customWidth="1"/>
    <col min="13662" max="13662" width="23.7109375" style="21" customWidth="1"/>
    <col min="13663" max="13663" width="26.85546875" style="21" customWidth="1"/>
    <col min="13664" max="13664" width="23" style="21" customWidth="1"/>
    <col min="13665" max="13665" width="25.7109375" style="21" customWidth="1"/>
    <col min="13666" max="13666" width="29.28515625" style="21" customWidth="1"/>
    <col min="13667" max="13667" width="29.42578125" style="21" customWidth="1"/>
    <col min="13668" max="13668" width="23.5703125" style="21" customWidth="1"/>
    <col min="13669" max="13669" width="32.85546875" style="21" customWidth="1"/>
    <col min="13670" max="13670" width="30.7109375" style="21" customWidth="1"/>
    <col min="13671" max="13671" width="33.85546875" style="21" customWidth="1"/>
    <col min="13672" max="13672" width="15.85546875" style="21" customWidth="1"/>
    <col min="13673" max="13673" width="17.28515625" style="21" customWidth="1"/>
    <col min="13674" max="13674" width="26.5703125" style="21" customWidth="1"/>
    <col min="13675" max="13675" width="21.5703125" style="21" customWidth="1"/>
    <col min="13676" max="13676" width="42.7109375" style="21" customWidth="1"/>
    <col min="13677" max="13677" width="44.140625" style="21" customWidth="1"/>
    <col min="13678" max="13679" width="31.42578125" style="21" customWidth="1"/>
    <col min="13680" max="13680" width="27.85546875" style="21" customWidth="1"/>
    <col min="13681" max="13681" width="0" style="21" hidden="1" customWidth="1"/>
    <col min="13682" max="13682" width="31.42578125" style="21" customWidth="1"/>
    <col min="13683" max="13824" width="9.140625" style="21"/>
    <col min="13825" max="13825" width="8.7109375" style="21" customWidth="1"/>
    <col min="13826" max="13827" width="31.42578125" style="21" customWidth="1"/>
    <col min="13828" max="13828" width="25.85546875" style="21" customWidth="1"/>
    <col min="13829" max="13829" width="26.85546875" style="21" customWidth="1"/>
    <col min="13830" max="13830" width="27" style="21" customWidth="1"/>
    <col min="13831" max="13831" width="32.28515625" style="21" customWidth="1"/>
    <col min="13832" max="13832" width="13.42578125" style="21" customWidth="1"/>
    <col min="13833" max="13833" width="17.85546875" style="21" customWidth="1"/>
    <col min="13834" max="13834" width="15.85546875" style="21" customWidth="1"/>
    <col min="13835" max="13835" width="26" style="21" customWidth="1"/>
    <col min="13836" max="13836" width="21.7109375" style="21" customWidth="1"/>
    <col min="13837" max="13837" width="16.5703125" style="21" customWidth="1"/>
    <col min="13838" max="13838" width="25.7109375" style="21" customWidth="1"/>
    <col min="13839" max="13839" width="31.42578125" style="21" customWidth="1"/>
    <col min="13840" max="13840" width="18.42578125" style="21" customWidth="1"/>
    <col min="13841" max="13841" width="13.42578125" style="21" customWidth="1"/>
    <col min="13842" max="13842" width="18" style="21" customWidth="1"/>
    <col min="13843" max="13843" width="19.7109375" style="21" customWidth="1"/>
    <col min="13844" max="13845" width="13.42578125" style="21" customWidth="1"/>
    <col min="13846" max="13846" width="18" style="21" customWidth="1"/>
    <col min="13847" max="13847" width="15.42578125" style="21" customWidth="1"/>
    <col min="13848" max="13848" width="13.42578125" style="21" customWidth="1"/>
    <col min="13849" max="13849" width="16.140625" style="21" customWidth="1"/>
    <col min="13850" max="13850" width="18" style="21" customWidth="1"/>
    <col min="13851" max="13852" width="13.42578125" style="21" customWidth="1"/>
    <col min="13853" max="13853" width="18.85546875" style="21" customWidth="1"/>
    <col min="13854" max="13854" width="28.7109375" style="21" customWidth="1"/>
    <col min="13855" max="13855" width="18.85546875" style="21" customWidth="1"/>
    <col min="13856" max="13856" width="16" style="21" customWidth="1"/>
    <col min="13857" max="13857" width="13.42578125" style="21" customWidth="1"/>
    <col min="13858" max="13858" width="26.28515625" style="21" customWidth="1"/>
    <col min="13859" max="13859" width="37.140625" style="21" customWidth="1"/>
    <col min="13860" max="13860" width="13.42578125" style="21" customWidth="1"/>
    <col min="13861" max="13861" width="16.85546875" style="21" customWidth="1"/>
    <col min="13862" max="13862" width="29.140625" style="21" customWidth="1"/>
    <col min="13863" max="13863" width="24.140625" style="21" customWidth="1"/>
    <col min="13864" max="13864" width="15.140625" style="21" customWidth="1"/>
    <col min="13865" max="13865" width="18.7109375" style="21" customWidth="1"/>
    <col min="13866" max="13866" width="19.5703125" style="21" customWidth="1"/>
    <col min="13867" max="13867" width="26.42578125" style="21" customWidth="1"/>
    <col min="13868" max="13868" width="25.85546875" style="21" customWidth="1"/>
    <col min="13869" max="13869" width="13.42578125" style="21" customWidth="1"/>
    <col min="13870" max="13870" width="26.85546875" style="21" customWidth="1"/>
    <col min="13871" max="13872" width="31.42578125" style="21" customWidth="1"/>
    <col min="13873" max="13873" width="26.42578125" style="21" customWidth="1"/>
    <col min="13874" max="13874" width="40.42578125" style="21" customWidth="1"/>
    <col min="13875" max="13875" width="33.85546875" style="21" customWidth="1"/>
    <col min="13876" max="13876" width="37" style="21" customWidth="1"/>
    <col min="13877" max="13877" width="17.85546875" style="21" customWidth="1"/>
    <col min="13878" max="13878" width="28.5703125" style="21" customWidth="1"/>
    <col min="13879" max="13879" width="24.28515625" style="21" customWidth="1"/>
    <col min="13880" max="13880" width="40.140625" style="21" customWidth="1"/>
    <col min="13881" max="13881" width="18.7109375" style="21" customWidth="1"/>
    <col min="13882" max="13882" width="16.28515625" style="21" customWidth="1"/>
    <col min="13883" max="13883" width="13.42578125" style="21" customWidth="1"/>
    <col min="13884" max="13884" width="15.42578125" style="21" customWidth="1"/>
    <col min="13885" max="13885" width="30.85546875" style="21" customWidth="1"/>
    <col min="13886" max="13886" width="13.42578125" style="21" customWidth="1"/>
    <col min="13887" max="13887" width="25.7109375" style="21" customWidth="1"/>
    <col min="13888" max="13888" width="24.28515625" style="21" customWidth="1"/>
    <col min="13889" max="13889" width="23.85546875" style="21" customWidth="1"/>
    <col min="13890" max="13890" width="27.5703125" style="21" customWidth="1"/>
    <col min="13891" max="13891" width="25.42578125" style="21" customWidth="1"/>
    <col min="13892" max="13894" width="13.42578125" style="21" customWidth="1"/>
    <col min="13895" max="13895" width="16.28515625" style="21" customWidth="1"/>
    <col min="13896" max="13896" width="25.28515625" style="21" customWidth="1"/>
    <col min="13897" max="13898" width="13.42578125" style="21" customWidth="1"/>
    <col min="13899" max="13899" width="24.7109375" style="21" customWidth="1"/>
    <col min="13900" max="13900" width="26.85546875" style="21" customWidth="1"/>
    <col min="13901" max="13901" width="24.42578125" style="21" customWidth="1"/>
    <col min="13902" max="13902" width="23.140625" style="21" customWidth="1"/>
    <col min="13903" max="13903" width="21.140625" style="21" customWidth="1"/>
    <col min="13904" max="13904" width="14.5703125" style="21" customWidth="1"/>
    <col min="13905" max="13905" width="30.28515625" style="21" customWidth="1"/>
    <col min="13906" max="13906" width="13.42578125" style="21" customWidth="1"/>
    <col min="13907" max="13907" width="31.42578125" style="21" customWidth="1"/>
    <col min="13908" max="13908" width="13.42578125" style="21" customWidth="1"/>
    <col min="13909" max="13909" width="44.42578125" style="21" customWidth="1"/>
    <col min="13910" max="13910" width="19.7109375" style="21" customWidth="1"/>
    <col min="13911" max="13911" width="38.85546875" style="21" customWidth="1"/>
    <col min="13912" max="13912" width="31.42578125" style="21" customWidth="1"/>
    <col min="13913" max="13913" width="50.7109375" style="21" customWidth="1"/>
    <col min="13914" max="13914" width="34.85546875" style="21" customWidth="1"/>
    <col min="13915" max="13916" width="13.42578125" style="21" customWidth="1"/>
    <col min="13917" max="13917" width="18.140625" style="21" customWidth="1"/>
    <col min="13918" max="13918" width="23.7109375" style="21" customWidth="1"/>
    <col min="13919" max="13919" width="26.85546875" style="21" customWidth="1"/>
    <col min="13920" max="13920" width="23" style="21" customWidth="1"/>
    <col min="13921" max="13921" width="25.7109375" style="21" customWidth="1"/>
    <col min="13922" max="13922" width="29.28515625" style="21" customWidth="1"/>
    <col min="13923" max="13923" width="29.42578125" style="21" customWidth="1"/>
    <col min="13924" max="13924" width="23.5703125" style="21" customWidth="1"/>
    <col min="13925" max="13925" width="32.85546875" style="21" customWidth="1"/>
    <col min="13926" max="13926" width="30.7109375" style="21" customWidth="1"/>
    <col min="13927" max="13927" width="33.85546875" style="21" customWidth="1"/>
    <col min="13928" max="13928" width="15.85546875" style="21" customWidth="1"/>
    <col min="13929" max="13929" width="17.28515625" style="21" customWidth="1"/>
    <col min="13930" max="13930" width="26.5703125" style="21" customWidth="1"/>
    <col min="13931" max="13931" width="21.5703125" style="21" customWidth="1"/>
    <col min="13932" max="13932" width="42.7109375" style="21" customWidth="1"/>
    <col min="13933" max="13933" width="44.140625" style="21" customWidth="1"/>
    <col min="13934" max="13935" width="31.42578125" style="21" customWidth="1"/>
    <col min="13936" max="13936" width="27.85546875" style="21" customWidth="1"/>
    <col min="13937" max="13937" width="0" style="21" hidden="1" customWidth="1"/>
    <col min="13938" max="13938" width="31.42578125" style="21" customWidth="1"/>
    <col min="13939" max="14080" width="9.140625" style="21"/>
    <col min="14081" max="14081" width="8.7109375" style="21" customWidth="1"/>
    <col min="14082" max="14083" width="31.42578125" style="21" customWidth="1"/>
    <col min="14084" max="14084" width="25.85546875" style="21" customWidth="1"/>
    <col min="14085" max="14085" width="26.85546875" style="21" customWidth="1"/>
    <col min="14086" max="14086" width="27" style="21" customWidth="1"/>
    <col min="14087" max="14087" width="32.28515625" style="21" customWidth="1"/>
    <col min="14088" max="14088" width="13.42578125" style="21" customWidth="1"/>
    <col min="14089" max="14089" width="17.85546875" style="21" customWidth="1"/>
    <col min="14090" max="14090" width="15.85546875" style="21" customWidth="1"/>
    <col min="14091" max="14091" width="26" style="21" customWidth="1"/>
    <col min="14092" max="14092" width="21.7109375" style="21" customWidth="1"/>
    <col min="14093" max="14093" width="16.5703125" style="21" customWidth="1"/>
    <col min="14094" max="14094" width="25.7109375" style="21" customWidth="1"/>
    <col min="14095" max="14095" width="31.42578125" style="21" customWidth="1"/>
    <col min="14096" max="14096" width="18.42578125" style="21" customWidth="1"/>
    <col min="14097" max="14097" width="13.42578125" style="21" customWidth="1"/>
    <col min="14098" max="14098" width="18" style="21" customWidth="1"/>
    <col min="14099" max="14099" width="19.7109375" style="21" customWidth="1"/>
    <col min="14100" max="14101" width="13.42578125" style="21" customWidth="1"/>
    <col min="14102" max="14102" width="18" style="21" customWidth="1"/>
    <col min="14103" max="14103" width="15.42578125" style="21" customWidth="1"/>
    <col min="14104" max="14104" width="13.42578125" style="21" customWidth="1"/>
    <col min="14105" max="14105" width="16.140625" style="21" customWidth="1"/>
    <col min="14106" max="14106" width="18" style="21" customWidth="1"/>
    <col min="14107" max="14108" width="13.42578125" style="21" customWidth="1"/>
    <col min="14109" max="14109" width="18.85546875" style="21" customWidth="1"/>
    <col min="14110" max="14110" width="28.7109375" style="21" customWidth="1"/>
    <col min="14111" max="14111" width="18.85546875" style="21" customWidth="1"/>
    <col min="14112" max="14112" width="16" style="21" customWidth="1"/>
    <col min="14113" max="14113" width="13.42578125" style="21" customWidth="1"/>
    <col min="14114" max="14114" width="26.28515625" style="21" customWidth="1"/>
    <col min="14115" max="14115" width="37.140625" style="21" customWidth="1"/>
    <col min="14116" max="14116" width="13.42578125" style="21" customWidth="1"/>
    <col min="14117" max="14117" width="16.85546875" style="21" customWidth="1"/>
    <col min="14118" max="14118" width="29.140625" style="21" customWidth="1"/>
    <col min="14119" max="14119" width="24.140625" style="21" customWidth="1"/>
    <col min="14120" max="14120" width="15.140625" style="21" customWidth="1"/>
    <col min="14121" max="14121" width="18.7109375" style="21" customWidth="1"/>
    <col min="14122" max="14122" width="19.5703125" style="21" customWidth="1"/>
    <col min="14123" max="14123" width="26.42578125" style="21" customWidth="1"/>
    <col min="14124" max="14124" width="25.85546875" style="21" customWidth="1"/>
    <col min="14125" max="14125" width="13.42578125" style="21" customWidth="1"/>
    <col min="14126" max="14126" width="26.85546875" style="21" customWidth="1"/>
    <col min="14127" max="14128" width="31.42578125" style="21" customWidth="1"/>
    <col min="14129" max="14129" width="26.42578125" style="21" customWidth="1"/>
    <col min="14130" max="14130" width="40.42578125" style="21" customWidth="1"/>
    <col min="14131" max="14131" width="33.85546875" style="21" customWidth="1"/>
    <col min="14132" max="14132" width="37" style="21" customWidth="1"/>
    <col min="14133" max="14133" width="17.85546875" style="21" customWidth="1"/>
    <col min="14134" max="14134" width="28.5703125" style="21" customWidth="1"/>
    <col min="14135" max="14135" width="24.28515625" style="21" customWidth="1"/>
    <col min="14136" max="14136" width="40.140625" style="21" customWidth="1"/>
    <col min="14137" max="14137" width="18.7109375" style="21" customWidth="1"/>
    <col min="14138" max="14138" width="16.28515625" style="21" customWidth="1"/>
    <col min="14139" max="14139" width="13.42578125" style="21" customWidth="1"/>
    <col min="14140" max="14140" width="15.42578125" style="21" customWidth="1"/>
    <col min="14141" max="14141" width="30.85546875" style="21" customWidth="1"/>
    <col min="14142" max="14142" width="13.42578125" style="21" customWidth="1"/>
    <col min="14143" max="14143" width="25.7109375" style="21" customWidth="1"/>
    <col min="14144" max="14144" width="24.28515625" style="21" customWidth="1"/>
    <col min="14145" max="14145" width="23.85546875" style="21" customWidth="1"/>
    <col min="14146" max="14146" width="27.5703125" style="21" customWidth="1"/>
    <col min="14147" max="14147" width="25.42578125" style="21" customWidth="1"/>
    <col min="14148" max="14150" width="13.42578125" style="21" customWidth="1"/>
    <col min="14151" max="14151" width="16.28515625" style="21" customWidth="1"/>
    <col min="14152" max="14152" width="25.28515625" style="21" customWidth="1"/>
    <col min="14153" max="14154" width="13.42578125" style="21" customWidth="1"/>
    <col min="14155" max="14155" width="24.7109375" style="21" customWidth="1"/>
    <col min="14156" max="14156" width="26.85546875" style="21" customWidth="1"/>
    <col min="14157" max="14157" width="24.42578125" style="21" customWidth="1"/>
    <col min="14158" max="14158" width="23.140625" style="21" customWidth="1"/>
    <col min="14159" max="14159" width="21.140625" style="21" customWidth="1"/>
    <col min="14160" max="14160" width="14.5703125" style="21" customWidth="1"/>
    <col min="14161" max="14161" width="30.28515625" style="21" customWidth="1"/>
    <col min="14162" max="14162" width="13.42578125" style="21" customWidth="1"/>
    <col min="14163" max="14163" width="31.42578125" style="21" customWidth="1"/>
    <col min="14164" max="14164" width="13.42578125" style="21" customWidth="1"/>
    <col min="14165" max="14165" width="44.42578125" style="21" customWidth="1"/>
    <col min="14166" max="14166" width="19.7109375" style="21" customWidth="1"/>
    <col min="14167" max="14167" width="38.85546875" style="21" customWidth="1"/>
    <col min="14168" max="14168" width="31.42578125" style="21" customWidth="1"/>
    <col min="14169" max="14169" width="50.7109375" style="21" customWidth="1"/>
    <col min="14170" max="14170" width="34.85546875" style="21" customWidth="1"/>
    <col min="14171" max="14172" width="13.42578125" style="21" customWidth="1"/>
    <col min="14173" max="14173" width="18.140625" style="21" customWidth="1"/>
    <col min="14174" max="14174" width="23.7109375" style="21" customWidth="1"/>
    <col min="14175" max="14175" width="26.85546875" style="21" customWidth="1"/>
    <col min="14176" max="14176" width="23" style="21" customWidth="1"/>
    <col min="14177" max="14177" width="25.7109375" style="21" customWidth="1"/>
    <col min="14178" max="14178" width="29.28515625" style="21" customWidth="1"/>
    <col min="14179" max="14179" width="29.42578125" style="21" customWidth="1"/>
    <col min="14180" max="14180" width="23.5703125" style="21" customWidth="1"/>
    <col min="14181" max="14181" width="32.85546875" style="21" customWidth="1"/>
    <col min="14182" max="14182" width="30.7109375" style="21" customWidth="1"/>
    <col min="14183" max="14183" width="33.85546875" style="21" customWidth="1"/>
    <col min="14184" max="14184" width="15.85546875" style="21" customWidth="1"/>
    <col min="14185" max="14185" width="17.28515625" style="21" customWidth="1"/>
    <col min="14186" max="14186" width="26.5703125" style="21" customWidth="1"/>
    <col min="14187" max="14187" width="21.5703125" style="21" customWidth="1"/>
    <col min="14188" max="14188" width="42.7109375" style="21" customWidth="1"/>
    <col min="14189" max="14189" width="44.140625" style="21" customWidth="1"/>
    <col min="14190" max="14191" width="31.42578125" style="21" customWidth="1"/>
    <col min="14192" max="14192" width="27.85546875" style="21" customWidth="1"/>
    <col min="14193" max="14193" width="0" style="21" hidden="1" customWidth="1"/>
    <col min="14194" max="14194" width="31.42578125" style="21" customWidth="1"/>
    <col min="14195" max="14336" width="9.140625" style="21"/>
    <col min="14337" max="14337" width="8.7109375" style="21" customWidth="1"/>
    <col min="14338" max="14339" width="31.42578125" style="21" customWidth="1"/>
    <col min="14340" max="14340" width="25.85546875" style="21" customWidth="1"/>
    <col min="14341" max="14341" width="26.85546875" style="21" customWidth="1"/>
    <col min="14342" max="14342" width="27" style="21" customWidth="1"/>
    <col min="14343" max="14343" width="32.28515625" style="21" customWidth="1"/>
    <col min="14344" max="14344" width="13.42578125" style="21" customWidth="1"/>
    <col min="14345" max="14345" width="17.85546875" style="21" customWidth="1"/>
    <col min="14346" max="14346" width="15.85546875" style="21" customWidth="1"/>
    <col min="14347" max="14347" width="26" style="21" customWidth="1"/>
    <col min="14348" max="14348" width="21.7109375" style="21" customWidth="1"/>
    <col min="14349" max="14349" width="16.5703125" style="21" customWidth="1"/>
    <col min="14350" max="14350" width="25.7109375" style="21" customWidth="1"/>
    <col min="14351" max="14351" width="31.42578125" style="21" customWidth="1"/>
    <col min="14352" max="14352" width="18.42578125" style="21" customWidth="1"/>
    <col min="14353" max="14353" width="13.42578125" style="21" customWidth="1"/>
    <col min="14354" max="14354" width="18" style="21" customWidth="1"/>
    <col min="14355" max="14355" width="19.7109375" style="21" customWidth="1"/>
    <col min="14356" max="14357" width="13.42578125" style="21" customWidth="1"/>
    <col min="14358" max="14358" width="18" style="21" customWidth="1"/>
    <col min="14359" max="14359" width="15.42578125" style="21" customWidth="1"/>
    <col min="14360" max="14360" width="13.42578125" style="21" customWidth="1"/>
    <col min="14361" max="14361" width="16.140625" style="21" customWidth="1"/>
    <col min="14362" max="14362" width="18" style="21" customWidth="1"/>
    <col min="14363" max="14364" width="13.42578125" style="21" customWidth="1"/>
    <col min="14365" max="14365" width="18.85546875" style="21" customWidth="1"/>
    <col min="14366" max="14366" width="28.7109375" style="21" customWidth="1"/>
    <col min="14367" max="14367" width="18.85546875" style="21" customWidth="1"/>
    <col min="14368" max="14368" width="16" style="21" customWidth="1"/>
    <col min="14369" max="14369" width="13.42578125" style="21" customWidth="1"/>
    <col min="14370" max="14370" width="26.28515625" style="21" customWidth="1"/>
    <col min="14371" max="14371" width="37.140625" style="21" customWidth="1"/>
    <col min="14372" max="14372" width="13.42578125" style="21" customWidth="1"/>
    <col min="14373" max="14373" width="16.85546875" style="21" customWidth="1"/>
    <col min="14374" max="14374" width="29.140625" style="21" customWidth="1"/>
    <col min="14375" max="14375" width="24.140625" style="21" customWidth="1"/>
    <col min="14376" max="14376" width="15.140625" style="21" customWidth="1"/>
    <col min="14377" max="14377" width="18.7109375" style="21" customWidth="1"/>
    <col min="14378" max="14378" width="19.5703125" style="21" customWidth="1"/>
    <col min="14379" max="14379" width="26.42578125" style="21" customWidth="1"/>
    <col min="14380" max="14380" width="25.85546875" style="21" customWidth="1"/>
    <col min="14381" max="14381" width="13.42578125" style="21" customWidth="1"/>
    <col min="14382" max="14382" width="26.85546875" style="21" customWidth="1"/>
    <col min="14383" max="14384" width="31.42578125" style="21" customWidth="1"/>
    <col min="14385" max="14385" width="26.42578125" style="21" customWidth="1"/>
    <col min="14386" max="14386" width="40.42578125" style="21" customWidth="1"/>
    <col min="14387" max="14387" width="33.85546875" style="21" customWidth="1"/>
    <col min="14388" max="14388" width="37" style="21" customWidth="1"/>
    <col min="14389" max="14389" width="17.85546875" style="21" customWidth="1"/>
    <col min="14390" max="14390" width="28.5703125" style="21" customWidth="1"/>
    <col min="14391" max="14391" width="24.28515625" style="21" customWidth="1"/>
    <col min="14392" max="14392" width="40.140625" style="21" customWidth="1"/>
    <col min="14393" max="14393" width="18.7109375" style="21" customWidth="1"/>
    <col min="14394" max="14394" width="16.28515625" style="21" customWidth="1"/>
    <col min="14395" max="14395" width="13.42578125" style="21" customWidth="1"/>
    <col min="14396" max="14396" width="15.42578125" style="21" customWidth="1"/>
    <col min="14397" max="14397" width="30.85546875" style="21" customWidth="1"/>
    <col min="14398" max="14398" width="13.42578125" style="21" customWidth="1"/>
    <col min="14399" max="14399" width="25.7109375" style="21" customWidth="1"/>
    <col min="14400" max="14400" width="24.28515625" style="21" customWidth="1"/>
    <col min="14401" max="14401" width="23.85546875" style="21" customWidth="1"/>
    <col min="14402" max="14402" width="27.5703125" style="21" customWidth="1"/>
    <col min="14403" max="14403" width="25.42578125" style="21" customWidth="1"/>
    <col min="14404" max="14406" width="13.42578125" style="21" customWidth="1"/>
    <col min="14407" max="14407" width="16.28515625" style="21" customWidth="1"/>
    <col min="14408" max="14408" width="25.28515625" style="21" customWidth="1"/>
    <col min="14409" max="14410" width="13.42578125" style="21" customWidth="1"/>
    <col min="14411" max="14411" width="24.7109375" style="21" customWidth="1"/>
    <col min="14412" max="14412" width="26.85546875" style="21" customWidth="1"/>
    <col min="14413" max="14413" width="24.42578125" style="21" customWidth="1"/>
    <col min="14414" max="14414" width="23.140625" style="21" customWidth="1"/>
    <col min="14415" max="14415" width="21.140625" style="21" customWidth="1"/>
    <col min="14416" max="14416" width="14.5703125" style="21" customWidth="1"/>
    <col min="14417" max="14417" width="30.28515625" style="21" customWidth="1"/>
    <col min="14418" max="14418" width="13.42578125" style="21" customWidth="1"/>
    <col min="14419" max="14419" width="31.42578125" style="21" customWidth="1"/>
    <col min="14420" max="14420" width="13.42578125" style="21" customWidth="1"/>
    <col min="14421" max="14421" width="44.42578125" style="21" customWidth="1"/>
    <col min="14422" max="14422" width="19.7109375" style="21" customWidth="1"/>
    <col min="14423" max="14423" width="38.85546875" style="21" customWidth="1"/>
    <col min="14424" max="14424" width="31.42578125" style="21" customWidth="1"/>
    <col min="14425" max="14425" width="50.7109375" style="21" customWidth="1"/>
    <col min="14426" max="14426" width="34.85546875" style="21" customWidth="1"/>
    <col min="14427" max="14428" width="13.42578125" style="21" customWidth="1"/>
    <col min="14429" max="14429" width="18.140625" style="21" customWidth="1"/>
    <col min="14430" max="14430" width="23.7109375" style="21" customWidth="1"/>
    <col min="14431" max="14431" width="26.85546875" style="21" customWidth="1"/>
    <col min="14432" max="14432" width="23" style="21" customWidth="1"/>
    <col min="14433" max="14433" width="25.7109375" style="21" customWidth="1"/>
    <col min="14434" max="14434" width="29.28515625" style="21" customWidth="1"/>
    <col min="14435" max="14435" width="29.42578125" style="21" customWidth="1"/>
    <col min="14436" max="14436" width="23.5703125" style="21" customWidth="1"/>
    <col min="14437" max="14437" width="32.85546875" style="21" customWidth="1"/>
    <col min="14438" max="14438" width="30.7109375" style="21" customWidth="1"/>
    <col min="14439" max="14439" width="33.85546875" style="21" customWidth="1"/>
    <col min="14440" max="14440" width="15.85546875" style="21" customWidth="1"/>
    <col min="14441" max="14441" width="17.28515625" style="21" customWidth="1"/>
    <col min="14442" max="14442" width="26.5703125" style="21" customWidth="1"/>
    <col min="14443" max="14443" width="21.5703125" style="21" customWidth="1"/>
    <col min="14444" max="14444" width="42.7109375" style="21" customWidth="1"/>
    <col min="14445" max="14445" width="44.140625" style="21" customWidth="1"/>
    <col min="14446" max="14447" width="31.42578125" style="21" customWidth="1"/>
    <col min="14448" max="14448" width="27.85546875" style="21" customWidth="1"/>
    <col min="14449" max="14449" width="0" style="21" hidden="1" customWidth="1"/>
    <col min="14450" max="14450" width="31.42578125" style="21" customWidth="1"/>
    <col min="14451" max="14592" width="9.140625" style="21"/>
    <col min="14593" max="14593" width="8.7109375" style="21" customWidth="1"/>
    <col min="14594" max="14595" width="31.42578125" style="21" customWidth="1"/>
    <col min="14596" max="14596" width="25.85546875" style="21" customWidth="1"/>
    <col min="14597" max="14597" width="26.85546875" style="21" customWidth="1"/>
    <col min="14598" max="14598" width="27" style="21" customWidth="1"/>
    <col min="14599" max="14599" width="32.28515625" style="21" customWidth="1"/>
    <col min="14600" max="14600" width="13.42578125" style="21" customWidth="1"/>
    <col min="14601" max="14601" width="17.85546875" style="21" customWidth="1"/>
    <col min="14602" max="14602" width="15.85546875" style="21" customWidth="1"/>
    <col min="14603" max="14603" width="26" style="21" customWidth="1"/>
    <col min="14604" max="14604" width="21.7109375" style="21" customWidth="1"/>
    <col min="14605" max="14605" width="16.5703125" style="21" customWidth="1"/>
    <col min="14606" max="14606" width="25.7109375" style="21" customWidth="1"/>
    <col min="14607" max="14607" width="31.42578125" style="21" customWidth="1"/>
    <col min="14608" max="14608" width="18.42578125" style="21" customWidth="1"/>
    <col min="14609" max="14609" width="13.42578125" style="21" customWidth="1"/>
    <col min="14610" max="14610" width="18" style="21" customWidth="1"/>
    <col min="14611" max="14611" width="19.7109375" style="21" customWidth="1"/>
    <col min="14612" max="14613" width="13.42578125" style="21" customWidth="1"/>
    <col min="14614" max="14614" width="18" style="21" customWidth="1"/>
    <col min="14615" max="14615" width="15.42578125" style="21" customWidth="1"/>
    <col min="14616" max="14616" width="13.42578125" style="21" customWidth="1"/>
    <col min="14617" max="14617" width="16.140625" style="21" customWidth="1"/>
    <col min="14618" max="14618" width="18" style="21" customWidth="1"/>
    <col min="14619" max="14620" width="13.42578125" style="21" customWidth="1"/>
    <col min="14621" max="14621" width="18.85546875" style="21" customWidth="1"/>
    <col min="14622" max="14622" width="28.7109375" style="21" customWidth="1"/>
    <col min="14623" max="14623" width="18.85546875" style="21" customWidth="1"/>
    <col min="14624" max="14624" width="16" style="21" customWidth="1"/>
    <col min="14625" max="14625" width="13.42578125" style="21" customWidth="1"/>
    <col min="14626" max="14626" width="26.28515625" style="21" customWidth="1"/>
    <col min="14627" max="14627" width="37.140625" style="21" customWidth="1"/>
    <col min="14628" max="14628" width="13.42578125" style="21" customWidth="1"/>
    <col min="14629" max="14629" width="16.85546875" style="21" customWidth="1"/>
    <col min="14630" max="14630" width="29.140625" style="21" customWidth="1"/>
    <col min="14631" max="14631" width="24.140625" style="21" customWidth="1"/>
    <col min="14632" max="14632" width="15.140625" style="21" customWidth="1"/>
    <col min="14633" max="14633" width="18.7109375" style="21" customWidth="1"/>
    <col min="14634" max="14634" width="19.5703125" style="21" customWidth="1"/>
    <col min="14635" max="14635" width="26.42578125" style="21" customWidth="1"/>
    <col min="14636" max="14636" width="25.85546875" style="21" customWidth="1"/>
    <col min="14637" max="14637" width="13.42578125" style="21" customWidth="1"/>
    <col min="14638" max="14638" width="26.85546875" style="21" customWidth="1"/>
    <col min="14639" max="14640" width="31.42578125" style="21" customWidth="1"/>
    <col min="14641" max="14641" width="26.42578125" style="21" customWidth="1"/>
    <col min="14642" max="14642" width="40.42578125" style="21" customWidth="1"/>
    <col min="14643" max="14643" width="33.85546875" style="21" customWidth="1"/>
    <col min="14644" max="14644" width="37" style="21" customWidth="1"/>
    <col min="14645" max="14645" width="17.85546875" style="21" customWidth="1"/>
    <col min="14646" max="14646" width="28.5703125" style="21" customWidth="1"/>
    <col min="14647" max="14647" width="24.28515625" style="21" customWidth="1"/>
    <col min="14648" max="14648" width="40.140625" style="21" customWidth="1"/>
    <col min="14649" max="14649" width="18.7109375" style="21" customWidth="1"/>
    <col min="14650" max="14650" width="16.28515625" style="21" customWidth="1"/>
    <col min="14651" max="14651" width="13.42578125" style="21" customWidth="1"/>
    <col min="14652" max="14652" width="15.42578125" style="21" customWidth="1"/>
    <col min="14653" max="14653" width="30.85546875" style="21" customWidth="1"/>
    <col min="14654" max="14654" width="13.42578125" style="21" customWidth="1"/>
    <col min="14655" max="14655" width="25.7109375" style="21" customWidth="1"/>
    <col min="14656" max="14656" width="24.28515625" style="21" customWidth="1"/>
    <col min="14657" max="14657" width="23.85546875" style="21" customWidth="1"/>
    <col min="14658" max="14658" width="27.5703125" style="21" customWidth="1"/>
    <col min="14659" max="14659" width="25.42578125" style="21" customWidth="1"/>
    <col min="14660" max="14662" width="13.42578125" style="21" customWidth="1"/>
    <col min="14663" max="14663" width="16.28515625" style="21" customWidth="1"/>
    <col min="14664" max="14664" width="25.28515625" style="21" customWidth="1"/>
    <col min="14665" max="14666" width="13.42578125" style="21" customWidth="1"/>
    <col min="14667" max="14667" width="24.7109375" style="21" customWidth="1"/>
    <col min="14668" max="14668" width="26.85546875" style="21" customWidth="1"/>
    <col min="14669" max="14669" width="24.42578125" style="21" customWidth="1"/>
    <col min="14670" max="14670" width="23.140625" style="21" customWidth="1"/>
    <col min="14671" max="14671" width="21.140625" style="21" customWidth="1"/>
    <col min="14672" max="14672" width="14.5703125" style="21" customWidth="1"/>
    <col min="14673" max="14673" width="30.28515625" style="21" customWidth="1"/>
    <col min="14674" max="14674" width="13.42578125" style="21" customWidth="1"/>
    <col min="14675" max="14675" width="31.42578125" style="21" customWidth="1"/>
    <col min="14676" max="14676" width="13.42578125" style="21" customWidth="1"/>
    <col min="14677" max="14677" width="44.42578125" style="21" customWidth="1"/>
    <col min="14678" max="14678" width="19.7109375" style="21" customWidth="1"/>
    <col min="14679" max="14679" width="38.85546875" style="21" customWidth="1"/>
    <col min="14680" max="14680" width="31.42578125" style="21" customWidth="1"/>
    <col min="14681" max="14681" width="50.7109375" style="21" customWidth="1"/>
    <col min="14682" max="14682" width="34.85546875" style="21" customWidth="1"/>
    <col min="14683" max="14684" width="13.42578125" style="21" customWidth="1"/>
    <col min="14685" max="14685" width="18.140625" style="21" customWidth="1"/>
    <col min="14686" max="14686" width="23.7109375" style="21" customWidth="1"/>
    <col min="14687" max="14687" width="26.85546875" style="21" customWidth="1"/>
    <col min="14688" max="14688" width="23" style="21" customWidth="1"/>
    <col min="14689" max="14689" width="25.7109375" style="21" customWidth="1"/>
    <col min="14690" max="14690" width="29.28515625" style="21" customWidth="1"/>
    <col min="14691" max="14691" width="29.42578125" style="21" customWidth="1"/>
    <col min="14692" max="14692" width="23.5703125" style="21" customWidth="1"/>
    <col min="14693" max="14693" width="32.85546875" style="21" customWidth="1"/>
    <col min="14694" max="14694" width="30.7109375" style="21" customWidth="1"/>
    <col min="14695" max="14695" width="33.85546875" style="21" customWidth="1"/>
    <col min="14696" max="14696" width="15.85546875" style="21" customWidth="1"/>
    <col min="14697" max="14697" width="17.28515625" style="21" customWidth="1"/>
    <col min="14698" max="14698" width="26.5703125" style="21" customWidth="1"/>
    <col min="14699" max="14699" width="21.5703125" style="21" customWidth="1"/>
    <col min="14700" max="14700" width="42.7109375" style="21" customWidth="1"/>
    <col min="14701" max="14701" width="44.140625" style="21" customWidth="1"/>
    <col min="14702" max="14703" width="31.42578125" style="21" customWidth="1"/>
    <col min="14704" max="14704" width="27.85546875" style="21" customWidth="1"/>
    <col min="14705" max="14705" width="0" style="21" hidden="1" customWidth="1"/>
    <col min="14706" max="14706" width="31.42578125" style="21" customWidth="1"/>
    <col min="14707" max="14848" width="9.140625" style="21"/>
    <col min="14849" max="14849" width="8.7109375" style="21" customWidth="1"/>
    <col min="14850" max="14851" width="31.42578125" style="21" customWidth="1"/>
    <col min="14852" max="14852" width="25.85546875" style="21" customWidth="1"/>
    <col min="14853" max="14853" width="26.85546875" style="21" customWidth="1"/>
    <col min="14854" max="14854" width="27" style="21" customWidth="1"/>
    <col min="14855" max="14855" width="32.28515625" style="21" customWidth="1"/>
    <col min="14856" max="14856" width="13.42578125" style="21" customWidth="1"/>
    <col min="14857" max="14857" width="17.85546875" style="21" customWidth="1"/>
    <col min="14858" max="14858" width="15.85546875" style="21" customWidth="1"/>
    <col min="14859" max="14859" width="26" style="21" customWidth="1"/>
    <col min="14860" max="14860" width="21.7109375" style="21" customWidth="1"/>
    <col min="14861" max="14861" width="16.5703125" style="21" customWidth="1"/>
    <col min="14862" max="14862" width="25.7109375" style="21" customWidth="1"/>
    <col min="14863" max="14863" width="31.42578125" style="21" customWidth="1"/>
    <col min="14864" max="14864" width="18.42578125" style="21" customWidth="1"/>
    <col min="14865" max="14865" width="13.42578125" style="21" customWidth="1"/>
    <col min="14866" max="14866" width="18" style="21" customWidth="1"/>
    <col min="14867" max="14867" width="19.7109375" style="21" customWidth="1"/>
    <col min="14868" max="14869" width="13.42578125" style="21" customWidth="1"/>
    <col min="14870" max="14870" width="18" style="21" customWidth="1"/>
    <col min="14871" max="14871" width="15.42578125" style="21" customWidth="1"/>
    <col min="14872" max="14872" width="13.42578125" style="21" customWidth="1"/>
    <col min="14873" max="14873" width="16.140625" style="21" customWidth="1"/>
    <col min="14874" max="14874" width="18" style="21" customWidth="1"/>
    <col min="14875" max="14876" width="13.42578125" style="21" customWidth="1"/>
    <col min="14877" max="14877" width="18.85546875" style="21" customWidth="1"/>
    <col min="14878" max="14878" width="28.7109375" style="21" customWidth="1"/>
    <col min="14879" max="14879" width="18.85546875" style="21" customWidth="1"/>
    <col min="14880" max="14880" width="16" style="21" customWidth="1"/>
    <col min="14881" max="14881" width="13.42578125" style="21" customWidth="1"/>
    <col min="14882" max="14882" width="26.28515625" style="21" customWidth="1"/>
    <col min="14883" max="14883" width="37.140625" style="21" customWidth="1"/>
    <col min="14884" max="14884" width="13.42578125" style="21" customWidth="1"/>
    <col min="14885" max="14885" width="16.85546875" style="21" customWidth="1"/>
    <col min="14886" max="14886" width="29.140625" style="21" customWidth="1"/>
    <col min="14887" max="14887" width="24.140625" style="21" customWidth="1"/>
    <col min="14888" max="14888" width="15.140625" style="21" customWidth="1"/>
    <col min="14889" max="14889" width="18.7109375" style="21" customWidth="1"/>
    <col min="14890" max="14890" width="19.5703125" style="21" customWidth="1"/>
    <col min="14891" max="14891" width="26.42578125" style="21" customWidth="1"/>
    <col min="14892" max="14892" width="25.85546875" style="21" customWidth="1"/>
    <col min="14893" max="14893" width="13.42578125" style="21" customWidth="1"/>
    <col min="14894" max="14894" width="26.85546875" style="21" customWidth="1"/>
    <col min="14895" max="14896" width="31.42578125" style="21" customWidth="1"/>
    <col min="14897" max="14897" width="26.42578125" style="21" customWidth="1"/>
    <col min="14898" max="14898" width="40.42578125" style="21" customWidth="1"/>
    <col min="14899" max="14899" width="33.85546875" style="21" customWidth="1"/>
    <col min="14900" max="14900" width="37" style="21" customWidth="1"/>
    <col min="14901" max="14901" width="17.85546875" style="21" customWidth="1"/>
    <col min="14902" max="14902" width="28.5703125" style="21" customWidth="1"/>
    <col min="14903" max="14903" width="24.28515625" style="21" customWidth="1"/>
    <col min="14904" max="14904" width="40.140625" style="21" customWidth="1"/>
    <col min="14905" max="14905" width="18.7109375" style="21" customWidth="1"/>
    <col min="14906" max="14906" width="16.28515625" style="21" customWidth="1"/>
    <col min="14907" max="14907" width="13.42578125" style="21" customWidth="1"/>
    <col min="14908" max="14908" width="15.42578125" style="21" customWidth="1"/>
    <col min="14909" max="14909" width="30.85546875" style="21" customWidth="1"/>
    <col min="14910" max="14910" width="13.42578125" style="21" customWidth="1"/>
    <col min="14911" max="14911" width="25.7109375" style="21" customWidth="1"/>
    <col min="14912" max="14912" width="24.28515625" style="21" customWidth="1"/>
    <col min="14913" max="14913" width="23.85546875" style="21" customWidth="1"/>
    <col min="14914" max="14914" width="27.5703125" style="21" customWidth="1"/>
    <col min="14915" max="14915" width="25.42578125" style="21" customWidth="1"/>
    <col min="14916" max="14918" width="13.42578125" style="21" customWidth="1"/>
    <col min="14919" max="14919" width="16.28515625" style="21" customWidth="1"/>
    <col min="14920" max="14920" width="25.28515625" style="21" customWidth="1"/>
    <col min="14921" max="14922" width="13.42578125" style="21" customWidth="1"/>
    <col min="14923" max="14923" width="24.7109375" style="21" customWidth="1"/>
    <col min="14924" max="14924" width="26.85546875" style="21" customWidth="1"/>
    <col min="14925" max="14925" width="24.42578125" style="21" customWidth="1"/>
    <col min="14926" max="14926" width="23.140625" style="21" customWidth="1"/>
    <col min="14927" max="14927" width="21.140625" style="21" customWidth="1"/>
    <col min="14928" max="14928" width="14.5703125" style="21" customWidth="1"/>
    <col min="14929" max="14929" width="30.28515625" style="21" customWidth="1"/>
    <col min="14930" max="14930" width="13.42578125" style="21" customWidth="1"/>
    <col min="14931" max="14931" width="31.42578125" style="21" customWidth="1"/>
    <col min="14932" max="14932" width="13.42578125" style="21" customWidth="1"/>
    <col min="14933" max="14933" width="44.42578125" style="21" customWidth="1"/>
    <col min="14934" max="14934" width="19.7109375" style="21" customWidth="1"/>
    <col min="14935" max="14935" width="38.85546875" style="21" customWidth="1"/>
    <col min="14936" max="14936" width="31.42578125" style="21" customWidth="1"/>
    <col min="14937" max="14937" width="50.7109375" style="21" customWidth="1"/>
    <col min="14938" max="14938" width="34.85546875" style="21" customWidth="1"/>
    <col min="14939" max="14940" width="13.42578125" style="21" customWidth="1"/>
    <col min="14941" max="14941" width="18.140625" style="21" customWidth="1"/>
    <col min="14942" max="14942" width="23.7109375" style="21" customWidth="1"/>
    <col min="14943" max="14943" width="26.85546875" style="21" customWidth="1"/>
    <col min="14944" max="14944" width="23" style="21" customWidth="1"/>
    <col min="14945" max="14945" width="25.7109375" style="21" customWidth="1"/>
    <col min="14946" max="14946" width="29.28515625" style="21" customWidth="1"/>
    <col min="14947" max="14947" width="29.42578125" style="21" customWidth="1"/>
    <col min="14948" max="14948" width="23.5703125" style="21" customWidth="1"/>
    <col min="14949" max="14949" width="32.85546875" style="21" customWidth="1"/>
    <col min="14950" max="14950" width="30.7109375" style="21" customWidth="1"/>
    <col min="14951" max="14951" width="33.85546875" style="21" customWidth="1"/>
    <col min="14952" max="14952" width="15.85546875" style="21" customWidth="1"/>
    <col min="14953" max="14953" width="17.28515625" style="21" customWidth="1"/>
    <col min="14954" max="14954" width="26.5703125" style="21" customWidth="1"/>
    <col min="14955" max="14955" width="21.5703125" style="21" customWidth="1"/>
    <col min="14956" max="14956" width="42.7109375" style="21" customWidth="1"/>
    <col min="14957" max="14957" width="44.140625" style="21" customWidth="1"/>
    <col min="14958" max="14959" width="31.42578125" style="21" customWidth="1"/>
    <col min="14960" max="14960" width="27.85546875" style="21" customWidth="1"/>
    <col min="14961" max="14961" width="0" style="21" hidden="1" customWidth="1"/>
    <col min="14962" max="14962" width="31.42578125" style="21" customWidth="1"/>
    <col min="14963" max="15104" width="9.140625" style="21"/>
    <col min="15105" max="15105" width="8.7109375" style="21" customWidth="1"/>
    <col min="15106" max="15107" width="31.42578125" style="21" customWidth="1"/>
    <col min="15108" max="15108" width="25.85546875" style="21" customWidth="1"/>
    <col min="15109" max="15109" width="26.85546875" style="21" customWidth="1"/>
    <col min="15110" max="15110" width="27" style="21" customWidth="1"/>
    <col min="15111" max="15111" width="32.28515625" style="21" customWidth="1"/>
    <col min="15112" max="15112" width="13.42578125" style="21" customWidth="1"/>
    <col min="15113" max="15113" width="17.85546875" style="21" customWidth="1"/>
    <col min="15114" max="15114" width="15.85546875" style="21" customWidth="1"/>
    <col min="15115" max="15115" width="26" style="21" customWidth="1"/>
    <col min="15116" max="15116" width="21.7109375" style="21" customWidth="1"/>
    <col min="15117" max="15117" width="16.5703125" style="21" customWidth="1"/>
    <col min="15118" max="15118" width="25.7109375" style="21" customWidth="1"/>
    <col min="15119" max="15119" width="31.42578125" style="21" customWidth="1"/>
    <col min="15120" max="15120" width="18.42578125" style="21" customWidth="1"/>
    <col min="15121" max="15121" width="13.42578125" style="21" customWidth="1"/>
    <col min="15122" max="15122" width="18" style="21" customWidth="1"/>
    <col min="15123" max="15123" width="19.7109375" style="21" customWidth="1"/>
    <col min="15124" max="15125" width="13.42578125" style="21" customWidth="1"/>
    <col min="15126" max="15126" width="18" style="21" customWidth="1"/>
    <col min="15127" max="15127" width="15.42578125" style="21" customWidth="1"/>
    <col min="15128" max="15128" width="13.42578125" style="21" customWidth="1"/>
    <col min="15129" max="15129" width="16.140625" style="21" customWidth="1"/>
    <col min="15130" max="15130" width="18" style="21" customWidth="1"/>
    <col min="15131" max="15132" width="13.42578125" style="21" customWidth="1"/>
    <col min="15133" max="15133" width="18.85546875" style="21" customWidth="1"/>
    <col min="15134" max="15134" width="28.7109375" style="21" customWidth="1"/>
    <col min="15135" max="15135" width="18.85546875" style="21" customWidth="1"/>
    <col min="15136" max="15136" width="16" style="21" customWidth="1"/>
    <col min="15137" max="15137" width="13.42578125" style="21" customWidth="1"/>
    <col min="15138" max="15138" width="26.28515625" style="21" customWidth="1"/>
    <col min="15139" max="15139" width="37.140625" style="21" customWidth="1"/>
    <col min="15140" max="15140" width="13.42578125" style="21" customWidth="1"/>
    <col min="15141" max="15141" width="16.85546875" style="21" customWidth="1"/>
    <col min="15142" max="15142" width="29.140625" style="21" customWidth="1"/>
    <col min="15143" max="15143" width="24.140625" style="21" customWidth="1"/>
    <col min="15144" max="15144" width="15.140625" style="21" customWidth="1"/>
    <col min="15145" max="15145" width="18.7109375" style="21" customWidth="1"/>
    <col min="15146" max="15146" width="19.5703125" style="21" customWidth="1"/>
    <col min="15147" max="15147" width="26.42578125" style="21" customWidth="1"/>
    <col min="15148" max="15148" width="25.85546875" style="21" customWidth="1"/>
    <col min="15149" max="15149" width="13.42578125" style="21" customWidth="1"/>
    <col min="15150" max="15150" width="26.85546875" style="21" customWidth="1"/>
    <col min="15151" max="15152" width="31.42578125" style="21" customWidth="1"/>
    <col min="15153" max="15153" width="26.42578125" style="21" customWidth="1"/>
    <col min="15154" max="15154" width="40.42578125" style="21" customWidth="1"/>
    <col min="15155" max="15155" width="33.85546875" style="21" customWidth="1"/>
    <col min="15156" max="15156" width="37" style="21" customWidth="1"/>
    <col min="15157" max="15157" width="17.85546875" style="21" customWidth="1"/>
    <col min="15158" max="15158" width="28.5703125" style="21" customWidth="1"/>
    <col min="15159" max="15159" width="24.28515625" style="21" customWidth="1"/>
    <col min="15160" max="15160" width="40.140625" style="21" customWidth="1"/>
    <col min="15161" max="15161" width="18.7109375" style="21" customWidth="1"/>
    <col min="15162" max="15162" width="16.28515625" style="21" customWidth="1"/>
    <col min="15163" max="15163" width="13.42578125" style="21" customWidth="1"/>
    <col min="15164" max="15164" width="15.42578125" style="21" customWidth="1"/>
    <col min="15165" max="15165" width="30.85546875" style="21" customWidth="1"/>
    <col min="15166" max="15166" width="13.42578125" style="21" customWidth="1"/>
    <col min="15167" max="15167" width="25.7109375" style="21" customWidth="1"/>
    <col min="15168" max="15168" width="24.28515625" style="21" customWidth="1"/>
    <col min="15169" max="15169" width="23.85546875" style="21" customWidth="1"/>
    <col min="15170" max="15170" width="27.5703125" style="21" customWidth="1"/>
    <col min="15171" max="15171" width="25.42578125" style="21" customWidth="1"/>
    <col min="15172" max="15174" width="13.42578125" style="21" customWidth="1"/>
    <col min="15175" max="15175" width="16.28515625" style="21" customWidth="1"/>
    <col min="15176" max="15176" width="25.28515625" style="21" customWidth="1"/>
    <col min="15177" max="15178" width="13.42578125" style="21" customWidth="1"/>
    <col min="15179" max="15179" width="24.7109375" style="21" customWidth="1"/>
    <col min="15180" max="15180" width="26.85546875" style="21" customWidth="1"/>
    <col min="15181" max="15181" width="24.42578125" style="21" customWidth="1"/>
    <col min="15182" max="15182" width="23.140625" style="21" customWidth="1"/>
    <col min="15183" max="15183" width="21.140625" style="21" customWidth="1"/>
    <col min="15184" max="15184" width="14.5703125" style="21" customWidth="1"/>
    <col min="15185" max="15185" width="30.28515625" style="21" customWidth="1"/>
    <col min="15186" max="15186" width="13.42578125" style="21" customWidth="1"/>
    <col min="15187" max="15187" width="31.42578125" style="21" customWidth="1"/>
    <col min="15188" max="15188" width="13.42578125" style="21" customWidth="1"/>
    <col min="15189" max="15189" width="44.42578125" style="21" customWidth="1"/>
    <col min="15190" max="15190" width="19.7109375" style="21" customWidth="1"/>
    <col min="15191" max="15191" width="38.85546875" style="21" customWidth="1"/>
    <col min="15192" max="15192" width="31.42578125" style="21" customWidth="1"/>
    <col min="15193" max="15193" width="50.7109375" style="21" customWidth="1"/>
    <col min="15194" max="15194" width="34.85546875" style="21" customWidth="1"/>
    <col min="15195" max="15196" width="13.42578125" style="21" customWidth="1"/>
    <col min="15197" max="15197" width="18.140625" style="21" customWidth="1"/>
    <col min="15198" max="15198" width="23.7109375" style="21" customWidth="1"/>
    <col min="15199" max="15199" width="26.85546875" style="21" customWidth="1"/>
    <col min="15200" max="15200" width="23" style="21" customWidth="1"/>
    <col min="15201" max="15201" width="25.7109375" style="21" customWidth="1"/>
    <col min="15202" max="15202" width="29.28515625" style="21" customWidth="1"/>
    <col min="15203" max="15203" width="29.42578125" style="21" customWidth="1"/>
    <col min="15204" max="15204" width="23.5703125" style="21" customWidth="1"/>
    <col min="15205" max="15205" width="32.85546875" style="21" customWidth="1"/>
    <col min="15206" max="15206" width="30.7109375" style="21" customWidth="1"/>
    <col min="15207" max="15207" width="33.85546875" style="21" customWidth="1"/>
    <col min="15208" max="15208" width="15.85546875" style="21" customWidth="1"/>
    <col min="15209" max="15209" width="17.28515625" style="21" customWidth="1"/>
    <col min="15210" max="15210" width="26.5703125" style="21" customWidth="1"/>
    <col min="15211" max="15211" width="21.5703125" style="21" customWidth="1"/>
    <col min="15212" max="15212" width="42.7109375" style="21" customWidth="1"/>
    <col min="15213" max="15213" width="44.140625" style="21" customWidth="1"/>
    <col min="15214" max="15215" width="31.42578125" style="21" customWidth="1"/>
    <col min="15216" max="15216" width="27.85546875" style="21" customWidth="1"/>
    <col min="15217" max="15217" width="0" style="21" hidden="1" customWidth="1"/>
    <col min="15218" max="15218" width="31.42578125" style="21" customWidth="1"/>
    <col min="15219" max="15360" width="9.140625" style="21"/>
    <col min="15361" max="15361" width="8.7109375" style="21" customWidth="1"/>
    <col min="15362" max="15363" width="31.42578125" style="21" customWidth="1"/>
    <col min="15364" max="15364" width="25.85546875" style="21" customWidth="1"/>
    <col min="15365" max="15365" width="26.85546875" style="21" customWidth="1"/>
    <col min="15366" max="15366" width="27" style="21" customWidth="1"/>
    <col min="15367" max="15367" width="32.28515625" style="21" customWidth="1"/>
    <col min="15368" max="15368" width="13.42578125" style="21" customWidth="1"/>
    <col min="15369" max="15369" width="17.85546875" style="21" customWidth="1"/>
    <col min="15370" max="15370" width="15.85546875" style="21" customWidth="1"/>
    <col min="15371" max="15371" width="26" style="21" customWidth="1"/>
    <col min="15372" max="15372" width="21.7109375" style="21" customWidth="1"/>
    <col min="15373" max="15373" width="16.5703125" style="21" customWidth="1"/>
    <col min="15374" max="15374" width="25.7109375" style="21" customWidth="1"/>
    <col min="15375" max="15375" width="31.42578125" style="21" customWidth="1"/>
    <col min="15376" max="15376" width="18.42578125" style="21" customWidth="1"/>
    <col min="15377" max="15377" width="13.42578125" style="21" customWidth="1"/>
    <col min="15378" max="15378" width="18" style="21" customWidth="1"/>
    <col min="15379" max="15379" width="19.7109375" style="21" customWidth="1"/>
    <col min="15380" max="15381" width="13.42578125" style="21" customWidth="1"/>
    <col min="15382" max="15382" width="18" style="21" customWidth="1"/>
    <col min="15383" max="15383" width="15.42578125" style="21" customWidth="1"/>
    <col min="15384" max="15384" width="13.42578125" style="21" customWidth="1"/>
    <col min="15385" max="15385" width="16.140625" style="21" customWidth="1"/>
    <col min="15386" max="15386" width="18" style="21" customWidth="1"/>
    <col min="15387" max="15388" width="13.42578125" style="21" customWidth="1"/>
    <col min="15389" max="15389" width="18.85546875" style="21" customWidth="1"/>
    <col min="15390" max="15390" width="28.7109375" style="21" customWidth="1"/>
    <col min="15391" max="15391" width="18.85546875" style="21" customWidth="1"/>
    <col min="15392" max="15392" width="16" style="21" customWidth="1"/>
    <col min="15393" max="15393" width="13.42578125" style="21" customWidth="1"/>
    <col min="15394" max="15394" width="26.28515625" style="21" customWidth="1"/>
    <col min="15395" max="15395" width="37.140625" style="21" customWidth="1"/>
    <col min="15396" max="15396" width="13.42578125" style="21" customWidth="1"/>
    <col min="15397" max="15397" width="16.85546875" style="21" customWidth="1"/>
    <col min="15398" max="15398" width="29.140625" style="21" customWidth="1"/>
    <col min="15399" max="15399" width="24.140625" style="21" customWidth="1"/>
    <col min="15400" max="15400" width="15.140625" style="21" customWidth="1"/>
    <col min="15401" max="15401" width="18.7109375" style="21" customWidth="1"/>
    <col min="15402" max="15402" width="19.5703125" style="21" customWidth="1"/>
    <col min="15403" max="15403" width="26.42578125" style="21" customWidth="1"/>
    <col min="15404" max="15404" width="25.85546875" style="21" customWidth="1"/>
    <col min="15405" max="15405" width="13.42578125" style="21" customWidth="1"/>
    <col min="15406" max="15406" width="26.85546875" style="21" customWidth="1"/>
    <col min="15407" max="15408" width="31.42578125" style="21" customWidth="1"/>
    <col min="15409" max="15409" width="26.42578125" style="21" customWidth="1"/>
    <col min="15410" max="15410" width="40.42578125" style="21" customWidth="1"/>
    <col min="15411" max="15411" width="33.85546875" style="21" customWidth="1"/>
    <col min="15412" max="15412" width="37" style="21" customWidth="1"/>
    <col min="15413" max="15413" width="17.85546875" style="21" customWidth="1"/>
    <col min="15414" max="15414" width="28.5703125" style="21" customWidth="1"/>
    <col min="15415" max="15415" width="24.28515625" style="21" customWidth="1"/>
    <col min="15416" max="15416" width="40.140625" style="21" customWidth="1"/>
    <col min="15417" max="15417" width="18.7109375" style="21" customWidth="1"/>
    <col min="15418" max="15418" width="16.28515625" style="21" customWidth="1"/>
    <col min="15419" max="15419" width="13.42578125" style="21" customWidth="1"/>
    <col min="15420" max="15420" width="15.42578125" style="21" customWidth="1"/>
    <col min="15421" max="15421" width="30.85546875" style="21" customWidth="1"/>
    <col min="15422" max="15422" width="13.42578125" style="21" customWidth="1"/>
    <col min="15423" max="15423" width="25.7109375" style="21" customWidth="1"/>
    <col min="15424" max="15424" width="24.28515625" style="21" customWidth="1"/>
    <col min="15425" max="15425" width="23.85546875" style="21" customWidth="1"/>
    <col min="15426" max="15426" width="27.5703125" style="21" customWidth="1"/>
    <col min="15427" max="15427" width="25.42578125" style="21" customWidth="1"/>
    <col min="15428" max="15430" width="13.42578125" style="21" customWidth="1"/>
    <col min="15431" max="15431" width="16.28515625" style="21" customWidth="1"/>
    <col min="15432" max="15432" width="25.28515625" style="21" customWidth="1"/>
    <col min="15433" max="15434" width="13.42578125" style="21" customWidth="1"/>
    <col min="15435" max="15435" width="24.7109375" style="21" customWidth="1"/>
    <col min="15436" max="15436" width="26.85546875" style="21" customWidth="1"/>
    <col min="15437" max="15437" width="24.42578125" style="21" customWidth="1"/>
    <col min="15438" max="15438" width="23.140625" style="21" customWidth="1"/>
    <col min="15439" max="15439" width="21.140625" style="21" customWidth="1"/>
    <col min="15440" max="15440" width="14.5703125" style="21" customWidth="1"/>
    <col min="15441" max="15441" width="30.28515625" style="21" customWidth="1"/>
    <col min="15442" max="15442" width="13.42578125" style="21" customWidth="1"/>
    <col min="15443" max="15443" width="31.42578125" style="21" customWidth="1"/>
    <col min="15444" max="15444" width="13.42578125" style="21" customWidth="1"/>
    <col min="15445" max="15445" width="44.42578125" style="21" customWidth="1"/>
    <col min="15446" max="15446" width="19.7109375" style="21" customWidth="1"/>
    <col min="15447" max="15447" width="38.85546875" style="21" customWidth="1"/>
    <col min="15448" max="15448" width="31.42578125" style="21" customWidth="1"/>
    <col min="15449" max="15449" width="50.7109375" style="21" customWidth="1"/>
    <col min="15450" max="15450" width="34.85546875" style="21" customWidth="1"/>
    <col min="15451" max="15452" width="13.42578125" style="21" customWidth="1"/>
    <col min="15453" max="15453" width="18.140625" style="21" customWidth="1"/>
    <col min="15454" max="15454" width="23.7109375" style="21" customWidth="1"/>
    <col min="15455" max="15455" width="26.85546875" style="21" customWidth="1"/>
    <col min="15456" max="15456" width="23" style="21" customWidth="1"/>
    <col min="15457" max="15457" width="25.7109375" style="21" customWidth="1"/>
    <col min="15458" max="15458" width="29.28515625" style="21" customWidth="1"/>
    <col min="15459" max="15459" width="29.42578125" style="21" customWidth="1"/>
    <col min="15460" max="15460" width="23.5703125" style="21" customWidth="1"/>
    <col min="15461" max="15461" width="32.85546875" style="21" customWidth="1"/>
    <col min="15462" max="15462" width="30.7109375" style="21" customWidth="1"/>
    <col min="15463" max="15463" width="33.85546875" style="21" customWidth="1"/>
    <col min="15464" max="15464" width="15.85546875" style="21" customWidth="1"/>
    <col min="15465" max="15465" width="17.28515625" style="21" customWidth="1"/>
    <col min="15466" max="15466" width="26.5703125" style="21" customWidth="1"/>
    <col min="15467" max="15467" width="21.5703125" style="21" customWidth="1"/>
    <col min="15468" max="15468" width="42.7109375" style="21" customWidth="1"/>
    <col min="15469" max="15469" width="44.140625" style="21" customWidth="1"/>
    <col min="15470" max="15471" width="31.42578125" style="21" customWidth="1"/>
    <col min="15472" max="15472" width="27.85546875" style="21" customWidth="1"/>
    <col min="15473" max="15473" width="0" style="21" hidden="1" customWidth="1"/>
    <col min="15474" max="15474" width="31.42578125" style="21" customWidth="1"/>
    <col min="15475" max="15616" width="9.140625" style="21"/>
    <col min="15617" max="15617" width="8.7109375" style="21" customWidth="1"/>
    <col min="15618" max="15619" width="31.42578125" style="21" customWidth="1"/>
    <col min="15620" max="15620" width="25.85546875" style="21" customWidth="1"/>
    <col min="15621" max="15621" width="26.85546875" style="21" customWidth="1"/>
    <col min="15622" max="15622" width="27" style="21" customWidth="1"/>
    <col min="15623" max="15623" width="32.28515625" style="21" customWidth="1"/>
    <col min="15624" max="15624" width="13.42578125" style="21" customWidth="1"/>
    <col min="15625" max="15625" width="17.85546875" style="21" customWidth="1"/>
    <col min="15626" max="15626" width="15.85546875" style="21" customWidth="1"/>
    <col min="15627" max="15627" width="26" style="21" customWidth="1"/>
    <col min="15628" max="15628" width="21.7109375" style="21" customWidth="1"/>
    <col min="15629" max="15629" width="16.5703125" style="21" customWidth="1"/>
    <col min="15630" max="15630" width="25.7109375" style="21" customWidth="1"/>
    <col min="15631" max="15631" width="31.42578125" style="21" customWidth="1"/>
    <col min="15632" max="15632" width="18.42578125" style="21" customWidth="1"/>
    <col min="15633" max="15633" width="13.42578125" style="21" customWidth="1"/>
    <col min="15634" max="15634" width="18" style="21" customWidth="1"/>
    <col min="15635" max="15635" width="19.7109375" style="21" customWidth="1"/>
    <col min="15636" max="15637" width="13.42578125" style="21" customWidth="1"/>
    <col min="15638" max="15638" width="18" style="21" customWidth="1"/>
    <col min="15639" max="15639" width="15.42578125" style="21" customWidth="1"/>
    <col min="15640" max="15640" width="13.42578125" style="21" customWidth="1"/>
    <col min="15641" max="15641" width="16.140625" style="21" customWidth="1"/>
    <col min="15642" max="15642" width="18" style="21" customWidth="1"/>
    <col min="15643" max="15644" width="13.42578125" style="21" customWidth="1"/>
    <col min="15645" max="15645" width="18.85546875" style="21" customWidth="1"/>
    <col min="15646" max="15646" width="28.7109375" style="21" customWidth="1"/>
    <col min="15647" max="15647" width="18.85546875" style="21" customWidth="1"/>
    <col min="15648" max="15648" width="16" style="21" customWidth="1"/>
    <col min="15649" max="15649" width="13.42578125" style="21" customWidth="1"/>
    <col min="15650" max="15650" width="26.28515625" style="21" customWidth="1"/>
    <col min="15651" max="15651" width="37.140625" style="21" customWidth="1"/>
    <col min="15652" max="15652" width="13.42578125" style="21" customWidth="1"/>
    <col min="15653" max="15653" width="16.85546875" style="21" customWidth="1"/>
    <col min="15654" max="15654" width="29.140625" style="21" customWidth="1"/>
    <col min="15655" max="15655" width="24.140625" style="21" customWidth="1"/>
    <col min="15656" max="15656" width="15.140625" style="21" customWidth="1"/>
    <col min="15657" max="15657" width="18.7109375" style="21" customWidth="1"/>
    <col min="15658" max="15658" width="19.5703125" style="21" customWidth="1"/>
    <col min="15659" max="15659" width="26.42578125" style="21" customWidth="1"/>
    <col min="15660" max="15660" width="25.85546875" style="21" customWidth="1"/>
    <col min="15661" max="15661" width="13.42578125" style="21" customWidth="1"/>
    <col min="15662" max="15662" width="26.85546875" style="21" customWidth="1"/>
    <col min="15663" max="15664" width="31.42578125" style="21" customWidth="1"/>
    <col min="15665" max="15665" width="26.42578125" style="21" customWidth="1"/>
    <col min="15666" max="15666" width="40.42578125" style="21" customWidth="1"/>
    <col min="15667" max="15667" width="33.85546875" style="21" customWidth="1"/>
    <col min="15668" max="15668" width="37" style="21" customWidth="1"/>
    <col min="15669" max="15669" width="17.85546875" style="21" customWidth="1"/>
    <col min="15670" max="15670" width="28.5703125" style="21" customWidth="1"/>
    <col min="15671" max="15671" width="24.28515625" style="21" customWidth="1"/>
    <col min="15672" max="15672" width="40.140625" style="21" customWidth="1"/>
    <col min="15673" max="15673" width="18.7109375" style="21" customWidth="1"/>
    <col min="15674" max="15674" width="16.28515625" style="21" customWidth="1"/>
    <col min="15675" max="15675" width="13.42578125" style="21" customWidth="1"/>
    <col min="15676" max="15676" width="15.42578125" style="21" customWidth="1"/>
    <col min="15677" max="15677" width="30.85546875" style="21" customWidth="1"/>
    <col min="15678" max="15678" width="13.42578125" style="21" customWidth="1"/>
    <col min="15679" max="15679" width="25.7109375" style="21" customWidth="1"/>
    <col min="15680" max="15680" width="24.28515625" style="21" customWidth="1"/>
    <col min="15681" max="15681" width="23.85546875" style="21" customWidth="1"/>
    <col min="15682" max="15682" width="27.5703125" style="21" customWidth="1"/>
    <col min="15683" max="15683" width="25.42578125" style="21" customWidth="1"/>
    <col min="15684" max="15686" width="13.42578125" style="21" customWidth="1"/>
    <col min="15687" max="15687" width="16.28515625" style="21" customWidth="1"/>
    <col min="15688" max="15688" width="25.28515625" style="21" customWidth="1"/>
    <col min="15689" max="15690" width="13.42578125" style="21" customWidth="1"/>
    <col min="15691" max="15691" width="24.7109375" style="21" customWidth="1"/>
    <col min="15692" max="15692" width="26.85546875" style="21" customWidth="1"/>
    <col min="15693" max="15693" width="24.42578125" style="21" customWidth="1"/>
    <col min="15694" max="15694" width="23.140625" style="21" customWidth="1"/>
    <col min="15695" max="15695" width="21.140625" style="21" customWidth="1"/>
    <col min="15696" max="15696" width="14.5703125" style="21" customWidth="1"/>
    <col min="15697" max="15697" width="30.28515625" style="21" customWidth="1"/>
    <col min="15698" max="15698" width="13.42578125" style="21" customWidth="1"/>
    <col min="15699" max="15699" width="31.42578125" style="21" customWidth="1"/>
    <col min="15700" max="15700" width="13.42578125" style="21" customWidth="1"/>
    <col min="15701" max="15701" width="44.42578125" style="21" customWidth="1"/>
    <col min="15702" max="15702" width="19.7109375" style="21" customWidth="1"/>
    <col min="15703" max="15703" width="38.85546875" style="21" customWidth="1"/>
    <col min="15704" max="15704" width="31.42578125" style="21" customWidth="1"/>
    <col min="15705" max="15705" width="50.7109375" style="21" customWidth="1"/>
    <col min="15706" max="15706" width="34.85546875" style="21" customWidth="1"/>
    <col min="15707" max="15708" width="13.42578125" style="21" customWidth="1"/>
    <col min="15709" max="15709" width="18.140625" style="21" customWidth="1"/>
    <col min="15710" max="15710" width="23.7109375" style="21" customWidth="1"/>
    <col min="15711" max="15711" width="26.85546875" style="21" customWidth="1"/>
    <col min="15712" max="15712" width="23" style="21" customWidth="1"/>
    <col min="15713" max="15713" width="25.7109375" style="21" customWidth="1"/>
    <col min="15714" max="15714" width="29.28515625" style="21" customWidth="1"/>
    <col min="15715" max="15715" width="29.42578125" style="21" customWidth="1"/>
    <col min="15716" max="15716" width="23.5703125" style="21" customWidth="1"/>
    <col min="15717" max="15717" width="32.85546875" style="21" customWidth="1"/>
    <col min="15718" max="15718" width="30.7109375" style="21" customWidth="1"/>
    <col min="15719" max="15719" width="33.85546875" style="21" customWidth="1"/>
    <col min="15720" max="15720" width="15.85546875" style="21" customWidth="1"/>
    <col min="15721" max="15721" width="17.28515625" style="21" customWidth="1"/>
    <col min="15722" max="15722" width="26.5703125" style="21" customWidth="1"/>
    <col min="15723" max="15723" width="21.5703125" style="21" customWidth="1"/>
    <col min="15724" max="15724" width="42.7109375" style="21" customWidth="1"/>
    <col min="15725" max="15725" width="44.140625" style="21" customWidth="1"/>
    <col min="15726" max="15727" width="31.42578125" style="21" customWidth="1"/>
    <col min="15728" max="15728" width="27.85546875" style="21" customWidth="1"/>
    <col min="15729" max="15729" width="0" style="21" hidden="1" customWidth="1"/>
    <col min="15730" max="15730" width="31.42578125" style="21" customWidth="1"/>
    <col min="15731" max="15872" width="9.140625" style="21"/>
    <col min="15873" max="15873" width="8.7109375" style="21" customWidth="1"/>
    <col min="15874" max="15875" width="31.42578125" style="21" customWidth="1"/>
    <col min="15876" max="15876" width="25.85546875" style="21" customWidth="1"/>
    <col min="15877" max="15877" width="26.85546875" style="21" customWidth="1"/>
    <col min="15878" max="15878" width="27" style="21" customWidth="1"/>
    <col min="15879" max="15879" width="32.28515625" style="21" customWidth="1"/>
    <col min="15880" max="15880" width="13.42578125" style="21" customWidth="1"/>
    <col min="15881" max="15881" width="17.85546875" style="21" customWidth="1"/>
    <col min="15882" max="15882" width="15.85546875" style="21" customWidth="1"/>
    <col min="15883" max="15883" width="26" style="21" customWidth="1"/>
    <col min="15884" max="15884" width="21.7109375" style="21" customWidth="1"/>
    <col min="15885" max="15885" width="16.5703125" style="21" customWidth="1"/>
    <col min="15886" max="15886" width="25.7109375" style="21" customWidth="1"/>
    <col min="15887" max="15887" width="31.42578125" style="21" customWidth="1"/>
    <col min="15888" max="15888" width="18.42578125" style="21" customWidth="1"/>
    <col min="15889" max="15889" width="13.42578125" style="21" customWidth="1"/>
    <col min="15890" max="15890" width="18" style="21" customWidth="1"/>
    <col min="15891" max="15891" width="19.7109375" style="21" customWidth="1"/>
    <col min="15892" max="15893" width="13.42578125" style="21" customWidth="1"/>
    <col min="15894" max="15894" width="18" style="21" customWidth="1"/>
    <col min="15895" max="15895" width="15.42578125" style="21" customWidth="1"/>
    <col min="15896" max="15896" width="13.42578125" style="21" customWidth="1"/>
    <col min="15897" max="15897" width="16.140625" style="21" customWidth="1"/>
    <col min="15898" max="15898" width="18" style="21" customWidth="1"/>
    <col min="15899" max="15900" width="13.42578125" style="21" customWidth="1"/>
    <col min="15901" max="15901" width="18.85546875" style="21" customWidth="1"/>
    <col min="15902" max="15902" width="28.7109375" style="21" customWidth="1"/>
    <col min="15903" max="15903" width="18.85546875" style="21" customWidth="1"/>
    <col min="15904" max="15904" width="16" style="21" customWidth="1"/>
    <col min="15905" max="15905" width="13.42578125" style="21" customWidth="1"/>
    <col min="15906" max="15906" width="26.28515625" style="21" customWidth="1"/>
    <col min="15907" max="15907" width="37.140625" style="21" customWidth="1"/>
    <col min="15908" max="15908" width="13.42578125" style="21" customWidth="1"/>
    <col min="15909" max="15909" width="16.85546875" style="21" customWidth="1"/>
    <col min="15910" max="15910" width="29.140625" style="21" customWidth="1"/>
    <col min="15911" max="15911" width="24.140625" style="21" customWidth="1"/>
    <col min="15912" max="15912" width="15.140625" style="21" customWidth="1"/>
    <col min="15913" max="15913" width="18.7109375" style="21" customWidth="1"/>
    <col min="15914" max="15914" width="19.5703125" style="21" customWidth="1"/>
    <col min="15915" max="15915" width="26.42578125" style="21" customWidth="1"/>
    <col min="15916" max="15916" width="25.85546875" style="21" customWidth="1"/>
    <col min="15917" max="15917" width="13.42578125" style="21" customWidth="1"/>
    <col min="15918" max="15918" width="26.85546875" style="21" customWidth="1"/>
    <col min="15919" max="15920" width="31.42578125" style="21" customWidth="1"/>
    <col min="15921" max="15921" width="26.42578125" style="21" customWidth="1"/>
    <col min="15922" max="15922" width="40.42578125" style="21" customWidth="1"/>
    <col min="15923" max="15923" width="33.85546875" style="21" customWidth="1"/>
    <col min="15924" max="15924" width="37" style="21" customWidth="1"/>
    <col min="15925" max="15925" width="17.85546875" style="21" customWidth="1"/>
    <col min="15926" max="15926" width="28.5703125" style="21" customWidth="1"/>
    <col min="15927" max="15927" width="24.28515625" style="21" customWidth="1"/>
    <col min="15928" max="15928" width="40.140625" style="21" customWidth="1"/>
    <col min="15929" max="15929" width="18.7109375" style="21" customWidth="1"/>
    <col min="15930" max="15930" width="16.28515625" style="21" customWidth="1"/>
    <col min="15931" max="15931" width="13.42578125" style="21" customWidth="1"/>
    <col min="15932" max="15932" width="15.42578125" style="21" customWidth="1"/>
    <col min="15933" max="15933" width="30.85546875" style="21" customWidth="1"/>
    <col min="15934" max="15934" width="13.42578125" style="21" customWidth="1"/>
    <col min="15935" max="15935" width="25.7109375" style="21" customWidth="1"/>
    <col min="15936" max="15936" width="24.28515625" style="21" customWidth="1"/>
    <col min="15937" max="15937" width="23.85546875" style="21" customWidth="1"/>
    <col min="15938" max="15938" width="27.5703125" style="21" customWidth="1"/>
    <col min="15939" max="15939" width="25.42578125" style="21" customWidth="1"/>
    <col min="15940" max="15942" width="13.42578125" style="21" customWidth="1"/>
    <col min="15943" max="15943" width="16.28515625" style="21" customWidth="1"/>
    <col min="15944" max="15944" width="25.28515625" style="21" customWidth="1"/>
    <col min="15945" max="15946" width="13.42578125" style="21" customWidth="1"/>
    <col min="15947" max="15947" width="24.7109375" style="21" customWidth="1"/>
    <col min="15948" max="15948" width="26.85546875" style="21" customWidth="1"/>
    <col min="15949" max="15949" width="24.42578125" style="21" customWidth="1"/>
    <col min="15950" max="15950" width="23.140625" style="21" customWidth="1"/>
    <col min="15951" max="15951" width="21.140625" style="21" customWidth="1"/>
    <col min="15952" max="15952" width="14.5703125" style="21" customWidth="1"/>
    <col min="15953" max="15953" width="30.28515625" style="21" customWidth="1"/>
    <col min="15954" max="15954" width="13.42578125" style="21" customWidth="1"/>
    <col min="15955" max="15955" width="31.42578125" style="21" customWidth="1"/>
    <col min="15956" max="15956" width="13.42578125" style="21" customWidth="1"/>
    <col min="15957" max="15957" width="44.42578125" style="21" customWidth="1"/>
    <col min="15958" max="15958" width="19.7109375" style="21" customWidth="1"/>
    <col min="15959" max="15959" width="38.85546875" style="21" customWidth="1"/>
    <col min="15960" max="15960" width="31.42578125" style="21" customWidth="1"/>
    <col min="15961" max="15961" width="50.7109375" style="21" customWidth="1"/>
    <col min="15962" max="15962" width="34.85546875" style="21" customWidth="1"/>
    <col min="15963" max="15964" width="13.42578125" style="21" customWidth="1"/>
    <col min="15965" max="15965" width="18.140625" style="21" customWidth="1"/>
    <col min="15966" max="15966" width="23.7109375" style="21" customWidth="1"/>
    <col min="15967" max="15967" width="26.85546875" style="21" customWidth="1"/>
    <col min="15968" max="15968" width="23" style="21" customWidth="1"/>
    <col min="15969" max="15969" width="25.7109375" style="21" customWidth="1"/>
    <col min="15970" max="15970" width="29.28515625" style="21" customWidth="1"/>
    <col min="15971" max="15971" width="29.42578125" style="21" customWidth="1"/>
    <col min="15972" max="15972" width="23.5703125" style="21" customWidth="1"/>
    <col min="15973" max="15973" width="32.85546875" style="21" customWidth="1"/>
    <col min="15974" max="15974" width="30.7109375" style="21" customWidth="1"/>
    <col min="15975" max="15975" width="33.85546875" style="21" customWidth="1"/>
    <col min="15976" max="15976" width="15.85546875" style="21" customWidth="1"/>
    <col min="15977" max="15977" width="17.28515625" style="21" customWidth="1"/>
    <col min="15978" max="15978" width="26.5703125" style="21" customWidth="1"/>
    <col min="15979" max="15979" width="21.5703125" style="21" customWidth="1"/>
    <col min="15980" max="15980" width="42.7109375" style="21" customWidth="1"/>
    <col min="15981" max="15981" width="44.140625" style="21" customWidth="1"/>
    <col min="15982" max="15983" width="31.42578125" style="21" customWidth="1"/>
    <col min="15984" max="15984" width="27.85546875" style="21" customWidth="1"/>
    <col min="15985" max="15985" width="0" style="21" hidden="1" customWidth="1"/>
    <col min="15986" max="15986" width="31.42578125" style="21" customWidth="1"/>
    <col min="15987" max="16128" width="9.140625" style="21"/>
    <col min="16129" max="16129" width="8.7109375" style="21" customWidth="1"/>
    <col min="16130" max="16131" width="31.42578125" style="21" customWidth="1"/>
    <col min="16132" max="16132" width="25.85546875" style="21" customWidth="1"/>
    <col min="16133" max="16133" width="26.85546875" style="21" customWidth="1"/>
    <col min="16134" max="16134" width="27" style="21" customWidth="1"/>
    <col min="16135" max="16135" width="32.28515625" style="21" customWidth="1"/>
    <col min="16136" max="16136" width="13.42578125" style="21" customWidth="1"/>
    <col min="16137" max="16137" width="17.85546875" style="21" customWidth="1"/>
    <col min="16138" max="16138" width="15.85546875" style="21" customWidth="1"/>
    <col min="16139" max="16139" width="26" style="21" customWidth="1"/>
    <col min="16140" max="16140" width="21.7109375" style="21" customWidth="1"/>
    <col min="16141" max="16141" width="16.5703125" style="21" customWidth="1"/>
    <col min="16142" max="16142" width="25.7109375" style="21" customWidth="1"/>
    <col min="16143" max="16143" width="31.42578125" style="21" customWidth="1"/>
    <col min="16144" max="16144" width="18.42578125" style="21" customWidth="1"/>
    <col min="16145" max="16145" width="13.42578125" style="21" customWidth="1"/>
    <col min="16146" max="16146" width="18" style="21" customWidth="1"/>
    <col min="16147" max="16147" width="19.7109375" style="21" customWidth="1"/>
    <col min="16148" max="16149" width="13.42578125" style="21" customWidth="1"/>
    <col min="16150" max="16150" width="18" style="21" customWidth="1"/>
    <col min="16151" max="16151" width="15.42578125" style="21" customWidth="1"/>
    <col min="16152" max="16152" width="13.42578125" style="21" customWidth="1"/>
    <col min="16153" max="16153" width="16.140625" style="21" customWidth="1"/>
    <col min="16154" max="16154" width="18" style="21" customWidth="1"/>
    <col min="16155" max="16156" width="13.42578125" style="21" customWidth="1"/>
    <col min="16157" max="16157" width="18.85546875" style="21" customWidth="1"/>
    <col min="16158" max="16158" width="28.7109375" style="21" customWidth="1"/>
    <col min="16159" max="16159" width="18.85546875" style="21" customWidth="1"/>
    <col min="16160" max="16160" width="16" style="21" customWidth="1"/>
    <col min="16161" max="16161" width="13.42578125" style="21" customWidth="1"/>
    <col min="16162" max="16162" width="26.28515625" style="21" customWidth="1"/>
    <col min="16163" max="16163" width="37.140625" style="21" customWidth="1"/>
    <col min="16164" max="16164" width="13.42578125" style="21" customWidth="1"/>
    <col min="16165" max="16165" width="16.85546875" style="21" customWidth="1"/>
    <col min="16166" max="16166" width="29.140625" style="21" customWidth="1"/>
    <col min="16167" max="16167" width="24.140625" style="21" customWidth="1"/>
    <col min="16168" max="16168" width="15.140625" style="21" customWidth="1"/>
    <col min="16169" max="16169" width="18.7109375" style="21" customWidth="1"/>
    <col min="16170" max="16170" width="19.5703125" style="21" customWidth="1"/>
    <col min="16171" max="16171" width="26.42578125" style="21" customWidth="1"/>
    <col min="16172" max="16172" width="25.85546875" style="21" customWidth="1"/>
    <col min="16173" max="16173" width="13.42578125" style="21" customWidth="1"/>
    <col min="16174" max="16174" width="26.85546875" style="21" customWidth="1"/>
    <col min="16175" max="16176" width="31.42578125" style="21" customWidth="1"/>
    <col min="16177" max="16177" width="26.42578125" style="21" customWidth="1"/>
    <col min="16178" max="16178" width="40.42578125" style="21" customWidth="1"/>
    <col min="16179" max="16179" width="33.85546875" style="21" customWidth="1"/>
    <col min="16180" max="16180" width="37" style="21" customWidth="1"/>
    <col min="16181" max="16181" width="17.85546875" style="21" customWidth="1"/>
    <col min="16182" max="16182" width="28.5703125" style="21" customWidth="1"/>
    <col min="16183" max="16183" width="24.28515625" style="21" customWidth="1"/>
    <col min="16184" max="16184" width="40.140625" style="21" customWidth="1"/>
    <col min="16185" max="16185" width="18.7109375" style="21" customWidth="1"/>
    <col min="16186" max="16186" width="16.28515625" style="21" customWidth="1"/>
    <col min="16187" max="16187" width="13.42578125" style="21" customWidth="1"/>
    <col min="16188" max="16188" width="15.42578125" style="21" customWidth="1"/>
    <col min="16189" max="16189" width="30.85546875" style="21" customWidth="1"/>
    <col min="16190" max="16190" width="13.42578125" style="21" customWidth="1"/>
    <col min="16191" max="16191" width="25.7109375" style="21" customWidth="1"/>
    <col min="16192" max="16192" width="24.28515625" style="21" customWidth="1"/>
    <col min="16193" max="16193" width="23.85546875" style="21" customWidth="1"/>
    <col min="16194" max="16194" width="27.5703125" style="21" customWidth="1"/>
    <col min="16195" max="16195" width="25.42578125" style="21" customWidth="1"/>
    <col min="16196" max="16198" width="13.42578125" style="21" customWidth="1"/>
    <col min="16199" max="16199" width="16.28515625" style="21" customWidth="1"/>
    <col min="16200" max="16200" width="25.28515625" style="21" customWidth="1"/>
    <col min="16201" max="16202" width="13.42578125" style="21" customWidth="1"/>
    <col min="16203" max="16203" width="24.7109375" style="21" customWidth="1"/>
    <col min="16204" max="16204" width="26.85546875" style="21" customWidth="1"/>
    <col min="16205" max="16205" width="24.42578125" style="21" customWidth="1"/>
    <col min="16206" max="16206" width="23.140625" style="21" customWidth="1"/>
    <col min="16207" max="16207" width="21.140625" style="21" customWidth="1"/>
    <col min="16208" max="16208" width="14.5703125" style="21" customWidth="1"/>
    <col min="16209" max="16209" width="30.28515625" style="21" customWidth="1"/>
    <col min="16210" max="16210" width="13.42578125" style="21" customWidth="1"/>
    <col min="16211" max="16211" width="31.42578125" style="21" customWidth="1"/>
    <col min="16212" max="16212" width="13.42578125" style="21" customWidth="1"/>
    <col min="16213" max="16213" width="44.42578125" style="21" customWidth="1"/>
    <col min="16214" max="16214" width="19.7109375" style="21" customWidth="1"/>
    <col min="16215" max="16215" width="38.85546875" style="21" customWidth="1"/>
    <col min="16216" max="16216" width="31.42578125" style="21" customWidth="1"/>
    <col min="16217" max="16217" width="50.7109375" style="21" customWidth="1"/>
    <col min="16218" max="16218" width="34.85546875" style="21" customWidth="1"/>
    <col min="16219" max="16220" width="13.42578125" style="21" customWidth="1"/>
    <col min="16221" max="16221" width="18.140625" style="21" customWidth="1"/>
    <col min="16222" max="16222" width="23.7109375" style="21" customWidth="1"/>
    <col min="16223" max="16223" width="26.85546875" style="21" customWidth="1"/>
    <col min="16224" max="16224" width="23" style="21" customWidth="1"/>
    <col min="16225" max="16225" width="25.7109375" style="21" customWidth="1"/>
    <col min="16226" max="16226" width="29.28515625" style="21" customWidth="1"/>
    <col min="16227" max="16227" width="29.42578125" style="21" customWidth="1"/>
    <col min="16228" max="16228" width="23.5703125" style="21" customWidth="1"/>
    <col min="16229" max="16229" width="32.85546875" style="21" customWidth="1"/>
    <col min="16230" max="16230" width="30.7109375" style="21" customWidth="1"/>
    <col min="16231" max="16231" width="33.85546875" style="21" customWidth="1"/>
    <col min="16232" max="16232" width="15.85546875" style="21" customWidth="1"/>
    <col min="16233" max="16233" width="17.28515625" style="21" customWidth="1"/>
    <col min="16234" max="16234" width="26.5703125" style="21" customWidth="1"/>
    <col min="16235" max="16235" width="21.5703125" style="21" customWidth="1"/>
    <col min="16236" max="16236" width="42.7109375" style="21" customWidth="1"/>
    <col min="16237" max="16237" width="44.140625" style="21" customWidth="1"/>
    <col min="16238" max="16239" width="31.42578125" style="21" customWidth="1"/>
    <col min="16240" max="16240" width="27.85546875" style="21" customWidth="1"/>
    <col min="16241" max="16241" width="0" style="21" hidden="1" customWidth="1"/>
    <col min="16242" max="16242" width="31.42578125" style="21" customWidth="1"/>
    <col min="16243" max="16384" width="9.140625" style="21"/>
  </cols>
  <sheetData>
    <row r="1" spans="1:112" ht="17.100000000000001" customHeight="1">
      <c r="A1" s="2518" t="s">
        <v>4504</v>
      </c>
      <c r="B1" s="1846"/>
      <c r="C1" s="1846"/>
      <c r="D1" s="1846"/>
      <c r="E1" s="1846"/>
      <c r="F1" s="1846"/>
      <c r="G1" s="1846"/>
      <c r="H1" s="1846"/>
      <c r="I1" s="1846"/>
      <c r="J1" s="1846"/>
      <c r="K1" s="1846"/>
      <c r="L1" s="1846"/>
      <c r="M1" s="1846"/>
      <c r="N1" s="1846"/>
      <c r="O1" s="1846"/>
    </row>
    <row r="2" spans="1:112" ht="25.15" customHeight="1">
      <c r="A2" s="2519" t="s">
        <v>1968</v>
      </c>
      <c r="B2" s="1846"/>
      <c r="C2" s="1846"/>
      <c r="D2" s="1846"/>
      <c r="E2" s="1846"/>
      <c r="F2" s="1846"/>
      <c r="G2" s="1846"/>
      <c r="H2" s="1846"/>
      <c r="I2" s="1846"/>
      <c r="J2" s="1846"/>
      <c r="K2" s="1846"/>
      <c r="L2" s="1846"/>
      <c r="M2" s="1846"/>
      <c r="N2" s="1846"/>
      <c r="O2" s="1846"/>
    </row>
    <row r="3" spans="1:112" ht="14.45" customHeight="1">
      <c r="A3" s="2520"/>
      <c r="B3" s="1846"/>
      <c r="C3" s="1846"/>
      <c r="D3" s="2284"/>
      <c r="E3" s="1846"/>
      <c r="F3" s="1846"/>
      <c r="G3" s="1846"/>
      <c r="H3" s="1846"/>
      <c r="I3" s="1846"/>
      <c r="J3" s="1846"/>
      <c r="K3" s="1846"/>
      <c r="L3" s="1846"/>
      <c r="M3" s="1846"/>
      <c r="N3" s="1846"/>
      <c r="O3" s="1846"/>
    </row>
    <row r="4" spans="1:112" ht="15.4" customHeight="1">
      <c r="A4" s="2520" t="s">
        <v>1969</v>
      </c>
      <c r="B4" s="1846"/>
      <c r="C4" s="1846"/>
      <c r="D4" s="2521" t="s">
        <v>2512</v>
      </c>
      <c r="E4" s="1846"/>
      <c r="F4" s="1846"/>
      <c r="G4" s="1846"/>
      <c r="H4" s="1846"/>
      <c r="I4" s="1846"/>
      <c r="J4" s="1846"/>
      <c r="K4" s="1846"/>
      <c r="L4" s="1846"/>
      <c r="M4" s="1846"/>
      <c r="N4" s="1846"/>
      <c r="O4" s="1846"/>
    </row>
    <row r="5" spans="1:112" ht="9.1999999999999993" customHeight="1">
      <c r="A5" s="2520"/>
      <c r="B5" s="1846"/>
      <c r="C5" s="1846"/>
      <c r="D5" s="2284"/>
      <c r="E5" s="1846"/>
      <c r="F5" s="1846"/>
      <c r="G5" s="1846"/>
      <c r="H5" s="1846"/>
      <c r="I5" s="1846"/>
      <c r="J5" s="1846"/>
      <c r="K5" s="1846"/>
      <c r="L5" s="1846"/>
      <c r="M5" s="1846"/>
      <c r="N5" s="1846"/>
      <c r="O5" s="1846"/>
    </row>
    <row r="6" spans="1:112" ht="1.5" customHeight="1"/>
    <row r="7" spans="1:112" ht="20.100000000000001" customHeight="1">
      <c r="A7" s="1832"/>
      <c r="B7" s="2511" t="s">
        <v>2513</v>
      </c>
      <c r="C7" s="2171"/>
      <c r="D7" s="2171"/>
      <c r="E7" s="2171"/>
      <c r="F7" s="2171"/>
      <c r="G7" s="2171"/>
      <c r="H7" s="2171"/>
      <c r="I7" s="2171"/>
      <c r="J7" s="2171"/>
      <c r="K7" s="2171"/>
      <c r="L7" s="2162"/>
      <c r="M7" s="2511" t="s">
        <v>1970</v>
      </c>
      <c r="N7" s="2171"/>
      <c r="O7" s="2171"/>
      <c r="P7" s="2171"/>
      <c r="Q7" s="2171"/>
      <c r="R7" s="2171"/>
      <c r="S7" s="2171"/>
      <c r="T7" s="2171"/>
      <c r="U7" s="2171"/>
      <c r="V7" s="2171"/>
      <c r="W7" s="2171"/>
      <c r="X7" s="2162"/>
      <c r="Y7" s="2511" t="s">
        <v>1971</v>
      </c>
      <c r="Z7" s="2171"/>
      <c r="AA7" s="2171"/>
      <c r="AB7" s="2171"/>
      <c r="AC7" s="2171"/>
      <c r="AD7" s="2171"/>
      <c r="AE7" s="2171"/>
      <c r="AF7" s="2171"/>
      <c r="AG7" s="2171"/>
      <c r="AH7" s="2171"/>
      <c r="AI7" s="2162"/>
      <c r="AJ7" s="2511" t="s">
        <v>1972</v>
      </c>
      <c r="AK7" s="2171"/>
      <c r="AL7" s="2171"/>
      <c r="AM7" s="2171"/>
      <c r="AN7" s="2171"/>
      <c r="AO7" s="2171"/>
      <c r="AP7" s="2171"/>
      <c r="AQ7" s="2171"/>
      <c r="AR7" s="2171"/>
      <c r="AS7" s="2171"/>
      <c r="AT7" s="2171"/>
      <c r="AU7" s="2171"/>
      <c r="AV7" s="2171"/>
      <c r="AW7" s="2171"/>
      <c r="AX7" s="2171"/>
      <c r="AY7" s="2171"/>
      <c r="AZ7" s="2171"/>
      <c r="BA7" s="2171"/>
      <c r="BB7" s="2171"/>
      <c r="BC7" s="2171"/>
      <c r="BD7" s="2171"/>
      <c r="BE7" s="2171"/>
      <c r="BF7" s="2171"/>
      <c r="BG7" s="2171"/>
      <c r="BH7" s="2171"/>
      <c r="BI7" s="2171"/>
      <c r="BJ7" s="2171"/>
      <c r="BK7" s="2171"/>
      <c r="BL7" s="2171"/>
      <c r="BM7" s="2171"/>
      <c r="BN7" s="2171"/>
      <c r="BO7" s="2171"/>
      <c r="BP7" s="2171"/>
      <c r="BQ7" s="2171"/>
      <c r="BR7" s="2171"/>
      <c r="BS7" s="2171"/>
      <c r="BT7" s="2171"/>
      <c r="BU7" s="2171"/>
      <c r="BV7" s="2171"/>
      <c r="BW7" s="2171"/>
      <c r="BX7" s="2171"/>
      <c r="BY7" s="2171"/>
      <c r="BZ7" s="2171"/>
      <c r="CA7" s="2171"/>
      <c r="CB7" s="2171"/>
      <c r="CC7" s="2171"/>
      <c r="CD7" s="2171"/>
      <c r="CE7" s="2171"/>
      <c r="CF7" s="2171"/>
      <c r="CG7" s="2171"/>
      <c r="CH7" s="2171"/>
      <c r="CI7" s="2171"/>
      <c r="CJ7" s="2171"/>
      <c r="CK7" s="2171"/>
      <c r="CL7" s="2171"/>
      <c r="CM7" s="2171"/>
      <c r="CN7" s="2171"/>
      <c r="CO7" s="2171"/>
      <c r="CP7" s="2171"/>
      <c r="CQ7" s="2171"/>
      <c r="CR7" s="2171"/>
      <c r="CS7" s="2171"/>
      <c r="CT7" s="2171"/>
      <c r="CU7" s="2171"/>
      <c r="CV7" s="2171"/>
      <c r="CW7" s="2171"/>
      <c r="CX7" s="2171"/>
      <c r="CY7" s="2162"/>
      <c r="CZ7" s="2517" t="s">
        <v>3507</v>
      </c>
      <c r="DA7" s="2189"/>
      <c r="DB7" s="2514"/>
      <c r="DC7" s="2189"/>
      <c r="DD7" s="2514"/>
      <c r="DE7" s="2189"/>
      <c r="DF7" s="2189"/>
      <c r="DG7" s="2189"/>
      <c r="DH7" s="2179"/>
    </row>
    <row r="8" spans="1:112" ht="22.35" customHeight="1">
      <c r="A8" s="1829"/>
      <c r="B8" s="1829"/>
      <c r="C8" s="1829"/>
      <c r="D8" s="1829"/>
      <c r="E8" s="1829"/>
      <c r="F8" s="1829"/>
      <c r="G8" s="1829"/>
      <c r="H8" s="1829"/>
      <c r="I8" s="1829"/>
      <c r="J8" s="1829"/>
      <c r="K8" s="1829"/>
      <c r="L8" s="1829"/>
      <c r="M8" s="1829"/>
      <c r="N8" s="1829"/>
      <c r="O8" s="1829"/>
      <c r="P8" s="1829"/>
      <c r="Q8" s="2510" t="s">
        <v>1973</v>
      </c>
      <c r="R8" s="1846"/>
      <c r="S8" s="2181"/>
      <c r="T8" s="2510" t="s">
        <v>1974</v>
      </c>
      <c r="U8" s="1846"/>
      <c r="V8" s="1846"/>
      <c r="W8" s="1846"/>
      <c r="X8" s="2181"/>
      <c r="Y8" s="1829"/>
      <c r="Z8" s="1829"/>
      <c r="AA8" s="2515"/>
      <c r="AB8" s="1846"/>
      <c r="AC8" s="2181"/>
      <c r="AD8" s="1829"/>
      <c r="AE8" s="1829"/>
      <c r="AF8" s="1829"/>
      <c r="AG8" s="1829"/>
      <c r="AH8" s="1829"/>
      <c r="AI8" s="1829"/>
      <c r="AJ8" s="2511" t="s">
        <v>1975</v>
      </c>
      <c r="AK8" s="2171"/>
      <c r="AL8" s="2162"/>
      <c r="AM8" s="2511" t="s">
        <v>1976</v>
      </c>
      <c r="AN8" s="2171"/>
      <c r="AO8" s="2171"/>
      <c r="AP8" s="2171"/>
      <c r="AQ8" s="2171"/>
      <c r="AR8" s="2171"/>
      <c r="AS8" s="2171"/>
      <c r="AT8" s="2171"/>
      <c r="AU8" s="2171"/>
      <c r="AV8" s="2171"/>
      <c r="AW8" s="2171"/>
      <c r="AX8" s="2171"/>
      <c r="AY8" s="2162"/>
      <c r="AZ8" s="2511" t="s">
        <v>2520</v>
      </c>
      <c r="BA8" s="2171"/>
      <c r="BB8" s="2171"/>
      <c r="BC8" s="2171"/>
      <c r="BD8" s="2162"/>
      <c r="BE8" s="2511" t="s">
        <v>1977</v>
      </c>
      <c r="BF8" s="2171"/>
      <c r="BG8" s="2171"/>
      <c r="BH8" s="2171"/>
      <c r="BI8" s="2171"/>
      <c r="BJ8" s="2171"/>
      <c r="BK8" s="2171"/>
      <c r="BL8" s="2171"/>
      <c r="BM8" s="2171"/>
      <c r="BN8" s="2162"/>
      <c r="BO8" s="2511" t="s">
        <v>1978</v>
      </c>
      <c r="BP8" s="2171"/>
      <c r="BQ8" s="2171"/>
      <c r="BR8" s="2171"/>
      <c r="BS8" s="2171"/>
      <c r="BT8" s="2171"/>
      <c r="BU8" s="2171"/>
      <c r="BV8" s="2171"/>
      <c r="BW8" s="2171"/>
      <c r="BX8" s="2171"/>
      <c r="BY8" s="2171"/>
      <c r="BZ8" s="2162"/>
      <c r="CA8" s="2511" t="s">
        <v>1979</v>
      </c>
      <c r="CB8" s="2171"/>
      <c r="CC8" s="2171"/>
      <c r="CD8" s="2171"/>
      <c r="CE8" s="2162"/>
      <c r="CF8" s="2511" t="s">
        <v>1980</v>
      </c>
      <c r="CG8" s="2162"/>
      <c r="CH8" s="2511" t="s">
        <v>1981</v>
      </c>
      <c r="CI8" s="2162"/>
      <c r="CJ8" s="2511" t="s">
        <v>1982</v>
      </c>
      <c r="CK8" s="2162"/>
      <c r="CL8" s="2511" t="s">
        <v>1983</v>
      </c>
      <c r="CM8" s="2171"/>
      <c r="CN8" s="2171"/>
      <c r="CO8" s="2171"/>
      <c r="CP8" s="2171"/>
      <c r="CQ8" s="2171"/>
      <c r="CR8" s="2171"/>
      <c r="CS8" s="2171"/>
      <c r="CT8" s="2171"/>
      <c r="CU8" s="2171"/>
      <c r="CV8" s="2162"/>
      <c r="CW8" s="2511" t="s">
        <v>2521</v>
      </c>
      <c r="CX8" s="2171"/>
      <c r="CY8" s="2162"/>
      <c r="CZ8" s="2509" t="s">
        <v>3508</v>
      </c>
      <c r="DA8" s="2190"/>
      <c r="DB8" s="2516" t="s">
        <v>2522</v>
      </c>
      <c r="DC8" s="1846"/>
      <c r="DD8" s="2516" t="s">
        <v>2523</v>
      </c>
      <c r="DE8" s="1846"/>
      <c r="DF8" s="1846"/>
      <c r="DG8" s="1846"/>
      <c r="DH8" s="2181"/>
    </row>
    <row r="9" spans="1:112" ht="22.35" customHeight="1">
      <c r="A9" s="1822"/>
      <c r="B9" s="1822"/>
      <c r="C9" s="1822"/>
      <c r="D9" s="1822"/>
      <c r="E9" s="1822"/>
      <c r="F9" s="1822"/>
      <c r="G9" s="1822"/>
      <c r="H9" s="1822"/>
      <c r="I9" s="1822"/>
      <c r="J9" s="1822"/>
      <c r="K9" s="1822"/>
      <c r="L9" s="1822"/>
      <c r="M9" s="1822"/>
      <c r="N9" s="1822"/>
      <c r="O9" s="1822" t="s">
        <v>3509</v>
      </c>
      <c r="P9" s="1822" t="s">
        <v>3510</v>
      </c>
      <c r="Q9" s="1818"/>
      <c r="R9" s="1818"/>
      <c r="S9" s="1818"/>
      <c r="T9" s="1818"/>
      <c r="U9" s="2511" t="s">
        <v>1984</v>
      </c>
      <c r="V9" s="2171"/>
      <c r="W9" s="2162"/>
      <c r="X9" s="1818"/>
      <c r="Y9" s="1822"/>
      <c r="Z9" s="1822"/>
      <c r="AA9" s="2510" t="s">
        <v>1985</v>
      </c>
      <c r="AB9" s="1846"/>
      <c r="AC9" s="2181"/>
      <c r="AD9" s="1822" t="s">
        <v>3511</v>
      </c>
      <c r="AE9" s="1822" t="s">
        <v>1986</v>
      </c>
      <c r="AF9" s="1822" t="s">
        <v>3512</v>
      </c>
      <c r="AG9" s="1822" t="s">
        <v>3513</v>
      </c>
      <c r="AH9" s="1822" t="s">
        <v>3514</v>
      </c>
      <c r="AI9" s="1822"/>
      <c r="AJ9" s="1822"/>
      <c r="AK9" s="1822"/>
      <c r="AL9" s="1822"/>
      <c r="AM9" s="1822"/>
      <c r="AN9" s="1822"/>
      <c r="AO9" s="1822"/>
      <c r="AP9" s="2511" t="s">
        <v>1987</v>
      </c>
      <c r="AQ9" s="2171"/>
      <c r="AR9" s="2162"/>
      <c r="AS9" s="2511" t="s">
        <v>1988</v>
      </c>
      <c r="AT9" s="2171"/>
      <c r="AU9" s="2171"/>
      <c r="AV9" s="2171"/>
      <c r="AW9" s="2162"/>
      <c r="AX9" s="1822" t="s">
        <v>3515</v>
      </c>
      <c r="AY9" s="1822" t="s">
        <v>3516</v>
      </c>
      <c r="AZ9" s="1822"/>
      <c r="BA9" s="1822"/>
      <c r="BB9" s="1822"/>
      <c r="BC9" s="1822"/>
      <c r="BD9" s="1822"/>
      <c r="BE9" s="1822"/>
      <c r="BF9" s="1822" t="s">
        <v>3517</v>
      </c>
      <c r="BG9" s="2511" t="s">
        <v>1989</v>
      </c>
      <c r="BH9" s="2171"/>
      <c r="BI9" s="2162"/>
      <c r="BJ9" s="2511" t="s">
        <v>1990</v>
      </c>
      <c r="BK9" s="2171"/>
      <c r="BL9" s="2171"/>
      <c r="BM9" s="2171"/>
      <c r="BN9" s="2162"/>
      <c r="BO9" s="1822"/>
      <c r="BP9" s="1822"/>
      <c r="BQ9" s="1822"/>
      <c r="BR9" s="2511" t="s">
        <v>1991</v>
      </c>
      <c r="BS9" s="2171"/>
      <c r="BT9" s="2162"/>
      <c r="BU9" s="2511" t="s">
        <v>1992</v>
      </c>
      <c r="BV9" s="2171"/>
      <c r="BW9" s="2171"/>
      <c r="BX9" s="2171"/>
      <c r="BY9" s="2162"/>
      <c r="BZ9" s="1822" t="s">
        <v>3518</v>
      </c>
      <c r="CA9" s="1822"/>
      <c r="CB9" s="1822"/>
      <c r="CC9" s="1822"/>
      <c r="CD9" s="1822"/>
      <c r="CE9" s="1822"/>
      <c r="CF9" s="1822"/>
      <c r="CG9" s="1822"/>
      <c r="CH9" s="1822"/>
      <c r="CI9" s="1822"/>
      <c r="CJ9" s="1822"/>
      <c r="CK9" s="1822"/>
      <c r="CL9" s="1822"/>
      <c r="CM9" s="1822"/>
      <c r="CN9" s="1822"/>
      <c r="CO9" s="2511" t="s">
        <v>1993</v>
      </c>
      <c r="CP9" s="2171"/>
      <c r="CQ9" s="2162"/>
      <c r="CR9" s="2510" t="s">
        <v>1994</v>
      </c>
      <c r="CS9" s="1846"/>
      <c r="CT9" s="1846"/>
      <c r="CU9" s="1846"/>
      <c r="CV9" s="2181"/>
      <c r="CW9" s="1822"/>
      <c r="CX9" s="1822"/>
      <c r="CY9" s="1822"/>
      <c r="CZ9" s="1822"/>
      <c r="DA9" s="1822" t="s">
        <v>3519</v>
      </c>
      <c r="DB9" s="2509"/>
      <c r="DC9" s="2190"/>
      <c r="DD9" s="2509"/>
      <c r="DE9" s="2190"/>
      <c r="DF9" s="2190"/>
      <c r="DG9" s="2190"/>
      <c r="DH9" s="2183"/>
    </row>
    <row r="10" spans="1:112" ht="15.6" customHeight="1">
      <c r="A10" s="1823" t="s">
        <v>1045</v>
      </c>
      <c r="B10" s="1823" t="s">
        <v>2514</v>
      </c>
      <c r="C10" s="1823" t="s">
        <v>2515</v>
      </c>
      <c r="D10" s="1823" t="s">
        <v>2516</v>
      </c>
      <c r="E10" s="1823" t="s">
        <v>1995</v>
      </c>
      <c r="F10" s="1823" t="s">
        <v>2517</v>
      </c>
      <c r="G10" s="1823" t="s">
        <v>2518</v>
      </c>
      <c r="H10" s="1823" t="s">
        <v>2519</v>
      </c>
      <c r="I10" s="1823" t="s">
        <v>690</v>
      </c>
      <c r="J10" s="1823" t="s">
        <v>1996</v>
      </c>
      <c r="K10" s="1823" t="s">
        <v>1997</v>
      </c>
      <c r="L10" s="1823" t="s">
        <v>1998</v>
      </c>
      <c r="M10" s="1823" t="s">
        <v>1999</v>
      </c>
      <c r="N10" s="1823" t="s">
        <v>2526</v>
      </c>
      <c r="O10" s="1823" t="s">
        <v>3520</v>
      </c>
      <c r="P10" s="1823" t="s">
        <v>3521</v>
      </c>
      <c r="Q10" s="1822" t="s">
        <v>57</v>
      </c>
      <c r="R10" s="1822" t="s">
        <v>2000</v>
      </c>
      <c r="S10" s="1822" t="s">
        <v>2001</v>
      </c>
      <c r="T10" s="1822" t="s">
        <v>57</v>
      </c>
      <c r="U10" s="1818"/>
      <c r="V10" s="1818"/>
      <c r="W10" s="1818"/>
      <c r="X10" s="1829" t="s">
        <v>60</v>
      </c>
      <c r="Y10" s="1823" t="s">
        <v>1986</v>
      </c>
      <c r="Z10" s="1823" t="s">
        <v>1986</v>
      </c>
      <c r="AA10" s="2510"/>
      <c r="AB10" s="1846"/>
      <c r="AC10" s="2181"/>
      <c r="AD10" s="1823" t="s">
        <v>3522</v>
      </c>
      <c r="AE10" s="1823" t="s">
        <v>3523</v>
      </c>
      <c r="AF10" s="1823" t="s">
        <v>3524</v>
      </c>
      <c r="AG10" s="1823" t="s">
        <v>3525</v>
      </c>
      <c r="AH10" s="1823" t="s">
        <v>3526</v>
      </c>
      <c r="AI10" s="1823" t="s">
        <v>2002</v>
      </c>
      <c r="AJ10" s="1823"/>
      <c r="AK10" s="1823"/>
      <c r="AL10" s="1823"/>
      <c r="AM10" s="1823"/>
      <c r="AN10" s="1823" t="s">
        <v>3527</v>
      </c>
      <c r="AO10" s="1823" t="s">
        <v>3527</v>
      </c>
      <c r="AP10" s="1823"/>
      <c r="AQ10" s="1823"/>
      <c r="AR10" s="1823"/>
      <c r="AS10" s="1823"/>
      <c r="AT10" s="2511" t="s">
        <v>2003</v>
      </c>
      <c r="AU10" s="2171"/>
      <c r="AV10" s="2162"/>
      <c r="AW10" s="1819"/>
      <c r="AX10" s="1823" t="s">
        <v>3528</v>
      </c>
      <c r="AY10" s="1823" t="s">
        <v>3529</v>
      </c>
      <c r="AZ10" s="1823" t="s">
        <v>2524</v>
      </c>
      <c r="BA10" s="1823" t="s">
        <v>2004</v>
      </c>
      <c r="BB10" s="1823" t="s">
        <v>2525</v>
      </c>
      <c r="BC10" s="1823" t="s">
        <v>57</v>
      </c>
      <c r="BD10" s="1823" t="s">
        <v>2023</v>
      </c>
      <c r="BE10" s="1823" t="s">
        <v>3517</v>
      </c>
      <c r="BF10" s="1823" t="s">
        <v>3530</v>
      </c>
      <c r="BG10" s="1822"/>
      <c r="BH10" s="1822"/>
      <c r="BI10" s="1822"/>
      <c r="BJ10" s="1822"/>
      <c r="BK10" s="2512" t="s">
        <v>1984</v>
      </c>
      <c r="BL10" s="2171"/>
      <c r="BM10" s="2162"/>
      <c r="BN10" s="1818"/>
      <c r="BO10" s="1822" t="s">
        <v>2004</v>
      </c>
      <c r="BP10" s="1822" t="s">
        <v>3519</v>
      </c>
      <c r="BQ10" s="1822" t="s">
        <v>3519</v>
      </c>
      <c r="BR10" s="1818"/>
      <c r="BS10" s="1818"/>
      <c r="BT10" s="1818"/>
      <c r="BU10" s="1818"/>
      <c r="BV10" s="2513" t="s">
        <v>1984</v>
      </c>
      <c r="BW10" s="1846"/>
      <c r="BX10" s="2181"/>
      <c r="BY10" s="1818"/>
      <c r="BZ10" s="1822" t="s">
        <v>3531</v>
      </c>
      <c r="CA10" s="1822" t="s">
        <v>3532</v>
      </c>
      <c r="CB10" s="1822" t="s">
        <v>2005</v>
      </c>
      <c r="CC10" s="1822"/>
      <c r="CD10" s="1822"/>
      <c r="CE10" s="1822"/>
      <c r="CF10" s="1822"/>
      <c r="CG10" s="1822"/>
      <c r="CH10" s="1822"/>
      <c r="CI10" s="1822"/>
      <c r="CJ10" s="1822"/>
      <c r="CK10" s="1822"/>
      <c r="CL10" s="1822"/>
      <c r="CM10" s="1822" t="s">
        <v>3533</v>
      </c>
      <c r="CN10" s="1822" t="s">
        <v>3534</v>
      </c>
      <c r="CO10" s="1823"/>
      <c r="CP10" s="1823"/>
      <c r="CQ10" s="1823"/>
      <c r="CR10" s="1819"/>
      <c r="CS10" s="2511" t="s">
        <v>1984</v>
      </c>
      <c r="CT10" s="2171"/>
      <c r="CU10" s="2162"/>
      <c r="CV10" s="1819"/>
      <c r="CW10" s="1823" t="s">
        <v>2022</v>
      </c>
      <c r="CX10" s="1823" t="s">
        <v>57</v>
      </c>
      <c r="CY10" s="1823" t="s">
        <v>2023</v>
      </c>
      <c r="CZ10" s="1823" t="s">
        <v>57</v>
      </c>
      <c r="DA10" s="1823" t="s">
        <v>3530</v>
      </c>
      <c r="DB10" s="1821" t="s">
        <v>3535</v>
      </c>
      <c r="DC10" s="1821"/>
      <c r="DD10" s="1821"/>
      <c r="DE10" s="1821"/>
      <c r="DF10" s="1821"/>
      <c r="DG10" s="1821"/>
      <c r="DH10" s="1822"/>
    </row>
    <row r="11" spans="1:112" ht="39.4" customHeight="1">
      <c r="A11" s="1829"/>
      <c r="B11" s="1829"/>
      <c r="C11" s="1829"/>
      <c r="D11" s="1829"/>
      <c r="E11" s="1829"/>
      <c r="F11" s="1829"/>
      <c r="G11" s="1829"/>
      <c r="H11" s="1829"/>
      <c r="I11" s="1829"/>
      <c r="J11" s="1829" t="s">
        <v>2006</v>
      </c>
      <c r="K11" s="1829" t="s">
        <v>2006</v>
      </c>
      <c r="L11" s="1829"/>
      <c r="M11" s="1829" t="s">
        <v>2007</v>
      </c>
      <c r="N11" s="1829" t="s">
        <v>2533</v>
      </c>
      <c r="O11" s="1829" t="s">
        <v>3536</v>
      </c>
      <c r="P11" s="1829" t="s">
        <v>3537</v>
      </c>
      <c r="Q11" s="1829"/>
      <c r="R11" s="1829"/>
      <c r="S11" s="1829" t="s">
        <v>2008</v>
      </c>
      <c r="T11" s="1829"/>
      <c r="U11" s="1829" t="s">
        <v>2009</v>
      </c>
      <c r="V11" s="1829" t="s">
        <v>2010</v>
      </c>
      <c r="W11" s="1829" t="s">
        <v>2011</v>
      </c>
      <c r="X11" s="1823"/>
      <c r="Y11" s="1829" t="s">
        <v>2012</v>
      </c>
      <c r="Z11" s="1829" t="s">
        <v>2013</v>
      </c>
      <c r="AA11" s="1820" t="s">
        <v>2014</v>
      </c>
      <c r="AB11" s="1820" t="s">
        <v>2000</v>
      </c>
      <c r="AC11" s="1820" t="s">
        <v>2015</v>
      </c>
      <c r="AD11" s="1829" t="s">
        <v>3538</v>
      </c>
      <c r="AE11" s="1829"/>
      <c r="AF11" s="1829"/>
      <c r="AG11" s="1829"/>
      <c r="AH11" s="1829"/>
      <c r="AI11" s="1829"/>
      <c r="AJ11" s="1829" t="s">
        <v>57</v>
      </c>
      <c r="AK11" s="1829" t="s">
        <v>2000</v>
      </c>
      <c r="AL11" s="1829" t="s">
        <v>2015</v>
      </c>
      <c r="AM11" s="1829" t="s">
        <v>2016</v>
      </c>
      <c r="AN11" s="1829" t="s">
        <v>3539</v>
      </c>
      <c r="AO11" s="1829" t="s">
        <v>3540</v>
      </c>
      <c r="AP11" s="1829" t="s">
        <v>57</v>
      </c>
      <c r="AQ11" s="1829" t="s">
        <v>2000</v>
      </c>
      <c r="AR11" s="1829" t="s">
        <v>2015</v>
      </c>
      <c r="AS11" s="1829" t="s">
        <v>57</v>
      </c>
      <c r="AT11" s="1820" t="s">
        <v>2017</v>
      </c>
      <c r="AU11" s="1820" t="s">
        <v>2010</v>
      </c>
      <c r="AV11" s="1820" t="s">
        <v>2011</v>
      </c>
      <c r="AW11" s="1829" t="s">
        <v>60</v>
      </c>
      <c r="AX11" s="1829" t="s">
        <v>3541</v>
      </c>
      <c r="AY11" s="1829" t="s">
        <v>3542</v>
      </c>
      <c r="AZ11" s="1829"/>
      <c r="BA11" s="1829"/>
      <c r="BB11" s="1829"/>
      <c r="BC11" s="1829"/>
      <c r="BD11" s="1829"/>
      <c r="BE11" s="1829" t="s">
        <v>3543</v>
      </c>
      <c r="BF11" s="1829" t="s">
        <v>3544</v>
      </c>
      <c r="BG11" s="1829" t="s">
        <v>57</v>
      </c>
      <c r="BH11" s="1829" t="s">
        <v>2000</v>
      </c>
      <c r="BI11" s="1829" t="s">
        <v>2015</v>
      </c>
      <c r="BJ11" s="1829" t="s">
        <v>57</v>
      </c>
      <c r="BK11" s="1823" t="s">
        <v>2018</v>
      </c>
      <c r="BL11" s="1823" t="s">
        <v>2019</v>
      </c>
      <c r="BM11" s="1823" t="s">
        <v>2020</v>
      </c>
      <c r="BN11" s="1829" t="s">
        <v>60</v>
      </c>
      <c r="BO11" s="1829"/>
      <c r="BP11" s="1829" t="s">
        <v>3545</v>
      </c>
      <c r="BQ11" s="1829" t="s">
        <v>3546</v>
      </c>
      <c r="BR11" s="1829" t="s">
        <v>57</v>
      </c>
      <c r="BS11" s="1829" t="s">
        <v>2000</v>
      </c>
      <c r="BT11" s="1829" t="s">
        <v>2015</v>
      </c>
      <c r="BU11" s="1829" t="s">
        <v>57</v>
      </c>
      <c r="BV11" s="1820" t="s">
        <v>2017</v>
      </c>
      <c r="BW11" s="1820" t="s">
        <v>2010</v>
      </c>
      <c r="BX11" s="1820" t="s">
        <v>2011</v>
      </c>
      <c r="BY11" s="1829" t="s">
        <v>60</v>
      </c>
      <c r="BZ11" s="1829" t="s">
        <v>3547</v>
      </c>
      <c r="CA11" s="1829" t="s">
        <v>3548</v>
      </c>
      <c r="CB11" s="1829" t="s">
        <v>2021</v>
      </c>
      <c r="CC11" s="1829" t="s">
        <v>2022</v>
      </c>
      <c r="CD11" s="1829" t="s">
        <v>57</v>
      </c>
      <c r="CE11" s="1829" t="s">
        <v>2023</v>
      </c>
      <c r="CF11" s="1829" t="s">
        <v>57</v>
      </c>
      <c r="CG11" s="1829" t="s">
        <v>2023</v>
      </c>
      <c r="CH11" s="1829" t="s">
        <v>57</v>
      </c>
      <c r="CI11" s="1829" t="s">
        <v>2023</v>
      </c>
      <c r="CJ11" s="1829" t="s">
        <v>57</v>
      </c>
      <c r="CK11" s="1829" t="s">
        <v>2023</v>
      </c>
      <c r="CL11" s="1829" t="s">
        <v>2022</v>
      </c>
      <c r="CM11" s="1829" t="s">
        <v>3549</v>
      </c>
      <c r="CN11" s="1829" t="s">
        <v>3550</v>
      </c>
      <c r="CO11" s="1829" t="s">
        <v>57</v>
      </c>
      <c r="CP11" s="1829" t="s">
        <v>2000</v>
      </c>
      <c r="CQ11" s="1829" t="s">
        <v>4177</v>
      </c>
      <c r="CR11" s="1829" t="s">
        <v>57</v>
      </c>
      <c r="CS11" s="1823" t="s">
        <v>2017</v>
      </c>
      <c r="CT11" s="1823" t="s">
        <v>2010</v>
      </c>
      <c r="CU11" s="1823" t="s">
        <v>2011</v>
      </c>
      <c r="CV11" s="1829" t="s">
        <v>60</v>
      </c>
      <c r="CW11" s="1829"/>
      <c r="CX11" s="1829"/>
      <c r="CY11" s="1829"/>
      <c r="CZ11" s="1829"/>
      <c r="DA11" s="1829" t="s">
        <v>3545</v>
      </c>
      <c r="DB11" s="1828" t="s">
        <v>3551</v>
      </c>
      <c r="DC11" s="1828" t="s">
        <v>2527</v>
      </c>
      <c r="DD11" s="1828" t="s">
        <v>2528</v>
      </c>
      <c r="DE11" s="1828" t="s">
        <v>2529</v>
      </c>
      <c r="DF11" s="1828" t="s">
        <v>2530</v>
      </c>
      <c r="DG11" s="1828" t="s">
        <v>2531</v>
      </c>
      <c r="DH11" s="1829" t="s">
        <v>2532</v>
      </c>
    </row>
    <row r="12" spans="1:112" ht="17.100000000000001" customHeight="1">
      <c r="A12" s="1689" t="s">
        <v>2024</v>
      </c>
      <c r="B12" s="1689" t="s">
        <v>2534</v>
      </c>
      <c r="C12" s="1689" t="s">
        <v>2535</v>
      </c>
      <c r="D12" s="1689" t="s">
        <v>2536</v>
      </c>
      <c r="E12" s="1689" t="s">
        <v>2025</v>
      </c>
      <c r="F12" s="1689" t="s">
        <v>2072</v>
      </c>
      <c r="G12" s="1689" t="s">
        <v>2074</v>
      </c>
      <c r="H12" s="1689" t="s">
        <v>2075</v>
      </c>
      <c r="I12" s="1689" t="s">
        <v>2026</v>
      </c>
      <c r="J12" s="1689" t="s">
        <v>1706</v>
      </c>
      <c r="K12" s="1689" t="s">
        <v>1707</v>
      </c>
      <c r="L12" s="1689" t="s">
        <v>1709</v>
      </c>
      <c r="M12" s="1689" t="s">
        <v>1710</v>
      </c>
      <c r="N12" s="1689" t="s">
        <v>1711</v>
      </c>
      <c r="O12" s="1689" t="s">
        <v>4264</v>
      </c>
      <c r="P12" s="1689" t="s">
        <v>4265</v>
      </c>
      <c r="Q12" s="1689" t="s">
        <v>4266</v>
      </c>
      <c r="R12" s="1689" t="s">
        <v>1718</v>
      </c>
      <c r="S12" s="1689" t="s">
        <v>1719</v>
      </c>
      <c r="T12" s="1689" t="s">
        <v>4267</v>
      </c>
      <c r="U12" s="1689" t="s">
        <v>1721</v>
      </c>
      <c r="V12" s="1689" t="s">
        <v>1722</v>
      </c>
      <c r="W12" s="1689" t="s">
        <v>1723</v>
      </c>
      <c r="X12" s="1689" t="s">
        <v>1724</v>
      </c>
      <c r="Y12" s="1689" t="s">
        <v>1725</v>
      </c>
      <c r="Z12" s="1689" t="s">
        <v>1726</v>
      </c>
      <c r="AA12" s="1689" t="s">
        <v>4268</v>
      </c>
      <c r="AB12" s="1689" t="s">
        <v>1728</v>
      </c>
      <c r="AC12" s="1689" t="s">
        <v>1729</v>
      </c>
      <c r="AD12" s="1689" t="s">
        <v>1730</v>
      </c>
      <c r="AE12" s="1689" t="s">
        <v>1731</v>
      </c>
      <c r="AF12" s="1689" t="s">
        <v>1732</v>
      </c>
      <c r="AG12" s="1689" t="s">
        <v>1733</v>
      </c>
      <c r="AH12" s="1689" t="s">
        <v>1734</v>
      </c>
      <c r="AI12" s="1689" t="s">
        <v>1735</v>
      </c>
      <c r="AJ12" s="1689" t="s">
        <v>4269</v>
      </c>
      <c r="AK12" s="1689" t="s">
        <v>1737</v>
      </c>
      <c r="AL12" s="1689" t="s">
        <v>1738</v>
      </c>
      <c r="AM12" s="1689" t="s">
        <v>1739</v>
      </c>
      <c r="AN12" s="1689" t="s">
        <v>4270</v>
      </c>
      <c r="AO12" s="1689" t="s">
        <v>4271</v>
      </c>
      <c r="AP12" s="1689" t="s">
        <v>4272</v>
      </c>
      <c r="AQ12" s="1689" t="s">
        <v>1743</v>
      </c>
      <c r="AR12" s="1689" t="s">
        <v>1744</v>
      </c>
      <c r="AS12" s="1689" t="s">
        <v>4273</v>
      </c>
      <c r="AT12" s="1689" t="s">
        <v>1746</v>
      </c>
      <c r="AU12" s="1689" t="s">
        <v>1433</v>
      </c>
      <c r="AV12" s="1689" t="s">
        <v>1747</v>
      </c>
      <c r="AW12" s="1689" t="s">
        <v>1748</v>
      </c>
      <c r="AX12" s="1689" t="s">
        <v>1749</v>
      </c>
      <c r="AY12" s="1689" t="s">
        <v>1750</v>
      </c>
      <c r="AZ12" s="1689" t="s">
        <v>1751</v>
      </c>
      <c r="BA12" s="1689" t="s">
        <v>2089</v>
      </c>
      <c r="BB12" s="1689" t="s">
        <v>2090</v>
      </c>
      <c r="BC12" s="1689" t="s">
        <v>2091</v>
      </c>
      <c r="BD12" s="1689" t="s">
        <v>2092</v>
      </c>
      <c r="BE12" s="1689" t="s">
        <v>4274</v>
      </c>
      <c r="BF12" s="1689" t="s">
        <v>4275</v>
      </c>
      <c r="BG12" s="1689" t="s">
        <v>4276</v>
      </c>
      <c r="BH12" s="1689" t="s">
        <v>2027</v>
      </c>
      <c r="BI12" s="1689" t="s">
        <v>2028</v>
      </c>
      <c r="BJ12" s="1689" t="s">
        <v>4277</v>
      </c>
      <c r="BK12" s="1689" t="s">
        <v>2029</v>
      </c>
      <c r="BL12" s="1689" t="s">
        <v>2030</v>
      </c>
      <c r="BM12" s="1689" t="s">
        <v>2031</v>
      </c>
      <c r="BN12" s="1689" t="s">
        <v>2032</v>
      </c>
      <c r="BO12" s="1689" t="s">
        <v>2033</v>
      </c>
      <c r="BP12" s="1689" t="s">
        <v>4278</v>
      </c>
      <c r="BQ12" s="1689" t="s">
        <v>4279</v>
      </c>
      <c r="BR12" s="1689" t="s">
        <v>4280</v>
      </c>
      <c r="BS12" s="1689" t="s">
        <v>2034</v>
      </c>
      <c r="BT12" s="1689" t="s">
        <v>2035</v>
      </c>
      <c r="BU12" s="1689" t="s">
        <v>4281</v>
      </c>
      <c r="BV12" s="1689" t="s">
        <v>2036</v>
      </c>
      <c r="BW12" s="1689" t="s">
        <v>2037</v>
      </c>
      <c r="BX12" s="1689" t="s">
        <v>2038</v>
      </c>
      <c r="BY12" s="1689" t="s">
        <v>2039</v>
      </c>
      <c r="BZ12" s="1689" t="s">
        <v>2040</v>
      </c>
      <c r="CA12" s="1689" t="s">
        <v>2041</v>
      </c>
      <c r="CB12" s="1689" t="s">
        <v>2042</v>
      </c>
      <c r="CC12" s="1689" t="s">
        <v>2043</v>
      </c>
      <c r="CD12" s="1689" t="s">
        <v>2044</v>
      </c>
      <c r="CE12" s="1689" t="s">
        <v>2045</v>
      </c>
      <c r="CF12" s="1689" t="s">
        <v>2046</v>
      </c>
      <c r="CG12" s="1689" t="s">
        <v>2047</v>
      </c>
      <c r="CH12" s="1689" t="s">
        <v>2048</v>
      </c>
      <c r="CI12" s="1689" t="s">
        <v>2049</v>
      </c>
      <c r="CJ12" s="1689" t="s">
        <v>2050</v>
      </c>
      <c r="CK12" s="1689" t="s">
        <v>2051</v>
      </c>
      <c r="CL12" s="1689" t="s">
        <v>2052</v>
      </c>
      <c r="CM12" s="1689" t="s">
        <v>4282</v>
      </c>
      <c r="CN12" s="1689" t="s">
        <v>4283</v>
      </c>
      <c r="CO12" s="1689" t="s">
        <v>4284</v>
      </c>
      <c r="CP12" s="1689" t="s">
        <v>2053</v>
      </c>
      <c r="CQ12" s="1689" t="s">
        <v>2054</v>
      </c>
      <c r="CR12" s="1689" t="s">
        <v>4285</v>
      </c>
      <c r="CS12" s="1689" t="s">
        <v>2055</v>
      </c>
      <c r="CT12" s="1689" t="s">
        <v>2056</v>
      </c>
      <c r="CU12" s="1689" t="s">
        <v>2057</v>
      </c>
      <c r="CV12" s="1689" t="s">
        <v>2058</v>
      </c>
      <c r="CW12" s="1689" t="s">
        <v>2111</v>
      </c>
      <c r="CX12" s="1689" t="s">
        <v>2112</v>
      </c>
      <c r="CY12" s="1689" t="s">
        <v>2113</v>
      </c>
      <c r="CZ12" s="1689" t="s">
        <v>4286</v>
      </c>
      <c r="DA12" s="1689" t="s">
        <v>4287</v>
      </c>
      <c r="DB12" s="1689" t="s">
        <v>2116</v>
      </c>
      <c r="DC12" s="1689" t="s">
        <v>2117</v>
      </c>
      <c r="DD12" s="1689" t="s">
        <v>2118</v>
      </c>
      <c r="DE12" s="1689" t="s">
        <v>2119</v>
      </c>
      <c r="DF12" s="1689" t="s">
        <v>2120</v>
      </c>
      <c r="DG12" s="1689" t="s">
        <v>2121</v>
      </c>
      <c r="DH12" s="1689" t="s">
        <v>2122</v>
      </c>
    </row>
    <row r="13" spans="1:112">
      <c r="A13" s="1687" t="s">
        <v>57</v>
      </c>
      <c r="B13" s="1326"/>
      <c r="C13" s="1326"/>
      <c r="D13" s="1326"/>
      <c r="E13" s="1326"/>
      <c r="F13" s="1326"/>
      <c r="G13" s="1326"/>
      <c r="H13" s="1326"/>
      <c r="I13" s="1326"/>
      <c r="J13" s="1326"/>
      <c r="K13" s="1326"/>
      <c r="L13" s="1326"/>
      <c r="M13" s="1688">
        <v>59140855.979999997</v>
      </c>
      <c r="N13" s="1688">
        <v>0</v>
      </c>
      <c r="O13" s="1688">
        <v>59140855.979999997</v>
      </c>
      <c r="P13" s="1688">
        <v>50484560.780000001</v>
      </c>
      <c r="Q13" s="1688">
        <v>45036594.140000001</v>
      </c>
      <c r="R13" s="1688">
        <v>43734983.780000001</v>
      </c>
      <c r="S13" s="1688">
        <v>1301610.3600000001</v>
      </c>
      <c r="T13" s="1688">
        <v>14104261.84</v>
      </c>
      <c r="U13" s="1688">
        <v>415060.82</v>
      </c>
      <c r="V13" s="1688">
        <v>5031605.87</v>
      </c>
      <c r="W13" s="1688">
        <v>1299.95</v>
      </c>
      <c r="X13" s="1688">
        <v>8656295.1999999993</v>
      </c>
      <c r="Y13" s="1689"/>
      <c r="Z13" s="1687"/>
      <c r="AA13" s="1688">
        <v>1474164.87</v>
      </c>
      <c r="AB13" s="1688">
        <v>1407981.32</v>
      </c>
      <c r="AC13" s="1688">
        <v>66183.55</v>
      </c>
      <c r="AD13" s="1689"/>
      <c r="AE13" s="1326"/>
      <c r="AF13" s="1326"/>
      <c r="AG13" s="1410"/>
      <c r="AH13" s="1688">
        <v>23689135.940000001</v>
      </c>
      <c r="AI13" s="1688">
        <v>23925839.09</v>
      </c>
      <c r="AJ13" s="1688">
        <v>20032639.149999999</v>
      </c>
      <c r="AK13" s="1688">
        <v>19384396.34</v>
      </c>
      <c r="AL13" s="1688">
        <v>648242.81000000006</v>
      </c>
      <c r="AM13" s="1689"/>
      <c r="AN13" s="1688">
        <v>23579127.780000001</v>
      </c>
      <c r="AO13" s="1688">
        <v>19830995.079999998</v>
      </c>
      <c r="AP13" s="1688">
        <v>17387963.030000001</v>
      </c>
      <c r="AQ13" s="1688">
        <v>16879748.460000001</v>
      </c>
      <c r="AR13" s="1688">
        <v>508214.57</v>
      </c>
      <c r="AS13" s="1688">
        <v>6191164.75</v>
      </c>
      <c r="AT13" s="1688">
        <v>366404.67</v>
      </c>
      <c r="AU13" s="1688">
        <v>2076580.66</v>
      </c>
      <c r="AV13" s="1688">
        <v>46.72</v>
      </c>
      <c r="AW13" s="1688">
        <v>3748132.7</v>
      </c>
      <c r="AX13" s="1688">
        <v>0</v>
      </c>
      <c r="AY13" s="1688">
        <v>0</v>
      </c>
      <c r="AZ13" s="1688">
        <v>0</v>
      </c>
      <c r="BA13" s="1689"/>
      <c r="BB13" s="1689"/>
      <c r="BC13" s="1688">
        <v>0</v>
      </c>
      <c r="BD13" s="1688">
        <v>0</v>
      </c>
      <c r="BE13" s="1688">
        <v>23579127.780000001</v>
      </c>
      <c r="BF13" s="1688">
        <v>19830995.079999998</v>
      </c>
      <c r="BG13" s="1688">
        <v>17387963.030000001</v>
      </c>
      <c r="BH13" s="1688">
        <v>16879748.460000001</v>
      </c>
      <c r="BI13" s="1688">
        <v>508214.57</v>
      </c>
      <c r="BJ13" s="1688">
        <v>6191164.75</v>
      </c>
      <c r="BK13" s="1688">
        <v>366404.67</v>
      </c>
      <c r="BL13" s="1688">
        <v>2076580.66</v>
      </c>
      <c r="BM13" s="1688">
        <v>46.72</v>
      </c>
      <c r="BN13" s="1688">
        <v>3748132.7</v>
      </c>
      <c r="BO13" s="1689"/>
      <c r="BP13" s="1688">
        <v>19214735.670000002</v>
      </c>
      <c r="BQ13" s="1688">
        <v>15920261.439999999</v>
      </c>
      <c r="BR13" s="1688">
        <v>13954221.9</v>
      </c>
      <c r="BS13" s="1688">
        <v>13574899.57</v>
      </c>
      <c r="BT13" s="1688">
        <v>379322.33</v>
      </c>
      <c r="BU13" s="1688">
        <v>5260513.7699999996</v>
      </c>
      <c r="BV13" s="1688">
        <v>366404.67</v>
      </c>
      <c r="BW13" s="1688">
        <v>316376.59000000003</v>
      </c>
      <c r="BX13" s="1688">
        <v>0</v>
      </c>
      <c r="BY13" s="1688">
        <v>3294474.23</v>
      </c>
      <c r="BZ13" s="1688">
        <v>0</v>
      </c>
      <c r="CA13" s="1688">
        <v>0</v>
      </c>
      <c r="CB13" s="1689"/>
      <c r="CC13" s="1689"/>
      <c r="CD13" s="1688">
        <v>-245348.97</v>
      </c>
      <c r="CE13" s="1688">
        <v>-105902.39</v>
      </c>
      <c r="CF13" s="1688">
        <v>15633</v>
      </c>
      <c r="CG13" s="1688">
        <v>15633</v>
      </c>
      <c r="CH13" s="1688">
        <v>0</v>
      </c>
      <c r="CI13" s="1688">
        <v>0</v>
      </c>
      <c r="CJ13" s="1688">
        <v>174944.54</v>
      </c>
      <c r="CK13" s="1688">
        <v>174852.9</v>
      </c>
      <c r="CL13" s="1689"/>
      <c r="CM13" s="1688">
        <v>5715790.7300000004</v>
      </c>
      <c r="CN13" s="1688">
        <v>4138906.73</v>
      </c>
      <c r="CO13" s="1688">
        <v>3819454.4</v>
      </c>
      <c r="CP13" s="1688">
        <v>3770838.89</v>
      </c>
      <c r="CQ13" s="1688">
        <v>48615.51</v>
      </c>
      <c r="CR13" s="1688">
        <v>1896336.33</v>
      </c>
      <c r="CS13" s="1688">
        <v>3075.74</v>
      </c>
      <c r="CT13" s="1688">
        <v>316376.59000000003</v>
      </c>
      <c r="CU13" s="1688">
        <v>0</v>
      </c>
      <c r="CV13" s="1688">
        <v>1576884</v>
      </c>
      <c r="CW13" s="1689"/>
      <c r="CX13" s="1688">
        <v>-664417.46</v>
      </c>
      <c r="CY13" s="1688">
        <v>-311267.38</v>
      </c>
      <c r="CZ13" s="1688">
        <v>5051373.2699999996</v>
      </c>
      <c r="DA13" s="1688">
        <v>3827639.35</v>
      </c>
      <c r="DB13" s="1689"/>
      <c r="DC13" s="1687"/>
      <c r="DD13" s="1688">
        <v>37738.36</v>
      </c>
      <c r="DE13" s="1688">
        <v>0</v>
      </c>
      <c r="DF13" s="1688">
        <v>0</v>
      </c>
      <c r="DG13" s="1688">
        <v>2346.04</v>
      </c>
      <c r="DH13" s="1688">
        <v>0</v>
      </c>
    </row>
    <row r="14" spans="1:112">
      <c r="A14" s="1326" t="s">
        <v>2024</v>
      </c>
      <c r="B14" s="1326" t="s">
        <v>1681</v>
      </c>
      <c r="C14" s="1326"/>
      <c r="D14" s="1326"/>
      <c r="E14" s="1326"/>
      <c r="F14" s="1326"/>
      <c r="G14" s="1326"/>
      <c r="H14" s="1326"/>
      <c r="I14" s="1326"/>
      <c r="J14" s="1326"/>
      <c r="K14" s="1326"/>
      <c r="L14" s="1326"/>
      <c r="M14" s="1683">
        <v>6000000</v>
      </c>
      <c r="N14" s="1683">
        <v>0</v>
      </c>
      <c r="O14" s="1683">
        <v>6000000</v>
      </c>
      <c r="P14" s="1683">
        <v>6000000</v>
      </c>
      <c r="Q14" s="1683">
        <v>6000000</v>
      </c>
      <c r="R14" s="1683">
        <v>6000000</v>
      </c>
      <c r="S14" s="1683">
        <v>0</v>
      </c>
      <c r="T14" s="1683">
        <v>0</v>
      </c>
      <c r="U14" s="1683">
        <v>0</v>
      </c>
      <c r="V14" s="1683">
        <v>0</v>
      </c>
      <c r="W14" s="1683">
        <v>0</v>
      </c>
      <c r="X14" s="1683">
        <v>0</v>
      </c>
      <c r="Y14" s="1682"/>
      <c r="Z14" s="1326"/>
      <c r="AA14" s="1683">
        <v>0</v>
      </c>
      <c r="AB14" s="1683">
        <v>0</v>
      </c>
      <c r="AC14" s="1683">
        <v>0</v>
      </c>
      <c r="AD14" s="1682"/>
      <c r="AE14" s="1326"/>
      <c r="AF14" s="1326"/>
      <c r="AG14" s="1410"/>
      <c r="AH14" s="1683">
        <v>17212.919999999998</v>
      </c>
      <c r="AI14" s="1683">
        <v>70525.919999999998</v>
      </c>
      <c r="AJ14" s="1683">
        <v>70525.919999999998</v>
      </c>
      <c r="AK14" s="1683">
        <v>70525.919999999998</v>
      </c>
      <c r="AL14" s="1683">
        <v>0</v>
      </c>
      <c r="AM14" s="1682"/>
      <c r="AN14" s="1683">
        <v>17212.919999999998</v>
      </c>
      <c r="AO14" s="1683">
        <v>17212.919999999998</v>
      </c>
      <c r="AP14" s="1683">
        <v>17212.919999999998</v>
      </c>
      <c r="AQ14" s="1683">
        <v>17212.919999999998</v>
      </c>
      <c r="AR14" s="1683">
        <v>0</v>
      </c>
      <c r="AS14" s="1683">
        <v>0</v>
      </c>
      <c r="AT14" s="1683">
        <v>0</v>
      </c>
      <c r="AU14" s="1683">
        <v>0</v>
      </c>
      <c r="AV14" s="1683">
        <v>0</v>
      </c>
      <c r="AW14" s="1683">
        <v>0</v>
      </c>
      <c r="AX14" s="1683">
        <v>0</v>
      </c>
      <c r="AY14" s="1683">
        <v>0</v>
      </c>
      <c r="AZ14" s="1683">
        <v>0</v>
      </c>
      <c r="BA14" s="1682"/>
      <c r="BB14" s="1682"/>
      <c r="BC14" s="1683">
        <v>0</v>
      </c>
      <c r="BD14" s="1683">
        <v>0</v>
      </c>
      <c r="BE14" s="1683">
        <v>17212.919999999998</v>
      </c>
      <c r="BF14" s="1683">
        <v>17212.919999999998</v>
      </c>
      <c r="BG14" s="1683">
        <v>17212.919999999998</v>
      </c>
      <c r="BH14" s="1683">
        <v>17212.919999999998</v>
      </c>
      <c r="BI14" s="1683">
        <v>0</v>
      </c>
      <c r="BJ14" s="1683">
        <v>0</v>
      </c>
      <c r="BK14" s="1683">
        <v>0</v>
      </c>
      <c r="BL14" s="1683">
        <v>0</v>
      </c>
      <c r="BM14" s="1683">
        <v>0</v>
      </c>
      <c r="BN14" s="1683">
        <v>0</v>
      </c>
      <c r="BO14" s="1682"/>
      <c r="BP14" s="1683">
        <v>0</v>
      </c>
      <c r="BQ14" s="1683">
        <v>0</v>
      </c>
      <c r="BR14" s="1683">
        <v>0</v>
      </c>
      <c r="BS14" s="1683">
        <v>0</v>
      </c>
      <c r="BT14" s="1683">
        <v>0</v>
      </c>
      <c r="BU14" s="1683">
        <v>0</v>
      </c>
      <c r="BV14" s="1683">
        <v>0</v>
      </c>
      <c r="BW14" s="1683">
        <v>0</v>
      </c>
      <c r="BX14" s="1683">
        <v>0</v>
      </c>
      <c r="BY14" s="1683">
        <v>0</v>
      </c>
      <c r="BZ14" s="1400"/>
      <c r="CA14" s="1683">
        <v>0</v>
      </c>
      <c r="CB14" s="1682"/>
      <c r="CC14" s="1682"/>
      <c r="CD14" s="1683">
        <v>0</v>
      </c>
      <c r="CE14" s="1683">
        <v>0</v>
      </c>
      <c r="CF14" s="1683">
        <v>0</v>
      </c>
      <c r="CG14" s="1683">
        <v>0</v>
      </c>
      <c r="CH14" s="1683">
        <v>0</v>
      </c>
      <c r="CI14" s="1683">
        <v>0</v>
      </c>
      <c r="CJ14" s="1683">
        <v>0</v>
      </c>
      <c r="CK14" s="1683">
        <v>0</v>
      </c>
      <c r="CL14" s="1682"/>
      <c r="CM14" s="1683">
        <v>0</v>
      </c>
      <c r="CN14" s="1683">
        <v>0</v>
      </c>
      <c r="CO14" s="1683">
        <v>0</v>
      </c>
      <c r="CP14" s="1683">
        <v>0</v>
      </c>
      <c r="CQ14" s="1683">
        <v>0</v>
      </c>
      <c r="CR14" s="1683">
        <v>0</v>
      </c>
      <c r="CS14" s="1683">
        <v>0</v>
      </c>
      <c r="CT14" s="1683">
        <v>0</v>
      </c>
      <c r="CU14" s="1683">
        <v>0</v>
      </c>
      <c r="CV14" s="1683">
        <v>0</v>
      </c>
      <c r="CW14" s="1682"/>
      <c r="CX14" s="1683">
        <v>0</v>
      </c>
      <c r="CY14" s="1683">
        <v>0</v>
      </c>
      <c r="CZ14" s="1683">
        <v>0</v>
      </c>
      <c r="DA14" s="1683">
        <v>0</v>
      </c>
      <c r="DB14" s="1682"/>
      <c r="DC14" s="1326"/>
      <c r="DD14" s="1683">
        <v>0</v>
      </c>
      <c r="DE14" s="1683">
        <v>0</v>
      </c>
      <c r="DF14" s="1683">
        <v>0</v>
      </c>
      <c r="DG14" s="1683">
        <v>0</v>
      </c>
      <c r="DH14" s="1683">
        <v>0</v>
      </c>
    </row>
    <row r="15" spans="1:112">
      <c r="A15" s="1326" t="s">
        <v>2534</v>
      </c>
      <c r="B15" s="1326" t="s">
        <v>1681</v>
      </c>
      <c r="C15" s="1326" t="s">
        <v>2750</v>
      </c>
      <c r="D15" s="1326"/>
      <c r="E15" s="1326"/>
      <c r="F15" s="1326"/>
      <c r="G15" s="1326"/>
      <c r="H15" s="1326"/>
      <c r="I15" s="1326"/>
      <c r="J15" s="1326"/>
      <c r="K15" s="1326"/>
      <c r="L15" s="1326"/>
      <c r="M15" s="1683">
        <v>6000000</v>
      </c>
      <c r="N15" s="1683">
        <v>0</v>
      </c>
      <c r="O15" s="1683">
        <v>6000000</v>
      </c>
      <c r="P15" s="1683">
        <v>6000000</v>
      </c>
      <c r="Q15" s="1683">
        <v>6000000</v>
      </c>
      <c r="R15" s="1683">
        <v>6000000</v>
      </c>
      <c r="S15" s="1683">
        <v>0</v>
      </c>
      <c r="T15" s="1683">
        <v>0</v>
      </c>
      <c r="U15" s="1683">
        <v>0</v>
      </c>
      <c r="V15" s="1683">
        <v>0</v>
      </c>
      <c r="W15" s="1683">
        <v>0</v>
      </c>
      <c r="X15" s="1683">
        <v>0</v>
      </c>
      <c r="Y15" s="1682"/>
      <c r="Z15" s="1326"/>
      <c r="AA15" s="1683">
        <v>0</v>
      </c>
      <c r="AB15" s="1683">
        <v>0</v>
      </c>
      <c r="AC15" s="1683">
        <v>0</v>
      </c>
      <c r="AD15" s="1682"/>
      <c r="AE15" s="1326"/>
      <c r="AF15" s="1326"/>
      <c r="AG15" s="1410"/>
      <c r="AH15" s="1683">
        <v>17212.919999999998</v>
      </c>
      <c r="AI15" s="1683">
        <v>70525.919999999998</v>
      </c>
      <c r="AJ15" s="1683">
        <v>70525.919999999998</v>
      </c>
      <c r="AK15" s="1683">
        <v>70525.919999999998</v>
      </c>
      <c r="AL15" s="1683">
        <v>0</v>
      </c>
      <c r="AM15" s="1682"/>
      <c r="AN15" s="1683">
        <v>17212.919999999998</v>
      </c>
      <c r="AO15" s="1683">
        <v>17212.919999999998</v>
      </c>
      <c r="AP15" s="1683">
        <v>17212.919999999998</v>
      </c>
      <c r="AQ15" s="1683">
        <v>17212.919999999998</v>
      </c>
      <c r="AR15" s="1683">
        <v>0</v>
      </c>
      <c r="AS15" s="1683">
        <v>0</v>
      </c>
      <c r="AT15" s="1683">
        <v>0</v>
      </c>
      <c r="AU15" s="1683">
        <v>0</v>
      </c>
      <c r="AV15" s="1683">
        <v>0</v>
      </c>
      <c r="AW15" s="1683">
        <v>0</v>
      </c>
      <c r="AX15" s="1683">
        <v>0</v>
      </c>
      <c r="AY15" s="1683">
        <v>0</v>
      </c>
      <c r="AZ15" s="1683">
        <v>0</v>
      </c>
      <c r="BA15" s="1682"/>
      <c r="BB15" s="1682"/>
      <c r="BC15" s="1683">
        <v>0</v>
      </c>
      <c r="BD15" s="1683">
        <v>0</v>
      </c>
      <c r="BE15" s="1683">
        <v>17212.919999999998</v>
      </c>
      <c r="BF15" s="1683">
        <v>17212.919999999998</v>
      </c>
      <c r="BG15" s="1683">
        <v>17212.919999999998</v>
      </c>
      <c r="BH15" s="1683">
        <v>17212.919999999998</v>
      </c>
      <c r="BI15" s="1683">
        <v>0</v>
      </c>
      <c r="BJ15" s="1683">
        <v>0</v>
      </c>
      <c r="BK15" s="1683">
        <v>0</v>
      </c>
      <c r="BL15" s="1683">
        <v>0</v>
      </c>
      <c r="BM15" s="1683">
        <v>0</v>
      </c>
      <c r="BN15" s="1683">
        <v>0</v>
      </c>
      <c r="BO15" s="1682"/>
      <c r="BP15" s="1683">
        <v>0</v>
      </c>
      <c r="BQ15" s="1683">
        <v>0</v>
      </c>
      <c r="BR15" s="1683">
        <v>0</v>
      </c>
      <c r="BS15" s="1683">
        <v>0</v>
      </c>
      <c r="BT15" s="1683">
        <v>0</v>
      </c>
      <c r="BU15" s="1683">
        <v>0</v>
      </c>
      <c r="BV15" s="1683">
        <v>0</v>
      </c>
      <c r="BW15" s="1683">
        <v>0</v>
      </c>
      <c r="BX15" s="1683">
        <v>0</v>
      </c>
      <c r="BY15" s="1683">
        <v>0</v>
      </c>
      <c r="BZ15" s="1400"/>
      <c r="CA15" s="1683">
        <v>0</v>
      </c>
      <c r="CB15" s="1682"/>
      <c r="CC15" s="1682"/>
      <c r="CD15" s="1683">
        <v>0</v>
      </c>
      <c r="CE15" s="1683">
        <v>0</v>
      </c>
      <c r="CF15" s="1683">
        <v>0</v>
      </c>
      <c r="CG15" s="1683">
        <v>0</v>
      </c>
      <c r="CH15" s="1683">
        <v>0</v>
      </c>
      <c r="CI15" s="1683">
        <v>0</v>
      </c>
      <c r="CJ15" s="1683">
        <v>0</v>
      </c>
      <c r="CK15" s="1683">
        <v>0</v>
      </c>
      <c r="CL15" s="1682"/>
      <c r="CM15" s="1683">
        <v>0</v>
      </c>
      <c r="CN15" s="1683">
        <v>0</v>
      </c>
      <c r="CO15" s="1683">
        <v>0</v>
      </c>
      <c r="CP15" s="1683">
        <v>0</v>
      </c>
      <c r="CQ15" s="1683">
        <v>0</v>
      </c>
      <c r="CR15" s="1683">
        <v>0</v>
      </c>
      <c r="CS15" s="1683">
        <v>0</v>
      </c>
      <c r="CT15" s="1683">
        <v>0</v>
      </c>
      <c r="CU15" s="1683">
        <v>0</v>
      </c>
      <c r="CV15" s="1683">
        <v>0</v>
      </c>
      <c r="CW15" s="1682"/>
      <c r="CX15" s="1683">
        <v>0</v>
      </c>
      <c r="CY15" s="1683">
        <v>0</v>
      </c>
      <c r="CZ15" s="1683">
        <v>0</v>
      </c>
      <c r="DA15" s="1683">
        <v>0</v>
      </c>
      <c r="DB15" s="1682"/>
      <c r="DC15" s="1326"/>
      <c r="DD15" s="1683">
        <v>0</v>
      </c>
      <c r="DE15" s="1683">
        <v>0</v>
      </c>
      <c r="DF15" s="1683">
        <v>0</v>
      </c>
      <c r="DG15" s="1683">
        <v>0</v>
      </c>
      <c r="DH15" s="1683">
        <v>0</v>
      </c>
    </row>
    <row r="16" spans="1:112">
      <c r="A16" s="1326" t="s">
        <v>2535</v>
      </c>
      <c r="B16" s="1326" t="s">
        <v>1681</v>
      </c>
      <c r="C16" s="1326" t="s">
        <v>2750</v>
      </c>
      <c r="D16" s="1326" t="s">
        <v>2751</v>
      </c>
      <c r="E16" s="1326"/>
      <c r="F16" s="1326"/>
      <c r="G16" s="1326"/>
      <c r="H16" s="1326"/>
      <c r="I16" s="1326"/>
      <c r="J16" s="1326"/>
      <c r="K16" s="1326"/>
      <c r="L16" s="1326"/>
      <c r="M16" s="1683">
        <v>6000000</v>
      </c>
      <c r="N16" s="1683">
        <v>0</v>
      </c>
      <c r="O16" s="1683">
        <v>6000000</v>
      </c>
      <c r="P16" s="1683">
        <v>6000000</v>
      </c>
      <c r="Q16" s="1683">
        <v>6000000</v>
      </c>
      <c r="R16" s="1683">
        <v>6000000</v>
      </c>
      <c r="S16" s="1683">
        <v>0</v>
      </c>
      <c r="T16" s="1683">
        <v>0</v>
      </c>
      <c r="U16" s="1683">
        <v>0</v>
      </c>
      <c r="V16" s="1683">
        <v>0</v>
      </c>
      <c r="W16" s="1683">
        <v>0</v>
      </c>
      <c r="X16" s="1683">
        <v>0</v>
      </c>
      <c r="Y16" s="1682"/>
      <c r="Z16" s="1326"/>
      <c r="AA16" s="1683">
        <v>0</v>
      </c>
      <c r="AB16" s="1683">
        <v>0</v>
      </c>
      <c r="AC16" s="1683">
        <v>0</v>
      </c>
      <c r="AD16" s="1682"/>
      <c r="AE16" s="1326"/>
      <c r="AF16" s="1326"/>
      <c r="AG16" s="1410"/>
      <c r="AH16" s="1683">
        <v>17212.919999999998</v>
      </c>
      <c r="AI16" s="1683">
        <v>70525.919999999998</v>
      </c>
      <c r="AJ16" s="1683">
        <v>70525.919999999998</v>
      </c>
      <c r="AK16" s="1683">
        <v>70525.919999999998</v>
      </c>
      <c r="AL16" s="1683">
        <v>0</v>
      </c>
      <c r="AM16" s="1682"/>
      <c r="AN16" s="1683">
        <v>17212.919999999998</v>
      </c>
      <c r="AO16" s="1683">
        <v>17212.919999999998</v>
      </c>
      <c r="AP16" s="1683">
        <v>17212.919999999998</v>
      </c>
      <c r="AQ16" s="1683">
        <v>17212.919999999998</v>
      </c>
      <c r="AR16" s="1683">
        <v>0</v>
      </c>
      <c r="AS16" s="1683">
        <v>0</v>
      </c>
      <c r="AT16" s="1683">
        <v>0</v>
      </c>
      <c r="AU16" s="1683">
        <v>0</v>
      </c>
      <c r="AV16" s="1683">
        <v>0</v>
      </c>
      <c r="AW16" s="1683">
        <v>0</v>
      </c>
      <c r="AX16" s="1683">
        <v>0</v>
      </c>
      <c r="AY16" s="1683">
        <v>0</v>
      </c>
      <c r="AZ16" s="1683">
        <v>0</v>
      </c>
      <c r="BA16" s="1682"/>
      <c r="BB16" s="1682"/>
      <c r="BC16" s="1683">
        <v>0</v>
      </c>
      <c r="BD16" s="1683">
        <v>0</v>
      </c>
      <c r="BE16" s="1683">
        <v>17212.919999999998</v>
      </c>
      <c r="BF16" s="1683">
        <v>17212.919999999998</v>
      </c>
      <c r="BG16" s="1683">
        <v>17212.919999999998</v>
      </c>
      <c r="BH16" s="1683">
        <v>17212.919999999998</v>
      </c>
      <c r="BI16" s="1683">
        <v>0</v>
      </c>
      <c r="BJ16" s="1683">
        <v>0</v>
      </c>
      <c r="BK16" s="1683">
        <v>0</v>
      </c>
      <c r="BL16" s="1683">
        <v>0</v>
      </c>
      <c r="BM16" s="1683">
        <v>0</v>
      </c>
      <c r="BN16" s="1683">
        <v>0</v>
      </c>
      <c r="BO16" s="1682"/>
      <c r="BP16" s="1683">
        <v>0</v>
      </c>
      <c r="BQ16" s="1683">
        <v>0</v>
      </c>
      <c r="BR16" s="1683">
        <v>0</v>
      </c>
      <c r="BS16" s="1683">
        <v>0</v>
      </c>
      <c r="BT16" s="1683">
        <v>0</v>
      </c>
      <c r="BU16" s="1683">
        <v>0</v>
      </c>
      <c r="BV16" s="1683">
        <v>0</v>
      </c>
      <c r="BW16" s="1683">
        <v>0</v>
      </c>
      <c r="BX16" s="1683">
        <v>0</v>
      </c>
      <c r="BY16" s="1683">
        <v>0</v>
      </c>
      <c r="BZ16" s="1400"/>
      <c r="CA16" s="1683">
        <v>0</v>
      </c>
      <c r="CB16" s="1682"/>
      <c r="CC16" s="1682"/>
      <c r="CD16" s="1683">
        <v>0</v>
      </c>
      <c r="CE16" s="1683">
        <v>0</v>
      </c>
      <c r="CF16" s="1683">
        <v>0</v>
      </c>
      <c r="CG16" s="1683">
        <v>0</v>
      </c>
      <c r="CH16" s="1683">
        <v>0</v>
      </c>
      <c r="CI16" s="1683">
        <v>0</v>
      </c>
      <c r="CJ16" s="1683">
        <v>0</v>
      </c>
      <c r="CK16" s="1683">
        <v>0</v>
      </c>
      <c r="CL16" s="1682"/>
      <c r="CM16" s="1683">
        <v>0</v>
      </c>
      <c r="CN16" s="1683">
        <v>0</v>
      </c>
      <c r="CO16" s="1683">
        <v>0</v>
      </c>
      <c r="CP16" s="1683">
        <v>0</v>
      </c>
      <c r="CQ16" s="1683">
        <v>0</v>
      </c>
      <c r="CR16" s="1683">
        <v>0</v>
      </c>
      <c r="CS16" s="1683">
        <v>0</v>
      </c>
      <c r="CT16" s="1683">
        <v>0</v>
      </c>
      <c r="CU16" s="1683">
        <v>0</v>
      </c>
      <c r="CV16" s="1683">
        <v>0</v>
      </c>
      <c r="CW16" s="1682"/>
      <c r="CX16" s="1683">
        <v>0</v>
      </c>
      <c r="CY16" s="1683">
        <v>0</v>
      </c>
      <c r="CZ16" s="1683">
        <v>0</v>
      </c>
      <c r="DA16" s="1683">
        <v>0</v>
      </c>
      <c r="DB16" s="1682"/>
      <c r="DC16" s="1326"/>
      <c r="DD16" s="1683">
        <v>0</v>
      </c>
      <c r="DE16" s="1683">
        <v>0</v>
      </c>
      <c r="DF16" s="1683">
        <v>0</v>
      </c>
      <c r="DG16" s="1683">
        <v>0</v>
      </c>
      <c r="DH16" s="1683">
        <v>0</v>
      </c>
    </row>
    <row r="17" spans="1:112">
      <c r="A17" s="1326" t="s">
        <v>2536</v>
      </c>
      <c r="B17" s="1326" t="s">
        <v>1681</v>
      </c>
      <c r="C17" s="1326" t="s">
        <v>2750</v>
      </c>
      <c r="D17" s="1326" t="s">
        <v>2751</v>
      </c>
      <c r="E17" s="1326" t="s">
        <v>2752</v>
      </c>
      <c r="F17" s="1326"/>
      <c r="G17" s="1326"/>
      <c r="H17" s="1326"/>
      <c r="I17" s="1326"/>
      <c r="J17" s="1326"/>
      <c r="K17" s="1326"/>
      <c r="L17" s="1326"/>
      <c r="M17" s="1683">
        <v>6000000</v>
      </c>
      <c r="N17" s="1683">
        <v>0</v>
      </c>
      <c r="O17" s="1683">
        <v>6000000</v>
      </c>
      <c r="P17" s="1683">
        <v>6000000</v>
      </c>
      <c r="Q17" s="1683">
        <v>6000000</v>
      </c>
      <c r="R17" s="1683">
        <v>6000000</v>
      </c>
      <c r="S17" s="1683">
        <v>0</v>
      </c>
      <c r="T17" s="1683">
        <v>0</v>
      </c>
      <c r="U17" s="1683">
        <v>0</v>
      </c>
      <c r="V17" s="1683">
        <v>0</v>
      </c>
      <c r="W17" s="1683">
        <v>0</v>
      </c>
      <c r="X17" s="1683">
        <v>0</v>
      </c>
      <c r="Y17" s="1682"/>
      <c r="Z17" s="1326"/>
      <c r="AA17" s="1683">
        <v>0</v>
      </c>
      <c r="AB17" s="1683">
        <v>0</v>
      </c>
      <c r="AC17" s="1683">
        <v>0</v>
      </c>
      <c r="AD17" s="1682"/>
      <c r="AE17" s="1326"/>
      <c r="AF17" s="1326"/>
      <c r="AG17" s="1410"/>
      <c r="AH17" s="1683">
        <v>17212.919999999998</v>
      </c>
      <c r="AI17" s="1683">
        <v>70525.919999999998</v>
      </c>
      <c r="AJ17" s="1683">
        <v>70525.919999999998</v>
      </c>
      <c r="AK17" s="1683">
        <v>70525.919999999998</v>
      </c>
      <c r="AL17" s="1683">
        <v>0</v>
      </c>
      <c r="AM17" s="1682"/>
      <c r="AN17" s="1683">
        <v>17212.919999999998</v>
      </c>
      <c r="AO17" s="1683">
        <v>17212.919999999998</v>
      </c>
      <c r="AP17" s="1683">
        <v>17212.919999999998</v>
      </c>
      <c r="AQ17" s="1683">
        <v>17212.919999999998</v>
      </c>
      <c r="AR17" s="1683">
        <v>0</v>
      </c>
      <c r="AS17" s="1683">
        <v>0</v>
      </c>
      <c r="AT17" s="1683">
        <v>0</v>
      </c>
      <c r="AU17" s="1683">
        <v>0</v>
      </c>
      <c r="AV17" s="1683">
        <v>0</v>
      </c>
      <c r="AW17" s="1683">
        <v>0</v>
      </c>
      <c r="AX17" s="1683">
        <v>0</v>
      </c>
      <c r="AY17" s="1683">
        <v>0</v>
      </c>
      <c r="AZ17" s="1683">
        <v>0</v>
      </c>
      <c r="BA17" s="1682"/>
      <c r="BB17" s="1682"/>
      <c r="BC17" s="1683">
        <v>0</v>
      </c>
      <c r="BD17" s="1683">
        <v>0</v>
      </c>
      <c r="BE17" s="1683">
        <v>17212.919999999998</v>
      </c>
      <c r="BF17" s="1683">
        <v>17212.919999999998</v>
      </c>
      <c r="BG17" s="1683">
        <v>17212.919999999998</v>
      </c>
      <c r="BH17" s="1683">
        <v>17212.919999999998</v>
      </c>
      <c r="BI17" s="1683">
        <v>0</v>
      </c>
      <c r="BJ17" s="1683">
        <v>0</v>
      </c>
      <c r="BK17" s="1683">
        <v>0</v>
      </c>
      <c r="BL17" s="1683">
        <v>0</v>
      </c>
      <c r="BM17" s="1683">
        <v>0</v>
      </c>
      <c r="BN17" s="1683">
        <v>0</v>
      </c>
      <c r="BO17" s="1682"/>
      <c r="BP17" s="1683">
        <v>0</v>
      </c>
      <c r="BQ17" s="1683">
        <v>0</v>
      </c>
      <c r="BR17" s="1683">
        <v>0</v>
      </c>
      <c r="BS17" s="1683">
        <v>0</v>
      </c>
      <c r="BT17" s="1683">
        <v>0</v>
      </c>
      <c r="BU17" s="1683">
        <v>0</v>
      </c>
      <c r="BV17" s="1683">
        <v>0</v>
      </c>
      <c r="BW17" s="1683">
        <v>0</v>
      </c>
      <c r="BX17" s="1683">
        <v>0</v>
      </c>
      <c r="BY17" s="1683">
        <v>0</v>
      </c>
      <c r="BZ17" s="1400"/>
      <c r="CA17" s="1683">
        <v>0</v>
      </c>
      <c r="CB17" s="1682"/>
      <c r="CC17" s="1682"/>
      <c r="CD17" s="1683">
        <v>0</v>
      </c>
      <c r="CE17" s="1683">
        <v>0</v>
      </c>
      <c r="CF17" s="1683">
        <v>0</v>
      </c>
      <c r="CG17" s="1683">
        <v>0</v>
      </c>
      <c r="CH17" s="1683">
        <v>0</v>
      </c>
      <c r="CI17" s="1683">
        <v>0</v>
      </c>
      <c r="CJ17" s="1683">
        <v>0</v>
      </c>
      <c r="CK17" s="1683">
        <v>0</v>
      </c>
      <c r="CL17" s="1682"/>
      <c r="CM17" s="1683">
        <v>0</v>
      </c>
      <c r="CN17" s="1683">
        <v>0</v>
      </c>
      <c r="CO17" s="1683">
        <v>0</v>
      </c>
      <c r="CP17" s="1683">
        <v>0</v>
      </c>
      <c r="CQ17" s="1683">
        <v>0</v>
      </c>
      <c r="CR17" s="1683">
        <v>0</v>
      </c>
      <c r="CS17" s="1683">
        <v>0</v>
      </c>
      <c r="CT17" s="1683">
        <v>0</v>
      </c>
      <c r="CU17" s="1683">
        <v>0</v>
      </c>
      <c r="CV17" s="1683">
        <v>0</v>
      </c>
      <c r="CW17" s="1682"/>
      <c r="CX17" s="1683">
        <v>0</v>
      </c>
      <c r="CY17" s="1683">
        <v>0</v>
      </c>
      <c r="CZ17" s="1683">
        <v>0</v>
      </c>
      <c r="DA17" s="1683">
        <v>0</v>
      </c>
      <c r="DB17" s="1682"/>
      <c r="DC17" s="1326"/>
      <c r="DD17" s="1683">
        <v>0</v>
      </c>
      <c r="DE17" s="1683">
        <v>0</v>
      </c>
      <c r="DF17" s="1683">
        <v>0</v>
      </c>
      <c r="DG17" s="1683">
        <v>0</v>
      </c>
      <c r="DH17" s="1683">
        <v>0</v>
      </c>
    </row>
    <row r="18" spans="1:112" ht="90">
      <c r="A18" s="1326" t="s">
        <v>2025</v>
      </c>
      <c r="B18" s="1326" t="s">
        <v>1681</v>
      </c>
      <c r="C18" s="1326" t="s">
        <v>2750</v>
      </c>
      <c r="D18" s="1326" t="s">
        <v>2751</v>
      </c>
      <c r="E18" s="1326" t="s">
        <v>2752</v>
      </c>
      <c r="F18" s="1326" t="s">
        <v>2582</v>
      </c>
      <c r="G18" s="1326" t="s">
        <v>2556</v>
      </c>
      <c r="H18" s="1326" t="s">
        <v>2541</v>
      </c>
      <c r="I18" s="1326" t="s">
        <v>2754</v>
      </c>
      <c r="J18" s="1326" t="s">
        <v>2755</v>
      </c>
      <c r="K18" s="1326" t="s">
        <v>3861</v>
      </c>
      <c r="L18" s="1326" t="s">
        <v>2061</v>
      </c>
      <c r="M18" s="1683">
        <v>6000000</v>
      </c>
      <c r="N18" s="1683">
        <v>0</v>
      </c>
      <c r="O18" s="1683">
        <v>6000000</v>
      </c>
      <c r="P18" s="1683">
        <v>6000000</v>
      </c>
      <c r="Q18" s="1683">
        <v>6000000</v>
      </c>
      <c r="R18" s="1683">
        <v>6000000</v>
      </c>
      <c r="S18" s="1683">
        <v>0</v>
      </c>
      <c r="T18" s="1683">
        <v>0</v>
      </c>
      <c r="U18" s="1683">
        <v>0</v>
      </c>
      <c r="V18" s="1683">
        <v>0</v>
      </c>
      <c r="W18" s="1683">
        <v>0</v>
      </c>
      <c r="X18" s="1683">
        <v>0</v>
      </c>
      <c r="Y18" s="1682"/>
      <c r="Z18" s="1326"/>
      <c r="AA18" s="1683">
        <v>0</v>
      </c>
      <c r="AB18" s="1683">
        <v>0</v>
      </c>
      <c r="AC18" s="1683">
        <v>0</v>
      </c>
      <c r="AD18" s="1682"/>
      <c r="AE18" s="1326"/>
      <c r="AF18" s="1326"/>
      <c r="AG18" s="1410"/>
      <c r="AH18" s="1683">
        <v>17212.919999999998</v>
      </c>
      <c r="AI18" s="1683">
        <v>70525.919999999998</v>
      </c>
      <c r="AJ18" s="1683">
        <v>70525.919999999998</v>
      </c>
      <c r="AK18" s="1683">
        <v>70525.919999999998</v>
      </c>
      <c r="AL18" s="1683">
        <v>0</v>
      </c>
      <c r="AM18" s="1682"/>
      <c r="AN18" s="1683">
        <v>17212.919999999998</v>
      </c>
      <c r="AO18" s="1683">
        <v>17212.919999999998</v>
      </c>
      <c r="AP18" s="1683">
        <v>17212.919999999998</v>
      </c>
      <c r="AQ18" s="1683">
        <v>17212.919999999998</v>
      </c>
      <c r="AR18" s="1683">
        <v>0</v>
      </c>
      <c r="AS18" s="1683">
        <v>0</v>
      </c>
      <c r="AT18" s="1683">
        <v>0</v>
      </c>
      <c r="AU18" s="1683">
        <v>0</v>
      </c>
      <c r="AV18" s="1683">
        <v>0</v>
      </c>
      <c r="AW18" s="1683">
        <v>0</v>
      </c>
      <c r="AX18" s="1683">
        <v>0</v>
      </c>
      <c r="AY18" s="1683">
        <v>0</v>
      </c>
      <c r="AZ18" s="1683">
        <v>0</v>
      </c>
      <c r="BA18" s="1682"/>
      <c r="BB18" s="1682"/>
      <c r="BC18" s="1683">
        <v>0</v>
      </c>
      <c r="BD18" s="1683">
        <v>0</v>
      </c>
      <c r="BE18" s="1683">
        <v>17212.919999999998</v>
      </c>
      <c r="BF18" s="1683">
        <v>17212.919999999998</v>
      </c>
      <c r="BG18" s="1683">
        <v>17212.919999999998</v>
      </c>
      <c r="BH18" s="1683">
        <v>17212.919999999998</v>
      </c>
      <c r="BI18" s="1683">
        <v>0</v>
      </c>
      <c r="BJ18" s="1683">
        <v>0</v>
      </c>
      <c r="BK18" s="1683">
        <v>0</v>
      </c>
      <c r="BL18" s="1683">
        <v>0</v>
      </c>
      <c r="BM18" s="1683">
        <v>0</v>
      </c>
      <c r="BN18" s="1683">
        <v>0</v>
      </c>
      <c r="BO18" s="1682"/>
      <c r="BP18" s="1683">
        <v>0</v>
      </c>
      <c r="BQ18" s="1683">
        <v>0</v>
      </c>
      <c r="BR18" s="1683">
        <v>0</v>
      </c>
      <c r="BS18" s="1683">
        <v>0</v>
      </c>
      <c r="BT18" s="1683">
        <v>0</v>
      </c>
      <c r="BU18" s="1683">
        <v>0</v>
      </c>
      <c r="BV18" s="1683">
        <v>0</v>
      </c>
      <c r="BW18" s="1683">
        <v>0</v>
      </c>
      <c r="BX18" s="1683">
        <v>0</v>
      </c>
      <c r="BY18" s="1683">
        <v>0</v>
      </c>
      <c r="BZ18" s="1400"/>
      <c r="CA18" s="1683">
        <v>0</v>
      </c>
      <c r="CB18" s="1682"/>
      <c r="CC18" s="1682"/>
      <c r="CD18" s="1683">
        <v>0</v>
      </c>
      <c r="CE18" s="1683">
        <v>0</v>
      </c>
      <c r="CF18" s="1683">
        <v>0</v>
      </c>
      <c r="CG18" s="1683">
        <v>0</v>
      </c>
      <c r="CH18" s="1683">
        <v>0</v>
      </c>
      <c r="CI18" s="1683">
        <v>0</v>
      </c>
      <c r="CJ18" s="1683">
        <v>0</v>
      </c>
      <c r="CK18" s="1683">
        <v>0</v>
      </c>
      <c r="CL18" s="1682"/>
      <c r="CM18" s="1683">
        <v>0</v>
      </c>
      <c r="CN18" s="1683">
        <v>0</v>
      </c>
      <c r="CO18" s="1683">
        <v>0</v>
      </c>
      <c r="CP18" s="1683">
        <v>0</v>
      </c>
      <c r="CQ18" s="1683">
        <v>0</v>
      </c>
      <c r="CR18" s="1683">
        <v>0</v>
      </c>
      <c r="CS18" s="1683">
        <v>0</v>
      </c>
      <c r="CT18" s="1683">
        <v>0</v>
      </c>
      <c r="CU18" s="1683">
        <v>0</v>
      </c>
      <c r="CV18" s="1683">
        <v>0</v>
      </c>
      <c r="CW18" s="1682"/>
      <c r="CX18" s="1683">
        <v>0</v>
      </c>
      <c r="CY18" s="1683">
        <v>0</v>
      </c>
      <c r="CZ18" s="1683">
        <v>0</v>
      </c>
      <c r="DA18" s="1683">
        <v>0</v>
      </c>
      <c r="DB18" s="1682"/>
      <c r="DC18" s="1326"/>
      <c r="DD18" s="1683">
        <v>0</v>
      </c>
      <c r="DE18" s="1683">
        <v>0</v>
      </c>
      <c r="DF18" s="1683">
        <v>0</v>
      </c>
      <c r="DG18" s="1683">
        <v>0</v>
      </c>
      <c r="DH18" s="1683">
        <v>0</v>
      </c>
    </row>
    <row r="19" spans="1:112" ht="90">
      <c r="A19" s="1326" t="s">
        <v>2072</v>
      </c>
      <c r="B19" s="1326" t="s">
        <v>1681</v>
      </c>
      <c r="C19" s="1326" t="s">
        <v>2750</v>
      </c>
      <c r="D19" s="1326" t="s">
        <v>2751</v>
      </c>
      <c r="E19" s="1326" t="s">
        <v>2752</v>
      </c>
      <c r="F19" s="1326" t="s">
        <v>2582</v>
      </c>
      <c r="G19" s="1326" t="s">
        <v>2556</v>
      </c>
      <c r="H19" s="1326" t="s">
        <v>2541</v>
      </c>
      <c r="I19" s="1326" t="s">
        <v>2754</v>
      </c>
      <c r="J19" s="1326" t="s">
        <v>2755</v>
      </c>
      <c r="K19" s="1326" t="s">
        <v>3861</v>
      </c>
      <c r="L19" s="1326" t="s">
        <v>2061</v>
      </c>
      <c r="M19" s="1400"/>
      <c r="N19" s="1400"/>
      <c r="O19" s="1400"/>
      <c r="P19" s="1400"/>
      <c r="Q19" s="1400"/>
      <c r="R19" s="1400"/>
      <c r="S19" s="1400"/>
      <c r="T19" s="1400"/>
      <c r="U19" s="1400"/>
      <c r="V19" s="1400"/>
      <c r="W19" s="1400"/>
      <c r="X19" s="1400"/>
      <c r="Y19" s="1685">
        <v>43444</v>
      </c>
      <c r="Z19" s="1326" t="s">
        <v>2096</v>
      </c>
      <c r="AA19" s="1683">
        <v>0</v>
      </c>
      <c r="AB19" s="1683">
        <v>0</v>
      </c>
      <c r="AC19" s="1683">
        <v>0</v>
      </c>
      <c r="AD19" s="1685">
        <v>43451</v>
      </c>
      <c r="AE19" s="1326" t="s">
        <v>2073</v>
      </c>
      <c r="AF19" s="1326" t="s">
        <v>2064</v>
      </c>
      <c r="AG19" s="1410"/>
      <c r="AH19" s="1683">
        <v>0</v>
      </c>
      <c r="AI19" s="1683">
        <v>31000</v>
      </c>
      <c r="AJ19" s="1683">
        <v>31000</v>
      </c>
      <c r="AK19" s="1683">
        <v>31000</v>
      </c>
      <c r="AL19" s="1683">
        <v>0</v>
      </c>
      <c r="AM19" s="1682"/>
      <c r="AN19" s="1683">
        <v>0</v>
      </c>
      <c r="AO19" s="1683">
        <v>0</v>
      </c>
      <c r="AP19" s="1683">
        <v>0</v>
      </c>
      <c r="AQ19" s="1683">
        <v>0</v>
      </c>
      <c r="AR19" s="1683">
        <v>0</v>
      </c>
      <c r="AS19" s="1683">
        <v>0</v>
      </c>
      <c r="AT19" s="1683">
        <v>0</v>
      </c>
      <c r="AU19" s="1683">
        <v>0</v>
      </c>
      <c r="AV19" s="1683">
        <v>0</v>
      </c>
      <c r="AW19" s="1683">
        <v>0</v>
      </c>
      <c r="AX19" s="1400"/>
      <c r="AY19" s="1400"/>
      <c r="AZ19" s="1400"/>
      <c r="BA19" s="1682"/>
      <c r="BB19" s="1682"/>
      <c r="BC19" s="1400"/>
      <c r="BD19" s="1400"/>
      <c r="BE19" s="1683">
        <v>0</v>
      </c>
      <c r="BF19" s="1683">
        <v>0</v>
      </c>
      <c r="BG19" s="1683">
        <v>0</v>
      </c>
      <c r="BH19" s="1683">
        <v>0</v>
      </c>
      <c r="BI19" s="1683">
        <v>0</v>
      </c>
      <c r="BJ19" s="1683">
        <v>0</v>
      </c>
      <c r="BK19" s="1683">
        <v>0</v>
      </c>
      <c r="BL19" s="1683">
        <v>0</v>
      </c>
      <c r="BM19" s="1683">
        <v>0</v>
      </c>
      <c r="BN19" s="1683">
        <v>0</v>
      </c>
      <c r="BO19" s="1682"/>
      <c r="BP19" s="1683">
        <v>0</v>
      </c>
      <c r="BQ19" s="1683">
        <v>0</v>
      </c>
      <c r="BR19" s="1683">
        <v>0</v>
      </c>
      <c r="BS19" s="1683">
        <v>0</v>
      </c>
      <c r="BT19" s="1683">
        <v>0</v>
      </c>
      <c r="BU19" s="1683">
        <v>0</v>
      </c>
      <c r="BV19" s="1683">
        <v>0</v>
      </c>
      <c r="BW19" s="1683">
        <v>0</v>
      </c>
      <c r="BX19" s="1683">
        <v>0</v>
      </c>
      <c r="BY19" s="1683">
        <v>0</v>
      </c>
      <c r="BZ19" s="1400"/>
      <c r="CA19" s="1400"/>
      <c r="CB19" s="1682"/>
      <c r="CC19" s="1682"/>
      <c r="CD19" s="1400"/>
      <c r="CE19" s="1400"/>
      <c r="CF19" s="1683">
        <v>0</v>
      </c>
      <c r="CG19" s="1683">
        <v>0</v>
      </c>
      <c r="CH19" s="1683">
        <v>0</v>
      </c>
      <c r="CI19" s="1683">
        <v>0</v>
      </c>
      <c r="CJ19" s="1683">
        <v>0</v>
      </c>
      <c r="CK19" s="1683">
        <v>0</v>
      </c>
      <c r="CL19" s="1682"/>
      <c r="CM19" s="1683">
        <v>0</v>
      </c>
      <c r="CN19" s="1683">
        <v>0</v>
      </c>
      <c r="CO19" s="1683">
        <v>0</v>
      </c>
      <c r="CP19" s="1683">
        <v>0</v>
      </c>
      <c r="CQ19" s="1683">
        <v>0</v>
      </c>
      <c r="CR19" s="1683">
        <v>0</v>
      </c>
      <c r="CS19" s="1683">
        <v>0</v>
      </c>
      <c r="CT19" s="1683">
        <v>0</v>
      </c>
      <c r="CU19" s="1683">
        <v>0</v>
      </c>
      <c r="CV19" s="1683">
        <v>0</v>
      </c>
      <c r="CW19" s="1682"/>
      <c r="CX19" s="1400"/>
      <c r="CY19" s="1400"/>
      <c r="CZ19" s="1400"/>
      <c r="DA19" s="1400"/>
      <c r="DB19" s="1682"/>
      <c r="DC19" s="1326"/>
      <c r="DD19" s="1683">
        <v>0</v>
      </c>
      <c r="DE19" s="1400"/>
      <c r="DF19" s="1400"/>
      <c r="DG19" s="1683">
        <v>0</v>
      </c>
      <c r="DH19" s="1683">
        <v>0</v>
      </c>
    </row>
    <row r="20" spans="1:112" ht="90">
      <c r="A20" s="1326" t="s">
        <v>2074</v>
      </c>
      <c r="B20" s="1326" t="s">
        <v>1681</v>
      </c>
      <c r="C20" s="1326" t="s">
        <v>2750</v>
      </c>
      <c r="D20" s="1326" t="s">
        <v>2751</v>
      </c>
      <c r="E20" s="1326" t="s">
        <v>2752</v>
      </c>
      <c r="F20" s="1326" t="s">
        <v>2582</v>
      </c>
      <c r="G20" s="1326" t="s">
        <v>2556</v>
      </c>
      <c r="H20" s="1326" t="s">
        <v>2541</v>
      </c>
      <c r="I20" s="1326" t="s">
        <v>2754</v>
      </c>
      <c r="J20" s="1326" t="s">
        <v>2755</v>
      </c>
      <c r="K20" s="1326" t="s">
        <v>3861</v>
      </c>
      <c r="L20" s="1326" t="s">
        <v>2061</v>
      </c>
      <c r="M20" s="1400"/>
      <c r="N20" s="1400"/>
      <c r="O20" s="1400"/>
      <c r="P20" s="1400"/>
      <c r="Q20" s="1400"/>
      <c r="R20" s="1400"/>
      <c r="S20" s="1400"/>
      <c r="T20" s="1400"/>
      <c r="U20" s="1400"/>
      <c r="V20" s="1400"/>
      <c r="W20" s="1400"/>
      <c r="X20" s="1400"/>
      <c r="Y20" s="1685">
        <v>43469</v>
      </c>
      <c r="Z20" s="1326" t="s">
        <v>2062</v>
      </c>
      <c r="AA20" s="1683">
        <v>0</v>
      </c>
      <c r="AB20" s="1683">
        <v>0</v>
      </c>
      <c r="AC20" s="1683">
        <v>0</v>
      </c>
      <c r="AD20" s="1685">
        <v>43501</v>
      </c>
      <c r="AE20" s="1326" t="s">
        <v>2063</v>
      </c>
      <c r="AF20" s="1326" t="s">
        <v>2064</v>
      </c>
      <c r="AG20" s="1410"/>
      <c r="AH20" s="1683">
        <v>17212.919999999998</v>
      </c>
      <c r="AI20" s="1683">
        <v>17212.919999999998</v>
      </c>
      <c r="AJ20" s="1683">
        <v>17212.919999999998</v>
      </c>
      <c r="AK20" s="1683">
        <v>17212.919999999998</v>
      </c>
      <c r="AL20" s="1683">
        <v>0</v>
      </c>
      <c r="AM20" s="1685">
        <v>43501</v>
      </c>
      <c r="AN20" s="1683">
        <v>17212.919999999998</v>
      </c>
      <c r="AO20" s="1683">
        <v>17212.919999999998</v>
      </c>
      <c r="AP20" s="1683">
        <v>17212.919999999998</v>
      </c>
      <c r="AQ20" s="1683">
        <v>17212.919999999998</v>
      </c>
      <c r="AR20" s="1683">
        <v>0</v>
      </c>
      <c r="AS20" s="1683">
        <v>0</v>
      </c>
      <c r="AT20" s="1683">
        <v>0</v>
      </c>
      <c r="AU20" s="1683">
        <v>0</v>
      </c>
      <c r="AV20" s="1683">
        <v>0</v>
      </c>
      <c r="AW20" s="1683">
        <v>0</v>
      </c>
      <c r="AX20" s="1400"/>
      <c r="AY20" s="1400"/>
      <c r="AZ20" s="1400"/>
      <c r="BA20" s="1682"/>
      <c r="BB20" s="1682"/>
      <c r="BC20" s="1400"/>
      <c r="BD20" s="1400"/>
      <c r="BE20" s="1683">
        <v>17212.919999999998</v>
      </c>
      <c r="BF20" s="1683">
        <v>17212.919999999998</v>
      </c>
      <c r="BG20" s="1683">
        <v>17212.919999999998</v>
      </c>
      <c r="BH20" s="1683">
        <v>17212.919999999998</v>
      </c>
      <c r="BI20" s="1683">
        <v>0</v>
      </c>
      <c r="BJ20" s="1683">
        <v>0</v>
      </c>
      <c r="BK20" s="1683">
        <v>0</v>
      </c>
      <c r="BL20" s="1683">
        <v>0</v>
      </c>
      <c r="BM20" s="1683">
        <v>0</v>
      </c>
      <c r="BN20" s="1683">
        <v>0</v>
      </c>
      <c r="BO20" s="1682"/>
      <c r="BP20" s="1683">
        <v>0</v>
      </c>
      <c r="BQ20" s="1683">
        <v>0</v>
      </c>
      <c r="BR20" s="1683">
        <v>0</v>
      </c>
      <c r="BS20" s="1683">
        <v>0</v>
      </c>
      <c r="BT20" s="1683">
        <v>0</v>
      </c>
      <c r="BU20" s="1683">
        <v>0</v>
      </c>
      <c r="BV20" s="1683">
        <v>0</v>
      </c>
      <c r="BW20" s="1683">
        <v>0</v>
      </c>
      <c r="BX20" s="1683">
        <v>0</v>
      </c>
      <c r="BY20" s="1683">
        <v>0</v>
      </c>
      <c r="BZ20" s="1400"/>
      <c r="CA20" s="1400"/>
      <c r="CB20" s="1682"/>
      <c r="CC20" s="1682"/>
      <c r="CD20" s="1400"/>
      <c r="CE20" s="1400"/>
      <c r="CF20" s="1683">
        <v>0</v>
      </c>
      <c r="CG20" s="1683">
        <v>0</v>
      </c>
      <c r="CH20" s="1683">
        <v>0</v>
      </c>
      <c r="CI20" s="1683">
        <v>0</v>
      </c>
      <c r="CJ20" s="1683">
        <v>0</v>
      </c>
      <c r="CK20" s="1683">
        <v>0</v>
      </c>
      <c r="CL20" s="1682"/>
      <c r="CM20" s="1683">
        <v>0</v>
      </c>
      <c r="CN20" s="1683">
        <v>0</v>
      </c>
      <c r="CO20" s="1683">
        <v>0</v>
      </c>
      <c r="CP20" s="1683">
        <v>0</v>
      </c>
      <c r="CQ20" s="1683">
        <v>0</v>
      </c>
      <c r="CR20" s="1683">
        <v>0</v>
      </c>
      <c r="CS20" s="1683">
        <v>0</v>
      </c>
      <c r="CT20" s="1683">
        <v>0</v>
      </c>
      <c r="CU20" s="1683">
        <v>0</v>
      </c>
      <c r="CV20" s="1683">
        <v>0</v>
      </c>
      <c r="CW20" s="1682"/>
      <c r="CX20" s="1400"/>
      <c r="CY20" s="1400"/>
      <c r="CZ20" s="1400"/>
      <c r="DA20" s="1400"/>
      <c r="DB20" s="1682"/>
      <c r="DC20" s="1326"/>
      <c r="DD20" s="1683">
        <v>0</v>
      </c>
      <c r="DE20" s="1400"/>
      <c r="DF20" s="1400"/>
      <c r="DG20" s="1683">
        <v>0</v>
      </c>
      <c r="DH20" s="1683">
        <v>0</v>
      </c>
    </row>
    <row r="21" spans="1:112" ht="90">
      <c r="A21" s="1326" t="s">
        <v>2075</v>
      </c>
      <c r="B21" s="1326" t="s">
        <v>1681</v>
      </c>
      <c r="C21" s="1326" t="s">
        <v>2750</v>
      </c>
      <c r="D21" s="1326" t="s">
        <v>2751</v>
      </c>
      <c r="E21" s="1326" t="s">
        <v>2752</v>
      </c>
      <c r="F21" s="1326" t="s">
        <v>2582</v>
      </c>
      <c r="G21" s="1326" t="s">
        <v>2556</v>
      </c>
      <c r="H21" s="1326" t="s">
        <v>2541</v>
      </c>
      <c r="I21" s="1326" t="s">
        <v>2754</v>
      </c>
      <c r="J21" s="1326" t="s">
        <v>2755</v>
      </c>
      <c r="K21" s="1326" t="s">
        <v>3861</v>
      </c>
      <c r="L21" s="1326" t="s">
        <v>2061</v>
      </c>
      <c r="M21" s="1400"/>
      <c r="N21" s="1400"/>
      <c r="O21" s="1400"/>
      <c r="P21" s="1400"/>
      <c r="Q21" s="1400"/>
      <c r="R21" s="1400"/>
      <c r="S21" s="1400"/>
      <c r="T21" s="1400"/>
      <c r="U21" s="1400"/>
      <c r="V21" s="1400"/>
      <c r="W21" s="1400"/>
      <c r="X21" s="1400"/>
      <c r="Y21" s="1685">
        <v>43509</v>
      </c>
      <c r="Z21" s="1326" t="s">
        <v>2096</v>
      </c>
      <c r="AA21" s="1683">
        <v>0</v>
      </c>
      <c r="AB21" s="1683">
        <v>0</v>
      </c>
      <c r="AC21" s="1683">
        <v>0</v>
      </c>
      <c r="AD21" s="1685">
        <v>43522</v>
      </c>
      <c r="AE21" s="1326" t="s">
        <v>2066</v>
      </c>
      <c r="AF21" s="1326" t="s">
        <v>2064</v>
      </c>
      <c r="AG21" s="1410"/>
      <c r="AH21" s="1683">
        <v>0</v>
      </c>
      <c r="AI21" s="1683">
        <v>22313</v>
      </c>
      <c r="AJ21" s="1683">
        <v>22313</v>
      </c>
      <c r="AK21" s="1683">
        <v>22313</v>
      </c>
      <c r="AL21" s="1683">
        <v>0</v>
      </c>
      <c r="AM21" s="1682"/>
      <c r="AN21" s="1683">
        <v>0</v>
      </c>
      <c r="AO21" s="1683">
        <v>0</v>
      </c>
      <c r="AP21" s="1683">
        <v>0</v>
      </c>
      <c r="AQ21" s="1683">
        <v>0</v>
      </c>
      <c r="AR21" s="1683">
        <v>0</v>
      </c>
      <c r="AS21" s="1683">
        <v>0</v>
      </c>
      <c r="AT21" s="1683">
        <v>0</v>
      </c>
      <c r="AU21" s="1683">
        <v>0</v>
      </c>
      <c r="AV21" s="1683">
        <v>0</v>
      </c>
      <c r="AW21" s="1683">
        <v>0</v>
      </c>
      <c r="AX21" s="1400"/>
      <c r="AY21" s="1400"/>
      <c r="AZ21" s="1400"/>
      <c r="BA21" s="1682"/>
      <c r="BB21" s="1682"/>
      <c r="BC21" s="1400"/>
      <c r="BD21" s="1400"/>
      <c r="BE21" s="1683">
        <v>0</v>
      </c>
      <c r="BF21" s="1683">
        <v>0</v>
      </c>
      <c r="BG21" s="1683">
        <v>0</v>
      </c>
      <c r="BH21" s="1683">
        <v>0</v>
      </c>
      <c r="BI21" s="1683">
        <v>0</v>
      </c>
      <c r="BJ21" s="1683">
        <v>0</v>
      </c>
      <c r="BK21" s="1683">
        <v>0</v>
      </c>
      <c r="BL21" s="1683">
        <v>0</v>
      </c>
      <c r="BM21" s="1683">
        <v>0</v>
      </c>
      <c r="BN21" s="1683">
        <v>0</v>
      </c>
      <c r="BO21" s="1682"/>
      <c r="BP21" s="1683">
        <v>0</v>
      </c>
      <c r="BQ21" s="1683">
        <v>0</v>
      </c>
      <c r="BR21" s="1683">
        <v>0</v>
      </c>
      <c r="BS21" s="1683">
        <v>0</v>
      </c>
      <c r="BT21" s="1683">
        <v>0</v>
      </c>
      <c r="BU21" s="1683">
        <v>0</v>
      </c>
      <c r="BV21" s="1683">
        <v>0</v>
      </c>
      <c r="BW21" s="1683">
        <v>0</v>
      </c>
      <c r="BX21" s="1683">
        <v>0</v>
      </c>
      <c r="BY21" s="1683">
        <v>0</v>
      </c>
      <c r="BZ21" s="1400"/>
      <c r="CA21" s="1400"/>
      <c r="CB21" s="1682"/>
      <c r="CC21" s="1682"/>
      <c r="CD21" s="1400"/>
      <c r="CE21" s="1400"/>
      <c r="CF21" s="1683">
        <v>0</v>
      </c>
      <c r="CG21" s="1683">
        <v>0</v>
      </c>
      <c r="CH21" s="1683">
        <v>0</v>
      </c>
      <c r="CI21" s="1683">
        <v>0</v>
      </c>
      <c r="CJ21" s="1683">
        <v>0</v>
      </c>
      <c r="CK21" s="1683">
        <v>0</v>
      </c>
      <c r="CL21" s="1682"/>
      <c r="CM21" s="1683">
        <v>0</v>
      </c>
      <c r="CN21" s="1683">
        <v>0</v>
      </c>
      <c r="CO21" s="1683">
        <v>0</v>
      </c>
      <c r="CP21" s="1683">
        <v>0</v>
      </c>
      <c r="CQ21" s="1683">
        <v>0</v>
      </c>
      <c r="CR21" s="1683">
        <v>0</v>
      </c>
      <c r="CS21" s="1683">
        <v>0</v>
      </c>
      <c r="CT21" s="1683">
        <v>0</v>
      </c>
      <c r="CU21" s="1683">
        <v>0</v>
      </c>
      <c r="CV21" s="1683">
        <v>0</v>
      </c>
      <c r="CW21" s="1682"/>
      <c r="CX21" s="1400"/>
      <c r="CY21" s="1400"/>
      <c r="CZ21" s="1400"/>
      <c r="DA21" s="1400"/>
      <c r="DB21" s="1682"/>
      <c r="DC21" s="1326"/>
      <c r="DD21" s="1683">
        <v>0</v>
      </c>
      <c r="DE21" s="1400"/>
      <c r="DF21" s="1400"/>
      <c r="DG21" s="1683">
        <v>0</v>
      </c>
      <c r="DH21" s="1683">
        <v>0</v>
      </c>
    </row>
    <row r="22" spans="1:112">
      <c r="A22" s="1326" t="s">
        <v>2026</v>
      </c>
      <c r="B22" s="1326" t="s">
        <v>1690</v>
      </c>
      <c r="C22" s="1326"/>
      <c r="D22" s="1326"/>
      <c r="E22" s="1326"/>
      <c r="F22" s="1326"/>
      <c r="G22" s="1326"/>
      <c r="H22" s="1326"/>
      <c r="I22" s="1326"/>
      <c r="J22" s="1326"/>
      <c r="K22" s="1326"/>
      <c r="L22" s="1326"/>
      <c r="M22" s="1683">
        <v>421638.05</v>
      </c>
      <c r="N22" s="1683">
        <v>0</v>
      </c>
      <c r="O22" s="1683">
        <v>421638.05</v>
      </c>
      <c r="P22" s="1683">
        <v>421638.05</v>
      </c>
      <c r="Q22" s="1683">
        <v>352037.69</v>
      </c>
      <c r="R22" s="1683">
        <v>352037.69</v>
      </c>
      <c r="S22" s="1683">
        <v>0</v>
      </c>
      <c r="T22" s="1683">
        <v>69600.36</v>
      </c>
      <c r="U22" s="1683">
        <v>0</v>
      </c>
      <c r="V22" s="1683">
        <v>69600.36</v>
      </c>
      <c r="W22" s="1683">
        <v>0</v>
      </c>
      <c r="X22" s="1683">
        <v>0</v>
      </c>
      <c r="Y22" s="1682"/>
      <c r="Z22" s="1326"/>
      <c r="AA22" s="1683">
        <v>0</v>
      </c>
      <c r="AB22" s="1683">
        <v>0</v>
      </c>
      <c r="AC22" s="1683">
        <v>0</v>
      </c>
      <c r="AD22" s="1682"/>
      <c r="AE22" s="1326"/>
      <c r="AF22" s="1326"/>
      <c r="AG22" s="1410"/>
      <c r="AH22" s="1683">
        <v>361349.93</v>
      </c>
      <c r="AI22" s="1683">
        <v>361349.93</v>
      </c>
      <c r="AJ22" s="1683">
        <v>303179.06</v>
      </c>
      <c r="AK22" s="1683">
        <v>303179.06</v>
      </c>
      <c r="AL22" s="1683">
        <v>0</v>
      </c>
      <c r="AM22" s="1682"/>
      <c r="AN22" s="1683">
        <v>361349.93</v>
      </c>
      <c r="AO22" s="1683">
        <v>361349.93</v>
      </c>
      <c r="AP22" s="1683">
        <v>303179.06</v>
      </c>
      <c r="AQ22" s="1683">
        <v>303179.06</v>
      </c>
      <c r="AR22" s="1683">
        <v>0</v>
      </c>
      <c r="AS22" s="1683">
        <v>58170.87</v>
      </c>
      <c r="AT22" s="1683">
        <v>0</v>
      </c>
      <c r="AU22" s="1683">
        <v>58170.87</v>
      </c>
      <c r="AV22" s="1683">
        <v>0</v>
      </c>
      <c r="AW22" s="1683">
        <v>0</v>
      </c>
      <c r="AX22" s="1683">
        <v>0</v>
      </c>
      <c r="AY22" s="1683">
        <v>0</v>
      </c>
      <c r="AZ22" s="1683">
        <v>0</v>
      </c>
      <c r="BA22" s="1682"/>
      <c r="BB22" s="1682"/>
      <c r="BC22" s="1683">
        <v>0</v>
      </c>
      <c r="BD22" s="1683">
        <v>0</v>
      </c>
      <c r="BE22" s="1683">
        <v>361349.93</v>
      </c>
      <c r="BF22" s="1683">
        <v>361349.93</v>
      </c>
      <c r="BG22" s="1683">
        <v>303179.06</v>
      </c>
      <c r="BH22" s="1683">
        <v>303179.06</v>
      </c>
      <c r="BI22" s="1683">
        <v>0</v>
      </c>
      <c r="BJ22" s="1683">
        <v>58170.87</v>
      </c>
      <c r="BK22" s="1683">
        <v>0</v>
      </c>
      <c r="BL22" s="1683">
        <v>58170.87</v>
      </c>
      <c r="BM22" s="1683">
        <v>0</v>
      </c>
      <c r="BN22" s="1683">
        <v>0</v>
      </c>
      <c r="BO22" s="1682"/>
      <c r="BP22" s="1683">
        <v>211173.34</v>
      </c>
      <c r="BQ22" s="1683">
        <v>211173.34</v>
      </c>
      <c r="BR22" s="1683">
        <v>178736.73</v>
      </c>
      <c r="BS22" s="1683">
        <v>178736.73</v>
      </c>
      <c r="BT22" s="1683">
        <v>0</v>
      </c>
      <c r="BU22" s="1683">
        <v>32436.61</v>
      </c>
      <c r="BV22" s="1683">
        <v>0</v>
      </c>
      <c r="BW22" s="1683">
        <v>7334.26</v>
      </c>
      <c r="BX22" s="1683">
        <v>0</v>
      </c>
      <c r="BY22" s="1683">
        <v>0</v>
      </c>
      <c r="BZ22" s="1683">
        <v>0</v>
      </c>
      <c r="CA22" s="1683">
        <v>0</v>
      </c>
      <c r="CB22" s="1682"/>
      <c r="CC22" s="1682"/>
      <c r="CD22" s="1683">
        <v>0</v>
      </c>
      <c r="CE22" s="1683">
        <v>0</v>
      </c>
      <c r="CF22" s="1683">
        <v>0</v>
      </c>
      <c r="CG22" s="1683">
        <v>0</v>
      </c>
      <c r="CH22" s="1683">
        <v>0</v>
      </c>
      <c r="CI22" s="1683">
        <v>0</v>
      </c>
      <c r="CJ22" s="1683">
        <v>0</v>
      </c>
      <c r="CK22" s="1683">
        <v>0</v>
      </c>
      <c r="CL22" s="1682"/>
      <c r="CM22" s="1683">
        <v>48895.06</v>
      </c>
      <c r="CN22" s="1683">
        <v>48895.06</v>
      </c>
      <c r="CO22" s="1683">
        <v>41560.800000000003</v>
      </c>
      <c r="CP22" s="1683">
        <v>41560.800000000003</v>
      </c>
      <c r="CQ22" s="1683">
        <v>0</v>
      </c>
      <c r="CR22" s="1683">
        <v>7334.26</v>
      </c>
      <c r="CS22" s="1683">
        <v>0</v>
      </c>
      <c r="CT22" s="1683">
        <v>7334.26</v>
      </c>
      <c r="CU22" s="1683">
        <v>0</v>
      </c>
      <c r="CV22" s="1683">
        <v>0</v>
      </c>
      <c r="CW22" s="1682"/>
      <c r="CX22" s="1683">
        <v>0</v>
      </c>
      <c r="CY22" s="1683">
        <v>0</v>
      </c>
      <c r="CZ22" s="1683">
        <v>48895.06</v>
      </c>
      <c r="DA22" s="1683">
        <v>48895.06</v>
      </c>
      <c r="DB22" s="1682"/>
      <c r="DC22" s="1326"/>
      <c r="DD22" s="1683">
        <v>0</v>
      </c>
      <c r="DE22" s="1683">
        <v>0</v>
      </c>
      <c r="DF22" s="1683">
        <v>0</v>
      </c>
      <c r="DG22" s="1683">
        <v>0</v>
      </c>
      <c r="DH22" s="1683">
        <v>0</v>
      </c>
    </row>
    <row r="23" spans="1:112">
      <c r="A23" s="1326" t="s">
        <v>1706</v>
      </c>
      <c r="B23" s="1326" t="s">
        <v>1690</v>
      </c>
      <c r="C23" s="1326" t="s">
        <v>2537</v>
      </c>
      <c r="D23" s="1326"/>
      <c r="E23" s="1326"/>
      <c r="F23" s="1326"/>
      <c r="G23" s="1326"/>
      <c r="H23" s="1326"/>
      <c r="I23" s="1326"/>
      <c r="J23" s="1326"/>
      <c r="K23" s="1326"/>
      <c r="L23" s="1326"/>
      <c r="M23" s="1683">
        <v>421638.05</v>
      </c>
      <c r="N23" s="1683">
        <v>0</v>
      </c>
      <c r="O23" s="1683">
        <v>421638.05</v>
      </c>
      <c r="P23" s="1683">
        <v>421638.05</v>
      </c>
      <c r="Q23" s="1683">
        <v>352037.69</v>
      </c>
      <c r="R23" s="1683">
        <v>352037.69</v>
      </c>
      <c r="S23" s="1683">
        <v>0</v>
      </c>
      <c r="T23" s="1683">
        <v>69600.36</v>
      </c>
      <c r="U23" s="1683">
        <v>0</v>
      </c>
      <c r="V23" s="1683">
        <v>69600.36</v>
      </c>
      <c r="W23" s="1683">
        <v>0</v>
      </c>
      <c r="X23" s="1683">
        <v>0</v>
      </c>
      <c r="Y23" s="1682"/>
      <c r="Z23" s="1326"/>
      <c r="AA23" s="1683">
        <v>0</v>
      </c>
      <c r="AB23" s="1683">
        <v>0</v>
      </c>
      <c r="AC23" s="1683">
        <v>0</v>
      </c>
      <c r="AD23" s="1682"/>
      <c r="AE23" s="1326"/>
      <c r="AF23" s="1326"/>
      <c r="AG23" s="1410"/>
      <c r="AH23" s="1683">
        <v>361349.93</v>
      </c>
      <c r="AI23" s="1683">
        <v>361349.93</v>
      </c>
      <c r="AJ23" s="1683">
        <v>303179.06</v>
      </c>
      <c r="AK23" s="1683">
        <v>303179.06</v>
      </c>
      <c r="AL23" s="1683">
        <v>0</v>
      </c>
      <c r="AM23" s="1682"/>
      <c r="AN23" s="1683">
        <v>361349.93</v>
      </c>
      <c r="AO23" s="1683">
        <v>361349.93</v>
      </c>
      <c r="AP23" s="1683">
        <v>303179.06</v>
      </c>
      <c r="AQ23" s="1683">
        <v>303179.06</v>
      </c>
      <c r="AR23" s="1683">
        <v>0</v>
      </c>
      <c r="AS23" s="1683">
        <v>58170.87</v>
      </c>
      <c r="AT23" s="1683">
        <v>0</v>
      </c>
      <c r="AU23" s="1683">
        <v>58170.87</v>
      </c>
      <c r="AV23" s="1683">
        <v>0</v>
      </c>
      <c r="AW23" s="1683">
        <v>0</v>
      </c>
      <c r="AX23" s="1683">
        <v>0</v>
      </c>
      <c r="AY23" s="1683">
        <v>0</v>
      </c>
      <c r="AZ23" s="1683">
        <v>0</v>
      </c>
      <c r="BA23" s="1682"/>
      <c r="BB23" s="1682"/>
      <c r="BC23" s="1683">
        <v>0</v>
      </c>
      <c r="BD23" s="1683">
        <v>0</v>
      </c>
      <c r="BE23" s="1683">
        <v>361349.93</v>
      </c>
      <c r="BF23" s="1683">
        <v>361349.93</v>
      </c>
      <c r="BG23" s="1683">
        <v>303179.06</v>
      </c>
      <c r="BH23" s="1683">
        <v>303179.06</v>
      </c>
      <c r="BI23" s="1683">
        <v>0</v>
      </c>
      <c r="BJ23" s="1683">
        <v>58170.87</v>
      </c>
      <c r="BK23" s="1683">
        <v>0</v>
      </c>
      <c r="BL23" s="1683">
        <v>58170.87</v>
      </c>
      <c r="BM23" s="1683">
        <v>0</v>
      </c>
      <c r="BN23" s="1683">
        <v>0</v>
      </c>
      <c r="BO23" s="1682"/>
      <c r="BP23" s="1683">
        <v>211173.34</v>
      </c>
      <c r="BQ23" s="1683">
        <v>211173.34</v>
      </c>
      <c r="BR23" s="1683">
        <v>178736.73</v>
      </c>
      <c r="BS23" s="1683">
        <v>178736.73</v>
      </c>
      <c r="BT23" s="1683">
        <v>0</v>
      </c>
      <c r="BU23" s="1683">
        <v>32436.61</v>
      </c>
      <c r="BV23" s="1683">
        <v>0</v>
      </c>
      <c r="BW23" s="1683">
        <v>7334.26</v>
      </c>
      <c r="BX23" s="1683">
        <v>0</v>
      </c>
      <c r="BY23" s="1683">
        <v>0</v>
      </c>
      <c r="BZ23" s="1683">
        <v>0</v>
      </c>
      <c r="CA23" s="1683">
        <v>0</v>
      </c>
      <c r="CB23" s="1682"/>
      <c r="CC23" s="1682"/>
      <c r="CD23" s="1683">
        <v>0</v>
      </c>
      <c r="CE23" s="1683">
        <v>0</v>
      </c>
      <c r="CF23" s="1683">
        <v>0</v>
      </c>
      <c r="CG23" s="1683">
        <v>0</v>
      </c>
      <c r="CH23" s="1683">
        <v>0</v>
      </c>
      <c r="CI23" s="1683">
        <v>0</v>
      </c>
      <c r="CJ23" s="1683">
        <v>0</v>
      </c>
      <c r="CK23" s="1683">
        <v>0</v>
      </c>
      <c r="CL23" s="1682"/>
      <c r="CM23" s="1683">
        <v>48895.06</v>
      </c>
      <c r="CN23" s="1683">
        <v>48895.06</v>
      </c>
      <c r="CO23" s="1683">
        <v>41560.800000000003</v>
      </c>
      <c r="CP23" s="1683">
        <v>41560.800000000003</v>
      </c>
      <c r="CQ23" s="1683">
        <v>0</v>
      </c>
      <c r="CR23" s="1683">
        <v>7334.26</v>
      </c>
      <c r="CS23" s="1683">
        <v>0</v>
      </c>
      <c r="CT23" s="1683">
        <v>7334.26</v>
      </c>
      <c r="CU23" s="1683">
        <v>0</v>
      </c>
      <c r="CV23" s="1683">
        <v>0</v>
      </c>
      <c r="CW23" s="1682"/>
      <c r="CX23" s="1683">
        <v>0</v>
      </c>
      <c r="CY23" s="1683">
        <v>0</v>
      </c>
      <c r="CZ23" s="1683">
        <v>48895.06</v>
      </c>
      <c r="DA23" s="1683">
        <v>48895.06</v>
      </c>
      <c r="DB23" s="1682"/>
      <c r="DC23" s="1326"/>
      <c r="DD23" s="1683">
        <v>0</v>
      </c>
      <c r="DE23" s="1683">
        <v>0</v>
      </c>
      <c r="DF23" s="1683">
        <v>0</v>
      </c>
      <c r="DG23" s="1683">
        <v>0</v>
      </c>
      <c r="DH23" s="1683">
        <v>0</v>
      </c>
    </row>
    <row r="24" spans="1:112">
      <c r="A24" s="1326" t="s">
        <v>1707</v>
      </c>
      <c r="B24" s="1326" t="s">
        <v>1690</v>
      </c>
      <c r="C24" s="1326" t="s">
        <v>2537</v>
      </c>
      <c r="D24" s="1326" t="s">
        <v>2538</v>
      </c>
      <c r="E24" s="1326"/>
      <c r="F24" s="1326"/>
      <c r="G24" s="1326"/>
      <c r="H24" s="1326"/>
      <c r="I24" s="1326"/>
      <c r="J24" s="1326"/>
      <c r="K24" s="1326"/>
      <c r="L24" s="1326"/>
      <c r="M24" s="1683">
        <v>421638.05</v>
      </c>
      <c r="N24" s="1683">
        <v>0</v>
      </c>
      <c r="O24" s="1683">
        <v>421638.05</v>
      </c>
      <c r="P24" s="1683">
        <v>421638.05</v>
      </c>
      <c r="Q24" s="1683">
        <v>352037.69</v>
      </c>
      <c r="R24" s="1683">
        <v>352037.69</v>
      </c>
      <c r="S24" s="1683">
        <v>0</v>
      </c>
      <c r="T24" s="1683">
        <v>69600.36</v>
      </c>
      <c r="U24" s="1683">
        <v>0</v>
      </c>
      <c r="V24" s="1683">
        <v>69600.36</v>
      </c>
      <c r="W24" s="1683">
        <v>0</v>
      </c>
      <c r="X24" s="1683">
        <v>0</v>
      </c>
      <c r="Y24" s="1682"/>
      <c r="Z24" s="1326"/>
      <c r="AA24" s="1683">
        <v>0</v>
      </c>
      <c r="AB24" s="1683">
        <v>0</v>
      </c>
      <c r="AC24" s="1683">
        <v>0</v>
      </c>
      <c r="AD24" s="1682"/>
      <c r="AE24" s="1326"/>
      <c r="AF24" s="1326"/>
      <c r="AG24" s="1410"/>
      <c r="AH24" s="1683">
        <v>361349.93</v>
      </c>
      <c r="AI24" s="1683">
        <v>361349.93</v>
      </c>
      <c r="AJ24" s="1683">
        <v>303179.06</v>
      </c>
      <c r="AK24" s="1683">
        <v>303179.06</v>
      </c>
      <c r="AL24" s="1683">
        <v>0</v>
      </c>
      <c r="AM24" s="1682"/>
      <c r="AN24" s="1683">
        <v>361349.93</v>
      </c>
      <c r="AO24" s="1683">
        <v>361349.93</v>
      </c>
      <c r="AP24" s="1683">
        <v>303179.06</v>
      </c>
      <c r="AQ24" s="1683">
        <v>303179.06</v>
      </c>
      <c r="AR24" s="1683">
        <v>0</v>
      </c>
      <c r="AS24" s="1683">
        <v>58170.87</v>
      </c>
      <c r="AT24" s="1683">
        <v>0</v>
      </c>
      <c r="AU24" s="1683">
        <v>58170.87</v>
      </c>
      <c r="AV24" s="1683">
        <v>0</v>
      </c>
      <c r="AW24" s="1683">
        <v>0</v>
      </c>
      <c r="AX24" s="1683">
        <v>0</v>
      </c>
      <c r="AY24" s="1683">
        <v>0</v>
      </c>
      <c r="AZ24" s="1683">
        <v>0</v>
      </c>
      <c r="BA24" s="1682"/>
      <c r="BB24" s="1682"/>
      <c r="BC24" s="1683">
        <v>0</v>
      </c>
      <c r="BD24" s="1683">
        <v>0</v>
      </c>
      <c r="BE24" s="1683">
        <v>361349.93</v>
      </c>
      <c r="BF24" s="1683">
        <v>361349.93</v>
      </c>
      <c r="BG24" s="1683">
        <v>303179.06</v>
      </c>
      <c r="BH24" s="1683">
        <v>303179.06</v>
      </c>
      <c r="BI24" s="1683">
        <v>0</v>
      </c>
      <c r="BJ24" s="1683">
        <v>58170.87</v>
      </c>
      <c r="BK24" s="1683">
        <v>0</v>
      </c>
      <c r="BL24" s="1683">
        <v>58170.87</v>
      </c>
      <c r="BM24" s="1683">
        <v>0</v>
      </c>
      <c r="BN24" s="1683">
        <v>0</v>
      </c>
      <c r="BO24" s="1682"/>
      <c r="BP24" s="1683">
        <v>211173.34</v>
      </c>
      <c r="BQ24" s="1683">
        <v>211173.34</v>
      </c>
      <c r="BR24" s="1683">
        <v>178736.73</v>
      </c>
      <c r="BS24" s="1683">
        <v>178736.73</v>
      </c>
      <c r="BT24" s="1683">
        <v>0</v>
      </c>
      <c r="BU24" s="1683">
        <v>32436.61</v>
      </c>
      <c r="BV24" s="1683">
        <v>0</v>
      </c>
      <c r="BW24" s="1683">
        <v>7334.26</v>
      </c>
      <c r="BX24" s="1683">
        <v>0</v>
      </c>
      <c r="BY24" s="1683">
        <v>0</v>
      </c>
      <c r="BZ24" s="1683">
        <v>0</v>
      </c>
      <c r="CA24" s="1683">
        <v>0</v>
      </c>
      <c r="CB24" s="1682"/>
      <c r="CC24" s="1682"/>
      <c r="CD24" s="1683">
        <v>0</v>
      </c>
      <c r="CE24" s="1683">
        <v>0</v>
      </c>
      <c r="CF24" s="1683">
        <v>0</v>
      </c>
      <c r="CG24" s="1683">
        <v>0</v>
      </c>
      <c r="CH24" s="1683">
        <v>0</v>
      </c>
      <c r="CI24" s="1683">
        <v>0</v>
      </c>
      <c r="CJ24" s="1683">
        <v>0</v>
      </c>
      <c r="CK24" s="1683">
        <v>0</v>
      </c>
      <c r="CL24" s="1682"/>
      <c r="CM24" s="1683">
        <v>48895.06</v>
      </c>
      <c r="CN24" s="1683">
        <v>48895.06</v>
      </c>
      <c r="CO24" s="1683">
        <v>41560.800000000003</v>
      </c>
      <c r="CP24" s="1683">
        <v>41560.800000000003</v>
      </c>
      <c r="CQ24" s="1683">
        <v>0</v>
      </c>
      <c r="CR24" s="1683">
        <v>7334.26</v>
      </c>
      <c r="CS24" s="1683">
        <v>0</v>
      </c>
      <c r="CT24" s="1683">
        <v>7334.26</v>
      </c>
      <c r="CU24" s="1683">
        <v>0</v>
      </c>
      <c r="CV24" s="1683">
        <v>0</v>
      </c>
      <c r="CW24" s="1682"/>
      <c r="CX24" s="1683">
        <v>0</v>
      </c>
      <c r="CY24" s="1683">
        <v>0</v>
      </c>
      <c r="CZ24" s="1683">
        <v>48895.06</v>
      </c>
      <c r="DA24" s="1683">
        <v>48895.06</v>
      </c>
      <c r="DB24" s="1682"/>
      <c r="DC24" s="1326"/>
      <c r="DD24" s="1683">
        <v>0</v>
      </c>
      <c r="DE24" s="1683">
        <v>0</v>
      </c>
      <c r="DF24" s="1683">
        <v>0</v>
      </c>
      <c r="DG24" s="1683">
        <v>0</v>
      </c>
      <c r="DH24" s="1683">
        <v>0</v>
      </c>
    </row>
    <row r="25" spans="1:112">
      <c r="A25" s="1326" t="s">
        <v>1709</v>
      </c>
      <c r="B25" s="1326" t="s">
        <v>1690</v>
      </c>
      <c r="C25" s="1326" t="s">
        <v>2537</v>
      </c>
      <c r="D25" s="1326" t="s">
        <v>2538</v>
      </c>
      <c r="E25" s="1326" t="s">
        <v>148</v>
      </c>
      <c r="F25" s="1326"/>
      <c r="G25" s="1326"/>
      <c r="H25" s="1326"/>
      <c r="I25" s="1326"/>
      <c r="J25" s="1326"/>
      <c r="K25" s="1326"/>
      <c r="L25" s="1326"/>
      <c r="M25" s="1683">
        <v>421638.05</v>
      </c>
      <c r="N25" s="1683">
        <v>0</v>
      </c>
      <c r="O25" s="1683">
        <v>421638.05</v>
      </c>
      <c r="P25" s="1683">
        <v>421638.05</v>
      </c>
      <c r="Q25" s="1683">
        <v>352037.69</v>
      </c>
      <c r="R25" s="1683">
        <v>352037.69</v>
      </c>
      <c r="S25" s="1683">
        <v>0</v>
      </c>
      <c r="T25" s="1683">
        <v>69600.36</v>
      </c>
      <c r="U25" s="1683">
        <v>0</v>
      </c>
      <c r="V25" s="1683">
        <v>69600.36</v>
      </c>
      <c r="W25" s="1683">
        <v>0</v>
      </c>
      <c r="X25" s="1683">
        <v>0</v>
      </c>
      <c r="Y25" s="1682"/>
      <c r="Z25" s="1326"/>
      <c r="AA25" s="1683">
        <v>0</v>
      </c>
      <c r="AB25" s="1683">
        <v>0</v>
      </c>
      <c r="AC25" s="1683">
        <v>0</v>
      </c>
      <c r="AD25" s="1682"/>
      <c r="AE25" s="1326"/>
      <c r="AF25" s="1326"/>
      <c r="AG25" s="1410"/>
      <c r="AH25" s="1683">
        <v>361349.93</v>
      </c>
      <c r="AI25" s="1683">
        <v>361349.93</v>
      </c>
      <c r="AJ25" s="1683">
        <v>303179.06</v>
      </c>
      <c r="AK25" s="1683">
        <v>303179.06</v>
      </c>
      <c r="AL25" s="1683">
        <v>0</v>
      </c>
      <c r="AM25" s="1682"/>
      <c r="AN25" s="1683">
        <v>361349.93</v>
      </c>
      <c r="AO25" s="1683">
        <v>361349.93</v>
      </c>
      <c r="AP25" s="1683">
        <v>303179.06</v>
      </c>
      <c r="AQ25" s="1683">
        <v>303179.06</v>
      </c>
      <c r="AR25" s="1683">
        <v>0</v>
      </c>
      <c r="AS25" s="1683">
        <v>58170.87</v>
      </c>
      <c r="AT25" s="1683">
        <v>0</v>
      </c>
      <c r="AU25" s="1683">
        <v>58170.87</v>
      </c>
      <c r="AV25" s="1683">
        <v>0</v>
      </c>
      <c r="AW25" s="1683">
        <v>0</v>
      </c>
      <c r="AX25" s="1683">
        <v>0</v>
      </c>
      <c r="AY25" s="1683">
        <v>0</v>
      </c>
      <c r="AZ25" s="1683">
        <v>0</v>
      </c>
      <c r="BA25" s="1682"/>
      <c r="BB25" s="1682"/>
      <c r="BC25" s="1683">
        <v>0</v>
      </c>
      <c r="BD25" s="1683">
        <v>0</v>
      </c>
      <c r="BE25" s="1683">
        <v>361349.93</v>
      </c>
      <c r="BF25" s="1683">
        <v>361349.93</v>
      </c>
      <c r="BG25" s="1683">
        <v>303179.06</v>
      </c>
      <c r="BH25" s="1683">
        <v>303179.06</v>
      </c>
      <c r="BI25" s="1683">
        <v>0</v>
      </c>
      <c r="BJ25" s="1683">
        <v>58170.87</v>
      </c>
      <c r="BK25" s="1683">
        <v>0</v>
      </c>
      <c r="BL25" s="1683">
        <v>58170.87</v>
      </c>
      <c r="BM25" s="1683">
        <v>0</v>
      </c>
      <c r="BN25" s="1683">
        <v>0</v>
      </c>
      <c r="BO25" s="1682"/>
      <c r="BP25" s="1683">
        <v>211173.34</v>
      </c>
      <c r="BQ25" s="1683">
        <v>211173.34</v>
      </c>
      <c r="BR25" s="1683">
        <v>178736.73</v>
      </c>
      <c r="BS25" s="1683">
        <v>178736.73</v>
      </c>
      <c r="BT25" s="1683">
        <v>0</v>
      </c>
      <c r="BU25" s="1683">
        <v>32436.61</v>
      </c>
      <c r="BV25" s="1683">
        <v>0</v>
      </c>
      <c r="BW25" s="1683">
        <v>7334.26</v>
      </c>
      <c r="BX25" s="1683">
        <v>0</v>
      </c>
      <c r="BY25" s="1683">
        <v>0</v>
      </c>
      <c r="BZ25" s="1683">
        <v>0</v>
      </c>
      <c r="CA25" s="1683">
        <v>0</v>
      </c>
      <c r="CB25" s="1682"/>
      <c r="CC25" s="1682"/>
      <c r="CD25" s="1683">
        <v>0</v>
      </c>
      <c r="CE25" s="1683">
        <v>0</v>
      </c>
      <c r="CF25" s="1683">
        <v>0</v>
      </c>
      <c r="CG25" s="1683">
        <v>0</v>
      </c>
      <c r="CH25" s="1683">
        <v>0</v>
      </c>
      <c r="CI25" s="1683">
        <v>0</v>
      </c>
      <c r="CJ25" s="1683">
        <v>0</v>
      </c>
      <c r="CK25" s="1683">
        <v>0</v>
      </c>
      <c r="CL25" s="1682"/>
      <c r="CM25" s="1683">
        <v>48895.06</v>
      </c>
      <c r="CN25" s="1683">
        <v>48895.06</v>
      </c>
      <c r="CO25" s="1683">
        <v>41560.800000000003</v>
      </c>
      <c r="CP25" s="1683">
        <v>41560.800000000003</v>
      </c>
      <c r="CQ25" s="1683">
        <v>0</v>
      </c>
      <c r="CR25" s="1683">
        <v>7334.26</v>
      </c>
      <c r="CS25" s="1683">
        <v>0</v>
      </c>
      <c r="CT25" s="1683">
        <v>7334.26</v>
      </c>
      <c r="CU25" s="1683">
        <v>0</v>
      </c>
      <c r="CV25" s="1683">
        <v>0</v>
      </c>
      <c r="CW25" s="1682"/>
      <c r="CX25" s="1683">
        <v>0</v>
      </c>
      <c r="CY25" s="1683">
        <v>0</v>
      </c>
      <c r="CZ25" s="1683">
        <v>48895.06</v>
      </c>
      <c r="DA25" s="1683">
        <v>48895.06</v>
      </c>
      <c r="DB25" s="1682"/>
      <c r="DC25" s="1326"/>
      <c r="DD25" s="1683">
        <v>0</v>
      </c>
      <c r="DE25" s="1683">
        <v>0</v>
      </c>
      <c r="DF25" s="1683">
        <v>0</v>
      </c>
      <c r="DG25" s="1683">
        <v>0</v>
      </c>
      <c r="DH25" s="1683">
        <v>0</v>
      </c>
    </row>
    <row r="26" spans="1:112" ht="67.5">
      <c r="A26" s="1326" t="s">
        <v>1710</v>
      </c>
      <c r="B26" s="1326" t="s">
        <v>1690</v>
      </c>
      <c r="C26" s="1326" t="s">
        <v>2537</v>
      </c>
      <c r="D26" s="1326" t="s">
        <v>2538</v>
      </c>
      <c r="E26" s="1326" t="s">
        <v>148</v>
      </c>
      <c r="F26" s="1326" t="s">
        <v>2539</v>
      </c>
      <c r="G26" s="1326" t="s">
        <v>2540</v>
      </c>
      <c r="H26" s="1326" t="s">
        <v>2541</v>
      </c>
      <c r="I26" s="1326" t="s">
        <v>716</v>
      </c>
      <c r="J26" s="1326" t="s">
        <v>633</v>
      </c>
      <c r="K26" s="1326" t="s">
        <v>2071</v>
      </c>
      <c r="L26" s="1326" t="s">
        <v>2137</v>
      </c>
      <c r="M26" s="1683">
        <v>133670.07</v>
      </c>
      <c r="N26" s="1683">
        <v>0</v>
      </c>
      <c r="O26" s="1683">
        <v>133670.07</v>
      </c>
      <c r="P26" s="1683">
        <v>133670.07</v>
      </c>
      <c r="Q26" s="1683">
        <v>113619.56</v>
      </c>
      <c r="R26" s="1683">
        <v>113619.56</v>
      </c>
      <c r="S26" s="1683">
        <v>0</v>
      </c>
      <c r="T26" s="1683">
        <v>20050.509999999998</v>
      </c>
      <c r="U26" s="1683">
        <v>0</v>
      </c>
      <c r="V26" s="1683">
        <v>20050.509999999998</v>
      </c>
      <c r="W26" s="1683">
        <v>0</v>
      </c>
      <c r="X26" s="1683">
        <v>0</v>
      </c>
      <c r="Y26" s="1682"/>
      <c r="Z26" s="1326"/>
      <c r="AA26" s="1683">
        <v>0</v>
      </c>
      <c r="AB26" s="1683">
        <v>0</v>
      </c>
      <c r="AC26" s="1683">
        <v>0</v>
      </c>
      <c r="AD26" s="1682"/>
      <c r="AE26" s="1326"/>
      <c r="AF26" s="1326"/>
      <c r="AG26" s="1410"/>
      <c r="AH26" s="1683">
        <v>133670.07</v>
      </c>
      <c r="AI26" s="1683">
        <v>133670.07</v>
      </c>
      <c r="AJ26" s="1683">
        <v>113619.56</v>
      </c>
      <c r="AK26" s="1683">
        <v>113619.56</v>
      </c>
      <c r="AL26" s="1683">
        <v>0</v>
      </c>
      <c r="AM26" s="1682"/>
      <c r="AN26" s="1683">
        <v>133670.07</v>
      </c>
      <c r="AO26" s="1683">
        <v>133670.07</v>
      </c>
      <c r="AP26" s="1683">
        <v>113619.56</v>
      </c>
      <c r="AQ26" s="1683">
        <v>113619.56</v>
      </c>
      <c r="AR26" s="1683">
        <v>0</v>
      </c>
      <c r="AS26" s="1683">
        <v>20050.509999999998</v>
      </c>
      <c r="AT26" s="1683">
        <v>0</v>
      </c>
      <c r="AU26" s="1683">
        <v>20050.509999999998</v>
      </c>
      <c r="AV26" s="1683">
        <v>0</v>
      </c>
      <c r="AW26" s="1683">
        <v>0</v>
      </c>
      <c r="AX26" s="1683">
        <v>0</v>
      </c>
      <c r="AY26" s="1683">
        <v>0</v>
      </c>
      <c r="AZ26" s="1683">
        <v>0</v>
      </c>
      <c r="BA26" s="1682"/>
      <c r="BB26" s="1682"/>
      <c r="BC26" s="1683">
        <v>0</v>
      </c>
      <c r="BD26" s="1683">
        <v>0</v>
      </c>
      <c r="BE26" s="1683">
        <v>133670.07</v>
      </c>
      <c r="BF26" s="1683">
        <v>133670.07</v>
      </c>
      <c r="BG26" s="1683">
        <v>113619.56</v>
      </c>
      <c r="BH26" s="1683">
        <v>113619.56</v>
      </c>
      <c r="BI26" s="1683">
        <v>0</v>
      </c>
      <c r="BJ26" s="1683">
        <v>20050.509999999998</v>
      </c>
      <c r="BK26" s="1683">
        <v>0</v>
      </c>
      <c r="BL26" s="1683">
        <v>20050.509999999998</v>
      </c>
      <c r="BM26" s="1683">
        <v>0</v>
      </c>
      <c r="BN26" s="1683">
        <v>0</v>
      </c>
      <c r="BO26" s="1682"/>
      <c r="BP26" s="1683">
        <v>133670.07</v>
      </c>
      <c r="BQ26" s="1683">
        <v>133670.07</v>
      </c>
      <c r="BR26" s="1683">
        <v>113619.56</v>
      </c>
      <c r="BS26" s="1683">
        <v>113619.56</v>
      </c>
      <c r="BT26" s="1683">
        <v>0</v>
      </c>
      <c r="BU26" s="1683">
        <v>20050.509999999998</v>
      </c>
      <c r="BV26" s="1683">
        <v>0</v>
      </c>
      <c r="BW26" s="1683">
        <v>7334.26</v>
      </c>
      <c r="BX26" s="1683">
        <v>0</v>
      </c>
      <c r="BY26" s="1683">
        <v>0</v>
      </c>
      <c r="BZ26" s="1683">
        <v>0</v>
      </c>
      <c r="CA26" s="1683">
        <v>0</v>
      </c>
      <c r="CB26" s="1682"/>
      <c r="CC26" s="1682"/>
      <c r="CD26" s="1683">
        <v>0</v>
      </c>
      <c r="CE26" s="1683">
        <v>0</v>
      </c>
      <c r="CF26" s="1683">
        <v>0</v>
      </c>
      <c r="CG26" s="1683">
        <v>0</v>
      </c>
      <c r="CH26" s="1683">
        <v>0</v>
      </c>
      <c r="CI26" s="1683">
        <v>0</v>
      </c>
      <c r="CJ26" s="1683">
        <v>0</v>
      </c>
      <c r="CK26" s="1683">
        <v>0</v>
      </c>
      <c r="CL26" s="1682"/>
      <c r="CM26" s="1683">
        <v>48895.06</v>
      </c>
      <c r="CN26" s="1683">
        <v>48895.06</v>
      </c>
      <c r="CO26" s="1683">
        <v>41560.800000000003</v>
      </c>
      <c r="CP26" s="1683">
        <v>41560.800000000003</v>
      </c>
      <c r="CQ26" s="1683">
        <v>0</v>
      </c>
      <c r="CR26" s="1683">
        <v>7334.26</v>
      </c>
      <c r="CS26" s="1683">
        <v>0</v>
      </c>
      <c r="CT26" s="1683">
        <v>7334.26</v>
      </c>
      <c r="CU26" s="1683">
        <v>0</v>
      </c>
      <c r="CV26" s="1683">
        <v>0</v>
      </c>
      <c r="CW26" s="1682"/>
      <c r="CX26" s="1683">
        <v>0</v>
      </c>
      <c r="CY26" s="1683">
        <v>0</v>
      </c>
      <c r="CZ26" s="1683">
        <v>48895.06</v>
      </c>
      <c r="DA26" s="1683">
        <v>48895.06</v>
      </c>
      <c r="DB26" s="1682"/>
      <c r="DC26" s="1326"/>
      <c r="DD26" s="1683">
        <v>0</v>
      </c>
      <c r="DE26" s="1683">
        <v>0</v>
      </c>
      <c r="DF26" s="1683">
        <v>0</v>
      </c>
      <c r="DG26" s="1683">
        <v>0</v>
      </c>
      <c r="DH26" s="1683">
        <v>0</v>
      </c>
    </row>
    <row r="27" spans="1:112" ht="67.5">
      <c r="A27" s="1326" t="s">
        <v>1711</v>
      </c>
      <c r="B27" s="1326" t="s">
        <v>1690</v>
      </c>
      <c r="C27" s="1326" t="s">
        <v>2537</v>
      </c>
      <c r="D27" s="1326" t="s">
        <v>2538</v>
      </c>
      <c r="E27" s="1326" t="s">
        <v>148</v>
      </c>
      <c r="F27" s="1326" t="s">
        <v>2539</v>
      </c>
      <c r="G27" s="1326" t="s">
        <v>2540</v>
      </c>
      <c r="H27" s="1326" t="s">
        <v>2541</v>
      </c>
      <c r="I27" s="1326" t="s">
        <v>716</v>
      </c>
      <c r="J27" s="1326" t="s">
        <v>633</v>
      </c>
      <c r="K27" s="1326" t="s">
        <v>2071</v>
      </c>
      <c r="L27" s="1326" t="s">
        <v>2137</v>
      </c>
      <c r="M27" s="1400"/>
      <c r="N27" s="1400"/>
      <c r="O27" s="1400"/>
      <c r="P27" s="1400"/>
      <c r="Q27" s="1400"/>
      <c r="R27" s="1400"/>
      <c r="S27" s="1400"/>
      <c r="T27" s="1400"/>
      <c r="U27" s="1400"/>
      <c r="V27" s="1400"/>
      <c r="W27" s="1400"/>
      <c r="X27" s="1400"/>
      <c r="Y27" s="1685">
        <v>43034</v>
      </c>
      <c r="Z27" s="1326" t="s">
        <v>2062</v>
      </c>
      <c r="AA27" s="1683">
        <v>0</v>
      </c>
      <c r="AB27" s="1683">
        <v>0</v>
      </c>
      <c r="AC27" s="1683">
        <v>0</v>
      </c>
      <c r="AD27" s="1685">
        <v>43054</v>
      </c>
      <c r="AE27" s="1326" t="s">
        <v>2073</v>
      </c>
      <c r="AF27" s="1326" t="s">
        <v>2064</v>
      </c>
      <c r="AG27" s="1410"/>
      <c r="AH27" s="1683">
        <v>48895.06</v>
      </c>
      <c r="AI27" s="1683">
        <v>48895.06</v>
      </c>
      <c r="AJ27" s="1683">
        <v>41560.800000000003</v>
      </c>
      <c r="AK27" s="1683">
        <v>41560.800000000003</v>
      </c>
      <c r="AL27" s="1683">
        <v>0</v>
      </c>
      <c r="AM27" s="1685">
        <v>43054</v>
      </c>
      <c r="AN27" s="1683">
        <v>48895.06</v>
      </c>
      <c r="AO27" s="1683">
        <v>48895.06</v>
      </c>
      <c r="AP27" s="1683">
        <v>41560.800000000003</v>
      </c>
      <c r="AQ27" s="1683">
        <v>41560.800000000003</v>
      </c>
      <c r="AR27" s="1683">
        <v>0</v>
      </c>
      <c r="AS27" s="1683">
        <v>7334.26</v>
      </c>
      <c r="AT27" s="1683">
        <v>0</v>
      </c>
      <c r="AU27" s="1683">
        <v>7334.26</v>
      </c>
      <c r="AV27" s="1683">
        <v>0</v>
      </c>
      <c r="AW27" s="1683">
        <v>0</v>
      </c>
      <c r="AX27" s="1400"/>
      <c r="AY27" s="1400"/>
      <c r="AZ27" s="1400"/>
      <c r="BA27" s="1682"/>
      <c r="BB27" s="1682"/>
      <c r="BC27" s="1400"/>
      <c r="BD27" s="1400"/>
      <c r="BE27" s="1683">
        <v>48895.06</v>
      </c>
      <c r="BF27" s="1683">
        <v>48895.06</v>
      </c>
      <c r="BG27" s="1683">
        <v>41560.800000000003</v>
      </c>
      <c r="BH27" s="1683">
        <v>41560.800000000003</v>
      </c>
      <c r="BI27" s="1683">
        <v>0</v>
      </c>
      <c r="BJ27" s="1683">
        <v>7334.26</v>
      </c>
      <c r="BK27" s="1683">
        <v>0</v>
      </c>
      <c r="BL27" s="1683">
        <v>7334.26</v>
      </c>
      <c r="BM27" s="1683">
        <v>0</v>
      </c>
      <c r="BN27" s="1683">
        <v>0</v>
      </c>
      <c r="BO27" s="1685">
        <v>43159</v>
      </c>
      <c r="BP27" s="1683">
        <v>48895.06</v>
      </c>
      <c r="BQ27" s="1683">
        <v>48895.06</v>
      </c>
      <c r="BR27" s="1683">
        <v>41560.800000000003</v>
      </c>
      <c r="BS27" s="1683">
        <v>41560.800000000003</v>
      </c>
      <c r="BT27" s="1683">
        <v>0</v>
      </c>
      <c r="BU27" s="1683">
        <v>7334.26</v>
      </c>
      <c r="BV27" s="1683">
        <v>0</v>
      </c>
      <c r="BW27" s="1683">
        <v>7334.26</v>
      </c>
      <c r="BX27" s="1683">
        <v>0</v>
      </c>
      <c r="BY27" s="1683">
        <v>0</v>
      </c>
      <c r="BZ27" s="1683">
        <v>0</v>
      </c>
      <c r="CA27" s="1400"/>
      <c r="CB27" s="1682"/>
      <c r="CC27" s="1682"/>
      <c r="CD27" s="1400"/>
      <c r="CE27" s="1400"/>
      <c r="CF27" s="1683">
        <v>0</v>
      </c>
      <c r="CG27" s="1683">
        <v>0</v>
      </c>
      <c r="CH27" s="1683">
        <v>0</v>
      </c>
      <c r="CI27" s="1683">
        <v>0</v>
      </c>
      <c r="CJ27" s="1683">
        <v>0</v>
      </c>
      <c r="CK27" s="1683">
        <v>0</v>
      </c>
      <c r="CL27" s="1685">
        <v>43511</v>
      </c>
      <c r="CM27" s="1683">
        <v>48895.06</v>
      </c>
      <c r="CN27" s="1683">
        <v>48895.06</v>
      </c>
      <c r="CO27" s="1683">
        <v>41560.800000000003</v>
      </c>
      <c r="CP27" s="1683">
        <v>41560.800000000003</v>
      </c>
      <c r="CQ27" s="1683">
        <v>0</v>
      </c>
      <c r="CR27" s="1683">
        <v>7334.26</v>
      </c>
      <c r="CS27" s="1683">
        <v>0</v>
      </c>
      <c r="CT27" s="1683">
        <v>7334.26</v>
      </c>
      <c r="CU27" s="1683">
        <v>0</v>
      </c>
      <c r="CV27" s="1683">
        <v>0</v>
      </c>
      <c r="CW27" s="1682"/>
      <c r="CX27" s="1400"/>
      <c r="CY27" s="1400"/>
      <c r="CZ27" s="1400"/>
      <c r="DA27" s="1400"/>
      <c r="DB27" s="1682"/>
      <c r="DC27" s="1326"/>
      <c r="DD27" s="1683">
        <v>0</v>
      </c>
      <c r="DE27" s="1400"/>
      <c r="DF27" s="1400"/>
      <c r="DG27" s="1683">
        <v>0</v>
      </c>
      <c r="DH27" s="1683">
        <v>0</v>
      </c>
    </row>
    <row r="28" spans="1:112" ht="67.5">
      <c r="A28" s="1326" t="s">
        <v>1713</v>
      </c>
      <c r="B28" s="1326" t="s">
        <v>1690</v>
      </c>
      <c r="C28" s="1326" t="s">
        <v>2537</v>
      </c>
      <c r="D28" s="1326" t="s">
        <v>2538</v>
      </c>
      <c r="E28" s="1326" t="s">
        <v>148</v>
      </c>
      <c r="F28" s="1326" t="s">
        <v>2539</v>
      </c>
      <c r="G28" s="1326" t="s">
        <v>2540</v>
      </c>
      <c r="H28" s="1326" t="s">
        <v>2541</v>
      </c>
      <c r="I28" s="1326" t="s">
        <v>716</v>
      </c>
      <c r="J28" s="1326" t="s">
        <v>633</v>
      </c>
      <c r="K28" s="1326" t="s">
        <v>2071</v>
      </c>
      <c r="L28" s="1326" t="s">
        <v>2137</v>
      </c>
      <c r="M28" s="1400"/>
      <c r="N28" s="1400"/>
      <c r="O28" s="1400"/>
      <c r="P28" s="1400"/>
      <c r="Q28" s="1400"/>
      <c r="R28" s="1400"/>
      <c r="S28" s="1400"/>
      <c r="T28" s="1400"/>
      <c r="U28" s="1400"/>
      <c r="V28" s="1400"/>
      <c r="W28" s="1400"/>
      <c r="X28" s="1400"/>
      <c r="Y28" s="1685">
        <v>43126</v>
      </c>
      <c r="Z28" s="1326" t="s">
        <v>2062</v>
      </c>
      <c r="AA28" s="1683">
        <v>0</v>
      </c>
      <c r="AB28" s="1683">
        <v>0</v>
      </c>
      <c r="AC28" s="1683">
        <v>0</v>
      </c>
      <c r="AD28" s="1685">
        <v>43161</v>
      </c>
      <c r="AE28" s="1326" t="s">
        <v>2063</v>
      </c>
      <c r="AF28" s="1326" t="s">
        <v>2064</v>
      </c>
      <c r="AG28" s="1410"/>
      <c r="AH28" s="1683">
        <v>24262.53</v>
      </c>
      <c r="AI28" s="1683">
        <v>24262.53</v>
      </c>
      <c r="AJ28" s="1683">
        <v>20623.150000000001</v>
      </c>
      <c r="AK28" s="1683">
        <v>20623.150000000001</v>
      </c>
      <c r="AL28" s="1683">
        <v>0</v>
      </c>
      <c r="AM28" s="1685">
        <v>43161</v>
      </c>
      <c r="AN28" s="1683">
        <v>24262.53</v>
      </c>
      <c r="AO28" s="1683">
        <v>24262.53</v>
      </c>
      <c r="AP28" s="1683">
        <v>20623.150000000001</v>
      </c>
      <c r="AQ28" s="1683">
        <v>20623.150000000001</v>
      </c>
      <c r="AR28" s="1683">
        <v>0</v>
      </c>
      <c r="AS28" s="1683">
        <v>3639.38</v>
      </c>
      <c r="AT28" s="1683">
        <v>0</v>
      </c>
      <c r="AU28" s="1683">
        <v>3639.38</v>
      </c>
      <c r="AV28" s="1683">
        <v>0</v>
      </c>
      <c r="AW28" s="1683">
        <v>0</v>
      </c>
      <c r="AX28" s="1400"/>
      <c r="AY28" s="1400"/>
      <c r="AZ28" s="1400"/>
      <c r="BA28" s="1682"/>
      <c r="BB28" s="1682"/>
      <c r="BC28" s="1400"/>
      <c r="BD28" s="1400"/>
      <c r="BE28" s="1683">
        <v>24262.53</v>
      </c>
      <c r="BF28" s="1683">
        <v>24262.53</v>
      </c>
      <c r="BG28" s="1683">
        <v>20623.150000000001</v>
      </c>
      <c r="BH28" s="1683">
        <v>20623.150000000001</v>
      </c>
      <c r="BI28" s="1683">
        <v>0</v>
      </c>
      <c r="BJ28" s="1683">
        <v>3639.38</v>
      </c>
      <c r="BK28" s="1683">
        <v>0</v>
      </c>
      <c r="BL28" s="1683">
        <v>3639.38</v>
      </c>
      <c r="BM28" s="1683">
        <v>0</v>
      </c>
      <c r="BN28" s="1683">
        <v>0</v>
      </c>
      <c r="BO28" s="1685">
        <v>43364</v>
      </c>
      <c r="BP28" s="1683">
        <v>24262.53</v>
      </c>
      <c r="BQ28" s="1683">
        <v>24262.53</v>
      </c>
      <c r="BR28" s="1683">
        <v>20623.150000000001</v>
      </c>
      <c r="BS28" s="1683">
        <v>20623.150000000001</v>
      </c>
      <c r="BT28" s="1683">
        <v>0</v>
      </c>
      <c r="BU28" s="1683">
        <v>3639.38</v>
      </c>
      <c r="BV28" s="1683">
        <v>0</v>
      </c>
      <c r="BW28" s="1683">
        <v>0</v>
      </c>
      <c r="BX28" s="1683">
        <v>0</v>
      </c>
      <c r="BY28" s="1683">
        <v>0</v>
      </c>
      <c r="BZ28" s="1683">
        <v>0</v>
      </c>
      <c r="CA28" s="1400"/>
      <c r="CB28" s="1682"/>
      <c r="CC28" s="1682"/>
      <c r="CD28" s="1400"/>
      <c r="CE28" s="1400"/>
      <c r="CF28" s="1683">
        <v>0</v>
      </c>
      <c r="CG28" s="1683">
        <v>0</v>
      </c>
      <c r="CH28" s="1683">
        <v>0</v>
      </c>
      <c r="CI28" s="1683">
        <v>0</v>
      </c>
      <c r="CJ28" s="1683">
        <v>0</v>
      </c>
      <c r="CK28" s="1683">
        <v>0</v>
      </c>
      <c r="CL28" s="1682"/>
      <c r="CM28" s="1683">
        <v>0</v>
      </c>
      <c r="CN28" s="1683">
        <v>0</v>
      </c>
      <c r="CO28" s="1683">
        <v>0</v>
      </c>
      <c r="CP28" s="1683">
        <v>0</v>
      </c>
      <c r="CQ28" s="1683">
        <v>0</v>
      </c>
      <c r="CR28" s="1683">
        <v>0</v>
      </c>
      <c r="CS28" s="1683">
        <v>0</v>
      </c>
      <c r="CT28" s="1683">
        <v>0</v>
      </c>
      <c r="CU28" s="1683">
        <v>0</v>
      </c>
      <c r="CV28" s="1683">
        <v>0</v>
      </c>
      <c r="CW28" s="1682"/>
      <c r="CX28" s="1400"/>
      <c r="CY28" s="1400"/>
      <c r="CZ28" s="1400"/>
      <c r="DA28" s="1400"/>
      <c r="DB28" s="1682"/>
      <c r="DC28" s="1326"/>
      <c r="DD28" s="1683">
        <v>0</v>
      </c>
      <c r="DE28" s="1400"/>
      <c r="DF28" s="1400"/>
      <c r="DG28" s="1683">
        <v>0</v>
      </c>
      <c r="DH28" s="1683">
        <v>0</v>
      </c>
    </row>
    <row r="29" spans="1:112" ht="67.5">
      <c r="A29" s="1326" t="s">
        <v>1714</v>
      </c>
      <c r="B29" s="1326" t="s">
        <v>1690</v>
      </c>
      <c r="C29" s="1326" t="s">
        <v>2537</v>
      </c>
      <c r="D29" s="1326" t="s">
        <v>2538</v>
      </c>
      <c r="E29" s="1326" t="s">
        <v>148</v>
      </c>
      <c r="F29" s="1326" t="s">
        <v>2539</v>
      </c>
      <c r="G29" s="1326" t="s">
        <v>2540</v>
      </c>
      <c r="H29" s="1326" t="s">
        <v>2541</v>
      </c>
      <c r="I29" s="1326" t="s">
        <v>716</v>
      </c>
      <c r="J29" s="1326" t="s">
        <v>633</v>
      </c>
      <c r="K29" s="1326" t="s">
        <v>2071</v>
      </c>
      <c r="L29" s="1326" t="s">
        <v>2137</v>
      </c>
      <c r="M29" s="1400"/>
      <c r="N29" s="1400"/>
      <c r="O29" s="1400"/>
      <c r="P29" s="1400"/>
      <c r="Q29" s="1400"/>
      <c r="R29" s="1400"/>
      <c r="S29" s="1400"/>
      <c r="T29" s="1400"/>
      <c r="U29" s="1400"/>
      <c r="V29" s="1400"/>
      <c r="W29" s="1400"/>
      <c r="X29" s="1400"/>
      <c r="Y29" s="1685">
        <v>43265</v>
      </c>
      <c r="Z29" s="1326" t="s">
        <v>2062</v>
      </c>
      <c r="AA29" s="1683">
        <v>0</v>
      </c>
      <c r="AB29" s="1683">
        <v>0</v>
      </c>
      <c r="AC29" s="1683">
        <v>0</v>
      </c>
      <c r="AD29" s="1685">
        <v>43335</v>
      </c>
      <c r="AE29" s="1326" t="s">
        <v>2066</v>
      </c>
      <c r="AF29" s="1326" t="s">
        <v>2067</v>
      </c>
      <c r="AG29" s="1410"/>
      <c r="AH29" s="1683">
        <v>23056.84</v>
      </c>
      <c r="AI29" s="1683">
        <v>23056.84</v>
      </c>
      <c r="AJ29" s="1683">
        <v>19598.310000000001</v>
      </c>
      <c r="AK29" s="1683">
        <v>19598.310000000001</v>
      </c>
      <c r="AL29" s="1683">
        <v>0</v>
      </c>
      <c r="AM29" s="1685">
        <v>43335</v>
      </c>
      <c r="AN29" s="1683">
        <v>23056.84</v>
      </c>
      <c r="AO29" s="1683">
        <v>23056.84</v>
      </c>
      <c r="AP29" s="1683">
        <v>19598.310000000001</v>
      </c>
      <c r="AQ29" s="1683">
        <v>19598.310000000001</v>
      </c>
      <c r="AR29" s="1683">
        <v>0</v>
      </c>
      <c r="AS29" s="1683">
        <v>3458.53</v>
      </c>
      <c r="AT29" s="1683">
        <v>0</v>
      </c>
      <c r="AU29" s="1683">
        <v>3458.53</v>
      </c>
      <c r="AV29" s="1683">
        <v>0</v>
      </c>
      <c r="AW29" s="1683">
        <v>0</v>
      </c>
      <c r="AX29" s="1400"/>
      <c r="AY29" s="1400"/>
      <c r="AZ29" s="1400"/>
      <c r="BA29" s="1682"/>
      <c r="BB29" s="1682"/>
      <c r="BC29" s="1400"/>
      <c r="BD29" s="1400"/>
      <c r="BE29" s="1683">
        <v>23056.84</v>
      </c>
      <c r="BF29" s="1683">
        <v>23056.84</v>
      </c>
      <c r="BG29" s="1683">
        <v>19598.310000000001</v>
      </c>
      <c r="BH29" s="1683">
        <v>19598.310000000001</v>
      </c>
      <c r="BI29" s="1683">
        <v>0</v>
      </c>
      <c r="BJ29" s="1683">
        <v>3458.53</v>
      </c>
      <c r="BK29" s="1683">
        <v>0</v>
      </c>
      <c r="BL29" s="1683">
        <v>3458.53</v>
      </c>
      <c r="BM29" s="1683">
        <v>0</v>
      </c>
      <c r="BN29" s="1683">
        <v>0</v>
      </c>
      <c r="BO29" s="1685">
        <v>43403</v>
      </c>
      <c r="BP29" s="1683">
        <v>23056.84</v>
      </c>
      <c r="BQ29" s="1683">
        <v>23056.84</v>
      </c>
      <c r="BR29" s="1683">
        <v>19598.310000000001</v>
      </c>
      <c r="BS29" s="1683">
        <v>19598.310000000001</v>
      </c>
      <c r="BT29" s="1683">
        <v>0</v>
      </c>
      <c r="BU29" s="1683">
        <v>3458.53</v>
      </c>
      <c r="BV29" s="1683">
        <v>0</v>
      </c>
      <c r="BW29" s="1683">
        <v>0</v>
      </c>
      <c r="BX29" s="1683">
        <v>0</v>
      </c>
      <c r="BY29" s="1683">
        <v>0</v>
      </c>
      <c r="BZ29" s="1683">
        <v>0</v>
      </c>
      <c r="CA29" s="1400"/>
      <c r="CB29" s="1682"/>
      <c r="CC29" s="1682"/>
      <c r="CD29" s="1400"/>
      <c r="CE29" s="1400"/>
      <c r="CF29" s="1683">
        <v>0</v>
      </c>
      <c r="CG29" s="1683">
        <v>0</v>
      </c>
      <c r="CH29" s="1683">
        <v>0</v>
      </c>
      <c r="CI29" s="1683">
        <v>0</v>
      </c>
      <c r="CJ29" s="1683">
        <v>0</v>
      </c>
      <c r="CK29" s="1683">
        <v>0</v>
      </c>
      <c r="CL29" s="1682"/>
      <c r="CM29" s="1683">
        <v>0</v>
      </c>
      <c r="CN29" s="1683">
        <v>0</v>
      </c>
      <c r="CO29" s="1683">
        <v>0</v>
      </c>
      <c r="CP29" s="1683">
        <v>0</v>
      </c>
      <c r="CQ29" s="1683">
        <v>0</v>
      </c>
      <c r="CR29" s="1683">
        <v>0</v>
      </c>
      <c r="CS29" s="1683">
        <v>0</v>
      </c>
      <c r="CT29" s="1683">
        <v>0</v>
      </c>
      <c r="CU29" s="1683">
        <v>0</v>
      </c>
      <c r="CV29" s="1683">
        <v>0</v>
      </c>
      <c r="CW29" s="1682"/>
      <c r="CX29" s="1400"/>
      <c r="CY29" s="1400"/>
      <c r="CZ29" s="1400"/>
      <c r="DA29" s="1400"/>
      <c r="DB29" s="1682"/>
      <c r="DC29" s="1326"/>
      <c r="DD29" s="1683">
        <v>0</v>
      </c>
      <c r="DE29" s="1400"/>
      <c r="DF29" s="1400"/>
      <c r="DG29" s="1683">
        <v>0</v>
      </c>
      <c r="DH29" s="1683">
        <v>0</v>
      </c>
    </row>
    <row r="30" spans="1:112" ht="67.5">
      <c r="A30" s="1326" t="s">
        <v>1716</v>
      </c>
      <c r="B30" s="1326" t="s">
        <v>1690</v>
      </c>
      <c r="C30" s="1326" t="s">
        <v>2537</v>
      </c>
      <c r="D30" s="1326" t="s">
        <v>2538</v>
      </c>
      <c r="E30" s="1326" t="s">
        <v>148</v>
      </c>
      <c r="F30" s="1326" t="s">
        <v>2539</v>
      </c>
      <c r="G30" s="1326" t="s">
        <v>2540</v>
      </c>
      <c r="H30" s="1326" t="s">
        <v>2541</v>
      </c>
      <c r="I30" s="1326" t="s">
        <v>716</v>
      </c>
      <c r="J30" s="1326" t="s">
        <v>633</v>
      </c>
      <c r="K30" s="1326" t="s">
        <v>2071</v>
      </c>
      <c r="L30" s="1326" t="s">
        <v>2137</v>
      </c>
      <c r="M30" s="1400"/>
      <c r="N30" s="1400"/>
      <c r="O30" s="1400"/>
      <c r="P30" s="1400"/>
      <c r="Q30" s="1400"/>
      <c r="R30" s="1400"/>
      <c r="S30" s="1400"/>
      <c r="T30" s="1400"/>
      <c r="U30" s="1400"/>
      <c r="V30" s="1400"/>
      <c r="W30" s="1400"/>
      <c r="X30" s="1400"/>
      <c r="Y30" s="1685">
        <v>43371</v>
      </c>
      <c r="Z30" s="1326" t="s">
        <v>2145</v>
      </c>
      <c r="AA30" s="1683">
        <v>0</v>
      </c>
      <c r="AB30" s="1683">
        <v>0</v>
      </c>
      <c r="AC30" s="1683">
        <v>0</v>
      </c>
      <c r="AD30" s="1685">
        <v>43410</v>
      </c>
      <c r="AE30" s="1326" t="s">
        <v>2079</v>
      </c>
      <c r="AF30" s="1326" t="s">
        <v>2064</v>
      </c>
      <c r="AG30" s="1410"/>
      <c r="AH30" s="1683">
        <v>37455.64</v>
      </c>
      <c r="AI30" s="1683">
        <v>37455.64</v>
      </c>
      <c r="AJ30" s="1683">
        <v>31837.3</v>
      </c>
      <c r="AK30" s="1683">
        <v>31837.3</v>
      </c>
      <c r="AL30" s="1683">
        <v>0</v>
      </c>
      <c r="AM30" s="1685">
        <v>43410</v>
      </c>
      <c r="AN30" s="1683">
        <v>37455.64</v>
      </c>
      <c r="AO30" s="1683">
        <v>37455.64</v>
      </c>
      <c r="AP30" s="1683">
        <v>31837.3</v>
      </c>
      <c r="AQ30" s="1683">
        <v>31837.3</v>
      </c>
      <c r="AR30" s="1683">
        <v>0</v>
      </c>
      <c r="AS30" s="1683">
        <v>5618.34</v>
      </c>
      <c r="AT30" s="1683">
        <v>0</v>
      </c>
      <c r="AU30" s="1683">
        <v>5618.34</v>
      </c>
      <c r="AV30" s="1683">
        <v>0</v>
      </c>
      <c r="AW30" s="1683">
        <v>0</v>
      </c>
      <c r="AX30" s="1400"/>
      <c r="AY30" s="1400"/>
      <c r="AZ30" s="1400"/>
      <c r="BA30" s="1682"/>
      <c r="BB30" s="1682"/>
      <c r="BC30" s="1400"/>
      <c r="BD30" s="1400"/>
      <c r="BE30" s="1683">
        <v>37455.64</v>
      </c>
      <c r="BF30" s="1683">
        <v>37455.64</v>
      </c>
      <c r="BG30" s="1683">
        <v>31837.3</v>
      </c>
      <c r="BH30" s="1683">
        <v>31837.3</v>
      </c>
      <c r="BI30" s="1683">
        <v>0</v>
      </c>
      <c r="BJ30" s="1683">
        <v>5618.34</v>
      </c>
      <c r="BK30" s="1683">
        <v>0</v>
      </c>
      <c r="BL30" s="1683">
        <v>5618.34</v>
      </c>
      <c r="BM30" s="1683">
        <v>0</v>
      </c>
      <c r="BN30" s="1683">
        <v>0</v>
      </c>
      <c r="BO30" s="1685">
        <v>43453</v>
      </c>
      <c r="BP30" s="1683">
        <v>37455.64</v>
      </c>
      <c r="BQ30" s="1683">
        <v>37455.64</v>
      </c>
      <c r="BR30" s="1683">
        <v>31837.3</v>
      </c>
      <c r="BS30" s="1683">
        <v>31837.3</v>
      </c>
      <c r="BT30" s="1683">
        <v>0</v>
      </c>
      <c r="BU30" s="1683">
        <v>5618.34</v>
      </c>
      <c r="BV30" s="1683">
        <v>0</v>
      </c>
      <c r="BW30" s="1683">
        <v>0</v>
      </c>
      <c r="BX30" s="1683">
        <v>0</v>
      </c>
      <c r="BY30" s="1683">
        <v>0</v>
      </c>
      <c r="BZ30" s="1683">
        <v>0</v>
      </c>
      <c r="CA30" s="1400"/>
      <c r="CB30" s="1682"/>
      <c r="CC30" s="1682"/>
      <c r="CD30" s="1400"/>
      <c r="CE30" s="1400"/>
      <c r="CF30" s="1683">
        <v>0</v>
      </c>
      <c r="CG30" s="1683">
        <v>0</v>
      </c>
      <c r="CH30" s="1683">
        <v>0</v>
      </c>
      <c r="CI30" s="1683">
        <v>0</v>
      </c>
      <c r="CJ30" s="1683">
        <v>0</v>
      </c>
      <c r="CK30" s="1683">
        <v>0</v>
      </c>
      <c r="CL30" s="1682"/>
      <c r="CM30" s="1683">
        <v>0</v>
      </c>
      <c r="CN30" s="1683">
        <v>0</v>
      </c>
      <c r="CO30" s="1683">
        <v>0</v>
      </c>
      <c r="CP30" s="1683">
        <v>0</v>
      </c>
      <c r="CQ30" s="1683">
        <v>0</v>
      </c>
      <c r="CR30" s="1683">
        <v>0</v>
      </c>
      <c r="CS30" s="1683">
        <v>0</v>
      </c>
      <c r="CT30" s="1683">
        <v>0</v>
      </c>
      <c r="CU30" s="1683">
        <v>0</v>
      </c>
      <c r="CV30" s="1683">
        <v>0</v>
      </c>
      <c r="CW30" s="1682"/>
      <c r="CX30" s="1400"/>
      <c r="CY30" s="1400"/>
      <c r="CZ30" s="1400"/>
      <c r="DA30" s="1400"/>
      <c r="DB30" s="1682"/>
      <c r="DC30" s="1326"/>
      <c r="DD30" s="1683">
        <v>0</v>
      </c>
      <c r="DE30" s="1400"/>
      <c r="DF30" s="1400"/>
      <c r="DG30" s="1683">
        <v>0</v>
      </c>
      <c r="DH30" s="1683">
        <v>0</v>
      </c>
    </row>
    <row r="31" spans="1:112" ht="67.5">
      <c r="A31" s="1326" t="s">
        <v>1718</v>
      </c>
      <c r="B31" s="1326" t="s">
        <v>1690</v>
      </c>
      <c r="C31" s="1326" t="s">
        <v>2537</v>
      </c>
      <c r="D31" s="1326" t="s">
        <v>2538</v>
      </c>
      <c r="E31" s="1326" t="s">
        <v>148</v>
      </c>
      <c r="F31" s="1326" t="s">
        <v>2539</v>
      </c>
      <c r="G31" s="1326" t="s">
        <v>2540</v>
      </c>
      <c r="H31" s="1326" t="s">
        <v>2541</v>
      </c>
      <c r="I31" s="1326" t="s">
        <v>1208</v>
      </c>
      <c r="J31" s="1326" t="s">
        <v>2076</v>
      </c>
      <c r="K31" s="1326" t="s">
        <v>2069</v>
      </c>
      <c r="L31" s="1326" t="s">
        <v>2061</v>
      </c>
      <c r="M31" s="1683">
        <v>93938.42</v>
      </c>
      <c r="N31" s="1683">
        <v>0</v>
      </c>
      <c r="O31" s="1683">
        <v>93938.42</v>
      </c>
      <c r="P31" s="1683">
        <v>93938.42</v>
      </c>
      <c r="Q31" s="1683">
        <v>73501</v>
      </c>
      <c r="R31" s="1683">
        <v>73501</v>
      </c>
      <c r="S31" s="1683">
        <v>0</v>
      </c>
      <c r="T31" s="1683">
        <v>20437.419999999998</v>
      </c>
      <c r="U31" s="1683">
        <v>0</v>
      </c>
      <c r="V31" s="1683">
        <v>20437.419999999998</v>
      </c>
      <c r="W31" s="1683">
        <v>0</v>
      </c>
      <c r="X31" s="1683">
        <v>0</v>
      </c>
      <c r="Y31" s="1682"/>
      <c r="Z31" s="1326"/>
      <c r="AA31" s="1683">
        <v>0</v>
      </c>
      <c r="AB31" s="1683">
        <v>0</v>
      </c>
      <c r="AC31" s="1683">
        <v>0</v>
      </c>
      <c r="AD31" s="1682"/>
      <c r="AE31" s="1326"/>
      <c r="AF31" s="1326"/>
      <c r="AG31" s="1410"/>
      <c r="AH31" s="1683">
        <v>58640.65</v>
      </c>
      <c r="AI31" s="1683">
        <v>58640.65</v>
      </c>
      <c r="AJ31" s="1683">
        <v>45882.68</v>
      </c>
      <c r="AK31" s="1683">
        <v>45882.68</v>
      </c>
      <c r="AL31" s="1683">
        <v>0</v>
      </c>
      <c r="AM31" s="1682"/>
      <c r="AN31" s="1683">
        <v>58640.65</v>
      </c>
      <c r="AO31" s="1683">
        <v>58640.65</v>
      </c>
      <c r="AP31" s="1683">
        <v>45882.68</v>
      </c>
      <c r="AQ31" s="1683">
        <v>45882.68</v>
      </c>
      <c r="AR31" s="1683">
        <v>0</v>
      </c>
      <c r="AS31" s="1683">
        <v>12757.97</v>
      </c>
      <c r="AT31" s="1683">
        <v>0</v>
      </c>
      <c r="AU31" s="1683">
        <v>12757.97</v>
      </c>
      <c r="AV31" s="1683">
        <v>0</v>
      </c>
      <c r="AW31" s="1683">
        <v>0</v>
      </c>
      <c r="AX31" s="1683">
        <v>0</v>
      </c>
      <c r="AY31" s="1683">
        <v>0</v>
      </c>
      <c r="AZ31" s="1683">
        <v>0</v>
      </c>
      <c r="BA31" s="1682"/>
      <c r="BB31" s="1682"/>
      <c r="BC31" s="1683">
        <v>0</v>
      </c>
      <c r="BD31" s="1683">
        <v>0</v>
      </c>
      <c r="BE31" s="1683">
        <v>58640.65</v>
      </c>
      <c r="BF31" s="1683">
        <v>58640.65</v>
      </c>
      <c r="BG31" s="1683">
        <v>45882.68</v>
      </c>
      <c r="BH31" s="1683">
        <v>45882.68</v>
      </c>
      <c r="BI31" s="1683">
        <v>0</v>
      </c>
      <c r="BJ31" s="1683">
        <v>12757.97</v>
      </c>
      <c r="BK31" s="1683">
        <v>0</v>
      </c>
      <c r="BL31" s="1683">
        <v>12757.97</v>
      </c>
      <c r="BM31" s="1683">
        <v>0</v>
      </c>
      <c r="BN31" s="1683">
        <v>0</v>
      </c>
      <c r="BO31" s="1682"/>
      <c r="BP31" s="1683">
        <v>11196.35</v>
      </c>
      <c r="BQ31" s="1683">
        <v>11196.35</v>
      </c>
      <c r="BR31" s="1683">
        <v>8760.4500000000007</v>
      </c>
      <c r="BS31" s="1683">
        <v>8760.4500000000007</v>
      </c>
      <c r="BT31" s="1683">
        <v>0</v>
      </c>
      <c r="BU31" s="1683">
        <v>2435.9</v>
      </c>
      <c r="BV31" s="1683">
        <v>0</v>
      </c>
      <c r="BW31" s="1683">
        <v>0</v>
      </c>
      <c r="BX31" s="1683">
        <v>0</v>
      </c>
      <c r="BY31" s="1683">
        <v>0</v>
      </c>
      <c r="BZ31" s="1683">
        <v>0</v>
      </c>
      <c r="CA31" s="1683">
        <v>0</v>
      </c>
      <c r="CB31" s="1682"/>
      <c r="CC31" s="1682"/>
      <c r="CD31" s="1683">
        <v>0</v>
      </c>
      <c r="CE31" s="1683">
        <v>0</v>
      </c>
      <c r="CF31" s="1683">
        <v>0</v>
      </c>
      <c r="CG31" s="1683">
        <v>0</v>
      </c>
      <c r="CH31" s="1683">
        <v>0</v>
      </c>
      <c r="CI31" s="1683">
        <v>0</v>
      </c>
      <c r="CJ31" s="1683">
        <v>0</v>
      </c>
      <c r="CK31" s="1683">
        <v>0</v>
      </c>
      <c r="CL31" s="1682"/>
      <c r="CM31" s="1683">
        <v>0</v>
      </c>
      <c r="CN31" s="1683">
        <v>0</v>
      </c>
      <c r="CO31" s="1683">
        <v>0</v>
      </c>
      <c r="CP31" s="1683">
        <v>0</v>
      </c>
      <c r="CQ31" s="1683">
        <v>0</v>
      </c>
      <c r="CR31" s="1683">
        <v>0</v>
      </c>
      <c r="CS31" s="1683">
        <v>0</v>
      </c>
      <c r="CT31" s="1683">
        <v>0</v>
      </c>
      <c r="CU31" s="1683">
        <v>0</v>
      </c>
      <c r="CV31" s="1683">
        <v>0</v>
      </c>
      <c r="CW31" s="1682"/>
      <c r="CX31" s="1683">
        <v>0</v>
      </c>
      <c r="CY31" s="1683">
        <v>0</v>
      </c>
      <c r="CZ31" s="1683">
        <v>0</v>
      </c>
      <c r="DA31" s="1683">
        <v>0</v>
      </c>
      <c r="DB31" s="1682"/>
      <c r="DC31" s="1326"/>
      <c r="DD31" s="1683">
        <v>0</v>
      </c>
      <c r="DE31" s="1683">
        <v>0</v>
      </c>
      <c r="DF31" s="1683">
        <v>0</v>
      </c>
      <c r="DG31" s="1683">
        <v>0</v>
      </c>
      <c r="DH31" s="1683">
        <v>0</v>
      </c>
    </row>
    <row r="32" spans="1:112" ht="67.5">
      <c r="A32" s="1326" t="s">
        <v>1719</v>
      </c>
      <c r="B32" s="1326" t="s">
        <v>1690</v>
      </c>
      <c r="C32" s="1326" t="s">
        <v>2537</v>
      </c>
      <c r="D32" s="1326" t="s">
        <v>2538</v>
      </c>
      <c r="E32" s="1326" t="s">
        <v>148</v>
      </c>
      <c r="F32" s="1326" t="s">
        <v>2539</v>
      </c>
      <c r="G32" s="1326" t="s">
        <v>2540</v>
      </c>
      <c r="H32" s="1326" t="s">
        <v>2541</v>
      </c>
      <c r="I32" s="1326" t="s">
        <v>1208</v>
      </c>
      <c r="J32" s="1326" t="s">
        <v>2076</v>
      </c>
      <c r="K32" s="1326" t="s">
        <v>2069</v>
      </c>
      <c r="L32" s="1326" t="s">
        <v>2061</v>
      </c>
      <c r="M32" s="1400"/>
      <c r="N32" s="1400"/>
      <c r="O32" s="1400"/>
      <c r="P32" s="1400"/>
      <c r="Q32" s="1400"/>
      <c r="R32" s="1400"/>
      <c r="S32" s="1400"/>
      <c r="T32" s="1400"/>
      <c r="U32" s="1400"/>
      <c r="V32" s="1400"/>
      <c r="W32" s="1400"/>
      <c r="X32" s="1400"/>
      <c r="Y32" s="1685">
        <v>43234</v>
      </c>
      <c r="Z32" s="1326" t="s">
        <v>2062</v>
      </c>
      <c r="AA32" s="1683">
        <v>0</v>
      </c>
      <c r="AB32" s="1683">
        <v>0</v>
      </c>
      <c r="AC32" s="1683">
        <v>0</v>
      </c>
      <c r="AD32" s="1685">
        <v>43276</v>
      </c>
      <c r="AE32" s="1326" t="s">
        <v>2063</v>
      </c>
      <c r="AF32" s="1326" t="s">
        <v>2067</v>
      </c>
      <c r="AG32" s="1410"/>
      <c r="AH32" s="1683">
        <v>2201.65</v>
      </c>
      <c r="AI32" s="1683">
        <v>2201.65</v>
      </c>
      <c r="AJ32" s="1683">
        <v>1722.65</v>
      </c>
      <c r="AK32" s="1683">
        <v>1722.65</v>
      </c>
      <c r="AL32" s="1683">
        <v>0</v>
      </c>
      <c r="AM32" s="1685">
        <v>43278</v>
      </c>
      <c r="AN32" s="1683">
        <v>2201.65</v>
      </c>
      <c r="AO32" s="1683">
        <v>2201.65</v>
      </c>
      <c r="AP32" s="1683">
        <v>1722.65</v>
      </c>
      <c r="AQ32" s="1683">
        <v>1722.65</v>
      </c>
      <c r="AR32" s="1683">
        <v>0</v>
      </c>
      <c r="AS32" s="1683">
        <v>479</v>
      </c>
      <c r="AT32" s="1683">
        <v>0</v>
      </c>
      <c r="AU32" s="1683">
        <v>479</v>
      </c>
      <c r="AV32" s="1683">
        <v>0</v>
      </c>
      <c r="AW32" s="1683">
        <v>0</v>
      </c>
      <c r="AX32" s="1400"/>
      <c r="AY32" s="1400"/>
      <c r="AZ32" s="1400"/>
      <c r="BA32" s="1682"/>
      <c r="BB32" s="1682"/>
      <c r="BC32" s="1400"/>
      <c r="BD32" s="1400"/>
      <c r="BE32" s="1683">
        <v>2201.65</v>
      </c>
      <c r="BF32" s="1683">
        <v>2201.65</v>
      </c>
      <c r="BG32" s="1683">
        <v>1722.65</v>
      </c>
      <c r="BH32" s="1683">
        <v>1722.65</v>
      </c>
      <c r="BI32" s="1683">
        <v>0</v>
      </c>
      <c r="BJ32" s="1683">
        <v>479</v>
      </c>
      <c r="BK32" s="1683">
        <v>0</v>
      </c>
      <c r="BL32" s="1683">
        <v>479</v>
      </c>
      <c r="BM32" s="1683">
        <v>0</v>
      </c>
      <c r="BN32" s="1683">
        <v>0</v>
      </c>
      <c r="BO32" s="1685">
        <v>43364</v>
      </c>
      <c r="BP32" s="1683">
        <v>2201.65</v>
      </c>
      <c r="BQ32" s="1683">
        <v>2201.65</v>
      </c>
      <c r="BR32" s="1683">
        <v>1722.65</v>
      </c>
      <c r="BS32" s="1683">
        <v>1722.65</v>
      </c>
      <c r="BT32" s="1683">
        <v>0</v>
      </c>
      <c r="BU32" s="1683">
        <v>479</v>
      </c>
      <c r="BV32" s="1683">
        <v>0</v>
      </c>
      <c r="BW32" s="1683">
        <v>0</v>
      </c>
      <c r="BX32" s="1683">
        <v>0</v>
      </c>
      <c r="BY32" s="1683">
        <v>0</v>
      </c>
      <c r="BZ32" s="1683">
        <v>0</v>
      </c>
      <c r="CA32" s="1400"/>
      <c r="CB32" s="1682"/>
      <c r="CC32" s="1682"/>
      <c r="CD32" s="1400"/>
      <c r="CE32" s="1400"/>
      <c r="CF32" s="1683">
        <v>0</v>
      </c>
      <c r="CG32" s="1683">
        <v>0</v>
      </c>
      <c r="CH32" s="1683">
        <v>0</v>
      </c>
      <c r="CI32" s="1683">
        <v>0</v>
      </c>
      <c r="CJ32" s="1683">
        <v>0</v>
      </c>
      <c r="CK32" s="1683">
        <v>0</v>
      </c>
      <c r="CL32" s="1682"/>
      <c r="CM32" s="1683">
        <v>0</v>
      </c>
      <c r="CN32" s="1683">
        <v>0</v>
      </c>
      <c r="CO32" s="1683">
        <v>0</v>
      </c>
      <c r="CP32" s="1683">
        <v>0</v>
      </c>
      <c r="CQ32" s="1683">
        <v>0</v>
      </c>
      <c r="CR32" s="1683">
        <v>0</v>
      </c>
      <c r="CS32" s="1683">
        <v>0</v>
      </c>
      <c r="CT32" s="1683">
        <v>0</v>
      </c>
      <c r="CU32" s="1683">
        <v>0</v>
      </c>
      <c r="CV32" s="1683">
        <v>0</v>
      </c>
      <c r="CW32" s="1682"/>
      <c r="CX32" s="1400"/>
      <c r="CY32" s="1400"/>
      <c r="CZ32" s="1400"/>
      <c r="DA32" s="1400"/>
      <c r="DB32" s="1682"/>
      <c r="DC32" s="1326"/>
      <c r="DD32" s="1683">
        <v>0</v>
      </c>
      <c r="DE32" s="1400"/>
      <c r="DF32" s="1400"/>
      <c r="DG32" s="1683">
        <v>0</v>
      </c>
      <c r="DH32" s="1683">
        <v>0</v>
      </c>
    </row>
    <row r="33" spans="1:112" ht="67.5">
      <c r="A33" s="1326" t="s">
        <v>1720</v>
      </c>
      <c r="B33" s="1326" t="s">
        <v>1690</v>
      </c>
      <c r="C33" s="1326" t="s">
        <v>2537</v>
      </c>
      <c r="D33" s="1326" t="s">
        <v>2538</v>
      </c>
      <c r="E33" s="1326" t="s">
        <v>148</v>
      </c>
      <c r="F33" s="1326" t="s">
        <v>2539</v>
      </c>
      <c r="G33" s="1326" t="s">
        <v>2540</v>
      </c>
      <c r="H33" s="1326" t="s">
        <v>2541</v>
      </c>
      <c r="I33" s="1326" t="s">
        <v>1208</v>
      </c>
      <c r="J33" s="1326" t="s">
        <v>2076</v>
      </c>
      <c r="K33" s="1326" t="s">
        <v>2069</v>
      </c>
      <c r="L33" s="1326" t="s">
        <v>2061</v>
      </c>
      <c r="M33" s="1400"/>
      <c r="N33" s="1400"/>
      <c r="O33" s="1400"/>
      <c r="P33" s="1400"/>
      <c r="Q33" s="1400"/>
      <c r="R33" s="1400"/>
      <c r="S33" s="1400"/>
      <c r="T33" s="1400"/>
      <c r="U33" s="1400"/>
      <c r="V33" s="1400"/>
      <c r="W33" s="1400"/>
      <c r="X33" s="1400"/>
      <c r="Y33" s="1685">
        <v>43234</v>
      </c>
      <c r="Z33" s="1326" t="s">
        <v>2062</v>
      </c>
      <c r="AA33" s="1683">
        <v>0</v>
      </c>
      <c r="AB33" s="1683">
        <v>0</v>
      </c>
      <c r="AC33" s="1683">
        <v>0</v>
      </c>
      <c r="AD33" s="1685">
        <v>43276</v>
      </c>
      <c r="AE33" s="1326" t="s">
        <v>2063</v>
      </c>
      <c r="AF33" s="1326" t="s">
        <v>2064</v>
      </c>
      <c r="AG33" s="1410"/>
      <c r="AH33" s="1683">
        <v>340</v>
      </c>
      <c r="AI33" s="1683">
        <v>340</v>
      </c>
      <c r="AJ33" s="1683">
        <v>266.02999999999997</v>
      </c>
      <c r="AK33" s="1683">
        <v>266.02999999999997</v>
      </c>
      <c r="AL33" s="1683">
        <v>0</v>
      </c>
      <c r="AM33" s="1685">
        <v>43276</v>
      </c>
      <c r="AN33" s="1683">
        <v>340</v>
      </c>
      <c r="AO33" s="1683">
        <v>340</v>
      </c>
      <c r="AP33" s="1683">
        <v>266.02999999999997</v>
      </c>
      <c r="AQ33" s="1683">
        <v>266.02999999999997</v>
      </c>
      <c r="AR33" s="1683">
        <v>0</v>
      </c>
      <c r="AS33" s="1683">
        <v>73.97</v>
      </c>
      <c r="AT33" s="1683">
        <v>0</v>
      </c>
      <c r="AU33" s="1683">
        <v>73.97</v>
      </c>
      <c r="AV33" s="1683">
        <v>0</v>
      </c>
      <c r="AW33" s="1683">
        <v>0</v>
      </c>
      <c r="AX33" s="1400"/>
      <c r="AY33" s="1400"/>
      <c r="AZ33" s="1400"/>
      <c r="BA33" s="1682"/>
      <c r="BB33" s="1682"/>
      <c r="BC33" s="1400"/>
      <c r="BD33" s="1400"/>
      <c r="BE33" s="1683">
        <v>340</v>
      </c>
      <c r="BF33" s="1683">
        <v>340</v>
      </c>
      <c r="BG33" s="1683">
        <v>266.02999999999997</v>
      </c>
      <c r="BH33" s="1683">
        <v>266.02999999999997</v>
      </c>
      <c r="BI33" s="1683">
        <v>0</v>
      </c>
      <c r="BJ33" s="1683">
        <v>73.97</v>
      </c>
      <c r="BK33" s="1683">
        <v>0</v>
      </c>
      <c r="BL33" s="1683">
        <v>73.97</v>
      </c>
      <c r="BM33" s="1683">
        <v>0</v>
      </c>
      <c r="BN33" s="1683">
        <v>0</v>
      </c>
      <c r="BO33" s="1685">
        <v>43364</v>
      </c>
      <c r="BP33" s="1683">
        <v>340</v>
      </c>
      <c r="BQ33" s="1683">
        <v>340</v>
      </c>
      <c r="BR33" s="1683">
        <v>266.02999999999997</v>
      </c>
      <c r="BS33" s="1683">
        <v>266.02999999999997</v>
      </c>
      <c r="BT33" s="1683">
        <v>0</v>
      </c>
      <c r="BU33" s="1683">
        <v>73.97</v>
      </c>
      <c r="BV33" s="1683">
        <v>0</v>
      </c>
      <c r="BW33" s="1683">
        <v>0</v>
      </c>
      <c r="BX33" s="1683">
        <v>0</v>
      </c>
      <c r="BY33" s="1683">
        <v>0</v>
      </c>
      <c r="BZ33" s="1683">
        <v>0</v>
      </c>
      <c r="CA33" s="1400"/>
      <c r="CB33" s="1682"/>
      <c r="CC33" s="1682"/>
      <c r="CD33" s="1400"/>
      <c r="CE33" s="1400"/>
      <c r="CF33" s="1683">
        <v>0</v>
      </c>
      <c r="CG33" s="1683">
        <v>0</v>
      </c>
      <c r="CH33" s="1683">
        <v>0</v>
      </c>
      <c r="CI33" s="1683">
        <v>0</v>
      </c>
      <c r="CJ33" s="1683">
        <v>0</v>
      </c>
      <c r="CK33" s="1683">
        <v>0</v>
      </c>
      <c r="CL33" s="1682"/>
      <c r="CM33" s="1683">
        <v>0</v>
      </c>
      <c r="CN33" s="1683">
        <v>0</v>
      </c>
      <c r="CO33" s="1683">
        <v>0</v>
      </c>
      <c r="CP33" s="1683">
        <v>0</v>
      </c>
      <c r="CQ33" s="1683">
        <v>0</v>
      </c>
      <c r="CR33" s="1683">
        <v>0</v>
      </c>
      <c r="CS33" s="1683">
        <v>0</v>
      </c>
      <c r="CT33" s="1683">
        <v>0</v>
      </c>
      <c r="CU33" s="1683">
        <v>0</v>
      </c>
      <c r="CV33" s="1683">
        <v>0</v>
      </c>
      <c r="CW33" s="1682"/>
      <c r="CX33" s="1400"/>
      <c r="CY33" s="1400"/>
      <c r="CZ33" s="1400"/>
      <c r="DA33" s="1400"/>
      <c r="DB33" s="1682"/>
      <c r="DC33" s="1326"/>
      <c r="DD33" s="1683">
        <v>0</v>
      </c>
      <c r="DE33" s="1400"/>
      <c r="DF33" s="1400"/>
      <c r="DG33" s="1683">
        <v>0</v>
      </c>
      <c r="DH33" s="1683">
        <v>0</v>
      </c>
    </row>
    <row r="34" spans="1:112" ht="67.5">
      <c r="A34" s="1326" t="s">
        <v>1721</v>
      </c>
      <c r="B34" s="1326" t="s">
        <v>1690</v>
      </c>
      <c r="C34" s="1326" t="s">
        <v>2537</v>
      </c>
      <c r="D34" s="1326" t="s">
        <v>2538</v>
      </c>
      <c r="E34" s="1326" t="s">
        <v>148</v>
      </c>
      <c r="F34" s="1326" t="s">
        <v>2539</v>
      </c>
      <c r="G34" s="1326" t="s">
        <v>2540</v>
      </c>
      <c r="H34" s="1326" t="s">
        <v>2541</v>
      </c>
      <c r="I34" s="1326" t="s">
        <v>1208</v>
      </c>
      <c r="J34" s="1326" t="s">
        <v>2076</v>
      </c>
      <c r="K34" s="1326" t="s">
        <v>2069</v>
      </c>
      <c r="L34" s="1326" t="s">
        <v>2061</v>
      </c>
      <c r="M34" s="1400"/>
      <c r="N34" s="1400"/>
      <c r="O34" s="1400"/>
      <c r="P34" s="1400"/>
      <c r="Q34" s="1400"/>
      <c r="R34" s="1400"/>
      <c r="S34" s="1400"/>
      <c r="T34" s="1400"/>
      <c r="U34" s="1400"/>
      <c r="V34" s="1400"/>
      <c r="W34" s="1400"/>
      <c r="X34" s="1400"/>
      <c r="Y34" s="1685">
        <v>43297</v>
      </c>
      <c r="Z34" s="1326" t="s">
        <v>2062</v>
      </c>
      <c r="AA34" s="1683">
        <v>0</v>
      </c>
      <c r="AB34" s="1683">
        <v>0</v>
      </c>
      <c r="AC34" s="1683">
        <v>0</v>
      </c>
      <c r="AD34" s="1685">
        <v>43396</v>
      </c>
      <c r="AE34" s="1326" t="s">
        <v>2066</v>
      </c>
      <c r="AF34" s="1326" t="s">
        <v>2067</v>
      </c>
      <c r="AG34" s="1410"/>
      <c r="AH34" s="1683">
        <v>8654.7000000000007</v>
      </c>
      <c r="AI34" s="1683">
        <v>8654.7000000000007</v>
      </c>
      <c r="AJ34" s="1683">
        <v>6771.77</v>
      </c>
      <c r="AK34" s="1683">
        <v>6771.77</v>
      </c>
      <c r="AL34" s="1683">
        <v>0</v>
      </c>
      <c r="AM34" s="1685">
        <v>43396</v>
      </c>
      <c r="AN34" s="1683">
        <v>8654.7000000000007</v>
      </c>
      <c r="AO34" s="1683">
        <v>8654.7000000000007</v>
      </c>
      <c r="AP34" s="1683">
        <v>6771.77</v>
      </c>
      <c r="AQ34" s="1683">
        <v>6771.77</v>
      </c>
      <c r="AR34" s="1683">
        <v>0</v>
      </c>
      <c r="AS34" s="1683">
        <v>1882.93</v>
      </c>
      <c r="AT34" s="1683">
        <v>0</v>
      </c>
      <c r="AU34" s="1683">
        <v>1882.93</v>
      </c>
      <c r="AV34" s="1683">
        <v>0</v>
      </c>
      <c r="AW34" s="1683">
        <v>0</v>
      </c>
      <c r="AX34" s="1400"/>
      <c r="AY34" s="1400"/>
      <c r="AZ34" s="1400"/>
      <c r="BA34" s="1682"/>
      <c r="BB34" s="1682"/>
      <c r="BC34" s="1400"/>
      <c r="BD34" s="1400"/>
      <c r="BE34" s="1683">
        <v>8654.7000000000007</v>
      </c>
      <c r="BF34" s="1683">
        <v>8654.7000000000007</v>
      </c>
      <c r="BG34" s="1683">
        <v>6771.77</v>
      </c>
      <c r="BH34" s="1683">
        <v>6771.77</v>
      </c>
      <c r="BI34" s="1683">
        <v>0</v>
      </c>
      <c r="BJ34" s="1683">
        <v>1882.93</v>
      </c>
      <c r="BK34" s="1683">
        <v>0</v>
      </c>
      <c r="BL34" s="1683">
        <v>1882.93</v>
      </c>
      <c r="BM34" s="1683">
        <v>0</v>
      </c>
      <c r="BN34" s="1683">
        <v>0</v>
      </c>
      <c r="BO34" s="1685">
        <v>43453</v>
      </c>
      <c r="BP34" s="1683">
        <v>8654.7000000000007</v>
      </c>
      <c r="BQ34" s="1683">
        <v>8654.7000000000007</v>
      </c>
      <c r="BR34" s="1683">
        <v>6771.77</v>
      </c>
      <c r="BS34" s="1683">
        <v>6771.77</v>
      </c>
      <c r="BT34" s="1683">
        <v>0</v>
      </c>
      <c r="BU34" s="1683">
        <v>1882.93</v>
      </c>
      <c r="BV34" s="1683">
        <v>0</v>
      </c>
      <c r="BW34" s="1683">
        <v>0</v>
      </c>
      <c r="BX34" s="1683">
        <v>0</v>
      </c>
      <c r="BY34" s="1683">
        <v>0</v>
      </c>
      <c r="BZ34" s="1683">
        <v>0</v>
      </c>
      <c r="CA34" s="1400"/>
      <c r="CB34" s="1682"/>
      <c r="CC34" s="1682"/>
      <c r="CD34" s="1400"/>
      <c r="CE34" s="1400"/>
      <c r="CF34" s="1683">
        <v>0</v>
      </c>
      <c r="CG34" s="1683">
        <v>0</v>
      </c>
      <c r="CH34" s="1683">
        <v>0</v>
      </c>
      <c r="CI34" s="1683">
        <v>0</v>
      </c>
      <c r="CJ34" s="1683">
        <v>0</v>
      </c>
      <c r="CK34" s="1683">
        <v>0</v>
      </c>
      <c r="CL34" s="1682"/>
      <c r="CM34" s="1683">
        <v>0</v>
      </c>
      <c r="CN34" s="1683">
        <v>0</v>
      </c>
      <c r="CO34" s="1683">
        <v>0</v>
      </c>
      <c r="CP34" s="1683">
        <v>0</v>
      </c>
      <c r="CQ34" s="1683">
        <v>0</v>
      </c>
      <c r="CR34" s="1683">
        <v>0</v>
      </c>
      <c r="CS34" s="1683">
        <v>0</v>
      </c>
      <c r="CT34" s="1683">
        <v>0</v>
      </c>
      <c r="CU34" s="1683">
        <v>0</v>
      </c>
      <c r="CV34" s="1683">
        <v>0</v>
      </c>
      <c r="CW34" s="1682"/>
      <c r="CX34" s="1400"/>
      <c r="CY34" s="1400"/>
      <c r="CZ34" s="1400"/>
      <c r="DA34" s="1400"/>
      <c r="DB34" s="1682"/>
      <c r="DC34" s="1326"/>
      <c r="DD34" s="1683">
        <v>0</v>
      </c>
      <c r="DE34" s="1400"/>
      <c r="DF34" s="1400"/>
      <c r="DG34" s="1683">
        <v>0</v>
      </c>
      <c r="DH34" s="1683">
        <v>0</v>
      </c>
    </row>
    <row r="35" spans="1:112" ht="67.5">
      <c r="A35" s="1326" t="s">
        <v>1722</v>
      </c>
      <c r="B35" s="1326" t="s">
        <v>1690</v>
      </c>
      <c r="C35" s="1326" t="s">
        <v>2537</v>
      </c>
      <c r="D35" s="1326" t="s">
        <v>2538</v>
      </c>
      <c r="E35" s="1326" t="s">
        <v>148</v>
      </c>
      <c r="F35" s="1326" t="s">
        <v>2539</v>
      </c>
      <c r="G35" s="1326" t="s">
        <v>2540</v>
      </c>
      <c r="H35" s="1326" t="s">
        <v>2541</v>
      </c>
      <c r="I35" s="1326" t="s">
        <v>1208</v>
      </c>
      <c r="J35" s="1326" t="s">
        <v>2076</v>
      </c>
      <c r="K35" s="1326" t="s">
        <v>2069</v>
      </c>
      <c r="L35" s="1326" t="s">
        <v>2061</v>
      </c>
      <c r="M35" s="1400"/>
      <c r="N35" s="1400"/>
      <c r="O35" s="1400"/>
      <c r="P35" s="1400"/>
      <c r="Q35" s="1400"/>
      <c r="R35" s="1400"/>
      <c r="S35" s="1400"/>
      <c r="T35" s="1400"/>
      <c r="U35" s="1400"/>
      <c r="V35" s="1400"/>
      <c r="W35" s="1400"/>
      <c r="X35" s="1400"/>
      <c r="Y35" s="1685">
        <v>43412</v>
      </c>
      <c r="Z35" s="1326" t="s">
        <v>2062</v>
      </c>
      <c r="AA35" s="1683">
        <v>0</v>
      </c>
      <c r="AB35" s="1683">
        <v>0</v>
      </c>
      <c r="AC35" s="1683">
        <v>0</v>
      </c>
      <c r="AD35" s="1685">
        <v>43447</v>
      </c>
      <c r="AE35" s="1326" t="s">
        <v>2080</v>
      </c>
      <c r="AF35" s="1326" t="s">
        <v>2067</v>
      </c>
      <c r="AG35" s="1410"/>
      <c r="AH35" s="1683">
        <v>47444.3</v>
      </c>
      <c r="AI35" s="1683">
        <v>47444.3</v>
      </c>
      <c r="AJ35" s="1683">
        <v>37122.230000000003</v>
      </c>
      <c r="AK35" s="1683">
        <v>37122.230000000003</v>
      </c>
      <c r="AL35" s="1683">
        <v>0</v>
      </c>
      <c r="AM35" s="1685">
        <v>43447</v>
      </c>
      <c r="AN35" s="1683">
        <v>47444.3</v>
      </c>
      <c r="AO35" s="1683">
        <v>47444.3</v>
      </c>
      <c r="AP35" s="1683">
        <v>37122.230000000003</v>
      </c>
      <c r="AQ35" s="1683">
        <v>37122.230000000003</v>
      </c>
      <c r="AR35" s="1683">
        <v>0</v>
      </c>
      <c r="AS35" s="1683">
        <v>10322.07</v>
      </c>
      <c r="AT35" s="1683">
        <v>0</v>
      </c>
      <c r="AU35" s="1683">
        <v>10322.07</v>
      </c>
      <c r="AV35" s="1683">
        <v>0</v>
      </c>
      <c r="AW35" s="1683">
        <v>0</v>
      </c>
      <c r="AX35" s="1400"/>
      <c r="AY35" s="1400"/>
      <c r="AZ35" s="1400"/>
      <c r="BA35" s="1682"/>
      <c r="BB35" s="1682"/>
      <c r="BC35" s="1400"/>
      <c r="BD35" s="1400"/>
      <c r="BE35" s="1683">
        <v>47444.3</v>
      </c>
      <c r="BF35" s="1683">
        <v>47444.3</v>
      </c>
      <c r="BG35" s="1683">
        <v>37122.230000000003</v>
      </c>
      <c r="BH35" s="1683">
        <v>37122.230000000003</v>
      </c>
      <c r="BI35" s="1683">
        <v>0</v>
      </c>
      <c r="BJ35" s="1683">
        <v>10322.07</v>
      </c>
      <c r="BK35" s="1683">
        <v>0</v>
      </c>
      <c r="BL35" s="1683">
        <v>10322.07</v>
      </c>
      <c r="BM35" s="1683">
        <v>0</v>
      </c>
      <c r="BN35" s="1683">
        <v>0</v>
      </c>
      <c r="BO35" s="1682"/>
      <c r="BP35" s="1683">
        <v>0</v>
      </c>
      <c r="BQ35" s="1683">
        <v>0</v>
      </c>
      <c r="BR35" s="1683">
        <v>0</v>
      </c>
      <c r="BS35" s="1683">
        <v>0</v>
      </c>
      <c r="BT35" s="1683">
        <v>0</v>
      </c>
      <c r="BU35" s="1683">
        <v>0</v>
      </c>
      <c r="BV35" s="1683">
        <v>0</v>
      </c>
      <c r="BW35" s="1683">
        <v>0</v>
      </c>
      <c r="BX35" s="1683">
        <v>0</v>
      </c>
      <c r="BY35" s="1683">
        <v>0</v>
      </c>
      <c r="BZ35" s="1683">
        <v>0</v>
      </c>
      <c r="CA35" s="1400"/>
      <c r="CB35" s="1682"/>
      <c r="CC35" s="1682"/>
      <c r="CD35" s="1400"/>
      <c r="CE35" s="1400"/>
      <c r="CF35" s="1683">
        <v>0</v>
      </c>
      <c r="CG35" s="1683">
        <v>0</v>
      </c>
      <c r="CH35" s="1683">
        <v>0</v>
      </c>
      <c r="CI35" s="1683">
        <v>0</v>
      </c>
      <c r="CJ35" s="1683">
        <v>0</v>
      </c>
      <c r="CK35" s="1683">
        <v>0</v>
      </c>
      <c r="CL35" s="1682"/>
      <c r="CM35" s="1683">
        <v>0</v>
      </c>
      <c r="CN35" s="1683">
        <v>0</v>
      </c>
      <c r="CO35" s="1683">
        <v>0</v>
      </c>
      <c r="CP35" s="1683">
        <v>0</v>
      </c>
      <c r="CQ35" s="1683">
        <v>0</v>
      </c>
      <c r="CR35" s="1683">
        <v>0</v>
      </c>
      <c r="CS35" s="1683">
        <v>0</v>
      </c>
      <c r="CT35" s="1683">
        <v>0</v>
      </c>
      <c r="CU35" s="1683">
        <v>0</v>
      </c>
      <c r="CV35" s="1683">
        <v>0</v>
      </c>
      <c r="CW35" s="1682"/>
      <c r="CX35" s="1400"/>
      <c r="CY35" s="1400"/>
      <c r="CZ35" s="1400"/>
      <c r="DA35" s="1400"/>
      <c r="DB35" s="1682"/>
      <c r="DC35" s="1326"/>
      <c r="DD35" s="1683">
        <v>0</v>
      </c>
      <c r="DE35" s="1400"/>
      <c r="DF35" s="1400"/>
      <c r="DG35" s="1683">
        <v>0</v>
      </c>
      <c r="DH35" s="1683">
        <v>0</v>
      </c>
    </row>
    <row r="36" spans="1:112" ht="56.25">
      <c r="A36" s="1326" t="s">
        <v>1723</v>
      </c>
      <c r="B36" s="1326" t="s">
        <v>1690</v>
      </c>
      <c r="C36" s="1326" t="s">
        <v>2537</v>
      </c>
      <c r="D36" s="1326" t="s">
        <v>2538</v>
      </c>
      <c r="E36" s="1326" t="s">
        <v>148</v>
      </c>
      <c r="F36" s="1326" t="s">
        <v>2539</v>
      </c>
      <c r="G36" s="1326" t="s">
        <v>2540</v>
      </c>
      <c r="H36" s="1326" t="s">
        <v>2541</v>
      </c>
      <c r="I36" s="1326" t="s">
        <v>1237</v>
      </c>
      <c r="J36" s="1326" t="s">
        <v>642</v>
      </c>
      <c r="K36" s="1326" t="s">
        <v>2060</v>
      </c>
      <c r="L36" s="1326" t="s">
        <v>2061</v>
      </c>
      <c r="M36" s="1683">
        <v>95080</v>
      </c>
      <c r="N36" s="1683">
        <v>0</v>
      </c>
      <c r="O36" s="1683">
        <v>95080</v>
      </c>
      <c r="P36" s="1683">
        <v>95080</v>
      </c>
      <c r="Q36" s="1683">
        <v>80810</v>
      </c>
      <c r="R36" s="1683">
        <v>80810</v>
      </c>
      <c r="S36" s="1683">
        <v>0</v>
      </c>
      <c r="T36" s="1683">
        <v>14270</v>
      </c>
      <c r="U36" s="1683">
        <v>0</v>
      </c>
      <c r="V36" s="1683">
        <v>14270</v>
      </c>
      <c r="W36" s="1683">
        <v>0</v>
      </c>
      <c r="X36" s="1683">
        <v>0</v>
      </c>
      <c r="Y36" s="1682"/>
      <c r="Z36" s="1326"/>
      <c r="AA36" s="1683">
        <v>0</v>
      </c>
      <c r="AB36" s="1683">
        <v>0</v>
      </c>
      <c r="AC36" s="1683">
        <v>0</v>
      </c>
      <c r="AD36" s="1682"/>
      <c r="AE36" s="1326"/>
      <c r="AF36" s="1326"/>
      <c r="AG36" s="1410"/>
      <c r="AH36" s="1683">
        <v>77380.320000000007</v>
      </c>
      <c r="AI36" s="1683">
        <v>77380.320000000007</v>
      </c>
      <c r="AJ36" s="1683">
        <v>65766.759999999995</v>
      </c>
      <c r="AK36" s="1683">
        <v>65766.759999999995</v>
      </c>
      <c r="AL36" s="1683">
        <v>0</v>
      </c>
      <c r="AM36" s="1682"/>
      <c r="AN36" s="1683">
        <v>77380.320000000007</v>
      </c>
      <c r="AO36" s="1683">
        <v>77380.320000000007</v>
      </c>
      <c r="AP36" s="1683">
        <v>65766.759999999995</v>
      </c>
      <c r="AQ36" s="1683">
        <v>65766.759999999995</v>
      </c>
      <c r="AR36" s="1683">
        <v>0</v>
      </c>
      <c r="AS36" s="1683">
        <v>11613.56</v>
      </c>
      <c r="AT36" s="1683">
        <v>0</v>
      </c>
      <c r="AU36" s="1683">
        <v>11613.56</v>
      </c>
      <c r="AV36" s="1683">
        <v>0</v>
      </c>
      <c r="AW36" s="1683">
        <v>0</v>
      </c>
      <c r="AX36" s="1683">
        <v>0</v>
      </c>
      <c r="AY36" s="1683">
        <v>0</v>
      </c>
      <c r="AZ36" s="1683">
        <v>0</v>
      </c>
      <c r="BA36" s="1682"/>
      <c r="BB36" s="1682"/>
      <c r="BC36" s="1683">
        <v>0</v>
      </c>
      <c r="BD36" s="1683">
        <v>0</v>
      </c>
      <c r="BE36" s="1683">
        <v>77380.320000000007</v>
      </c>
      <c r="BF36" s="1683">
        <v>77380.320000000007</v>
      </c>
      <c r="BG36" s="1683">
        <v>65766.759999999995</v>
      </c>
      <c r="BH36" s="1683">
        <v>65766.759999999995</v>
      </c>
      <c r="BI36" s="1683">
        <v>0</v>
      </c>
      <c r="BJ36" s="1683">
        <v>11613.56</v>
      </c>
      <c r="BK36" s="1683">
        <v>0</v>
      </c>
      <c r="BL36" s="1683">
        <v>11613.56</v>
      </c>
      <c r="BM36" s="1683">
        <v>0</v>
      </c>
      <c r="BN36" s="1683">
        <v>0</v>
      </c>
      <c r="BO36" s="1682"/>
      <c r="BP36" s="1683">
        <v>49427.519999999997</v>
      </c>
      <c r="BQ36" s="1683">
        <v>49427.519999999997</v>
      </c>
      <c r="BR36" s="1683">
        <v>42009.23</v>
      </c>
      <c r="BS36" s="1683">
        <v>42009.23</v>
      </c>
      <c r="BT36" s="1683">
        <v>0</v>
      </c>
      <c r="BU36" s="1683">
        <v>7418.29</v>
      </c>
      <c r="BV36" s="1683">
        <v>0</v>
      </c>
      <c r="BW36" s="1683">
        <v>0</v>
      </c>
      <c r="BX36" s="1683">
        <v>0</v>
      </c>
      <c r="BY36" s="1683">
        <v>0</v>
      </c>
      <c r="BZ36" s="1683">
        <v>0</v>
      </c>
      <c r="CA36" s="1683">
        <v>0</v>
      </c>
      <c r="CB36" s="1682"/>
      <c r="CC36" s="1682"/>
      <c r="CD36" s="1683">
        <v>0</v>
      </c>
      <c r="CE36" s="1683">
        <v>0</v>
      </c>
      <c r="CF36" s="1683">
        <v>0</v>
      </c>
      <c r="CG36" s="1683">
        <v>0</v>
      </c>
      <c r="CH36" s="1683">
        <v>0</v>
      </c>
      <c r="CI36" s="1683">
        <v>0</v>
      </c>
      <c r="CJ36" s="1683">
        <v>0</v>
      </c>
      <c r="CK36" s="1683">
        <v>0</v>
      </c>
      <c r="CL36" s="1682"/>
      <c r="CM36" s="1683">
        <v>0</v>
      </c>
      <c r="CN36" s="1683">
        <v>0</v>
      </c>
      <c r="CO36" s="1683">
        <v>0</v>
      </c>
      <c r="CP36" s="1683">
        <v>0</v>
      </c>
      <c r="CQ36" s="1683">
        <v>0</v>
      </c>
      <c r="CR36" s="1683">
        <v>0</v>
      </c>
      <c r="CS36" s="1683">
        <v>0</v>
      </c>
      <c r="CT36" s="1683">
        <v>0</v>
      </c>
      <c r="CU36" s="1683">
        <v>0</v>
      </c>
      <c r="CV36" s="1683">
        <v>0</v>
      </c>
      <c r="CW36" s="1682"/>
      <c r="CX36" s="1683">
        <v>0</v>
      </c>
      <c r="CY36" s="1683">
        <v>0</v>
      </c>
      <c r="CZ36" s="1683">
        <v>0</v>
      </c>
      <c r="DA36" s="1683">
        <v>0</v>
      </c>
      <c r="DB36" s="1682"/>
      <c r="DC36" s="1326"/>
      <c r="DD36" s="1683">
        <v>0</v>
      </c>
      <c r="DE36" s="1683">
        <v>0</v>
      </c>
      <c r="DF36" s="1683">
        <v>0</v>
      </c>
      <c r="DG36" s="1683">
        <v>0</v>
      </c>
      <c r="DH36" s="1683">
        <v>0</v>
      </c>
    </row>
    <row r="37" spans="1:112" ht="56.25">
      <c r="A37" s="1326" t="s">
        <v>1724</v>
      </c>
      <c r="B37" s="1326" t="s">
        <v>1690</v>
      </c>
      <c r="C37" s="1326" t="s">
        <v>2537</v>
      </c>
      <c r="D37" s="1326" t="s">
        <v>2538</v>
      </c>
      <c r="E37" s="1326" t="s">
        <v>148</v>
      </c>
      <c r="F37" s="1326" t="s">
        <v>2539</v>
      </c>
      <c r="G37" s="1326" t="s">
        <v>2540</v>
      </c>
      <c r="H37" s="1326" t="s">
        <v>2541</v>
      </c>
      <c r="I37" s="1326" t="s">
        <v>1237</v>
      </c>
      <c r="J37" s="1326" t="s">
        <v>642</v>
      </c>
      <c r="K37" s="1326" t="s">
        <v>2060</v>
      </c>
      <c r="L37" s="1326" t="s">
        <v>2061</v>
      </c>
      <c r="M37" s="1400"/>
      <c r="N37" s="1400"/>
      <c r="O37" s="1400"/>
      <c r="P37" s="1400"/>
      <c r="Q37" s="1400"/>
      <c r="R37" s="1400"/>
      <c r="S37" s="1400"/>
      <c r="T37" s="1400"/>
      <c r="U37" s="1400"/>
      <c r="V37" s="1400"/>
      <c r="W37" s="1400"/>
      <c r="X37" s="1400"/>
      <c r="Y37" s="1685">
        <v>43360</v>
      </c>
      <c r="Z37" s="1326" t="s">
        <v>2062</v>
      </c>
      <c r="AA37" s="1683">
        <v>0</v>
      </c>
      <c r="AB37" s="1683">
        <v>0</v>
      </c>
      <c r="AC37" s="1683">
        <v>0</v>
      </c>
      <c r="AD37" s="1685">
        <v>43396</v>
      </c>
      <c r="AE37" s="1326" t="s">
        <v>2063</v>
      </c>
      <c r="AF37" s="1326" t="s">
        <v>2067</v>
      </c>
      <c r="AG37" s="1410"/>
      <c r="AH37" s="1683">
        <v>49427.519999999997</v>
      </c>
      <c r="AI37" s="1683">
        <v>49427.519999999997</v>
      </c>
      <c r="AJ37" s="1683">
        <v>42009.23</v>
      </c>
      <c r="AK37" s="1683">
        <v>42009.23</v>
      </c>
      <c r="AL37" s="1683">
        <v>0</v>
      </c>
      <c r="AM37" s="1685">
        <v>43398</v>
      </c>
      <c r="AN37" s="1683">
        <v>49427.519999999997</v>
      </c>
      <c r="AO37" s="1683">
        <v>49427.519999999997</v>
      </c>
      <c r="AP37" s="1683">
        <v>42009.23</v>
      </c>
      <c r="AQ37" s="1683">
        <v>42009.23</v>
      </c>
      <c r="AR37" s="1683">
        <v>0</v>
      </c>
      <c r="AS37" s="1683">
        <v>7418.29</v>
      </c>
      <c r="AT37" s="1683">
        <v>0</v>
      </c>
      <c r="AU37" s="1683">
        <v>7418.29</v>
      </c>
      <c r="AV37" s="1683">
        <v>0</v>
      </c>
      <c r="AW37" s="1683">
        <v>0</v>
      </c>
      <c r="AX37" s="1400"/>
      <c r="AY37" s="1400"/>
      <c r="AZ37" s="1400"/>
      <c r="BA37" s="1682"/>
      <c r="BB37" s="1682"/>
      <c r="BC37" s="1400"/>
      <c r="BD37" s="1400"/>
      <c r="BE37" s="1683">
        <v>49427.519999999997</v>
      </c>
      <c r="BF37" s="1683">
        <v>49427.519999999997</v>
      </c>
      <c r="BG37" s="1683">
        <v>42009.23</v>
      </c>
      <c r="BH37" s="1683">
        <v>42009.23</v>
      </c>
      <c r="BI37" s="1683">
        <v>0</v>
      </c>
      <c r="BJ37" s="1683">
        <v>7418.29</v>
      </c>
      <c r="BK37" s="1683">
        <v>0</v>
      </c>
      <c r="BL37" s="1683">
        <v>7418.29</v>
      </c>
      <c r="BM37" s="1683">
        <v>0</v>
      </c>
      <c r="BN37" s="1683">
        <v>0</v>
      </c>
      <c r="BO37" s="1685">
        <v>43453</v>
      </c>
      <c r="BP37" s="1683">
        <v>49427.519999999997</v>
      </c>
      <c r="BQ37" s="1683">
        <v>49427.519999999997</v>
      </c>
      <c r="BR37" s="1683">
        <v>42009.23</v>
      </c>
      <c r="BS37" s="1683">
        <v>42009.23</v>
      </c>
      <c r="BT37" s="1683">
        <v>0</v>
      </c>
      <c r="BU37" s="1683">
        <v>7418.29</v>
      </c>
      <c r="BV37" s="1683">
        <v>0</v>
      </c>
      <c r="BW37" s="1683">
        <v>0</v>
      </c>
      <c r="BX37" s="1683">
        <v>0</v>
      </c>
      <c r="BY37" s="1683">
        <v>0</v>
      </c>
      <c r="BZ37" s="1683">
        <v>0</v>
      </c>
      <c r="CA37" s="1400"/>
      <c r="CB37" s="1682"/>
      <c r="CC37" s="1682"/>
      <c r="CD37" s="1400"/>
      <c r="CE37" s="1400"/>
      <c r="CF37" s="1683">
        <v>0</v>
      </c>
      <c r="CG37" s="1683">
        <v>0</v>
      </c>
      <c r="CH37" s="1683">
        <v>0</v>
      </c>
      <c r="CI37" s="1683">
        <v>0</v>
      </c>
      <c r="CJ37" s="1683">
        <v>0</v>
      </c>
      <c r="CK37" s="1683">
        <v>0</v>
      </c>
      <c r="CL37" s="1682"/>
      <c r="CM37" s="1683">
        <v>0</v>
      </c>
      <c r="CN37" s="1683">
        <v>0</v>
      </c>
      <c r="CO37" s="1683">
        <v>0</v>
      </c>
      <c r="CP37" s="1683">
        <v>0</v>
      </c>
      <c r="CQ37" s="1683">
        <v>0</v>
      </c>
      <c r="CR37" s="1683">
        <v>0</v>
      </c>
      <c r="CS37" s="1683">
        <v>0</v>
      </c>
      <c r="CT37" s="1683">
        <v>0</v>
      </c>
      <c r="CU37" s="1683">
        <v>0</v>
      </c>
      <c r="CV37" s="1683">
        <v>0</v>
      </c>
      <c r="CW37" s="1682"/>
      <c r="CX37" s="1400"/>
      <c r="CY37" s="1400"/>
      <c r="CZ37" s="1400"/>
      <c r="DA37" s="1400"/>
      <c r="DB37" s="1682"/>
      <c r="DC37" s="1326"/>
      <c r="DD37" s="1683">
        <v>0</v>
      </c>
      <c r="DE37" s="1400"/>
      <c r="DF37" s="1400"/>
      <c r="DG37" s="1683">
        <v>0</v>
      </c>
      <c r="DH37" s="1683">
        <v>0</v>
      </c>
    </row>
    <row r="38" spans="1:112" ht="56.25">
      <c r="A38" s="1326" t="s">
        <v>1725</v>
      </c>
      <c r="B38" s="1326" t="s">
        <v>1690</v>
      </c>
      <c r="C38" s="1326" t="s">
        <v>2537</v>
      </c>
      <c r="D38" s="1326" t="s">
        <v>2538</v>
      </c>
      <c r="E38" s="1326" t="s">
        <v>148</v>
      </c>
      <c r="F38" s="1326" t="s">
        <v>2539</v>
      </c>
      <c r="G38" s="1326" t="s">
        <v>2540</v>
      </c>
      <c r="H38" s="1326" t="s">
        <v>2541</v>
      </c>
      <c r="I38" s="1326" t="s">
        <v>1237</v>
      </c>
      <c r="J38" s="1326" t="s">
        <v>642</v>
      </c>
      <c r="K38" s="1326" t="s">
        <v>2060</v>
      </c>
      <c r="L38" s="1326" t="s">
        <v>2061</v>
      </c>
      <c r="M38" s="1400"/>
      <c r="N38" s="1400"/>
      <c r="O38" s="1400"/>
      <c r="P38" s="1400"/>
      <c r="Q38" s="1400"/>
      <c r="R38" s="1400"/>
      <c r="S38" s="1400"/>
      <c r="T38" s="1400"/>
      <c r="U38" s="1400"/>
      <c r="V38" s="1400"/>
      <c r="W38" s="1400"/>
      <c r="X38" s="1400"/>
      <c r="Y38" s="1685">
        <v>43426</v>
      </c>
      <c r="Z38" s="1326" t="s">
        <v>2062</v>
      </c>
      <c r="AA38" s="1683">
        <v>0</v>
      </c>
      <c r="AB38" s="1683">
        <v>0</v>
      </c>
      <c r="AC38" s="1683">
        <v>0</v>
      </c>
      <c r="AD38" s="1685">
        <v>43454</v>
      </c>
      <c r="AE38" s="1326" t="s">
        <v>2066</v>
      </c>
      <c r="AF38" s="1326" t="s">
        <v>2067</v>
      </c>
      <c r="AG38" s="1410"/>
      <c r="AH38" s="1683">
        <v>27952.799999999999</v>
      </c>
      <c r="AI38" s="1683">
        <v>27952.799999999999</v>
      </c>
      <c r="AJ38" s="1683">
        <v>23757.53</v>
      </c>
      <c r="AK38" s="1683">
        <v>23757.53</v>
      </c>
      <c r="AL38" s="1683">
        <v>0</v>
      </c>
      <c r="AM38" s="1685">
        <v>43455</v>
      </c>
      <c r="AN38" s="1683">
        <v>27952.799999999999</v>
      </c>
      <c r="AO38" s="1683">
        <v>27952.799999999999</v>
      </c>
      <c r="AP38" s="1683">
        <v>23757.53</v>
      </c>
      <c r="AQ38" s="1683">
        <v>23757.53</v>
      </c>
      <c r="AR38" s="1683">
        <v>0</v>
      </c>
      <c r="AS38" s="1683">
        <v>4195.2700000000004</v>
      </c>
      <c r="AT38" s="1683">
        <v>0</v>
      </c>
      <c r="AU38" s="1683">
        <v>4195.2700000000004</v>
      </c>
      <c r="AV38" s="1683">
        <v>0</v>
      </c>
      <c r="AW38" s="1683">
        <v>0</v>
      </c>
      <c r="AX38" s="1400"/>
      <c r="AY38" s="1400"/>
      <c r="AZ38" s="1400"/>
      <c r="BA38" s="1682"/>
      <c r="BB38" s="1682"/>
      <c r="BC38" s="1400"/>
      <c r="BD38" s="1400"/>
      <c r="BE38" s="1683">
        <v>27952.799999999999</v>
      </c>
      <c r="BF38" s="1683">
        <v>27952.799999999999</v>
      </c>
      <c r="BG38" s="1683">
        <v>23757.53</v>
      </c>
      <c r="BH38" s="1683">
        <v>23757.53</v>
      </c>
      <c r="BI38" s="1683">
        <v>0</v>
      </c>
      <c r="BJ38" s="1683">
        <v>4195.2700000000004</v>
      </c>
      <c r="BK38" s="1683">
        <v>0</v>
      </c>
      <c r="BL38" s="1683">
        <v>4195.2700000000004</v>
      </c>
      <c r="BM38" s="1683">
        <v>0</v>
      </c>
      <c r="BN38" s="1683">
        <v>0</v>
      </c>
      <c r="BO38" s="1682"/>
      <c r="BP38" s="1683">
        <v>0</v>
      </c>
      <c r="BQ38" s="1683">
        <v>0</v>
      </c>
      <c r="BR38" s="1683">
        <v>0</v>
      </c>
      <c r="BS38" s="1683">
        <v>0</v>
      </c>
      <c r="BT38" s="1683">
        <v>0</v>
      </c>
      <c r="BU38" s="1683">
        <v>0</v>
      </c>
      <c r="BV38" s="1683">
        <v>0</v>
      </c>
      <c r="BW38" s="1683">
        <v>0</v>
      </c>
      <c r="BX38" s="1683">
        <v>0</v>
      </c>
      <c r="BY38" s="1683">
        <v>0</v>
      </c>
      <c r="BZ38" s="1683">
        <v>0</v>
      </c>
      <c r="CA38" s="1400"/>
      <c r="CB38" s="1682"/>
      <c r="CC38" s="1682"/>
      <c r="CD38" s="1400"/>
      <c r="CE38" s="1400"/>
      <c r="CF38" s="1683">
        <v>0</v>
      </c>
      <c r="CG38" s="1683">
        <v>0</v>
      </c>
      <c r="CH38" s="1683">
        <v>0</v>
      </c>
      <c r="CI38" s="1683">
        <v>0</v>
      </c>
      <c r="CJ38" s="1683">
        <v>0</v>
      </c>
      <c r="CK38" s="1683">
        <v>0</v>
      </c>
      <c r="CL38" s="1682"/>
      <c r="CM38" s="1683">
        <v>0</v>
      </c>
      <c r="CN38" s="1683">
        <v>0</v>
      </c>
      <c r="CO38" s="1683">
        <v>0</v>
      </c>
      <c r="CP38" s="1683">
        <v>0</v>
      </c>
      <c r="CQ38" s="1683">
        <v>0</v>
      </c>
      <c r="CR38" s="1683">
        <v>0</v>
      </c>
      <c r="CS38" s="1683">
        <v>0</v>
      </c>
      <c r="CT38" s="1683">
        <v>0</v>
      </c>
      <c r="CU38" s="1683">
        <v>0</v>
      </c>
      <c r="CV38" s="1683">
        <v>0</v>
      </c>
      <c r="CW38" s="1682"/>
      <c r="CX38" s="1400"/>
      <c r="CY38" s="1400"/>
      <c r="CZ38" s="1400"/>
      <c r="DA38" s="1400"/>
      <c r="DB38" s="1682"/>
      <c r="DC38" s="1326"/>
      <c r="DD38" s="1683">
        <v>0</v>
      </c>
      <c r="DE38" s="1400"/>
      <c r="DF38" s="1400"/>
      <c r="DG38" s="1683">
        <v>0</v>
      </c>
      <c r="DH38" s="1683">
        <v>0</v>
      </c>
    </row>
    <row r="39" spans="1:112" ht="33.75">
      <c r="A39" s="1326" t="s">
        <v>1726</v>
      </c>
      <c r="B39" s="1326" t="s">
        <v>1690</v>
      </c>
      <c r="C39" s="1326" t="s">
        <v>2537</v>
      </c>
      <c r="D39" s="1326" t="s">
        <v>2538</v>
      </c>
      <c r="E39" s="1326" t="s">
        <v>148</v>
      </c>
      <c r="F39" s="1326" t="s">
        <v>2539</v>
      </c>
      <c r="G39" s="1326" t="s">
        <v>2540</v>
      </c>
      <c r="H39" s="1326" t="s">
        <v>2541</v>
      </c>
      <c r="I39" s="1326" t="s">
        <v>1591</v>
      </c>
      <c r="J39" s="1326" t="s">
        <v>380</v>
      </c>
      <c r="K39" s="1326" t="s">
        <v>2077</v>
      </c>
      <c r="L39" s="1326" t="s">
        <v>2061</v>
      </c>
      <c r="M39" s="1683">
        <v>98949.56</v>
      </c>
      <c r="N39" s="1683">
        <v>0</v>
      </c>
      <c r="O39" s="1683">
        <v>98949.56</v>
      </c>
      <c r="P39" s="1683">
        <v>98949.56</v>
      </c>
      <c r="Q39" s="1683">
        <v>84107.13</v>
      </c>
      <c r="R39" s="1683">
        <v>84107.13</v>
      </c>
      <c r="S39" s="1683">
        <v>0</v>
      </c>
      <c r="T39" s="1683">
        <v>14842.43</v>
      </c>
      <c r="U39" s="1683">
        <v>0</v>
      </c>
      <c r="V39" s="1683">
        <v>14842.43</v>
      </c>
      <c r="W39" s="1683">
        <v>0</v>
      </c>
      <c r="X39" s="1683">
        <v>0</v>
      </c>
      <c r="Y39" s="1682"/>
      <c r="Z39" s="1326"/>
      <c r="AA39" s="1683">
        <v>0</v>
      </c>
      <c r="AB39" s="1683">
        <v>0</v>
      </c>
      <c r="AC39" s="1683">
        <v>0</v>
      </c>
      <c r="AD39" s="1682"/>
      <c r="AE39" s="1326"/>
      <c r="AF39" s="1326"/>
      <c r="AG39" s="1410"/>
      <c r="AH39" s="1683">
        <v>91658.89</v>
      </c>
      <c r="AI39" s="1683">
        <v>91658.89</v>
      </c>
      <c r="AJ39" s="1683">
        <v>77910.06</v>
      </c>
      <c r="AK39" s="1683">
        <v>77910.06</v>
      </c>
      <c r="AL39" s="1683">
        <v>0</v>
      </c>
      <c r="AM39" s="1682"/>
      <c r="AN39" s="1683">
        <v>91658.89</v>
      </c>
      <c r="AO39" s="1683">
        <v>91658.89</v>
      </c>
      <c r="AP39" s="1683">
        <v>77910.06</v>
      </c>
      <c r="AQ39" s="1683">
        <v>77910.06</v>
      </c>
      <c r="AR39" s="1683">
        <v>0</v>
      </c>
      <c r="AS39" s="1683">
        <v>13748.83</v>
      </c>
      <c r="AT39" s="1683">
        <v>0</v>
      </c>
      <c r="AU39" s="1683">
        <v>13748.83</v>
      </c>
      <c r="AV39" s="1683">
        <v>0</v>
      </c>
      <c r="AW39" s="1683">
        <v>0</v>
      </c>
      <c r="AX39" s="1683">
        <v>0</v>
      </c>
      <c r="AY39" s="1683">
        <v>0</v>
      </c>
      <c r="AZ39" s="1683">
        <v>0</v>
      </c>
      <c r="BA39" s="1682"/>
      <c r="BB39" s="1682"/>
      <c r="BC39" s="1683">
        <v>0</v>
      </c>
      <c r="BD39" s="1683">
        <v>0</v>
      </c>
      <c r="BE39" s="1683">
        <v>91658.89</v>
      </c>
      <c r="BF39" s="1683">
        <v>91658.89</v>
      </c>
      <c r="BG39" s="1683">
        <v>77910.06</v>
      </c>
      <c r="BH39" s="1683">
        <v>77910.06</v>
      </c>
      <c r="BI39" s="1683">
        <v>0</v>
      </c>
      <c r="BJ39" s="1683">
        <v>13748.83</v>
      </c>
      <c r="BK39" s="1683">
        <v>0</v>
      </c>
      <c r="BL39" s="1683">
        <v>13748.83</v>
      </c>
      <c r="BM39" s="1683">
        <v>0</v>
      </c>
      <c r="BN39" s="1683">
        <v>0</v>
      </c>
      <c r="BO39" s="1682"/>
      <c r="BP39" s="1683">
        <v>16879.400000000001</v>
      </c>
      <c r="BQ39" s="1683">
        <v>16879.400000000001</v>
      </c>
      <c r="BR39" s="1683">
        <v>14347.49</v>
      </c>
      <c r="BS39" s="1683">
        <v>14347.49</v>
      </c>
      <c r="BT39" s="1683">
        <v>0</v>
      </c>
      <c r="BU39" s="1683">
        <v>2531.91</v>
      </c>
      <c r="BV39" s="1683">
        <v>0</v>
      </c>
      <c r="BW39" s="1683">
        <v>0</v>
      </c>
      <c r="BX39" s="1683">
        <v>0</v>
      </c>
      <c r="BY39" s="1683">
        <v>0</v>
      </c>
      <c r="BZ39" s="1683">
        <v>0</v>
      </c>
      <c r="CA39" s="1683">
        <v>0</v>
      </c>
      <c r="CB39" s="1682"/>
      <c r="CC39" s="1682"/>
      <c r="CD39" s="1683">
        <v>0</v>
      </c>
      <c r="CE39" s="1683">
        <v>0</v>
      </c>
      <c r="CF39" s="1683">
        <v>0</v>
      </c>
      <c r="CG39" s="1683">
        <v>0</v>
      </c>
      <c r="CH39" s="1683">
        <v>0</v>
      </c>
      <c r="CI39" s="1683">
        <v>0</v>
      </c>
      <c r="CJ39" s="1683">
        <v>0</v>
      </c>
      <c r="CK39" s="1683">
        <v>0</v>
      </c>
      <c r="CL39" s="1682"/>
      <c r="CM39" s="1683">
        <v>0</v>
      </c>
      <c r="CN39" s="1683">
        <v>0</v>
      </c>
      <c r="CO39" s="1683">
        <v>0</v>
      </c>
      <c r="CP39" s="1683">
        <v>0</v>
      </c>
      <c r="CQ39" s="1683">
        <v>0</v>
      </c>
      <c r="CR39" s="1683">
        <v>0</v>
      </c>
      <c r="CS39" s="1683">
        <v>0</v>
      </c>
      <c r="CT39" s="1683">
        <v>0</v>
      </c>
      <c r="CU39" s="1683">
        <v>0</v>
      </c>
      <c r="CV39" s="1683">
        <v>0</v>
      </c>
      <c r="CW39" s="1682"/>
      <c r="CX39" s="1683">
        <v>0</v>
      </c>
      <c r="CY39" s="1683">
        <v>0</v>
      </c>
      <c r="CZ39" s="1683">
        <v>0</v>
      </c>
      <c r="DA39" s="1683">
        <v>0</v>
      </c>
      <c r="DB39" s="1682"/>
      <c r="DC39" s="1326"/>
      <c r="DD39" s="1683">
        <v>0</v>
      </c>
      <c r="DE39" s="1683">
        <v>0</v>
      </c>
      <c r="DF39" s="1683">
        <v>0</v>
      </c>
      <c r="DG39" s="1683">
        <v>0</v>
      </c>
      <c r="DH39" s="1683">
        <v>0</v>
      </c>
    </row>
    <row r="40" spans="1:112" ht="33.75">
      <c r="A40" s="1326" t="s">
        <v>1727</v>
      </c>
      <c r="B40" s="1326" t="s">
        <v>1690</v>
      </c>
      <c r="C40" s="1326" t="s">
        <v>2537</v>
      </c>
      <c r="D40" s="1326" t="s">
        <v>2538</v>
      </c>
      <c r="E40" s="1326" t="s">
        <v>148</v>
      </c>
      <c r="F40" s="1326" t="s">
        <v>2539</v>
      </c>
      <c r="G40" s="1326" t="s">
        <v>2540</v>
      </c>
      <c r="H40" s="1326" t="s">
        <v>2541</v>
      </c>
      <c r="I40" s="1326" t="s">
        <v>1591</v>
      </c>
      <c r="J40" s="1326" t="s">
        <v>380</v>
      </c>
      <c r="K40" s="1326" t="s">
        <v>2077</v>
      </c>
      <c r="L40" s="1326" t="s">
        <v>2061</v>
      </c>
      <c r="M40" s="1400"/>
      <c r="N40" s="1400"/>
      <c r="O40" s="1400"/>
      <c r="P40" s="1400"/>
      <c r="Q40" s="1400"/>
      <c r="R40" s="1400"/>
      <c r="S40" s="1400"/>
      <c r="T40" s="1400"/>
      <c r="U40" s="1400"/>
      <c r="V40" s="1400"/>
      <c r="W40" s="1400"/>
      <c r="X40" s="1400"/>
      <c r="Y40" s="1685">
        <v>43304</v>
      </c>
      <c r="Z40" s="1326" t="s">
        <v>2062</v>
      </c>
      <c r="AA40" s="1683">
        <v>0</v>
      </c>
      <c r="AB40" s="1683">
        <v>0</v>
      </c>
      <c r="AC40" s="1683">
        <v>0</v>
      </c>
      <c r="AD40" s="1685">
        <v>43378</v>
      </c>
      <c r="AE40" s="1326" t="s">
        <v>2073</v>
      </c>
      <c r="AF40" s="1326" t="s">
        <v>2067</v>
      </c>
      <c r="AG40" s="1410"/>
      <c r="AH40" s="1683">
        <v>16879.400000000001</v>
      </c>
      <c r="AI40" s="1683">
        <v>16879.400000000001</v>
      </c>
      <c r="AJ40" s="1683">
        <v>14347.49</v>
      </c>
      <c r="AK40" s="1683">
        <v>14347.49</v>
      </c>
      <c r="AL40" s="1683">
        <v>0</v>
      </c>
      <c r="AM40" s="1685">
        <v>43385</v>
      </c>
      <c r="AN40" s="1683">
        <v>16879.400000000001</v>
      </c>
      <c r="AO40" s="1683">
        <v>16879.400000000001</v>
      </c>
      <c r="AP40" s="1683">
        <v>14347.49</v>
      </c>
      <c r="AQ40" s="1683">
        <v>14347.49</v>
      </c>
      <c r="AR40" s="1683">
        <v>0</v>
      </c>
      <c r="AS40" s="1683">
        <v>2531.91</v>
      </c>
      <c r="AT40" s="1683">
        <v>0</v>
      </c>
      <c r="AU40" s="1683">
        <v>2531.91</v>
      </c>
      <c r="AV40" s="1683">
        <v>0</v>
      </c>
      <c r="AW40" s="1683">
        <v>0</v>
      </c>
      <c r="AX40" s="1400"/>
      <c r="AY40" s="1400"/>
      <c r="AZ40" s="1400"/>
      <c r="BA40" s="1682"/>
      <c r="BB40" s="1682"/>
      <c r="BC40" s="1400"/>
      <c r="BD40" s="1400"/>
      <c r="BE40" s="1683">
        <v>16879.400000000001</v>
      </c>
      <c r="BF40" s="1683">
        <v>16879.400000000001</v>
      </c>
      <c r="BG40" s="1683">
        <v>14347.49</v>
      </c>
      <c r="BH40" s="1683">
        <v>14347.49</v>
      </c>
      <c r="BI40" s="1683">
        <v>0</v>
      </c>
      <c r="BJ40" s="1683">
        <v>2531.91</v>
      </c>
      <c r="BK40" s="1683">
        <v>0</v>
      </c>
      <c r="BL40" s="1683">
        <v>2531.91</v>
      </c>
      <c r="BM40" s="1683">
        <v>0</v>
      </c>
      <c r="BN40" s="1683">
        <v>0</v>
      </c>
      <c r="BO40" s="1685">
        <v>43453</v>
      </c>
      <c r="BP40" s="1683">
        <v>16879.400000000001</v>
      </c>
      <c r="BQ40" s="1683">
        <v>16879.400000000001</v>
      </c>
      <c r="BR40" s="1683">
        <v>14347.49</v>
      </c>
      <c r="BS40" s="1683">
        <v>14347.49</v>
      </c>
      <c r="BT40" s="1683">
        <v>0</v>
      </c>
      <c r="BU40" s="1683">
        <v>2531.91</v>
      </c>
      <c r="BV40" s="1683">
        <v>0</v>
      </c>
      <c r="BW40" s="1683">
        <v>0</v>
      </c>
      <c r="BX40" s="1683">
        <v>0</v>
      </c>
      <c r="BY40" s="1683">
        <v>0</v>
      </c>
      <c r="BZ40" s="1683">
        <v>0</v>
      </c>
      <c r="CA40" s="1400"/>
      <c r="CB40" s="1682"/>
      <c r="CC40" s="1682"/>
      <c r="CD40" s="1400"/>
      <c r="CE40" s="1400"/>
      <c r="CF40" s="1683">
        <v>0</v>
      </c>
      <c r="CG40" s="1683">
        <v>0</v>
      </c>
      <c r="CH40" s="1683">
        <v>0</v>
      </c>
      <c r="CI40" s="1683">
        <v>0</v>
      </c>
      <c r="CJ40" s="1683">
        <v>0</v>
      </c>
      <c r="CK40" s="1683">
        <v>0</v>
      </c>
      <c r="CL40" s="1682"/>
      <c r="CM40" s="1683">
        <v>0</v>
      </c>
      <c r="CN40" s="1683">
        <v>0</v>
      </c>
      <c r="CO40" s="1683">
        <v>0</v>
      </c>
      <c r="CP40" s="1683">
        <v>0</v>
      </c>
      <c r="CQ40" s="1683">
        <v>0</v>
      </c>
      <c r="CR40" s="1683">
        <v>0</v>
      </c>
      <c r="CS40" s="1683">
        <v>0</v>
      </c>
      <c r="CT40" s="1683">
        <v>0</v>
      </c>
      <c r="CU40" s="1683">
        <v>0</v>
      </c>
      <c r="CV40" s="1683">
        <v>0</v>
      </c>
      <c r="CW40" s="1682"/>
      <c r="CX40" s="1400"/>
      <c r="CY40" s="1400"/>
      <c r="CZ40" s="1400"/>
      <c r="DA40" s="1400"/>
      <c r="DB40" s="1682"/>
      <c r="DC40" s="1326"/>
      <c r="DD40" s="1683">
        <v>0</v>
      </c>
      <c r="DE40" s="1400"/>
      <c r="DF40" s="1400"/>
      <c r="DG40" s="1683">
        <v>0</v>
      </c>
      <c r="DH40" s="1683">
        <v>0</v>
      </c>
    </row>
    <row r="41" spans="1:112" ht="33.75">
      <c r="A41" s="1326" t="s">
        <v>1728</v>
      </c>
      <c r="B41" s="1326" t="s">
        <v>1690</v>
      </c>
      <c r="C41" s="1326" t="s">
        <v>2537</v>
      </c>
      <c r="D41" s="1326" t="s">
        <v>2538</v>
      </c>
      <c r="E41" s="1326" t="s">
        <v>148</v>
      </c>
      <c r="F41" s="1326" t="s">
        <v>2539</v>
      </c>
      <c r="G41" s="1326" t="s">
        <v>2540</v>
      </c>
      <c r="H41" s="1326" t="s">
        <v>2541</v>
      </c>
      <c r="I41" s="1326" t="s">
        <v>1591</v>
      </c>
      <c r="J41" s="1326" t="s">
        <v>380</v>
      </c>
      <c r="K41" s="1326" t="s">
        <v>2077</v>
      </c>
      <c r="L41" s="1326" t="s">
        <v>2061</v>
      </c>
      <c r="M41" s="1400"/>
      <c r="N41" s="1400"/>
      <c r="O41" s="1400"/>
      <c r="P41" s="1400"/>
      <c r="Q41" s="1400"/>
      <c r="R41" s="1400"/>
      <c r="S41" s="1400"/>
      <c r="T41" s="1400"/>
      <c r="U41" s="1400"/>
      <c r="V41" s="1400"/>
      <c r="W41" s="1400"/>
      <c r="X41" s="1400"/>
      <c r="Y41" s="1685">
        <v>43402</v>
      </c>
      <c r="Z41" s="1326" t="s">
        <v>2062</v>
      </c>
      <c r="AA41" s="1683">
        <v>0</v>
      </c>
      <c r="AB41" s="1683">
        <v>0</v>
      </c>
      <c r="AC41" s="1683">
        <v>0</v>
      </c>
      <c r="AD41" s="1685">
        <v>43447</v>
      </c>
      <c r="AE41" s="1326" t="s">
        <v>2063</v>
      </c>
      <c r="AF41" s="1326" t="s">
        <v>2067</v>
      </c>
      <c r="AG41" s="1410"/>
      <c r="AH41" s="1683">
        <v>54234.720000000001</v>
      </c>
      <c r="AI41" s="1683">
        <v>54234.720000000001</v>
      </c>
      <c r="AJ41" s="1683">
        <v>46099.51</v>
      </c>
      <c r="AK41" s="1683">
        <v>46099.51</v>
      </c>
      <c r="AL41" s="1683">
        <v>0</v>
      </c>
      <c r="AM41" s="1685">
        <v>43447</v>
      </c>
      <c r="AN41" s="1683">
        <v>54234.720000000001</v>
      </c>
      <c r="AO41" s="1683">
        <v>54234.720000000001</v>
      </c>
      <c r="AP41" s="1683">
        <v>46099.51</v>
      </c>
      <c r="AQ41" s="1683">
        <v>46099.51</v>
      </c>
      <c r="AR41" s="1683">
        <v>0</v>
      </c>
      <c r="AS41" s="1683">
        <v>8135.21</v>
      </c>
      <c r="AT41" s="1683">
        <v>0</v>
      </c>
      <c r="AU41" s="1683">
        <v>8135.21</v>
      </c>
      <c r="AV41" s="1683">
        <v>0</v>
      </c>
      <c r="AW41" s="1683">
        <v>0</v>
      </c>
      <c r="AX41" s="1400"/>
      <c r="AY41" s="1400"/>
      <c r="AZ41" s="1400"/>
      <c r="BA41" s="1682"/>
      <c r="BB41" s="1682"/>
      <c r="BC41" s="1400"/>
      <c r="BD41" s="1400"/>
      <c r="BE41" s="1683">
        <v>54234.720000000001</v>
      </c>
      <c r="BF41" s="1683">
        <v>54234.720000000001</v>
      </c>
      <c r="BG41" s="1683">
        <v>46099.51</v>
      </c>
      <c r="BH41" s="1683">
        <v>46099.51</v>
      </c>
      <c r="BI41" s="1683">
        <v>0</v>
      </c>
      <c r="BJ41" s="1683">
        <v>8135.21</v>
      </c>
      <c r="BK41" s="1683">
        <v>0</v>
      </c>
      <c r="BL41" s="1683">
        <v>8135.21</v>
      </c>
      <c r="BM41" s="1683">
        <v>0</v>
      </c>
      <c r="BN41" s="1683">
        <v>0</v>
      </c>
      <c r="BO41" s="1682"/>
      <c r="BP41" s="1683">
        <v>0</v>
      </c>
      <c r="BQ41" s="1683">
        <v>0</v>
      </c>
      <c r="BR41" s="1683">
        <v>0</v>
      </c>
      <c r="BS41" s="1683">
        <v>0</v>
      </c>
      <c r="BT41" s="1683">
        <v>0</v>
      </c>
      <c r="BU41" s="1683">
        <v>0</v>
      </c>
      <c r="BV41" s="1683">
        <v>0</v>
      </c>
      <c r="BW41" s="1683">
        <v>0</v>
      </c>
      <c r="BX41" s="1683">
        <v>0</v>
      </c>
      <c r="BY41" s="1683">
        <v>0</v>
      </c>
      <c r="BZ41" s="1683">
        <v>0</v>
      </c>
      <c r="CA41" s="1400"/>
      <c r="CB41" s="1682"/>
      <c r="CC41" s="1682"/>
      <c r="CD41" s="1400"/>
      <c r="CE41" s="1400"/>
      <c r="CF41" s="1683">
        <v>0</v>
      </c>
      <c r="CG41" s="1683">
        <v>0</v>
      </c>
      <c r="CH41" s="1683">
        <v>0</v>
      </c>
      <c r="CI41" s="1683">
        <v>0</v>
      </c>
      <c r="CJ41" s="1683">
        <v>0</v>
      </c>
      <c r="CK41" s="1683">
        <v>0</v>
      </c>
      <c r="CL41" s="1682"/>
      <c r="CM41" s="1683">
        <v>0</v>
      </c>
      <c r="CN41" s="1683">
        <v>0</v>
      </c>
      <c r="CO41" s="1683">
        <v>0</v>
      </c>
      <c r="CP41" s="1683">
        <v>0</v>
      </c>
      <c r="CQ41" s="1683">
        <v>0</v>
      </c>
      <c r="CR41" s="1683">
        <v>0</v>
      </c>
      <c r="CS41" s="1683">
        <v>0</v>
      </c>
      <c r="CT41" s="1683">
        <v>0</v>
      </c>
      <c r="CU41" s="1683">
        <v>0</v>
      </c>
      <c r="CV41" s="1683">
        <v>0</v>
      </c>
      <c r="CW41" s="1682"/>
      <c r="CX41" s="1400"/>
      <c r="CY41" s="1400"/>
      <c r="CZ41" s="1400"/>
      <c r="DA41" s="1400"/>
      <c r="DB41" s="1682"/>
      <c r="DC41" s="1326"/>
      <c r="DD41" s="1683">
        <v>0</v>
      </c>
      <c r="DE41" s="1400"/>
      <c r="DF41" s="1400"/>
      <c r="DG41" s="1683">
        <v>0</v>
      </c>
      <c r="DH41" s="1683">
        <v>0</v>
      </c>
    </row>
    <row r="42" spans="1:112" ht="33.75">
      <c r="A42" s="1326" t="s">
        <v>1729</v>
      </c>
      <c r="B42" s="1326" t="s">
        <v>1690</v>
      </c>
      <c r="C42" s="1326" t="s">
        <v>2537</v>
      </c>
      <c r="D42" s="1326" t="s">
        <v>2538</v>
      </c>
      <c r="E42" s="1326" t="s">
        <v>148</v>
      </c>
      <c r="F42" s="1326" t="s">
        <v>2539</v>
      </c>
      <c r="G42" s="1326" t="s">
        <v>2540</v>
      </c>
      <c r="H42" s="1326" t="s">
        <v>2541</v>
      </c>
      <c r="I42" s="1326" t="s">
        <v>1591</v>
      </c>
      <c r="J42" s="1326" t="s">
        <v>380</v>
      </c>
      <c r="K42" s="1326" t="s">
        <v>2077</v>
      </c>
      <c r="L42" s="1326" t="s">
        <v>2061</v>
      </c>
      <c r="M42" s="1400"/>
      <c r="N42" s="1400"/>
      <c r="O42" s="1400"/>
      <c r="P42" s="1400"/>
      <c r="Q42" s="1400"/>
      <c r="R42" s="1400"/>
      <c r="S42" s="1400"/>
      <c r="T42" s="1400"/>
      <c r="U42" s="1400"/>
      <c r="V42" s="1400"/>
      <c r="W42" s="1400"/>
      <c r="X42" s="1400"/>
      <c r="Y42" s="1685">
        <v>43462</v>
      </c>
      <c r="Z42" s="1326" t="s">
        <v>2062</v>
      </c>
      <c r="AA42" s="1683">
        <v>0</v>
      </c>
      <c r="AB42" s="1683">
        <v>0</v>
      </c>
      <c r="AC42" s="1683">
        <v>0</v>
      </c>
      <c r="AD42" s="1685">
        <v>43504</v>
      </c>
      <c r="AE42" s="1326" t="s">
        <v>2066</v>
      </c>
      <c r="AF42" s="1326" t="s">
        <v>2067</v>
      </c>
      <c r="AG42" s="1410"/>
      <c r="AH42" s="1683">
        <v>20544.77</v>
      </c>
      <c r="AI42" s="1683">
        <v>20544.77</v>
      </c>
      <c r="AJ42" s="1683">
        <v>17463.060000000001</v>
      </c>
      <c r="AK42" s="1683">
        <v>17463.060000000001</v>
      </c>
      <c r="AL42" s="1683">
        <v>0</v>
      </c>
      <c r="AM42" s="1685">
        <v>43504</v>
      </c>
      <c r="AN42" s="1683">
        <v>20544.77</v>
      </c>
      <c r="AO42" s="1683">
        <v>20544.77</v>
      </c>
      <c r="AP42" s="1683">
        <v>17463.060000000001</v>
      </c>
      <c r="AQ42" s="1683">
        <v>17463.060000000001</v>
      </c>
      <c r="AR42" s="1683">
        <v>0</v>
      </c>
      <c r="AS42" s="1683">
        <v>3081.71</v>
      </c>
      <c r="AT42" s="1683">
        <v>0</v>
      </c>
      <c r="AU42" s="1683">
        <v>3081.71</v>
      </c>
      <c r="AV42" s="1683">
        <v>0</v>
      </c>
      <c r="AW42" s="1683">
        <v>0</v>
      </c>
      <c r="AX42" s="1400"/>
      <c r="AY42" s="1400"/>
      <c r="AZ42" s="1400"/>
      <c r="BA42" s="1682"/>
      <c r="BB42" s="1682"/>
      <c r="BC42" s="1400"/>
      <c r="BD42" s="1400"/>
      <c r="BE42" s="1683">
        <v>20544.77</v>
      </c>
      <c r="BF42" s="1683">
        <v>20544.77</v>
      </c>
      <c r="BG42" s="1683">
        <v>17463.060000000001</v>
      </c>
      <c r="BH42" s="1683">
        <v>17463.060000000001</v>
      </c>
      <c r="BI42" s="1683">
        <v>0</v>
      </c>
      <c r="BJ42" s="1683">
        <v>3081.71</v>
      </c>
      <c r="BK42" s="1683">
        <v>0</v>
      </c>
      <c r="BL42" s="1683">
        <v>3081.71</v>
      </c>
      <c r="BM42" s="1683">
        <v>0</v>
      </c>
      <c r="BN42" s="1683">
        <v>0</v>
      </c>
      <c r="BO42" s="1682"/>
      <c r="BP42" s="1683">
        <v>0</v>
      </c>
      <c r="BQ42" s="1683">
        <v>0</v>
      </c>
      <c r="BR42" s="1683">
        <v>0</v>
      </c>
      <c r="BS42" s="1683">
        <v>0</v>
      </c>
      <c r="BT42" s="1683">
        <v>0</v>
      </c>
      <c r="BU42" s="1683">
        <v>0</v>
      </c>
      <c r="BV42" s="1683">
        <v>0</v>
      </c>
      <c r="BW42" s="1683">
        <v>0</v>
      </c>
      <c r="BX42" s="1683">
        <v>0</v>
      </c>
      <c r="BY42" s="1683">
        <v>0</v>
      </c>
      <c r="BZ42" s="1400"/>
      <c r="CA42" s="1400"/>
      <c r="CB42" s="1682"/>
      <c r="CC42" s="1682"/>
      <c r="CD42" s="1400"/>
      <c r="CE42" s="1400"/>
      <c r="CF42" s="1683">
        <v>0</v>
      </c>
      <c r="CG42" s="1683">
        <v>0</v>
      </c>
      <c r="CH42" s="1683">
        <v>0</v>
      </c>
      <c r="CI42" s="1683">
        <v>0</v>
      </c>
      <c r="CJ42" s="1683">
        <v>0</v>
      </c>
      <c r="CK42" s="1683">
        <v>0</v>
      </c>
      <c r="CL42" s="1682"/>
      <c r="CM42" s="1683">
        <v>0</v>
      </c>
      <c r="CN42" s="1683">
        <v>0</v>
      </c>
      <c r="CO42" s="1683">
        <v>0</v>
      </c>
      <c r="CP42" s="1683">
        <v>0</v>
      </c>
      <c r="CQ42" s="1683">
        <v>0</v>
      </c>
      <c r="CR42" s="1683">
        <v>0</v>
      </c>
      <c r="CS42" s="1683">
        <v>0</v>
      </c>
      <c r="CT42" s="1683">
        <v>0</v>
      </c>
      <c r="CU42" s="1683">
        <v>0</v>
      </c>
      <c r="CV42" s="1683">
        <v>0</v>
      </c>
      <c r="CW42" s="1682"/>
      <c r="CX42" s="1400"/>
      <c r="CY42" s="1400"/>
      <c r="CZ42" s="1400"/>
      <c r="DA42" s="1400"/>
      <c r="DB42" s="1682"/>
      <c r="DC42" s="1326"/>
      <c r="DD42" s="1683">
        <v>0</v>
      </c>
      <c r="DE42" s="1400"/>
      <c r="DF42" s="1400"/>
      <c r="DG42" s="1683">
        <v>0</v>
      </c>
      <c r="DH42" s="1683">
        <v>0</v>
      </c>
    </row>
    <row r="43" spans="1:112">
      <c r="A43" s="1326" t="s">
        <v>1730</v>
      </c>
      <c r="B43" s="1326" t="s">
        <v>1694</v>
      </c>
      <c r="C43" s="1326"/>
      <c r="D43" s="1326"/>
      <c r="E43" s="1326"/>
      <c r="F43" s="1326"/>
      <c r="G43" s="1326"/>
      <c r="H43" s="1326"/>
      <c r="I43" s="1326"/>
      <c r="J43" s="1326"/>
      <c r="K43" s="1326"/>
      <c r="L43" s="1326"/>
      <c r="M43" s="1683">
        <v>26786311.440000001</v>
      </c>
      <c r="N43" s="1683">
        <v>0</v>
      </c>
      <c r="O43" s="1683">
        <v>26786311.440000001</v>
      </c>
      <c r="P43" s="1683">
        <v>18194839.940000001</v>
      </c>
      <c r="Q43" s="1683">
        <v>17578334.550000001</v>
      </c>
      <c r="R43" s="1683">
        <v>17578334.550000001</v>
      </c>
      <c r="S43" s="1683">
        <v>0</v>
      </c>
      <c r="T43" s="1683">
        <v>9207976.8900000006</v>
      </c>
      <c r="U43" s="1683">
        <v>0</v>
      </c>
      <c r="V43" s="1683">
        <v>616505.39</v>
      </c>
      <c r="W43" s="1683">
        <v>0</v>
      </c>
      <c r="X43" s="1683">
        <v>8591471.5</v>
      </c>
      <c r="Y43" s="1682"/>
      <c r="Z43" s="1326"/>
      <c r="AA43" s="1683">
        <v>536414.26</v>
      </c>
      <c r="AB43" s="1683">
        <v>536414.26</v>
      </c>
      <c r="AC43" s="1683">
        <v>0</v>
      </c>
      <c r="AD43" s="1682"/>
      <c r="AE43" s="1326"/>
      <c r="AF43" s="1326"/>
      <c r="AG43" s="1410"/>
      <c r="AH43" s="1683">
        <v>10537819.75</v>
      </c>
      <c r="AI43" s="1683">
        <v>7344261.1799999997</v>
      </c>
      <c r="AJ43" s="1683">
        <v>6803932.3399999999</v>
      </c>
      <c r="AK43" s="1683">
        <v>6803932.3399999999</v>
      </c>
      <c r="AL43" s="1683">
        <v>0</v>
      </c>
      <c r="AM43" s="1682"/>
      <c r="AN43" s="1683">
        <v>10448932.470000001</v>
      </c>
      <c r="AO43" s="1683">
        <v>6730937.21</v>
      </c>
      <c r="AP43" s="1683">
        <v>6629487.6500000004</v>
      </c>
      <c r="AQ43" s="1683">
        <v>6629487.6500000004</v>
      </c>
      <c r="AR43" s="1683">
        <v>0</v>
      </c>
      <c r="AS43" s="1683">
        <v>3819444.82</v>
      </c>
      <c r="AT43" s="1683">
        <v>0</v>
      </c>
      <c r="AU43" s="1683">
        <v>101449.56</v>
      </c>
      <c r="AV43" s="1683">
        <v>0</v>
      </c>
      <c r="AW43" s="1683">
        <v>3717995.26</v>
      </c>
      <c r="AX43" s="1683">
        <v>0</v>
      </c>
      <c r="AY43" s="1683">
        <v>0</v>
      </c>
      <c r="AZ43" s="1683">
        <v>0</v>
      </c>
      <c r="BA43" s="1682"/>
      <c r="BB43" s="1682"/>
      <c r="BC43" s="1683">
        <v>0</v>
      </c>
      <c r="BD43" s="1683">
        <v>0</v>
      </c>
      <c r="BE43" s="1683">
        <v>10448932.470000001</v>
      </c>
      <c r="BF43" s="1683">
        <v>6730937.21</v>
      </c>
      <c r="BG43" s="1683">
        <v>6629487.6500000004</v>
      </c>
      <c r="BH43" s="1683">
        <v>6629487.6500000004</v>
      </c>
      <c r="BI43" s="1683">
        <v>0</v>
      </c>
      <c r="BJ43" s="1683">
        <v>3819444.82</v>
      </c>
      <c r="BK43" s="1683">
        <v>0</v>
      </c>
      <c r="BL43" s="1683">
        <v>101449.56</v>
      </c>
      <c r="BM43" s="1683">
        <v>0</v>
      </c>
      <c r="BN43" s="1683">
        <v>3717995.26</v>
      </c>
      <c r="BO43" s="1682"/>
      <c r="BP43" s="1683">
        <v>9207987.4800000004</v>
      </c>
      <c r="BQ43" s="1683">
        <v>5913513.25</v>
      </c>
      <c r="BR43" s="1683">
        <v>5812045.54</v>
      </c>
      <c r="BS43" s="1683">
        <v>5812045.54</v>
      </c>
      <c r="BT43" s="1683">
        <v>0</v>
      </c>
      <c r="BU43" s="1683">
        <v>3395941.94</v>
      </c>
      <c r="BV43" s="1683">
        <v>0</v>
      </c>
      <c r="BW43" s="1683">
        <v>8378.36</v>
      </c>
      <c r="BX43" s="1683">
        <v>0</v>
      </c>
      <c r="BY43" s="1683">
        <v>3294474.23</v>
      </c>
      <c r="BZ43" s="1683">
        <v>0</v>
      </c>
      <c r="CA43" s="1683">
        <v>0</v>
      </c>
      <c r="CB43" s="1682"/>
      <c r="CC43" s="1682"/>
      <c r="CD43" s="1683">
        <v>-250176.08</v>
      </c>
      <c r="CE43" s="1683">
        <v>-110729.5</v>
      </c>
      <c r="CF43" s="1683">
        <v>0</v>
      </c>
      <c r="CG43" s="1683">
        <v>0</v>
      </c>
      <c r="CH43" s="1683">
        <v>0</v>
      </c>
      <c r="CI43" s="1683">
        <v>0</v>
      </c>
      <c r="CJ43" s="1683">
        <v>5650.32</v>
      </c>
      <c r="CK43" s="1683">
        <v>5558.68</v>
      </c>
      <c r="CL43" s="1682"/>
      <c r="CM43" s="1683">
        <v>3820817.76</v>
      </c>
      <c r="CN43" s="1683">
        <v>2243933.7599999998</v>
      </c>
      <c r="CO43" s="1683">
        <v>2235555.4</v>
      </c>
      <c r="CP43" s="1683">
        <v>2235555.4</v>
      </c>
      <c r="CQ43" s="1683">
        <v>0</v>
      </c>
      <c r="CR43" s="1683">
        <v>1585262.36</v>
      </c>
      <c r="CS43" s="1683">
        <v>0</v>
      </c>
      <c r="CT43" s="1683">
        <v>8378.36</v>
      </c>
      <c r="CU43" s="1683">
        <v>0</v>
      </c>
      <c r="CV43" s="1683">
        <v>1576884</v>
      </c>
      <c r="CW43" s="1682"/>
      <c r="CX43" s="1683">
        <v>-659242.37</v>
      </c>
      <c r="CY43" s="1683">
        <v>-306092.28999999998</v>
      </c>
      <c r="CZ43" s="1683">
        <v>3161575.39</v>
      </c>
      <c r="DA43" s="1683">
        <v>1937841.47</v>
      </c>
      <c r="DB43" s="1682"/>
      <c r="DC43" s="1326"/>
      <c r="DD43" s="1683">
        <v>0</v>
      </c>
      <c r="DE43" s="1683">
        <v>0</v>
      </c>
      <c r="DF43" s="1683">
        <v>0</v>
      </c>
      <c r="DG43" s="1683">
        <v>0</v>
      </c>
      <c r="DH43" s="1683">
        <v>0</v>
      </c>
    </row>
    <row r="44" spans="1:112">
      <c r="A44" s="1326" t="s">
        <v>1731</v>
      </c>
      <c r="B44" s="1326" t="s">
        <v>1694</v>
      </c>
      <c r="C44" s="1326" t="s">
        <v>2542</v>
      </c>
      <c r="D44" s="1326"/>
      <c r="E44" s="1326"/>
      <c r="F44" s="1326"/>
      <c r="G44" s="1326"/>
      <c r="H44" s="1326"/>
      <c r="I44" s="1326"/>
      <c r="J44" s="1326"/>
      <c r="K44" s="1326"/>
      <c r="L44" s="1326"/>
      <c r="M44" s="1683">
        <v>3990955.51</v>
      </c>
      <c r="N44" s="1683">
        <v>0</v>
      </c>
      <c r="O44" s="1683">
        <v>3990955.51</v>
      </c>
      <c r="P44" s="1683">
        <v>3392312.19</v>
      </c>
      <c r="Q44" s="1683">
        <v>3392312.19</v>
      </c>
      <c r="R44" s="1683">
        <v>3392312.19</v>
      </c>
      <c r="S44" s="1683">
        <v>0</v>
      </c>
      <c r="T44" s="1683">
        <v>598643.31999999995</v>
      </c>
      <c r="U44" s="1683">
        <v>0</v>
      </c>
      <c r="V44" s="1683">
        <v>0</v>
      </c>
      <c r="W44" s="1683">
        <v>0</v>
      </c>
      <c r="X44" s="1683">
        <v>598643.31999999995</v>
      </c>
      <c r="Y44" s="1682"/>
      <c r="Z44" s="1326"/>
      <c r="AA44" s="1683">
        <v>0</v>
      </c>
      <c r="AB44" s="1683">
        <v>0</v>
      </c>
      <c r="AC44" s="1683">
        <v>0</v>
      </c>
      <c r="AD44" s="1682"/>
      <c r="AE44" s="1326"/>
      <c r="AF44" s="1326"/>
      <c r="AG44" s="1410"/>
      <c r="AH44" s="1683">
        <v>1552910.06</v>
      </c>
      <c r="AI44" s="1683">
        <v>1319973.55</v>
      </c>
      <c r="AJ44" s="1683">
        <v>1319973.55</v>
      </c>
      <c r="AK44" s="1683">
        <v>1319973.55</v>
      </c>
      <c r="AL44" s="1683">
        <v>0</v>
      </c>
      <c r="AM44" s="1682"/>
      <c r="AN44" s="1683">
        <v>1552910.06</v>
      </c>
      <c r="AO44" s="1683">
        <v>1319973.55</v>
      </c>
      <c r="AP44" s="1683">
        <v>1319973.55</v>
      </c>
      <c r="AQ44" s="1683">
        <v>1319973.55</v>
      </c>
      <c r="AR44" s="1683">
        <v>0</v>
      </c>
      <c r="AS44" s="1683">
        <v>232936.51</v>
      </c>
      <c r="AT44" s="1683">
        <v>0</v>
      </c>
      <c r="AU44" s="1683">
        <v>0</v>
      </c>
      <c r="AV44" s="1683">
        <v>0</v>
      </c>
      <c r="AW44" s="1683">
        <v>232936.51</v>
      </c>
      <c r="AX44" s="1683">
        <v>0</v>
      </c>
      <c r="AY44" s="1683">
        <v>0</v>
      </c>
      <c r="AZ44" s="1683">
        <v>0</v>
      </c>
      <c r="BA44" s="1682"/>
      <c r="BB44" s="1682"/>
      <c r="BC44" s="1683">
        <v>0</v>
      </c>
      <c r="BD44" s="1683">
        <v>0</v>
      </c>
      <c r="BE44" s="1683">
        <v>1552910.06</v>
      </c>
      <c r="BF44" s="1683">
        <v>1319973.55</v>
      </c>
      <c r="BG44" s="1683">
        <v>1319973.55</v>
      </c>
      <c r="BH44" s="1683">
        <v>1319973.55</v>
      </c>
      <c r="BI44" s="1683">
        <v>0</v>
      </c>
      <c r="BJ44" s="1683">
        <v>232936.51</v>
      </c>
      <c r="BK44" s="1683">
        <v>0</v>
      </c>
      <c r="BL44" s="1683">
        <v>0</v>
      </c>
      <c r="BM44" s="1683">
        <v>0</v>
      </c>
      <c r="BN44" s="1683">
        <v>232936.51</v>
      </c>
      <c r="BO44" s="1682"/>
      <c r="BP44" s="1683">
        <v>1318846.78</v>
      </c>
      <c r="BQ44" s="1683">
        <v>1121019.77</v>
      </c>
      <c r="BR44" s="1683">
        <v>1121019.77</v>
      </c>
      <c r="BS44" s="1683">
        <v>1121019.77</v>
      </c>
      <c r="BT44" s="1683">
        <v>0</v>
      </c>
      <c r="BU44" s="1683">
        <v>197827.01</v>
      </c>
      <c r="BV44" s="1683">
        <v>0</v>
      </c>
      <c r="BW44" s="1683">
        <v>0</v>
      </c>
      <c r="BX44" s="1683">
        <v>0</v>
      </c>
      <c r="BY44" s="1683">
        <v>197827.01</v>
      </c>
      <c r="BZ44" s="1683">
        <v>0</v>
      </c>
      <c r="CA44" s="1683">
        <v>0</v>
      </c>
      <c r="CB44" s="1682"/>
      <c r="CC44" s="1682"/>
      <c r="CD44" s="1683">
        <v>0</v>
      </c>
      <c r="CE44" s="1683">
        <v>0</v>
      </c>
      <c r="CF44" s="1683">
        <v>0</v>
      </c>
      <c r="CG44" s="1683">
        <v>0</v>
      </c>
      <c r="CH44" s="1683">
        <v>0</v>
      </c>
      <c r="CI44" s="1683">
        <v>0</v>
      </c>
      <c r="CJ44" s="1683">
        <v>0</v>
      </c>
      <c r="CK44" s="1683">
        <v>0</v>
      </c>
      <c r="CL44" s="1682"/>
      <c r="CM44" s="1683">
        <v>918348.59</v>
      </c>
      <c r="CN44" s="1683">
        <v>780596.3</v>
      </c>
      <c r="CO44" s="1683">
        <v>780596.3</v>
      </c>
      <c r="CP44" s="1683">
        <v>780596.3</v>
      </c>
      <c r="CQ44" s="1683">
        <v>0</v>
      </c>
      <c r="CR44" s="1683">
        <v>137752.29</v>
      </c>
      <c r="CS44" s="1683">
        <v>0</v>
      </c>
      <c r="CT44" s="1683">
        <v>0</v>
      </c>
      <c r="CU44" s="1683">
        <v>0</v>
      </c>
      <c r="CV44" s="1683">
        <v>137752.29</v>
      </c>
      <c r="CW44" s="1682"/>
      <c r="CX44" s="1683">
        <v>0</v>
      </c>
      <c r="CY44" s="1683">
        <v>0</v>
      </c>
      <c r="CZ44" s="1683">
        <v>918348.59</v>
      </c>
      <c r="DA44" s="1683">
        <v>780596.3</v>
      </c>
      <c r="DB44" s="1682"/>
      <c r="DC44" s="1326"/>
      <c r="DD44" s="1683">
        <v>0</v>
      </c>
      <c r="DE44" s="1683">
        <v>0</v>
      </c>
      <c r="DF44" s="1683">
        <v>0</v>
      </c>
      <c r="DG44" s="1683">
        <v>0</v>
      </c>
      <c r="DH44" s="1683">
        <v>0</v>
      </c>
    </row>
    <row r="45" spans="1:112">
      <c r="A45" s="1326" t="s">
        <v>1732</v>
      </c>
      <c r="B45" s="1326" t="s">
        <v>1694</v>
      </c>
      <c r="C45" s="1326" t="s">
        <v>2542</v>
      </c>
      <c r="D45" s="1326" t="s">
        <v>2543</v>
      </c>
      <c r="E45" s="1326"/>
      <c r="F45" s="1326"/>
      <c r="G45" s="1326"/>
      <c r="H45" s="1326"/>
      <c r="I45" s="1326"/>
      <c r="J45" s="1326"/>
      <c r="K45" s="1326"/>
      <c r="L45" s="1326"/>
      <c r="M45" s="1683">
        <v>3990955.51</v>
      </c>
      <c r="N45" s="1683">
        <v>0</v>
      </c>
      <c r="O45" s="1683">
        <v>3990955.51</v>
      </c>
      <c r="P45" s="1683">
        <v>3392312.19</v>
      </c>
      <c r="Q45" s="1683">
        <v>3392312.19</v>
      </c>
      <c r="R45" s="1683">
        <v>3392312.19</v>
      </c>
      <c r="S45" s="1683">
        <v>0</v>
      </c>
      <c r="T45" s="1683">
        <v>598643.31999999995</v>
      </c>
      <c r="U45" s="1683">
        <v>0</v>
      </c>
      <c r="V45" s="1683">
        <v>0</v>
      </c>
      <c r="W45" s="1683">
        <v>0</v>
      </c>
      <c r="X45" s="1683">
        <v>598643.31999999995</v>
      </c>
      <c r="Y45" s="1682"/>
      <c r="Z45" s="1326"/>
      <c r="AA45" s="1683">
        <v>0</v>
      </c>
      <c r="AB45" s="1683">
        <v>0</v>
      </c>
      <c r="AC45" s="1683">
        <v>0</v>
      </c>
      <c r="AD45" s="1682"/>
      <c r="AE45" s="1326"/>
      <c r="AF45" s="1326"/>
      <c r="AG45" s="1410"/>
      <c r="AH45" s="1683">
        <v>1552910.06</v>
      </c>
      <c r="AI45" s="1683">
        <v>1319973.55</v>
      </c>
      <c r="AJ45" s="1683">
        <v>1319973.55</v>
      </c>
      <c r="AK45" s="1683">
        <v>1319973.55</v>
      </c>
      <c r="AL45" s="1683">
        <v>0</v>
      </c>
      <c r="AM45" s="1682"/>
      <c r="AN45" s="1683">
        <v>1552910.06</v>
      </c>
      <c r="AO45" s="1683">
        <v>1319973.55</v>
      </c>
      <c r="AP45" s="1683">
        <v>1319973.55</v>
      </c>
      <c r="AQ45" s="1683">
        <v>1319973.55</v>
      </c>
      <c r="AR45" s="1683">
        <v>0</v>
      </c>
      <c r="AS45" s="1683">
        <v>232936.51</v>
      </c>
      <c r="AT45" s="1683">
        <v>0</v>
      </c>
      <c r="AU45" s="1683">
        <v>0</v>
      </c>
      <c r="AV45" s="1683">
        <v>0</v>
      </c>
      <c r="AW45" s="1683">
        <v>232936.51</v>
      </c>
      <c r="AX45" s="1683">
        <v>0</v>
      </c>
      <c r="AY45" s="1683">
        <v>0</v>
      </c>
      <c r="AZ45" s="1683">
        <v>0</v>
      </c>
      <c r="BA45" s="1682"/>
      <c r="BB45" s="1682"/>
      <c r="BC45" s="1683">
        <v>0</v>
      </c>
      <c r="BD45" s="1683">
        <v>0</v>
      </c>
      <c r="BE45" s="1683">
        <v>1552910.06</v>
      </c>
      <c r="BF45" s="1683">
        <v>1319973.55</v>
      </c>
      <c r="BG45" s="1683">
        <v>1319973.55</v>
      </c>
      <c r="BH45" s="1683">
        <v>1319973.55</v>
      </c>
      <c r="BI45" s="1683">
        <v>0</v>
      </c>
      <c r="BJ45" s="1683">
        <v>232936.51</v>
      </c>
      <c r="BK45" s="1683">
        <v>0</v>
      </c>
      <c r="BL45" s="1683">
        <v>0</v>
      </c>
      <c r="BM45" s="1683">
        <v>0</v>
      </c>
      <c r="BN45" s="1683">
        <v>232936.51</v>
      </c>
      <c r="BO45" s="1682"/>
      <c r="BP45" s="1683">
        <v>1318846.78</v>
      </c>
      <c r="BQ45" s="1683">
        <v>1121019.77</v>
      </c>
      <c r="BR45" s="1683">
        <v>1121019.77</v>
      </c>
      <c r="BS45" s="1683">
        <v>1121019.77</v>
      </c>
      <c r="BT45" s="1683">
        <v>0</v>
      </c>
      <c r="BU45" s="1683">
        <v>197827.01</v>
      </c>
      <c r="BV45" s="1683">
        <v>0</v>
      </c>
      <c r="BW45" s="1683">
        <v>0</v>
      </c>
      <c r="BX45" s="1683">
        <v>0</v>
      </c>
      <c r="BY45" s="1683">
        <v>197827.01</v>
      </c>
      <c r="BZ45" s="1683">
        <v>0</v>
      </c>
      <c r="CA45" s="1683">
        <v>0</v>
      </c>
      <c r="CB45" s="1682"/>
      <c r="CC45" s="1682"/>
      <c r="CD45" s="1683">
        <v>0</v>
      </c>
      <c r="CE45" s="1683">
        <v>0</v>
      </c>
      <c r="CF45" s="1683">
        <v>0</v>
      </c>
      <c r="CG45" s="1683">
        <v>0</v>
      </c>
      <c r="CH45" s="1683">
        <v>0</v>
      </c>
      <c r="CI45" s="1683">
        <v>0</v>
      </c>
      <c r="CJ45" s="1683">
        <v>0</v>
      </c>
      <c r="CK45" s="1683">
        <v>0</v>
      </c>
      <c r="CL45" s="1682"/>
      <c r="CM45" s="1683">
        <v>918348.59</v>
      </c>
      <c r="CN45" s="1683">
        <v>780596.3</v>
      </c>
      <c r="CO45" s="1683">
        <v>780596.3</v>
      </c>
      <c r="CP45" s="1683">
        <v>780596.3</v>
      </c>
      <c r="CQ45" s="1683">
        <v>0</v>
      </c>
      <c r="CR45" s="1683">
        <v>137752.29</v>
      </c>
      <c r="CS45" s="1683">
        <v>0</v>
      </c>
      <c r="CT45" s="1683">
        <v>0</v>
      </c>
      <c r="CU45" s="1683">
        <v>0</v>
      </c>
      <c r="CV45" s="1683">
        <v>137752.29</v>
      </c>
      <c r="CW45" s="1682"/>
      <c r="CX45" s="1683">
        <v>0</v>
      </c>
      <c r="CY45" s="1683">
        <v>0</v>
      </c>
      <c r="CZ45" s="1683">
        <v>918348.59</v>
      </c>
      <c r="DA45" s="1683">
        <v>780596.3</v>
      </c>
      <c r="DB45" s="1682"/>
      <c r="DC45" s="1326"/>
      <c r="DD45" s="1683">
        <v>0</v>
      </c>
      <c r="DE45" s="1683">
        <v>0</v>
      </c>
      <c r="DF45" s="1683">
        <v>0</v>
      </c>
      <c r="DG45" s="1683">
        <v>0</v>
      </c>
      <c r="DH45" s="1683">
        <v>0</v>
      </c>
    </row>
    <row r="46" spans="1:112">
      <c r="A46" s="1326" t="s">
        <v>1733</v>
      </c>
      <c r="B46" s="1326" t="s">
        <v>1694</v>
      </c>
      <c r="C46" s="1326" t="s">
        <v>2542</v>
      </c>
      <c r="D46" s="1326" t="s">
        <v>2543</v>
      </c>
      <c r="E46" s="1326" t="s">
        <v>179</v>
      </c>
      <c r="F46" s="1326"/>
      <c r="G46" s="1326"/>
      <c r="H46" s="1326"/>
      <c r="I46" s="1326"/>
      <c r="J46" s="1326"/>
      <c r="K46" s="1326"/>
      <c r="L46" s="1326"/>
      <c r="M46" s="1683">
        <v>3990955.51</v>
      </c>
      <c r="N46" s="1683">
        <v>0</v>
      </c>
      <c r="O46" s="1683">
        <v>3990955.51</v>
      </c>
      <c r="P46" s="1683">
        <v>3392312.19</v>
      </c>
      <c r="Q46" s="1683">
        <v>3392312.19</v>
      </c>
      <c r="R46" s="1683">
        <v>3392312.19</v>
      </c>
      <c r="S46" s="1683">
        <v>0</v>
      </c>
      <c r="T46" s="1683">
        <v>598643.31999999995</v>
      </c>
      <c r="U46" s="1683">
        <v>0</v>
      </c>
      <c r="V46" s="1683">
        <v>0</v>
      </c>
      <c r="W46" s="1683">
        <v>0</v>
      </c>
      <c r="X46" s="1683">
        <v>598643.31999999995</v>
      </c>
      <c r="Y46" s="1682"/>
      <c r="Z46" s="1326"/>
      <c r="AA46" s="1683">
        <v>0</v>
      </c>
      <c r="AB46" s="1683">
        <v>0</v>
      </c>
      <c r="AC46" s="1683">
        <v>0</v>
      </c>
      <c r="AD46" s="1682"/>
      <c r="AE46" s="1326"/>
      <c r="AF46" s="1326"/>
      <c r="AG46" s="1410"/>
      <c r="AH46" s="1683">
        <v>1552910.06</v>
      </c>
      <c r="AI46" s="1683">
        <v>1319973.55</v>
      </c>
      <c r="AJ46" s="1683">
        <v>1319973.55</v>
      </c>
      <c r="AK46" s="1683">
        <v>1319973.55</v>
      </c>
      <c r="AL46" s="1683">
        <v>0</v>
      </c>
      <c r="AM46" s="1682"/>
      <c r="AN46" s="1683">
        <v>1552910.06</v>
      </c>
      <c r="AO46" s="1683">
        <v>1319973.55</v>
      </c>
      <c r="AP46" s="1683">
        <v>1319973.55</v>
      </c>
      <c r="AQ46" s="1683">
        <v>1319973.55</v>
      </c>
      <c r="AR46" s="1683">
        <v>0</v>
      </c>
      <c r="AS46" s="1683">
        <v>232936.51</v>
      </c>
      <c r="AT46" s="1683">
        <v>0</v>
      </c>
      <c r="AU46" s="1683">
        <v>0</v>
      </c>
      <c r="AV46" s="1683">
        <v>0</v>
      </c>
      <c r="AW46" s="1683">
        <v>232936.51</v>
      </c>
      <c r="AX46" s="1683">
        <v>0</v>
      </c>
      <c r="AY46" s="1683">
        <v>0</v>
      </c>
      <c r="AZ46" s="1683">
        <v>0</v>
      </c>
      <c r="BA46" s="1682"/>
      <c r="BB46" s="1682"/>
      <c r="BC46" s="1683">
        <v>0</v>
      </c>
      <c r="BD46" s="1683">
        <v>0</v>
      </c>
      <c r="BE46" s="1683">
        <v>1552910.06</v>
      </c>
      <c r="BF46" s="1683">
        <v>1319973.55</v>
      </c>
      <c r="BG46" s="1683">
        <v>1319973.55</v>
      </c>
      <c r="BH46" s="1683">
        <v>1319973.55</v>
      </c>
      <c r="BI46" s="1683">
        <v>0</v>
      </c>
      <c r="BJ46" s="1683">
        <v>232936.51</v>
      </c>
      <c r="BK46" s="1683">
        <v>0</v>
      </c>
      <c r="BL46" s="1683">
        <v>0</v>
      </c>
      <c r="BM46" s="1683">
        <v>0</v>
      </c>
      <c r="BN46" s="1683">
        <v>232936.51</v>
      </c>
      <c r="BO46" s="1682"/>
      <c r="BP46" s="1683">
        <v>1318846.78</v>
      </c>
      <c r="BQ46" s="1683">
        <v>1121019.77</v>
      </c>
      <c r="BR46" s="1683">
        <v>1121019.77</v>
      </c>
      <c r="BS46" s="1683">
        <v>1121019.77</v>
      </c>
      <c r="BT46" s="1683">
        <v>0</v>
      </c>
      <c r="BU46" s="1683">
        <v>197827.01</v>
      </c>
      <c r="BV46" s="1683">
        <v>0</v>
      </c>
      <c r="BW46" s="1683">
        <v>0</v>
      </c>
      <c r="BX46" s="1683">
        <v>0</v>
      </c>
      <c r="BY46" s="1683">
        <v>197827.01</v>
      </c>
      <c r="BZ46" s="1683">
        <v>0</v>
      </c>
      <c r="CA46" s="1683">
        <v>0</v>
      </c>
      <c r="CB46" s="1682"/>
      <c r="CC46" s="1682"/>
      <c r="CD46" s="1683">
        <v>0</v>
      </c>
      <c r="CE46" s="1683">
        <v>0</v>
      </c>
      <c r="CF46" s="1683">
        <v>0</v>
      </c>
      <c r="CG46" s="1683">
        <v>0</v>
      </c>
      <c r="CH46" s="1683">
        <v>0</v>
      </c>
      <c r="CI46" s="1683">
        <v>0</v>
      </c>
      <c r="CJ46" s="1683">
        <v>0</v>
      </c>
      <c r="CK46" s="1683">
        <v>0</v>
      </c>
      <c r="CL46" s="1682"/>
      <c r="CM46" s="1683">
        <v>918348.59</v>
      </c>
      <c r="CN46" s="1683">
        <v>780596.3</v>
      </c>
      <c r="CO46" s="1683">
        <v>780596.3</v>
      </c>
      <c r="CP46" s="1683">
        <v>780596.3</v>
      </c>
      <c r="CQ46" s="1683">
        <v>0</v>
      </c>
      <c r="CR46" s="1683">
        <v>137752.29</v>
      </c>
      <c r="CS46" s="1683">
        <v>0</v>
      </c>
      <c r="CT46" s="1683">
        <v>0</v>
      </c>
      <c r="CU46" s="1683">
        <v>0</v>
      </c>
      <c r="CV46" s="1683">
        <v>137752.29</v>
      </c>
      <c r="CW46" s="1682"/>
      <c r="CX46" s="1683">
        <v>0</v>
      </c>
      <c r="CY46" s="1683">
        <v>0</v>
      </c>
      <c r="CZ46" s="1683">
        <v>918348.59</v>
      </c>
      <c r="DA46" s="1683">
        <v>780596.3</v>
      </c>
      <c r="DB46" s="1682"/>
      <c r="DC46" s="1326"/>
      <c r="DD46" s="1683">
        <v>0</v>
      </c>
      <c r="DE46" s="1683">
        <v>0</v>
      </c>
      <c r="DF46" s="1683">
        <v>0</v>
      </c>
      <c r="DG46" s="1683">
        <v>0</v>
      </c>
      <c r="DH46" s="1683">
        <v>0</v>
      </c>
    </row>
    <row r="47" spans="1:112" ht="33.75">
      <c r="A47" s="1326" t="s">
        <v>1734</v>
      </c>
      <c r="B47" s="1326" t="s">
        <v>1694</v>
      </c>
      <c r="C47" s="1326" t="s">
        <v>2542</v>
      </c>
      <c r="D47" s="1326" t="s">
        <v>2543</v>
      </c>
      <c r="E47" s="1326" t="s">
        <v>179</v>
      </c>
      <c r="F47" s="1326" t="s">
        <v>2544</v>
      </c>
      <c r="G47" s="1326" t="s">
        <v>2545</v>
      </c>
      <c r="H47" s="1326" t="s">
        <v>2546</v>
      </c>
      <c r="I47" s="1326" t="s">
        <v>704</v>
      </c>
      <c r="J47" s="1326" t="s">
        <v>304</v>
      </c>
      <c r="K47" s="1326" t="s">
        <v>2078</v>
      </c>
      <c r="L47" s="1326" t="s">
        <v>2061</v>
      </c>
      <c r="M47" s="1683">
        <v>3990955.51</v>
      </c>
      <c r="N47" s="1683">
        <v>0</v>
      </c>
      <c r="O47" s="1683">
        <v>3990955.51</v>
      </c>
      <c r="P47" s="1683">
        <v>3392312.19</v>
      </c>
      <c r="Q47" s="1683">
        <v>3392312.19</v>
      </c>
      <c r="R47" s="1683">
        <v>3392312.19</v>
      </c>
      <c r="S47" s="1683">
        <v>0</v>
      </c>
      <c r="T47" s="1683">
        <v>598643.31999999995</v>
      </c>
      <c r="U47" s="1683">
        <v>0</v>
      </c>
      <c r="V47" s="1683">
        <v>0</v>
      </c>
      <c r="W47" s="1683">
        <v>0</v>
      </c>
      <c r="X47" s="1683">
        <v>598643.31999999995</v>
      </c>
      <c r="Y47" s="1682"/>
      <c r="Z47" s="1326"/>
      <c r="AA47" s="1683">
        <v>0</v>
      </c>
      <c r="AB47" s="1683">
        <v>0</v>
      </c>
      <c r="AC47" s="1683">
        <v>0</v>
      </c>
      <c r="AD47" s="1682"/>
      <c r="AE47" s="1326"/>
      <c r="AF47" s="1326"/>
      <c r="AG47" s="1410"/>
      <c r="AH47" s="1683">
        <v>1552910.06</v>
      </c>
      <c r="AI47" s="1683">
        <v>1319973.55</v>
      </c>
      <c r="AJ47" s="1683">
        <v>1319973.55</v>
      </c>
      <c r="AK47" s="1683">
        <v>1319973.55</v>
      </c>
      <c r="AL47" s="1683">
        <v>0</v>
      </c>
      <c r="AM47" s="1682"/>
      <c r="AN47" s="1683">
        <v>1552910.06</v>
      </c>
      <c r="AO47" s="1683">
        <v>1319973.55</v>
      </c>
      <c r="AP47" s="1683">
        <v>1319973.55</v>
      </c>
      <c r="AQ47" s="1683">
        <v>1319973.55</v>
      </c>
      <c r="AR47" s="1683">
        <v>0</v>
      </c>
      <c r="AS47" s="1683">
        <v>232936.51</v>
      </c>
      <c r="AT47" s="1683">
        <v>0</v>
      </c>
      <c r="AU47" s="1683">
        <v>0</v>
      </c>
      <c r="AV47" s="1683">
        <v>0</v>
      </c>
      <c r="AW47" s="1683">
        <v>232936.51</v>
      </c>
      <c r="AX47" s="1683">
        <v>0</v>
      </c>
      <c r="AY47" s="1683">
        <v>0</v>
      </c>
      <c r="AZ47" s="1683">
        <v>0</v>
      </c>
      <c r="BA47" s="1682"/>
      <c r="BB47" s="1682"/>
      <c r="BC47" s="1683">
        <v>0</v>
      </c>
      <c r="BD47" s="1683">
        <v>0</v>
      </c>
      <c r="BE47" s="1683">
        <v>1552910.06</v>
      </c>
      <c r="BF47" s="1683">
        <v>1319973.55</v>
      </c>
      <c r="BG47" s="1683">
        <v>1319973.55</v>
      </c>
      <c r="BH47" s="1683">
        <v>1319973.55</v>
      </c>
      <c r="BI47" s="1683">
        <v>0</v>
      </c>
      <c r="BJ47" s="1683">
        <v>232936.51</v>
      </c>
      <c r="BK47" s="1683">
        <v>0</v>
      </c>
      <c r="BL47" s="1683">
        <v>0</v>
      </c>
      <c r="BM47" s="1683">
        <v>0</v>
      </c>
      <c r="BN47" s="1683">
        <v>232936.51</v>
      </c>
      <c r="BO47" s="1682"/>
      <c r="BP47" s="1683">
        <v>1318846.78</v>
      </c>
      <c r="BQ47" s="1683">
        <v>1121019.77</v>
      </c>
      <c r="BR47" s="1683">
        <v>1121019.77</v>
      </c>
      <c r="BS47" s="1683">
        <v>1121019.77</v>
      </c>
      <c r="BT47" s="1683">
        <v>0</v>
      </c>
      <c r="BU47" s="1683">
        <v>197827.01</v>
      </c>
      <c r="BV47" s="1683">
        <v>0</v>
      </c>
      <c r="BW47" s="1683">
        <v>0</v>
      </c>
      <c r="BX47" s="1683">
        <v>0</v>
      </c>
      <c r="BY47" s="1683">
        <v>197827.01</v>
      </c>
      <c r="BZ47" s="1683">
        <v>0</v>
      </c>
      <c r="CA47" s="1683">
        <v>0</v>
      </c>
      <c r="CB47" s="1682"/>
      <c r="CC47" s="1682"/>
      <c r="CD47" s="1683">
        <v>0</v>
      </c>
      <c r="CE47" s="1683">
        <v>0</v>
      </c>
      <c r="CF47" s="1683">
        <v>0</v>
      </c>
      <c r="CG47" s="1683">
        <v>0</v>
      </c>
      <c r="CH47" s="1683">
        <v>0</v>
      </c>
      <c r="CI47" s="1683">
        <v>0</v>
      </c>
      <c r="CJ47" s="1683">
        <v>0</v>
      </c>
      <c r="CK47" s="1683">
        <v>0</v>
      </c>
      <c r="CL47" s="1682"/>
      <c r="CM47" s="1683">
        <v>918348.59</v>
      </c>
      <c r="CN47" s="1683">
        <v>780596.3</v>
      </c>
      <c r="CO47" s="1683">
        <v>780596.3</v>
      </c>
      <c r="CP47" s="1683">
        <v>780596.3</v>
      </c>
      <c r="CQ47" s="1683">
        <v>0</v>
      </c>
      <c r="CR47" s="1683">
        <v>137752.29</v>
      </c>
      <c r="CS47" s="1683">
        <v>0</v>
      </c>
      <c r="CT47" s="1683">
        <v>0</v>
      </c>
      <c r="CU47" s="1683">
        <v>0</v>
      </c>
      <c r="CV47" s="1683">
        <v>137752.29</v>
      </c>
      <c r="CW47" s="1682"/>
      <c r="CX47" s="1683">
        <v>0</v>
      </c>
      <c r="CY47" s="1683">
        <v>0</v>
      </c>
      <c r="CZ47" s="1683">
        <v>918348.59</v>
      </c>
      <c r="DA47" s="1683">
        <v>780596.3</v>
      </c>
      <c r="DB47" s="1682"/>
      <c r="DC47" s="1326"/>
      <c r="DD47" s="1683">
        <v>0</v>
      </c>
      <c r="DE47" s="1683">
        <v>0</v>
      </c>
      <c r="DF47" s="1683">
        <v>0</v>
      </c>
      <c r="DG47" s="1683">
        <v>0</v>
      </c>
      <c r="DH47" s="1683">
        <v>0</v>
      </c>
    </row>
    <row r="48" spans="1:112" ht="33.75">
      <c r="A48" s="1326" t="s">
        <v>1735</v>
      </c>
      <c r="B48" s="1326" t="s">
        <v>1694</v>
      </c>
      <c r="C48" s="1326" t="s">
        <v>2542</v>
      </c>
      <c r="D48" s="1326" t="s">
        <v>2543</v>
      </c>
      <c r="E48" s="1326" t="s">
        <v>179</v>
      </c>
      <c r="F48" s="1326" t="s">
        <v>2544</v>
      </c>
      <c r="G48" s="1326" t="s">
        <v>2545</v>
      </c>
      <c r="H48" s="1326" t="s">
        <v>2546</v>
      </c>
      <c r="I48" s="1326" t="s">
        <v>704</v>
      </c>
      <c r="J48" s="1326" t="s">
        <v>304</v>
      </c>
      <c r="K48" s="1326" t="s">
        <v>2078</v>
      </c>
      <c r="L48" s="1326" t="s">
        <v>2061</v>
      </c>
      <c r="M48" s="1400"/>
      <c r="N48" s="1400"/>
      <c r="O48" s="1400"/>
      <c r="P48" s="1400"/>
      <c r="Q48" s="1400"/>
      <c r="R48" s="1400"/>
      <c r="S48" s="1400"/>
      <c r="T48" s="1400"/>
      <c r="U48" s="1400"/>
      <c r="V48" s="1400"/>
      <c r="W48" s="1400"/>
      <c r="X48" s="1400"/>
      <c r="Y48" s="1685">
        <v>42858</v>
      </c>
      <c r="Z48" s="1326" t="s">
        <v>2062</v>
      </c>
      <c r="AA48" s="1683">
        <v>0</v>
      </c>
      <c r="AB48" s="1683">
        <v>0</v>
      </c>
      <c r="AC48" s="1683">
        <v>0</v>
      </c>
      <c r="AD48" s="1685">
        <v>42906</v>
      </c>
      <c r="AE48" s="1326" t="s">
        <v>2073</v>
      </c>
      <c r="AF48" s="1326" t="s">
        <v>2067</v>
      </c>
      <c r="AG48" s="1410"/>
      <c r="AH48" s="1683">
        <v>79061.600000000006</v>
      </c>
      <c r="AI48" s="1683">
        <v>67202.36</v>
      </c>
      <c r="AJ48" s="1683">
        <v>67202.36</v>
      </c>
      <c r="AK48" s="1683">
        <v>67202.36</v>
      </c>
      <c r="AL48" s="1683">
        <v>0</v>
      </c>
      <c r="AM48" s="1685">
        <v>42907</v>
      </c>
      <c r="AN48" s="1683">
        <v>79061.600000000006</v>
      </c>
      <c r="AO48" s="1683">
        <v>67202.36</v>
      </c>
      <c r="AP48" s="1683">
        <v>67202.36</v>
      </c>
      <c r="AQ48" s="1683">
        <v>67202.36</v>
      </c>
      <c r="AR48" s="1683">
        <v>0</v>
      </c>
      <c r="AS48" s="1683">
        <v>11859.24</v>
      </c>
      <c r="AT48" s="1683">
        <v>0</v>
      </c>
      <c r="AU48" s="1683">
        <v>0</v>
      </c>
      <c r="AV48" s="1683">
        <v>0</v>
      </c>
      <c r="AW48" s="1683">
        <v>11859.24</v>
      </c>
      <c r="AX48" s="1400"/>
      <c r="AY48" s="1400"/>
      <c r="AZ48" s="1400"/>
      <c r="BA48" s="1682"/>
      <c r="BB48" s="1682"/>
      <c r="BC48" s="1400"/>
      <c r="BD48" s="1400"/>
      <c r="BE48" s="1683">
        <v>79061.600000000006</v>
      </c>
      <c r="BF48" s="1683">
        <v>67202.36</v>
      </c>
      <c r="BG48" s="1683">
        <v>67202.36</v>
      </c>
      <c r="BH48" s="1683">
        <v>67202.36</v>
      </c>
      <c r="BI48" s="1683">
        <v>0</v>
      </c>
      <c r="BJ48" s="1683">
        <v>11859.24</v>
      </c>
      <c r="BK48" s="1683">
        <v>0</v>
      </c>
      <c r="BL48" s="1683">
        <v>0</v>
      </c>
      <c r="BM48" s="1683">
        <v>0</v>
      </c>
      <c r="BN48" s="1683">
        <v>11859.24</v>
      </c>
      <c r="BO48" s="1685">
        <v>42991</v>
      </c>
      <c r="BP48" s="1683">
        <v>79061.600000000006</v>
      </c>
      <c r="BQ48" s="1683">
        <v>67202.36</v>
      </c>
      <c r="BR48" s="1683">
        <v>67202.36</v>
      </c>
      <c r="BS48" s="1683">
        <v>67202.36</v>
      </c>
      <c r="BT48" s="1683">
        <v>0</v>
      </c>
      <c r="BU48" s="1683">
        <v>11859.24</v>
      </c>
      <c r="BV48" s="1683">
        <v>0</v>
      </c>
      <c r="BW48" s="1683">
        <v>0</v>
      </c>
      <c r="BX48" s="1683">
        <v>0</v>
      </c>
      <c r="BY48" s="1683">
        <v>11859.24</v>
      </c>
      <c r="BZ48" s="1683">
        <v>0</v>
      </c>
      <c r="CA48" s="1400"/>
      <c r="CB48" s="1682"/>
      <c r="CC48" s="1682"/>
      <c r="CD48" s="1400"/>
      <c r="CE48" s="1400"/>
      <c r="CF48" s="1683">
        <v>0</v>
      </c>
      <c r="CG48" s="1683">
        <v>0</v>
      </c>
      <c r="CH48" s="1683">
        <v>0</v>
      </c>
      <c r="CI48" s="1683">
        <v>0</v>
      </c>
      <c r="CJ48" s="1683">
        <v>0</v>
      </c>
      <c r="CK48" s="1683">
        <v>0</v>
      </c>
      <c r="CL48" s="1685">
        <v>43511</v>
      </c>
      <c r="CM48" s="1683">
        <v>79061.600000000006</v>
      </c>
      <c r="CN48" s="1683">
        <v>67202.36</v>
      </c>
      <c r="CO48" s="1683">
        <v>67202.36</v>
      </c>
      <c r="CP48" s="1683">
        <v>67202.36</v>
      </c>
      <c r="CQ48" s="1683">
        <v>0</v>
      </c>
      <c r="CR48" s="1683">
        <v>11859.24</v>
      </c>
      <c r="CS48" s="1683">
        <v>0</v>
      </c>
      <c r="CT48" s="1683">
        <v>0</v>
      </c>
      <c r="CU48" s="1683">
        <v>0</v>
      </c>
      <c r="CV48" s="1683">
        <v>11859.24</v>
      </c>
      <c r="CW48" s="1682"/>
      <c r="CX48" s="1400"/>
      <c r="CY48" s="1400"/>
      <c r="CZ48" s="1400"/>
      <c r="DA48" s="1400"/>
      <c r="DB48" s="1682"/>
      <c r="DC48" s="1326"/>
      <c r="DD48" s="1683">
        <v>0</v>
      </c>
      <c r="DE48" s="1400"/>
      <c r="DF48" s="1400"/>
      <c r="DG48" s="1683">
        <v>0</v>
      </c>
      <c r="DH48" s="1683">
        <v>0</v>
      </c>
    </row>
    <row r="49" spans="1:112" ht="33.75">
      <c r="A49" s="1326" t="s">
        <v>1736</v>
      </c>
      <c r="B49" s="1326" t="s">
        <v>1694</v>
      </c>
      <c r="C49" s="1326" t="s">
        <v>2542</v>
      </c>
      <c r="D49" s="1326" t="s">
        <v>2543</v>
      </c>
      <c r="E49" s="1326" t="s">
        <v>179</v>
      </c>
      <c r="F49" s="1326" t="s">
        <v>2544</v>
      </c>
      <c r="G49" s="1326" t="s">
        <v>2545</v>
      </c>
      <c r="H49" s="1326" t="s">
        <v>2546</v>
      </c>
      <c r="I49" s="1326" t="s">
        <v>704</v>
      </c>
      <c r="J49" s="1326" t="s">
        <v>304</v>
      </c>
      <c r="K49" s="1326" t="s">
        <v>2078</v>
      </c>
      <c r="L49" s="1326" t="s">
        <v>2061</v>
      </c>
      <c r="M49" s="1400"/>
      <c r="N49" s="1400"/>
      <c r="O49" s="1400"/>
      <c r="P49" s="1400"/>
      <c r="Q49" s="1400"/>
      <c r="R49" s="1400"/>
      <c r="S49" s="1400"/>
      <c r="T49" s="1400"/>
      <c r="U49" s="1400"/>
      <c r="V49" s="1400"/>
      <c r="W49" s="1400"/>
      <c r="X49" s="1400"/>
      <c r="Y49" s="1685">
        <v>42929</v>
      </c>
      <c r="Z49" s="1326" t="s">
        <v>2062</v>
      </c>
      <c r="AA49" s="1683">
        <v>0</v>
      </c>
      <c r="AB49" s="1683">
        <v>0</v>
      </c>
      <c r="AC49" s="1683">
        <v>0</v>
      </c>
      <c r="AD49" s="1685">
        <v>42949</v>
      </c>
      <c r="AE49" s="1326" t="s">
        <v>2063</v>
      </c>
      <c r="AF49" s="1326" t="s">
        <v>2067</v>
      </c>
      <c r="AG49" s="1410"/>
      <c r="AH49" s="1683">
        <v>137792.87</v>
      </c>
      <c r="AI49" s="1683">
        <v>117123.94</v>
      </c>
      <c r="AJ49" s="1683">
        <v>117123.94</v>
      </c>
      <c r="AK49" s="1683">
        <v>117123.94</v>
      </c>
      <c r="AL49" s="1683">
        <v>0</v>
      </c>
      <c r="AM49" s="1685">
        <v>42951</v>
      </c>
      <c r="AN49" s="1683">
        <v>137792.87</v>
      </c>
      <c r="AO49" s="1683">
        <v>117123.94</v>
      </c>
      <c r="AP49" s="1683">
        <v>117123.94</v>
      </c>
      <c r="AQ49" s="1683">
        <v>117123.94</v>
      </c>
      <c r="AR49" s="1683">
        <v>0</v>
      </c>
      <c r="AS49" s="1683">
        <v>20668.93</v>
      </c>
      <c r="AT49" s="1683">
        <v>0</v>
      </c>
      <c r="AU49" s="1683">
        <v>0</v>
      </c>
      <c r="AV49" s="1683">
        <v>0</v>
      </c>
      <c r="AW49" s="1683">
        <v>20668.93</v>
      </c>
      <c r="AX49" s="1400"/>
      <c r="AY49" s="1400"/>
      <c r="AZ49" s="1400"/>
      <c r="BA49" s="1682"/>
      <c r="BB49" s="1682"/>
      <c r="BC49" s="1400"/>
      <c r="BD49" s="1400"/>
      <c r="BE49" s="1683">
        <v>137792.87</v>
      </c>
      <c r="BF49" s="1683">
        <v>117123.94</v>
      </c>
      <c r="BG49" s="1683">
        <v>117123.94</v>
      </c>
      <c r="BH49" s="1683">
        <v>117123.94</v>
      </c>
      <c r="BI49" s="1683">
        <v>0</v>
      </c>
      <c r="BJ49" s="1683">
        <v>20668.93</v>
      </c>
      <c r="BK49" s="1683">
        <v>0</v>
      </c>
      <c r="BL49" s="1683">
        <v>0</v>
      </c>
      <c r="BM49" s="1683">
        <v>0</v>
      </c>
      <c r="BN49" s="1683">
        <v>20668.93</v>
      </c>
      <c r="BO49" s="1685">
        <v>43035</v>
      </c>
      <c r="BP49" s="1683">
        <v>137792.87</v>
      </c>
      <c r="BQ49" s="1683">
        <v>117123.94</v>
      </c>
      <c r="BR49" s="1683">
        <v>117123.94</v>
      </c>
      <c r="BS49" s="1683">
        <v>117123.94</v>
      </c>
      <c r="BT49" s="1683">
        <v>0</v>
      </c>
      <c r="BU49" s="1683">
        <v>20668.93</v>
      </c>
      <c r="BV49" s="1683">
        <v>0</v>
      </c>
      <c r="BW49" s="1683">
        <v>0</v>
      </c>
      <c r="BX49" s="1683">
        <v>0</v>
      </c>
      <c r="BY49" s="1683">
        <v>20668.93</v>
      </c>
      <c r="BZ49" s="1683">
        <v>0</v>
      </c>
      <c r="CA49" s="1400"/>
      <c r="CB49" s="1682"/>
      <c r="CC49" s="1682"/>
      <c r="CD49" s="1400"/>
      <c r="CE49" s="1400"/>
      <c r="CF49" s="1683">
        <v>0</v>
      </c>
      <c r="CG49" s="1683">
        <v>0</v>
      </c>
      <c r="CH49" s="1683">
        <v>0</v>
      </c>
      <c r="CI49" s="1683">
        <v>0</v>
      </c>
      <c r="CJ49" s="1683">
        <v>0</v>
      </c>
      <c r="CK49" s="1683">
        <v>0</v>
      </c>
      <c r="CL49" s="1685">
        <v>43511</v>
      </c>
      <c r="CM49" s="1683">
        <v>137792.87</v>
      </c>
      <c r="CN49" s="1683">
        <v>117123.94</v>
      </c>
      <c r="CO49" s="1683">
        <v>117123.94</v>
      </c>
      <c r="CP49" s="1683">
        <v>117123.94</v>
      </c>
      <c r="CQ49" s="1683">
        <v>0</v>
      </c>
      <c r="CR49" s="1683">
        <v>20668.93</v>
      </c>
      <c r="CS49" s="1683">
        <v>0</v>
      </c>
      <c r="CT49" s="1683">
        <v>0</v>
      </c>
      <c r="CU49" s="1683">
        <v>0</v>
      </c>
      <c r="CV49" s="1683">
        <v>20668.93</v>
      </c>
      <c r="CW49" s="1682"/>
      <c r="CX49" s="1400"/>
      <c r="CY49" s="1400"/>
      <c r="CZ49" s="1400"/>
      <c r="DA49" s="1400"/>
      <c r="DB49" s="1682"/>
      <c r="DC49" s="1326"/>
      <c r="DD49" s="1683">
        <v>0</v>
      </c>
      <c r="DE49" s="1400"/>
      <c r="DF49" s="1400"/>
      <c r="DG49" s="1683">
        <v>0</v>
      </c>
      <c r="DH49" s="1683">
        <v>0</v>
      </c>
    </row>
    <row r="50" spans="1:112" ht="33.75">
      <c r="A50" s="1326" t="s">
        <v>1737</v>
      </c>
      <c r="B50" s="1326" t="s">
        <v>1694</v>
      </c>
      <c r="C50" s="1326" t="s">
        <v>2542</v>
      </c>
      <c r="D50" s="1326" t="s">
        <v>2543</v>
      </c>
      <c r="E50" s="1326" t="s">
        <v>179</v>
      </c>
      <c r="F50" s="1326" t="s">
        <v>2544</v>
      </c>
      <c r="G50" s="1326" t="s">
        <v>2545</v>
      </c>
      <c r="H50" s="1326" t="s">
        <v>2546</v>
      </c>
      <c r="I50" s="1326" t="s">
        <v>704</v>
      </c>
      <c r="J50" s="1326" t="s">
        <v>304</v>
      </c>
      <c r="K50" s="1326" t="s">
        <v>2078</v>
      </c>
      <c r="L50" s="1326" t="s">
        <v>2061</v>
      </c>
      <c r="M50" s="1400"/>
      <c r="N50" s="1400"/>
      <c r="O50" s="1400"/>
      <c r="P50" s="1400"/>
      <c r="Q50" s="1400"/>
      <c r="R50" s="1400"/>
      <c r="S50" s="1400"/>
      <c r="T50" s="1400"/>
      <c r="U50" s="1400"/>
      <c r="V50" s="1400"/>
      <c r="W50" s="1400"/>
      <c r="X50" s="1400"/>
      <c r="Y50" s="1685">
        <v>42992</v>
      </c>
      <c r="Z50" s="1326" t="s">
        <v>2062</v>
      </c>
      <c r="AA50" s="1683">
        <v>0</v>
      </c>
      <c r="AB50" s="1683">
        <v>0</v>
      </c>
      <c r="AC50" s="1683">
        <v>0</v>
      </c>
      <c r="AD50" s="1685">
        <v>43013</v>
      </c>
      <c r="AE50" s="1326" t="s">
        <v>2066</v>
      </c>
      <c r="AF50" s="1326" t="s">
        <v>2067</v>
      </c>
      <c r="AG50" s="1410"/>
      <c r="AH50" s="1683">
        <v>465769.76</v>
      </c>
      <c r="AI50" s="1683">
        <v>395904.3</v>
      </c>
      <c r="AJ50" s="1683">
        <v>395904.3</v>
      </c>
      <c r="AK50" s="1683">
        <v>395904.3</v>
      </c>
      <c r="AL50" s="1683">
        <v>0</v>
      </c>
      <c r="AM50" s="1685">
        <v>43014</v>
      </c>
      <c r="AN50" s="1683">
        <v>465769.76</v>
      </c>
      <c r="AO50" s="1683">
        <v>395904.3</v>
      </c>
      <c r="AP50" s="1683">
        <v>395904.3</v>
      </c>
      <c r="AQ50" s="1683">
        <v>395904.3</v>
      </c>
      <c r="AR50" s="1683">
        <v>0</v>
      </c>
      <c r="AS50" s="1683">
        <v>69865.460000000006</v>
      </c>
      <c r="AT50" s="1683">
        <v>0</v>
      </c>
      <c r="AU50" s="1683">
        <v>0</v>
      </c>
      <c r="AV50" s="1683">
        <v>0</v>
      </c>
      <c r="AW50" s="1683">
        <v>69865.460000000006</v>
      </c>
      <c r="AX50" s="1400"/>
      <c r="AY50" s="1400"/>
      <c r="AZ50" s="1400"/>
      <c r="BA50" s="1682"/>
      <c r="BB50" s="1682"/>
      <c r="BC50" s="1400"/>
      <c r="BD50" s="1400"/>
      <c r="BE50" s="1683">
        <v>465769.76</v>
      </c>
      <c r="BF50" s="1683">
        <v>395904.3</v>
      </c>
      <c r="BG50" s="1683">
        <v>395904.3</v>
      </c>
      <c r="BH50" s="1683">
        <v>395904.3</v>
      </c>
      <c r="BI50" s="1683">
        <v>0</v>
      </c>
      <c r="BJ50" s="1683">
        <v>69865.460000000006</v>
      </c>
      <c r="BK50" s="1683">
        <v>0</v>
      </c>
      <c r="BL50" s="1683">
        <v>0</v>
      </c>
      <c r="BM50" s="1683">
        <v>0</v>
      </c>
      <c r="BN50" s="1683">
        <v>69865.460000000006</v>
      </c>
      <c r="BO50" s="1685">
        <v>43125</v>
      </c>
      <c r="BP50" s="1683">
        <v>465769.76</v>
      </c>
      <c r="BQ50" s="1683">
        <v>395904.3</v>
      </c>
      <c r="BR50" s="1683">
        <v>395904.3</v>
      </c>
      <c r="BS50" s="1683">
        <v>395904.3</v>
      </c>
      <c r="BT50" s="1683">
        <v>0</v>
      </c>
      <c r="BU50" s="1683">
        <v>69865.460000000006</v>
      </c>
      <c r="BV50" s="1683">
        <v>0</v>
      </c>
      <c r="BW50" s="1683">
        <v>0</v>
      </c>
      <c r="BX50" s="1683">
        <v>0</v>
      </c>
      <c r="BY50" s="1683">
        <v>69865.460000000006</v>
      </c>
      <c r="BZ50" s="1683">
        <v>0</v>
      </c>
      <c r="CA50" s="1400"/>
      <c r="CB50" s="1682"/>
      <c r="CC50" s="1682"/>
      <c r="CD50" s="1400"/>
      <c r="CE50" s="1400"/>
      <c r="CF50" s="1683">
        <v>0</v>
      </c>
      <c r="CG50" s="1683">
        <v>0</v>
      </c>
      <c r="CH50" s="1683">
        <v>0</v>
      </c>
      <c r="CI50" s="1683">
        <v>0</v>
      </c>
      <c r="CJ50" s="1683">
        <v>0</v>
      </c>
      <c r="CK50" s="1683">
        <v>0</v>
      </c>
      <c r="CL50" s="1685">
        <v>43511</v>
      </c>
      <c r="CM50" s="1683">
        <v>465769.76</v>
      </c>
      <c r="CN50" s="1683">
        <v>395904.3</v>
      </c>
      <c r="CO50" s="1683">
        <v>395904.3</v>
      </c>
      <c r="CP50" s="1683">
        <v>395904.3</v>
      </c>
      <c r="CQ50" s="1683">
        <v>0</v>
      </c>
      <c r="CR50" s="1683">
        <v>69865.460000000006</v>
      </c>
      <c r="CS50" s="1683">
        <v>0</v>
      </c>
      <c r="CT50" s="1683">
        <v>0</v>
      </c>
      <c r="CU50" s="1683">
        <v>0</v>
      </c>
      <c r="CV50" s="1683">
        <v>69865.460000000006</v>
      </c>
      <c r="CW50" s="1682"/>
      <c r="CX50" s="1400"/>
      <c r="CY50" s="1400"/>
      <c r="CZ50" s="1400"/>
      <c r="DA50" s="1400"/>
      <c r="DB50" s="1682"/>
      <c r="DC50" s="1326"/>
      <c r="DD50" s="1683">
        <v>0</v>
      </c>
      <c r="DE50" s="1400"/>
      <c r="DF50" s="1400"/>
      <c r="DG50" s="1683">
        <v>0</v>
      </c>
      <c r="DH50" s="1683">
        <v>0</v>
      </c>
    </row>
    <row r="51" spans="1:112" ht="33.75">
      <c r="A51" s="1326" t="s">
        <v>1738</v>
      </c>
      <c r="B51" s="1326" t="s">
        <v>1694</v>
      </c>
      <c r="C51" s="1326" t="s">
        <v>2542</v>
      </c>
      <c r="D51" s="1326" t="s">
        <v>2543</v>
      </c>
      <c r="E51" s="1326" t="s">
        <v>179</v>
      </c>
      <c r="F51" s="1326" t="s">
        <v>2544</v>
      </c>
      <c r="G51" s="1326" t="s">
        <v>2545</v>
      </c>
      <c r="H51" s="1326" t="s">
        <v>2546</v>
      </c>
      <c r="I51" s="1326" t="s">
        <v>704</v>
      </c>
      <c r="J51" s="1326" t="s">
        <v>304</v>
      </c>
      <c r="K51" s="1326" t="s">
        <v>2078</v>
      </c>
      <c r="L51" s="1326" t="s">
        <v>2061</v>
      </c>
      <c r="M51" s="1400"/>
      <c r="N51" s="1400"/>
      <c r="O51" s="1400"/>
      <c r="P51" s="1400"/>
      <c r="Q51" s="1400"/>
      <c r="R51" s="1400"/>
      <c r="S51" s="1400"/>
      <c r="T51" s="1400"/>
      <c r="U51" s="1400"/>
      <c r="V51" s="1400"/>
      <c r="W51" s="1400"/>
      <c r="X51" s="1400"/>
      <c r="Y51" s="1685">
        <v>43055</v>
      </c>
      <c r="Z51" s="1326" t="s">
        <v>2062</v>
      </c>
      <c r="AA51" s="1683">
        <v>0</v>
      </c>
      <c r="AB51" s="1683">
        <v>0</v>
      </c>
      <c r="AC51" s="1683">
        <v>0</v>
      </c>
      <c r="AD51" s="1685">
        <v>43069</v>
      </c>
      <c r="AE51" s="1326" t="s">
        <v>2079</v>
      </c>
      <c r="AF51" s="1326" t="s">
        <v>2064</v>
      </c>
      <c r="AG51" s="1410"/>
      <c r="AH51" s="1683">
        <v>52380</v>
      </c>
      <c r="AI51" s="1683">
        <v>44523</v>
      </c>
      <c r="AJ51" s="1683">
        <v>44523</v>
      </c>
      <c r="AK51" s="1683">
        <v>44523</v>
      </c>
      <c r="AL51" s="1683">
        <v>0</v>
      </c>
      <c r="AM51" s="1685">
        <v>43069</v>
      </c>
      <c r="AN51" s="1683">
        <v>52380</v>
      </c>
      <c r="AO51" s="1683">
        <v>44523</v>
      </c>
      <c r="AP51" s="1683">
        <v>44523</v>
      </c>
      <c r="AQ51" s="1683">
        <v>44523</v>
      </c>
      <c r="AR51" s="1683">
        <v>0</v>
      </c>
      <c r="AS51" s="1683">
        <v>7857</v>
      </c>
      <c r="AT51" s="1683">
        <v>0</v>
      </c>
      <c r="AU51" s="1683">
        <v>0</v>
      </c>
      <c r="AV51" s="1683">
        <v>0</v>
      </c>
      <c r="AW51" s="1683">
        <v>7857</v>
      </c>
      <c r="AX51" s="1400"/>
      <c r="AY51" s="1400"/>
      <c r="AZ51" s="1400"/>
      <c r="BA51" s="1682"/>
      <c r="BB51" s="1682"/>
      <c r="BC51" s="1400"/>
      <c r="BD51" s="1400"/>
      <c r="BE51" s="1683">
        <v>52380</v>
      </c>
      <c r="BF51" s="1683">
        <v>44523</v>
      </c>
      <c r="BG51" s="1683">
        <v>44523</v>
      </c>
      <c r="BH51" s="1683">
        <v>44523</v>
      </c>
      <c r="BI51" s="1683">
        <v>0</v>
      </c>
      <c r="BJ51" s="1683">
        <v>7857</v>
      </c>
      <c r="BK51" s="1683">
        <v>0</v>
      </c>
      <c r="BL51" s="1683">
        <v>0</v>
      </c>
      <c r="BM51" s="1683">
        <v>0</v>
      </c>
      <c r="BN51" s="1683">
        <v>7857</v>
      </c>
      <c r="BO51" s="1685">
        <v>43125</v>
      </c>
      <c r="BP51" s="1683">
        <v>52380</v>
      </c>
      <c r="BQ51" s="1683">
        <v>44523</v>
      </c>
      <c r="BR51" s="1683">
        <v>44523</v>
      </c>
      <c r="BS51" s="1683">
        <v>44523</v>
      </c>
      <c r="BT51" s="1683">
        <v>0</v>
      </c>
      <c r="BU51" s="1683">
        <v>7857</v>
      </c>
      <c r="BV51" s="1683">
        <v>0</v>
      </c>
      <c r="BW51" s="1683">
        <v>0</v>
      </c>
      <c r="BX51" s="1683">
        <v>0</v>
      </c>
      <c r="BY51" s="1683">
        <v>7857</v>
      </c>
      <c r="BZ51" s="1683">
        <v>0</v>
      </c>
      <c r="CA51" s="1400"/>
      <c r="CB51" s="1682"/>
      <c r="CC51" s="1682"/>
      <c r="CD51" s="1400"/>
      <c r="CE51" s="1400"/>
      <c r="CF51" s="1683">
        <v>0</v>
      </c>
      <c r="CG51" s="1683">
        <v>0</v>
      </c>
      <c r="CH51" s="1683">
        <v>0</v>
      </c>
      <c r="CI51" s="1683">
        <v>0</v>
      </c>
      <c r="CJ51" s="1683">
        <v>0</v>
      </c>
      <c r="CK51" s="1683">
        <v>0</v>
      </c>
      <c r="CL51" s="1685">
        <v>43511</v>
      </c>
      <c r="CM51" s="1683">
        <v>52380</v>
      </c>
      <c r="CN51" s="1683">
        <v>44523</v>
      </c>
      <c r="CO51" s="1683">
        <v>44523</v>
      </c>
      <c r="CP51" s="1683">
        <v>44523</v>
      </c>
      <c r="CQ51" s="1683">
        <v>0</v>
      </c>
      <c r="CR51" s="1683">
        <v>7857</v>
      </c>
      <c r="CS51" s="1683">
        <v>0</v>
      </c>
      <c r="CT51" s="1683">
        <v>0</v>
      </c>
      <c r="CU51" s="1683">
        <v>0</v>
      </c>
      <c r="CV51" s="1683">
        <v>7857</v>
      </c>
      <c r="CW51" s="1682"/>
      <c r="CX51" s="1400"/>
      <c r="CY51" s="1400"/>
      <c r="CZ51" s="1400"/>
      <c r="DA51" s="1400"/>
      <c r="DB51" s="1682"/>
      <c r="DC51" s="1326"/>
      <c r="DD51" s="1683">
        <v>0</v>
      </c>
      <c r="DE51" s="1400"/>
      <c r="DF51" s="1400"/>
      <c r="DG51" s="1683">
        <v>0</v>
      </c>
      <c r="DH51" s="1683">
        <v>0</v>
      </c>
    </row>
    <row r="52" spans="1:112" ht="33.75">
      <c r="A52" s="1326" t="s">
        <v>1739</v>
      </c>
      <c r="B52" s="1326" t="s">
        <v>1694</v>
      </c>
      <c r="C52" s="1326" t="s">
        <v>2542</v>
      </c>
      <c r="D52" s="1326" t="s">
        <v>2543</v>
      </c>
      <c r="E52" s="1326" t="s">
        <v>179</v>
      </c>
      <c r="F52" s="1326" t="s">
        <v>2544</v>
      </c>
      <c r="G52" s="1326" t="s">
        <v>2545</v>
      </c>
      <c r="H52" s="1326" t="s">
        <v>2546</v>
      </c>
      <c r="I52" s="1326" t="s">
        <v>704</v>
      </c>
      <c r="J52" s="1326" t="s">
        <v>304</v>
      </c>
      <c r="K52" s="1326" t="s">
        <v>2078</v>
      </c>
      <c r="L52" s="1326" t="s">
        <v>2061</v>
      </c>
      <c r="M52" s="1400"/>
      <c r="N52" s="1400"/>
      <c r="O52" s="1400"/>
      <c r="P52" s="1400"/>
      <c r="Q52" s="1400"/>
      <c r="R52" s="1400"/>
      <c r="S52" s="1400"/>
      <c r="T52" s="1400"/>
      <c r="U52" s="1400"/>
      <c r="V52" s="1400"/>
      <c r="W52" s="1400"/>
      <c r="X52" s="1400"/>
      <c r="Y52" s="1685">
        <v>43080</v>
      </c>
      <c r="Z52" s="1326" t="s">
        <v>2062</v>
      </c>
      <c r="AA52" s="1683">
        <v>0</v>
      </c>
      <c r="AB52" s="1683">
        <v>0</v>
      </c>
      <c r="AC52" s="1683">
        <v>0</v>
      </c>
      <c r="AD52" s="1685">
        <v>43088</v>
      </c>
      <c r="AE52" s="1326" t="s">
        <v>2080</v>
      </c>
      <c r="AF52" s="1326" t="s">
        <v>2064</v>
      </c>
      <c r="AG52" s="1410"/>
      <c r="AH52" s="1683">
        <v>180094.36</v>
      </c>
      <c r="AI52" s="1683">
        <v>153080.21</v>
      </c>
      <c r="AJ52" s="1683">
        <v>153080.20000000001</v>
      </c>
      <c r="AK52" s="1683">
        <v>153080.20000000001</v>
      </c>
      <c r="AL52" s="1683">
        <v>0</v>
      </c>
      <c r="AM52" s="1685">
        <v>43088</v>
      </c>
      <c r="AN52" s="1683">
        <v>180094.36</v>
      </c>
      <c r="AO52" s="1683">
        <v>153080.20000000001</v>
      </c>
      <c r="AP52" s="1683">
        <v>153080.20000000001</v>
      </c>
      <c r="AQ52" s="1683">
        <v>153080.20000000001</v>
      </c>
      <c r="AR52" s="1683">
        <v>0</v>
      </c>
      <c r="AS52" s="1683">
        <v>27014.16</v>
      </c>
      <c r="AT52" s="1683">
        <v>0</v>
      </c>
      <c r="AU52" s="1683">
        <v>0</v>
      </c>
      <c r="AV52" s="1683">
        <v>0</v>
      </c>
      <c r="AW52" s="1683">
        <v>27014.16</v>
      </c>
      <c r="AX52" s="1400"/>
      <c r="AY52" s="1400"/>
      <c r="AZ52" s="1400"/>
      <c r="BA52" s="1682"/>
      <c r="BB52" s="1682"/>
      <c r="BC52" s="1400"/>
      <c r="BD52" s="1400"/>
      <c r="BE52" s="1683">
        <v>180094.36</v>
      </c>
      <c r="BF52" s="1683">
        <v>153080.20000000001</v>
      </c>
      <c r="BG52" s="1683">
        <v>153080.20000000001</v>
      </c>
      <c r="BH52" s="1683">
        <v>153080.20000000001</v>
      </c>
      <c r="BI52" s="1683">
        <v>0</v>
      </c>
      <c r="BJ52" s="1683">
        <v>27014.16</v>
      </c>
      <c r="BK52" s="1683">
        <v>0</v>
      </c>
      <c r="BL52" s="1683">
        <v>0</v>
      </c>
      <c r="BM52" s="1683">
        <v>0</v>
      </c>
      <c r="BN52" s="1683">
        <v>27014.16</v>
      </c>
      <c r="BO52" s="1685">
        <v>43189</v>
      </c>
      <c r="BP52" s="1683">
        <v>180094.36</v>
      </c>
      <c r="BQ52" s="1683">
        <v>153080.20000000001</v>
      </c>
      <c r="BR52" s="1683">
        <v>153080.20000000001</v>
      </c>
      <c r="BS52" s="1683">
        <v>153080.20000000001</v>
      </c>
      <c r="BT52" s="1683">
        <v>0</v>
      </c>
      <c r="BU52" s="1683">
        <v>27014.16</v>
      </c>
      <c r="BV52" s="1683">
        <v>0</v>
      </c>
      <c r="BW52" s="1683">
        <v>0</v>
      </c>
      <c r="BX52" s="1683">
        <v>0</v>
      </c>
      <c r="BY52" s="1683">
        <v>27014.16</v>
      </c>
      <c r="BZ52" s="1683">
        <v>0</v>
      </c>
      <c r="CA52" s="1400"/>
      <c r="CB52" s="1682"/>
      <c r="CC52" s="1682"/>
      <c r="CD52" s="1400"/>
      <c r="CE52" s="1400"/>
      <c r="CF52" s="1683">
        <v>0</v>
      </c>
      <c r="CG52" s="1683">
        <v>0</v>
      </c>
      <c r="CH52" s="1683">
        <v>0</v>
      </c>
      <c r="CI52" s="1683">
        <v>0</v>
      </c>
      <c r="CJ52" s="1683">
        <v>0</v>
      </c>
      <c r="CK52" s="1683">
        <v>0</v>
      </c>
      <c r="CL52" s="1685">
        <v>43511</v>
      </c>
      <c r="CM52" s="1683">
        <v>180094.36</v>
      </c>
      <c r="CN52" s="1683">
        <v>153080.20000000001</v>
      </c>
      <c r="CO52" s="1683">
        <v>153080.20000000001</v>
      </c>
      <c r="CP52" s="1683">
        <v>153080.20000000001</v>
      </c>
      <c r="CQ52" s="1683">
        <v>0</v>
      </c>
      <c r="CR52" s="1683">
        <v>27014.16</v>
      </c>
      <c r="CS52" s="1683">
        <v>0</v>
      </c>
      <c r="CT52" s="1683">
        <v>0</v>
      </c>
      <c r="CU52" s="1683">
        <v>0</v>
      </c>
      <c r="CV52" s="1683">
        <v>27014.16</v>
      </c>
      <c r="CW52" s="1682"/>
      <c r="CX52" s="1400"/>
      <c r="CY52" s="1400"/>
      <c r="CZ52" s="1400"/>
      <c r="DA52" s="1400"/>
      <c r="DB52" s="1682"/>
      <c r="DC52" s="1326"/>
      <c r="DD52" s="1683">
        <v>0</v>
      </c>
      <c r="DE52" s="1400"/>
      <c r="DF52" s="1400"/>
      <c r="DG52" s="1683">
        <v>0</v>
      </c>
      <c r="DH52" s="1683">
        <v>0</v>
      </c>
    </row>
    <row r="53" spans="1:112" ht="33.75">
      <c r="A53" s="1326" t="s">
        <v>1740</v>
      </c>
      <c r="B53" s="1326" t="s">
        <v>1694</v>
      </c>
      <c r="C53" s="1326" t="s">
        <v>2542</v>
      </c>
      <c r="D53" s="1326" t="s">
        <v>2543</v>
      </c>
      <c r="E53" s="1326" t="s">
        <v>179</v>
      </c>
      <c r="F53" s="1326" t="s">
        <v>2544</v>
      </c>
      <c r="G53" s="1326" t="s">
        <v>2545</v>
      </c>
      <c r="H53" s="1326" t="s">
        <v>2546</v>
      </c>
      <c r="I53" s="1326" t="s">
        <v>704</v>
      </c>
      <c r="J53" s="1326" t="s">
        <v>304</v>
      </c>
      <c r="K53" s="1326" t="s">
        <v>2078</v>
      </c>
      <c r="L53" s="1326" t="s">
        <v>2061</v>
      </c>
      <c r="M53" s="1400"/>
      <c r="N53" s="1400"/>
      <c r="O53" s="1400"/>
      <c r="P53" s="1400"/>
      <c r="Q53" s="1400"/>
      <c r="R53" s="1400"/>
      <c r="S53" s="1400"/>
      <c r="T53" s="1400"/>
      <c r="U53" s="1400"/>
      <c r="V53" s="1400"/>
      <c r="W53" s="1400"/>
      <c r="X53" s="1400"/>
      <c r="Y53" s="1685">
        <v>43116</v>
      </c>
      <c r="Z53" s="1326" t="s">
        <v>2062</v>
      </c>
      <c r="AA53" s="1683">
        <v>0</v>
      </c>
      <c r="AB53" s="1683">
        <v>0</v>
      </c>
      <c r="AC53" s="1683">
        <v>0</v>
      </c>
      <c r="AD53" s="1685">
        <v>43133</v>
      </c>
      <c r="AE53" s="1326" t="s">
        <v>2081</v>
      </c>
      <c r="AF53" s="1326" t="s">
        <v>2067</v>
      </c>
      <c r="AG53" s="1410"/>
      <c r="AH53" s="1683">
        <v>3250</v>
      </c>
      <c r="AI53" s="1683">
        <v>2762.5</v>
      </c>
      <c r="AJ53" s="1683">
        <v>2762.5</v>
      </c>
      <c r="AK53" s="1683">
        <v>2762.5</v>
      </c>
      <c r="AL53" s="1683">
        <v>0</v>
      </c>
      <c r="AM53" s="1685">
        <v>43133</v>
      </c>
      <c r="AN53" s="1683">
        <v>3250</v>
      </c>
      <c r="AO53" s="1683">
        <v>2762.5</v>
      </c>
      <c r="AP53" s="1683">
        <v>2762.5</v>
      </c>
      <c r="AQ53" s="1683">
        <v>2762.5</v>
      </c>
      <c r="AR53" s="1683">
        <v>0</v>
      </c>
      <c r="AS53" s="1683">
        <v>487.5</v>
      </c>
      <c r="AT53" s="1683">
        <v>0</v>
      </c>
      <c r="AU53" s="1683">
        <v>0</v>
      </c>
      <c r="AV53" s="1683">
        <v>0</v>
      </c>
      <c r="AW53" s="1683">
        <v>487.5</v>
      </c>
      <c r="AX53" s="1400"/>
      <c r="AY53" s="1400"/>
      <c r="AZ53" s="1400"/>
      <c r="BA53" s="1682"/>
      <c r="BB53" s="1682"/>
      <c r="BC53" s="1400"/>
      <c r="BD53" s="1400"/>
      <c r="BE53" s="1683">
        <v>3250</v>
      </c>
      <c r="BF53" s="1683">
        <v>2762.5</v>
      </c>
      <c r="BG53" s="1683">
        <v>2762.5</v>
      </c>
      <c r="BH53" s="1683">
        <v>2762.5</v>
      </c>
      <c r="BI53" s="1683">
        <v>0</v>
      </c>
      <c r="BJ53" s="1683">
        <v>487.5</v>
      </c>
      <c r="BK53" s="1683">
        <v>0</v>
      </c>
      <c r="BL53" s="1683">
        <v>0</v>
      </c>
      <c r="BM53" s="1683">
        <v>0</v>
      </c>
      <c r="BN53" s="1683">
        <v>487.5</v>
      </c>
      <c r="BO53" s="1685">
        <v>43230</v>
      </c>
      <c r="BP53" s="1683">
        <v>3250</v>
      </c>
      <c r="BQ53" s="1683">
        <v>2762.5</v>
      </c>
      <c r="BR53" s="1683">
        <v>2762.5</v>
      </c>
      <c r="BS53" s="1683">
        <v>2762.5</v>
      </c>
      <c r="BT53" s="1683">
        <v>0</v>
      </c>
      <c r="BU53" s="1683">
        <v>487.5</v>
      </c>
      <c r="BV53" s="1683">
        <v>0</v>
      </c>
      <c r="BW53" s="1683">
        <v>0</v>
      </c>
      <c r="BX53" s="1683">
        <v>0</v>
      </c>
      <c r="BY53" s="1683">
        <v>487.5</v>
      </c>
      <c r="BZ53" s="1683">
        <v>0</v>
      </c>
      <c r="CA53" s="1400"/>
      <c r="CB53" s="1682"/>
      <c r="CC53" s="1682"/>
      <c r="CD53" s="1400"/>
      <c r="CE53" s="1400"/>
      <c r="CF53" s="1683">
        <v>0</v>
      </c>
      <c r="CG53" s="1683">
        <v>0</v>
      </c>
      <c r="CH53" s="1683">
        <v>0</v>
      </c>
      <c r="CI53" s="1683">
        <v>0</v>
      </c>
      <c r="CJ53" s="1683">
        <v>0</v>
      </c>
      <c r="CK53" s="1683">
        <v>0</v>
      </c>
      <c r="CL53" s="1685">
        <v>43511</v>
      </c>
      <c r="CM53" s="1683">
        <v>3250</v>
      </c>
      <c r="CN53" s="1683">
        <v>2762.5</v>
      </c>
      <c r="CO53" s="1683">
        <v>2762.5</v>
      </c>
      <c r="CP53" s="1683">
        <v>2762.5</v>
      </c>
      <c r="CQ53" s="1683">
        <v>0</v>
      </c>
      <c r="CR53" s="1683">
        <v>487.5</v>
      </c>
      <c r="CS53" s="1683">
        <v>0</v>
      </c>
      <c r="CT53" s="1683">
        <v>0</v>
      </c>
      <c r="CU53" s="1683">
        <v>0</v>
      </c>
      <c r="CV53" s="1683">
        <v>487.5</v>
      </c>
      <c r="CW53" s="1682"/>
      <c r="CX53" s="1400"/>
      <c r="CY53" s="1400"/>
      <c r="CZ53" s="1400"/>
      <c r="DA53" s="1400"/>
      <c r="DB53" s="1682"/>
      <c r="DC53" s="1326"/>
      <c r="DD53" s="1683">
        <v>0</v>
      </c>
      <c r="DE53" s="1400"/>
      <c r="DF53" s="1400"/>
      <c r="DG53" s="1683">
        <v>0</v>
      </c>
      <c r="DH53" s="1683">
        <v>0</v>
      </c>
    </row>
    <row r="54" spans="1:112" ht="33.75">
      <c r="A54" s="1326" t="s">
        <v>1741</v>
      </c>
      <c r="B54" s="1326" t="s">
        <v>1694</v>
      </c>
      <c r="C54" s="1326" t="s">
        <v>2542</v>
      </c>
      <c r="D54" s="1326" t="s">
        <v>2543</v>
      </c>
      <c r="E54" s="1326" t="s">
        <v>179</v>
      </c>
      <c r="F54" s="1326" t="s">
        <v>2544</v>
      </c>
      <c r="G54" s="1326" t="s">
        <v>2545</v>
      </c>
      <c r="H54" s="1326" t="s">
        <v>2546</v>
      </c>
      <c r="I54" s="1326" t="s">
        <v>704</v>
      </c>
      <c r="J54" s="1326" t="s">
        <v>304</v>
      </c>
      <c r="K54" s="1326" t="s">
        <v>2078</v>
      </c>
      <c r="L54" s="1326" t="s">
        <v>2061</v>
      </c>
      <c r="M54" s="1400"/>
      <c r="N54" s="1400"/>
      <c r="O54" s="1400"/>
      <c r="P54" s="1400"/>
      <c r="Q54" s="1400"/>
      <c r="R54" s="1400"/>
      <c r="S54" s="1400"/>
      <c r="T54" s="1400"/>
      <c r="U54" s="1400"/>
      <c r="V54" s="1400"/>
      <c r="W54" s="1400"/>
      <c r="X54" s="1400"/>
      <c r="Y54" s="1685">
        <v>43241</v>
      </c>
      <c r="Z54" s="1326" t="s">
        <v>2062</v>
      </c>
      <c r="AA54" s="1683">
        <v>0</v>
      </c>
      <c r="AB54" s="1683">
        <v>0</v>
      </c>
      <c r="AC54" s="1683">
        <v>0</v>
      </c>
      <c r="AD54" s="1685">
        <v>43272</v>
      </c>
      <c r="AE54" s="1326" t="s">
        <v>2082</v>
      </c>
      <c r="AF54" s="1326" t="s">
        <v>2067</v>
      </c>
      <c r="AG54" s="1410"/>
      <c r="AH54" s="1683">
        <v>29058.09</v>
      </c>
      <c r="AI54" s="1683">
        <v>24699.38</v>
      </c>
      <c r="AJ54" s="1683">
        <v>24699.38</v>
      </c>
      <c r="AK54" s="1683">
        <v>24699.38</v>
      </c>
      <c r="AL54" s="1683">
        <v>0</v>
      </c>
      <c r="AM54" s="1685">
        <v>43272</v>
      </c>
      <c r="AN54" s="1683">
        <v>29058.09</v>
      </c>
      <c r="AO54" s="1683">
        <v>24699.38</v>
      </c>
      <c r="AP54" s="1683">
        <v>24699.38</v>
      </c>
      <c r="AQ54" s="1683">
        <v>24699.38</v>
      </c>
      <c r="AR54" s="1683">
        <v>0</v>
      </c>
      <c r="AS54" s="1683">
        <v>4358.71</v>
      </c>
      <c r="AT54" s="1683">
        <v>0</v>
      </c>
      <c r="AU54" s="1683">
        <v>0</v>
      </c>
      <c r="AV54" s="1683">
        <v>0</v>
      </c>
      <c r="AW54" s="1683">
        <v>4358.71</v>
      </c>
      <c r="AX54" s="1400"/>
      <c r="AY54" s="1400"/>
      <c r="AZ54" s="1400"/>
      <c r="BA54" s="1682"/>
      <c r="BB54" s="1682"/>
      <c r="BC54" s="1400"/>
      <c r="BD54" s="1400"/>
      <c r="BE54" s="1683">
        <v>29058.09</v>
      </c>
      <c r="BF54" s="1683">
        <v>24699.38</v>
      </c>
      <c r="BG54" s="1683">
        <v>24699.38</v>
      </c>
      <c r="BH54" s="1683">
        <v>24699.38</v>
      </c>
      <c r="BI54" s="1683">
        <v>0</v>
      </c>
      <c r="BJ54" s="1683">
        <v>4358.71</v>
      </c>
      <c r="BK54" s="1683">
        <v>0</v>
      </c>
      <c r="BL54" s="1683">
        <v>0</v>
      </c>
      <c r="BM54" s="1683">
        <v>0</v>
      </c>
      <c r="BN54" s="1683">
        <v>4358.71</v>
      </c>
      <c r="BO54" s="1685">
        <v>43355</v>
      </c>
      <c r="BP54" s="1683">
        <v>29058.09</v>
      </c>
      <c r="BQ54" s="1683">
        <v>24699.38</v>
      </c>
      <c r="BR54" s="1683">
        <v>24699.38</v>
      </c>
      <c r="BS54" s="1683">
        <v>24699.38</v>
      </c>
      <c r="BT54" s="1683">
        <v>0</v>
      </c>
      <c r="BU54" s="1683">
        <v>4358.71</v>
      </c>
      <c r="BV54" s="1683">
        <v>0</v>
      </c>
      <c r="BW54" s="1683">
        <v>0</v>
      </c>
      <c r="BX54" s="1683">
        <v>0</v>
      </c>
      <c r="BY54" s="1683">
        <v>4358.71</v>
      </c>
      <c r="BZ54" s="1683">
        <v>0</v>
      </c>
      <c r="CA54" s="1400"/>
      <c r="CB54" s="1682"/>
      <c r="CC54" s="1682"/>
      <c r="CD54" s="1400"/>
      <c r="CE54" s="1400"/>
      <c r="CF54" s="1683">
        <v>0</v>
      </c>
      <c r="CG54" s="1683">
        <v>0</v>
      </c>
      <c r="CH54" s="1683">
        <v>0</v>
      </c>
      <c r="CI54" s="1683">
        <v>0</v>
      </c>
      <c r="CJ54" s="1683">
        <v>0</v>
      </c>
      <c r="CK54" s="1683">
        <v>0</v>
      </c>
      <c r="CL54" s="1682"/>
      <c r="CM54" s="1683">
        <v>0</v>
      </c>
      <c r="CN54" s="1683">
        <v>0</v>
      </c>
      <c r="CO54" s="1683">
        <v>0</v>
      </c>
      <c r="CP54" s="1683">
        <v>0</v>
      </c>
      <c r="CQ54" s="1683">
        <v>0</v>
      </c>
      <c r="CR54" s="1683">
        <v>0</v>
      </c>
      <c r="CS54" s="1683">
        <v>0</v>
      </c>
      <c r="CT54" s="1683">
        <v>0</v>
      </c>
      <c r="CU54" s="1683">
        <v>0</v>
      </c>
      <c r="CV54" s="1683">
        <v>0</v>
      </c>
      <c r="CW54" s="1682"/>
      <c r="CX54" s="1400"/>
      <c r="CY54" s="1400"/>
      <c r="CZ54" s="1400"/>
      <c r="DA54" s="1400"/>
      <c r="DB54" s="1682"/>
      <c r="DC54" s="1326"/>
      <c r="DD54" s="1683">
        <v>0</v>
      </c>
      <c r="DE54" s="1400"/>
      <c r="DF54" s="1400"/>
      <c r="DG54" s="1683">
        <v>0</v>
      </c>
      <c r="DH54" s="1683">
        <v>0</v>
      </c>
    </row>
    <row r="55" spans="1:112" ht="33.75">
      <c r="A55" s="1326" t="s">
        <v>1742</v>
      </c>
      <c r="B55" s="1326" t="s">
        <v>1694</v>
      </c>
      <c r="C55" s="1326" t="s">
        <v>2542</v>
      </c>
      <c r="D55" s="1326" t="s">
        <v>2543</v>
      </c>
      <c r="E55" s="1326" t="s">
        <v>179</v>
      </c>
      <c r="F55" s="1326" t="s">
        <v>2544</v>
      </c>
      <c r="G55" s="1326" t="s">
        <v>2545</v>
      </c>
      <c r="H55" s="1326" t="s">
        <v>2546</v>
      </c>
      <c r="I55" s="1326" t="s">
        <v>704</v>
      </c>
      <c r="J55" s="1326" t="s">
        <v>304</v>
      </c>
      <c r="K55" s="1326" t="s">
        <v>2078</v>
      </c>
      <c r="L55" s="1326" t="s">
        <v>2061</v>
      </c>
      <c r="M55" s="1400"/>
      <c r="N55" s="1400"/>
      <c r="O55" s="1400"/>
      <c r="P55" s="1400"/>
      <c r="Q55" s="1400"/>
      <c r="R55" s="1400"/>
      <c r="S55" s="1400"/>
      <c r="T55" s="1400"/>
      <c r="U55" s="1400"/>
      <c r="V55" s="1400"/>
      <c r="W55" s="1400"/>
      <c r="X55" s="1400"/>
      <c r="Y55" s="1685">
        <v>43241</v>
      </c>
      <c r="Z55" s="1326" t="s">
        <v>2062</v>
      </c>
      <c r="AA55" s="1683">
        <v>0</v>
      </c>
      <c r="AB55" s="1683">
        <v>0</v>
      </c>
      <c r="AC55" s="1683">
        <v>0</v>
      </c>
      <c r="AD55" s="1685">
        <v>43272</v>
      </c>
      <c r="AE55" s="1326" t="s">
        <v>2082</v>
      </c>
      <c r="AF55" s="1326" t="s">
        <v>2064</v>
      </c>
      <c r="AG55" s="1410"/>
      <c r="AH55" s="1683">
        <v>2796.18</v>
      </c>
      <c r="AI55" s="1683">
        <v>2376.75</v>
      </c>
      <c r="AJ55" s="1683">
        <v>2376.7600000000002</v>
      </c>
      <c r="AK55" s="1683">
        <v>2376.7600000000002</v>
      </c>
      <c r="AL55" s="1683">
        <v>0</v>
      </c>
      <c r="AM55" s="1685">
        <v>43272</v>
      </c>
      <c r="AN55" s="1683">
        <v>2796.18</v>
      </c>
      <c r="AO55" s="1683">
        <v>2376.7600000000002</v>
      </c>
      <c r="AP55" s="1683">
        <v>2376.7600000000002</v>
      </c>
      <c r="AQ55" s="1683">
        <v>2376.7600000000002</v>
      </c>
      <c r="AR55" s="1683">
        <v>0</v>
      </c>
      <c r="AS55" s="1683">
        <v>419.42</v>
      </c>
      <c r="AT55" s="1683">
        <v>0</v>
      </c>
      <c r="AU55" s="1683">
        <v>0</v>
      </c>
      <c r="AV55" s="1683">
        <v>0</v>
      </c>
      <c r="AW55" s="1683">
        <v>419.42</v>
      </c>
      <c r="AX55" s="1400"/>
      <c r="AY55" s="1400"/>
      <c r="AZ55" s="1400"/>
      <c r="BA55" s="1682"/>
      <c r="BB55" s="1682"/>
      <c r="BC55" s="1400"/>
      <c r="BD55" s="1400"/>
      <c r="BE55" s="1683">
        <v>2796.18</v>
      </c>
      <c r="BF55" s="1683">
        <v>2376.7600000000002</v>
      </c>
      <c r="BG55" s="1683">
        <v>2376.7600000000002</v>
      </c>
      <c r="BH55" s="1683">
        <v>2376.7600000000002</v>
      </c>
      <c r="BI55" s="1683">
        <v>0</v>
      </c>
      <c r="BJ55" s="1683">
        <v>419.42</v>
      </c>
      <c r="BK55" s="1683">
        <v>0</v>
      </c>
      <c r="BL55" s="1683">
        <v>0</v>
      </c>
      <c r="BM55" s="1683">
        <v>0</v>
      </c>
      <c r="BN55" s="1683">
        <v>419.42</v>
      </c>
      <c r="BO55" s="1685">
        <v>43355</v>
      </c>
      <c r="BP55" s="1683">
        <v>2796.18</v>
      </c>
      <c r="BQ55" s="1683">
        <v>2376.7600000000002</v>
      </c>
      <c r="BR55" s="1683">
        <v>2376.7600000000002</v>
      </c>
      <c r="BS55" s="1683">
        <v>2376.7600000000002</v>
      </c>
      <c r="BT55" s="1683">
        <v>0</v>
      </c>
      <c r="BU55" s="1683">
        <v>419.42</v>
      </c>
      <c r="BV55" s="1683">
        <v>0</v>
      </c>
      <c r="BW55" s="1683">
        <v>0</v>
      </c>
      <c r="BX55" s="1683">
        <v>0</v>
      </c>
      <c r="BY55" s="1683">
        <v>419.42</v>
      </c>
      <c r="BZ55" s="1683">
        <v>0</v>
      </c>
      <c r="CA55" s="1400"/>
      <c r="CB55" s="1682"/>
      <c r="CC55" s="1682"/>
      <c r="CD55" s="1400"/>
      <c r="CE55" s="1400"/>
      <c r="CF55" s="1683">
        <v>0</v>
      </c>
      <c r="CG55" s="1683">
        <v>0</v>
      </c>
      <c r="CH55" s="1683">
        <v>0</v>
      </c>
      <c r="CI55" s="1683">
        <v>0</v>
      </c>
      <c r="CJ55" s="1683">
        <v>0</v>
      </c>
      <c r="CK55" s="1683">
        <v>0</v>
      </c>
      <c r="CL55" s="1682"/>
      <c r="CM55" s="1683">
        <v>0</v>
      </c>
      <c r="CN55" s="1683">
        <v>0</v>
      </c>
      <c r="CO55" s="1683">
        <v>0</v>
      </c>
      <c r="CP55" s="1683">
        <v>0</v>
      </c>
      <c r="CQ55" s="1683">
        <v>0</v>
      </c>
      <c r="CR55" s="1683">
        <v>0</v>
      </c>
      <c r="CS55" s="1683">
        <v>0</v>
      </c>
      <c r="CT55" s="1683">
        <v>0</v>
      </c>
      <c r="CU55" s="1683">
        <v>0</v>
      </c>
      <c r="CV55" s="1683">
        <v>0</v>
      </c>
      <c r="CW55" s="1682"/>
      <c r="CX55" s="1400"/>
      <c r="CY55" s="1400"/>
      <c r="CZ55" s="1400"/>
      <c r="DA55" s="1400"/>
      <c r="DB55" s="1682"/>
      <c r="DC55" s="1326"/>
      <c r="DD55" s="1683">
        <v>0</v>
      </c>
      <c r="DE55" s="1400"/>
      <c r="DF55" s="1400"/>
      <c r="DG55" s="1683">
        <v>0</v>
      </c>
      <c r="DH55" s="1683">
        <v>0</v>
      </c>
    </row>
    <row r="56" spans="1:112" ht="33.75">
      <c r="A56" s="1326" t="s">
        <v>1743</v>
      </c>
      <c r="B56" s="1326" t="s">
        <v>1694</v>
      </c>
      <c r="C56" s="1326" t="s">
        <v>2542</v>
      </c>
      <c r="D56" s="1326" t="s">
        <v>2543</v>
      </c>
      <c r="E56" s="1326" t="s">
        <v>179</v>
      </c>
      <c r="F56" s="1326" t="s">
        <v>2544</v>
      </c>
      <c r="G56" s="1326" t="s">
        <v>2545</v>
      </c>
      <c r="H56" s="1326" t="s">
        <v>2546</v>
      </c>
      <c r="I56" s="1326" t="s">
        <v>704</v>
      </c>
      <c r="J56" s="1326" t="s">
        <v>304</v>
      </c>
      <c r="K56" s="1326" t="s">
        <v>2078</v>
      </c>
      <c r="L56" s="1326" t="s">
        <v>2061</v>
      </c>
      <c r="M56" s="1400"/>
      <c r="N56" s="1400"/>
      <c r="O56" s="1400"/>
      <c r="P56" s="1400"/>
      <c r="Q56" s="1400"/>
      <c r="R56" s="1400"/>
      <c r="S56" s="1400"/>
      <c r="T56" s="1400"/>
      <c r="U56" s="1400"/>
      <c r="V56" s="1400"/>
      <c r="W56" s="1400"/>
      <c r="X56" s="1400"/>
      <c r="Y56" s="1685">
        <v>43299</v>
      </c>
      <c r="Z56" s="1326" t="s">
        <v>2062</v>
      </c>
      <c r="AA56" s="1683">
        <v>0</v>
      </c>
      <c r="AB56" s="1683">
        <v>0</v>
      </c>
      <c r="AC56" s="1683">
        <v>0</v>
      </c>
      <c r="AD56" s="1685">
        <v>43328</v>
      </c>
      <c r="AE56" s="1326" t="s">
        <v>2083</v>
      </c>
      <c r="AF56" s="1326" t="s">
        <v>2067</v>
      </c>
      <c r="AG56" s="1410"/>
      <c r="AH56" s="1683">
        <v>37141.17</v>
      </c>
      <c r="AI56" s="1683">
        <v>31569.99</v>
      </c>
      <c r="AJ56" s="1683">
        <v>31569.99</v>
      </c>
      <c r="AK56" s="1683">
        <v>31569.99</v>
      </c>
      <c r="AL56" s="1683">
        <v>0</v>
      </c>
      <c r="AM56" s="1685">
        <v>43329</v>
      </c>
      <c r="AN56" s="1683">
        <v>37141.17</v>
      </c>
      <c r="AO56" s="1683">
        <v>31569.99</v>
      </c>
      <c r="AP56" s="1683">
        <v>31569.99</v>
      </c>
      <c r="AQ56" s="1683">
        <v>31569.99</v>
      </c>
      <c r="AR56" s="1683">
        <v>0</v>
      </c>
      <c r="AS56" s="1683">
        <v>5571.18</v>
      </c>
      <c r="AT56" s="1683">
        <v>0</v>
      </c>
      <c r="AU56" s="1683">
        <v>0</v>
      </c>
      <c r="AV56" s="1683">
        <v>0</v>
      </c>
      <c r="AW56" s="1683">
        <v>5571.18</v>
      </c>
      <c r="AX56" s="1400"/>
      <c r="AY56" s="1400"/>
      <c r="AZ56" s="1400"/>
      <c r="BA56" s="1682"/>
      <c r="BB56" s="1682"/>
      <c r="BC56" s="1400"/>
      <c r="BD56" s="1400"/>
      <c r="BE56" s="1683">
        <v>37141.17</v>
      </c>
      <c r="BF56" s="1683">
        <v>31569.99</v>
      </c>
      <c r="BG56" s="1683">
        <v>31569.99</v>
      </c>
      <c r="BH56" s="1683">
        <v>31569.99</v>
      </c>
      <c r="BI56" s="1683">
        <v>0</v>
      </c>
      <c r="BJ56" s="1683">
        <v>5571.18</v>
      </c>
      <c r="BK56" s="1683">
        <v>0</v>
      </c>
      <c r="BL56" s="1683">
        <v>0</v>
      </c>
      <c r="BM56" s="1683">
        <v>0</v>
      </c>
      <c r="BN56" s="1683">
        <v>5571.18</v>
      </c>
      <c r="BO56" s="1685">
        <v>43397</v>
      </c>
      <c r="BP56" s="1683">
        <v>37141.17</v>
      </c>
      <c r="BQ56" s="1683">
        <v>31569.99</v>
      </c>
      <c r="BR56" s="1683">
        <v>31569.99</v>
      </c>
      <c r="BS56" s="1683">
        <v>31569.99</v>
      </c>
      <c r="BT56" s="1683">
        <v>0</v>
      </c>
      <c r="BU56" s="1683">
        <v>5571.18</v>
      </c>
      <c r="BV56" s="1683">
        <v>0</v>
      </c>
      <c r="BW56" s="1683">
        <v>0</v>
      </c>
      <c r="BX56" s="1683">
        <v>0</v>
      </c>
      <c r="BY56" s="1683">
        <v>5571.18</v>
      </c>
      <c r="BZ56" s="1683">
        <v>0</v>
      </c>
      <c r="CA56" s="1400"/>
      <c r="CB56" s="1682"/>
      <c r="CC56" s="1682"/>
      <c r="CD56" s="1400"/>
      <c r="CE56" s="1400"/>
      <c r="CF56" s="1683">
        <v>0</v>
      </c>
      <c r="CG56" s="1683">
        <v>0</v>
      </c>
      <c r="CH56" s="1683">
        <v>0</v>
      </c>
      <c r="CI56" s="1683">
        <v>0</v>
      </c>
      <c r="CJ56" s="1683">
        <v>0</v>
      </c>
      <c r="CK56" s="1683">
        <v>0</v>
      </c>
      <c r="CL56" s="1682"/>
      <c r="CM56" s="1683">
        <v>0</v>
      </c>
      <c r="CN56" s="1683">
        <v>0</v>
      </c>
      <c r="CO56" s="1683">
        <v>0</v>
      </c>
      <c r="CP56" s="1683">
        <v>0</v>
      </c>
      <c r="CQ56" s="1683">
        <v>0</v>
      </c>
      <c r="CR56" s="1683">
        <v>0</v>
      </c>
      <c r="CS56" s="1683">
        <v>0</v>
      </c>
      <c r="CT56" s="1683">
        <v>0</v>
      </c>
      <c r="CU56" s="1683">
        <v>0</v>
      </c>
      <c r="CV56" s="1683">
        <v>0</v>
      </c>
      <c r="CW56" s="1682"/>
      <c r="CX56" s="1400"/>
      <c r="CY56" s="1400"/>
      <c r="CZ56" s="1400"/>
      <c r="DA56" s="1400"/>
      <c r="DB56" s="1682"/>
      <c r="DC56" s="1326"/>
      <c r="DD56" s="1683">
        <v>0</v>
      </c>
      <c r="DE56" s="1400"/>
      <c r="DF56" s="1400"/>
      <c r="DG56" s="1683">
        <v>0</v>
      </c>
      <c r="DH56" s="1683">
        <v>0</v>
      </c>
    </row>
    <row r="57" spans="1:112" ht="33.75">
      <c r="A57" s="1326" t="s">
        <v>1744</v>
      </c>
      <c r="B57" s="1326" t="s">
        <v>1694</v>
      </c>
      <c r="C57" s="1326" t="s">
        <v>2542</v>
      </c>
      <c r="D57" s="1326" t="s">
        <v>2543</v>
      </c>
      <c r="E57" s="1326" t="s">
        <v>179</v>
      </c>
      <c r="F57" s="1326" t="s">
        <v>2544</v>
      </c>
      <c r="G57" s="1326" t="s">
        <v>2545</v>
      </c>
      <c r="H57" s="1326" t="s">
        <v>2546</v>
      </c>
      <c r="I57" s="1326" t="s">
        <v>704</v>
      </c>
      <c r="J57" s="1326" t="s">
        <v>304</v>
      </c>
      <c r="K57" s="1326" t="s">
        <v>2078</v>
      </c>
      <c r="L57" s="1326" t="s">
        <v>2061</v>
      </c>
      <c r="M57" s="1400"/>
      <c r="N57" s="1400"/>
      <c r="O57" s="1400"/>
      <c r="P57" s="1400"/>
      <c r="Q57" s="1400"/>
      <c r="R57" s="1400"/>
      <c r="S57" s="1400"/>
      <c r="T57" s="1400"/>
      <c r="U57" s="1400"/>
      <c r="V57" s="1400"/>
      <c r="W57" s="1400"/>
      <c r="X57" s="1400"/>
      <c r="Y57" s="1685">
        <v>43299</v>
      </c>
      <c r="Z57" s="1326" t="s">
        <v>2062</v>
      </c>
      <c r="AA57" s="1683">
        <v>0</v>
      </c>
      <c r="AB57" s="1683">
        <v>0</v>
      </c>
      <c r="AC57" s="1683">
        <v>0</v>
      </c>
      <c r="AD57" s="1685">
        <v>43328</v>
      </c>
      <c r="AE57" s="1326" t="s">
        <v>2083</v>
      </c>
      <c r="AF57" s="1326" t="s">
        <v>2064</v>
      </c>
      <c r="AG57" s="1410"/>
      <c r="AH57" s="1683">
        <v>2718.65</v>
      </c>
      <c r="AI57" s="1683">
        <v>2310.85</v>
      </c>
      <c r="AJ57" s="1683">
        <v>2310.84</v>
      </c>
      <c r="AK57" s="1683">
        <v>2310.84</v>
      </c>
      <c r="AL57" s="1683">
        <v>0</v>
      </c>
      <c r="AM57" s="1685">
        <v>43328</v>
      </c>
      <c r="AN57" s="1683">
        <v>2718.65</v>
      </c>
      <c r="AO57" s="1683">
        <v>2310.84</v>
      </c>
      <c r="AP57" s="1683">
        <v>2310.84</v>
      </c>
      <c r="AQ57" s="1683">
        <v>2310.84</v>
      </c>
      <c r="AR57" s="1683">
        <v>0</v>
      </c>
      <c r="AS57" s="1683">
        <v>407.81</v>
      </c>
      <c r="AT57" s="1683">
        <v>0</v>
      </c>
      <c r="AU57" s="1683">
        <v>0</v>
      </c>
      <c r="AV57" s="1683">
        <v>0</v>
      </c>
      <c r="AW57" s="1683">
        <v>407.81</v>
      </c>
      <c r="AX57" s="1400"/>
      <c r="AY57" s="1400"/>
      <c r="AZ57" s="1400"/>
      <c r="BA57" s="1682"/>
      <c r="BB57" s="1682"/>
      <c r="BC57" s="1400"/>
      <c r="BD57" s="1400"/>
      <c r="BE57" s="1683">
        <v>2718.65</v>
      </c>
      <c r="BF57" s="1683">
        <v>2310.84</v>
      </c>
      <c r="BG57" s="1683">
        <v>2310.84</v>
      </c>
      <c r="BH57" s="1683">
        <v>2310.84</v>
      </c>
      <c r="BI57" s="1683">
        <v>0</v>
      </c>
      <c r="BJ57" s="1683">
        <v>407.81</v>
      </c>
      <c r="BK57" s="1683">
        <v>0</v>
      </c>
      <c r="BL57" s="1683">
        <v>0</v>
      </c>
      <c r="BM57" s="1683">
        <v>0</v>
      </c>
      <c r="BN57" s="1683">
        <v>407.81</v>
      </c>
      <c r="BO57" s="1685">
        <v>43397</v>
      </c>
      <c r="BP57" s="1683">
        <v>2718.65</v>
      </c>
      <c r="BQ57" s="1683">
        <v>2310.84</v>
      </c>
      <c r="BR57" s="1683">
        <v>2310.84</v>
      </c>
      <c r="BS57" s="1683">
        <v>2310.84</v>
      </c>
      <c r="BT57" s="1683">
        <v>0</v>
      </c>
      <c r="BU57" s="1683">
        <v>407.81</v>
      </c>
      <c r="BV57" s="1683">
        <v>0</v>
      </c>
      <c r="BW57" s="1683">
        <v>0</v>
      </c>
      <c r="BX57" s="1683">
        <v>0</v>
      </c>
      <c r="BY57" s="1683">
        <v>407.81</v>
      </c>
      <c r="BZ57" s="1683">
        <v>0</v>
      </c>
      <c r="CA57" s="1400"/>
      <c r="CB57" s="1682"/>
      <c r="CC57" s="1682"/>
      <c r="CD57" s="1400"/>
      <c r="CE57" s="1400"/>
      <c r="CF57" s="1683">
        <v>0</v>
      </c>
      <c r="CG57" s="1683">
        <v>0</v>
      </c>
      <c r="CH57" s="1683">
        <v>0</v>
      </c>
      <c r="CI57" s="1683">
        <v>0</v>
      </c>
      <c r="CJ57" s="1683">
        <v>0</v>
      </c>
      <c r="CK57" s="1683">
        <v>0</v>
      </c>
      <c r="CL57" s="1682"/>
      <c r="CM57" s="1683">
        <v>0</v>
      </c>
      <c r="CN57" s="1683">
        <v>0</v>
      </c>
      <c r="CO57" s="1683">
        <v>0</v>
      </c>
      <c r="CP57" s="1683">
        <v>0</v>
      </c>
      <c r="CQ57" s="1683">
        <v>0</v>
      </c>
      <c r="CR57" s="1683">
        <v>0</v>
      </c>
      <c r="CS57" s="1683">
        <v>0</v>
      </c>
      <c r="CT57" s="1683">
        <v>0</v>
      </c>
      <c r="CU57" s="1683">
        <v>0</v>
      </c>
      <c r="CV57" s="1683">
        <v>0</v>
      </c>
      <c r="CW57" s="1682"/>
      <c r="CX57" s="1400"/>
      <c r="CY57" s="1400"/>
      <c r="CZ57" s="1400"/>
      <c r="DA57" s="1400"/>
      <c r="DB57" s="1682"/>
      <c r="DC57" s="1326"/>
      <c r="DD57" s="1683">
        <v>0</v>
      </c>
      <c r="DE57" s="1400"/>
      <c r="DF57" s="1400"/>
      <c r="DG57" s="1683">
        <v>0</v>
      </c>
      <c r="DH57" s="1683">
        <v>0</v>
      </c>
    </row>
    <row r="58" spans="1:112" ht="33.75">
      <c r="A58" s="1326" t="s">
        <v>1745</v>
      </c>
      <c r="B58" s="1326" t="s">
        <v>1694</v>
      </c>
      <c r="C58" s="1326" t="s">
        <v>2542</v>
      </c>
      <c r="D58" s="1326" t="s">
        <v>2543</v>
      </c>
      <c r="E58" s="1326" t="s">
        <v>179</v>
      </c>
      <c r="F58" s="1326" t="s">
        <v>2544</v>
      </c>
      <c r="G58" s="1326" t="s">
        <v>2545</v>
      </c>
      <c r="H58" s="1326" t="s">
        <v>2546</v>
      </c>
      <c r="I58" s="1326" t="s">
        <v>704</v>
      </c>
      <c r="J58" s="1326" t="s">
        <v>304</v>
      </c>
      <c r="K58" s="1326" t="s">
        <v>2078</v>
      </c>
      <c r="L58" s="1326" t="s">
        <v>2061</v>
      </c>
      <c r="M58" s="1400"/>
      <c r="N58" s="1400"/>
      <c r="O58" s="1400"/>
      <c r="P58" s="1400"/>
      <c r="Q58" s="1400"/>
      <c r="R58" s="1400"/>
      <c r="S58" s="1400"/>
      <c r="T58" s="1400"/>
      <c r="U58" s="1400"/>
      <c r="V58" s="1400"/>
      <c r="W58" s="1400"/>
      <c r="X58" s="1400"/>
      <c r="Y58" s="1685">
        <v>43358</v>
      </c>
      <c r="Z58" s="1326" t="s">
        <v>2062</v>
      </c>
      <c r="AA58" s="1683">
        <v>0</v>
      </c>
      <c r="AB58" s="1683">
        <v>0</v>
      </c>
      <c r="AC58" s="1683">
        <v>0</v>
      </c>
      <c r="AD58" s="1685">
        <v>43388</v>
      </c>
      <c r="AE58" s="1326" t="s">
        <v>2084</v>
      </c>
      <c r="AF58" s="1326" t="s">
        <v>2067</v>
      </c>
      <c r="AG58" s="1410"/>
      <c r="AH58" s="1683">
        <v>89610.25</v>
      </c>
      <c r="AI58" s="1683">
        <v>76168.710000000006</v>
      </c>
      <c r="AJ58" s="1683">
        <v>76168.72</v>
      </c>
      <c r="AK58" s="1683">
        <v>76168.72</v>
      </c>
      <c r="AL58" s="1683">
        <v>0</v>
      </c>
      <c r="AM58" s="1685">
        <v>43390</v>
      </c>
      <c r="AN58" s="1683">
        <v>89610.25</v>
      </c>
      <c r="AO58" s="1683">
        <v>76168.72</v>
      </c>
      <c r="AP58" s="1683">
        <v>76168.72</v>
      </c>
      <c r="AQ58" s="1683">
        <v>76168.72</v>
      </c>
      <c r="AR58" s="1683">
        <v>0</v>
      </c>
      <c r="AS58" s="1683">
        <v>13441.53</v>
      </c>
      <c r="AT58" s="1683">
        <v>0</v>
      </c>
      <c r="AU58" s="1683">
        <v>0</v>
      </c>
      <c r="AV58" s="1683">
        <v>0</v>
      </c>
      <c r="AW58" s="1683">
        <v>13441.53</v>
      </c>
      <c r="AX58" s="1400"/>
      <c r="AY58" s="1400"/>
      <c r="AZ58" s="1400"/>
      <c r="BA58" s="1682"/>
      <c r="BB58" s="1682"/>
      <c r="BC58" s="1400"/>
      <c r="BD58" s="1400"/>
      <c r="BE58" s="1683">
        <v>89610.25</v>
      </c>
      <c r="BF58" s="1683">
        <v>76168.72</v>
      </c>
      <c r="BG58" s="1683">
        <v>76168.72</v>
      </c>
      <c r="BH58" s="1683">
        <v>76168.72</v>
      </c>
      <c r="BI58" s="1683">
        <v>0</v>
      </c>
      <c r="BJ58" s="1683">
        <v>13441.53</v>
      </c>
      <c r="BK58" s="1683">
        <v>0</v>
      </c>
      <c r="BL58" s="1683">
        <v>0</v>
      </c>
      <c r="BM58" s="1683">
        <v>0</v>
      </c>
      <c r="BN58" s="1683">
        <v>13441.53</v>
      </c>
      <c r="BO58" s="1685">
        <v>43553</v>
      </c>
      <c r="BP58" s="1683">
        <v>89610.25</v>
      </c>
      <c r="BQ58" s="1683">
        <v>76168.72</v>
      </c>
      <c r="BR58" s="1683">
        <v>76168.72</v>
      </c>
      <c r="BS58" s="1683">
        <v>76168.72</v>
      </c>
      <c r="BT58" s="1683">
        <v>0</v>
      </c>
      <c r="BU58" s="1683">
        <v>13441.53</v>
      </c>
      <c r="BV58" s="1683">
        <v>0</v>
      </c>
      <c r="BW58" s="1683">
        <v>0</v>
      </c>
      <c r="BX58" s="1683">
        <v>0</v>
      </c>
      <c r="BY58" s="1683">
        <v>13441.53</v>
      </c>
      <c r="BZ58" s="1683">
        <v>0</v>
      </c>
      <c r="CA58" s="1400"/>
      <c r="CB58" s="1682"/>
      <c r="CC58" s="1682"/>
      <c r="CD58" s="1400"/>
      <c r="CE58" s="1400"/>
      <c r="CF58" s="1683">
        <v>0</v>
      </c>
      <c r="CG58" s="1683">
        <v>0</v>
      </c>
      <c r="CH58" s="1683">
        <v>0</v>
      </c>
      <c r="CI58" s="1683">
        <v>0</v>
      </c>
      <c r="CJ58" s="1683">
        <v>0</v>
      </c>
      <c r="CK58" s="1683">
        <v>0</v>
      </c>
      <c r="CL58" s="1682"/>
      <c r="CM58" s="1683">
        <v>0</v>
      </c>
      <c r="CN58" s="1683">
        <v>0</v>
      </c>
      <c r="CO58" s="1683">
        <v>0</v>
      </c>
      <c r="CP58" s="1683">
        <v>0</v>
      </c>
      <c r="CQ58" s="1683">
        <v>0</v>
      </c>
      <c r="CR58" s="1683">
        <v>0</v>
      </c>
      <c r="CS58" s="1683">
        <v>0</v>
      </c>
      <c r="CT58" s="1683">
        <v>0</v>
      </c>
      <c r="CU58" s="1683">
        <v>0</v>
      </c>
      <c r="CV58" s="1683">
        <v>0</v>
      </c>
      <c r="CW58" s="1682"/>
      <c r="CX58" s="1400"/>
      <c r="CY58" s="1400"/>
      <c r="CZ58" s="1400"/>
      <c r="DA58" s="1400"/>
      <c r="DB58" s="1682"/>
      <c r="DC58" s="1326"/>
      <c r="DD58" s="1683">
        <v>0</v>
      </c>
      <c r="DE58" s="1400"/>
      <c r="DF58" s="1400"/>
      <c r="DG58" s="1683">
        <v>0</v>
      </c>
      <c r="DH58" s="1683">
        <v>0</v>
      </c>
    </row>
    <row r="59" spans="1:112" ht="33.75">
      <c r="A59" s="1326" t="s">
        <v>1746</v>
      </c>
      <c r="B59" s="1326" t="s">
        <v>1694</v>
      </c>
      <c r="C59" s="1326" t="s">
        <v>2542</v>
      </c>
      <c r="D59" s="1326" t="s">
        <v>2543</v>
      </c>
      <c r="E59" s="1326" t="s">
        <v>179</v>
      </c>
      <c r="F59" s="1326" t="s">
        <v>2544</v>
      </c>
      <c r="G59" s="1326" t="s">
        <v>2545</v>
      </c>
      <c r="H59" s="1326" t="s">
        <v>2546</v>
      </c>
      <c r="I59" s="1326" t="s">
        <v>704</v>
      </c>
      <c r="J59" s="1326" t="s">
        <v>304</v>
      </c>
      <c r="K59" s="1326" t="s">
        <v>2078</v>
      </c>
      <c r="L59" s="1326" t="s">
        <v>2061</v>
      </c>
      <c r="M59" s="1400"/>
      <c r="N59" s="1400"/>
      <c r="O59" s="1400"/>
      <c r="P59" s="1400"/>
      <c r="Q59" s="1400"/>
      <c r="R59" s="1400"/>
      <c r="S59" s="1400"/>
      <c r="T59" s="1400"/>
      <c r="U59" s="1400"/>
      <c r="V59" s="1400"/>
      <c r="W59" s="1400"/>
      <c r="X59" s="1400"/>
      <c r="Y59" s="1685">
        <v>43420</v>
      </c>
      <c r="Z59" s="1326" t="s">
        <v>2062</v>
      </c>
      <c r="AA59" s="1683">
        <v>0</v>
      </c>
      <c r="AB59" s="1683">
        <v>0</v>
      </c>
      <c r="AC59" s="1683">
        <v>0</v>
      </c>
      <c r="AD59" s="1685">
        <v>43433</v>
      </c>
      <c r="AE59" s="1326" t="s">
        <v>2304</v>
      </c>
      <c r="AF59" s="1326" t="s">
        <v>2067</v>
      </c>
      <c r="AG59" s="1410"/>
      <c r="AH59" s="1683">
        <v>239173.85</v>
      </c>
      <c r="AI59" s="1683">
        <v>203297.77</v>
      </c>
      <c r="AJ59" s="1683">
        <v>203297.78</v>
      </c>
      <c r="AK59" s="1683">
        <v>203297.78</v>
      </c>
      <c r="AL59" s="1683">
        <v>0</v>
      </c>
      <c r="AM59" s="1685">
        <v>43437</v>
      </c>
      <c r="AN59" s="1683">
        <v>239173.85</v>
      </c>
      <c r="AO59" s="1683">
        <v>203297.78</v>
      </c>
      <c r="AP59" s="1683">
        <v>203297.78</v>
      </c>
      <c r="AQ59" s="1683">
        <v>203297.78</v>
      </c>
      <c r="AR59" s="1683">
        <v>0</v>
      </c>
      <c r="AS59" s="1683">
        <v>35876.07</v>
      </c>
      <c r="AT59" s="1683">
        <v>0</v>
      </c>
      <c r="AU59" s="1683">
        <v>0</v>
      </c>
      <c r="AV59" s="1683">
        <v>0</v>
      </c>
      <c r="AW59" s="1683">
        <v>35876.07</v>
      </c>
      <c r="AX59" s="1400"/>
      <c r="AY59" s="1400"/>
      <c r="AZ59" s="1400"/>
      <c r="BA59" s="1682"/>
      <c r="BB59" s="1682"/>
      <c r="BC59" s="1400"/>
      <c r="BD59" s="1400"/>
      <c r="BE59" s="1683">
        <v>239173.85</v>
      </c>
      <c r="BF59" s="1683">
        <v>203297.78</v>
      </c>
      <c r="BG59" s="1683">
        <v>203297.78</v>
      </c>
      <c r="BH59" s="1683">
        <v>203297.78</v>
      </c>
      <c r="BI59" s="1683">
        <v>0</v>
      </c>
      <c r="BJ59" s="1683">
        <v>35876.07</v>
      </c>
      <c r="BK59" s="1683">
        <v>0</v>
      </c>
      <c r="BL59" s="1683">
        <v>0</v>
      </c>
      <c r="BM59" s="1683">
        <v>0</v>
      </c>
      <c r="BN59" s="1683">
        <v>35876.07</v>
      </c>
      <c r="BO59" s="1685">
        <v>43553</v>
      </c>
      <c r="BP59" s="1683">
        <v>239173.85</v>
      </c>
      <c r="BQ59" s="1683">
        <v>203297.78</v>
      </c>
      <c r="BR59" s="1683">
        <v>203297.78</v>
      </c>
      <c r="BS59" s="1683">
        <v>203297.78</v>
      </c>
      <c r="BT59" s="1683">
        <v>0</v>
      </c>
      <c r="BU59" s="1683">
        <v>35876.07</v>
      </c>
      <c r="BV59" s="1683">
        <v>0</v>
      </c>
      <c r="BW59" s="1683">
        <v>0</v>
      </c>
      <c r="BX59" s="1683">
        <v>0</v>
      </c>
      <c r="BY59" s="1683">
        <v>35876.07</v>
      </c>
      <c r="BZ59" s="1683">
        <v>0</v>
      </c>
      <c r="CA59" s="1400"/>
      <c r="CB59" s="1682"/>
      <c r="CC59" s="1682"/>
      <c r="CD59" s="1400"/>
      <c r="CE59" s="1400"/>
      <c r="CF59" s="1683">
        <v>0</v>
      </c>
      <c r="CG59" s="1683">
        <v>0</v>
      </c>
      <c r="CH59" s="1683">
        <v>0</v>
      </c>
      <c r="CI59" s="1683">
        <v>0</v>
      </c>
      <c r="CJ59" s="1683">
        <v>0</v>
      </c>
      <c r="CK59" s="1683">
        <v>0</v>
      </c>
      <c r="CL59" s="1682"/>
      <c r="CM59" s="1683">
        <v>0</v>
      </c>
      <c r="CN59" s="1683">
        <v>0</v>
      </c>
      <c r="CO59" s="1683">
        <v>0</v>
      </c>
      <c r="CP59" s="1683">
        <v>0</v>
      </c>
      <c r="CQ59" s="1683">
        <v>0</v>
      </c>
      <c r="CR59" s="1683">
        <v>0</v>
      </c>
      <c r="CS59" s="1683">
        <v>0</v>
      </c>
      <c r="CT59" s="1683">
        <v>0</v>
      </c>
      <c r="CU59" s="1683">
        <v>0</v>
      </c>
      <c r="CV59" s="1683">
        <v>0</v>
      </c>
      <c r="CW59" s="1682"/>
      <c r="CX59" s="1400"/>
      <c r="CY59" s="1400"/>
      <c r="CZ59" s="1400"/>
      <c r="DA59" s="1400"/>
      <c r="DB59" s="1682"/>
      <c r="DC59" s="1326"/>
      <c r="DD59" s="1683">
        <v>0</v>
      </c>
      <c r="DE59" s="1400"/>
      <c r="DF59" s="1400"/>
      <c r="DG59" s="1683">
        <v>0</v>
      </c>
      <c r="DH59" s="1683">
        <v>0</v>
      </c>
    </row>
    <row r="60" spans="1:112" ht="33.75">
      <c r="A60" s="1326" t="s">
        <v>1433</v>
      </c>
      <c r="B60" s="1326" t="s">
        <v>1694</v>
      </c>
      <c r="C60" s="1326" t="s">
        <v>2542</v>
      </c>
      <c r="D60" s="1326" t="s">
        <v>2543</v>
      </c>
      <c r="E60" s="1326" t="s">
        <v>179</v>
      </c>
      <c r="F60" s="1326" t="s">
        <v>2544</v>
      </c>
      <c r="G60" s="1326" t="s">
        <v>2545</v>
      </c>
      <c r="H60" s="1326" t="s">
        <v>2546</v>
      </c>
      <c r="I60" s="1326" t="s">
        <v>704</v>
      </c>
      <c r="J60" s="1326" t="s">
        <v>304</v>
      </c>
      <c r="K60" s="1326" t="s">
        <v>2078</v>
      </c>
      <c r="L60" s="1326" t="s">
        <v>2061</v>
      </c>
      <c r="M60" s="1400"/>
      <c r="N60" s="1400"/>
      <c r="O60" s="1400"/>
      <c r="P60" s="1400"/>
      <c r="Q60" s="1400"/>
      <c r="R60" s="1400"/>
      <c r="S60" s="1400"/>
      <c r="T60" s="1400"/>
      <c r="U60" s="1400"/>
      <c r="V60" s="1400"/>
      <c r="W60" s="1400"/>
      <c r="X60" s="1400"/>
      <c r="Y60" s="1685">
        <v>43482</v>
      </c>
      <c r="Z60" s="1326" t="s">
        <v>2062</v>
      </c>
      <c r="AA60" s="1683">
        <v>0</v>
      </c>
      <c r="AB60" s="1683">
        <v>0</v>
      </c>
      <c r="AC60" s="1683">
        <v>0</v>
      </c>
      <c r="AD60" s="1685">
        <v>43507</v>
      </c>
      <c r="AE60" s="1326" t="s">
        <v>2337</v>
      </c>
      <c r="AF60" s="1326" t="s">
        <v>2067</v>
      </c>
      <c r="AG60" s="1410"/>
      <c r="AH60" s="1683">
        <v>234063.28</v>
      </c>
      <c r="AI60" s="1683">
        <v>198953.79</v>
      </c>
      <c r="AJ60" s="1683">
        <v>198953.78</v>
      </c>
      <c r="AK60" s="1683">
        <v>198953.78</v>
      </c>
      <c r="AL60" s="1683">
        <v>0</v>
      </c>
      <c r="AM60" s="1685">
        <v>43507</v>
      </c>
      <c r="AN60" s="1683">
        <v>234063.28</v>
      </c>
      <c r="AO60" s="1683">
        <v>198953.78</v>
      </c>
      <c r="AP60" s="1683">
        <v>198953.78</v>
      </c>
      <c r="AQ60" s="1683">
        <v>198953.78</v>
      </c>
      <c r="AR60" s="1683">
        <v>0</v>
      </c>
      <c r="AS60" s="1683">
        <v>35109.5</v>
      </c>
      <c r="AT60" s="1683">
        <v>0</v>
      </c>
      <c r="AU60" s="1683">
        <v>0</v>
      </c>
      <c r="AV60" s="1683">
        <v>0</v>
      </c>
      <c r="AW60" s="1683">
        <v>35109.5</v>
      </c>
      <c r="AX60" s="1400"/>
      <c r="AY60" s="1400"/>
      <c r="AZ60" s="1400"/>
      <c r="BA60" s="1682"/>
      <c r="BB60" s="1682"/>
      <c r="BC60" s="1400"/>
      <c r="BD60" s="1400"/>
      <c r="BE60" s="1683">
        <v>234063.28</v>
      </c>
      <c r="BF60" s="1683">
        <v>198953.78</v>
      </c>
      <c r="BG60" s="1683">
        <v>198953.78</v>
      </c>
      <c r="BH60" s="1683">
        <v>198953.78</v>
      </c>
      <c r="BI60" s="1683">
        <v>0</v>
      </c>
      <c r="BJ60" s="1683">
        <v>35109.5</v>
      </c>
      <c r="BK60" s="1683">
        <v>0</v>
      </c>
      <c r="BL60" s="1683">
        <v>0</v>
      </c>
      <c r="BM60" s="1683">
        <v>0</v>
      </c>
      <c r="BN60" s="1683">
        <v>35109.5</v>
      </c>
      <c r="BO60" s="1682"/>
      <c r="BP60" s="1683">
        <v>0</v>
      </c>
      <c r="BQ60" s="1683">
        <v>0</v>
      </c>
      <c r="BR60" s="1683">
        <v>0</v>
      </c>
      <c r="BS60" s="1683">
        <v>0</v>
      </c>
      <c r="BT60" s="1683">
        <v>0</v>
      </c>
      <c r="BU60" s="1683">
        <v>0</v>
      </c>
      <c r="BV60" s="1683">
        <v>0</v>
      </c>
      <c r="BW60" s="1683">
        <v>0</v>
      </c>
      <c r="BX60" s="1683">
        <v>0</v>
      </c>
      <c r="BY60" s="1683">
        <v>0</v>
      </c>
      <c r="BZ60" s="1400"/>
      <c r="CA60" s="1400"/>
      <c r="CB60" s="1682"/>
      <c r="CC60" s="1682"/>
      <c r="CD60" s="1400"/>
      <c r="CE60" s="1400"/>
      <c r="CF60" s="1683">
        <v>0</v>
      </c>
      <c r="CG60" s="1683">
        <v>0</v>
      </c>
      <c r="CH60" s="1683">
        <v>0</v>
      </c>
      <c r="CI60" s="1683">
        <v>0</v>
      </c>
      <c r="CJ60" s="1683">
        <v>0</v>
      </c>
      <c r="CK60" s="1683">
        <v>0</v>
      </c>
      <c r="CL60" s="1682"/>
      <c r="CM60" s="1683">
        <v>0</v>
      </c>
      <c r="CN60" s="1683">
        <v>0</v>
      </c>
      <c r="CO60" s="1683">
        <v>0</v>
      </c>
      <c r="CP60" s="1683">
        <v>0</v>
      </c>
      <c r="CQ60" s="1683">
        <v>0</v>
      </c>
      <c r="CR60" s="1683">
        <v>0</v>
      </c>
      <c r="CS60" s="1683">
        <v>0</v>
      </c>
      <c r="CT60" s="1683">
        <v>0</v>
      </c>
      <c r="CU60" s="1683">
        <v>0</v>
      </c>
      <c r="CV60" s="1683">
        <v>0</v>
      </c>
      <c r="CW60" s="1682"/>
      <c r="CX60" s="1400"/>
      <c r="CY60" s="1400"/>
      <c r="CZ60" s="1400"/>
      <c r="DA60" s="1400"/>
      <c r="DB60" s="1682"/>
      <c r="DC60" s="1326"/>
      <c r="DD60" s="1683">
        <v>0</v>
      </c>
      <c r="DE60" s="1400"/>
      <c r="DF60" s="1400"/>
      <c r="DG60" s="1683">
        <v>0</v>
      </c>
      <c r="DH60" s="1683">
        <v>0</v>
      </c>
    </row>
    <row r="61" spans="1:112">
      <c r="A61" s="1326" t="s">
        <v>1747</v>
      </c>
      <c r="B61" s="1326" t="s">
        <v>1694</v>
      </c>
      <c r="C61" s="1326" t="s">
        <v>2547</v>
      </c>
      <c r="D61" s="1326"/>
      <c r="E61" s="1326"/>
      <c r="F61" s="1326"/>
      <c r="G61" s="1326"/>
      <c r="H61" s="1326"/>
      <c r="I61" s="1326"/>
      <c r="J61" s="1326"/>
      <c r="K61" s="1326"/>
      <c r="L61" s="1326"/>
      <c r="M61" s="1683">
        <v>4130687.05</v>
      </c>
      <c r="N61" s="1683">
        <v>0</v>
      </c>
      <c r="O61" s="1683">
        <v>4130687.05</v>
      </c>
      <c r="P61" s="1683">
        <v>3352807.77</v>
      </c>
      <c r="Q61" s="1683">
        <v>3352807.77</v>
      </c>
      <c r="R61" s="1683">
        <v>3352807.77</v>
      </c>
      <c r="S61" s="1683">
        <v>0</v>
      </c>
      <c r="T61" s="1683">
        <v>777879.28</v>
      </c>
      <c r="U61" s="1683">
        <v>0</v>
      </c>
      <c r="V61" s="1683">
        <v>0</v>
      </c>
      <c r="W61" s="1683">
        <v>0</v>
      </c>
      <c r="X61" s="1683">
        <v>777879.28</v>
      </c>
      <c r="Y61" s="1682"/>
      <c r="Z61" s="1326"/>
      <c r="AA61" s="1683">
        <v>0</v>
      </c>
      <c r="AB61" s="1683">
        <v>0</v>
      </c>
      <c r="AC61" s="1683">
        <v>0</v>
      </c>
      <c r="AD61" s="1682"/>
      <c r="AE61" s="1326"/>
      <c r="AF61" s="1326"/>
      <c r="AG61" s="1410"/>
      <c r="AH61" s="1683">
        <v>747832.39</v>
      </c>
      <c r="AI61" s="1683">
        <v>607002.72</v>
      </c>
      <c r="AJ61" s="1683">
        <v>607002.71</v>
      </c>
      <c r="AK61" s="1683">
        <v>607002.71</v>
      </c>
      <c r="AL61" s="1683">
        <v>0</v>
      </c>
      <c r="AM61" s="1682"/>
      <c r="AN61" s="1683">
        <v>747832.39</v>
      </c>
      <c r="AO61" s="1683">
        <v>607002.71</v>
      </c>
      <c r="AP61" s="1683">
        <v>607002.71</v>
      </c>
      <c r="AQ61" s="1683">
        <v>607002.71</v>
      </c>
      <c r="AR61" s="1683">
        <v>0</v>
      </c>
      <c r="AS61" s="1683">
        <v>140829.68</v>
      </c>
      <c r="AT61" s="1683">
        <v>0</v>
      </c>
      <c r="AU61" s="1683">
        <v>0</v>
      </c>
      <c r="AV61" s="1683">
        <v>0</v>
      </c>
      <c r="AW61" s="1683">
        <v>140829.68</v>
      </c>
      <c r="AX61" s="1683">
        <v>0</v>
      </c>
      <c r="AY61" s="1683">
        <v>0</v>
      </c>
      <c r="AZ61" s="1683">
        <v>0</v>
      </c>
      <c r="BA61" s="1682"/>
      <c r="BB61" s="1682"/>
      <c r="BC61" s="1683">
        <v>0</v>
      </c>
      <c r="BD61" s="1683">
        <v>0</v>
      </c>
      <c r="BE61" s="1683">
        <v>747832.39</v>
      </c>
      <c r="BF61" s="1683">
        <v>607002.71</v>
      </c>
      <c r="BG61" s="1683">
        <v>607002.71</v>
      </c>
      <c r="BH61" s="1683">
        <v>607002.71</v>
      </c>
      <c r="BI61" s="1683">
        <v>0</v>
      </c>
      <c r="BJ61" s="1683">
        <v>140829.68</v>
      </c>
      <c r="BK61" s="1683">
        <v>0</v>
      </c>
      <c r="BL61" s="1683">
        <v>0</v>
      </c>
      <c r="BM61" s="1683">
        <v>0</v>
      </c>
      <c r="BN61" s="1683">
        <v>140829.68</v>
      </c>
      <c r="BO61" s="1682"/>
      <c r="BP61" s="1683">
        <v>747832.39</v>
      </c>
      <c r="BQ61" s="1683">
        <v>607002.71</v>
      </c>
      <c r="BR61" s="1683">
        <v>607002.71</v>
      </c>
      <c r="BS61" s="1683">
        <v>607002.71</v>
      </c>
      <c r="BT61" s="1683">
        <v>0</v>
      </c>
      <c r="BU61" s="1683">
        <v>140829.68</v>
      </c>
      <c r="BV61" s="1683">
        <v>0</v>
      </c>
      <c r="BW61" s="1683">
        <v>0</v>
      </c>
      <c r="BX61" s="1683">
        <v>0</v>
      </c>
      <c r="BY61" s="1683">
        <v>140829.68</v>
      </c>
      <c r="BZ61" s="1683">
        <v>0</v>
      </c>
      <c r="CA61" s="1683">
        <v>0</v>
      </c>
      <c r="CB61" s="1682"/>
      <c r="CC61" s="1682"/>
      <c r="CD61" s="1683">
        <v>0</v>
      </c>
      <c r="CE61" s="1683">
        <v>0</v>
      </c>
      <c r="CF61" s="1683">
        <v>0</v>
      </c>
      <c r="CG61" s="1683">
        <v>0</v>
      </c>
      <c r="CH61" s="1683">
        <v>0</v>
      </c>
      <c r="CI61" s="1683">
        <v>0</v>
      </c>
      <c r="CJ61" s="1683">
        <v>0</v>
      </c>
      <c r="CK61" s="1683">
        <v>0</v>
      </c>
      <c r="CL61" s="1682"/>
      <c r="CM61" s="1683">
        <v>43305.2</v>
      </c>
      <c r="CN61" s="1683">
        <v>35150.089999999997</v>
      </c>
      <c r="CO61" s="1683">
        <v>35150.089999999997</v>
      </c>
      <c r="CP61" s="1683">
        <v>35150.089999999997</v>
      </c>
      <c r="CQ61" s="1683">
        <v>0</v>
      </c>
      <c r="CR61" s="1683">
        <v>8155.11</v>
      </c>
      <c r="CS61" s="1683">
        <v>0</v>
      </c>
      <c r="CT61" s="1683">
        <v>0</v>
      </c>
      <c r="CU61" s="1683">
        <v>0</v>
      </c>
      <c r="CV61" s="1683">
        <v>8155.11</v>
      </c>
      <c r="CW61" s="1682"/>
      <c r="CX61" s="1683">
        <v>0</v>
      </c>
      <c r="CY61" s="1683">
        <v>0</v>
      </c>
      <c r="CZ61" s="1683">
        <v>43305.2</v>
      </c>
      <c r="DA61" s="1683">
        <v>35150.089999999997</v>
      </c>
      <c r="DB61" s="1682"/>
      <c r="DC61" s="1326"/>
      <c r="DD61" s="1683">
        <v>0</v>
      </c>
      <c r="DE61" s="1683">
        <v>0</v>
      </c>
      <c r="DF61" s="1683">
        <v>0</v>
      </c>
      <c r="DG61" s="1683">
        <v>0</v>
      </c>
      <c r="DH61" s="1683">
        <v>0</v>
      </c>
    </row>
    <row r="62" spans="1:112">
      <c r="A62" s="1326" t="s">
        <v>1748</v>
      </c>
      <c r="B62" s="1326" t="s">
        <v>1694</v>
      </c>
      <c r="C62" s="1326" t="s">
        <v>2547</v>
      </c>
      <c r="D62" s="1326" t="s">
        <v>2548</v>
      </c>
      <c r="E62" s="1326"/>
      <c r="F62" s="1326"/>
      <c r="G62" s="1326"/>
      <c r="H62" s="1326"/>
      <c r="I62" s="1326"/>
      <c r="J62" s="1326"/>
      <c r="K62" s="1326"/>
      <c r="L62" s="1326"/>
      <c r="M62" s="1683">
        <v>4130687.05</v>
      </c>
      <c r="N62" s="1683">
        <v>0</v>
      </c>
      <c r="O62" s="1683">
        <v>4130687.05</v>
      </c>
      <c r="P62" s="1683">
        <v>3352807.77</v>
      </c>
      <c r="Q62" s="1683">
        <v>3352807.77</v>
      </c>
      <c r="R62" s="1683">
        <v>3352807.77</v>
      </c>
      <c r="S62" s="1683">
        <v>0</v>
      </c>
      <c r="T62" s="1683">
        <v>777879.28</v>
      </c>
      <c r="U62" s="1683">
        <v>0</v>
      </c>
      <c r="V62" s="1683">
        <v>0</v>
      </c>
      <c r="W62" s="1683">
        <v>0</v>
      </c>
      <c r="X62" s="1683">
        <v>777879.28</v>
      </c>
      <c r="Y62" s="1682"/>
      <c r="Z62" s="1326"/>
      <c r="AA62" s="1683">
        <v>0</v>
      </c>
      <c r="AB62" s="1683">
        <v>0</v>
      </c>
      <c r="AC62" s="1683">
        <v>0</v>
      </c>
      <c r="AD62" s="1682"/>
      <c r="AE62" s="1326"/>
      <c r="AF62" s="1326"/>
      <c r="AG62" s="1410"/>
      <c r="AH62" s="1683">
        <v>747832.39</v>
      </c>
      <c r="AI62" s="1683">
        <v>607002.72</v>
      </c>
      <c r="AJ62" s="1683">
        <v>607002.71</v>
      </c>
      <c r="AK62" s="1683">
        <v>607002.71</v>
      </c>
      <c r="AL62" s="1683">
        <v>0</v>
      </c>
      <c r="AM62" s="1682"/>
      <c r="AN62" s="1683">
        <v>747832.39</v>
      </c>
      <c r="AO62" s="1683">
        <v>607002.71</v>
      </c>
      <c r="AP62" s="1683">
        <v>607002.71</v>
      </c>
      <c r="AQ62" s="1683">
        <v>607002.71</v>
      </c>
      <c r="AR62" s="1683">
        <v>0</v>
      </c>
      <c r="AS62" s="1683">
        <v>140829.68</v>
      </c>
      <c r="AT62" s="1683">
        <v>0</v>
      </c>
      <c r="AU62" s="1683">
        <v>0</v>
      </c>
      <c r="AV62" s="1683">
        <v>0</v>
      </c>
      <c r="AW62" s="1683">
        <v>140829.68</v>
      </c>
      <c r="AX62" s="1683">
        <v>0</v>
      </c>
      <c r="AY62" s="1683">
        <v>0</v>
      </c>
      <c r="AZ62" s="1683">
        <v>0</v>
      </c>
      <c r="BA62" s="1682"/>
      <c r="BB62" s="1682"/>
      <c r="BC62" s="1683">
        <v>0</v>
      </c>
      <c r="BD62" s="1683">
        <v>0</v>
      </c>
      <c r="BE62" s="1683">
        <v>747832.39</v>
      </c>
      <c r="BF62" s="1683">
        <v>607002.71</v>
      </c>
      <c r="BG62" s="1683">
        <v>607002.71</v>
      </c>
      <c r="BH62" s="1683">
        <v>607002.71</v>
      </c>
      <c r="BI62" s="1683">
        <v>0</v>
      </c>
      <c r="BJ62" s="1683">
        <v>140829.68</v>
      </c>
      <c r="BK62" s="1683">
        <v>0</v>
      </c>
      <c r="BL62" s="1683">
        <v>0</v>
      </c>
      <c r="BM62" s="1683">
        <v>0</v>
      </c>
      <c r="BN62" s="1683">
        <v>140829.68</v>
      </c>
      <c r="BO62" s="1682"/>
      <c r="BP62" s="1683">
        <v>747832.39</v>
      </c>
      <c r="BQ62" s="1683">
        <v>607002.71</v>
      </c>
      <c r="BR62" s="1683">
        <v>607002.71</v>
      </c>
      <c r="BS62" s="1683">
        <v>607002.71</v>
      </c>
      <c r="BT62" s="1683">
        <v>0</v>
      </c>
      <c r="BU62" s="1683">
        <v>140829.68</v>
      </c>
      <c r="BV62" s="1683">
        <v>0</v>
      </c>
      <c r="BW62" s="1683">
        <v>0</v>
      </c>
      <c r="BX62" s="1683">
        <v>0</v>
      </c>
      <c r="BY62" s="1683">
        <v>140829.68</v>
      </c>
      <c r="BZ62" s="1683">
        <v>0</v>
      </c>
      <c r="CA62" s="1683">
        <v>0</v>
      </c>
      <c r="CB62" s="1682"/>
      <c r="CC62" s="1682"/>
      <c r="CD62" s="1683">
        <v>0</v>
      </c>
      <c r="CE62" s="1683">
        <v>0</v>
      </c>
      <c r="CF62" s="1683">
        <v>0</v>
      </c>
      <c r="CG62" s="1683">
        <v>0</v>
      </c>
      <c r="CH62" s="1683">
        <v>0</v>
      </c>
      <c r="CI62" s="1683">
        <v>0</v>
      </c>
      <c r="CJ62" s="1683">
        <v>0</v>
      </c>
      <c r="CK62" s="1683">
        <v>0</v>
      </c>
      <c r="CL62" s="1682"/>
      <c r="CM62" s="1683">
        <v>43305.2</v>
      </c>
      <c r="CN62" s="1683">
        <v>35150.089999999997</v>
      </c>
      <c r="CO62" s="1683">
        <v>35150.089999999997</v>
      </c>
      <c r="CP62" s="1683">
        <v>35150.089999999997</v>
      </c>
      <c r="CQ62" s="1683">
        <v>0</v>
      </c>
      <c r="CR62" s="1683">
        <v>8155.11</v>
      </c>
      <c r="CS62" s="1683">
        <v>0</v>
      </c>
      <c r="CT62" s="1683">
        <v>0</v>
      </c>
      <c r="CU62" s="1683">
        <v>0</v>
      </c>
      <c r="CV62" s="1683">
        <v>8155.11</v>
      </c>
      <c r="CW62" s="1682"/>
      <c r="CX62" s="1683">
        <v>0</v>
      </c>
      <c r="CY62" s="1683">
        <v>0</v>
      </c>
      <c r="CZ62" s="1683">
        <v>43305.2</v>
      </c>
      <c r="DA62" s="1683">
        <v>35150.089999999997</v>
      </c>
      <c r="DB62" s="1682"/>
      <c r="DC62" s="1326"/>
      <c r="DD62" s="1683">
        <v>0</v>
      </c>
      <c r="DE62" s="1683">
        <v>0</v>
      </c>
      <c r="DF62" s="1683">
        <v>0</v>
      </c>
      <c r="DG62" s="1683">
        <v>0</v>
      </c>
      <c r="DH62" s="1683">
        <v>0</v>
      </c>
    </row>
    <row r="63" spans="1:112">
      <c r="A63" s="1326" t="s">
        <v>1749</v>
      </c>
      <c r="B63" s="1326" t="s">
        <v>1694</v>
      </c>
      <c r="C63" s="1326" t="s">
        <v>2547</v>
      </c>
      <c r="D63" s="1326" t="s">
        <v>2548</v>
      </c>
      <c r="E63" s="1326" t="s">
        <v>190</v>
      </c>
      <c r="F63" s="1326"/>
      <c r="G63" s="1326"/>
      <c r="H63" s="1326"/>
      <c r="I63" s="1326"/>
      <c r="J63" s="1326"/>
      <c r="K63" s="1326"/>
      <c r="L63" s="1326"/>
      <c r="M63" s="1683">
        <v>4130687.05</v>
      </c>
      <c r="N63" s="1683">
        <v>0</v>
      </c>
      <c r="O63" s="1683">
        <v>4130687.05</v>
      </c>
      <c r="P63" s="1683">
        <v>3352807.77</v>
      </c>
      <c r="Q63" s="1683">
        <v>3352807.77</v>
      </c>
      <c r="R63" s="1683">
        <v>3352807.77</v>
      </c>
      <c r="S63" s="1683">
        <v>0</v>
      </c>
      <c r="T63" s="1683">
        <v>777879.28</v>
      </c>
      <c r="U63" s="1683">
        <v>0</v>
      </c>
      <c r="V63" s="1683">
        <v>0</v>
      </c>
      <c r="W63" s="1683">
        <v>0</v>
      </c>
      <c r="X63" s="1683">
        <v>777879.28</v>
      </c>
      <c r="Y63" s="1682"/>
      <c r="Z63" s="1326"/>
      <c r="AA63" s="1683">
        <v>0</v>
      </c>
      <c r="AB63" s="1683">
        <v>0</v>
      </c>
      <c r="AC63" s="1683">
        <v>0</v>
      </c>
      <c r="AD63" s="1682"/>
      <c r="AE63" s="1326"/>
      <c r="AF63" s="1326"/>
      <c r="AG63" s="1410"/>
      <c r="AH63" s="1683">
        <v>747832.39</v>
      </c>
      <c r="AI63" s="1683">
        <v>607002.72</v>
      </c>
      <c r="AJ63" s="1683">
        <v>607002.71</v>
      </c>
      <c r="AK63" s="1683">
        <v>607002.71</v>
      </c>
      <c r="AL63" s="1683">
        <v>0</v>
      </c>
      <c r="AM63" s="1682"/>
      <c r="AN63" s="1683">
        <v>747832.39</v>
      </c>
      <c r="AO63" s="1683">
        <v>607002.71</v>
      </c>
      <c r="AP63" s="1683">
        <v>607002.71</v>
      </c>
      <c r="AQ63" s="1683">
        <v>607002.71</v>
      </c>
      <c r="AR63" s="1683">
        <v>0</v>
      </c>
      <c r="AS63" s="1683">
        <v>140829.68</v>
      </c>
      <c r="AT63" s="1683">
        <v>0</v>
      </c>
      <c r="AU63" s="1683">
        <v>0</v>
      </c>
      <c r="AV63" s="1683">
        <v>0</v>
      </c>
      <c r="AW63" s="1683">
        <v>140829.68</v>
      </c>
      <c r="AX63" s="1683">
        <v>0</v>
      </c>
      <c r="AY63" s="1683">
        <v>0</v>
      </c>
      <c r="AZ63" s="1683">
        <v>0</v>
      </c>
      <c r="BA63" s="1682"/>
      <c r="BB63" s="1682"/>
      <c r="BC63" s="1683">
        <v>0</v>
      </c>
      <c r="BD63" s="1683">
        <v>0</v>
      </c>
      <c r="BE63" s="1683">
        <v>747832.39</v>
      </c>
      <c r="BF63" s="1683">
        <v>607002.71</v>
      </c>
      <c r="BG63" s="1683">
        <v>607002.71</v>
      </c>
      <c r="BH63" s="1683">
        <v>607002.71</v>
      </c>
      <c r="BI63" s="1683">
        <v>0</v>
      </c>
      <c r="BJ63" s="1683">
        <v>140829.68</v>
      </c>
      <c r="BK63" s="1683">
        <v>0</v>
      </c>
      <c r="BL63" s="1683">
        <v>0</v>
      </c>
      <c r="BM63" s="1683">
        <v>0</v>
      </c>
      <c r="BN63" s="1683">
        <v>140829.68</v>
      </c>
      <c r="BO63" s="1682"/>
      <c r="BP63" s="1683">
        <v>747832.39</v>
      </c>
      <c r="BQ63" s="1683">
        <v>607002.71</v>
      </c>
      <c r="BR63" s="1683">
        <v>607002.71</v>
      </c>
      <c r="BS63" s="1683">
        <v>607002.71</v>
      </c>
      <c r="BT63" s="1683">
        <v>0</v>
      </c>
      <c r="BU63" s="1683">
        <v>140829.68</v>
      </c>
      <c r="BV63" s="1683">
        <v>0</v>
      </c>
      <c r="BW63" s="1683">
        <v>0</v>
      </c>
      <c r="BX63" s="1683">
        <v>0</v>
      </c>
      <c r="BY63" s="1683">
        <v>140829.68</v>
      </c>
      <c r="BZ63" s="1683">
        <v>0</v>
      </c>
      <c r="CA63" s="1683">
        <v>0</v>
      </c>
      <c r="CB63" s="1682"/>
      <c r="CC63" s="1682"/>
      <c r="CD63" s="1683">
        <v>0</v>
      </c>
      <c r="CE63" s="1683">
        <v>0</v>
      </c>
      <c r="CF63" s="1683">
        <v>0</v>
      </c>
      <c r="CG63" s="1683">
        <v>0</v>
      </c>
      <c r="CH63" s="1683">
        <v>0</v>
      </c>
      <c r="CI63" s="1683">
        <v>0</v>
      </c>
      <c r="CJ63" s="1683">
        <v>0</v>
      </c>
      <c r="CK63" s="1683">
        <v>0</v>
      </c>
      <c r="CL63" s="1682"/>
      <c r="CM63" s="1683">
        <v>43305.2</v>
      </c>
      <c r="CN63" s="1683">
        <v>35150.089999999997</v>
      </c>
      <c r="CO63" s="1683">
        <v>35150.089999999997</v>
      </c>
      <c r="CP63" s="1683">
        <v>35150.089999999997</v>
      </c>
      <c r="CQ63" s="1683">
        <v>0</v>
      </c>
      <c r="CR63" s="1683">
        <v>8155.11</v>
      </c>
      <c r="CS63" s="1683">
        <v>0</v>
      </c>
      <c r="CT63" s="1683">
        <v>0</v>
      </c>
      <c r="CU63" s="1683">
        <v>0</v>
      </c>
      <c r="CV63" s="1683">
        <v>8155.11</v>
      </c>
      <c r="CW63" s="1682"/>
      <c r="CX63" s="1683">
        <v>0</v>
      </c>
      <c r="CY63" s="1683">
        <v>0</v>
      </c>
      <c r="CZ63" s="1683">
        <v>43305.2</v>
      </c>
      <c r="DA63" s="1683">
        <v>35150.089999999997</v>
      </c>
      <c r="DB63" s="1682"/>
      <c r="DC63" s="1326"/>
      <c r="DD63" s="1683">
        <v>0</v>
      </c>
      <c r="DE63" s="1683">
        <v>0</v>
      </c>
      <c r="DF63" s="1683">
        <v>0</v>
      </c>
      <c r="DG63" s="1683">
        <v>0</v>
      </c>
      <c r="DH63" s="1683">
        <v>0</v>
      </c>
    </row>
    <row r="64" spans="1:112" ht="45">
      <c r="A64" s="1326" t="s">
        <v>1750</v>
      </c>
      <c r="B64" s="1326" t="s">
        <v>1694</v>
      </c>
      <c r="C64" s="1326" t="s">
        <v>2547</v>
      </c>
      <c r="D64" s="1326" t="s">
        <v>2548</v>
      </c>
      <c r="E64" s="1326" t="s">
        <v>190</v>
      </c>
      <c r="F64" s="1326" t="s">
        <v>2544</v>
      </c>
      <c r="G64" s="1326" t="s">
        <v>2545</v>
      </c>
      <c r="H64" s="1326" t="s">
        <v>2546</v>
      </c>
      <c r="I64" s="1326" t="s">
        <v>729</v>
      </c>
      <c r="J64" s="1326" t="s">
        <v>2085</v>
      </c>
      <c r="K64" s="1326" t="s">
        <v>2086</v>
      </c>
      <c r="L64" s="1326" t="s">
        <v>2061</v>
      </c>
      <c r="M64" s="1683">
        <v>4130687.05</v>
      </c>
      <c r="N64" s="1683">
        <v>0</v>
      </c>
      <c r="O64" s="1683">
        <v>4130687.05</v>
      </c>
      <c r="P64" s="1683">
        <v>3352807.77</v>
      </c>
      <c r="Q64" s="1683">
        <v>3352807.77</v>
      </c>
      <c r="R64" s="1683">
        <v>3352807.77</v>
      </c>
      <c r="S64" s="1683">
        <v>0</v>
      </c>
      <c r="T64" s="1683">
        <v>777879.28</v>
      </c>
      <c r="U64" s="1683">
        <v>0</v>
      </c>
      <c r="V64" s="1683">
        <v>0</v>
      </c>
      <c r="W64" s="1683">
        <v>0</v>
      </c>
      <c r="X64" s="1683">
        <v>777879.28</v>
      </c>
      <c r="Y64" s="1682"/>
      <c r="Z64" s="1326"/>
      <c r="AA64" s="1683">
        <v>0</v>
      </c>
      <c r="AB64" s="1683">
        <v>0</v>
      </c>
      <c r="AC64" s="1683">
        <v>0</v>
      </c>
      <c r="AD64" s="1682"/>
      <c r="AE64" s="1326"/>
      <c r="AF64" s="1326"/>
      <c r="AG64" s="1410"/>
      <c r="AH64" s="1683">
        <v>747832.39</v>
      </c>
      <c r="AI64" s="1683">
        <v>607002.72</v>
      </c>
      <c r="AJ64" s="1683">
        <v>607002.71</v>
      </c>
      <c r="AK64" s="1683">
        <v>607002.71</v>
      </c>
      <c r="AL64" s="1683">
        <v>0</v>
      </c>
      <c r="AM64" s="1682"/>
      <c r="AN64" s="1683">
        <v>747832.39</v>
      </c>
      <c r="AO64" s="1683">
        <v>607002.71</v>
      </c>
      <c r="AP64" s="1683">
        <v>607002.71</v>
      </c>
      <c r="AQ64" s="1683">
        <v>607002.71</v>
      </c>
      <c r="AR64" s="1683">
        <v>0</v>
      </c>
      <c r="AS64" s="1683">
        <v>140829.68</v>
      </c>
      <c r="AT64" s="1683">
        <v>0</v>
      </c>
      <c r="AU64" s="1683">
        <v>0</v>
      </c>
      <c r="AV64" s="1683">
        <v>0</v>
      </c>
      <c r="AW64" s="1683">
        <v>140829.68</v>
      </c>
      <c r="AX64" s="1683">
        <v>0</v>
      </c>
      <c r="AY64" s="1683">
        <v>0</v>
      </c>
      <c r="AZ64" s="1683">
        <v>0</v>
      </c>
      <c r="BA64" s="1682"/>
      <c r="BB64" s="1682"/>
      <c r="BC64" s="1683">
        <v>0</v>
      </c>
      <c r="BD64" s="1683">
        <v>0</v>
      </c>
      <c r="BE64" s="1683">
        <v>747832.39</v>
      </c>
      <c r="BF64" s="1683">
        <v>607002.71</v>
      </c>
      <c r="BG64" s="1683">
        <v>607002.71</v>
      </c>
      <c r="BH64" s="1683">
        <v>607002.71</v>
      </c>
      <c r="BI64" s="1683">
        <v>0</v>
      </c>
      <c r="BJ64" s="1683">
        <v>140829.68</v>
      </c>
      <c r="BK64" s="1683">
        <v>0</v>
      </c>
      <c r="BL64" s="1683">
        <v>0</v>
      </c>
      <c r="BM64" s="1683">
        <v>0</v>
      </c>
      <c r="BN64" s="1683">
        <v>140829.68</v>
      </c>
      <c r="BO64" s="1682"/>
      <c r="BP64" s="1683">
        <v>747832.39</v>
      </c>
      <c r="BQ64" s="1683">
        <v>607002.71</v>
      </c>
      <c r="BR64" s="1683">
        <v>607002.71</v>
      </c>
      <c r="BS64" s="1683">
        <v>607002.71</v>
      </c>
      <c r="BT64" s="1683">
        <v>0</v>
      </c>
      <c r="BU64" s="1683">
        <v>140829.68</v>
      </c>
      <c r="BV64" s="1683">
        <v>0</v>
      </c>
      <c r="BW64" s="1683">
        <v>0</v>
      </c>
      <c r="BX64" s="1683">
        <v>0</v>
      </c>
      <c r="BY64" s="1683">
        <v>140829.68</v>
      </c>
      <c r="BZ64" s="1683">
        <v>0</v>
      </c>
      <c r="CA64" s="1683">
        <v>0</v>
      </c>
      <c r="CB64" s="1682"/>
      <c r="CC64" s="1682"/>
      <c r="CD64" s="1683">
        <v>0</v>
      </c>
      <c r="CE64" s="1683">
        <v>0</v>
      </c>
      <c r="CF64" s="1683">
        <v>0</v>
      </c>
      <c r="CG64" s="1683">
        <v>0</v>
      </c>
      <c r="CH64" s="1683">
        <v>0</v>
      </c>
      <c r="CI64" s="1683">
        <v>0</v>
      </c>
      <c r="CJ64" s="1683">
        <v>0</v>
      </c>
      <c r="CK64" s="1683">
        <v>0</v>
      </c>
      <c r="CL64" s="1682"/>
      <c r="CM64" s="1683">
        <v>43305.2</v>
      </c>
      <c r="CN64" s="1683">
        <v>35150.089999999997</v>
      </c>
      <c r="CO64" s="1683">
        <v>35150.089999999997</v>
      </c>
      <c r="CP64" s="1683">
        <v>35150.089999999997</v>
      </c>
      <c r="CQ64" s="1683">
        <v>0</v>
      </c>
      <c r="CR64" s="1683">
        <v>8155.11</v>
      </c>
      <c r="CS64" s="1683">
        <v>0</v>
      </c>
      <c r="CT64" s="1683">
        <v>0</v>
      </c>
      <c r="CU64" s="1683">
        <v>0</v>
      </c>
      <c r="CV64" s="1683">
        <v>8155.11</v>
      </c>
      <c r="CW64" s="1682"/>
      <c r="CX64" s="1683">
        <v>0</v>
      </c>
      <c r="CY64" s="1683">
        <v>0</v>
      </c>
      <c r="CZ64" s="1683">
        <v>43305.2</v>
      </c>
      <c r="DA64" s="1683">
        <v>35150.089999999997</v>
      </c>
      <c r="DB64" s="1682"/>
      <c r="DC64" s="1326"/>
      <c r="DD64" s="1683">
        <v>0</v>
      </c>
      <c r="DE64" s="1683">
        <v>0</v>
      </c>
      <c r="DF64" s="1683">
        <v>0</v>
      </c>
      <c r="DG64" s="1683">
        <v>0</v>
      </c>
      <c r="DH64" s="1683">
        <v>0</v>
      </c>
    </row>
    <row r="65" spans="1:112" ht="45">
      <c r="A65" s="1326" t="s">
        <v>1751</v>
      </c>
      <c r="B65" s="1326" t="s">
        <v>1694</v>
      </c>
      <c r="C65" s="1326" t="s">
        <v>2547</v>
      </c>
      <c r="D65" s="1326" t="s">
        <v>2548</v>
      </c>
      <c r="E65" s="1326" t="s">
        <v>190</v>
      </c>
      <c r="F65" s="1326" t="s">
        <v>2544</v>
      </c>
      <c r="G65" s="1326" t="s">
        <v>2545</v>
      </c>
      <c r="H65" s="1326" t="s">
        <v>2546</v>
      </c>
      <c r="I65" s="1326" t="s">
        <v>729</v>
      </c>
      <c r="J65" s="1326" t="s">
        <v>2085</v>
      </c>
      <c r="K65" s="1326" t="s">
        <v>2086</v>
      </c>
      <c r="L65" s="1326" t="s">
        <v>2061</v>
      </c>
      <c r="M65" s="1400"/>
      <c r="N65" s="1400"/>
      <c r="O65" s="1400"/>
      <c r="P65" s="1400"/>
      <c r="Q65" s="1400"/>
      <c r="R65" s="1400"/>
      <c r="S65" s="1400"/>
      <c r="T65" s="1400"/>
      <c r="U65" s="1400"/>
      <c r="V65" s="1400"/>
      <c r="W65" s="1400"/>
      <c r="X65" s="1400"/>
      <c r="Y65" s="1685">
        <v>43111</v>
      </c>
      <c r="Z65" s="1326" t="s">
        <v>2062</v>
      </c>
      <c r="AA65" s="1683">
        <v>0</v>
      </c>
      <c r="AB65" s="1683">
        <v>0</v>
      </c>
      <c r="AC65" s="1683">
        <v>0</v>
      </c>
      <c r="AD65" s="1685">
        <v>43152</v>
      </c>
      <c r="AE65" s="1326" t="s">
        <v>2063</v>
      </c>
      <c r="AF65" s="1326" t="s">
        <v>2067</v>
      </c>
      <c r="AG65" s="1410"/>
      <c r="AH65" s="1683">
        <v>43305.2</v>
      </c>
      <c r="AI65" s="1683">
        <v>35150.089999999997</v>
      </c>
      <c r="AJ65" s="1683">
        <v>35150.089999999997</v>
      </c>
      <c r="AK65" s="1683">
        <v>35150.089999999997</v>
      </c>
      <c r="AL65" s="1683">
        <v>0</v>
      </c>
      <c r="AM65" s="1685">
        <v>43159</v>
      </c>
      <c r="AN65" s="1683">
        <v>43305.2</v>
      </c>
      <c r="AO65" s="1683">
        <v>35150.089999999997</v>
      </c>
      <c r="AP65" s="1683">
        <v>35150.089999999997</v>
      </c>
      <c r="AQ65" s="1683">
        <v>35150.089999999997</v>
      </c>
      <c r="AR65" s="1683">
        <v>0</v>
      </c>
      <c r="AS65" s="1683">
        <v>8155.11</v>
      </c>
      <c r="AT65" s="1683">
        <v>0</v>
      </c>
      <c r="AU65" s="1683">
        <v>0</v>
      </c>
      <c r="AV65" s="1683">
        <v>0</v>
      </c>
      <c r="AW65" s="1683">
        <v>8155.11</v>
      </c>
      <c r="AX65" s="1400"/>
      <c r="AY65" s="1400"/>
      <c r="AZ65" s="1400"/>
      <c r="BA65" s="1682"/>
      <c r="BB65" s="1682"/>
      <c r="BC65" s="1400"/>
      <c r="BD65" s="1400"/>
      <c r="BE65" s="1683">
        <v>43305.2</v>
      </c>
      <c r="BF65" s="1683">
        <v>35150.089999999997</v>
      </c>
      <c r="BG65" s="1683">
        <v>35150.089999999997</v>
      </c>
      <c r="BH65" s="1683">
        <v>35150.089999999997</v>
      </c>
      <c r="BI65" s="1683">
        <v>0</v>
      </c>
      <c r="BJ65" s="1683">
        <v>8155.11</v>
      </c>
      <c r="BK65" s="1683">
        <v>0</v>
      </c>
      <c r="BL65" s="1683">
        <v>0</v>
      </c>
      <c r="BM65" s="1683">
        <v>0</v>
      </c>
      <c r="BN65" s="1683">
        <v>8155.11</v>
      </c>
      <c r="BO65" s="1685">
        <v>43230</v>
      </c>
      <c r="BP65" s="1683">
        <v>43305.2</v>
      </c>
      <c r="BQ65" s="1683">
        <v>35150.089999999997</v>
      </c>
      <c r="BR65" s="1683">
        <v>35150.089999999997</v>
      </c>
      <c r="BS65" s="1683">
        <v>35150.089999999997</v>
      </c>
      <c r="BT65" s="1683">
        <v>0</v>
      </c>
      <c r="BU65" s="1683">
        <v>8155.11</v>
      </c>
      <c r="BV65" s="1683">
        <v>0</v>
      </c>
      <c r="BW65" s="1683">
        <v>0</v>
      </c>
      <c r="BX65" s="1683">
        <v>0</v>
      </c>
      <c r="BY65" s="1683">
        <v>8155.11</v>
      </c>
      <c r="BZ65" s="1683">
        <v>0</v>
      </c>
      <c r="CA65" s="1400"/>
      <c r="CB65" s="1682"/>
      <c r="CC65" s="1682"/>
      <c r="CD65" s="1400"/>
      <c r="CE65" s="1400"/>
      <c r="CF65" s="1683">
        <v>0</v>
      </c>
      <c r="CG65" s="1683">
        <v>0</v>
      </c>
      <c r="CH65" s="1683">
        <v>0</v>
      </c>
      <c r="CI65" s="1683">
        <v>0</v>
      </c>
      <c r="CJ65" s="1683">
        <v>0</v>
      </c>
      <c r="CK65" s="1683">
        <v>0</v>
      </c>
      <c r="CL65" s="1685">
        <v>43511</v>
      </c>
      <c r="CM65" s="1683">
        <v>43305.2</v>
      </c>
      <c r="CN65" s="1683">
        <v>35150.089999999997</v>
      </c>
      <c r="CO65" s="1683">
        <v>35150.089999999997</v>
      </c>
      <c r="CP65" s="1683">
        <v>35150.089999999997</v>
      </c>
      <c r="CQ65" s="1683">
        <v>0</v>
      </c>
      <c r="CR65" s="1683">
        <v>8155.11</v>
      </c>
      <c r="CS65" s="1683">
        <v>0</v>
      </c>
      <c r="CT65" s="1683">
        <v>0</v>
      </c>
      <c r="CU65" s="1683">
        <v>0</v>
      </c>
      <c r="CV65" s="1683">
        <v>8155.11</v>
      </c>
      <c r="CW65" s="1682"/>
      <c r="CX65" s="1400"/>
      <c r="CY65" s="1400"/>
      <c r="CZ65" s="1400"/>
      <c r="DA65" s="1400"/>
      <c r="DB65" s="1682"/>
      <c r="DC65" s="1326"/>
      <c r="DD65" s="1683">
        <v>0</v>
      </c>
      <c r="DE65" s="1400"/>
      <c r="DF65" s="1400"/>
      <c r="DG65" s="1683">
        <v>0</v>
      </c>
      <c r="DH65" s="1683">
        <v>0</v>
      </c>
    </row>
    <row r="66" spans="1:112" ht="45">
      <c r="A66" s="1326" t="s">
        <v>2089</v>
      </c>
      <c r="B66" s="1326" t="s">
        <v>1694</v>
      </c>
      <c r="C66" s="1326" t="s">
        <v>2547</v>
      </c>
      <c r="D66" s="1326" t="s">
        <v>2548</v>
      </c>
      <c r="E66" s="1326" t="s">
        <v>190</v>
      </c>
      <c r="F66" s="1326" t="s">
        <v>2544</v>
      </c>
      <c r="G66" s="1326" t="s">
        <v>2545</v>
      </c>
      <c r="H66" s="1326" t="s">
        <v>2546</v>
      </c>
      <c r="I66" s="1326" t="s">
        <v>729</v>
      </c>
      <c r="J66" s="1326" t="s">
        <v>2085</v>
      </c>
      <c r="K66" s="1326" t="s">
        <v>2086</v>
      </c>
      <c r="L66" s="1326" t="s">
        <v>2061</v>
      </c>
      <c r="M66" s="1400"/>
      <c r="N66" s="1400"/>
      <c r="O66" s="1400"/>
      <c r="P66" s="1400"/>
      <c r="Q66" s="1400"/>
      <c r="R66" s="1400"/>
      <c r="S66" s="1400"/>
      <c r="T66" s="1400"/>
      <c r="U66" s="1400"/>
      <c r="V66" s="1400"/>
      <c r="W66" s="1400"/>
      <c r="X66" s="1400"/>
      <c r="Y66" s="1685">
        <v>43172</v>
      </c>
      <c r="Z66" s="1326" t="s">
        <v>2062</v>
      </c>
      <c r="AA66" s="1683">
        <v>0</v>
      </c>
      <c r="AB66" s="1683">
        <v>0</v>
      </c>
      <c r="AC66" s="1683">
        <v>0</v>
      </c>
      <c r="AD66" s="1685">
        <v>43196</v>
      </c>
      <c r="AE66" s="1326" t="s">
        <v>2066</v>
      </c>
      <c r="AF66" s="1326" t="s">
        <v>2067</v>
      </c>
      <c r="AG66" s="1410"/>
      <c r="AH66" s="1683">
        <v>128670</v>
      </c>
      <c r="AI66" s="1683">
        <v>104439.23</v>
      </c>
      <c r="AJ66" s="1683">
        <v>104439.23</v>
      </c>
      <c r="AK66" s="1683">
        <v>104439.23</v>
      </c>
      <c r="AL66" s="1683">
        <v>0</v>
      </c>
      <c r="AM66" s="1685">
        <v>43201</v>
      </c>
      <c r="AN66" s="1683">
        <v>128670</v>
      </c>
      <c r="AO66" s="1683">
        <v>104439.23</v>
      </c>
      <c r="AP66" s="1683">
        <v>104439.23</v>
      </c>
      <c r="AQ66" s="1683">
        <v>104439.23</v>
      </c>
      <c r="AR66" s="1683">
        <v>0</v>
      </c>
      <c r="AS66" s="1683">
        <v>24230.77</v>
      </c>
      <c r="AT66" s="1683">
        <v>0</v>
      </c>
      <c r="AU66" s="1683">
        <v>0</v>
      </c>
      <c r="AV66" s="1683">
        <v>0</v>
      </c>
      <c r="AW66" s="1683">
        <v>24230.77</v>
      </c>
      <c r="AX66" s="1400"/>
      <c r="AY66" s="1400"/>
      <c r="AZ66" s="1400"/>
      <c r="BA66" s="1682"/>
      <c r="BB66" s="1682"/>
      <c r="BC66" s="1400"/>
      <c r="BD66" s="1400"/>
      <c r="BE66" s="1683">
        <v>128670</v>
      </c>
      <c r="BF66" s="1683">
        <v>104439.23</v>
      </c>
      <c r="BG66" s="1683">
        <v>104439.23</v>
      </c>
      <c r="BH66" s="1683">
        <v>104439.23</v>
      </c>
      <c r="BI66" s="1683">
        <v>0</v>
      </c>
      <c r="BJ66" s="1683">
        <v>24230.77</v>
      </c>
      <c r="BK66" s="1683">
        <v>0</v>
      </c>
      <c r="BL66" s="1683">
        <v>0</v>
      </c>
      <c r="BM66" s="1683">
        <v>0</v>
      </c>
      <c r="BN66" s="1683">
        <v>24230.77</v>
      </c>
      <c r="BO66" s="1685">
        <v>43355</v>
      </c>
      <c r="BP66" s="1683">
        <v>128670</v>
      </c>
      <c r="BQ66" s="1683">
        <v>104439.23</v>
      </c>
      <c r="BR66" s="1683">
        <v>104439.23</v>
      </c>
      <c r="BS66" s="1683">
        <v>104439.23</v>
      </c>
      <c r="BT66" s="1683">
        <v>0</v>
      </c>
      <c r="BU66" s="1683">
        <v>24230.77</v>
      </c>
      <c r="BV66" s="1683">
        <v>0</v>
      </c>
      <c r="BW66" s="1683">
        <v>0</v>
      </c>
      <c r="BX66" s="1683">
        <v>0</v>
      </c>
      <c r="BY66" s="1683">
        <v>24230.77</v>
      </c>
      <c r="BZ66" s="1683">
        <v>0</v>
      </c>
      <c r="CA66" s="1400"/>
      <c r="CB66" s="1682"/>
      <c r="CC66" s="1682"/>
      <c r="CD66" s="1400"/>
      <c r="CE66" s="1400"/>
      <c r="CF66" s="1683">
        <v>0</v>
      </c>
      <c r="CG66" s="1683">
        <v>0</v>
      </c>
      <c r="CH66" s="1683">
        <v>0</v>
      </c>
      <c r="CI66" s="1683">
        <v>0</v>
      </c>
      <c r="CJ66" s="1683">
        <v>0</v>
      </c>
      <c r="CK66" s="1683">
        <v>0</v>
      </c>
      <c r="CL66" s="1682"/>
      <c r="CM66" s="1683">
        <v>0</v>
      </c>
      <c r="CN66" s="1683">
        <v>0</v>
      </c>
      <c r="CO66" s="1683">
        <v>0</v>
      </c>
      <c r="CP66" s="1683">
        <v>0</v>
      </c>
      <c r="CQ66" s="1683">
        <v>0</v>
      </c>
      <c r="CR66" s="1683">
        <v>0</v>
      </c>
      <c r="CS66" s="1683">
        <v>0</v>
      </c>
      <c r="CT66" s="1683">
        <v>0</v>
      </c>
      <c r="CU66" s="1683">
        <v>0</v>
      </c>
      <c r="CV66" s="1683">
        <v>0</v>
      </c>
      <c r="CW66" s="1682"/>
      <c r="CX66" s="1400"/>
      <c r="CY66" s="1400"/>
      <c r="CZ66" s="1400"/>
      <c r="DA66" s="1400"/>
      <c r="DB66" s="1682"/>
      <c r="DC66" s="1326"/>
      <c r="DD66" s="1683">
        <v>0</v>
      </c>
      <c r="DE66" s="1400"/>
      <c r="DF66" s="1400"/>
      <c r="DG66" s="1683">
        <v>0</v>
      </c>
      <c r="DH66" s="1683">
        <v>0</v>
      </c>
    </row>
    <row r="67" spans="1:112" ht="45">
      <c r="A67" s="1326" t="s">
        <v>2090</v>
      </c>
      <c r="B67" s="1326" t="s">
        <v>1694</v>
      </c>
      <c r="C67" s="1326" t="s">
        <v>2547</v>
      </c>
      <c r="D67" s="1326" t="s">
        <v>2548</v>
      </c>
      <c r="E67" s="1326" t="s">
        <v>190</v>
      </c>
      <c r="F67" s="1326" t="s">
        <v>2544</v>
      </c>
      <c r="G67" s="1326" t="s">
        <v>2545</v>
      </c>
      <c r="H67" s="1326" t="s">
        <v>2546</v>
      </c>
      <c r="I67" s="1326" t="s">
        <v>729</v>
      </c>
      <c r="J67" s="1326" t="s">
        <v>2085</v>
      </c>
      <c r="K67" s="1326" t="s">
        <v>2086</v>
      </c>
      <c r="L67" s="1326" t="s">
        <v>2061</v>
      </c>
      <c r="M67" s="1400"/>
      <c r="N67" s="1400"/>
      <c r="O67" s="1400"/>
      <c r="P67" s="1400"/>
      <c r="Q67" s="1400"/>
      <c r="R67" s="1400"/>
      <c r="S67" s="1400"/>
      <c r="T67" s="1400"/>
      <c r="U67" s="1400"/>
      <c r="V67" s="1400"/>
      <c r="W67" s="1400"/>
      <c r="X67" s="1400"/>
      <c r="Y67" s="1685">
        <v>43235</v>
      </c>
      <c r="Z67" s="1326" t="s">
        <v>2062</v>
      </c>
      <c r="AA67" s="1683">
        <v>0</v>
      </c>
      <c r="AB67" s="1683">
        <v>0</v>
      </c>
      <c r="AC67" s="1683">
        <v>0</v>
      </c>
      <c r="AD67" s="1685">
        <v>43265</v>
      </c>
      <c r="AE67" s="1326" t="s">
        <v>2079</v>
      </c>
      <c r="AF67" s="1326" t="s">
        <v>2067</v>
      </c>
      <c r="AG67" s="1410"/>
      <c r="AH67" s="1683">
        <v>103772.35</v>
      </c>
      <c r="AI67" s="1683">
        <v>84230.24</v>
      </c>
      <c r="AJ67" s="1683">
        <v>84230.23</v>
      </c>
      <c r="AK67" s="1683">
        <v>84230.23</v>
      </c>
      <c r="AL67" s="1683">
        <v>0</v>
      </c>
      <c r="AM67" s="1685">
        <v>43297</v>
      </c>
      <c r="AN67" s="1683">
        <v>103772.35</v>
      </c>
      <c r="AO67" s="1683">
        <v>84230.23</v>
      </c>
      <c r="AP67" s="1683">
        <v>84230.23</v>
      </c>
      <c r="AQ67" s="1683">
        <v>84230.23</v>
      </c>
      <c r="AR67" s="1683">
        <v>0</v>
      </c>
      <c r="AS67" s="1683">
        <v>19542.12</v>
      </c>
      <c r="AT67" s="1683">
        <v>0</v>
      </c>
      <c r="AU67" s="1683">
        <v>0</v>
      </c>
      <c r="AV67" s="1683">
        <v>0</v>
      </c>
      <c r="AW67" s="1683">
        <v>19542.12</v>
      </c>
      <c r="AX67" s="1400"/>
      <c r="AY67" s="1400"/>
      <c r="AZ67" s="1400"/>
      <c r="BA67" s="1682"/>
      <c r="BB67" s="1682"/>
      <c r="BC67" s="1400"/>
      <c r="BD67" s="1400"/>
      <c r="BE67" s="1683">
        <v>103772.35</v>
      </c>
      <c r="BF67" s="1683">
        <v>84230.23</v>
      </c>
      <c r="BG67" s="1683">
        <v>84230.23</v>
      </c>
      <c r="BH67" s="1683">
        <v>84230.23</v>
      </c>
      <c r="BI67" s="1683">
        <v>0</v>
      </c>
      <c r="BJ67" s="1683">
        <v>19542.12</v>
      </c>
      <c r="BK67" s="1683">
        <v>0</v>
      </c>
      <c r="BL67" s="1683">
        <v>0</v>
      </c>
      <c r="BM67" s="1683">
        <v>0</v>
      </c>
      <c r="BN67" s="1683">
        <v>19542.12</v>
      </c>
      <c r="BO67" s="1685">
        <v>43355</v>
      </c>
      <c r="BP67" s="1683">
        <v>103772.35</v>
      </c>
      <c r="BQ67" s="1683">
        <v>84230.23</v>
      </c>
      <c r="BR67" s="1683">
        <v>84230.23</v>
      </c>
      <c r="BS67" s="1683">
        <v>84230.23</v>
      </c>
      <c r="BT67" s="1683">
        <v>0</v>
      </c>
      <c r="BU67" s="1683">
        <v>19542.12</v>
      </c>
      <c r="BV67" s="1683">
        <v>0</v>
      </c>
      <c r="BW67" s="1683">
        <v>0</v>
      </c>
      <c r="BX67" s="1683">
        <v>0</v>
      </c>
      <c r="BY67" s="1683">
        <v>19542.12</v>
      </c>
      <c r="BZ67" s="1683">
        <v>0</v>
      </c>
      <c r="CA67" s="1400"/>
      <c r="CB67" s="1682"/>
      <c r="CC67" s="1682"/>
      <c r="CD67" s="1400"/>
      <c r="CE67" s="1400"/>
      <c r="CF67" s="1683">
        <v>0</v>
      </c>
      <c r="CG67" s="1683">
        <v>0</v>
      </c>
      <c r="CH67" s="1683">
        <v>0</v>
      </c>
      <c r="CI67" s="1683">
        <v>0</v>
      </c>
      <c r="CJ67" s="1683">
        <v>0</v>
      </c>
      <c r="CK67" s="1683">
        <v>0</v>
      </c>
      <c r="CL67" s="1682"/>
      <c r="CM67" s="1683">
        <v>0</v>
      </c>
      <c r="CN67" s="1683">
        <v>0</v>
      </c>
      <c r="CO67" s="1683">
        <v>0</v>
      </c>
      <c r="CP67" s="1683">
        <v>0</v>
      </c>
      <c r="CQ67" s="1683">
        <v>0</v>
      </c>
      <c r="CR67" s="1683">
        <v>0</v>
      </c>
      <c r="CS67" s="1683">
        <v>0</v>
      </c>
      <c r="CT67" s="1683">
        <v>0</v>
      </c>
      <c r="CU67" s="1683">
        <v>0</v>
      </c>
      <c r="CV67" s="1683">
        <v>0</v>
      </c>
      <c r="CW67" s="1682"/>
      <c r="CX67" s="1400"/>
      <c r="CY67" s="1400"/>
      <c r="CZ67" s="1400"/>
      <c r="DA67" s="1400"/>
      <c r="DB67" s="1682"/>
      <c r="DC67" s="1326"/>
      <c r="DD67" s="1683">
        <v>0</v>
      </c>
      <c r="DE67" s="1400"/>
      <c r="DF67" s="1400"/>
      <c r="DG67" s="1683">
        <v>0</v>
      </c>
      <c r="DH67" s="1683">
        <v>0</v>
      </c>
    </row>
    <row r="68" spans="1:112" ht="45">
      <c r="A68" s="1326" t="s">
        <v>2091</v>
      </c>
      <c r="B68" s="1326" t="s">
        <v>1694</v>
      </c>
      <c r="C68" s="1326" t="s">
        <v>2547</v>
      </c>
      <c r="D68" s="1326" t="s">
        <v>2548</v>
      </c>
      <c r="E68" s="1326" t="s">
        <v>190</v>
      </c>
      <c r="F68" s="1326" t="s">
        <v>2544</v>
      </c>
      <c r="G68" s="1326" t="s">
        <v>2545</v>
      </c>
      <c r="H68" s="1326" t="s">
        <v>2546</v>
      </c>
      <c r="I68" s="1326" t="s">
        <v>729</v>
      </c>
      <c r="J68" s="1326" t="s">
        <v>2085</v>
      </c>
      <c r="K68" s="1326" t="s">
        <v>2086</v>
      </c>
      <c r="L68" s="1326" t="s">
        <v>2061</v>
      </c>
      <c r="M68" s="1400"/>
      <c r="N68" s="1400"/>
      <c r="O68" s="1400"/>
      <c r="P68" s="1400"/>
      <c r="Q68" s="1400"/>
      <c r="R68" s="1400"/>
      <c r="S68" s="1400"/>
      <c r="T68" s="1400"/>
      <c r="U68" s="1400"/>
      <c r="V68" s="1400"/>
      <c r="W68" s="1400"/>
      <c r="X68" s="1400"/>
      <c r="Y68" s="1685">
        <v>43307</v>
      </c>
      <c r="Z68" s="1326" t="s">
        <v>2062</v>
      </c>
      <c r="AA68" s="1683">
        <v>0</v>
      </c>
      <c r="AB68" s="1683">
        <v>0</v>
      </c>
      <c r="AC68" s="1683">
        <v>0</v>
      </c>
      <c r="AD68" s="1685">
        <v>43339</v>
      </c>
      <c r="AE68" s="1326" t="s">
        <v>2080</v>
      </c>
      <c r="AF68" s="1326" t="s">
        <v>2067</v>
      </c>
      <c r="AG68" s="1410"/>
      <c r="AH68" s="1683">
        <v>0</v>
      </c>
      <c r="AI68" s="1683">
        <v>0</v>
      </c>
      <c r="AJ68" s="1683">
        <v>0</v>
      </c>
      <c r="AK68" s="1683">
        <v>0</v>
      </c>
      <c r="AL68" s="1683">
        <v>0</v>
      </c>
      <c r="AM68" s="1682"/>
      <c r="AN68" s="1683">
        <v>0</v>
      </c>
      <c r="AO68" s="1683">
        <v>0</v>
      </c>
      <c r="AP68" s="1683">
        <v>0</v>
      </c>
      <c r="AQ68" s="1683">
        <v>0</v>
      </c>
      <c r="AR68" s="1683">
        <v>0</v>
      </c>
      <c r="AS68" s="1683">
        <v>0</v>
      </c>
      <c r="AT68" s="1683">
        <v>0</v>
      </c>
      <c r="AU68" s="1683">
        <v>0</v>
      </c>
      <c r="AV68" s="1683">
        <v>0</v>
      </c>
      <c r="AW68" s="1683">
        <v>0</v>
      </c>
      <c r="AX68" s="1400"/>
      <c r="AY68" s="1400"/>
      <c r="AZ68" s="1400"/>
      <c r="BA68" s="1682"/>
      <c r="BB68" s="1682"/>
      <c r="BC68" s="1400"/>
      <c r="BD68" s="1400"/>
      <c r="BE68" s="1683">
        <v>0</v>
      </c>
      <c r="BF68" s="1683">
        <v>0</v>
      </c>
      <c r="BG68" s="1683">
        <v>0</v>
      </c>
      <c r="BH68" s="1683">
        <v>0</v>
      </c>
      <c r="BI68" s="1683">
        <v>0</v>
      </c>
      <c r="BJ68" s="1683">
        <v>0</v>
      </c>
      <c r="BK68" s="1683">
        <v>0</v>
      </c>
      <c r="BL68" s="1683">
        <v>0</v>
      </c>
      <c r="BM68" s="1683">
        <v>0</v>
      </c>
      <c r="BN68" s="1683">
        <v>0</v>
      </c>
      <c r="BO68" s="1682"/>
      <c r="BP68" s="1683">
        <v>0</v>
      </c>
      <c r="BQ68" s="1683">
        <v>0</v>
      </c>
      <c r="BR68" s="1683">
        <v>0</v>
      </c>
      <c r="BS68" s="1683">
        <v>0</v>
      </c>
      <c r="BT68" s="1683">
        <v>0</v>
      </c>
      <c r="BU68" s="1683">
        <v>0</v>
      </c>
      <c r="BV68" s="1683">
        <v>0</v>
      </c>
      <c r="BW68" s="1683">
        <v>0</v>
      </c>
      <c r="BX68" s="1683">
        <v>0</v>
      </c>
      <c r="BY68" s="1683">
        <v>0</v>
      </c>
      <c r="BZ68" s="1400"/>
      <c r="CA68" s="1400"/>
      <c r="CB68" s="1682"/>
      <c r="CC68" s="1682"/>
      <c r="CD68" s="1400"/>
      <c r="CE68" s="1400"/>
      <c r="CF68" s="1683">
        <v>0</v>
      </c>
      <c r="CG68" s="1683">
        <v>0</v>
      </c>
      <c r="CH68" s="1683">
        <v>0</v>
      </c>
      <c r="CI68" s="1683">
        <v>0</v>
      </c>
      <c r="CJ68" s="1683">
        <v>0</v>
      </c>
      <c r="CK68" s="1683">
        <v>0</v>
      </c>
      <c r="CL68" s="1682"/>
      <c r="CM68" s="1683">
        <v>0</v>
      </c>
      <c r="CN68" s="1683">
        <v>0</v>
      </c>
      <c r="CO68" s="1683">
        <v>0</v>
      </c>
      <c r="CP68" s="1683">
        <v>0</v>
      </c>
      <c r="CQ68" s="1683">
        <v>0</v>
      </c>
      <c r="CR68" s="1683">
        <v>0</v>
      </c>
      <c r="CS68" s="1683">
        <v>0</v>
      </c>
      <c r="CT68" s="1683">
        <v>0</v>
      </c>
      <c r="CU68" s="1683">
        <v>0</v>
      </c>
      <c r="CV68" s="1683">
        <v>0</v>
      </c>
      <c r="CW68" s="1682"/>
      <c r="CX68" s="1400"/>
      <c r="CY68" s="1400"/>
      <c r="CZ68" s="1400"/>
      <c r="DA68" s="1400"/>
      <c r="DB68" s="1682"/>
      <c r="DC68" s="1326"/>
      <c r="DD68" s="1683">
        <v>0</v>
      </c>
      <c r="DE68" s="1400"/>
      <c r="DF68" s="1400"/>
      <c r="DG68" s="1683">
        <v>0</v>
      </c>
      <c r="DH68" s="1683">
        <v>0</v>
      </c>
    </row>
    <row r="69" spans="1:112" ht="45">
      <c r="A69" s="1326" t="s">
        <v>2092</v>
      </c>
      <c r="B69" s="1326" t="s">
        <v>1694</v>
      </c>
      <c r="C69" s="1326" t="s">
        <v>2547</v>
      </c>
      <c r="D69" s="1326" t="s">
        <v>2548</v>
      </c>
      <c r="E69" s="1326" t="s">
        <v>190</v>
      </c>
      <c r="F69" s="1326" t="s">
        <v>2544</v>
      </c>
      <c r="G69" s="1326" t="s">
        <v>2545</v>
      </c>
      <c r="H69" s="1326" t="s">
        <v>2546</v>
      </c>
      <c r="I69" s="1326" t="s">
        <v>729</v>
      </c>
      <c r="J69" s="1326" t="s">
        <v>2085</v>
      </c>
      <c r="K69" s="1326" t="s">
        <v>2086</v>
      </c>
      <c r="L69" s="1326" t="s">
        <v>2061</v>
      </c>
      <c r="M69" s="1400"/>
      <c r="N69" s="1400"/>
      <c r="O69" s="1400"/>
      <c r="P69" s="1400"/>
      <c r="Q69" s="1400"/>
      <c r="R69" s="1400"/>
      <c r="S69" s="1400"/>
      <c r="T69" s="1400"/>
      <c r="U69" s="1400"/>
      <c r="V69" s="1400"/>
      <c r="W69" s="1400"/>
      <c r="X69" s="1400"/>
      <c r="Y69" s="1685">
        <v>43357</v>
      </c>
      <c r="Z69" s="1326" t="s">
        <v>2062</v>
      </c>
      <c r="AA69" s="1683">
        <v>0</v>
      </c>
      <c r="AB69" s="1683">
        <v>0</v>
      </c>
      <c r="AC69" s="1683">
        <v>0</v>
      </c>
      <c r="AD69" s="1685">
        <v>43381</v>
      </c>
      <c r="AE69" s="1326" t="s">
        <v>2081</v>
      </c>
      <c r="AF69" s="1326" t="s">
        <v>2067</v>
      </c>
      <c r="AG69" s="1410"/>
      <c r="AH69" s="1683">
        <v>432497.37</v>
      </c>
      <c r="AI69" s="1683">
        <v>351050.69</v>
      </c>
      <c r="AJ69" s="1683">
        <v>351050.69</v>
      </c>
      <c r="AK69" s="1683">
        <v>351050.69</v>
      </c>
      <c r="AL69" s="1683">
        <v>0</v>
      </c>
      <c r="AM69" s="1685">
        <v>43381</v>
      </c>
      <c r="AN69" s="1683">
        <v>432497.37</v>
      </c>
      <c r="AO69" s="1683">
        <v>351050.69</v>
      </c>
      <c r="AP69" s="1683">
        <v>351050.69</v>
      </c>
      <c r="AQ69" s="1683">
        <v>351050.69</v>
      </c>
      <c r="AR69" s="1683">
        <v>0</v>
      </c>
      <c r="AS69" s="1683">
        <v>81446.679999999993</v>
      </c>
      <c r="AT69" s="1683">
        <v>0</v>
      </c>
      <c r="AU69" s="1683">
        <v>0</v>
      </c>
      <c r="AV69" s="1683">
        <v>0</v>
      </c>
      <c r="AW69" s="1683">
        <v>81446.679999999993</v>
      </c>
      <c r="AX69" s="1400"/>
      <c r="AY69" s="1400"/>
      <c r="AZ69" s="1400"/>
      <c r="BA69" s="1682"/>
      <c r="BB69" s="1682"/>
      <c r="BC69" s="1400"/>
      <c r="BD69" s="1400"/>
      <c r="BE69" s="1683">
        <v>432497.37</v>
      </c>
      <c r="BF69" s="1683">
        <v>351050.69</v>
      </c>
      <c r="BG69" s="1683">
        <v>351050.69</v>
      </c>
      <c r="BH69" s="1683">
        <v>351050.69</v>
      </c>
      <c r="BI69" s="1683">
        <v>0</v>
      </c>
      <c r="BJ69" s="1683">
        <v>81446.679999999993</v>
      </c>
      <c r="BK69" s="1683">
        <v>0</v>
      </c>
      <c r="BL69" s="1683">
        <v>0</v>
      </c>
      <c r="BM69" s="1683">
        <v>0</v>
      </c>
      <c r="BN69" s="1683">
        <v>81446.679999999993</v>
      </c>
      <c r="BO69" s="1685">
        <v>43553</v>
      </c>
      <c r="BP69" s="1683">
        <v>432497.37</v>
      </c>
      <c r="BQ69" s="1683">
        <v>351050.69</v>
      </c>
      <c r="BR69" s="1683">
        <v>351050.69</v>
      </c>
      <c r="BS69" s="1683">
        <v>351050.69</v>
      </c>
      <c r="BT69" s="1683">
        <v>0</v>
      </c>
      <c r="BU69" s="1683">
        <v>81446.679999999993</v>
      </c>
      <c r="BV69" s="1683">
        <v>0</v>
      </c>
      <c r="BW69" s="1683">
        <v>0</v>
      </c>
      <c r="BX69" s="1683">
        <v>0</v>
      </c>
      <c r="BY69" s="1683">
        <v>81446.679999999993</v>
      </c>
      <c r="BZ69" s="1683">
        <v>0</v>
      </c>
      <c r="CA69" s="1400"/>
      <c r="CB69" s="1682"/>
      <c r="CC69" s="1682"/>
      <c r="CD69" s="1400"/>
      <c r="CE69" s="1400"/>
      <c r="CF69" s="1683">
        <v>0</v>
      </c>
      <c r="CG69" s="1683">
        <v>0</v>
      </c>
      <c r="CH69" s="1683">
        <v>0</v>
      </c>
      <c r="CI69" s="1683">
        <v>0</v>
      </c>
      <c r="CJ69" s="1683">
        <v>0</v>
      </c>
      <c r="CK69" s="1683">
        <v>0</v>
      </c>
      <c r="CL69" s="1682"/>
      <c r="CM69" s="1683">
        <v>0</v>
      </c>
      <c r="CN69" s="1683">
        <v>0</v>
      </c>
      <c r="CO69" s="1683">
        <v>0</v>
      </c>
      <c r="CP69" s="1683">
        <v>0</v>
      </c>
      <c r="CQ69" s="1683">
        <v>0</v>
      </c>
      <c r="CR69" s="1683">
        <v>0</v>
      </c>
      <c r="CS69" s="1683">
        <v>0</v>
      </c>
      <c r="CT69" s="1683">
        <v>0</v>
      </c>
      <c r="CU69" s="1683">
        <v>0</v>
      </c>
      <c r="CV69" s="1683">
        <v>0</v>
      </c>
      <c r="CW69" s="1682"/>
      <c r="CX69" s="1400"/>
      <c r="CY69" s="1400"/>
      <c r="CZ69" s="1400"/>
      <c r="DA69" s="1400"/>
      <c r="DB69" s="1682"/>
      <c r="DC69" s="1326"/>
      <c r="DD69" s="1683">
        <v>0</v>
      </c>
      <c r="DE69" s="1400"/>
      <c r="DF69" s="1400"/>
      <c r="DG69" s="1683">
        <v>0</v>
      </c>
      <c r="DH69" s="1683">
        <v>0</v>
      </c>
    </row>
    <row r="70" spans="1:112" ht="45">
      <c r="A70" s="1326" t="s">
        <v>2093</v>
      </c>
      <c r="B70" s="1326" t="s">
        <v>1694</v>
      </c>
      <c r="C70" s="1326" t="s">
        <v>2547</v>
      </c>
      <c r="D70" s="1326" t="s">
        <v>2548</v>
      </c>
      <c r="E70" s="1326" t="s">
        <v>190</v>
      </c>
      <c r="F70" s="1326" t="s">
        <v>2544</v>
      </c>
      <c r="G70" s="1326" t="s">
        <v>2545</v>
      </c>
      <c r="H70" s="1326" t="s">
        <v>2546</v>
      </c>
      <c r="I70" s="1326" t="s">
        <v>729</v>
      </c>
      <c r="J70" s="1326" t="s">
        <v>2085</v>
      </c>
      <c r="K70" s="1326" t="s">
        <v>2086</v>
      </c>
      <c r="L70" s="1326" t="s">
        <v>2061</v>
      </c>
      <c r="M70" s="1400"/>
      <c r="N70" s="1400"/>
      <c r="O70" s="1400"/>
      <c r="P70" s="1400"/>
      <c r="Q70" s="1400"/>
      <c r="R70" s="1400"/>
      <c r="S70" s="1400"/>
      <c r="T70" s="1400"/>
      <c r="U70" s="1400"/>
      <c r="V70" s="1400"/>
      <c r="W70" s="1400"/>
      <c r="X70" s="1400"/>
      <c r="Y70" s="1685">
        <v>43357</v>
      </c>
      <c r="Z70" s="1326" t="s">
        <v>2062</v>
      </c>
      <c r="AA70" s="1683">
        <v>0</v>
      </c>
      <c r="AB70" s="1683">
        <v>0</v>
      </c>
      <c r="AC70" s="1683">
        <v>0</v>
      </c>
      <c r="AD70" s="1685">
        <v>43381</v>
      </c>
      <c r="AE70" s="1326" t="s">
        <v>2081</v>
      </c>
      <c r="AF70" s="1326" t="s">
        <v>2064</v>
      </c>
      <c r="AG70" s="1410"/>
      <c r="AH70" s="1683">
        <v>39587.47</v>
      </c>
      <c r="AI70" s="1683">
        <v>32132.47</v>
      </c>
      <c r="AJ70" s="1683">
        <v>32132.47</v>
      </c>
      <c r="AK70" s="1683">
        <v>32132.47</v>
      </c>
      <c r="AL70" s="1683">
        <v>0</v>
      </c>
      <c r="AM70" s="1685">
        <v>43381</v>
      </c>
      <c r="AN70" s="1683">
        <v>39587.47</v>
      </c>
      <c r="AO70" s="1683">
        <v>32132.47</v>
      </c>
      <c r="AP70" s="1683">
        <v>32132.47</v>
      </c>
      <c r="AQ70" s="1683">
        <v>32132.47</v>
      </c>
      <c r="AR70" s="1683">
        <v>0</v>
      </c>
      <c r="AS70" s="1683">
        <v>7455</v>
      </c>
      <c r="AT70" s="1683">
        <v>0</v>
      </c>
      <c r="AU70" s="1683">
        <v>0</v>
      </c>
      <c r="AV70" s="1683">
        <v>0</v>
      </c>
      <c r="AW70" s="1683">
        <v>7455</v>
      </c>
      <c r="AX70" s="1400"/>
      <c r="AY70" s="1400"/>
      <c r="AZ70" s="1400"/>
      <c r="BA70" s="1682"/>
      <c r="BB70" s="1682"/>
      <c r="BC70" s="1400"/>
      <c r="BD70" s="1400"/>
      <c r="BE70" s="1683">
        <v>39587.47</v>
      </c>
      <c r="BF70" s="1683">
        <v>32132.47</v>
      </c>
      <c r="BG70" s="1683">
        <v>32132.47</v>
      </c>
      <c r="BH70" s="1683">
        <v>32132.47</v>
      </c>
      <c r="BI70" s="1683">
        <v>0</v>
      </c>
      <c r="BJ70" s="1683">
        <v>7455</v>
      </c>
      <c r="BK70" s="1683">
        <v>0</v>
      </c>
      <c r="BL70" s="1683">
        <v>0</v>
      </c>
      <c r="BM70" s="1683">
        <v>0</v>
      </c>
      <c r="BN70" s="1683">
        <v>7455</v>
      </c>
      <c r="BO70" s="1685">
        <v>43553</v>
      </c>
      <c r="BP70" s="1683">
        <v>39587.47</v>
      </c>
      <c r="BQ70" s="1683">
        <v>32132.47</v>
      </c>
      <c r="BR70" s="1683">
        <v>32132.47</v>
      </c>
      <c r="BS70" s="1683">
        <v>32132.47</v>
      </c>
      <c r="BT70" s="1683">
        <v>0</v>
      </c>
      <c r="BU70" s="1683">
        <v>7455</v>
      </c>
      <c r="BV70" s="1683">
        <v>0</v>
      </c>
      <c r="BW70" s="1683">
        <v>0</v>
      </c>
      <c r="BX70" s="1683">
        <v>0</v>
      </c>
      <c r="BY70" s="1683">
        <v>7455</v>
      </c>
      <c r="BZ70" s="1683">
        <v>0</v>
      </c>
      <c r="CA70" s="1400"/>
      <c r="CB70" s="1682"/>
      <c r="CC70" s="1682"/>
      <c r="CD70" s="1400"/>
      <c r="CE70" s="1400"/>
      <c r="CF70" s="1683">
        <v>0</v>
      </c>
      <c r="CG70" s="1683">
        <v>0</v>
      </c>
      <c r="CH70" s="1683">
        <v>0</v>
      </c>
      <c r="CI70" s="1683">
        <v>0</v>
      </c>
      <c r="CJ70" s="1683">
        <v>0</v>
      </c>
      <c r="CK70" s="1683">
        <v>0</v>
      </c>
      <c r="CL70" s="1682"/>
      <c r="CM70" s="1683">
        <v>0</v>
      </c>
      <c r="CN70" s="1683">
        <v>0</v>
      </c>
      <c r="CO70" s="1683">
        <v>0</v>
      </c>
      <c r="CP70" s="1683">
        <v>0</v>
      </c>
      <c r="CQ70" s="1683">
        <v>0</v>
      </c>
      <c r="CR70" s="1683">
        <v>0</v>
      </c>
      <c r="CS70" s="1683">
        <v>0</v>
      </c>
      <c r="CT70" s="1683">
        <v>0</v>
      </c>
      <c r="CU70" s="1683">
        <v>0</v>
      </c>
      <c r="CV70" s="1683">
        <v>0</v>
      </c>
      <c r="CW70" s="1682"/>
      <c r="CX70" s="1400"/>
      <c r="CY70" s="1400"/>
      <c r="CZ70" s="1400"/>
      <c r="DA70" s="1400"/>
      <c r="DB70" s="1682"/>
      <c r="DC70" s="1326"/>
      <c r="DD70" s="1683">
        <v>0</v>
      </c>
      <c r="DE70" s="1400"/>
      <c r="DF70" s="1400"/>
      <c r="DG70" s="1683">
        <v>0</v>
      </c>
      <c r="DH70" s="1683">
        <v>0</v>
      </c>
    </row>
    <row r="71" spans="1:112">
      <c r="A71" s="1326" t="s">
        <v>2094</v>
      </c>
      <c r="B71" s="1326" t="s">
        <v>1694</v>
      </c>
      <c r="C71" s="1326" t="s">
        <v>2549</v>
      </c>
      <c r="D71" s="1326"/>
      <c r="E71" s="1326"/>
      <c r="F71" s="1326"/>
      <c r="G71" s="1326"/>
      <c r="H71" s="1326"/>
      <c r="I71" s="1326"/>
      <c r="J71" s="1326"/>
      <c r="K71" s="1326"/>
      <c r="L71" s="1326"/>
      <c r="M71" s="1683">
        <v>16013194.140000001</v>
      </c>
      <c r="N71" s="1683">
        <v>0</v>
      </c>
      <c r="O71" s="1683">
        <v>16013194.140000001</v>
      </c>
      <c r="P71" s="1683">
        <v>8798245.2400000002</v>
      </c>
      <c r="Q71" s="1683">
        <v>8798245.2400000002</v>
      </c>
      <c r="R71" s="1683">
        <v>8798245.2400000002</v>
      </c>
      <c r="S71" s="1683">
        <v>0</v>
      </c>
      <c r="T71" s="1683">
        <v>7214948.9000000004</v>
      </c>
      <c r="U71" s="1683">
        <v>0</v>
      </c>
      <c r="V71" s="1683">
        <v>0</v>
      </c>
      <c r="W71" s="1683">
        <v>0</v>
      </c>
      <c r="X71" s="1683">
        <v>7214948.9000000004</v>
      </c>
      <c r="Y71" s="1682"/>
      <c r="Z71" s="1326"/>
      <c r="AA71" s="1683">
        <v>368715.55</v>
      </c>
      <c r="AB71" s="1683">
        <v>368715.55</v>
      </c>
      <c r="AC71" s="1683">
        <v>0</v>
      </c>
      <c r="AD71" s="1682"/>
      <c r="AE71" s="1326"/>
      <c r="AF71" s="1326"/>
      <c r="AG71" s="1410"/>
      <c r="AH71" s="1683">
        <v>7571883.2800000003</v>
      </c>
      <c r="AI71" s="1683">
        <v>4459151.96</v>
      </c>
      <c r="AJ71" s="1683">
        <v>4187971.4</v>
      </c>
      <c r="AK71" s="1683">
        <v>4187971.4</v>
      </c>
      <c r="AL71" s="1683">
        <v>0</v>
      </c>
      <c r="AM71" s="1682"/>
      <c r="AN71" s="1683">
        <v>7482996</v>
      </c>
      <c r="AO71" s="1683">
        <v>4138766.93</v>
      </c>
      <c r="AP71" s="1683">
        <v>4138766.93</v>
      </c>
      <c r="AQ71" s="1683">
        <v>4138766.93</v>
      </c>
      <c r="AR71" s="1683">
        <v>0</v>
      </c>
      <c r="AS71" s="1683">
        <v>3344229.07</v>
      </c>
      <c r="AT71" s="1683">
        <v>0</v>
      </c>
      <c r="AU71" s="1683">
        <v>0</v>
      </c>
      <c r="AV71" s="1683">
        <v>0</v>
      </c>
      <c r="AW71" s="1683">
        <v>3344229.07</v>
      </c>
      <c r="AX71" s="1683">
        <v>0</v>
      </c>
      <c r="AY71" s="1683">
        <v>0</v>
      </c>
      <c r="AZ71" s="1683">
        <v>0</v>
      </c>
      <c r="BA71" s="1682"/>
      <c r="BB71" s="1682"/>
      <c r="BC71" s="1683">
        <v>0</v>
      </c>
      <c r="BD71" s="1683">
        <v>0</v>
      </c>
      <c r="BE71" s="1683">
        <v>7482996</v>
      </c>
      <c r="BF71" s="1683">
        <v>4138766.93</v>
      </c>
      <c r="BG71" s="1683">
        <v>4138766.93</v>
      </c>
      <c r="BH71" s="1683">
        <v>4138766.93</v>
      </c>
      <c r="BI71" s="1683">
        <v>0</v>
      </c>
      <c r="BJ71" s="1683">
        <v>3344229.07</v>
      </c>
      <c r="BK71" s="1683">
        <v>0</v>
      </c>
      <c r="BL71" s="1683">
        <v>0</v>
      </c>
      <c r="BM71" s="1683">
        <v>0</v>
      </c>
      <c r="BN71" s="1683">
        <v>3344229.07</v>
      </c>
      <c r="BO71" s="1682"/>
      <c r="BP71" s="1683">
        <v>6475993.29</v>
      </c>
      <c r="BQ71" s="1683">
        <v>3520175.75</v>
      </c>
      <c r="BR71" s="1683">
        <v>3520175.75</v>
      </c>
      <c r="BS71" s="1683">
        <v>3520175.75</v>
      </c>
      <c r="BT71" s="1683">
        <v>0</v>
      </c>
      <c r="BU71" s="1683">
        <v>2955817.54</v>
      </c>
      <c r="BV71" s="1683">
        <v>0</v>
      </c>
      <c r="BW71" s="1683">
        <v>0</v>
      </c>
      <c r="BX71" s="1683">
        <v>0</v>
      </c>
      <c r="BY71" s="1683">
        <v>2955817.54</v>
      </c>
      <c r="BZ71" s="1683">
        <v>0</v>
      </c>
      <c r="CA71" s="1683">
        <v>0</v>
      </c>
      <c r="CB71" s="1682"/>
      <c r="CC71" s="1682"/>
      <c r="CD71" s="1683">
        <v>-250055.08</v>
      </c>
      <c r="CE71" s="1683">
        <v>-110608.5</v>
      </c>
      <c r="CF71" s="1683">
        <v>0</v>
      </c>
      <c r="CG71" s="1683">
        <v>0</v>
      </c>
      <c r="CH71" s="1683">
        <v>0</v>
      </c>
      <c r="CI71" s="1683">
        <v>0</v>
      </c>
      <c r="CJ71" s="1683">
        <v>0</v>
      </c>
      <c r="CK71" s="1683">
        <v>0</v>
      </c>
      <c r="CL71" s="1682"/>
      <c r="CM71" s="1683">
        <v>2803308.24</v>
      </c>
      <c r="CN71" s="1683">
        <v>1372331.64</v>
      </c>
      <c r="CO71" s="1683">
        <v>1372331.64</v>
      </c>
      <c r="CP71" s="1683">
        <v>1372331.64</v>
      </c>
      <c r="CQ71" s="1683">
        <v>0</v>
      </c>
      <c r="CR71" s="1683">
        <v>1430976.6</v>
      </c>
      <c r="CS71" s="1683">
        <v>0</v>
      </c>
      <c r="CT71" s="1683">
        <v>0</v>
      </c>
      <c r="CU71" s="1683">
        <v>0</v>
      </c>
      <c r="CV71" s="1683">
        <v>1430976.6</v>
      </c>
      <c r="CW71" s="1682"/>
      <c r="CX71" s="1683">
        <v>-659242.37</v>
      </c>
      <c r="CY71" s="1683">
        <v>-306092.28999999998</v>
      </c>
      <c r="CZ71" s="1683">
        <v>2144065.87</v>
      </c>
      <c r="DA71" s="1683">
        <v>1066239.3500000001</v>
      </c>
      <c r="DB71" s="1682"/>
      <c r="DC71" s="1326"/>
      <c r="DD71" s="1683">
        <v>0</v>
      </c>
      <c r="DE71" s="1683">
        <v>0</v>
      </c>
      <c r="DF71" s="1683">
        <v>0</v>
      </c>
      <c r="DG71" s="1683">
        <v>0</v>
      </c>
      <c r="DH71" s="1683">
        <v>0</v>
      </c>
    </row>
    <row r="72" spans="1:112">
      <c r="A72" s="1326" t="s">
        <v>2095</v>
      </c>
      <c r="B72" s="1326" t="s">
        <v>1694</v>
      </c>
      <c r="C72" s="1326" t="s">
        <v>2549</v>
      </c>
      <c r="D72" s="1326" t="s">
        <v>2550</v>
      </c>
      <c r="E72" s="1326"/>
      <c r="F72" s="1326"/>
      <c r="G72" s="1326"/>
      <c r="H72" s="1326"/>
      <c r="I72" s="1326"/>
      <c r="J72" s="1326"/>
      <c r="K72" s="1326"/>
      <c r="L72" s="1326"/>
      <c r="M72" s="1683">
        <v>16013194.140000001</v>
      </c>
      <c r="N72" s="1683">
        <v>0</v>
      </c>
      <c r="O72" s="1683">
        <v>16013194.140000001</v>
      </c>
      <c r="P72" s="1683">
        <v>8798245.2400000002</v>
      </c>
      <c r="Q72" s="1683">
        <v>8798245.2400000002</v>
      </c>
      <c r="R72" s="1683">
        <v>8798245.2400000002</v>
      </c>
      <c r="S72" s="1683">
        <v>0</v>
      </c>
      <c r="T72" s="1683">
        <v>7214948.9000000004</v>
      </c>
      <c r="U72" s="1683">
        <v>0</v>
      </c>
      <c r="V72" s="1683">
        <v>0</v>
      </c>
      <c r="W72" s="1683">
        <v>0</v>
      </c>
      <c r="X72" s="1683">
        <v>7214948.9000000004</v>
      </c>
      <c r="Y72" s="1682"/>
      <c r="Z72" s="1326"/>
      <c r="AA72" s="1683">
        <v>368715.55</v>
      </c>
      <c r="AB72" s="1683">
        <v>368715.55</v>
      </c>
      <c r="AC72" s="1683">
        <v>0</v>
      </c>
      <c r="AD72" s="1682"/>
      <c r="AE72" s="1326"/>
      <c r="AF72" s="1326"/>
      <c r="AG72" s="1410"/>
      <c r="AH72" s="1683">
        <v>7571883.2800000003</v>
      </c>
      <c r="AI72" s="1683">
        <v>4459151.96</v>
      </c>
      <c r="AJ72" s="1683">
        <v>4187971.4</v>
      </c>
      <c r="AK72" s="1683">
        <v>4187971.4</v>
      </c>
      <c r="AL72" s="1683">
        <v>0</v>
      </c>
      <c r="AM72" s="1682"/>
      <c r="AN72" s="1683">
        <v>7482996</v>
      </c>
      <c r="AO72" s="1683">
        <v>4138766.93</v>
      </c>
      <c r="AP72" s="1683">
        <v>4138766.93</v>
      </c>
      <c r="AQ72" s="1683">
        <v>4138766.93</v>
      </c>
      <c r="AR72" s="1683">
        <v>0</v>
      </c>
      <c r="AS72" s="1683">
        <v>3344229.07</v>
      </c>
      <c r="AT72" s="1683">
        <v>0</v>
      </c>
      <c r="AU72" s="1683">
        <v>0</v>
      </c>
      <c r="AV72" s="1683">
        <v>0</v>
      </c>
      <c r="AW72" s="1683">
        <v>3344229.07</v>
      </c>
      <c r="AX72" s="1683">
        <v>0</v>
      </c>
      <c r="AY72" s="1683">
        <v>0</v>
      </c>
      <c r="AZ72" s="1683">
        <v>0</v>
      </c>
      <c r="BA72" s="1682"/>
      <c r="BB72" s="1682"/>
      <c r="BC72" s="1683">
        <v>0</v>
      </c>
      <c r="BD72" s="1683">
        <v>0</v>
      </c>
      <c r="BE72" s="1683">
        <v>7482996</v>
      </c>
      <c r="BF72" s="1683">
        <v>4138766.93</v>
      </c>
      <c r="BG72" s="1683">
        <v>4138766.93</v>
      </c>
      <c r="BH72" s="1683">
        <v>4138766.93</v>
      </c>
      <c r="BI72" s="1683">
        <v>0</v>
      </c>
      <c r="BJ72" s="1683">
        <v>3344229.07</v>
      </c>
      <c r="BK72" s="1683">
        <v>0</v>
      </c>
      <c r="BL72" s="1683">
        <v>0</v>
      </c>
      <c r="BM72" s="1683">
        <v>0</v>
      </c>
      <c r="BN72" s="1683">
        <v>3344229.07</v>
      </c>
      <c r="BO72" s="1682"/>
      <c r="BP72" s="1683">
        <v>6475993.29</v>
      </c>
      <c r="BQ72" s="1683">
        <v>3520175.75</v>
      </c>
      <c r="BR72" s="1683">
        <v>3520175.75</v>
      </c>
      <c r="BS72" s="1683">
        <v>3520175.75</v>
      </c>
      <c r="BT72" s="1683">
        <v>0</v>
      </c>
      <c r="BU72" s="1683">
        <v>2955817.54</v>
      </c>
      <c r="BV72" s="1683">
        <v>0</v>
      </c>
      <c r="BW72" s="1683">
        <v>0</v>
      </c>
      <c r="BX72" s="1683">
        <v>0</v>
      </c>
      <c r="BY72" s="1683">
        <v>2955817.54</v>
      </c>
      <c r="BZ72" s="1683">
        <v>0</v>
      </c>
      <c r="CA72" s="1683">
        <v>0</v>
      </c>
      <c r="CB72" s="1682"/>
      <c r="CC72" s="1682"/>
      <c r="CD72" s="1683">
        <v>-250055.08</v>
      </c>
      <c r="CE72" s="1683">
        <v>-110608.5</v>
      </c>
      <c r="CF72" s="1683">
        <v>0</v>
      </c>
      <c r="CG72" s="1683">
        <v>0</v>
      </c>
      <c r="CH72" s="1683">
        <v>0</v>
      </c>
      <c r="CI72" s="1683">
        <v>0</v>
      </c>
      <c r="CJ72" s="1683">
        <v>0</v>
      </c>
      <c r="CK72" s="1683">
        <v>0</v>
      </c>
      <c r="CL72" s="1682"/>
      <c r="CM72" s="1683">
        <v>2803308.24</v>
      </c>
      <c r="CN72" s="1683">
        <v>1372331.64</v>
      </c>
      <c r="CO72" s="1683">
        <v>1372331.64</v>
      </c>
      <c r="CP72" s="1683">
        <v>1372331.64</v>
      </c>
      <c r="CQ72" s="1683">
        <v>0</v>
      </c>
      <c r="CR72" s="1683">
        <v>1430976.6</v>
      </c>
      <c r="CS72" s="1683">
        <v>0</v>
      </c>
      <c r="CT72" s="1683">
        <v>0</v>
      </c>
      <c r="CU72" s="1683">
        <v>0</v>
      </c>
      <c r="CV72" s="1683">
        <v>1430976.6</v>
      </c>
      <c r="CW72" s="1682"/>
      <c r="CX72" s="1683">
        <v>-659242.37</v>
      </c>
      <c r="CY72" s="1683">
        <v>-306092.28999999998</v>
      </c>
      <c r="CZ72" s="1683">
        <v>2144065.87</v>
      </c>
      <c r="DA72" s="1683">
        <v>1066239.3500000001</v>
      </c>
      <c r="DB72" s="1682"/>
      <c r="DC72" s="1326"/>
      <c r="DD72" s="1683">
        <v>0</v>
      </c>
      <c r="DE72" s="1683">
        <v>0</v>
      </c>
      <c r="DF72" s="1683">
        <v>0</v>
      </c>
      <c r="DG72" s="1683">
        <v>0</v>
      </c>
      <c r="DH72" s="1683">
        <v>0</v>
      </c>
    </row>
    <row r="73" spans="1:112">
      <c r="A73" s="1326" t="s">
        <v>2027</v>
      </c>
      <c r="B73" s="1326" t="s">
        <v>1694</v>
      </c>
      <c r="C73" s="1326" t="s">
        <v>2549</v>
      </c>
      <c r="D73" s="1326" t="s">
        <v>2550</v>
      </c>
      <c r="E73" s="1326" t="s">
        <v>144</v>
      </c>
      <c r="F73" s="1326"/>
      <c r="G73" s="1326"/>
      <c r="H73" s="1326"/>
      <c r="I73" s="1326"/>
      <c r="J73" s="1326"/>
      <c r="K73" s="1326"/>
      <c r="L73" s="1326"/>
      <c r="M73" s="1683">
        <v>16013194.140000001</v>
      </c>
      <c r="N73" s="1683">
        <v>0</v>
      </c>
      <c r="O73" s="1683">
        <v>16013194.140000001</v>
      </c>
      <c r="P73" s="1683">
        <v>8798245.2400000002</v>
      </c>
      <c r="Q73" s="1683">
        <v>8798245.2400000002</v>
      </c>
      <c r="R73" s="1683">
        <v>8798245.2400000002</v>
      </c>
      <c r="S73" s="1683">
        <v>0</v>
      </c>
      <c r="T73" s="1683">
        <v>7214948.9000000004</v>
      </c>
      <c r="U73" s="1683">
        <v>0</v>
      </c>
      <c r="V73" s="1683">
        <v>0</v>
      </c>
      <c r="W73" s="1683">
        <v>0</v>
      </c>
      <c r="X73" s="1683">
        <v>7214948.9000000004</v>
      </c>
      <c r="Y73" s="1682"/>
      <c r="Z73" s="1326"/>
      <c r="AA73" s="1683">
        <v>368715.55</v>
      </c>
      <c r="AB73" s="1683">
        <v>368715.55</v>
      </c>
      <c r="AC73" s="1683">
        <v>0</v>
      </c>
      <c r="AD73" s="1682"/>
      <c r="AE73" s="1326"/>
      <c r="AF73" s="1326"/>
      <c r="AG73" s="1410"/>
      <c r="AH73" s="1683">
        <v>7571883.2800000003</v>
      </c>
      <c r="AI73" s="1683">
        <v>4459151.96</v>
      </c>
      <c r="AJ73" s="1683">
        <v>4187971.4</v>
      </c>
      <c r="AK73" s="1683">
        <v>4187971.4</v>
      </c>
      <c r="AL73" s="1683">
        <v>0</v>
      </c>
      <c r="AM73" s="1682"/>
      <c r="AN73" s="1683">
        <v>7482996</v>
      </c>
      <c r="AO73" s="1683">
        <v>4138766.93</v>
      </c>
      <c r="AP73" s="1683">
        <v>4138766.93</v>
      </c>
      <c r="AQ73" s="1683">
        <v>4138766.93</v>
      </c>
      <c r="AR73" s="1683">
        <v>0</v>
      </c>
      <c r="AS73" s="1683">
        <v>3344229.07</v>
      </c>
      <c r="AT73" s="1683">
        <v>0</v>
      </c>
      <c r="AU73" s="1683">
        <v>0</v>
      </c>
      <c r="AV73" s="1683">
        <v>0</v>
      </c>
      <c r="AW73" s="1683">
        <v>3344229.07</v>
      </c>
      <c r="AX73" s="1683">
        <v>0</v>
      </c>
      <c r="AY73" s="1683">
        <v>0</v>
      </c>
      <c r="AZ73" s="1683">
        <v>0</v>
      </c>
      <c r="BA73" s="1682"/>
      <c r="BB73" s="1682"/>
      <c r="BC73" s="1683">
        <v>0</v>
      </c>
      <c r="BD73" s="1683">
        <v>0</v>
      </c>
      <c r="BE73" s="1683">
        <v>7482996</v>
      </c>
      <c r="BF73" s="1683">
        <v>4138766.93</v>
      </c>
      <c r="BG73" s="1683">
        <v>4138766.93</v>
      </c>
      <c r="BH73" s="1683">
        <v>4138766.93</v>
      </c>
      <c r="BI73" s="1683">
        <v>0</v>
      </c>
      <c r="BJ73" s="1683">
        <v>3344229.07</v>
      </c>
      <c r="BK73" s="1683">
        <v>0</v>
      </c>
      <c r="BL73" s="1683">
        <v>0</v>
      </c>
      <c r="BM73" s="1683">
        <v>0</v>
      </c>
      <c r="BN73" s="1683">
        <v>3344229.07</v>
      </c>
      <c r="BO73" s="1682"/>
      <c r="BP73" s="1683">
        <v>6475993.29</v>
      </c>
      <c r="BQ73" s="1683">
        <v>3520175.75</v>
      </c>
      <c r="BR73" s="1683">
        <v>3520175.75</v>
      </c>
      <c r="BS73" s="1683">
        <v>3520175.75</v>
      </c>
      <c r="BT73" s="1683">
        <v>0</v>
      </c>
      <c r="BU73" s="1683">
        <v>2955817.54</v>
      </c>
      <c r="BV73" s="1683">
        <v>0</v>
      </c>
      <c r="BW73" s="1683">
        <v>0</v>
      </c>
      <c r="BX73" s="1683">
        <v>0</v>
      </c>
      <c r="BY73" s="1683">
        <v>2955817.54</v>
      </c>
      <c r="BZ73" s="1683">
        <v>0</v>
      </c>
      <c r="CA73" s="1683">
        <v>0</v>
      </c>
      <c r="CB73" s="1682"/>
      <c r="CC73" s="1682"/>
      <c r="CD73" s="1683">
        <v>-250055.08</v>
      </c>
      <c r="CE73" s="1683">
        <v>-110608.5</v>
      </c>
      <c r="CF73" s="1683">
        <v>0</v>
      </c>
      <c r="CG73" s="1683">
        <v>0</v>
      </c>
      <c r="CH73" s="1683">
        <v>0</v>
      </c>
      <c r="CI73" s="1683">
        <v>0</v>
      </c>
      <c r="CJ73" s="1683">
        <v>0</v>
      </c>
      <c r="CK73" s="1683">
        <v>0</v>
      </c>
      <c r="CL73" s="1682"/>
      <c r="CM73" s="1683">
        <v>2803308.24</v>
      </c>
      <c r="CN73" s="1683">
        <v>1372331.64</v>
      </c>
      <c r="CO73" s="1683">
        <v>1372331.64</v>
      </c>
      <c r="CP73" s="1683">
        <v>1372331.64</v>
      </c>
      <c r="CQ73" s="1683">
        <v>0</v>
      </c>
      <c r="CR73" s="1683">
        <v>1430976.6</v>
      </c>
      <c r="CS73" s="1683">
        <v>0</v>
      </c>
      <c r="CT73" s="1683">
        <v>0</v>
      </c>
      <c r="CU73" s="1683">
        <v>0</v>
      </c>
      <c r="CV73" s="1683">
        <v>1430976.6</v>
      </c>
      <c r="CW73" s="1682"/>
      <c r="CX73" s="1683">
        <v>-659242.37</v>
      </c>
      <c r="CY73" s="1683">
        <v>-306092.28999999998</v>
      </c>
      <c r="CZ73" s="1683">
        <v>2144065.87</v>
      </c>
      <c r="DA73" s="1683">
        <v>1066239.3500000001</v>
      </c>
      <c r="DB73" s="1682"/>
      <c r="DC73" s="1326"/>
      <c r="DD73" s="1683">
        <v>0</v>
      </c>
      <c r="DE73" s="1683">
        <v>0</v>
      </c>
      <c r="DF73" s="1683">
        <v>0</v>
      </c>
      <c r="DG73" s="1683">
        <v>0</v>
      </c>
      <c r="DH73" s="1683">
        <v>0</v>
      </c>
    </row>
    <row r="74" spans="1:112" ht="56.25">
      <c r="A74" s="1326" t="s">
        <v>2028</v>
      </c>
      <c r="B74" s="1326" t="s">
        <v>1694</v>
      </c>
      <c r="C74" s="1326" t="s">
        <v>2549</v>
      </c>
      <c r="D74" s="1326" t="s">
        <v>2550</v>
      </c>
      <c r="E74" s="1326" t="s">
        <v>144</v>
      </c>
      <c r="F74" s="1326" t="s">
        <v>2544</v>
      </c>
      <c r="G74" s="1326" t="s">
        <v>2545</v>
      </c>
      <c r="H74" s="1326" t="s">
        <v>2546</v>
      </c>
      <c r="I74" s="1326" t="s">
        <v>699</v>
      </c>
      <c r="J74" s="1326" t="s">
        <v>293</v>
      </c>
      <c r="K74" s="1326" t="s">
        <v>2087</v>
      </c>
      <c r="L74" s="1326" t="s">
        <v>2061</v>
      </c>
      <c r="M74" s="1683">
        <v>2474472.79</v>
      </c>
      <c r="N74" s="1683">
        <v>0</v>
      </c>
      <c r="O74" s="1683">
        <v>2474472.79</v>
      </c>
      <c r="P74" s="1683">
        <v>1614228.26</v>
      </c>
      <c r="Q74" s="1683">
        <v>1614228.26</v>
      </c>
      <c r="R74" s="1683">
        <v>1614228.26</v>
      </c>
      <c r="S74" s="1683">
        <v>0</v>
      </c>
      <c r="T74" s="1683">
        <v>860244.53</v>
      </c>
      <c r="U74" s="1683">
        <v>0</v>
      </c>
      <c r="V74" s="1683">
        <v>0</v>
      </c>
      <c r="W74" s="1683">
        <v>0</v>
      </c>
      <c r="X74" s="1683">
        <v>860244.53</v>
      </c>
      <c r="Y74" s="1682"/>
      <c r="Z74" s="1326"/>
      <c r="AA74" s="1683">
        <v>0</v>
      </c>
      <c r="AB74" s="1683">
        <v>0</v>
      </c>
      <c r="AC74" s="1683">
        <v>0</v>
      </c>
      <c r="AD74" s="1682"/>
      <c r="AE74" s="1326"/>
      <c r="AF74" s="1326"/>
      <c r="AG74" s="1410"/>
      <c r="AH74" s="1683">
        <v>1881067.14</v>
      </c>
      <c r="AI74" s="1683">
        <v>1195812.69</v>
      </c>
      <c r="AJ74" s="1683">
        <v>1214116.94</v>
      </c>
      <c r="AK74" s="1683">
        <v>1214116.94</v>
      </c>
      <c r="AL74" s="1683">
        <v>0</v>
      </c>
      <c r="AM74" s="1682"/>
      <c r="AN74" s="1683">
        <v>1881067.14</v>
      </c>
      <c r="AO74" s="1683">
        <v>1214116.94</v>
      </c>
      <c r="AP74" s="1683">
        <v>1214116.94</v>
      </c>
      <c r="AQ74" s="1683">
        <v>1214116.94</v>
      </c>
      <c r="AR74" s="1683">
        <v>0</v>
      </c>
      <c r="AS74" s="1683">
        <v>666950.19999999995</v>
      </c>
      <c r="AT74" s="1683">
        <v>0</v>
      </c>
      <c r="AU74" s="1683">
        <v>0</v>
      </c>
      <c r="AV74" s="1683">
        <v>0</v>
      </c>
      <c r="AW74" s="1683">
        <v>666950.19999999995</v>
      </c>
      <c r="AX74" s="1683">
        <v>0</v>
      </c>
      <c r="AY74" s="1683">
        <v>0</v>
      </c>
      <c r="AZ74" s="1683">
        <v>0</v>
      </c>
      <c r="BA74" s="1682"/>
      <c r="BB74" s="1682"/>
      <c r="BC74" s="1683">
        <v>0</v>
      </c>
      <c r="BD74" s="1683">
        <v>0</v>
      </c>
      <c r="BE74" s="1683">
        <v>1881067.14</v>
      </c>
      <c r="BF74" s="1683">
        <v>1214116.94</v>
      </c>
      <c r="BG74" s="1683">
        <v>1214116.94</v>
      </c>
      <c r="BH74" s="1683">
        <v>1214116.94</v>
      </c>
      <c r="BI74" s="1683">
        <v>0</v>
      </c>
      <c r="BJ74" s="1683">
        <v>666950.19999999995</v>
      </c>
      <c r="BK74" s="1683">
        <v>0</v>
      </c>
      <c r="BL74" s="1683">
        <v>0</v>
      </c>
      <c r="BM74" s="1683">
        <v>0</v>
      </c>
      <c r="BN74" s="1683">
        <v>666950.19999999995</v>
      </c>
      <c r="BO74" s="1682"/>
      <c r="BP74" s="1683">
        <v>1452378.27</v>
      </c>
      <c r="BQ74" s="1683">
        <v>894103.62</v>
      </c>
      <c r="BR74" s="1683">
        <v>894103.62</v>
      </c>
      <c r="BS74" s="1683">
        <v>894103.62</v>
      </c>
      <c r="BT74" s="1683">
        <v>0</v>
      </c>
      <c r="BU74" s="1683">
        <v>558274.65</v>
      </c>
      <c r="BV74" s="1683">
        <v>0</v>
      </c>
      <c r="BW74" s="1683">
        <v>0</v>
      </c>
      <c r="BX74" s="1683">
        <v>0</v>
      </c>
      <c r="BY74" s="1683">
        <v>558274.65</v>
      </c>
      <c r="BZ74" s="1683">
        <v>0</v>
      </c>
      <c r="CA74" s="1683">
        <v>0</v>
      </c>
      <c r="CB74" s="1682"/>
      <c r="CC74" s="1682"/>
      <c r="CD74" s="1683">
        <v>0</v>
      </c>
      <c r="CE74" s="1683">
        <v>0</v>
      </c>
      <c r="CF74" s="1683">
        <v>0</v>
      </c>
      <c r="CG74" s="1683">
        <v>0</v>
      </c>
      <c r="CH74" s="1683">
        <v>0</v>
      </c>
      <c r="CI74" s="1683">
        <v>0</v>
      </c>
      <c r="CJ74" s="1683">
        <v>0</v>
      </c>
      <c r="CK74" s="1683">
        <v>0</v>
      </c>
      <c r="CL74" s="1682"/>
      <c r="CM74" s="1683">
        <v>302669.49</v>
      </c>
      <c r="CN74" s="1683">
        <v>162200.53</v>
      </c>
      <c r="CO74" s="1683">
        <v>162200.53</v>
      </c>
      <c r="CP74" s="1683">
        <v>162200.53</v>
      </c>
      <c r="CQ74" s="1683">
        <v>0</v>
      </c>
      <c r="CR74" s="1683">
        <v>140468.96</v>
      </c>
      <c r="CS74" s="1683">
        <v>0</v>
      </c>
      <c r="CT74" s="1683">
        <v>0</v>
      </c>
      <c r="CU74" s="1683">
        <v>0</v>
      </c>
      <c r="CV74" s="1683">
        <v>140468.96</v>
      </c>
      <c r="CW74" s="1682"/>
      <c r="CX74" s="1683">
        <v>0</v>
      </c>
      <c r="CY74" s="1683">
        <v>0</v>
      </c>
      <c r="CZ74" s="1683">
        <v>302669.49</v>
      </c>
      <c r="DA74" s="1683">
        <v>162200.53</v>
      </c>
      <c r="DB74" s="1682"/>
      <c r="DC74" s="1326"/>
      <c r="DD74" s="1683">
        <v>0</v>
      </c>
      <c r="DE74" s="1683">
        <v>0</v>
      </c>
      <c r="DF74" s="1683">
        <v>0</v>
      </c>
      <c r="DG74" s="1683">
        <v>0</v>
      </c>
      <c r="DH74" s="1683">
        <v>0</v>
      </c>
    </row>
    <row r="75" spans="1:112" ht="56.25">
      <c r="A75" s="1326" t="s">
        <v>2097</v>
      </c>
      <c r="B75" s="1326" t="s">
        <v>1694</v>
      </c>
      <c r="C75" s="1326" t="s">
        <v>2549</v>
      </c>
      <c r="D75" s="1326" t="s">
        <v>2550</v>
      </c>
      <c r="E75" s="1326" t="s">
        <v>144</v>
      </c>
      <c r="F75" s="1326" t="s">
        <v>2544</v>
      </c>
      <c r="G75" s="1326" t="s">
        <v>2545</v>
      </c>
      <c r="H75" s="1326" t="s">
        <v>2546</v>
      </c>
      <c r="I75" s="1326" t="s">
        <v>699</v>
      </c>
      <c r="J75" s="1326" t="s">
        <v>293</v>
      </c>
      <c r="K75" s="1326" t="s">
        <v>2087</v>
      </c>
      <c r="L75" s="1326" t="s">
        <v>2061</v>
      </c>
      <c r="M75" s="1400"/>
      <c r="N75" s="1400"/>
      <c r="O75" s="1400"/>
      <c r="P75" s="1400"/>
      <c r="Q75" s="1400"/>
      <c r="R75" s="1400"/>
      <c r="S75" s="1400"/>
      <c r="T75" s="1400"/>
      <c r="U75" s="1400"/>
      <c r="V75" s="1400"/>
      <c r="W75" s="1400"/>
      <c r="X75" s="1400"/>
      <c r="Y75" s="1685">
        <v>42808</v>
      </c>
      <c r="Z75" s="1326" t="s">
        <v>2062</v>
      </c>
      <c r="AA75" s="1683">
        <v>0</v>
      </c>
      <c r="AB75" s="1683">
        <v>0</v>
      </c>
      <c r="AC75" s="1683">
        <v>0</v>
      </c>
      <c r="AD75" s="1685">
        <v>42835</v>
      </c>
      <c r="AE75" s="1326" t="s">
        <v>2073</v>
      </c>
      <c r="AF75" s="1326" t="s">
        <v>2067</v>
      </c>
      <c r="AG75" s="1410"/>
      <c r="AH75" s="1683">
        <v>117461.86</v>
      </c>
      <c r="AI75" s="1683">
        <v>57516.57</v>
      </c>
      <c r="AJ75" s="1683">
        <v>57516.57</v>
      </c>
      <c r="AK75" s="1683">
        <v>57516.57</v>
      </c>
      <c r="AL75" s="1683">
        <v>0</v>
      </c>
      <c r="AM75" s="1685">
        <v>42836</v>
      </c>
      <c r="AN75" s="1683">
        <v>117461.86</v>
      </c>
      <c r="AO75" s="1683">
        <v>57516.57</v>
      </c>
      <c r="AP75" s="1683">
        <v>57516.57</v>
      </c>
      <c r="AQ75" s="1683">
        <v>57516.57</v>
      </c>
      <c r="AR75" s="1683">
        <v>0</v>
      </c>
      <c r="AS75" s="1683">
        <v>59945.29</v>
      </c>
      <c r="AT75" s="1683">
        <v>0</v>
      </c>
      <c r="AU75" s="1683">
        <v>0</v>
      </c>
      <c r="AV75" s="1683">
        <v>0</v>
      </c>
      <c r="AW75" s="1683">
        <v>59945.29</v>
      </c>
      <c r="AX75" s="1400"/>
      <c r="AY75" s="1400"/>
      <c r="AZ75" s="1400"/>
      <c r="BA75" s="1682"/>
      <c r="BB75" s="1682"/>
      <c r="BC75" s="1400"/>
      <c r="BD75" s="1400"/>
      <c r="BE75" s="1683">
        <v>117461.86</v>
      </c>
      <c r="BF75" s="1683">
        <v>57516.57</v>
      </c>
      <c r="BG75" s="1683">
        <v>57516.57</v>
      </c>
      <c r="BH75" s="1683">
        <v>57516.57</v>
      </c>
      <c r="BI75" s="1683">
        <v>0</v>
      </c>
      <c r="BJ75" s="1683">
        <v>59945.29</v>
      </c>
      <c r="BK75" s="1683">
        <v>0</v>
      </c>
      <c r="BL75" s="1683">
        <v>0</v>
      </c>
      <c r="BM75" s="1683">
        <v>0</v>
      </c>
      <c r="BN75" s="1683">
        <v>59945.29</v>
      </c>
      <c r="BO75" s="1685">
        <v>42991</v>
      </c>
      <c r="BP75" s="1683">
        <v>117461.86</v>
      </c>
      <c r="BQ75" s="1683">
        <v>57516.57</v>
      </c>
      <c r="BR75" s="1683">
        <v>57516.57</v>
      </c>
      <c r="BS75" s="1683">
        <v>57516.57</v>
      </c>
      <c r="BT75" s="1683">
        <v>0</v>
      </c>
      <c r="BU75" s="1683">
        <v>59945.29</v>
      </c>
      <c r="BV75" s="1683">
        <v>0</v>
      </c>
      <c r="BW75" s="1683">
        <v>0</v>
      </c>
      <c r="BX75" s="1683">
        <v>0</v>
      </c>
      <c r="BY75" s="1683">
        <v>59945.29</v>
      </c>
      <c r="BZ75" s="1683">
        <v>0</v>
      </c>
      <c r="CA75" s="1400"/>
      <c r="CB75" s="1682"/>
      <c r="CC75" s="1682"/>
      <c r="CD75" s="1400"/>
      <c r="CE75" s="1400"/>
      <c r="CF75" s="1683">
        <v>0</v>
      </c>
      <c r="CG75" s="1683">
        <v>0</v>
      </c>
      <c r="CH75" s="1683">
        <v>0</v>
      </c>
      <c r="CI75" s="1683">
        <v>0</v>
      </c>
      <c r="CJ75" s="1683">
        <v>0</v>
      </c>
      <c r="CK75" s="1683">
        <v>0</v>
      </c>
      <c r="CL75" s="1685">
        <v>43511</v>
      </c>
      <c r="CM75" s="1683">
        <v>117461.86</v>
      </c>
      <c r="CN75" s="1683">
        <v>57516.57</v>
      </c>
      <c r="CO75" s="1683">
        <v>57516.57</v>
      </c>
      <c r="CP75" s="1683">
        <v>57516.57</v>
      </c>
      <c r="CQ75" s="1683">
        <v>0</v>
      </c>
      <c r="CR75" s="1683">
        <v>59945.29</v>
      </c>
      <c r="CS75" s="1683">
        <v>0</v>
      </c>
      <c r="CT75" s="1683">
        <v>0</v>
      </c>
      <c r="CU75" s="1683">
        <v>0</v>
      </c>
      <c r="CV75" s="1683">
        <v>59945.29</v>
      </c>
      <c r="CW75" s="1682"/>
      <c r="CX75" s="1400"/>
      <c r="CY75" s="1400"/>
      <c r="CZ75" s="1400"/>
      <c r="DA75" s="1400"/>
      <c r="DB75" s="1682"/>
      <c r="DC75" s="1326"/>
      <c r="DD75" s="1683">
        <v>0</v>
      </c>
      <c r="DE75" s="1400"/>
      <c r="DF75" s="1400"/>
      <c r="DG75" s="1683">
        <v>0</v>
      </c>
      <c r="DH75" s="1683">
        <v>0</v>
      </c>
    </row>
    <row r="76" spans="1:112" ht="56.25">
      <c r="A76" s="1326" t="s">
        <v>2029</v>
      </c>
      <c r="B76" s="1326" t="s">
        <v>1694</v>
      </c>
      <c r="C76" s="1326" t="s">
        <v>2549</v>
      </c>
      <c r="D76" s="1326" t="s">
        <v>2550</v>
      </c>
      <c r="E76" s="1326" t="s">
        <v>144</v>
      </c>
      <c r="F76" s="1326" t="s">
        <v>2544</v>
      </c>
      <c r="G76" s="1326" t="s">
        <v>2545</v>
      </c>
      <c r="H76" s="1326" t="s">
        <v>2546</v>
      </c>
      <c r="I76" s="1326" t="s">
        <v>699</v>
      </c>
      <c r="J76" s="1326" t="s">
        <v>293</v>
      </c>
      <c r="K76" s="1326" t="s">
        <v>2087</v>
      </c>
      <c r="L76" s="1326" t="s">
        <v>2061</v>
      </c>
      <c r="M76" s="1400"/>
      <c r="N76" s="1400"/>
      <c r="O76" s="1400"/>
      <c r="P76" s="1400"/>
      <c r="Q76" s="1400"/>
      <c r="R76" s="1400"/>
      <c r="S76" s="1400"/>
      <c r="T76" s="1400"/>
      <c r="U76" s="1400"/>
      <c r="V76" s="1400"/>
      <c r="W76" s="1400"/>
      <c r="X76" s="1400"/>
      <c r="Y76" s="1685">
        <v>42808</v>
      </c>
      <c r="Z76" s="1326" t="s">
        <v>2062</v>
      </c>
      <c r="AA76" s="1683">
        <v>0</v>
      </c>
      <c r="AB76" s="1683">
        <v>0</v>
      </c>
      <c r="AC76" s="1683">
        <v>0</v>
      </c>
      <c r="AD76" s="1685">
        <v>42835</v>
      </c>
      <c r="AE76" s="1326" t="s">
        <v>2073</v>
      </c>
      <c r="AF76" s="1326" t="s">
        <v>2064</v>
      </c>
      <c r="AG76" s="1410"/>
      <c r="AH76" s="1683">
        <v>15993.3</v>
      </c>
      <c r="AI76" s="1683">
        <v>10422.200000000001</v>
      </c>
      <c r="AJ76" s="1683">
        <v>10422.200000000001</v>
      </c>
      <c r="AK76" s="1683">
        <v>10422.200000000001</v>
      </c>
      <c r="AL76" s="1683">
        <v>0</v>
      </c>
      <c r="AM76" s="1685">
        <v>42835</v>
      </c>
      <c r="AN76" s="1683">
        <v>15993.3</v>
      </c>
      <c r="AO76" s="1683">
        <v>10422.200000000001</v>
      </c>
      <c r="AP76" s="1683">
        <v>10422.200000000001</v>
      </c>
      <c r="AQ76" s="1683">
        <v>10422.200000000001</v>
      </c>
      <c r="AR76" s="1683">
        <v>0</v>
      </c>
      <c r="AS76" s="1683">
        <v>5571.1</v>
      </c>
      <c r="AT76" s="1683">
        <v>0</v>
      </c>
      <c r="AU76" s="1683">
        <v>0</v>
      </c>
      <c r="AV76" s="1683">
        <v>0</v>
      </c>
      <c r="AW76" s="1683">
        <v>5571.1</v>
      </c>
      <c r="AX76" s="1400"/>
      <c r="AY76" s="1400"/>
      <c r="AZ76" s="1400"/>
      <c r="BA76" s="1682"/>
      <c r="BB76" s="1682"/>
      <c r="BC76" s="1400"/>
      <c r="BD76" s="1400"/>
      <c r="BE76" s="1683">
        <v>15993.3</v>
      </c>
      <c r="BF76" s="1683">
        <v>10422.200000000001</v>
      </c>
      <c r="BG76" s="1683">
        <v>10422.200000000001</v>
      </c>
      <c r="BH76" s="1683">
        <v>10422.200000000001</v>
      </c>
      <c r="BI76" s="1683">
        <v>0</v>
      </c>
      <c r="BJ76" s="1683">
        <v>5571.1</v>
      </c>
      <c r="BK76" s="1683">
        <v>0</v>
      </c>
      <c r="BL76" s="1683">
        <v>0</v>
      </c>
      <c r="BM76" s="1683">
        <v>0</v>
      </c>
      <c r="BN76" s="1683">
        <v>5571.1</v>
      </c>
      <c r="BO76" s="1685">
        <v>42991</v>
      </c>
      <c r="BP76" s="1683">
        <v>15993.3</v>
      </c>
      <c r="BQ76" s="1683">
        <v>10422.200000000001</v>
      </c>
      <c r="BR76" s="1683">
        <v>10422.200000000001</v>
      </c>
      <c r="BS76" s="1683">
        <v>10422.200000000001</v>
      </c>
      <c r="BT76" s="1683">
        <v>0</v>
      </c>
      <c r="BU76" s="1683">
        <v>5571.1</v>
      </c>
      <c r="BV76" s="1683">
        <v>0</v>
      </c>
      <c r="BW76" s="1683">
        <v>0</v>
      </c>
      <c r="BX76" s="1683">
        <v>0</v>
      </c>
      <c r="BY76" s="1683">
        <v>5571.1</v>
      </c>
      <c r="BZ76" s="1683">
        <v>0</v>
      </c>
      <c r="CA76" s="1400"/>
      <c r="CB76" s="1682"/>
      <c r="CC76" s="1682"/>
      <c r="CD76" s="1400"/>
      <c r="CE76" s="1400"/>
      <c r="CF76" s="1683">
        <v>0</v>
      </c>
      <c r="CG76" s="1683">
        <v>0</v>
      </c>
      <c r="CH76" s="1683">
        <v>0</v>
      </c>
      <c r="CI76" s="1683">
        <v>0</v>
      </c>
      <c r="CJ76" s="1683">
        <v>0</v>
      </c>
      <c r="CK76" s="1683">
        <v>0</v>
      </c>
      <c r="CL76" s="1685">
        <v>43511</v>
      </c>
      <c r="CM76" s="1683">
        <v>15993.3</v>
      </c>
      <c r="CN76" s="1683">
        <v>10422.200000000001</v>
      </c>
      <c r="CO76" s="1683">
        <v>10422.200000000001</v>
      </c>
      <c r="CP76" s="1683">
        <v>10422.200000000001</v>
      </c>
      <c r="CQ76" s="1683">
        <v>0</v>
      </c>
      <c r="CR76" s="1683">
        <v>5571.1</v>
      </c>
      <c r="CS76" s="1683">
        <v>0</v>
      </c>
      <c r="CT76" s="1683">
        <v>0</v>
      </c>
      <c r="CU76" s="1683">
        <v>0</v>
      </c>
      <c r="CV76" s="1683">
        <v>5571.1</v>
      </c>
      <c r="CW76" s="1682"/>
      <c r="CX76" s="1400"/>
      <c r="CY76" s="1400"/>
      <c r="CZ76" s="1400"/>
      <c r="DA76" s="1400"/>
      <c r="DB76" s="1682"/>
      <c r="DC76" s="1326"/>
      <c r="DD76" s="1683">
        <v>0</v>
      </c>
      <c r="DE76" s="1400"/>
      <c r="DF76" s="1400"/>
      <c r="DG76" s="1683">
        <v>0</v>
      </c>
      <c r="DH76" s="1683">
        <v>0</v>
      </c>
    </row>
    <row r="77" spans="1:112" ht="56.25">
      <c r="A77" s="1326" t="s">
        <v>2030</v>
      </c>
      <c r="B77" s="1326" t="s">
        <v>1694</v>
      </c>
      <c r="C77" s="1326" t="s">
        <v>2549</v>
      </c>
      <c r="D77" s="1326" t="s">
        <v>2550</v>
      </c>
      <c r="E77" s="1326" t="s">
        <v>144</v>
      </c>
      <c r="F77" s="1326" t="s">
        <v>2544</v>
      </c>
      <c r="G77" s="1326" t="s">
        <v>2545</v>
      </c>
      <c r="H77" s="1326" t="s">
        <v>2546</v>
      </c>
      <c r="I77" s="1326" t="s">
        <v>699</v>
      </c>
      <c r="J77" s="1326" t="s">
        <v>293</v>
      </c>
      <c r="K77" s="1326" t="s">
        <v>2087</v>
      </c>
      <c r="L77" s="1326" t="s">
        <v>2061</v>
      </c>
      <c r="M77" s="1400"/>
      <c r="N77" s="1400"/>
      <c r="O77" s="1400"/>
      <c r="P77" s="1400"/>
      <c r="Q77" s="1400"/>
      <c r="R77" s="1400"/>
      <c r="S77" s="1400"/>
      <c r="T77" s="1400"/>
      <c r="U77" s="1400"/>
      <c r="V77" s="1400"/>
      <c r="W77" s="1400"/>
      <c r="X77" s="1400"/>
      <c r="Y77" s="1685">
        <v>42865</v>
      </c>
      <c r="Z77" s="1326" t="s">
        <v>2062</v>
      </c>
      <c r="AA77" s="1683">
        <v>0</v>
      </c>
      <c r="AB77" s="1683">
        <v>0</v>
      </c>
      <c r="AC77" s="1683">
        <v>0</v>
      </c>
      <c r="AD77" s="1685">
        <v>42886</v>
      </c>
      <c r="AE77" s="1326" t="s">
        <v>2063</v>
      </c>
      <c r="AF77" s="1326" t="s">
        <v>2067</v>
      </c>
      <c r="AG77" s="1410"/>
      <c r="AH77" s="1683">
        <v>17197.080000000002</v>
      </c>
      <c r="AI77" s="1683">
        <v>8420.75</v>
      </c>
      <c r="AJ77" s="1683">
        <v>8420.75</v>
      </c>
      <c r="AK77" s="1683">
        <v>8420.75</v>
      </c>
      <c r="AL77" s="1683">
        <v>0</v>
      </c>
      <c r="AM77" s="1685">
        <v>42891</v>
      </c>
      <c r="AN77" s="1683">
        <v>17197.080000000002</v>
      </c>
      <c r="AO77" s="1683">
        <v>8420.75</v>
      </c>
      <c r="AP77" s="1683">
        <v>8420.75</v>
      </c>
      <c r="AQ77" s="1683">
        <v>8420.75</v>
      </c>
      <c r="AR77" s="1683">
        <v>0</v>
      </c>
      <c r="AS77" s="1683">
        <v>8776.33</v>
      </c>
      <c r="AT77" s="1683">
        <v>0</v>
      </c>
      <c r="AU77" s="1683">
        <v>0</v>
      </c>
      <c r="AV77" s="1683">
        <v>0</v>
      </c>
      <c r="AW77" s="1683">
        <v>8776.33</v>
      </c>
      <c r="AX77" s="1400"/>
      <c r="AY77" s="1400"/>
      <c r="AZ77" s="1400"/>
      <c r="BA77" s="1682"/>
      <c r="BB77" s="1682"/>
      <c r="BC77" s="1400"/>
      <c r="BD77" s="1400"/>
      <c r="BE77" s="1683">
        <v>17197.080000000002</v>
      </c>
      <c r="BF77" s="1683">
        <v>8420.75</v>
      </c>
      <c r="BG77" s="1683">
        <v>8420.75</v>
      </c>
      <c r="BH77" s="1683">
        <v>8420.75</v>
      </c>
      <c r="BI77" s="1683">
        <v>0</v>
      </c>
      <c r="BJ77" s="1683">
        <v>8776.33</v>
      </c>
      <c r="BK77" s="1683">
        <v>0</v>
      </c>
      <c r="BL77" s="1683">
        <v>0</v>
      </c>
      <c r="BM77" s="1683">
        <v>0</v>
      </c>
      <c r="BN77" s="1683">
        <v>8776.33</v>
      </c>
      <c r="BO77" s="1685">
        <v>42991</v>
      </c>
      <c r="BP77" s="1683">
        <v>17197.080000000002</v>
      </c>
      <c r="BQ77" s="1683">
        <v>8420.75</v>
      </c>
      <c r="BR77" s="1683">
        <v>8420.75</v>
      </c>
      <c r="BS77" s="1683">
        <v>8420.75</v>
      </c>
      <c r="BT77" s="1683">
        <v>0</v>
      </c>
      <c r="BU77" s="1683">
        <v>8776.33</v>
      </c>
      <c r="BV77" s="1683">
        <v>0</v>
      </c>
      <c r="BW77" s="1683">
        <v>0</v>
      </c>
      <c r="BX77" s="1683">
        <v>0</v>
      </c>
      <c r="BY77" s="1683">
        <v>8776.33</v>
      </c>
      <c r="BZ77" s="1683">
        <v>0</v>
      </c>
      <c r="CA77" s="1400"/>
      <c r="CB77" s="1682"/>
      <c r="CC77" s="1682"/>
      <c r="CD77" s="1400"/>
      <c r="CE77" s="1400"/>
      <c r="CF77" s="1683">
        <v>0</v>
      </c>
      <c r="CG77" s="1683">
        <v>0</v>
      </c>
      <c r="CH77" s="1683">
        <v>0</v>
      </c>
      <c r="CI77" s="1683">
        <v>0</v>
      </c>
      <c r="CJ77" s="1683">
        <v>0</v>
      </c>
      <c r="CK77" s="1683">
        <v>0</v>
      </c>
      <c r="CL77" s="1685">
        <v>43511</v>
      </c>
      <c r="CM77" s="1683">
        <v>17197.080000000002</v>
      </c>
      <c r="CN77" s="1683">
        <v>8420.75</v>
      </c>
      <c r="CO77" s="1683">
        <v>8420.75</v>
      </c>
      <c r="CP77" s="1683">
        <v>8420.75</v>
      </c>
      <c r="CQ77" s="1683">
        <v>0</v>
      </c>
      <c r="CR77" s="1683">
        <v>8776.33</v>
      </c>
      <c r="CS77" s="1683">
        <v>0</v>
      </c>
      <c r="CT77" s="1683">
        <v>0</v>
      </c>
      <c r="CU77" s="1683">
        <v>0</v>
      </c>
      <c r="CV77" s="1683">
        <v>8776.33</v>
      </c>
      <c r="CW77" s="1682"/>
      <c r="CX77" s="1400"/>
      <c r="CY77" s="1400"/>
      <c r="CZ77" s="1400"/>
      <c r="DA77" s="1400"/>
      <c r="DB77" s="1682"/>
      <c r="DC77" s="1326"/>
      <c r="DD77" s="1683">
        <v>0</v>
      </c>
      <c r="DE77" s="1400"/>
      <c r="DF77" s="1400"/>
      <c r="DG77" s="1683">
        <v>0</v>
      </c>
      <c r="DH77" s="1683">
        <v>0</v>
      </c>
    </row>
    <row r="78" spans="1:112" ht="56.25">
      <c r="A78" s="1326" t="s">
        <v>2031</v>
      </c>
      <c r="B78" s="1326" t="s">
        <v>1694</v>
      </c>
      <c r="C78" s="1326" t="s">
        <v>2549</v>
      </c>
      <c r="D78" s="1326" t="s">
        <v>2550</v>
      </c>
      <c r="E78" s="1326" t="s">
        <v>144</v>
      </c>
      <c r="F78" s="1326" t="s">
        <v>2544</v>
      </c>
      <c r="G78" s="1326" t="s">
        <v>2545</v>
      </c>
      <c r="H78" s="1326" t="s">
        <v>2546</v>
      </c>
      <c r="I78" s="1326" t="s">
        <v>699</v>
      </c>
      <c r="J78" s="1326" t="s">
        <v>293</v>
      </c>
      <c r="K78" s="1326" t="s">
        <v>2087</v>
      </c>
      <c r="L78" s="1326" t="s">
        <v>2061</v>
      </c>
      <c r="M78" s="1400"/>
      <c r="N78" s="1400"/>
      <c r="O78" s="1400"/>
      <c r="P78" s="1400"/>
      <c r="Q78" s="1400"/>
      <c r="R78" s="1400"/>
      <c r="S78" s="1400"/>
      <c r="T78" s="1400"/>
      <c r="U78" s="1400"/>
      <c r="V78" s="1400"/>
      <c r="W78" s="1400"/>
      <c r="X78" s="1400"/>
      <c r="Y78" s="1685">
        <v>42926</v>
      </c>
      <c r="Z78" s="1326" t="s">
        <v>2062</v>
      </c>
      <c r="AA78" s="1683">
        <v>0</v>
      </c>
      <c r="AB78" s="1683">
        <v>0</v>
      </c>
      <c r="AC78" s="1683">
        <v>0</v>
      </c>
      <c r="AD78" s="1685">
        <v>42949</v>
      </c>
      <c r="AE78" s="1326" t="s">
        <v>2066</v>
      </c>
      <c r="AF78" s="1326" t="s">
        <v>2067</v>
      </c>
      <c r="AG78" s="1410"/>
      <c r="AH78" s="1683">
        <v>8392.39</v>
      </c>
      <c r="AI78" s="1683">
        <v>4671.32</v>
      </c>
      <c r="AJ78" s="1683">
        <v>4671.3100000000004</v>
      </c>
      <c r="AK78" s="1683">
        <v>4671.3100000000004</v>
      </c>
      <c r="AL78" s="1683">
        <v>0</v>
      </c>
      <c r="AM78" s="1685">
        <v>42950</v>
      </c>
      <c r="AN78" s="1683">
        <v>8392.39</v>
      </c>
      <c r="AO78" s="1683">
        <v>4671.3100000000004</v>
      </c>
      <c r="AP78" s="1683">
        <v>4671.3100000000004</v>
      </c>
      <c r="AQ78" s="1683">
        <v>4671.3100000000004</v>
      </c>
      <c r="AR78" s="1683">
        <v>0</v>
      </c>
      <c r="AS78" s="1683">
        <v>3721.08</v>
      </c>
      <c r="AT78" s="1683">
        <v>0</v>
      </c>
      <c r="AU78" s="1683">
        <v>0</v>
      </c>
      <c r="AV78" s="1683">
        <v>0</v>
      </c>
      <c r="AW78" s="1683">
        <v>3721.08</v>
      </c>
      <c r="AX78" s="1400"/>
      <c r="AY78" s="1400"/>
      <c r="AZ78" s="1400"/>
      <c r="BA78" s="1682"/>
      <c r="BB78" s="1682"/>
      <c r="BC78" s="1400"/>
      <c r="BD78" s="1400"/>
      <c r="BE78" s="1683">
        <v>8392.39</v>
      </c>
      <c r="BF78" s="1683">
        <v>4671.3100000000004</v>
      </c>
      <c r="BG78" s="1683">
        <v>4671.3100000000004</v>
      </c>
      <c r="BH78" s="1683">
        <v>4671.3100000000004</v>
      </c>
      <c r="BI78" s="1683">
        <v>0</v>
      </c>
      <c r="BJ78" s="1683">
        <v>3721.08</v>
      </c>
      <c r="BK78" s="1683">
        <v>0</v>
      </c>
      <c r="BL78" s="1683">
        <v>0</v>
      </c>
      <c r="BM78" s="1683">
        <v>0</v>
      </c>
      <c r="BN78" s="1683">
        <v>3721.08</v>
      </c>
      <c r="BO78" s="1685">
        <v>43035</v>
      </c>
      <c r="BP78" s="1683">
        <v>8392.39</v>
      </c>
      <c r="BQ78" s="1683">
        <v>4671.3100000000004</v>
      </c>
      <c r="BR78" s="1683">
        <v>4671.3100000000004</v>
      </c>
      <c r="BS78" s="1683">
        <v>4671.3100000000004</v>
      </c>
      <c r="BT78" s="1683">
        <v>0</v>
      </c>
      <c r="BU78" s="1683">
        <v>3721.08</v>
      </c>
      <c r="BV78" s="1683">
        <v>0</v>
      </c>
      <c r="BW78" s="1683">
        <v>0</v>
      </c>
      <c r="BX78" s="1683">
        <v>0</v>
      </c>
      <c r="BY78" s="1683">
        <v>3721.08</v>
      </c>
      <c r="BZ78" s="1683">
        <v>0</v>
      </c>
      <c r="CA78" s="1400"/>
      <c r="CB78" s="1682"/>
      <c r="CC78" s="1682"/>
      <c r="CD78" s="1400"/>
      <c r="CE78" s="1400"/>
      <c r="CF78" s="1683">
        <v>0</v>
      </c>
      <c r="CG78" s="1683">
        <v>0</v>
      </c>
      <c r="CH78" s="1683">
        <v>0</v>
      </c>
      <c r="CI78" s="1683">
        <v>0</v>
      </c>
      <c r="CJ78" s="1683">
        <v>0</v>
      </c>
      <c r="CK78" s="1683">
        <v>0</v>
      </c>
      <c r="CL78" s="1685">
        <v>43511</v>
      </c>
      <c r="CM78" s="1683">
        <v>8392.39</v>
      </c>
      <c r="CN78" s="1683">
        <v>4671.3100000000004</v>
      </c>
      <c r="CO78" s="1683">
        <v>4671.3100000000004</v>
      </c>
      <c r="CP78" s="1683">
        <v>4671.3100000000004</v>
      </c>
      <c r="CQ78" s="1683">
        <v>0</v>
      </c>
      <c r="CR78" s="1683">
        <v>3721.08</v>
      </c>
      <c r="CS78" s="1683">
        <v>0</v>
      </c>
      <c r="CT78" s="1683">
        <v>0</v>
      </c>
      <c r="CU78" s="1683">
        <v>0</v>
      </c>
      <c r="CV78" s="1683">
        <v>3721.08</v>
      </c>
      <c r="CW78" s="1682"/>
      <c r="CX78" s="1400"/>
      <c r="CY78" s="1400"/>
      <c r="CZ78" s="1400"/>
      <c r="DA78" s="1400"/>
      <c r="DB78" s="1682"/>
      <c r="DC78" s="1326"/>
      <c r="DD78" s="1683">
        <v>0</v>
      </c>
      <c r="DE78" s="1400"/>
      <c r="DF78" s="1400"/>
      <c r="DG78" s="1683">
        <v>0</v>
      </c>
      <c r="DH78" s="1683">
        <v>0</v>
      </c>
    </row>
    <row r="79" spans="1:112" ht="56.25">
      <c r="A79" s="1326" t="s">
        <v>2032</v>
      </c>
      <c r="B79" s="1326" t="s">
        <v>1694</v>
      </c>
      <c r="C79" s="1326" t="s">
        <v>2549</v>
      </c>
      <c r="D79" s="1326" t="s">
        <v>2550</v>
      </c>
      <c r="E79" s="1326" t="s">
        <v>144</v>
      </c>
      <c r="F79" s="1326" t="s">
        <v>2544</v>
      </c>
      <c r="G79" s="1326" t="s">
        <v>2545</v>
      </c>
      <c r="H79" s="1326" t="s">
        <v>2546</v>
      </c>
      <c r="I79" s="1326" t="s">
        <v>699</v>
      </c>
      <c r="J79" s="1326" t="s">
        <v>293</v>
      </c>
      <c r="K79" s="1326" t="s">
        <v>2087</v>
      </c>
      <c r="L79" s="1326" t="s">
        <v>2061</v>
      </c>
      <c r="M79" s="1400"/>
      <c r="N79" s="1400"/>
      <c r="O79" s="1400"/>
      <c r="P79" s="1400"/>
      <c r="Q79" s="1400"/>
      <c r="R79" s="1400"/>
      <c r="S79" s="1400"/>
      <c r="T79" s="1400"/>
      <c r="U79" s="1400"/>
      <c r="V79" s="1400"/>
      <c r="W79" s="1400"/>
      <c r="X79" s="1400"/>
      <c r="Y79" s="1685">
        <v>42990</v>
      </c>
      <c r="Z79" s="1326" t="s">
        <v>2062</v>
      </c>
      <c r="AA79" s="1683">
        <v>0</v>
      </c>
      <c r="AB79" s="1683">
        <v>0</v>
      </c>
      <c r="AC79" s="1683">
        <v>0</v>
      </c>
      <c r="AD79" s="1685">
        <v>43027</v>
      </c>
      <c r="AE79" s="1326" t="s">
        <v>2079</v>
      </c>
      <c r="AF79" s="1326" t="s">
        <v>2067</v>
      </c>
      <c r="AG79" s="1410"/>
      <c r="AH79" s="1683">
        <v>68212.789999999994</v>
      </c>
      <c r="AI79" s="1683">
        <v>33997.71</v>
      </c>
      <c r="AJ79" s="1683">
        <v>33997.72</v>
      </c>
      <c r="AK79" s="1683">
        <v>33997.72</v>
      </c>
      <c r="AL79" s="1683">
        <v>0</v>
      </c>
      <c r="AM79" s="1685">
        <v>43027</v>
      </c>
      <c r="AN79" s="1683">
        <v>68212.789999999994</v>
      </c>
      <c r="AO79" s="1683">
        <v>33997.72</v>
      </c>
      <c r="AP79" s="1683">
        <v>33997.72</v>
      </c>
      <c r="AQ79" s="1683">
        <v>33997.72</v>
      </c>
      <c r="AR79" s="1683">
        <v>0</v>
      </c>
      <c r="AS79" s="1683">
        <v>34215.07</v>
      </c>
      <c r="AT79" s="1683">
        <v>0</v>
      </c>
      <c r="AU79" s="1683">
        <v>0</v>
      </c>
      <c r="AV79" s="1683">
        <v>0</v>
      </c>
      <c r="AW79" s="1683">
        <v>34215.07</v>
      </c>
      <c r="AX79" s="1400"/>
      <c r="AY79" s="1400"/>
      <c r="AZ79" s="1400"/>
      <c r="BA79" s="1682"/>
      <c r="BB79" s="1682"/>
      <c r="BC79" s="1400"/>
      <c r="BD79" s="1400"/>
      <c r="BE79" s="1683">
        <v>68212.789999999994</v>
      </c>
      <c r="BF79" s="1683">
        <v>33997.72</v>
      </c>
      <c r="BG79" s="1683">
        <v>33997.72</v>
      </c>
      <c r="BH79" s="1683">
        <v>33997.72</v>
      </c>
      <c r="BI79" s="1683">
        <v>0</v>
      </c>
      <c r="BJ79" s="1683">
        <v>34215.07</v>
      </c>
      <c r="BK79" s="1683">
        <v>0</v>
      </c>
      <c r="BL79" s="1683">
        <v>0</v>
      </c>
      <c r="BM79" s="1683">
        <v>0</v>
      </c>
      <c r="BN79" s="1683">
        <v>34215.07</v>
      </c>
      <c r="BO79" s="1685">
        <v>43125</v>
      </c>
      <c r="BP79" s="1683">
        <v>68212.789999999994</v>
      </c>
      <c r="BQ79" s="1683">
        <v>33997.72</v>
      </c>
      <c r="BR79" s="1683">
        <v>33997.72</v>
      </c>
      <c r="BS79" s="1683">
        <v>33997.72</v>
      </c>
      <c r="BT79" s="1683">
        <v>0</v>
      </c>
      <c r="BU79" s="1683">
        <v>34215.07</v>
      </c>
      <c r="BV79" s="1683">
        <v>0</v>
      </c>
      <c r="BW79" s="1683">
        <v>0</v>
      </c>
      <c r="BX79" s="1683">
        <v>0</v>
      </c>
      <c r="BY79" s="1683">
        <v>34215.07</v>
      </c>
      <c r="BZ79" s="1683">
        <v>0</v>
      </c>
      <c r="CA79" s="1400"/>
      <c r="CB79" s="1682"/>
      <c r="CC79" s="1682"/>
      <c r="CD79" s="1400"/>
      <c r="CE79" s="1400"/>
      <c r="CF79" s="1683">
        <v>0</v>
      </c>
      <c r="CG79" s="1683">
        <v>0</v>
      </c>
      <c r="CH79" s="1683">
        <v>0</v>
      </c>
      <c r="CI79" s="1683">
        <v>0</v>
      </c>
      <c r="CJ79" s="1683">
        <v>0</v>
      </c>
      <c r="CK79" s="1683">
        <v>0</v>
      </c>
      <c r="CL79" s="1685">
        <v>43511</v>
      </c>
      <c r="CM79" s="1683">
        <v>68212.789999999994</v>
      </c>
      <c r="CN79" s="1683">
        <v>33997.72</v>
      </c>
      <c r="CO79" s="1683">
        <v>33997.72</v>
      </c>
      <c r="CP79" s="1683">
        <v>33997.72</v>
      </c>
      <c r="CQ79" s="1683">
        <v>0</v>
      </c>
      <c r="CR79" s="1683">
        <v>34215.07</v>
      </c>
      <c r="CS79" s="1683">
        <v>0</v>
      </c>
      <c r="CT79" s="1683">
        <v>0</v>
      </c>
      <c r="CU79" s="1683">
        <v>0</v>
      </c>
      <c r="CV79" s="1683">
        <v>34215.07</v>
      </c>
      <c r="CW79" s="1682"/>
      <c r="CX79" s="1400"/>
      <c r="CY79" s="1400"/>
      <c r="CZ79" s="1400"/>
      <c r="DA79" s="1400"/>
      <c r="DB79" s="1682"/>
      <c r="DC79" s="1326"/>
      <c r="DD79" s="1683">
        <v>0</v>
      </c>
      <c r="DE79" s="1400"/>
      <c r="DF79" s="1400"/>
      <c r="DG79" s="1683">
        <v>0</v>
      </c>
      <c r="DH79" s="1683">
        <v>0</v>
      </c>
    </row>
    <row r="80" spans="1:112" ht="56.25">
      <c r="A80" s="1326" t="s">
        <v>2033</v>
      </c>
      <c r="B80" s="1326" t="s">
        <v>1694</v>
      </c>
      <c r="C80" s="1326" t="s">
        <v>2549</v>
      </c>
      <c r="D80" s="1326" t="s">
        <v>2550</v>
      </c>
      <c r="E80" s="1326" t="s">
        <v>144</v>
      </c>
      <c r="F80" s="1326" t="s">
        <v>2544</v>
      </c>
      <c r="G80" s="1326" t="s">
        <v>2545</v>
      </c>
      <c r="H80" s="1326" t="s">
        <v>2546</v>
      </c>
      <c r="I80" s="1326" t="s">
        <v>699</v>
      </c>
      <c r="J80" s="1326" t="s">
        <v>293</v>
      </c>
      <c r="K80" s="1326" t="s">
        <v>2087</v>
      </c>
      <c r="L80" s="1326" t="s">
        <v>2061</v>
      </c>
      <c r="M80" s="1400"/>
      <c r="N80" s="1400"/>
      <c r="O80" s="1400"/>
      <c r="P80" s="1400"/>
      <c r="Q80" s="1400"/>
      <c r="R80" s="1400"/>
      <c r="S80" s="1400"/>
      <c r="T80" s="1400"/>
      <c r="U80" s="1400"/>
      <c r="V80" s="1400"/>
      <c r="W80" s="1400"/>
      <c r="X80" s="1400"/>
      <c r="Y80" s="1685">
        <v>43077</v>
      </c>
      <c r="Z80" s="1326" t="s">
        <v>2062</v>
      </c>
      <c r="AA80" s="1683">
        <v>0</v>
      </c>
      <c r="AB80" s="1683">
        <v>0</v>
      </c>
      <c r="AC80" s="1683">
        <v>0</v>
      </c>
      <c r="AD80" s="1685">
        <v>43091</v>
      </c>
      <c r="AE80" s="1326" t="s">
        <v>2080</v>
      </c>
      <c r="AF80" s="1326" t="s">
        <v>2067</v>
      </c>
      <c r="AG80" s="1410"/>
      <c r="AH80" s="1683">
        <v>75349.75</v>
      </c>
      <c r="AI80" s="1683">
        <v>47131.37</v>
      </c>
      <c r="AJ80" s="1683">
        <v>47131.37</v>
      </c>
      <c r="AK80" s="1683">
        <v>47131.37</v>
      </c>
      <c r="AL80" s="1683">
        <v>0</v>
      </c>
      <c r="AM80" s="1685">
        <v>43096</v>
      </c>
      <c r="AN80" s="1683">
        <v>75349.75</v>
      </c>
      <c r="AO80" s="1683">
        <v>47131.37</v>
      </c>
      <c r="AP80" s="1683">
        <v>47131.37</v>
      </c>
      <c r="AQ80" s="1683">
        <v>47131.37</v>
      </c>
      <c r="AR80" s="1683">
        <v>0</v>
      </c>
      <c r="AS80" s="1683">
        <v>28218.38</v>
      </c>
      <c r="AT80" s="1683">
        <v>0</v>
      </c>
      <c r="AU80" s="1683">
        <v>0</v>
      </c>
      <c r="AV80" s="1683">
        <v>0</v>
      </c>
      <c r="AW80" s="1683">
        <v>28218.38</v>
      </c>
      <c r="AX80" s="1400"/>
      <c r="AY80" s="1400"/>
      <c r="AZ80" s="1400"/>
      <c r="BA80" s="1682"/>
      <c r="BB80" s="1682"/>
      <c r="BC80" s="1400"/>
      <c r="BD80" s="1400"/>
      <c r="BE80" s="1683">
        <v>75349.75</v>
      </c>
      <c r="BF80" s="1683">
        <v>47131.37</v>
      </c>
      <c r="BG80" s="1683">
        <v>47131.37</v>
      </c>
      <c r="BH80" s="1683">
        <v>47131.37</v>
      </c>
      <c r="BI80" s="1683">
        <v>0</v>
      </c>
      <c r="BJ80" s="1683">
        <v>28218.38</v>
      </c>
      <c r="BK80" s="1683">
        <v>0</v>
      </c>
      <c r="BL80" s="1683">
        <v>0</v>
      </c>
      <c r="BM80" s="1683">
        <v>0</v>
      </c>
      <c r="BN80" s="1683">
        <v>28218.38</v>
      </c>
      <c r="BO80" s="1685">
        <v>43189</v>
      </c>
      <c r="BP80" s="1683">
        <v>75349.75</v>
      </c>
      <c r="BQ80" s="1683">
        <v>47131.37</v>
      </c>
      <c r="BR80" s="1683">
        <v>47131.37</v>
      </c>
      <c r="BS80" s="1683">
        <v>47131.37</v>
      </c>
      <c r="BT80" s="1683">
        <v>0</v>
      </c>
      <c r="BU80" s="1683">
        <v>28218.38</v>
      </c>
      <c r="BV80" s="1683">
        <v>0</v>
      </c>
      <c r="BW80" s="1683">
        <v>0</v>
      </c>
      <c r="BX80" s="1683">
        <v>0</v>
      </c>
      <c r="BY80" s="1683">
        <v>28218.38</v>
      </c>
      <c r="BZ80" s="1683">
        <v>0</v>
      </c>
      <c r="CA80" s="1400"/>
      <c r="CB80" s="1682"/>
      <c r="CC80" s="1682"/>
      <c r="CD80" s="1400"/>
      <c r="CE80" s="1400"/>
      <c r="CF80" s="1683">
        <v>0</v>
      </c>
      <c r="CG80" s="1683">
        <v>0</v>
      </c>
      <c r="CH80" s="1683">
        <v>0</v>
      </c>
      <c r="CI80" s="1683">
        <v>0</v>
      </c>
      <c r="CJ80" s="1683">
        <v>0</v>
      </c>
      <c r="CK80" s="1683">
        <v>0</v>
      </c>
      <c r="CL80" s="1685">
        <v>43511</v>
      </c>
      <c r="CM80" s="1683">
        <v>75349.75</v>
      </c>
      <c r="CN80" s="1683">
        <v>47131.37</v>
      </c>
      <c r="CO80" s="1683">
        <v>47131.37</v>
      </c>
      <c r="CP80" s="1683">
        <v>47131.37</v>
      </c>
      <c r="CQ80" s="1683">
        <v>0</v>
      </c>
      <c r="CR80" s="1683">
        <v>28218.38</v>
      </c>
      <c r="CS80" s="1683">
        <v>0</v>
      </c>
      <c r="CT80" s="1683">
        <v>0</v>
      </c>
      <c r="CU80" s="1683">
        <v>0</v>
      </c>
      <c r="CV80" s="1683">
        <v>28218.38</v>
      </c>
      <c r="CW80" s="1682"/>
      <c r="CX80" s="1400"/>
      <c r="CY80" s="1400"/>
      <c r="CZ80" s="1400"/>
      <c r="DA80" s="1400"/>
      <c r="DB80" s="1682"/>
      <c r="DC80" s="1326"/>
      <c r="DD80" s="1683">
        <v>0</v>
      </c>
      <c r="DE80" s="1400"/>
      <c r="DF80" s="1400"/>
      <c r="DG80" s="1683">
        <v>0</v>
      </c>
      <c r="DH80" s="1683">
        <v>0</v>
      </c>
    </row>
    <row r="81" spans="1:112" ht="56.25">
      <c r="A81" s="1326" t="s">
        <v>2098</v>
      </c>
      <c r="B81" s="1326" t="s">
        <v>1694</v>
      </c>
      <c r="C81" s="1326" t="s">
        <v>2549</v>
      </c>
      <c r="D81" s="1326" t="s">
        <v>2550</v>
      </c>
      <c r="E81" s="1326" t="s">
        <v>144</v>
      </c>
      <c r="F81" s="1326" t="s">
        <v>2544</v>
      </c>
      <c r="G81" s="1326" t="s">
        <v>2545</v>
      </c>
      <c r="H81" s="1326" t="s">
        <v>2546</v>
      </c>
      <c r="I81" s="1326" t="s">
        <v>699</v>
      </c>
      <c r="J81" s="1326" t="s">
        <v>293</v>
      </c>
      <c r="K81" s="1326" t="s">
        <v>2087</v>
      </c>
      <c r="L81" s="1326" t="s">
        <v>2061</v>
      </c>
      <c r="M81" s="1400"/>
      <c r="N81" s="1400"/>
      <c r="O81" s="1400"/>
      <c r="P81" s="1400"/>
      <c r="Q81" s="1400"/>
      <c r="R81" s="1400"/>
      <c r="S81" s="1400"/>
      <c r="T81" s="1400"/>
      <c r="U81" s="1400"/>
      <c r="V81" s="1400"/>
      <c r="W81" s="1400"/>
      <c r="X81" s="1400"/>
      <c r="Y81" s="1685">
        <v>43077</v>
      </c>
      <c r="Z81" s="1326" t="s">
        <v>2062</v>
      </c>
      <c r="AA81" s="1683">
        <v>0</v>
      </c>
      <c r="AB81" s="1683">
        <v>0</v>
      </c>
      <c r="AC81" s="1683">
        <v>0</v>
      </c>
      <c r="AD81" s="1685">
        <v>43091</v>
      </c>
      <c r="AE81" s="1326" t="s">
        <v>2080</v>
      </c>
      <c r="AF81" s="1326" t="s">
        <v>2064</v>
      </c>
      <c r="AG81" s="1410"/>
      <c r="AH81" s="1683">
        <v>62.32</v>
      </c>
      <c r="AI81" s="1683">
        <v>40.61</v>
      </c>
      <c r="AJ81" s="1683">
        <v>40.61</v>
      </c>
      <c r="AK81" s="1683">
        <v>40.61</v>
      </c>
      <c r="AL81" s="1683">
        <v>0</v>
      </c>
      <c r="AM81" s="1685">
        <v>43091</v>
      </c>
      <c r="AN81" s="1683">
        <v>62.32</v>
      </c>
      <c r="AO81" s="1683">
        <v>40.61</v>
      </c>
      <c r="AP81" s="1683">
        <v>40.61</v>
      </c>
      <c r="AQ81" s="1683">
        <v>40.61</v>
      </c>
      <c r="AR81" s="1683">
        <v>0</v>
      </c>
      <c r="AS81" s="1683">
        <v>21.71</v>
      </c>
      <c r="AT81" s="1683">
        <v>0</v>
      </c>
      <c r="AU81" s="1683">
        <v>0</v>
      </c>
      <c r="AV81" s="1683">
        <v>0</v>
      </c>
      <c r="AW81" s="1683">
        <v>21.71</v>
      </c>
      <c r="AX81" s="1400"/>
      <c r="AY81" s="1400"/>
      <c r="AZ81" s="1400"/>
      <c r="BA81" s="1682"/>
      <c r="BB81" s="1682"/>
      <c r="BC81" s="1400"/>
      <c r="BD81" s="1400"/>
      <c r="BE81" s="1683">
        <v>62.32</v>
      </c>
      <c r="BF81" s="1683">
        <v>40.61</v>
      </c>
      <c r="BG81" s="1683">
        <v>40.61</v>
      </c>
      <c r="BH81" s="1683">
        <v>40.61</v>
      </c>
      <c r="BI81" s="1683">
        <v>0</v>
      </c>
      <c r="BJ81" s="1683">
        <v>21.71</v>
      </c>
      <c r="BK81" s="1683">
        <v>0</v>
      </c>
      <c r="BL81" s="1683">
        <v>0</v>
      </c>
      <c r="BM81" s="1683">
        <v>0</v>
      </c>
      <c r="BN81" s="1683">
        <v>21.71</v>
      </c>
      <c r="BO81" s="1685">
        <v>43189</v>
      </c>
      <c r="BP81" s="1683">
        <v>62.32</v>
      </c>
      <c r="BQ81" s="1683">
        <v>40.61</v>
      </c>
      <c r="BR81" s="1683">
        <v>40.61</v>
      </c>
      <c r="BS81" s="1683">
        <v>40.61</v>
      </c>
      <c r="BT81" s="1683">
        <v>0</v>
      </c>
      <c r="BU81" s="1683">
        <v>21.71</v>
      </c>
      <c r="BV81" s="1683">
        <v>0</v>
      </c>
      <c r="BW81" s="1683">
        <v>0</v>
      </c>
      <c r="BX81" s="1683">
        <v>0</v>
      </c>
      <c r="BY81" s="1683">
        <v>21.71</v>
      </c>
      <c r="BZ81" s="1683">
        <v>0</v>
      </c>
      <c r="CA81" s="1400"/>
      <c r="CB81" s="1682"/>
      <c r="CC81" s="1682"/>
      <c r="CD81" s="1400"/>
      <c r="CE81" s="1400"/>
      <c r="CF81" s="1683">
        <v>0</v>
      </c>
      <c r="CG81" s="1683">
        <v>0</v>
      </c>
      <c r="CH81" s="1683">
        <v>0</v>
      </c>
      <c r="CI81" s="1683">
        <v>0</v>
      </c>
      <c r="CJ81" s="1683">
        <v>0</v>
      </c>
      <c r="CK81" s="1683">
        <v>0</v>
      </c>
      <c r="CL81" s="1685">
        <v>43511</v>
      </c>
      <c r="CM81" s="1683">
        <v>62.32</v>
      </c>
      <c r="CN81" s="1683">
        <v>40.61</v>
      </c>
      <c r="CO81" s="1683">
        <v>40.61</v>
      </c>
      <c r="CP81" s="1683">
        <v>40.61</v>
      </c>
      <c r="CQ81" s="1683">
        <v>0</v>
      </c>
      <c r="CR81" s="1683">
        <v>21.71</v>
      </c>
      <c r="CS81" s="1683">
        <v>0</v>
      </c>
      <c r="CT81" s="1683">
        <v>0</v>
      </c>
      <c r="CU81" s="1683">
        <v>0</v>
      </c>
      <c r="CV81" s="1683">
        <v>21.71</v>
      </c>
      <c r="CW81" s="1682"/>
      <c r="CX81" s="1400"/>
      <c r="CY81" s="1400"/>
      <c r="CZ81" s="1400"/>
      <c r="DA81" s="1400"/>
      <c r="DB81" s="1682"/>
      <c r="DC81" s="1326"/>
      <c r="DD81" s="1683">
        <v>0</v>
      </c>
      <c r="DE81" s="1400"/>
      <c r="DF81" s="1400"/>
      <c r="DG81" s="1683">
        <v>0</v>
      </c>
      <c r="DH81" s="1683">
        <v>0</v>
      </c>
    </row>
    <row r="82" spans="1:112" ht="56.25">
      <c r="A82" s="1326" t="s">
        <v>2099</v>
      </c>
      <c r="B82" s="1326" t="s">
        <v>1694</v>
      </c>
      <c r="C82" s="1326" t="s">
        <v>2549</v>
      </c>
      <c r="D82" s="1326" t="s">
        <v>2550</v>
      </c>
      <c r="E82" s="1326" t="s">
        <v>144</v>
      </c>
      <c r="F82" s="1326" t="s">
        <v>2544</v>
      </c>
      <c r="G82" s="1326" t="s">
        <v>2545</v>
      </c>
      <c r="H82" s="1326" t="s">
        <v>2546</v>
      </c>
      <c r="I82" s="1326" t="s">
        <v>699</v>
      </c>
      <c r="J82" s="1326" t="s">
        <v>293</v>
      </c>
      <c r="K82" s="1326" t="s">
        <v>2087</v>
      </c>
      <c r="L82" s="1326" t="s">
        <v>2061</v>
      </c>
      <c r="M82" s="1400"/>
      <c r="N82" s="1400"/>
      <c r="O82" s="1400"/>
      <c r="P82" s="1400"/>
      <c r="Q82" s="1400"/>
      <c r="R82" s="1400"/>
      <c r="S82" s="1400"/>
      <c r="T82" s="1400"/>
      <c r="U82" s="1400"/>
      <c r="V82" s="1400"/>
      <c r="W82" s="1400"/>
      <c r="X82" s="1400"/>
      <c r="Y82" s="1685">
        <v>43166</v>
      </c>
      <c r="Z82" s="1326" t="s">
        <v>2062</v>
      </c>
      <c r="AA82" s="1683">
        <v>0</v>
      </c>
      <c r="AB82" s="1683">
        <v>0</v>
      </c>
      <c r="AC82" s="1683">
        <v>0</v>
      </c>
      <c r="AD82" s="1685">
        <v>43187</v>
      </c>
      <c r="AE82" s="1326" t="s">
        <v>2081</v>
      </c>
      <c r="AF82" s="1326" t="s">
        <v>2067</v>
      </c>
      <c r="AG82" s="1410"/>
      <c r="AH82" s="1683">
        <v>64196.34</v>
      </c>
      <c r="AI82" s="1683">
        <v>31434.48</v>
      </c>
      <c r="AJ82" s="1683">
        <v>31434.48</v>
      </c>
      <c r="AK82" s="1683">
        <v>31434.48</v>
      </c>
      <c r="AL82" s="1683">
        <v>0</v>
      </c>
      <c r="AM82" s="1685">
        <v>43193</v>
      </c>
      <c r="AN82" s="1683">
        <v>64196.34</v>
      </c>
      <c r="AO82" s="1683">
        <v>31434.48</v>
      </c>
      <c r="AP82" s="1683">
        <v>31434.48</v>
      </c>
      <c r="AQ82" s="1683">
        <v>31434.48</v>
      </c>
      <c r="AR82" s="1683">
        <v>0</v>
      </c>
      <c r="AS82" s="1683">
        <v>32761.86</v>
      </c>
      <c r="AT82" s="1683">
        <v>0</v>
      </c>
      <c r="AU82" s="1683">
        <v>0</v>
      </c>
      <c r="AV82" s="1683">
        <v>0</v>
      </c>
      <c r="AW82" s="1683">
        <v>32761.86</v>
      </c>
      <c r="AX82" s="1400"/>
      <c r="AY82" s="1400"/>
      <c r="AZ82" s="1400"/>
      <c r="BA82" s="1682"/>
      <c r="BB82" s="1682"/>
      <c r="BC82" s="1400"/>
      <c r="BD82" s="1400"/>
      <c r="BE82" s="1683">
        <v>64196.34</v>
      </c>
      <c r="BF82" s="1683">
        <v>31434.48</v>
      </c>
      <c r="BG82" s="1683">
        <v>31434.48</v>
      </c>
      <c r="BH82" s="1683">
        <v>31434.48</v>
      </c>
      <c r="BI82" s="1683">
        <v>0</v>
      </c>
      <c r="BJ82" s="1683">
        <v>32761.86</v>
      </c>
      <c r="BK82" s="1683">
        <v>0</v>
      </c>
      <c r="BL82" s="1683">
        <v>0</v>
      </c>
      <c r="BM82" s="1683">
        <v>0</v>
      </c>
      <c r="BN82" s="1683">
        <v>32761.86</v>
      </c>
      <c r="BO82" s="1685">
        <v>43355</v>
      </c>
      <c r="BP82" s="1683">
        <v>64196.34</v>
      </c>
      <c r="BQ82" s="1683">
        <v>31434.48</v>
      </c>
      <c r="BR82" s="1683">
        <v>31434.48</v>
      </c>
      <c r="BS82" s="1683">
        <v>31434.48</v>
      </c>
      <c r="BT82" s="1683">
        <v>0</v>
      </c>
      <c r="BU82" s="1683">
        <v>32761.86</v>
      </c>
      <c r="BV82" s="1683">
        <v>0</v>
      </c>
      <c r="BW82" s="1683">
        <v>0</v>
      </c>
      <c r="BX82" s="1683">
        <v>0</v>
      </c>
      <c r="BY82" s="1683">
        <v>32761.86</v>
      </c>
      <c r="BZ82" s="1683">
        <v>0</v>
      </c>
      <c r="CA82" s="1400"/>
      <c r="CB82" s="1682"/>
      <c r="CC82" s="1682"/>
      <c r="CD82" s="1400"/>
      <c r="CE82" s="1400"/>
      <c r="CF82" s="1683">
        <v>0</v>
      </c>
      <c r="CG82" s="1683">
        <v>0</v>
      </c>
      <c r="CH82" s="1683">
        <v>0</v>
      </c>
      <c r="CI82" s="1683">
        <v>0</v>
      </c>
      <c r="CJ82" s="1683">
        <v>0</v>
      </c>
      <c r="CK82" s="1683">
        <v>0</v>
      </c>
      <c r="CL82" s="1682"/>
      <c r="CM82" s="1683">
        <v>0</v>
      </c>
      <c r="CN82" s="1683">
        <v>0</v>
      </c>
      <c r="CO82" s="1683">
        <v>0</v>
      </c>
      <c r="CP82" s="1683">
        <v>0</v>
      </c>
      <c r="CQ82" s="1683">
        <v>0</v>
      </c>
      <c r="CR82" s="1683">
        <v>0</v>
      </c>
      <c r="CS82" s="1683">
        <v>0</v>
      </c>
      <c r="CT82" s="1683">
        <v>0</v>
      </c>
      <c r="CU82" s="1683">
        <v>0</v>
      </c>
      <c r="CV82" s="1683">
        <v>0</v>
      </c>
      <c r="CW82" s="1682"/>
      <c r="CX82" s="1400"/>
      <c r="CY82" s="1400"/>
      <c r="CZ82" s="1400"/>
      <c r="DA82" s="1400"/>
      <c r="DB82" s="1682"/>
      <c r="DC82" s="1326"/>
      <c r="DD82" s="1683">
        <v>0</v>
      </c>
      <c r="DE82" s="1400"/>
      <c r="DF82" s="1400"/>
      <c r="DG82" s="1683">
        <v>0</v>
      </c>
      <c r="DH82" s="1683">
        <v>0</v>
      </c>
    </row>
    <row r="83" spans="1:112" ht="56.25">
      <c r="A83" s="1326" t="s">
        <v>2100</v>
      </c>
      <c r="B83" s="1326" t="s">
        <v>1694</v>
      </c>
      <c r="C83" s="1326" t="s">
        <v>2549</v>
      </c>
      <c r="D83" s="1326" t="s">
        <v>2550</v>
      </c>
      <c r="E83" s="1326" t="s">
        <v>144</v>
      </c>
      <c r="F83" s="1326" t="s">
        <v>2544</v>
      </c>
      <c r="G83" s="1326" t="s">
        <v>2545</v>
      </c>
      <c r="H83" s="1326" t="s">
        <v>2546</v>
      </c>
      <c r="I83" s="1326" t="s">
        <v>699</v>
      </c>
      <c r="J83" s="1326" t="s">
        <v>293</v>
      </c>
      <c r="K83" s="1326" t="s">
        <v>2087</v>
      </c>
      <c r="L83" s="1326" t="s">
        <v>2061</v>
      </c>
      <c r="M83" s="1400"/>
      <c r="N83" s="1400"/>
      <c r="O83" s="1400"/>
      <c r="P83" s="1400"/>
      <c r="Q83" s="1400"/>
      <c r="R83" s="1400"/>
      <c r="S83" s="1400"/>
      <c r="T83" s="1400"/>
      <c r="U83" s="1400"/>
      <c r="V83" s="1400"/>
      <c r="W83" s="1400"/>
      <c r="X83" s="1400"/>
      <c r="Y83" s="1685">
        <v>43230</v>
      </c>
      <c r="Z83" s="1326" t="s">
        <v>2062</v>
      </c>
      <c r="AA83" s="1683">
        <v>0</v>
      </c>
      <c r="AB83" s="1683">
        <v>0</v>
      </c>
      <c r="AC83" s="1683">
        <v>0</v>
      </c>
      <c r="AD83" s="1685">
        <v>43251</v>
      </c>
      <c r="AE83" s="1326" t="s">
        <v>2088</v>
      </c>
      <c r="AF83" s="1326" t="s">
        <v>2067</v>
      </c>
      <c r="AG83" s="1410"/>
      <c r="AH83" s="1683">
        <v>268178.32</v>
      </c>
      <c r="AI83" s="1683">
        <v>135848.85</v>
      </c>
      <c r="AJ83" s="1683">
        <v>135848.85</v>
      </c>
      <c r="AK83" s="1683">
        <v>135848.85</v>
      </c>
      <c r="AL83" s="1683">
        <v>0</v>
      </c>
      <c r="AM83" s="1685">
        <v>43255</v>
      </c>
      <c r="AN83" s="1683">
        <v>268178.32</v>
      </c>
      <c r="AO83" s="1683">
        <v>135848.85</v>
      </c>
      <c r="AP83" s="1683">
        <v>135848.85</v>
      </c>
      <c r="AQ83" s="1683">
        <v>135848.85</v>
      </c>
      <c r="AR83" s="1683">
        <v>0</v>
      </c>
      <c r="AS83" s="1683">
        <v>132329.47</v>
      </c>
      <c r="AT83" s="1683">
        <v>0</v>
      </c>
      <c r="AU83" s="1683">
        <v>0</v>
      </c>
      <c r="AV83" s="1683">
        <v>0</v>
      </c>
      <c r="AW83" s="1683">
        <v>132329.47</v>
      </c>
      <c r="AX83" s="1400"/>
      <c r="AY83" s="1400"/>
      <c r="AZ83" s="1400"/>
      <c r="BA83" s="1682"/>
      <c r="BB83" s="1682"/>
      <c r="BC83" s="1400"/>
      <c r="BD83" s="1400"/>
      <c r="BE83" s="1683">
        <v>268178.32</v>
      </c>
      <c r="BF83" s="1683">
        <v>135848.85</v>
      </c>
      <c r="BG83" s="1683">
        <v>135848.85</v>
      </c>
      <c r="BH83" s="1683">
        <v>135848.85</v>
      </c>
      <c r="BI83" s="1683">
        <v>0</v>
      </c>
      <c r="BJ83" s="1683">
        <v>132329.47</v>
      </c>
      <c r="BK83" s="1683">
        <v>0</v>
      </c>
      <c r="BL83" s="1683">
        <v>0</v>
      </c>
      <c r="BM83" s="1683">
        <v>0</v>
      </c>
      <c r="BN83" s="1683">
        <v>132329.47</v>
      </c>
      <c r="BO83" s="1685">
        <v>43355</v>
      </c>
      <c r="BP83" s="1683">
        <v>268178.32</v>
      </c>
      <c r="BQ83" s="1683">
        <v>135848.85</v>
      </c>
      <c r="BR83" s="1683">
        <v>135848.85</v>
      </c>
      <c r="BS83" s="1683">
        <v>135848.85</v>
      </c>
      <c r="BT83" s="1683">
        <v>0</v>
      </c>
      <c r="BU83" s="1683">
        <v>132329.47</v>
      </c>
      <c r="BV83" s="1683">
        <v>0</v>
      </c>
      <c r="BW83" s="1683">
        <v>0</v>
      </c>
      <c r="BX83" s="1683">
        <v>0</v>
      </c>
      <c r="BY83" s="1683">
        <v>132329.47</v>
      </c>
      <c r="BZ83" s="1683">
        <v>0</v>
      </c>
      <c r="CA83" s="1400"/>
      <c r="CB83" s="1682"/>
      <c r="CC83" s="1682"/>
      <c r="CD83" s="1400"/>
      <c r="CE83" s="1400"/>
      <c r="CF83" s="1683">
        <v>0</v>
      </c>
      <c r="CG83" s="1683">
        <v>0</v>
      </c>
      <c r="CH83" s="1683">
        <v>0</v>
      </c>
      <c r="CI83" s="1683">
        <v>0</v>
      </c>
      <c r="CJ83" s="1683">
        <v>0</v>
      </c>
      <c r="CK83" s="1683">
        <v>0</v>
      </c>
      <c r="CL83" s="1682"/>
      <c r="CM83" s="1683">
        <v>0</v>
      </c>
      <c r="CN83" s="1683">
        <v>0</v>
      </c>
      <c r="CO83" s="1683">
        <v>0</v>
      </c>
      <c r="CP83" s="1683">
        <v>0</v>
      </c>
      <c r="CQ83" s="1683">
        <v>0</v>
      </c>
      <c r="CR83" s="1683">
        <v>0</v>
      </c>
      <c r="CS83" s="1683">
        <v>0</v>
      </c>
      <c r="CT83" s="1683">
        <v>0</v>
      </c>
      <c r="CU83" s="1683">
        <v>0</v>
      </c>
      <c r="CV83" s="1683">
        <v>0</v>
      </c>
      <c r="CW83" s="1682"/>
      <c r="CX83" s="1400"/>
      <c r="CY83" s="1400"/>
      <c r="CZ83" s="1400"/>
      <c r="DA83" s="1400"/>
      <c r="DB83" s="1682"/>
      <c r="DC83" s="1326"/>
      <c r="DD83" s="1683">
        <v>0</v>
      </c>
      <c r="DE83" s="1400"/>
      <c r="DF83" s="1400"/>
      <c r="DG83" s="1683">
        <v>0</v>
      </c>
      <c r="DH83" s="1683">
        <v>0</v>
      </c>
    </row>
    <row r="84" spans="1:112" ht="56.25">
      <c r="A84" s="1326" t="s">
        <v>2034</v>
      </c>
      <c r="B84" s="1326" t="s">
        <v>1694</v>
      </c>
      <c r="C84" s="1326" t="s">
        <v>2549</v>
      </c>
      <c r="D84" s="1326" t="s">
        <v>2550</v>
      </c>
      <c r="E84" s="1326" t="s">
        <v>144</v>
      </c>
      <c r="F84" s="1326" t="s">
        <v>2544</v>
      </c>
      <c r="G84" s="1326" t="s">
        <v>2545</v>
      </c>
      <c r="H84" s="1326" t="s">
        <v>2546</v>
      </c>
      <c r="I84" s="1326" t="s">
        <v>699</v>
      </c>
      <c r="J84" s="1326" t="s">
        <v>293</v>
      </c>
      <c r="K84" s="1326" t="s">
        <v>2087</v>
      </c>
      <c r="L84" s="1326" t="s">
        <v>2061</v>
      </c>
      <c r="M84" s="1400"/>
      <c r="N84" s="1400"/>
      <c r="O84" s="1400"/>
      <c r="P84" s="1400"/>
      <c r="Q84" s="1400"/>
      <c r="R84" s="1400"/>
      <c r="S84" s="1400"/>
      <c r="T84" s="1400"/>
      <c r="U84" s="1400"/>
      <c r="V84" s="1400"/>
      <c r="W84" s="1400"/>
      <c r="X84" s="1400"/>
      <c r="Y84" s="1685">
        <v>43230</v>
      </c>
      <c r="Z84" s="1326" t="s">
        <v>2062</v>
      </c>
      <c r="AA84" s="1683">
        <v>0</v>
      </c>
      <c r="AB84" s="1683">
        <v>0</v>
      </c>
      <c r="AC84" s="1683">
        <v>0</v>
      </c>
      <c r="AD84" s="1685">
        <v>43251</v>
      </c>
      <c r="AE84" s="1326" t="s">
        <v>2088</v>
      </c>
      <c r="AF84" s="1326" t="s">
        <v>2064</v>
      </c>
      <c r="AG84" s="1410"/>
      <c r="AH84" s="1683">
        <v>675</v>
      </c>
      <c r="AI84" s="1683">
        <v>330.52</v>
      </c>
      <c r="AJ84" s="1683">
        <v>330.52</v>
      </c>
      <c r="AK84" s="1683">
        <v>330.52</v>
      </c>
      <c r="AL84" s="1683">
        <v>0</v>
      </c>
      <c r="AM84" s="1685">
        <v>43251</v>
      </c>
      <c r="AN84" s="1683">
        <v>675</v>
      </c>
      <c r="AO84" s="1683">
        <v>330.52</v>
      </c>
      <c r="AP84" s="1683">
        <v>330.52</v>
      </c>
      <c r="AQ84" s="1683">
        <v>330.52</v>
      </c>
      <c r="AR84" s="1683">
        <v>0</v>
      </c>
      <c r="AS84" s="1683">
        <v>344.48</v>
      </c>
      <c r="AT84" s="1683">
        <v>0</v>
      </c>
      <c r="AU84" s="1683">
        <v>0</v>
      </c>
      <c r="AV84" s="1683">
        <v>0</v>
      </c>
      <c r="AW84" s="1683">
        <v>344.48</v>
      </c>
      <c r="AX84" s="1400"/>
      <c r="AY84" s="1400"/>
      <c r="AZ84" s="1400"/>
      <c r="BA84" s="1682"/>
      <c r="BB84" s="1682"/>
      <c r="BC84" s="1400"/>
      <c r="BD84" s="1400"/>
      <c r="BE84" s="1683">
        <v>675</v>
      </c>
      <c r="BF84" s="1683">
        <v>330.52</v>
      </c>
      <c r="BG84" s="1683">
        <v>330.52</v>
      </c>
      <c r="BH84" s="1683">
        <v>330.52</v>
      </c>
      <c r="BI84" s="1683">
        <v>0</v>
      </c>
      <c r="BJ84" s="1683">
        <v>344.48</v>
      </c>
      <c r="BK84" s="1683">
        <v>0</v>
      </c>
      <c r="BL84" s="1683">
        <v>0</v>
      </c>
      <c r="BM84" s="1683">
        <v>0</v>
      </c>
      <c r="BN84" s="1683">
        <v>344.48</v>
      </c>
      <c r="BO84" s="1685">
        <v>43355</v>
      </c>
      <c r="BP84" s="1683">
        <v>675</v>
      </c>
      <c r="BQ84" s="1683">
        <v>330.52</v>
      </c>
      <c r="BR84" s="1683">
        <v>330.52</v>
      </c>
      <c r="BS84" s="1683">
        <v>330.52</v>
      </c>
      <c r="BT84" s="1683">
        <v>0</v>
      </c>
      <c r="BU84" s="1683">
        <v>344.48</v>
      </c>
      <c r="BV84" s="1683">
        <v>0</v>
      </c>
      <c r="BW84" s="1683">
        <v>0</v>
      </c>
      <c r="BX84" s="1683">
        <v>0</v>
      </c>
      <c r="BY84" s="1683">
        <v>344.48</v>
      </c>
      <c r="BZ84" s="1683">
        <v>0</v>
      </c>
      <c r="CA84" s="1400"/>
      <c r="CB84" s="1682"/>
      <c r="CC84" s="1682"/>
      <c r="CD84" s="1400"/>
      <c r="CE84" s="1400"/>
      <c r="CF84" s="1683">
        <v>0</v>
      </c>
      <c r="CG84" s="1683">
        <v>0</v>
      </c>
      <c r="CH84" s="1683">
        <v>0</v>
      </c>
      <c r="CI84" s="1683">
        <v>0</v>
      </c>
      <c r="CJ84" s="1683">
        <v>0</v>
      </c>
      <c r="CK84" s="1683">
        <v>0</v>
      </c>
      <c r="CL84" s="1682"/>
      <c r="CM84" s="1683">
        <v>0</v>
      </c>
      <c r="CN84" s="1683">
        <v>0</v>
      </c>
      <c r="CO84" s="1683">
        <v>0</v>
      </c>
      <c r="CP84" s="1683">
        <v>0</v>
      </c>
      <c r="CQ84" s="1683">
        <v>0</v>
      </c>
      <c r="CR84" s="1683">
        <v>0</v>
      </c>
      <c r="CS84" s="1683">
        <v>0</v>
      </c>
      <c r="CT84" s="1683">
        <v>0</v>
      </c>
      <c r="CU84" s="1683">
        <v>0</v>
      </c>
      <c r="CV84" s="1683">
        <v>0</v>
      </c>
      <c r="CW84" s="1682"/>
      <c r="CX84" s="1400"/>
      <c r="CY84" s="1400"/>
      <c r="CZ84" s="1400"/>
      <c r="DA84" s="1400"/>
      <c r="DB84" s="1682"/>
      <c r="DC84" s="1326"/>
      <c r="DD84" s="1683">
        <v>0</v>
      </c>
      <c r="DE84" s="1400"/>
      <c r="DF84" s="1400"/>
      <c r="DG84" s="1683">
        <v>0</v>
      </c>
      <c r="DH84" s="1683">
        <v>0</v>
      </c>
    </row>
    <row r="85" spans="1:112" ht="56.25">
      <c r="A85" s="1326" t="s">
        <v>2035</v>
      </c>
      <c r="B85" s="1326" t="s">
        <v>1694</v>
      </c>
      <c r="C85" s="1326" t="s">
        <v>2549</v>
      </c>
      <c r="D85" s="1326" t="s">
        <v>2550</v>
      </c>
      <c r="E85" s="1326" t="s">
        <v>144</v>
      </c>
      <c r="F85" s="1326" t="s">
        <v>2544</v>
      </c>
      <c r="G85" s="1326" t="s">
        <v>2545</v>
      </c>
      <c r="H85" s="1326" t="s">
        <v>2546</v>
      </c>
      <c r="I85" s="1326" t="s">
        <v>699</v>
      </c>
      <c r="J85" s="1326" t="s">
        <v>293</v>
      </c>
      <c r="K85" s="1326" t="s">
        <v>2087</v>
      </c>
      <c r="L85" s="1326" t="s">
        <v>2061</v>
      </c>
      <c r="M85" s="1400"/>
      <c r="N85" s="1400"/>
      <c r="O85" s="1400"/>
      <c r="P85" s="1400"/>
      <c r="Q85" s="1400"/>
      <c r="R85" s="1400"/>
      <c r="S85" s="1400"/>
      <c r="T85" s="1400"/>
      <c r="U85" s="1400"/>
      <c r="V85" s="1400"/>
      <c r="W85" s="1400"/>
      <c r="X85" s="1400"/>
      <c r="Y85" s="1685">
        <v>43258</v>
      </c>
      <c r="Z85" s="1326" t="s">
        <v>2062</v>
      </c>
      <c r="AA85" s="1683">
        <v>0</v>
      </c>
      <c r="AB85" s="1683">
        <v>0</v>
      </c>
      <c r="AC85" s="1683">
        <v>0</v>
      </c>
      <c r="AD85" s="1685">
        <v>43277</v>
      </c>
      <c r="AE85" s="1326" t="s">
        <v>2082</v>
      </c>
      <c r="AF85" s="1326" t="s">
        <v>2067</v>
      </c>
      <c r="AG85" s="1410"/>
      <c r="AH85" s="1683">
        <v>156522.72</v>
      </c>
      <c r="AI85" s="1683">
        <v>104219.73</v>
      </c>
      <c r="AJ85" s="1683">
        <v>104219.73</v>
      </c>
      <c r="AK85" s="1683">
        <v>104219.73</v>
      </c>
      <c r="AL85" s="1683">
        <v>0</v>
      </c>
      <c r="AM85" s="1685">
        <v>43278</v>
      </c>
      <c r="AN85" s="1683">
        <v>156522.72</v>
      </c>
      <c r="AO85" s="1683">
        <v>104219.73</v>
      </c>
      <c r="AP85" s="1683">
        <v>104219.73</v>
      </c>
      <c r="AQ85" s="1683">
        <v>104219.73</v>
      </c>
      <c r="AR85" s="1683">
        <v>0</v>
      </c>
      <c r="AS85" s="1683">
        <v>52302.99</v>
      </c>
      <c r="AT85" s="1683">
        <v>0</v>
      </c>
      <c r="AU85" s="1683">
        <v>0</v>
      </c>
      <c r="AV85" s="1683">
        <v>0</v>
      </c>
      <c r="AW85" s="1683">
        <v>52302.99</v>
      </c>
      <c r="AX85" s="1400"/>
      <c r="AY85" s="1400"/>
      <c r="AZ85" s="1400"/>
      <c r="BA85" s="1682"/>
      <c r="BB85" s="1682"/>
      <c r="BC85" s="1400"/>
      <c r="BD85" s="1400"/>
      <c r="BE85" s="1683">
        <v>156522.72</v>
      </c>
      <c r="BF85" s="1683">
        <v>104219.73</v>
      </c>
      <c r="BG85" s="1683">
        <v>104219.73</v>
      </c>
      <c r="BH85" s="1683">
        <v>104219.73</v>
      </c>
      <c r="BI85" s="1683">
        <v>0</v>
      </c>
      <c r="BJ85" s="1683">
        <v>52302.99</v>
      </c>
      <c r="BK85" s="1683">
        <v>0</v>
      </c>
      <c r="BL85" s="1683">
        <v>0</v>
      </c>
      <c r="BM85" s="1683">
        <v>0</v>
      </c>
      <c r="BN85" s="1683">
        <v>52302.99</v>
      </c>
      <c r="BO85" s="1685">
        <v>43355</v>
      </c>
      <c r="BP85" s="1683">
        <v>156522.72</v>
      </c>
      <c r="BQ85" s="1683">
        <v>104219.73</v>
      </c>
      <c r="BR85" s="1683">
        <v>104219.73</v>
      </c>
      <c r="BS85" s="1683">
        <v>104219.73</v>
      </c>
      <c r="BT85" s="1683">
        <v>0</v>
      </c>
      <c r="BU85" s="1683">
        <v>52302.99</v>
      </c>
      <c r="BV85" s="1683">
        <v>0</v>
      </c>
      <c r="BW85" s="1683">
        <v>0</v>
      </c>
      <c r="BX85" s="1683">
        <v>0</v>
      </c>
      <c r="BY85" s="1683">
        <v>52302.99</v>
      </c>
      <c r="BZ85" s="1683">
        <v>0</v>
      </c>
      <c r="CA85" s="1400"/>
      <c r="CB85" s="1682"/>
      <c r="CC85" s="1682"/>
      <c r="CD85" s="1400"/>
      <c r="CE85" s="1400"/>
      <c r="CF85" s="1683">
        <v>0</v>
      </c>
      <c r="CG85" s="1683">
        <v>0</v>
      </c>
      <c r="CH85" s="1683">
        <v>0</v>
      </c>
      <c r="CI85" s="1683">
        <v>0</v>
      </c>
      <c r="CJ85" s="1683">
        <v>0</v>
      </c>
      <c r="CK85" s="1683">
        <v>0</v>
      </c>
      <c r="CL85" s="1682"/>
      <c r="CM85" s="1683">
        <v>0</v>
      </c>
      <c r="CN85" s="1683">
        <v>0</v>
      </c>
      <c r="CO85" s="1683">
        <v>0</v>
      </c>
      <c r="CP85" s="1683">
        <v>0</v>
      </c>
      <c r="CQ85" s="1683">
        <v>0</v>
      </c>
      <c r="CR85" s="1683">
        <v>0</v>
      </c>
      <c r="CS85" s="1683">
        <v>0</v>
      </c>
      <c r="CT85" s="1683">
        <v>0</v>
      </c>
      <c r="CU85" s="1683">
        <v>0</v>
      </c>
      <c r="CV85" s="1683">
        <v>0</v>
      </c>
      <c r="CW85" s="1682"/>
      <c r="CX85" s="1400"/>
      <c r="CY85" s="1400"/>
      <c r="CZ85" s="1400"/>
      <c r="DA85" s="1400"/>
      <c r="DB85" s="1682"/>
      <c r="DC85" s="1326"/>
      <c r="DD85" s="1683">
        <v>0</v>
      </c>
      <c r="DE85" s="1400"/>
      <c r="DF85" s="1400"/>
      <c r="DG85" s="1683">
        <v>0</v>
      </c>
      <c r="DH85" s="1683">
        <v>0</v>
      </c>
    </row>
    <row r="86" spans="1:112" ht="56.25">
      <c r="A86" s="1326" t="s">
        <v>2102</v>
      </c>
      <c r="B86" s="1326" t="s">
        <v>1694</v>
      </c>
      <c r="C86" s="1326" t="s">
        <v>2549</v>
      </c>
      <c r="D86" s="1326" t="s">
        <v>2550</v>
      </c>
      <c r="E86" s="1326" t="s">
        <v>144</v>
      </c>
      <c r="F86" s="1326" t="s">
        <v>2544</v>
      </c>
      <c r="G86" s="1326" t="s">
        <v>2545</v>
      </c>
      <c r="H86" s="1326" t="s">
        <v>2546</v>
      </c>
      <c r="I86" s="1326" t="s">
        <v>699</v>
      </c>
      <c r="J86" s="1326" t="s">
        <v>293</v>
      </c>
      <c r="K86" s="1326" t="s">
        <v>2087</v>
      </c>
      <c r="L86" s="1326" t="s">
        <v>2061</v>
      </c>
      <c r="M86" s="1400"/>
      <c r="N86" s="1400"/>
      <c r="O86" s="1400"/>
      <c r="P86" s="1400"/>
      <c r="Q86" s="1400"/>
      <c r="R86" s="1400"/>
      <c r="S86" s="1400"/>
      <c r="T86" s="1400"/>
      <c r="U86" s="1400"/>
      <c r="V86" s="1400"/>
      <c r="W86" s="1400"/>
      <c r="X86" s="1400"/>
      <c r="Y86" s="1685">
        <v>43258</v>
      </c>
      <c r="Z86" s="1326" t="s">
        <v>2062</v>
      </c>
      <c r="AA86" s="1683">
        <v>0</v>
      </c>
      <c r="AB86" s="1683">
        <v>0</v>
      </c>
      <c r="AC86" s="1683">
        <v>0</v>
      </c>
      <c r="AD86" s="1685">
        <v>43277</v>
      </c>
      <c r="AE86" s="1326" t="s">
        <v>2082</v>
      </c>
      <c r="AF86" s="1326" t="s">
        <v>2064</v>
      </c>
      <c r="AG86" s="1410"/>
      <c r="AH86" s="1683">
        <v>22.84</v>
      </c>
      <c r="AI86" s="1683">
        <v>14.88</v>
      </c>
      <c r="AJ86" s="1683">
        <v>14.88</v>
      </c>
      <c r="AK86" s="1683">
        <v>14.88</v>
      </c>
      <c r="AL86" s="1683">
        <v>0</v>
      </c>
      <c r="AM86" s="1685">
        <v>43277</v>
      </c>
      <c r="AN86" s="1683">
        <v>22.84</v>
      </c>
      <c r="AO86" s="1683">
        <v>14.88</v>
      </c>
      <c r="AP86" s="1683">
        <v>14.88</v>
      </c>
      <c r="AQ86" s="1683">
        <v>14.88</v>
      </c>
      <c r="AR86" s="1683">
        <v>0</v>
      </c>
      <c r="AS86" s="1683">
        <v>7.96</v>
      </c>
      <c r="AT86" s="1683">
        <v>0</v>
      </c>
      <c r="AU86" s="1683">
        <v>0</v>
      </c>
      <c r="AV86" s="1683">
        <v>0</v>
      </c>
      <c r="AW86" s="1683">
        <v>7.96</v>
      </c>
      <c r="AX86" s="1400"/>
      <c r="AY86" s="1400"/>
      <c r="AZ86" s="1400"/>
      <c r="BA86" s="1682"/>
      <c r="BB86" s="1682"/>
      <c r="BC86" s="1400"/>
      <c r="BD86" s="1400"/>
      <c r="BE86" s="1683">
        <v>22.84</v>
      </c>
      <c r="BF86" s="1683">
        <v>14.88</v>
      </c>
      <c r="BG86" s="1683">
        <v>14.88</v>
      </c>
      <c r="BH86" s="1683">
        <v>14.88</v>
      </c>
      <c r="BI86" s="1683">
        <v>0</v>
      </c>
      <c r="BJ86" s="1683">
        <v>7.96</v>
      </c>
      <c r="BK86" s="1683">
        <v>0</v>
      </c>
      <c r="BL86" s="1683">
        <v>0</v>
      </c>
      <c r="BM86" s="1683">
        <v>0</v>
      </c>
      <c r="BN86" s="1683">
        <v>7.96</v>
      </c>
      <c r="BO86" s="1685">
        <v>43355</v>
      </c>
      <c r="BP86" s="1683">
        <v>22.84</v>
      </c>
      <c r="BQ86" s="1683">
        <v>14.88</v>
      </c>
      <c r="BR86" s="1683">
        <v>14.88</v>
      </c>
      <c r="BS86" s="1683">
        <v>14.88</v>
      </c>
      <c r="BT86" s="1683">
        <v>0</v>
      </c>
      <c r="BU86" s="1683">
        <v>7.96</v>
      </c>
      <c r="BV86" s="1683">
        <v>0</v>
      </c>
      <c r="BW86" s="1683">
        <v>0</v>
      </c>
      <c r="BX86" s="1683">
        <v>0</v>
      </c>
      <c r="BY86" s="1683">
        <v>7.96</v>
      </c>
      <c r="BZ86" s="1683">
        <v>0</v>
      </c>
      <c r="CA86" s="1400"/>
      <c r="CB86" s="1682"/>
      <c r="CC86" s="1682"/>
      <c r="CD86" s="1400"/>
      <c r="CE86" s="1400"/>
      <c r="CF86" s="1683">
        <v>0</v>
      </c>
      <c r="CG86" s="1683">
        <v>0</v>
      </c>
      <c r="CH86" s="1683">
        <v>0</v>
      </c>
      <c r="CI86" s="1683">
        <v>0</v>
      </c>
      <c r="CJ86" s="1683">
        <v>0</v>
      </c>
      <c r="CK86" s="1683">
        <v>0</v>
      </c>
      <c r="CL86" s="1682"/>
      <c r="CM86" s="1683">
        <v>0</v>
      </c>
      <c r="CN86" s="1683">
        <v>0</v>
      </c>
      <c r="CO86" s="1683">
        <v>0</v>
      </c>
      <c r="CP86" s="1683">
        <v>0</v>
      </c>
      <c r="CQ86" s="1683">
        <v>0</v>
      </c>
      <c r="CR86" s="1683">
        <v>0</v>
      </c>
      <c r="CS86" s="1683">
        <v>0</v>
      </c>
      <c r="CT86" s="1683">
        <v>0</v>
      </c>
      <c r="CU86" s="1683">
        <v>0</v>
      </c>
      <c r="CV86" s="1683">
        <v>0</v>
      </c>
      <c r="CW86" s="1682"/>
      <c r="CX86" s="1400"/>
      <c r="CY86" s="1400"/>
      <c r="CZ86" s="1400"/>
      <c r="DA86" s="1400"/>
      <c r="DB86" s="1682"/>
      <c r="DC86" s="1326"/>
      <c r="DD86" s="1683">
        <v>0</v>
      </c>
      <c r="DE86" s="1400"/>
      <c r="DF86" s="1400"/>
      <c r="DG86" s="1683">
        <v>0</v>
      </c>
      <c r="DH86" s="1683">
        <v>0</v>
      </c>
    </row>
    <row r="87" spans="1:112" ht="56.25">
      <c r="A87" s="1326" t="s">
        <v>2036</v>
      </c>
      <c r="B87" s="1326" t="s">
        <v>1694</v>
      </c>
      <c r="C87" s="1326" t="s">
        <v>2549</v>
      </c>
      <c r="D87" s="1326" t="s">
        <v>2550</v>
      </c>
      <c r="E87" s="1326" t="s">
        <v>144</v>
      </c>
      <c r="F87" s="1326" t="s">
        <v>2544</v>
      </c>
      <c r="G87" s="1326" t="s">
        <v>2545</v>
      </c>
      <c r="H87" s="1326" t="s">
        <v>2546</v>
      </c>
      <c r="I87" s="1326" t="s">
        <v>699</v>
      </c>
      <c r="J87" s="1326" t="s">
        <v>293</v>
      </c>
      <c r="K87" s="1326" t="s">
        <v>2087</v>
      </c>
      <c r="L87" s="1326" t="s">
        <v>2061</v>
      </c>
      <c r="M87" s="1400"/>
      <c r="N87" s="1400"/>
      <c r="O87" s="1400"/>
      <c r="P87" s="1400"/>
      <c r="Q87" s="1400"/>
      <c r="R87" s="1400"/>
      <c r="S87" s="1400"/>
      <c r="T87" s="1400"/>
      <c r="U87" s="1400"/>
      <c r="V87" s="1400"/>
      <c r="W87" s="1400"/>
      <c r="X87" s="1400"/>
      <c r="Y87" s="1685">
        <v>43290</v>
      </c>
      <c r="Z87" s="1326" t="s">
        <v>2062</v>
      </c>
      <c r="AA87" s="1683">
        <v>0</v>
      </c>
      <c r="AB87" s="1683">
        <v>0</v>
      </c>
      <c r="AC87" s="1683">
        <v>0</v>
      </c>
      <c r="AD87" s="1685">
        <v>43322</v>
      </c>
      <c r="AE87" s="1326" t="s">
        <v>2083</v>
      </c>
      <c r="AF87" s="1326" t="s">
        <v>2067</v>
      </c>
      <c r="AG87" s="1410"/>
      <c r="AH87" s="1683">
        <v>184691.29</v>
      </c>
      <c r="AI87" s="1683">
        <v>130476.62</v>
      </c>
      <c r="AJ87" s="1683">
        <v>130476.62</v>
      </c>
      <c r="AK87" s="1683">
        <v>130476.62</v>
      </c>
      <c r="AL87" s="1683">
        <v>0</v>
      </c>
      <c r="AM87" s="1685">
        <v>43322</v>
      </c>
      <c r="AN87" s="1683">
        <v>184691.29</v>
      </c>
      <c r="AO87" s="1683">
        <v>130476.62</v>
      </c>
      <c r="AP87" s="1683">
        <v>130476.62</v>
      </c>
      <c r="AQ87" s="1683">
        <v>130476.62</v>
      </c>
      <c r="AR87" s="1683">
        <v>0</v>
      </c>
      <c r="AS87" s="1683">
        <v>54214.67</v>
      </c>
      <c r="AT87" s="1683">
        <v>0</v>
      </c>
      <c r="AU87" s="1683">
        <v>0</v>
      </c>
      <c r="AV87" s="1683">
        <v>0</v>
      </c>
      <c r="AW87" s="1683">
        <v>54214.67</v>
      </c>
      <c r="AX87" s="1400"/>
      <c r="AY87" s="1400"/>
      <c r="AZ87" s="1400"/>
      <c r="BA87" s="1682"/>
      <c r="BB87" s="1682"/>
      <c r="BC87" s="1400"/>
      <c r="BD87" s="1400"/>
      <c r="BE87" s="1683">
        <v>184691.29</v>
      </c>
      <c r="BF87" s="1683">
        <v>130476.62</v>
      </c>
      <c r="BG87" s="1683">
        <v>130476.62</v>
      </c>
      <c r="BH87" s="1683">
        <v>130476.62</v>
      </c>
      <c r="BI87" s="1683">
        <v>0</v>
      </c>
      <c r="BJ87" s="1683">
        <v>54214.67</v>
      </c>
      <c r="BK87" s="1683">
        <v>0</v>
      </c>
      <c r="BL87" s="1683">
        <v>0</v>
      </c>
      <c r="BM87" s="1683">
        <v>0</v>
      </c>
      <c r="BN87" s="1683">
        <v>54214.67</v>
      </c>
      <c r="BO87" s="1685">
        <v>43397</v>
      </c>
      <c r="BP87" s="1683">
        <v>184691.29</v>
      </c>
      <c r="BQ87" s="1683">
        <v>130476.62</v>
      </c>
      <c r="BR87" s="1683">
        <v>130476.62</v>
      </c>
      <c r="BS87" s="1683">
        <v>130476.62</v>
      </c>
      <c r="BT87" s="1683">
        <v>0</v>
      </c>
      <c r="BU87" s="1683">
        <v>54214.67</v>
      </c>
      <c r="BV87" s="1683">
        <v>0</v>
      </c>
      <c r="BW87" s="1683">
        <v>0</v>
      </c>
      <c r="BX87" s="1683">
        <v>0</v>
      </c>
      <c r="BY87" s="1683">
        <v>54214.67</v>
      </c>
      <c r="BZ87" s="1683">
        <v>0</v>
      </c>
      <c r="CA87" s="1400"/>
      <c r="CB87" s="1682"/>
      <c r="CC87" s="1682"/>
      <c r="CD87" s="1400"/>
      <c r="CE87" s="1400"/>
      <c r="CF87" s="1683">
        <v>0</v>
      </c>
      <c r="CG87" s="1683">
        <v>0</v>
      </c>
      <c r="CH87" s="1683">
        <v>0</v>
      </c>
      <c r="CI87" s="1683">
        <v>0</v>
      </c>
      <c r="CJ87" s="1683">
        <v>0</v>
      </c>
      <c r="CK87" s="1683">
        <v>0</v>
      </c>
      <c r="CL87" s="1682"/>
      <c r="CM87" s="1683">
        <v>0</v>
      </c>
      <c r="CN87" s="1683">
        <v>0</v>
      </c>
      <c r="CO87" s="1683">
        <v>0</v>
      </c>
      <c r="CP87" s="1683">
        <v>0</v>
      </c>
      <c r="CQ87" s="1683">
        <v>0</v>
      </c>
      <c r="CR87" s="1683">
        <v>0</v>
      </c>
      <c r="CS87" s="1683">
        <v>0</v>
      </c>
      <c r="CT87" s="1683">
        <v>0</v>
      </c>
      <c r="CU87" s="1683">
        <v>0</v>
      </c>
      <c r="CV87" s="1683">
        <v>0</v>
      </c>
      <c r="CW87" s="1682"/>
      <c r="CX87" s="1400"/>
      <c r="CY87" s="1400"/>
      <c r="CZ87" s="1400"/>
      <c r="DA87" s="1400"/>
      <c r="DB87" s="1682"/>
      <c r="DC87" s="1326"/>
      <c r="DD87" s="1683">
        <v>0</v>
      </c>
      <c r="DE87" s="1400"/>
      <c r="DF87" s="1400"/>
      <c r="DG87" s="1683">
        <v>0</v>
      </c>
      <c r="DH87" s="1683">
        <v>0</v>
      </c>
    </row>
    <row r="88" spans="1:112" ht="56.25">
      <c r="A88" s="1326" t="s">
        <v>2037</v>
      </c>
      <c r="B88" s="1326" t="s">
        <v>1694</v>
      </c>
      <c r="C88" s="1326" t="s">
        <v>2549</v>
      </c>
      <c r="D88" s="1326" t="s">
        <v>2550</v>
      </c>
      <c r="E88" s="1326" t="s">
        <v>144</v>
      </c>
      <c r="F88" s="1326" t="s">
        <v>2544</v>
      </c>
      <c r="G88" s="1326" t="s">
        <v>2545</v>
      </c>
      <c r="H88" s="1326" t="s">
        <v>2546</v>
      </c>
      <c r="I88" s="1326" t="s">
        <v>699</v>
      </c>
      <c r="J88" s="1326" t="s">
        <v>293</v>
      </c>
      <c r="K88" s="1326" t="s">
        <v>2087</v>
      </c>
      <c r="L88" s="1326" t="s">
        <v>2061</v>
      </c>
      <c r="M88" s="1400"/>
      <c r="N88" s="1400"/>
      <c r="O88" s="1400"/>
      <c r="P88" s="1400"/>
      <c r="Q88" s="1400"/>
      <c r="R88" s="1400"/>
      <c r="S88" s="1400"/>
      <c r="T88" s="1400"/>
      <c r="U88" s="1400"/>
      <c r="V88" s="1400"/>
      <c r="W88" s="1400"/>
      <c r="X88" s="1400"/>
      <c r="Y88" s="1685">
        <v>43355</v>
      </c>
      <c r="Z88" s="1326" t="s">
        <v>2062</v>
      </c>
      <c r="AA88" s="1683">
        <v>0</v>
      </c>
      <c r="AB88" s="1683">
        <v>0</v>
      </c>
      <c r="AC88" s="1683">
        <v>0</v>
      </c>
      <c r="AD88" s="1685">
        <v>43382</v>
      </c>
      <c r="AE88" s="1326" t="s">
        <v>2084</v>
      </c>
      <c r="AF88" s="1326" t="s">
        <v>2067</v>
      </c>
      <c r="AG88" s="1410"/>
      <c r="AH88" s="1683">
        <v>323918.11</v>
      </c>
      <c r="AI88" s="1683">
        <v>222790.72</v>
      </c>
      <c r="AJ88" s="1683">
        <v>222790.73</v>
      </c>
      <c r="AK88" s="1683">
        <v>222790.73</v>
      </c>
      <c r="AL88" s="1683">
        <v>0</v>
      </c>
      <c r="AM88" s="1685">
        <v>43383</v>
      </c>
      <c r="AN88" s="1683">
        <v>323918.11</v>
      </c>
      <c r="AO88" s="1683">
        <v>222790.73</v>
      </c>
      <c r="AP88" s="1683">
        <v>222790.73</v>
      </c>
      <c r="AQ88" s="1683">
        <v>222790.73</v>
      </c>
      <c r="AR88" s="1683">
        <v>0</v>
      </c>
      <c r="AS88" s="1683">
        <v>101127.38</v>
      </c>
      <c r="AT88" s="1683">
        <v>0</v>
      </c>
      <c r="AU88" s="1683">
        <v>0</v>
      </c>
      <c r="AV88" s="1683">
        <v>0</v>
      </c>
      <c r="AW88" s="1683">
        <v>101127.38</v>
      </c>
      <c r="AX88" s="1400"/>
      <c r="AY88" s="1400"/>
      <c r="AZ88" s="1400"/>
      <c r="BA88" s="1682"/>
      <c r="BB88" s="1682"/>
      <c r="BC88" s="1400"/>
      <c r="BD88" s="1400"/>
      <c r="BE88" s="1683">
        <v>323918.11</v>
      </c>
      <c r="BF88" s="1683">
        <v>222790.73</v>
      </c>
      <c r="BG88" s="1683">
        <v>222790.73</v>
      </c>
      <c r="BH88" s="1683">
        <v>222790.73</v>
      </c>
      <c r="BI88" s="1683">
        <v>0</v>
      </c>
      <c r="BJ88" s="1683">
        <v>101127.38</v>
      </c>
      <c r="BK88" s="1683">
        <v>0</v>
      </c>
      <c r="BL88" s="1683">
        <v>0</v>
      </c>
      <c r="BM88" s="1683">
        <v>0</v>
      </c>
      <c r="BN88" s="1683">
        <v>101127.38</v>
      </c>
      <c r="BO88" s="1685">
        <v>43553</v>
      </c>
      <c r="BP88" s="1683">
        <v>323918.11</v>
      </c>
      <c r="BQ88" s="1683">
        <v>222790.73</v>
      </c>
      <c r="BR88" s="1683">
        <v>222790.73</v>
      </c>
      <c r="BS88" s="1683">
        <v>222790.73</v>
      </c>
      <c r="BT88" s="1683">
        <v>0</v>
      </c>
      <c r="BU88" s="1683">
        <v>101127.38</v>
      </c>
      <c r="BV88" s="1683">
        <v>0</v>
      </c>
      <c r="BW88" s="1683">
        <v>0</v>
      </c>
      <c r="BX88" s="1683">
        <v>0</v>
      </c>
      <c r="BY88" s="1683">
        <v>101127.38</v>
      </c>
      <c r="BZ88" s="1683">
        <v>0</v>
      </c>
      <c r="CA88" s="1400"/>
      <c r="CB88" s="1682"/>
      <c r="CC88" s="1682"/>
      <c r="CD88" s="1400"/>
      <c r="CE88" s="1400"/>
      <c r="CF88" s="1683">
        <v>0</v>
      </c>
      <c r="CG88" s="1683">
        <v>0</v>
      </c>
      <c r="CH88" s="1683">
        <v>0</v>
      </c>
      <c r="CI88" s="1683">
        <v>0</v>
      </c>
      <c r="CJ88" s="1683">
        <v>0</v>
      </c>
      <c r="CK88" s="1683">
        <v>0</v>
      </c>
      <c r="CL88" s="1682"/>
      <c r="CM88" s="1683">
        <v>0</v>
      </c>
      <c r="CN88" s="1683">
        <v>0</v>
      </c>
      <c r="CO88" s="1683">
        <v>0</v>
      </c>
      <c r="CP88" s="1683">
        <v>0</v>
      </c>
      <c r="CQ88" s="1683">
        <v>0</v>
      </c>
      <c r="CR88" s="1683">
        <v>0</v>
      </c>
      <c r="CS88" s="1683">
        <v>0</v>
      </c>
      <c r="CT88" s="1683">
        <v>0</v>
      </c>
      <c r="CU88" s="1683">
        <v>0</v>
      </c>
      <c r="CV88" s="1683">
        <v>0</v>
      </c>
      <c r="CW88" s="1682"/>
      <c r="CX88" s="1400"/>
      <c r="CY88" s="1400"/>
      <c r="CZ88" s="1400"/>
      <c r="DA88" s="1400"/>
      <c r="DB88" s="1682"/>
      <c r="DC88" s="1326"/>
      <c r="DD88" s="1683">
        <v>0</v>
      </c>
      <c r="DE88" s="1400"/>
      <c r="DF88" s="1400"/>
      <c r="DG88" s="1683">
        <v>0</v>
      </c>
      <c r="DH88" s="1683">
        <v>0</v>
      </c>
    </row>
    <row r="89" spans="1:112" ht="56.25">
      <c r="A89" s="1326" t="s">
        <v>2038</v>
      </c>
      <c r="B89" s="1326" t="s">
        <v>1694</v>
      </c>
      <c r="C89" s="1326" t="s">
        <v>2549</v>
      </c>
      <c r="D89" s="1326" t="s">
        <v>2550</v>
      </c>
      <c r="E89" s="1326" t="s">
        <v>144</v>
      </c>
      <c r="F89" s="1326" t="s">
        <v>2544</v>
      </c>
      <c r="G89" s="1326" t="s">
        <v>2545</v>
      </c>
      <c r="H89" s="1326" t="s">
        <v>2546</v>
      </c>
      <c r="I89" s="1326" t="s">
        <v>699</v>
      </c>
      <c r="J89" s="1326" t="s">
        <v>293</v>
      </c>
      <c r="K89" s="1326" t="s">
        <v>2087</v>
      </c>
      <c r="L89" s="1326" t="s">
        <v>2061</v>
      </c>
      <c r="M89" s="1400"/>
      <c r="N89" s="1400"/>
      <c r="O89" s="1400"/>
      <c r="P89" s="1400"/>
      <c r="Q89" s="1400"/>
      <c r="R89" s="1400"/>
      <c r="S89" s="1400"/>
      <c r="T89" s="1400"/>
      <c r="U89" s="1400"/>
      <c r="V89" s="1400"/>
      <c r="W89" s="1400"/>
      <c r="X89" s="1400"/>
      <c r="Y89" s="1685">
        <v>43355</v>
      </c>
      <c r="Z89" s="1326" t="s">
        <v>2062</v>
      </c>
      <c r="AA89" s="1683">
        <v>0</v>
      </c>
      <c r="AB89" s="1683">
        <v>0</v>
      </c>
      <c r="AC89" s="1683">
        <v>0</v>
      </c>
      <c r="AD89" s="1685">
        <v>43382</v>
      </c>
      <c r="AE89" s="1326" t="s">
        <v>2084</v>
      </c>
      <c r="AF89" s="1326" t="s">
        <v>2064</v>
      </c>
      <c r="AG89" s="1410"/>
      <c r="AH89" s="1683">
        <v>75</v>
      </c>
      <c r="AI89" s="1683">
        <v>36.72</v>
      </c>
      <c r="AJ89" s="1683">
        <v>36.72</v>
      </c>
      <c r="AK89" s="1683">
        <v>36.72</v>
      </c>
      <c r="AL89" s="1683">
        <v>0</v>
      </c>
      <c r="AM89" s="1685">
        <v>43382</v>
      </c>
      <c r="AN89" s="1683">
        <v>75</v>
      </c>
      <c r="AO89" s="1683">
        <v>36.72</v>
      </c>
      <c r="AP89" s="1683">
        <v>36.72</v>
      </c>
      <c r="AQ89" s="1683">
        <v>36.72</v>
      </c>
      <c r="AR89" s="1683">
        <v>0</v>
      </c>
      <c r="AS89" s="1683">
        <v>38.28</v>
      </c>
      <c r="AT89" s="1683">
        <v>0</v>
      </c>
      <c r="AU89" s="1683">
        <v>0</v>
      </c>
      <c r="AV89" s="1683">
        <v>0</v>
      </c>
      <c r="AW89" s="1683">
        <v>38.28</v>
      </c>
      <c r="AX89" s="1400"/>
      <c r="AY89" s="1400"/>
      <c r="AZ89" s="1400"/>
      <c r="BA89" s="1682"/>
      <c r="BB89" s="1682"/>
      <c r="BC89" s="1400"/>
      <c r="BD89" s="1400"/>
      <c r="BE89" s="1683">
        <v>75</v>
      </c>
      <c r="BF89" s="1683">
        <v>36.72</v>
      </c>
      <c r="BG89" s="1683">
        <v>36.72</v>
      </c>
      <c r="BH89" s="1683">
        <v>36.72</v>
      </c>
      <c r="BI89" s="1683">
        <v>0</v>
      </c>
      <c r="BJ89" s="1683">
        <v>38.28</v>
      </c>
      <c r="BK89" s="1683">
        <v>0</v>
      </c>
      <c r="BL89" s="1683">
        <v>0</v>
      </c>
      <c r="BM89" s="1683">
        <v>0</v>
      </c>
      <c r="BN89" s="1683">
        <v>38.28</v>
      </c>
      <c r="BO89" s="1685">
        <v>43553</v>
      </c>
      <c r="BP89" s="1683">
        <v>75</v>
      </c>
      <c r="BQ89" s="1683">
        <v>36.72</v>
      </c>
      <c r="BR89" s="1683">
        <v>36.72</v>
      </c>
      <c r="BS89" s="1683">
        <v>36.72</v>
      </c>
      <c r="BT89" s="1683">
        <v>0</v>
      </c>
      <c r="BU89" s="1683">
        <v>38.28</v>
      </c>
      <c r="BV89" s="1683">
        <v>0</v>
      </c>
      <c r="BW89" s="1683">
        <v>0</v>
      </c>
      <c r="BX89" s="1683">
        <v>0</v>
      </c>
      <c r="BY89" s="1683">
        <v>38.28</v>
      </c>
      <c r="BZ89" s="1683">
        <v>0</v>
      </c>
      <c r="CA89" s="1400"/>
      <c r="CB89" s="1682"/>
      <c r="CC89" s="1682"/>
      <c r="CD89" s="1400"/>
      <c r="CE89" s="1400"/>
      <c r="CF89" s="1683">
        <v>0</v>
      </c>
      <c r="CG89" s="1683">
        <v>0</v>
      </c>
      <c r="CH89" s="1683">
        <v>0</v>
      </c>
      <c r="CI89" s="1683">
        <v>0</v>
      </c>
      <c r="CJ89" s="1683">
        <v>0</v>
      </c>
      <c r="CK89" s="1683">
        <v>0</v>
      </c>
      <c r="CL89" s="1682"/>
      <c r="CM89" s="1683">
        <v>0</v>
      </c>
      <c r="CN89" s="1683">
        <v>0</v>
      </c>
      <c r="CO89" s="1683">
        <v>0</v>
      </c>
      <c r="CP89" s="1683">
        <v>0</v>
      </c>
      <c r="CQ89" s="1683">
        <v>0</v>
      </c>
      <c r="CR89" s="1683">
        <v>0</v>
      </c>
      <c r="CS89" s="1683">
        <v>0</v>
      </c>
      <c r="CT89" s="1683">
        <v>0</v>
      </c>
      <c r="CU89" s="1683">
        <v>0</v>
      </c>
      <c r="CV89" s="1683">
        <v>0</v>
      </c>
      <c r="CW89" s="1682"/>
      <c r="CX89" s="1400"/>
      <c r="CY89" s="1400"/>
      <c r="CZ89" s="1400"/>
      <c r="DA89" s="1400"/>
      <c r="DB89" s="1682"/>
      <c r="DC89" s="1326"/>
      <c r="DD89" s="1683">
        <v>0</v>
      </c>
      <c r="DE89" s="1400"/>
      <c r="DF89" s="1400"/>
      <c r="DG89" s="1683">
        <v>0</v>
      </c>
      <c r="DH89" s="1683">
        <v>0</v>
      </c>
    </row>
    <row r="90" spans="1:112" ht="56.25">
      <c r="A90" s="1326" t="s">
        <v>2039</v>
      </c>
      <c r="B90" s="1326" t="s">
        <v>1694</v>
      </c>
      <c r="C90" s="1326" t="s">
        <v>2549</v>
      </c>
      <c r="D90" s="1326" t="s">
        <v>2550</v>
      </c>
      <c r="E90" s="1326" t="s">
        <v>144</v>
      </c>
      <c r="F90" s="1326" t="s">
        <v>2544</v>
      </c>
      <c r="G90" s="1326" t="s">
        <v>2545</v>
      </c>
      <c r="H90" s="1326" t="s">
        <v>2546</v>
      </c>
      <c r="I90" s="1326" t="s">
        <v>699</v>
      </c>
      <c r="J90" s="1326" t="s">
        <v>293</v>
      </c>
      <c r="K90" s="1326" t="s">
        <v>2087</v>
      </c>
      <c r="L90" s="1326" t="s">
        <v>2061</v>
      </c>
      <c r="M90" s="1400"/>
      <c r="N90" s="1400"/>
      <c r="O90" s="1400"/>
      <c r="P90" s="1400"/>
      <c r="Q90" s="1400"/>
      <c r="R90" s="1400"/>
      <c r="S90" s="1400"/>
      <c r="T90" s="1400"/>
      <c r="U90" s="1400"/>
      <c r="V90" s="1400"/>
      <c r="W90" s="1400"/>
      <c r="X90" s="1400"/>
      <c r="Y90" s="1685">
        <v>43417</v>
      </c>
      <c r="Z90" s="1326" t="s">
        <v>2062</v>
      </c>
      <c r="AA90" s="1683">
        <v>0</v>
      </c>
      <c r="AB90" s="1683">
        <v>0</v>
      </c>
      <c r="AC90" s="1683">
        <v>0</v>
      </c>
      <c r="AD90" s="1685">
        <v>43439</v>
      </c>
      <c r="AE90" s="1326" t="s">
        <v>2304</v>
      </c>
      <c r="AF90" s="1326" t="s">
        <v>2067</v>
      </c>
      <c r="AG90" s="1410"/>
      <c r="AH90" s="1683">
        <v>151429.16</v>
      </c>
      <c r="AI90" s="1683">
        <v>106750.56</v>
      </c>
      <c r="AJ90" s="1683">
        <v>106750.56</v>
      </c>
      <c r="AK90" s="1683">
        <v>106750.56</v>
      </c>
      <c r="AL90" s="1683">
        <v>0</v>
      </c>
      <c r="AM90" s="1685">
        <v>43440</v>
      </c>
      <c r="AN90" s="1683">
        <v>151429.16</v>
      </c>
      <c r="AO90" s="1683">
        <v>106750.56</v>
      </c>
      <c r="AP90" s="1683">
        <v>106750.56</v>
      </c>
      <c r="AQ90" s="1683">
        <v>106750.56</v>
      </c>
      <c r="AR90" s="1683">
        <v>0</v>
      </c>
      <c r="AS90" s="1683">
        <v>44678.6</v>
      </c>
      <c r="AT90" s="1683">
        <v>0</v>
      </c>
      <c r="AU90" s="1683">
        <v>0</v>
      </c>
      <c r="AV90" s="1683">
        <v>0</v>
      </c>
      <c r="AW90" s="1683">
        <v>44678.6</v>
      </c>
      <c r="AX90" s="1400"/>
      <c r="AY90" s="1400"/>
      <c r="AZ90" s="1400"/>
      <c r="BA90" s="1682"/>
      <c r="BB90" s="1682"/>
      <c r="BC90" s="1400"/>
      <c r="BD90" s="1400"/>
      <c r="BE90" s="1683">
        <v>151429.16</v>
      </c>
      <c r="BF90" s="1683">
        <v>106750.56</v>
      </c>
      <c r="BG90" s="1683">
        <v>106750.56</v>
      </c>
      <c r="BH90" s="1683">
        <v>106750.56</v>
      </c>
      <c r="BI90" s="1683">
        <v>0</v>
      </c>
      <c r="BJ90" s="1683">
        <v>44678.6</v>
      </c>
      <c r="BK90" s="1683">
        <v>0</v>
      </c>
      <c r="BL90" s="1683">
        <v>0</v>
      </c>
      <c r="BM90" s="1683">
        <v>0</v>
      </c>
      <c r="BN90" s="1683">
        <v>44678.6</v>
      </c>
      <c r="BO90" s="1685">
        <v>43553</v>
      </c>
      <c r="BP90" s="1683">
        <v>151429.16</v>
      </c>
      <c r="BQ90" s="1683">
        <v>106750.56</v>
      </c>
      <c r="BR90" s="1683">
        <v>106750.56</v>
      </c>
      <c r="BS90" s="1683">
        <v>106750.56</v>
      </c>
      <c r="BT90" s="1683">
        <v>0</v>
      </c>
      <c r="BU90" s="1683">
        <v>44678.6</v>
      </c>
      <c r="BV90" s="1683">
        <v>0</v>
      </c>
      <c r="BW90" s="1683">
        <v>0</v>
      </c>
      <c r="BX90" s="1683">
        <v>0</v>
      </c>
      <c r="BY90" s="1683">
        <v>44678.6</v>
      </c>
      <c r="BZ90" s="1683">
        <v>0</v>
      </c>
      <c r="CA90" s="1400"/>
      <c r="CB90" s="1682"/>
      <c r="CC90" s="1682"/>
      <c r="CD90" s="1400"/>
      <c r="CE90" s="1400"/>
      <c r="CF90" s="1683">
        <v>0</v>
      </c>
      <c r="CG90" s="1683">
        <v>0</v>
      </c>
      <c r="CH90" s="1683">
        <v>0</v>
      </c>
      <c r="CI90" s="1683">
        <v>0</v>
      </c>
      <c r="CJ90" s="1683">
        <v>0</v>
      </c>
      <c r="CK90" s="1683">
        <v>0</v>
      </c>
      <c r="CL90" s="1682"/>
      <c r="CM90" s="1683">
        <v>0</v>
      </c>
      <c r="CN90" s="1683">
        <v>0</v>
      </c>
      <c r="CO90" s="1683">
        <v>0</v>
      </c>
      <c r="CP90" s="1683">
        <v>0</v>
      </c>
      <c r="CQ90" s="1683">
        <v>0</v>
      </c>
      <c r="CR90" s="1683">
        <v>0</v>
      </c>
      <c r="CS90" s="1683">
        <v>0</v>
      </c>
      <c r="CT90" s="1683">
        <v>0</v>
      </c>
      <c r="CU90" s="1683">
        <v>0</v>
      </c>
      <c r="CV90" s="1683">
        <v>0</v>
      </c>
      <c r="CW90" s="1682"/>
      <c r="CX90" s="1400"/>
      <c r="CY90" s="1400"/>
      <c r="CZ90" s="1400"/>
      <c r="DA90" s="1400"/>
      <c r="DB90" s="1682"/>
      <c r="DC90" s="1326"/>
      <c r="DD90" s="1683">
        <v>0</v>
      </c>
      <c r="DE90" s="1400"/>
      <c r="DF90" s="1400"/>
      <c r="DG90" s="1683">
        <v>0</v>
      </c>
      <c r="DH90" s="1683">
        <v>0</v>
      </c>
    </row>
    <row r="91" spans="1:112" ht="56.25">
      <c r="A91" s="1326" t="s">
        <v>2040</v>
      </c>
      <c r="B91" s="1326" t="s">
        <v>1694</v>
      </c>
      <c r="C91" s="1326" t="s">
        <v>2549</v>
      </c>
      <c r="D91" s="1326" t="s">
        <v>2550</v>
      </c>
      <c r="E91" s="1326" t="s">
        <v>144</v>
      </c>
      <c r="F91" s="1326" t="s">
        <v>2544</v>
      </c>
      <c r="G91" s="1326" t="s">
        <v>2545</v>
      </c>
      <c r="H91" s="1326" t="s">
        <v>2546</v>
      </c>
      <c r="I91" s="1326" t="s">
        <v>699</v>
      </c>
      <c r="J91" s="1326" t="s">
        <v>293</v>
      </c>
      <c r="K91" s="1326" t="s">
        <v>2087</v>
      </c>
      <c r="L91" s="1326" t="s">
        <v>2061</v>
      </c>
      <c r="M91" s="1400"/>
      <c r="N91" s="1400"/>
      <c r="O91" s="1400"/>
      <c r="P91" s="1400"/>
      <c r="Q91" s="1400"/>
      <c r="R91" s="1400"/>
      <c r="S91" s="1400"/>
      <c r="T91" s="1400"/>
      <c r="U91" s="1400"/>
      <c r="V91" s="1400"/>
      <c r="W91" s="1400"/>
      <c r="X91" s="1400"/>
      <c r="Y91" s="1685">
        <v>43486</v>
      </c>
      <c r="Z91" s="1326" t="s">
        <v>2062</v>
      </c>
      <c r="AA91" s="1683">
        <v>0</v>
      </c>
      <c r="AB91" s="1683">
        <v>0</v>
      </c>
      <c r="AC91" s="1683">
        <v>0</v>
      </c>
      <c r="AD91" s="1685">
        <v>43516</v>
      </c>
      <c r="AE91" s="1326" t="s">
        <v>2337</v>
      </c>
      <c r="AF91" s="1326" t="s">
        <v>2067</v>
      </c>
      <c r="AG91" s="1410"/>
      <c r="AH91" s="1683">
        <v>428089.71</v>
      </c>
      <c r="AI91" s="1683">
        <v>301318.21000000002</v>
      </c>
      <c r="AJ91" s="1683">
        <v>319622.45</v>
      </c>
      <c r="AK91" s="1683">
        <v>319622.45</v>
      </c>
      <c r="AL91" s="1683">
        <v>0</v>
      </c>
      <c r="AM91" s="1685">
        <v>43517</v>
      </c>
      <c r="AN91" s="1683">
        <v>428089.71</v>
      </c>
      <c r="AO91" s="1683">
        <v>319622.45</v>
      </c>
      <c r="AP91" s="1683">
        <v>319622.45</v>
      </c>
      <c r="AQ91" s="1683">
        <v>319622.45</v>
      </c>
      <c r="AR91" s="1683">
        <v>0</v>
      </c>
      <c r="AS91" s="1683">
        <v>108467.26</v>
      </c>
      <c r="AT91" s="1683">
        <v>0</v>
      </c>
      <c r="AU91" s="1683">
        <v>0</v>
      </c>
      <c r="AV91" s="1683">
        <v>0</v>
      </c>
      <c r="AW91" s="1683">
        <v>108467.26</v>
      </c>
      <c r="AX91" s="1400"/>
      <c r="AY91" s="1400"/>
      <c r="AZ91" s="1400"/>
      <c r="BA91" s="1682"/>
      <c r="BB91" s="1682"/>
      <c r="BC91" s="1400"/>
      <c r="BD91" s="1400"/>
      <c r="BE91" s="1683">
        <v>428089.71</v>
      </c>
      <c r="BF91" s="1683">
        <v>319622.45</v>
      </c>
      <c r="BG91" s="1683">
        <v>319622.45</v>
      </c>
      <c r="BH91" s="1683">
        <v>319622.45</v>
      </c>
      <c r="BI91" s="1683">
        <v>0</v>
      </c>
      <c r="BJ91" s="1683">
        <v>108467.26</v>
      </c>
      <c r="BK91" s="1683">
        <v>0</v>
      </c>
      <c r="BL91" s="1683">
        <v>0</v>
      </c>
      <c r="BM91" s="1683">
        <v>0</v>
      </c>
      <c r="BN91" s="1683">
        <v>108467.26</v>
      </c>
      <c r="BO91" s="1682"/>
      <c r="BP91" s="1683">
        <v>0</v>
      </c>
      <c r="BQ91" s="1683">
        <v>0</v>
      </c>
      <c r="BR91" s="1683">
        <v>0</v>
      </c>
      <c r="BS91" s="1683">
        <v>0</v>
      </c>
      <c r="BT91" s="1683">
        <v>0</v>
      </c>
      <c r="BU91" s="1683">
        <v>0</v>
      </c>
      <c r="BV91" s="1683">
        <v>0</v>
      </c>
      <c r="BW91" s="1683">
        <v>0</v>
      </c>
      <c r="BX91" s="1683">
        <v>0</v>
      </c>
      <c r="BY91" s="1683">
        <v>0</v>
      </c>
      <c r="BZ91" s="1400"/>
      <c r="CA91" s="1400"/>
      <c r="CB91" s="1682"/>
      <c r="CC91" s="1682"/>
      <c r="CD91" s="1400"/>
      <c r="CE91" s="1400"/>
      <c r="CF91" s="1683">
        <v>0</v>
      </c>
      <c r="CG91" s="1683">
        <v>0</v>
      </c>
      <c r="CH91" s="1683">
        <v>0</v>
      </c>
      <c r="CI91" s="1683">
        <v>0</v>
      </c>
      <c r="CJ91" s="1683">
        <v>0</v>
      </c>
      <c r="CK91" s="1683">
        <v>0</v>
      </c>
      <c r="CL91" s="1682"/>
      <c r="CM91" s="1683">
        <v>0</v>
      </c>
      <c r="CN91" s="1683">
        <v>0</v>
      </c>
      <c r="CO91" s="1683">
        <v>0</v>
      </c>
      <c r="CP91" s="1683">
        <v>0</v>
      </c>
      <c r="CQ91" s="1683">
        <v>0</v>
      </c>
      <c r="CR91" s="1683">
        <v>0</v>
      </c>
      <c r="CS91" s="1683">
        <v>0</v>
      </c>
      <c r="CT91" s="1683">
        <v>0</v>
      </c>
      <c r="CU91" s="1683">
        <v>0</v>
      </c>
      <c r="CV91" s="1683">
        <v>0</v>
      </c>
      <c r="CW91" s="1682"/>
      <c r="CX91" s="1400"/>
      <c r="CY91" s="1400"/>
      <c r="CZ91" s="1400"/>
      <c r="DA91" s="1400"/>
      <c r="DB91" s="1682"/>
      <c r="DC91" s="1326"/>
      <c r="DD91" s="1683">
        <v>0</v>
      </c>
      <c r="DE91" s="1400"/>
      <c r="DF91" s="1400"/>
      <c r="DG91" s="1683">
        <v>0</v>
      </c>
      <c r="DH91" s="1683">
        <v>0</v>
      </c>
    </row>
    <row r="92" spans="1:112" ht="56.25">
      <c r="A92" s="1326" t="s">
        <v>2041</v>
      </c>
      <c r="B92" s="1326" t="s">
        <v>1694</v>
      </c>
      <c r="C92" s="1326" t="s">
        <v>2549</v>
      </c>
      <c r="D92" s="1326" t="s">
        <v>2550</v>
      </c>
      <c r="E92" s="1326" t="s">
        <v>144</v>
      </c>
      <c r="F92" s="1326" t="s">
        <v>2544</v>
      </c>
      <c r="G92" s="1326" t="s">
        <v>2545</v>
      </c>
      <c r="H92" s="1326" t="s">
        <v>2546</v>
      </c>
      <c r="I92" s="1326" t="s">
        <v>699</v>
      </c>
      <c r="J92" s="1326" t="s">
        <v>293</v>
      </c>
      <c r="K92" s="1326" t="s">
        <v>2087</v>
      </c>
      <c r="L92" s="1326" t="s">
        <v>2061</v>
      </c>
      <c r="M92" s="1400"/>
      <c r="N92" s="1400"/>
      <c r="O92" s="1400"/>
      <c r="P92" s="1400"/>
      <c r="Q92" s="1400"/>
      <c r="R92" s="1400"/>
      <c r="S92" s="1400"/>
      <c r="T92" s="1400"/>
      <c r="U92" s="1400"/>
      <c r="V92" s="1400"/>
      <c r="W92" s="1400"/>
      <c r="X92" s="1400"/>
      <c r="Y92" s="1685">
        <v>43486</v>
      </c>
      <c r="Z92" s="1326" t="s">
        <v>2062</v>
      </c>
      <c r="AA92" s="1683">
        <v>0</v>
      </c>
      <c r="AB92" s="1683">
        <v>0</v>
      </c>
      <c r="AC92" s="1683">
        <v>0</v>
      </c>
      <c r="AD92" s="1685">
        <v>43516</v>
      </c>
      <c r="AE92" s="1326" t="s">
        <v>2337</v>
      </c>
      <c r="AF92" s="1326" t="s">
        <v>2064</v>
      </c>
      <c r="AG92" s="1410"/>
      <c r="AH92" s="1683">
        <v>599.16</v>
      </c>
      <c r="AI92" s="1683">
        <v>390.87</v>
      </c>
      <c r="AJ92" s="1683">
        <v>390.87</v>
      </c>
      <c r="AK92" s="1683">
        <v>390.87</v>
      </c>
      <c r="AL92" s="1683">
        <v>0</v>
      </c>
      <c r="AM92" s="1685">
        <v>43516</v>
      </c>
      <c r="AN92" s="1683">
        <v>599.16</v>
      </c>
      <c r="AO92" s="1683">
        <v>390.87</v>
      </c>
      <c r="AP92" s="1683">
        <v>390.87</v>
      </c>
      <c r="AQ92" s="1683">
        <v>390.87</v>
      </c>
      <c r="AR92" s="1683">
        <v>0</v>
      </c>
      <c r="AS92" s="1683">
        <v>208.29</v>
      </c>
      <c r="AT92" s="1683">
        <v>0</v>
      </c>
      <c r="AU92" s="1683">
        <v>0</v>
      </c>
      <c r="AV92" s="1683">
        <v>0</v>
      </c>
      <c r="AW92" s="1683">
        <v>208.29</v>
      </c>
      <c r="AX92" s="1400"/>
      <c r="AY92" s="1400"/>
      <c r="AZ92" s="1400"/>
      <c r="BA92" s="1682"/>
      <c r="BB92" s="1682"/>
      <c r="BC92" s="1400"/>
      <c r="BD92" s="1400"/>
      <c r="BE92" s="1683">
        <v>599.16</v>
      </c>
      <c r="BF92" s="1683">
        <v>390.87</v>
      </c>
      <c r="BG92" s="1683">
        <v>390.87</v>
      </c>
      <c r="BH92" s="1683">
        <v>390.87</v>
      </c>
      <c r="BI92" s="1683">
        <v>0</v>
      </c>
      <c r="BJ92" s="1683">
        <v>208.29</v>
      </c>
      <c r="BK92" s="1683">
        <v>0</v>
      </c>
      <c r="BL92" s="1683">
        <v>0</v>
      </c>
      <c r="BM92" s="1683">
        <v>0</v>
      </c>
      <c r="BN92" s="1683">
        <v>208.29</v>
      </c>
      <c r="BO92" s="1682"/>
      <c r="BP92" s="1683">
        <v>0</v>
      </c>
      <c r="BQ92" s="1683">
        <v>0</v>
      </c>
      <c r="BR92" s="1683">
        <v>0</v>
      </c>
      <c r="BS92" s="1683">
        <v>0</v>
      </c>
      <c r="BT92" s="1683">
        <v>0</v>
      </c>
      <c r="BU92" s="1683">
        <v>0</v>
      </c>
      <c r="BV92" s="1683">
        <v>0</v>
      </c>
      <c r="BW92" s="1683">
        <v>0</v>
      </c>
      <c r="BX92" s="1683">
        <v>0</v>
      </c>
      <c r="BY92" s="1683">
        <v>0</v>
      </c>
      <c r="BZ92" s="1400"/>
      <c r="CA92" s="1400"/>
      <c r="CB92" s="1682"/>
      <c r="CC92" s="1682"/>
      <c r="CD92" s="1400"/>
      <c r="CE92" s="1400"/>
      <c r="CF92" s="1683">
        <v>0</v>
      </c>
      <c r="CG92" s="1683">
        <v>0</v>
      </c>
      <c r="CH92" s="1683">
        <v>0</v>
      </c>
      <c r="CI92" s="1683">
        <v>0</v>
      </c>
      <c r="CJ92" s="1683">
        <v>0</v>
      </c>
      <c r="CK92" s="1683">
        <v>0</v>
      </c>
      <c r="CL92" s="1682"/>
      <c r="CM92" s="1683">
        <v>0</v>
      </c>
      <c r="CN92" s="1683">
        <v>0</v>
      </c>
      <c r="CO92" s="1683">
        <v>0</v>
      </c>
      <c r="CP92" s="1683">
        <v>0</v>
      </c>
      <c r="CQ92" s="1683">
        <v>0</v>
      </c>
      <c r="CR92" s="1683">
        <v>0</v>
      </c>
      <c r="CS92" s="1683">
        <v>0</v>
      </c>
      <c r="CT92" s="1683">
        <v>0</v>
      </c>
      <c r="CU92" s="1683">
        <v>0</v>
      </c>
      <c r="CV92" s="1683">
        <v>0</v>
      </c>
      <c r="CW92" s="1682"/>
      <c r="CX92" s="1400"/>
      <c r="CY92" s="1400"/>
      <c r="CZ92" s="1400"/>
      <c r="DA92" s="1400"/>
      <c r="DB92" s="1682"/>
      <c r="DC92" s="1326"/>
      <c r="DD92" s="1683">
        <v>0</v>
      </c>
      <c r="DE92" s="1400"/>
      <c r="DF92" s="1400"/>
      <c r="DG92" s="1683">
        <v>0</v>
      </c>
      <c r="DH92" s="1683">
        <v>0</v>
      </c>
    </row>
    <row r="93" spans="1:112" ht="45">
      <c r="A93" s="1326" t="s">
        <v>2042</v>
      </c>
      <c r="B93" s="1326" t="s">
        <v>1694</v>
      </c>
      <c r="C93" s="1326" t="s">
        <v>2549</v>
      </c>
      <c r="D93" s="1326" t="s">
        <v>2550</v>
      </c>
      <c r="E93" s="1326" t="s">
        <v>144</v>
      </c>
      <c r="F93" s="1326" t="s">
        <v>2544</v>
      </c>
      <c r="G93" s="1326" t="s">
        <v>2545</v>
      </c>
      <c r="H93" s="1326" t="s">
        <v>2546</v>
      </c>
      <c r="I93" s="1326" t="s">
        <v>700</v>
      </c>
      <c r="J93" s="1326" t="s">
        <v>387</v>
      </c>
      <c r="K93" s="1326" t="s">
        <v>2078</v>
      </c>
      <c r="L93" s="1326" t="s">
        <v>2061</v>
      </c>
      <c r="M93" s="1683">
        <v>5598211</v>
      </c>
      <c r="N93" s="1683">
        <v>0</v>
      </c>
      <c r="O93" s="1683">
        <v>5598211</v>
      </c>
      <c r="P93" s="1683">
        <v>2645996.25</v>
      </c>
      <c r="Q93" s="1683">
        <v>2645996.25</v>
      </c>
      <c r="R93" s="1683">
        <v>2645996.25</v>
      </c>
      <c r="S93" s="1683">
        <v>0</v>
      </c>
      <c r="T93" s="1683">
        <v>2952214.75</v>
      </c>
      <c r="U93" s="1683">
        <v>0</v>
      </c>
      <c r="V93" s="1683">
        <v>0</v>
      </c>
      <c r="W93" s="1683">
        <v>0</v>
      </c>
      <c r="X93" s="1683">
        <v>2952214.75</v>
      </c>
      <c r="Y93" s="1682"/>
      <c r="Z93" s="1326"/>
      <c r="AA93" s="1683">
        <v>368715.55</v>
      </c>
      <c r="AB93" s="1683">
        <v>368715.55</v>
      </c>
      <c r="AC93" s="1683">
        <v>0</v>
      </c>
      <c r="AD93" s="1682"/>
      <c r="AE93" s="1326"/>
      <c r="AF93" s="1326"/>
      <c r="AG93" s="1410"/>
      <c r="AH93" s="1683">
        <v>3124566.3</v>
      </c>
      <c r="AI93" s="1683">
        <v>1765031.84</v>
      </c>
      <c r="AJ93" s="1683">
        <v>1476827.27</v>
      </c>
      <c r="AK93" s="1683">
        <v>1476827.27</v>
      </c>
      <c r="AL93" s="1683">
        <v>0</v>
      </c>
      <c r="AM93" s="1682"/>
      <c r="AN93" s="1683">
        <v>3124566.3</v>
      </c>
      <c r="AO93" s="1683">
        <v>1476827.27</v>
      </c>
      <c r="AP93" s="1683">
        <v>1476827.27</v>
      </c>
      <c r="AQ93" s="1683">
        <v>1476827.27</v>
      </c>
      <c r="AR93" s="1683">
        <v>0</v>
      </c>
      <c r="AS93" s="1683">
        <v>1647739.03</v>
      </c>
      <c r="AT93" s="1683">
        <v>0</v>
      </c>
      <c r="AU93" s="1683">
        <v>0</v>
      </c>
      <c r="AV93" s="1683">
        <v>0</v>
      </c>
      <c r="AW93" s="1683">
        <v>1647739.03</v>
      </c>
      <c r="AX93" s="1683">
        <v>0</v>
      </c>
      <c r="AY93" s="1683">
        <v>0</v>
      </c>
      <c r="AZ93" s="1683">
        <v>0</v>
      </c>
      <c r="BA93" s="1682"/>
      <c r="BB93" s="1682"/>
      <c r="BC93" s="1683">
        <v>0</v>
      </c>
      <c r="BD93" s="1683">
        <v>0</v>
      </c>
      <c r="BE93" s="1683">
        <v>3124566.3</v>
      </c>
      <c r="BF93" s="1683">
        <v>1476827.27</v>
      </c>
      <c r="BG93" s="1683">
        <v>1476827.27</v>
      </c>
      <c r="BH93" s="1683">
        <v>1476827.27</v>
      </c>
      <c r="BI93" s="1683">
        <v>0</v>
      </c>
      <c r="BJ93" s="1683">
        <v>1647739.03</v>
      </c>
      <c r="BK93" s="1683">
        <v>0</v>
      </c>
      <c r="BL93" s="1683">
        <v>0</v>
      </c>
      <c r="BM93" s="1683">
        <v>0</v>
      </c>
      <c r="BN93" s="1683">
        <v>1647739.03</v>
      </c>
      <c r="BO93" s="1682"/>
      <c r="BP93" s="1683">
        <v>2720747.31</v>
      </c>
      <c r="BQ93" s="1683">
        <v>1279459.53</v>
      </c>
      <c r="BR93" s="1683">
        <v>1279459.53</v>
      </c>
      <c r="BS93" s="1683">
        <v>1279459.53</v>
      </c>
      <c r="BT93" s="1683">
        <v>0</v>
      </c>
      <c r="BU93" s="1683">
        <v>1441287.78</v>
      </c>
      <c r="BV93" s="1683">
        <v>0</v>
      </c>
      <c r="BW93" s="1683">
        <v>0</v>
      </c>
      <c r="BX93" s="1683">
        <v>0</v>
      </c>
      <c r="BY93" s="1683">
        <v>1441287.78</v>
      </c>
      <c r="BZ93" s="1683">
        <v>0</v>
      </c>
      <c r="CA93" s="1683">
        <v>0</v>
      </c>
      <c r="CB93" s="1685">
        <v>43553</v>
      </c>
      <c r="CC93" s="1682"/>
      <c r="CD93" s="1683">
        <v>-250055.08</v>
      </c>
      <c r="CE93" s="1683">
        <v>-110608.5</v>
      </c>
      <c r="CF93" s="1683">
        <v>0</v>
      </c>
      <c r="CG93" s="1683">
        <v>0</v>
      </c>
      <c r="CH93" s="1683">
        <v>0</v>
      </c>
      <c r="CI93" s="1683">
        <v>0</v>
      </c>
      <c r="CJ93" s="1683">
        <v>0</v>
      </c>
      <c r="CK93" s="1683">
        <v>0</v>
      </c>
      <c r="CL93" s="1682"/>
      <c r="CM93" s="1683">
        <v>1882064</v>
      </c>
      <c r="CN93" s="1683">
        <v>830836.09</v>
      </c>
      <c r="CO93" s="1683">
        <v>830836.09</v>
      </c>
      <c r="CP93" s="1683">
        <v>830836.09</v>
      </c>
      <c r="CQ93" s="1683">
        <v>0</v>
      </c>
      <c r="CR93" s="1683">
        <v>1051227.9099999999</v>
      </c>
      <c r="CS93" s="1683">
        <v>0</v>
      </c>
      <c r="CT93" s="1683">
        <v>0</v>
      </c>
      <c r="CU93" s="1683">
        <v>0</v>
      </c>
      <c r="CV93" s="1683">
        <v>1051227.9099999999</v>
      </c>
      <c r="CW93" s="1685">
        <v>43511</v>
      </c>
      <c r="CX93" s="1683">
        <v>-659242.37</v>
      </c>
      <c r="CY93" s="1683">
        <v>-306092.28999999998</v>
      </c>
      <c r="CZ93" s="1683">
        <v>1222821.6299999999</v>
      </c>
      <c r="DA93" s="1683">
        <v>524743.80000000005</v>
      </c>
      <c r="DB93" s="1682"/>
      <c r="DC93" s="1326"/>
      <c r="DD93" s="1683">
        <v>0</v>
      </c>
      <c r="DE93" s="1683">
        <v>0</v>
      </c>
      <c r="DF93" s="1683">
        <v>0</v>
      </c>
      <c r="DG93" s="1683">
        <v>0</v>
      </c>
      <c r="DH93" s="1683">
        <v>0</v>
      </c>
    </row>
    <row r="94" spans="1:112" ht="45">
      <c r="A94" s="1326" t="s">
        <v>2043</v>
      </c>
      <c r="B94" s="1326" t="s">
        <v>1694</v>
      </c>
      <c r="C94" s="1326" t="s">
        <v>2549</v>
      </c>
      <c r="D94" s="1326" t="s">
        <v>2550</v>
      </c>
      <c r="E94" s="1326" t="s">
        <v>144</v>
      </c>
      <c r="F94" s="1326" t="s">
        <v>2544</v>
      </c>
      <c r="G94" s="1326" t="s">
        <v>2545</v>
      </c>
      <c r="H94" s="1326" t="s">
        <v>2546</v>
      </c>
      <c r="I94" s="1326" t="s">
        <v>700</v>
      </c>
      <c r="J94" s="1326" t="s">
        <v>387</v>
      </c>
      <c r="K94" s="1326" t="s">
        <v>2078</v>
      </c>
      <c r="L94" s="1326" t="s">
        <v>2061</v>
      </c>
      <c r="M94" s="1400"/>
      <c r="N94" s="1400"/>
      <c r="O94" s="1400"/>
      <c r="P94" s="1400"/>
      <c r="Q94" s="1400"/>
      <c r="R94" s="1400"/>
      <c r="S94" s="1400"/>
      <c r="T94" s="1400"/>
      <c r="U94" s="1400"/>
      <c r="V94" s="1400"/>
      <c r="W94" s="1400"/>
      <c r="X94" s="1400"/>
      <c r="Y94" s="1685">
        <v>42727</v>
      </c>
      <c r="Z94" s="1326" t="s">
        <v>2096</v>
      </c>
      <c r="AA94" s="1683">
        <v>0</v>
      </c>
      <c r="AB94" s="1683">
        <v>0</v>
      </c>
      <c r="AC94" s="1683">
        <v>0</v>
      </c>
      <c r="AD94" s="1685">
        <v>42734</v>
      </c>
      <c r="AE94" s="1326" t="s">
        <v>2073</v>
      </c>
      <c r="AF94" s="1326" t="s">
        <v>2064</v>
      </c>
      <c r="AG94" s="1410"/>
      <c r="AH94" s="1683">
        <v>0</v>
      </c>
      <c r="AI94" s="1683">
        <v>368715.55</v>
      </c>
      <c r="AJ94" s="1683">
        <v>368715.55</v>
      </c>
      <c r="AK94" s="1683">
        <v>368715.55</v>
      </c>
      <c r="AL94" s="1683">
        <v>0</v>
      </c>
      <c r="AM94" s="1682"/>
      <c r="AN94" s="1683">
        <v>0</v>
      </c>
      <c r="AO94" s="1683">
        <v>0</v>
      </c>
      <c r="AP94" s="1683">
        <v>0</v>
      </c>
      <c r="AQ94" s="1683">
        <v>0</v>
      </c>
      <c r="AR94" s="1683">
        <v>0</v>
      </c>
      <c r="AS94" s="1683">
        <v>0</v>
      </c>
      <c r="AT94" s="1683">
        <v>0</v>
      </c>
      <c r="AU94" s="1683">
        <v>0</v>
      </c>
      <c r="AV94" s="1683">
        <v>0</v>
      </c>
      <c r="AW94" s="1683">
        <v>0</v>
      </c>
      <c r="AX94" s="1400"/>
      <c r="AY94" s="1400"/>
      <c r="AZ94" s="1400"/>
      <c r="BA94" s="1682"/>
      <c r="BB94" s="1682"/>
      <c r="BC94" s="1400"/>
      <c r="BD94" s="1400"/>
      <c r="BE94" s="1683">
        <v>0</v>
      </c>
      <c r="BF94" s="1683">
        <v>0</v>
      </c>
      <c r="BG94" s="1683">
        <v>0</v>
      </c>
      <c r="BH94" s="1683">
        <v>0</v>
      </c>
      <c r="BI94" s="1683">
        <v>0</v>
      </c>
      <c r="BJ94" s="1683">
        <v>0</v>
      </c>
      <c r="BK94" s="1683">
        <v>0</v>
      </c>
      <c r="BL94" s="1683">
        <v>0</v>
      </c>
      <c r="BM94" s="1683">
        <v>0</v>
      </c>
      <c r="BN94" s="1683">
        <v>0</v>
      </c>
      <c r="BO94" s="1682"/>
      <c r="BP94" s="1683">
        <v>0</v>
      </c>
      <c r="BQ94" s="1683">
        <v>0</v>
      </c>
      <c r="BR94" s="1683">
        <v>0</v>
      </c>
      <c r="BS94" s="1683">
        <v>0</v>
      </c>
      <c r="BT94" s="1683">
        <v>0</v>
      </c>
      <c r="BU94" s="1683">
        <v>0</v>
      </c>
      <c r="BV94" s="1683">
        <v>0</v>
      </c>
      <c r="BW94" s="1683">
        <v>0</v>
      </c>
      <c r="BX94" s="1683">
        <v>0</v>
      </c>
      <c r="BY94" s="1683">
        <v>0</v>
      </c>
      <c r="BZ94" s="1400"/>
      <c r="CA94" s="1400"/>
      <c r="CB94" s="1682"/>
      <c r="CC94" s="1682"/>
      <c r="CD94" s="1400"/>
      <c r="CE94" s="1400"/>
      <c r="CF94" s="1683">
        <v>0</v>
      </c>
      <c r="CG94" s="1683">
        <v>0</v>
      </c>
      <c r="CH94" s="1683">
        <v>0</v>
      </c>
      <c r="CI94" s="1683">
        <v>0</v>
      </c>
      <c r="CJ94" s="1683">
        <v>0</v>
      </c>
      <c r="CK94" s="1683">
        <v>0</v>
      </c>
      <c r="CL94" s="1682"/>
      <c r="CM94" s="1683">
        <v>0</v>
      </c>
      <c r="CN94" s="1683">
        <v>0</v>
      </c>
      <c r="CO94" s="1683">
        <v>0</v>
      </c>
      <c r="CP94" s="1683">
        <v>0</v>
      </c>
      <c r="CQ94" s="1683">
        <v>0</v>
      </c>
      <c r="CR94" s="1683">
        <v>0</v>
      </c>
      <c r="CS94" s="1683">
        <v>0</v>
      </c>
      <c r="CT94" s="1683">
        <v>0</v>
      </c>
      <c r="CU94" s="1683">
        <v>0</v>
      </c>
      <c r="CV94" s="1683">
        <v>0</v>
      </c>
      <c r="CW94" s="1682"/>
      <c r="CX94" s="1400"/>
      <c r="CY94" s="1400"/>
      <c r="CZ94" s="1400"/>
      <c r="DA94" s="1400"/>
      <c r="DB94" s="1682"/>
      <c r="DC94" s="1326"/>
      <c r="DD94" s="1683">
        <v>0</v>
      </c>
      <c r="DE94" s="1400"/>
      <c r="DF94" s="1400"/>
      <c r="DG94" s="1683">
        <v>0</v>
      </c>
      <c r="DH94" s="1683">
        <v>0</v>
      </c>
    </row>
    <row r="95" spans="1:112" ht="45">
      <c r="A95" s="1326" t="s">
        <v>2044</v>
      </c>
      <c r="B95" s="1326" t="s">
        <v>1694</v>
      </c>
      <c r="C95" s="1326" t="s">
        <v>2549</v>
      </c>
      <c r="D95" s="1326" t="s">
        <v>2550</v>
      </c>
      <c r="E95" s="1326" t="s">
        <v>144</v>
      </c>
      <c r="F95" s="1326" t="s">
        <v>2544</v>
      </c>
      <c r="G95" s="1326" t="s">
        <v>2545</v>
      </c>
      <c r="H95" s="1326" t="s">
        <v>2546</v>
      </c>
      <c r="I95" s="1326" t="s">
        <v>700</v>
      </c>
      <c r="J95" s="1326" t="s">
        <v>387</v>
      </c>
      <c r="K95" s="1326" t="s">
        <v>2078</v>
      </c>
      <c r="L95" s="1326" t="s">
        <v>2061</v>
      </c>
      <c r="M95" s="1400"/>
      <c r="N95" s="1400"/>
      <c r="O95" s="1400"/>
      <c r="P95" s="1400"/>
      <c r="Q95" s="1400"/>
      <c r="R95" s="1400"/>
      <c r="S95" s="1400"/>
      <c r="T95" s="1400"/>
      <c r="U95" s="1400"/>
      <c r="V95" s="1400"/>
      <c r="W95" s="1400"/>
      <c r="X95" s="1400"/>
      <c r="Y95" s="1685">
        <v>42822</v>
      </c>
      <c r="Z95" s="1326" t="s">
        <v>2062</v>
      </c>
      <c r="AA95" s="1683">
        <v>0</v>
      </c>
      <c r="AB95" s="1683">
        <v>0</v>
      </c>
      <c r="AC95" s="1683">
        <v>0</v>
      </c>
      <c r="AD95" s="1685">
        <v>42852</v>
      </c>
      <c r="AE95" s="1326" t="s">
        <v>2063</v>
      </c>
      <c r="AF95" s="1326" t="s">
        <v>2064</v>
      </c>
      <c r="AG95" s="1410"/>
      <c r="AH95" s="1683">
        <v>0</v>
      </c>
      <c r="AI95" s="1683">
        <v>0</v>
      </c>
      <c r="AJ95" s="1683">
        <v>0</v>
      </c>
      <c r="AK95" s="1683">
        <v>0</v>
      </c>
      <c r="AL95" s="1683">
        <v>0</v>
      </c>
      <c r="AM95" s="1682"/>
      <c r="AN95" s="1683">
        <v>0</v>
      </c>
      <c r="AO95" s="1683">
        <v>0</v>
      </c>
      <c r="AP95" s="1683">
        <v>0</v>
      </c>
      <c r="AQ95" s="1683">
        <v>0</v>
      </c>
      <c r="AR95" s="1683">
        <v>0</v>
      </c>
      <c r="AS95" s="1683">
        <v>0</v>
      </c>
      <c r="AT95" s="1683">
        <v>0</v>
      </c>
      <c r="AU95" s="1683">
        <v>0</v>
      </c>
      <c r="AV95" s="1683">
        <v>0</v>
      </c>
      <c r="AW95" s="1683">
        <v>0</v>
      </c>
      <c r="AX95" s="1400"/>
      <c r="AY95" s="1400"/>
      <c r="AZ95" s="1400"/>
      <c r="BA95" s="1682"/>
      <c r="BB95" s="1682"/>
      <c r="BC95" s="1400"/>
      <c r="BD95" s="1400"/>
      <c r="BE95" s="1683">
        <v>0</v>
      </c>
      <c r="BF95" s="1683">
        <v>0</v>
      </c>
      <c r="BG95" s="1683">
        <v>0</v>
      </c>
      <c r="BH95" s="1683">
        <v>0</v>
      </c>
      <c r="BI95" s="1683">
        <v>0</v>
      </c>
      <c r="BJ95" s="1683">
        <v>0</v>
      </c>
      <c r="BK95" s="1683">
        <v>0</v>
      </c>
      <c r="BL95" s="1683">
        <v>0</v>
      </c>
      <c r="BM95" s="1683">
        <v>0</v>
      </c>
      <c r="BN95" s="1683">
        <v>0</v>
      </c>
      <c r="BO95" s="1682"/>
      <c r="BP95" s="1683">
        <v>0</v>
      </c>
      <c r="BQ95" s="1683">
        <v>0</v>
      </c>
      <c r="BR95" s="1683">
        <v>0</v>
      </c>
      <c r="BS95" s="1683">
        <v>0</v>
      </c>
      <c r="BT95" s="1683">
        <v>0</v>
      </c>
      <c r="BU95" s="1683">
        <v>0</v>
      </c>
      <c r="BV95" s="1683">
        <v>0</v>
      </c>
      <c r="BW95" s="1683">
        <v>0</v>
      </c>
      <c r="BX95" s="1683">
        <v>0</v>
      </c>
      <c r="BY95" s="1683">
        <v>0</v>
      </c>
      <c r="BZ95" s="1400"/>
      <c r="CA95" s="1400"/>
      <c r="CB95" s="1682"/>
      <c r="CC95" s="1682"/>
      <c r="CD95" s="1400"/>
      <c r="CE95" s="1400"/>
      <c r="CF95" s="1683">
        <v>0</v>
      </c>
      <c r="CG95" s="1683">
        <v>0</v>
      </c>
      <c r="CH95" s="1683">
        <v>0</v>
      </c>
      <c r="CI95" s="1683">
        <v>0</v>
      </c>
      <c r="CJ95" s="1683">
        <v>0</v>
      </c>
      <c r="CK95" s="1683">
        <v>0</v>
      </c>
      <c r="CL95" s="1682"/>
      <c r="CM95" s="1683">
        <v>0</v>
      </c>
      <c r="CN95" s="1683">
        <v>0</v>
      </c>
      <c r="CO95" s="1683">
        <v>0</v>
      </c>
      <c r="CP95" s="1683">
        <v>0</v>
      </c>
      <c r="CQ95" s="1683">
        <v>0</v>
      </c>
      <c r="CR95" s="1683">
        <v>0</v>
      </c>
      <c r="CS95" s="1683">
        <v>0</v>
      </c>
      <c r="CT95" s="1683">
        <v>0</v>
      </c>
      <c r="CU95" s="1683">
        <v>0</v>
      </c>
      <c r="CV95" s="1683">
        <v>0</v>
      </c>
      <c r="CW95" s="1682"/>
      <c r="CX95" s="1400"/>
      <c r="CY95" s="1400"/>
      <c r="CZ95" s="1400"/>
      <c r="DA95" s="1400"/>
      <c r="DB95" s="1682"/>
      <c r="DC95" s="1326"/>
      <c r="DD95" s="1683">
        <v>0</v>
      </c>
      <c r="DE95" s="1400"/>
      <c r="DF95" s="1400"/>
      <c r="DG95" s="1683">
        <v>0</v>
      </c>
      <c r="DH95" s="1683">
        <v>0</v>
      </c>
    </row>
    <row r="96" spans="1:112" ht="45">
      <c r="A96" s="1326" t="s">
        <v>2045</v>
      </c>
      <c r="B96" s="1326" t="s">
        <v>1694</v>
      </c>
      <c r="C96" s="1326" t="s">
        <v>2549</v>
      </c>
      <c r="D96" s="1326" t="s">
        <v>2550</v>
      </c>
      <c r="E96" s="1326" t="s">
        <v>144</v>
      </c>
      <c r="F96" s="1326" t="s">
        <v>2544</v>
      </c>
      <c r="G96" s="1326" t="s">
        <v>2545</v>
      </c>
      <c r="H96" s="1326" t="s">
        <v>2546</v>
      </c>
      <c r="I96" s="1326" t="s">
        <v>700</v>
      </c>
      <c r="J96" s="1326" t="s">
        <v>387</v>
      </c>
      <c r="K96" s="1326" t="s">
        <v>2078</v>
      </c>
      <c r="L96" s="1326" t="s">
        <v>2061</v>
      </c>
      <c r="M96" s="1400"/>
      <c r="N96" s="1400"/>
      <c r="O96" s="1400"/>
      <c r="P96" s="1400"/>
      <c r="Q96" s="1400"/>
      <c r="R96" s="1400"/>
      <c r="S96" s="1400"/>
      <c r="T96" s="1400"/>
      <c r="U96" s="1400"/>
      <c r="V96" s="1400"/>
      <c r="W96" s="1400"/>
      <c r="X96" s="1400"/>
      <c r="Y96" s="1685">
        <v>42909</v>
      </c>
      <c r="Z96" s="1326" t="s">
        <v>2062</v>
      </c>
      <c r="AA96" s="1683">
        <v>222778.94</v>
      </c>
      <c r="AB96" s="1683">
        <v>222778.94</v>
      </c>
      <c r="AC96" s="1683">
        <v>0</v>
      </c>
      <c r="AD96" s="1685">
        <v>42920</v>
      </c>
      <c r="AE96" s="1326" t="s">
        <v>2066</v>
      </c>
      <c r="AF96" s="1326" t="s">
        <v>2064</v>
      </c>
      <c r="AG96" s="1410"/>
      <c r="AH96" s="1683">
        <v>504653.36</v>
      </c>
      <c r="AI96" s="1683">
        <v>222778.94</v>
      </c>
      <c r="AJ96" s="1683">
        <v>0</v>
      </c>
      <c r="AK96" s="1683">
        <v>0</v>
      </c>
      <c r="AL96" s="1683">
        <v>0</v>
      </c>
      <c r="AM96" s="1685">
        <v>42920</v>
      </c>
      <c r="AN96" s="1683">
        <v>504653.36</v>
      </c>
      <c r="AO96" s="1683">
        <v>222778.94</v>
      </c>
      <c r="AP96" s="1683">
        <v>222778.94</v>
      </c>
      <c r="AQ96" s="1683">
        <v>222778.94</v>
      </c>
      <c r="AR96" s="1683">
        <v>0</v>
      </c>
      <c r="AS96" s="1683">
        <v>281874.42</v>
      </c>
      <c r="AT96" s="1683">
        <v>0</v>
      </c>
      <c r="AU96" s="1683">
        <v>0</v>
      </c>
      <c r="AV96" s="1683">
        <v>0</v>
      </c>
      <c r="AW96" s="1683">
        <v>281874.42</v>
      </c>
      <c r="AX96" s="1400"/>
      <c r="AY96" s="1400"/>
      <c r="AZ96" s="1400"/>
      <c r="BA96" s="1682"/>
      <c r="BB96" s="1682"/>
      <c r="BC96" s="1400"/>
      <c r="BD96" s="1400"/>
      <c r="BE96" s="1683">
        <v>504653.36</v>
      </c>
      <c r="BF96" s="1683">
        <v>222778.94</v>
      </c>
      <c r="BG96" s="1683">
        <v>222778.94</v>
      </c>
      <c r="BH96" s="1683">
        <v>222778.94</v>
      </c>
      <c r="BI96" s="1683">
        <v>0</v>
      </c>
      <c r="BJ96" s="1683">
        <v>281874.42</v>
      </c>
      <c r="BK96" s="1683">
        <v>0</v>
      </c>
      <c r="BL96" s="1683">
        <v>0</v>
      </c>
      <c r="BM96" s="1683">
        <v>0</v>
      </c>
      <c r="BN96" s="1683">
        <v>281874.42</v>
      </c>
      <c r="BO96" s="1685">
        <v>42991</v>
      </c>
      <c r="BP96" s="1683">
        <v>504653.36</v>
      </c>
      <c r="BQ96" s="1683">
        <v>222778.94</v>
      </c>
      <c r="BR96" s="1683">
        <v>222778.94</v>
      </c>
      <c r="BS96" s="1683">
        <v>222778.94</v>
      </c>
      <c r="BT96" s="1683">
        <v>0</v>
      </c>
      <c r="BU96" s="1683">
        <v>281874.42</v>
      </c>
      <c r="BV96" s="1683">
        <v>0</v>
      </c>
      <c r="BW96" s="1683">
        <v>0</v>
      </c>
      <c r="BX96" s="1683">
        <v>0</v>
      </c>
      <c r="BY96" s="1683">
        <v>281874.42</v>
      </c>
      <c r="BZ96" s="1683">
        <v>0</v>
      </c>
      <c r="CA96" s="1400"/>
      <c r="CB96" s="1682"/>
      <c r="CC96" s="1682"/>
      <c r="CD96" s="1400"/>
      <c r="CE96" s="1400"/>
      <c r="CF96" s="1683">
        <v>0</v>
      </c>
      <c r="CG96" s="1683">
        <v>0</v>
      </c>
      <c r="CH96" s="1683">
        <v>0</v>
      </c>
      <c r="CI96" s="1683">
        <v>0</v>
      </c>
      <c r="CJ96" s="1683">
        <v>0</v>
      </c>
      <c r="CK96" s="1683">
        <v>0</v>
      </c>
      <c r="CL96" s="1685">
        <v>43511</v>
      </c>
      <c r="CM96" s="1683">
        <v>504653.36</v>
      </c>
      <c r="CN96" s="1683">
        <v>222778.94</v>
      </c>
      <c r="CO96" s="1683">
        <v>222778.94</v>
      </c>
      <c r="CP96" s="1683">
        <v>222778.94</v>
      </c>
      <c r="CQ96" s="1683">
        <v>0</v>
      </c>
      <c r="CR96" s="1683">
        <v>281874.42</v>
      </c>
      <c r="CS96" s="1683">
        <v>0</v>
      </c>
      <c r="CT96" s="1683">
        <v>0</v>
      </c>
      <c r="CU96" s="1683">
        <v>0</v>
      </c>
      <c r="CV96" s="1683">
        <v>281874.42</v>
      </c>
      <c r="CW96" s="1682"/>
      <c r="CX96" s="1400"/>
      <c r="CY96" s="1400"/>
      <c r="CZ96" s="1400"/>
      <c r="DA96" s="1400"/>
      <c r="DB96" s="1682"/>
      <c r="DC96" s="1326"/>
      <c r="DD96" s="1683">
        <v>0</v>
      </c>
      <c r="DE96" s="1400"/>
      <c r="DF96" s="1400"/>
      <c r="DG96" s="1683">
        <v>0</v>
      </c>
      <c r="DH96" s="1683">
        <v>0</v>
      </c>
    </row>
    <row r="97" spans="1:112" ht="45">
      <c r="A97" s="1326" t="s">
        <v>2046</v>
      </c>
      <c r="B97" s="1326" t="s">
        <v>1694</v>
      </c>
      <c r="C97" s="1326" t="s">
        <v>2549</v>
      </c>
      <c r="D97" s="1326" t="s">
        <v>2550</v>
      </c>
      <c r="E97" s="1326" t="s">
        <v>144</v>
      </c>
      <c r="F97" s="1326" t="s">
        <v>2544</v>
      </c>
      <c r="G97" s="1326" t="s">
        <v>2545</v>
      </c>
      <c r="H97" s="1326" t="s">
        <v>2546</v>
      </c>
      <c r="I97" s="1326" t="s">
        <v>700</v>
      </c>
      <c r="J97" s="1326" t="s">
        <v>387</v>
      </c>
      <c r="K97" s="1326" t="s">
        <v>2078</v>
      </c>
      <c r="L97" s="1326" t="s">
        <v>2061</v>
      </c>
      <c r="M97" s="1400"/>
      <c r="N97" s="1400"/>
      <c r="O97" s="1400"/>
      <c r="P97" s="1400"/>
      <c r="Q97" s="1400"/>
      <c r="R97" s="1400"/>
      <c r="S97" s="1400"/>
      <c r="T97" s="1400"/>
      <c r="U97" s="1400"/>
      <c r="V97" s="1400"/>
      <c r="W97" s="1400"/>
      <c r="X97" s="1400"/>
      <c r="Y97" s="1685">
        <v>42989</v>
      </c>
      <c r="Z97" s="1326" t="s">
        <v>2062</v>
      </c>
      <c r="AA97" s="1683">
        <v>0</v>
      </c>
      <c r="AB97" s="1683">
        <v>0</v>
      </c>
      <c r="AC97" s="1683">
        <v>0</v>
      </c>
      <c r="AD97" s="1685">
        <v>43013</v>
      </c>
      <c r="AE97" s="1326" t="s">
        <v>2079</v>
      </c>
      <c r="AF97" s="1326" t="s">
        <v>2067</v>
      </c>
      <c r="AG97" s="1410"/>
      <c r="AH97" s="1683">
        <v>4665.1899999999996</v>
      </c>
      <c r="AI97" s="1683">
        <v>2059.4499999999998</v>
      </c>
      <c r="AJ97" s="1683">
        <v>2059.44</v>
      </c>
      <c r="AK97" s="1683">
        <v>2059.44</v>
      </c>
      <c r="AL97" s="1683">
        <v>0</v>
      </c>
      <c r="AM97" s="1685">
        <v>43014</v>
      </c>
      <c r="AN97" s="1683">
        <v>4665.1899999999996</v>
      </c>
      <c r="AO97" s="1683">
        <v>2059.44</v>
      </c>
      <c r="AP97" s="1683">
        <v>2059.44</v>
      </c>
      <c r="AQ97" s="1683">
        <v>2059.44</v>
      </c>
      <c r="AR97" s="1683">
        <v>0</v>
      </c>
      <c r="AS97" s="1683">
        <v>2605.75</v>
      </c>
      <c r="AT97" s="1683">
        <v>0</v>
      </c>
      <c r="AU97" s="1683">
        <v>0</v>
      </c>
      <c r="AV97" s="1683">
        <v>0</v>
      </c>
      <c r="AW97" s="1683">
        <v>2605.75</v>
      </c>
      <c r="AX97" s="1400"/>
      <c r="AY97" s="1400"/>
      <c r="AZ97" s="1400"/>
      <c r="BA97" s="1682"/>
      <c r="BB97" s="1682"/>
      <c r="BC97" s="1400"/>
      <c r="BD97" s="1400"/>
      <c r="BE97" s="1683">
        <v>4665.1899999999996</v>
      </c>
      <c r="BF97" s="1683">
        <v>2059.44</v>
      </c>
      <c r="BG97" s="1683">
        <v>2059.44</v>
      </c>
      <c r="BH97" s="1683">
        <v>2059.44</v>
      </c>
      <c r="BI97" s="1683">
        <v>0</v>
      </c>
      <c r="BJ97" s="1683">
        <v>2605.75</v>
      </c>
      <c r="BK97" s="1683">
        <v>0</v>
      </c>
      <c r="BL97" s="1683">
        <v>0</v>
      </c>
      <c r="BM97" s="1683">
        <v>0</v>
      </c>
      <c r="BN97" s="1683">
        <v>2605.75</v>
      </c>
      <c r="BO97" s="1685">
        <v>43125</v>
      </c>
      <c r="BP97" s="1683">
        <v>4665.1899999999996</v>
      </c>
      <c r="BQ97" s="1683">
        <v>2059.44</v>
      </c>
      <c r="BR97" s="1683">
        <v>2059.44</v>
      </c>
      <c r="BS97" s="1683">
        <v>2059.44</v>
      </c>
      <c r="BT97" s="1683">
        <v>0</v>
      </c>
      <c r="BU97" s="1683">
        <v>2605.75</v>
      </c>
      <c r="BV97" s="1683">
        <v>0</v>
      </c>
      <c r="BW97" s="1683">
        <v>0</v>
      </c>
      <c r="BX97" s="1683">
        <v>0</v>
      </c>
      <c r="BY97" s="1683">
        <v>2605.75</v>
      </c>
      <c r="BZ97" s="1683">
        <v>0</v>
      </c>
      <c r="CA97" s="1400"/>
      <c r="CB97" s="1682"/>
      <c r="CC97" s="1682"/>
      <c r="CD97" s="1400"/>
      <c r="CE97" s="1400"/>
      <c r="CF97" s="1683">
        <v>0</v>
      </c>
      <c r="CG97" s="1683">
        <v>0</v>
      </c>
      <c r="CH97" s="1683">
        <v>0</v>
      </c>
      <c r="CI97" s="1683">
        <v>0</v>
      </c>
      <c r="CJ97" s="1683">
        <v>0</v>
      </c>
      <c r="CK97" s="1683">
        <v>0</v>
      </c>
      <c r="CL97" s="1685">
        <v>43511</v>
      </c>
      <c r="CM97" s="1683">
        <v>4665.1899999999996</v>
      </c>
      <c r="CN97" s="1683">
        <v>2059.44</v>
      </c>
      <c r="CO97" s="1683">
        <v>2059.44</v>
      </c>
      <c r="CP97" s="1683">
        <v>2059.44</v>
      </c>
      <c r="CQ97" s="1683">
        <v>0</v>
      </c>
      <c r="CR97" s="1683">
        <v>2605.75</v>
      </c>
      <c r="CS97" s="1683">
        <v>0</v>
      </c>
      <c r="CT97" s="1683">
        <v>0</v>
      </c>
      <c r="CU97" s="1683">
        <v>0</v>
      </c>
      <c r="CV97" s="1683">
        <v>2605.75</v>
      </c>
      <c r="CW97" s="1682"/>
      <c r="CX97" s="1400"/>
      <c r="CY97" s="1400"/>
      <c r="CZ97" s="1400"/>
      <c r="DA97" s="1400"/>
      <c r="DB97" s="1682"/>
      <c r="DC97" s="1326"/>
      <c r="DD97" s="1683">
        <v>0</v>
      </c>
      <c r="DE97" s="1400"/>
      <c r="DF97" s="1400"/>
      <c r="DG97" s="1683">
        <v>0</v>
      </c>
      <c r="DH97" s="1683">
        <v>0</v>
      </c>
    </row>
    <row r="98" spans="1:112" ht="45">
      <c r="A98" s="1326" t="s">
        <v>2047</v>
      </c>
      <c r="B98" s="1326" t="s">
        <v>1694</v>
      </c>
      <c r="C98" s="1326" t="s">
        <v>2549</v>
      </c>
      <c r="D98" s="1326" t="s">
        <v>2550</v>
      </c>
      <c r="E98" s="1326" t="s">
        <v>144</v>
      </c>
      <c r="F98" s="1326" t="s">
        <v>2544</v>
      </c>
      <c r="G98" s="1326" t="s">
        <v>2545</v>
      </c>
      <c r="H98" s="1326" t="s">
        <v>2546</v>
      </c>
      <c r="I98" s="1326" t="s">
        <v>700</v>
      </c>
      <c r="J98" s="1326" t="s">
        <v>387</v>
      </c>
      <c r="K98" s="1326" t="s">
        <v>2078</v>
      </c>
      <c r="L98" s="1326" t="s">
        <v>2061</v>
      </c>
      <c r="M98" s="1400"/>
      <c r="N98" s="1400"/>
      <c r="O98" s="1400"/>
      <c r="P98" s="1400"/>
      <c r="Q98" s="1400"/>
      <c r="R98" s="1400"/>
      <c r="S98" s="1400"/>
      <c r="T98" s="1400"/>
      <c r="U98" s="1400"/>
      <c r="V98" s="1400"/>
      <c r="W98" s="1400"/>
      <c r="X98" s="1400"/>
      <c r="Y98" s="1685">
        <v>42989</v>
      </c>
      <c r="Z98" s="1326" t="s">
        <v>2062</v>
      </c>
      <c r="AA98" s="1683">
        <v>145936.60999999999</v>
      </c>
      <c r="AB98" s="1683">
        <v>145936.60999999999</v>
      </c>
      <c r="AC98" s="1683">
        <v>0</v>
      </c>
      <c r="AD98" s="1685">
        <v>43013</v>
      </c>
      <c r="AE98" s="1326" t="s">
        <v>2079</v>
      </c>
      <c r="AF98" s="1326" t="s">
        <v>2064</v>
      </c>
      <c r="AG98" s="1410"/>
      <c r="AH98" s="1683">
        <v>527912.46</v>
      </c>
      <c r="AI98" s="1683">
        <v>233046.66</v>
      </c>
      <c r="AJ98" s="1683">
        <v>87110.05</v>
      </c>
      <c r="AK98" s="1683">
        <v>87110.05</v>
      </c>
      <c r="AL98" s="1683">
        <v>0</v>
      </c>
      <c r="AM98" s="1685">
        <v>43013</v>
      </c>
      <c r="AN98" s="1683">
        <v>527912.46</v>
      </c>
      <c r="AO98" s="1683">
        <v>233046.66</v>
      </c>
      <c r="AP98" s="1683">
        <v>233046.66</v>
      </c>
      <c r="AQ98" s="1683">
        <v>233046.66</v>
      </c>
      <c r="AR98" s="1683">
        <v>0</v>
      </c>
      <c r="AS98" s="1683">
        <v>294865.8</v>
      </c>
      <c r="AT98" s="1683">
        <v>0</v>
      </c>
      <c r="AU98" s="1683">
        <v>0</v>
      </c>
      <c r="AV98" s="1683">
        <v>0</v>
      </c>
      <c r="AW98" s="1683">
        <v>294865.8</v>
      </c>
      <c r="AX98" s="1400"/>
      <c r="AY98" s="1400"/>
      <c r="AZ98" s="1400"/>
      <c r="BA98" s="1682"/>
      <c r="BB98" s="1682"/>
      <c r="BC98" s="1400"/>
      <c r="BD98" s="1400"/>
      <c r="BE98" s="1683">
        <v>527912.46</v>
      </c>
      <c r="BF98" s="1683">
        <v>233046.66</v>
      </c>
      <c r="BG98" s="1683">
        <v>233046.66</v>
      </c>
      <c r="BH98" s="1683">
        <v>233046.66</v>
      </c>
      <c r="BI98" s="1683">
        <v>0</v>
      </c>
      <c r="BJ98" s="1683">
        <v>294865.8</v>
      </c>
      <c r="BK98" s="1683">
        <v>0</v>
      </c>
      <c r="BL98" s="1683">
        <v>0</v>
      </c>
      <c r="BM98" s="1683">
        <v>0</v>
      </c>
      <c r="BN98" s="1683">
        <v>294865.8</v>
      </c>
      <c r="BO98" s="1685">
        <v>43125</v>
      </c>
      <c r="BP98" s="1683">
        <v>527912.46</v>
      </c>
      <c r="BQ98" s="1683">
        <v>233046.66</v>
      </c>
      <c r="BR98" s="1683">
        <v>233046.66</v>
      </c>
      <c r="BS98" s="1683">
        <v>233046.66</v>
      </c>
      <c r="BT98" s="1683">
        <v>0</v>
      </c>
      <c r="BU98" s="1683">
        <v>294865.8</v>
      </c>
      <c r="BV98" s="1683">
        <v>0</v>
      </c>
      <c r="BW98" s="1683">
        <v>0</v>
      </c>
      <c r="BX98" s="1683">
        <v>0</v>
      </c>
      <c r="BY98" s="1683">
        <v>294865.8</v>
      </c>
      <c r="BZ98" s="1683">
        <v>0</v>
      </c>
      <c r="CA98" s="1400"/>
      <c r="CB98" s="1682"/>
      <c r="CC98" s="1682"/>
      <c r="CD98" s="1400"/>
      <c r="CE98" s="1400"/>
      <c r="CF98" s="1683">
        <v>0</v>
      </c>
      <c r="CG98" s="1683">
        <v>0</v>
      </c>
      <c r="CH98" s="1683">
        <v>0</v>
      </c>
      <c r="CI98" s="1683">
        <v>0</v>
      </c>
      <c r="CJ98" s="1683">
        <v>0</v>
      </c>
      <c r="CK98" s="1683">
        <v>0</v>
      </c>
      <c r="CL98" s="1685">
        <v>43511</v>
      </c>
      <c r="CM98" s="1683">
        <v>527912.46</v>
      </c>
      <c r="CN98" s="1683">
        <v>233046.66</v>
      </c>
      <c r="CO98" s="1683">
        <v>233046.66</v>
      </c>
      <c r="CP98" s="1683">
        <v>233046.66</v>
      </c>
      <c r="CQ98" s="1683">
        <v>0</v>
      </c>
      <c r="CR98" s="1683">
        <v>294865.8</v>
      </c>
      <c r="CS98" s="1683">
        <v>0</v>
      </c>
      <c r="CT98" s="1683">
        <v>0</v>
      </c>
      <c r="CU98" s="1683">
        <v>0</v>
      </c>
      <c r="CV98" s="1683">
        <v>294865.8</v>
      </c>
      <c r="CW98" s="1682"/>
      <c r="CX98" s="1400"/>
      <c r="CY98" s="1400"/>
      <c r="CZ98" s="1400"/>
      <c r="DA98" s="1400"/>
      <c r="DB98" s="1682"/>
      <c r="DC98" s="1326"/>
      <c r="DD98" s="1683">
        <v>0</v>
      </c>
      <c r="DE98" s="1400"/>
      <c r="DF98" s="1400"/>
      <c r="DG98" s="1683">
        <v>0</v>
      </c>
      <c r="DH98" s="1683">
        <v>0</v>
      </c>
    </row>
    <row r="99" spans="1:112" ht="45">
      <c r="A99" s="1326" t="s">
        <v>2048</v>
      </c>
      <c r="B99" s="1326" t="s">
        <v>1694</v>
      </c>
      <c r="C99" s="1326" t="s">
        <v>2549</v>
      </c>
      <c r="D99" s="1326" t="s">
        <v>2550</v>
      </c>
      <c r="E99" s="1326" t="s">
        <v>144</v>
      </c>
      <c r="F99" s="1326" t="s">
        <v>2544</v>
      </c>
      <c r="G99" s="1326" t="s">
        <v>2545</v>
      </c>
      <c r="H99" s="1326" t="s">
        <v>2546</v>
      </c>
      <c r="I99" s="1326" t="s">
        <v>700</v>
      </c>
      <c r="J99" s="1326" t="s">
        <v>387</v>
      </c>
      <c r="K99" s="1326" t="s">
        <v>2078</v>
      </c>
      <c r="L99" s="1326" t="s">
        <v>2061</v>
      </c>
      <c r="M99" s="1400"/>
      <c r="N99" s="1400"/>
      <c r="O99" s="1400"/>
      <c r="P99" s="1400"/>
      <c r="Q99" s="1400"/>
      <c r="R99" s="1400"/>
      <c r="S99" s="1400"/>
      <c r="T99" s="1400"/>
      <c r="U99" s="1400"/>
      <c r="V99" s="1400"/>
      <c r="W99" s="1400"/>
      <c r="X99" s="1400"/>
      <c r="Y99" s="1685">
        <v>43067</v>
      </c>
      <c r="Z99" s="1326" t="s">
        <v>2062</v>
      </c>
      <c r="AA99" s="1683">
        <v>0</v>
      </c>
      <c r="AB99" s="1683">
        <v>0</v>
      </c>
      <c r="AC99" s="1683">
        <v>0</v>
      </c>
      <c r="AD99" s="1685">
        <v>43087</v>
      </c>
      <c r="AE99" s="1326" t="s">
        <v>2080</v>
      </c>
      <c r="AF99" s="1326" t="s">
        <v>2067</v>
      </c>
      <c r="AG99" s="1410"/>
      <c r="AH99" s="1683">
        <v>324900</v>
      </c>
      <c r="AI99" s="1683">
        <v>143426.92000000001</v>
      </c>
      <c r="AJ99" s="1683">
        <v>143426.92000000001</v>
      </c>
      <c r="AK99" s="1683">
        <v>143426.92000000001</v>
      </c>
      <c r="AL99" s="1683">
        <v>0</v>
      </c>
      <c r="AM99" s="1685">
        <v>43088</v>
      </c>
      <c r="AN99" s="1683">
        <v>324900</v>
      </c>
      <c r="AO99" s="1683">
        <v>143426.92000000001</v>
      </c>
      <c r="AP99" s="1683">
        <v>143426.92000000001</v>
      </c>
      <c r="AQ99" s="1683">
        <v>143426.92000000001</v>
      </c>
      <c r="AR99" s="1683">
        <v>0</v>
      </c>
      <c r="AS99" s="1683">
        <v>181473.08</v>
      </c>
      <c r="AT99" s="1683">
        <v>0</v>
      </c>
      <c r="AU99" s="1683">
        <v>0</v>
      </c>
      <c r="AV99" s="1683">
        <v>0</v>
      </c>
      <c r="AW99" s="1683">
        <v>181473.08</v>
      </c>
      <c r="AX99" s="1400"/>
      <c r="AY99" s="1400"/>
      <c r="AZ99" s="1400"/>
      <c r="BA99" s="1682"/>
      <c r="BB99" s="1682"/>
      <c r="BC99" s="1400"/>
      <c r="BD99" s="1400"/>
      <c r="BE99" s="1683">
        <v>324900</v>
      </c>
      <c r="BF99" s="1683">
        <v>143426.92000000001</v>
      </c>
      <c r="BG99" s="1683">
        <v>143426.92000000001</v>
      </c>
      <c r="BH99" s="1683">
        <v>143426.92000000001</v>
      </c>
      <c r="BI99" s="1683">
        <v>0</v>
      </c>
      <c r="BJ99" s="1683">
        <v>181473.08</v>
      </c>
      <c r="BK99" s="1683">
        <v>0</v>
      </c>
      <c r="BL99" s="1683">
        <v>0</v>
      </c>
      <c r="BM99" s="1683">
        <v>0</v>
      </c>
      <c r="BN99" s="1683">
        <v>181473.08</v>
      </c>
      <c r="BO99" s="1685">
        <v>43189</v>
      </c>
      <c r="BP99" s="1683">
        <v>324900</v>
      </c>
      <c r="BQ99" s="1683">
        <v>143426.92000000001</v>
      </c>
      <c r="BR99" s="1683">
        <v>143426.92000000001</v>
      </c>
      <c r="BS99" s="1683">
        <v>143426.92000000001</v>
      </c>
      <c r="BT99" s="1683">
        <v>0</v>
      </c>
      <c r="BU99" s="1683">
        <v>181473.08</v>
      </c>
      <c r="BV99" s="1683">
        <v>0</v>
      </c>
      <c r="BW99" s="1683">
        <v>0</v>
      </c>
      <c r="BX99" s="1683">
        <v>0</v>
      </c>
      <c r="BY99" s="1683">
        <v>181473.08</v>
      </c>
      <c r="BZ99" s="1683">
        <v>0</v>
      </c>
      <c r="CA99" s="1400"/>
      <c r="CB99" s="1682"/>
      <c r="CC99" s="1682"/>
      <c r="CD99" s="1400"/>
      <c r="CE99" s="1400"/>
      <c r="CF99" s="1683">
        <v>0</v>
      </c>
      <c r="CG99" s="1683">
        <v>0</v>
      </c>
      <c r="CH99" s="1683">
        <v>0</v>
      </c>
      <c r="CI99" s="1683">
        <v>0</v>
      </c>
      <c r="CJ99" s="1683">
        <v>0</v>
      </c>
      <c r="CK99" s="1683">
        <v>0</v>
      </c>
      <c r="CL99" s="1685">
        <v>43511</v>
      </c>
      <c r="CM99" s="1683">
        <v>324900</v>
      </c>
      <c r="CN99" s="1683">
        <v>143426.92000000001</v>
      </c>
      <c r="CO99" s="1683">
        <v>143426.92000000001</v>
      </c>
      <c r="CP99" s="1683">
        <v>143426.92000000001</v>
      </c>
      <c r="CQ99" s="1683">
        <v>0</v>
      </c>
      <c r="CR99" s="1683">
        <v>181473.08</v>
      </c>
      <c r="CS99" s="1683">
        <v>0</v>
      </c>
      <c r="CT99" s="1683">
        <v>0</v>
      </c>
      <c r="CU99" s="1683">
        <v>0</v>
      </c>
      <c r="CV99" s="1683">
        <v>181473.08</v>
      </c>
      <c r="CW99" s="1682"/>
      <c r="CX99" s="1400"/>
      <c r="CY99" s="1400"/>
      <c r="CZ99" s="1400"/>
      <c r="DA99" s="1400"/>
      <c r="DB99" s="1682"/>
      <c r="DC99" s="1326"/>
      <c r="DD99" s="1683">
        <v>0</v>
      </c>
      <c r="DE99" s="1400"/>
      <c r="DF99" s="1400"/>
      <c r="DG99" s="1683">
        <v>0</v>
      </c>
      <c r="DH99" s="1683">
        <v>0</v>
      </c>
    </row>
    <row r="100" spans="1:112" ht="45">
      <c r="A100" s="1326" t="s">
        <v>2049</v>
      </c>
      <c r="B100" s="1326" t="s">
        <v>1694</v>
      </c>
      <c r="C100" s="1326" t="s">
        <v>2549</v>
      </c>
      <c r="D100" s="1326" t="s">
        <v>2550</v>
      </c>
      <c r="E100" s="1326" t="s">
        <v>144</v>
      </c>
      <c r="F100" s="1326" t="s">
        <v>2544</v>
      </c>
      <c r="G100" s="1326" t="s">
        <v>2545</v>
      </c>
      <c r="H100" s="1326" t="s">
        <v>2546</v>
      </c>
      <c r="I100" s="1326" t="s">
        <v>700</v>
      </c>
      <c r="J100" s="1326" t="s">
        <v>387</v>
      </c>
      <c r="K100" s="1326" t="s">
        <v>2078</v>
      </c>
      <c r="L100" s="1326" t="s">
        <v>2061</v>
      </c>
      <c r="M100" s="1400"/>
      <c r="N100" s="1400"/>
      <c r="O100" s="1400"/>
      <c r="P100" s="1400"/>
      <c r="Q100" s="1400"/>
      <c r="R100" s="1400"/>
      <c r="S100" s="1400"/>
      <c r="T100" s="1400"/>
      <c r="U100" s="1400"/>
      <c r="V100" s="1400"/>
      <c r="W100" s="1400"/>
      <c r="X100" s="1400"/>
      <c r="Y100" s="1685">
        <v>43067</v>
      </c>
      <c r="Z100" s="1326" t="s">
        <v>2062</v>
      </c>
      <c r="AA100" s="1683">
        <v>0</v>
      </c>
      <c r="AB100" s="1683">
        <v>0</v>
      </c>
      <c r="AC100" s="1683">
        <v>0</v>
      </c>
      <c r="AD100" s="1685">
        <v>43087</v>
      </c>
      <c r="AE100" s="1326" t="s">
        <v>2080</v>
      </c>
      <c r="AF100" s="1326" t="s">
        <v>2064</v>
      </c>
      <c r="AG100" s="1410"/>
      <c r="AH100" s="1683">
        <v>309979.08</v>
      </c>
      <c r="AI100" s="1683">
        <v>136840.09</v>
      </c>
      <c r="AJ100" s="1683">
        <v>136840.09</v>
      </c>
      <c r="AK100" s="1683">
        <v>136840.09</v>
      </c>
      <c r="AL100" s="1683">
        <v>0</v>
      </c>
      <c r="AM100" s="1685">
        <v>43087</v>
      </c>
      <c r="AN100" s="1683">
        <v>309979.08</v>
      </c>
      <c r="AO100" s="1683">
        <v>136840.09</v>
      </c>
      <c r="AP100" s="1683">
        <v>136840.09</v>
      </c>
      <c r="AQ100" s="1683">
        <v>136840.09</v>
      </c>
      <c r="AR100" s="1683">
        <v>0</v>
      </c>
      <c r="AS100" s="1683">
        <v>173138.99</v>
      </c>
      <c r="AT100" s="1683">
        <v>0</v>
      </c>
      <c r="AU100" s="1683">
        <v>0</v>
      </c>
      <c r="AV100" s="1683">
        <v>0</v>
      </c>
      <c r="AW100" s="1683">
        <v>173138.99</v>
      </c>
      <c r="AX100" s="1400"/>
      <c r="AY100" s="1400"/>
      <c r="AZ100" s="1400"/>
      <c r="BA100" s="1682"/>
      <c r="BB100" s="1682"/>
      <c r="BC100" s="1400"/>
      <c r="BD100" s="1400"/>
      <c r="BE100" s="1683">
        <v>309979.08</v>
      </c>
      <c r="BF100" s="1683">
        <v>136840.09</v>
      </c>
      <c r="BG100" s="1683">
        <v>136840.09</v>
      </c>
      <c r="BH100" s="1683">
        <v>136840.09</v>
      </c>
      <c r="BI100" s="1683">
        <v>0</v>
      </c>
      <c r="BJ100" s="1683">
        <v>173138.99</v>
      </c>
      <c r="BK100" s="1683">
        <v>0</v>
      </c>
      <c r="BL100" s="1683">
        <v>0</v>
      </c>
      <c r="BM100" s="1683">
        <v>0</v>
      </c>
      <c r="BN100" s="1683">
        <v>173138.99</v>
      </c>
      <c r="BO100" s="1685">
        <v>43189</v>
      </c>
      <c r="BP100" s="1683">
        <v>309979.08</v>
      </c>
      <c r="BQ100" s="1683">
        <v>136840.09</v>
      </c>
      <c r="BR100" s="1683">
        <v>136840.09</v>
      </c>
      <c r="BS100" s="1683">
        <v>136840.09</v>
      </c>
      <c r="BT100" s="1683">
        <v>0</v>
      </c>
      <c r="BU100" s="1683">
        <v>173138.99</v>
      </c>
      <c r="BV100" s="1683">
        <v>0</v>
      </c>
      <c r="BW100" s="1683">
        <v>0</v>
      </c>
      <c r="BX100" s="1683">
        <v>0</v>
      </c>
      <c r="BY100" s="1683">
        <v>173138.99</v>
      </c>
      <c r="BZ100" s="1683">
        <v>0</v>
      </c>
      <c r="CA100" s="1400"/>
      <c r="CB100" s="1682"/>
      <c r="CC100" s="1682"/>
      <c r="CD100" s="1400"/>
      <c r="CE100" s="1400"/>
      <c r="CF100" s="1683">
        <v>0</v>
      </c>
      <c r="CG100" s="1683">
        <v>0</v>
      </c>
      <c r="CH100" s="1683">
        <v>0</v>
      </c>
      <c r="CI100" s="1683">
        <v>0</v>
      </c>
      <c r="CJ100" s="1683">
        <v>0</v>
      </c>
      <c r="CK100" s="1683">
        <v>0</v>
      </c>
      <c r="CL100" s="1685">
        <v>43511</v>
      </c>
      <c r="CM100" s="1683">
        <v>309979.08</v>
      </c>
      <c r="CN100" s="1683">
        <v>136840.09</v>
      </c>
      <c r="CO100" s="1683">
        <v>136840.09</v>
      </c>
      <c r="CP100" s="1683">
        <v>136840.09</v>
      </c>
      <c r="CQ100" s="1683">
        <v>0</v>
      </c>
      <c r="CR100" s="1683">
        <v>173138.99</v>
      </c>
      <c r="CS100" s="1683">
        <v>0</v>
      </c>
      <c r="CT100" s="1683">
        <v>0</v>
      </c>
      <c r="CU100" s="1683">
        <v>0</v>
      </c>
      <c r="CV100" s="1683">
        <v>173138.99</v>
      </c>
      <c r="CW100" s="1682"/>
      <c r="CX100" s="1400"/>
      <c r="CY100" s="1400"/>
      <c r="CZ100" s="1400"/>
      <c r="DA100" s="1400"/>
      <c r="DB100" s="1682"/>
      <c r="DC100" s="1326"/>
      <c r="DD100" s="1683">
        <v>0</v>
      </c>
      <c r="DE100" s="1400"/>
      <c r="DF100" s="1400"/>
      <c r="DG100" s="1683">
        <v>0</v>
      </c>
      <c r="DH100" s="1683">
        <v>0</v>
      </c>
    </row>
    <row r="101" spans="1:112" ht="45">
      <c r="A101" s="1326" t="s">
        <v>2050</v>
      </c>
      <c r="B101" s="1326" t="s">
        <v>1694</v>
      </c>
      <c r="C101" s="1326" t="s">
        <v>2549</v>
      </c>
      <c r="D101" s="1326" t="s">
        <v>2550</v>
      </c>
      <c r="E101" s="1326" t="s">
        <v>144</v>
      </c>
      <c r="F101" s="1326" t="s">
        <v>2544</v>
      </c>
      <c r="G101" s="1326" t="s">
        <v>2545</v>
      </c>
      <c r="H101" s="1326" t="s">
        <v>2546</v>
      </c>
      <c r="I101" s="1326" t="s">
        <v>700</v>
      </c>
      <c r="J101" s="1326" t="s">
        <v>387</v>
      </c>
      <c r="K101" s="1326" t="s">
        <v>2078</v>
      </c>
      <c r="L101" s="1326" t="s">
        <v>2061</v>
      </c>
      <c r="M101" s="1400"/>
      <c r="N101" s="1400"/>
      <c r="O101" s="1400"/>
      <c r="P101" s="1400"/>
      <c r="Q101" s="1400"/>
      <c r="R101" s="1400"/>
      <c r="S101" s="1400"/>
      <c r="T101" s="1400"/>
      <c r="U101" s="1400"/>
      <c r="V101" s="1400"/>
      <c r="W101" s="1400"/>
      <c r="X101" s="1400"/>
      <c r="Y101" s="1685">
        <v>43110</v>
      </c>
      <c r="Z101" s="1326" t="s">
        <v>2062</v>
      </c>
      <c r="AA101" s="1683">
        <v>0</v>
      </c>
      <c r="AB101" s="1683">
        <v>0</v>
      </c>
      <c r="AC101" s="1683">
        <v>0</v>
      </c>
      <c r="AD101" s="1685">
        <v>43130</v>
      </c>
      <c r="AE101" s="1326" t="s">
        <v>2081</v>
      </c>
      <c r="AF101" s="1326" t="s">
        <v>2067</v>
      </c>
      <c r="AG101" s="1410"/>
      <c r="AH101" s="1683">
        <v>209953.91</v>
      </c>
      <c r="AI101" s="1683">
        <v>92684.03</v>
      </c>
      <c r="AJ101" s="1683">
        <v>92684.04</v>
      </c>
      <c r="AK101" s="1683">
        <v>92684.04</v>
      </c>
      <c r="AL101" s="1683">
        <v>0</v>
      </c>
      <c r="AM101" s="1685">
        <v>43133</v>
      </c>
      <c r="AN101" s="1683">
        <v>209953.91</v>
      </c>
      <c r="AO101" s="1683">
        <v>92684.04</v>
      </c>
      <c r="AP101" s="1683">
        <v>92684.04</v>
      </c>
      <c r="AQ101" s="1683">
        <v>92684.04</v>
      </c>
      <c r="AR101" s="1683">
        <v>0</v>
      </c>
      <c r="AS101" s="1683">
        <v>117269.87</v>
      </c>
      <c r="AT101" s="1683">
        <v>0</v>
      </c>
      <c r="AU101" s="1683">
        <v>0</v>
      </c>
      <c r="AV101" s="1683">
        <v>0</v>
      </c>
      <c r="AW101" s="1683">
        <v>117269.87</v>
      </c>
      <c r="AX101" s="1400"/>
      <c r="AY101" s="1400"/>
      <c r="AZ101" s="1400"/>
      <c r="BA101" s="1682"/>
      <c r="BB101" s="1682"/>
      <c r="BC101" s="1400"/>
      <c r="BD101" s="1400"/>
      <c r="BE101" s="1683">
        <v>209953.91</v>
      </c>
      <c r="BF101" s="1683">
        <v>92684.04</v>
      </c>
      <c r="BG101" s="1683">
        <v>92684.04</v>
      </c>
      <c r="BH101" s="1683">
        <v>92684.04</v>
      </c>
      <c r="BI101" s="1683">
        <v>0</v>
      </c>
      <c r="BJ101" s="1683">
        <v>117269.87</v>
      </c>
      <c r="BK101" s="1683">
        <v>0</v>
      </c>
      <c r="BL101" s="1683">
        <v>0</v>
      </c>
      <c r="BM101" s="1683">
        <v>0</v>
      </c>
      <c r="BN101" s="1683">
        <v>117269.87</v>
      </c>
      <c r="BO101" s="1685">
        <v>43230</v>
      </c>
      <c r="BP101" s="1683">
        <v>209953.91</v>
      </c>
      <c r="BQ101" s="1683">
        <v>92684.04</v>
      </c>
      <c r="BR101" s="1683">
        <v>92684.04</v>
      </c>
      <c r="BS101" s="1683">
        <v>92684.04</v>
      </c>
      <c r="BT101" s="1683">
        <v>0</v>
      </c>
      <c r="BU101" s="1683">
        <v>117269.87</v>
      </c>
      <c r="BV101" s="1683">
        <v>0</v>
      </c>
      <c r="BW101" s="1683">
        <v>0</v>
      </c>
      <c r="BX101" s="1683">
        <v>0</v>
      </c>
      <c r="BY101" s="1683">
        <v>117269.87</v>
      </c>
      <c r="BZ101" s="1683">
        <v>0</v>
      </c>
      <c r="CA101" s="1400"/>
      <c r="CB101" s="1682"/>
      <c r="CC101" s="1682"/>
      <c r="CD101" s="1400"/>
      <c r="CE101" s="1400"/>
      <c r="CF101" s="1683">
        <v>0</v>
      </c>
      <c r="CG101" s="1683">
        <v>0</v>
      </c>
      <c r="CH101" s="1683">
        <v>0</v>
      </c>
      <c r="CI101" s="1683">
        <v>0</v>
      </c>
      <c r="CJ101" s="1683">
        <v>0</v>
      </c>
      <c r="CK101" s="1683">
        <v>0</v>
      </c>
      <c r="CL101" s="1685">
        <v>43511</v>
      </c>
      <c r="CM101" s="1683">
        <v>209953.91</v>
      </c>
      <c r="CN101" s="1683">
        <v>92684.04</v>
      </c>
      <c r="CO101" s="1683">
        <v>92684.04</v>
      </c>
      <c r="CP101" s="1683">
        <v>92684.04</v>
      </c>
      <c r="CQ101" s="1683">
        <v>0</v>
      </c>
      <c r="CR101" s="1683">
        <v>117269.87</v>
      </c>
      <c r="CS101" s="1683">
        <v>0</v>
      </c>
      <c r="CT101" s="1683">
        <v>0</v>
      </c>
      <c r="CU101" s="1683">
        <v>0</v>
      </c>
      <c r="CV101" s="1683">
        <v>117269.87</v>
      </c>
      <c r="CW101" s="1682"/>
      <c r="CX101" s="1400"/>
      <c r="CY101" s="1400"/>
      <c r="CZ101" s="1400"/>
      <c r="DA101" s="1400"/>
      <c r="DB101" s="1682"/>
      <c r="DC101" s="1326"/>
      <c r="DD101" s="1683">
        <v>0</v>
      </c>
      <c r="DE101" s="1400"/>
      <c r="DF101" s="1400"/>
      <c r="DG101" s="1683">
        <v>0</v>
      </c>
      <c r="DH101" s="1683">
        <v>0</v>
      </c>
    </row>
    <row r="102" spans="1:112" ht="45">
      <c r="A102" s="1326" t="s">
        <v>2051</v>
      </c>
      <c r="B102" s="1326" t="s">
        <v>1694</v>
      </c>
      <c r="C102" s="1326" t="s">
        <v>2549</v>
      </c>
      <c r="D102" s="1326" t="s">
        <v>2550</v>
      </c>
      <c r="E102" s="1326" t="s">
        <v>144</v>
      </c>
      <c r="F102" s="1326" t="s">
        <v>2544</v>
      </c>
      <c r="G102" s="1326" t="s">
        <v>2545</v>
      </c>
      <c r="H102" s="1326" t="s">
        <v>2546</v>
      </c>
      <c r="I102" s="1326" t="s">
        <v>700</v>
      </c>
      <c r="J102" s="1326" t="s">
        <v>387</v>
      </c>
      <c r="K102" s="1326" t="s">
        <v>2078</v>
      </c>
      <c r="L102" s="1326" t="s">
        <v>2061</v>
      </c>
      <c r="M102" s="1400"/>
      <c r="N102" s="1400"/>
      <c r="O102" s="1400"/>
      <c r="P102" s="1400"/>
      <c r="Q102" s="1400"/>
      <c r="R102" s="1400"/>
      <c r="S102" s="1400"/>
      <c r="T102" s="1400"/>
      <c r="U102" s="1400"/>
      <c r="V102" s="1400"/>
      <c r="W102" s="1400"/>
      <c r="X102" s="1400"/>
      <c r="Y102" s="1685">
        <v>43171</v>
      </c>
      <c r="Z102" s="1326" t="s">
        <v>2062</v>
      </c>
      <c r="AA102" s="1683">
        <v>0</v>
      </c>
      <c r="AB102" s="1683">
        <v>0</v>
      </c>
      <c r="AC102" s="1683">
        <v>0</v>
      </c>
      <c r="AD102" s="1685">
        <v>43196</v>
      </c>
      <c r="AE102" s="1326" t="s">
        <v>2088</v>
      </c>
      <c r="AF102" s="1326" t="s">
        <v>2067</v>
      </c>
      <c r="AG102" s="1410"/>
      <c r="AH102" s="1683">
        <v>80414.64</v>
      </c>
      <c r="AI102" s="1683">
        <v>35499</v>
      </c>
      <c r="AJ102" s="1683">
        <v>35499</v>
      </c>
      <c r="AK102" s="1683">
        <v>35499</v>
      </c>
      <c r="AL102" s="1683">
        <v>0</v>
      </c>
      <c r="AM102" s="1685">
        <v>43199</v>
      </c>
      <c r="AN102" s="1683">
        <v>80414.64</v>
      </c>
      <c r="AO102" s="1683">
        <v>35499</v>
      </c>
      <c r="AP102" s="1683">
        <v>35499</v>
      </c>
      <c r="AQ102" s="1683">
        <v>35499</v>
      </c>
      <c r="AR102" s="1683">
        <v>0</v>
      </c>
      <c r="AS102" s="1683">
        <v>44915.64</v>
      </c>
      <c r="AT102" s="1683">
        <v>0</v>
      </c>
      <c r="AU102" s="1683">
        <v>0</v>
      </c>
      <c r="AV102" s="1683">
        <v>0</v>
      </c>
      <c r="AW102" s="1683">
        <v>44915.64</v>
      </c>
      <c r="AX102" s="1400"/>
      <c r="AY102" s="1400"/>
      <c r="AZ102" s="1400"/>
      <c r="BA102" s="1682"/>
      <c r="BB102" s="1682"/>
      <c r="BC102" s="1400"/>
      <c r="BD102" s="1400"/>
      <c r="BE102" s="1683">
        <v>80414.64</v>
      </c>
      <c r="BF102" s="1683">
        <v>35499</v>
      </c>
      <c r="BG102" s="1683">
        <v>35499</v>
      </c>
      <c r="BH102" s="1683">
        <v>35499</v>
      </c>
      <c r="BI102" s="1683">
        <v>0</v>
      </c>
      <c r="BJ102" s="1683">
        <v>44915.64</v>
      </c>
      <c r="BK102" s="1683">
        <v>0</v>
      </c>
      <c r="BL102" s="1683">
        <v>0</v>
      </c>
      <c r="BM102" s="1683">
        <v>0</v>
      </c>
      <c r="BN102" s="1683">
        <v>44915.64</v>
      </c>
      <c r="BO102" s="1685">
        <v>43355</v>
      </c>
      <c r="BP102" s="1683">
        <v>80414.64</v>
      </c>
      <c r="BQ102" s="1683">
        <v>35499</v>
      </c>
      <c r="BR102" s="1683">
        <v>35499</v>
      </c>
      <c r="BS102" s="1683">
        <v>35499</v>
      </c>
      <c r="BT102" s="1683">
        <v>0</v>
      </c>
      <c r="BU102" s="1683">
        <v>44915.64</v>
      </c>
      <c r="BV102" s="1683">
        <v>0</v>
      </c>
      <c r="BW102" s="1683">
        <v>0</v>
      </c>
      <c r="BX102" s="1683">
        <v>0</v>
      </c>
      <c r="BY102" s="1683">
        <v>44915.64</v>
      </c>
      <c r="BZ102" s="1683">
        <v>0</v>
      </c>
      <c r="CA102" s="1400"/>
      <c r="CB102" s="1682"/>
      <c r="CC102" s="1682"/>
      <c r="CD102" s="1400"/>
      <c r="CE102" s="1400"/>
      <c r="CF102" s="1683">
        <v>0</v>
      </c>
      <c r="CG102" s="1683">
        <v>0</v>
      </c>
      <c r="CH102" s="1683">
        <v>0</v>
      </c>
      <c r="CI102" s="1683">
        <v>0</v>
      </c>
      <c r="CJ102" s="1683">
        <v>0</v>
      </c>
      <c r="CK102" s="1683">
        <v>0</v>
      </c>
      <c r="CL102" s="1682"/>
      <c r="CM102" s="1683">
        <v>0</v>
      </c>
      <c r="CN102" s="1683">
        <v>0</v>
      </c>
      <c r="CO102" s="1683">
        <v>0</v>
      </c>
      <c r="CP102" s="1683">
        <v>0</v>
      </c>
      <c r="CQ102" s="1683">
        <v>0</v>
      </c>
      <c r="CR102" s="1683">
        <v>0</v>
      </c>
      <c r="CS102" s="1683">
        <v>0</v>
      </c>
      <c r="CT102" s="1683">
        <v>0</v>
      </c>
      <c r="CU102" s="1683">
        <v>0</v>
      </c>
      <c r="CV102" s="1683">
        <v>0</v>
      </c>
      <c r="CW102" s="1682"/>
      <c r="CX102" s="1400"/>
      <c r="CY102" s="1400"/>
      <c r="CZ102" s="1400"/>
      <c r="DA102" s="1400"/>
      <c r="DB102" s="1682"/>
      <c r="DC102" s="1326"/>
      <c r="DD102" s="1683">
        <v>0</v>
      </c>
      <c r="DE102" s="1400"/>
      <c r="DF102" s="1400"/>
      <c r="DG102" s="1683">
        <v>0</v>
      </c>
      <c r="DH102" s="1683">
        <v>0</v>
      </c>
    </row>
    <row r="103" spans="1:112" ht="45">
      <c r="A103" s="1326" t="s">
        <v>2052</v>
      </c>
      <c r="B103" s="1326" t="s">
        <v>1694</v>
      </c>
      <c r="C103" s="1326" t="s">
        <v>2549</v>
      </c>
      <c r="D103" s="1326" t="s">
        <v>2550</v>
      </c>
      <c r="E103" s="1326" t="s">
        <v>144</v>
      </c>
      <c r="F103" s="1326" t="s">
        <v>2544</v>
      </c>
      <c r="G103" s="1326" t="s">
        <v>2545</v>
      </c>
      <c r="H103" s="1326" t="s">
        <v>2546</v>
      </c>
      <c r="I103" s="1326" t="s">
        <v>700</v>
      </c>
      <c r="J103" s="1326" t="s">
        <v>387</v>
      </c>
      <c r="K103" s="1326" t="s">
        <v>2078</v>
      </c>
      <c r="L103" s="1326" t="s">
        <v>2061</v>
      </c>
      <c r="M103" s="1400"/>
      <c r="N103" s="1400"/>
      <c r="O103" s="1400"/>
      <c r="P103" s="1400"/>
      <c r="Q103" s="1400"/>
      <c r="R103" s="1400"/>
      <c r="S103" s="1400"/>
      <c r="T103" s="1400"/>
      <c r="U103" s="1400"/>
      <c r="V103" s="1400"/>
      <c r="W103" s="1400"/>
      <c r="X103" s="1400"/>
      <c r="Y103" s="1685">
        <v>43235</v>
      </c>
      <c r="Z103" s="1326" t="s">
        <v>2062</v>
      </c>
      <c r="AA103" s="1683">
        <v>0</v>
      </c>
      <c r="AB103" s="1683">
        <v>0</v>
      </c>
      <c r="AC103" s="1683">
        <v>0</v>
      </c>
      <c r="AD103" s="1685">
        <v>43255</v>
      </c>
      <c r="AE103" s="1326" t="s">
        <v>2082</v>
      </c>
      <c r="AF103" s="1326" t="s">
        <v>2064</v>
      </c>
      <c r="AG103" s="1410"/>
      <c r="AH103" s="1683">
        <v>0</v>
      </c>
      <c r="AI103" s="1683">
        <v>0</v>
      </c>
      <c r="AJ103" s="1683">
        <v>0</v>
      </c>
      <c r="AK103" s="1683">
        <v>0</v>
      </c>
      <c r="AL103" s="1683">
        <v>0</v>
      </c>
      <c r="AM103" s="1682"/>
      <c r="AN103" s="1683">
        <v>0</v>
      </c>
      <c r="AO103" s="1683">
        <v>0</v>
      </c>
      <c r="AP103" s="1683">
        <v>0</v>
      </c>
      <c r="AQ103" s="1683">
        <v>0</v>
      </c>
      <c r="AR103" s="1683">
        <v>0</v>
      </c>
      <c r="AS103" s="1683">
        <v>0</v>
      </c>
      <c r="AT103" s="1683">
        <v>0</v>
      </c>
      <c r="AU103" s="1683">
        <v>0</v>
      </c>
      <c r="AV103" s="1683">
        <v>0</v>
      </c>
      <c r="AW103" s="1683">
        <v>0</v>
      </c>
      <c r="AX103" s="1400"/>
      <c r="AY103" s="1400"/>
      <c r="AZ103" s="1400"/>
      <c r="BA103" s="1682"/>
      <c r="BB103" s="1682"/>
      <c r="BC103" s="1400"/>
      <c r="BD103" s="1400"/>
      <c r="BE103" s="1683">
        <v>0</v>
      </c>
      <c r="BF103" s="1683">
        <v>0</v>
      </c>
      <c r="BG103" s="1683">
        <v>0</v>
      </c>
      <c r="BH103" s="1683">
        <v>0</v>
      </c>
      <c r="BI103" s="1683">
        <v>0</v>
      </c>
      <c r="BJ103" s="1683">
        <v>0</v>
      </c>
      <c r="BK103" s="1683">
        <v>0</v>
      </c>
      <c r="BL103" s="1683">
        <v>0</v>
      </c>
      <c r="BM103" s="1683">
        <v>0</v>
      </c>
      <c r="BN103" s="1683">
        <v>0</v>
      </c>
      <c r="BO103" s="1682"/>
      <c r="BP103" s="1683">
        <v>0</v>
      </c>
      <c r="BQ103" s="1683">
        <v>0</v>
      </c>
      <c r="BR103" s="1683">
        <v>0</v>
      </c>
      <c r="BS103" s="1683">
        <v>0</v>
      </c>
      <c r="BT103" s="1683">
        <v>0</v>
      </c>
      <c r="BU103" s="1683">
        <v>0</v>
      </c>
      <c r="BV103" s="1683">
        <v>0</v>
      </c>
      <c r="BW103" s="1683">
        <v>0</v>
      </c>
      <c r="BX103" s="1683">
        <v>0</v>
      </c>
      <c r="BY103" s="1683">
        <v>0</v>
      </c>
      <c r="BZ103" s="1400"/>
      <c r="CA103" s="1400"/>
      <c r="CB103" s="1682"/>
      <c r="CC103" s="1682"/>
      <c r="CD103" s="1400"/>
      <c r="CE103" s="1400"/>
      <c r="CF103" s="1683">
        <v>0</v>
      </c>
      <c r="CG103" s="1683">
        <v>0</v>
      </c>
      <c r="CH103" s="1683">
        <v>0</v>
      </c>
      <c r="CI103" s="1683">
        <v>0</v>
      </c>
      <c r="CJ103" s="1683">
        <v>0</v>
      </c>
      <c r="CK103" s="1683">
        <v>0</v>
      </c>
      <c r="CL103" s="1682"/>
      <c r="CM103" s="1683">
        <v>0</v>
      </c>
      <c r="CN103" s="1683">
        <v>0</v>
      </c>
      <c r="CO103" s="1683">
        <v>0</v>
      </c>
      <c r="CP103" s="1683">
        <v>0</v>
      </c>
      <c r="CQ103" s="1683">
        <v>0</v>
      </c>
      <c r="CR103" s="1683">
        <v>0</v>
      </c>
      <c r="CS103" s="1683">
        <v>0</v>
      </c>
      <c r="CT103" s="1683">
        <v>0</v>
      </c>
      <c r="CU103" s="1683">
        <v>0</v>
      </c>
      <c r="CV103" s="1683">
        <v>0</v>
      </c>
      <c r="CW103" s="1682"/>
      <c r="CX103" s="1400"/>
      <c r="CY103" s="1400"/>
      <c r="CZ103" s="1400"/>
      <c r="DA103" s="1400"/>
      <c r="DB103" s="1682"/>
      <c r="DC103" s="1326"/>
      <c r="DD103" s="1683">
        <v>0</v>
      </c>
      <c r="DE103" s="1400"/>
      <c r="DF103" s="1400"/>
      <c r="DG103" s="1683">
        <v>0</v>
      </c>
      <c r="DH103" s="1683">
        <v>0</v>
      </c>
    </row>
    <row r="104" spans="1:112" ht="45">
      <c r="A104" s="1326" t="s">
        <v>2105</v>
      </c>
      <c r="B104" s="1326" t="s">
        <v>1694</v>
      </c>
      <c r="C104" s="1326" t="s">
        <v>2549</v>
      </c>
      <c r="D104" s="1326" t="s">
        <v>2550</v>
      </c>
      <c r="E104" s="1326" t="s">
        <v>144</v>
      </c>
      <c r="F104" s="1326" t="s">
        <v>2544</v>
      </c>
      <c r="G104" s="1326" t="s">
        <v>2545</v>
      </c>
      <c r="H104" s="1326" t="s">
        <v>2546</v>
      </c>
      <c r="I104" s="1326" t="s">
        <v>700</v>
      </c>
      <c r="J104" s="1326" t="s">
        <v>387</v>
      </c>
      <c r="K104" s="1326" t="s">
        <v>2078</v>
      </c>
      <c r="L104" s="1326" t="s">
        <v>2061</v>
      </c>
      <c r="M104" s="1400"/>
      <c r="N104" s="1400"/>
      <c r="O104" s="1400"/>
      <c r="P104" s="1400"/>
      <c r="Q104" s="1400"/>
      <c r="R104" s="1400"/>
      <c r="S104" s="1400"/>
      <c r="T104" s="1400"/>
      <c r="U104" s="1400"/>
      <c r="V104" s="1400"/>
      <c r="W104" s="1400"/>
      <c r="X104" s="1400"/>
      <c r="Y104" s="1685">
        <v>43235</v>
      </c>
      <c r="Z104" s="1326" t="s">
        <v>2062</v>
      </c>
      <c r="AA104" s="1683">
        <v>0</v>
      </c>
      <c r="AB104" s="1683">
        <v>0</v>
      </c>
      <c r="AC104" s="1683">
        <v>0</v>
      </c>
      <c r="AD104" s="1685">
        <v>43259</v>
      </c>
      <c r="AE104" s="1326" t="s">
        <v>2082</v>
      </c>
      <c r="AF104" s="1326" t="s">
        <v>2067</v>
      </c>
      <c r="AG104" s="1410"/>
      <c r="AH104" s="1683">
        <v>135418.38</v>
      </c>
      <c r="AI104" s="1683">
        <v>59780.37</v>
      </c>
      <c r="AJ104" s="1683">
        <v>59780.37</v>
      </c>
      <c r="AK104" s="1683">
        <v>59780.37</v>
      </c>
      <c r="AL104" s="1683">
        <v>0</v>
      </c>
      <c r="AM104" s="1685">
        <v>43262</v>
      </c>
      <c r="AN104" s="1683">
        <v>135418.38</v>
      </c>
      <c r="AO104" s="1683">
        <v>59780.37</v>
      </c>
      <c r="AP104" s="1683">
        <v>59780.37</v>
      </c>
      <c r="AQ104" s="1683">
        <v>59780.37</v>
      </c>
      <c r="AR104" s="1683">
        <v>0</v>
      </c>
      <c r="AS104" s="1683">
        <v>75638.009999999995</v>
      </c>
      <c r="AT104" s="1683">
        <v>0</v>
      </c>
      <c r="AU104" s="1683">
        <v>0</v>
      </c>
      <c r="AV104" s="1683">
        <v>0</v>
      </c>
      <c r="AW104" s="1683">
        <v>75638.009999999995</v>
      </c>
      <c r="AX104" s="1400"/>
      <c r="AY104" s="1400"/>
      <c r="AZ104" s="1400"/>
      <c r="BA104" s="1682"/>
      <c r="BB104" s="1682"/>
      <c r="BC104" s="1400"/>
      <c r="BD104" s="1400"/>
      <c r="BE104" s="1683">
        <v>135418.38</v>
      </c>
      <c r="BF104" s="1683">
        <v>59780.37</v>
      </c>
      <c r="BG104" s="1683">
        <v>59780.37</v>
      </c>
      <c r="BH104" s="1683">
        <v>59780.37</v>
      </c>
      <c r="BI104" s="1683">
        <v>0</v>
      </c>
      <c r="BJ104" s="1683">
        <v>75638.009999999995</v>
      </c>
      <c r="BK104" s="1683">
        <v>0</v>
      </c>
      <c r="BL104" s="1683">
        <v>0</v>
      </c>
      <c r="BM104" s="1683">
        <v>0</v>
      </c>
      <c r="BN104" s="1683">
        <v>75638.009999999995</v>
      </c>
      <c r="BO104" s="1685">
        <v>43355</v>
      </c>
      <c r="BP104" s="1683">
        <v>135418.38</v>
      </c>
      <c r="BQ104" s="1683">
        <v>59780.37</v>
      </c>
      <c r="BR104" s="1683">
        <v>59780.37</v>
      </c>
      <c r="BS104" s="1683">
        <v>59780.37</v>
      </c>
      <c r="BT104" s="1683">
        <v>0</v>
      </c>
      <c r="BU104" s="1683">
        <v>75638.009999999995</v>
      </c>
      <c r="BV104" s="1683">
        <v>0</v>
      </c>
      <c r="BW104" s="1683">
        <v>0</v>
      </c>
      <c r="BX104" s="1683">
        <v>0</v>
      </c>
      <c r="BY104" s="1683">
        <v>75638.009999999995</v>
      </c>
      <c r="BZ104" s="1683">
        <v>0</v>
      </c>
      <c r="CA104" s="1400"/>
      <c r="CB104" s="1682"/>
      <c r="CC104" s="1682"/>
      <c r="CD104" s="1400"/>
      <c r="CE104" s="1400"/>
      <c r="CF104" s="1683">
        <v>0</v>
      </c>
      <c r="CG104" s="1683">
        <v>0</v>
      </c>
      <c r="CH104" s="1683">
        <v>0</v>
      </c>
      <c r="CI104" s="1683">
        <v>0</v>
      </c>
      <c r="CJ104" s="1683">
        <v>0</v>
      </c>
      <c r="CK104" s="1683">
        <v>0</v>
      </c>
      <c r="CL104" s="1682"/>
      <c r="CM104" s="1683">
        <v>0</v>
      </c>
      <c r="CN104" s="1683">
        <v>0</v>
      </c>
      <c r="CO104" s="1683">
        <v>0</v>
      </c>
      <c r="CP104" s="1683">
        <v>0</v>
      </c>
      <c r="CQ104" s="1683">
        <v>0</v>
      </c>
      <c r="CR104" s="1683">
        <v>0</v>
      </c>
      <c r="CS104" s="1683">
        <v>0</v>
      </c>
      <c r="CT104" s="1683">
        <v>0</v>
      </c>
      <c r="CU104" s="1683">
        <v>0</v>
      </c>
      <c r="CV104" s="1683">
        <v>0</v>
      </c>
      <c r="CW104" s="1682"/>
      <c r="CX104" s="1400"/>
      <c r="CY104" s="1400"/>
      <c r="CZ104" s="1400"/>
      <c r="DA104" s="1400"/>
      <c r="DB104" s="1682"/>
      <c r="DC104" s="1326"/>
      <c r="DD104" s="1683">
        <v>0</v>
      </c>
      <c r="DE104" s="1400"/>
      <c r="DF104" s="1400"/>
      <c r="DG104" s="1683">
        <v>0</v>
      </c>
      <c r="DH104" s="1683">
        <v>0</v>
      </c>
    </row>
    <row r="105" spans="1:112" ht="45">
      <c r="A105" s="1326" t="s">
        <v>2106</v>
      </c>
      <c r="B105" s="1326" t="s">
        <v>1694</v>
      </c>
      <c r="C105" s="1326" t="s">
        <v>2549</v>
      </c>
      <c r="D105" s="1326" t="s">
        <v>2550</v>
      </c>
      <c r="E105" s="1326" t="s">
        <v>144</v>
      </c>
      <c r="F105" s="1326" t="s">
        <v>2544</v>
      </c>
      <c r="G105" s="1326" t="s">
        <v>2545</v>
      </c>
      <c r="H105" s="1326" t="s">
        <v>2546</v>
      </c>
      <c r="I105" s="1326" t="s">
        <v>700</v>
      </c>
      <c r="J105" s="1326" t="s">
        <v>387</v>
      </c>
      <c r="K105" s="1326" t="s">
        <v>2078</v>
      </c>
      <c r="L105" s="1326" t="s">
        <v>2061</v>
      </c>
      <c r="M105" s="1400"/>
      <c r="N105" s="1400"/>
      <c r="O105" s="1400"/>
      <c r="P105" s="1400"/>
      <c r="Q105" s="1400"/>
      <c r="R105" s="1400"/>
      <c r="S105" s="1400"/>
      <c r="T105" s="1400"/>
      <c r="U105" s="1400"/>
      <c r="V105" s="1400"/>
      <c r="W105" s="1400"/>
      <c r="X105" s="1400"/>
      <c r="Y105" s="1685">
        <v>43313</v>
      </c>
      <c r="Z105" s="1326" t="s">
        <v>2062</v>
      </c>
      <c r="AA105" s="1683">
        <v>0</v>
      </c>
      <c r="AB105" s="1683">
        <v>0</v>
      </c>
      <c r="AC105" s="1683">
        <v>0</v>
      </c>
      <c r="AD105" s="1685">
        <v>43333</v>
      </c>
      <c r="AE105" s="1326" t="s">
        <v>2083</v>
      </c>
      <c r="AF105" s="1326" t="s">
        <v>2067</v>
      </c>
      <c r="AG105" s="1410"/>
      <c r="AH105" s="1683">
        <v>212269.23</v>
      </c>
      <c r="AI105" s="1683">
        <v>93706.13</v>
      </c>
      <c r="AJ105" s="1683">
        <v>93706.13</v>
      </c>
      <c r="AK105" s="1683">
        <v>93706.13</v>
      </c>
      <c r="AL105" s="1683">
        <v>0</v>
      </c>
      <c r="AM105" s="1685">
        <v>43335</v>
      </c>
      <c r="AN105" s="1683">
        <v>212269.23</v>
      </c>
      <c r="AO105" s="1683">
        <v>93706.13</v>
      </c>
      <c r="AP105" s="1683">
        <v>93706.13</v>
      </c>
      <c r="AQ105" s="1683">
        <v>93706.13</v>
      </c>
      <c r="AR105" s="1683">
        <v>0</v>
      </c>
      <c r="AS105" s="1683">
        <v>118563.1</v>
      </c>
      <c r="AT105" s="1683">
        <v>0</v>
      </c>
      <c r="AU105" s="1683">
        <v>0</v>
      </c>
      <c r="AV105" s="1683">
        <v>0</v>
      </c>
      <c r="AW105" s="1683">
        <v>118563.1</v>
      </c>
      <c r="AX105" s="1400"/>
      <c r="AY105" s="1400"/>
      <c r="AZ105" s="1400"/>
      <c r="BA105" s="1682"/>
      <c r="BB105" s="1682"/>
      <c r="BC105" s="1400"/>
      <c r="BD105" s="1400"/>
      <c r="BE105" s="1683">
        <v>212269.23</v>
      </c>
      <c r="BF105" s="1683">
        <v>93706.13</v>
      </c>
      <c r="BG105" s="1683">
        <v>93706.13</v>
      </c>
      <c r="BH105" s="1683">
        <v>93706.13</v>
      </c>
      <c r="BI105" s="1683">
        <v>0</v>
      </c>
      <c r="BJ105" s="1683">
        <v>118563.1</v>
      </c>
      <c r="BK105" s="1683">
        <v>0</v>
      </c>
      <c r="BL105" s="1683">
        <v>0</v>
      </c>
      <c r="BM105" s="1683">
        <v>0</v>
      </c>
      <c r="BN105" s="1683">
        <v>118563.1</v>
      </c>
      <c r="BO105" s="1685">
        <v>43397</v>
      </c>
      <c r="BP105" s="1683">
        <v>212269.23</v>
      </c>
      <c r="BQ105" s="1683">
        <v>93706.13</v>
      </c>
      <c r="BR105" s="1683">
        <v>93706.13</v>
      </c>
      <c r="BS105" s="1683">
        <v>93706.13</v>
      </c>
      <c r="BT105" s="1683">
        <v>0</v>
      </c>
      <c r="BU105" s="1683">
        <v>118563.1</v>
      </c>
      <c r="BV105" s="1683">
        <v>0</v>
      </c>
      <c r="BW105" s="1683">
        <v>0</v>
      </c>
      <c r="BX105" s="1683">
        <v>0</v>
      </c>
      <c r="BY105" s="1683">
        <v>118563.1</v>
      </c>
      <c r="BZ105" s="1683">
        <v>0</v>
      </c>
      <c r="CA105" s="1400"/>
      <c r="CB105" s="1682"/>
      <c r="CC105" s="1682"/>
      <c r="CD105" s="1400"/>
      <c r="CE105" s="1400"/>
      <c r="CF105" s="1683">
        <v>0</v>
      </c>
      <c r="CG105" s="1683">
        <v>0</v>
      </c>
      <c r="CH105" s="1683">
        <v>0</v>
      </c>
      <c r="CI105" s="1683">
        <v>0</v>
      </c>
      <c r="CJ105" s="1683">
        <v>0</v>
      </c>
      <c r="CK105" s="1683">
        <v>0</v>
      </c>
      <c r="CL105" s="1682"/>
      <c r="CM105" s="1683">
        <v>0</v>
      </c>
      <c r="CN105" s="1683">
        <v>0</v>
      </c>
      <c r="CO105" s="1683">
        <v>0</v>
      </c>
      <c r="CP105" s="1683">
        <v>0</v>
      </c>
      <c r="CQ105" s="1683">
        <v>0</v>
      </c>
      <c r="CR105" s="1683">
        <v>0</v>
      </c>
      <c r="CS105" s="1683">
        <v>0</v>
      </c>
      <c r="CT105" s="1683">
        <v>0</v>
      </c>
      <c r="CU105" s="1683">
        <v>0</v>
      </c>
      <c r="CV105" s="1683">
        <v>0</v>
      </c>
      <c r="CW105" s="1682"/>
      <c r="CX105" s="1400"/>
      <c r="CY105" s="1400"/>
      <c r="CZ105" s="1400"/>
      <c r="DA105" s="1400"/>
      <c r="DB105" s="1682"/>
      <c r="DC105" s="1326"/>
      <c r="DD105" s="1683">
        <v>0</v>
      </c>
      <c r="DE105" s="1400"/>
      <c r="DF105" s="1400"/>
      <c r="DG105" s="1683">
        <v>0</v>
      </c>
      <c r="DH105" s="1683">
        <v>0</v>
      </c>
    </row>
    <row r="106" spans="1:112" ht="45">
      <c r="A106" s="1326" t="s">
        <v>2107</v>
      </c>
      <c r="B106" s="1326" t="s">
        <v>1694</v>
      </c>
      <c r="C106" s="1326" t="s">
        <v>2549</v>
      </c>
      <c r="D106" s="1326" t="s">
        <v>2550</v>
      </c>
      <c r="E106" s="1326" t="s">
        <v>144</v>
      </c>
      <c r="F106" s="1326" t="s">
        <v>2544</v>
      </c>
      <c r="G106" s="1326" t="s">
        <v>2545</v>
      </c>
      <c r="H106" s="1326" t="s">
        <v>2546</v>
      </c>
      <c r="I106" s="1326" t="s">
        <v>700</v>
      </c>
      <c r="J106" s="1326" t="s">
        <v>387</v>
      </c>
      <c r="K106" s="1326" t="s">
        <v>2078</v>
      </c>
      <c r="L106" s="1326" t="s">
        <v>2061</v>
      </c>
      <c r="M106" s="1400"/>
      <c r="N106" s="1400"/>
      <c r="O106" s="1400"/>
      <c r="P106" s="1400"/>
      <c r="Q106" s="1400"/>
      <c r="R106" s="1400"/>
      <c r="S106" s="1400"/>
      <c r="T106" s="1400"/>
      <c r="U106" s="1400"/>
      <c r="V106" s="1400"/>
      <c r="W106" s="1400"/>
      <c r="X106" s="1400"/>
      <c r="Y106" s="1685">
        <v>43368</v>
      </c>
      <c r="Z106" s="1326" t="s">
        <v>2062</v>
      </c>
      <c r="AA106" s="1683">
        <v>0</v>
      </c>
      <c r="AB106" s="1683">
        <v>0</v>
      </c>
      <c r="AC106" s="1683">
        <v>0</v>
      </c>
      <c r="AD106" s="1685">
        <v>43392</v>
      </c>
      <c r="AE106" s="1326" t="s">
        <v>2084</v>
      </c>
      <c r="AF106" s="1326" t="s">
        <v>2067</v>
      </c>
      <c r="AG106" s="1410"/>
      <c r="AH106" s="1683">
        <v>270240.74</v>
      </c>
      <c r="AI106" s="1683">
        <v>119297.62</v>
      </c>
      <c r="AJ106" s="1683">
        <v>119297.62</v>
      </c>
      <c r="AK106" s="1683">
        <v>119297.62</v>
      </c>
      <c r="AL106" s="1683">
        <v>0</v>
      </c>
      <c r="AM106" s="1685">
        <v>43395</v>
      </c>
      <c r="AN106" s="1683">
        <v>270240.74</v>
      </c>
      <c r="AO106" s="1683">
        <v>119297.62</v>
      </c>
      <c r="AP106" s="1683">
        <v>119297.62</v>
      </c>
      <c r="AQ106" s="1683">
        <v>119297.62</v>
      </c>
      <c r="AR106" s="1683">
        <v>0</v>
      </c>
      <c r="AS106" s="1683">
        <v>150943.12</v>
      </c>
      <c r="AT106" s="1683">
        <v>0</v>
      </c>
      <c r="AU106" s="1683">
        <v>0</v>
      </c>
      <c r="AV106" s="1683">
        <v>0</v>
      </c>
      <c r="AW106" s="1683">
        <v>150943.12</v>
      </c>
      <c r="AX106" s="1400"/>
      <c r="AY106" s="1400"/>
      <c r="AZ106" s="1400"/>
      <c r="BA106" s="1682"/>
      <c r="BB106" s="1682"/>
      <c r="BC106" s="1400"/>
      <c r="BD106" s="1400"/>
      <c r="BE106" s="1683">
        <v>270240.74</v>
      </c>
      <c r="BF106" s="1683">
        <v>119297.62</v>
      </c>
      <c r="BG106" s="1683">
        <v>119297.62</v>
      </c>
      <c r="BH106" s="1683">
        <v>119297.62</v>
      </c>
      <c r="BI106" s="1683">
        <v>0</v>
      </c>
      <c r="BJ106" s="1683">
        <v>150943.12</v>
      </c>
      <c r="BK106" s="1683">
        <v>0</v>
      </c>
      <c r="BL106" s="1683">
        <v>0</v>
      </c>
      <c r="BM106" s="1683">
        <v>0</v>
      </c>
      <c r="BN106" s="1683">
        <v>150943.12</v>
      </c>
      <c r="BO106" s="1685">
        <v>43553</v>
      </c>
      <c r="BP106" s="1683">
        <v>270240.74</v>
      </c>
      <c r="BQ106" s="1683">
        <v>119297.62</v>
      </c>
      <c r="BR106" s="1683">
        <v>119297.62</v>
      </c>
      <c r="BS106" s="1683">
        <v>119297.62</v>
      </c>
      <c r="BT106" s="1683">
        <v>0</v>
      </c>
      <c r="BU106" s="1683">
        <v>150943.12</v>
      </c>
      <c r="BV106" s="1683">
        <v>0</v>
      </c>
      <c r="BW106" s="1683">
        <v>0</v>
      </c>
      <c r="BX106" s="1683">
        <v>0</v>
      </c>
      <c r="BY106" s="1683">
        <v>150943.12</v>
      </c>
      <c r="BZ106" s="1683">
        <v>0</v>
      </c>
      <c r="CA106" s="1400"/>
      <c r="CB106" s="1682"/>
      <c r="CC106" s="1682"/>
      <c r="CD106" s="1400"/>
      <c r="CE106" s="1400"/>
      <c r="CF106" s="1683">
        <v>0</v>
      </c>
      <c r="CG106" s="1683">
        <v>0</v>
      </c>
      <c r="CH106" s="1683">
        <v>0</v>
      </c>
      <c r="CI106" s="1683">
        <v>0</v>
      </c>
      <c r="CJ106" s="1683">
        <v>0</v>
      </c>
      <c r="CK106" s="1683">
        <v>0</v>
      </c>
      <c r="CL106" s="1682"/>
      <c r="CM106" s="1683">
        <v>0</v>
      </c>
      <c r="CN106" s="1683">
        <v>0</v>
      </c>
      <c r="CO106" s="1683">
        <v>0</v>
      </c>
      <c r="CP106" s="1683">
        <v>0</v>
      </c>
      <c r="CQ106" s="1683">
        <v>0</v>
      </c>
      <c r="CR106" s="1683">
        <v>0</v>
      </c>
      <c r="CS106" s="1683">
        <v>0</v>
      </c>
      <c r="CT106" s="1683">
        <v>0</v>
      </c>
      <c r="CU106" s="1683">
        <v>0</v>
      </c>
      <c r="CV106" s="1683">
        <v>0</v>
      </c>
      <c r="CW106" s="1682"/>
      <c r="CX106" s="1400"/>
      <c r="CY106" s="1400"/>
      <c r="CZ106" s="1400"/>
      <c r="DA106" s="1400"/>
      <c r="DB106" s="1682"/>
      <c r="DC106" s="1326"/>
      <c r="DD106" s="1683">
        <v>0</v>
      </c>
      <c r="DE106" s="1400"/>
      <c r="DF106" s="1400"/>
      <c r="DG106" s="1683">
        <v>0</v>
      </c>
      <c r="DH106" s="1683">
        <v>0</v>
      </c>
    </row>
    <row r="107" spans="1:112" ht="45">
      <c r="A107" s="1326" t="s">
        <v>2053</v>
      </c>
      <c r="B107" s="1326" t="s">
        <v>1694</v>
      </c>
      <c r="C107" s="1326" t="s">
        <v>2549</v>
      </c>
      <c r="D107" s="1326" t="s">
        <v>2550</v>
      </c>
      <c r="E107" s="1326" t="s">
        <v>144</v>
      </c>
      <c r="F107" s="1326" t="s">
        <v>2544</v>
      </c>
      <c r="G107" s="1326" t="s">
        <v>2545</v>
      </c>
      <c r="H107" s="1326" t="s">
        <v>2546</v>
      </c>
      <c r="I107" s="1326" t="s">
        <v>700</v>
      </c>
      <c r="J107" s="1326" t="s">
        <v>387</v>
      </c>
      <c r="K107" s="1326" t="s">
        <v>2078</v>
      </c>
      <c r="L107" s="1326" t="s">
        <v>2061</v>
      </c>
      <c r="M107" s="1400"/>
      <c r="N107" s="1400"/>
      <c r="O107" s="1400"/>
      <c r="P107" s="1400"/>
      <c r="Q107" s="1400"/>
      <c r="R107" s="1400"/>
      <c r="S107" s="1400"/>
      <c r="T107" s="1400"/>
      <c r="U107" s="1400"/>
      <c r="V107" s="1400"/>
      <c r="W107" s="1400"/>
      <c r="X107" s="1400"/>
      <c r="Y107" s="1685">
        <v>43433</v>
      </c>
      <c r="Z107" s="1326" t="s">
        <v>2062</v>
      </c>
      <c r="AA107" s="1683">
        <v>0</v>
      </c>
      <c r="AB107" s="1683">
        <v>0</v>
      </c>
      <c r="AC107" s="1683">
        <v>0</v>
      </c>
      <c r="AD107" s="1685">
        <v>43454</v>
      </c>
      <c r="AE107" s="1326" t="s">
        <v>2304</v>
      </c>
      <c r="AF107" s="1326" t="s">
        <v>2067</v>
      </c>
      <c r="AG107" s="1410"/>
      <c r="AH107" s="1683">
        <v>140340.32</v>
      </c>
      <c r="AI107" s="1683">
        <v>66331.899999999994</v>
      </c>
      <c r="AJ107" s="1683">
        <v>140340.32</v>
      </c>
      <c r="AK107" s="1683">
        <v>140340.32</v>
      </c>
      <c r="AL107" s="1683">
        <v>0</v>
      </c>
      <c r="AM107" s="1685">
        <v>43461</v>
      </c>
      <c r="AN107" s="1683">
        <v>140340.32</v>
      </c>
      <c r="AO107" s="1683">
        <v>140340.32</v>
      </c>
      <c r="AP107" s="1683">
        <v>140340.32</v>
      </c>
      <c r="AQ107" s="1683">
        <v>140340.32</v>
      </c>
      <c r="AR107" s="1683">
        <v>0</v>
      </c>
      <c r="AS107" s="1683">
        <v>0</v>
      </c>
      <c r="AT107" s="1683">
        <v>0</v>
      </c>
      <c r="AU107" s="1683">
        <v>0</v>
      </c>
      <c r="AV107" s="1683">
        <v>0</v>
      </c>
      <c r="AW107" s="1683">
        <v>0</v>
      </c>
      <c r="AX107" s="1400"/>
      <c r="AY107" s="1400"/>
      <c r="AZ107" s="1400"/>
      <c r="BA107" s="1682"/>
      <c r="BB107" s="1682"/>
      <c r="BC107" s="1400"/>
      <c r="BD107" s="1400"/>
      <c r="BE107" s="1683">
        <v>140340.32</v>
      </c>
      <c r="BF107" s="1683">
        <v>140340.32</v>
      </c>
      <c r="BG107" s="1683">
        <v>140340.32</v>
      </c>
      <c r="BH107" s="1683">
        <v>140340.32</v>
      </c>
      <c r="BI107" s="1683">
        <v>0</v>
      </c>
      <c r="BJ107" s="1683">
        <v>0</v>
      </c>
      <c r="BK107" s="1683">
        <v>0</v>
      </c>
      <c r="BL107" s="1683">
        <v>0</v>
      </c>
      <c r="BM107" s="1683">
        <v>0</v>
      </c>
      <c r="BN107" s="1683">
        <v>0</v>
      </c>
      <c r="BO107" s="1685">
        <v>43553</v>
      </c>
      <c r="BP107" s="1683">
        <v>140340.32</v>
      </c>
      <c r="BQ107" s="1683">
        <v>140340.32</v>
      </c>
      <c r="BR107" s="1683">
        <v>140340.32</v>
      </c>
      <c r="BS107" s="1683">
        <v>140340.32</v>
      </c>
      <c r="BT107" s="1683">
        <v>0</v>
      </c>
      <c r="BU107" s="1683">
        <v>0</v>
      </c>
      <c r="BV107" s="1683">
        <v>0</v>
      </c>
      <c r="BW107" s="1683">
        <v>0</v>
      </c>
      <c r="BX107" s="1683">
        <v>0</v>
      </c>
      <c r="BY107" s="1683">
        <v>0</v>
      </c>
      <c r="BZ107" s="1683">
        <v>0</v>
      </c>
      <c r="CA107" s="1400"/>
      <c r="CB107" s="1682"/>
      <c r="CC107" s="1682"/>
      <c r="CD107" s="1400"/>
      <c r="CE107" s="1400"/>
      <c r="CF107" s="1683">
        <v>0</v>
      </c>
      <c r="CG107" s="1683">
        <v>0</v>
      </c>
      <c r="CH107" s="1683">
        <v>0</v>
      </c>
      <c r="CI107" s="1683">
        <v>0</v>
      </c>
      <c r="CJ107" s="1683">
        <v>0</v>
      </c>
      <c r="CK107" s="1683">
        <v>0</v>
      </c>
      <c r="CL107" s="1682"/>
      <c r="CM107" s="1683">
        <v>0</v>
      </c>
      <c r="CN107" s="1683">
        <v>0</v>
      </c>
      <c r="CO107" s="1683">
        <v>0</v>
      </c>
      <c r="CP107" s="1683">
        <v>0</v>
      </c>
      <c r="CQ107" s="1683">
        <v>0</v>
      </c>
      <c r="CR107" s="1683">
        <v>0</v>
      </c>
      <c r="CS107" s="1683">
        <v>0</v>
      </c>
      <c r="CT107" s="1683">
        <v>0</v>
      </c>
      <c r="CU107" s="1683">
        <v>0</v>
      </c>
      <c r="CV107" s="1683">
        <v>0</v>
      </c>
      <c r="CW107" s="1682"/>
      <c r="CX107" s="1400"/>
      <c r="CY107" s="1400"/>
      <c r="CZ107" s="1400"/>
      <c r="DA107" s="1400"/>
      <c r="DB107" s="1682"/>
      <c r="DC107" s="1326"/>
      <c r="DD107" s="1683">
        <v>0</v>
      </c>
      <c r="DE107" s="1400"/>
      <c r="DF107" s="1400"/>
      <c r="DG107" s="1683">
        <v>0</v>
      </c>
      <c r="DH107" s="1683">
        <v>0</v>
      </c>
    </row>
    <row r="108" spans="1:112" ht="45">
      <c r="A108" s="1326" t="s">
        <v>2054</v>
      </c>
      <c r="B108" s="1326" t="s">
        <v>1694</v>
      </c>
      <c r="C108" s="1326" t="s">
        <v>2549</v>
      </c>
      <c r="D108" s="1326" t="s">
        <v>2550</v>
      </c>
      <c r="E108" s="1326" t="s">
        <v>144</v>
      </c>
      <c r="F108" s="1326" t="s">
        <v>2544</v>
      </c>
      <c r="G108" s="1326" t="s">
        <v>2545</v>
      </c>
      <c r="H108" s="1326" t="s">
        <v>2546</v>
      </c>
      <c r="I108" s="1326" t="s">
        <v>700</v>
      </c>
      <c r="J108" s="1326" t="s">
        <v>387</v>
      </c>
      <c r="K108" s="1326" t="s">
        <v>2078</v>
      </c>
      <c r="L108" s="1326" t="s">
        <v>2061</v>
      </c>
      <c r="M108" s="1400"/>
      <c r="N108" s="1400"/>
      <c r="O108" s="1400"/>
      <c r="P108" s="1400"/>
      <c r="Q108" s="1400"/>
      <c r="R108" s="1400"/>
      <c r="S108" s="1400"/>
      <c r="T108" s="1400"/>
      <c r="U108" s="1400"/>
      <c r="V108" s="1400"/>
      <c r="W108" s="1400"/>
      <c r="X108" s="1400"/>
      <c r="Y108" s="1685">
        <v>43493</v>
      </c>
      <c r="Z108" s="1326" t="s">
        <v>2062</v>
      </c>
      <c r="AA108" s="1683">
        <v>0</v>
      </c>
      <c r="AB108" s="1683">
        <v>0</v>
      </c>
      <c r="AC108" s="1683">
        <v>0</v>
      </c>
      <c r="AD108" s="1685">
        <v>43516</v>
      </c>
      <c r="AE108" s="1326" t="s">
        <v>2337</v>
      </c>
      <c r="AF108" s="1326" t="s">
        <v>2067</v>
      </c>
      <c r="AG108" s="1410"/>
      <c r="AH108" s="1683">
        <v>403818.99</v>
      </c>
      <c r="AI108" s="1683">
        <v>190865.18</v>
      </c>
      <c r="AJ108" s="1683">
        <v>197367.74</v>
      </c>
      <c r="AK108" s="1683">
        <v>197367.74</v>
      </c>
      <c r="AL108" s="1683">
        <v>0</v>
      </c>
      <c r="AM108" s="1685">
        <v>43521</v>
      </c>
      <c r="AN108" s="1683">
        <v>403818.99</v>
      </c>
      <c r="AO108" s="1683">
        <v>197367.74</v>
      </c>
      <c r="AP108" s="1683">
        <v>197367.74</v>
      </c>
      <c r="AQ108" s="1683">
        <v>197367.74</v>
      </c>
      <c r="AR108" s="1683">
        <v>0</v>
      </c>
      <c r="AS108" s="1683">
        <v>206451.25</v>
      </c>
      <c r="AT108" s="1683">
        <v>0</v>
      </c>
      <c r="AU108" s="1683">
        <v>0</v>
      </c>
      <c r="AV108" s="1683">
        <v>0</v>
      </c>
      <c r="AW108" s="1683">
        <v>206451.25</v>
      </c>
      <c r="AX108" s="1400"/>
      <c r="AY108" s="1400"/>
      <c r="AZ108" s="1400"/>
      <c r="BA108" s="1682"/>
      <c r="BB108" s="1682"/>
      <c r="BC108" s="1400"/>
      <c r="BD108" s="1400"/>
      <c r="BE108" s="1683">
        <v>403818.99</v>
      </c>
      <c r="BF108" s="1683">
        <v>197367.74</v>
      </c>
      <c r="BG108" s="1683">
        <v>197367.74</v>
      </c>
      <c r="BH108" s="1683">
        <v>197367.74</v>
      </c>
      <c r="BI108" s="1683">
        <v>0</v>
      </c>
      <c r="BJ108" s="1683">
        <v>206451.25</v>
      </c>
      <c r="BK108" s="1683">
        <v>0</v>
      </c>
      <c r="BL108" s="1683">
        <v>0</v>
      </c>
      <c r="BM108" s="1683">
        <v>0</v>
      </c>
      <c r="BN108" s="1683">
        <v>206451.25</v>
      </c>
      <c r="BO108" s="1682"/>
      <c r="BP108" s="1683">
        <v>0</v>
      </c>
      <c r="BQ108" s="1683">
        <v>0</v>
      </c>
      <c r="BR108" s="1683">
        <v>0</v>
      </c>
      <c r="BS108" s="1683">
        <v>0</v>
      </c>
      <c r="BT108" s="1683">
        <v>0</v>
      </c>
      <c r="BU108" s="1683">
        <v>0</v>
      </c>
      <c r="BV108" s="1683">
        <v>0</v>
      </c>
      <c r="BW108" s="1683">
        <v>0</v>
      </c>
      <c r="BX108" s="1683">
        <v>0</v>
      </c>
      <c r="BY108" s="1683">
        <v>0</v>
      </c>
      <c r="BZ108" s="1400"/>
      <c r="CA108" s="1400"/>
      <c r="CB108" s="1682"/>
      <c r="CC108" s="1682"/>
      <c r="CD108" s="1400"/>
      <c r="CE108" s="1400"/>
      <c r="CF108" s="1683">
        <v>0</v>
      </c>
      <c r="CG108" s="1683">
        <v>0</v>
      </c>
      <c r="CH108" s="1683">
        <v>0</v>
      </c>
      <c r="CI108" s="1683">
        <v>0</v>
      </c>
      <c r="CJ108" s="1683">
        <v>0</v>
      </c>
      <c r="CK108" s="1683">
        <v>0</v>
      </c>
      <c r="CL108" s="1682"/>
      <c r="CM108" s="1683">
        <v>0</v>
      </c>
      <c r="CN108" s="1683">
        <v>0</v>
      </c>
      <c r="CO108" s="1683">
        <v>0</v>
      </c>
      <c r="CP108" s="1683">
        <v>0</v>
      </c>
      <c r="CQ108" s="1683">
        <v>0</v>
      </c>
      <c r="CR108" s="1683">
        <v>0</v>
      </c>
      <c r="CS108" s="1683">
        <v>0</v>
      </c>
      <c r="CT108" s="1683">
        <v>0</v>
      </c>
      <c r="CU108" s="1683">
        <v>0</v>
      </c>
      <c r="CV108" s="1683">
        <v>0</v>
      </c>
      <c r="CW108" s="1682"/>
      <c r="CX108" s="1400"/>
      <c r="CY108" s="1400"/>
      <c r="CZ108" s="1400"/>
      <c r="DA108" s="1400"/>
      <c r="DB108" s="1682"/>
      <c r="DC108" s="1326"/>
      <c r="DD108" s="1683">
        <v>0</v>
      </c>
      <c r="DE108" s="1400"/>
      <c r="DF108" s="1400"/>
      <c r="DG108" s="1683">
        <v>0</v>
      </c>
      <c r="DH108" s="1683">
        <v>0</v>
      </c>
    </row>
    <row r="109" spans="1:112" ht="67.5">
      <c r="A109" s="1326" t="s">
        <v>2109</v>
      </c>
      <c r="B109" s="1326" t="s">
        <v>1694</v>
      </c>
      <c r="C109" s="1326" t="s">
        <v>2549</v>
      </c>
      <c r="D109" s="1326" t="s">
        <v>2550</v>
      </c>
      <c r="E109" s="1326" t="s">
        <v>144</v>
      </c>
      <c r="F109" s="1326" t="s">
        <v>2544</v>
      </c>
      <c r="G109" s="1326" t="s">
        <v>2545</v>
      </c>
      <c r="H109" s="1326" t="s">
        <v>2546</v>
      </c>
      <c r="I109" s="1326" t="s">
        <v>703</v>
      </c>
      <c r="J109" s="1326" t="s">
        <v>297</v>
      </c>
      <c r="K109" s="1326" t="s">
        <v>2101</v>
      </c>
      <c r="L109" s="1326" t="s">
        <v>2061</v>
      </c>
      <c r="M109" s="1683">
        <v>5160736.5999999996</v>
      </c>
      <c r="N109" s="1683">
        <v>0</v>
      </c>
      <c r="O109" s="1683">
        <v>5160736.5999999996</v>
      </c>
      <c r="P109" s="1683">
        <v>2874174.73</v>
      </c>
      <c r="Q109" s="1683">
        <v>2874174.73</v>
      </c>
      <c r="R109" s="1683">
        <v>2874174.73</v>
      </c>
      <c r="S109" s="1683">
        <v>0</v>
      </c>
      <c r="T109" s="1683">
        <v>2286561.87</v>
      </c>
      <c r="U109" s="1683">
        <v>0</v>
      </c>
      <c r="V109" s="1683">
        <v>0</v>
      </c>
      <c r="W109" s="1683">
        <v>0</v>
      </c>
      <c r="X109" s="1683">
        <v>2286561.87</v>
      </c>
      <c r="Y109" s="1682"/>
      <c r="Z109" s="1326"/>
      <c r="AA109" s="1683">
        <v>0</v>
      </c>
      <c r="AB109" s="1683">
        <v>0</v>
      </c>
      <c r="AC109" s="1683">
        <v>0</v>
      </c>
      <c r="AD109" s="1682"/>
      <c r="AE109" s="1326"/>
      <c r="AF109" s="1326"/>
      <c r="AG109" s="1410"/>
      <c r="AH109" s="1683">
        <v>1339167.02</v>
      </c>
      <c r="AI109" s="1683">
        <v>745092.21</v>
      </c>
      <c r="AJ109" s="1683">
        <v>744197.79</v>
      </c>
      <c r="AK109" s="1683">
        <v>744197.79</v>
      </c>
      <c r="AL109" s="1683">
        <v>0</v>
      </c>
      <c r="AM109" s="1682"/>
      <c r="AN109" s="1683">
        <v>1339167.02</v>
      </c>
      <c r="AO109" s="1683">
        <v>744197.79</v>
      </c>
      <c r="AP109" s="1683">
        <v>744197.79</v>
      </c>
      <c r="AQ109" s="1683">
        <v>744197.79</v>
      </c>
      <c r="AR109" s="1683">
        <v>0</v>
      </c>
      <c r="AS109" s="1683">
        <v>594969.23</v>
      </c>
      <c r="AT109" s="1683">
        <v>0</v>
      </c>
      <c r="AU109" s="1683">
        <v>0</v>
      </c>
      <c r="AV109" s="1683">
        <v>0</v>
      </c>
      <c r="AW109" s="1683">
        <v>594969.23</v>
      </c>
      <c r="AX109" s="1683">
        <v>0</v>
      </c>
      <c r="AY109" s="1683">
        <v>0</v>
      </c>
      <c r="AZ109" s="1683">
        <v>0</v>
      </c>
      <c r="BA109" s="1682"/>
      <c r="BB109" s="1682"/>
      <c r="BC109" s="1683">
        <v>0</v>
      </c>
      <c r="BD109" s="1683">
        <v>0</v>
      </c>
      <c r="BE109" s="1683">
        <v>1339167.02</v>
      </c>
      <c r="BF109" s="1683">
        <v>744197.79</v>
      </c>
      <c r="BG109" s="1683">
        <v>744197.79</v>
      </c>
      <c r="BH109" s="1683">
        <v>744197.79</v>
      </c>
      <c r="BI109" s="1683">
        <v>0</v>
      </c>
      <c r="BJ109" s="1683">
        <v>594969.23</v>
      </c>
      <c r="BK109" s="1683">
        <v>0</v>
      </c>
      <c r="BL109" s="1683">
        <v>0</v>
      </c>
      <c r="BM109" s="1683">
        <v>0</v>
      </c>
      <c r="BN109" s="1683">
        <v>594969.23</v>
      </c>
      <c r="BO109" s="1682"/>
      <c r="BP109" s="1683">
        <v>1243796.1599999999</v>
      </c>
      <c r="BQ109" s="1683">
        <v>675823.22</v>
      </c>
      <c r="BR109" s="1683">
        <v>675823.22</v>
      </c>
      <c r="BS109" s="1683">
        <v>675823.22</v>
      </c>
      <c r="BT109" s="1683">
        <v>0</v>
      </c>
      <c r="BU109" s="1683">
        <v>567972.93999999994</v>
      </c>
      <c r="BV109" s="1683">
        <v>0</v>
      </c>
      <c r="BW109" s="1683">
        <v>0</v>
      </c>
      <c r="BX109" s="1683">
        <v>0</v>
      </c>
      <c r="BY109" s="1683">
        <v>567972.93999999994</v>
      </c>
      <c r="BZ109" s="1683">
        <v>0</v>
      </c>
      <c r="CA109" s="1683">
        <v>0</v>
      </c>
      <c r="CB109" s="1682"/>
      <c r="CC109" s="1682"/>
      <c r="CD109" s="1683">
        <v>0</v>
      </c>
      <c r="CE109" s="1683">
        <v>0</v>
      </c>
      <c r="CF109" s="1683">
        <v>0</v>
      </c>
      <c r="CG109" s="1683">
        <v>0</v>
      </c>
      <c r="CH109" s="1683">
        <v>0</v>
      </c>
      <c r="CI109" s="1683">
        <v>0</v>
      </c>
      <c r="CJ109" s="1683">
        <v>0</v>
      </c>
      <c r="CK109" s="1683">
        <v>0</v>
      </c>
      <c r="CL109" s="1682"/>
      <c r="CM109" s="1683">
        <v>170787.75</v>
      </c>
      <c r="CN109" s="1683">
        <v>88524.71</v>
      </c>
      <c r="CO109" s="1683">
        <v>88524.71</v>
      </c>
      <c r="CP109" s="1683">
        <v>88524.71</v>
      </c>
      <c r="CQ109" s="1683">
        <v>0</v>
      </c>
      <c r="CR109" s="1683">
        <v>82263.039999999994</v>
      </c>
      <c r="CS109" s="1683">
        <v>0</v>
      </c>
      <c r="CT109" s="1683">
        <v>0</v>
      </c>
      <c r="CU109" s="1683">
        <v>0</v>
      </c>
      <c r="CV109" s="1683">
        <v>82263.039999999994</v>
      </c>
      <c r="CW109" s="1682"/>
      <c r="CX109" s="1683">
        <v>0</v>
      </c>
      <c r="CY109" s="1683">
        <v>0</v>
      </c>
      <c r="CZ109" s="1683">
        <v>170787.75</v>
      </c>
      <c r="DA109" s="1683">
        <v>88524.71</v>
      </c>
      <c r="DB109" s="1682"/>
      <c r="DC109" s="1326"/>
      <c r="DD109" s="1683">
        <v>0</v>
      </c>
      <c r="DE109" s="1683">
        <v>0</v>
      </c>
      <c r="DF109" s="1683">
        <v>0</v>
      </c>
      <c r="DG109" s="1683">
        <v>0</v>
      </c>
      <c r="DH109" s="1683">
        <v>0</v>
      </c>
    </row>
    <row r="110" spans="1:112" ht="67.5">
      <c r="A110" s="1326" t="s">
        <v>2055</v>
      </c>
      <c r="B110" s="1326" t="s">
        <v>1694</v>
      </c>
      <c r="C110" s="1326" t="s">
        <v>2549</v>
      </c>
      <c r="D110" s="1326" t="s">
        <v>2550</v>
      </c>
      <c r="E110" s="1326" t="s">
        <v>144</v>
      </c>
      <c r="F110" s="1326" t="s">
        <v>2544</v>
      </c>
      <c r="G110" s="1326" t="s">
        <v>2545</v>
      </c>
      <c r="H110" s="1326" t="s">
        <v>2546</v>
      </c>
      <c r="I110" s="1326" t="s">
        <v>703</v>
      </c>
      <c r="J110" s="1326" t="s">
        <v>297</v>
      </c>
      <c r="K110" s="1326" t="s">
        <v>2101</v>
      </c>
      <c r="L110" s="1326" t="s">
        <v>2061</v>
      </c>
      <c r="M110" s="1400"/>
      <c r="N110" s="1400"/>
      <c r="O110" s="1400"/>
      <c r="P110" s="1400"/>
      <c r="Q110" s="1400"/>
      <c r="R110" s="1400"/>
      <c r="S110" s="1400"/>
      <c r="T110" s="1400"/>
      <c r="U110" s="1400"/>
      <c r="V110" s="1400"/>
      <c r="W110" s="1400"/>
      <c r="X110" s="1400"/>
      <c r="Y110" s="1682"/>
      <c r="Z110" s="1326"/>
      <c r="AA110" s="1683">
        <v>0</v>
      </c>
      <c r="AB110" s="1683">
        <v>0</v>
      </c>
      <c r="AC110" s="1683">
        <v>0</v>
      </c>
      <c r="AD110" s="1682"/>
      <c r="AE110" s="1326" t="s">
        <v>2171</v>
      </c>
      <c r="AF110" s="1326"/>
      <c r="AG110" s="1410" t="s">
        <v>2172</v>
      </c>
      <c r="AH110" s="1683">
        <v>0</v>
      </c>
      <c r="AI110" s="1683">
        <v>0</v>
      </c>
      <c r="AJ110" s="1683">
        <v>0</v>
      </c>
      <c r="AK110" s="1683">
        <v>0</v>
      </c>
      <c r="AL110" s="1683">
        <v>0</v>
      </c>
      <c r="AM110" s="1685">
        <v>43403</v>
      </c>
      <c r="AN110" s="1683">
        <v>-18555.84</v>
      </c>
      <c r="AO110" s="1683">
        <v>-11630.59</v>
      </c>
      <c r="AP110" s="1683">
        <v>-11630.59</v>
      </c>
      <c r="AQ110" s="1683">
        <v>-11630.59</v>
      </c>
      <c r="AR110" s="1683">
        <v>0</v>
      </c>
      <c r="AS110" s="1683">
        <v>-6925.25</v>
      </c>
      <c r="AT110" s="1683">
        <v>0</v>
      </c>
      <c r="AU110" s="1683">
        <v>0</v>
      </c>
      <c r="AV110" s="1683">
        <v>0</v>
      </c>
      <c r="AW110" s="1683">
        <v>-6925.25</v>
      </c>
      <c r="AX110" s="1400"/>
      <c r="AY110" s="1400"/>
      <c r="AZ110" s="1400"/>
      <c r="BA110" s="1682"/>
      <c r="BB110" s="1682"/>
      <c r="BC110" s="1400"/>
      <c r="BD110" s="1400"/>
      <c r="BE110" s="1683">
        <v>-18555.84</v>
      </c>
      <c r="BF110" s="1683">
        <v>-11630.59</v>
      </c>
      <c r="BG110" s="1683">
        <v>-11630.59</v>
      </c>
      <c r="BH110" s="1683">
        <v>-11630.59</v>
      </c>
      <c r="BI110" s="1683">
        <v>0</v>
      </c>
      <c r="BJ110" s="1683">
        <v>-6925.25</v>
      </c>
      <c r="BK110" s="1683">
        <v>0</v>
      </c>
      <c r="BL110" s="1683">
        <v>0</v>
      </c>
      <c r="BM110" s="1683">
        <v>0</v>
      </c>
      <c r="BN110" s="1683">
        <v>-6925.25</v>
      </c>
      <c r="BO110" s="1682"/>
      <c r="BP110" s="1683">
        <v>0</v>
      </c>
      <c r="BQ110" s="1683">
        <v>0</v>
      </c>
      <c r="BR110" s="1683">
        <v>0</v>
      </c>
      <c r="BS110" s="1683">
        <v>0</v>
      </c>
      <c r="BT110" s="1683">
        <v>0</v>
      </c>
      <c r="BU110" s="1683">
        <v>0</v>
      </c>
      <c r="BV110" s="1683">
        <v>0</v>
      </c>
      <c r="BW110" s="1683">
        <v>0</v>
      </c>
      <c r="BX110" s="1683">
        <v>0</v>
      </c>
      <c r="BY110" s="1683">
        <v>0</v>
      </c>
      <c r="BZ110" s="1683">
        <v>0</v>
      </c>
      <c r="CA110" s="1400"/>
      <c r="CB110" s="1682"/>
      <c r="CC110" s="1682"/>
      <c r="CD110" s="1400"/>
      <c r="CE110" s="1400"/>
      <c r="CF110" s="1683">
        <v>0</v>
      </c>
      <c r="CG110" s="1683">
        <v>0</v>
      </c>
      <c r="CH110" s="1683">
        <v>0</v>
      </c>
      <c r="CI110" s="1683">
        <v>0</v>
      </c>
      <c r="CJ110" s="1683">
        <v>0</v>
      </c>
      <c r="CK110" s="1683">
        <v>0</v>
      </c>
      <c r="CL110" s="1682"/>
      <c r="CM110" s="1683">
        <v>0</v>
      </c>
      <c r="CN110" s="1683">
        <v>0</v>
      </c>
      <c r="CO110" s="1683">
        <v>0</v>
      </c>
      <c r="CP110" s="1683">
        <v>0</v>
      </c>
      <c r="CQ110" s="1683">
        <v>0</v>
      </c>
      <c r="CR110" s="1683">
        <v>0</v>
      </c>
      <c r="CS110" s="1683">
        <v>0</v>
      </c>
      <c r="CT110" s="1683">
        <v>0</v>
      </c>
      <c r="CU110" s="1683">
        <v>0</v>
      </c>
      <c r="CV110" s="1683">
        <v>0</v>
      </c>
      <c r="CW110" s="1682"/>
      <c r="CX110" s="1400"/>
      <c r="CY110" s="1400"/>
      <c r="CZ110" s="1400"/>
      <c r="DA110" s="1400"/>
      <c r="DB110" s="1682"/>
      <c r="DC110" s="1326"/>
      <c r="DD110" s="1683">
        <v>0</v>
      </c>
      <c r="DE110" s="1400"/>
      <c r="DF110" s="1400"/>
      <c r="DG110" s="1683">
        <v>0</v>
      </c>
      <c r="DH110" s="1683">
        <v>0</v>
      </c>
    </row>
    <row r="111" spans="1:112" ht="67.5">
      <c r="A111" s="1326" t="s">
        <v>2056</v>
      </c>
      <c r="B111" s="1326" t="s">
        <v>1694</v>
      </c>
      <c r="C111" s="1326" t="s">
        <v>2549</v>
      </c>
      <c r="D111" s="1326" t="s">
        <v>2550</v>
      </c>
      <c r="E111" s="1326" t="s">
        <v>144</v>
      </c>
      <c r="F111" s="1326" t="s">
        <v>2544</v>
      </c>
      <c r="G111" s="1326" t="s">
        <v>2545</v>
      </c>
      <c r="H111" s="1326" t="s">
        <v>2546</v>
      </c>
      <c r="I111" s="1326" t="s">
        <v>703</v>
      </c>
      <c r="J111" s="1326" t="s">
        <v>297</v>
      </c>
      <c r="K111" s="1326" t="s">
        <v>2101</v>
      </c>
      <c r="L111" s="1326" t="s">
        <v>2061</v>
      </c>
      <c r="M111" s="1400"/>
      <c r="N111" s="1400"/>
      <c r="O111" s="1400"/>
      <c r="P111" s="1400"/>
      <c r="Q111" s="1400"/>
      <c r="R111" s="1400"/>
      <c r="S111" s="1400"/>
      <c r="T111" s="1400"/>
      <c r="U111" s="1400"/>
      <c r="V111" s="1400"/>
      <c r="W111" s="1400"/>
      <c r="X111" s="1400"/>
      <c r="Y111" s="1682"/>
      <c r="Z111" s="1326"/>
      <c r="AA111" s="1683">
        <v>0</v>
      </c>
      <c r="AB111" s="1683">
        <v>0</v>
      </c>
      <c r="AC111" s="1683">
        <v>0</v>
      </c>
      <c r="AD111" s="1682"/>
      <c r="AE111" s="1326" t="s">
        <v>2171</v>
      </c>
      <c r="AF111" s="1326" t="s">
        <v>2174</v>
      </c>
      <c r="AG111" s="1410" t="s">
        <v>2172</v>
      </c>
      <c r="AH111" s="1683">
        <v>-16487.740000000002</v>
      </c>
      <c r="AI111" s="1683">
        <v>-10334.33</v>
      </c>
      <c r="AJ111" s="1683">
        <v>0</v>
      </c>
      <c r="AK111" s="1683">
        <v>0</v>
      </c>
      <c r="AL111" s="1683">
        <v>0</v>
      </c>
      <c r="AM111" s="1682"/>
      <c r="AN111" s="1683">
        <v>0</v>
      </c>
      <c r="AO111" s="1683">
        <v>0</v>
      </c>
      <c r="AP111" s="1683">
        <v>0</v>
      </c>
      <c r="AQ111" s="1683">
        <v>0</v>
      </c>
      <c r="AR111" s="1683">
        <v>0</v>
      </c>
      <c r="AS111" s="1683">
        <v>0</v>
      </c>
      <c r="AT111" s="1683">
        <v>0</v>
      </c>
      <c r="AU111" s="1683">
        <v>0</v>
      </c>
      <c r="AV111" s="1683">
        <v>0</v>
      </c>
      <c r="AW111" s="1683">
        <v>0</v>
      </c>
      <c r="AX111" s="1400"/>
      <c r="AY111" s="1400"/>
      <c r="AZ111" s="1400"/>
      <c r="BA111" s="1682"/>
      <c r="BB111" s="1682"/>
      <c r="BC111" s="1400"/>
      <c r="BD111" s="1400"/>
      <c r="BE111" s="1683">
        <v>0</v>
      </c>
      <c r="BF111" s="1683">
        <v>0</v>
      </c>
      <c r="BG111" s="1683">
        <v>0</v>
      </c>
      <c r="BH111" s="1683">
        <v>0</v>
      </c>
      <c r="BI111" s="1683">
        <v>0</v>
      </c>
      <c r="BJ111" s="1683">
        <v>0</v>
      </c>
      <c r="BK111" s="1683">
        <v>0</v>
      </c>
      <c r="BL111" s="1683">
        <v>0</v>
      </c>
      <c r="BM111" s="1683">
        <v>0</v>
      </c>
      <c r="BN111" s="1683">
        <v>0</v>
      </c>
      <c r="BO111" s="1682"/>
      <c r="BP111" s="1683">
        <v>0</v>
      </c>
      <c r="BQ111" s="1683">
        <v>0</v>
      </c>
      <c r="BR111" s="1683">
        <v>0</v>
      </c>
      <c r="BS111" s="1683">
        <v>0</v>
      </c>
      <c r="BT111" s="1683">
        <v>0</v>
      </c>
      <c r="BU111" s="1683">
        <v>0</v>
      </c>
      <c r="BV111" s="1683">
        <v>0</v>
      </c>
      <c r="BW111" s="1683">
        <v>0</v>
      </c>
      <c r="BX111" s="1683">
        <v>0</v>
      </c>
      <c r="BY111" s="1683">
        <v>0</v>
      </c>
      <c r="BZ111" s="1683">
        <v>0</v>
      </c>
      <c r="CA111" s="1400"/>
      <c r="CB111" s="1682"/>
      <c r="CC111" s="1682"/>
      <c r="CD111" s="1400"/>
      <c r="CE111" s="1400"/>
      <c r="CF111" s="1683">
        <v>0</v>
      </c>
      <c r="CG111" s="1683">
        <v>0</v>
      </c>
      <c r="CH111" s="1683">
        <v>0</v>
      </c>
      <c r="CI111" s="1683">
        <v>0</v>
      </c>
      <c r="CJ111" s="1683">
        <v>0</v>
      </c>
      <c r="CK111" s="1683">
        <v>0</v>
      </c>
      <c r="CL111" s="1682"/>
      <c r="CM111" s="1683">
        <v>0</v>
      </c>
      <c r="CN111" s="1683">
        <v>0</v>
      </c>
      <c r="CO111" s="1683">
        <v>0</v>
      </c>
      <c r="CP111" s="1683">
        <v>0</v>
      </c>
      <c r="CQ111" s="1683">
        <v>0</v>
      </c>
      <c r="CR111" s="1683">
        <v>0</v>
      </c>
      <c r="CS111" s="1683">
        <v>0</v>
      </c>
      <c r="CT111" s="1683">
        <v>0</v>
      </c>
      <c r="CU111" s="1683">
        <v>0</v>
      </c>
      <c r="CV111" s="1683">
        <v>0</v>
      </c>
      <c r="CW111" s="1682"/>
      <c r="CX111" s="1400"/>
      <c r="CY111" s="1400"/>
      <c r="CZ111" s="1400"/>
      <c r="DA111" s="1400"/>
      <c r="DB111" s="1682"/>
      <c r="DC111" s="1326"/>
      <c r="DD111" s="1683">
        <v>0</v>
      </c>
      <c r="DE111" s="1400"/>
      <c r="DF111" s="1400"/>
      <c r="DG111" s="1683">
        <v>0</v>
      </c>
      <c r="DH111" s="1683">
        <v>0</v>
      </c>
    </row>
    <row r="112" spans="1:112" ht="67.5">
      <c r="A112" s="1326" t="s">
        <v>2057</v>
      </c>
      <c r="B112" s="1326" t="s">
        <v>1694</v>
      </c>
      <c r="C112" s="1326" t="s">
        <v>2549</v>
      </c>
      <c r="D112" s="1326" t="s">
        <v>2550</v>
      </c>
      <c r="E112" s="1326" t="s">
        <v>144</v>
      </c>
      <c r="F112" s="1326" t="s">
        <v>2544</v>
      </c>
      <c r="G112" s="1326" t="s">
        <v>2545</v>
      </c>
      <c r="H112" s="1326" t="s">
        <v>2546</v>
      </c>
      <c r="I112" s="1326" t="s">
        <v>703</v>
      </c>
      <c r="J112" s="1326" t="s">
        <v>297</v>
      </c>
      <c r="K112" s="1326" t="s">
        <v>2101</v>
      </c>
      <c r="L112" s="1326" t="s">
        <v>2061</v>
      </c>
      <c r="M112" s="1400"/>
      <c r="N112" s="1400"/>
      <c r="O112" s="1400"/>
      <c r="P112" s="1400"/>
      <c r="Q112" s="1400"/>
      <c r="R112" s="1400"/>
      <c r="S112" s="1400"/>
      <c r="T112" s="1400"/>
      <c r="U112" s="1400"/>
      <c r="V112" s="1400"/>
      <c r="W112" s="1400"/>
      <c r="X112" s="1400"/>
      <c r="Y112" s="1682"/>
      <c r="Z112" s="1326"/>
      <c r="AA112" s="1683">
        <v>0</v>
      </c>
      <c r="AB112" s="1683">
        <v>0</v>
      </c>
      <c r="AC112" s="1683">
        <v>0</v>
      </c>
      <c r="AD112" s="1682"/>
      <c r="AE112" s="1326" t="s">
        <v>2171</v>
      </c>
      <c r="AF112" s="1326" t="s">
        <v>3628</v>
      </c>
      <c r="AG112" s="1410" t="s">
        <v>2172</v>
      </c>
      <c r="AH112" s="1683">
        <v>-2068.1</v>
      </c>
      <c r="AI112" s="1683">
        <v>-1296.26</v>
      </c>
      <c r="AJ112" s="1683">
        <v>0</v>
      </c>
      <c r="AK112" s="1683">
        <v>0</v>
      </c>
      <c r="AL112" s="1683">
        <v>0</v>
      </c>
      <c r="AM112" s="1682"/>
      <c r="AN112" s="1683">
        <v>0</v>
      </c>
      <c r="AO112" s="1683">
        <v>0</v>
      </c>
      <c r="AP112" s="1683">
        <v>0</v>
      </c>
      <c r="AQ112" s="1683">
        <v>0</v>
      </c>
      <c r="AR112" s="1683">
        <v>0</v>
      </c>
      <c r="AS112" s="1683">
        <v>0</v>
      </c>
      <c r="AT112" s="1683">
        <v>0</v>
      </c>
      <c r="AU112" s="1683">
        <v>0</v>
      </c>
      <c r="AV112" s="1683">
        <v>0</v>
      </c>
      <c r="AW112" s="1683">
        <v>0</v>
      </c>
      <c r="AX112" s="1400"/>
      <c r="AY112" s="1400"/>
      <c r="AZ112" s="1400"/>
      <c r="BA112" s="1682"/>
      <c r="BB112" s="1682"/>
      <c r="BC112" s="1400"/>
      <c r="BD112" s="1400"/>
      <c r="BE112" s="1683">
        <v>0</v>
      </c>
      <c r="BF112" s="1683">
        <v>0</v>
      </c>
      <c r="BG112" s="1683">
        <v>0</v>
      </c>
      <c r="BH112" s="1683">
        <v>0</v>
      </c>
      <c r="BI112" s="1683">
        <v>0</v>
      </c>
      <c r="BJ112" s="1683">
        <v>0</v>
      </c>
      <c r="BK112" s="1683">
        <v>0</v>
      </c>
      <c r="BL112" s="1683">
        <v>0</v>
      </c>
      <c r="BM112" s="1683">
        <v>0</v>
      </c>
      <c r="BN112" s="1683">
        <v>0</v>
      </c>
      <c r="BO112" s="1682"/>
      <c r="BP112" s="1683">
        <v>0</v>
      </c>
      <c r="BQ112" s="1683">
        <v>0</v>
      </c>
      <c r="BR112" s="1683">
        <v>0</v>
      </c>
      <c r="BS112" s="1683">
        <v>0</v>
      </c>
      <c r="BT112" s="1683">
        <v>0</v>
      </c>
      <c r="BU112" s="1683">
        <v>0</v>
      </c>
      <c r="BV112" s="1683">
        <v>0</v>
      </c>
      <c r="BW112" s="1683">
        <v>0</v>
      </c>
      <c r="BX112" s="1683">
        <v>0</v>
      </c>
      <c r="BY112" s="1683">
        <v>0</v>
      </c>
      <c r="BZ112" s="1683">
        <v>0</v>
      </c>
      <c r="CA112" s="1400"/>
      <c r="CB112" s="1682"/>
      <c r="CC112" s="1682"/>
      <c r="CD112" s="1400"/>
      <c r="CE112" s="1400"/>
      <c r="CF112" s="1683">
        <v>0</v>
      </c>
      <c r="CG112" s="1683">
        <v>0</v>
      </c>
      <c r="CH112" s="1683">
        <v>0</v>
      </c>
      <c r="CI112" s="1683">
        <v>0</v>
      </c>
      <c r="CJ112" s="1683">
        <v>0</v>
      </c>
      <c r="CK112" s="1683">
        <v>0</v>
      </c>
      <c r="CL112" s="1682"/>
      <c r="CM112" s="1683">
        <v>0</v>
      </c>
      <c r="CN112" s="1683">
        <v>0</v>
      </c>
      <c r="CO112" s="1683">
        <v>0</v>
      </c>
      <c r="CP112" s="1683">
        <v>0</v>
      </c>
      <c r="CQ112" s="1683">
        <v>0</v>
      </c>
      <c r="CR112" s="1683">
        <v>0</v>
      </c>
      <c r="CS112" s="1683">
        <v>0</v>
      </c>
      <c r="CT112" s="1683">
        <v>0</v>
      </c>
      <c r="CU112" s="1683">
        <v>0</v>
      </c>
      <c r="CV112" s="1683">
        <v>0</v>
      </c>
      <c r="CW112" s="1682"/>
      <c r="CX112" s="1400"/>
      <c r="CY112" s="1400"/>
      <c r="CZ112" s="1400"/>
      <c r="DA112" s="1400"/>
      <c r="DB112" s="1682"/>
      <c r="DC112" s="1326"/>
      <c r="DD112" s="1683">
        <v>0</v>
      </c>
      <c r="DE112" s="1400"/>
      <c r="DF112" s="1400"/>
      <c r="DG112" s="1683">
        <v>0</v>
      </c>
      <c r="DH112" s="1683">
        <v>0</v>
      </c>
    </row>
    <row r="113" spans="1:112" ht="67.5">
      <c r="A113" s="1326" t="s">
        <v>2058</v>
      </c>
      <c r="B113" s="1326" t="s">
        <v>1694</v>
      </c>
      <c r="C113" s="1326" t="s">
        <v>2549</v>
      </c>
      <c r="D113" s="1326" t="s">
        <v>2550</v>
      </c>
      <c r="E113" s="1326" t="s">
        <v>144</v>
      </c>
      <c r="F113" s="1326" t="s">
        <v>2544</v>
      </c>
      <c r="G113" s="1326" t="s">
        <v>2545</v>
      </c>
      <c r="H113" s="1326" t="s">
        <v>2546</v>
      </c>
      <c r="I113" s="1326" t="s">
        <v>703</v>
      </c>
      <c r="J113" s="1326" t="s">
        <v>297</v>
      </c>
      <c r="K113" s="1326" t="s">
        <v>2101</v>
      </c>
      <c r="L113" s="1326" t="s">
        <v>2061</v>
      </c>
      <c r="M113" s="1400"/>
      <c r="N113" s="1400"/>
      <c r="O113" s="1400"/>
      <c r="P113" s="1400"/>
      <c r="Q113" s="1400"/>
      <c r="R113" s="1400"/>
      <c r="S113" s="1400"/>
      <c r="T113" s="1400"/>
      <c r="U113" s="1400"/>
      <c r="V113" s="1400"/>
      <c r="W113" s="1400"/>
      <c r="X113" s="1400"/>
      <c r="Y113" s="1685">
        <v>42864</v>
      </c>
      <c r="Z113" s="1326" t="s">
        <v>2062</v>
      </c>
      <c r="AA113" s="1683">
        <v>0</v>
      </c>
      <c r="AB113" s="1683">
        <v>0</v>
      </c>
      <c r="AC113" s="1683">
        <v>0</v>
      </c>
      <c r="AD113" s="1685">
        <v>42892</v>
      </c>
      <c r="AE113" s="1326" t="s">
        <v>2073</v>
      </c>
      <c r="AF113" s="1326" t="s">
        <v>2064</v>
      </c>
      <c r="AG113" s="1410"/>
      <c r="AH113" s="1683">
        <v>18555.84</v>
      </c>
      <c r="AI113" s="1683">
        <v>11630.59</v>
      </c>
      <c r="AJ113" s="1683">
        <v>11630.59</v>
      </c>
      <c r="AK113" s="1683">
        <v>11630.59</v>
      </c>
      <c r="AL113" s="1683">
        <v>0</v>
      </c>
      <c r="AM113" s="1685">
        <v>42892</v>
      </c>
      <c r="AN113" s="1683">
        <v>18555.84</v>
      </c>
      <c r="AO113" s="1683">
        <v>11630.59</v>
      </c>
      <c r="AP113" s="1683">
        <v>11630.59</v>
      </c>
      <c r="AQ113" s="1683">
        <v>11630.59</v>
      </c>
      <c r="AR113" s="1683">
        <v>0</v>
      </c>
      <c r="AS113" s="1683">
        <v>6925.25</v>
      </c>
      <c r="AT113" s="1683">
        <v>0</v>
      </c>
      <c r="AU113" s="1683">
        <v>0</v>
      </c>
      <c r="AV113" s="1683">
        <v>0</v>
      </c>
      <c r="AW113" s="1683">
        <v>6925.25</v>
      </c>
      <c r="AX113" s="1400"/>
      <c r="AY113" s="1400"/>
      <c r="AZ113" s="1400"/>
      <c r="BA113" s="1682"/>
      <c r="BB113" s="1682"/>
      <c r="BC113" s="1400"/>
      <c r="BD113" s="1400"/>
      <c r="BE113" s="1683">
        <v>18555.84</v>
      </c>
      <c r="BF113" s="1683">
        <v>11630.59</v>
      </c>
      <c r="BG113" s="1683">
        <v>11630.59</v>
      </c>
      <c r="BH113" s="1683">
        <v>11630.59</v>
      </c>
      <c r="BI113" s="1683">
        <v>0</v>
      </c>
      <c r="BJ113" s="1683">
        <v>6925.25</v>
      </c>
      <c r="BK113" s="1683">
        <v>0</v>
      </c>
      <c r="BL113" s="1683">
        <v>0</v>
      </c>
      <c r="BM113" s="1683">
        <v>0</v>
      </c>
      <c r="BN113" s="1683">
        <v>6925.25</v>
      </c>
      <c r="BO113" s="1685">
        <v>42991</v>
      </c>
      <c r="BP113" s="1683">
        <v>18555.84</v>
      </c>
      <c r="BQ113" s="1683">
        <v>11630.59</v>
      </c>
      <c r="BR113" s="1683">
        <v>11630.59</v>
      </c>
      <c r="BS113" s="1683">
        <v>11630.59</v>
      </c>
      <c r="BT113" s="1683">
        <v>0</v>
      </c>
      <c r="BU113" s="1683">
        <v>6925.25</v>
      </c>
      <c r="BV113" s="1683">
        <v>0</v>
      </c>
      <c r="BW113" s="1683">
        <v>0</v>
      </c>
      <c r="BX113" s="1683">
        <v>0</v>
      </c>
      <c r="BY113" s="1683">
        <v>6925.25</v>
      </c>
      <c r="BZ113" s="1683">
        <v>0</v>
      </c>
      <c r="CA113" s="1400"/>
      <c r="CB113" s="1682"/>
      <c r="CC113" s="1682"/>
      <c r="CD113" s="1400"/>
      <c r="CE113" s="1400"/>
      <c r="CF113" s="1683">
        <v>0</v>
      </c>
      <c r="CG113" s="1683">
        <v>0</v>
      </c>
      <c r="CH113" s="1683">
        <v>0</v>
      </c>
      <c r="CI113" s="1683">
        <v>0</v>
      </c>
      <c r="CJ113" s="1683">
        <v>0</v>
      </c>
      <c r="CK113" s="1683">
        <v>0</v>
      </c>
      <c r="CL113" s="1685">
        <v>43511</v>
      </c>
      <c r="CM113" s="1683">
        <v>18555.84</v>
      </c>
      <c r="CN113" s="1683">
        <v>11630.59</v>
      </c>
      <c r="CO113" s="1683">
        <v>11630.59</v>
      </c>
      <c r="CP113" s="1683">
        <v>11630.59</v>
      </c>
      <c r="CQ113" s="1683">
        <v>0</v>
      </c>
      <c r="CR113" s="1683">
        <v>6925.25</v>
      </c>
      <c r="CS113" s="1683">
        <v>0</v>
      </c>
      <c r="CT113" s="1683">
        <v>0</v>
      </c>
      <c r="CU113" s="1683">
        <v>0</v>
      </c>
      <c r="CV113" s="1683">
        <v>6925.25</v>
      </c>
      <c r="CW113" s="1682"/>
      <c r="CX113" s="1400"/>
      <c r="CY113" s="1400"/>
      <c r="CZ113" s="1400"/>
      <c r="DA113" s="1400"/>
      <c r="DB113" s="1682"/>
      <c r="DC113" s="1326"/>
      <c r="DD113" s="1683">
        <v>0</v>
      </c>
      <c r="DE113" s="1400"/>
      <c r="DF113" s="1400"/>
      <c r="DG113" s="1683">
        <v>0</v>
      </c>
      <c r="DH113" s="1683">
        <v>0</v>
      </c>
    </row>
    <row r="114" spans="1:112" ht="67.5">
      <c r="A114" s="1326" t="s">
        <v>2111</v>
      </c>
      <c r="B114" s="1326" t="s">
        <v>1694</v>
      </c>
      <c r="C114" s="1326" t="s">
        <v>2549</v>
      </c>
      <c r="D114" s="1326" t="s">
        <v>2550</v>
      </c>
      <c r="E114" s="1326" t="s">
        <v>144</v>
      </c>
      <c r="F114" s="1326" t="s">
        <v>2544</v>
      </c>
      <c r="G114" s="1326" t="s">
        <v>2545</v>
      </c>
      <c r="H114" s="1326" t="s">
        <v>2546</v>
      </c>
      <c r="I114" s="1326" t="s">
        <v>703</v>
      </c>
      <c r="J114" s="1326" t="s">
        <v>297</v>
      </c>
      <c r="K114" s="1326" t="s">
        <v>2101</v>
      </c>
      <c r="L114" s="1326" t="s">
        <v>2061</v>
      </c>
      <c r="M114" s="1400"/>
      <c r="N114" s="1400"/>
      <c r="O114" s="1400"/>
      <c r="P114" s="1400"/>
      <c r="Q114" s="1400"/>
      <c r="R114" s="1400"/>
      <c r="S114" s="1400"/>
      <c r="T114" s="1400"/>
      <c r="U114" s="1400"/>
      <c r="V114" s="1400"/>
      <c r="W114" s="1400"/>
      <c r="X114" s="1400"/>
      <c r="Y114" s="1685">
        <v>42926</v>
      </c>
      <c r="Z114" s="1326" t="s">
        <v>2062</v>
      </c>
      <c r="AA114" s="1683">
        <v>0</v>
      </c>
      <c r="AB114" s="1683">
        <v>0</v>
      </c>
      <c r="AC114" s="1683">
        <v>0</v>
      </c>
      <c r="AD114" s="1685">
        <v>42958</v>
      </c>
      <c r="AE114" s="1326" t="s">
        <v>2063</v>
      </c>
      <c r="AF114" s="1326" t="s">
        <v>2067</v>
      </c>
      <c r="AG114" s="1410"/>
      <c r="AH114" s="1683">
        <v>41306.5</v>
      </c>
      <c r="AI114" s="1683">
        <v>20696.93</v>
      </c>
      <c r="AJ114" s="1683">
        <v>20696.93</v>
      </c>
      <c r="AK114" s="1683">
        <v>20696.93</v>
      </c>
      <c r="AL114" s="1683">
        <v>0</v>
      </c>
      <c r="AM114" s="1685">
        <v>42965</v>
      </c>
      <c r="AN114" s="1683">
        <v>41306.5</v>
      </c>
      <c r="AO114" s="1683">
        <v>20696.93</v>
      </c>
      <c r="AP114" s="1683">
        <v>20696.93</v>
      </c>
      <c r="AQ114" s="1683">
        <v>20696.93</v>
      </c>
      <c r="AR114" s="1683">
        <v>0</v>
      </c>
      <c r="AS114" s="1683">
        <v>20609.57</v>
      </c>
      <c r="AT114" s="1683">
        <v>0</v>
      </c>
      <c r="AU114" s="1683">
        <v>0</v>
      </c>
      <c r="AV114" s="1683">
        <v>0</v>
      </c>
      <c r="AW114" s="1683">
        <v>20609.57</v>
      </c>
      <c r="AX114" s="1400"/>
      <c r="AY114" s="1400"/>
      <c r="AZ114" s="1400"/>
      <c r="BA114" s="1682"/>
      <c r="BB114" s="1682"/>
      <c r="BC114" s="1400"/>
      <c r="BD114" s="1400"/>
      <c r="BE114" s="1683">
        <v>41306.5</v>
      </c>
      <c r="BF114" s="1683">
        <v>20696.93</v>
      </c>
      <c r="BG114" s="1683">
        <v>20696.93</v>
      </c>
      <c r="BH114" s="1683">
        <v>20696.93</v>
      </c>
      <c r="BI114" s="1683">
        <v>0</v>
      </c>
      <c r="BJ114" s="1683">
        <v>20609.57</v>
      </c>
      <c r="BK114" s="1683">
        <v>0</v>
      </c>
      <c r="BL114" s="1683">
        <v>0</v>
      </c>
      <c r="BM114" s="1683">
        <v>0</v>
      </c>
      <c r="BN114" s="1683">
        <v>20609.57</v>
      </c>
      <c r="BO114" s="1685">
        <v>43035</v>
      </c>
      <c r="BP114" s="1683">
        <v>41306.5</v>
      </c>
      <c r="BQ114" s="1683">
        <v>20696.93</v>
      </c>
      <c r="BR114" s="1683">
        <v>20696.93</v>
      </c>
      <c r="BS114" s="1683">
        <v>20696.93</v>
      </c>
      <c r="BT114" s="1683">
        <v>0</v>
      </c>
      <c r="BU114" s="1683">
        <v>20609.57</v>
      </c>
      <c r="BV114" s="1683">
        <v>0</v>
      </c>
      <c r="BW114" s="1683">
        <v>0</v>
      </c>
      <c r="BX114" s="1683">
        <v>0</v>
      </c>
      <c r="BY114" s="1683">
        <v>20609.57</v>
      </c>
      <c r="BZ114" s="1683">
        <v>0</v>
      </c>
      <c r="CA114" s="1400"/>
      <c r="CB114" s="1682"/>
      <c r="CC114" s="1682"/>
      <c r="CD114" s="1400"/>
      <c r="CE114" s="1400"/>
      <c r="CF114" s="1683">
        <v>0</v>
      </c>
      <c r="CG114" s="1683">
        <v>0</v>
      </c>
      <c r="CH114" s="1683">
        <v>0</v>
      </c>
      <c r="CI114" s="1683">
        <v>0</v>
      </c>
      <c r="CJ114" s="1683">
        <v>0</v>
      </c>
      <c r="CK114" s="1683">
        <v>0</v>
      </c>
      <c r="CL114" s="1685">
        <v>43511</v>
      </c>
      <c r="CM114" s="1683">
        <v>41306.5</v>
      </c>
      <c r="CN114" s="1683">
        <v>20696.93</v>
      </c>
      <c r="CO114" s="1683">
        <v>20696.93</v>
      </c>
      <c r="CP114" s="1683">
        <v>20696.93</v>
      </c>
      <c r="CQ114" s="1683">
        <v>0</v>
      </c>
      <c r="CR114" s="1683">
        <v>20609.57</v>
      </c>
      <c r="CS114" s="1683">
        <v>0</v>
      </c>
      <c r="CT114" s="1683">
        <v>0</v>
      </c>
      <c r="CU114" s="1683">
        <v>0</v>
      </c>
      <c r="CV114" s="1683">
        <v>20609.57</v>
      </c>
      <c r="CW114" s="1682"/>
      <c r="CX114" s="1400"/>
      <c r="CY114" s="1400"/>
      <c r="CZ114" s="1400"/>
      <c r="DA114" s="1400"/>
      <c r="DB114" s="1682"/>
      <c r="DC114" s="1326"/>
      <c r="DD114" s="1683">
        <v>0</v>
      </c>
      <c r="DE114" s="1400"/>
      <c r="DF114" s="1400"/>
      <c r="DG114" s="1683">
        <v>0</v>
      </c>
      <c r="DH114" s="1683">
        <v>0</v>
      </c>
    </row>
    <row r="115" spans="1:112" ht="67.5">
      <c r="A115" s="1326" t="s">
        <v>2112</v>
      </c>
      <c r="B115" s="1326" t="s">
        <v>1694</v>
      </c>
      <c r="C115" s="1326" t="s">
        <v>2549</v>
      </c>
      <c r="D115" s="1326" t="s">
        <v>2550</v>
      </c>
      <c r="E115" s="1326" t="s">
        <v>144</v>
      </c>
      <c r="F115" s="1326" t="s">
        <v>2544</v>
      </c>
      <c r="G115" s="1326" t="s">
        <v>2545</v>
      </c>
      <c r="H115" s="1326" t="s">
        <v>2546</v>
      </c>
      <c r="I115" s="1326" t="s">
        <v>703</v>
      </c>
      <c r="J115" s="1326" t="s">
        <v>297</v>
      </c>
      <c r="K115" s="1326" t="s">
        <v>2101</v>
      </c>
      <c r="L115" s="1326" t="s">
        <v>2061</v>
      </c>
      <c r="M115" s="1400"/>
      <c r="N115" s="1400"/>
      <c r="O115" s="1400"/>
      <c r="P115" s="1400"/>
      <c r="Q115" s="1400"/>
      <c r="R115" s="1400"/>
      <c r="S115" s="1400"/>
      <c r="T115" s="1400"/>
      <c r="U115" s="1400"/>
      <c r="V115" s="1400"/>
      <c r="W115" s="1400"/>
      <c r="X115" s="1400"/>
      <c r="Y115" s="1685">
        <v>42986</v>
      </c>
      <c r="Z115" s="1326" t="s">
        <v>2062</v>
      </c>
      <c r="AA115" s="1683">
        <v>0</v>
      </c>
      <c r="AB115" s="1683">
        <v>0</v>
      </c>
      <c r="AC115" s="1683">
        <v>0</v>
      </c>
      <c r="AD115" s="1685">
        <v>43017</v>
      </c>
      <c r="AE115" s="1326" t="s">
        <v>2066</v>
      </c>
      <c r="AF115" s="1326" t="s">
        <v>2067</v>
      </c>
      <c r="AG115" s="1410"/>
      <c r="AH115" s="1683">
        <v>32805.839999999997</v>
      </c>
      <c r="AI115" s="1683">
        <v>16428.16</v>
      </c>
      <c r="AJ115" s="1683">
        <v>16428.150000000001</v>
      </c>
      <c r="AK115" s="1683">
        <v>16428.150000000001</v>
      </c>
      <c r="AL115" s="1683">
        <v>0</v>
      </c>
      <c r="AM115" s="1685">
        <v>43025</v>
      </c>
      <c r="AN115" s="1683">
        <v>32805.839999999997</v>
      </c>
      <c r="AO115" s="1683">
        <v>16428.150000000001</v>
      </c>
      <c r="AP115" s="1683">
        <v>16428.150000000001</v>
      </c>
      <c r="AQ115" s="1683">
        <v>16428.150000000001</v>
      </c>
      <c r="AR115" s="1683">
        <v>0</v>
      </c>
      <c r="AS115" s="1683">
        <v>16377.69</v>
      </c>
      <c r="AT115" s="1683">
        <v>0</v>
      </c>
      <c r="AU115" s="1683">
        <v>0</v>
      </c>
      <c r="AV115" s="1683">
        <v>0</v>
      </c>
      <c r="AW115" s="1683">
        <v>16377.69</v>
      </c>
      <c r="AX115" s="1400"/>
      <c r="AY115" s="1400"/>
      <c r="AZ115" s="1400"/>
      <c r="BA115" s="1682"/>
      <c r="BB115" s="1682"/>
      <c r="BC115" s="1400"/>
      <c r="BD115" s="1400"/>
      <c r="BE115" s="1683">
        <v>32805.839999999997</v>
      </c>
      <c r="BF115" s="1683">
        <v>16428.150000000001</v>
      </c>
      <c r="BG115" s="1683">
        <v>16428.150000000001</v>
      </c>
      <c r="BH115" s="1683">
        <v>16428.150000000001</v>
      </c>
      <c r="BI115" s="1683">
        <v>0</v>
      </c>
      <c r="BJ115" s="1683">
        <v>16377.69</v>
      </c>
      <c r="BK115" s="1683">
        <v>0</v>
      </c>
      <c r="BL115" s="1683">
        <v>0</v>
      </c>
      <c r="BM115" s="1683">
        <v>0</v>
      </c>
      <c r="BN115" s="1683">
        <v>16377.69</v>
      </c>
      <c r="BO115" s="1685">
        <v>43125</v>
      </c>
      <c r="BP115" s="1683">
        <v>32805.839999999997</v>
      </c>
      <c r="BQ115" s="1683">
        <v>16428.150000000001</v>
      </c>
      <c r="BR115" s="1683">
        <v>16428.150000000001</v>
      </c>
      <c r="BS115" s="1683">
        <v>16428.150000000001</v>
      </c>
      <c r="BT115" s="1683">
        <v>0</v>
      </c>
      <c r="BU115" s="1683">
        <v>16377.69</v>
      </c>
      <c r="BV115" s="1683">
        <v>0</v>
      </c>
      <c r="BW115" s="1683">
        <v>0</v>
      </c>
      <c r="BX115" s="1683">
        <v>0</v>
      </c>
      <c r="BY115" s="1683">
        <v>16377.69</v>
      </c>
      <c r="BZ115" s="1683">
        <v>0</v>
      </c>
      <c r="CA115" s="1400"/>
      <c r="CB115" s="1682"/>
      <c r="CC115" s="1682"/>
      <c r="CD115" s="1400"/>
      <c r="CE115" s="1400"/>
      <c r="CF115" s="1683">
        <v>0</v>
      </c>
      <c r="CG115" s="1683">
        <v>0</v>
      </c>
      <c r="CH115" s="1683">
        <v>0</v>
      </c>
      <c r="CI115" s="1683">
        <v>0</v>
      </c>
      <c r="CJ115" s="1683">
        <v>0</v>
      </c>
      <c r="CK115" s="1683">
        <v>0</v>
      </c>
      <c r="CL115" s="1685">
        <v>43511</v>
      </c>
      <c r="CM115" s="1683">
        <v>32805.839999999997</v>
      </c>
      <c r="CN115" s="1683">
        <v>16428.150000000001</v>
      </c>
      <c r="CO115" s="1683">
        <v>16428.150000000001</v>
      </c>
      <c r="CP115" s="1683">
        <v>16428.150000000001</v>
      </c>
      <c r="CQ115" s="1683">
        <v>0</v>
      </c>
      <c r="CR115" s="1683">
        <v>16377.69</v>
      </c>
      <c r="CS115" s="1683">
        <v>0</v>
      </c>
      <c r="CT115" s="1683">
        <v>0</v>
      </c>
      <c r="CU115" s="1683">
        <v>0</v>
      </c>
      <c r="CV115" s="1683">
        <v>16377.69</v>
      </c>
      <c r="CW115" s="1682"/>
      <c r="CX115" s="1400"/>
      <c r="CY115" s="1400"/>
      <c r="CZ115" s="1400"/>
      <c r="DA115" s="1400"/>
      <c r="DB115" s="1682"/>
      <c r="DC115" s="1326"/>
      <c r="DD115" s="1683">
        <v>0</v>
      </c>
      <c r="DE115" s="1400"/>
      <c r="DF115" s="1400"/>
      <c r="DG115" s="1683">
        <v>0</v>
      </c>
      <c r="DH115" s="1683">
        <v>0</v>
      </c>
    </row>
    <row r="116" spans="1:112" ht="67.5">
      <c r="A116" s="1326" t="s">
        <v>2113</v>
      </c>
      <c r="B116" s="1326" t="s">
        <v>1694</v>
      </c>
      <c r="C116" s="1326" t="s">
        <v>2549</v>
      </c>
      <c r="D116" s="1326" t="s">
        <v>2550</v>
      </c>
      <c r="E116" s="1326" t="s">
        <v>144</v>
      </c>
      <c r="F116" s="1326" t="s">
        <v>2544</v>
      </c>
      <c r="G116" s="1326" t="s">
        <v>2545</v>
      </c>
      <c r="H116" s="1326" t="s">
        <v>2546</v>
      </c>
      <c r="I116" s="1326" t="s">
        <v>703</v>
      </c>
      <c r="J116" s="1326" t="s">
        <v>297</v>
      </c>
      <c r="K116" s="1326" t="s">
        <v>2101</v>
      </c>
      <c r="L116" s="1326" t="s">
        <v>2061</v>
      </c>
      <c r="M116" s="1400"/>
      <c r="N116" s="1400"/>
      <c r="O116" s="1400"/>
      <c r="P116" s="1400"/>
      <c r="Q116" s="1400"/>
      <c r="R116" s="1400"/>
      <c r="S116" s="1400"/>
      <c r="T116" s="1400"/>
      <c r="U116" s="1400"/>
      <c r="V116" s="1400"/>
      <c r="W116" s="1400"/>
      <c r="X116" s="1400"/>
      <c r="Y116" s="1685">
        <v>43068</v>
      </c>
      <c r="Z116" s="1326" t="s">
        <v>2062</v>
      </c>
      <c r="AA116" s="1683">
        <v>0</v>
      </c>
      <c r="AB116" s="1683">
        <v>0</v>
      </c>
      <c r="AC116" s="1683">
        <v>0</v>
      </c>
      <c r="AD116" s="1685">
        <v>43096</v>
      </c>
      <c r="AE116" s="1326" t="s">
        <v>2079</v>
      </c>
      <c r="AF116" s="1326" t="s">
        <v>2067</v>
      </c>
      <c r="AG116" s="1410"/>
      <c r="AH116" s="1683">
        <v>77775.360000000001</v>
      </c>
      <c r="AI116" s="1683">
        <v>39553.29</v>
      </c>
      <c r="AJ116" s="1683">
        <v>39553.300000000003</v>
      </c>
      <c r="AK116" s="1683">
        <v>39553.300000000003</v>
      </c>
      <c r="AL116" s="1683">
        <v>0</v>
      </c>
      <c r="AM116" s="1685">
        <v>43098</v>
      </c>
      <c r="AN116" s="1683">
        <v>77775.360000000001</v>
      </c>
      <c r="AO116" s="1683">
        <v>39553.300000000003</v>
      </c>
      <c r="AP116" s="1683">
        <v>39553.300000000003</v>
      </c>
      <c r="AQ116" s="1683">
        <v>39553.300000000003</v>
      </c>
      <c r="AR116" s="1683">
        <v>0</v>
      </c>
      <c r="AS116" s="1683">
        <v>38222.06</v>
      </c>
      <c r="AT116" s="1683">
        <v>0</v>
      </c>
      <c r="AU116" s="1683">
        <v>0</v>
      </c>
      <c r="AV116" s="1683">
        <v>0</v>
      </c>
      <c r="AW116" s="1683">
        <v>38222.06</v>
      </c>
      <c r="AX116" s="1400"/>
      <c r="AY116" s="1400"/>
      <c r="AZ116" s="1400"/>
      <c r="BA116" s="1682"/>
      <c r="BB116" s="1682"/>
      <c r="BC116" s="1400"/>
      <c r="BD116" s="1400"/>
      <c r="BE116" s="1683">
        <v>77775.360000000001</v>
      </c>
      <c r="BF116" s="1683">
        <v>39553.300000000003</v>
      </c>
      <c r="BG116" s="1683">
        <v>39553.300000000003</v>
      </c>
      <c r="BH116" s="1683">
        <v>39553.300000000003</v>
      </c>
      <c r="BI116" s="1683">
        <v>0</v>
      </c>
      <c r="BJ116" s="1683">
        <v>38222.06</v>
      </c>
      <c r="BK116" s="1683">
        <v>0</v>
      </c>
      <c r="BL116" s="1683">
        <v>0</v>
      </c>
      <c r="BM116" s="1683">
        <v>0</v>
      </c>
      <c r="BN116" s="1683">
        <v>38222.06</v>
      </c>
      <c r="BO116" s="1685">
        <v>43189</v>
      </c>
      <c r="BP116" s="1683">
        <v>77775.360000000001</v>
      </c>
      <c r="BQ116" s="1683">
        <v>39553.300000000003</v>
      </c>
      <c r="BR116" s="1683">
        <v>39553.300000000003</v>
      </c>
      <c r="BS116" s="1683">
        <v>39553.300000000003</v>
      </c>
      <c r="BT116" s="1683">
        <v>0</v>
      </c>
      <c r="BU116" s="1683">
        <v>38222.06</v>
      </c>
      <c r="BV116" s="1683">
        <v>0</v>
      </c>
      <c r="BW116" s="1683">
        <v>0</v>
      </c>
      <c r="BX116" s="1683">
        <v>0</v>
      </c>
      <c r="BY116" s="1683">
        <v>38222.06</v>
      </c>
      <c r="BZ116" s="1683">
        <v>0</v>
      </c>
      <c r="CA116" s="1400"/>
      <c r="CB116" s="1682"/>
      <c r="CC116" s="1682"/>
      <c r="CD116" s="1400"/>
      <c r="CE116" s="1400"/>
      <c r="CF116" s="1683">
        <v>0</v>
      </c>
      <c r="CG116" s="1683">
        <v>0</v>
      </c>
      <c r="CH116" s="1683">
        <v>0</v>
      </c>
      <c r="CI116" s="1683">
        <v>0</v>
      </c>
      <c r="CJ116" s="1683">
        <v>0</v>
      </c>
      <c r="CK116" s="1683">
        <v>0</v>
      </c>
      <c r="CL116" s="1685">
        <v>43511</v>
      </c>
      <c r="CM116" s="1683">
        <v>77775.360000000001</v>
      </c>
      <c r="CN116" s="1683">
        <v>39553.300000000003</v>
      </c>
      <c r="CO116" s="1683">
        <v>39553.300000000003</v>
      </c>
      <c r="CP116" s="1683">
        <v>39553.300000000003</v>
      </c>
      <c r="CQ116" s="1683">
        <v>0</v>
      </c>
      <c r="CR116" s="1683">
        <v>38222.06</v>
      </c>
      <c r="CS116" s="1683">
        <v>0</v>
      </c>
      <c r="CT116" s="1683">
        <v>0</v>
      </c>
      <c r="CU116" s="1683">
        <v>0</v>
      </c>
      <c r="CV116" s="1683">
        <v>38222.06</v>
      </c>
      <c r="CW116" s="1682"/>
      <c r="CX116" s="1400"/>
      <c r="CY116" s="1400"/>
      <c r="CZ116" s="1400"/>
      <c r="DA116" s="1400"/>
      <c r="DB116" s="1682"/>
      <c r="DC116" s="1326"/>
      <c r="DD116" s="1683">
        <v>0</v>
      </c>
      <c r="DE116" s="1400"/>
      <c r="DF116" s="1400"/>
      <c r="DG116" s="1683">
        <v>0</v>
      </c>
      <c r="DH116" s="1683">
        <v>0</v>
      </c>
    </row>
    <row r="117" spans="1:112" ht="67.5">
      <c r="A117" s="1326" t="s">
        <v>2114</v>
      </c>
      <c r="B117" s="1326" t="s">
        <v>1694</v>
      </c>
      <c r="C117" s="1326" t="s">
        <v>2549</v>
      </c>
      <c r="D117" s="1326" t="s">
        <v>2550</v>
      </c>
      <c r="E117" s="1326" t="s">
        <v>144</v>
      </c>
      <c r="F117" s="1326" t="s">
        <v>2544</v>
      </c>
      <c r="G117" s="1326" t="s">
        <v>2545</v>
      </c>
      <c r="H117" s="1326" t="s">
        <v>2546</v>
      </c>
      <c r="I117" s="1326" t="s">
        <v>703</v>
      </c>
      <c r="J117" s="1326" t="s">
        <v>297</v>
      </c>
      <c r="K117" s="1326" t="s">
        <v>2101</v>
      </c>
      <c r="L117" s="1326" t="s">
        <v>2061</v>
      </c>
      <c r="M117" s="1400"/>
      <c r="N117" s="1400"/>
      <c r="O117" s="1400"/>
      <c r="P117" s="1400"/>
      <c r="Q117" s="1400"/>
      <c r="R117" s="1400"/>
      <c r="S117" s="1400"/>
      <c r="T117" s="1400"/>
      <c r="U117" s="1400"/>
      <c r="V117" s="1400"/>
      <c r="W117" s="1400"/>
      <c r="X117" s="1400"/>
      <c r="Y117" s="1685">
        <v>43068</v>
      </c>
      <c r="Z117" s="1326" t="s">
        <v>2062</v>
      </c>
      <c r="AA117" s="1683">
        <v>0</v>
      </c>
      <c r="AB117" s="1683">
        <v>0</v>
      </c>
      <c r="AC117" s="1683">
        <v>0</v>
      </c>
      <c r="AD117" s="1685">
        <v>43096</v>
      </c>
      <c r="AE117" s="1326" t="s">
        <v>2079</v>
      </c>
      <c r="AF117" s="1326" t="s">
        <v>2064</v>
      </c>
      <c r="AG117" s="1410"/>
      <c r="AH117" s="1683">
        <v>344.21</v>
      </c>
      <c r="AI117" s="1683">
        <v>215.75</v>
      </c>
      <c r="AJ117" s="1683">
        <v>215.74</v>
      </c>
      <c r="AK117" s="1683">
        <v>215.74</v>
      </c>
      <c r="AL117" s="1683">
        <v>0</v>
      </c>
      <c r="AM117" s="1685">
        <v>43096</v>
      </c>
      <c r="AN117" s="1683">
        <v>344.21</v>
      </c>
      <c r="AO117" s="1683">
        <v>215.74</v>
      </c>
      <c r="AP117" s="1683">
        <v>215.74</v>
      </c>
      <c r="AQ117" s="1683">
        <v>215.74</v>
      </c>
      <c r="AR117" s="1683">
        <v>0</v>
      </c>
      <c r="AS117" s="1683">
        <v>128.47</v>
      </c>
      <c r="AT117" s="1683">
        <v>0</v>
      </c>
      <c r="AU117" s="1683">
        <v>0</v>
      </c>
      <c r="AV117" s="1683">
        <v>0</v>
      </c>
      <c r="AW117" s="1683">
        <v>128.47</v>
      </c>
      <c r="AX117" s="1400"/>
      <c r="AY117" s="1400"/>
      <c r="AZ117" s="1400"/>
      <c r="BA117" s="1682"/>
      <c r="BB117" s="1682"/>
      <c r="BC117" s="1400"/>
      <c r="BD117" s="1400"/>
      <c r="BE117" s="1683">
        <v>344.21</v>
      </c>
      <c r="BF117" s="1683">
        <v>215.74</v>
      </c>
      <c r="BG117" s="1683">
        <v>215.74</v>
      </c>
      <c r="BH117" s="1683">
        <v>215.74</v>
      </c>
      <c r="BI117" s="1683">
        <v>0</v>
      </c>
      <c r="BJ117" s="1683">
        <v>128.47</v>
      </c>
      <c r="BK117" s="1683">
        <v>0</v>
      </c>
      <c r="BL117" s="1683">
        <v>0</v>
      </c>
      <c r="BM117" s="1683">
        <v>0</v>
      </c>
      <c r="BN117" s="1683">
        <v>128.47</v>
      </c>
      <c r="BO117" s="1685">
        <v>43189</v>
      </c>
      <c r="BP117" s="1683">
        <v>344.21</v>
      </c>
      <c r="BQ117" s="1683">
        <v>215.74</v>
      </c>
      <c r="BR117" s="1683">
        <v>215.74</v>
      </c>
      <c r="BS117" s="1683">
        <v>215.74</v>
      </c>
      <c r="BT117" s="1683">
        <v>0</v>
      </c>
      <c r="BU117" s="1683">
        <v>128.47</v>
      </c>
      <c r="BV117" s="1683">
        <v>0</v>
      </c>
      <c r="BW117" s="1683">
        <v>0</v>
      </c>
      <c r="BX117" s="1683">
        <v>0</v>
      </c>
      <c r="BY117" s="1683">
        <v>128.47</v>
      </c>
      <c r="BZ117" s="1683">
        <v>0</v>
      </c>
      <c r="CA117" s="1400"/>
      <c r="CB117" s="1682"/>
      <c r="CC117" s="1682"/>
      <c r="CD117" s="1400"/>
      <c r="CE117" s="1400"/>
      <c r="CF117" s="1683">
        <v>0</v>
      </c>
      <c r="CG117" s="1683">
        <v>0</v>
      </c>
      <c r="CH117" s="1683">
        <v>0</v>
      </c>
      <c r="CI117" s="1683">
        <v>0</v>
      </c>
      <c r="CJ117" s="1683">
        <v>0</v>
      </c>
      <c r="CK117" s="1683">
        <v>0</v>
      </c>
      <c r="CL117" s="1685">
        <v>43511</v>
      </c>
      <c r="CM117" s="1683">
        <v>344.21</v>
      </c>
      <c r="CN117" s="1683">
        <v>215.74</v>
      </c>
      <c r="CO117" s="1683">
        <v>215.74</v>
      </c>
      <c r="CP117" s="1683">
        <v>215.74</v>
      </c>
      <c r="CQ117" s="1683">
        <v>0</v>
      </c>
      <c r="CR117" s="1683">
        <v>128.47</v>
      </c>
      <c r="CS117" s="1683">
        <v>0</v>
      </c>
      <c r="CT117" s="1683">
        <v>0</v>
      </c>
      <c r="CU117" s="1683">
        <v>0</v>
      </c>
      <c r="CV117" s="1683">
        <v>128.47</v>
      </c>
      <c r="CW117" s="1682"/>
      <c r="CX117" s="1400"/>
      <c r="CY117" s="1400"/>
      <c r="CZ117" s="1400"/>
      <c r="DA117" s="1400"/>
      <c r="DB117" s="1682"/>
      <c r="DC117" s="1326"/>
      <c r="DD117" s="1683">
        <v>0</v>
      </c>
      <c r="DE117" s="1400"/>
      <c r="DF117" s="1400"/>
      <c r="DG117" s="1683">
        <v>0</v>
      </c>
      <c r="DH117" s="1683">
        <v>0</v>
      </c>
    </row>
    <row r="118" spans="1:112" ht="67.5">
      <c r="A118" s="1326" t="s">
        <v>2115</v>
      </c>
      <c r="B118" s="1326" t="s">
        <v>1694</v>
      </c>
      <c r="C118" s="1326" t="s">
        <v>2549</v>
      </c>
      <c r="D118" s="1326" t="s">
        <v>2550</v>
      </c>
      <c r="E118" s="1326" t="s">
        <v>144</v>
      </c>
      <c r="F118" s="1326" t="s">
        <v>2544</v>
      </c>
      <c r="G118" s="1326" t="s">
        <v>2545</v>
      </c>
      <c r="H118" s="1326" t="s">
        <v>2546</v>
      </c>
      <c r="I118" s="1326" t="s">
        <v>703</v>
      </c>
      <c r="J118" s="1326" t="s">
        <v>297</v>
      </c>
      <c r="K118" s="1326" t="s">
        <v>2101</v>
      </c>
      <c r="L118" s="1326" t="s">
        <v>2061</v>
      </c>
      <c r="M118" s="1400"/>
      <c r="N118" s="1400"/>
      <c r="O118" s="1400"/>
      <c r="P118" s="1400"/>
      <c r="Q118" s="1400"/>
      <c r="R118" s="1400"/>
      <c r="S118" s="1400"/>
      <c r="T118" s="1400"/>
      <c r="U118" s="1400"/>
      <c r="V118" s="1400"/>
      <c r="W118" s="1400"/>
      <c r="X118" s="1400"/>
      <c r="Y118" s="1685">
        <v>43172</v>
      </c>
      <c r="Z118" s="1326" t="s">
        <v>2062</v>
      </c>
      <c r="AA118" s="1683">
        <v>0</v>
      </c>
      <c r="AB118" s="1683">
        <v>0</v>
      </c>
      <c r="AC118" s="1683">
        <v>0</v>
      </c>
      <c r="AD118" s="1685">
        <v>43199</v>
      </c>
      <c r="AE118" s="1326" t="s">
        <v>2081</v>
      </c>
      <c r="AF118" s="1326" t="s">
        <v>2067</v>
      </c>
      <c r="AG118" s="1410"/>
      <c r="AH118" s="1683">
        <v>0</v>
      </c>
      <c r="AI118" s="1683">
        <v>0</v>
      </c>
      <c r="AJ118" s="1683">
        <v>0</v>
      </c>
      <c r="AK118" s="1683">
        <v>0</v>
      </c>
      <c r="AL118" s="1683">
        <v>0</v>
      </c>
      <c r="AM118" s="1682"/>
      <c r="AN118" s="1683">
        <v>0</v>
      </c>
      <c r="AO118" s="1683">
        <v>0</v>
      </c>
      <c r="AP118" s="1683">
        <v>0</v>
      </c>
      <c r="AQ118" s="1683">
        <v>0</v>
      </c>
      <c r="AR118" s="1683">
        <v>0</v>
      </c>
      <c r="AS118" s="1683">
        <v>0</v>
      </c>
      <c r="AT118" s="1683">
        <v>0</v>
      </c>
      <c r="AU118" s="1683">
        <v>0</v>
      </c>
      <c r="AV118" s="1683">
        <v>0</v>
      </c>
      <c r="AW118" s="1683">
        <v>0</v>
      </c>
      <c r="AX118" s="1400"/>
      <c r="AY118" s="1400"/>
      <c r="AZ118" s="1400"/>
      <c r="BA118" s="1682"/>
      <c r="BB118" s="1682"/>
      <c r="BC118" s="1400"/>
      <c r="BD118" s="1400"/>
      <c r="BE118" s="1683">
        <v>0</v>
      </c>
      <c r="BF118" s="1683">
        <v>0</v>
      </c>
      <c r="BG118" s="1683">
        <v>0</v>
      </c>
      <c r="BH118" s="1683">
        <v>0</v>
      </c>
      <c r="BI118" s="1683">
        <v>0</v>
      </c>
      <c r="BJ118" s="1683">
        <v>0</v>
      </c>
      <c r="BK118" s="1683">
        <v>0</v>
      </c>
      <c r="BL118" s="1683">
        <v>0</v>
      </c>
      <c r="BM118" s="1683">
        <v>0</v>
      </c>
      <c r="BN118" s="1683">
        <v>0</v>
      </c>
      <c r="BO118" s="1682"/>
      <c r="BP118" s="1683">
        <v>0</v>
      </c>
      <c r="BQ118" s="1683">
        <v>0</v>
      </c>
      <c r="BR118" s="1683">
        <v>0</v>
      </c>
      <c r="BS118" s="1683">
        <v>0</v>
      </c>
      <c r="BT118" s="1683">
        <v>0</v>
      </c>
      <c r="BU118" s="1683">
        <v>0</v>
      </c>
      <c r="BV118" s="1683">
        <v>0</v>
      </c>
      <c r="BW118" s="1683">
        <v>0</v>
      </c>
      <c r="BX118" s="1683">
        <v>0</v>
      </c>
      <c r="BY118" s="1683">
        <v>0</v>
      </c>
      <c r="BZ118" s="1400"/>
      <c r="CA118" s="1400"/>
      <c r="CB118" s="1682"/>
      <c r="CC118" s="1682"/>
      <c r="CD118" s="1400"/>
      <c r="CE118" s="1400"/>
      <c r="CF118" s="1683">
        <v>0</v>
      </c>
      <c r="CG118" s="1683">
        <v>0</v>
      </c>
      <c r="CH118" s="1683">
        <v>0</v>
      </c>
      <c r="CI118" s="1683">
        <v>0</v>
      </c>
      <c r="CJ118" s="1683">
        <v>0</v>
      </c>
      <c r="CK118" s="1683">
        <v>0</v>
      </c>
      <c r="CL118" s="1682"/>
      <c r="CM118" s="1683">
        <v>0</v>
      </c>
      <c r="CN118" s="1683">
        <v>0</v>
      </c>
      <c r="CO118" s="1683">
        <v>0</v>
      </c>
      <c r="CP118" s="1683">
        <v>0</v>
      </c>
      <c r="CQ118" s="1683">
        <v>0</v>
      </c>
      <c r="CR118" s="1683">
        <v>0</v>
      </c>
      <c r="CS118" s="1683">
        <v>0</v>
      </c>
      <c r="CT118" s="1683">
        <v>0</v>
      </c>
      <c r="CU118" s="1683">
        <v>0</v>
      </c>
      <c r="CV118" s="1683">
        <v>0</v>
      </c>
      <c r="CW118" s="1682"/>
      <c r="CX118" s="1400"/>
      <c r="CY118" s="1400"/>
      <c r="CZ118" s="1400"/>
      <c r="DA118" s="1400"/>
      <c r="DB118" s="1682"/>
      <c r="DC118" s="1326"/>
      <c r="DD118" s="1683">
        <v>0</v>
      </c>
      <c r="DE118" s="1400"/>
      <c r="DF118" s="1400"/>
      <c r="DG118" s="1683">
        <v>0</v>
      </c>
      <c r="DH118" s="1683">
        <v>0</v>
      </c>
    </row>
    <row r="119" spans="1:112" ht="67.5">
      <c r="A119" s="1326" t="s">
        <v>2116</v>
      </c>
      <c r="B119" s="1326" t="s">
        <v>1694</v>
      </c>
      <c r="C119" s="1326" t="s">
        <v>2549</v>
      </c>
      <c r="D119" s="1326" t="s">
        <v>2550</v>
      </c>
      <c r="E119" s="1326" t="s">
        <v>144</v>
      </c>
      <c r="F119" s="1326" t="s">
        <v>2544</v>
      </c>
      <c r="G119" s="1326" t="s">
        <v>2545</v>
      </c>
      <c r="H119" s="1326" t="s">
        <v>2546</v>
      </c>
      <c r="I119" s="1326" t="s">
        <v>703</v>
      </c>
      <c r="J119" s="1326" t="s">
        <v>297</v>
      </c>
      <c r="K119" s="1326" t="s">
        <v>2101</v>
      </c>
      <c r="L119" s="1326" t="s">
        <v>2061</v>
      </c>
      <c r="M119" s="1400"/>
      <c r="N119" s="1400"/>
      <c r="O119" s="1400"/>
      <c r="P119" s="1400"/>
      <c r="Q119" s="1400"/>
      <c r="R119" s="1400"/>
      <c r="S119" s="1400"/>
      <c r="T119" s="1400"/>
      <c r="U119" s="1400"/>
      <c r="V119" s="1400"/>
      <c r="W119" s="1400"/>
      <c r="X119" s="1400"/>
      <c r="Y119" s="1685">
        <v>43172</v>
      </c>
      <c r="Z119" s="1326" t="s">
        <v>2062</v>
      </c>
      <c r="AA119" s="1683">
        <v>0</v>
      </c>
      <c r="AB119" s="1683">
        <v>0</v>
      </c>
      <c r="AC119" s="1683">
        <v>0</v>
      </c>
      <c r="AD119" s="1685">
        <v>43203</v>
      </c>
      <c r="AE119" s="1326" t="s">
        <v>2081</v>
      </c>
      <c r="AF119" s="1326" t="s">
        <v>2064</v>
      </c>
      <c r="AG119" s="1410"/>
      <c r="AH119" s="1683">
        <v>850</v>
      </c>
      <c r="AI119" s="1683">
        <v>532.77</v>
      </c>
      <c r="AJ119" s="1683">
        <v>532.78</v>
      </c>
      <c r="AK119" s="1683">
        <v>532.78</v>
      </c>
      <c r="AL119" s="1683">
        <v>0</v>
      </c>
      <c r="AM119" s="1685">
        <v>43203</v>
      </c>
      <c r="AN119" s="1683">
        <v>850</v>
      </c>
      <c r="AO119" s="1683">
        <v>532.78</v>
      </c>
      <c r="AP119" s="1683">
        <v>532.78</v>
      </c>
      <c r="AQ119" s="1683">
        <v>532.78</v>
      </c>
      <c r="AR119" s="1683">
        <v>0</v>
      </c>
      <c r="AS119" s="1683">
        <v>317.22000000000003</v>
      </c>
      <c r="AT119" s="1683">
        <v>0</v>
      </c>
      <c r="AU119" s="1683">
        <v>0</v>
      </c>
      <c r="AV119" s="1683">
        <v>0</v>
      </c>
      <c r="AW119" s="1683">
        <v>317.22000000000003</v>
      </c>
      <c r="AX119" s="1400"/>
      <c r="AY119" s="1400"/>
      <c r="AZ119" s="1400"/>
      <c r="BA119" s="1682"/>
      <c r="BB119" s="1682"/>
      <c r="BC119" s="1400"/>
      <c r="BD119" s="1400"/>
      <c r="BE119" s="1683">
        <v>850</v>
      </c>
      <c r="BF119" s="1683">
        <v>532.78</v>
      </c>
      <c r="BG119" s="1683">
        <v>532.78</v>
      </c>
      <c r="BH119" s="1683">
        <v>532.78</v>
      </c>
      <c r="BI119" s="1683">
        <v>0</v>
      </c>
      <c r="BJ119" s="1683">
        <v>317.22000000000003</v>
      </c>
      <c r="BK119" s="1683">
        <v>0</v>
      </c>
      <c r="BL119" s="1683">
        <v>0</v>
      </c>
      <c r="BM119" s="1683">
        <v>0</v>
      </c>
      <c r="BN119" s="1683">
        <v>317.22000000000003</v>
      </c>
      <c r="BO119" s="1685">
        <v>43355</v>
      </c>
      <c r="BP119" s="1683">
        <v>850</v>
      </c>
      <c r="BQ119" s="1683">
        <v>532.78</v>
      </c>
      <c r="BR119" s="1683">
        <v>532.78</v>
      </c>
      <c r="BS119" s="1683">
        <v>532.78</v>
      </c>
      <c r="BT119" s="1683">
        <v>0</v>
      </c>
      <c r="BU119" s="1683">
        <v>317.22000000000003</v>
      </c>
      <c r="BV119" s="1683">
        <v>0</v>
      </c>
      <c r="BW119" s="1683">
        <v>0</v>
      </c>
      <c r="BX119" s="1683">
        <v>0</v>
      </c>
      <c r="BY119" s="1683">
        <v>317.22000000000003</v>
      </c>
      <c r="BZ119" s="1683">
        <v>0</v>
      </c>
      <c r="CA119" s="1400"/>
      <c r="CB119" s="1682"/>
      <c r="CC119" s="1682"/>
      <c r="CD119" s="1400"/>
      <c r="CE119" s="1400"/>
      <c r="CF119" s="1683">
        <v>0</v>
      </c>
      <c r="CG119" s="1683">
        <v>0</v>
      </c>
      <c r="CH119" s="1683">
        <v>0</v>
      </c>
      <c r="CI119" s="1683">
        <v>0</v>
      </c>
      <c r="CJ119" s="1683">
        <v>0</v>
      </c>
      <c r="CK119" s="1683">
        <v>0</v>
      </c>
      <c r="CL119" s="1682"/>
      <c r="CM119" s="1683">
        <v>0</v>
      </c>
      <c r="CN119" s="1683">
        <v>0</v>
      </c>
      <c r="CO119" s="1683">
        <v>0</v>
      </c>
      <c r="CP119" s="1683">
        <v>0</v>
      </c>
      <c r="CQ119" s="1683">
        <v>0</v>
      </c>
      <c r="CR119" s="1683">
        <v>0</v>
      </c>
      <c r="CS119" s="1683">
        <v>0</v>
      </c>
      <c r="CT119" s="1683">
        <v>0</v>
      </c>
      <c r="CU119" s="1683">
        <v>0</v>
      </c>
      <c r="CV119" s="1683">
        <v>0</v>
      </c>
      <c r="CW119" s="1682"/>
      <c r="CX119" s="1400"/>
      <c r="CY119" s="1400"/>
      <c r="CZ119" s="1400"/>
      <c r="DA119" s="1400"/>
      <c r="DB119" s="1682"/>
      <c r="DC119" s="1326"/>
      <c r="DD119" s="1683">
        <v>0</v>
      </c>
      <c r="DE119" s="1400"/>
      <c r="DF119" s="1400"/>
      <c r="DG119" s="1683">
        <v>0</v>
      </c>
      <c r="DH119" s="1683">
        <v>0</v>
      </c>
    </row>
    <row r="120" spans="1:112" ht="67.5">
      <c r="A120" s="1326" t="s">
        <v>2117</v>
      </c>
      <c r="B120" s="1326" t="s">
        <v>1694</v>
      </c>
      <c r="C120" s="1326" t="s">
        <v>2549</v>
      </c>
      <c r="D120" s="1326" t="s">
        <v>2550</v>
      </c>
      <c r="E120" s="1326" t="s">
        <v>144</v>
      </c>
      <c r="F120" s="1326" t="s">
        <v>2544</v>
      </c>
      <c r="G120" s="1326" t="s">
        <v>2545</v>
      </c>
      <c r="H120" s="1326" t="s">
        <v>2546</v>
      </c>
      <c r="I120" s="1326" t="s">
        <v>703</v>
      </c>
      <c r="J120" s="1326" t="s">
        <v>297</v>
      </c>
      <c r="K120" s="1326" t="s">
        <v>2101</v>
      </c>
      <c r="L120" s="1326" t="s">
        <v>2061</v>
      </c>
      <c r="M120" s="1400"/>
      <c r="N120" s="1400"/>
      <c r="O120" s="1400"/>
      <c r="P120" s="1400"/>
      <c r="Q120" s="1400"/>
      <c r="R120" s="1400"/>
      <c r="S120" s="1400"/>
      <c r="T120" s="1400"/>
      <c r="U120" s="1400"/>
      <c r="V120" s="1400"/>
      <c r="W120" s="1400"/>
      <c r="X120" s="1400"/>
      <c r="Y120" s="1685">
        <v>43307</v>
      </c>
      <c r="Z120" s="1326" t="s">
        <v>2062</v>
      </c>
      <c r="AA120" s="1683">
        <v>0</v>
      </c>
      <c r="AB120" s="1683">
        <v>0</v>
      </c>
      <c r="AC120" s="1683">
        <v>0</v>
      </c>
      <c r="AD120" s="1685">
        <v>43333</v>
      </c>
      <c r="AE120" s="1326" t="s">
        <v>2082</v>
      </c>
      <c r="AF120" s="1326" t="s">
        <v>2067</v>
      </c>
      <c r="AG120" s="1410"/>
      <c r="AH120" s="1683">
        <v>60431.11</v>
      </c>
      <c r="AI120" s="1683">
        <v>30215.55</v>
      </c>
      <c r="AJ120" s="1683">
        <v>30215.55</v>
      </c>
      <c r="AK120" s="1683">
        <v>30215.55</v>
      </c>
      <c r="AL120" s="1683">
        <v>0</v>
      </c>
      <c r="AM120" s="1685">
        <v>43334</v>
      </c>
      <c r="AN120" s="1683">
        <v>60431.11</v>
      </c>
      <c r="AO120" s="1683">
        <v>30215.55</v>
      </c>
      <c r="AP120" s="1683">
        <v>30215.55</v>
      </c>
      <c r="AQ120" s="1683">
        <v>30215.55</v>
      </c>
      <c r="AR120" s="1683">
        <v>0</v>
      </c>
      <c r="AS120" s="1683">
        <v>30215.56</v>
      </c>
      <c r="AT120" s="1683">
        <v>0</v>
      </c>
      <c r="AU120" s="1683">
        <v>0</v>
      </c>
      <c r="AV120" s="1683">
        <v>0</v>
      </c>
      <c r="AW120" s="1683">
        <v>30215.56</v>
      </c>
      <c r="AX120" s="1400"/>
      <c r="AY120" s="1400"/>
      <c r="AZ120" s="1400"/>
      <c r="BA120" s="1682"/>
      <c r="BB120" s="1682"/>
      <c r="BC120" s="1400"/>
      <c r="BD120" s="1400"/>
      <c r="BE120" s="1683">
        <v>60431.11</v>
      </c>
      <c r="BF120" s="1683">
        <v>30215.55</v>
      </c>
      <c r="BG120" s="1683">
        <v>30215.55</v>
      </c>
      <c r="BH120" s="1683">
        <v>30215.55</v>
      </c>
      <c r="BI120" s="1683">
        <v>0</v>
      </c>
      <c r="BJ120" s="1683">
        <v>30215.56</v>
      </c>
      <c r="BK120" s="1683">
        <v>0</v>
      </c>
      <c r="BL120" s="1683">
        <v>0</v>
      </c>
      <c r="BM120" s="1683">
        <v>0</v>
      </c>
      <c r="BN120" s="1683">
        <v>30215.56</v>
      </c>
      <c r="BO120" s="1685">
        <v>43397</v>
      </c>
      <c r="BP120" s="1683">
        <v>60431.11</v>
      </c>
      <c r="BQ120" s="1683">
        <v>30215.55</v>
      </c>
      <c r="BR120" s="1683">
        <v>30215.55</v>
      </c>
      <c r="BS120" s="1683">
        <v>30215.55</v>
      </c>
      <c r="BT120" s="1683">
        <v>0</v>
      </c>
      <c r="BU120" s="1683">
        <v>30215.56</v>
      </c>
      <c r="BV120" s="1683">
        <v>0</v>
      </c>
      <c r="BW120" s="1683">
        <v>0</v>
      </c>
      <c r="BX120" s="1683">
        <v>0</v>
      </c>
      <c r="BY120" s="1683">
        <v>30215.56</v>
      </c>
      <c r="BZ120" s="1683">
        <v>0</v>
      </c>
      <c r="CA120" s="1400"/>
      <c r="CB120" s="1682"/>
      <c r="CC120" s="1682"/>
      <c r="CD120" s="1400"/>
      <c r="CE120" s="1400"/>
      <c r="CF120" s="1683">
        <v>0</v>
      </c>
      <c r="CG120" s="1683">
        <v>0</v>
      </c>
      <c r="CH120" s="1683">
        <v>0</v>
      </c>
      <c r="CI120" s="1683">
        <v>0</v>
      </c>
      <c r="CJ120" s="1683">
        <v>0</v>
      </c>
      <c r="CK120" s="1683">
        <v>0</v>
      </c>
      <c r="CL120" s="1682"/>
      <c r="CM120" s="1683">
        <v>0</v>
      </c>
      <c r="CN120" s="1683">
        <v>0</v>
      </c>
      <c r="CO120" s="1683">
        <v>0</v>
      </c>
      <c r="CP120" s="1683">
        <v>0</v>
      </c>
      <c r="CQ120" s="1683">
        <v>0</v>
      </c>
      <c r="CR120" s="1683">
        <v>0</v>
      </c>
      <c r="CS120" s="1683">
        <v>0</v>
      </c>
      <c r="CT120" s="1683">
        <v>0</v>
      </c>
      <c r="CU120" s="1683">
        <v>0</v>
      </c>
      <c r="CV120" s="1683">
        <v>0</v>
      </c>
      <c r="CW120" s="1682"/>
      <c r="CX120" s="1400"/>
      <c r="CY120" s="1400"/>
      <c r="CZ120" s="1400"/>
      <c r="DA120" s="1400"/>
      <c r="DB120" s="1682"/>
      <c r="DC120" s="1326"/>
      <c r="DD120" s="1683">
        <v>0</v>
      </c>
      <c r="DE120" s="1400"/>
      <c r="DF120" s="1400"/>
      <c r="DG120" s="1683">
        <v>0</v>
      </c>
      <c r="DH120" s="1683">
        <v>0</v>
      </c>
    </row>
    <row r="121" spans="1:112" ht="67.5">
      <c r="A121" s="1326" t="s">
        <v>2118</v>
      </c>
      <c r="B121" s="1326" t="s">
        <v>1694</v>
      </c>
      <c r="C121" s="1326" t="s">
        <v>2549</v>
      </c>
      <c r="D121" s="1326" t="s">
        <v>2550</v>
      </c>
      <c r="E121" s="1326" t="s">
        <v>144</v>
      </c>
      <c r="F121" s="1326" t="s">
        <v>2544</v>
      </c>
      <c r="G121" s="1326" t="s">
        <v>2545</v>
      </c>
      <c r="H121" s="1326" t="s">
        <v>2546</v>
      </c>
      <c r="I121" s="1326" t="s">
        <v>703</v>
      </c>
      <c r="J121" s="1326" t="s">
        <v>297</v>
      </c>
      <c r="K121" s="1326" t="s">
        <v>2101</v>
      </c>
      <c r="L121" s="1326" t="s">
        <v>2061</v>
      </c>
      <c r="M121" s="1400"/>
      <c r="N121" s="1400"/>
      <c r="O121" s="1400"/>
      <c r="P121" s="1400"/>
      <c r="Q121" s="1400"/>
      <c r="R121" s="1400"/>
      <c r="S121" s="1400"/>
      <c r="T121" s="1400"/>
      <c r="U121" s="1400"/>
      <c r="V121" s="1400"/>
      <c r="W121" s="1400"/>
      <c r="X121" s="1400"/>
      <c r="Y121" s="1685">
        <v>43354</v>
      </c>
      <c r="Z121" s="1326" t="s">
        <v>2062</v>
      </c>
      <c r="AA121" s="1683">
        <v>0</v>
      </c>
      <c r="AB121" s="1683">
        <v>0</v>
      </c>
      <c r="AC121" s="1683">
        <v>0</v>
      </c>
      <c r="AD121" s="1685">
        <v>43385</v>
      </c>
      <c r="AE121" s="1326" t="s">
        <v>2083</v>
      </c>
      <c r="AF121" s="1326" t="s">
        <v>2067</v>
      </c>
      <c r="AG121" s="1410"/>
      <c r="AH121" s="1683">
        <v>189660.09</v>
      </c>
      <c r="AI121" s="1683">
        <v>123754.94</v>
      </c>
      <c r="AJ121" s="1683">
        <v>123754.94</v>
      </c>
      <c r="AK121" s="1683">
        <v>123754.94</v>
      </c>
      <c r="AL121" s="1683">
        <v>0</v>
      </c>
      <c r="AM121" s="1685">
        <v>43390</v>
      </c>
      <c r="AN121" s="1683">
        <v>189660.09</v>
      </c>
      <c r="AO121" s="1683">
        <v>123754.94</v>
      </c>
      <c r="AP121" s="1683">
        <v>123754.94</v>
      </c>
      <c r="AQ121" s="1683">
        <v>123754.94</v>
      </c>
      <c r="AR121" s="1683">
        <v>0</v>
      </c>
      <c r="AS121" s="1683">
        <v>65905.149999999994</v>
      </c>
      <c r="AT121" s="1683">
        <v>0</v>
      </c>
      <c r="AU121" s="1683">
        <v>0</v>
      </c>
      <c r="AV121" s="1683">
        <v>0</v>
      </c>
      <c r="AW121" s="1683">
        <v>65905.149999999994</v>
      </c>
      <c r="AX121" s="1400"/>
      <c r="AY121" s="1400"/>
      <c r="AZ121" s="1400"/>
      <c r="BA121" s="1682"/>
      <c r="BB121" s="1682"/>
      <c r="BC121" s="1400"/>
      <c r="BD121" s="1400"/>
      <c r="BE121" s="1683">
        <v>189660.09</v>
      </c>
      <c r="BF121" s="1683">
        <v>123754.94</v>
      </c>
      <c r="BG121" s="1683">
        <v>123754.94</v>
      </c>
      <c r="BH121" s="1683">
        <v>123754.94</v>
      </c>
      <c r="BI121" s="1683">
        <v>0</v>
      </c>
      <c r="BJ121" s="1683">
        <v>65905.149999999994</v>
      </c>
      <c r="BK121" s="1683">
        <v>0</v>
      </c>
      <c r="BL121" s="1683">
        <v>0</v>
      </c>
      <c r="BM121" s="1683">
        <v>0</v>
      </c>
      <c r="BN121" s="1683">
        <v>65905.149999999994</v>
      </c>
      <c r="BO121" s="1685">
        <v>43553</v>
      </c>
      <c r="BP121" s="1683">
        <v>189660.09</v>
      </c>
      <c r="BQ121" s="1683">
        <v>123754.94</v>
      </c>
      <c r="BR121" s="1683">
        <v>123754.94</v>
      </c>
      <c r="BS121" s="1683">
        <v>123754.94</v>
      </c>
      <c r="BT121" s="1683">
        <v>0</v>
      </c>
      <c r="BU121" s="1683">
        <v>65905.149999999994</v>
      </c>
      <c r="BV121" s="1683">
        <v>0</v>
      </c>
      <c r="BW121" s="1683">
        <v>0</v>
      </c>
      <c r="BX121" s="1683">
        <v>0</v>
      </c>
      <c r="BY121" s="1683">
        <v>65905.149999999994</v>
      </c>
      <c r="BZ121" s="1683">
        <v>0</v>
      </c>
      <c r="CA121" s="1400"/>
      <c r="CB121" s="1682"/>
      <c r="CC121" s="1682"/>
      <c r="CD121" s="1400"/>
      <c r="CE121" s="1400"/>
      <c r="CF121" s="1683">
        <v>0</v>
      </c>
      <c r="CG121" s="1683">
        <v>0</v>
      </c>
      <c r="CH121" s="1683">
        <v>0</v>
      </c>
      <c r="CI121" s="1683">
        <v>0</v>
      </c>
      <c r="CJ121" s="1683">
        <v>0</v>
      </c>
      <c r="CK121" s="1683">
        <v>0</v>
      </c>
      <c r="CL121" s="1682"/>
      <c r="CM121" s="1683">
        <v>0</v>
      </c>
      <c r="CN121" s="1683">
        <v>0</v>
      </c>
      <c r="CO121" s="1683">
        <v>0</v>
      </c>
      <c r="CP121" s="1683">
        <v>0</v>
      </c>
      <c r="CQ121" s="1683">
        <v>0</v>
      </c>
      <c r="CR121" s="1683">
        <v>0</v>
      </c>
      <c r="CS121" s="1683">
        <v>0</v>
      </c>
      <c r="CT121" s="1683">
        <v>0</v>
      </c>
      <c r="CU121" s="1683">
        <v>0</v>
      </c>
      <c r="CV121" s="1683">
        <v>0</v>
      </c>
      <c r="CW121" s="1682"/>
      <c r="CX121" s="1400"/>
      <c r="CY121" s="1400"/>
      <c r="CZ121" s="1400"/>
      <c r="DA121" s="1400"/>
      <c r="DB121" s="1682"/>
      <c r="DC121" s="1326"/>
      <c r="DD121" s="1683">
        <v>0</v>
      </c>
      <c r="DE121" s="1400"/>
      <c r="DF121" s="1400"/>
      <c r="DG121" s="1683">
        <v>0</v>
      </c>
      <c r="DH121" s="1683">
        <v>0</v>
      </c>
    </row>
    <row r="122" spans="1:112" ht="67.5">
      <c r="A122" s="1326" t="s">
        <v>2119</v>
      </c>
      <c r="B122" s="1326" t="s">
        <v>1694</v>
      </c>
      <c r="C122" s="1326" t="s">
        <v>2549</v>
      </c>
      <c r="D122" s="1326" t="s">
        <v>2550</v>
      </c>
      <c r="E122" s="1326" t="s">
        <v>144</v>
      </c>
      <c r="F122" s="1326" t="s">
        <v>2544</v>
      </c>
      <c r="G122" s="1326" t="s">
        <v>2545</v>
      </c>
      <c r="H122" s="1326" t="s">
        <v>2546</v>
      </c>
      <c r="I122" s="1326" t="s">
        <v>703</v>
      </c>
      <c r="J122" s="1326" t="s">
        <v>297</v>
      </c>
      <c r="K122" s="1326" t="s">
        <v>2101</v>
      </c>
      <c r="L122" s="1326" t="s">
        <v>2061</v>
      </c>
      <c r="M122" s="1400"/>
      <c r="N122" s="1400"/>
      <c r="O122" s="1400"/>
      <c r="P122" s="1400"/>
      <c r="Q122" s="1400"/>
      <c r="R122" s="1400"/>
      <c r="S122" s="1400"/>
      <c r="T122" s="1400"/>
      <c r="U122" s="1400"/>
      <c r="V122" s="1400"/>
      <c r="W122" s="1400"/>
      <c r="X122" s="1400"/>
      <c r="Y122" s="1685">
        <v>43431</v>
      </c>
      <c r="Z122" s="1326" t="s">
        <v>2062</v>
      </c>
      <c r="AA122" s="1683">
        <v>0</v>
      </c>
      <c r="AB122" s="1683">
        <v>0</v>
      </c>
      <c r="AC122" s="1683">
        <v>0</v>
      </c>
      <c r="AD122" s="1685">
        <v>43438</v>
      </c>
      <c r="AE122" s="1326" t="s">
        <v>2304</v>
      </c>
      <c r="AF122" s="1326" t="s">
        <v>2064</v>
      </c>
      <c r="AG122" s="1410"/>
      <c r="AH122" s="1683">
        <v>18555.84</v>
      </c>
      <c r="AI122" s="1683">
        <v>10334.33</v>
      </c>
      <c r="AJ122" s="1683">
        <v>0</v>
      </c>
      <c r="AK122" s="1683">
        <v>0</v>
      </c>
      <c r="AL122" s="1683">
        <v>0</v>
      </c>
      <c r="AM122" s="1685">
        <v>43438</v>
      </c>
      <c r="AN122" s="1683">
        <v>18555.84</v>
      </c>
      <c r="AO122" s="1683">
        <v>10334.33</v>
      </c>
      <c r="AP122" s="1683">
        <v>10334.33</v>
      </c>
      <c r="AQ122" s="1683">
        <v>10334.33</v>
      </c>
      <c r="AR122" s="1683">
        <v>0</v>
      </c>
      <c r="AS122" s="1683">
        <v>8221.51</v>
      </c>
      <c r="AT122" s="1683">
        <v>0</v>
      </c>
      <c r="AU122" s="1683">
        <v>0</v>
      </c>
      <c r="AV122" s="1683">
        <v>0</v>
      </c>
      <c r="AW122" s="1683">
        <v>8221.51</v>
      </c>
      <c r="AX122" s="1400"/>
      <c r="AY122" s="1400"/>
      <c r="AZ122" s="1400"/>
      <c r="BA122" s="1682"/>
      <c r="BB122" s="1682"/>
      <c r="BC122" s="1400"/>
      <c r="BD122" s="1400"/>
      <c r="BE122" s="1683">
        <v>18555.84</v>
      </c>
      <c r="BF122" s="1683">
        <v>10334.33</v>
      </c>
      <c r="BG122" s="1683">
        <v>10334.33</v>
      </c>
      <c r="BH122" s="1683">
        <v>10334.33</v>
      </c>
      <c r="BI122" s="1683">
        <v>0</v>
      </c>
      <c r="BJ122" s="1683">
        <v>8221.51</v>
      </c>
      <c r="BK122" s="1683">
        <v>0</v>
      </c>
      <c r="BL122" s="1683">
        <v>0</v>
      </c>
      <c r="BM122" s="1683">
        <v>0</v>
      </c>
      <c r="BN122" s="1683">
        <v>8221.51</v>
      </c>
      <c r="BO122" s="1682"/>
      <c r="BP122" s="1683">
        <v>0</v>
      </c>
      <c r="BQ122" s="1683">
        <v>0</v>
      </c>
      <c r="BR122" s="1683">
        <v>0</v>
      </c>
      <c r="BS122" s="1683">
        <v>0</v>
      </c>
      <c r="BT122" s="1683">
        <v>0</v>
      </c>
      <c r="BU122" s="1683">
        <v>0</v>
      </c>
      <c r="BV122" s="1683">
        <v>0</v>
      </c>
      <c r="BW122" s="1683">
        <v>0</v>
      </c>
      <c r="BX122" s="1683">
        <v>0</v>
      </c>
      <c r="BY122" s="1683">
        <v>0</v>
      </c>
      <c r="BZ122" s="1683">
        <v>0</v>
      </c>
      <c r="CA122" s="1400"/>
      <c r="CB122" s="1682"/>
      <c r="CC122" s="1682"/>
      <c r="CD122" s="1400"/>
      <c r="CE122" s="1400"/>
      <c r="CF122" s="1683">
        <v>0</v>
      </c>
      <c r="CG122" s="1683">
        <v>0</v>
      </c>
      <c r="CH122" s="1683">
        <v>0</v>
      </c>
      <c r="CI122" s="1683">
        <v>0</v>
      </c>
      <c r="CJ122" s="1683">
        <v>0</v>
      </c>
      <c r="CK122" s="1683">
        <v>0</v>
      </c>
      <c r="CL122" s="1682"/>
      <c r="CM122" s="1683">
        <v>0</v>
      </c>
      <c r="CN122" s="1683">
        <v>0</v>
      </c>
      <c r="CO122" s="1683">
        <v>0</v>
      </c>
      <c r="CP122" s="1683">
        <v>0</v>
      </c>
      <c r="CQ122" s="1683">
        <v>0</v>
      </c>
      <c r="CR122" s="1683">
        <v>0</v>
      </c>
      <c r="CS122" s="1683">
        <v>0</v>
      </c>
      <c r="CT122" s="1683">
        <v>0</v>
      </c>
      <c r="CU122" s="1683">
        <v>0</v>
      </c>
      <c r="CV122" s="1683">
        <v>0</v>
      </c>
      <c r="CW122" s="1682"/>
      <c r="CX122" s="1400"/>
      <c r="CY122" s="1400"/>
      <c r="CZ122" s="1400"/>
      <c r="DA122" s="1400"/>
      <c r="DB122" s="1682"/>
      <c r="DC122" s="1326"/>
      <c r="DD122" s="1683">
        <v>0</v>
      </c>
      <c r="DE122" s="1400"/>
      <c r="DF122" s="1400"/>
      <c r="DG122" s="1683">
        <v>0</v>
      </c>
      <c r="DH122" s="1683">
        <v>0</v>
      </c>
    </row>
    <row r="123" spans="1:112" ht="67.5">
      <c r="A123" s="1326" t="s">
        <v>2120</v>
      </c>
      <c r="B123" s="1326" t="s">
        <v>1694</v>
      </c>
      <c r="C123" s="1326" t="s">
        <v>2549</v>
      </c>
      <c r="D123" s="1326" t="s">
        <v>2550</v>
      </c>
      <c r="E123" s="1326" t="s">
        <v>144</v>
      </c>
      <c r="F123" s="1326" t="s">
        <v>2544</v>
      </c>
      <c r="G123" s="1326" t="s">
        <v>2545</v>
      </c>
      <c r="H123" s="1326" t="s">
        <v>2546</v>
      </c>
      <c r="I123" s="1326" t="s">
        <v>703</v>
      </c>
      <c r="J123" s="1326" t="s">
        <v>297</v>
      </c>
      <c r="K123" s="1326" t="s">
        <v>2101</v>
      </c>
      <c r="L123" s="1326" t="s">
        <v>2061</v>
      </c>
      <c r="M123" s="1400"/>
      <c r="N123" s="1400"/>
      <c r="O123" s="1400"/>
      <c r="P123" s="1400"/>
      <c r="Q123" s="1400"/>
      <c r="R123" s="1400"/>
      <c r="S123" s="1400"/>
      <c r="T123" s="1400"/>
      <c r="U123" s="1400"/>
      <c r="V123" s="1400"/>
      <c r="W123" s="1400"/>
      <c r="X123" s="1400"/>
      <c r="Y123" s="1685">
        <v>43440</v>
      </c>
      <c r="Z123" s="1326" t="s">
        <v>2062</v>
      </c>
      <c r="AA123" s="1683">
        <v>0</v>
      </c>
      <c r="AB123" s="1683">
        <v>0</v>
      </c>
      <c r="AC123" s="1683">
        <v>0</v>
      </c>
      <c r="AD123" s="1685">
        <v>43452</v>
      </c>
      <c r="AE123" s="1326" t="s">
        <v>2337</v>
      </c>
      <c r="AF123" s="1326" t="s">
        <v>2067</v>
      </c>
      <c r="AG123" s="1410"/>
      <c r="AH123" s="1683">
        <v>813067.21</v>
      </c>
      <c r="AI123" s="1683">
        <v>428821.75</v>
      </c>
      <c r="AJ123" s="1683">
        <v>426486.6</v>
      </c>
      <c r="AK123" s="1683">
        <v>426486.6</v>
      </c>
      <c r="AL123" s="1683">
        <v>0</v>
      </c>
      <c r="AM123" s="1685">
        <v>43455</v>
      </c>
      <c r="AN123" s="1683">
        <v>813067.21</v>
      </c>
      <c r="AO123" s="1683">
        <v>427782.86</v>
      </c>
      <c r="AP123" s="1683">
        <v>427782.86</v>
      </c>
      <c r="AQ123" s="1683">
        <v>427782.86</v>
      </c>
      <c r="AR123" s="1683">
        <v>0</v>
      </c>
      <c r="AS123" s="1683">
        <v>385284.35</v>
      </c>
      <c r="AT123" s="1683">
        <v>0</v>
      </c>
      <c r="AU123" s="1683">
        <v>0</v>
      </c>
      <c r="AV123" s="1683">
        <v>0</v>
      </c>
      <c r="AW123" s="1683">
        <v>385284.35</v>
      </c>
      <c r="AX123" s="1400"/>
      <c r="AY123" s="1400"/>
      <c r="AZ123" s="1400"/>
      <c r="BA123" s="1682"/>
      <c r="BB123" s="1682"/>
      <c r="BC123" s="1400"/>
      <c r="BD123" s="1400"/>
      <c r="BE123" s="1683">
        <v>813067.21</v>
      </c>
      <c r="BF123" s="1683">
        <v>427782.86</v>
      </c>
      <c r="BG123" s="1683">
        <v>427782.86</v>
      </c>
      <c r="BH123" s="1683">
        <v>427782.86</v>
      </c>
      <c r="BI123" s="1683">
        <v>0</v>
      </c>
      <c r="BJ123" s="1683">
        <v>385284.35</v>
      </c>
      <c r="BK123" s="1683">
        <v>0</v>
      </c>
      <c r="BL123" s="1683">
        <v>0</v>
      </c>
      <c r="BM123" s="1683">
        <v>0</v>
      </c>
      <c r="BN123" s="1683">
        <v>385284.35</v>
      </c>
      <c r="BO123" s="1685">
        <v>43553</v>
      </c>
      <c r="BP123" s="1683">
        <v>813067.21</v>
      </c>
      <c r="BQ123" s="1683">
        <v>427782.86</v>
      </c>
      <c r="BR123" s="1683">
        <v>427782.86</v>
      </c>
      <c r="BS123" s="1683">
        <v>427782.86</v>
      </c>
      <c r="BT123" s="1683">
        <v>0</v>
      </c>
      <c r="BU123" s="1683">
        <v>385284.35</v>
      </c>
      <c r="BV123" s="1683">
        <v>0</v>
      </c>
      <c r="BW123" s="1683">
        <v>0</v>
      </c>
      <c r="BX123" s="1683">
        <v>0</v>
      </c>
      <c r="BY123" s="1683">
        <v>385284.35</v>
      </c>
      <c r="BZ123" s="1683">
        <v>0</v>
      </c>
      <c r="CA123" s="1400"/>
      <c r="CB123" s="1682"/>
      <c r="CC123" s="1682"/>
      <c r="CD123" s="1400"/>
      <c r="CE123" s="1400"/>
      <c r="CF123" s="1683">
        <v>0</v>
      </c>
      <c r="CG123" s="1683">
        <v>0</v>
      </c>
      <c r="CH123" s="1683">
        <v>0</v>
      </c>
      <c r="CI123" s="1683">
        <v>0</v>
      </c>
      <c r="CJ123" s="1683">
        <v>0</v>
      </c>
      <c r="CK123" s="1683">
        <v>0</v>
      </c>
      <c r="CL123" s="1682"/>
      <c r="CM123" s="1683">
        <v>0</v>
      </c>
      <c r="CN123" s="1683">
        <v>0</v>
      </c>
      <c r="CO123" s="1683">
        <v>0</v>
      </c>
      <c r="CP123" s="1683">
        <v>0</v>
      </c>
      <c r="CQ123" s="1683">
        <v>0</v>
      </c>
      <c r="CR123" s="1683">
        <v>0</v>
      </c>
      <c r="CS123" s="1683">
        <v>0</v>
      </c>
      <c r="CT123" s="1683">
        <v>0</v>
      </c>
      <c r="CU123" s="1683">
        <v>0</v>
      </c>
      <c r="CV123" s="1683">
        <v>0</v>
      </c>
      <c r="CW123" s="1682"/>
      <c r="CX123" s="1400"/>
      <c r="CY123" s="1400"/>
      <c r="CZ123" s="1400"/>
      <c r="DA123" s="1400"/>
      <c r="DB123" s="1682"/>
      <c r="DC123" s="1326"/>
      <c r="DD123" s="1683">
        <v>0</v>
      </c>
      <c r="DE123" s="1400"/>
      <c r="DF123" s="1400"/>
      <c r="DG123" s="1683">
        <v>0</v>
      </c>
      <c r="DH123" s="1683">
        <v>0</v>
      </c>
    </row>
    <row r="124" spans="1:112" ht="67.5">
      <c r="A124" s="1326" t="s">
        <v>2121</v>
      </c>
      <c r="B124" s="1326" t="s">
        <v>1694</v>
      </c>
      <c r="C124" s="1326" t="s">
        <v>2549</v>
      </c>
      <c r="D124" s="1326" t="s">
        <v>2550</v>
      </c>
      <c r="E124" s="1326" t="s">
        <v>144</v>
      </c>
      <c r="F124" s="1326" t="s">
        <v>2544</v>
      </c>
      <c r="G124" s="1326" t="s">
        <v>2545</v>
      </c>
      <c r="H124" s="1326" t="s">
        <v>2546</v>
      </c>
      <c r="I124" s="1326" t="s">
        <v>703</v>
      </c>
      <c r="J124" s="1326" t="s">
        <v>297</v>
      </c>
      <c r="K124" s="1326" t="s">
        <v>2101</v>
      </c>
      <c r="L124" s="1326" t="s">
        <v>2061</v>
      </c>
      <c r="M124" s="1400"/>
      <c r="N124" s="1400"/>
      <c r="O124" s="1400"/>
      <c r="P124" s="1400"/>
      <c r="Q124" s="1400"/>
      <c r="R124" s="1400"/>
      <c r="S124" s="1400"/>
      <c r="T124" s="1400"/>
      <c r="U124" s="1400"/>
      <c r="V124" s="1400"/>
      <c r="W124" s="1400"/>
      <c r="X124" s="1400"/>
      <c r="Y124" s="1685">
        <v>43440</v>
      </c>
      <c r="Z124" s="1326" t="s">
        <v>2062</v>
      </c>
      <c r="AA124" s="1683">
        <v>0</v>
      </c>
      <c r="AB124" s="1683">
        <v>0</v>
      </c>
      <c r="AC124" s="1683">
        <v>0</v>
      </c>
      <c r="AD124" s="1685">
        <v>43452</v>
      </c>
      <c r="AE124" s="1326" t="s">
        <v>2337</v>
      </c>
      <c r="AF124" s="1326" t="s">
        <v>2064</v>
      </c>
      <c r="AG124" s="1410"/>
      <c r="AH124" s="1683">
        <v>9000</v>
      </c>
      <c r="AI124" s="1683">
        <v>5012.38</v>
      </c>
      <c r="AJ124" s="1683">
        <v>5012.38</v>
      </c>
      <c r="AK124" s="1683">
        <v>5012.38</v>
      </c>
      <c r="AL124" s="1683">
        <v>0</v>
      </c>
      <c r="AM124" s="1685">
        <v>43452</v>
      </c>
      <c r="AN124" s="1683">
        <v>9000</v>
      </c>
      <c r="AO124" s="1683">
        <v>5012.38</v>
      </c>
      <c r="AP124" s="1683">
        <v>5012.38</v>
      </c>
      <c r="AQ124" s="1683">
        <v>5012.38</v>
      </c>
      <c r="AR124" s="1683">
        <v>0</v>
      </c>
      <c r="AS124" s="1683">
        <v>3987.62</v>
      </c>
      <c r="AT124" s="1683">
        <v>0</v>
      </c>
      <c r="AU124" s="1683">
        <v>0</v>
      </c>
      <c r="AV124" s="1683">
        <v>0</v>
      </c>
      <c r="AW124" s="1683">
        <v>3987.62</v>
      </c>
      <c r="AX124" s="1400"/>
      <c r="AY124" s="1400"/>
      <c r="AZ124" s="1400"/>
      <c r="BA124" s="1682"/>
      <c r="BB124" s="1682"/>
      <c r="BC124" s="1400"/>
      <c r="BD124" s="1400"/>
      <c r="BE124" s="1683">
        <v>9000</v>
      </c>
      <c r="BF124" s="1683">
        <v>5012.38</v>
      </c>
      <c r="BG124" s="1683">
        <v>5012.38</v>
      </c>
      <c r="BH124" s="1683">
        <v>5012.38</v>
      </c>
      <c r="BI124" s="1683">
        <v>0</v>
      </c>
      <c r="BJ124" s="1683">
        <v>3987.62</v>
      </c>
      <c r="BK124" s="1683">
        <v>0</v>
      </c>
      <c r="BL124" s="1683">
        <v>0</v>
      </c>
      <c r="BM124" s="1683">
        <v>0</v>
      </c>
      <c r="BN124" s="1683">
        <v>3987.62</v>
      </c>
      <c r="BO124" s="1685">
        <v>43553</v>
      </c>
      <c r="BP124" s="1683">
        <v>9000</v>
      </c>
      <c r="BQ124" s="1683">
        <v>5012.38</v>
      </c>
      <c r="BR124" s="1683">
        <v>5012.38</v>
      </c>
      <c r="BS124" s="1683">
        <v>5012.38</v>
      </c>
      <c r="BT124" s="1683">
        <v>0</v>
      </c>
      <c r="BU124" s="1683">
        <v>3987.62</v>
      </c>
      <c r="BV124" s="1683">
        <v>0</v>
      </c>
      <c r="BW124" s="1683">
        <v>0</v>
      </c>
      <c r="BX124" s="1683">
        <v>0</v>
      </c>
      <c r="BY124" s="1683">
        <v>3987.62</v>
      </c>
      <c r="BZ124" s="1683">
        <v>0</v>
      </c>
      <c r="CA124" s="1400"/>
      <c r="CB124" s="1682"/>
      <c r="CC124" s="1682"/>
      <c r="CD124" s="1400"/>
      <c r="CE124" s="1400"/>
      <c r="CF124" s="1683">
        <v>0</v>
      </c>
      <c r="CG124" s="1683">
        <v>0</v>
      </c>
      <c r="CH124" s="1683">
        <v>0</v>
      </c>
      <c r="CI124" s="1683">
        <v>0</v>
      </c>
      <c r="CJ124" s="1683">
        <v>0</v>
      </c>
      <c r="CK124" s="1683">
        <v>0</v>
      </c>
      <c r="CL124" s="1682"/>
      <c r="CM124" s="1683">
        <v>0</v>
      </c>
      <c r="CN124" s="1683">
        <v>0</v>
      </c>
      <c r="CO124" s="1683">
        <v>0</v>
      </c>
      <c r="CP124" s="1683">
        <v>0</v>
      </c>
      <c r="CQ124" s="1683">
        <v>0</v>
      </c>
      <c r="CR124" s="1683">
        <v>0</v>
      </c>
      <c r="CS124" s="1683">
        <v>0</v>
      </c>
      <c r="CT124" s="1683">
        <v>0</v>
      </c>
      <c r="CU124" s="1683">
        <v>0</v>
      </c>
      <c r="CV124" s="1683">
        <v>0</v>
      </c>
      <c r="CW124" s="1682"/>
      <c r="CX124" s="1400"/>
      <c r="CY124" s="1400"/>
      <c r="CZ124" s="1400"/>
      <c r="DA124" s="1400"/>
      <c r="DB124" s="1682"/>
      <c r="DC124" s="1326"/>
      <c r="DD124" s="1683">
        <v>0</v>
      </c>
      <c r="DE124" s="1400"/>
      <c r="DF124" s="1400"/>
      <c r="DG124" s="1683">
        <v>0</v>
      </c>
      <c r="DH124" s="1683">
        <v>0</v>
      </c>
    </row>
    <row r="125" spans="1:112" ht="67.5">
      <c r="A125" s="1326" t="s">
        <v>2122</v>
      </c>
      <c r="B125" s="1326" t="s">
        <v>1694</v>
      </c>
      <c r="C125" s="1326" t="s">
        <v>2549</v>
      </c>
      <c r="D125" s="1326" t="s">
        <v>2550</v>
      </c>
      <c r="E125" s="1326" t="s">
        <v>144</v>
      </c>
      <c r="F125" s="1326" t="s">
        <v>2544</v>
      </c>
      <c r="G125" s="1326" t="s">
        <v>2545</v>
      </c>
      <c r="H125" s="1326" t="s">
        <v>2546</v>
      </c>
      <c r="I125" s="1326" t="s">
        <v>703</v>
      </c>
      <c r="J125" s="1326" t="s">
        <v>297</v>
      </c>
      <c r="K125" s="1326" t="s">
        <v>2101</v>
      </c>
      <c r="L125" s="1326" t="s">
        <v>2061</v>
      </c>
      <c r="M125" s="1400"/>
      <c r="N125" s="1400"/>
      <c r="O125" s="1400"/>
      <c r="P125" s="1400"/>
      <c r="Q125" s="1400"/>
      <c r="R125" s="1400"/>
      <c r="S125" s="1400"/>
      <c r="T125" s="1400"/>
      <c r="U125" s="1400"/>
      <c r="V125" s="1400"/>
      <c r="W125" s="1400"/>
      <c r="X125" s="1400"/>
      <c r="Y125" s="1685">
        <v>43479</v>
      </c>
      <c r="Z125" s="1326" t="s">
        <v>2062</v>
      </c>
      <c r="AA125" s="1683">
        <v>0</v>
      </c>
      <c r="AB125" s="1683">
        <v>0</v>
      </c>
      <c r="AC125" s="1683">
        <v>0</v>
      </c>
      <c r="AD125" s="1685">
        <v>43507</v>
      </c>
      <c r="AE125" s="1326" t="s">
        <v>2339</v>
      </c>
      <c r="AF125" s="1326" t="s">
        <v>2067</v>
      </c>
      <c r="AG125" s="1410"/>
      <c r="AH125" s="1683">
        <v>95370.86</v>
      </c>
      <c r="AI125" s="1683">
        <v>69526.36</v>
      </c>
      <c r="AJ125" s="1683">
        <v>69670.83</v>
      </c>
      <c r="AK125" s="1683">
        <v>69670.83</v>
      </c>
      <c r="AL125" s="1683">
        <v>0</v>
      </c>
      <c r="AM125" s="1685">
        <v>43510</v>
      </c>
      <c r="AN125" s="1683">
        <v>95370.86</v>
      </c>
      <c r="AO125" s="1683">
        <v>69670.83</v>
      </c>
      <c r="AP125" s="1683">
        <v>69670.83</v>
      </c>
      <c r="AQ125" s="1683">
        <v>69670.83</v>
      </c>
      <c r="AR125" s="1683">
        <v>0</v>
      </c>
      <c r="AS125" s="1683">
        <v>25700.03</v>
      </c>
      <c r="AT125" s="1683">
        <v>0</v>
      </c>
      <c r="AU125" s="1683">
        <v>0</v>
      </c>
      <c r="AV125" s="1683">
        <v>0</v>
      </c>
      <c r="AW125" s="1683">
        <v>25700.03</v>
      </c>
      <c r="AX125" s="1400"/>
      <c r="AY125" s="1400"/>
      <c r="AZ125" s="1400"/>
      <c r="BA125" s="1682"/>
      <c r="BB125" s="1682"/>
      <c r="BC125" s="1400"/>
      <c r="BD125" s="1400"/>
      <c r="BE125" s="1683">
        <v>95370.86</v>
      </c>
      <c r="BF125" s="1683">
        <v>69670.83</v>
      </c>
      <c r="BG125" s="1683">
        <v>69670.83</v>
      </c>
      <c r="BH125" s="1683">
        <v>69670.83</v>
      </c>
      <c r="BI125" s="1683">
        <v>0</v>
      </c>
      <c r="BJ125" s="1683">
        <v>25700.03</v>
      </c>
      <c r="BK125" s="1683">
        <v>0</v>
      </c>
      <c r="BL125" s="1683">
        <v>0</v>
      </c>
      <c r="BM125" s="1683">
        <v>0</v>
      </c>
      <c r="BN125" s="1683">
        <v>25700.03</v>
      </c>
      <c r="BO125" s="1682"/>
      <c r="BP125" s="1683">
        <v>0</v>
      </c>
      <c r="BQ125" s="1683">
        <v>0</v>
      </c>
      <c r="BR125" s="1683">
        <v>0</v>
      </c>
      <c r="BS125" s="1683">
        <v>0</v>
      </c>
      <c r="BT125" s="1683">
        <v>0</v>
      </c>
      <c r="BU125" s="1683">
        <v>0</v>
      </c>
      <c r="BV125" s="1683">
        <v>0</v>
      </c>
      <c r="BW125" s="1683">
        <v>0</v>
      </c>
      <c r="BX125" s="1683">
        <v>0</v>
      </c>
      <c r="BY125" s="1683">
        <v>0</v>
      </c>
      <c r="BZ125" s="1400"/>
      <c r="CA125" s="1400"/>
      <c r="CB125" s="1682"/>
      <c r="CC125" s="1682"/>
      <c r="CD125" s="1400"/>
      <c r="CE125" s="1400"/>
      <c r="CF125" s="1683">
        <v>0</v>
      </c>
      <c r="CG125" s="1683">
        <v>0</v>
      </c>
      <c r="CH125" s="1683">
        <v>0</v>
      </c>
      <c r="CI125" s="1683">
        <v>0</v>
      </c>
      <c r="CJ125" s="1683">
        <v>0</v>
      </c>
      <c r="CK125" s="1683">
        <v>0</v>
      </c>
      <c r="CL125" s="1682"/>
      <c r="CM125" s="1683">
        <v>0</v>
      </c>
      <c r="CN125" s="1683">
        <v>0</v>
      </c>
      <c r="CO125" s="1683">
        <v>0</v>
      </c>
      <c r="CP125" s="1683">
        <v>0</v>
      </c>
      <c r="CQ125" s="1683">
        <v>0</v>
      </c>
      <c r="CR125" s="1683">
        <v>0</v>
      </c>
      <c r="CS125" s="1683">
        <v>0</v>
      </c>
      <c r="CT125" s="1683">
        <v>0</v>
      </c>
      <c r="CU125" s="1683">
        <v>0</v>
      </c>
      <c r="CV125" s="1683">
        <v>0</v>
      </c>
      <c r="CW125" s="1682"/>
      <c r="CX125" s="1400"/>
      <c r="CY125" s="1400"/>
      <c r="CZ125" s="1400"/>
      <c r="DA125" s="1400"/>
      <c r="DB125" s="1682"/>
      <c r="DC125" s="1326"/>
      <c r="DD125" s="1683">
        <v>0</v>
      </c>
      <c r="DE125" s="1400"/>
      <c r="DF125" s="1400"/>
      <c r="DG125" s="1683">
        <v>0</v>
      </c>
      <c r="DH125" s="1683">
        <v>0</v>
      </c>
    </row>
    <row r="126" spans="1:112" ht="67.5">
      <c r="A126" s="1326" t="s">
        <v>2123</v>
      </c>
      <c r="B126" s="1326" t="s">
        <v>1694</v>
      </c>
      <c r="C126" s="1326" t="s">
        <v>2549</v>
      </c>
      <c r="D126" s="1326" t="s">
        <v>2550</v>
      </c>
      <c r="E126" s="1326" t="s">
        <v>144</v>
      </c>
      <c r="F126" s="1326" t="s">
        <v>2544</v>
      </c>
      <c r="G126" s="1326" t="s">
        <v>2545</v>
      </c>
      <c r="H126" s="1326" t="s">
        <v>2546</v>
      </c>
      <c r="I126" s="1326" t="s">
        <v>702</v>
      </c>
      <c r="J126" s="1326" t="s">
        <v>278</v>
      </c>
      <c r="K126" s="1326" t="s">
        <v>2103</v>
      </c>
      <c r="L126" s="1326" t="s">
        <v>2061</v>
      </c>
      <c r="M126" s="1683">
        <v>1298773.75</v>
      </c>
      <c r="N126" s="1683">
        <v>0</v>
      </c>
      <c r="O126" s="1683">
        <v>1298773.75</v>
      </c>
      <c r="P126" s="1683">
        <v>796102</v>
      </c>
      <c r="Q126" s="1683">
        <v>796102</v>
      </c>
      <c r="R126" s="1683">
        <v>796102</v>
      </c>
      <c r="S126" s="1683">
        <v>0</v>
      </c>
      <c r="T126" s="1683">
        <v>502671.75</v>
      </c>
      <c r="U126" s="1683">
        <v>0</v>
      </c>
      <c r="V126" s="1683">
        <v>0</v>
      </c>
      <c r="W126" s="1683">
        <v>0</v>
      </c>
      <c r="X126" s="1683">
        <v>502671.75</v>
      </c>
      <c r="Y126" s="1682"/>
      <c r="Z126" s="1326"/>
      <c r="AA126" s="1683">
        <v>0</v>
      </c>
      <c r="AB126" s="1683">
        <v>0</v>
      </c>
      <c r="AC126" s="1683">
        <v>0</v>
      </c>
      <c r="AD126" s="1682"/>
      <c r="AE126" s="1326"/>
      <c r="AF126" s="1326"/>
      <c r="AG126" s="1410"/>
      <c r="AH126" s="1683">
        <v>1116925.07</v>
      </c>
      <c r="AI126" s="1683">
        <v>706355.94</v>
      </c>
      <c r="AJ126" s="1683">
        <v>705970.12</v>
      </c>
      <c r="AK126" s="1683">
        <v>705970.12</v>
      </c>
      <c r="AL126" s="1683">
        <v>0</v>
      </c>
      <c r="AM126" s="1682"/>
      <c r="AN126" s="1683">
        <v>1028037.79</v>
      </c>
      <c r="AO126" s="1683">
        <v>656765.65</v>
      </c>
      <c r="AP126" s="1683">
        <v>656765.65</v>
      </c>
      <c r="AQ126" s="1683">
        <v>656765.65</v>
      </c>
      <c r="AR126" s="1683">
        <v>0</v>
      </c>
      <c r="AS126" s="1683">
        <v>371272.14</v>
      </c>
      <c r="AT126" s="1683">
        <v>0</v>
      </c>
      <c r="AU126" s="1683">
        <v>0</v>
      </c>
      <c r="AV126" s="1683">
        <v>0</v>
      </c>
      <c r="AW126" s="1683">
        <v>371272.14</v>
      </c>
      <c r="AX126" s="1683">
        <v>0</v>
      </c>
      <c r="AY126" s="1683">
        <v>0</v>
      </c>
      <c r="AZ126" s="1683">
        <v>0</v>
      </c>
      <c r="BA126" s="1682"/>
      <c r="BB126" s="1682"/>
      <c r="BC126" s="1683">
        <v>0</v>
      </c>
      <c r="BD126" s="1683">
        <v>0</v>
      </c>
      <c r="BE126" s="1683">
        <v>1028037.79</v>
      </c>
      <c r="BF126" s="1683">
        <v>656765.65</v>
      </c>
      <c r="BG126" s="1683">
        <v>656765.65</v>
      </c>
      <c r="BH126" s="1683">
        <v>656765.65</v>
      </c>
      <c r="BI126" s="1683">
        <v>0</v>
      </c>
      <c r="BJ126" s="1683">
        <v>371272.14</v>
      </c>
      <c r="BK126" s="1683">
        <v>0</v>
      </c>
      <c r="BL126" s="1683">
        <v>0</v>
      </c>
      <c r="BM126" s="1683">
        <v>0</v>
      </c>
      <c r="BN126" s="1683">
        <v>371272.14</v>
      </c>
      <c r="BO126" s="1682"/>
      <c r="BP126" s="1683">
        <v>1028037.79</v>
      </c>
      <c r="BQ126" s="1683">
        <v>656765.65</v>
      </c>
      <c r="BR126" s="1683">
        <v>656765.65</v>
      </c>
      <c r="BS126" s="1683">
        <v>656765.65</v>
      </c>
      <c r="BT126" s="1683">
        <v>0</v>
      </c>
      <c r="BU126" s="1683">
        <v>371272.14</v>
      </c>
      <c r="BV126" s="1683">
        <v>0</v>
      </c>
      <c r="BW126" s="1683">
        <v>0</v>
      </c>
      <c r="BX126" s="1683">
        <v>0</v>
      </c>
      <c r="BY126" s="1683">
        <v>371272.14</v>
      </c>
      <c r="BZ126" s="1683">
        <v>0</v>
      </c>
      <c r="CA126" s="1683">
        <v>0</v>
      </c>
      <c r="CB126" s="1682"/>
      <c r="CC126" s="1682"/>
      <c r="CD126" s="1683">
        <v>0</v>
      </c>
      <c r="CE126" s="1683">
        <v>0</v>
      </c>
      <c r="CF126" s="1683">
        <v>0</v>
      </c>
      <c r="CG126" s="1683">
        <v>0</v>
      </c>
      <c r="CH126" s="1683">
        <v>0</v>
      </c>
      <c r="CI126" s="1683">
        <v>0</v>
      </c>
      <c r="CJ126" s="1683">
        <v>0</v>
      </c>
      <c r="CK126" s="1683">
        <v>0</v>
      </c>
      <c r="CL126" s="1682"/>
      <c r="CM126" s="1683">
        <v>447787</v>
      </c>
      <c r="CN126" s="1683">
        <v>290770.31</v>
      </c>
      <c r="CO126" s="1683">
        <v>290770.31</v>
      </c>
      <c r="CP126" s="1683">
        <v>290770.31</v>
      </c>
      <c r="CQ126" s="1683">
        <v>0</v>
      </c>
      <c r="CR126" s="1683">
        <v>157016.69</v>
      </c>
      <c r="CS126" s="1683">
        <v>0</v>
      </c>
      <c r="CT126" s="1683">
        <v>0</v>
      </c>
      <c r="CU126" s="1683">
        <v>0</v>
      </c>
      <c r="CV126" s="1683">
        <v>157016.69</v>
      </c>
      <c r="CW126" s="1682"/>
      <c r="CX126" s="1683">
        <v>0</v>
      </c>
      <c r="CY126" s="1683">
        <v>0</v>
      </c>
      <c r="CZ126" s="1683">
        <v>447787</v>
      </c>
      <c r="DA126" s="1683">
        <v>290770.31</v>
      </c>
      <c r="DB126" s="1682"/>
      <c r="DC126" s="1326"/>
      <c r="DD126" s="1683">
        <v>0</v>
      </c>
      <c r="DE126" s="1683">
        <v>0</v>
      </c>
      <c r="DF126" s="1683">
        <v>0</v>
      </c>
      <c r="DG126" s="1683">
        <v>0</v>
      </c>
      <c r="DH126" s="1683">
        <v>0</v>
      </c>
    </row>
    <row r="127" spans="1:112" ht="67.5">
      <c r="A127" s="1326" t="s">
        <v>2124</v>
      </c>
      <c r="B127" s="1326" t="s">
        <v>1694</v>
      </c>
      <c r="C127" s="1326" t="s">
        <v>2549</v>
      </c>
      <c r="D127" s="1326" t="s">
        <v>2550</v>
      </c>
      <c r="E127" s="1326" t="s">
        <v>144</v>
      </c>
      <c r="F127" s="1326" t="s">
        <v>2544</v>
      </c>
      <c r="G127" s="1326" t="s">
        <v>2545</v>
      </c>
      <c r="H127" s="1326" t="s">
        <v>2546</v>
      </c>
      <c r="I127" s="1326" t="s">
        <v>702</v>
      </c>
      <c r="J127" s="1326" t="s">
        <v>278</v>
      </c>
      <c r="K127" s="1326" t="s">
        <v>2103</v>
      </c>
      <c r="L127" s="1326" t="s">
        <v>2061</v>
      </c>
      <c r="M127" s="1400"/>
      <c r="N127" s="1400"/>
      <c r="O127" s="1400"/>
      <c r="P127" s="1400"/>
      <c r="Q127" s="1400"/>
      <c r="R127" s="1400"/>
      <c r="S127" s="1400"/>
      <c r="T127" s="1400"/>
      <c r="U127" s="1400"/>
      <c r="V127" s="1400"/>
      <c r="W127" s="1400"/>
      <c r="X127" s="1400"/>
      <c r="Y127" s="1685">
        <v>43038</v>
      </c>
      <c r="Z127" s="1326" t="s">
        <v>2062</v>
      </c>
      <c r="AA127" s="1683">
        <v>0</v>
      </c>
      <c r="AB127" s="1683">
        <v>0</v>
      </c>
      <c r="AC127" s="1683">
        <v>0</v>
      </c>
      <c r="AD127" s="1685">
        <v>43069</v>
      </c>
      <c r="AE127" s="1326" t="s">
        <v>2063</v>
      </c>
      <c r="AF127" s="1326" t="s">
        <v>2067</v>
      </c>
      <c r="AG127" s="1410"/>
      <c r="AH127" s="1683">
        <v>419547</v>
      </c>
      <c r="AI127" s="1683">
        <v>273450.02</v>
      </c>
      <c r="AJ127" s="1683">
        <v>273450.02</v>
      </c>
      <c r="AK127" s="1683">
        <v>273450.02</v>
      </c>
      <c r="AL127" s="1683">
        <v>0</v>
      </c>
      <c r="AM127" s="1685">
        <v>43083</v>
      </c>
      <c r="AN127" s="1683">
        <v>419547</v>
      </c>
      <c r="AO127" s="1683">
        <v>273450.02</v>
      </c>
      <c r="AP127" s="1683">
        <v>273450.02</v>
      </c>
      <c r="AQ127" s="1683">
        <v>273450.02</v>
      </c>
      <c r="AR127" s="1683">
        <v>0</v>
      </c>
      <c r="AS127" s="1683">
        <v>146096.98000000001</v>
      </c>
      <c r="AT127" s="1683">
        <v>0</v>
      </c>
      <c r="AU127" s="1683">
        <v>0</v>
      </c>
      <c r="AV127" s="1683">
        <v>0</v>
      </c>
      <c r="AW127" s="1683">
        <v>146096.98000000001</v>
      </c>
      <c r="AX127" s="1400"/>
      <c r="AY127" s="1400"/>
      <c r="AZ127" s="1400"/>
      <c r="BA127" s="1682"/>
      <c r="BB127" s="1682"/>
      <c r="BC127" s="1400"/>
      <c r="BD127" s="1400"/>
      <c r="BE127" s="1683">
        <v>419547</v>
      </c>
      <c r="BF127" s="1683">
        <v>273450.02</v>
      </c>
      <c r="BG127" s="1683">
        <v>273450.02</v>
      </c>
      <c r="BH127" s="1683">
        <v>273450.02</v>
      </c>
      <c r="BI127" s="1683">
        <v>0</v>
      </c>
      <c r="BJ127" s="1683">
        <v>146096.98000000001</v>
      </c>
      <c r="BK127" s="1683">
        <v>0</v>
      </c>
      <c r="BL127" s="1683">
        <v>0</v>
      </c>
      <c r="BM127" s="1683">
        <v>0</v>
      </c>
      <c r="BN127" s="1683">
        <v>146096.98000000001</v>
      </c>
      <c r="BO127" s="1685">
        <v>43189</v>
      </c>
      <c r="BP127" s="1683">
        <v>419547</v>
      </c>
      <c r="BQ127" s="1683">
        <v>273450.02</v>
      </c>
      <c r="BR127" s="1683">
        <v>273450.02</v>
      </c>
      <c r="BS127" s="1683">
        <v>273450.02</v>
      </c>
      <c r="BT127" s="1683">
        <v>0</v>
      </c>
      <c r="BU127" s="1683">
        <v>146096.98000000001</v>
      </c>
      <c r="BV127" s="1683">
        <v>0</v>
      </c>
      <c r="BW127" s="1683">
        <v>0</v>
      </c>
      <c r="BX127" s="1683">
        <v>0</v>
      </c>
      <c r="BY127" s="1683">
        <v>146096.98000000001</v>
      </c>
      <c r="BZ127" s="1683">
        <v>0</v>
      </c>
      <c r="CA127" s="1400"/>
      <c r="CB127" s="1682"/>
      <c r="CC127" s="1682"/>
      <c r="CD127" s="1400"/>
      <c r="CE127" s="1400"/>
      <c r="CF127" s="1683">
        <v>0</v>
      </c>
      <c r="CG127" s="1683">
        <v>0</v>
      </c>
      <c r="CH127" s="1683">
        <v>0</v>
      </c>
      <c r="CI127" s="1683">
        <v>0</v>
      </c>
      <c r="CJ127" s="1683">
        <v>0</v>
      </c>
      <c r="CK127" s="1683">
        <v>0</v>
      </c>
      <c r="CL127" s="1685">
        <v>43511</v>
      </c>
      <c r="CM127" s="1683">
        <v>419547</v>
      </c>
      <c r="CN127" s="1683">
        <v>273450.02</v>
      </c>
      <c r="CO127" s="1683">
        <v>273450.02</v>
      </c>
      <c r="CP127" s="1683">
        <v>273450.02</v>
      </c>
      <c r="CQ127" s="1683">
        <v>0</v>
      </c>
      <c r="CR127" s="1683">
        <v>146096.98000000001</v>
      </c>
      <c r="CS127" s="1683">
        <v>0</v>
      </c>
      <c r="CT127" s="1683">
        <v>0</v>
      </c>
      <c r="CU127" s="1683">
        <v>0</v>
      </c>
      <c r="CV127" s="1683">
        <v>146096.98000000001</v>
      </c>
      <c r="CW127" s="1682"/>
      <c r="CX127" s="1400"/>
      <c r="CY127" s="1400"/>
      <c r="CZ127" s="1400"/>
      <c r="DA127" s="1400"/>
      <c r="DB127" s="1682"/>
      <c r="DC127" s="1326"/>
      <c r="DD127" s="1683">
        <v>0</v>
      </c>
      <c r="DE127" s="1400"/>
      <c r="DF127" s="1400"/>
      <c r="DG127" s="1683">
        <v>0</v>
      </c>
      <c r="DH127" s="1683">
        <v>0</v>
      </c>
    </row>
    <row r="128" spans="1:112" ht="67.5">
      <c r="A128" s="1326" t="s">
        <v>2125</v>
      </c>
      <c r="B128" s="1326" t="s">
        <v>1694</v>
      </c>
      <c r="C128" s="1326" t="s">
        <v>2549</v>
      </c>
      <c r="D128" s="1326" t="s">
        <v>2550</v>
      </c>
      <c r="E128" s="1326" t="s">
        <v>144</v>
      </c>
      <c r="F128" s="1326" t="s">
        <v>2544</v>
      </c>
      <c r="G128" s="1326" t="s">
        <v>2545</v>
      </c>
      <c r="H128" s="1326" t="s">
        <v>2546</v>
      </c>
      <c r="I128" s="1326" t="s">
        <v>702</v>
      </c>
      <c r="J128" s="1326" t="s">
        <v>278</v>
      </c>
      <c r="K128" s="1326" t="s">
        <v>2103</v>
      </c>
      <c r="L128" s="1326" t="s">
        <v>2061</v>
      </c>
      <c r="M128" s="1400"/>
      <c r="N128" s="1400"/>
      <c r="O128" s="1400"/>
      <c r="P128" s="1400"/>
      <c r="Q128" s="1400"/>
      <c r="R128" s="1400"/>
      <c r="S128" s="1400"/>
      <c r="T128" s="1400"/>
      <c r="U128" s="1400"/>
      <c r="V128" s="1400"/>
      <c r="W128" s="1400"/>
      <c r="X128" s="1400"/>
      <c r="Y128" s="1685">
        <v>43129</v>
      </c>
      <c r="Z128" s="1326" t="s">
        <v>2062</v>
      </c>
      <c r="AA128" s="1683">
        <v>0</v>
      </c>
      <c r="AB128" s="1683">
        <v>0</v>
      </c>
      <c r="AC128" s="1683">
        <v>0</v>
      </c>
      <c r="AD128" s="1685">
        <v>43167</v>
      </c>
      <c r="AE128" s="1326" t="s">
        <v>2066</v>
      </c>
      <c r="AF128" s="1326" t="s">
        <v>2067</v>
      </c>
      <c r="AG128" s="1410"/>
      <c r="AH128" s="1683">
        <v>28240</v>
      </c>
      <c r="AI128" s="1683">
        <v>17320.29</v>
      </c>
      <c r="AJ128" s="1683">
        <v>17320.29</v>
      </c>
      <c r="AK128" s="1683">
        <v>17320.29</v>
      </c>
      <c r="AL128" s="1683">
        <v>0</v>
      </c>
      <c r="AM128" s="1685">
        <v>43187</v>
      </c>
      <c r="AN128" s="1683">
        <v>28240</v>
      </c>
      <c r="AO128" s="1683">
        <v>17320.29</v>
      </c>
      <c r="AP128" s="1683">
        <v>17320.29</v>
      </c>
      <c r="AQ128" s="1683">
        <v>17320.29</v>
      </c>
      <c r="AR128" s="1683">
        <v>0</v>
      </c>
      <c r="AS128" s="1683">
        <v>10919.71</v>
      </c>
      <c r="AT128" s="1683">
        <v>0</v>
      </c>
      <c r="AU128" s="1683">
        <v>0</v>
      </c>
      <c r="AV128" s="1683">
        <v>0</v>
      </c>
      <c r="AW128" s="1683">
        <v>10919.71</v>
      </c>
      <c r="AX128" s="1400"/>
      <c r="AY128" s="1400"/>
      <c r="AZ128" s="1400"/>
      <c r="BA128" s="1682"/>
      <c r="BB128" s="1682"/>
      <c r="BC128" s="1400"/>
      <c r="BD128" s="1400"/>
      <c r="BE128" s="1683">
        <v>28240</v>
      </c>
      <c r="BF128" s="1683">
        <v>17320.29</v>
      </c>
      <c r="BG128" s="1683">
        <v>17320.29</v>
      </c>
      <c r="BH128" s="1683">
        <v>17320.29</v>
      </c>
      <c r="BI128" s="1683">
        <v>0</v>
      </c>
      <c r="BJ128" s="1683">
        <v>10919.71</v>
      </c>
      <c r="BK128" s="1683">
        <v>0</v>
      </c>
      <c r="BL128" s="1683">
        <v>0</v>
      </c>
      <c r="BM128" s="1683">
        <v>0</v>
      </c>
      <c r="BN128" s="1683">
        <v>10919.71</v>
      </c>
      <c r="BO128" s="1685">
        <v>43230</v>
      </c>
      <c r="BP128" s="1683">
        <v>28240</v>
      </c>
      <c r="BQ128" s="1683">
        <v>17320.29</v>
      </c>
      <c r="BR128" s="1683">
        <v>17320.29</v>
      </c>
      <c r="BS128" s="1683">
        <v>17320.29</v>
      </c>
      <c r="BT128" s="1683">
        <v>0</v>
      </c>
      <c r="BU128" s="1683">
        <v>10919.71</v>
      </c>
      <c r="BV128" s="1683">
        <v>0</v>
      </c>
      <c r="BW128" s="1683">
        <v>0</v>
      </c>
      <c r="BX128" s="1683">
        <v>0</v>
      </c>
      <c r="BY128" s="1683">
        <v>10919.71</v>
      </c>
      <c r="BZ128" s="1683">
        <v>0</v>
      </c>
      <c r="CA128" s="1400"/>
      <c r="CB128" s="1682"/>
      <c r="CC128" s="1682"/>
      <c r="CD128" s="1400"/>
      <c r="CE128" s="1400"/>
      <c r="CF128" s="1683">
        <v>0</v>
      </c>
      <c r="CG128" s="1683">
        <v>0</v>
      </c>
      <c r="CH128" s="1683">
        <v>0</v>
      </c>
      <c r="CI128" s="1683">
        <v>0</v>
      </c>
      <c r="CJ128" s="1683">
        <v>0</v>
      </c>
      <c r="CK128" s="1683">
        <v>0</v>
      </c>
      <c r="CL128" s="1685">
        <v>43511</v>
      </c>
      <c r="CM128" s="1683">
        <v>28240</v>
      </c>
      <c r="CN128" s="1683">
        <v>17320.29</v>
      </c>
      <c r="CO128" s="1683">
        <v>17320.29</v>
      </c>
      <c r="CP128" s="1683">
        <v>17320.29</v>
      </c>
      <c r="CQ128" s="1683">
        <v>0</v>
      </c>
      <c r="CR128" s="1683">
        <v>10919.71</v>
      </c>
      <c r="CS128" s="1683">
        <v>0</v>
      </c>
      <c r="CT128" s="1683">
        <v>0</v>
      </c>
      <c r="CU128" s="1683">
        <v>0</v>
      </c>
      <c r="CV128" s="1683">
        <v>10919.71</v>
      </c>
      <c r="CW128" s="1682"/>
      <c r="CX128" s="1400"/>
      <c r="CY128" s="1400"/>
      <c r="CZ128" s="1400"/>
      <c r="DA128" s="1400"/>
      <c r="DB128" s="1682"/>
      <c r="DC128" s="1326"/>
      <c r="DD128" s="1683">
        <v>0</v>
      </c>
      <c r="DE128" s="1400"/>
      <c r="DF128" s="1400"/>
      <c r="DG128" s="1683">
        <v>0</v>
      </c>
      <c r="DH128" s="1683">
        <v>0</v>
      </c>
    </row>
    <row r="129" spans="1:112" ht="67.5">
      <c r="A129" s="1326" t="s">
        <v>2126</v>
      </c>
      <c r="B129" s="1326" t="s">
        <v>1694</v>
      </c>
      <c r="C129" s="1326" t="s">
        <v>2549</v>
      </c>
      <c r="D129" s="1326" t="s">
        <v>2550</v>
      </c>
      <c r="E129" s="1326" t="s">
        <v>144</v>
      </c>
      <c r="F129" s="1326" t="s">
        <v>2544</v>
      </c>
      <c r="G129" s="1326" t="s">
        <v>2545</v>
      </c>
      <c r="H129" s="1326" t="s">
        <v>2546</v>
      </c>
      <c r="I129" s="1326" t="s">
        <v>702</v>
      </c>
      <c r="J129" s="1326" t="s">
        <v>278</v>
      </c>
      <c r="K129" s="1326" t="s">
        <v>2103</v>
      </c>
      <c r="L129" s="1326" t="s">
        <v>2061</v>
      </c>
      <c r="M129" s="1400"/>
      <c r="N129" s="1400"/>
      <c r="O129" s="1400"/>
      <c r="P129" s="1400"/>
      <c r="Q129" s="1400"/>
      <c r="R129" s="1400"/>
      <c r="S129" s="1400"/>
      <c r="T129" s="1400"/>
      <c r="U129" s="1400"/>
      <c r="V129" s="1400"/>
      <c r="W129" s="1400"/>
      <c r="X129" s="1400"/>
      <c r="Y129" s="1685">
        <v>43259</v>
      </c>
      <c r="Z129" s="1326" t="s">
        <v>2062</v>
      </c>
      <c r="AA129" s="1683">
        <v>0</v>
      </c>
      <c r="AB129" s="1683">
        <v>0</v>
      </c>
      <c r="AC129" s="1683">
        <v>0</v>
      </c>
      <c r="AD129" s="1685">
        <v>43273</v>
      </c>
      <c r="AE129" s="1326" t="s">
        <v>2080</v>
      </c>
      <c r="AF129" s="1326" t="s">
        <v>2067</v>
      </c>
      <c r="AG129" s="1410"/>
      <c r="AH129" s="1683">
        <v>183921.72</v>
      </c>
      <c r="AI129" s="1683">
        <v>93946.97</v>
      </c>
      <c r="AJ129" s="1683">
        <v>93946.97</v>
      </c>
      <c r="AK129" s="1683">
        <v>93946.97</v>
      </c>
      <c r="AL129" s="1683">
        <v>0</v>
      </c>
      <c r="AM129" s="1685">
        <v>43290</v>
      </c>
      <c r="AN129" s="1683">
        <v>183921.72</v>
      </c>
      <c r="AO129" s="1683">
        <v>93946.97</v>
      </c>
      <c r="AP129" s="1683">
        <v>93946.97</v>
      </c>
      <c r="AQ129" s="1683">
        <v>93946.97</v>
      </c>
      <c r="AR129" s="1683">
        <v>0</v>
      </c>
      <c r="AS129" s="1683">
        <v>89974.75</v>
      </c>
      <c r="AT129" s="1683">
        <v>0</v>
      </c>
      <c r="AU129" s="1683">
        <v>0</v>
      </c>
      <c r="AV129" s="1683">
        <v>0</v>
      </c>
      <c r="AW129" s="1683">
        <v>89974.75</v>
      </c>
      <c r="AX129" s="1400"/>
      <c r="AY129" s="1400"/>
      <c r="AZ129" s="1400"/>
      <c r="BA129" s="1682"/>
      <c r="BB129" s="1682"/>
      <c r="BC129" s="1400"/>
      <c r="BD129" s="1400"/>
      <c r="BE129" s="1683">
        <v>183921.72</v>
      </c>
      <c r="BF129" s="1683">
        <v>93946.97</v>
      </c>
      <c r="BG129" s="1683">
        <v>93946.97</v>
      </c>
      <c r="BH129" s="1683">
        <v>93946.97</v>
      </c>
      <c r="BI129" s="1683">
        <v>0</v>
      </c>
      <c r="BJ129" s="1683">
        <v>89974.75</v>
      </c>
      <c r="BK129" s="1683">
        <v>0</v>
      </c>
      <c r="BL129" s="1683">
        <v>0</v>
      </c>
      <c r="BM129" s="1683">
        <v>0</v>
      </c>
      <c r="BN129" s="1683">
        <v>89974.75</v>
      </c>
      <c r="BO129" s="1685">
        <v>43355</v>
      </c>
      <c r="BP129" s="1683">
        <v>183921.72</v>
      </c>
      <c r="BQ129" s="1683">
        <v>93946.97</v>
      </c>
      <c r="BR129" s="1683">
        <v>93946.97</v>
      </c>
      <c r="BS129" s="1683">
        <v>93946.97</v>
      </c>
      <c r="BT129" s="1683">
        <v>0</v>
      </c>
      <c r="BU129" s="1683">
        <v>89974.75</v>
      </c>
      <c r="BV129" s="1683">
        <v>0</v>
      </c>
      <c r="BW129" s="1683">
        <v>0</v>
      </c>
      <c r="BX129" s="1683">
        <v>0</v>
      </c>
      <c r="BY129" s="1683">
        <v>89974.75</v>
      </c>
      <c r="BZ129" s="1683">
        <v>0</v>
      </c>
      <c r="CA129" s="1400"/>
      <c r="CB129" s="1682"/>
      <c r="CC129" s="1682"/>
      <c r="CD129" s="1400"/>
      <c r="CE129" s="1400"/>
      <c r="CF129" s="1683">
        <v>0</v>
      </c>
      <c r="CG129" s="1683">
        <v>0</v>
      </c>
      <c r="CH129" s="1683">
        <v>0</v>
      </c>
      <c r="CI129" s="1683">
        <v>0</v>
      </c>
      <c r="CJ129" s="1683">
        <v>0</v>
      </c>
      <c r="CK129" s="1683">
        <v>0</v>
      </c>
      <c r="CL129" s="1682"/>
      <c r="CM129" s="1683">
        <v>0</v>
      </c>
      <c r="CN129" s="1683">
        <v>0</v>
      </c>
      <c r="CO129" s="1683">
        <v>0</v>
      </c>
      <c r="CP129" s="1683">
        <v>0</v>
      </c>
      <c r="CQ129" s="1683">
        <v>0</v>
      </c>
      <c r="CR129" s="1683">
        <v>0</v>
      </c>
      <c r="CS129" s="1683">
        <v>0</v>
      </c>
      <c r="CT129" s="1683">
        <v>0</v>
      </c>
      <c r="CU129" s="1683">
        <v>0</v>
      </c>
      <c r="CV129" s="1683">
        <v>0</v>
      </c>
      <c r="CW129" s="1682"/>
      <c r="CX129" s="1400"/>
      <c r="CY129" s="1400"/>
      <c r="CZ129" s="1400"/>
      <c r="DA129" s="1400"/>
      <c r="DB129" s="1682"/>
      <c r="DC129" s="1326"/>
      <c r="DD129" s="1683">
        <v>0</v>
      </c>
      <c r="DE129" s="1400"/>
      <c r="DF129" s="1400"/>
      <c r="DG129" s="1683">
        <v>0</v>
      </c>
      <c r="DH129" s="1683">
        <v>0</v>
      </c>
    </row>
    <row r="130" spans="1:112" ht="67.5">
      <c r="A130" s="1326" t="s">
        <v>2127</v>
      </c>
      <c r="B130" s="1326" t="s">
        <v>1694</v>
      </c>
      <c r="C130" s="1326" t="s">
        <v>2549</v>
      </c>
      <c r="D130" s="1326" t="s">
        <v>2550</v>
      </c>
      <c r="E130" s="1326" t="s">
        <v>144</v>
      </c>
      <c r="F130" s="1326" t="s">
        <v>2544</v>
      </c>
      <c r="G130" s="1326" t="s">
        <v>2545</v>
      </c>
      <c r="H130" s="1326" t="s">
        <v>2546</v>
      </c>
      <c r="I130" s="1326" t="s">
        <v>702</v>
      </c>
      <c r="J130" s="1326" t="s">
        <v>278</v>
      </c>
      <c r="K130" s="1326" t="s">
        <v>2103</v>
      </c>
      <c r="L130" s="1326" t="s">
        <v>2061</v>
      </c>
      <c r="M130" s="1400"/>
      <c r="N130" s="1400"/>
      <c r="O130" s="1400"/>
      <c r="P130" s="1400"/>
      <c r="Q130" s="1400"/>
      <c r="R130" s="1400"/>
      <c r="S130" s="1400"/>
      <c r="T130" s="1400"/>
      <c r="U130" s="1400"/>
      <c r="V130" s="1400"/>
      <c r="W130" s="1400"/>
      <c r="X130" s="1400"/>
      <c r="Y130" s="1685">
        <v>43321</v>
      </c>
      <c r="Z130" s="1326" t="s">
        <v>2062</v>
      </c>
      <c r="AA130" s="1683">
        <v>0</v>
      </c>
      <c r="AB130" s="1683">
        <v>0</v>
      </c>
      <c r="AC130" s="1683">
        <v>0</v>
      </c>
      <c r="AD130" s="1685">
        <v>43343</v>
      </c>
      <c r="AE130" s="1326" t="s">
        <v>2081</v>
      </c>
      <c r="AF130" s="1326" t="s">
        <v>2067</v>
      </c>
      <c r="AG130" s="1410"/>
      <c r="AH130" s="1683">
        <v>97671.59</v>
      </c>
      <c r="AI130" s="1683">
        <v>73862.23</v>
      </c>
      <c r="AJ130" s="1683">
        <v>73862.22</v>
      </c>
      <c r="AK130" s="1683">
        <v>73862.22</v>
      </c>
      <c r="AL130" s="1683">
        <v>0</v>
      </c>
      <c r="AM130" s="1685">
        <v>43363</v>
      </c>
      <c r="AN130" s="1683">
        <v>97671.59</v>
      </c>
      <c r="AO130" s="1683">
        <v>73862.22</v>
      </c>
      <c r="AP130" s="1683">
        <v>73862.22</v>
      </c>
      <c r="AQ130" s="1683">
        <v>73862.22</v>
      </c>
      <c r="AR130" s="1683">
        <v>0</v>
      </c>
      <c r="AS130" s="1683">
        <v>23809.37</v>
      </c>
      <c r="AT130" s="1683">
        <v>0</v>
      </c>
      <c r="AU130" s="1683">
        <v>0</v>
      </c>
      <c r="AV130" s="1683">
        <v>0</v>
      </c>
      <c r="AW130" s="1683">
        <v>23809.37</v>
      </c>
      <c r="AX130" s="1400"/>
      <c r="AY130" s="1400"/>
      <c r="AZ130" s="1400"/>
      <c r="BA130" s="1682"/>
      <c r="BB130" s="1682"/>
      <c r="BC130" s="1400"/>
      <c r="BD130" s="1400"/>
      <c r="BE130" s="1683">
        <v>97671.59</v>
      </c>
      <c r="BF130" s="1683">
        <v>73862.22</v>
      </c>
      <c r="BG130" s="1683">
        <v>73862.22</v>
      </c>
      <c r="BH130" s="1683">
        <v>73862.22</v>
      </c>
      <c r="BI130" s="1683">
        <v>0</v>
      </c>
      <c r="BJ130" s="1683">
        <v>23809.37</v>
      </c>
      <c r="BK130" s="1683">
        <v>0</v>
      </c>
      <c r="BL130" s="1683">
        <v>0</v>
      </c>
      <c r="BM130" s="1683">
        <v>0</v>
      </c>
      <c r="BN130" s="1683">
        <v>23809.37</v>
      </c>
      <c r="BO130" s="1685">
        <v>43397</v>
      </c>
      <c r="BP130" s="1683">
        <v>97671.59</v>
      </c>
      <c r="BQ130" s="1683">
        <v>73862.22</v>
      </c>
      <c r="BR130" s="1683">
        <v>73862.22</v>
      </c>
      <c r="BS130" s="1683">
        <v>73862.22</v>
      </c>
      <c r="BT130" s="1683">
        <v>0</v>
      </c>
      <c r="BU130" s="1683">
        <v>23809.37</v>
      </c>
      <c r="BV130" s="1683">
        <v>0</v>
      </c>
      <c r="BW130" s="1683">
        <v>0</v>
      </c>
      <c r="BX130" s="1683">
        <v>0</v>
      </c>
      <c r="BY130" s="1683">
        <v>23809.37</v>
      </c>
      <c r="BZ130" s="1683">
        <v>0</v>
      </c>
      <c r="CA130" s="1400"/>
      <c r="CB130" s="1682"/>
      <c r="CC130" s="1682"/>
      <c r="CD130" s="1400"/>
      <c r="CE130" s="1400"/>
      <c r="CF130" s="1683">
        <v>0</v>
      </c>
      <c r="CG130" s="1683">
        <v>0</v>
      </c>
      <c r="CH130" s="1683">
        <v>0</v>
      </c>
      <c r="CI130" s="1683">
        <v>0</v>
      </c>
      <c r="CJ130" s="1683">
        <v>0</v>
      </c>
      <c r="CK130" s="1683">
        <v>0</v>
      </c>
      <c r="CL130" s="1682"/>
      <c r="CM130" s="1683">
        <v>0</v>
      </c>
      <c r="CN130" s="1683">
        <v>0</v>
      </c>
      <c r="CO130" s="1683">
        <v>0</v>
      </c>
      <c r="CP130" s="1683">
        <v>0</v>
      </c>
      <c r="CQ130" s="1683">
        <v>0</v>
      </c>
      <c r="CR130" s="1683">
        <v>0</v>
      </c>
      <c r="CS130" s="1683">
        <v>0</v>
      </c>
      <c r="CT130" s="1683">
        <v>0</v>
      </c>
      <c r="CU130" s="1683">
        <v>0</v>
      </c>
      <c r="CV130" s="1683">
        <v>0</v>
      </c>
      <c r="CW130" s="1682"/>
      <c r="CX130" s="1400"/>
      <c r="CY130" s="1400"/>
      <c r="CZ130" s="1400"/>
      <c r="DA130" s="1400"/>
      <c r="DB130" s="1682"/>
      <c r="DC130" s="1326"/>
      <c r="DD130" s="1683">
        <v>0</v>
      </c>
      <c r="DE130" s="1400"/>
      <c r="DF130" s="1400"/>
      <c r="DG130" s="1683">
        <v>0</v>
      </c>
      <c r="DH130" s="1683">
        <v>0</v>
      </c>
    </row>
    <row r="131" spans="1:112" ht="67.5">
      <c r="A131" s="1326" t="s">
        <v>2128</v>
      </c>
      <c r="B131" s="1326" t="s">
        <v>1694</v>
      </c>
      <c r="C131" s="1326" t="s">
        <v>2549</v>
      </c>
      <c r="D131" s="1326" t="s">
        <v>2550</v>
      </c>
      <c r="E131" s="1326" t="s">
        <v>144</v>
      </c>
      <c r="F131" s="1326" t="s">
        <v>2544</v>
      </c>
      <c r="G131" s="1326" t="s">
        <v>2545</v>
      </c>
      <c r="H131" s="1326" t="s">
        <v>2546</v>
      </c>
      <c r="I131" s="1326" t="s">
        <v>702</v>
      </c>
      <c r="J131" s="1326" t="s">
        <v>278</v>
      </c>
      <c r="K131" s="1326" t="s">
        <v>2103</v>
      </c>
      <c r="L131" s="1326" t="s">
        <v>2061</v>
      </c>
      <c r="M131" s="1400"/>
      <c r="N131" s="1400"/>
      <c r="O131" s="1400"/>
      <c r="P131" s="1400"/>
      <c r="Q131" s="1400"/>
      <c r="R131" s="1400"/>
      <c r="S131" s="1400"/>
      <c r="T131" s="1400"/>
      <c r="U131" s="1400"/>
      <c r="V131" s="1400"/>
      <c r="W131" s="1400"/>
      <c r="X131" s="1400"/>
      <c r="Y131" s="1685">
        <v>43381</v>
      </c>
      <c r="Z131" s="1326" t="s">
        <v>2062</v>
      </c>
      <c r="AA131" s="1683">
        <v>0</v>
      </c>
      <c r="AB131" s="1683">
        <v>0</v>
      </c>
      <c r="AC131" s="1683">
        <v>0</v>
      </c>
      <c r="AD131" s="1685">
        <v>43404</v>
      </c>
      <c r="AE131" s="1326" t="s">
        <v>2088</v>
      </c>
      <c r="AF131" s="1326" t="s">
        <v>2067</v>
      </c>
      <c r="AG131" s="1410"/>
      <c r="AH131" s="1683">
        <v>167413.69</v>
      </c>
      <c r="AI131" s="1683">
        <v>109129.95</v>
      </c>
      <c r="AJ131" s="1683">
        <v>109129.96</v>
      </c>
      <c r="AK131" s="1683">
        <v>109129.96</v>
      </c>
      <c r="AL131" s="1683">
        <v>0</v>
      </c>
      <c r="AM131" s="1685">
        <v>43424</v>
      </c>
      <c r="AN131" s="1683">
        <v>167413.69</v>
      </c>
      <c r="AO131" s="1683">
        <v>109129.96</v>
      </c>
      <c r="AP131" s="1683">
        <v>109129.96</v>
      </c>
      <c r="AQ131" s="1683">
        <v>109129.96</v>
      </c>
      <c r="AR131" s="1683">
        <v>0</v>
      </c>
      <c r="AS131" s="1683">
        <v>58283.73</v>
      </c>
      <c r="AT131" s="1683">
        <v>0</v>
      </c>
      <c r="AU131" s="1683">
        <v>0</v>
      </c>
      <c r="AV131" s="1683">
        <v>0</v>
      </c>
      <c r="AW131" s="1683">
        <v>58283.73</v>
      </c>
      <c r="AX131" s="1400"/>
      <c r="AY131" s="1400"/>
      <c r="AZ131" s="1400"/>
      <c r="BA131" s="1682"/>
      <c r="BB131" s="1682"/>
      <c r="BC131" s="1400"/>
      <c r="BD131" s="1400"/>
      <c r="BE131" s="1683">
        <v>167413.69</v>
      </c>
      <c r="BF131" s="1683">
        <v>109129.96</v>
      </c>
      <c r="BG131" s="1683">
        <v>109129.96</v>
      </c>
      <c r="BH131" s="1683">
        <v>109129.96</v>
      </c>
      <c r="BI131" s="1683">
        <v>0</v>
      </c>
      <c r="BJ131" s="1683">
        <v>58283.73</v>
      </c>
      <c r="BK131" s="1683">
        <v>0</v>
      </c>
      <c r="BL131" s="1683">
        <v>0</v>
      </c>
      <c r="BM131" s="1683">
        <v>0</v>
      </c>
      <c r="BN131" s="1683">
        <v>58283.73</v>
      </c>
      <c r="BO131" s="1685">
        <v>43553</v>
      </c>
      <c r="BP131" s="1683">
        <v>167413.69</v>
      </c>
      <c r="BQ131" s="1683">
        <v>109129.96</v>
      </c>
      <c r="BR131" s="1683">
        <v>109129.96</v>
      </c>
      <c r="BS131" s="1683">
        <v>109129.96</v>
      </c>
      <c r="BT131" s="1683">
        <v>0</v>
      </c>
      <c r="BU131" s="1683">
        <v>58283.73</v>
      </c>
      <c r="BV131" s="1683">
        <v>0</v>
      </c>
      <c r="BW131" s="1683">
        <v>0</v>
      </c>
      <c r="BX131" s="1683">
        <v>0</v>
      </c>
      <c r="BY131" s="1683">
        <v>58283.73</v>
      </c>
      <c r="BZ131" s="1683">
        <v>0</v>
      </c>
      <c r="CA131" s="1400"/>
      <c r="CB131" s="1682"/>
      <c r="CC131" s="1682"/>
      <c r="CD131" s="1400"/>
      <c r="CE131" s="1400"/>
      <c r="CF131" s="1683">
        <v>0</v>
      </c>
      <c r="CG131" s="1683">
        <v>0</v>
      </c>
      <c r="CH131" s="1683">
        <v>0</v>
      </c>
      <c r="CI131" s="1683">
        <v>0</v>
      </c>
      <c r="CJ131" s="1683">
        <v>0</v>
      </c>
      <c r="CK131" s="1683">
        <v>0</v>
      </c>
      <c r="CL131" s="1682"/>
      <c r="CM131" s="1683">
        <v>0</v>
      </c>
      <c r="CN131" s="1683">
        <v>0</v>
      </c>
      <c r="CO131" s="1683">
        <v>0</v>
      </c>
      <c r="CP131" s="1683">
        <v>0</v>
      </c>
      <c r="CQ131" s="1683">
        <v>0</v>
      </c>
      <c r="CR131" s="1683">
        <v>0</v>
      </c>
      <c r="CS131" s="1683">
        <v>0</v>
      </c>
      <c r="CT131" s="1683">
        <v>0</v>
      </c>
      <c r="CU131" s="1683">
        <v>0</v>
      </c>
      <c r="CV131" s="1683">
        <v>0</v>
      </c>
      <c r="CW131" s="1682"/>
      <c r="CX131" s="1400"/>
      <c r="CY131" s="1400"/>
      <c r="CZ131" s="1400"/>
      <c r="DA131" s="1400"/>
      <c r="DB131" s="1682"/>
      <c r="DC131" s="1326"/>
      <c r="DD131" s="1683">
        <v>0</v>
      </c>
      <c r="DE131" s="1400"/>
      <c r="DF131" s="1400"/>
      <c r="DG131" s="1683">
        <v>0</v>
      </c>
      <c r="DH131" s="1683">
        <v>0</v>
      </c>
    </row>
    <row r="132" spans="1:112" ht="67.5">
      <c r="A132" s="1326" t="s">
        <v>2129</v>
      </c>
      <c r="B132" s="1326" t="s">
        <v>1694</v>
      </c>
      <c r="C132" s="1326" t="s">
        <v>2549</v>
      </c>
      <c r="D132" s="1326" t="s">
        <v>2550</v>
      </c>
      <c r="E132" s="1326" t="s">
        <v>144</v>
      </c>
      <c r="F132" s="1326" t="s">
        <v>2544</v>
      </c>
      <c r="G132" s="1326" t="s">
        <v>2545</v>
      </c>
      <c r="H132" s="1326" t="s">
        <v>2546</v>
      </c>
      <c r="I132" s="1326" t="s">
        <v>702</v>
      </c>
      <c r="J132" s="1326" t="s">
        <v>278</v>
      </c>
      <c r="K132" s="1326" t="s">
        <v>2103</v>
      </c>
      <c r="L132" s="1326" t="s">
        <v>2061</v>
      </c>
      <c r="M132" s="1400"/>
      <c r="N132" s="1400"/>
      <c r="O132" s="1400"/>
      <c r="P132" s="1400"/>
      <c r="Q132" s="1400"/>
      <c r="R132" s="1400"/>
      <c r="S132" s="1400"/>
      <c r="T132" s="1400"/>
      <c r="U132" s="1400"/>
      <c r="V132" s="1400"/>
      <c r="W132" s="1400"/>
      <c r="X132" s="1400"/>
      <c r="Y132" s="1685">
        <v>43434</v>
      </c>
      <c r="Z132" s="1326" t="s">
        <v>2062</v>
      </c>
      <c r="AA132" s="1683">
        <v>0</v>
      </c>
      <c r="AB132" s="1683">
        <v>0</v>
      </c>
      <c r="AC132" s="1683">
        <v>0</v>
      </c>
      <c r="AD132" s="1685">
        <v>43447</v>
      </c>
      <c r="AE132" s="1326" t="s">
        <v>2082</v>
      </c>
      <c r="AF132" s="1326" t="s">
        <v>2067</v>
      </c>
      <c r="AG132" s="1410"/>
      <c r="AH132" s="1683">
        <v>131243.79</v>
      </c>
      <c r="AI132" s="1683">
        <v>89056.19</v>
      </c>
      <c r="AJ132" s="1683">
        <v>89056.19</v>
      </c>
      <c r="AK132" s="1683">
        <v>89056.19</v>
      </c>
      <c r="AL132" s="1683">
        <v>0</v>
      </c>
      <c r="AM132" s="1685">
        <v>43461</v>
      </c>
      <c r="AN132" s="1683">
        <v>131243.79</v>
      </c>
      <c r="AO132" s="1683">
        <v>89056.19</v>
      </c>
      <c r="AP132" s="1683">
        <v>89056.19</v>
      </c>
      <c r="AQ132" s="1683">
        <v>89056.19</v>
      </c>
      <c r="AR132" s="1683">
        <v>0</v>
      </c>
      <c r="AS132" s="1683">
        <v>42187.6</v>
      </c>
      <c r="AT132" s="1683">
        <v>0</v>
      </c>
      <c r="AU132" s="1683">
        <v>0</v>
      </c>
      <c r="AV132" s="1683">
        <v>0</v>
      </c>
      <c r="AW132" s="1683">
        <v>42187.6</v>
      </c>
      <c r="AX132" s="1400"/>
      <c r="AY132" s="1400"/>
      <c r="AZ132" s="1400"/>
      <c r="BA132" s="1682"/>
      <c r="BB132" s="1682"/>
      <c r="BC132" s="1400"/>
      <c r="BD132" s="1400"/>
      <c r="BE132" s="1683">
        <v>131243.79</v>
      </c>
      <c r="BF132" s="1683">
        <v>89056.19</v>
      </c>
      <c r="BG132" s="1683">
        <v>89056.19</v>
      </c>
      <c r="BH132" s="1683">
        <v>89056.19</v>
      </c>
      <c r="BI132" s="1683">
        <v>0</v>
      </c>
      <c r="BJ132" s="1683">
        <v>42187.6</v>
      </c>
      <c r="BK132" s="1683">
        <v>0</v>
      </c>
      <c r="BL132" s="1683">
        <v>0</v>
      </c>
      <c r="BM132" s="1683">
        <v>0</v>
      </c>
      <c r="BN132" s="1683">
        <v>42187.6</v>
      </c>
      <c r="BO132" s="1685">
        <v>43553</v>
      </c>
      <c r="BP132" s="1683">
        <v>131243.79</v>
      </c>
      <c r="BQ132" s="1683">
        <v>89056.19</v>
      </c>
      <c r="BR132" s="1683">
        <v>89056.19</v>
      </c>
      <c r="BS132" s="1683">
        <v>89056.19</v>
      </c>
      <c r="BT132" s="1683">
        <v>0</v>
      </c>
      <c r="BU132" s="1683">
        <v>42187.6</v>
      </c>
      <c r="BV132" s="1683">
        <v>0</v>
      </c>
      <c r="BW132" s="1683">
        <v>0</v>
      </c>
      <c r="BX132" s="1683">
        <v>0</v>
      </c>
      <c r="BY132" s="1683">
        <v>42187.6</v>
      </c>
      <c r="BZ132" s="1683">
        <v>0</v>
      </c>
      <c r="CA132" s="1400"/>
      <c r="CB132" s="1682"/>
      <c r="CC132" s="1682"/>
      <c r="CD132" s="1400"/>
      <c r="CE132" s="1400"/>
      <c r="CF132" s="1683">
        <v>0</v>
      </c>
      <c r="CG132" s="1683">
        <v>0</v>
      </c>
      <c r="CH132" s="1683">
        <v>0</v>
      </c>
      <c r="CI132" s="1683">
        <v>0</v>
      </c>
      <c r="CJ132" s="1683">
        <v>0</v>
      </c>
      <c r="CK132" s="1683">
        <v>0</v>
      </c>
      <c r="CL132" s="1682"/>
      <c r="CM132" s="1683">
        <v>0</v>
      </c>
      <c r="CN132" s="1683">
        <v>0</v>
      </c>
      <c r="CO132" s="1683">
        <v>0</v>
      </c>
      <c r="CP132" s="1683">
        <v>0</v>
      </c>
      <c r="CQ132" s="1683">
        <v>0</v>
      </c>
      <c r="CR132" s="1683">
        <v>0</v>
      </c>
      <c r="CS132" s="1683">
        <v>0</v>
      </c>
      <c r="CT132" s="1683">
        <v>0</v>
      </c>
      <c r="CU132" s="1683">
        <v>0</v>
      </c>
      <c r="CV132" s="1683">
        <v>0</v>
      </c>
      <c r="CW132" s="1682"/>
      <c r="CX132" s="1400"/>
      <c r="CY132" s="1400"/>
      <c r="CZ132" s="1400"/>
      <c r="DA132" s="1400"/>
      <c r="DB132" s="1682"/>
      <c r="DC132" s="1326"/>
      <c r="DD132" s="1683">
        <v>0</v>
      </c>
      <c r="DE132" s="1400"/>
      <c r="DF132" s="1400"/>
      <c r="DG132" s="1683">
        <v>0</v>
      </c>
      <c r="DH132" s="1683">
        <v>0</v>
      </c>
    </row>
    <row r="133" spans="1:112" ht="67.5">
      <c r="A133" s="1326" t="s">
        <v>2130</v>
      </c>
      <c r="B133" s="1326" t="s">
        <v>1694</v>
      </c>
      <c r="C133" s="1326" t="s">
        <v>2549</v>
      </c>
      <c r="D133" s="1326" t="s">
        <v>2550</v>
      </c>
      <c r="E133" s="1326" t="s">
        <v>144</v>
      </c>
      <c r="F133" s="1326" t="s">
        <v>2544</v>
      </c>
      <c r="G133" s="1326" t="s">
        <v>2545</v>
      </c>
      <c r="H133" s="1326" t="s">
        <v>2546</v>
      </c>
      <c r="I133" s="1326" t="s">
        <v>702</v>
      </c>
      <c r="J133" s="1326" t="s">
        <v>278</v>
      </c>
      <c r="K133" s="1326" t="s">
        <v>2103</v>
      </c>
      <c r="L133" s="1326" t="s">
        <v>2061</v>
      </c>
      <c r="M133" s="1400"/>
      <c r="N133" s="1400"/>
      <c r="O133" s="1400"/>
      <c r="P133" s="1400"/>
      <c r="Q133" s="1400"/>
      <c r="R133" s="1400"/>
      <c r="S133" s="1400"/>
      <c r="T133" s="1400"/>
      <c r="U133" s="1400"/>
      <c r="V133" s="1400"/>
      <c r="W133" s="1400"/>
      <c r="X133" s="1400"/>
      <c r="Y133" s="1685">
        <v>43496</v>
      </c>
      <c r="Z133" s="1326" t="s">
        <v>2062</v>
      </c>
      <c r="AA133" s="1683">
        <v>0</v>
      </c>
      <c r="AB133" s="1683">
        <v>0</v>
      </c>
      <c r="AC133" s="1683">
        <v>0</v>
      </c>
      <c r="AD133" s="1685">
        <v>43525</v>
      </c>
      <c r="AE133" s="1326" t="s">
        <v>2083</v>
      </c>
      <c r="AF133" s="1326" t="s">
        <v>2067</v>
      </c>
      <c r="AG133" s="1410"/>
      <c r="AH133" s="1683">
        <v>88887.28</v>
      </c>
      <c r="AI133" s="1683">
        <v>49590.29</v>
      </c>
      <c r="AJ133" s="1683">
        <v>49204.47</v>
      </c>
      <c r="AK133" s="1683">
        <v>49204.47</v>
      </c>
      <c r="AL133" s="1683">
        <v>0</v>
      </c>
      <c r="AM133" s="1682"/>
      <c r="AN133" s="1683">
        <v>0</v>
      </c>
      <c r="AO133" s="1683">
        <v>0</v>
      </c>
      <c r="AP133" s="1683">
        <v>0</v>
      </c>
      <c r="AQ133" s="1683">
        <v>0</v>
      </c>
      <c r="AR133" s="1683">
        <v>0</v>
      </c>
      <c r="AS133" s="1683">
        <v>0</v>
      </c>
      <c r="AT133" s="1683">
        <v>0</v>
      </c>
      <c r="AU133" s="1683">
        <v>0</v>
      </c>
      <c r="AV133" s="1683">
        <v>0</v>
      </c>
      <c r="AW133" s="1683">
        <v>0</v>
      </c>
      <c r="AX133" s="1400"/>
      <c r="AY133" s="1400"/>
      <c r="AZ133" s="1400"/>
      <c r="BA133" s="1682"/>
      <c r="BB133" s="1682"/>
      <c r="BC133" s="1400"/>
      <c r="BD133" s="1400"/>
      <c r="BE133" s="1683">
        <v>0</v>
      </c>
      <c r="BF133" s="1683">
        <v>0</v>
      </c>
      <c r="BG133" s="1683">
        <v>0</v>
      </c>
      <c r="BH133" s="1683">
        <v>0</v>
      </c>
      <c r="BI133" s="1683">
        <v>0</v>
      </c>
      <c r="BJ133" s="1683">
        <v>0</v>
      </c>
      <c r="BK133" s="1683">
        <v>0</v>
      </c>
      <c r="BL133" s="1683">
        <v>0</v>
      </c>
      <c r="BM133" s="1683">
        <v>0</v>
      </c>
      <c r="BN133" s="1683">
        <v>0</v>
      </c>
      <c r="BO133" s="1682"/>
      <c r="BP133" s="1683">
        <v>0</v>
      </c>
      <c r="BQ133" s="1683">
        <v>0</v>
      </c>
      <c r="BR133" s="1683">
        <v>0</v>
      </c>
      <c r="BS133" s="1683">
        <v>0</v>
      </c>
      <c r="BT133" s="1683">
        <v>0</v>
      </c>
      <c r="BU133" s="1683">
        <v>0</v>
      </c>
      <c r="BV133" s="1683">
        <v>0</v>
      </c>
      <c r="BW133" s="1683">
        <v>0</v>
      </c>
      <c r="BX133" s="1683">
        <v>0</v>
      </c>
      <c r="BY133" s="1683">
        <v>0</v>
      </c>
      <c r="BZ133" s="1400"/>
      <c r="CA133" s="1400"/>
      <c r="CB133" s="1682"/>
      <c r="CC133" s="1682"/>
      <c r="CD133" s="1400"/>
      <c r="CE133" s="1400"/>
      <c r="CF133" s="1683">
        <v>0</v>
      </c>
      <c r="CG133" s="1683">
        <v>0</v>
      </c>
      <c r="CH133" s="1683">
        <v>0</v>
      </c>
      <c r="CI133" s="1683">
        <v>0</v>
      </c>
      <c r="CJ133" s="1683">
        <v>0</v>
      </c>
      <c r="CK133" s="1683">
        <v>0</v>
      </c>
      <c r="CL133" s="1682"/>
      <c r="CM133" s="1683">
        <v>0</v>
      </c>
      <c r="CN133" s="1683">
        <v>0</v>
      </c>
      <c r="CO133" s="1683">
        <v>0</v>
      </c>
      <c r="CP133" s="1683">
        <v>0</v>
      </c>
      <c r="CQ133" s="1683">
        <v>0</v>
      </c>
      <c r="CR133" s="1683">
        <v>0</v>
      </c>
      <c r="CS133" s="1683">
        <v>0</v>
      </c>
      <c r="CT133" s="1683">
        <v>0</v>
      </c>
      <c r="CU133" s="1683">
        <v>0</v>
      </c>
      <c r="CV133" s="1683">
        <v>0</v>
      </c>
      <c r="CW133" s="1682"/>
      <c r="CX133" s="1400"/>
      <c r="CY133" s="1400"/>
      <c r="CZ133" s="1400"/>
      <c r="DA133" s="1400"/>
      <c r="DB133" s="1682"/>
      <c r="DC133" s="1326"/>
      <c r="DD133" s="1683">
        <v>0</v>
      </c>
      <c r="DE133" s="1400"/>
      <c r="DF133" s="1400"/>
      <c r="DG133" s="1683">
        <v>0</v>
      </c>
      <c r="DH133" s="1683">
        <v>0</v>
      </c>
    </row>
    <row r="134" spans="1:112" ht="56.25">
      <c r="A134" s="1326" t="s">
        <v>2131</v>
      </c>
      <c r="B134" s="1326" t="s">
        <v>1694</v>
      </c>
      <c r="C134" s="1326" t="s">
        <v>2549</v>
      </c>
      <c r="D134" s="1326" t="s">
        <v>2550</v>
      </c>
      <c r="E134" s="1326" t="s">
        <v>144</v>
      </c>
      <c r="F134" s="1326" t="s">
        <v>2544</v>
      </c>
      <c r="G134" s="1326" t="s">
        <v>2545</v>
      </c>
      <c r="H134" s="1326" t="s">
        <v>2546</v>
      </c>
      <c r="I134" s="1326" t="s">
        <v>701</v>
      </c>
      <c r="J134" s="1326" t="s">
        <v>303</v>
      </c>
      <c r="K134" s="1326" t="s">
        <v>2104</v>
      </c>
      <c r="L134" s="1326" t="s">
        <v>2061</v>
      </c>
      <c r="M134" s="1683">
        <v>1481000</v>
      </c>
      <c r="N134" s="1683">
        <v>0</v>
      </c>
      <c r="O134" s="1683">
        <v>1481000</v>
      </c>
      <c r="P134" s="1683">
        <v>867744</v>
      </c>
      <c r="Q134" s="1683">
        <v>867744</v>
      </c>
      <c r="R134" s="1683">
        <v>867744</v>
      </c>
      <c r="S134" s="1683">
        <v>0</v>
      </c>
      <c r="T134" s="1683">
        <v>613256</v>
      </c>
      <c r="U134" s="1683">
        <v>0</v>
      </c>
      <c r="V134" s="1683">
        <v>0</v>
      </c>
      <c r="W134" s="1683">
        <v>0</v>
      </c>
      <c r="X134" s="1683">
        <v>613256</v>
      </c>
      <c r="Y134" s="1682"/>
      <c r="Z134" s="1326"/>
      <c r="AA134" s="1683">
        <v>0</v>
      </c>
      <c r="AB134" s="1683">
        <v>0</v>
      </c>
      <c r="AC134" s="1683">
        <v>0</v>
      </c>
      <c r="AD134" s="1682"/>
      <c r="AE134" s="1326"/>
      <c r="AF134" s="1326"/>
      <c r="AG134" s="1410"/>
      <c r="AH134" s="1683">
        <v>110157.75</v>
      </c>
      <c r="AI134" s="1683">
        <v>46859.28</v>
      </c>
      <c r="AJ134" s="1683">
        <v>46859.28</v>
      </c>
      <c r="AK134" s="1683">
        <v>46859.28</v>
      </c>
      <c r="AL134" s="1683">
        <v>0</v>
      </c>
      <c r="AM134" s="1682"/>
      <c r="AN134" s="1683">
        <v>110157.75</v>
      </c>
      <c r="AO134" s="1683">
        <v>46859.28</v>
      </c>
      <c r="AP134" s="1683">
        <v>46859.28</v>
      </c>
      <c r="AQ134" s="1683">
        <v>46859.28</v>
      </c>
      <c r="AR134" s="1683">
        <v>0</v>
      </c>
      <c r="AS134" s="1683">
        <v>63298.47</v>
      </c>
      <c r="AT134" s="1683">
        <v>0</v>
      </c>
      <c r="AU134" s="1683">
        <v>0</v>
      </c>
      <c r="AV134" s="1683">
        <v>0</v>
      </c>
      <c r="AW134" s="1683">
        <v>63298.47</v>
      </c>
      <c r="AX134" s="1683">
        <v>0</v>
      </c>
      <c r="AY134" s="1683">
        <v>0</v>
      </c>
      <c r="AZ134" s="1683">
        <v>0</v>
      </c>
      <c r="BA134" s="1682"/>
      <c r="BB134" s="1682"/>
      <c r="BC134" s="1683">
        <v>0</v>
      </c>
      <c r="BD134" s="1683">
        <v>0</v>
      </c>
      <c r="BE134" s="1683">
        <v>110157.75</v>
      </c>
      <c r="BF134" s="1683">
        <v>46859.28</v>
      </c>
      <c r="BG134" s="1683">
        <v>46859.28</v>
      </c>
      <c r="BH134" s="1683">
        <v>46859.28</v>
      </c>
      <c r="BI134" s="1683">
        <v>0</v>
      </c>
      <c r="BJ134" s="1683">
        <v>63298.47</v>
      </c>
      <c r="BK134" s="1683">
        <v>0</v>
      </c>
      <c r="BL134" s="1683">
        <v>0</v>
      </c>
      <c r="BM134" s="1683">
        <v>0</v>
      </c>
      <c r="BN134" s="1683">
        <v>63298.47</v>
      </c>
      <c r="BO134" s="1682"/>
      <c r="BP134" s="1683">
        <v>31033.759999999998</v>
      </c>
      <c r="BQ134" s="1683">
        <v>14023.73</v>
      </c>
      <c r="BR134" s="1683">
        <v>14023.73</v>
      </c>
      <c r="BS134" s="1683">
        <v>14023.73</v>
      </c>
      <c r="BT134" s="1683">
        <v>0</v>
      </c>
      <c r="BU134" s="1683">
        <v>17010.03</v>
      </c>
      <c r="BV134" s="1683">
        <v>0</v>
      </c>
      <c r="BW134" s="1683">
        <v>0</v>
      </c>
      <c r="BX134" s="1683">
        <v>0</v>
      </c>
      <c r="BY134" s="1683">
        <v>17010.03</v>
      </c>
      <c r="BZ134" s="1683">
        <v>0</v>
      </c>
      <c r="CA134" s="1683">
        <v>0</v>
      </c>
      <c r="CB134" s="1682"/>
      <c r="CC134" s="1682"/>
      <c r="CD134" s="1683">
        <v>0</v>
      </c>
      <c r="CE134" s="1683">
        <v>0</v>
      </c>
      <c r="CF134" s="1683">
        <v>0</v>
      </c>
      <c r="CG134" s="1683">
        <v>0</v>
      </c>
      <c r="CH134" s="1683">
        <v>0</v>
      </c>
      <c r="CI134" s="1683">
        <v>0</v>
      </c>
      <c r="CJ134" s="1683">
        <v>0</v>
      </c>
      <c r="CK134" s="1683">
        <v>0</v>
      </c>
      <c r="CL134" s="1682"/>
      <c r="CM134" s="1683">
        <v>0</v>
      </c>
      <c r="CN134" s="1683">
        <v>0</v>
      </c>
      <c r="CO134" s="1683">
        <v>0</v>
      </c>
      <c r="CP134" s="1683">
        <v>0</v>
      </c>
      <c r="CQ134" s="1683">
        <v>0</v>
      </c>
      <c r="CR134" s="1683">
        <v>0</v>
      </c>
      <c r="CS134" s="1683">
        <v>0</v>
      </c>
      <c r="CT134" s="1683">
        <v>0</v>
      </c>
      <c r="CU134" s="1683">
        <v>0</v>
      </c>
      <c r="CV134" s="1683">
        <v>0</v>
      </c>
      <c r="CW134" s="1682"/>
      <c r="CX134" s="1683">
        <v>0</v>
      </c>
      <c r="CY134" s="1683">
        <v>0</v>
      </c>
      <c r="CZ134" s="1683">
        <v>0</v>
      </c>
      <c r="DA134" s="1683">
        <v>0</v>
      </c>
      <c r="DB134" s="1682"/>
      <c r="DC134" s="1326"/>
      <c r="DD134" s="1683">
        <v>0</v>
      </c>
      <c r="DE134" s="1683">
        <v>0</v>
      </c>
      <c r="DF134" s="1683">
        <v>0</v>
      </c>
      <c r="DG134" s="1683">
        <v>0</v>
      </c>
      <c r="DH134" s="1683">
        <v>0</v>
      </c>
    </row>
    <row r="135" spans="1:112" ht="56.25">
      <c r="A135" s="1326" t="s">
        <v>2132</v>
      </c>
      <c r="B135" s="1326" t="s">
        <v>1694</v>
      </c>
      <c r="C135" s="1326" t="s">
        <v>2549</v>
      </c>
      <c r="D135" s="1326" t="s">
        <v>2550</v>
      </c>
      <c r="E135" s="1326" t="s">
        <v>144</v>
      </c>
      <c r="F135" s="1326" t="s">
        <v>2544</v>
      </c>
      <c r="G135" s="1326" t="s">
        <v>2545</v>
      </c>
      <c r="H135" s="1326" t="s">
        <v>2546</v>
      </c>
      <c r="I135" s="1326" t="s">
        <v>701</v>
      </c>
      <c r="J135" s="1326" t="s">
        <v>303</v>
      </c>
      <c r="K135" s="1326" t="s">
        <v>2104</v>
      </c>
      <c r="L135" s="1326" t="s">
        <v>2061</v>
      </c>
      <c r="M135" s="1400"/>
      <c r="N135" s="1400"/>
      <c r="O135" s="1400"/>
      <c r="P135" s="1400"/>
      <c r="Q135" s="1400"/>
      <c r="R135" s="1400"/>
      <c r="S135" s="1400"/>
      <c r="T135" s="1400"/>
      <c r="U135" s="1400"/>
      <c r="V135" s="1400"/>
      <c r="W135" s="1400"/>
      <c r="X135" s="1400"/>
      <c r="Y135" s="1685">
        <v>43209</v>
      </c>
      <c r="Z135" s="1326" t="s">
        <v>2062</v>
      </c>
      <c r="AA135" s="1683">
        <v>0</v>
      </c>
      <c r="AB135" s="1683">
        <v>0</v>
      </c>
      <c r="AC135" s="1683">
        <v>0</v>
      </c>
      <c r="AD135" s="1685">
        <v>43235</v>
      </c>
      <c r="AE135" s="1326" t="s">
        <v>2073</v>
      </c>
      <c r="AF135" s="1326" t="s">
        <v>2067</v>
      </c>
      <c r="AG135" s="1410"/>
      <c r="AH135" s="1683">
        <v>44.5</v>
      </c>
      <c r="AI135" s="1683">
        <v>26.07</v>
      </c>
      <c r="AJ135" s="1683">
        <v>26.07</v>
      </c>
      <c r="AK135" s="1683">
        <v>26.07</v>
      </c>
      <c r="AL135" s="1683">
        <v>0</v>
      </c>
      <c r="AM135" s="1685">
        <v>43243</v>
      </c>
      <c r="AN135" s="1683">
        <v>44.5</v>
      </c>
      <c r="AO135" s="1683">
        <v>26.07</v>
      </c>
      <c r="AP135" s="1683">
        <v>26.07</v>
      </c>
      <c r="AQ135" s="1683">
        <v>26.07</v>
      </c>
      <c r="AR135" s="1683">
        <v>0</v>
      </c>
      <c r="AS135" s="1683">
        <v>18.43</v>
      </c>
      <c r="AT135" s="1683">
        <v>0</v>
      </c>
      <c r="AU135" s="1683">
        <v>0</v>
      </c>
      <c r="AV135" s="1683">
        <v>0</v>
      </c>
      <c r="AW135" s="1683">
        <v>18.43</v>
      </c>
      <c r="AX135" s="1400"/>
      <c r="AY135" s="1400"/>
      <c r="AZ135" s="1400"/>
      <c r="BA135" s="1682"/>
      <c r="BB135" s="1682"/>
      <c r="BC135" s="1400"/>
      <c r="BD135" s="1400"/>
      <c r="BE135" s="1683">
        <v>44.5</v>
      </c>
      <c r="BF135" s="1683">
        <v>26.07</v>
      </c>
      <c r="BG135" s="1683">
        <v>26.07</v>
      </c>
      <c r="BH135" s="1683">
        <v>26.07</v>
      </c>
      <c r="BI135" s="1683">
        <v>0</v>
      </c>
      <c r="BJ135" s="1683">
        <v>18.43</v>
      </c>
      <c r="BK135" s="1683">
        <v>0</v>
      </c>
      <c r="BL135" s="1683">
        <v>0</v>
      </c>
      <c r="BM135" s="1683">
        <v>0</v>
      </c>
      <c r="BN135" s="1683">
        <v>18.43</v>
      </c>
      <c r="BO135" s="1685">
        <v>43355</v>
      </c>
      <c r="BP135" s="1683">
        <v>44.5</v>
      </c>
      <c r="BQ135" s="1683">
        <v>26.07</v>
      </c>
      <c r="BR135" s="1683">
        <v>26.07</v>
      </c>
      <c r="BS135" s="1683">
        <v>26.07</v>
      </c>
      <c r="BT135" s="1683">
        <v>0</v>
      </c>
      <c r="BU135" s="1683">
        <v>18.43</v>
      </c>
      <c r="BV135" s="1683">
        <v>0</v>
      </c>
      <c r="BW135" s="1683">
        <v>0</v>
      </c>
      <c r="BX135" s="1683">
        <v>0</v>
      </c>
      <c r="BY135" s="1683">
        <v>18.43</v>
      </c>
      <c r="BZ135" s="1683">
        <v>0</v>
      </c>
      <c r="CA135" s="1400"/>
      <c r="CB135" s="1682"/>
      <c r="CC135" s="1682"/>
      <c r="CD135" s="1400"/>
      <c r="CE135" s="1400"/>
      <c r="CF135" s="1683">
        <v>0</v>
      </c>
      <c r="CG135" s="1683">
        <v>0</v>
      </c>
      <c r="CH135" s="1683">
        <v>0</v>
      </c>
      <c r="CI135" s="1683">
        <v>0</v>
      </c>
      <c r="CJ135" s="1683">
        <v>0</v>
      </c>
      <c r="CK135" s="1683">
        <v>0</v>
      </c>
      <c r="CL135" s="1682"/>
      <c r="CM135" s="1683">
        <v>0</v>
      </c>
      <c r="CN135" s="1683">
        <v>0</v>
      </c>
      <c r="CO135" s="1683">
        <v>0</v>
      </c>
      <c r="CP135" s="1683">
        <v>0</v>
      </c>
      <c r="CQ135" s="1683">
        <v>0</v>
      </c>
      <c r="CR135" s="1683">
        <v>0</v>
      </c>
      <c r="CS135" s="1683">
        <v>0</v>
      </c>
      <c r="CT135" s="1683">
        <v>0</v>
      </c>
      <c r="CU135" s="1683">
        <v>0</v>
      </c>
      <c r="CV135" s="1683">
        <v>0</v>
      </c>
      <c r="CW135" s="1682"/>
      <c r="CX135" s="1400"/>
      <c r="CY135" s="1400"/>
      <c r="CZ135" s="1400"/>
      <c r="DA135" s="1400"/>
      <c r="DB135" s="1682"/>
      <c r="DC135" s="1326"/>
      <c r="DD135" s="1683">
        <v>0</v>
      </c>
      <c r="DE135" s="1400"/>
      <c r="DF135" s="1400"/>
      <c r="DG135" s="1683">
        <v>0</v>
      </c>
      <c r="DH135" s="1683">
        <v>0</v>
      </c>
    </row>
    <row r="136" spans="1:112" ht="56.25">
      <c r="A136" s="1326" t="s">
        <v>2133</v>
      </c>
      <c r="B136" s="1326" t="s">
        <v>1694</v>
      </c>
      <c r="C136" s="1326" t="s">
        <v>2549</v>
      </c>
      <c r="D136" s="1326" t="s">
        <v>2550</v>
      </c>
      <c r="E136" s="1326" t="s">
        <v>144</v>
      </c>
      <c r="F136" s="1326" t="s">
        <v>2544</v>
      </c>
      <c r="G136" s="1326" t="s">
        <v>2545</v>
      </c>
      <c r="H136" s="1326" t="s">
        <v>2546</v>
      </c>
      <c r="I136" s="1326" t="s">
        <v>701</v>
      </c>
      <c r="J136" s="1326" t="s">
        <v>303</v>
      </c>
      <c r="K136" s="1326" t="s">
        <v>2104</v>
      </c>
      <c r="L136" s="1326" t="s">
        <v>2061</v>
      </c>
      <c r="M136" s="1400"/>
      <c r="N136" s="1400"/>
      <c r="O136" s="1400"/>
      <c r="P136" s="1400"/>
      <c r="Q136" s="1400"/>
      <c r="R136" s="1400"/>
      <c r="S136" s="1400"/>
      <c r="T136" s="1400"/>
      <c r="U136" s="1400"/>
      <c r="V136" s="1400"/>
      <c r="W136" s="1400"/>
      <c r="X136" s="1400"/>
      <c r="Y136" s="1685">
        <v>43209</v>
      </c>
      <c r="Z136" s="1326" t="s">
        <v>2062</v>
      </c>
      <c r="AA136" s="1683">
        <v>0</v>
      </c>
      <c r="AB136" s="1683">
        <v>0</v>
      </c>
      <c r="AC136" s="1683">
        <v>0</v>
      </c>
      <c r="AD136" s="1685">
        <v>43235</v>
      </c>
      <c r="AE136" s="1326" t="s">
        <v>2073</v>
      </c>
      <c r="AF136" s="1326" t="s">
        <v>2064</v>
      </c>
      <c r="AG136" s="1410"/>
      <c r="AH136" s="1683">
        <v>5000</v>
      </c>
      <c r="AI136" s="1683">
        <v>2929.59</v>
      </c>
      <c r="AJ136" s="1683">
        <v>2929.59</v>
      </c>
      <c r="AK136" s="1683">
        <v>2929.59</v>
      </c>
      <c r="AL136" s="1683">
        <v>0</v>
      </c>
      <c r="AM136" s="1685">
        <v>43235</v>
      </c>
      <c r="AN136" s="1683">
        <v>5000</v>
      </c>
      <c r="AO136" s="1683">
        <v>2929.59</v>
      </c>
      <c r="AP136" s="1683">
        <v>2929.59</v>
      </c>
      <c r="AQ136" s="1683">
        <v>2929.59</v>
      </c>
      <c r="AR136" s="1683">
        <v>0</v>
      </c>
      <c r="AS136" s="1683">
        <v>2070.41</v>
      </c>
      <c r="AT136" s="1683">
        <v>0</v>
      </c>
      <c r="AU136" s="1683">
        <v>0</v>
      </c>
      <c r="AV136" s="1683">
        <v>0</v>
      </c>
      <c r="AW136" s="1683">
        <v>2070.41</v>
      </c>
      <c r="AX136" s="1400"/>
      <c r="AY136" s="1400"/>
      <c r="AZ136" s="1400"/>
      <c r="BA136" s="1682"/>
      <c r="BB136" s="1682"/>
      <c r="BC136" s="1400"/>
      <c r="BD136" s="1400"/>
      <c r="BE136" s="1683">
        <v>5000</v>
      </c>
      <c r="BF136" s="1683">
        <v>2929.59</v>
      </c>
      <c r="BG136" s="1683">
        <v>2929.59</v>
      </c>
      <c r="BH136" s="1683">
        <v>2929.59</v>
      </c>
      <c r="BI136" s="1683">
        <v>0</v>
      </c>
      <c r="BJ136" s="1683">
        <v>2070.41</v>
      </c>
      <c r="BK136" s="1683">
        <v>0</v>
      </c>
      <c r="BL136" s="1683">
        <v>0</v>
      </c>
      <c r="BM136" s="1683">
        <v>0</v>
      </c>
      <c r="BN136" s="1683">
        <v>2070.41</v>
      </c>
      <c r="BO136" s="1685">
        <v>43355</v>
      </c>
      <c r="BP136" s="1683">
        <v>5000</v>
      </c>
      <c r="BQ136" s="1683">
        <v>2929.59</v>
      </c>
      <c r="BR136" s="1683">
        <v>2929.59</v>
      </c>
      <c r="BS136" s="1683">
        <v>2929.59</v>
      </c>
      <c r="BT136" s="1683">
        <v>0</v>
      </c>
      <c r="BU136" s="1683">
        <v>2070.41</v>
      </c>
      <c r="BV136" s="1683">
        <v>0</v>
      </c>
      <c r="BW136" s="1683">
        <v>0</v>
      </c>
      <c r="BX136" s="1683">
        <v>0</v>
      </c>
      <c r="BY136" s="1683">
        <v>2070.41</v>
      </c>
      <c r="BZ136" s="1683">
        <v>0</v>
      </c>
      <c r="CA136" s="1400"/>
      <c r="CB136" s="1682"/>
      <c r="CC136" s="1682"/>
      <c r="CD136" s="1400"/>
      <c r="CE136" s="1400"/>
      <c r="CF136" s="1683">
        <v>0</v>
      </c>
      <c r="CG136" s="1683">
        <v>0</v>
      </c>
      <c r="CH136" s="1683">
        <v>0</v>
      </c>
      <c r="CI136" s="1683">
        <v>0</v>
      </c>
      <c r="CJ136" s="1683">
        <v>0</v>
      </c>
      <c r="CK136" s="1683">
        <v>0</v>
      </c>
      <c r="CL136" s="1682"/>
      <c r="CM136" s="1683">
        <v>0</v>
      </c>
      <c r="CN136" s="1683">
        <v>0</v>
      </c>
      <c r="CO136" s="1683">
        <v>0</v>
      </c>
      <c r="CP136" s="1683">
        <v>0</v>
      </c>
      <c r="CQ136" s="1683">
        <v>0</v>
      </c>
      <c r="CR136" s="1683">
        <v>0</v>
      </c>
      <c r="CS136" s="1683">
        <v>0</v>
      </c>
      <c r="CT136" s="1683">
        <v>0</v>
      </c>
      <c r="CU136" s="1683">
        <v>0</v>
      </c>
      <c r="CV136" s="1683">
        <v>0</v>
      </c>
      <c r="CW136" s="1682"/>
      <c r="CX136" s="1400"/>
      <c r="CY136" s="1400"/>
      <c r="CZ136" s="1400"/>
      <c r="DA136" s="1400"/>
      <c r="DB136" s="1682"/>
      <c r="DC136" s="1326"/>
      <c r="DD136" s="1683">
        <v>0</v>
      </c>
      <c r="DE136" s="1400"/>
      <c r="DF136" s="1400"/>
      <c r="DG136" s="1683">
        <v>0</v>
      </c>
      <c r="DH136" s="1683">
        <v>0</v>
      </c>
    </row>
    <row r="137" spans="1:112" ht="56.25">
      <c r="A137" s="1326" t="s">
        <v>2134</v>
      </c>
      <c r="B137" s="1326" t="s">
        <v>1694</v>
      </c>
      <c r="C137" s="1326" t="s">
        <v>2549</v>
      </c>
      <c r="D137" s="1326" t="s">
        <v>2550</v>
      </c>
      <c r="E137" s="1326" t="s">
        <v>144</v>
      </c>
      <c r="F137" s="1326" t="s">
        <v>2544</v>
      </c>
      <c r="G137" s="1326" t="s">
        <v>2545</v>
      </c>
      <c r="H137" s="1326" t="s">
        <v>2546</v>
      </c>
      <c r="I137" s="1326" t="s">
        <v>701</v>
      </c>
      <c r="J137" s="1326" t="s">
        <v>303</v>
      </c>
      <c r="K137" s="1326" t="s">
        <v>2104</v>
      </c>
      <c r="L137" s="1326" t="s">
        <v>2061</v>
      </c>
      <c r="M137" s="1400"/>
      <c r="N137" s="1400"/>
      <c r="O137" s="1400"/>
      <c r="P137" s="1400"/>
      <c r="Q137" s="1400"/>
      <c r="R137" s="1400"/>
      <c r="S137" s="1400"/>
      <c r="T137" s="1400"/>
      <c r="U137" s="1400"/>
      <c r="V137" s="1400"/>
      <c r="W137" s="1400"/>
      <c r="X137" s="1400"/>
      <c r="Y137" s="1685">
        <v>43355</v>
      </c>
      <c r="Z137" s="1326" t="s">
        <v>2062</v>
      </c>
      <c r="AA137" s="1683">
        <v>0</v>
      </c>
      <c r="AB137" s="1683">
        <v>0</v>
      </c>
      <c r="AC137" s="1683">
        <v>0</v>
      </c>
      <c r="AD137" s="1685">
        <v>43381</v>
      </c>
      <c r="AE137" s="1326" t="s">
        <v>2066</v>
      </c>
      <c r="AF137" s="1326" t="s">
        <v>2067</v>
      </c>
      <c r="AG137" s="1410"/>
      <c r="AH137" s="1683">
        <v>4733.76</v>
      </c>
      <c r="AI137" s="1683">
        <v>2171.4</v>
      </c>
      <c r="AJ137" s="1683">
        <v>2171.4</v>
      </c>
      <c r="AK137" s="1683">
        <v>2171.4</v>
      </c>
      <c r="AL137" s="1683">
        <v>0</v>
      </c>
      <c r="AM137" s="1685">
        <v>43404</v>
      </c>
      <c r="AN137" s="1683">
        <v>4733.76</v>
      </c>
      <c r="AO137" s="1683">
        <v>2171.4</v>
      </c>
      <c r="AP137" s="1683">
        <v>2171.4</v>
      </c>
      <c r="AQ137" s="1683">
        <v>2171.4</v>
      </c>
      <c r="AR137" s="1683">
        <v>0</v>
      </c>
      <c r="AS137" s="1683">
        <v>2562.36</v>
      </c>
      <c r="AT137" s="1683">
        <v>0</v>
      </c>
      <c r="AU137" s="1683">
        <v>0</v>
      </c>
      <c r="AV137" s="1683">
        <v>0</v>
      </c>
      <c r="AW137" s="1683">
        <v>2562.36</v>
      </c>
      <c r="AX137" s="1400"/>
      <c r="AY137" s="1400"/>
      <c r="AZ137" s="1400"/>
      <c r="BA137" s="1682"/>
      <c r="BB137" s="1682"/>
      <c r="BC137" s="1400"/>
      <c r="BD137" s="1400"/>
      <c r="BE137" s="1683">
        <v>4733.76</v>
      </c>
      <c r="BF137" s="1683">
        <v>2171.4</v>
      </c>
      <c r="BG137" s="1683">
        <v>2171.4</v>
      </c>
      <c r="BH137" s="1683">
        <v>2171.4</v>
      </c>
      <c r="BI137" s="1683">
        <v>0</v>
      </c>
      <c r="BJ137" s="1683">
        <v>2562.36</v>
      </c>
      <c r="BK137" s="1683">
        <v>0</v>
      </c>
      <c r="BL137" s="1683">
        <v>0</v>
      </c>
      <c r="BM137" s="1683">
        <v>0</v>
      </c>
      <c r="BN137" s="1683">
        <v>2562.36</v>
      </c>
      <c r="BO137" s="1685">
        <v>43553</v>
      </c>
      <c r="BP137" s="1683">
        <v>4733.76</v>
      </c>
      <c r="BQ137" s="1683">
        <v>2171.4</v>
      </c>
      <c r="BR137" s="1683">
        <v>2171.4</v>
      </c>
      <c r="BS137" s="1683">
        <v>2171.4</v>
      </c>
      <c r="BT137" s="1683">
        <v>0</v>
      </c>
      <c r="BU137" s="1683">
        <v>2562.36</v>
      </c>
      <c r="BV137" s="1683">
        <v>0</v>
      </c>
      <c r="BW137" s="1683">
        <v>0</v>
      </c>
      <c r="BX137" s="1683">
        <v>0</v>
      </c>
      <c r="BY137" s="1683">
        <v>2562.36</v>
      </c>
      <c r="BZ137" s="1683">
        <v>0</v>
      </c>
      <c r="CA137" s="1400"/>
      <c r="CB137" s="1682"/>
      <c r="CC137" s="1682"/>
      <c r="CD137" s="1400"/>
      <c r="CE137" s="1400"/>
      <c r="CF137" s="1683">
        <v>0</v>
      </c>
      <c r="CG137" s="1683">
        <v>0</v>
      </c>
      <c r="CH137" s="1683">
        <v>0</v>
      </c>
      <c r="CI137" s="1683">
        <v>0</v>
      </c>
      <c r="CJ137" s="1683">
        <v>0</v>
      </c>
      <c r="CK137" s="1683">
        <v>0</v>
      </c>
      <c r="CL137" s="1682"/>
      <c r="CM137" s="1683">
        <v>0</v>
      </c>
      <c r="CN137" s="1683">
        <v>0</v>
      </c>
      <c r="CO137" s="1683">
        <v>0</v>
      </c>
      <c r="CP137" s="1683">
        <v>0</v>
      </c>
      <c r="CQ137" s="1683">
        <v>0</v>
      </c>
      <c r="CR137" s="1683">
        <v>0</v>
      </c>
      <c r="CS137" s="1683">
        <v>0</v>
      </c>
      <c r="CT137" s="1683">
        <v>0</v>
      </c>
      <c r="CU137" s="1683">
        <v>0</v>
      </c>
      <c r="CV137" s="1683">
        <v>0</v>
      </c>
      <c r="CW137" s="1682"/>
      <c r="CX137" s="1400"/>
      <c r="CY137" s="1400"/>
      <c r="CZ137" s="1400"/>
      <c r="DA137" s="1400"/>
      <c r="DB137" s="1682"/>
      <c r="DC137" s="1326"/>
      <c r="DD137" s="1683">
        <v>0</v>
      </c>
      <c r="DE137" s="1400"/>
      <c r="DF137" s="1400"/>
      <c r="DG137" s="1683">
        <v>0</v>
      </c>
      <c r="DH137" s="1683">
        <v>0</v>
      </c>
    </row>
    <row r="138" spans="1:112" ht="56.25">
      <c r="A138" s="1326" t="s">
        <v>2135</v>
      </c>
      <c r="B138" s="1326" t="s">
        <v>1694</v>
      </c>
      <c r="C138" s="1326" t="s">
        <v>2549</v>
      </c>
      <c r="D138" s="1326" t="s">
        <v>2550</v>
      </c>
      <c r="E138" s="1326" t="s">
        <v>144</v>
      </c>
      <c r="F138" s="1326" t="s">
        <v>2544</v>
      </c>
      <c r="G138" s="1326" t="s">
        <v>2545</v>
      </c>
      <c r="H138" s="1326" t="s">
        <v>2546</v>
      </c>
      <c r="I138" s="1326" t="s">
        <v>701</v>
      </c>
      <c r="J138" s="1326" t="s">
        <v>303</v>
      </c>
      <c r="K138" s="1326" t="s">
        <v>2104</v>
      </c>
      <c r="L138" s="1326" t="s">
        <v>2061</v>
      </c>
      <c r="M138" s="1400"/>
      <c r="N138" s="1400"/>
      <c r="O138" s="1400"/>
      <c r="P138" s="1400"/>
      <c r="Q138" s="1400"/>
      <c r="R138" s="1400"/>
      <c r="S138" s="1400"/>
      <c r="T138" s="1400"/>
      <c r="U138" s="1400"/>
      <c r="V138" s="1400"/>
      <c r="W138" s="1400"/>
      <c r="X138" s="1400"/>
      <c r="Y138" s="1685">
        <v>43434</v>
      </c>
      <c r="Z138" s="1326" t="s">
        <v>2062</v>
      </c>
      <c r="AA138" s="1683">
        <v>0</v>
      </c>
      <c r="AB138" s="1683">
        <v>0</v>
      </c>
      <c r="AC138" s="1683">
        <v>0</v>
      </c>
      <c r="AD138" s="1685">
        <v>43455</v>
      </c>
      <c r="AE138" s="1326" t="s">
        <v>2079</v>
      </c>
      <c r="AF138" s="1326" t="s">
        <v>2067</v>
      </c>
      <c r="AG138" s="1410"/>
      <c r="AH138" s="1683">
        <v>21255.5</v>
      </c>
      <c r="AI138" s="1683">
        <v>8896.67</v>
      </c>
      <c r="AJ138" s="1683">
        <v>8896.67</v>
      </c>
      <c r="AK138" s="1683">
        <v>8896.67</v>
      </c>
      <c r="AL138" s="1683">
        <v>0</v>
      </c>
      <c r="AM138" s="1685">
        <v>43462</v>
      </c>
      <c r="AN138" s="1683">
        <v>21255.5</v>
      </c>
      <c r="AO138" s="1683">
        <v>8896.67</v>
      </c>
      <c r="AP138" s="1683">
        <v>8896.67</v>
      </c>
      <c r="AQ138" s="1683">
        <v>8896.67</v>
      </c>
      <c r="AR138" s="1683">
        <v>0</v>
      </c>
      <c r="AS138" s="1683">
        <v>12358.83</v>
      </c>
      <c r="AT138" s="1683">
        <v>0</v>
      </c>
      <c r="AU138" s="1683">
        <v>0</v>
      </c>
      <c r="AV138" s="1683">
        <v>0</v>
      </c>
      <c r="AW138" s="1683">
        <v>12358.83</v>
      </c>
      <c r="AX138" s="1400"/>
      <c r="AY138" s="1400"/>
      <c r="AZ138" s="1400"/>
      <c r="BA138" s="1682"/>
      <c r="BB138" s="1682"/>
      <c r="BC138" s="1400"/>
      <c r="BD138" s="1400"/>
      <c r="BE138" s="1683">
        <v>21255.5</v>
      </c>
      <c r="BF138" s="1683">
        <v>8896.67</v>
      </c>
      <c r="BG138" s="1683">
        <v>8896.67</v>
      </c>
      <c r="BH138" s="1683">
        <v>8896.67</v>
      </c>
      <c r="BI138" s="1683">
        <v>0</v>
      </c>
      <c r="BJ138" s="1683">
        <v>12358.83</v>
      </c>
      <c r="BK138" s="1683">
        <v>0</v>
      </c>
      <c r="BL138" s="1683">
        <v>0</v>
      </c>
      <c r="BM138" s="1683">
        <v>0</v>
      </c>
      <c r="BN138" s="1683">
        <v>12358.83</v>
      </c>
      <c r="BO138" s="1685">
        <v>43553</v>
      </c>
      <c r="BP138" s="1683">
        <v>21255.5</v>
      </c>
      <c r="BQ138" s="1683">
        <v>8896.67</v>
      </c>
      <c r="BR138" s="1683">
        <v>8896.67</v>
      </c>
      <c r="BS138" s="1683">
        <v>8896.67</v>
      </c>
      <c r="BT138" s="1683">
        <v>0</v>
      </c>
      <c r="BU138" s="1683">
        <v>12358.83</v>
      </c>
      <c r="BV138" s="1683">
        <v>0</v>
      </c>
      <c r="BW138" s="1683">
        <v>0</v>
      </c>
      <c r="BX138" s="1683">
        <v>0</v>
      </c>
      <c r="BY138" s="1683">
        <v>12358.83</v>
      </c>
      <c r="BZ138" s="1683">
        <v>0</v>
      </c>
      <c r="CA138" s="1400"/>
      <c r="CB138" s="1682"/>
      <c r="CC138" s="1682"/>
      <c r="CD138" s="1400"/>
      <c r="CE138" s="1400"/>
      <c r="CF138" s="1683">
        <v>0</v>
      </c>
      <c r="CG138" s="1683">
        <v>0</v>
      </c>
      <c r="CH138" s="1683">
        <v>0</v>
      </c>
      <c r="CI138" s="1683">
        <v>0</v>
      </c>
      <c r="CJ138" s="1683">
        <v>0</v>
      </c>
      <c r="CK138" s="1683">
        <v>0</v>
      </c>
      <c r="CL138" s="1682"/>
      <c r="CM138" s="1683">
        <v>0</v>
      </c>
      <c r="CN138" s="1683">
        <v>0</v>
      </c>
      <c r="CO138" s="1683">
        <v>0</v>
      </c>
      <c r="CP138" s="1683">
        <v>0</v>
      </c>
      <c r="CQ138" s="1683">
        <v>0</v>
      </c>
      <c r="CR138" s="1683">
        <v>0</v>
      </c>
      <c r="CS138" s="1683">
        <v>0</v>
      </c>
      <c r="CT138" s="1683">
        <v>0</v>
      </c>
      <c r="CU138" s="1683">
        <v>0</v>
      </c>
      <c r="CV138" s="1683">
        <v>0</v>
      </c>
      <c r="CW138" s="1682"/>
      <c r="CX138" s="1400"/>
      <c r="CY138" s="1400"/>
      <c r="CZ138" s="1400"/>
      <c r="DA138" s="1400"/>
      <c r="DB138" s="1682"/>
      <c r="DC138" s="1326"/>
      <c r="DD138" s="1683">
        <v>0</v>
      </c>
      <c r="DE138" s="1400"/>
      <c r="DF138" s="1400"/>
      <c r="DG138" s="1683">
        <v>0</v>
      </c>
      <c r="DH138" s="1683">
        <v>0</v>
      </c>
    </row>
    <row r="139" spans="1:112" ht="56.25">
      <c r="A139" s="1326" t="s">
        <v>2136</v>
      </c>
      <c r="B139" s="1326" t="s">
        <v>1694</v>
      </c>
      <c r="C139" s="1326" t="s">
        <v>2549</v>
      </c>
      <c r="D139" s="1326" t="s">
        <v>2550</v>
      </c>
      <c r="E139" s="1326" t="s">
        <v>144</v>
      </c>
      <c r="F139" s="1326" t="s">
        <v>2544</v>
      </c>
      <c r="G139" s="1326" t="s">
        <v>2545</v>
      </c>
      <c r="H139" s="1326" t="s">
        <v>2546</v>
      </c>
      <c r="I139" s="1326" t="s">
        <v>701</v>
      </c>
      <c r="J139" s="1326" t="s">
        <v>303</v>
      </c>
      <c r="K139" s="1326" t="s">
        <v>2104</v>
      </c>
      <c r="L139" s="1326" t="s">
        <v>2061</v>
      </c>
      <c r="M139" s="1400"/>
      <c r="N139" s="1400"/>
      <c r="O139" s="1400"/>
      <c r="P139" s="1400"/>
      <c r="Q139" s="1400"/>
      <c r="R139" s="1400"/>
      <c r="S139" s="1400"/>
      <c r="T139" s="1400"/>
      <c r="U139" s="1400"/>
      <c r="V139" s="1400"/>
      <c r="W139" s="1400"/>
      <c r="X139" s="1400"/>
      <c r="Y139" s="1685">
        <v>43494</v>
      </c>
      <c r="Z139" s="1326" t="s">
        <v>2062</v>
      </c>
      <c r="AA139" s="1683">
        <v>0</v>
      </c>
      <c r="AB139" s="1683">
        <v>0</v>
      </c>
      <c r="AC139" s="1683">
        <v>0</v>
      </c>
      <c r="AD139" s="1685">
        <v>43516</v>
      </c>
      <c r="AE139" s="1326" t="s">
        <v>2080</v>
      </c>
      <c r="AF139" s="1326" t="s">
        <v>2067</v>
      </c>
      <c r="AG139" s="1410"/>
      <c r="AH139" s="1683">
        <v>79123.990000000005</v>
      </c>
      <c r="AI139" s="1683">
        <v>32835.550000000003</v>
      </c>
      <c r="AJ139" s="1683">
        <v>32835.550000000003</v>
      </c>
      <c r="AK139" s="1683">
        <v>32835.550000000003</v>
      </c>
      <c r="AL139" s="1683">
        <v>0</v>
      </c>
      <c r="AM139" s="1685">
        <v>43523</v>
      </c>
      <c r="AN139" s="1683">
        <v>79123.990000000005</v>
      </c>
      <c r="AO139" s="1683">
        <v>32835.550000000003</v>
      </c>
      <c r="AP139" s="1683">
        <v>32835.550000000003</v>
      </c>
      <c r="AQ139" s="1683">
        <v>32835.550000000003</v>
      </c>
      <c r="AR139" s="1683">
        <v>0</v>
      </c>
      <c r="AS139" s="1683">
        <v>46288.44</v>
      </c>
      <c r="AT139" s="1683">
        <v>0</v>
      </c>
      <c r="AU139" s="1683">
        <v>0</v>
      </c>
      <c r="AV139" s="1683">
        <v>0</v>
      </c>
      <c r="AW139" s="1683">
        <v>46288.44</v>
      </c>
      <c r="AX139" s="1400"/>
      <c r="AY139" s="1400"/>
      <c r="AZ139" s="1400"/>
      <c r="BA139" s="1682"/>
      <c r="BB139" s="1682"/>
      <c r="BC139" s="1400"/>
      <c r="BD139" s="1400"/>
      <c r="BE139" s="1683">
        <v>79123.990000000005</v>
      </c>
      <c r="BF139" s="1683">
        <v>32835.550000000003</v>
      </c>
      <c r="BG139" s="1683">
        <v>32835.550000000003</v>
      </c>
      <c r="BH139" s="1683">
        <v>32835.550000000003</v>
      </c>
      <c r="BI139" s="1683">
        <v>0</v>
      </c>
      <c r="BJ139" s="1683">
        <v>46288.44</v>
      </c>
      <c r="BK139" s="1683">
        <v>0</v>
      </c>
      <c r="BL139" s="1683">
        <v>0</v>
      </c>
      <c r="BM139" s="1683">
        <v>0</v>
      </c>
      <c r="BN139" s="1683">
        <v>46288.44</v>
      </c>
      <c r="BO139" s="1682"/>
      <c r="BP139" s="1683">
        <v>0</v>
      </c>
      <c r="BQ139" s="1683">
        <v>0</v>
      </c>
      <c r="BR139" s="1683">
        <v>0</v>
      </c>
      <c r="BS139" s="1683">
        <v>0</v>
      </c>
      <c r="BT139" s="1683">
        <v>0</v>
      </c>
      <c r="BU139" s="1683">
        <v>0</v>
      </c>
      <c r="BV139" s="1683">
        <v>0</v>
      </c>
      <c r="BW139" s="1683">
        <v>0</v>
      </c>
      <c r="BX139" s="1683">
        <v>0</v>
      </c>
      <c r="BY139" s="1683">
        <v>0</v>
      </c>
      <c r="BZ139" s="1400"/>
      <c r="CA139" s="1400"/>
      <c r="CB139" s="1682"/>
      <c r="CC139" s="1682"/>
      <c r="CD139" s="1400"/>
      <c r="CE139" s="1400"/>
      <c r="CF139" s="1683">
        <v>0</v>
      </c>
      <c r="CG139" s="1683">
        <v>0</v>
      </c>
      <c r="CH139" s="1683">
        <v>0</v>
      </c>
      <c r="CI139" s="1683">
        <v>0</v>
      </c>
      <c r="CJ139" s="1683">
        <v>0</v>
      </c>
      <c r="CK139" s="1683">
        <v>0</v>
      </c>
      <c r="CL139" s="1682"/>
      <c r="CM139" s="1683">
        <v>0</v>
      </c>
      <c r="CN139" s="1683">
        <v>0</v>
      </c>
      <c r="CO139" s="1683">
        <v>0</v>
      </c>
      <c r="CP139" s="1683">
        <v>0</v>
      </c>
      <c r="CQ139" s="1683">
        <v>0</v>
      </c>
      <c r="CR139" s="1683">
        <v>0</v>
      </c>
      <c r="CS139" s="1683">
        <v>0</v>
      </c>
      <c r="CT139" s="1683">
        <v>0</v>
      </c>
      <c r="CU139" s="1683">
        <v>0</v>
      </c>
      <c r="CV139" s="1683">
        <v>0</v>
      </c>
      <c r="CW139" s="1682"/>
      <c r="CX139" s="1400"/>
      <c r="CY139" s="1400"/>
      <c r="CZ139" s="1400"/>
      <c r="DA139" s="1400"/>
      <c r="DB139" s="1682"/>
      <c r="DC139" s="1326"/>
      <c r="DD139" s="1683">
        <v>0</v>
      </c>
      <c r="DE139" s="1400"/>
      <c r="DF139" s="1400"/>
      <c r="DG139" s="1683">
        <v>0</v>
      </c>
      <c r="DH139" s="1683">
        <v>0</v>
      </c>
    </row>
    <row r="140" spans="1:112">
      <c r="A140" s="1326" t="s">
        <v>2138</v>
      </c>
      <c r="B140" s="1326" t="s">
        <v>1694</v>
      </c>
      <c r="C140" s="1326" t="s">
        <v>2551</v>
      </c>
      <c r="D140" s="1326"/>
      <c r="E140" s="1326"/>
      <c r="F140" s="1326"/>
      <c r="G140" s="1326"/>
      <c r="H140" s="1326"/>
      <c r="I140" s="1326"/>
      <c r="J140" s="1326"/>
      <c r="K140" s="1326"/>
      <c r="L140" s="1326"/>
      <c r="M140" s="1683">
        <v>1685584.66</v>
      </c>
      <c r="N140" s="1683">
        <v>0</v>
      </c>
      <c r="O140" s="1683">
        <v>1685584.66</v>
      </c>
      <c r="P140" s="1683">
        <v>1685584.66</v>
      </c>
      <c r="Q140" s="1683">
        <v>1213962.82</v>
      </c>
      <c r="R140" s="1683">
        <v>1213962.82</v>
      </c>
      <c r="S140" s="1683">
        <v>0</v>
      </c>
      <c r="T140" s="1683">
        <v>471621.84</v>
      </c>
      <c r="U140" s="1683">
        <v>0</v>
      </c>
      <c r="V140" s="1683">
        <v>471621.84</v>
      </c>
      <c r="W140" s="1683">
        <v>0</v>
      </c>
      <c r="X140" s="1683">
        <v>0</v>
      </c>
      <c r="Y140" s="1682"/>
      <c r="Z140" s="1326"/>
      <c r="AA140" s="1683">
        <v>0</v>
      </c>
      <c r="AB140" s="1683">
        <v>0</v>
      </c>
      <c r="AC140" s="1683">
        <v>0</v>
      </c>
      <c r="AD140" s="1682"/>
      <c r="AE140" s="1326"/>
      <c r="AF140" s="1326"/>
      <c r="AG140" s="1410"/>
      <c r="AH140" s="1683">
        <v>111029.24</v>
      </c>
      <c r="AI140" s="1683">
        <v>123251.24</v>
      </c>
      <c r="AJ140" s="1683">
        <v>104926.42</v>
      </c>
      <c r="AK140" s="1683">
        <v>104926.42</v>
      </c>
      <c r="AL140" s="1683">
        <v>0</v>
      </c>
      <c r="AM140" s="1682"/>
      <c r="AN140" s="1683">
        <v>111029.24</v>
      </c>
      <c r="AO140" s="1683">
        <v>111029.24</v>
      </c>
      <c r="AP140" s="1683">
        <v>92704.42</v>
      </c>
      <c r="AQ140" s="1683">
        <v>92704.42</v>
      </c>
      <c r="AR140" s="1683">
        <v>0</v>
      </c>
      <c r="AS140" s="1683">
        <v>18324.82</v>
      </c>
      <c r="AT140" s="1683">
        <v>0</v>
      </c>
      <c r="AU140" s="1683">
        <v>18324.82</v>
      </c>
      <c r="AV140" s="1683">
        <v>0</v>
      </c>
      <c r="AW140" s="1683">
        <v>0</v>
      </c>
      <c r="AX140" s="1683">
        <v>0</v>
      </c>
      <c r="AY140" s="1683">
        <v>0</v>
      </c>
      <c r="AZ140" s="1683">
        <v>0</v>
      </c>
      <c r="BA140" s="1682"/>
      <c r="BB140" s="1682"/>
      <c r="BC140" s="1683">
        <v>0</v>
      </c>
      <c r="BD140" s="1683">
        <v>0</v>
      </c>
      <c r="BE140" s="1683">
        <v>111029.24</v>
      </c>
      <c r="BF140" s="1683">
        <v>111029.24</v>
      </c>
      <c r="BG140" s="1683">
        <v>92704.42</v>
      </c>
      <c r="BH140" s="1683">
        <v>92704.42</v>
      </c>
      <c r="BI140" s="1683">
        <v>0</v>
      </c>
      <c r="BJ140" s="1683">
        <v>18324.82</v>
      </c>
      <c r="BK140" s="1683">
        <v>0</v>
      </c>
      <c r="BL140" s="1683">
        <v>18324.82</v>
      </c>
      <c r="BM140" s="1683">
        <v>0</v>
      </c>
      <c r="BN140" s="1683">
        <v>0</v>
      </c>
      <c r="BO140" s="1682"/>
      <c r="BP140" s="1683">
        <v>111150.24</v>
      </c>
      <c r="BQ140" s="1683">
        <v>111150.24</v>
      </c>
      <c r="BR140" s="1683">
        <v>92807.27</v>
      </c>
      <c r="BS140" s="1683">
        <v>92807.27</v>
      </c>
      <c r="BT140" s="1683">
        <v>0</v>
      </c>
      <c r="BU140" s="1683">
        <v>18342.97</v>
      </c>
      <c r="BV140" s="1683">
        <v>0</v>
      </c>
      <c r="BW140" s="1683">
        <v>0</v>
      </c>
      <c r="BX140" s="1683">
        <v>0</v>
      </c>
      <c r="BY140" s="1683">
        <v>0</v>
      </c>
      <c r="BZ140" s="1683">
        <v>0</v>
      </c>
      <c r="CA140" s="1683">
        <v>0</v>
      </c>
      <c r="CB140" s="1682"/>
      <c r="CC140" s="1682"/>
      <c r="CD140" s="1683">
        <v>-121</v>
      </c>
      <c r="CE140" s="1683">
        <v>-121</v>
      </c>
      <c r="CF140" s="1683">
        <v>0</v>
      </c>
      <c r="CG140" s="1683">
        <v>0</v>
      </c>
      <c r="CH140" s="1683">
        <v>0</v>
      </c>
      <c r="CI140" s="1683">
        <v>0</v>
      </c>
      <c r="CJ140" s="1683">
        <v>1002.52</v>
      </c>
      <c r="CK140" s="1683">
        <v>910.88</v>
      </c>
      <c r="CL140" s="1682"/>
      <c r="CM140" s="1683">
        <v>0</v>
      </c>
      <c r="CN140" s="1683">
        <v>0</v>
      </c>
      <c r="CO140" s="1683">
        <v>0</v>
      </c>
      <c r="CP140" s="1683">
        <v>0</v>
      </c>
      <c r="CQ140" s="1683">
        <v>0</v>
      </c>
      <c r="CR140" s="1683">
        <v>0</v>
      </c>
      <c r="CS140" s="1683">
        <v>0</v>
      </c>
      <c r="CT140" s="1683">
        <v>0</v>
      </c>
      <c r="CU140" s="1683">
        <v>0</v>
      </c>
      <c r="CV140" s="1683">
        <v>0</v>
      </c>
      <c r="CW140" s="1682"/>
      <c r="CX140" s="1683">
        <v>0</v>
      </c>
      <c r="CY140" s="1683">
        <v>0</v>
      </c>
      <c r="CZ140" s="1683">
        <v>0</v>
      </c>
      <c r="DA140" s="1683">
        <v>0</v>
      </c>
      <c r="DB140" s="1682"/>
      <c r="DC140" s="1326"/>
      <c r="DD140" s="1683">
        <v>0</v>
      </c>
      <c r="DE140" s="1683">
        <v>0</v>
      </c>
      <c r="DF140" s="1683">
        <v>0</v>
      </c>
      <c r="DG140" s="1683">
        <v>0</v>
      </c>
      <c r="DH140" s="1683">
        <v>0</v>
      </c>
    </row>
    <row r="141" spans="1:112">
      <c r="A141" s="1326" t="s">
        <v>2139</v>
      </c>
      <c r="B141" s="1326" t="s">
        <v>1694</v>
      </c>
      <c r="C141" s="1326" t="s">
        <v>2551</v>
      </c>
      <c r="D141" s="1326" t="s">
        <v>2552</v>
      </c>
      <c r="E141" s="1326"/>
      <c r="F141" s="1326"/>
      <c r="G141" s="1326"/>
      <c r="H141" s="1326"/>
      <c r="I141" s="1326"/>
      <c r="J141" s="1326"/>
      <c r="K141" s="1326"/>
      <c r="L141" s="1326"/>
      <c r="M141" s="1683">
        <v>1685584.66</v>
      </c>
      <c r="N141" s="1683">
        <v>0</v>
      </c>
      <c r="O141" s="1683">
        <v>1685584.66</v>
      </c>
      <c r="P141" s="1683">
        <v>1685584.66</v>
      </c>
      <c r="Q141" s="1683">
        <v>1213962.82</v>
      </c>
      <c r="R141" s="1683">
        <v>1213962.82</v>
      </c>
      <c r="S141" s="1683">
        <v>0</v>
      </c>
      <c r="T141" s="1683">
        <v>471621.84</v>
      </c>
      <c r="U141" s="1683">
        <v>0</v>
      </c>
      <c r="V141" s="1683">
        <v>471621.84</v>
      </c>
      <c r="W141" s="1683">
        <v>0</v>
      </c>
      <c r="X141" s="1683">
        <v>0</v>
      </c>
      <c r="Y141" s="1682"/>
      <c r="Z141" s="1326"/>
      <c r="AA141" s="1683">
        <v>0</v>
      </c>
      <c r="AB141" s="1683">
        <v>0</v>
      </c>
      <c r="AC141" s="1683">
        <v>0</v>
      </c>
      <c r="AD141" s="1682"/>
      <c r="AE141" s="1326"/>
      <c r="AF141" s="1326"/>
      <c r="AG141" s="1410"/>
      <c r="AH141" s="1683">
        <v>111029.24</v>
      </c>
      <c r="AI141" s="1683">
        <v>123251.24</v>
      </c>
      <c r="AJ141" s="1683">
        <v>104926.42</v>
      </c>
      <c r="AK141" s="1683">
        <v>104926.42</v>
      </c>
      <c r="AL141" s="1683">
        <v>0</v>
      </c>
      <c r="AM141" s="1682"/>
      <c r="AN141" s="1683">
        <v>111029.24</v>
      </c>
      <c r="AO141" s="1683">
        <v>111029.24</v>
      </c>
      <c r="AP141" s="1683">
        <v>92704.42</v>
      </c>
      <c r="AQ141" s="1683">
        <v>92704.42</v>
      </c>
      <c r="AR141" s="1683">
        <v>0</v>
      </c>
      <c r="AS141" s="1683">
        <v>18324.82</v>
      </c>
      <c r="AT141" s="1683">
        <v>0</v>
      </c>
      <c r="AU141" s="1683">
        <v>18324.82</v>
      </c>
      <c r="AV141" s="1683">
        <v>0</v>
      </c>
      <c r="AW141" s="1683">
        <v>0</v>
      </c>
      <c r="AX141" s="1683">
        <v>0</v>
      </c>
      <c r="AY141" s="1683">
        <v>0</v>
      </c>
      <c r="AZ141" s="1683">
        <v>0</v>
      </c>
      <c r="BA141" s="1682"/>
      <c r="BB141" s="1682"/>
      <c r="BC141" s="1683">
        <v>0</v>
      </c>
      <c r="BD141" s="1683">
        <v>0</v>
      </c>
      <c r="BE141" s="1683">
        <v>111029.24</v>
      </c>
      <c r="BF141" s="1683">
        <v>111029.24</v>
      </c>
      <c r="BG141" s="1683">
        <v>92704.42</v>
      </c>
      <c r="BH141" s="1683">
        <v>92704.42</v>
      </c>
      <c r="BI141" s="1683">
        <v>0</v>
      </c>
      <c r="BJ141" s="1683">
        <v>18324.82</v>
      </c>
      <c r="BK141" s="1683">
        <v>0</v>
      </c>
      <c r="BL141" s="1683">
        <v>18324.82</v>
      </c>
      <c r="BM141" s="1683">
        <v>0</v>
      </c>
      <c r="BN141" s="1683">
        <v>0</v>
      </c>
      <c r="BO141" s="1682"/>
      <c r="BP141" s="1683">
        <v>111150.24</v>
      </c>
      <c r="BQ141" s="1683">
        <v>111150.24</v>
      </c>
      <c r="BR141" s="1683">
        <v>92807.27</v>
      </c>
      <c r="BS141" s="1683">
        <v>92807.27</v>
      </c>
      <c r="BT141" s="1683">
        <v>0</v>
      </c>
      <c r="BU141" s="1683">
        <v>18342.97</v>
      </c>
      <c r="BV141" s="1683">
        <v>0</v>
      </c>
      <c r="BW141" s="1683">
        <v>0</v>
      </c>
      <c r="BX141" s="1683">
        <v>0</v>
      </c>
      <c r="BY141" s="1683">
        <v>0</v>
      </c>
      <c r="BZ141" s="1683">
        <v>0</v>
      </c>
      <c r="CA141" s="1683">
        <v>0</v>
      </c>
      <c r="CB141" s="1682"/>
      <c r="CC141" s="1682"/>
      <c r="CD141" s="1683">
        <v>-121</v>
      </c>
      <c r="CE141" s="1683">
        <v>-121</v>
      </c>
      <c r="CF141" s="1683">
        <v>0</v>
      </c>
      <c r="CG141" s="1683">
        <v>0</v>
      </c>
      <c r="CH141" s="1683">
        <v>0</v>
      </c>
      <c r="CI141" s="1683">
        <v>0</v>
      </c>
      <c r="CJ141" s="1683">
        <v>1002.52</v>
      </c>
      <c r="CK141" s="1683">
        <v>910.88</v>
      </c>
      <c r="CL141" s="1682"/>
      <c r="CM141" s="1683">
        <v>0</v>
      </c>
      <c r="CN141" s="1683">
        <v>0</v>
      </c>
      <c r="CO141" s="1683">
        <v>0</v>
      </c>
      <c r="CP141" s="1683">
        <v>0</v>
      </c>
      <c r="CQ141" s="1683">
        <v>0</v>
      </c>
      <c r="CR141" s="1683">
        <v>0</v>
      </c>
      <c r="CS141" s="1683">
        <v>0</v>
      </c>
      <c r="CT141" s="1683">
        <v>0</v>
      </c>
      <c r="CU141" s="1683">
        <v>0</v>
      </c>
      <c r="CV141" s="1683">
        <v>0</v>
      </c>
      <c r="CW141" s="1682"/>
      <c r="CX141" s="1683">
        <v>0</v>
      </c>
      <c r="CY141" s="1683">
        <v>0</v>
      </c>
      <c r="CZ141" s="1683">
        <v>0</v>
      </c>
      <c r="DA141" s="1683">
        <v>0</v>
      </c>
      <c r="DB141" s="1682"/>
      <c r="DC141" s="1326"/>
      <c r="DD141" s="1683">
        <v>0</v>
      </c>
      <c r="DE141" s="1683">
        <v>0</v>
      </c>
      <c r="DF141" s="1683">
        <v>0</v>
      </c>
      <c r="DG141" s="1683">
        <v>0</v>
      </c>
      <c r="DH141" s="1683">
        <v>0</v>
      </c>
    </row>
    <row r="142" spans="1:112">
      <c r="A142" s="1326" t="s">
        <v>2140</v>
      </c>
      <c r="B142" s="1326" t="s">
        <v>1694</v>
      </c>
      <c r="C142" s="1326" t="s">
        <v>2551</v>
      </c>
      <c r="D142" s="1326" t="s">
        <v>2552</v>
      </c>
      <c r="E142" s="1326" t="s">
        <v>761</v>
      </c>
      <c r="F142" s="1326"/>
      <c r="G142" s="1326"/>
      <c r="H142" s="1326"/>
      <c r="I142" s="1326"/>
      <c r="J142" s="1326"/>
      <c r="K142" s="1326"/>
      <c r="L142" s="1326"/>
      <c r="M142" s="1683">
        <v>496329.53</v>
      </c>
      <c r="N142" s="1683">
        <v>0</v>
      </c>
      <c r="O142" s="1683">
        <v>496329.53</v>
      </c>
      <c r="P142" s="1683">
        <v>496329.53</v>
      </c>
      <c r="Q142" s="1683">
        <v>421880.1</v>
      </c>
      <c r="R142" s="1683">
        <v>421880.1</v>
      </c>
      <c r="S142" s="1683">
        <v>0</v>
      </c>
      <c r="T142" s="1683">
        <v>74449.429999999993</v>
      </c>
      <c r="U142" s="1683">
        <v>0</v>
      </c>
      <c r="V142" s="1683">
        <v>74449.429999999993</v>
      </c>
      <c r="W142" s="1683">
        <v>0</v>
      </c>
      <c r="X142" s="1683">
        <v>0</v>
      </c>
      <c r="Y142" s="1682"/>
      <c r="Z142" s="1326"/>
      <c r="AA142" s="1683">
        <v>0</v>
      </c>
      <c r="AB142" s="1683">
        <v>0</v>
      </c>
      <c r="AC142" s="1683">
        <v>0</v>
      </c>
      <c r="AD142" s="1682"/>
      <c r="AE142" s="1326"/>
      <c r="AF142" s="1326"/>
      <c r="AG142" s="1410"/>
      <c r="AH142" s="1683">
        <v>64571.53</v>
      </c>
      <c r="AI142" s="1683">
        <v>64571.53</v>
      </c>
      <c r="AJ142" s="1683">
        <v>54885.8</v>
      </c>
      <c r="AK142" s="1683">
        <v>54885.8</v>
      </c>
      <c r="AL142" s="1683">
        <v>0</v>
      </c>
      <c r="AM142" s="1682"/>
      <c r="AN142" s="1683">
        <v>64571.53</v>
      </c>
      <c r="AO142" s="1683">
        <v>64571.53</v>
      </c>
      <c r="AP142" s="1683">
        <v>54885.8</v>
      </c>
      <c r="AQ142" s="1683">
        <v>54885.8</v>
      </c>
      <c r="AR142" s="1683">
        <v>0</v>
      </c>
      <c r="AS142" s="1683">
        <v>9685.73</v>
      </c>
      <c r="AT142" s="1683">
        <v>0</v>
      </c>
      <c r="AU142" s="1683">
        <v>9685.73</v>
      </c>
      <c r="AV142" s="1683">
        <v>0</v>
      </c>
      <c r="AW142" s="1683">
        <v>0</v>
      </c>
      <c r="AX142" s="1683">
        <v>0</v>
      </c>
      <c r="AY142" s="1683">
        <v>0</v>
      </c>
      <c r="AZ142" s="1683">
        <v>0</v>
      </c>
      <c r="BA142" s="1682"/>
      <c r="BB142" s="1682"/>
      <c r="BC142" s="1683">
        <v>0</v>
      </c>
      <c r="BD142" s="1683">
        <v>0</v>
      </c>
      <c r="BE142" s="1683">
        <v>64571.53</v>
      </c>
      <c r="BF142" s="1683">
        <v>64571.53</v>
      </c>
      <c r="BG142" s="1683">
        <v>54885.8</v>
      </c>
      <c r="BH142" s="1683">
        <v>54885.8</v>
      </c>
      <c r="BI142" s="1683">
        <v>0</v>
      </c>
      <c r="BJ142" s="1683">
        <v>9685.73</v>
      </c>
      <c r="BK142" s="1683">
        <v>0</v>
      </c>
      <c r="BL142" s="1683">
        <v>9685.73</v>
      </c>
      <c r="BM142" s="1683">
        <v>0</v>
      </c>
      <c r="BN142" s="1683">
        <v>0</v>
      </c>
      <c r="BO142" s="1682"/>
      <c r="BP142" s="1683">
        <v>64571.53</v>
      </c>
      <c r="BQ142" s="1683">
        <v>64571.53</v>
      </c>
      <c r="BR142" s="1683">
        <v>54885.8</v>
      </c>
      <c r="BS142" s="1683">
        <v>54885.8</v>
      </c>
      <c r="BT142" s="1683">
        <v>0</v>
      </c>
      <c r="BU142" s="1683">
        <v>9685.73</v>
      </c>
      <c r="BV142" s="1683">
        <v>0</v>
      </c>
      <c r="BW142" s="1683">
        <v>0</v>
      </c>
      <c r="BX142" s="1683">
        <v>0</v>
      </c>
      <c r="BY142" s="1683">
        <v>0</v>
      </c>
      <c r="BZ142" s="1683">
        <v>0</v>
      </c>
      <c r="CA142" s="1683">
        <v>0</v>
      </c>
      <c r="CB142" s="1682"/>
      <c r="CC142" s="1682"/>
      <c r="CD142" s="1683">
        <v>0</v>
      </c>
      <c r="CE142" s="1683">
        <v>0</v>
      </c>
      <c r="CF142" s="1683">
        <v>0</v>
      </c>
      <c r="CG142" s="1683">
        <v>0</v>
      </c>
      <c r="CH142" s="1683">
        <v>0</v>
      </c>
      <c r="CI142" s="1683">
        <v>0</v>
      </c>
      <c r="CJ142" s="1683">
        <v>610.92999999999995</v>
      </c>
      <c r="CK142" s="1683">
        <v>519.29</v>
      </c>
      <c r="CL142" s="1682"/>
      <c r="CM142" s="1683">
        <v>0</v>
      </c>
      <c r="CN142" s="1683">
        <v>0</v>
      </c>
      <c r="CO142" s="1683">
        <v>0</v>
      </c>
      <c r="CP142" s="1683">
        <v>0</v>
      </c>
      <c r="CQ142" s="1683">
        <v>0</v>
      </c>
      <c r="CR142" s="1683">
        <v>0</v>
      </c>
      <c r="CS142" s="1683">
        <v>0</v>
      </c>
      <c r="CT142" s="1683">
        <v>0</v>
      </c>
      <c r="CU142" s="1683">
        <v>0</v>
      </c>
      <c r="CV142" s="1683">
        <v>0</v>
      </c>
      <c r="CW142" s="1682"/>
      <c r="CX142" s="1683">
        <v>0</v>
      </c>
      <c r="CY142" s="1683">
        <v>0</v>
      </c>
      <c r="CZ142" s="1683">
        <v>0</v>
      </c>
      <c r="DA142" s="1683">
        <v>0</v>
      </c>
      <c r="DB142" s="1682"/>
      <c r="DC142" s="1326"/>
      <c r="DD142" s="1683">
        <v>0</v>
      </c>
      <c r="DE142" s="1683">
        <v>0</v>
      </c>
      <c r="DF142" s="1683">
        <v>0</v>
      </c>
      <c r="DG142" s="1683">
        <v>0</v>
      </c>
      <c r="DH142" s="1683">
        <v>0</v>
      </c>
    </row>
    <row r="143" spans="1:112" ht="78.75">
      <c r="A143" s="1326" t="s">
        <v>2141</v>
      </c>
      <c r="B143" s="1326" t="s">
        <v>1694</v>
      </c>
      <c r="C143" s="1326" t="s">
        <v>2551</v>
      </c>
      <c r="D143" s="1326" t="s">
        <v>2552</v>
      </c>
      <c r="E143" s="1326" t="s">
        <v>761</v>
      </c>
      <c r="F143" s="1326" t="s">
        <v>2553</v>
      </c>
      <c r="G143" s="1326" t="s">
        <v>2554</v>
      </c>
      <c r="H143" s="1326" t="s">
        <v>2541</v>
      </c>
      <c r="I143" s="1326" t="s">
        <v>705</v>
      </c>
      <c r="J143" s="1326" t="s">
        <v>2108</v>
      </c>
      <c r="K143" s="1326" t="s">
        <v>2069</v>
      </c>
      <c r="L143" s="1326" t="s">
        <v>2061</v>
      </c>
      <c r="M143" s="1683">
        <v>288106</v>
      </c>
      <c r="N143" s="1683">
        <v>0</v>
      </c>
      <c r="O143" s="1683">
        <v>288106</v>
      </c>
      <c r="P143" s="1683">
        <v>288106</v>
      </c>
      <c r="Q143" s="1683">
        <v>244890.1</v>
      </c>
      <c r="R143" s="1683">
        <v>244890.1</v>
      </c>
      <c r="S143" s="1683">
        <v>0</v>
      </c>
      <c r="T143" s="1683">
        <v>43215.9</v>
      </c>
      <c r="U143" s="1683">
        <v>0</v>
      </c>
      <c r="V143" s="1683">
        <v>43215.9</v>
      </c>
      <c r="W143" s="1683">
        <v>0</v>
      </c>
      <c r="X143" s="1683">
        <v>0</v>
      </c>
      <c r="Y143" s="1682"/>
      <c r="Z143" s="1326"/>
      <c r="AA143" s="1683">
        <v>0</v>
      </c>
      <c r="AB143" s="1683">
        <v>0</v>
      </c>
      <c r="AC143" s="1683">
        <v>0</v>
      </c>
      <c r="AD143" s="1682"/>
      <c r="AE143" s="1326"/>
      <c r="AF143" s="1326"/>
      <c r="AG143" s="1410"/>
      <c r="AH143" s="1683">
        <v>56149.93</v>
      </c>
      <c r="AI143" s="1683">
        <v>56149.93</v>
      </c>
      <c r="AJ143" s="1683">
        <v>47727.44</v>
      </c>
      <c r="AK143" s="1683">
        <v>47727.44</v>
      </c>
      <c r="AL143" s="1683">
        <v>0</v>
      </c>
      <c r="AM143" s="1682"/>
      <c r="AN143" s="1683">
        <v>56149.93</v>
      </c>
      <c r="AO143" s="1683">
        <v>56149.93</v>
      </c>
      <c r="AP143" s="1683">
        <v>47727.44</v>
      </c>
      <c r="AQ143" s="1683">
        <v>47727.44</v>
      </c>
      <c r="AR143" s="1683">
        <v>0</v>
      </c>
      <c r="AS143" s="1683">
        <v>8422.49</v>
      </c>
      <c r="AT143" s="1683">
        <v>0</v>
      </c>
      <c r="AU143" s="1683">
        <v>8422.49</v>
      </c>
      <c r="AV143" s="1683">
        <v>0</v>
      </c>
      <c r="AW143" s="1683">
        <v>0</v>
      </c>
      <c r="AX143" s="1683">
        <v>0</v>
      </c>
      <c r="AY143" s="1683">
        <v>0</v>
      </c>
      <c r="AZ143" s="1683">
        <v>0</v>
      </c>
      <c r="BA143" s="1682"/>
      <c r="BB143" s="1682"/>
      <c r="BC143" s="1683">
        <v>0</v>
      </c>
      <c r="BD143" s="1683">
        <v>0</v>
      </c>
      <c r="BE143" s="1683">
        <v>56149.93</v>
      </c>
      <c r="BF143" s="1683">
        <v>56149.93</v>
      </c>
      <c r="BG143" s="1683">
        <v>47727.44</v>
      </c>
      <c r="BH143" s="1683">
        <v>47727.44</v>
      </c>
      <c r="BI143" s="1683">
        <v>0</v>
      </c>
      <c r="BJ143" s="1683">
        <v>8422.49</v>
      </c>
      <c r="BK143" s="1683">
        <v>0</v>
      </c>
      <c r="BL143" s="1683">
        <v>8422.49</v>
      </c>
      <c r="BM143" s="1683">
        <v>0</v>
      </c>
      <c r="BN143" s="1683">
        <v>0</v>
      </c>
      <c r="BO143" s="1682"/>
      <c r="BP143" s="1683">
        <v>56149.93</v>
      </c>
      <c r="BQ143" s="1683">
        <v>56149.93</v>
      </c>
      <c r="BR143" s="1683">
        <v>47727.44</v>
      </c>
      <c r="BS143" s="1683">
        <v>47727.44</v>
      </c>
      <c r="BT143" s="1683">
        <v>0</v>
      </c>
      <c r="BU143" s="1683">
        <v>8422.49</v>
      </c>
      <c r="BV143" s="1683">
        <v>0</v>
      </c>
      <c r="BW143" s="1683">
        <v>0</v>
      </c>
      <c r="BX143" s="1683">
        <v>0</v>
      </c>
      <c r="BY143" s="1683">
        <v>0</v>
      </c>
      <c r="BZ143" s="1683">
        <v>0</v>
      </c>
      <c r="CA143" s="1683">
        <v>0</v>
      </c>
      <c r="CB143" s="1682"/>
      <c r="CC143" s="1682"/>
      <c r="CD143" s="1683">
        <v>0</v>
      </c>
      <c r="CE143" s="1683">
        <v>0</v>
      </c>
      <c r="CF143" s="1683">
        <v>0</v>
      </c>
      <c r="CG143" s="1683">
        <v>0</v>
      </c>
      <c r="CH143" s="1683">
        <v>0</v>
      </c>
      <c r="CI143" s="1683">
        <v>0</v>
      </c>
      <c r="CJ143" s="1683">
        <v>610.92999999999995</v>
      </c>
      <c r="CK143" s="1683">
        <v>519.29</v>
      </c>
      <c r="CL143" s="1682"/>
      <c r="CM143" s="1683">
        <v>0</v>
      </c>
      <c r="CN143" s="1683">
        <v>0</v>
      </c>
      <c r="CO143" s="1683">
        <v>0</v>
      </c>
      <c r="CP143" s="1683">
        <v>0</v>
      </c>
      <c r="CQ143" s="1683">
        <v>0</v>
      </c>
      <c r="CR143" s="1683">
        <v>0</v>
      </c>
      <c r="CS143" s="1683">
        <v>0</v>
      </c>
      <c r="CT143" s="1683">
        <v>0</v>
      </c>
      <c r="CU143" s="1683">
        <v>0</v>
      </c>
      <c r="CV143" s="1683">
        <v>0</v>
      </c>
      <c r="CW143" s="1682"/>
      <c r="CX143" s="1683">
        <v>0</v>
      </c>
      <c r="CY143" s="1683">
        <v>0</v>
      </c>
      <c r="CZ143" s="1683">
        <v>0</v>
      </c>
      <c r="DA143" s="1683">
        <v>0</v>
      </c>
      <c r="DB143" s="1682"/>
      <c r="DC143" s="1326"/>
      <c r="DD143" s="1683">
        <v>0</v>
      </c>
      <c r="DE143" s="1683">
        <v>0</v>
      </c>
      <c r="DF143" s="1683">
        <v>0</v>
      </c>
      <c r="DG143" s="1683">
        <v>0</v>
      </c>
      <c r="DH143" s="1683">
        <v>0</v>
      </c>
    </row>
    <row r="144" spans="1:112" ht="78.75">
      <c r="A144" s="1326" t="s">
        <v>2142</v>
      </c>
      <c r="B144" s="1326" t="s">
        <v>1694</v>
      </c>
      <c r="C144" s="1326" t="s">
        <v>2551</v>
      </c>
      <c r="D144" s="1326" t="s">
        <v>2552</v>
      </c>
      <c r="E144" s="1326" t="s">
        <v>761</v>
      </c>
      <c r="F144" s="1326" t="s">
        <v>2553</v>
      </c>
      <c r="G144" s="1326" t="s">
        <v>2554</v>
      </c>
      <c r="H144" s="1326" t="s">
        <v>2541</v>
      </c>
      <c r="I144" s="1326" t="s">
        <v>705</v>
      </c>
      <c r="J144" s="1326" t="s">
        <v>2108</v>
      </c>
      <c r="K144" s="1326" t="s">
        <v>2069</v>
      </c>
      <c r="L144" s="1326" t="s">
        <v>2061</v>
      </c>
      <c r="M144" s="1400"/>
      <c r="N144" s="1400"/>
      <c r="O144" s="1400"/>
      <c r="P144" s="1400"/>
      <c r="Q144" s="1400"/>
      <c r="R144" s="1400"/>
      <c r="S144" s="1400"/>
      <c r="T144" s="1400"/>
      <c r="U144" s="1400"/>
      <c r="V144" s="1400"/>
      <c r="W144" s="1400"/>
      <c r="X144" s="1400"/>
      <c r="Y144" s="1685">
        <v>43294</v>
      </c>
      <c r="Z144" s="1326" t="s">
        <v>2062</v>
      </c>
      <c r="AA144" s="1683">
        <v>0</v>
      </c>
      <c r="AB144" s="1683">
        <v>0</v>
      </c>
      <c r="AC144" s="1683">
        <v>0</v>
      </c>
      <c r="AD144" s="1685">
        <v>43314</v>
      </c>
      <c r="AE144" s="1326" t="s">
        <v>2081</v>
      </c>
      <c r="AF144" s="1326" t="s">
        <v>2067</v>
      </c>
      <c r="AG144" s="1410"/>
      <c r="AH144" s="1683">
        <v>55539</v>
      </c>
      <c r="AI144" s="1683">
        <v>55539</v>
      </c>
      <c r="AJ144" s="1683">
        <v>47208.15</v>
      </c>
      <c r="AK144" s="1683">
        <v>47208.15</v>
      </c>
      <c r="AL144" s="1683">
        <v>0</v>
      </c>
      <c r="AM144" s="1685">
        <v>43335</v>
      </c>
      <c r="AN144" s="1683">
        <v>55539</v>
      </c>
      <c r="AO144" s="1683">
        <v>55539</v>
      </c>
      <c r="AP144" s="1683">
        <v>47208.15</v>
      </c>
      <c r="AQ144" s="1683">
        <v>47208.15</v>
      </c>
      <c r="AR144" s="1683">
        <v>0</v>
      </c>
      <c r="AS144" s="1683">
        <v>8330.85</v>
      </c>
      <c r="AT144" s="1683">
        <v>0</v>
      </c>
      <c r="AU144" s="1683">
        <v>8330.85</v>
      </c>
      <c r="AV144" s="1683">
        <v>0</v>
      </c>
      <c r="AW144" s="1683">
        <v>0</v>
      </c>
      <c r="AX144" s="1400"/>
      <c r="AY144" s="1400"/>
      <c r="AZ144" s="1400"/>
      <c r="BA144" s="1682"/>
      <c r="BB144" s="1682"/>
      <c r="BC144" s="1400"/>
      <c r="BD144" s="1400"/>
      <c r="BE144" s="1683">
        <v>55539</v>
      </c>
      <c r="BF144" s="1683">
        <v>55539</v>
      </c>
      <c r="BG144" s="1683">
        <v>47208.15</v>
      </c>
      <c r="BH144" s="1683">
        <v>47208.15</v>
      </c>
      <c r="BI144" s="1683">
        <v>0</v>
      </c>
      <c r="BJ144" s="1683">
        <v>8330.85</v>
      </c>
      <c r="BK144" s="1683">
        <v>0</v>
      </c>
      <c r="BL144" s="1683">
        <v>8330.85</v>
      </c>
      <c r="BM144" s="1683">
        <v>0</v>
      </c>
      <c r="BN144" s="1683">
        <v>0</v>
      </c>
      <c r="BO144" s="1685">
        <v>43403</v>
      </c>
      <c r="BP144" s="1683">
        <v>55539</v>
      </c>
      <c r="BQ144" s="1683">
        <v>55539</v>
      </c>
      <c r="BR144" s="1683">
        <v>47208.15</v>
      </c>
      <c r="BS144" s="1683">
        <v>47208.15</v>
      </c>
      <c r="BT144" s="1683">
        <v>0</v>
      </c>
      <c r="BU144" s="1683">
        <v>8330.85</v>
      </c>
      <c r="BV144" s="1683">
        <v>0</v>
      </c>
      <c r="BW144" s="1683">
        <v>0</v>
      </c>
      <c r="BX144" s="1683">
        <v>0</v>
      </c>
      <c r="BY144" s="1683">
        <v>0</v>
      </c>
      <c r="BZ144" s="1683">
        <v>0</v>
      </c>
      <c r="CA144" s="1400"/>
      <c r="CB144" s="1682"/>
      <c r="CC144" s="1682"/>
      <c r="CD144" s="1400"/>
      <c r="CE144" s="1400"/>
      <c r="CF144" s="1683">
        <v>0</v>
      </c>
      <c r="CG144" s="1683">
        <v>0</v>
      </c>
      <c r="CH144" s="1683">
        <v>0</v>
      </c>
      <c r="CI144" s="1683">
        <v>0</v>
      </c>
      <c r="CJ144" s="1683">
        <v>0</v>
      </c>
      <c r="CK144" s="1683">
        <v>0</v>
      </c>
      <c r="CL144" s="1682"/>
      <c r="CM144" s="1683">
        <v>0</v>
      </c>
      <c r="CN144" s="1683">
        <v>0</v>
      </c>
      <c r="CO144" s="1683">
        <v>0</v>
      </c>
      <c r="CP144" s="1683">
        <v>0</v>
      </c>
      <c r="CQ144" s="1683">
        <v>0</v>
      </c>
      <c r="CR144" s="1683">
        <v>0</v>
      </c>
      <c r="CS144" s="1683">
        <v>0</v>
      </c>
      <c r="CT144" s="1683">
        <v>0</v>
      </c>
      <c r="CU144" s="1683">
        <v>0</v>
      </c>
      <c r="CV144" s="1683">
        <v>0</v>
      </c>
      <c r="CW144" s="1682"/>
      <c r="CX144" s="1400"/>
      <c r="CY144" s="1400"/>
      <c r="CZ144" s="1400"/>
      <c r="DA144" s="1400"/>
      <c r="DB144" s="1682"/>
      <c r="DC144" s="1326"/>
      <c r="DD144" s="1683">
        <v>0</v>
      </c>
      <c r="DE144" s="1400"/>
      <c r="DF144" s="1400"/>
      <c r="DG144" s="1683">
        <v>0</v>
      </c>
      <c r="DH144" s="1683">
        <v>0</v>
      </c>
    </row>
    <row r="145" spans="1:112" ht="78.75">
      <c r="A145" s="1326" t="s">
        <v>2143</v>
      </c>
      <c r="B145" s="1326" t="s">
        <v>1694</v>
      </c>
      <c r="C145" s="1326" t="s">
        <v>2551</v>
      </c>
      <c r="D145" s="1326" t="s">
        <v>2552</v>
      </c>
      <c r="E145" s="1326" t="s">
        <v>761</v>
      </c>
      <c r="F145" s="1326" t="s">
        <v>2553</v>
      </c>
      <c r="G145" s="1326" t="s">
        <v>2554</v>
      </c>
      <c r="H145" s="1326" t="s">
        <v>2541</v>
      </c>
      <c r="I145" s="1326" t="s">
        <v>705</v>
      </c>
      <c r="J145" s="1326" t="s">
        <v>2108</v>
      </c>
      <c r="K145" s="1326" t="s">
        <v>2069</v>
      </c>
      <c r="L145" s="1326" t="s">
        <v>2061</v>
      </c>
      <c r="M145" s="1400"/>
      <c r="N145" s="1400"/>
      <c r="O145" s="1400"/>
      <c r="P145" s="1400"/>
      <c r="Q145" s="1400"/>
      <c r="R145" s="1400"/>
      <c r="S145" s="1400"/>
      <c r="T145" s="1400"/>
      <c r="U145" s="1400"/>
      <c r="V145" s="1400"/>
      <c r="W145" s="1400"/>
      <c r="X145" s="1400"/>
      <c r="Y145" s="1685">
        <v>43294</v>
      </c>
      <c r="Z145" s="1326" t="s">
        <v>2062</v>
      </c>
      <c r="AA145" s="1683">
        <v>0</v>
      </c>
      <c r="AB145" s="1683">
        <v>0</v>
      </c>
      <c r="AC145" s="1683">
        <v>0</v>
      </c>
      <c r="AD145" s="1685">
        <v>43314</v>
      </c>
      <c r="AE145" s="1326" t="s">
        <v>2081</v>
      </c>
      <c r="AF145" s="1326" t="s">
        <v>2064</v>
      </c>
      <c r="AG145" s="1410"/>
      <c r="AH145" s="1683">
        <v>610.92999999999995</v>
      </c>
      <c r="AI145" s="1683">
        <v>610.92999999999995</v>
      </c>
      <c r="AJ145" s="1683">
        <v>519.29</v>
      </c>
      <c r="AK145" s="1683">
        <v>519.29</v>
      </c>
      <c r="AL145" s="1683">
        <v>0</v>
      </c>
      <c r="AM145" s="1685">
        <v>43314</v>
      </c>
      <c r="AN145" s="1683">
        <v>610.92999999999995</v>
      </c>
      <c r="AO145" s="1683">
        <v>610.92999999999995</v>
      </c>
      <c r="AP145" s="1683">
        <v>519.29</v>
      </c>
      <c r="AQ145" s="1683">
        <v>519.29</v>
      </c>
      <c r="AR145" s="1683">
        <v>0</v>
      </c>
      <c r="AS145" s="1683">
        <v>91.64</v>
      </c>
      <c r="AT145" s="1683">
        <v>0</v>
      </c>
      <c r="AU145" s="1683">
        <v>91.64</v>
      </c>
      <c r="AV145" s="1683">
        <v>0</v>
      </c>
      <c r="AW145" s="1683">
        <v>0</v>
      </c>
      <c r="AX145" s="1400"/>
      <c r="AY145" s="1400"/>
      <c r="AZ145" s="1400"/>
      <c r="BA145" s="1682"/>
      <c r="BB145" s="1682"/>
      <c r="BC145" s="1400"/>
      <c r="BD145" s="1400"/>
      <c r="BE145" s="1683">
        <v>610.92999999999995</v>
      </c>
      <c r="BF145" s="1683">
        <v>610.92999999999995</v>
      </c>
      <c r="BG145" s="1683">
        <v>519.29</v>
      </c>
      <c r="BH145" s="1683">
        <v>519.29</v>
      </c>
      <c r="BI145" s="1683">
        <v>0</v>
      </c>
      <c r="BJ145" s="1683">
        <v>91.64</v>
      </c>
      <c r="BK145" s="1683">
        <v>0</v>
      </c>
      <c r="BL145" s="1683">
        <v>91.64</v>
      </c>
      <c r="BM145" s="1683">
        <v>0</v>
      </c>
      <c r="BN145" s="1683">
        <v>0</v>
      </c>
      <c r="BO145" s="1685">
        <v>43403</v>
      </c>
      <c r="BP145" s="1683">
        <v>610.92999999999995</v>
      </c>
      <c r="BQ145" s="1683">
        <v>610.92999999999995</v>
      </c>
      <c r="BR145" s="1683">
        <v>519.29</v>
      </c>
      <c r="BS145" s="1683">
        <v>519.29</v>
      </c>
      <c r="BT145" s="1683">
        <v>0</v>
      </c>
      <c r="BU145" s="1683">
        <v>91.64</v>
      </c>
      <c r="BV145" s="1683">
        <v>0</v>
      </c>
      <c r="BW145" s="1683">
        <v>0</v>
      </c>
      <c r="BX145" s="1683">
        <v>0</v>
      </c>
      <c r="BY145" s="1683">
        <v>0</v>
      </c>
      <c r="BZ145" s="1683">
        <v>0</v>
      </c>
      <c r="CA145" s="1400"/>
      <c r="CB145" s="1682"/>
      <c r="CC145" s="1682"/>
      <c r="CD145" s="1400"/>
      <c r="CE145" s="1400"/>
      <c r="CF145" s="1683">
        <v>0</v>
      </c>
      <c r="CG145" s="1683">
        <v>0</v>
      </c>
      <c r="CH145" s="1683">
        <v>0</v>
      </c>
      <c r="CI145" s="1683">
        <v>0</v>
      </c>
      <c r="CJ145" s="1683">
        <v>610.92999999999995</v>
      </c>
      <c r="CK145" s="1683">
        <v>519.29</v>
      </c>
      <c r="CL145" s="1682"/>
      <c r="CM145" s="1683">
        <v>0</v>
      </c>
      <c r="CN145" s="1683">
        <v>0</v>
      </c>
      <c r="CO145" s="1683">
        <v>0</v>
      </c>
      <c r="CP145" s="1683">
        <v>0</v>
      </c>
      <c r="CQ145" s="1683">
        <v>0</v>
      </c>
      <c r="CR145" s="1683">
        <v>0</v>
      </c>
      <c r="CS145" s="1683">
        <v>0</v>
      </c>
      <c r="CT145" s="1683">
        <v>0</v>
      </c>
      <c r="CU145" s="1683">
        <v>0</v>
      </c>
      <c r="CV145" s="1683">
        <v>0</v>
      </c>
      <c r="CW145" s="1682"/>
      <c r="CX145" s="1400"/>
      <c r="CY145" s="1400"/>
      <c r="CZ145" s="1400"/>
      <c r="DA145" s="1400"/>
      <c r="DB145" s="1682"/>
      <c r="DC145" s="1326"/>
      <c r="DD145" s="1683">
        <v>0</v>
      </c>
      <c r="DE145" s="1400"/>
      <c r="DF145" s="1400"/>
      <c r="DG145" s="1683">
        <v>0</v>
      </c>
      <c r="DH145" s="1683">
        <v>0</v>
      </c>
    </row>
    <row r="146" spans="1:112" ht="78.75">
      <c r="A146" s="1326" t="s">
        <v>2144</v>
      </c>
      <c r="B146" s="1326" t="s">
        <v>1694</v>
      </c>
      <c r="C146" s="1326" t="s">
        <v>2551</v>
      </c>
      <c r="D146" s="1326" t="s">
        <v>2552</v>
      </c>
      <c r="E146" s="1326" t="s">
        <v>761</v>
      </c>
      <c r="F146" s="1326" t="s">
        <v>2553</v>
      </c>
      <c r="G146" s="1326" t="s">
        <v>2554</v>
      </c>
      <c r="H146" s="1326" t="s">
        <v>2541</v>
      </c>
      <c r="I146" s="1326" t="s">
        <v>705</v>
      </c>
      <c r="J146" s="1326" t="s">
        <v>2108</v>
      </c>
      <c r="K146" s="1326" t="s">
        <v>2069</v>
      </c>
      <c r="L146" s="1326" t="s">
        <v>2061</v>
      </c>
      <c r="M146" s="1400"/>
      <c r="N146" s="1400"/>
      <c r="O146" s="1400"/>
      <c r="P146" s="1400"/>
      <c r="Q146" s="1400"/>
      <c r="R146" s="1400"/>
      <c r="S146" s="1400"/>
      <c r="T146" s="1400"/>
      <c r="U146" s="1400"/>
      <c r="V146" s="1400"/>
      <c r="W146" s="1400"/>
      <c r="X146" s="1400"/>
      <c r="Y146" s="1685">
        <v>43515</v>
      </c>
      <c r="Z146" s="1326" t="s">
        <v>2062</v>
      </c>
      <c r="AA146" s="1683">
        <v>0</v>
      </c>
      <c r="AB146" s="1683">
        <v>0</v>
      </c>
      <c r="AC146" s="1683">
        <v>0</v>
      </c>
      <c r="AD146" s="1685">
        <v>43529</v>
      </c>
      <c r="AE146" s="1326" t="s">
        <v>2083</v>
      </c>
      <c r="AF146" s="1326" t="s">
        <v>2067</v>
      </c>
      <c r="AG146" s="1410"/>
      <c r="AH146" s="1683">
        <v>0</v>
      </c>
      <c r="AI146" s="1683">
        <v>0</v>
      </c>
      <c r="AJ146" s="1683">
        <v>0</v>
      </c>
      <c r="AK146" s="1683">
        <v>0</v>
      </c>
      <c r="AL146" s="1683">
        <v>0</v>
      </c>
      <c r="AM146" s="1682"/>
      <c r="AN146" s="1683">
        <v>0</v>
      </c>
      <c r="AO146" s="1683">
        <v>0</v>
      </c>
      <c r="AP146" s="1683">
        <v>0</v>
      </c>
      <c r="AQ146" s="1683">
        <v>0</v>
      </c>
      <c r="AR146" s="1683">
        <v>0</v>
      </c>
      <c r="AS146" s="1683">
        <v>0</v>
      </c>
      <c r="AT146" s="1683">
        <v>0</v>
      </c>
      <c r="AU146" s="1683">
        <v>0</v>
      </c>
      <c r="AV146" s="1683">
        <v>0</v>
      </c>
      <c r="AW146" s="1683">
        <v>0</v>
      </c>
      <c r="AX146" s="1400"/>
      <c r="AY146" s="1400"/>
      <c r="AZ146" s="1400"/>
      <c r="BA146" s="1682"/>
      <c r="BB146" s="1682"/>
      <c r="BC146" s="1400"/>
      <c r="BD146" s="1400"/>
      <c r="BE146" s="1683">
        <v>0</v>
      </c>
      <c r="BF146" s="1683">
        <v>0</v>
      </c>
      <c r="BG146" s="1683">
        <v>0</v>
      </c>
      <c r="BH146" s="1683">
        <v>0</v>
      </c>
      <c r="BI146" s="1683">
        <v>0</v>
      </c>
      <c r="BJ146" s="1683">
        <v>0</v>
      </c>
      <c r="BK146" s="1683">
        <v>0</v>
      </c>
      <c r="BL146" s="1683">
        <v>0</v>
      </c>
      <c r="BM146" s="1683">
        <v>0</v>
      </c>
      <c r="BN146" s="1683">
        <v>0</v>
      </c>
      <c r="BO146" s="1682"/>
      <c r="BP146" s="1683">
        <v>0</v>
      </c>
      <c r="BQ146" s="1683">
        <v>0</v>
      </c>
      <c r="BR146" s="1683">
        <v>0</v>
      </c>
      <c r="BS146" s="1683">
        <v>0</v>
      </c>
      <c r="BT146" s="1683">
        <v>0</v>
      </c>
      <c r="BU146" s="1683">
        <v>0</v>
      </c>
      <c r="BV146" s="1683">
        <v>0</v>
      </c>
      <c r="BW146" s="1683">
        <v>0</v>
      </c>
      <c r="BX146" s="1683">
        <v>0</v>
      </c>
      <c r="BY146" s="1683">
        <v>0</v>
      </c>
      <c r="BZ146" s="1400"/>
      <c r="CA146" s="1400"/>
      <c r="CB146" s="1682"/>
      <c r="CC146" s="1682"/>
      <c r="CD146" s="1400"/>
      <c r="CE146" s="1400"/>
      <c r="CF146" s="1683">
        <v>0</v>
      </c>
      <c r="CG146" s="1683">
        <v>0</v>
      </c>
      <c r="CH146" s="1683">
        <v>0</v>
      </c>
      <c r="CI146" s="1683">
        <v>0</v>
      </c>
      <c r="CJ146" s="1683">
        <v>0</v>
      </c>
      <c r="CK146" s="1683">
        <v>0</v>
      </c>
      <c r="CL146" s="1682"/>
      <c r="CM146" s="1683">
        <v>0</v>
      </c>
      <c r="CN146" s="1683">
        <v>0</v>
      </c>
      <c r="CO146" s="1683">
        <v>0</v>
      </c>
      <c r="CP146" s="1683">
        <v>0</v>
      </c>
      <c r="CQ146" s="1683">
        <v>0</v>
      </c>
      <c r="CR146" s="1683">
        <v>0</v>
      </c>
      <c r="CS146" s="1683">
        <v>0</v>
      </c>
      <c r="CT146" s="1683">
        <v>0</v>
      </c>
      <c r="CU146" s="1683">
        <v>0</v>
      </c>
      <c r="CV146" s="1683">
        <v>0</v>
      </c>
      <c r="CW146" s="1682"/>
      <c r="CX146" s="1400"/>
      <c r="CY146" s="1400"/>
      <c r="CZ146" s="1400"/>
      <c r="DA146" s="1400"/>
      <c r="DB146" s="1682"/>
      <c r="DC146" s="1326"/>
      <c r="DD146" s="1683">
        <v>0</v>
      </c>
      <c r="DE146" s="1400"/>
      <c r="DF146" s="1400"/>
      <c r="DG146" s="1683">
        <v>0</v>
      </c>
      <c r="DH146" s="1683">
        <v>0</v>
      </c>
    </row>
    <row r="147" spans="1:112" ht="78.75">
      <c r="A147" s="1326" t="s">
        <v>2146</v>
      </c>
      <c r="B147" s="1326" t="s">
        <v>1694</v>
      </c>
      <c r="C147" s="1326" t="s">
        <v>2551</v>
      </c>
      <c r="D147" s="1326" t="s">
        <v>2552</v>
      </c>
      <c r="E147" s="1326" t="s">
        <v>761</v>
      </c>
      <c r="F147" s="1326" t="s">
        <v>2553</v>
      </c>
      <c r="G147" s="1326" t="s">
        <v>2554</v>
      </c>
      <c r="H147" s="1326" t="s">
        <v>2541</v>
      </c>
      <c r="I147" s="1326" t="s">
        <v>705</v>
      </c>
      <c r="J147" s="1326" t="s">
        <v>2108</v>
      </c>
      <c r="K147" s="1326" t="s">
        <v>2069</v>
      </c>
      <c r="L147" s="1326" t="s">
        <v>2061</v>
      </c>
      <c r="M147" s="1400"/>
      <c r="N147" s="1400"/>
      <c r="O147" s="1400"/>
      <c r="P147" s="1400"/>
      <c r="Q147" s="1400"/>
      <c r="R147" s="1400"/>
      <c r="S147" s="1400"/>
      <c r="T147" s="1400"/>
      <c r="U147" s="1400"/>
      <c r="V147" s="1400"/>
      <c r="W147" s="1400"/>
      <c r="X147" s="1400"/>
      <c r="Y147" s="1685">
        <v>43515</v>
      </c>
      <c r="Z147" s="1326" t="s">
        <v>2062</v>
      </c>
      <c r="AA147" s="1683">
        <v>0</v>
      </c>
      <c r="AB147" s="1683">
        <v>0</v>
      </c>
      <c r="AC147" s="1683">
        <v>0</v>
      </c>
      <c r="AD147" s="1685">
        <v>43529</v>
      </c>
      <c r="AE147" s="1326" t="s">
        <v>2083</v>
      </c>
      <c r="AF147" s="1326" t="s">
        <v>2064</v>
      </c>
      <c r="AG147" s="1410"/>
      <c r="AH147" s="1683">
        <v>0</v>
      </c>
      <c r="AI147" s="1683">
        <v>0</v>
      </c>
      <c r="AJ147" s="1683">
        <v>0</v>
      </c>
      <c r="AK147" s="1683">
        <v>0</v>
      </c>
      <c r="AL147" s="1683">
        <v>0</v>
      </c>
      <c r="AM147" s="1682"/>
      <c r="AN147" s="1683">
        <v>0</v>
      </c>
      <c r="AO147" s="1683">
        <v>0</v>
      </c>
      <c r="AP147" s="1683">
        <v>0</v>
      </c>
      <c r="AQ147" s="1683">
        <v>0</v>
      </c>
      <c r="AR147" s="1683">
        <v>0</v>
      </c>
      <c r="AS147" s="1683">
        <v>0</v>
      </c>
      <c r="AT147" s="1683">
        <v>0</v>
      </c>
      <c r="AU147" s="1683">
        <v>0</v>
      </c>
      <c r="AV147" s="1683">
        <v>0</v>
      </c>
      <c r="AW147" s="1683">
        <v>0</v>
      </c>
      <c r="AX147" s="1400"/>
      <c r="AY147" s="1400"/>
      <c r="AZ147" s="1400"/>
      <c r="BA147" s="1682"/>
      <c r="BB147" s="1682"/>
      <c r="BC147" s="1400"/>
      <c r="BD147" s="1400"/>
      <c r="BE147" s="1683">
        <v>0</v>
      </c>
      <c r="BF147" s="1683">
        <v>0</v>
      </c>
      <c r="BG147" s="1683">
        <v>0</v>
      </c>
      <c r="BH147" s="1683">
        <v>0</v>
      </c>
      <c r="BI147" s="1683">
        <v>0</v>
      </c>
      <c r="BJ147" s="1683">
        <v>0</v>
      </c>
      <c r="BK147" s="1683">
        <v>0</v>
      </c>
      <c r="BL147" s="1683">
        <v>0</v>
      </c>
      <c r="BM147" s="1683">
        <v>0</v>
      </c>
      <c r="BN147" s="1683">
        <v>0</v>
      </c>
      <c r="BO147" s="1682"/>
      <c r="BP147" s="1683">
        <v>0</v>
      </c>
      <c r="BQ147" s="1683">
        <v>0</v>
      </c>
      <c r="BR147" s="1683">
        <v>0</v>
      </c>
      <c r="BS147" s="1683">
        <v>0</v>
      </c>
      <c r="BT147" s="1683">
        <v>0</v>
      </c>
      <c r="BU147" s="1683">
        <v>0</v>
      </c>
      <c r="BV147" s="1683">
        <v>0</v>
      </c>
      <c r="BW147" s="1683">
        <v>0</v>
      </c>
      <c r="BX147" s="1683">
        <v>0</v>
      </c>
      <c r="BY147" s="1683">
        <v>0</v>
      </c>
      <c r="BZ147" s="1400"/>
      <c r="CA147" s="1400"/>
      <c r="CB147" s="1682"/>
      <c r="CC147" s="1682"/>
      <c r="CD147" s="1400"/>
      <c r="CE147" s="1400"/>
      <c r="CF147" s="1683">
        <v>0</v>
      </c>
      <c r="CG147" s="1683">
        <v>0</v>
      </c>
      <c r="CH147" s="1683">
        <v>0</v>
      </c>
      <c r="CI147" s="1683">
        <v>0</v>
      </c>
      <c r="CJ147" s="1683">
        <v>0</v>
      </c>
      <c r="CK147" s="1683">
        <v>0</v>
      </c>
      <c r="CL147" s="1682"/>
      <c r="CM147" s="1683">
        <v>0</v>
      </c>
      <c r="CN147" s="1683">
        <v>0</v>
      </c>
      <c r="CO147" s="1683">
        <v>0</v>
      </c>
      <c r="CP147" s="1683">
        <v>0</v>
      </c>
      <c r="CQ147" s="1683">
        <v>0</v>
      </c>
      <c r="CR147" s="1683">
        <v>0</v>
      </c>
      <c r="CS147" s="1683">
        <v>0</v>
      </c>
      <c r="CT147" s="1683">
        <v>0</v>
      </c>
      <c r="CU147" s="1683">
        <v>0</v>
      </c>
      <c r="CV147" s="1683">
        <v>0</v>
      </c>
      <c r="CW147" s="1682"/>
      <c r="CX147" s="1400"/>
      <c r="CY147" s="1400"/>
      <c r="CZ147" s="1400"/>
      <c r="DA147" s="1400"/>
      <c r="DB147" s="1682"/>
      <c r="DC147" s="1326"/>
      <c r="DD147" s="1683">
        <v>0</v>
      </c>
      <c r="DE147" s="1400"/>
      <c r="DF147" s="1400"/>
      <c r="DG147" s="1683">
        <v>0</v>
      </c>
      <c r="DH147" s="1683">
        <v>0</v>
      </c>
    </row>
    <row r="148" spans="1:112" ht="33.75">
      <c r="A148" s="1326" t="s">
        <v>2147</v>
      </c>
      <c r="B148" s="1326" t="s">
        <v>1694</v>
      </c>
      <c r="C148" s="1326" t="s">
        <v>2551</v>
      </c>
      <c r="D148" s="1326" t="s">
        <v>2552</v>
      </c>
      <c r="E148" s="1326" t="s">
        <v>761</v>
      </c>
      <c r="F148" s="1326" t="s">
        <v>2553</v>
      </c>
      <c r="G148" s="1326" t="s">
        <v>2554</v>
      </c>
      <c r="H148" s="1326" t="s">
        <v>2541</v>
      </c>
      <c r="I148" s="1326" t="s">
        <v>706</v>
      </c>
      <c r="J148" s="1326" t="s">
        <v>270</v>
      </c>
      <c r="K148" s="1326" t="s">
        <v>2071</v>
      </c>
      <c r="L148" s="1326" t="s">
        <v>2061</v>
      </c>
      <c r="M148" s="1683">
        <v>208223.53</v>
      </c>
      <c r="N148" s="1683">
        <v>0</v>
      </c>
      <c r="O148" s="1683">
        <v>208223.53</v>
      </c>
      <c r="P148" s="1683">
        <v>208223.53</v>
      </c>
      <c r="Q148" s="1683">
        <v>176990</v>
      </c>
      <c r="R148" s="1683">
        <v>176990</v>
      </c>
      <c r="S148" s="1683">
        <v>0</v>
      </c>
      <c r="T148" s="1683">
        <v>31233.53</v>
      </c>
      <c r="U148" s="1683">
        <v>0</v>
      </c>
      <c r="V148" s="1683">
        <v>31233.53</v>
      </c>
      <c r="W148" s="1683">
        <v>0</v>
      </c>
      <c r="X148" s="1683">
        <v>0</v>
      </c>
      <c r="Y148" s="1682"/>
      <c r="Z148" s="1326"/>
      <c r="AA148" s="1683">
        <v>0</v>
      </c>
      <c r="AB148" s="1683">
        <v>0</v>
      </c>
      <c r="AC148" s="1683">
        <v>0</v>
      </c>
      <c r="AD148" s="1682"/>
      <c r="AE148" s="1326"/>
      <c r="AF148" s="1326"/>
      <c r="AG148" s="1410"/>
      <c r="AH148" s="1683">
        <v>8421.6</v>
      </c>
      <c r="AI148" s="1683">
        <v>8421.6</v>
      </c>
      <c r="AJ148" s="1683">
        <v>7158.36</v>
      </c>
      <c r="AK148" s="1683">
        <v>7158.36</v>
      </c>
      <c r="AL148" s="1683">
        <v>0</v>
      </c>
      <c r="AM148" s="1682"/>
      <c r="AN148" s="1683">
        <v>8421.6</v>
      </c>
      <c r="AO148" s="1683">
        <v>8421.6</v>
      </c>
      <c r="AP148" s="1683">
        <v>7158.36</v>
      </c>
      <c r="AQ148" s="1683">
        <v>7158.36</v>
      </c>
      <c r="AR148" s="1683">
        <v>0</v>
      </c>
      <c r="AS148" s="1683">
        <v>1263.24</v>
      </c>
      <c r="AT148" s="1683">
        <v>0</v>
      </c>
      <c r="AU148" s="1683">
        <v>1263.24</v>
      </c>
      <c r="AV148" s="1683">
        <v>0</v>
      </c>
      <c r="AW148" s="1683">
        <v>0</v>
      </c>
      <c r="AX148" s="1683">
        <v>0</v>
      </c>
      <c r="AY148" s="1683">
        <v>0</v>
      </c>
      <c r="AZ148" s="1683">
        <v>0</v>
      </c>
      <c r="BA148" s="1682"/>
      <c r="BB148" s="1682"/>
      <c r="BC148" s="1683">
        <v>0</v>
      </c>
      <c r="BD148" s="1683">
        <v>0</v>
      </c>
      <c r="BE148" s="1683">
        <v>8421.6</v>
      </c>
      <c r="BF148" s="1683">
        <v>8421.6</v>
      </c>
      <c r="BG148" s="1683">
        <v>7158.36</v>
      </c>
      <c r="BH148" s="1683">
        <v>7158.36</v>
      </c>
      <c r="BI148" s="1683">
        <v>0</v>
      </c>
      <c r="BJ148" s="1683">
        <v>1263.24</v>
      </c>
      <c r="BK148" s="1683">
        <v>0</v>
      </c>
      <c r="BL148" s="1683">
        <v>1263.24</v>
      </c>
      <c r="BM148" s="1683">
        <v>0</v>
      </c>
      <c r="BN148" s="1683">
        <v>0</v>
      </c>
      <c r="BO148" s="1682"/>
      <c r="BP148" s="1683">
        <v>8421.6</v>
      </c>
      <c r="BQ148" s="1683">
        <v>8421.6</v>
      </c>
      <c r="BR148" s="1683">
        <v>7158.36</v>
      </c>
      <c r="BS148" s="1683">
        <v>7158.36</v>
      </c>
      <c r="BT148" s="1683">
        <v>0</v>
      </c>
      <c r="BU148" s="1683">
        <v>1263.24</v>
      </c>
      <c r="BV148" s="1683">
        <v>0</v>
      </c>
      <c r="BW148" s="1683">
        <v>0</v>
      </c>
      <c r="BX148" s="1683">
        <v>0</v>
      </c>
      <c r="BY148" s="1683">
        <v>0</v>
      </c>
      <c r="BZ148" s="1683">
        <v>0</v>
      </c>
      <c r="CA148" s="1683">
        <v>0</v>
      </c>
      <c r="CB148" s="1682"/>
      <c r="CC148" s="1682"/>
      <c r="CD148" s="1683">
        <v>0</v>
      </c>
      <c r="CE148" s="1683">
        <v>0</v>
      </c>
      <c r="CF148" s="1683">
        <v>0</v>
      </c>
      <c r="CG148" s="1683">
        <v>0</v>
      </c>
      <c r="CH148" s="1683">
        <v>0</v>
      </c>
      <c r="CI148" s="1683">
        <v>0</v>
      </c>
      <c r="CJ148" s="1683">
        <v>0</v>
      </c>
      <c r="CK148" s="1683">
        <v>0</v>
      </c>
      <c r="CL148" s="1682"/>
      <c r="CM148" s="1683">
        <v>0</v>
      </c>
      <c r="CN148" s="1683">
        <v>0</v>
      </c>
      <c r="CO148" s="1683">
        <v>0</v>
      </c>
      <c r="CP148" s="1683">
        <v>0</v>
      </c>
      <c r="CQ148" s="1683">
        <v>0</v>
      </c>
      <c r="CR148" s="1683">
        <v>0</v>
      </c>
      <c r="CS148" s="1683">
        <v>0</v>
      </c>
      <c r="CT148" s="1683">
        <v>0</v>
      </c>
      <c r="CU148" s="1683">
        <v>0</v>
      </c>
      <c r="CV148" s="1683">
        <v>0</v>
      </c>
      <c r="CW148" s="1682"/>
      <c r="CX148" s="1683">
        <v>0</v>
      </c>
      <c r="CY148" s="1683">
        <v>0</v>
      </c>
      <c r="CZ148" s="1683">
        <v>0</v>
      </c>
      <c r="DA148" s="1683">
        <v>0</v>
      </c>
      <c r="DB148" s="1682"/>
      <c r="DC148" s="1326"/>
      <c r="DD148" s="1683">
        <v>0</v>
      </c>
      <c r="DE148" s="1683">
        <v>0</v>
      </c>
      <c r="DF148" s="1683">
        <v>0</v>
      </c>
      <c r="DG148" s="1683">
        <v>0</v>
      </c>
      <c r="DH148" s="1683">
        <v>0</v>
      </c>
    </row>
    <row r="149" spans="1:112" ht="33.75">
      <c r="A149" s="1326" t="s">
        <v>2148</v>
      </c>
      <c r="B149" s="1326" t="s">
        <v>1694</v>
      </c>
      <c r="C149" s="1326" t="s">
        <v>2551</v>
      </c>
      <c r="D149" s="1326" t="s">
        <v>2552</v>
      </c>
      <c r="E149" s="1326" t="s">
        <v>761</v>
      </c>
      <c r="F149" s="1326" t="s">
        <v>2553</v>
      </c>
      <c r="G149" s="1326" t="s">
        <v>2554</v>
      </c>
      <c r="H149" s="1326" t="s">
        <v>2541</v>
      </c>
      <c r="I149" s="1326" t="s">
        <v>706</v>
      </c>
      <c r="J149" s="1326" t="s">
        <v>270</v>
      </c>
      <c r="K149" s="1326" t="s">
        <v>2071</v>
      </c>
      <c r="L149" s="1326" t="s">
        <v>2061</v>
      </c>
      <c r="M149" s="1400"/>
      <c r="N149" s="1400"/>
      <c r="O149" s="1400"/>
      <c r="P149" s="1400"/>
      <c r="Q149" s="1400"/>
      <c r="R149" s="1400"/>
      <c r="S149" s="1400"/>
      <c r="T149" s="1400"/>
      <c r="U149" s="1400"/>
      <c r="V149" s="1400"/>
      <c r="W149" s="1400"/>
      <c r="X149" s="1400"/>
      <c r="Y149" s="1685">
        <v>43378</v>
      </c>
      <c r="Z149" s="1326" t="s">
        <v>2062</v>
      </c>
      <c r="AA149" s="1683">
        <v>0</v>
      </c>
      <c r="AB149" s="1683">
        <v>0</v>
      </c>
      <c r="AC149" s="1683">
        <v>0</v>
      </c>
      <c r="AD149" s="1685">
        <v>43396</v>
      </c>
      <c r="AE149" s="1326" t="s">
        <v>2081</v>
      </c>
      <c r="AF149" s="1326" t="s">
        <v>2064</v>
      </c>
      <c r="AG149" s="1410"/>
      <c r="AH149" s="1683">
        <v>790.53</v>
      </c>
      <c r="AI149" s="1683">
        <v>790.53</v>
      </c>
      <c r="AJ149" s="1683">
        <v>671.95</v>
      </c>
      <c r="AK149" s="1683">
        <v>671.95</v>
      </c>
      <c r="AL149" s="1683">
        <v>0</v>
      </c>
      <c r="AM149" s="1685">
        <v>43396</v>
      </c>
      <c r="AN149" s="1683">
        <v>790.53</v>
      </c>
      <c r="AO149" s="1683">
        <v>790.53</v>
      </c>
      <c r="AP149" s="1683">
        <v>671.95</v>
      </c>
      <c r="AQ149" s="1683">
        <v>671.95</v>
      </c>
      <c r="AR149" s="1683">
        <v>0</v>
      </c>
      <c r="AS149" s="1683">
        <v>118.58</v>
      </c>
      <c r="AT149" s="1683">
        <v>0</v>
      </c>
      <c r="AU149" s="1683">
        <v>118.58</v>
      </c>
      <c r="AV149" s="1683">
        <v>0</v>
      </c>
      <c r="AW149" s="1683">
        <v>0</v>
      </c>
      <c r="AX149" s="1400"/>
      <c r="AY149" s="1400"/>
      <c r="AZ149" s="1400"/>
      <c r="BA149" s="1682"/>
      <c r="BB149" s="1682"/>
      <c r="BC149" s="1400"/>
      <c r="BD149" s="1400"/>
      <c r="BE149" s="1683">
        <v>790.53</v>
      </c>
      <c r="BF149" s="1683">
        <v>790.53</v>
      </c>
      <c r="BG149" s="1683">
        <v>671.95</v>
      </c>
      <c r="BH149" s="1683">
        <v>671.95</v>
      </c>
      <c r="BI149" s="1683">
        <v>0</v>
      </c>
      <c r="BJ149" s="1683">
        <v>118.58</v>
      </c>
      <c r="BK149" s="1683">
        <v>0</v>
      </c>
      <c r="BL149" s="1683">
        <v>118.58</v>
      </c>
      <c r="BM149" s="1683">
        <v>0</v>
      </c>
      <c r="BN149" s="1683">
        <v>0</v>
      </c>
      <c r="BO149" s="1685">
        <v>43453</v>
      </c>
      <c r="BP149" s="1683">
        <v>790.53</v>
      </c>
      <c r="BQ149" s="1683">
        <v>790.53</v>
      </c>
      <c r="BR149" s="1683">
        <v>671.95</v>
      </c>
      <c r="BS149" s="1683">
        <v>671.95</v>
      </c>
      <c r="BT149" s="1683">
        <v>0</v>
      </c>
      <c r="BU149" s="1683">
        <v>118.58</v>
      </c>
      <c r="BV149" s="1683">
        <v>0</v>
      </c>
      <c r="BW149" s="1683">
        <v>0</v>
      </c>
      <c r="BX149" s="1683">
        <v>0</v>
      </c>
      <c r="BY149" s="1683">
        <v>0</v>
      </c>
      <c r="BZ149" s="1683">
        <v>0</v>
      </c>
      <c r="CA149" s="1400"/>
      <c r="CB149" s="1682"/>
      <c r="CC149" s="1682"/>
      <c r="CD149" s="1400"/>
      <c r="CE149" s="1400"/>
      <c r="CF149" s="1683">
        <v>0</v>
      </c>
      <c r="CG149" s="1683">
        <v>0</v>
      </c>
      <c r="CH149" s="1683">
        <v>0</v>
      </c>
      <c r="CI149" s="1683">
        <v>0</v>
      </c>
      <c r="CJ149" s="1683">
        <v>0</v>
      </c>
      <c r="CK149" s="1683">
        <v>0</v>
      </c>
      <c r="CL149" s="1682"/>
      <c r="CM149" s="1683">
        <v>0</v>
      </c>
      <c r="CN149" s="1683">
        <v>0</v>
      </c>
      <c r="CO149" s="1683">
        <v>0</v>
      </c>
      <c r="CP149" s="1683">
        <v>0</v>
      </c>
      <c r="CQ149" s="1683">
        <v>0</v>
      </c>
      <c r="CR149" s="1683">
        <v>0</v>
      </c>
      <c r="CS149" s="1683">
        <v>0</v>
      </c>
      <c r="CT149" s="1683">
        <v>0</v>
      </c>
      <c r="CU149" s="1683">
        <v>0</v>
      </c>
      <c r="CV149" s="1683">
        <v>0</v>
      </c>
      <c r="CW149" s="1682"/>
      <c r="CX149" s="1400"/>
      <c r="CY149" s="1400"/>
      <c r="CZ149" s="1400"/>
      <c r="DA149" s="1400"/>
      <c r="DB149" s="1682"/>
      <c r="DC149" s="1326"/>
      <c r="DD149" s="1683">
        <v>0</v>
      </c>
      <c r="DE149" s="1400"/>
      <c r="DF149" s="1400"/>
      <c r="DG149" s="1683">
        <v>0</v>
      </c>
      <c r="DH149" s="1683">
        <v>0</v>
      </c>
    </row>
    <row r="150" spans="1:112" ht="33.75">
      <c r="A150" s="1326" t="s">
        <v>2149</v>
      </c>
      <c r="B150" s="1326" t="s">
        <v>1694</v>
      </c>
      <c r="C150" s="1326" t="s">
        <v>2551</v>
      </c>
      <c r="D150" s="1326" t="s">
        <v>2552</v>
      </c>
      <c r="E150" s="1326" t="s">
        <v>761</v>
      </c>
      <c r="F150" s="1326" t="s">
        <v>2553</v>
      </c>
      <c r="G150" s="1326" t="s">
        <v>2554</v>
      </c>
      <c r="H150" s="1326" t="s">
        <v>2541</v>
      </c>
      <c r="I150" s="1326" t="s">
        <v>706</v>
      </c>
      <c r="J150" s="1326" t="s">
        <v>270</v>
      </c>
      <c r="K150" s="1326" t="s">
        <v>2071</v>
      </c>
      <c r="L150" s="1326" t="s">
        <v>2061</v>
      </c>
      <c r="M150" s="1400"/>
      <c r="N150" s="1400"/>
      <c r="O150" s="1400"/>
      <c r="P150" s="1400"/>
      <c r="Q150" s="1400"/>
      <c r="R150" s="1400"/>
      <c r="S150" s="1400"/>
      <c r="T150" s="1400"/>
      <c r="U150" s="1400"/>
      <c r="V150" s="1400"/>
      <c r="W150" s="1400"/>
      <c r="X150" s="1400"/>
      <c r="Y150" s="1685">
        <v>43398</v>
      </c>
      <c r="Z150" s="1326" t="s">
        <v>2062</v>
      </c>
      <c r="AA150" s="1683">
        <v>0</v>
      </c>
      <c r="AB150" s="1683">
        <v>0</v>
      </c>
      <c r="AC150" s="1683">
        <v>0</v>
      </c>
      <c r="AD150" s="1685">
        <v>43420</v>
      </c>
      <c r="AE150" s="1326" t="s">
        <v>2088</v>
      </c>
      <c r="AF150" s="1326" t="s">
        <v>2067</v>
      </c>
      <c r="AG150" s="1410"/>
      <c r="AH150" s="1683">
        <v>3775.2</v>
      </c>
      <c r="AI150" s="1683">
        <v>3775.2</v>
      </c>
      <c r="AJ150" s="1683">
        <v>3208.92</v>
      </c>
      <c r="AK150" s="1683">
        <v>3208.92</v>
      </c>
      <c r="AL150" s="1683">
        <v>0</v>
      </c>
      <c r="AM150" s="1685">
        <v>43424</v>
      </c>
      <c r="AN150" s="1683">
        <v>3775.2</v>
      </c>
      <c r="AO150" s="1683">
        <v>3775.2</v>
      </c>
      <c r="AP150" s="1683">
        <v>3208.92</v>
      </c>
      <c r="AQ150" s="1683">
        <v>3208.92</v>
      </c>
      <c r="AR150" s="1683">
        <v>0</v>
      </c>
      <c r="AS150" s="1683">
        <v>566.28</v>
      </c>
      <c r="AT150" s="1683">
        <v>0</v>
      </c>
      <c r="AU150" s="1683">
        <v>566.28</v>
      </c>
      <c r="AV150" s="1683">
        <v>0</v>
      </c>
      <c r="AW150" s="1683">
        <v>0</v>
      </c>
      <c r="AX150" s="1400"/>
      <c r="AY150" s="1400"/>
      <c r="AZ150" s="1400"/>
      <c r="BA150" s="1682"/>
      <c r="BB150" s="1682"/>
      <c r="BC150" s="1400"/>
      <c r="BD150" s="1400"/>
      <c r="BE150" s="1683">
        <v>3775.2</v>
      </c>
      <c r="BF150" s="1683">
        <v>3775.2</v>
      </c>
      <c r="BG150" s="1683">
        <v>3208.92</v>
      </c>
      <c r="BH150" s="1683">
        <v>3208.92</v>
      </c>
      <c r="BI150" s="1683">
        <v>0</v>
      </c>
      <c r="BJ150" s="1683">
        <v>566.28</v>
      </c>
      <c r="BK150" s="1683">
        <v>0</v>
      </c>
      <c r="BL150" s="1683">
        <v>566.28</v>
      </c>
      <c r="BM150" s="1683">
        <v>0</v>
      </c>
      <c r="BN150" s="1683">
        <v>0</v>
      </c>
      <c r="BO150" s="1685">
        <v>43453</v>
      </c>
      <c r="BP150" s="1683">
        <v>3775.2</v>
      </c>
      <c r="BQ150" s="1683">
        <v>3775.2</v>
      </c>
      <c r="BR150" s="1683">
        <v>3208.92</v>
      </c>
      <c r="BS150" s="1683">
        <v>3208.92</v>
      </c>
      <c r="BT150" s="1683">
        <v>0</v>
      </c>
      <c r="BU150" s="1683">
        <v>566.28</v>
      </c>
      <c r="BV150" s="1683">
        <v>0</v>
      </c>
      <c r="BW150" s="1683">
        <v>0</v>
      </c>
      <c r="BX150" s="1683">
        <v>0</v>
      </c>
      <c r="BY150" s="1683">
        <v>0</v>
      </c>
      <c r="BZ150" s="1683">
        <v>0</v>
      </c>
      <c r="CA150" s="1400"/>
      <c r="CB150" s="1682"/>
      <c r="CC150" s="1682"/>
      <c r="CD150" s="1400"/>
      <c r="CE150" s="1400"/>
      <c r="CF150" s="1683">
        <v>0</v>
      </c>
      <c r="CG150" s="1683">
        <v>0</v>
      </c>
      <c r="CH150" s="1683">
        <v>0</v>
      </c>
      <c r="CI150" s="1683">
        <v>0</v>
      </c>
      <c r="CJ150" s="1683">
        <v>0</v>
      </c>
      <c r="CK150" s="1683">
        <v>0</v>
      </c>
      <c r="CL150" s="1682"/>
      <c r="CM150" s="1683">
        <v>0</v>
      </c>
      <c r="CN150" s="1683">
        <v>0</v>
      </c>
      <c r="CO150" s="1683">
        <v>0</v>
      </c>
      <c r="CP150" s="1683">
        <v>0</v>
      </c>
      <c r="CQ150" s="1683">
        <v>0</v>
      </c>
      <c r="CR150" s="1683">
        <v>0</v>
      </c>
      <c r="CS150" s="1683">
        <v>0</v>
      </c>
      <c r="CT150" s="1683">
        <v>0</v>
      </c>
      <c r="CU150" s="1683">
        <v>0</v>
      </c>
      <c r="CV150" s="1683">
        <v>0</v>
      </c>
      <c r="CW150" s="1682"/>
      <c r="CX150" s="1400"/>
      <c r="CY150" s="1400"/>
      <c r="CZ150" s="1400"/>
      <c r="DA150" s="1400"/>
      <c r="DB150" s="1682"/>
      <c r="DC150" s="1326"/>
      <c r="DD150" s="1683">
        <v>0</v>
      </c>
      <c r="DE150" s="1400"/>
      <c r="DF150" s="1400"/>
      <c r="DG150" s="1683">
        <v>0</v>
      </c>
      <c r="DH150" s="1683">
        <v>0</v>
      </c>
    </row>
    <row r="151" spans="1:112" ht="33.75">
      <c r="A151" s="1326" t="s">
        <v>2150</v>
      </c>
      <c r="B151" s="1326" t="s">
        <v>1694</v>
      </c>
      <c r="C151" s="1326" t="s">
        <v>2551</v>
      </c>
      <c r="D151" s="1326" t="s">
        <v>2552</v>
      </c>
      <c r="E151" s="1326" t="s">
        <v>761</v>
      </c>
      <c r="F151" s="1326" t="s">
        <v>2553</v>
      </c>
      <c r="G151" s="1326" t="s">
        <v>2554</v>
      </c>
      <c r="H151" s="1326" t="s">
        <v>2541</v>
      </c>
      <c r="I151" s="1326" t="s">
        <v>706</v>
      </c>
      <c r="J151" s="1326" t="s">
        <v>270</v>
      </c>
      <c r="K151" s="1326" t="s">
        <v>2071</v>
      </c>
      <c r="L151" s="1326" t="s">
        <v>2061</v>
      </c>
      <c r="M151" s="1400"/>
      <c r="N151" s="1400"/>
      <c r="O151" s="1400"/>
      <c r="P151" s="1400"/>
      <c r="Q151" s="1400"/>
      <c r="R151" s="1400"/>
      <c r="S151" s="1400"/>
      <c r="T151" s="1400"/>
      <c r="U151" s="1400"/>
      <c r="V151" s="1400"/>
      <c r="W151" s="1400"/>
      <c r="X151" s="1400"/>
      <c r="Y151" s="1685">
        <v>43398</v>
      </c>
      <c r="Z151" s="1326" t="s">
        <v>2062</v>
      </c>
      <c r="AA151" s="1683">
        <v>0</v>
      </c>
      <c r="AB151" s="1683">
        <v>0</v>
      </c>
      <c r="AC151" s="1683">
        <v>0</v>
      </c>
      <c r="AD151" s="1685">
        <v>43420</v>
      </c>
      <c r="AE151" s="1326" t="s">
        <v>2088</v>
      </c>
      <c r="AF151" s="1326" t="s">
        <v>2064</v>
      </c>
      <c r="AG151" s="1410"/>
      <c r="AH151" s="1683">
        <v>3855.87</v>
      </c>
      <c r="AI151" s="1683">
        <v>3855.87</v>
      </c>
      <c r="AJ151" s="1683">
        <v>3277.49</v>
      </c>
      <c r="AK151" s="1683">
        <v>3277.49</v>
      </c>
      <c r="AL151" s="1683">
        <v>0</v>
      </c>
      <c r="AM151" s="1685">
        <v>43420</v>
      </c>
      <c r="AN151" s="1683">
        <v>3855.87</v>
      </c>
      <c r="AO151" s="1683">
        <v>3855.87</v>
      </c>
      <c r="AP151" s="1683">
        <v>3277.49</v>
      </c>
      <c r="AQ151" s="1683">
        <v>3277.49</v>
      </c>
      <c r="AR151" s="1683">
        <v>0</v>
      </c>
      <c r="AS151" s="1683">
        <v>578.38</v>
      </c>
      <c r="AT151" s="1683">
        <v>0</v>
      </c>
      <c r="AU151" s="1683">
        <v>578.38</v>
      </c>
      <c r="AV151" s="1683">
        <v>0</v>
      </c>
      <c r="AW151" s="1683">
        <v>0</v>
      </c>
      <c r="AX151" s="1400"/>
      <c r="AY151" s="1400"/>
      <c r="AZ151" s="1400"/>
      <c r="BA151" s="1682"/>
      <c r="BB151" s="1682"/>
      <c r="BC151" s="1400"/>
      <c r="BD151" s="1400"/>
      <c r="BE151" s="1683">
        <v>3855.87</v>
      </c>
      <c r="BF151" s="1683">
        <v>3855.87</v>
      </c>
      <c r="BG151" s="1683">
        <v>3277.49</v>
      </c>
      <c r="BH151" s="1683">
        <v>3277.49</v>
      </c>
      <c r="BI151" s="1683">
        <v>0</v>
      </c>
      <c r="BJ151" s="1683">
        <v>578.38</v>
      </c>
      <c r="BK151" s="1683">
        <v>0</v>
      </c>
      <c r="BL151" s="1683">
        <v>578.38</v>
      </c>
      <c r="BM151" s="1683">
        <v>0</v>
      </c>
      <c r="BN151" s="1683">
        <v>0</v>
      </c>
      <c r="BO151" s="1685">
        <v>43453</v>
      </c>
      <c r="BP151" s="1683">
        <v>3855.87</v>
      </c>
      <c r="BQ151" s="1683">
        <v>3855.87</v>
      </c>
      <c r="BR151" s="1683">
        <v>3277.49</v>
      </c>
      <c r="BS151" s="1683">
        <v>3277.49</v>
      </c>
      <c r="BT151" s="1683">
        <v>0</v>
      </c>
      <c r="BU151" s="1683">
        <v>578.38</v>
      </c>
      <c r="BV151" s="1683">
        <v>0</v>
      </c>
      <c r="BW151" s="1683">
        <v>0</v>
      </c>
      <c r="BX151" s="1683">
        <v>0</v>
      </c>
      <c r="BY151" s="1683">
        <v>0</v>
      </c>
      <c r="BZ151" s="1683">
        <v>0</v>
      </c>
      <c r="CA151" s="1400"/>
      <c r="CB151" s="1682"/>
      <c r="CC151" s="1682"/>
      <c r="CD151" s="1400"/>
      <c r="CE151" s="1400"/>
      <c r="CF151" s="1683">
        <v>0</v>
      </c>
      <c r="CG151" s="1683">
        <v>0</v>
      </c>
      <c r="CH151" s="1683">
        <v>0</v>
      </c>
      <c r="CI151" s="1683">
        <v>0</v>
      </c>
      <c r="CJ151" s="1683">
        <v>0</v>
      </c>
      <c r="CK151" s="1683">
        <v>0</v>
      </c>
      <c r="CL151" s="1682"/>
      <c r="CM151" s="1683">
        <v>0</v>
      </c>
      <c r="CN151" s="1683">
        <v>0</v>
      </c>
      <c r="CO151" s="1683">
        <v>0</v>
      </c>
      <c r="CP151" s="1683">
        <v>0</v>
      </c>
      <c r="CQ151" s="1683">
        <v>0</v>
      </c>
      <c r="CR151" s="1683">
        <v>0</v>
      </c>
      <c r="CS151" s="1683">
        <v>0</v>
      </c>
      <c r="CT151" s="1683">
        <v>0</v>
      </c>
      <c r="CU151" s="1683">
        <v>0</v>
      </c>
      <c r="CV151" s="1683">
        <v>0</v>
      </c>
      <c r="CW151" s="1682"/>
      <c r="CX151" s="1400"/>
      <c r="CY151" s="1400"/>
      <c r="CZ151" s="1400"/>
      <c r="DA151" s="1400"/>
      <c r="DB151" s="1682"/>
      <c r="DC151" s="1326"/>
      <c r="DD151" s="1683">
        <v>0</v>
      </c>
      <c r="DE151" s="1400"/>
      <c r="DF151" s="1400"/>
      <c r="DG151" s="1683">
        <v>0</v>
      </c>
      <c r="DH151" s="1683">
        <v>0</v>
      </c>
    </row>
    <row r="152" spans="1:112">
      <c r="A152" s="1326" t="s">
        <v>2151</v>
      </c>
      <c r="B152" s="1326" t="s">
        <v>1694</v>
      </c>
      <c r="C152" s="1326" t="s">
        <v>2551</v>
      </c>
      <c r="D152" s="1326" t="s">
        <v>2552</v>
      </c>
      <c r="E152" s="1326" t="s">
        <v>182</v>
      </c>
      <c r="F152" s="1326"/>
      <c r="G152" s="1326"/>
      <c r="H152" s="1326"/>
      <c r="I152" s="1326"/>
      <c r="J152" s="1326"/>
      <c r="K152" s="1326"/>
      <c r="L152" s="1326"/>
      <c r="M152" s="1683">
        <v>1189255.1299999999</v>
      </c>
      <c r="N152" s="1683">
        <v>0</v>
      </c>
      <c r="O152" s="1683">
        <v>1189255.1299999999</v>
      </c>
      <c r="P152" s="1683">
        <v>1189255.1299999999</v>
      </c>
      <c r="Q152" s="1683">
        <v>792082.72</v>
      </c>
      <c r="R152" s="1683">
        <v>792082.72</v>
      </c>
      <c r="S152" s="1683">
        <v>0</v>
      </c>
      <c r="T152" s="1683">
        <v>397172.41</v>
      </c>
      <c r="U152" s="1683">
        <v>0</v>
      </c>
      <c r="V152" s="1683">
        <v>397172.41</v>
      </c>
      <c r="W152" s="1683">
        <v>0</v>
      </c>
      <c r="X152" s="1683">
        <v>0</v>
      </c>
      <c r="Y152" s="1682"/>
      <c r="Z152" s="1326"/>
      <c r="AA152" s="1683">
        <v>0</v>
      </c>
      <c r="AB152" s="1683">
        <v>0</v>
      </c>
      <c r="AC152" s="1683">
        <v>0</v>
      </c>
      <c r="AD152" s="1682"/>
      <c r="AE152" s="1326"/>
      <c r="AF152" s="1326"/>
      <c r="AG152" s="1410"/>
      <c r="AH152" s="1683">
        <v>46457.71</v>
      </c>
      <c r="AI152" s="1683">
        <v>58679.71</v>
      </c>
      <c r="AJ152" s="1683">
        <v>50040.62</v>
      </c>
      <c r="AK152" s="1683">
        <v>50040.62</v>
      </c>
      <c r="AL152" s="1683">
        <v>0</v>
      </c>
      <c r="AM152" s="1682"/>
      <c r="AN152" s="1683">
        <v>46457.71</v>
      </c>
      <c r="AO152" s="1683">
        <v>46457.71</v>
      </c>
      <c r="AP152" s="1683">
        <v>37818.620000000003</v>
      </c>
      <c r="AQ152" s="1683">
        <v>37818.620000000003</v>
      </c>
      <c r="AR152" s="1683">
        <v>0</v>
      </c>
      <c r="AS152" s="1683">
        <v>8639.09</v>
      </c>
      <c r="AT152" s="1683">
        <v>0</v>
      </c>
      <c r="AU152" s="1683">
        <v>8639.09</v>
      </c>
      <c r="AV152" s="1683">
        <v>0</v>
      </c>
      <c r="AW152" s="1683">
        <v>0</v>
      </c>
      <c r="AX152" s="1683">
        <v>0</v>
      </c>
      <c r="AY152" s="1683">
        <v>0</v>
      </c>
      <c r="AZ152" s="1683">
        <v>0</v>
      </c>
      <c r="BA152" s="1682"/>
      <c r="BB152" s="1682"/>
      <c r="BC152" s="1683">
        <v>0</v>
      </c>
      <c r="BD152" s="1683">
        <v>0</v>
      </c>
      <c r="BE152" s="1683">
        <v>46457.71</v>
      </c>
      <c r="BF152" s="1683">
        <v>46457.71</v>
      </c>
      <c r="BG152" s="1683">
        <v>37818.620000000003</v>
      </c>
      <c r="BH152" s="1683">
        <v>37818.620000000003</v>
      </c>
      <c r="BI152" s="1683">
        <v>0</v>
      </c>
      <c r="BJ152" s="1683">
        <v>8639.09</v>
      </c>
      <c r="BK152" s="1683">
        <v>0</v>
      </c>
      <c r="BL152" s="1683">
        <v>8639.09</v>
      </c>
      <c r="BM152" s="1683">
        <v>0</v>
      </c>
      <c r="BN152" s="1683">
        <v>0</v>
      </c>
      <c r="BO152" s="1682"/>
      <c r="BP152" s="1683">
        <v>46578.71</v>
      </c>
      <c r="BQ152" s="1683">
        <v>46578.71</v>
      </c>
      <c r="BR152" s="1683">
        <v>37921.47</v>
      </c>
      <c r="BS152" s="1683">
        <v>37921.47</v>
      </c>
      <c r="BT152" s="1683">
        <v>0</v>
      </c>
      <c r="BU152" s="1683">
        <v>8657.24</v>
      </c>
      <c r="BV152" s="1683">
        <v>0</v>
      </c>
      <c r="BW152" s="1683">
        <v>0</v>
      </c>
      <c r="BX152" s="1683">
        <v>0</v>
      </c>
      <c r="BY152" s="1683">
        <v>0</v>
      </c>
      <c r="BZ152" s="1683">
        <v>0</v>
      </c>
      <c r="CA152" s="1683">
        <v>0</v>
      </c>
      <c r="CB152" s="1682"/>
      <c r="CC152" s="1682"/>
      <c r="CD152" s="1683">
        <v>-121</v>
      </c>
      <c r="CE152" s="1683">
        <v>-121</v>
      </c>
      <c r="CF152" s="1683">
        <v>0</v>
      </c>
      <c r="CG152" s="1683">
        <v>0</v>
      </c>
      <c r="CH152" s="1683">
        <v>0</v>
      </c>
      <c r="CI152" s="1683">
        <v>0</v>
      </c>
      <c r="CJ152" s="1683">
        <v>391.59</v>
      </c>
      <c r="CK152" s="1683">
        <v>391.59</v>
      </c>
      <c r="CL152" s="1682"/>
      <c r="CM152" s="1683">
        <v>0</v>
      </c>
      <c r="CN152" s="1683">
        <v>0</v>
      </c>
      <c r="CO152" s="1683">
        <v>0</v>
      </c>
      <c r="CP152" s="1683">
        <v>0</v>
      </c>
      <c r="CQ152" s="1683">
        <v>0</v>
      </c>
      <c r="CR152" s="1683">
        <v>0</v>
      </c>
      <c r="CS152" s="1683">
        <v>0</v>
      </c>
      <c r="CT152" s="1683">
        <v>0</v>
      </c>
      <c r="CU152" s="1683">
        <v>0</v>
      </c>
      <c r="CV152" s="1683">
        <v>0</v>
      </c>
      <c r="CW152" s="1682"/>
      <c r="CX152" s="1683">
        <v>0</v>
      </c>
      <c r="CY152" s="1683">
        <v>0</v>
      </c>
      <c r="CZ152" s="1683">
        <v>0</v>
      </c>
      <c r="DA152" s="1683">
        <v>0</v>
      </c>
      <c r="DB152" s="1682"/>
      <c r="DC152" s="1326"/>
      <c r="DD152" s="1683">
        <v>0</v>
      </c>
      <c r="DE152" s="1683">
        <v>0</v>
      </c>
      <c r="DF152" s="1683">
        <v>0</v>
      </c>
      <c r="DG152" s="1683">
        <v>0</v>
      </c>
      <c r="DH152" s="1683">
        <v>0</v>
      </c>
    </row>
    <row r="153" spans="1:112" ht="45">
      <c r="A153" s="1326" t="s">
        <v>2153</v>
      </c>
      <c r="B153" s="1326" t="s">
        <v>1694</v>
      </c>
      <c r="C153" s="1326" t="s">
        <v>2551</v>
      </c>
      <c r="D153" s="1326" t="s">
        <v>2552</v>
      </c>
      <c r="E153" s="1326" t="s">
        <v>182</v>
      </c>
      <c r="F153" s="1326" t="s">
        <v>2555</v>
      </c>
      <c r="G153" s="1326" t="s">
        <v>2556</v>
      </c>
      <c r="H153" s="1326" t="s">
        <v>2541</v>
      </c>
      <c r="I153" s="1326" t="s">
        <v>1592</v>
      </c>
      <c r="J153" s="1326" t="s">
        <v>2918</v>
      </c>
      <c r="K153" s="1326" t="s">
        <v>2069</v>
      </c>
      <c r="L153" s="1326" t="s">
        <v>2061</v>
      </c>
      <c r="M153" s="1683">
        <v>242419</v>
      </c>
      <c r="N153" s="1683">
        <v>0</v>
      </c>
      <c r="O153" s="1683">
        <v>242419</v>
      </c>
      <c r="P153" s="1683">
        <v>242419</v>
      </c>
      <c r="Q153" s="1683">
        <v>206056</v>
      </c>
      <c r="R153" s="1683">
        <v>206056</v>
      </c>
      <c r="S153" s="1683">
        <v>0</v>
      </c>
      <c r="T153" s="1683">
        <v>36363</v>
      </c>
      <c r="U153" s="1683">
        <v>0</v>
      </c>
      <c r="V153" s="1683">
        <v>36363</v>
      </c>
      <c r="W153" s="1683">
        <v>0</v>
      </c>
      <c r="X153" s="1683">
        <v>0</v>
      </c>
      <c r="Y153" s="1682"/>
      <c r="Z153" s="1326"/>
      <c r="AA153" s="1683">
        <v>0</v>
      </c>
      <c r="AB153" s="1683">
        <v>0</v>
      </c>
      <c r="AC153" s="1683">
        <v>0</v>
      </c>
      <c r="AD153" s="1682"/>
      <c r="AE153" s="1326"/>
      <c r="AF153" s="1326"/>
      <c r="AG153" s="1410"/>
      <c r="AH153" s="1683">
        <v>19021.55</v>
      </c>
      <c r="AI153" s="1683">
        <v>19021.55</v>
      </c>
      <c r="AJ153" s="1683">
        <v>16168.31</v>
      </c>
      <c r="AK153" s="1683">
        <v>16168.31</v>
      </c>
      <c r="AL153" s="1683">
        <v>0</v>
      </c>
      <c r="AM153" s="1682"/>
      <c r="AN153" s="1683">
        <v>19021.55</v>
      </c>
      <c r="AO153" s="1683">
        <v>19021.55</v>
      </c>
      <c r="AP153" s="1683">
        <v>16168.31</v>
      </c>
      <c r="AQ153" s="1683">
        <v>16168.31</v>
      </c>
      <c r="AR153" s="1683">
        <v>0</v>
      </c>
      <c r="AS153" s="1683">
        <v>2853.24</v>
      </c>
      <c r="AT153" s="1683">
        <v>0</v>
      </c>
      <c r="AU153" s="1683">
        <v>2853.24</v>
      </c>
      <c r="AV153" s="1683">
        <v>0</v>
      </c>
      <c r="AW153" s="1683">
        <v>0</v>
      </c>
      <c r="AX153" s="1683">
        <v>0</v>
      </c>
      <c r="AY153" s="1683">
        <v>0</v>
      </c>
      <c r="AZ153" s="1683">
        <v>0</v>
      </c>
      <c r="BA153" s="1682"/>
      <c r="BB153" s="1682"/>
      <c r="BC153" s="1683">
        <v>0</v>
      </c>
      <c r="BD153" s="1683">
        <v>0</v>
      </c>
      <c r="BE153" s="1683">
        <v>19021.55</v>
      </c>
      <c r="BF153" s="1683">
        <v>19021.55</v>
      </c>
      <c r="BG153" s="1683">
        <v>16168.31</v>
      </c>
      <c r="BH153" s="1683">
        <v>16168.31</v>
      </c>
      <c r="BI153" s="1683">
        <v>0</v>
      </c>
      <c r="BJ153" s="1683">
        <v>2853.24</v>
      </c>
      <c r="BK153" s="1683">
        <v>0</v>
      </c>
      <c r="BL153" s="1683">
        <v>2853.24</v>
      </c>
      <c r="BM153" s="1683">
        <v>0</v>
      </c>
      <c r="BN153" s="1683">
        <v>0</v>
      </c>
      <c r="BO153" s="1682"/>
      <c r="BP153" s="1683">
        <v>19142.55</v>
      </c>
      <c r="BQ153" s="1683">
        <v>19142.55</v>
      </c>
      <c r="BR153" s="1683">
        <v>16271.16</v>
      </c>
      <c r="BS153" s="1683">
        <v>16271.16</v>
      </c>
      <c r="BT153" s="1683">
        <v>0</v>
      </c>
      <c r="BU153" s="1683">
        <v>2871.39</v>
      </c>
      <c r="BV153" s="1683">
        <v>0</v>
      </c>
      <c r="BW153" s="1683">
        <v>0</v>
      </c>
      <c r="BX153" s="1683">
        <v>0</v>
      </c>
      <c r="BY153" s="1683">
        <v>0</v>
      </c>
      <c r="BZ153" s="1683">
        <v>0</v>
      </c>
      <c r="CA153" s="1683">
        <v>0</v>
      </c>
      <c r="CB153" s="1685">
        <v>43453</v>
      </c>
      <c r="CC153" s="1682"/>
      <c r="CD153" s="1683">
        <v>-121</v>
      </c>
      <c r="CE153" s="1683">
        <v>-121</v>
      </c>
      <c r="CF153" s="1683">
        <v>0</v>
      </c>
      <c r="CG153" s="1683">
        <v>0</v>
      </c>
      <c r="CH153" s="1683">
        <v>0</v>
      </c>
      <c r="CI153" s="1683">
        <v>0</v>
      </c>
      <c r="CJ153" s="1683">
        <v>208.27</v>
      </c>
      <c r="CK153" s="1683">
        <v>208.27</v>
      </c>
      <c r="CL153" s="1682"/>
      <c r="CM153" s="1683">
        <v>0</v>
      </c>
      <c r="CN153" s="1683">
        <v>0</v>
      </c>
      <c r="CO153" s="1683">
        <v>0</v>
      </c>
      <c r="CP153" s="1683">
        <v>0</v>
      </c>
      <c r="CQ153" s="1683">
        <v>0</v>
      </c>
      <c r="CR153" s="1683">
        <v>0</v>
      </c>
      <c r="CS153" s="1683">
        <v>0</v>
      </c>
      <c r="CT153" s="1683">
        <v>0</v>
      </c>
      <c r="CU153" s="1683">
        <v>0</v>
      </c>
      <c r="CV153" s="1683">
        <v>0</v>
      </c>
      <c r="CW153" s="1682"/>
      <c r="CX153" s="1683">
        <v>0</v>
      </c>
      <c r="CY153" s="1683">
        <v>0</v>
      </c>
      <c r="CZ153" s="1683">
        <v>0</v>
      </c>
      <c r="DA153" s="1683">
        <v>0</v>
      </c>
      <c r="DB153" s="1682"/>
      <c r="DC153" s="1326"/>
      <c r="DD153" s="1683">
        <v>0</v>
      </c>
      <c r="DE153" s="1683">
        <v>0</v>
      </c>
      <c r="DF153" s="1683">
        <v>0</v>
      </c>
      <c r="DG153" s="1683">
        <v>0</v>
      </c>
      <c r="DH153" s="1683">
        <v>0</v>
      </c>
    </row>
    <row r="154" spans="1:112" ht="45">
      <c r="A154" s="1326" t="s">
        <v>2154</v>
      </c>
      <c r="B154" s="1326" t="s">
        <v>1694</v>
      </c>
      <c r="C154" s="1326" t="s">
        <v>2551</v>
      </c>
      <c r="D154" s="1326" t="s">
        <v>2552</v>
      </c>
      <c r="E154" s="1326" t="s">
        <v>182</v>
      </c>
      <c r="F154" s="1326" t="s">
        <v>2555</v>
      </c>
      <c r="G154" s="1326" t="s">
        <v>2556</v>
      </c>
      <c r="H154" s="1326" t="s">
        <v>2541</v>
      </c>
      <c r="I154" s="1326" t="s">
        <v>1592</v>
      </c>
      <c r="J154" s="1326" t="s">
        <v>2918</v>
      </c>
      <c r="K154" s="1326" t="s">
        <v>2069</v>
      </c>
      <c r="L154" s="1326" t="s">
        <v>2061</v>
      </c>
      <c r="M154" s="1400"/>
      <c r="N154" s="1400"/>
      <c r="O154" s="1400"/>
      <c r="P154" s="1400"/>
      <c r="Q154" s="1400"/>
      <c r="R154" s="1400"/>
      <c r="S154" s="1400"/>
      <c r="T154" s="1400"/>
      <c r="U154" s="1400"/>
      <c r="V154" s="1400"/>
      <c r="W154" s="1400"/>
      <c r="X154" s="1400"/>
      <c r="Y154" s="1682"/>
      <c r="Z154" s="1326"/>
      <c r="AA154" s="1683">
        <v>0</v>
      </c>
      <c r="AB154" s="1683">
        <v>0</v>
      </c>
      <c r="AC154" s="1683">
        <v>0</v>
      </c>
      <c r="AD154" s="1682"/>
      <c r="AE154" s="1326" t="s">
        <v>2171</v>
      </c>
      <c r="AF154" s="1326"/>
      <c r="AG154" s="1410" t="s">
        <v>2172</v>
      </c>
      <c r="AH154" s="1683">
        <v>0</v>
      </c>
      <c r="AI154" s="1683">
        <v>0</v>
      </c>
      <c r="AJ154" s="1683">
        <v>0</v>
      </c>
      <c r="AK154" s="1683">
        <v>0</v>
      </c>
      <c r="AL154" s="1683">
        <v>0</v>
      </c>
      <c r="AM154" s="1685">
        <v>43412</v>
      </c>
      <c r="AN154" s="1683">
        <v>-121</v>
      </c>
      <c r="AO154" s="1683">
        <v>-121</v>
      </c>
      <c r="AP154" s="1683">
        <v>-102.85</v>
      </c>
      <c r="AQ154" s="1683">
        <v>-102.85</v>
      </c>
      <c r="AR154" s="1683">
        <v>0</v>
      </c>
      <c r="AS154" s="1683">
        <v>-18.149999999999999</v>
      </c>
      <c r="AT154" s="1683">
        <v>0</v>
      </c>
      <c r="AU154" s="1683">
        <v>-18.149999999999999</v>
      </c>
      <c r="AV154" s="1683">
        <v>0</v>
      </c>
      <c r="AW154" s="1683">
        <v>0</v>
      </c>
      <c r="AX154" s="1400"/>
      <c r="AY154" s="1400"/>
      <c r="AZ154" s="1400"/>
      <c r="BA154" s="1682"/>
      <c r="BB154" s="1682"/>
      <c r="BC154" s="1400"/>
      <c r="BD154" s="1400"/>
      <c r="BE154" s="1683">
        <v>-121</v>
      </c>
      <c r="BF154" s="1683">
        <v>-121</v>
      </c>
      <c r="BG154" s="1683">
        <v>-102.85</v>
      </c>
      <c r="BH154" s="1683">
        <v>-102.85</v>
      </c>
      <c r="BI154" s="1683">
        <v>0</v>
      </c>
      <c r="BJ154" s="1683">
        <v>-18.149999999999999</v>
      </c>
      <c r="BK154" s="1683">
        <v>0</v>
      </c>
      <c r="BL154" s="1683">
        <v>-18.149999999999999</v>
      </c>
      <c r="BM154" s="1683">
        <v>0</v>
      </c>
      <c r="BN154" s="1683">
        <v>0</v>
      </c>
      <c r="BO154" s="1682"/>
      <c r="BP154" s="1683">
        <v>0</v>
      </c>
      <c r="BQ154" s="1683">
        <v>0</v>
      </c>
      <c r="BR154" s="1683">
        <v>0</v>
      </c>
      <c r="BS154" s="1683">
        <v>0</v>
      </c>
      <c r="BT154" s="1683">
        <v>0</v>
      </c>
      <c r="BU154" s="1683">
        <v>0</v>
      </c>
      <c r="BV154" s="1683">
        <v>0</v>
      </c>
      <c r="BW154" s="1683">
        <v>0</v>
      </c>
      <c r="BX154" s="1683">
        <v>0</v>
      </c>
      <c r="BY154" s="1683">
        <v>0</v>
      </c>
      <c r="BZ154" s="1683">
        <v>0</v>
      </c>
      <c r="CA154" s="1400"/>
      <c r="CB154" s="1682"/>
      <c r="CC154" s="1682"/>
      <c r="CD154" s="1400"/>
      <c r="CE154" s="1400"/>
      <c r="CF154" s="1683">
        <v>0</v>
      </c>
      <c r="CG154" s="1683">
        <v>0</v>
      </c>
      <c r="CH154" s="1683">
        <v>0</v>
      </c>
      <c r="CI154" s="1683">
        <v>0</v>
      </c>
      <c r="CJ154" s="1683">
        <v>0</v>
      </c>
      <c r="CK154" s="1683">
        <v>0</v>
      </c>
      <c r="CL154" s="1682"/>
      <c r="CM154" s="1683">
        <v>0</v>
      </c>
      <c r="CN154" s="1683">
        <v>0</v>
      </c>
      <c r="CO154" s="1683">
        <v>0</v>
      </c>
      <c r="CP154" s="1683">
        <v>0</v>
      </c>
      <c r="CQ154" s="1683">
        <v>0</v>
      </c>
      <c r="CR154" s="1683">
        <v>0</v>
      </c>
      <c r="CS154" s="1683">
        <v>0</v>
      </c>
      <c r="CT154" s="1683">
        <v>0</v>
      </c>
      <c r="CU154" s="1683">
        <v>0</v>
      </c>
      <c r="CV154" s="1683">
        <v>0</v>
      </c>
      <c r="CW154" s="1682"/>
      <c r="CX154" s="1400"/>
      <c r="CY154" s="1400"/>
      <c r="CZ154" s="1400"/>
      <c r="DA154" s="1400"/>
      <c r="DB154" s="1682"/>
      <c r="DC154" s="1326"/>
      <c r="DD154" s="1683">
        <v>0</v>
      </c>
      <c r="DE154" s="1400"/>
      <c r="DF154" s="1400"/>
      <c r="DG154" s="1683">
        <v>0</v>
      </c>
      <c r="DH154" s="1683">
        <v>0</v>
      </c>
    </row>
    <row r="155" spans="1:112" ht="45">
      <c r="A155" s="1326" t="s">
        <v>2155</v>
      </c>
      <c r="B155" s="1326" t="s">
        <v>1694</v>
      </c>
      <c r="C155" s="1326" t="s">
        <v>2551</v>
      </c>
      <c r="D155" s="1326" t="s">
        <v>2552</v>
      </c>
      <c r="E155" s="1326" t="s">
        <v>182</v>
      </c>
      <c r="F155" s="1326" t="s">
        <v>2555</v>
      </c>
      <c r="G155" s="1326" t="s">
        <v>2556</v>
      </c>
      <c r="H155" s="1326" t="s">
        <v>2541</v>
      </c>
      <c r="I155" s="1326" t="s">
        <v>1592</v>
      </c>
      <c r="J155" s="1326" t="s">
        <v>2918</v>
      </c>
      <c r="K155" s="1326" t="s">
        <v>2069</v>
      </c>
      <c r="L155" s="1326" t="s">
        <v>2061</v>
      </c>
      <c r="M155" s="1400"/>
      <c r="N155" s="1400"/>
      <c r="O155" s="1400"/>
      <c r="P155" s="1400"/>
      <c r="Q155" s="1400"/>
      <c r="R155" s="1400"/>
      <c r="S155" s="1400"/>
      <c r="T155" s="1400"/>
      <c r="U155" s="1400"/>
      <c r="V155" s="1400"/>
      <c r="W155" s="1400"/>
      <c r="X155" s="1400"/>
      <c r="Y155" s="1682"/>
      <c r="Z155" s="1326"/>
      <c r="AA155" s="1683">
        <v>0</v>
      </c>
      <c r="AB155" s="1683">
        <v>0</v>
      </c>
      <c r="AC155" s="1683">
        <v>0</v>
      </c>
      <c r="AD155" s="1682"/>
      <c r="AE155" s="1326" t="s">
        <v>2171</v>
      </c>
      <c r="AF155" s="1326" t="s">
        <v>2174</v>
      </c>
      <c r="AG155" s="1410" t="s">
        <v>2172</v>
      </c>
      <c r="AH155" s="1683">
        <v>-121</v>
      </c>
      <c r="AI155" s="1683">
        <v>-121</v>
      </c>
      <c r="AJ155" s="1683">
        <v>0</v>
      </c>
      <c r="AK155" s="1683">
        <v>0</v>
      </c>
      <c r="AL155" s="1683">
        <v>0</v>
      </c>
      <c r="AM155" s="1682"/>
      <c r="AN155" s="1683">
        <v>0</v>
      </c>
      <c r="AO155" s="1683">
        <v>0</v>
      </c>
      <c r="AP155" s="1683">
        <v>0</v>
      </c>
      <c r="AQ155" s="1683">
        <v>0</v>
      </c>
      <c r="AR155" s="1683">
        <v>0</v>
      </c>
      <c r="AS155" s="1683">
        <v>0</v>
      </c>
      <c r="AT155" s="1683">
        <v>0</v>
      </c>
      <c r="AU155" s="1683">
        <v>0</v>
      </c>
      <c r="AV155" s="1683">
        <v>0</v>
      </c>
      <c r="AW155" s="1683">
        <v>0</v>
      </c>
      <c r="AX155" s="1400"/>
      <c r="AY155" s="1400"/>
      <c r="AZ155" s="1400"/>
      <c r="BA155" s="1682"/>
      <c r="BB155" s="1682"/>
      <c r="BC155" s="1400"/>
      <c r="BD155" s="1400"/>
      <c r="BE155" s="1683">
        <v>0</v>
      </c>
      <c r="BF155" s="1683">
        <v>0</v>
      </c>
      <c r="BG155" s="1683">
        <v>0</v>
      </c>
      <c r="BH155" s="1683">
        <v>0</v>
      </c>
      <c r="BI155" s="1683">
        <v>0</v>
      </c>
      <c r="BJ155" s="1683">
        <v>0</v>
      </c>
      <c r="BK155" s="1683">
        <v>0</v>
      </c>
      <c r="BL155" s="1683">
        <v>0</v>
      </c>
      <c r="BM155" s="1683">
        <v>0</v>
      </c>
      <c r="BN155" s="1683">
        <v>0</v>
      </c>
      <c r="BO155" s="1682"/>
      <c r="BP155" s="1683">
        <v>0</v>
      </c>
      <c r="BQ155" s="1683">
        <v>0</v>
      </c>
      <c r="BR155" s="1683">
        <v>0</v>
      </c>
      <c r="BS155" s="1683">
        <v>0</v>
      </c>
      <c r="BT155" s="1683">
        <v>0</v>
      </c>
      <c r="BU155" s="1683">
        <v>0</v>
      </c>
      <c r="BV155" s="1683">
        <v>0</v>
      </c>
      <c r="BW155" s="1683">
        <v>0</v>
      </c>
      <c r="BX155" s="1683">
        <v>0</v>
      </c>
      <c r="BY155" s="1683">
        <v>0</v>
      </c>
      <c r="BZ155" s="1683">
        <v>0</v>
      </c>
      <c r="CA155" s="1400"/>
      <c r="CB155" s="1682"/>
      <c r="CC155" s="1682"/>
      <c r="CD155" s="1400"/>
      <c r="CE155" s="1400"/>
      <c r="CF155" s="1683">
        <v>0</v>
      </c>
      <c r="CG155" s="1683">
        <v>0</v>
      </c>
      <c r="CH155" s="1683">
        <v>0</v>
      </c>
      <c r="CI155" s="1683">
        <v>0</v>
      </c>
      <c r="CJ155" s="1683">
        <v>0</v>
      </c>
      <c r="CK155" s="1683">
        <v>0</v>
      </c>
      <c r="CL155" s="1682"/>
      <c r="CM155" s="1683">
        <v>0</v>
      </c>
      <c r="CN155" s="1683">
        <v>0</v>
      </c>
      <c r="CO155" s="1683">
        <v>0</v>
      </c>
      <c r="CP155" s="1683">
        <v>0</v>
      </c>
      <c r="CQ155" s="1683">
        <v>0</v>
      </c>
      <c r="CR155" s="1683">
        <v>0</v>
      </c>
      <c r="CS155" s="1683">
        <v>0</v>
      </c>
      <c r="CT155" s="1683">
        <v>0</v>
      </c>
      <c r="CU155" s="1683">
        <v>0</v>
      </c>
      <c r="CV155" s="1683">
        <v>0</v>
      </c>
      <c r="CW155" s="1682"/>
      <c r="CX155" s="1400"/>
      <c r="CY155" s="1400"/>
      <c r="CZ155" s="1400"/>
      <c r="DA155" s="1400"/>
      <c r="DB155" s="1682"/>
      <c r="DC155" s="1326"/>
      <c r="DD155" s="1683">
        <v>0</v>
      </c>
      <c r="DE155" s="1400"/>
      <c r="DF155" s="1400"/>
      <c r="DG155" s="1683">
        <v>0</v>
      </c>
      <c r="DH155" s="1683">
        <v>0</v>
      </c>
    </row>
    <row r="156" spans="1:112" ht="45">
      <c r="A156" s="1326" t="s">
        <v>2156</v>
      </c>
      <c r="B156" s="1326" t="s">
        <v>1694</v>
      </c>
      <c r="C156" s="1326" t="s">
        <v>2551</v>
      </c>
      <c r="D156" s="1326" t="s">
        <v>2552</v>
      </c>
      <c r="E156" s="1326" t="s">
        <v>182</v>
      </c>
      <c r="F156" s="1326" t="s">
        <v>2555</v>
      </c>
      <c r="G156" s="1326" t="s">
        <v>2556</v>
      </c>
      <c r="H156" s="1326" t="s">
        <v>2541</v>
      </c>
      <c r="I156" s="1326" t="s">
        <v>1592</v>
      </c>
      <c r="J156" s="1326" t="s">
        <v>2918</v>
      </c>
      <c r="K156" s="1326" t="s">
        <v>2069</v>
      </c>
      <c r="L156" s="1326" t="s">
        <v>2061</v>
      </c>
      <c r="M156" s="1400"/>
      <c r="N156" s="1400"/>
      <c r="O156" s="1400"/>
      <c r="P156" s="1400"/>
      <c r="Q156" s="1400"/>
      <c r="R156" s="1400"/>
      <c r="S156" s="1400"/>
      <c r="T156" s="1400"/>
      <c r="U156" s="1400"/>
      <c r="V156" s="1400"/>
      <c r="W156" s="1400"/>
      <c r="X156" s="1400"/>
      <c r="Y156" s="1685">
        <v>43374</v>
      </c>
      <c r="Z156" s="1326" t="s">
        <v>2062</v>
      </c>
      <c r="AA156" s="1683">
        <v>0</v>
      </c>
      <c r="AB156" s="1683">
        <v>0</v>
      </c>
      <c r="AC156" s="1683">
        <v>0</v>
      </c>
      <c r="AD156" s="1685">
        <v>43409</v>
      </c>
      <c r="AE156" s="1326" t="s">
        <v>2073</v>
      </c>
      <c r="AF156" s="1326" t="s">
        <v>2067</v>
      </c>
      <c r="AG156" s="1410"/>
      <c r="AH156" s="1683">
        <v>6970.62</v>
      </c>
      <c r="AI156" s="1683">
        <v>6970.62</v>
      </c>
      <c r="AJ156" s="1683">
        <v>5925.02</v>
      </c>
      <c r="AK156" s="1683">
        <v>5925.02</v>
      </c>
      <c r="AL156" s="1683">
        <v>0</v>
      </c>
      <c r="AM156" s="1685">
        <v>43411</v>
      </c>
      <c r="AN156" s="1683">
        <v>6970.62</v>
      </c>
      <c r="AO156" s="1683">
        <v>6970.62</v>
      </c>
      <c r="AP156" s="1683">
        <v>5925.02</v>
      </c>
      <c r="AQ156" s="1683">
        <v>5925.02</v>
      </c>
      <c r="AR156" s="1683">
        <v>0</v>
      </c>
      <c r="AS156" s="1683">
        <v>1045.5999999999999</v>
      </c>
      <c r="AT156" s="1683">
        <v>0</v>
      </c>
      <c r="AU156" s="1683">
        <v>1045.5999999999999</v>
      </c>
      <c r="AV156" s="1683">
        <v>0</v>
      </c>
      <c r="AW156" s="1683">
        <v>0</v>
      </c>
      <c r="AX156" s="1400"/>
      <c r="AY156" s="1400"/>
      <c r="AZ156" s="1400"/>
      <c r="BA156" s="1682"/>
      <c r="BB156" s="1682"/>
      <c r="BC156" s="1400"/>
      <c r="BD156" s="1400"/>
      <c r="BE156" s="1683">
        <v>6970.62</v>
      </c>
      <c r="BF156" s="1683">
        <v>6970.62</v>
      </c>
      <c r="BG156" s="1683">
        <v>5925.02</v>
      </c>
      <c r="BH156" s="1683">
        <v>5925.02</v>
      </c>
      <c r="BI156" s="1683">
        <v>0</v>
      </c>
      <c r="BJ156" s="1683">
        <v>1045.5999999999999</v>
      </c>
      <c r="BK156" s="1683">
        <v>0</v>
      </c>
      <c r="BL156" s="1683">
        <v>1045.5999999999999</v>
      </c>
      <c r="BM156" s="1683">
        <v>0</v>
      </c>
      <c r="BN156" s="1683">
        <v>0</v>
      </c>
      <c r="BO156" s="1685">
        <v>43453</v>
      </c>
      <c r="BP156" s="1683">
        <v>6970.62</v>
      </c>
      <c r="BQ156" s="1683">
        <v>6970.62</v>
      </c>
      <c r="BR156" s="1683">
        <v>5925.02</v>
      </c>
      <c r="BS156" s="1683">
        <v>5925.02</v>
      </c>
      <c r="BT156" s="1683">
        <v>0</v>
      </c>
      <c r="BU156" s="1683">
        <v>1045.5999999999999</v>
      </c>
      <c r="BV156" s="1683">
        <v>0</v>
      </c>
      <c r="BW156" s="1683">
        <v>0</v>
      </c>
      <c r="BX156" s="1683">
        <v>0</v>
      </c>
      <c r="BY156" s="1683">
        <v>0</v>
      </c>
      <c r="BZ156" s="1683">
        <v>0</v>
      </c>
      <c r="CA156" s="1400"/>
      <c r="CB156" s="1682"/>
      <c r="CC156" s="1682"/>
      <c r="CD156" s="1400"/>
      <c r="CE156" s="1400"/>
      <c r="CF156" s="1683">
        <v>0</v>
      </c>
      <c r="CG156" s="1683">
        <v>0</v>
      </c>
      <c r="CH156" s="1683">
        <v>0</v>
      </c>
      <c r="CI156" s="1683">
        <v>0</v>
      </c>
      <c r="CJ156" s="1683">
        <v>75.84</v>
      </c>
      <c r="CK156" s="1683">
        <v>75.84</v>
      </c>
      <c r="CL156" s="1682"/>
      <c r="CM156" s="1683">
        <v>0</v>
      </c>
      <c r="CN156" s="1683">
        <v>0</v>
      </c>
      <c r="CO156" s="1683">
        <v>0</v>
      </c>
      <c r="CP156" s="1683">
        <v>0</v>
      </c>
      <c r="CQ156" s="1683">
        <v>0</v>
      </c>
      <c r="CR156" s="1683">
        <v>0</v>
      </c>
      <c r="CS156" s="1683">
        <v>0</v>
      </c>
      <c r="CT156" s="1683">
        <v>0</v>
      </c>
      <c r="CU156" s="1683">
        <v>0</v>
      </c>
      <c r="CV156" s="1683">
        <v>0</v>
      </c>
      <c r="CW156" s="1682"/>
      <c r="CX156" s="1400"/>
      <c r="CY156" s="1400"/>
      <c r="CZ156" s="1400"/>
      <c r="DA156" s="1400"/>
      <c r="DB156" s="1682"/>
      <c r="DC156" s="1326"/>
      <c r="DD156" s="1683">
        <v>0</v>
      </c>
      <c r="DE156" s="1400"/>
      <c r="DF156" s="1400"/>
      <c r="DG156" s="1683">
        <v>0</v>
      </c>
      <c r="DH156" s="1683">
        <v>0</v>
      </c>
    </row>
    <row r="157" spans="1:112" ht="45">
      <c r="A157" s="1326" t="s">
        <v>2157</v>
      </c>
      <c r="B157" s="1326" t="s">
        <v>1694</v>
      </c>
      <c r="C157" s="1326" t="s">
        <v>2551</v>
      </c>
      <c r="D157" s="1326" t="s">
        <v>2552</v>
      </c>
      <c r="E157" s="1326" t="s">
        <v>182</v>
      </c>
      <c r="F157" s="1326" t="s">
        <v>2555</v>
      </c>
      <c r="G157" s="1326" t="s">
        <v>2556</v>
      </c>
      <c r="H157" s="1326" t="s">
        <v>2541</v>
      </c>
      <c r="I157" s="1326" t="s">
        <v>1592</v>
      </c>
      <c r="J157" s="1326" t="s">
        <v>2918</v>
      </c>
      <c r="K157" s="1326" t="s">
        <v>2069</v>
      </c>
      <c r="L157" s="1326" t="s">
        <v>2061</v>
      </c>
      <c r="M157" s="1400"/>
      <c r="N157" s="1400"/>
      <c r="O157" s="1400"/>
      <c r="P157" s="1400"/>
      <c r="Q157" s="1400"/>
      <c r="R157" s="1400"/>
      <c r="S157" s="1400"/>
      <c r="T157" s="1400"/>
      <c r="U157" s="1400"/>
      <c r="V157" s="1400"/>
      <c r="W157" s="1400"/>
      <c r="X157" s="1400"/>
      <c r="Y157" s="1685">
        <v>43374</v>
      </c>
      <c r="Z157" s="1326" t="s">
        <v>2062</v>
      </c>
      <c r="AA157" s="1683">
        <v>0</v>
      </c>
      <c r="AB157" s="1683">
        <v>0</v>
      </c>
      <c r="AC157" s="1683">
        <v>0</v>
      </c>
      <c r="AD157" s="1685">
        <v>43409</v>
      </c>
      <c r="AE157" s="1326" t="s">
        <v>2073</v>
      </c>
      <c r="AF157" s="1326" t="s">
        <v>2064</v>
      </c>
      <c r="AG157" s="1410"/>
      <c r="AH157" s="1683">
        <v>2446.62</v>
      </c>
      <c r="AI157" s="1683">
        <v>2446.62</v>
      </c>
      <c r="AJ157" s="1683">
        <v>2079.63</v>
      </c>
      <c r="AK157" s="1683">
        <v>2079.63</v>
      </c>
      <c r="AL157" s="1683">
        <v>0</v>
      </c>
      <c r="AM157" s="1685">
        <v>43409</v>
      </c>
      <c r="AN157" s="1683">
        <v>2446.62</v>
      </c>
      <c r="AO157" s="1683">
        <v>2446.62</v>
      </c>
      <c r="AP157" s="1683">
        <v>2079.63</v>
      </c>
      <c r="AQ157" s="1683">
        <v>2079.63</v>
      </c>
      <c r="AR157" s="1683">
        <v>0</v>
      </c>
      <c r="AS157" s="1683">
        <v>366.99</v>
      </c>
      <c r="AT157" s="1683">
        <v>0</v>
      </c>
      <c r="AU157" s="1683">
        <v>366.99</v>
      </c>
      <c r="AV157" s="1683">
        <v>0</v>
      </c>
      <c r="AW157" s="1683">
        <v>0</v>
      </c>
      <c r="AX157" s="1400"/>
      <c r="AY157" s="1400"/>
      <c r="AZ157" s="1400"/>
      <c r="BA157" s="1682"/>
      <c r="BB157" s="1682"/>
      <c r="BC157" s="1400"/>
      <c r="BD157" s="1400"/>
      <c r="BE157" s="1683">
        <v>2446.62</v>
      </c>
      <c r="BF157" s="1683">
        <v>2446.62</v>
      </c>
      <c r="BG157" s="1683">
        <v>2079.63</v>
      </c>
      <c r="BH157" s="1683">
        <v>2079.63</v>
      </c>
      <c r="BI157" s="1683">
        <v>0</v>
      </c>
      <c r="BJ157" s="1683">
        <v>366.99</v>
      </c>
      <c r="BK157" s="1683">
        <v>0</v>
      </c>
      <c r="BL157" s="1683">
        <v>366.99</v>
      </c>
      <c r="BM157" s="1683">
        <v>0</v>
      </c>
      <c r="BN157" s="1683">
        <v>0</v>
      </c>
      <c r="BO157" s="1685">
        <v>43453</v>
      </c>
      <c r="BP157" s="1683">
        <v>2446.62</v>
      </c>
      <c r="BQ157" s="1683">
        <v>2446.62</v>
      </c>
      <c r="BR157" s="1683">
        <v>2079.63</v>
      </c>
      <c r="BS157" s="1683">
        <v>2079.63</v>
      </c>
      <c r="BT157" s="1683">
        <v>0</v>
      </c>
      <c r="BU157" s="1683">
        <v>366.99</v>
      </c>
      <c r="BV157" s="1683">
        <v>0</v>
      </c>
      <c r="BW157" s="1683">
        <v>0</v>
      </c>
      <c r="BX157" s="1683">
        <v>0</v>
      </c>
      <c r="BY157" s="1683">
        <v>0</v>
      </c>
      <c r="BZ157" s="1683">
        <v>0</v>
      </c>
      <c r="CA157" s="1400"/>
      <c r="CB157" s="1682"/>
      <c r="CC157" s="1682"/>
      <c r="CD157" s="1400"/>
      <c r="CE157" s="1400"/>
      <c r="CF157" s="1683">
        <v>0</v>
      </c>
      <c r="CG157" s="1683">
        <v>0</v>
      </c>
      <c r="CH157" s="1683">
        <v>0</v>
      </c>
      <c r="CI157" s="1683">
        <v>0</v>
      </c>
      <c r="CJ157" s="1683">
        <v>26.62</v>
      </c>
      <c r="CK157" s="1683">
        <v>26.62</v>
      </c>
      <c r="CL157" s="1682"/>
      <c r="CM157" s="1683">
        <v>0</v>
      </c>
      <c r="CN157" s="1683">
        <v>0</v>
      </c>
      <c r="CO157" s="1683">
        <v>0</v>
      </c>
      <c r="CP157" s="1683">
        <v>0</v>
      </c>
      <c r="CQ157" s="1683">
        <v>0</v>
      </c>
      <c r="CR157" s="1683">
        <v>0</v>
      </c>
      <c r="CS157" s="1683">
        <v>0</v>
      </c>
      <c r="CT157" s="1683">
        <v>0</v>
      </c>
      <c r="CU157" s="1683">
        <v>0</v>
      </c>
      <c r="CV157" s="1683">
        <v>0</v>
      </c>
      <c r="CW157" s="1682"/>
      <c r="CX157" s="1400"/>
      <c r="CY157" s="1400"/>
      <c r="CZ157" s="1400"/>
      <c r="DA157" s="1400"/>
      <c r="DB157" s="1682"/>
      <c r="DC157" s="1326"/>
      <c r="DD157" s="1683">
        <v>0</v>
      </c>
      <c r="DE157" s="1400"/>
      <c r="DF157" s="1400"/>
      <c r="DG157" s="1683">
        <v>0</v>
      </c>
      <c r="DH157" s="1683">
        <v>0</v>
      </c>
    </row>
    <row r="158" spans="1:112" ht="45">
      <c r="A158" s="1326" t="s">
        <v>2158</v>
      </c>
      <c r="B158" s="1326" t="s">
        <v>1694</v>
      </c>
      <c r="C158" s="1326" t="s">
        <v>2551</v>
      </c>
      <c r="D158" s="1326" t="s">
        <v>2552</v>
      </c>
      <c r="E158" s="1326" t="s">
        <v>182</v>
      </c>
      <c r="F158" s="1326" t="s">
        <v>2555</v>
      </c>
      <c r="G158" s="1326" t="s">
        <v>2556</v>
      </c>
      <c r="H158" s="1326" t="s">
        <v>2541</v>
      </c>
      <c r="I158" s="1326" t="s">
        <v>1592</v>
      </c>
      <c r="J158" s="1326" t="s">
        <v>2918</v>
      </c>
      <c r="K158" s="1326" t="s">
        <v>2069</v>
      </c>
      <c r="L158" s="1326" t="s">
        <v>2061</v>
      </c>
      <c r="M158" s="1400"/>
      <c r="N158" s="1400"/>
      <c r="O158" s="1400"/>
      <c r="P158" s="1400"/>
      <c r="Q158" s="1400"/>
      <c r="R158" s="1400"/>
      <c r="S158" s="1400"/>
      <c r="T158" s="1400"/>
      <c r="U158" s="1400"/>
      <c r="V158" s="1400"/>
      <c r="W158" s="1400"/>
      <c r="X158" s="1400"/>
      <c r="Y158" s="1685">
        <v>43418</v>
      </c>
      <c r="Z158" s="1326" t="s">
        <v>2062</v>
      </c>
      <c r="AA158" s="1683">
        <v>0</v>
      </c>
      <c r="AB158" s="1683">
        <v>0</v>
      </c>
      <c r="AC158" s="1683">
        <v>0</v>
      </c>
      <c r="AD158" s="1685">
        <v>43433</v>
      </c>
      <c r="AE158" s="1326" t="s">
        <v>2063</v>
      </c>
      <c r="AF158" s="1326" t="s">
        <v>2067</v>
      </c>
      <c r="AG158" s="1410"/>
      <c r="AH158" s="1683">
        <v>9725.31</v>
      </c>
      <c r="AI158" s="1683">
        <v>9725.31</v>
      </c>
      <c r="AJ158" s="1683">
        <v>8163.66</v>
      </c>
      <c r="AK158" s="1683">
        <v>8163.66</v>
      </c>
      <c r="AL158" s="1683">
        <v>0</v>
      </c>
      <c r="AM158" s="1685">
        <v>43434</v>
      </c>
      <c r="AN158" s="1683">
        <v>9725.31</v>
      </c>
      <c r="AO158" s="1683">
        <v>9725.31</v>
      </c>
      <c r="AP158" s="1683">
        <v>8266.51</v>
      </c>
      <c r="AQ158" s="1683">
        <v>8266.51</v>
      </c>
      <c r="AR158" s="1683">
        <v>0</v>
      </c>
      <c r="AS158" s="1683">
        <v>1458.8</v>
      </c>
      <c r="AT158" s="1683">
        <v>0</v>
      </c>
      <c r="AU158" s="1683">
        <v>1458.8</v>
      </c>
      <c r="AV158" s="1683">
        <v>0</v>
      </c>
      <c r="AW158" s="1683">
        <v>0</v>
      </c>
      <c r="AX158" s="1400"/>
      <c r="AY158" s="1400"/>
      <c r="AZ158" s="1400"/>
      <c r="BA158" s="1682"/>
      <c r="BB158" s="1682"/>
      <c r="BC158" s="1400"/>
      <c r="BD158" s="1400"/>
      <c r="BE158" s="1683">
        <v>9725.31</v>
      </c>
      <c r="BF158" s="1683">
        <v>9725.31</v>
      </c>
      <c r="BG158" s="1683">
        <v>8266.51</v>
      </c>
      <c r="BH158" s="1683">
        <v>8266.51</v>
      </c>
      <c r="BI158" s="1683">
        <v>0</v>
      </c>
      <c r="BJ158" s="1683">
        <v>1458.8</v>
      </c>
      <c r="BK158" s="1683">
        <v>0</v>
      </c>
      <c r="BL158" s="1683">
        <v>1458.8</v>
      </c>
      <c r="BM158" s="1683">
        <v>0</v>
      </c>
      <c r="BN158" s="1683">
        <v>0</v>
      </c>
      <c r="BO158" s="1685">
        <v>43453</v>
      </c>
      <c r="BP158" s="1683">
        <v>9725.31</v>
      </c>
      <c r="BQ158" s="1683">
        <v>9725.31</v>
      </c>
      <c r="BR158" s="1683">
        <v>8266.51</v>
      </c>
      <c r="BS158" s="1683">
        <v>8266.51</v>
      </c>
      <c r="BT158" s="1683">
        <v>0</v>
      </c>
      <c r="BU158" s="1683">
        <v>1458.8</v>
      </c>
      <c r="BV158" s="1683">
        <v>0</v>
      </c>
      <c r="BW158" s="1683">
        <v>0</v>
      </c>
      <c r="BX158" s="1683">
        <v>0</v>
      </c>
      <c r="BY158" s="1683">
        <v>0</v>
      </c>
      <c r="BZ158" s="1683">
        <v>0</v>
      </c>
      <c r="CA158" s="1400"/>
      <c r="CB158" s="1682"/>
      <c r="CC158" s="1682"/>
      <c r="CD158" s="1400"/>
      <c r="CE158" s="1400"/>
      <c r="CF158" s="1683">
        <v>0</v>
      </c>
      <c r="CG158" s="1683">
        <v>0</v>
      </c>
      <c r="CH158" s="1683">
        <v>0</v>
      </c>
      <c r="CI158" s="1683">
        <v>0</v>
      </c>
      <c r="CJ158" s="1683">
        <v>105.81</v>
      </c>
      <c r="CK158" s="1683">
        <v>105.81</v>
      </c>
      <c r="CL158" s="1682"/>
      <c r="CM158" s="1683">
        <v>0</v>
      </c>
      <c r="CN158" s="1683">
        <v>0</v>
      </c>
      <c r="CO158" s="1683">
        <v>0</v>
      </c>
      <c r="CP158" s="1683">
        <v>0</v>
      </c>
      <c r="CQ158" s="1683">
        <v>0</v>
      </c>
      <c r="CR158" s="1683">
        <v>0</v>
      </c>
      <c r="CS158" s="1683">
        <v>0</v>
      </c>
      <c r="CT158" s="1683">
        <v>0</v>
      </c>
      <c r="CU158" s="1683">
        <v>0</v>
      </c>
      <c r="CV158" s="1683">
        <v>0</v>
      </c>
      <c r="CW158" s="1682"/>
      <c r="CX158" s="1400"/>
      <c r="CY158" s="1400"/>
      <c r="CZ158" s="1400"/>
      <c r="DA158" s="1400"/>
      <c r="DB158" s="1682"/>
      <c r="DC158" s="1326"/>
      <c r="DD158" s="1683">
        <v>0</v>
      </c>
      <c r="DE158" s="1400"/>
      <c r="DF158" s="1400"/>
      <c r="DG158" s="1683">
        <v>0</v>
      </c>
      <c r="DH158" s="1683">
        <v>0</v>
      </c>
    </row>
    <row r="159" spans="1:112" ht="78.75">
      <c r="A159" s="1326" t="s">
        <v>2159</v>
      </c>
      <c r="B159" s="1326" t="s">
        <v>1694</v>
      </c>
      <c r="C159" s="1326" t="s">
        <v>2551</v>
      </c>
      <c r="D159" s="1326" t="s">
        <v>2552</v>
      </c>
      <c r="E159" s="1326" t="s">
        <v>182</v>
      </c>
      <c r="F159" s="1326" t="s">
        <v>2555</v>
      </c>
      <c r="G159" s="1326" t="s">
        <v>2556</v>
      </c>
      <c r="H159" s="1326" t="s">
        <v>2541</v>
      </c>
      <c r="I159" s="1326" t="s">
        <v>1593</v>
      </c>
      <c r="J159" s="1326" t="s">
        <v>389</v>
      </c>
      <c r="K159" s="1326" t="s">
        <v>2110</v>
      </c>
      <c r="L159" s="1326" t="s">
        <v>2061</v>
      </c>
      <c r="M159" s="1683">
        <v>297670.40999999997</v>
      </c>
      <c r="N159" s="1683">
        <v>0</v>
      </c>
      <c r="O159" s="1683">
        <v>297670.40999999997</v>
      </c>
      <c r="P159" s="1683">
        <v>297670.40999999997</v>
      </c>
      <c r="Q159" s="1683">
        <v>206056</v>
      </c>
      <c r="R159" s="1683">
        <v>206056</v>
      </c>
      <c r="S159" s="1683">
        <v>0</v>
      </c>
      <c r="T159" s="1683">
        <v>91614.41</v>
      </c>
      <c r="U159" s="1683">
        <v>0</v>
      </c>
      <c r="V159" s="1683">
        <v>91614.41</v>
      </c>
      <c r="W159" s="1683">
        <v>0</v>
      </c>
      <c r="X159" s="1683">
        <v>0</v>
      </c>
      <c r="Y159" s="1682"/>
      <c r="Z159" s="1326"/>
      <c r="AA159" s="1683">
        <v>0</v>
      </c>
      <c r="AB159" s="1683">
        <v>0</v>
      </c>
      <c r="AC159" s="1683">
        <v>0</v>
      </c>
      <c r="AD159" s="1682"/>
      <c r="AE159" s="1326"/>
      <c r="AF159" s="1326"/>
      <c r="AG159" s="1410"/>
      <c r="AH159" s="1683">
        <v>10587.62</v>
      </c>
      <c r="AI159" s="1683">
        <v>10587.62</v>
      </c>
      <c r="AJ159" s="1683">
        <v>7329.05</v>
      </c>
      <c r="AK159" s="1683">
        <v>7329.05</v>
      </c>
      <c r="AL159" s="1683">
        <v>0</v>
      </c>
      <c r="AM159" s="1682"/>
      <c r="AN159" s="1683">
        <v>10587.62</v>
      </c>
      <c r="AO159" s="1683">
        <v>10587.62</v>
      </c>
      <c r="AP159" s="1683">
        <v>7329.05</v>
      </c>
      <c r="AQ159" s="1683">
        <v>7329.05</v>
      </c>
      <c r="AR159" s="1683">
        <v>0</v>
      </c>
      <c r="AS159" s="1683">
        <v>3258.57</v>
      </c>
      <c r="AT159" s="1683">
        <v>0</v>
      </c>
      <c r="AU159" s="1683">
        <v>3258.57</v>
      </c>
      <c r="AV159" s="1683">
        <v>0</v>
      </c>
      <c r="AW159" s="1683">
        <v>0</v>
      </c>
      <c r="AX159" s="1683">
        <v>0</v>
      </c>
      <c r="AY159" s="1683">
        <v>0</v>
      </c>
      <c r="AZ159" s="1683">
        <v>0</v>
      </c>
      <c r="BA159" s="1682"/>
      <c r="BB159" s="1682"/>
      <c r="BC159" s="1683">
        <v>0</v>
      </c>
      <c r="BD159" s="1683">
        <v>0</v>
      </c>
      <c r="BE159" s="1683">
        <v>10587.62</v>
      </c>
      <c r="BF159" s="1683">
        <v>10587.62</v>
      </c>
      <c r="BG159" s="1683">
        <v>7329.05</v>
      </c>
      <c r="BH159" s="1683">
        <v>7329.05</v>
      </c>
      <c r="BI159" s="1683">
        <v>0</v>
      </c>
      <c r="BJ159" s="1683">
        <v>3258.57</v>
      </c>
      <c r="BK159" s="1683">
        <v>0</v>
      </c>
      <c r="BL159" s="1683">
        <v>3258.57</v>
      </c>
      <c r="BM159" s="1683">
        <v>0</v>
      </c>
      <c r="BN159" s="1683">
        <v>0</v>
      </c>
      <c r="BO159" s="1682"/>
      <c r="BP159" s="1683">
        <v>10587.62</v>
      </c>
      <c r="BQ159" s="1683">
        <v>10587.62</v>
      </c>
      <c r="BR159" s="1683">
        <v>7329.05</v>
      </c>
      <c r="BS159" s="1683">
        <v>7329.05</v>
      </c>
      <c r="BT159" s="1683">
        <v>0</v>
      </c>
      <c r="BU159" s="1683">
        <v>3258.57</v>
      </c>
      <c r="BV159" s="1683">
        <v>0</v>
      </c>
      <c r="BW159" s="1683">
        <v>0</v>
      </c>
      <c r="BX159" s="1683">
        <v>0</v>
      </c>
      <c r="BY159" s="1683">
        <v>0</v>
      </c>
      <c r="BZ159" s="1683">
        <v>0</v>
      </c>
      <c r="CA159" s="1683">
        <v>0</v>
      </c>
      <c r="CB159" s="1682"/>
      <c r="CC159" s="1682"/>
      <c r="CD159" s="1683">
        <v>0</v>
      </c>
      <c r="CE159" s="1683">
        <v>0</v>
      </c>
      <c r="CF159" s="1683">
        <v>0</v>
      </c>
      <c r="CG159" s="1683">
        <v>0</v>
      </c>
      <c r="CH159" s="1683">
        <v>0</v>
      </c>
      <c r="CI159" s="1683">
        <v>0</v>
      </c>
      <c r="CJ159" s="1683">
        <v>0</v>
      </c>
      <c r="CK159" s="1683">
        <v>0</v>
      </c>
      <c r="CL159" s="1682"/>
      <c r="CM159" s="1683">
        <v>0</v>
      </c>
      <c r="CN159" s="1683">
        <v>0</v>
      </c>
      <c r="CO159" s="1683">
        <v>0</v>
      </c>
      <c r="CP159" s="1683">
        <v>0</v>
      </c>
      <c r="CQ159" s="1683">
        <v>0</v>
      </c>
      <c r="CR159" s="1683">
        <v>0</v>
      </c>
      <c r="CS159" s="1683">
        <v>0</v>
      </c>
      <c r="CT159" s="1683">
        <v>0</v>
      </c>
      <c r="CU159" s="1683">
        <v>0</v>
      </c>
      <c r="CV159" s="1683">
        <v>0</v>
      </c>
      <c r="CW159" s="1682"/>
      <c r="CX159" s="1683">
        <v>0</v>
      </c>
      <c r="CY159" s="1683">
        <v>0</v>
      </c>
      <c r="CZ159" s="1683">
        <v>0</v>
      </c>
      <c r="DA159" s="1683">
        <v>0</v>
      </c>
      <c r="DB159" s="1682"/>
      <c r="DC159" s="1326"/>
      <c r="DD159" s="1683">
        <v>0</v>
      </c>
      <c r="DE159" s="1683">
        <v>0</v>
      </c>
      <c r="DF159" s="1683">
        <v>0</v>
      </c>
      <c r="DG159" s="1683">
        <v>0</v>
      </c>
      <c r="DH159" s="1683">
        <v>0</v>
      </c>
    </row>
    <row r="160" spans="1:112" ht="78.75">
      <c r="A160" s="1326" t="s">
        <v>2161</v>
      </c>
      <c r="B160" s="1326" t="s">
        <v>1694</v>
      </c>
      <c r="C160" s="1326" t="s">
        <v>2551</v>
      </c>
      <c r="D160" s="1326" t="s">
        <v>2552</v>
      </c>
      <c r="E160" s="1326" t="s">
        <v>182</v>
      </c>
      <c r="F160" s="1326" t="s">
        <v>2555</v>
      </c>
      <c r="G160" s="1326" t="s">
        <v>2556</v>
      </c>
      <c r="H160" s="1326" t="s">
        <v>2541</v>
      </c>
      <c r="I160" s="1326" t="s">
        <v>1593</v>
      </c>
      <c r="J160" s="1326" t="s">
        <v>389</v>
      </c>
      <c r="K160" s="1326" t="s">
        <v>2110</v>
      </c>
      <c r="L160" s="1326" t="s">
        <v>2061</v>
      </c>
      <c r="M160" s="1400"/>
      <c r="N160" s="1400"/>
      <c r="O160" s="1400"/>
      <c r="P160" s="1400"/>
      <c r="Q160" s="1400"/>
      <c r="R160" s="1400"/>
      <c r="S160" s="1400"/>
      <c r="T160" s="1400"/>
      <c r="U160" s="1400"/>
      <c r="V160" s="1400"/>
      <c r="W160" s="1400"/>
      <c r="X160" s="1400"/>
      <c r="Y160" s="1685">
        <v>43318</v>
      </c>
      <c r="Z160" s="1326" t="s">
        <v>2062</v>
      </c>
      <c r="AA160" s="1683">
        <v>0</v>
      </c>
      <c r="AB160" s="1683">
        <v>0</v>
      </c>
      <c r="AC160" s="1683">
        <v>0</v>
      </c>
      <c r="AD160" s="1685">
        <v>43335</v>
      </c>
      <c r="AE160" s="1326" t="s">
        <v>2073</v>
      </c>
      <c r="AF160" s="1326" t="s">
        <v>2064</v>
      </c>
      <c r="AG160" s="1410"/>
      <c r="AH160" s="1683">
        <v>10587.62</v>
      </c>
      <c r="AI160" s="1683">
        <v>10587.62</v>
      </c>
      <c r="AJ160" s="1683">
        <v>7329.05</v>
      </c>
      <c r="AK160" s="1683">
        <v>7329.05</v>
      </c>
      <c r="AL160" s="1683">
        <v>0</v>
      </c>
      <c r="AM160" s="1685">
        <v>43335</v>
      </c>
      <c r="AN160" s="1683">
        <v>10587.62</v>
      </c>
      <c r="AO160" s="1683">
        <v>10587.62</v>
      </c>
      <c r="AP160" s="1683">
        <v>7329.05</v>
      </c>
      <c r="AQ160" s="1683">
        <v>7329.05</v>
      </c>
      <c r="AR160" s="1683">
        <v>0</v>
      </c>
      <c r="AS160" s="1683">
        <v>3258.57</v>
      </c>
      <c r="AT160" s="1683">
        <v>0</v>
      </c>
      <c r="AU160" s="1683">
        <v>3258.57</v>
      </c>
      <c r="AV160" s="1683">
        <v>0</v>
      </c>
      <c r="AW160" s="1683">
        <v>0</v>
      </c>
      <c r="AX160" s="1400"/>
      <c r="AY160" s="1400"/>
      <c r="AZ160" s="1400"/>
      <c r="BA160" s="1682"/>
      <c r="BB160" s="1682"/>
      <c r="BC160" s="1400"/>
      <c r="BD160" s="1400"/>
      <c r="BE160" s="1683">
        <v>10587.62</v>
      </c>
      <c r="BF160" s="1683">
        <v>10587.62</v>
      </c>
      <c r="BG160" s="1683">
        <v>7329.05</v>
      </c>
      <c r="BH160" s="1683">
        <v>7329.05</v>
      </c>
      <c r="BI160" s="1683">
        <v>0</v>
      </c>
      <c r="BJ160" s="1683">
        <v>3258.57</v>
      </c>
      <c r="BK160" s="1683">
        <v>0</v>
      </c>
      <c r="BL160" s="1683">
        <v>3258.57</v>
      </c>
      <c r="BM160" s="1683">
        <v>0</v>
      </c>
      <c r="BN160" s="1683">
        <v>0</v>
      </c>
      <c r="BO160" s="1685">
        <v>43403</v>
      </c>
      <c r="BP160" s="1683">
        <v>10587.62</v>
      </c>
      <c r="BQ160" s="1683">
        <v>10587.62</v>
      </c>
      <c r="BR160" s="1683">
        <v>7329.05</v>
      </c>
      <c r="BS160" s="1683">
        <v>7329.05</v>
      </c>
      <c r="BT160" s="1683">
        <v>0</v>
      </c>
      <c r="BU160" s="1683">
        <v>3258.57</v>
      </c>
      <c r="BV160" s="1683">
        <v>0</v>
      </c>
      <c r="BW160" s="1683">
        <v>0</v>
      </c>
      <c r="BX160" s="1683">
        <v>0</v>
      </c>
      <c r="BY160" s="1683">
        <v>0</v>
      </c>
      <c r="BZ160" s="1683">
        <v>0</v>
      </c>
      <c r="CA160" s="1400"/>
      <c r="CB160" s="1682"/>
      <c r="CC160" s="1682"/>
      <c r="CD160" s="1400"/>
      <c r="CE160" s="1400"/>
      <c r="CF160" s="1683">
        <v>0</v>
      </c>
      <c r="CG160" s="1683">
        <v>0</v>
      </c>
      <c r="CH160" s="1683">
        <v>0</v>
      </c>
      <c r="CI160" s="1683">
        <v>0</v>
      </c>
      <c r="CJ160" s="1683">
        <v>0</v>
      </c>
      <c r="CK160" s="1683">
        <v>0</v>
      </c>
      <c r="CL160" s="1682"/>
      <c r="CM160" s="1683">
        <v>0</v>
      </c>
      <c r="CN160" s="1683">
        <v>0</v>
      </c>
      <c r="CO160" s="1683">
        <v>0</v>
      </c>
      <c r="CP160" s="1683">
        <v>0</v>
      </c>
      <c r="CQ160" s="1683">
        <v>0</v>
      </c>
      <c r="CR160" s="1683">
        <v>0</v>
      </c>
      <c r="CS160" s="1683">
        <v>0</v>
      </c>
      <c r="CT160" s="1683">
        <v>0</v>
      </c>
      <c r="CU160" s="1683">
        <v>0</v>
      </c>
      <c r="CV160" s="1683">
        <v>0</v>
      </c>
      <c r="CW160" s="1682"/>
      <c r="CX160" s="1400"/>
      <c r="CY160" s="1400"/>
      <c r="CZ160" s="1400"/>
      <c r="DA160" s="1400"/>
      <c r="DB160" s="1682"/>
      <c r="DC160" s="1326"/>
      <c r="DD160" s="1683">
        <v>0</v>
      </c>
      <c r="DE160" s="1400"/>
      <c r="DF160" s="1400"/>
      <c r="DG160" s="1683">
        <v>0</v>
      </c>
      <c r="DH160" s="1683">
        <v>0</v>
      </c>
    </row>
    <row r="161" spans="1:112" ht="67.5">
      <c r="A161" s="1326" t="s">
        <v>2162</v>
      </c>
      <c r="B161" s="1326" t="s">
        <v>1694</v>
      </c>
      <c r="C161" s="1326" t="s">
        <v>2551</v>
      </c>
      <c r="D161" s="1326" t="s">
        <v>2552</v>
      </c>
      <c r="E161" s="1326" t="s">
        <v>182</v>
      </c>
      <c r="F161" s="1326" t="s">
        <v>2555</v>
      </c>
      <c r="G161" s="1326" t="s">
        <v>2556</v>
      </c>
      <c r="H161" s="1326" t="s">
        <v>2541</v>
      </c>
      <c r="I161" s="1326" t="s">
        <v>1596</v>
      </c>
      <c r="J161" s="1326" t="s">
        <v>2936</v>
      </c>
      <c r="K161" s="1326" t="s">
        <v>2071</v>
      </c>
      <c r="L161" s="1326" t="s">
        <v>2061</v>
      </c>
      <c r="M161" s="1683">
        <v>444560.16</v>
      </c>
      <c r="N161" s="1683">
        <v>0</v>
      </c>
      <c r="O161" s="1683">
        <v>444560.16</v>
      </c>
      <c r="P161" s="1683">
        <v>444560.16</v>
      </c>
      <c r="Q161" s="1683">
        <v>206056</v>
      </c>
      <c r="R161" s="1683">
        <v>206056</v>
      </c>
      <c r="S161" s="1683">
        <v>0</v>
      </c>
      <c r="T161" s="1683">
        <v>238504.16</v>
      </c>
      <c r="U161" s="1683">
        <v>0</v>
      </c>
      <c r="V161" s="1683">
        <v>238504.16</v>
      </c>
      <c r="W161" s="1683">
        <v>0</v>
      </c>
      <c r="X161" s="1683">
        <v>0</v>
      </c>
      <c r="Y161" s="1682"/>
      <c r="Z161" s="1326"/>
      <c r="AA161" s="1683">
        <v>0</v>
      </c>
      <c r="AB161" s="1683">
        <v>0</v>
      </c>
      <c r="AC161" s="1683">
        <v>0</v>
      </c>
      <c r="AD161" s="1682"/>
      <c r="AE161" s="1326"/>
      <c r="AF161" s="1326"/>
      <c r="AG161" s="1410"/>
      <c r="AH161" s="1683">
        <v>0</v>
      </c>
      <c r="AI161" s="1683">
        <v>12222</v>
      </c>
      <c r="AJ161" s="1683">
        <v>12222</v>
      </c>
      <c r="AK161" s="1683">
        <v>12222</v>
      </c>
      <c r="AL161" s="1683">
        <v>0</v>
      </c>
      <c r="AM161" s="1682"/>
      <c r="AN161" s="1683">
        <v>0</v>
      </c>
      <c r="AO161" s="1683">
        <v>0</v>
      </c>
      <c r="AP161" s="1683">
        <v>0</v>
      </c>
      <c r="AQ161" s="1683">
        <v>0</v>
      </c>
      <c r="AR161" s="1683">
        <v>0</v>
      </c>
      <c r="AS161" s="1683">
        <v>0</v>
      </c>
      <c r="AT161" s="1683">
        <v>0</v>
      </c>
      <c r="AU161" s="1683">
        <v>0</v>
      </c>
      <c r="AV161" s="1683">
        <v>0</v>
      </c>
      <c r="AW161" s="1683">
        <v>0</v>
      </c>
      <c r="AX161" s="1683">
        <v>0</v>
      </c>
      <c r="AY161" s="1683">
        <v>0</v>
      </c>
      <c r="AZ161" s="1683">
        <v>0</v>
      </c>
      <c r="BA161" s="1682"/>
      <c r="BB161" s="1682"/>
      <c r="BC161" s="1683">
        <v>0</v>
      </c>
      <c r="BD161" s="1683">
        <v>0</v>
      </c>
      <c r="BE161" s="1683">
        <v>0</v>
      </c>
      <c r="BF161" s="1683">
        <v>0</v>
      </c>
      <c r="BG161" s="1683">
        <v>0</v>
      </c>
      <c r="BH161" s="1683">
        <v>0</v>
      </c>
      <c r="BI161" s="1683">
        <v>0</v>
      </c>
      <c r="BJ161" s="1683">
        <v>0</v>
      </c>
      <c r="BK161" s="1683">
        <v>0</v>
      </c>
      <c r="BL161" s="1683">
        <v>0</v>
      </c>
      <c r="BM161" s="1683">
        <v>0</v>
      </c>
      <c r="BN161" s="1683">
        <v>0</v>
      </c>
      <c r="BO161" s="1682"/>
      <c r="BP161" s="1683">
        <v>0</v>
      </c>
      <c r="BQ161" s="1683">
        <v>0</v>
      </c>
      <c r="BR161" s="1683">
        <v>0</v>
      </c>
      <c r="BS161" s="1683">
        <v>0</v>
      </c>
      <c r="BT161" s="1683">
        <v>0</v>
      </c>
      <c r="BU161" s="1683">
        <v>0</v>
      </c>
      <c r="BV161" s="1683">
        <v>0</v>
      </c>
      <c r="BW161" s="1683">
        <v>0</v>
      </c>
      <c r="BX161" s="1683">
        <v>0</v>
      </c>
      <c r="BY161" s="1683">
        <v>0</v>
      </c>
      <c r="BZ161" s="1400"/>
      <c r="CA161" s="1683">
        <v>0</v>
      </c>
      <c r="CB161" s="1682"/>
      <c r="CC161" s="1682"/>
      <c r="CD161" s="1683">
        <v>0</v>
      </c>
      <c r="CE161" s="1683">
        <v>0</v>
      </c>
      <c r="CF161" s="1683">
        <v>0</v>
      </c>
      <c r="CG161" s="1683">
        <v>0</v>
      </c>
      <c r="CH161" s="1683">
        <v>0</v>
      </c>
      <c r="CI161" s="1683">
        <v>0</v>
      </c>
      <c r="CJ161" s="1683">
        <v>0</v>
      </c>
      <c r="CK161" s="1683">
        <v>0</v>
      </c>
      <c r="CL161" s="1682"/>
      <c r="CM161" s="1683">
        <v>0</v>
      </c>
      <c r="CN161" s="1683">
        <v>0</v>
      </c>
      <c r="CO161" s="1683">
        <v>0</v>
      </c>
      <c r="CP161" s="1683">
        <v>0</v>
      </c>
      <c r="CQ161" s="1683">
        <v>0</v>
      </c>
      <c r="CR161" s="1683">
        <v>0</v>
      </c>
      <c r="CS161" s="1683">
        <v>0</v>
      </c>
      <c r="CT161" s="1683">
        <v>0</v>
      </c>
      <c r="CU161" s="1683">
        <v>0</v>
      </c>
      <c r="CV161" s="1683">
        <v>0</v>
      </c>
      <c r="CW161" s="1682"/>
      <c r="CX161" s="1683">
        <v>0</v>
      </c>
      <c r="CY161" s="1683">
        <v>0</v>
      </c>
      <c r="CZ161" s="1683">
        <v>0</v>
      </c>
      <c r="DA161" s="1683">
        <v>0</v>
      </c>
      <c r="DB161" s="1682"/>
      <c r="DC161" s="1326"/>
      <c r="DD161" s="1683">
        <v>0</v>
      </c>
      <c r="DE161" s="1683">
        <v>0</v>
      </c>
      <c r="DF161" s="1683">
        <v>0</v>
      </c>
      <c r="DG161" s="1683">
        <v>0</v>
      </c>
      <c r="DH161" s="1683">
        <v>0</v>
      </c>
    </row>
    <row r="162" spans="1:112" ht="67.5">
      <c r="A162" s="1326" t="s">
        <v>2163</v>
      </c>
      <c r="B162" s="1326" t="s">
        <v>1694</v>
      </c>
      <c r="C162" s="1326" t="s">
        <v>2551</v>
      </c>
      <c r="D162" s="1326" t="s">
        <v>2552</v>
      </c>
      <c r="E162" s="1326" t="s">
        <v>182</v>
      </c>
      <c r="F162" s="1326" t="s">
        <v>2555</v>
      </c>
      <c r="G162" s="1326" t="s">
        <v>2556</v>
      </c>
      <c r="H162" s="1326" t="s">
        <v>2541</v>
      </c>
      <c r="I162" s="1326" t="s">
        <v>1596</v>
      </c>
      <c r="J162" s="1326" t="s">
        <v>2936</v>
      </c>
      <c r="K162" s="1326" t="s">
        <v>2071</v>
      </c>
      <c r="L162" s="1326" t="s">
        <v>2061</v>
      </c>
      <c r="M162" s="1400"/>
      <c r="N162" s="1400"/>
      <c r="O162" s="1400"/>
      <c r="P162" s="1400"/>
      <c r="Q162" s="1400"/>
      <c r="R162" s="1400"/>
      <c r="S162" s="1400"/>
      <c r="T162" s="1400"/>
      <c r="U162" s="1400"/>
      <c r="V162" s="1400"/>
      <c r="W162" s="1400"/>
      <c r="X162" s="1400"/>
      <c r="Y162" s="1685">
        <v>43483</v>
      </c>
      <c r="Z162" s="1326" t="s">
        <v>2096</v>
      </c>
      <c r="AA162" s="1683">
        <v>0</v>
      </c>
      <c r="AB162" s="1683">
        <v>0</v>
      </c>
      <c r="AC162" s="1683">
        <v>0</v>
      </c>
      <c r="AD162" s="1685">
        <v>43504</v>
      </c>
      <c r="AE162" s="1326" t="s">
        <v>2066</v>
      </c>
      <c r="AF162" s="1326" t="s">
        <v>2064</v>
      </c>
      <c r="AG162" s="1410"/>
      <c r="AH162" s="1683">
        <v>0</v>
      </c>
      <c r="AI162" s="1683">
        <v>12222</v>
      </c>
      <c r="AJ162" s="1683">
        <v>12222</v>
      </c>
      <c r="AK162" s="1683">
        <v>12222</v>
      </c>
      <c r="AL162" s="1683">
        <v>0</v>
      </c>
      <c r="AM162" s="1682"/>
      <c r="AN162" s="1683">
        <v>0</v>
      </c>
      <c r="AO162" s="1683">
        <v>0</v>
      </c>
      <c r="AP162" s="1683">
        <v>0</v>
      </c>
      <c r="AQ162" s="1683">
        <v>0</v>
      </c>
      <c r="AR162" s="1683">
        <v>0</v>
      </c>
      <c r="AS162" s="1683">
        <v>0</v>
      </c>
      <c r="AT162" s="1683">
        <v>0</v>
      </c>
      <c r="AU162" s="1683">
        <v>0</v>
      </c>
      <c r="AV162" s="1683">
        <v>0</v>
      </c>
      <c r="AW162" s="1683">
        <v>0</v>
      </c>
      <c r="AX162" s="1400"/>
      <c r="AY162" s="1400"/>
      <c r="AZ162" s="1400"/>
      <c r="BA162" s="1682"/>
      <c r="BB162" s="1682"/>
      <c r="BC162" s="1400"/>
      <c r="BD162" s="1400"/>
      <c r="BE162" s="1683">
        <v>0</v>
      </c>
      <c r="BF162" s="1683">
        <v>0</v>
      </c>
      <c r="BG162" s="1683">
        <v>0</v>
      </c>
      <c r="BH162" s="1683">
        <v>0</v>
      </c>
      <c r="BI162" s="1683">
        <v>0</v>
      </c>
      <c r="BJ162" s="1683">
        <v>0</v>
      </c>
      <c r="BK162" s="1683">
        <v>0</v>
      </c>
      <c r="BL162" s="1683">
        <v>0</v>
      </c>
      <c r="BM162" s="1683">
        <v>0</v>
      </c>
      <c r="BN162" s="1683">
        <v>0</v>
      </c>
      <c r="BO162" s="1682"/>
      <c r="BP162" s="1683">
        <v>0</v>
      </c>
      <c r="BQ162" s="1683">
        <v>0</v>
      </c>
      <c r="BR162" s="1683">
        <v>0</v>
      </c>
      <c r="BS162" s="1683">
        <v>0</v>
      </c>
      <c r="BT162" s="1683">
        <v>0</v>
      </c>
      <c r="BU162" s="1683">
        <v>0</v>
      </c>
      <c r="BV162" s="1683">
        <v>0</v>
      </c>
      <c r="BW162" s="1683">
        <v>0</v>
      </c>
      <c r="BX162" s="1683">
        <v>0</v>
      </c>
      <c r="BY162" s="1683">
        <v>0</v>
      </c>
      <c r="BZ162" s="1400"/>
      <c r="CA162" s="1400"/>
      <c r="CB162" s="1682"/>
      <c r="CC162" s="1682"/>
      <c r="CD162" s="1400"/>
      <c r="CE162" s="1400"/>
      <c r="CF162" s="1683">
        <v>0</v>
      </c>
      <c r="CG162" s="1683">
        <v>0</v>
      </c>
      <c r="CH162" s="1683">
        <v>0</v>
      </c>
      <c r="CI162" s="1683">
        <v>0</v>
      </c>
      <c r="CJ162" s="1683">
        <v>0</v>
      </c>
      <c r="CK162" s="1683">
        <v>0</v>
      </c>
      <c r="CL162" s="1682"/>
      <c r="CM162" s="1683">
        <v>0</v>
      </c>
      <c r="CN162" s="1683">
        <v>0</v>
      </c>
      <c r="CO162" s="1683">
        <v>0</v>
      </c>
      <c r="CP162" s="1683">
        <v>0</v>
      </c>
      <c r="CQ162" s="1683">
        <v>0</v>
      </c>
      <c r="CR162" s="1683">
        <v>0</v>
      </c>
      <c r="CS162" s="1683">
        <v>0</v>
      </c>
      <c r="CT162" s="1683">
        <v>0</v>
      </c>
      <c r="CU162" s="1683">
        <v>0</v>
      </c>
      <c r="CV162" s="1683">
        <v>0</v>
      </c>
      <c r="CW162" s="1682"/>
      <c r="CX162" s="1400"/>
      <c r="CY162" s="1400"/>
      <c r="CZ162" s="1400"/>
      <c r="DA162" s="1400"/>
      <c r="DB162" s="1682"/>
      <c r="DC162" s="1326"/>
      <c r="DD162" s="1683">
        <v>0</v>
      </c>
      <c r="DE162" s="1400"/>
      <c r="DF162" s="1400"/>
      <c r="DG162" s="1683">
        <v>0</v>
      </c>
      <c r="DH162" s="1683">
        <v>0</v>
      </c>
    </row>
    <row r="163" spans="1:112" ht="56.25">
      <c r="A163" s="1326" t="s">
        <v>2164</v>
      </c>
      <c r="B163" s="1326" t="s">
        <v>1694</v>
      </c>
      <c r="C163" s="1326" t="s">
        <v>2551</v>
      </c>
      <c r="D163" s="1326" t="s">
        <v>2552</v>
      </c>
      <c r="E163" s="1326" t="s">
        <v>182</v>
      </c>
      <c r="F163" s="1326" t="s">
        <v>2555</v>
      </c>
      <c r="G163" s="1326" t="s">
        <v>2556</v>
      </c>
      <c r="H163" s="1326" t="s">
        <v>2541</v>
      </c>
      <c r="I163" s="1326" t="s">
        <v>1595</v>
      </c>
      <c r="J163" s="1326" t="s">
        <v>641</v>
      </c>
      <c r="K163" s="1326" t="s">
        <v>2060</v>
      </c>
      <c r="L163" s="1326" t="s">
        <v>2061</v>
      </c>
      <c r="M163" s="1683">
        <v>204605.56</v>
      </c>
      <c r="N163" s="1683">
        <v>0</v>
      </c>
      <c r="O163" s="1683">
        <v>204605.56</v>
      </c>
      <c r="P163" s="1683">
        <v>204605.56</v>
      </c>
      <c r="Q163" s="1683">
        <v>173914.72</v>
      </c>
      <c r="R163" s="1683">
        <v>173914.72</v>
      </c>
      <c r="S163" s="1683">
        <v>0</v>
      </c>
      <c r="T163" s="1683">
        <v>30690.84</v>
      </c>
      <c r="U163" s="1683">
        <v>0</v>
      </c>
      <c r="V163" s="1683">
        <v>30690.84</v>
      </c>
      <c r="W163" s="1683">
        <v>0</v>
      </c>
      <c r="X163" s="1683">
        <v>0</v>
      </c>
      <c r="Y163" s="1682"/>
      <c r="Z163" s="1326"/>
      <c r="AA163" s="1683">
        <v>0</v>
      </c>
      <c r="AB163" s="1683">
        <v>0</v>
      </c>
      <c r="AC163" s="1683">
        <v>0</v>
      </c>
      <c r="AD163" s="1682"/>
      <c r="AE163" s="1326"/>
      <c r="AF163" s="1326"/>
      <c r="AG163" s="1410"/>
      <c r="AH163" s="1683">
        <v>16848.54</v>
      </c>
      <c r="AI163" s="1683">
        <v>16848.54</v>
      </c>
      <c r="AJ163" s="1683">
        <v>14321.26</v>
      </c>
      <c r="AK163" s="1683">
        <v>14321.26</v>
      </c>
      <c r="AL163" s="1683">
        <v>0</v>
      </c>
      <c r="AM163" s="1682"/>
      <c r="AN163" s="1683">
        <v>16848.54</v>
      </c>
      <c r="AO163" s="1683">
        <v>16848.54</v>
      </c>
      <c r="AP163" s="1683">
        <v>14321.26</v>
      </c>
      <c r="AQ163" s="1683">
        <v>14321.26</v>
      </c>
      <c r="AR163" s="1683">
        <v>0</v>
      </c>
      <c r="AS163" s="1683">
        <v>2527.2800000000002</v>
      </c>
      <c r="AT163" s="1683">
        <v>0</v>
      </c>
      <c r="AU163" s="1683">
        <v>2527.2800000000002</v>
      </c>
      <c r="AV163" s="1683">
        <v>0</v>
      </c>
      <c r="AW163" s="1683">
        <v>0</v>
      </c>
      <c r="AX163" s="1683">
        <v>0</v>
      </c>
      <c r="AY163" s="1683">
        <v>0</v>
      </c>
      <c r="AZ163" s="1683">
        <v>0</v>
      </c>
      <c r="BA163" s="1682"/>
      <c r="BB163" s="1682"/>
      <c r="BC163" s="1683">
        <v>0</v>
      </c>
      <c r="BD163" s="1683">
        <v>0</v>
      </c>
      <c r="BE163" s="1683">
        <v>16848.54</v>
      </c>
      <c r="BF163" s="1683">
        <v>16848.54</v>
      </c>
      <c r="BG163" s="1683">
        <v>14321.26</v>
      </c>
      <c r="BH163" s="1683">
        <v>14321.26</v>
      </c>
      <c r="BI163" s="1683">
        <v>0</v>
      </c>
      <c r="BJ163" s="1683">
        <v>2527.2800000000002</v>
      </c>
      <c r="BK163" s="1683">
        <v>0</v>
      </c>
      <c r="BL163" s="1683">
        <v>2527.2800000000002</v>
      </c>
      <c r="BM163" s="1683">
        <v>0</v>
      </c>
      <c r="BN163" s="1683">
        <v>0</v>
      </c>
      <c r="BO163" s="1682"/>
      <c r="BP163" s="1683">
        <v>16848.54</v>
      </c>
      <c r="BQ163" s="1683">
        <v>16848.54</v>
      </c>
      <c r="BR163" s="1683">
        <v>14321.26</v>
      </c>
      <c r="BS163" s="1683">
        <v>14321.26</v>
      </c>
      <c r="BT163" s="1683">
        <v>0</v>
      </c>
      <c r="BU163" s="1683">
        <v>2527.2800000000002</v>
      </c>
      <c r="BV163" s="1683">
        <v>0</v>
      </c>
      <c r="BW163" s="1683">
        <v>0</v>
      </c>
      <c r="BX163" s="1683">
        <v>0</v>
      </c>
      <c r="BY163" s="1683">
        <v>0</v>
      </c>
      <c r="BZ163" s="1683">
        <v>0</v>
      </c>
      <c r="CA163" s="1683">
        <v>0</v>
      </c>
      <c r="CB163" s="1682"/>
      <c r="CC163" s="1682"/>
      <c r="CD163" s="1683">
        <v>0</v>
      </c>
      <c r="CE163" s="1683">
        <v>0</v>
      </c>
      <c r="CF163" s="1683">
        <v>0</v>
      </c>
      <c r="CG163" s="1683">
        <v>0</v>
      </c>
      <c r="CH163" s="1683">
        <v>0</v>
      </c>
      <c r="CI163" s="1683">
        <v>0</v>
      </c>
      <c r="CJ163" s="1683">
        <v>183.32</v>
      </c>
      <c r="CK163" s="1683">
        <v>183.32</v>
      </c>
      <c r="CL163" s="1682"/>
      <c r="CM163" s="1683">
        <v>0</v>
      </c>
      <c r="CN163" s="1683">
        <v>0</v>
      </c>
      <c r="CO163" s="1683">
        <v>0</v>
      </c>
      <c r="CP163" s="1683">
        <v>0</v>
      </c>
      <c r="CQ163" s="1683">
        <v>0</v>
      </c>
      <c r="CR163" s="1683">
        <v>0</v>
      </c>
      <c r="CS163" s="1683">
        <v>0</v>
      </c>
      <c r="CT163" s="1683">
        <v>0</v>
      </c>
      <c r="CU163" s="1683">
        <v>0</v>
      </c>
      <c r="CV163" s="1683">
        <v>0</v>
      </c>
      <c r="CW163" s="1682"/>
      <c r="CX163" s="1683">
        <v>0</v>
      </c>
      <c r="CY163" s="1683">
        <v>0</v>
      </c>
      <c r="CZ163" s="1683">
        <v>0</v>
      </c>
      <c r="DA163" s="1683">
        <v>0</v>
      </c>
      <c r="DB163" s="1682"/>
      <c r="DC163" s="1326"/>
      <c r="DD163" s="1683">
        <v>0</v>
      </c>
      <c r="DE163" s="1683">
        <v>0</v>
      </c>
      <c r="DF163" s="1683">
        <v>0</v>
      </c>
      <c r="DG163" s="1683">
        <v>0</v>
      </c>
      <c r="DH163" s="1683">
        <v>0</v>
      </c>
    </row>
    <row r="164" spans="1:112" ht="56.25">
      <c r="A164" s="1326" t="s">
        <v>2165</v>
      </c>
      <c r="B164" s="1326" t="s">
        <v>1694</v>
      </c>
      <c r="C164" s="1326" t="s">
        <v>2551</v>
      </c>
      <c r="D164" s="1326" t="s">
        <v>2552</v>
      </c>
      <c r="E164" s="1326" t="s">
        <v>182</v>
      </c>
      <c r="F164" s="1326" t="s">
        <v>2555</v>
      </c>
      <c r="G164" s="1326" t="s">
        <v>2556</v>
      </c>
      <c r="H164" s="1326" t="s">
        <v>2541</v>
      </c>
      <c r="I164" s="1326" t="s">
        <v>1595</v>
      </c>
      <c r="J164" s="1326" t="s">
        <v>641</v>
      </c>
      <c r="K164" s="1326" t="s">
        <v>2060</v>
      </c>
      <c r="L164" s="1326" t="s">
        <v>2061</v>
      </c>
      <c r="M164" s="1400"/>
      <c r="N164" s="1400"/>
      <c r="O164" s="1400"/>
      <c r="P164" s="1400"/>
      <c r="Q164" s="1400"/>
      <c r="R164" s="1400"/>
      <c r="S164" s="1400"/>
      <c r="T164" s="1400"/>
      <c r="U164" s="1400"/>
      <c r="V164" s="1400"/>
      <c r="W164" s="1400"/>
      <c r="X164" s="1400"/>
      <c r="Y164" s="1685">
        <v>43356</v>
      </c>
      <c r="Z164" s="1326" t="s">
        <v>2062</v>
      </c>
      <c r="AA164" s="1683">
        <v>0</v>
      </c>
      <c r="AB164" s="1683">
        <v>0</v>
      </c>
      <c r="AC164" s="1683">
        <v>0</v>
      </c>
      <c r="AD164" s="1685">
        <v>43390</v>
      </c>
      <c r="AE164" s="1326" t="s">
        <v>2073</v>
      </c>
      <c r="AF164" s="1326" t="s">
        <v>2067</v>
      </c>
      <c r="AG164" s="1410"/>
      <c r="AH164" s="1683">
        <v>1011</v>
      </c>
      <c r="AI164" s="1683">
        <v>1011</v>
      </c>
      <c r="AJ164" s="1683">
        <v>859.35</v>
      </c>
      <c r="AK164" s="1683">
        <v>859.35</v>
      </c>
      <c r="AL164" s="1683">
        <v>0</v>
      </c>
      <c r="AM164" s="1685">
        <v>43392</v>
      </c>
      <c r="AN164" s="1683">
        <v>1011</v>
      </c>
      <c r="AO164" s="1683">
        <v>1011</v>
      </c>
      <c r="AP164" s="1683">
        <v>859.35</v>
      </c>
      <c r="AQ164" s="1683">
        <v>859.35</v>
      </c>
      <c r="AR164" s="1683">
        <v>0</v>
      </c>
      <c r="AS164" s="1683">
        <v>151.65</v>
      </c>
      <c r="AT164" s="1683">
        <v>0</v>
      </c>
      <c r="AU164" s="1683">
        <v>151.65</v>
      </c>
      <c r="AV164" s="1683">
        <v>0</v>
      </c>
      <c r="AW164" s="1683">
        <v>0</v>
      </c>
      <c r="AX164" s="1400"/>
      <c r="AY164" s="1400"/>
      <c r="AZ164" s="1400"/>
      <c r="BA164" s="1682"/>
      <c r="BB164" s="1682"/>
      <c r="BC164" s="1400"/>
      <c r="BD164" s="1400"/>
      <c r="BE164" s="1683">
        <v>1011</v>
      </c>
      <c r="BF164" s="1683">
        <v>1011</v>
      </c>
      <c r="BG164" s="1683">
        <v>859.35</v>
      </c>
      <c r="BH164" s="1683">
        <v>859.35</v>
      </c>
      <c r="BI164" s="1683">
        <v>0</v>
      </c>
      <c r="BJ164" s="1683">
        <v>151.65</v>
      </c>
      <c r="BK164" s="1683">
        <v>0</v>
      </c>
      <c r="BL164" s="1683">
        <v>151.65</v>
      </c>
      <c r="BM164" s="1683">
        <v>0</v>
      </c>
      <c r="BN164" s="1683">
        <v>0</v>
      </c>
      <c r="BO164" s="1685">
        <v>43453</v>
      </c>
      <c r="BP164" s="1683">
        <v>1011</v>
      </c>
      <c r="BQ164" s="1683">
        <v>1011</v>
      </c>
      <c r="BR164" s="1683">
        <v>859.35</v>
      </c>
      <c r="BS164" s="1683">
        <v>859.35</v>
      </c>
      <c r="BT164" s="1683">
        <v>0</v>
      </c>
      <c r="BU164" s="1683">
        <v>151.65</v>
      </c>
      <c r="BV164" s="1683">
        <v>0</v>
      </c>
      <c r="BW164" s="1683">
        <v>0</v>
      </c>
      <c r="BX164" s="1683">
        <v>0</v>
      </c>
      <c r="BY164" s="1683">
        <v>0</v>
      </c>
      <c r="BZ164" s="1683">
        <v>0</v>
      </c>
      <c r="CA164" s="1400"/>
      <c r="CB164" s="1682"/>
      <c r="CC164" s="1682"/>
      <c r="CD164" s="1400"/>
      <c r="CE164" s="1400"/>
      <c r="CF164" s="1683">
        <v>0</v>
      </c>
      <c r="CG164" s="1683">
        <v>0</v>
      </c>
      <c r="CH164" s="1683">
        <v>0</v>
      </c>
      <c r="CI164" s="1683">
        <v>0</v>
      </c>
      <c r="CJ164" s="1683">
        <v>11</v>
      </c>
      <c r="CK164" s="1683">
        <v>11</v>
      </c>
      <c r="CL164" s="1682"/>
      <c r="CM164" s="1683">
        <v>0</v>
      </c>
      <c r="CN164" s="1683">
        <v>0</v>
      </c>
      <c r="CO164" s="1683">
        <v>0</v>
      </c>
      <c r="CP164" s="1683">
        <v>0</v>
      </c>
      <c r="CQ164" s="1683">
        <v>0</v>
      </c>
      <c r="CR164" s="1683">
        <v>0</v>
      </c>
      <c r="CS164" s="1683">
        <v>0</v>
      </c>
      <c r="CT164" s="1683">
        <v>0</v>
      </c>
      <c r="CU164" s="1683">
        <v>0</v>
      </c>
      <c r="CV164" s="1683">
        <v>0</v>
      </c>
      <c r="CW164" s="1682"/>
      <c r="CX164" s="1400"/>
      <c r="CY164" s="1400"/>
      <c r="CZ164" s="1400"/>
      <c r="DA164" s="1400"/>
      <c r="DB164" s="1682"/>
      <c r="DC164" s="1326"/>
      <c r="DD164" s="1683">
        <v>0</v>
      </c>
      <c r="DE164" s="1400"/>
      <c r="DF164" s="1400"/>
      <c r="DG164" s="1683">
        <v>0</v>
      </c>
      <c r="DH164" s="1683">
        <v>0</v>
      </c>
    </row>
    <row r="165" spans="1:112" ht="56.25">
      <c r="A165" s="1326" t="s">
        <v>2166</v>
      </c>
      <c r="B165" s="1326" t="s">
        <v>1694</v>
      </c>
      <c r="C165" s="1326" t="s">
        <v>2551</v>
      </c>
      <c r="D165" s="1326" t="s">
        <v>2552</v>
      </c>
      <c r="E165" s="1326" t="s">
        <v>182</v>
      </c>
      <c r="F165" s="1326" t="s">
        <v>2555</v>
      </c>
      <c r="G165" s="1326" t="s">
        <v>2556</v>
      </c>
      <c r="H165" s="1326" t="s">
        <v>2541</v>
      </c>
      <c r="I165" s="1326" t="s">
        <v>1595</v>
      </c>
      <c r="J165" s="1326" t="s">
        <v>641</v>
      </c>
      <c r="K165" s="1326" t="s">
        <v>2060</v>
      </c>
      <c r="L165" s="1326" t="s">
        <v>2061</v>
      </c>
      <c r="M165" s="1400"/>
      <c r="N165" s="1400"/>
      <c r="O165" s="1400"/>
      <c r="P165" s="1400"/>
      <c r="Q165" s="1400"/>
      <c r="R165" s="1400"/>
      <c r="S165" s="1400"/>
      <c r="T165" s="1400"/>
      <c r="U165" s="1400"/>
      <c r="V165" s="1400"/>
      <c r="W165" s="1400"/>
      <c r="X165" s="1400"/>
      <c r="Y165" s="1685">
        <v>43356</v>
      </c>
      <c r="Z165" s="1326" t="s">
        <v>2062</v>
      </c>
      <c r="AA165" s="1683">
        <v>0</v>
      </c>
      <c r="AB165" s="1683">
        <v>0</v>
      </c>
      <c r="AC165" s="1683">
        <v>0</v>
      </c>
      <c r="AD165" s="1685">
        <v>43390</v>
      </c>
      <c r="AE165" s="1326" t="s">
        <v>2073</v>
      </c>
      <c r="AF165" s="1326" t="s">
        <v>2064</v>
      </c>
      <c r="AG165" s="1410"/>
      <c r="AH165" s="1683">
        <v>14736.56</v>
      </c>
      <c r="AI165" s="1683">
        <v>14736.56</v>
      </c>
      <c r="AJ165" s="1683">
        <v>12526.08</v>
      </c>
      <c r="AK165" s="1683">
        <v>12526.08</v>
      </c>
      <c r="AL165" s="1683">
        <v>0</v>
      </c>
      <c r="AM165" s="1685">
        <v>43390</v>
      </c>
      <c r="AN165" s="1683">
        <v>14736.56</v>
      </c>
      <c r="AO165" s="1683">
        <v>14736.56</v>
      </c>
      <c r="AP165" s="1683">
        <v>12526.08</v>
      </c>
      <c r="AQ165" s="1683">
        <v>12526.08</v>
      </c>
      <c r="AR165" s="1683">
        <v>0</v>
      </c>
      <c r="AS165" s="1683">
        <v>2210.48</v>
      </c>
      <c r="AT165" s="1683">
        <v>0</v>
      </c>
      <c r="AU165" s="1683">
        <v>2210.48</v>
      </c>
      <c r="AV165" s="1683">
        <v>0</v>
      </c>
      <c r="AW165" s="1683">
        <v>0</v>
      </c>
      <c r="AX165" s="1400"/>
      <c r="AY165" s="1400"/>
      <c r="AZ165" s="1400"/>
      <c r="BA165" s="1682"/>
      <c r="BB165" s="1682"/>
      <c r="BC165" s="1400"/>
      <c r="BD165" s="1400"/>
      <c r="BE165" s="1683">
        <v>14736.56</v>
      </c>
      <c r="BF165" s="1683">
        <v>14736.56</v>
      </c>
      <c r="BG165" s="1683">
        <v>12526.08</v>
      </c>
      <c r="BH165" s="1683">
        <v>12526.08</v>
      </c>
      <c r="BI165" s="1683">
        <v>0</v>
      </c>
      <c r="BJ165" s="1683">
        <v>2210.48</v>
      </c>
      <c r="BK165" s="1683">
        <v>0</v>
      </c>
      <c r="BL165" s="1683">
        <v>2210.48</v>
      </c>
      <c r="BM165" s="1683">
        <v>0</v>
      </c>
      <c r="BN165" s="1683">
        <v>0</v>
      </c>
      <c r="BO165" s="1685">
        <v>43453</v>
      </c>
      <c r="BP165" s="1683">
        <v>14736.56</v>
      </c>
      <c r="BQ165" s="1683">
        <v>14736.56</v>
      </c>
      <c r="BR165" s="1683">
        <v>12526.08</v>
      </c>
      <c r="BS165" s="1683">
        <v>12526.08</v>
      </c>
      <c r="BT165" s="1683">
        <v>0</v>
      </c>
      <c r="BU165" s="1683">
        <v>2210.48</v>
      </c>
      <c r="BV165" s="1683">
        <v>0</v>
      </c>
      <c r="BW165" s="1683">
        <v>0</v>
      </c>
      <c r="BX165" s="1683">
        <v>0</v>
      </c>
      <c r="BY165" s="1683">
        <v>0</v>
      </c>
      <c r="BZ165" s="1683">
        <v>0</v>
      </c>
      <c r="CA165" s="1400"/>
      <c r="CB165" s="1682"/>
      <c r="CC165" s="1682"/>
      <c r="CD165" s="1400"/>
      <c r="CE165" s="1400"/>
      <c r="CF165" s="1683">
        <v>0</v>
      </c>
      <c r="CG165" s="1683">
        <v>0</v>
      </c>
      <c r="CH165" s="1683">
        <v>0</v>
      </c>
      <c r="CI165" s="1683">
        <v>0</v>
      </c>
      <c r="CJ165" s="1683">
        <v>160.34</v>
      </c>
      <c r="CK165" s="1683">
        <v>160.34</v>
      </c>
      <c r="CL165" s="1682"/>
      <c r="CM165" s="1683">
        <v>0</v>
      </c>
      <c r="CN165" s="1683">
        <v>0</v>
      </c>
      <c r="CO165" s="1683">
        <v>0</v>
      </c>
      <c r="CP165" s="1683">
        <v>0</v>
      </c>
      <c r="CQ165" s="1683">
        <v>0</v>
      </c>
      <c r="CR165" s="1683">
        <v>0</v>
      </c>
      <c r="CS165" s="1683">
        <v>0</v>
      </c>
      <c r="CT165" s="1683">
        <v>0</v>
      </c>
      <c r="CU165" s="1683">
        <v>0</v>
      </c>
      <c r="CV165" s="1683">
        <v>0</v>
      </c>
      <c r="CW165" s="1682"/>
      <c r="CX165" s="1400"/>
      <c r="CY165" s="1400"/>
      <c r="CZ165" s="1400"/>
      <c r="DA165" s="1400"/>
      <c r="DB165" s="1682"/>
      <c r="DC165" s="1326"/>
      <c r="DD165" s="1683">
        <v>0</v>
      </c>
      <c r="DE165" s="1400"/>
      <c r="DF165" s="1400"/>
      <c r="DG165" s="1683">
        <v>0</v>
      </c>
      <c r="DH165" s="1683">
        <v>0</v>
      </c>
    </row>
    <row r="166" spans="1:112" ht="56.25">
      <c r="A166" s="1326" t="s">
        <v>2167</v>
      </c>
      <c r="B166" s="1326" t="s">
        <v>1694</v>
      </c>
      <c r="C166" s="1326" t="s">
        <v>2551</v>
      </c>
      <c r="D166" s="1326" t="s">
        <v>2552</v>
      </c>
      <c r="E166" s="1326" t="s">
        <v>182</v>
      </c>
      <c r="F166" s="1326" t="s">
        <v>2555</v>
      </c>
      <c r="G166" s="1326" t="s">
        <v>2556</v>
      </c>
      <c r="H166" s="1326" t="s">
        <v>2541</v>
      </c>
      <c r="I166" s="1326" t="s">
        <v>1595</v>
      </c>
      <c r="J166" s="1326" t="s">
        <v>641</v>
      </c>
      <c r="K166" s="1326" t="s">
        <v>2060</v>
      </c>
      <c r="L166" s="1326" t="s">
        <v>2061</v>
      </c>
      <c r="M166" s="1400"/>
      <c r="N166" s="1400"/>
      <c r="O166" s="1400"/>
      <c r="P166" s="1400"/>
      <c r="Q166" s="1400"/>
      <c r="R166" s="1400"/>
      <c r="S166" s="1400"/>
      <c r="T166" s="1400"/>
      <c r="U166" s="1400"/>
      <c r="V166" s="1400"/>
      <c r="W166" s="1400"/>
      <c r="X166" s="1400"/>
      <c r="Y166" s="1685">
        <v>43381</v>
      </c>
      <c r="Z166" s="1326" t="s">
        <v>2062</v>
      </c>
      <c r="AA166" s="1683">
        <v>0</v>
      </c>
      <c r="AB166" s="1683">
        <v>0</v>
      </c>
      <c r="AC166" s="1683">
        <v>0</v>
      </c>
      <c r="AD166" s="1685">
        <v>43409</v>
      </c>
      <c r="AE166" s="1326" t="s">
        <v>2063</v>
      </c>
      <c r="AF166" s="1326" t="s">
        <v>2064</v>
      </c>
      <c r="AG166" s="1410"/>
      <c r="AH166" s="1683">
        <v>1100.98</v>
      </c>
      <c r="AI166" s="1683">
        <v>1100.98</v>
      </c>
      <c r="AJ166" s="1683">
        <v>935.83</v>
      </c>
      <c r="AK166" s="1683">
        <v>935.83</v>
      </c>
      <c r="AL166" s="1683">
        <v>0</v>
      </c>
      <c r="AM166" s="1685">
        <v>43409</v>
      </c>
      <c r="AN166" s="1683">
        <v>1100.98</v>
      </c>
      <c r="AO166" s="1683">
        <v>1100.98</v>
      </c>
      <c r="AP166" s="1683">
        <v>935.83</v>
      </c>
      <c r="AQ166" s="1683">
        <v>935.83</v>
      </c>
      <c r="AR166" s="1683">
        <v>0</v>
      </c>
      <c r="AS166" s="1683">
        <v>165.15</v>
      </c>
      <c r="AT166" s="1683">
        <v>0</v>
      </c>
      <c r="AU166" s="1683">
        <v>165.15</v>
      </c>
      <c r="AV166" s="1683">
        <v>0</v>
      </c>
      <c r="AW166" s="1683">
        <v>0</v>
      </c>
      <c r="AX166" s="1400"/>
      <c r="AY166" s="1400"/>
      <c r="AZ166" s="1400"/>
      <c r="BA166" s="1682"/>
      <c r="BB166" s="1682"/>
      <c r="BC166" s="1400"/>
      <c r="BD166" s="1400"/>
      <c r="BE166" s="1683">
        <v>1100.98</v>
      </c>
      <c r="BF166" s="1683">
        <v>1100.98</v>
      </c>
      <c r="BG166" s="1683">
        <v>935.83</v>
      </c>
      <c r="BH166" s="1683">
        <v>935.83</v>
      </c>
      <c r="BI166" s="1683">
        <v>0</v>
      </c>
      <c r="BJ166" s="1683">
        <v>165.15</v>
      </c>
      <c r="BK166" s="1683">
        <v>0</v>
      </c>
      <c r="BL166" s="1683">
        <v>165.15</v>
      </c>
      <c r="BM166" s="1683">
        <v>0</v>
      </c>
      <c r="BN166" s="1683">
        <v>0</v>
      </c>
      <c r="BO166" s="1685">
        <v>43453</v>
      </c>
      <c r="BP166" s="1683">
        <v>1100.98</v>
      </c>
      <c r="BQ166" s="1683">
        <v>1100.98</v>
      </c>
      <c r="BR166" s="1683">
        <v>935.83</v>
      </c>
      <c r="BS166" s="1683">
        <v>935.83</v>
      </c>
      <c r="BT166" s="1683">
        <v>0</v>
      </c>
      <c r="BU166" s="1683">
        <v>165.15</v>
      </c>
      <c r="BV166" s="1683">
        <v>0</v>
      </c>
      <c r="BW166" s="1683">
        <v>0</v>
      </c>
      <c r="BX166" s="1683">
        <v>0</v>
      </c>
      <c r="BY166" s="1683">
        <v>0</v>
      </c>
      <c r="BZ166" s="1683">
        <v>0</v>
      </c>
      <c r="CA166" s="1400"/>
      <c r="CB166" s="1682"/>
      <c r="CC166" s="1682"/>
      <c r="CD166" s="1400"/>
      <c r="CE166" s="1400"/>
      <c r="CF166" s="1683">
        <v>0</v>
      </c>
      <c r="CG166" s="1683">
        <v>0</v>
      </c>
      <c r="CH166" s="1683">
        <v>0</v>
      </c>
      <c r="CI166" s="1683">
        <v>0</v>
      </c>
      <c r="CJ166" s="1683">
        <v>11.98</v>
      </c>
      <c r="CK166" s="1683">
        <v>11.98</v>
      </c>
      <c r="CL166" s="1682"/>
      <c r="CM166" s="1683">
        <v>0</v>
      </c>
      <c r="CN166" s="1683">
        <v>0</v>
      </c>
      <c r="CO166" s="1683">
        <v>0</v>
      </c>
      <c r="CP166" s="1683">
        <v>0</v>
      </c>
      <c r="CQ166" s="1683">
        <v>0</v>
      </c>
      <c r="CR166" s="1683">
        <v>0</v>
      </c>
      <c r="CS166" s="1683">
        <v>0</v>
      </c>
      <c r="CT166" s="1683">
        <v>0</v>
      </c>
      <c r="CU166" s="1683">
        <v>0</v>
      </c>
      <c r="CV166" s="1683">
        <v>0</v>
      </c>
      <c r="CW166" s="1682"/>
      <c r="CX166" s="1400"/>
      <c r="CY166" s="1400"/>
      <c r="CZ166" s="1400"/>
      <c r="DA166" s="1400"/>
      <c r="DB166" s="1682"/>
      <c r="DC166" s="1326"/>
      <c r="DD166" s="1683">
        <v>0</v>
      </c>
      <c r="DE166" s="1400"/>
      <c r="DF166" s="1400"/>
      <c r="DG166" s="1683">
        <v>0</v>
      </c>
      <c r="DH166" s="1683">
        <v>0</v>
      </c>
    </row>
    <row r="167" spans="1:112">
      <c r="A167" s="1326" t="s">
        <v>2168</v>
      </c>
      <c r="B167" s="1326" t="s">
        <v>1694</v>
      </c>
      <c r="C167" s="1326" t="s">
        <v>2557</v>
      </c>
      <c r="D167" s="1326"/>
      <c r="E167" s="1326"/>
      <c r="F167" s="1326"/>
      <c r="G167" s="1326"/>
      <c r="H167" s="1326"/>
      <c r="I167" s="1326"/>
      <c r="J167" s="1326"/>
      <c r="K167" s="1326"/>
      <c r="L167" s="1326"/>
      <c r="M167" s="1683">
        <v>965890.08</v>
      </c>
      <c r="N167" s="1683">
        <v>0</v>
      </c>
      <c r="O167" s="1683">
        <v>965890.08</v>
      </c>
      <c r="P167" s="1683">
        <v>965890.08</v>
      </c>
      <c r="Q167" s="1683">
        <v>821006.53</v>
      </c>
      <c r="R167" s="1683">
        <v>821006.53</v>
      </c>
      <c r="S167" s="1683">
        <v>0</v>
      </c>
      <c r="T167" s="1683">
        <v>144883.54999999999</v>
      </c>
      <c r="U167" s="1683">
        <v>0</v>
      </c>
      <c r="V167" s="1683">
        <v>144883.54999999999</v>
      </c>
      <c r="W167" s="1683">
        <v>0</v>
      </c>
      <c r="X167" s="1683">
        <v>0</v>
      </c>
      <c r="Y167" s="1682"/>
      <c r="Z167" s="1326"/>
      <c r="AA167" s="1683">
        <v>167698.71</v>
      </c>
      <c r="AB167" s="1683">
        <v>167698.71</v>
      </c>
      <c r="AC167" s="1683">
        <v>0</v>
      </c>
      <c r="AD167" s="1682"/>
      <c r="AE167" s="1326"/>
      <c r="AF167" s="1326"/>
      <c r="AG167" s="1410"/>
      <c r="AH167" s="1683">
        <v>554164.78</v>
      </c>
      <c r="AI167" s="1683">
        <v>834881.71</v>
      </c>
      <c r="AJ167" s="1683">
        <v>584058.26</v>
      </c>
      <c r="AK167" s="1683">
        <v>584058.26</v>
      </c>
      <c r="AL167" s="1683">
        <v>0</v>
      </c>
      <c r="AM167" s="1682"/>
      <c r="AN167" s="1683">
        <v>554164.78</v>
      </c>
      <c r="AO167" s="1683">
        <v>554164.78</v>
      </c>
      <c r="AP167" s="1683">
        <v>471040.04</v>
      </c>
      <c r="AQ167" s="1683">
        <v>471040.04</v>
      </c>
      <c r="AR167" s="1683">
        <v>0</v>
      </c>
      <c r="AS167" s="1683">
        <v>83124.740000000005</v>
      </c>
      <c r="AT167" s="1683">
        <v>0</v>
      </c>
      <c r="AU167" s="1683">
        <v>83124.740000000005</v>
      </c>
      <c r="AV167" s="1683">
        <v>0</v>
      </c>
      <c r="AW167" s="1683">
        <v>0</v>
      </c>
      <c r="AX167" s="1683">
        <v>0</v>
      </c>
      <c r="AY167" s="1683">
        <v>0</v>
      </c>
      <c r="AZ167" s="1683">
        <v>0</v>
      </c>
      <c r="BA167" s="1682"/>
      <c r="BB167" s="1682"/>
      <c r="BC167" s="1683">
        <v>0</v>
      </c>
      <c r="BD167" s="1683">
        <v>0</v>
      </c>
      <c r="BE167" s="1683">
        <v>554164.78</v>
      </c>
      <c r="BF167" s="1683">
        <v>554164.78</v>
      </c>
      <c r="BG167" s="1683">
        <v>471040.04</v>
      </c>
      <c r="BH167" s="1683">
        <v>471040.04</v>
      </c>
      <c r="BI167" s="1683">
        <v>0</v>
      </c>
      <c r="BJ167" s="1683">
        <v>83124.740000000005</v>
      </c>
      <c r="BK167" s="1683">
        <v>0</v>
      </c>
      <c r="BL167" s="1683">
        <v>83124.740000000005</v>
      </c>
      <c r="BM167" s="1683">
        <v>0</v>
      </c>
      <c r="BN167" s="1683">
        <v>0</v>
      </c>
      <c r="BO167" s="1682"/>
      <c r="BP167" s="1683">
        <v>554164.78</v>
      </c>
      <c r="BQ167" s="1683">
        <v>554164.78</v>
      </c>
      <c r="BR167" s="1683">
        <v>471040.04</v>
      </c>
      <c r="BS167" s="1683">
        <v>471040.04</v>
      </c>
      <c r="BT167" s="1683">
        <v>0</v>
      </c>
      <c r="BU167" s="1683">
        <v>83124.740000000005</v>
      </c>
      <c r="BV167" s="1683">
        <v>0</v>
      </c>
      <c r="BW167" s="1683">
        <v>8378.36</v>
      </c>
      <c r="BX167" s="1683">
        <v>0</v>
      </c>
      <c r="BY167" s="1683">
        <v>0</v>
      </c>
      <c r="BZ167" s="1683">
        <v>0</v>
      </c>
      <c r="CA167" s="1683">
        <v>0</v>
      </c>
      <c r="CB167" s="1682"/>
      <c r="CC167" s="1682"/>
      <c r="CD167" s="1683">
        <v>0</v>
      </c>
      <c r="CE167" s="1683">
        <v>0</v>
      </c>
      <c r="CF167" s="1683">
        <v>0</v>
      </c>
      <c r="CG167" s="1683">
        <v>0</v>
      </c>
      <c r="CH167" s="1683">
        <v>0</v>
      </c>
      <c r="CI167" s="1683">
        <v>0</v>
      </c>
      <c r="CJ167" s="1683">
        <v>4647.8</v>
      </c>
      <c r="CK167" s="1683">
        <v>4647.8</v>
      </c>
      <c r="CL167" s="1682"/>
      <c r="CM167" s="1683">
        <v>55855.73</v>
      </c>
      <c r="CN167" s="1683">
        <v>55855.73</v>
      </c>
      <c r="CO167" s="1683">
        <v>47477.37</v>
      </c>
      <c r="CP167" s="1683">
        <v>47477.37</v>
      </c>
      <c r="CQ167" s="1683">
        <v>0</v>
      </c>
      <c r="CR167" s="1683">
        <v>8378.36</v>
      </c>
      <c r="CS167" s="1683">
        <v>0</v>
      </c>
      <c r="CT167" s="1683">
        <v>8378.36</v>
      </c>
      <c r="CU167" s="1683">
        <v>0</v>
      </c>
      <c r="CV167" s="1683">
        <v>0</v>
      </c>
      <c r="CW167" s="1682"/>
      <c r="CX167" s="1683">
        <v>0</v>
      </c>
      <c r="CY167" s="1683">
        <v>0</v>
      </c>
      <c r="CZ167" s="1683">
        <v>55855.73</v>
      </c>
      <c r="DA167" s="1683">
        <v>55855.73</v>
      </c>
      <c r="DB167" s="1682"/>
      <c r="DC167" s="1326"/>
      <c r="DD167" s="1683">
        <v>0</v>
      </c>
      <c r="DE167" s="1683">
        <v>0</v>
      </c>
      <c r="DF167" s="1683">
        <v>0</v>
      </c>
      <c r="DG167" s="1683">
        <v>0</v>
      </c>
      <c r="DH167" s="1683">
        <v>0</v>
      </c>
    </row>
    <row r="168" spans="1:112">
      <c r="A168" s="1326" t="s">
        <v>2169</v>
      </c>
      <c r="B168" s="1326" t="s">
        <v>1694</v>
      </c>
      <c r="C168" s="1326" t="s">
        <v>2557</v>
      </c>
      <c r="D168" s="1326" t="s">
        <v>2558</v>
      </c>
      <c r="E168" s="1326"/>
      <c r="F168" s="1326"/>
      <c r="G168" s="1326"/>
      <c r="H168" s="1326"/>
      <c r="I168" s="1326"/>
      <c r="J168" s="1326"/>
      <c r="K168" s="1326"/>
      <c r="L168" s="1326"/>
      <c r="M168" s="1683">
        <v>965890.08</v>
      </c>
      <c r="N168" s="1683">
        <v>0</v>
      </c>
      <c r="O168" s="1683">
        <v>965890.08</v>
      </c>
      <c r="P168" s="1683">
        <v>965890.08</v>
      </c>
      <c r="Q168" s="1683">
        <v>821006.53</v>
      </c>
      <c r="R168" s="1683">
        <v>821006.53</v>
      </c>
      <c r="S168" s="1683">
        <v>0</v>
      </c>
      <c r="T168" s="1683">
        <v>144883.54999999999</v>
      </c>
      <c r="U168" s="1683">
        <v>0</v>
      </c>
      <c r="V168" s="1683">
        <v>144883.54999999999</v>
      </c>
      <c r="W168" s="1683">
        <v>0</v>
      </c>
      <c r="X168" s="1683">
        <v>0</v>
      </c>
      <c r="Y168" s="1682"/>
      <c r="Z168" s="1326"/>
      <c r="AA168" s="1683">
        <v>167698.71</v>
      </c>
      <c r="AB168" s="1683">
        <v>167698.71</v>
      </c>
      <c r="AC168" s="1683">
        <v>0</v>
      </c>
      <c r="AD168" s="1682"/>
      <c r="AE168" s="1326"/>
      <c r="AF168" s="1326"/>
      <c r="AG168" s="1410"/>
      <c r="AH168" s="1683">
        <v>554164.78</v>
      </c>
      <c r="AI168" s="1683">
        <v>834881.71</v>
      </c>
      <c r="AJ168" s="1683">
        <v>584058.26</v>
      </c>
      <c r="AK168" s="1683">
        <v>584058.26</v>
      </c>
      <c r="AL168" s="1683">
        <v>0</v>
      </c>
      <c r="AM168" s="1682"/>
      <c r="AN168" s="1683">
        <v>554164.78</v>
      </c>
      <c r="AO168" s="1683">
        <v>554164.78</v>
      </c>
      <c r="AP168" s="1683">
        <v>471040.04</v>
      </c>
      <c r="AQ168" s="1683">
        <v>471040.04</v>
      </c>
      <c r="AR168" s="1683">
        <v>0</v>
      </c>
      <c r="AS168" s="1683">
        <v>83124.740000000005</v>
      </c>
      <c r="AT168" s="1683">
        <v>0</v>
      </c>
      <c r="AU168" s="1683">
        <v>83124.740000000005</v>
      </c>
      <c r="AV168" s="1683">
        <v>0</v>
      </c>
      <c r="AW168" s="1683">
        <v>0</v>
      </c>
      <c r="AX168" s="1683">
        <v>0</v>
      </c>
      <c r="AY168" s="1683">
        <v>0</v>
      </c>
      <c r="AZ168" s="1683">
        <v>0</v>
      </c>
      <c r="BA168" s="1682"/>
      <c r="BB168" s="1682"/>
      <c r="BC168" s="1683">
        <v>0</v>
      </c>
      <c r="BD168" s="1683">
        <v>0</v>
      </c>
      <c r="BE168" s="1683">
        <v>554164.78</v>
      </c>
      <c r="BF168" s="1683">
        <v>554164.78</v>
      </c>
      <c r="BG168" s="1683">
        <v>471040.04</v>
      </c>
      <c r="BH168" s="1683">
        <v>471040.04</v>
      </c>
      <c r="BI168" s="1683">
        <v>0</v>
      </c>
      <c r="BJ168" s="1683">
        <v>83124.740000000005</v>
      </c>
      <c r="BK168" s="1683">
        <v>0</v>
      </c>
      <c r="BL168" s="1683">
        <v>83124.740000000005</v>
      </c>
      <c r="BM168" s="1683">
        <v>0</v>
      </c>
      <c r="BN168" s="1683">
        <v>0</v>
      </c>
      <c r="BO168" s="1682"/>
      <c r="BP168" s="1683">
        <v>554164.78</v>
      </c>
      <c r="BQ168" s="1683">
        <v>554164.78</v>
      </c>
      <c r="BR168" s="1683">
        <v>471040.04</v>
      </c>
      <c r="BS168" s="1683">
        <v>471040.04</v>
      </c>
      <c r="BT168" s="1683">
        <v>0</v>
      </c>
      <c r="BU168" s="1683">
        <v>83124.740000000005</v>
      </c>
      <c r="BV168" s="1683">
        <v>0</v>
      </c>
      <c r="BW168" s="1683">
        <v>8378.36</v>
      </c>
      <c r="BX168" s="1683">
        <v>0</v>
      </c>
      <c r="BY168" s="1683">
        <v>0</v>
      </c>
      <c r="BZ168" s="1683">
        <v>0</v>
      </c>
      <c r="CA168" s="1683">
        <v>0</v>
      </c>
      <c r="CB168" s="1682"/>
      <c r="CC168" s="1682"/>
      <c r="CD168" s="1683">
        <v>0</v>
      </c>
      <c r="CE168" s="1683">
        <v>0</v>
      </c>
      <c r="CF168" s="1683">
        <v>0</v>
      </c>
      <c r="CG168" s="1683">
        <v>0</v>
      </c>
      <c r="CH168" s="1683">
        <v>0</v>
      </c>
      <c r="CI168" s="1683">
        <v>0</v>
      </c>
      <c r="CJ168" s="1683">
        <v>4647.8</v>
      </c>
      <c r="CK168" s="1683">
        <v>4647.8</v>
      </c>
      <c r="CL168" s="1682"/>
      <c r="CM168" s="1683">
        <v>55855.73</v>
      </c>
      <c r="CN168" s="1683">
        <v>55855.73</v>
      </c>
      <c r="CO168" s="1683">
        <v>47477.37</v>
      </c>
      <c r="CP168" s="1683">
        <v>47477.37</v>
      </c>
      <c r="CQ168" s="1683">
        <v>0</v>
      </c>
      <c r="CR168" s="1683">
        <v>8378.36</v>
      </c>
      <c r="CS168" s="1683">
        <v>0</v>
      </c>
      <c r="CT168" s="1683">
        <v>8378.36</v>
      </c>
      <c r="CU168" s="1683">
        <v>0</v>
      </c>
      <c r="CV168" s="1683">
        <v>0</v>
      </c>
      <c r="CW168" s="1682"/>
      <c r="CX168" s="1683">
        <v>0</v>
      </c>
      <c r="CY168" s="1683">
        <v>0</v>
      </c>
      <c r="CZ168" s="1683">
        <v>55855.73</v>
      </c>
      <c r="DA168" s="1683">
        <v>55855.73</v>
      </c>
      <c r="DB168" s="1682"/>
      <c r="DC168" s="1326"/>
      <c r="DD168" s="1683">
        <v>0</v>
      </c>
      <c r="DE168" s="1683">
        <v>0</v>
      </c>
      <c r="DF168" s="1683">
        <v>0</v>
      </c>
      <c r="DG168" s="1683">
        <v>0</v>
      </c>
      <c r="DH168" s="1683">
        <v>0</v>
      </c>
    </row>
    <row r="169" spans="1:112">
      <c r="A169" s="1326" t="s">
        <v>2170</v>
      </c>
      <c r="B169" s="1326" t="s">
        <v>1694</v>
      </c>
      <c r="C169" s="1326" t="s">
        <v>2557</v>
      </c>
      <c r="D169" s="1326" t="s">
        <v>2558</v>
      </c>
      <c r="E169" s="1326" t="s">
        <v>192</v>
      </c>
      <c r="F169" s="1326"/>
      <c r="G169" s="1326"/>
      <c r="H169" s="1326"/>
      <c r="I169" s="1326"/>
      <c r="J169" s="1326"/>
      <c r="K169" s="1326"/>
      <c r="L169" s="1326"/>
      <c r="M169" s="1683">
        <v>965890.08</v>
      </c>
      <c r="N169" s="1683">
        <v>0</v>
      </c>
      <c r="O169" s="1683">
        <v>965890.08</v>
      </c>
      <c r="P169" s="1683">
        <v>965890.08</v>
      </c>
      <c r="Q169" s="1683">
        <v>821006.53</v>
      </c>
      <c r="R169" s="1683">
        <v>821006.53</v>
      </c>
      <c r="S169" s="1683">
        <v>0</v>
      </c>
      <c r="T169" s="1683">
        <v>144883.54999999999</v>
      </c>
      <c r="U169" s="1683">
        <v>0</v>
      </c>
      <c r="V169" s="1683">
        <v>144883.54999999999</v>
      </c>
      <c r="W169" s="1683">
        <v>0</v>
      </c>
      <c r="X169" s="1683">
        <v>0</v>
      </c>
      <c r="Y169" s="1682"/>
      <c r="Z169" s="1326"/>
      <c r="AA169" s="1683">
        <v>167698.71</v>
      </c>
      <c r="AB169" s="1683">
        <v>167698.71</v>
      </c>
      <c r="AC169" s="1683">
        <v>0</v>
      </c>
      <c r="AD169" s="1682"/>
      <c r="AE169" s="1326"/>
      <c r="AF169" s="1326"/>
      <c r="AG169" s="1410"/>
      <c r="AH169" s="1683">
        <v>554164.78</v>
      </c>
      <c r="AI169" s="1683">
        <v>834881.71</v>
      </c>
      <c r="AJ169" s="1683">
        <v>584058.26</v>
      </c>
      <c r="AK169" s="1683">
        <v>584058.26</v>
      </c>
      <c r="AL169" s="1683">
        <v>0</v>
      </c>
      <c r="AM169" s="1682"/>
      <c r="AN169" s="1683">
        <v>554164.78</v>
      </c>
      <c r="AO169" s="1683">
        <v>554164.78</v>
      </c>
      <c r="AP169" s="1683">
        <v>471040.04</v>
      </c>
      <c r="AQ169" s="1683">
        <v>471040.04</v>
      </c>
      <c r="AR169" s="1683">
        <v>0</v>
      </c>
      <c r="AS169" s="1683">
        <v>83124.740000000005</v>
      </c>
      <c r="AT169" s="1683">
        <v>0</v>
      </c>
      <c r="AU169" s="1683">
        <v>83124.740000000005</v>
      </c>
      <c r="AV169" s="1683">
        <v>0</v>
      </c>
      <c r="AW169" s="1683">
        <v>0</v>
      </c>
      <c r="AX169" s="1683">
        <v>0</v>
      </c>
      <c r="AY169" s="1683">
        <v>0</v>
      </c>
      <c r="AZ169" s="1683">
        <v>0</v>
      </c>
      <c r="BA169" s="1682"/>
      <c r="BB169" s="1682"/>
      <c r="BC169" s="1683">
        <v>0</v>
      </c>
      <c r="BD169" s="1683">
        <v>0</v>
      </c>
      <c r="BE169" s="1683">
        <v>554164.78</v>
      </c>
      <c r="BF169" s="1683">
        <v>554164.78</v>
      </c>
      <c r="BG169" s="1683">
        <v>471040.04</v>
      </c>
      <c r="BH169" s="1683">
        <v>471040.04</v>
      </c>
      <c r="BI169" s="1683">
        <v>0</v>
      </c>
      <c r="BJ169" s="1683">
        <v>83124.740000000005</v>
      </c>
      <c r="BK169" s="1683">
        <v>0</v>
      </c>
      <c r="BL169" s="1683">
        <v>83124.740000000005</v>
      </c>
      <c r="BM169" s="1683">
        <v>0</v>
      </c>
      <c r="BN169" s="1683">
        <v>0</v>
      </c>
      <c r="BO169" s="1682"/>
      <c r="BP169" s="1683">
        <v>554164.78</v>
      </c>
      <c r="BQ169" s="1683">
        <v>554164.78</v>
      </c>
      <c r="BR169" s="1683">
        <v>471040.04</v>
      </c>
      <c r="BS169" s="1683">
        <v>471040.04</v>
      </c>
      <c r="BT169" s="1683">
        <v>0</v>
      </c>
      <c r="BU169" s="1683">
        <v>83124.740000000005</v>
      </c>
      <c r="BV169" s="1683">
        <v>0</v>
      </c>
      <c r="BW169" s="1683">
        <v>8378.36</v>
      </c>
      <c r="BX169" s="1683">
        <v>0</v>
      </c>
      <c r="BY169" s="1683">
        <v>0</v>
      </c>
      <c r="BZ169" s="1683">
        <v>0</v>
      </c>
      <c r="CA169" s="1683">
        <v>0</v>
      </c>
      <c r="CB169" s="1682"/>
      <c r="CC169" s="1682"/>
      <c r="CD169" s="1683">
        <v>0</v>
      </c>
      <c r="CE169" s="1683">
        <v>0</v>
      </c>
      <c r="CF169" s="1683">
        <v>0</v>
      </c>
      <c r="CG169" s="1683">
        <v>0</v>
      </c>
      <c r="CH169" s="1683">
        <v>0</v>
      </c>
      <c r="CI169" s="1683">
        <v>0</v>
      </c>
      <c r="CJ169" s="1683">
        <v>4647.8</v>
      </c>
      <c r="CK169" s="1683">
        <v>4647.8</v>
      </c>
      <c r="CL169" s="1682"/>
      <c r="CM169" s="1683">
        <v>55855.73</v>
      </c>
      <c r="CN169" s="1683">
        <v>55855.73</v>
      </c>
      <c r="CO169" s="1683">
        <v>47477.37</v>
      </c>
      <c r="CP169" s="1683">
        <v>47477.37</v>
      </c>
      <c r="CQ169" s="1683">
        <v>0</v>
      </c>
      <c r="CR169" s="1683">
        <v>8378.36</v>
      </c>
      <c r="CS169" s="1683">
        <v>0</v>
      </c>
      <c r="CT169" s="1683">
        <v>8378.36</v>
      </c>
      <c r="CU169" s="1683">
        <v>0</v>
      </c>
      <c r="CV169" s="1683">
        <v>0</v>
      </c>
      <c r="CW169" s="1682"/>
      <c r="CX169" s="1683">
        <v>0</v>
      </c>
      <c r="CY169" s="1683">
        <v>0</v>
      </c>
      <c r="CZ169" s="1683">
        <v>55855.73</v>
      </c>
      <c r="DA169" s="1683">
        <v>55855.73</v>
      </c>
      <c r="DB169" s="1682"/>
      <c r="DC169" s="1326"/>
      <c r="DD169" s="1683">
        <v>0</v>
      </c>
      <c r="DE169" s="1683">
        <v>0</v>
      </c>
      <c r="DF169" s="1683">
        <v>0</v>
      </c>
      <c r="DG169" s="1683">
        <v>0</v>
      </c>
      <c r="DH169" s="1683">
        <v>0</v>
      </c>
    </row>
    <row r="170" spans="1:112" ht="56.25">
      <c r="A170" s="1326" t="s">
        <v>2173</v>
      </c>
      <c r="B170" s="1326" t="s">
        <v>1694</v>
      </c>
      <c r="C170" s="1326" t="s">
        <v>2557</v>
      </c>
      <c r="D170" s="1326" t="s">
        <v>2558</v>
      </c>
      <c r="E170" s="1326" t="s">
        <v>192</v>
      </c>
      <c r="F170" s="1326" t="s">
        <v>2544</v>
      </c>
      <c r="G170" s="1326" t="s">
        <v>2545</v>
      </c>
      <c r="H170" s="1326" t="s">
        <v>2546</v>
      </c>
      <c r="I170" s="1326" t="s">
        <v>730</v>
      </c>
      <c r="J170" s="1326" t="s">
        <v>191</v>
      </c>
      <c r="K170" s="1326" t="s">
        <v>2077</v>
      </c>
      <c r="L170" s="1326" t="s">
        <v>2137</v>
      </c>
      <c r="M170" s="1683">
        <v>101765.7</v>
      </c>
      <c r="N170" s="1683">
        <v>0</v>
      </c>
      <c r="O170" s="1683">
        <v>101765.7</v>
      </c>
      <c r="P170" s="1683">
        <v>101765.7</v>
      </c>
      <c r="Q170" s="1683">
        <v>86500.800000000003</v>
      </c>
      <c r="R170" s="1683">
        <v>86500.800000000003</v>
      </c>
      <c r="S170" s="1683">
        <v>0</v>
      </c>
      <c r="T170" s="1683">
        <v>15264.9</v>
      </c>
      <c r="U170" s="1683">
        <v>0</v>
      </c>
      <c r="V170" s="1683">
        <v>15264.9</v>
      </c>
      <c r="W170" s="1683">
        <v>0</v>
      </c>
      <c r="X170" s="1683">
        <v>0</v>
      </c>
      <c r="Y170" s="1682"/>
      <c r="Z170" s="1326"/>
      <c r="AA170" s="1683">
        <v>0</v>
      </c>
      <c r="AB170" s="1683">
        <v>0</v>
      </c>
      <c r="AC170" s="1683">
        <v>0</v>
      </c>
      <c r="AD170" s="1682"/>
      <c r="AE170" s="1326"/>
      <c r="AF170" s="1326"/>
      <c r="AG170" s="1410"/>
      <c r="AH170" s="1683">
        <v>101765.7</v>
      </c>
      <c r="AI170" s="1683">
        <v>101765.7</v>
      </c>
      <c r="AJ170" s="1683">
        <v>86500.800000000003</v>
      </c>
      <c r="AK170" s="1683">
        <v>86500.800000000003</v>
      </c>
      <c r="AL170" s="1683">
        <v>0</v>
      </c>
      <c r="AM170" s="1682"/>
      <c r="AN170" s="1683">
        <v>101765.7</v>
      </c>
      <c r="AO170" s="1683">
        <v>101765.7</v>
      </c>
      <c r="AP170" s="1683">
        <v>86500.800000000003</v>
      </c>
      <c r="AQ170" s="1683">
        <v>86500.800000000003</v>
      </c>
      <c r="AR170" s="1683">
        <v>0</v>
      </c>
      <c r="AS170" s="1683">
        <v>15264.9</v>
      </c>
      <c r="AT170" s="1683">
        <v>0</v>
      </c>
      <c r="AU170" s="1683">
        <v>15264.9</v>
      </c>
      <c r="AV170" s="1683">
        <v>0</v>
      </c>
      <c r="AW170" s="1683">
        <v>0</v>
      </c>
      <c r="AX170" s="1683">
        <v>0</v>
      </c>
      <c r="AY170" s="1683">
        <v>0</v>
      </c>
      <c r="AZ170" s="1683">
        <v>0</v>
      </c>
      <c r="BA170" s="1682"/>
      <c r="BB170" s="1682"/>
      <c r="BC170" s="1683">
        <v>0</v>
      </c>
      <c r="BD170" s="1683">
        <v>0</v>
      </c>
      <c r="BE170" s="1683">
        <v>101765.7</v>
      </c>
      <c r="BF170" s="1683">
        <v>101765.7</v>
      </c>
      <c r="BG170" s="1683">
        <v>86500.800000000003</v>
      </c>
      <c r="BH170" s="1683">
        <v>86500.800000000003</v>
      </c>
      <c r="BI170" s="1683">
        <v>0</v>
      </c>
      <c r="BJ170" s="1683">
        <v>15264.9</v>
      </c>
      <c r="BK170" s="1683">
        <v>0</v>
      </c>
      <c r="BL170" s="1683">
        <v>15264.9</v>
      </c>
      <c r="BM170" s="1683">
        <v>0</v>
      </c>
      <c r="BN170" s="1683">
        <v>0</v>
      </c>
      <c r="BO170" s="1682"/>
      <c r="BP170" s="1683">
        <v>101765.7</v>
      </c>
      <c r="BQ170" s="1683">
        <v>101765.7</v>
      </c>
      <c r="BR170" s="1683">
        <v>86500.800000000003</v>
      </c>
      <c r="BS170" s="1683">
        <v>86500.800000000003</v>
      </c>
      <c r="BT170" s="1683">
        <v>0</v>
      </c>
      <c r="BU170" s="1683">
        <v>15264.9</v>
      </c>
      <c r="BV170" s="1683">
        <v>0</v>
      </c>
      <c r="BW170" s="1683">
        <v>0</v>
      </c>
      <c r="BX170" s="1683">
        <v>0</v>
      </c>
      <c r="BY170" s="1683">
        <v>0</v>
      </c>
      <c r="BZ170" s="1683">
        <v>0</v>
      </c>
      <c r="CA170" s="1683">
        <v>0</v>
      </c>
      <c r="CB170" s="1682"/>
      <c r="CC170" s="1682"/>
      <c r="CD170" s="1683">
        <v>0</v>
      </c>
      <c r="CE170" s="1683">
        <v>0</v>
      </c>
      <c r="CF170" s="1683">
        <v>0</v>
      </c>
      <c r="CG170" s="1683">
        <v>0</v>
      </c>
      <c r="CH170" s="1683">
        <v>0</v>
      </c>
      <c r="CI170" s="1683">
        <v>0</v>
      </c>
      <c r="CJ170" s="1683">
        <v>1335.7</v>
      </c>
      <c r="CK170" s="1683">
        <v>1335.7</v>
      </c>
      <c r="CL170" s="1682"/>
      <c r="CM170" s="1683">
        <v>0</v>
      </c>
      <c r="CN170" s="1683">
        <v>0</v>
      </c>
      <c r="CO170" s="1683">
        <v>0</v>
      </c>
      <c r="CP170" s="1683">
        <v>0</v>
      </c>
      <c r="CQ170" s="1683">
        <v>0</v>
      </c>
      <c r="CR170" s="1683">
        <v>0</v>
      </c>
      <c r="CS170" s="1683">
        <v>0</v>
      </c>
      <c r="CT170" s="1683">
        <v>0</v>
      </c>
      <c r="CU170" s="1683">
        <v>0</v>
      </c>
      <c r="CV170" s="1683">
        <v>0</v>
      </c>
      <c r="CW170" s="1682"/>
      <c r="CX170" s="1683">
        <v>0</v>
      </c>
      <c r="CY170" s="1683">
        <v>0</v>
      </c>
      <c r="CZ170" s="1683">
        <v>0</v>
      </c>
      <c r="DA170" s="1683">
        <v>0</v>
      </c>
      <c r="DB170" s="1682"/>
      <c r="DC170" s="1326"/>
      <c r="DD170" s="1683">
        <v>0</v>
      </c>
      <c r="DE170" s="1683">
        <v>0</v>
      </c>
      <c r="DF170" s="1683">
        <v>0</v>
      </c>
      <c r="DG170" s="1683">
        <v>0</v>
      </c>
      <c r="DH170" s="1683">
        <v>0</v>
      </c>
    </row>
    <row r="171" spans="1:112" ht="56.25">
      <c r="A171" s="1326" t="s">
        <v>2175</v>
      </c>
      <c r="B171" s="1326" t="s">
        <v>1694</v>
      </c>
      <c r="C171" s="1326" t="s">
        <v>2557</v>
      </c>
      <c r="D171" s="1326" t="s">
        <v>2558</v>
      </c>
      <c r="E171" s="1326" t="s">
        <v>192</v>
      </c>
      <c r="F171" s="1326" t="s">
        <v>2544</v>
      </c>
      <c r="G171" s="1326" t="s">
        <v>2545</v>
      </c>
      <c r="H171" s="1326" t="s">
        <v>2546</v>
      </c>
      <c r="I171" s="1326" t="s">
        <v>730</v>
      </c>
      <c r="J171" s="1326" t="s">
        <v>191</v>
      </c>
      <c r="K171" s="1326" t="s">
        <v>2077</v>
      </c>
      <c r="L171" s="1326" t="s">
        <v>2137</v>
      </c>
      <c r="M171" s="1400"/>
      <c r="N171" s="1400"/>
      <c r="O171" s="1400"/>
      <c r="P171" s="1400"/>
      <c r="Q171" s="1400"/>
      <c r="R171" s="1400"/>
      <c r="S171" s="1400"/>
      <c r="T171" s="1400"/>
      <c r="U171" s="1400"/>
      <c r="V171" s="1400"/>
      <c r="W171" s="1400"/>
      <c r="X171" s="1400"/>
      <c r="Y171" s="1685">
        <v>43269</v>
      </c>
      <c r="Z171" s="1326" t="s">
        <v>2062</v>
      </c>
      <c r="AA171" s="1683">
        <v>0</v>
      </c>
      <c r="AB171" s="1683">
        <v>0</v>
      </c>
      <c r="AC171" s="1683">
        <v>0</v>
      </c>
      <c r="AD171" s="1685">
        <v>43322</v>
      </c>
      <c r="AE171" s="1326" t="s">
        <v>2066</v>
      </c>
      <c r="AF171" s="1326" t="s">
        <v>2067</v>
      </c>
      <c r="AG171" s="1410"/>
      <c r="AH171" s="1683">
        <v>53240</v>
      </c>
      <c r="AI171" s="1683">
        <v>53240</v>
      </c>
      <c r="AJ171" s="1683">
        <v>45253.98</v>
      </c>
      <c r="AK171" s="1683">
        <v>45253.98</v>
      </c>
      <c r="AL171" s="1683">
        <v>0</v>
      </c>
      <c r="AM171" s="1685">
        <v>43322</v>
      </c>
      <c r="AN171" s="1683">
        <v>53240</v>
      </c>
      <c r="AO171" s="1683">
        <v>53240</v>
      </c>
      <c r="AP171" s="1683">
        <v>45253.98</v>
      </c>
      <c r="AQ171" s="1683">
        <v>45253.98</v>
      </c>
      <c r="AR171" s="1683">
        <v>0</v>
      </c>
      <c r="AS171" s="1683">
        <v>7986.02</v>
      </c>
      <c r="AT171" s="1683">
        <v>0</v>
      </c>
      <c r="AU171" s="1683">
        <v>7986.02</v>
      </c>
      <c r="AV171" s="1683">
        <v>0</v>
      </c>
      <c r="AW171" s="1683">
        <v>0</v>
      </c>
      <c r="AX171" s="1400"/>
      <c r="AY171" s="1400"/>
      <c r="AZ171" s="1400"/>
      <c r="BA171" s="1682"/>
      <c r="BB171" s="1682"/>
      <c r="BC171" s="1400"/>
      <c r="BD171" s="1400"/>
      <c r="BE171" s="1683">
        <v>53240</v>
      </c>
      <c r="BF171" s="1683">
        <v>53240</v>
      </c>
      <c r="BG171" s="1683">
        <v>45253.98</v>
      </c>
      <c r="BH171" s="1683">
        <v>45253.98</v>
      </c>
      <c r="BI171" s="1683">
        <v>0</v>
      </c>
      <c r="BJ171" s="1683">
        <v>7986.02</v>
      </c>
      <c r="BK171" s="1683">
        <v>0</v>
      </c>
      <c r="BL171" s="1683">
        <v>7986.02</v>
      </c>
      <c r="BM171" s="1683">
        <v>0</v>
      </c>
      <c r="BN171" s="1683">
        <v>0</v>
      </c>
      <c r="BO171" s="1685">
        <v>43397</v>
      </c>
      <c r="BP171" s="1683">
        <v>53240</v>
      </c>
      <c r="BQ171" s="1683">
        <v>53240</v>
      </c>
      <c r="BR171" s="1683">
        <v>45253.98</v>
      </c>
      <c r="BS171" s="1683">
        <v>45253.98</v>
      </c>
      <c r="BT171" s="1683">
        <v>0</v>
      </c>
      <c r="BU171" s="1683">
        <v>7986.02</v>
      </c>
      <c r="BV171" s="1683">
        <v>0</v>
      </c>
      <c r="BW171" s="1683">
        <v>0</v>
      </c>
      <c r="BX171" s="1683">
        <v>0</v>
      </c>
      <c r="BY171" s="1683">
        <v>0</v>
      </c>
      <c r="BZ171" s="1683">
        <v>0</v>
      </c>
      <c r="CA171" s="1400"/>
      <c r="CB171" s="1682"/>
      <c r="CC171" s="1682"/>
      <c r="CD171" s="1400"/>
      <c r="CE171" s="1400"/>
      <c r="CF171" s="1683">
        <v>0</v>
      </c>
      <c r="CG171" s="1683">
        <v>0</v>
      </c>
      <c r="CH171" s="1683">
        <v>0</v>
      </c>
      <c r="CI171" s="1683">
        <v>0</v>
      </c>
      <c r="CJ171" s="1683">
        <v>0</v>
      </c>
      <c r="CK171" s="1683">
        <v>0</v>
      </c>
      <c r="CL171" s="1682"/>
      <c r="CM171" s="1683">
        <v>0</v>
      </c>
      <c r="CN171" s="1683">
        <v>0</v>
      </c>
      <c r="CO171" s="1683">
        <v>0</v>
      </c>
      <c r="CP171" s="1683">
        <v>0</v>
      </c>
      <c r="CQ171" s="1683">
        <v>0</v>
      </c>
      <c r="CR171" s="1683">
        <v>0</v>
      </c>
      <c r="CS171" s="1683">
        <v>0</v>
      </c>
      <c r="CT171" s="1683">
        <v>0</v>
      </c>
      <c r="CU171" s="1683">
        <v>0</v>
      </c>
      <c r="CV171" s="1683">
        <v>0</v>
      </c>
      <c r="CW171" s="1682"/>
      <c r="CX171" s="1400"/>
      <c r="CY171" s="1400"/>
      <c r="CZ171" s="1400"/>
      <c r="DA171" s="1400"/>
      <c r="DB171" s="1682"/>
      <c r="DC171" s="1326"/>
      <c r="DD171" s="1683">
        <v>0</v>
      </c>
      <c r="DE171" s="1400"/>
      <c r="DF171" s="1400"/>
      <c r="DG171" s="1683">
        <v>0</v>
      </c>
      <c r="DH171" s="1683">
        <v>0</v>
      </c>
    </row>
    <row r="172" spans="1:112" ht="56.25">
      <c r="A172" s="1326" t="s">
        <v>2177</v>
      </c>
      <c r="B172" s="1326" t="s">
        <v>1694</v>
      </c>
      <c r="C172" s="1326" t="s">
        <v>2557</v>
      </c>
      <c r="D172" s="1326" t="s">
        <v>2558</v>
      </c>
      <c r="E172" s="1326" t="s">
        <v>192</v>
      </c>
      <c r="F172" s="1326" t="s">
        <v>2544</v>
      </c>
      <c r="G172" s="1326" t="s">
        <v>2545</v>
      </c>
      <c r="H172" s="1326" t="s">
        <v>2546</v>
      </c>
      <c r="I172" s="1326" t="s">
        <v>730</v>
      </c>
      <c r="J172" s="1326" t="s">
        <v>191</v>
      </c>
      <c r="K172" s="1326" t="s">
        <v>2077</v>
      </c>
      <c r="L172" s="1326" t="s">
        <v>2137</v>
      </c>
      <c r="M172" s="1400"/>
      <c r="N172" s="1400"/>
      <c r="O172" s="1400"/>
      <c r="P172" s="1400"/>
      <c r="Q172" s="1400"/>
      <c r="R172" s="1400"/>
      <c r="S172" s="1400"/>
      <c r="T172" s="1400"/>
      <c r="U172" s="1400"/>
      <c r="V172" s="1400"/>
      <c r="W172" s="1400"/>
      <c r="X172" s="1400"/>
      <c r="Y172" s="1685">
        <v>43269</v>
      </c>
      <c r="Z172" s="1326" t="s">
        <v>2062</v>
      </c>
      <c r="AA172" s="1683">
        <v>0</v>
      </c>
      <c r="AB172" s="1683">
        <v>0</v>
      </c>
      <c r="AC172" s="1683">
        <v>0</v>
      </c>
      <c r="AD172" s="1685">
        <v>43322</v>
      </c>
      <c r="AE172" s="1326" t="s">
        <v>2066</v>
      </c>
      <c r="AF172" s="1326" t="s">
        <v>2064</v>
      </c>
      <c r="AG172" s="1410"/>
      <c r="AH172" s="1683">
        <v>238.87</v>
      </c>
      <c r="AI172" s="1683">
        <v>238.87</v>
      </c>
      <c r="AJ172" s="1683">
        <v>203.04</v>
      </c>
      <c r="AK172" s="1683">
        <v>203.04</v>
      </c>
      <c r="AL172" s="1683">
        <v>0</v>
      </c>
      <c r="AM172" s="1685">
        <v>43322</v>
      </c>
      <c r="AN172" s="1683">
        <v>238.87</v>
      </c>
      <c r="AO172" s="1683">
        <v>238.87</v>
      </c>
      <c r="AP172" s="1683">
        <v>203.04</v>
      </c>
      <c r="AQ172" s="1683">
        <v>203.04</v>
      </c>
      <c r="AR172" s="1683">
        <v>0</v>
      </c>
      <c r="AS172" s="1683">
        <v>35.83</v>
      </c>
      <c r="AT172" s="1683">
        <v>0</v>
      </c>
      <c r="AU172" s="1683">
        <v>35.83</v>
      </c>
      <c r="AV172" s="1683">
        <v>0</v>
      </c>
      <c r="AW172" s="1683">
        <v>0</v>
      </c>
      <c r="AX172" s="1400"/>
      <c r="AY172" s="1400"/>
      <c r="AZ172" s="1400"/>
      <c r="BA172" s="1682"/>
      <c r="BB172" s="1682"/>
      <c r="BC172" s="1400"/>
      <c r="BD172" s="1400"/>
      <c r="BE172" s="1683">
        <v>238.87</v>
      </c>
      <c r="BF172" s="1683">
        <v>238.87</v>
      </c>
      <c r="BG172" s="1683">
        <v>203.04</v>
      </c>
      <c r="BH172" s="1683">
        <v>203.04</v>
      </c>
      <c r="BI172" s="1683">
        <v>0</v>
      </c>
      <c r="BJ172" s="1683">
        <v>35.83</v>
      </c>
      <c r="BK172" s="1683">
        <v>0</v>
      </c>
      <c r="BL172" s="1683">
        <v>35.83</v>
      </c>
      <c r="BM172" s="1683">
        <v>0</v>
      </c>
      <c r="BN172" s="1683">
        <v>0</v>
      </c>
      <c r="BO172" s="1685">
        <v>43397</v>
      </c>
      <c r="BP172" s="1683">
        <v>238.87</v>
      </c>
      <c r="BQ172" s="1683">
        <v>238.87</v>
      </c>
      <c r="BR172" s="1683">
        <v>203.04</v>
      </c>
      <c r="BS172" s="1683">
        <v>203.04</v>
      </c>
      <c r="BT172" s="1683">
        <v>0</v>
      </c>
      <c r="BU172" s="1683">
        <v>35.83</v>
      </c>
      <c r="BV172" s="1683">
        <v>0</v>
      </c>
      <c r="BW172" s="1683">
        <v>0</v>
      </c>
      <c r="BX172" s="1683">
        <v>0</v>
      </c>
      <c r="BY172" s="1683">
        <v>0</v>
      </c>
      <c r="BZ172" s="1683">
        <v>0</v>
      </c>
      <c r="CA172" s="1400"/>
      <c r="CB172" s="1682"/>
      <c r="CC172" s="1682"/>
      <c r="CD172" s="1400"/>
      <c r="CE172" s="1400"/>
      <c r="CF172" s="1683">
        <v>0</v>
      </c>
      <c r="CG172" s="1683">
        <v>0</v>
      </c>
      <c r="CH172" s="1683">
        <v>0</v>
      </c>
      <c r="CI172" s="1683">
        <v>0</v>
      </c>
      <c r="CJ172" s="1683">
        <v>238.87</v>
      </c>
      <c r="CK172" s="1683">
        <v>238.87</v>
      </c>
      <c r="CL172" s="1682"/>
      <c r="CM172" s="1683">
        <v>0</v>
      </c>
      <c r="CN172" s="1683">
        <v>0</v>
      </c>
      <c r="CO172" s="1683">
        <v>0</v>
      </c>
      <c r="CP172" s="1683">
        <v>0</v>
      </c>
      <c r="CQ172" s="1683">
        <v>0</v>
      </c>
      <c r="CR172" s="1683">
        <v>0</v>
      </c>
      <c r="CS172" s="1683">
        <v>0</v>
      </c>
      <c r="CT172" s="1683">
        <v>0</v>
      </c>
      <c r="CU172" s="1683">
        <v>0</v>
      </c>
      <c r="CV172" s="1683">
        <v>0</v>
      </c>
      <c r="CW172" s="1682"/>
      <c r="CX172" s="1400"/>
      <c r="CY172" s="1400"/>
      <c r="CZ172" s="1400"/>
      <c r="DA172" s="1400"/>
      <c r="DB172" s="1682"/>
      <c r="DC172" s="1326"/>
      <c r="DD172" s="1683">
        <v>0</v>
      </c>
      <c r="DE172" s="1400"/>
      <c r="DF172" s="1400"/>
      <c r="DG172" s="1683">
        <v>0</v>
      </c>
      <c r="DH172" s="1683">
        <v>0</v>
      </c>
    </row>
    <row r="173" spans="1:112" ht="56.25">
      <c r="A173" s="1326" t="s">
        <v>2178</v>
      </c>
      <c r="B173" s="1326" t="s">
        <v>1694</v>
      </c>
      <c r="C173" s="1326" t="s">
        <v>2557</v>
      </c>
      <c r="D173" s="1326" t="s">
        <v>2558</v>
      </c>
      <c r="E173" s="1326" t="s">
        <v>192</v>
      </c>
      <c r="F173" s="1326" t="s">
        <v>2544</v>
      </c>
      <c r="G173" s="1326" t="s">
        <v>2545</v>
      </c>
      <c r="H173" s="1326" t="s">
        <v>2546</v>
      </c>
      <c r="I173" s="1326" t="s">
        <v>730</v>
      </c>
      <c r="J173" s="1326" t="s">
        <v>191</v>
      </c>
      <c r="K173" s="1326" t="s">
        <v>2077</v>
      </c>
      <c r="L173" s="1326" t="s">
        <v>2137</v>
      </c>
      <c r="M173" s="1400"/>
      <c r="N173" s="1400"/>
      <c r="O173" s="1400"/>
      <c r="P173" s="1400"/>
      <c r="Q173" s="1400"/>
      <c r="R173" s="1400"/>
      <c r="S173" s="1400"/>
      <c r="T173" s="1400"/>
      <c r="U173" s="1400"/>
      <c r="V173" s="1400"/>
      <c r="W173" s="1400"/>
      <c r="X173" s="1400"/>
      <c r="Y173" s="1685">
        <v>43437</v>
      </c>
      <c r="Z173" s="1326" t="s">
        <v>2145</v>
      </c>
      <c r="AA173" s="1683">
        <v>0</v>
      </c>
      <c r="AB173" s="1683">
        <v>0</v>
      </c>
      <c r="AC173" s="1683">
        <v>0</v>
      </c>
      <c r="AD173" s="1685">
        <v>43451</v>
      </c>
      <c r="AE173" s="1326" t="s">
        <v>2080</v>
      </c>
      <c r="AF173" s="1326" t="s">
        <v>2067</v>
      </c>
      <c r="AG173" s="1410"/>
      <c r="AH173" s="1683">
        <v>48286.83</v>
      </c>
      <c r="AI173" s="1683">
        <v>48286.83</v>
      </c>
      <c r="AJ173" s="1683">
        <v>41043.78</v>
      </c>
      <c r="AK173" s="1683">
        <v>41043.78</v>
      </c>
      <c r="AL173" s="1683">
        <v>0</v>
      </c>
      <c r="AM173" s="1685">
        <v>43452</v>
      </c>
      <c r="AN173" s="1683">
        <v>48286.83</v>
      </c>
      <c r="AO173" s="1683">
        <v>48286.83</v>
      </c>
      <c r="AP173" s="1683">
        <v>41043.78</v>
      </c>
      <c r="AQ173" s="1683">
        <v>41043.78</v>
      </c>
      <c r="AR173" s="1683">
        <v>0</v>
      </c>
      <c r="AS173" s="1683">
        <v>7243.05</v>
      </c>
      <c r="AT173" s="1683">
        <v>0</v>
      </c>
      <c r="AU173" s="1683">
        <v>7243.05</v>
      </c>
      <c r="AV173" s="1683">
        <v>0</v>
      </c>
      <c r="AW173" s="1683">
        <v>0</v>
      </c>
      <c r="AX173" s="1400"/>
      <c r="AY173" s="1400"/>
      <c r="AZ173" s="1400"/>
      <c r="BA173" s="1682"/>
      <c r="BB173" s="1682"/>
      <c r="BC173" s="1400"/>
      <c r="BD173" s="1400"/>
      <c r="BE173" s="1683">
        <v>48286.83</v>
      </c>
      <c r="BF173" s="1683">
        <v>48286.83</v>
      </c>
      <c r="BG173" s="1683">
        <v>41043.78</v>
      </c>
      <c r="BH173" s="1683">
        <v>41043.78</v>
      </c>
      <c r="BI173" s="1683">
        <v>0</v>
      </c>
      <c r="BJ173" s="1683">
        <v>7243.05</v>
      </c>
      <c r="BK173" s="1683">
        <v>0</v>
      </c>
      <c r="BL173" s="1683">
        <v>7243.05</v>
      </c>
      <c r="BM173" s="1683">
        <v>0</v>
      </c>
      <c r="BN173" s="1683">
        <v>0</v>
      </c>
      <c r="BO173" s="1685">
        <v>43553</v>
      </c>
      <c r="BP173" s="1683">
        <v>48286.83</v>
      </c>
      <c r="BQ173" s="1683">
        <v>48286.83</v>
      </c>
      <c r="BR173" s="1683">
        <v>41043.78</v>
      </c>
      <c r="BS173" s="1683">
        <v>41043.78</v>
      </c>
      <c r="BT173" s="1683">
        <v>0</v>
      </c>
      <c r="BU173" s="1683">
        <v>7243.05</v>
      </c>
      <c r="BV173" s="1683">
        <v>0</v>
      </c>
      <c r="BW173" s="1683">
        <v>0</v>
      </c>
      <c r="BX173" s="1683">
        <v>0</v>
      </c>
      <c r="BY173" s="1683">
        <v>0</v>
      </c>
      <c r="BZ173" s="1683">
        <v>0</v>
      </c>
      <c r="CA173" s="1400"/>
      <c r="CB173" s="1682"/>
      <c r="CC173" s="1682"/>
      <c r="CD173" s="1400"/>
      <c r="CE173" s="1400"/>
      <c r="CF173" s="1683">
        <v>0</v>
      </c>
      <c r="CG173" s="1683">
        <v>0</v>
      </c>
      <c r="CH173" s="1683">
        <v>0</v>
      </c>
      <c r="CI173" s="1683">
        <v>0</v>
      </c>
      <c r="CJ173" s="1683">
        <v>1096.83</v>
      </c>
      <c r="CK173" s="1683">
        <v>1096.83</v>
      </c>
      <c r="CL173" s="1682"/>
      <c r="CM173" s="1683">
        <v>0</v>
      </c>
      <c r="CN173" s="1683">
        <v>0</v>
      </c>
      <c r="CO173" s="1683">
        <v>0</v>
      </c>
      <c r="CP173" s="1683">
        <v>0</v>
      </c>
      <c r="CQ173" s="1683">
        <v>0</v>
      </c>
      <c r="CR173" s="1683">
        <v>0</v>
      </c>
      <c r="CS173" s="1683">
        <v>0</v>
      </c>
      <c r="CT173" s="1683">
        <v>0</v>
      </c>
      <c r="CU173" s="1683">
        <v>0</v>
      </c>
      <c r="CV173" s="1683">
        <v>0</v>
      </c>
      <c r="CW173" s="1682"/>
      <c r="CX173" s="1400"/>
      <c r="CY173" s="1400"/>
      <c r="CZ173" s="1400"/>
      <c r="DA173" s="1400"/>
      <c r="DB173" s="1682"/>
      <c r="DC173" s="1326"/>
      <c r="DD173" s="1683">
        <v>0</v>
      </c>
      <c r="DE173" s="1400"/>
      <c r="DF173" s="1400"/>
      <c r="DG173" s="1683">
        <v>0</v>
      </c>
      <c r="DH173" s="1683">
        <v>0</v>
      </c>
    </row>
    <row r="174" spans="1:112" ht="56.25">
      <c r="A174" s="1326" t="s">
        <v>2179</v>
      </c>
      <c r="B174" s="1326" t="s">
        <v>1694</v>
      </c>
      <c r="C174" s="1326" t="s">
        <v>2557</v>
      </c>
      <c r="D174" s="1326" t="s">
        <v>2558</v>
      </c>
      <c r="E174" s="1326" t="s">
        <v>192</v>
      </c>
      <c r="F174" s="1326" t="s">
        <v>2544</v>
      </c>
      <c r="G174" s="1326" t="s">
        <v>2545</v>
      </c>
      <c r="H174" s="1326" t="s">
        <v>2546</v>
      </c>
      <c r="I174" s="1326" t="s">
        <v>731</v>
      </c>
      <c r="J174" s="1326" t="s">
        <v>305</v>
      </c>
      <c r="K174" s="1326" t="s">
        <v>2060</v>
      </c>
      <c r="L174" s="1326" t="s">
        <v>2061</v>
      </c>
      <c r="M174" s="1683">
        <v>296679.24</v>
      </c>
      <c r="N174" s="1683">
        <v>0</v>
      </c>
      <c r="O174" s="1683">
        <v>296679.24</v>
      </c>
      <c r="P174" s="1683">
        <v>296679.24</v>
      </c>
      <c r="Q174" s="1683">
        <v>252177.35</v>
      </c>
      <c r="R174" s="1683">
        <v>252177.35</v>
      </c>
      <c r="S174" s="1683">
        <v>0</v>
      </c>
      <c r="T174" s="1683">
        <v>44501.89</v>
      </c>
      <c r="U174" s="1683">
        <v>0</v>
      </c>
      <c r="V174" s="1683">
        <v>44501.89</v>
      </c>
      <c r="W174" s="1683">
        <v>0</v>
      </c>
      <c r="X174" s="1683">
        <v>0</v>
      </c>
      <c r="Y174" s="1682"/>
      <c r="Z174" s="1326"/>
      <c r="AA174" s="1683">
        <v>136804.54999999999</v>
      </c>
      <c r="AB174" s="1683">
        <v>136804.54999999999</v>
      </c>
      <c r="AC174" s="1683">
        <v>0</v>
      </c>
      <c r="AD174" s="1682"/>
      <c r="AE174" s="1326"/>
      <c r="AF174" s="1326"/>
      <c r="AG174" s="1410"/>
      <c r="AH174" s="1683">
        <v>235665.95</v>
      </c>
      <c r="AI174" s="1683">
        <v>372470.5</v>
      </c>
      <c r="AJ174" s="1683">
        <v>200316.06</v>
      </c>
      <c r="AK174" s="1683">
        <v>200316.06</v>
      </c>
      <c r="AL174" s="1683">
        <v>0</v>
      </c>
      <c r="AM174" s="1682"/>
      <c r="AN174" s="1683">
        <v>235665.95</v>
      </c>
      <c r="AO174" s="1683">
        <v>235665.95</v>
      </c>
      <c r="AP174" s="1683">
        <v>200316.06</v>
      </c>
      <c r="AQ174" s="1683">
        <v>200316.06</v>
      </c>
      <c r="AR174" s="1683">
        <v>0</v>
      </c>
      <c r="AS174" s="1683">
        <v>35349.89</v>
      </c>
      <c r="AT174" s="1683">
        <v>0</v>
      </c>
      <c r="AU174" s="1683">
        <v>35349.89</v>
      </c>
      <c r="AV174" s="1683">
        <v>0</v>
      </c>
      <c r="AW174" s="1683">
        <v>0</v>
      </c>
      <c r="AX174" s="1683">
        <v>0</v>
      </c>
      <c r="AY174" s="1683">
        <v>0</v>
      </c>
      <c r="AZ174" s="1683">
        <v>0</v>
      </c>
      <c r="BA174" s="1682"/>
      <c r="BB174" s="1682"/>
      <c r="BC174" s="1683">
        <v>0</v>
      </c>
      <c r="BD174" s="1683">
        <v>0</v>
      </c>
      <c r="BE174" s="1683">
        <v>235665.95</v>
      </c>
      <c r="BF174" s="1683">
        <v>235665.95</v>
      </c>
      <c r="BG174" s="1683">
        <v>200316.06</v>
      </c>
      <c r="BH174" s="1683">
        <v>200316.06</v>
      </c>
      <c r="BI174" s="1683">
        <v>0</v>
      </c>
      <c r="BJ174" s="1683">
        <v>35349.89</v>
      </c>
      <c r="BK174" s="1683">
        <v>0</v>
      </c>
      <c r="BL174" s="1683">
        <v>35349.89</v>
      </c>
      <c r="BM174" s="1683">
        <v>0</v>
      </c>
      <c r="BN174" s="1683">
        <v>0</v>
      </c>
      <c r="BO174" s="1682"/>
      <c r="BP174" s="1683">
        <v>235665.95</v>
      </c>
      <c r="BQ174" s="1683">
        <v>235665.95</v>
      </c>
      <c r="BR174" s="1683">
        <v>200316.06</v>
      </c>
      <c r="BS174" s="1683">
        <v>200316.06</v>
      </c>
      <c r="BT174" s="1683">
        <v>0</v>
      </c>
      <c r="BU174" s="1683">
        <v>35349.89</v>
      </c>
      <c r="BV174" s="1683">
        <v>0</v>
      </c>
      <c r="BW174" s="1683">
        <v>1613.33</v>
      </c>
      <c r="BX174" s="1683">
        <v>0</v>
      </c>
      <c r="BY174" s="1683">
        <v>0</v>
      </c>
      <c r="BZ174" s="1683">
        <v>0</v>
      </c>
      <c r="CA174" s="1683">
        <v>0</v>
      </c>
      <c r="CB174" s="1682"/>
      <c r="CC174" s="1682"/>
      <c r="CD174" s="1683">
        <v>0</v>
      </c>
      <c r="CE174" s="1683">
        <v>0</v>
      </c>
      <c r="CF174" s="1683">
        <v>0</v>
      </c>
      <c r="CG174" s="1683">
        <v>0</v>
      </c>
      <c r="CH174" s="1683">
        <v>0</v>
      </c>
      <c r="CI174" s="1683">
        <v>0</v>
      </c>
      <c r="CJ174" s="1683">
        <v>2356.41</v>
      </c>
      <c r="CK174" s="1683">
        <v>2356.41</v>
      </c>
      <c r="CL174" s="1682"/>
      <c r="CM174" s="1683">
        <v>10755.54</v>
      </c>
      <c r="CN174" s="1683">
        <v>10755.54</v>
      </c>
      <c r="CO174" s="1683">
        <v>9142.2099999999991</v>
      </c>
      <c r="CP174" s="1683">
        <v>9142.2099999999991</v>
      </c>
      <c r="CQ174" s="1683">
        <v>0</v>
      </c>
      <c r="CR174" s="1683">
        <v>1613.33</v>
      </c>
      <c r="CS174" s="1683">
        <v>0</v>
      </c>
      <c r="CT174" s="1683">
        <v>1613.33</v>
      </c>
      <c r="CU174" s="1683">
        <v>0</v>
      </c>
      <c r="CV174" s="1683">
        <v>0</v>
      </c>
      <c r="CW174" s="1682"/>
      <c r="CX174" s="1683">
        <v>0</v>
      </c>
      <c r="CY174" s="1683">
        <v>0</v>
      </c>
      <c r="CZ174" s="1683">
        <v>10755.54</v>
      </c>
      <c r="DA174" s="1683">
        <v>10755.54</v>
      </c>
      <c r="DB174" s="1682"/>
      <c r="DC174" s="1326"/>
      <c r="DD174" s="1683">
        <v>0</v>
      </c>
      <c r="DE174" s="1683">
        <v>0</v>
      </c>
      <c r="DF174" s="1683">
        <v>0</v>
      </c>
      <c r="DG174" s="1683">
        <v>0</v>
      </c>
      <c r="DH174" s="1683">
        <v>0</v>
      </c>
    </row>
    <row r="175" spans="1:112" ht="56.25">
      <c r="A175" s="1326" t="s">
        <v>2180</v>
      </c>
      <c r="B175" s="1326" t="s">
        <v>1694</v>
      </c>
      <c r="C175" s="1326" t="s">
        <v>2557</v>
      </c>
      <c r="D175" s="1326" t="s">
        <v>2558</v>
      </c>
      <c r="E175" s="1326" t="s">
        <v>192</v>
      </c>
      <c r="F175" s="1326" t="s">
        <v>2544</v>
      </c>
      <c r="G175" s="1326" t="s">
        <v>2545</v>
      </c>
      <c r="H175" s="1326" t="s">
        <v>2546</v>
      </c>
      <c r="I175" s="1326" t="s">
        <v>731</v>
      </c>
      <c r="J175" s="1326" t="s">
        <v>305</v>
      </c>
      <c r="K175" s="1326" t="s">
        <v>2060</v>
      </c>
      <c r="L175" s="1326" t="s">
        <v>2061</v>
      </c>
      <c r="M175" s="1400"/>
      <c r="N175" s="1400"/>
      <c r="O175" s="1400"/>
      <c r="P175" s="1400"/>
      <c r="Q175" s="1400"/>
      <c r="R175" s="1400"/>
      <c r="S175" s="1400"/>
      <c r="T175" s="1400"/>
      <c r="U175" s="1400"/>
      <c r="V175" s="1400"/>
      <c r="W175" s="1400"/>
      <c r="X175" s="1400"/>
      <c r="Y175" s="1685">
        <v>42927</v>
      </c>
      <c r="Z175" s="1326" t="s">
        <v>2096</v>
      </c>
      <c r="AA175" s="1683">
        <v>0</v>
      </c>
      <c r="AB175" s="1683">
        <v>0</v>
      </c>
      <c r="AC175" s="1683">
        <v>0</v>
      </c>
      <c r="AD175" s="1685">
        <v>42935</v>
      </c>
      <c r="AE175" s="1326" t="s">
        <v>2073</v>
      </c>
      <c r="AF175" s="1326" t="s">
        <v>2064</v>
      </c>
      <c r="AG175" s="1410"/>
      <c r="AH175" s="1683">
        <v>0</v>
      </c>
      <c r="AI175" s="1683">
        <v>78928.11</v>
      </c>
      <c r="AJ175" s="1683">
        <v>78928.11</v>
      </c>
      <c r="AK175" s="1683">
        <v>78928.11</v>
      </c>
      <c r="AL175" s="1683">
        <v>0</v>
      </c>
      <c r="AM175" s="1682"/>
      <c r="AN175" s="1683">
        <v>0</v>
      </c>
      <c r="AO175" s="1683">
        <v>0</v>
      </c>
      <c r="AP175" s="1683">
        <v>0</v>
      </c>
      <c r="AQ175" s="1683">
        <v>0</v>
      </c>
      <c r="AR175" s="1683">
        <v>0</v>
      </c>
      <c r="AS175" s="1683">
        <v>0</v>
      </c>
      <c r="AT175" s="1683">
        <v>0</v>
      </c>
      <c r="AU175" s="1683">
        <v>0</v>
      </c>
      <c r="AV175" s="1683">
        <v>0</v>
      </c>
      <c r="AW175" s="1683">
        <v>0</v>
      </c>
      <c r="AX175" s="1400"/>
      <c r="AY175" s="1400"/>
      <c r="AZ175" s="1400"/>
      <c r="BA175" s="1682"/>
      <c r="BB175" s="1682"/>
      <c r="BC175" s="1400"/>
      <c r="BD175" s="1400"/>
      <c r="BE175" s="1683">
        <v>0</v>
      </c>
      <c r="BF175" s="1683">
        <v>0</v>
      </c>
      <c r="BG175" s="1683">
        <v>0</v>
      </c>
      <c r="BH175" s="1683">
        <v>0</v>
      </c>
      <c r="BI175" s="1683">
        <v>0</v>
      </c>
      <c r="BJ175" s="1683">
        <v>0</v>
      </c>
      <c r="BK175" s="1683">
        <v>0</v>
      </c>
      <c r="BL175" s="1683">
        <v>0</v>
      </c>
      <c r="BM175" s="1683">
        <v>0</v>
      </c>
      <c r="BN175" s="1683">
        <v>0</v>
      </c>
      <c r="BO175" s="1682"/>
      <c r="BP175" s="1683">
        <v>0</v>
      </c>
      <c r="BQ175" s="1683">
        <v>0</v>
      </c>
      <c r="BR175" s="1683">
        <v>0</v>
      </c>
      <c r="BS175" s="1683">
        <v>0</v>
      </c>
      <c r="BT175" s="1683">
        <v>0</v>
      </c>
      <c r="BU175" s="1683">
        <v>0</v>
      </c>
      <c r="BV175" s="1683">
        <v>0</v>
      </c>
      <c r="BW175" s="1683">
        <v>0</v>
      </c>
      <c r="BX175" s="1683">
        <v>0</v>
      </c>
      <c r="BY175" s="1683">
        <v>0</v>
      </c>
      <c r="BZ175" s="1400"/>
      <c r="CA175" s="1400"/>
      <c r="CB175" s="1682"/>
      <c r="CC175" s="1682"/>
      <c r="CD175" s="1400"/>
      <c r="CE175" s="1400"/>
      <c r="CF175" s="1683">
        <v>0</v>
      </c>
      <c r="CG175" s="1683">
        <v>0</v>
      </c>
      <c r="CH175" s="1683">
        <v>0</v>
      </c>
      <c r="CI175" s="1683">
        <v>0</v>
      </c>
      <c r="CJ175" s="1683">
        <v>0</v>
      </c>
      <c r="CK175" s="1683">
        <v>0</v>
      </c>
      <c r="CL175" s="1682"/>
      <c r="CM175" s="1683">
        <v>0</v>
      </c>
      <c r="CN175" s="1683">
        <v>0</v>
      </c>
      <c r="CO175" s="1683">
        <v>0</v>
      </c>
      <c r="CP175" s="1683">
        <v>0</v>
      </c>
      <c r="CQ175" s="1683">
        <v>0</v>
      </c>
      <c r="CR175" s="1683">
        <v>0</v>
      </c>
      <c r="CS175" s="1683">
        <v>0</v>
      </c>
      <c r="CT175" s="1683">
        <v>0</v>
      </c>
      <c r="CU175" s="1683">
        <v>0</v>
      </c>
      <c r="CV175" s="1683">
        <v>0</v>
      </c>
      <c r="CW175" s="1682"/>
      <c r="CX175" s="1400"/>
      <c r="CY175" s="1400"/>
      <c r="CZ175" s="1400"/>
      <c r="DA175" s="1400"/>
      <c r="DB175" s="1682"/>
      <c r="DC175" s="1326"/>
      <c r="DD175" s="1683">
        <v>0</v>
      </c>
      <c r="DE175" s="1400"/>
      <c r="DF175" s="1400"/>
      <c r="DG175" s="1683">
        <v>0</v>
      </c>
      <c r="DH175" s="1683">
        <v>0</v>
      </c>
    </row>
    <row r="176" spans="1:112" ht="56.25">
      <c r="A176" s="1326" t="s">
        <v>2181</v>
      </c>
      <c r="B176" s="1326" t="s">
        <v>1694</v>
      </c>
      <c r="C176" s="1326" t="s">
        <v>2557</v>
      </c>
      <c r="D176" s="1326" t="s">
        <v>2558</v>
      </c>
      <c r="E176" s="1326" t="s">
        <v>192</v>
      </c>
      <c r="F176" s="1326" t="s">
        <v>2544</v>
      </c>
      <c r="G176" s="1326" t="s">
        <v>2545</v>
      </c>
      <c r="H176" s="1326" t="s">
        <v>2546</v>
      </c>
      <c r="I176" s="1326" t="s">
        <v>731</v>
      </c>
      <c r="J176" s="1326" t="s">
        <v>305</v>
      </c>
      <c r="K176" s="1326" t="s">
        <v>2060</v>
      </c>
      <c r="L176" s="1326" t="s">
        <v>2061</v>
      </c>
      <c r="M176" s="1400"/>
      <c r="N176" s="1400"/>
      <c r="O176" s="1400"/>
      <c r="P176" s="1400"/>
      <c r="Q176" s="1400"/>
      <c r="R176" s="1400"/>
      <c r="S176" s="1400"/>
      <c r="T176" s="1400"/>
      <c r="U176" s="1400"/>
      <c r="V176" s="1400"/>
      <c r="W176" s="1400"/>
      <c r="X176" s="1400"/>
      <c r="Y176" s="1685">
        <v>42984</v>
      </c>
      <c r="Z176" s="1326" t="s">
        <v>2062</v>
      </c>
      <c r="AA176" s="1683">
        <v>0</v>
      </c>
      <c r="AB176" s="1683">
        <v>0</v>
      </c>
      <c r="AC176" s="1683">
        <v>0</v>
      </c>
      <c r="AD176" s="1685">
        <v>43013</v>
      </c>
      <c r="AE176" s="1326" t="s">
        <v>2063</v>
      </c>
      <c r="AF176" s="1326" t="s">
        <v>2064</v>
      </c>
      <c r="AG176" s="1410"/>
      <c r="AH176" s="1683">
        <v>10755.54</v>
      </c>
      <c r="AI176" s="1683">
        <v>10755.54</v>
      </c>
      <c r="AJ176" s="1683">
        <v>9142.2099999999991</v>
      </c>
      <c r="AK176" s="1683">
        <v>9142.2099999999991</v>
      </c>
      <c r="AL176" s="1683">
        <v>0</v>
      </c>
      <c r="AM176" s="1685">
        <v>43013</v>
      </c>
      <c r="AN176" s="1683">
        <v>10755.54</v>
      </c>
      <c r="AO176" s="1683">
        <v>10755.54</v>
      </c>
      <c r="AP176" s="1683">
        <v>9142.2099999999991</v>
      </c>
      <c r="AQ176" s="1683">
        <v>9142.2099999999991</v>
      </c>
      <c r="AR176" s="1683">
        <v>0</v>
      </c>
      <c r="AS176" s="1683">
        <v>1613.33</v>
      </c>
      <c r="AT176" s="1683">
        <v>0</v>
      </c>
      <c r="AU176" s="1683">
        <v>1613.33</v>
      </c>
      <c r="AV176" s="1683">
        <v>0</v>
      </c>
      <c r="AW176" s="1683">
        <v>0</v>
      </c>
      <c r="AX176" s="1400"/>
      <c r="AY176" s="1400"/>
      <c r="AZ176" s="1400"/>
      <c r="BA176" s="1682"/>
      <c r="BB176" s="1682"/>
      <c r="BC176" s="1400"/>
      <c r="BD176" s="1400"/>
      <c r="BE176" s="1683">
        <v>10755.54</v>
      </c>
      <c r="BF176" s="1683">
        <v>10755.54</v>
      </c>
      <c r="BG176" s="1683">
        <v>9142.2099999999991</v>
      </c>
      <c r="BH176" s="1683">
        <v>9142.2099999999991</v>
      </c>
      <c r="BI176" s="1683">
        <v>0</v>
      </c>
      <c r="BJ176" s="1683">
        <v>1613.33</v>
      </c>
      <c r="BK176" s="1683">
        <v>0</v>
      </c>
      <c r="BL176" s="1683">
        <v>1613.33</v>
      </c>
      <c r="BM176" s="1683">
        <v>0</v>
      </c>
      <c r="BN176" s="1683">
        <v>0</v>
      </c>
      <c r="BO176" s="1685">
        <v>43125</v>
      </c>
      <c r="BP176" s="1683">
        <v>10755.54</v>
      </c>
      <c r="BQ176" s="1683">
        <v>10755.54</v>
      </c>
      <c r="BR176" s="1683">
        <v>9142.2099999999991</v>
      </c>
      <c r="BS176" s="1683">
        <v>9142.2099999999991</v>
      </c>
      <c r="BT176" s="1683">
        <v>0</v>
      </c>
      <c r="BU176" s="1683">
        <v>1613.33</v>
      </c>
      <c r="BV176" s="1683">
        <v>0</v>
      </c>
      <c r="BW176" s="1683">
        <v>1613.33</v>
      </c>
      <c r="BX176" s="1683">
        <v>0</v>
      </c>
      <c r="BY176" s="1683">
        <v>0</v>
      </c>
      <c r="BZ176" s="1683">
        <v>0</v>
      </c>
      <c r="CA176" s="1400"/>
      <c r="CB176" s="1682"/>
      <c r="CC176" s="1682"/>
      <c r="CD176" s="1400"/>
      <c r="CE176" s="1400"/>
      <c r="CF176" s="1683">
        <v>0</v>
      </c>
      <c r="CG176" s="1683">
        <v>0</v>
      </c>
      <c r="CH176" s="1683">
        <v>0</v>
      </c>
      <c r="CI176" s="1683">
        <v>0</v>
      </c>
      <c r="CJ176" s="1683">
        <v>107.54</v>
      </c>
      <c r="CK176" s="1683">
        <v>107.54</v>
      </c>
      <c r="CL176" s="1685">
        <v>43511</v>
      </c>
      <c r="CM176" s="1683">
        <v>10755.54</v>
      </c>
      <c r="CN176" s="1683">
        <v>10755.54</v>
      </c>
      <c r="CO176" s="1683">
        <v>9142.2099999999991</v>
      </c>
      <c r="CP176" s="1683">
        <v>9142.2099999999991</v>
      </c>
      <c r="CQ176" s="1683">
        <v>0</v>
      </c>
      <c r="CR176" s="1683">
        <v>1613.33</v>
      </c>
      <c r="CS176" s="1683">
        <v>0</v>
      </c>
      <c r="CT176" s="1683">
        <v>1613.33</v>
      </c>
      <c r="CU176" s="1683">
        <v>0</v>
      </c>
      <c r="CV176" s="1683">
        <v>0</v>
      </c>
      <c r="CW176" s="1682"/>
      <c r="CX176" s="1400"/>
      <c r="CY176" s="1400"/>
      <c r="CZ176" s="1400"/>
      <c r="DA176" s="1400"/>
      <c r="DB176" s="1682"/>
      <c r="DC176" s="1326"/>
      <c r="DD176" s="1683">
        <v>0</v>
      </c>
      <c r="DE176" s="1400"/>
      <c r="DF176" s="1400"/>
      <c r="DG176" s="1683">
        <v>0</v>
      </c>
      <c r="DH176" s="1683">
        <v>0</v>
      </c>
    </row>
    <row r="177" spans="1:112" ht="56.25">
      <c r="A177" s="1326" t="s">
        <v>2182</v>
      </c>
      <c r="B177" s="1326" t="s">
        <v>1694</v>
      </c>
      <c r="C177" s="1326" t="s">
        <v>2557</v>
      </c>
      <c r="D177" s="1326" t="s">
        <v>2558</v>
      </c>
      <c r="E177" s="1326" t="s">
        <v>192</v>
      </c>
      <c r="F177" s="1326" t="s">
        <v>2544</v>
      </c>
      <c r="G177" s="1326" t="s">
        <v>2545</v>
      </c>
      <c r="H177" s="1326" t="s">
        <v>2546</v>
      </c>
      <c r="I177" s="1326" t="s">
        <v>731</v>
      </c>
      <c r="J177" s="1326" t="s">
        <v>305</v>
      </c>
      <c r="K177" s="1326" t="s">
        <v>2060</v>
      </c>
      <c r="L177" s="1326" t="s">
        <v>2061</v>
      </c>
      <c r="M177" s="1400"/>
      <c r="N177" s="1400"/>
      <c r="O177" s="1400"/>
      <c r="P177" s="1400"/>
      <c r="Q177" s="1400"/>
      <c r="R177" s="1400"/>
      <c r="S177" s="1400"/>
      <c r="T177" s="1400"/>
      <c r="U177" s="1400"/>
      <c r="V177" s="1400"/>
      <c r="W177" s="1400"/>
      <c r="X177" s="1400"/>
      <c r="Y177" s="1685">
        <v>43182</v>
      </c>
      <c r="Z177" s="1326" t="s">
        <v>2062</v>
      </c>
      <c r="AA177" s="1683">
        <v>0</v>
      </c>
      <c r="AB177" s="1683">
        <v>0</v>
      </c>
      <c r="AC177" s="1683">
        <v>0</v>
      </c>
      <c r="AD177" s="1685">
        <v>43202</v>
      </c>
      <c r="AE177" s="1326" t="s">
        <v>2079</v>
      </c>
      <c r="AF177" s="1326" t="s">
        <v>2064</v>
      </c>
      <c r="AG177" s="1410"/>
      <c r="AH177" s="1683">
        <v>52946.61</v>
      </c>
      <c r="AI177" s="1683">
        <v>52946.61</v>
      </c>
      <c r="AJ177" s="1683">
        <v>45004.62</v>
      </c>
      <c r="AK177" s="1683">
        <v>45004.62</v>
      </c>
      <c r="AL177" s="1683">
        <v>0</v>
      </c>
      <c r="AM177" s="1685">
        <v>43202</v>
      </c>
      <c r="AN177" s="1683">
        <v>52946.61</v>
      </c>
      <c r="AO177" s="1683">
        <v>52946.61</v>
      </c>
      <c r="AP177" s="1683">
        <v>45004.62</v>
      </c>
      <c r="AQ177" s="1683">
        <v>45004.62</v>
      </c>
      <c r="AR177" s="1683">
        <v>0</v>
      </c>
      <c r="AS177" s="1683">
        <v>7941.99</v>
      </c>
      <c r="AT177" s="1683">
        <v>0</v>
      </c>
      <c r="AU177" s="1683">
        <v>7941.99</v>
      </c>
      <c r="AV177" s="1683">
        <v>0</v>
      </c>
      <c r="AW177" s="1683">
        <v>0</v>
      </c>
      <c r="AX177" s="1400"/>
      <c r="AY177" s="1400"/>
      <c r="AZ177" s="1400"/>
      <c r="BA177" s="1682"/>
      <c r="BB177" s="1682"/>
      <c r="BC177" s="1400"/>
      <c r="BD177" s="1400"/>
      <c r="BE177" s="1683">
        <v>52946.61</v>
      </c>
      <c r="BF177" s="1683">
        <v>52946.61</v>
      </c>
      <c r="BG177" s="1683">
        <v>45004.62</v>
      </c>
      <c r="BH177" s="1683">
        <v>45004.62</v>
      </c>
      <c r="BI177" s="1683">
        <v>0</v>
      </c>
      <c r="BJ177" s="1683">
        <v>7941.99</v>
      </c>
      <c r="BK177" s="1683">
        <v>0</v>
      </c>
      <c r="BL177" s="1683">
        <v>7941.99</v>
      </c>
      <c r="BM177" s="1683">
        <v>0</v>
      </c>
      <c r="BN177" s="1683">
        <v>0</v>
      </c>
      <c r="BO177" s="1685">
        <v>43355</v>
      </c>
      <c r="BP177" s="1683">
        <v>52946.61</v>
      </c>
      <c r="BQ177" s="1683">
        <v>52946.61</v>
      </c>
      <c r="BR177" s="1683">
        <v>45004.62</v>
      </c>
      <c r="BS177" s="1683">
        <v>45004.62</v>
      </c>
      <c r="BT177" s="1683">
        <v>0</v>
      </c>
      <c r="BU177" s="1683">
        <v>7941.99</v>
      </c>
      <c r="BV177" s="1683">
        <v>0</v>
      </c>
      <c r="BW177" s="1683">
        <v>0</v>
      </c>
      <c r="BX177" s="1683">
        <v>0</v>
      </c>
      <c r="BY177" s="1683">
        <v>0</v>
      </c>
      <c r="BZ177" s="1683">
        <v>0</v>
      </c>
      <c r="CA177" s="1400"/>
      <c r="CB177" s="1682"/>
      <c r="CC177" s="1682"/>
      <c r="CD177" s="1400"/>
      <c r="CE177" s="1400"/>
      <c r="CF177" s="1683">
        <v>0</v>
      </c>
      <c r="CG177" s="1683">
        <v>0</v>
      </c>
      <c r="CH177" s="1683">
        <v>0</v>
      </c>
      <c r="CI177" s="1683">
        <v>0</v>
      </c>
      <c r="CJ177" s="1683">
        <v>529.41</v>
      </c>
      <c r="CK177" s="1683">
        <v>529.41</v>
      </c>
      <c r="CL177" s="1682"/>
      <c r="CM177" s="1683">
        <v>0</v>
      </c>
      <c r="CN177" s="1683">
        <v>0</v>
      </c>
      <c r="CO177" s="1683">
        <v>0</v>
      </c>
      <c r="CP177" s="1683">
        <v>0</v>
      </c>
      <c r="CQ177" s="1683">
        <v>0</v>
      </c>
      <c r="CR177" s="1683">
        <v>0</v>
      </c>
      <c r="CS177" s="1683">
        <v>0</v>
      </c>
      <c r="CT177" s="1683">
        <v>0</v>
      </c>
      <c r="CU177" s="1683">
        <v>0</v>
      </c>
      <c r="CV177" s="1683">
        <v>0</v>
      </c>
      <c r="CW177" s="1682"/>
      <c r="CX177" s="1400"/>
      <c r="CY177" s="1400"/>
      <c r="CZ177" s="1400"/>
      <c r="DA177" s="1400"/>
      <c r="DB177" s="1682"/>
      <c r="DC177" s="1326"/>
      <c r="DD177" s="1683">
        <v>0</v>
      </c>
      <c r="DE177" s="1400"/>
      <c r="DF177" s="1400"/>
      <c r="DG177" s="1683">
        <v>0</v>
      </c>
      <c r="DH177" s="1683">
        <v>0</v>
      </c>
    </row>
    <row r="178" spans="1:112" ht="56.25">
      <c r="A178" s="1326" t="s">
        <v>2183</v>
      </c>
      <c r="B178" s="1326" t="s">
        <v>1694</v>
      </c>
      <c r="C178" s="1326" t="s">
        <v>2557</v>
      </c>
      <c r="D178" s="1326" t="s">
        <v>2558</v>
      </c>
      <c r="E178" s="1326" t="s">
        <v>192</v>
      </c>
      <c r="F178" s="1326" t="s">
        <v>2544</v>
      </c>
      <c r="G178" s="1326" t="s">
        <v>2545</v>
      </c>
      <c r="H178" s="1326" t="s">
        <v>2546</v>
      </c>
      <c r="I178" s="1326" t="s">
        <v>731</v>
      </c>
      <c r="J178" s="1326" t="s">
        <v>305</v>
      </c>
      <c r="K178" s="1326" t="s">
        <v>2060</v>
      </c>
      <c r="L178" s="1326" t="s">
        <v>2061</v>
      </c>
      <c r="M178" s="1400"/>
      <c r="N178" s="1400"/>
      <c r="O178" s="1400"/>
      <c r="P178" s="1400"/>
      <c r="Q178" s="1400"/>
      <c r="R178" s="1400"/>
      <c r="S178" s="1400"/>
      <c r="T178" s="1400"/>
      <c r="U178" s="1400"/>
      <c r="V178" s="1400"/>
      <c r="W178" s="1400"/>
      <c r="X178" s="1400"/>
      <c r="Y178" s="1685">
        <v>43273</v>
      </c>
      <c r="Z178" s="1326" t="s">
        <v>2062</v>
      </c>
      <c r="AA178" s="1683">
        <v>23813.39</v>
      </c>
      <c r="AB178" s="1683">
        <v>23813.39</v>
      </c>
      <c r="AC178" s="1683">
        <v>0</v>
      </c>
      <c r="AD178" s="1685">
        <v>43285</v>
      </c>
      <c r="AE178" s="1326" t="s">
        <v>2080</v>
      </c>
      <c r="AF178" s="1326" t="s">
        <v>2067</v>
      </c>
      <c r="AG178" s="1410"/>
      <c r="AH178" s="1683">
        <v>28015.75</v>
      </c>
      <c r="AI178" s="1683">
        <v>28015.75</v>
      </c>
      <c r="AJ178" s="1683">
        <v>0</v>
      </c>
      <c r="AK178" s="1683">
        <v>0</v>
      </c>
      <c r="AL178" s="1683">
        <v>0</v>
      </c>
      <c r="AM178" s="1685">
        <v>43332</v>
      </c>
      <c r="AN178" s="1683">
        <v>28015.75</v>
      </c>
      <c r="AO178" s="1683">
        <v>28015.75</v>
      </c>
      <c r="AP178" s="1683">
        <v>23813.39</v>
      </c>
      <c r="AQ178" s="1683">
        <v>23813.39</v>
      </c>
      <c r="AR178" s="1683">
        <v>0</v>
      </c>
      <c r="AS178" s="1683">
        <v>4202.3599999999997</v>
      </c>
      <c r="AT178" s="1683">
        <v>0</v>
      </c>
      <c r="AU178" s="1683">
        <v>4202.3599999999997</v>
      </c>
      <c r="AV178" s="1683">
        <v>0</v>
      </c>
      <c r="AW178" s="1683">
        <v>0</v>
      </c>
      <c r="AX178" s="1400"/>
      <c r="AY178" s="1400"/>
      <c r="AZ178" s="1400"/>
      <c r="BA178" s="1682"/>
      <c r="BB178" s="1682"/>
      <c r="BC178" s="1400"/>
      <c r="BD178" s="1400"/>
      <c r="BE178" s="1683">
        <v>28015.75</v>
      </c>
      <c r="BF178" s="1683">
        <v>28015.75</v>
      </c>
      <c r="BG178" s="1683">
        <v>23813.39</v>
      </c>
      <c r="BH178" s="1683">
        <v>23813.39</v>
      </c>
      <c r="BI178" s="1683">
        <v>0</v>
      </c>
      <c r="BJ178" s="1683">
        <v>4202.3599999999997</v>
      </c>
      <c r="BK178" s="1683">
        <v>0</v>
      </c>
      <c r="BL178" s="1683">
        <v>4202.3599999999997</v>
      </c>
      <c r="BM178" s="1683">
        <v>0</v>
      </c>
      <c r="BN178" s="1683">
        <v>0</v>
      </c>
      <c r="BO178" s="1685">
        <v>43397</v>
      </c>
      <c r="BP178" s="1683">
        <v>28015.75</v>
      </c>
      <c r="BQ178" s="1683">
        <v>28015.75</v>
      </c>
      <c r="BR178" s="1683">
        <v>23813.39</v>
      </c>
      <c r="BS178" s="1683">
        <v>23813.39</v>
      </c>
      <c r="BT178" s="1683">
        <v>0</v>
      </c>
      <c r="BU178" s="1683">
        <v>4202.3599999999997</v>
      </c>
      <c r="BV178" s="1683">
        <v>0</v>
      </c>
      <c r="BW178" s="1683">
        <v>0</v>
      </c>
      <c r="BX178" s="1683">
        <v>0</v>
      </c>
      <c r="BY178" s="1683">
        <v>0</v>
      </c>
      <c r="BZ178" s="1683">
        <v>0</v>
      </c>
      <c r="CA178" s="1400"/>
      <c r="CB178" s="1682"/>
      <c r="CC178" s="1682"/>
      <c r="CD178" s="1400"/>
      <c r="CE178" s="1400"/>
      <c r="CF178" s="1683">
        <v>0</v>
      </c>
      <c r="CG178" s="1683">
        <v>0</v>
      </c>
      <c r="CH178" s="1683">
        <v>0</v>
      </c>
      <c r="CI178" s="1683">
        <v>0</v>
      </c>
      <c r="CJ178" s="1683">
        <v>280.13</v>
      </c>
      <c r="CK178" s="1683">
        <v>280.13</v>
      </c>
      <c r="CL178" s="1682"/>
      <c r="CM178" s="1683">
        <v>0</v>
      </c>
      <c r="CN178" s="1683">
        <v>0</v>
      </c>
      <c r="CO178" s="1683">
        <v>0</v>
      </c>
      <c r="CP178" s="1683">
        <v>0</v>
      </c>
      <c r="CQ178" s="1683">
        <v>0</v>
      </c>
      <c r="CR178" s="1683">
        <v>0</v>
      </c>
      <c r="CS178" s="1683">
        <v>0</v>
      </c>
      <c r="CT178" s="1683">
        <v>0</v>
      </c>
      <c r="CU178" s="1683">
        <v>0</v>
      </c>
      <c r="CV178" s="1683">
        <v>0</v>
      </c>
      <c r="CW178" s="1682"/>
      <c r="CX178" s="1400"/>
      <c r="CY178" s="1400"/>
      <c r="CZ178" s="1400"/>
      <c r="DA178" s="1400"/>
      <c r="DB178" s="1682"/>
      <c r="DC178" s="1326"/>
      <c r="DD178" s="1683">
        <v>0</v>
      </c>
      <c r="DE178" s="1400"/>
      <c r="DF178" s="1400"/>
      <c r="DG178" s="1683">
        <v>0</v>
      </c>
      <c r="DH178" s="1683">
        <v>0</v>
      </c>
    </row>
    <row r="179" spans="1:112" ht="56.25">
      <c r="A179" s="1326" t="s">
        <v>2184</v>
      </c>
      <c r="B179" s="1326" t="s">
        <v>1694</v>
      </c>
      <c r="C179" s="1326" t="s">
        <v>2557</v>
      </c>
      <c r="D179" s="1326" t="s">
        <v>2558</v>
      </c>
      <c r="E179" s="1326" t="s">
        <v>192</v>
      </c>
      <c r="F179" s="1326" t="s">
        <v>2544</v>
      </c>
      <c r="G179" s="1326" t="s">
        <v>2545</v>
      </c>
      <c r="H179" s="1326" t="s">
        <v>2546</v>
      </c>
      <c r="I179" s="1326" t="s">
        <v>731</v>
      </c>
      <c r="J179" s="1326" t="s">
        <v>305</v>
      </c>
      <c r="K179" s="1326" t="s">
        <v>2060</v>
      </c>
      <c r="L179" s="1326" t="s">
        <v>2061</v>
      </c>
      <c r="M179" s="1400"/>
      <c r="N179" s="1400"/>
      <c r="O179" s="1400"/>
      <c r="P179" s="1400"/>
      <c r="Q179" s="1400"/>
      <c r="R179" s="1400"/>
      <c r="S179" s="1400"/>
      <c r="T179" s="1400"/>
      <c r="U179" s="1400"/>
      <c r="V179" s="1400"/>
      <c r="W179" s="1400"/>
      <c r="X179" s="1400"/>
      <c r="Y179" s="1685">
        <v>43273</v>
      </c>
      <c r="Z179" s="1326" t="s">
        <v>2062</v>
      </c>
      <c r="AA179" s="1683">
        <v>34063.050000000003</v>
      </c>
      <c r="AB179" s="1683">
        <v>34063.050000000003</v>
      </c>
      <c r="AC179" s="1683">
        <v>0</v>
      </c>
      <c r="AD179" s="1685">
        <v>43285</v>
      </c>
      <c r="AE179" s="1326" t="s">
        <v>2080</v>
      </c>
      <c r="AF179" s="1326" t="s">
        <v>2064</v>
      </c>
      <c r="AG179" s="1410"/>
      <c r="AH179" s="1683">
        <v>40074.18</v>
      </c>
      <c r="AI179" s="1683">
        <v>40074.18</v>
      </c>
      <c r="AJ179" s="1683">
        <v>0</v>
      </c>
      <c r="AK179" s="1683">
        <v>0</v>
      </c>
      <c r="AL179" s="1683">
        <v>0</v>
      </c>
      <c r="AM179" s="1685">
        <v>43285</v>
      </c>
      <c r="AN179" s="1683">
        <v>40074.18</v>
      </c>
      <c r="AO179" s="1683">
        <v>40074.18</v>
      </c>
      <c r="AP179" s="1683">
        <v>34063.050000000003</v>
      </c>
      <c r="AQ179" s="1683">
        <v>34063.050000000003</v>
      </c>
      <c r="AR179" s="1683">
        <v>0</v>
      </c>
      <c r="AS179" s="1683">
        <v>6011.13</v>
      </c>
      <c r="AT179" s="1683">
        <v>0</v>
      </c>
      <c r="AU179" s="1683">
        <v>6011.13</v>
      </c>
      <c r="AV179" s="1683">
        <v>0</v>
      </c>
      <c r="AW179" s="1683">
        <v>0</v>
      </c>
      <c r="AX179" s="1400"/>
      <c r="AY179" s="1400"/>
      <c r="AZ179" s="1400"/>
      <c r="BA179" s="1682"/>
      <c r="BB179" s="1682"/>
      <c r="BC179" s="1400"/>
      <c r="BD179" s="1400"/>
      <c r="BE179" s="1683">
        <v>40074.18</v>
      </c>
      <c r="BF179" s="1683">
        <v>40074.18</v>
      </c>
      <c r="BG179" s="1683">
        <v>34063.050000000003</v>
      </c>
      <c r="BH179" s="1683">
        <v>34063.050000000003</v>
      </c>
      <c r="BI179" s="1683">
        <v>0</v>
      </c>
      <c r="BJ179" s="1683">
        <v>6011.13</v>
      </c>
      <c r="BK179" s="1683">
        <v>0</v>
      </c>
      <c r="BL179" s="1683">
        <v>6011.13</v>
      </c>
      <c r="BM179" s="1683">
        <v>0</v>
      </c>
      <c r="BN179" s="1683">
        <v>0</v>
      </c>
      <c r="BO179" s="1685">
        <v>43355</v>
      </c>
      <c r="BP179" s="1683">
        <v>40074.18</v>
      </c>
      <c r="BQ179" s="1683">
        <v>40074.18</v>
      </c>
      <c r="BR179" s="1683">
        <v>34063.050000000003</v>
      </c>
      <c r="BS179" s="1683">
        <v>34063.050000000003</v>
      </c>
      <c r="BT179" s="1683">
        <v>0</v>
      </c>
      <c r="BU179" s="1683">
        <v>6011.13</v>
      </c>
      <c r="BV179" s="1683">
        <v>0</v>
      </c>
      <c r="BW179" s="1683">
        <v>0</v>
      </c>
      <c r="BX179" s="1683">
        <v>0</v>
      </c>
      <c r="BY179" s="1683">
        <v>0</v>
      </c>
      <c r="BZ179" s="1683">
        <v>0</v>
      </c>
      <c r="CA179" s="1400"/>
      <c r="CB179" s="1682"/>
      <c r="CC179" s="1682"/>
      <c r="CD179" s="1400"/>
      <c r="CE179" s="1400"/>
      <c r="CF179" s="1683">
        <v>0</v>
      </c>
      <c r="CG179" s="1683">
        <v>0</v>
      </c>
      <c r="CH179" s="1683">
        <v>0</v>
      </c>
      <c r="CI179" s="1683">
        <v>0</v>
      </c>
      <c r="CJ179" s="1683">
        <v>400.7</v>
      </c>
      <c r="CK179" s="1683">
        <v>400.7</v>
      </c>
      <c r="CL179" s="1682"/>
      <c r="CM179" s="1683">
        <v>0</v>
      </c>
      <c r="CN179" s="1683">
        <v>0</v>
      </c>
      <c r="CO179" s="1683">
        <v>0</v>
      </c>
      <c r="CP179" s="1683">
        <v>0</v>
      </c>
      <c r="CQ179" s="1683">
        <v>0</v>
      </c>
      <c r="CR179" s="1683">
        <v>0</v>
      </c>
      <c r="CS179" s="1683">
        <v>0</v>
      </c>
      <c r="CT179" s="1683">
        <v>0</v>
      </c>
      <c r="CU179" s="1683">
        <v>0</v>
      </c>
      <c r="CV179" s="1683">
        <v>0</v>
      </c>
      <c r="CW179" s="1682"/>
      <c r="CX179" s="1400"/>
      <c r="CY179" s="1400"/>
      <c r="CZ179" s="1400"/>
      <c r="DA179" s="1400"/>
      <c r="DB179" s="1682"/>
      <c r="DC179" s="1326"/>
      <c r="DD179" s="1683">
        <v>0</v>
      </c>
      <c r="DE179" s="1400"/>
      <c r="DF179" s="1400"/>
      <c r="DG179" s="1683">
        <v>0</v>
      </c>
      <c r="DH179" s="1683">
        <v>0</v>
      </c>
    </row>
    <row r="180" spans="1:112" ht="56.25">
      <c r="A180" s="1326" t="s">
        <v>2185</v>
      </c>
      <c r="B180" s="1326" t="s">
        <v>1694</v>
      </c>
      <c r="C180" s="1326" t="s">
        <v>2557</v>
      </c>
      <c r="D180" s="1326" t="s">
        <v>2558</v>
      </c>
      <c r="E180" s="1326" t="s">
        <v>192</v>
      </c>
      <c r="F180" s="1326" t="s">
        <v>2544</v>
      </c>
      <c r="G180" s="1326" t="s">
        <v>2545</v>
      </c>
      <c r="H180" s="1326" t="s">
        <v>2546</v>
      </c>
      <c r="I180" s="1326" t="s">
        <v>731</v>
      </c>
      <c r="J180" s="1326" t="s">
        <v>305</v>
      </c>
      <c r="K180" s="1326" t="s">
        <v>2060</v>
      </c>
      <c r="L180" s="1326" t="s">
        <v>2061</v>
      </c>
      <c r="M180" s="1400"/>
      <c r="N180" s="1400"/>
      <c r="O180" s="1400"/>
      <c r="P180" s="1400"/>
      <c r="Q180" s="1400"/>
      <c r="R180" s="1400"/>
      <c r="S180" s="1400"/>
      <c r="T180" s="1400"/>
      <c r="U180" s="1400"/>
      <c r="V180" s="1400"/>
      <c r="W180" s="1400"/>
      <c r="X180" s="1400"/>
      <c r="Y180" s="1685">
        <v>43332</v>
      </c>
      <c r="Z180" s="1326" t="s">
        <v>2096</v>
      </c>
      <c r="AA180" s="1683">
        <v>0</v>
      </c>
      <c r="AB180" s="1683">
        <v>0</v>
      </c>
      <c r="AC180" s="1683">
        <v>0</v>
      </c>
      <c r="AD180" s="1685">
        <v>43339</v>
      </c>
      <c r="AE180" s="1326" t="s">
        <v>2081</v>
      </c>
      <c r="AF180" s="1326" t="s">
        <v>2064</v>
      </c>
      <c r="AG180" s="1410"/>
      <c r="AH180" s="1683">
        <v>0</v>
      </c>
      <c r="AI180" s="1683">
        <v>57876.44</v>
      </c>
      <c r="AJ180" s="1683">
        <v>57876.44</v>
      </c>
      <c r="AK180" s="1683">
        <v>57876.44</v>
      </c>
      <c r="AL180" s="1683">
        <v>0</v>
      </c>
      <c r="AM180" s="1682"/>
      <c r="AN180" s="1683">
        <v>0</v>
      </c>
      <c r="AO180" s="1683">
        <v>0</v>
      </c>
      <c r="AP180" s="1683">
        <v>0</v>
      </c>
      <c r="AQ180" s="1683">
        <v>0</v>
      </c>
      <c r="AR180" s="1683">
        <v>0</v>
      </c>
      <c r="AS180" s="1683">
        <v>0</v>
      </c>
      <c r="AT180" s="1683">
        <v>0</v>
      </c>
      <c r="AU180" s="1683">
        <v>0</v>
      </c>
      <c r="AV180" s="1683">
        <v>0</v>
      </c>
      <c r="AW180" s="1683">
        <v>0</v>
      </c>
      <c r="AX180" s="1400"/>
      <c r="AY180" s="1400"/>
      <c r="AZ180" s="1400"/>
      <c r="BA180" s="1682"/>
      <c r="BB180" s="1682"/>
      <c r="BC180" s="1400"/>
      <c r="BD180" s="1400"/>
      <c r="BE180" s="1683">
        <v>0</v>
      </c>
      <c r="BF180" s="1683">
        <v>0</v>
      </c>
      <c r="BG180" s="1683">
        <v>0</v>
      </c>
      <c r="BH180" s="1683">
        <v>0</v>
      </c>
      <c r="BI180" s="1683">
        <v>0</v>
      </c>
      <c r="BJ180" s="1683">
        <v>0</v>
      </c>
      <c r="BK180" s="1683">
        <v>0</v>
      </c>
      <c r="BL180" s="1683">
        <v>0</v>
      </c>
      <c r="BM180" s="1683">
        <v>0</v>
      </c>
      <c r="BN180" s="1683">
        <v>0</v>
      </c>
      <c r="BO180" s="1682"/>
      <c r="BP180" s="1683">
        <v>0</v>
      </c>
      <c r="BQ180" s="1683">
        <v>0</v>
      </c>
      <c r="BR180" s="1683">
        <v>0</v>
      </c>
      <c r="BS180" s="1683">
        <v>0</v>
      </c>
      <c r="BT180" s="1683">
        <v>0</v>
      </c>
      <c r="BU180" s="1683">
        <v>0</v>
      </c>
      <c r="BV180" s="1683">
        <v>0</v>
      </c>
      <c r="BW180" s="1683">
        <v>0</v>
      </c>
      <c r="BX180" s="1683">
        <v>0</v>
      </c>
      <c r="BY180" s="1683">
        <v>0</v>
      </c>
      <c r="BZ180" s="1400"/>
      <c r="CA180" s="1400"/>
      <c r="CB180" s="1682"/>
      <c r="CC180" s="1682"/>
      <c r="CD180" s="1400"/>
      <c r="CE180" s="1400"/>
      <c r="CF180" s="1683">
        <v>0</v>
      </c>
      <c r="CG180" s="1683">
        <v>0</v>
      </c>
      <c r="CH180" s="1683">
        <v>0</v>
      </c>
      <c r="CI180" s="1683">
        <v>0</v>
      </c>
      <c r="CJ180" s="1683">
        <v>0</v>
      </c>
      <c r="CK180" s="1683">
        <v>0</v>
      </c>
      <c r="CL180" s="1682"/>
      <c r="CM180" s="1683">
        <v>0</v>
      </c>
      <c r="CN180" s="1683">
        <v>0</v>
      </c>
      <c r="CO180" s="1683">
        <v>0</v>
      </c>
      <c r="CP180" s="1683">
        <v>0</v>
      </c>
      <c r="CQ180" s="1683">
        <v>0</v>
      </c>
      <c r="CR180" s="1683">
        <v>0</v>
      </c>
      <c r="CS180" s="1683">
        <v>0</v>
      </c>
      <c r="CT180" s="1683">
        <v>0</v>
      </c>
      <c r="CU180" s="1683">
        <v>0</v>
      </c>
      <c r="CV180" s="1683">
        <v>0</v>
      </c>
      <c r="CW180" s="1682"/>
      <c r="CX180" s="1400"/>
      <c r="CY180" s="1400"/>
      <c r="CZ180" s="1400"/>
      <c r="DA180" s="1400"/>
      <c r="DB180" s="1682"/>
      <c r="DC180" s="1326"/>
      <c r="DD180" s="1683">
        <v>0</v>
      </c>
      <c r="DE180" s="1400"/>
      <c r="DF180" s="1400"/>
      <c r="DG180" s="1683">
        <v>0</v>
      </c>
      <c r="DH180" s="1683">
        <v>0</v>
      </c>
    </row>
    <row r="181" spans="1:112" ht="56.25">
      <c r="A181" s="1326" t="s">
        <v>2186</v>
      </c>
      <c r="B181" s="1326" t="s">
        <v>1694</v>
      </c>
      <c r="C181" s="1326" t="s">
        <v>2557</v>
      </c>
      <c r="D181" s="1326" t="s">
        <v>2558</v>
      </c>
      <c r="E181" s="1326" t="s">
        <v>192</v>
      </c>
      <c r="F181" s="1326" t="s">
        <v>2544</v>
      </c>
      <c r="G181" s="1326" t="s">
        <v>2545</v>
      </c>
      <c r="H181" s="1326" t="s">
        <v>2546</v>
      </c>
      <c r="I181" s="1326" t="s">
        <v>731</v>
      </c>
      <c r="J181" s="1326" t="s">
        <v>305</v>
      </c>
      <c r="K181" s="1326" t="s">
        <v>2060</v>
      </c>
      <c r="L181" s="1326" t="s">
        <v>2061</v>
      </c>
      <c r="M181" s="1400"/>
      <c r="N181" s="1400"/>
      <c r="O181" s="1400"/>
      <c r="P181" s="1400"/>
      <c r="Q181" s="1400"/>
      <c r="R181" s="1400"/>
      <c r="S181" s="1400"/>
      <c r="T181" s="1400"/>
      <c r="U181" s="1400"/>
      <c r="V181" s="1400"/>
      <c r="W181" s="1400"/>
      <c r="X181" s="1400"/>
      <c r="Y181" s="1685">
        <v>43360</v>
      </c>
      <c r="Z181" s="1326" t="s">
        <v>2062</v>
      </c>
      <c r="AA181" s="1683">
        <v>46324.01</v>
      </c>
      <c r="AB181" s="1683">
        <v>46324.01</v>
      </c>
      <c r="AC181" s="1683">
        <v>0</v>
      </c>
      <c r="AD181" s="1685">
        <v>43378</v>
      </c>
      <c r="AE181" s="1326" t="s">
        <v>2088</v>
      </c>
      <c r="AF181" s="1326" t="s">
        <v>2064</v>
      </c>
      <c r="AG181" s="1410"/>
      <c r="AH181" s="1683">
        <v>54498.83</v>
      </c>
      <c r="AI181" s="1683">
        <v>54498.83</v>
      </c>
      <c r="AJ181" s="1683">
        <v>0</v>
      </c>
      <c r="AK181" s="1683">
        <v>0</v>
      </c>
      <c r="AL181" s="1683">
        <v>0</v>
      </c>
      <c r="AM181" s="1685">
        <v>43378</v>
      </c>
      <c r="AN181" s="1683">
        <v>54498.83</v>
      </c>
      <c r="AO181" s="1683">
        <v>54498.83</v>
      </c>
      <c r="AP181" s="1683">
        <v>46324.01</v>
      </c>
      <c r="AQ181" s="1683">
        <v>46324.01</v>
      </c>
      <c r="AR181" s="1683">
        <v>0</v>
      </c>
      <c r="AS181" s="1683">
        <v>8174.82</v>
      </c>
      <c r="AT181" s="1683">
        <v>0</v>
      </c>
      <c r="AU181" s="1683">
        <v>8174.82</v>
      </c>
      <c r="AV181" s="1683">
        <v>0</v>
      </c>
      <c r="AW181" s="1683">
        <v>0</v>
      </c>
      <c r="AX181" s="1400"/>
      <c r="AY181" s="1400"/>
      <c r="AZ181" s="1400"/>
      <c r="BA181" s="1682"/>
      <c r="BB181" s="1682"/>
      <c r="BC181" s="1400"/>
      <c r="BD181" s="1400"/>
      <c r="BE181" s="1683">
        <v>54498.83</v>
      </c>
      <c r="BF181" s="1683">
        <v>54498.83</v>
      </c>
      <c r="BG181" s="1683">
        <v>46324.01</v>
      </c>
      <c r="BH181" s="1683">
        <v>46324.01</v>
      </c>
      <c r="BI181" s="1683">
        <v>0</v>
      </c>
      <c r="BJ181" s="1683">
        <v>8174.82</v>
      </c>
      <c r="BK181" s="1683">
        <v>0</v>
      </c>
      <c r="BL181" s="1683">
        <v>8174.82</v>
      </c>
      <c r="BM181" s="1683">
        <v>0</v>
      </c>
      <c r="BN181" s="1683">
        <v>0</v>
      </c>
      <c r="BO181" s="1685">
        <v>43553</v>
      </c>
      <c r="BP181" s="1683">
        <v>54498.83</v>
      </c>
      <c r="BQ181" s="1683">
        <v>54498.83</v>
      </c>
      <c r="BR181" s="1683">
        <v>46324.01</v>
      </c>
      <c r="BS181" s="1683">
        <v>46324.01</v>
      </c>
      <c r="BT181" s="1683">
        <v>0</v>
      </c>
      <c r="BU181" s="1683">
        <v>8174.82</v>
      </c>
      <c r="BV181" s="1683">
        <v>0</v>
      </c>
      <c r="BW181" s="1683">
        <v>0</v>
      </c>
      <c r="BX181" s="1683">
        <v>0</v>
      </c>
      <c r="BY181" s="1683">
        <v>0</v>
      </c>
      <c r="BZ181" s="1683">
        <v>0</v>
      </c>
      <c r="CA181" s="1400"/>
      <c r="CB181" s="1682"/>
      <c r="CC181" s="1682"/>
      <c r="CD181" s="1400"/>
      <c r="CE181" s="1400"/>
      <c r="CF181" s="1683">
        <v>0</v>
      </c>
      <c r="CG181" s="1683">
        <v>0</v>
      </c>
      <c r="CH181" s="1683">
        <v>0</v>
      </c>
      <c r="CI181" s="1683">
        <v>0</v>
      </c>
      <c r="CJ181" s="1683">
        <v>544.92999999999995</v>
      </c>
      <c r="CK181" s="1683">
        <v>544.92999999999995</v>
      </c>
      <c r="CL181" s="1682"/>
      <c r="CM181" s="1683">
        <v>0</v>
      </c>
      <c r="CN181" s="1683">
        <v>0</v>
      </c>
      <c r="CO181" s="1683">
        <v>0</v>
      </c>
      <c r="CP181" s="1683">
        <v>0</v>
      </c>
      <c r="CQ181" s="1683">
        <v>0</v>
      </c>
      <c r="CR181" s="1683">
        <v>0</v>
      </c>
      <c r="CS181" s="1683">
        <v>0</v>
      </c>
      <c r="CT181" s="1683">
        <v>0</v>
      </c>
      <c r="CU181" s="1683">
        <v>0</v>
      </c>
      <c r="CV181" s="1683">
        <v>0</v>
      </c>
      <c r="CW181" s="1682"/>
      <c r="CX181" s="1400"/>
      <c r="CY181" s="1400"/>
      <c r="CZ181" s="1400"/>
      <c r="DA181" s="1400"/>
      <c r="DB181" s="1682"/>
      <c r="DC181" s="1326"/>
      <c r="DD181" s="1683">
        <v>0</v>
      </c>
      <c r="DE181" s="1400"/>
      <c r="DF181" s="1400"/>
      <c r="DG181" s="1683">
        <v>0</v>
      </c>
      <c r="DH181" s="1683">
        <v>0</v>
      </c>
    </row>
    <row r="182" spans="1:112" ht="56.25">
      <c r="A182" s="1326" t="s">
        <v>2187</v>
      </c>
      <c r="B182" s="1326" t="s">
        <v>1694</v>
      </c>
      <c r="C182" s="1326" t="s">
        <v>2557</v>
      </c>
      <c r="D182" s="1326" t="s">
        <v>2558</v>
      </c>
      <c r="E182" s="1326" t="s">
        <v>192</v>
      </c>
      <c r="F182" s="1326" t="s">
        <v>2544</v>
      </c>
      <c r="G182" s="1326" t="s">
        <v>2545</v>
      </c>
      <c r="H182" s="1326" t="s">
        <v>2546</v>
      </c>
      <c r="I182" s="1326" t="s">
        <v>731</v>
      </c>
      <c r="J182" s="1326" t="s">
        <v>305</v>
      </c>
      <c r="K182" s="1326" t="s">
        <v>2060</v>
      </c>
      <c r="L182" s="1326" t="s">
        <v>2061</v>
      </c>
      <c r="M182" s="1400"/>
      <c r="N182" s="1400"/>
      <c r="O182" s="1400"/>
      <c r="P182" s="1400"/>
      <c r="Q182" s="1400"/>
      <c r="R182" s="1400"/>
      <c r="S182" s="1400"/>
      <c r="T182" s="1400"/>
      <c r="U182" s="1400"/>
      <c r="V182" s="1400"/>
      <c r="W182" s="1400"/>
      <c r="X182" s="1400"/>
      <c r="Y182" s="1685">
        <v>43411</v>
      </c>
      <c r="Z182" s="1326" t="s">
        <v>2062</v>
      </c>
      <c r="AA182" s="1683">
        <v>32604.1</v>
      </c>
      <c r="AB182" s="1683">
        <v>32604.1</v>
      </c>
      <c r="AC182" s="1683">
        <v>0</v>
      </c>
      <c r="AD182" s="1685">
        <v>43426</v>
      </c>
      <c r="AE182" s="1326" t="s">
        <v>2082</v>
      </c>
      <c r="AF182" s="1326" t="s">
        <v>2067</v>
      </c>
      <c r="AG182" s="1410"/>
      <c r="AH182" s="1683">
        <v>49375.040000000001</v>
      </c>
      <c r="AI182" s="1683">
        <v>49375.040000000001</v>
      </c>
      <c r="AJ182" s="1683">
        <v>9364.68</v>
      </c>
      <c r="AK182" s="1683">
        <v>9364.68</v>
      </c>
      <c r="AL182" s="1683">
        <v>0</v>
      </c>
      <c r="AM182" s="1685">
        <v>43433</v>
      </c>
      <c r="AN182" s="1683">
        <v>49375.040000000001</v>
      </c>
      <c r="AO182" s="1683">
        <v>49375.040000000001</v>
      </c>
      <c r="AP182" s="1683">
        <v>41968.78</v>
      </c>
      <c r="AQ182" s="1683">
        <v>41968.78</v>
      </c>
      <c r="AR182" s="1683">
        <v>0</v>
      </c>
      <c r="AS182" s="1683">
        <v>7406.26</v>
      </c>
      <c r="AT182" s="1683">
        <v>0</v>
      </c>
      <c r="AU182" s="1683">
        <v>7406.26</v>
      </c>
      <c r="AV182" s="1683">
        <v>0</v>
      </c>
      <c r="AW182" s="1683">
        <v>0</v>
      </c>
      <c r="AX182" s="1400"/>
      <c r="AY182" s="1400"/>
      <c r="AZ182" s="1400"/>
      <c r="BA182" s="1682"/>
      <c r="BB182" s="1682"/>
      <c r="BC182" s="1400"/>
      <c r="BD182" s="1400"/>
      <c r="BE182" s="1683">
        <v>49375.040000000001</v>
      </c>
      <c r="BF182" s="1683">
        <v>49375.040000000001</v>
      </c>
      <c r="BG182" s="1683">
        <v>41968.78</v>
      </c>
      <c r="BH182" s="1683">
        <v>41968.78</v>
      </c>
      <c r="BI182" s="1683">
        <v>0</v>
      </c>
      <c r="BJ182" s="1683">
        <v>7406.26</v>
      </c>
      <c r="BK182" s="1683">
        <v>0</v>
      </c>
      <c r="BL182" s="1683">
        <v>7406.26</v>
      </c>
      <c r="BM182" s="1683">
        <v>0</v>
      </c>
      <c r="BN182" s="1683">
        <v>0</v>
      </c>
      <c r="BO182" s="1685">
        <v>43553</v>
      </c>
      <c r="BP182" s="1683">
        <v>49375.040000000001</v>
      </c>
      <c r="BQ182" s="1683">
        <v>49375.040000000001</v>
      </c>
      <c r="BR182" s="1683">
        <v>41968.78</v>
      </c>
      <c r="BS182" s="1683">
        <v>41968.78</v>
      </c>
      <c r="BT182" s="1683">
        <v>0</v>
      </c>
      <c r="BU182" s="1683">
        <v>7406.26</v>
      </c>
      <c r="BV182" s="1683">
        <v>0</v>
      </c>
      <c r="BW182" s="1683">
        <v>0</v>
      </c>
      <c r="BX182" s="1683">
        <v>0</v>
      </c>
      <c r="BY182" s="1683">
        <v>0</v>
      </c>
      <c r="BZ182" s="1683">
        <v>0</v>
      </c>
      <c r="CA182" s="1400"/>
      <c r="CB182" s="1682"/>
      <c r="CC182" s="1682"/>
      <c r="CD182" s="1400"/>
      <c r="CE182" s="1400"/>
      <c r="CF182" s="1683">
        <v>0</v>
      </c>
      <c r="CG182" s="1683">
        <v>0</v>
      </c>
      <c r="CH182" s="1683">
        <v>0</v>
      </c>
      <c r="CI182" s="1683">
        <v>0</v>
      </c>
      <c r="CJ182" s="1683">
        <v>493.7</v>
      </c>
      <c r="CK182" s="1683">
        <v>493.7</v>
      </c>
      <c r="CL182" s="1682"/>
      <c r="CM182" s="1683">
        <v>0</v>
      </c>
      <c r="CN182" s="1683">
        <v>0</v>
      </c>
      <c r="CO182" s="1683">
        <v>0</v>
      </c>
      <c r="CP182" s="1683">
        <v>0</v>
      </c>
      <c r="CQ182" s="1683">
        <v>0</v>
      </c>
      <c r="CR182" s="1683">
        <v>0</v>
      </c>
      <c r="CS182" s="1683">
        <v>0</v>
      </c>
      <c r="CT182" s="1683">
        <v>0</v>
      </c>
      <c r="CU182" s="1683">
        <v>0</v>
      </c>
      <c r="CV182" s="1683">
        <v>0</v>
      </c>
      <c r="CW182" s="1682"/>
      <c r="CX182" s="1400"/>
      <c r="CY182" s="1400"/>
      <c r="CZ182" s="1400"/>
      <c r="DA182" s="1400"/>
      <c r="DB182" s="1682"/>
      <c r="DC182" s="1326"/>
      <c r="DD182" s="1683">
        <v>0</v>
      </c>
      <c r="DE182" s="1400"/>
      <c r="DF182" s="1400"/>
      <c r="DG182" s="1683">
        <v>0</v>
      </c>
      <c r="DH182" s="1683">
        <v>0</v>
      </c>
    </row>
    <row r="183" spans="1:112" ht="33.75">
      <c r="A183" s="1326" t="s">
        <v>2188</v>
      </c>
      <c r="B183" s="1326" t="s">
        <v>1694</v>
      </c>
      <c r="C183" s="1326" t="s">
        <v>2557</v>
      </c>
      <c r="D183" s="1326" t="s">
        <v>2558</v>
      </c>
      <c r="E183" s="1326" t="s">
        <v>192</v>
      </c>
      <c r="F183" s="1326" t="s">
        <v>2544</v>
      </c>
      <c r="G183" s="1326" t="s">
        <v>2545</v>
      </c>
      <c r="H183" s="1326" t="s">
        <v>2546</v>
      </c>
      <c r="I183" s="1326" t="s">
        <v>732</v>
      </c>
      <c r="J183" s="1326" t="s">
        <v>290</v>
      </c>
      <c r="K183" s="1326" t="s">
        <v>2069</v>
      </c>
      <c r="L183" s="1326" t="s">
        <v>2061</v>
      </c>
      <c r="M183" s="1683">
        <v>442298.59</v>
      </c>
      <c r="N183" s="1683">
        <v>0</v>
      </c>
      <c r="O183" s="1683">
        <v>442298.59</v>
      </c>
      <c r="P183" s="1683">
        <v>442298.59</v>
      </c>
      <c r="Q183" s="1683">
        <v>375953.81</v>
      </c>
      <c r="R183" s="1683">
        <v>375953.81</v>
      </c>
      <c r="S183" s="1683">
        <v>0</v>
      </c>
      <c r="T183" s="1683">
        <v>66344.78</v>
      </c>
      <c r="U183" s="1683">
        <v>0</v>
      </c>
      <c r="V183" s="1683">
        <v>66344.78</v>
      </c>
      <c r="W183" s="1683">
        <v>0</v>
      </c>
      <c r="X183" s="1683">
        <v>0</v>
      </c>
      <c r="Y183" s="1682"/>
      <c r="Z183" s="1326"/>
      <c r="AA183" s="1683">
        <v>0</v>
      </c>
      <c r="AB183" s="1683">
        <v>0</v>
      </c>
      <c r="AC183" s="1683">
        <v>0</v>
      </c>
      <c r="AD183" s="1682"/>
      <c r="AE183" s="1326"/>
      <c r="AF183" s="1326"/>
      <c r="AG183" s="1410"/>
      <c r="AH183" s="1683">
        <v>95579.6</v>
      </c>
      <c r="AI183" s="1683">
        <v>207579.6</v>
      </c>
      <c r="AJ183" s="1683">
        <v>193242.66</v>
      </c>
      <c r="AK183" s="1683">
        <v>193242.66</v>
      </c>
      <c r="AL183" s="1683">
        <v>0</v>
      </c>
      <c r="AM183" s="1682"/>
      <c r="AN183" s="1683">
        <v>95579.6</v>
      </c>
      <c r="AO183" s="1683">
        <v>95579.6</v>
      </c>
      <c r="AP183" s="1683">
        <v>81242.66</v>
      </c>
      <c r="AQ183" s="1683">
        <v>81242.66</v>
      </c>
      <c r="AR183" s="1683">
        <v>0</v>
      </c>
      <c r="AS183" s="1683">
        <v>14336.94</v>
      </c>
      <c r="AT183" s="1683">
        <v>0</v>
      </c>
      <c r="AU183" s="1683">
        <v>14336.94</v>
      </c>
      <c r="AV183" s="1683">
        <v>0</v>
      </c>
      <c r="AW183" s="1683">
        <v>0</v>
      </c>
      <c r="AX183" s="1683">
        <v>0</v>
      </c>
      <c r="AY183" s="1683">
        <v>0</v>
      </c>
      <c r="AZ183" s="1683">
        <v>0</v>
      </c>
      <c r="BA183" s="1682"/>
      <c r="BB183" s="1682"/>
      <c r="BC183" s="1683">
        <v>0</v>
      </c>
      <c r="BD183" s="1683">
        <v>0</v>
      </c>
      <c r="BE183" s="1683">
        <v>95579.6</v>
      </c>
      <c r="BF183" s="1683">
        <v>95579.6</v>
      </c>
      <c r="BG183" s="1683">
        <v>81242.66</v>
      </c>
      <c r="BH183" s="1683">
        <v>81242.66</v>
      </c>
      <c r="BI183" s="1683">
        <v>0</v>
      </c>
      <c r="BJ183" s="1683">
        <v>14336.94</v>
      </c>
      <c r="BK183" s="1683">
        <v>0</v>
      </c>
      <c r="BL183" s="1683">
        <v>14336.94</v>
      </c>
      <c r="BM183" s="1683">
        <v>0</v>
      </c>
      <c r="BN183" s="1683">
        <v>0</v>
      </c>
      <c r="BO183" s="1682"/>
      <c r="BP183" s="1683">
        <v>95579.6</v>
      </c>
      <c r="BQ183" s="1683">
        <v>95579.6</v>
      </c>
      <c r="BR183" s="1683">
        <v>81242.66</v>
      </c>
      <c r="BS183" s="1683">
        <v>81242.66</v>
      </c>
      <c r="BT183" s="1683">
        <v>0</v>
      </c>
      <c r="BU183" s="1683">
        <v>14336.94</v>
      </c>
      <c r="BV183" s="1683">
        <v>0</v>
      </c>
      <c r="BW183" s="1683">
        <v>1633.5</v>
      </c>
      <c r="BX183" s="1683">
        <v>0</v>
      </c>
      <c r="BY183" s="1683">
        <v>0</v>
      </c>
      <c r="BZ183" s="1683">
        <v>0</v>
      </c>
      <c r="CA183" s="1683">
        <v>0</v>
      </c>
      <c r="CB183" s="1682"/>
      <c r="CC183" s="1682"/>
      <c r="CD183" s="1683">
        <v>0</v>
      </c>
      <c r="CE183" s="1683">
        <v>0</v>
      </c>
      <c r="CF183" s="1683">
        <v>0</v>
      </c>
      <c r="CG183" s="1683">
        <v>0</v>
      </c>
      <c r="CH183" s="1683">
        <v>0</v>
      </c>
      <c r="CI183" s="1683">
        <v>0</v>
      </c>
      <c r="CJ183" s="1683">
        <v>955.69</v>
      </c>
      <c r="CK183" s="1683">
        <v>955.69</v>
      </c>
      <c r="CL183" s="1682"/>
      <c r="CM183" s="1683">
        <v>10889.99</v>
      </c>
      <c r="CN183" s="1683">
        <v>10889.99</v>
      </c>
      <c r="CO183" s="1683">
        <v>9256.49</v>
      </c>
      <c r="CP183" s="1683">
        <v>9256.49</v>
      </c>
      <c r="CQ183" s="1683">
        <v>0</v>
      </c>
      <c r="CR183" s="1683">
        <v>1633.5</v>
      </c>
      <c r="CS183" s="1683">
        <v>0</v>
      </c>
      <c r="CT183" s="1683">
        <v>1633.5</v>
      </c>
      <c r="CU183" s="1683">
        <v>0</v>
      </c>
      <c r="CV183" s="1683">
        <v>0</v>
      </c>
      <c r="CW183" s="1682"/>
      <c r="CX183" s="1683">
        <v>0</v>
      </c>
      <c r="CY183" s="1683">
        <v>0</v>
      </c>
      <c r="CZ183" s="1683">
        <v>10889.99</v>
      </c>
      <c r="DA183" s="1683">
        <v>10889.99</v>
      </c>
      <c r="DB183" s="1682"/>
      <c r="DC183" s="1326"/>
      <c r="DD183" s="1683">
        <v>0</v>
      </c>
      <c r="DE183" s="1683">
        <v>0</v>
      </c>
      <c r="DF183" s="1683">
        <v>0</v>
      </c>
      <c r="DG183" s="1683">
        <v>0</v>
      </c>
      <c r="DH183" s="1683">
        <v>0</v>
      </c>
    </row>
    <row r="184" spans="1:112" ht="33.75">
      <c r="A184" s="1326" t="s">
        <v>2189</v>
      </c>
      <c r="B184" s="1326" t="s">
        <v>1694</v>
      </c>
      <c r="C184" s="1326" t="s">
        <v>2557</v>
      </c>
      <c r="D184" s="1326" t="s">
        <v>2558</v>
      </c>
      <c r="E184" s="1326" t="s">
        <v>192</v>
      </c>
      <c r="F184" s="1326" t="s">
        <v>2544</v>
      </c>
      <c r="G184" s="1326" t="s">
        <v>2545</v>
      </c>
      <c r="H184" s="1326" t="s">
        <v>2546</v>
      </c>
      <c r="I184" s="1326" t="s">
        <v>732</v>
      </c>
      <c r="J184" s="1326" t="s">
        <v>290</v>
      </c>
      <c r="K184" s="1326" t="s">
        <v>2069</v>
      </c>
      <c r="L184" s="1326" t="s">
        <v>2061</v>
      </c>
      <c r="M184" s="1400"/>
      <c r="N184" s="1400"/>
      <c r="O184" s="1400"/>
      <c r="P184" s="1400"/>
      <c r="Q184" s="1400"/>
      <c r="R184" s="1400"/>
      <c r="S184" s="1400"/>
      <c r="T184" s="1400"/>
      <c r="U184" s="1400"/>
      <c r="V184" s="1400"/>
      <c r="W184" s="1400"/>
      <c r="X184" s="1400"/>
      <c r="Y184" s="1685">
        <v>42971</v>
      </c>
      <c r="Z184" s="1326" t="s">
        <v>2096</v>
      </c>
      <c r="AA184" s="1683">
        <v>0</v>
      </c>
      <c r="AB184" s="1683">
        <v>0</v>
      </c>
      <c r="AC184" s="1683">
        <v>0</v>
      </c>
      <c r="AD184" s="1685">
        <v>42977</v>
      </c>
      <c r="AE184" s="1326" t="s">
        <v>2073</v>
      </c>
      <c r="AF184" s="1326" t="s">
        <v>2064</v>
      </c>
      <c r="AG184" s="1410"/>
      <c r="AH184" s="1683">
        <v>0</v>
      </c>
      <c r="AI184" s="1683">
        <v>112000</v>
      </c>
      <c r="AJ184" s="1683">
        <v>112000</v>
      </c>
      <c r="AK184" s="1683">
        <v>112000</v>
      </c>
      <c r="AL184" s="1683">
        <v>0</v>
      </c>
      <c r="AM184" s="1682"/>
      <c r="AN184" s="1683">
        <v>0</v>
      </c>
      <c r="AO184" s="1683">
        <v>0</v>
      </c>
      <c r="AP184" s="1683">
        <v>0</v>
      </c>
      <c r="AQ184" s="1683">
        <v>0</v>
      </c>
      <c r="AR184" s="1683">
        <v>0</v>
      </c>
      <c r="AS184" s="1683">
        <v>0</v>
      </c>
      <c r="AT184" s="1683">
        <v>0</v>
      </c>
      <c r="AU184" s="1683">
        <v>0</v>
      </c>
      <c r="AV184" s="1683">
        <v>0</v>
      </c>
      <c r="AW184" s="1683">
        <v>0</v>
      </c>
      <c r="AX184" s="1400"/>
      <c r="AY184" s="1400"/>
      <c r="AZ184" s="1400"/>
      <c r="BA184" s="1682"/>
      <c r="BB184" s="1682"/>
      <c r="BC184" s="1400"/>
      <c r="BD184" s="1400"/>
      <c r="BE184" s="1683">
        <v>0</v>
      </c>
      <c r="BF184" s="1683">
        <v>0</v>
      </c>
      <c r="BG184" s="1683">
        <v>0</v>
      </c>
      <c r="BH184" s="1683">
        <v>0</v>
      </c>
      <c r="BI184" s="1683">
        <v>0</v>
      </c>
      <c r="BJ184" s="1683">
        <v>0</v>
      </c>
      <c r="BK184" s="1683">
        <v>0</v>
      </c>
      <c r="BL184" s="1683">
        <v>0</v>
      </c>
      <c r="BM184" s="1683">
        <v>0</v>
      </c>
      <c r="BN184" s="1683">
        <v>0</v>
      </c>
      <c r="BO184" s="1682"/>
      <c r="BP184" s="1683">
        <v>0</v>
      </c>
      <c r="BQ184" s="1683">
        <v>0</v>
      </c>
      <c r="BR184" s="1683">
        <v>0</v>
      </c>
      <c r="BS184" s="1683">
        <v>0</v>
      </c>
      <c r="BT184" s="1683">
        <v>0</v>
      </c>
      <c r="BU184" s="1683">
        <v>0</v>
      </c>
      <c r="BV184" s="1683">
        <v>0</v>
      </c>
      <c r="BW184" s="1683">
        <v>0</v>
      </c>
      <c r="BX184" s="1683">
        <v>0</v>
      </c>
      <c r="BY184" s="1683">
        <v>0</v>
      </c>
      <c r="BZ184" s="1400"/>
      <c r="CA184" s="1400"/>
      <c r="CB184" s="1682"/>
      <c r="CC184" s="1682"/>
      <c r="CD184" s="1400"/>
      <c r="CE184" s="1400"/>
      <c r="CF184" s="1683">
        <v>0</v>
      </c>
      <c r="CG184" s="1683">
        <v>0</v>
      </c>
      <c r="CH184" s="1683">
        <v>0</v>
      </c>
      <c r="CI184" s="1683">
        <v>0</v>
      </c>
      <c r="CJ184" s="1683">
        <v>0</v>
      </c>
      <c r="CK184" s="1683">
        <v>0</v>
      </c>
      <c r="CL184" s="1682"/>
      <c r="CM184" s="1683">
        <v>0</v>
      </c>
      <c r="CN184" s="1683">
        <v>0</v>
      </c>
      <c r="CO184" s="1683">
        <v>0</v>
      </c>
      <c r="CP184" s="1683">
        <v>0</v>
      </c>
      <c r="CQ184" s="1683">
        <v>0</v>
      </c>
      <c r="CR184" s="1683">
        <v>0</v>
      </c>
      <c r="CS184" s="1683">
        <v>0</v>
      </c>
      <c r="CT184" s="1683">
        <v>0</v>
      </c>
      <c r="CU184" s="1683">
        <v>0</v>
      </c>
      <c r="CV184" s="1683">
        <v>0</v>
      </c>
      <c r="CW184" s="1682"/>
      <c r="CX184" s="1400"/>
      <c r="CY184" s="1400"/>
      <c r="CZ184" s="1400"/>
      <c r="DA184" s="1400"/>
      <c r="DB184" s="1682"/>
      <c r="DC184" s="1326"/>
      <c r="DD184" s="1683">
        <v>0</v>
      </c>
      <c r="DE184" s="1400"/>
      <c r="DF184" s="1400"/>
      <c r="DG184" s="1683">
        <v>0</v>
      </c>
      <c r="DH184" s="1683">
        <v>0</v>
      </c>
    </row>
    <row r="185" spans="1:112" ht="33.75">
      <c r="A185" s="1326" t="s">
        <v>2190</v>
      </c>
      <c r="B185" s="1326" t="s">
        <v>1694</v>
      </c>
      <c r="C185" s="1326" t="s">
        <v>2557</v>
      </c>
      <c r="D185" s="1326" t="s">
        <v>2558</v>
      </c>
      <c r="E185" s="1326" t="s">
        <v>192</v>
      </c>
      <c r="F185" s="1326" t="s">
        <v>2544</v>
      </c>
      <c r="G185" s="1326" t="s">
        <v>2545</v>
      </c>
      <c r="H185" s="1326" t="s">
        <v>2546</v>
      </c>
      <c r="I185" s="1326" t="s">
        <v>732</v>
      </c>
      <c r="J185" s="1326" t="s">
        <v>290</v>
      </c>
      <c r="K185" s="1326" t="s">
        <v>2069</v>
      </c>
      <c r="L185" s="1326" t="s">
        <v>2061</v>
      </c>
      <c r="M185" s="1400"/>
      <c r="N185" s="1400"/>
      <c r="O185" s="1400"/>
      <c r="P185" s="1400"/>
      <c r="Q185" s="1400"/>
      <c r="R185" s="1400"/>
      <c r="S185" s="1400"/>
      <c r="T185" s="1400"/>
      <c r="U185" s="1400"/>
      <c r="V185" s="1400"/>
      <c r="W185" s="1400"/>
      <c r="X185" s="1400"/>
      <c r="Y185" s="1685">
        <v>43055</v>
      </c>
      <c r="Z185" s="1326" t="s">
        <v>2062</v>
      </c>
      <c r="AA185" s="1683">
        <v>0</v>
      </c>
      <c r="AB185" s="1683">
        <v>0</v>
      </c>
      <c r="AC185" s="1683">
        <v>0</v>
      </c>
      <c r="AD185" s="1685">
        <v>43067</v>
      </c>
      <c r="AE185" s="1326" t="s">
        <v>2063</v>
      </c>
      <c r="AF185" s="1326" t="s">
        <v>2064</v>
      </c>
      <c r="AG185" s="1410"/>
      <c r="AH185" s="1683">
        <v>3557.4</v>
      </c>
      <c r="AI185" s="1683">
        <v>3557.4</v>
      </c>
      <c r="AJ185" s="1683">
        <v>3023.79</v>
      </c>
      <c r="AK185" s="1683">
        <v>3023.79</v>
      </c>
      <c r="AL185" s="1683">
        <v>0</v>
      </c>
      <c r="AM185" s="1685">
        <v>43067</v>
      </c>
      <c r="AN185" s="1683">
        <v>3557.4</v>
      </c>
      <c r="AO185" s="1683">
        <v>3557.4</v>
      </c>
      <c r="AP185" s="1683">
        <v>3023.79</v>
      </c>
      <c r="AQ185" s="1683">
        <v>3023.79</v>
      </c>
      <c r="AR185" s="1683">
        <v>0</v>
      </c>
      <c r="AS185" s="1683">
        <v>533.61</v>
      </c>
      <c r="AT185" s="1683">
        <v>0</v>
      </c>
      <c r="AU185" s="1683">
        <v>533.61</v>
      </c>
      <c r="AV185" s="1683">
        <v>0</v>
      </c>
      <c r="AW185" s="1683">
        <v>0</v>
      </c>
      <c r="AX185" s="1400"/>
      <c r="AY185" s="1400"/>
      <c r="AZ185" s="1400"/>
      <c r="BA185" s="1682"/>
      <c r="BB185" s="1682"/>
      <c r="BC185" s="1400"/>
      <c r="BD185" s="1400"/>
      <c r="BE185" s="1683">
        <v>3557.4</v>
      </c>
      <c r="BF185" s="1683">
        <v>3557.4</v>
      </c>
      <c r="BG185" s="1683">
        <v>3023.79</v>
      </c>
      <c r="BH185" s="1683">
        <v>3023.79</v>
      </c>
      <c r="BI185" s="1683">
        <v>0</v>
      </c>
      <c r="BJ185" s="1683">
        <v>533.61</v>
      </c>
      <c r="BK185" s="1683">
        <v>0</v>
      </c>
      <c r="BL185" s="1683">
        <v>533.61</v>
      </c>
      <c r="BM185" s="1683">
        <v>0</v>
      </c>
      <c r="BN185" s="1683">
        <v>0</v>
      </c>
      <c r="BO185" s="1685">
        <v>43125</v>
      </c>
      <c r="BP185" s="1683">
        <v>3557.4</v>
      </c>
      <c r="BQ185" s="1683">
        <v>3557.4</v>
      </c>
      <c r="BR185" s="1683">
        <v>3023.79</v>
      </c>
      <c r="BS185" s="1683">
        <v>3023.79</v>
      </c>
      <c r="BT185" s="1683">
        <v>0</v>
      </c>
      <c r="BU185" s="1683">
        <v>533.61</v>
      </c>
      <c r="BV185" s="1683">
        <v>0</v>
      </c>
      <c r="BW185" s="1683">
        <v>533.61</v>
      </c>
      <c r="BX185" s="1683">
        <v>0</v>
      </c>
      <c r="BY185" s="1683">
        <v>0</v>
      </c>
      <c r="BZ185" s="1683">
        <v>0</v>
      </c>
      <c r="CA185" s="1400"/>
      <c r="CB185" s="1682"/>
      <c r="CC185" s="1682"/>
      <c r="CD185" s="1400"/>
      <c r="CE185" s="1400"/>
      <c r="CF185" s="1683">
        <v>0</v>
      </c>
      <c r="CG185" s="1683">
        <v>0</v>
      </c>
      <c r="CH185" s="1683">
        <v>0</v>
      </c>
      <c r="CI185" s="1683">
        <v>0</v>
      </c>
      <c r="CJ185" s="1683">
        <v>0</v>
      </c>
      <c r="CK185" s="1683">
        <v>0</v>
      </c>
      <c r="CL185" s="1685">
        <v>43511</v>
      </c>
      <c r="CM185" s="1683">
        <v>3557.4</v>
      </c>
      <c r="CN185" s="1683">
        <v>3557.4</v>
      </c>
      <c r="CO185" s="1683">
        <v>3023.79</v>
      </c>
      <c r="CP185" s="1683">
        <v>3023.79</v>
      </c>
      <c r="CQ185" s="1683">
        <v>0</v>
      </c>
      <c r="CR185" s="1683">
        <v>533.61</v>
      </c>
      <c r="CS185" s="1683">
        <v>0</v>
      </c>
      <c r="CT185" s="1683">
        <v>533.61</v>
      </c>
      <c r="CU185" s="1683">
        <v>0</v>
      </c>
      <c r="CV185" s="1683">
        <v>0</v>
      </c>
      <c r="CW185" s="1682"/>
      <c r="CX185" s="1400"/>
      <c r="CY185" s="1400"/>
      <c r="CZ185" s="1400"/>
      <c r="DA185" s="1400"/>
      <c r="DB185" s="1682"/>
      <c r="DC185" s="1326"/>
      <c r="DD185" s="1683">
        <v>0</v>
      </c>
      <c r="DE185" s="1400"/>
      <c r="DF185" s="1400"/>
      <c r="DG185" s="1683">
        <v>0</v>
      </c>
      <c r="DH185" s="1683">
        <v>0</v>
      </c>
    </row>
    <row r="186" spans="1:112" ht="33.75">
      <c r="A186" s="1326" t="s">
        <v>2191</v>
      </c>
      <c r="B186" s="1326" t="s">
        <v>1694</v>
      </c>
      <c r="C186" s="1326" t="s">
        <v>2557</v>
      </c>
      <c r="D186" s="1326" t="s">
        <v>2558</v>
      </c>
      <c r="E186" s="1326" t="s">
        <v>192</v>
      </c>
      <c r="F186" s="1326" t="s">
        <v>2544</v>
      </c>
      <c r="G186" s="1326" t="s">
        <v>2545</v>
      </c>
      <c r="H186" s="1326" t="s">
        <v>2546</v>
      </c>
      <c r="I186" s="1326" t="s">
        <v>732</v>
      </c>
      <c r="J186" s="1326" t="s">
        <v>290</v>
      </c>
      <c r="K186" s="1326" t="s">
        <v>2069</v>
      </c>
      <c r="L186" s="1326" t="s">
        <v>2061</v>
      </c>
      <c r="M186" s="1400"/>
      <c r="N186" s="1400"/>
      <c r="O186" s="1400"/>
      <c r="P186" s="1400"/>
      <c r="Q186" s="1400"/>
      <c r="R186" s="1400"/>
      <c r="S186" s="1400"/>
      <c r="T186" s="1400"/>
      <c r="U186" s="1400"/>
      <c r="V186" s="1400"/>
      <c r="W186" s="1400"/>
      <c r="X186" s="1400"/>
      <c r="Y186" s="1685">
        <v>43146</v>
      </c>
      <c r="Z186" s="1326" t="s">
        <v>2062</v>
      </c>
      <c r="AA186" s="1683">
        <v>0</v>
      </c>
      <c r="AB186" s="1683">
        <v>0</v>
      </c>
      <c r="AC186" s="1683">
        <v>0</v>
      </c>
      <c r="AD186" s="1685">
        <v>43161</v>
      </c>
      <c r="AE186" s="1326" t="s">
        <v>2066</v>
      </c>
      <c r="AF186" s="1326" t="s">
        <v>2064</v>
      </c>
      <c r="AG186" s="1410"/>
      <c r="AH186" s="1683">
        <v>7332.59</v>
      </c>
      <c r="AI186" s="1683">
        <v>7332.59</v>
      </c>
      <c r="AJ186" s="1683">
        <v>6232.7</v>
      </c>
      <c r="AK186" s="1683">
        <v>6232.7</v>
      </c>
      <c r="AL186" s="1683">
        <v>0</v>
      </c>
      <c r="AM186" s="1685">
        <v>43161</v>
      </c>
      <c r="AN186" s="1683">
        <v>7332.59</v>
      </c>
      <c r="AO186" s="1683">
        <v>7332.59</v>
      </c>
      <c r="AP186" s="1683">
        <v>6232.7</v>
      </c>
      <c r="AQ186" s="1683">
        <v>6232.7</v>
      </c>
      <c r="AR186" s="1683">
        <v>0</v>
      </c>
      <c r="AS186" s="1683">
        <v>1099.8900000000001</v>
      </c>
      <c r="AT186" s="1683">
        <v>0</v>
      </c>
      <c r="AU186" s="1683">
        <v>1099.8900000000001</v>
      </c>
      <c r="AV186" s="1683">
        <v>0</v>
      </c>
      <c r="AW186" s="1683">
        <v>0</v>
      </c>
      <c r="AX186" s="1400"/>
      <c r="AY186" s="1400"/>
      <c r="AZ186" s="1400"/>
      <c r="BA186" s="1682"/>
      <c r="BB186" s="1682"/>
      <c r="BC186" s="1400"/>
      <c r="BD186" s="1400"/>
      <c r="BE186" s="1683">
        <v>7332.59</v>
      </c>
      <c r="BF186" s="1683">
        <v>7332.59</v>
      </c>
      <c r="BG186" s="1683">
        <v>6232.7</v>
      </c>
      <c r="BH186" s="1683">
        <v>6232.7</v>
      </c>
      <c r="BI186" s="1683">
        <v>0</v>
      </c>
      <c r="BJ186" s="1683">
        <v>1099.8900000000001</v>
      </c>
      <c r="BK186" s="1683">
        <v>0</v>
      </c>
      <c r="BL186" s="1683">
        <v>1099.8900000000001</v>
      </c>
      <c r="BM186" s="1683">
        <v>0</v>
      </c>
      <c r="BN186" s="1683">
        <v>0</v>
      </c>
      <c r="BO186" s="1685">
        <v>43230</v>
      </c>
      <c r="BP186" s="1683">
        <v>7332.59</v>
      </c>
      <c r="BQ186" s="1683">
        <v>7332.59</v>
      </c>
      <c r="BR186" s="1683">
        <v>6232.7</v>
      </c>
      <c r="BS186" s="1683">
        <v>6232.7</v>
      </c>
      <c r="BT186" s="1683">
        <v>0</v>
      </c>
      <c r="BU186" s="1683">
        <v>1099.8900000000001</v>
      </c>
      <c r="BV186" s="1683">
        <v>0</v>
      </c>
      <c r="BW186" s="1683">
        <v>1099.8900000000001</v>
      </c>
      <c r="BX186" s="1683">
        <v>0</v>
      </c>
      <c r="BY186" s="1683">
        <v>0</v>
      </c>
      <c r="BZ186" s="1683">
        <v>0</v>
      </c>
      <c r="CA186" s="1400"/>
      <c r="CB186" s="1682"/>
      <c r="CC186" s="1682"/>
      <c r="CD186" s="1400"/>
      <c r="CE186" s="1400"/>
      <c r="CF186" s="1683">
        <v>0</v>
      </c>
      <c r="CG186" s="1683">
        <v>0</v>
      </c>
      <c r="CH186" s="1683">
        <v>0</v>
      </c>
      <c r="CI186" s="1683">
        <v>0</v>
      </c>
      <c r="CJ186" s="1683">
        <v>108.89</v>
      </c>
      <c r="CK186" s="1683">
        <v>108.89</v>
      </c>
      <c r="CL186" s="1685">
        <v>43511</v>
      </c>
      <c r="CM186" s="1683">
        <v>7332.59</v>
      </c>
      <c r="CN186" s="1683">
        <v>7332.59</v>
      </c>
      <c r="CO186" s="1683">
        <v>6232.7</v>
      </c>
      <c r="CP186" s="1683">
        <v>6232.7</v>
      </c>
      <c r="CQ186" s="1683">
        <v>0</v>
      </c>
      <c r="CR186" s="1683">
        <v>1099.8900000000001</v>
      </c>
      <c r="CS186" s="1683">
        <v>0</v>
      </c>
      <c r="CT186" s="1683">
        <v>1099.8900000000001</v>
      </c>
      <c r="CU186" s="1683">
        <v>0</v>
      </c>
      <c r="CV186" s="1683">
        <v>0</v>
      </c>
      <c r="CW186" s="1682"/>
      <c r="CX186" s="1400"/>
      <c r="CY186" s="1400"/>
      <c r="CZ186" s="1400"/>
      <c r="DA186" s="1400"/>
      <c r="DB186" s="1682"/>
      <c r="DC186" s="1326"/>
      <c r="DD186" s="1683">
        <v>0</v>
      </c>
      <c r="DE186" s="1400"/>
      <c r="DF186" s="1400"/>
      <c r="DG186" s="1683">
        <v>0</v>
      </c>
      <c r="DH186" s="1683">
        <v>0</v>
      </c>
    </row>
    <row r="187" spans="1:112" ht="33.75">
      <c r="A187" s="1326" t="s">
        <v>2192</v>
      </c>
      <c r="B187" s="1326" t="s">
        <v>1694</v>
      </c>
      <c r="C187" s="1326" t="s">
        <v>2557</v>
      </c>
      <c r="D187" s="1326" t="s">
        <v>2558</v>
      </c>
      <c r="E187" s="1326" t="s">
        <v>192</v>
      </c>
      <c r="F187" s="1326" t="s">
        <v>2544</v>
      </c>
      <c r="G187" s="1326" t="s">
        <v>2545</v>
      </c>
      <c r="H187" s="1326" t="s">
        <v>2546</v>
      </c>
      <c r="I187" s="1326" t="s">
        <v>732</v>
      </c>
      <c r="J187" s="1326" t="s">
        <v>290</v>
      </c>
      <c r="K187" s="1326" t="s">
        <v>2069</v>
      </c>
      <c r="L187" s="1326" t="s">
        <v>2061</v>
      </c>
      <c r="M187" s="1400"/>
      <c r="N187" s="1400"/>
      <c r="O187" s="1400"/>
      <c r="P187" s="1400"/>
      <c r="Q187" s="1400"/>
      <c r="R187" s="1400"/>
      <c r="S187" s="1400"/>
      <c r="T187" s="1400"/>
      <c r="U187" s="1400"/>
      <c r="V187" s="1400"/>
      <c r="W187" s="1400"/>
      <c r="X187" s="1400"/>
      <c r="Y187" s="1685">
        <v>43238</v>
      </c>
      <c r="Z187" s="1326" t="s">
        <v>2062</v>
      </c>
      <c r="AA187" s="1683">
        <v>0</v>
      </c>
      <c r="AB187" s="1683">
        <v>0</v>
      </c>
      <c r="AC187" s="1683">
        <v>0</v>
      </c>
      <c r="AD187" s="1685">
        <v>43264</v>
      </c>
      <c r="AE187" s="1326" t="s">
        <v>2079</v>
      </c>
      <c r="AF187" s="1326" t="s">
        <v>2067</v>
      </c>
      <c r="AG187" s="1410"/>
      <c r="AH187" s="1683">
        <v>49498.86</v>
      </c>
      <c r="AI187" s="1683">
        <v>49498.86</v>
      </c>
      <c r="AJ187" s="1683">
        <v>42074.03</v>
      </c>
      <c r="AK187" s="1683">
        <v>42074.03</v>
      </c>
      <c r="AL187" s="1683">
        <v>0</v>
      </c>
      <c r="AM187" s="1685">
        <v>43277</v>
      </c>
      <c r="AN187" s="1683">
        <v>49498.86</v>
      </c>
      <c r="AO187" s="1683">
        <v>49498.86</v>
      </c>
      <c r="AP187" s="1683">
        <v>42074.03</v>
      </c>
      <c r="AQ187" s="1683">
        <v>42074.03</v>
      </c>
      <c r="AR187" s="1683">
        <v>0</v>
      </c>
      <c r="AS187" s="1683">
        <v>7424.83</v>
      </c>
      <c r="AT187" s="1683">
        <v>0</v>
      </c>
      <c r="AU187" s="1683">
        <v>7424.83</v>
      </c>
      <c r="AV187" s="1683">
        <v>0</v>
      </c>
      <c r="AW187" s="1683">
        <v>0</v>
      </c>
      <c r="AX187" s="1400"/>
      <c r="AY187" s="1400"/>
      <c r="AZ187" s="1400"/>
      <c r="BA187" s="1682"/>
      <c r="BB187" s="1682"/>
      <c r="BC187" s="1400"/>
      <c r="BD187" s="1400"/>
      <c r="BE187" s="1683">
        <v>49498.86</v>
      </c>
      <c r="BF187" s="1683">
        <v>49498.86</v>
      </c>
      <c r="BG187" s="1683">
        <v>42074.03</v>
      </c>
      <c r="BH187" s="1683">
        <v>42074.03</v>
      </c>
      <c r="BI187" s="1683">
        <v>0</v>
      </c>
      <c r="BJ187" s="1683">
        <v>7424.83</v>
      </c>
      <c r="BK187" s="1683">
        <v>0</v>
      </c>
      <c r="BL187" s="1683">
        <v>7424.83</v>
      </c>
      <c r="BM187" s="1683">
        <v>0</v>
      </c>
      <c r="BN187" s="1683">
        <v>0</v>
      </c>
      <c r="BO187" s="1685">
        <v>43355</v>
      </c>
      <c r="BP187" s="1683">
        <v>49498.86</v>
      </c>
      <c r="BQ187" s="1683">
        <v>49498.86</v>
      </c>
      <c r="BR187" s="1683">
        <v>42074.03</v>
      </c>
      <c r="BS187" s="1683">
        <v>42074.03</v>
      </c>
      <c r="BT187" s="1683">
        <v>0</v>
      </c>
      <c r="BU187" s="1683">
        <v>7424.83</v>
      </c>
      <c r="BV187" s="1683">
        <v>0</v>
      </c>
      <c r="BW187" s="1683">
        <v>0</v>
      </c>
      <c r="BX187" s="1683">
        <v>0</v>
      </c>
      <c r="BY187" s="1683">
        <v>0</v>
      </c>
      <c r="BZ187" s="1683">
        <v>0</v>
      </c>
      <c r="CA187" s="1400"/>
      <c r="CB187" s="1682"/>
      <c r="CC187" s="1682"/>
      <c r="CD187" s="1400"/>
      <c r="CE187" s="1400"/>
      <c r="CF187" s="1683">
        <v>0</v>
      </c>
      <c r="CG187" s="1683">
        <v>0</v>
      </c>
      <c r="CH187" s="1683">
        <v>0</v>
      </c>
      <c r="CI187" s="1683">
        <v>0</v>
      </c>
      <c r="CJ187" s="1683">
        <v>578.1</v>
      </c>
      <c r="CK187" s="1683">
        <v>578.1</v>
      </c>
      <c r="CL187" s="1682"/>
      <c r="CM187" s="1683">
        <v>0</v>
      </c>
      <c r="CN187" s="1683">
        <v>0</v>
      </c>
      <c r="CO187" s="1683">
        <v>0</v>
      </c>
      <c r="CP187" s="1683">
        <v>0</v>
      </c>
      <c r="CQ187" s="1683">
        <v>0</v>
      </c>
      <c r="CR187" s="1683">
        <v>0</v>
      </c>
      <c r="CS187" s="1683">
        <v>0</v>
      </c>
      <c r="CT187" s="1683">
        <v>0</v>
      </c>
      <c r="CU187" s="1683">
        <v>0</v>
      </c>
      <c r="CV187" s="1683">
        <v>0</v>
      </c>
      <c r="CW187" s="1682"/>
      <c r="CX187" s="1400"/>
      <c r="CY187" s="1400"/>
      <c r="CZ187" s="1400"/>
      <c r="DA187" s="1400"/>
      <c r="DB187" s="1682"/>
      <c r="DC187" s="1326"/>
      <c r="DD187" s="1683">
        <v>0</v>
      </c>
      <c r="DE187" s="1400"/>
      <c r="DF187" s="1400"/>
      <c r="DG187" s="1683">
        <v>0</v>
      </c>
      <c r="DH187" s="1683">
        <v>0</v>
      </c>
    </row>
    <row r="188" spans="1:112" ht="33.75">
      <c r="A188" s="1326" t="s">
        <v>2193</v>
      </c>
      <c r="B188" s="1326" t="s">
        <v>1694</v>
      </c>
      <c r="C188" s="1326" t="s">
        <v>2557</v>
      </c>
      <c r="D188" s="1326" t="s">
        <v>2558</v>
      </c>
      <c r="E188" s="1326" t="s">
        <v>192</v>
      </c>
      <c r="F188" s="1326" t="s">
        <v>2544</v>
      </c>
      <c r="G188" s="1326" t="s">
        <v>2545</v>
      </c>
      <c r="H188" s="1326" t="s">
        <v>2546</v>
      </c>
      <c r="I188" s="1326" t="s">
        <v>732</v>
      </c>
      <c r="J188" s="1326" t="s">
        <v>290</v>
      </c>
      <c r="K188" s="1326" t="s">
        <v>2069</v>
      </c>
      <c r="L188" s="1326" t="s">
        <v>2061</v>
      </c>
      <c r="M188" s="1400"/>
      <c r="N188" s="1400"/>
      <c r="O188" s="1400"/>
      <c r="P188" s="1400"/>
      <c r="Q188" s="1400"/>
      <c r="R188" s="1400"/>
      <c r="S188" s="1400"/>
      <c r="T188" s="1400"/>
      <c r="U188" s="1400"/>
      <c r="V188" s="1400"/>
      <c r="W188" s="1400"/>
      <c r="X188" s="1400"/>
      <c r="Y188" s="1685">
        <v>43238</v>
      </c>
      <c r="Z188" s="1326" t="s">
        <v>2062</v>
      </c>
      <c r="AA188" s="1683">
        <v>0</v>
      </c>
      <c r="AB188" s="1683">
        <v>0</v>
      </c>
      <c r="AC188" s="1683">
        <v>0</v>
      </c>
      <c r="AD188" s="1685">
        <v>43264</v>
      </c>
      <c r="AE188" s="1326" t="s">
        <v>2079</v>
      </c>
      <c r="AF188" s="1326" t="s">
        <v>2064</v>
      </c>
      <c r="AG188" s="1410"/>
      <c r="AH188" s="1683">
        <v>8318.2900000000009</v>
      </c>
      <c r="AI188" s="1683">
        <v>8318.2900000000009</v>
      </c>
      <c r="AJ188" s="1683">
        <v>7070.55</v>
      </c>
      <c r="AK188" s="1683">
        <v>7070.55</v>
      </c>
      <c r="AL188" s="1683">
        <v>0</v>
      </c>
      <c r="AM188" s="1685">
        <v>43264</v>
      </c>
      <c r="AN188" s="1683">
        <v>8318.2900000000009</v>
      </c>
      <c r="AO188" s="1683">
        <v>8318.2900000000009</v>
      </c>
      <c r="AP188" s="1683">
        <v>7070.55</v>
      </c>
      <c r="AQ188" s="1683">
        <v>7070.55</v>
      </c>
      <c r="AR188" s="1683">
        <v>0</v>
      </c>
      <c r="AS188" s="1683">
        <v>1247.74</v>
      </c>
      <c r="AT188" s="1683">
        <v>0</v>
      </c>
      <c r="AU188" s="1683">
        <v>1247.74</v>
      </c>
      <c r="AV188" s="1683">
        <v>0</v>
      </c>
      <c r="AW188" s="1683">
        <v>0</v>
      </c>
      <c r="AX188" s="1400"/>
      <c r="AY188" s="1400"/>
      <c r="AZ188" s="1400"/>
      <c r="BA188" s="1682"/>
      <c r="BB188" s="1682"/>
      <c r="BC188" s="1400"/>
      <c r="BD188" s="1400"/>
      <c r="BE188" s="1683">
        <v>8318.2900000000009</v>
      </c>
      <c r="BF188" s="1683">
        <v>8318.2900000000009</v>
      </c>
      <c r="BG188" s="1683">
        <v>7070.55</v>
      </c>
      <c r="BH188" s="1683">
        <v>7070.55</v>
      </c>
      <c r="BI188" s="1683">
        <v>0</v>
      </c>
      <c r="BJ188" s="1683">
        <v>1247.74</v>
      </c>
      <c r="BK188" s="1683">
        <v>0</v>
      </c>
      <c r="BL188" s="1683">
        <v>1247.74</v>
      </c>
      <c r="BM188" s="1683">
        <v>0</v>
      </c>
      <c r="BN188" s="1683">
        <v>0</v>
      </c>
      <c r="BO188" s="1685">
        <v>43355</v>
      </c>
      <c r="BP188" s="1683">
        <v>8318.2900000000009</v>
      </c>
      <c r="BQ188" s="1683">
        <v>8318.2900000000009</v>
      </c>
      <c r="BR188" s="1683">
        <v>7070.55</v>
      </c>
      <c r="BS188" s="1683">
        <v>7070.55</v>
      </c>
      <c r="BT188" s="1683">
        <v>0</v>
      </c>
      <c r="BU188" s="1683">
        <v>1247.74</v>
      </c>
      <c r="BV188" s="1683">
        <v>0</v>
      </c>
      <c r="BW188" s="1683">
        <v>0</v>
      </c>
      <c r="BX188" s="1683">
        <v>0</v>
      </c>
      <c r="BY188" s="1683">
        <v>0</v>
      </c>
      <c r="BZ188" s="1683">
        <v>0</v>
      </c>
      <c r="CA188" s="1400"/>
      <c r="CB188" s="1682"/>
      <c r="CC188" s="1682"/>
      <c r="CD188" s="1400"/>
      <c r="CE188" s="1400"/>
      <c r="CF188" s="1683">
        <v>0</v>
      </c>
      <c r="CG188" s="1683">
        <v>0</v>
      </c>
      <c r="CH188" s="1683">
        <v>0</v>
      </c>
      <c r="CI188" s="1683">
        <v>0</v>
      </c>
      <c r="CJ188" s="1683">
        <v>0</v>
      </c>
      <c r="CK188" s="1683">
        <v>0</v>
      </c>
      <c r="CL188" s="1682"/>
      <c r="CM188" s="1683">
        <v>0</v>
      </c>
      <c r="CN188" s="1683">
        <v>0</v>
      </c>
      <c r="CO188" s="1683">
        <v>0</v>
      </c>
      <c r="CP188" s="1683">
        <v>0</v>
      </c>
      <c r="CQ188" s="1683">
        <v>0</v>
      </c>
      <c r="CR188" s="1683">
        <v>0</v>
      </c>
      <c r="CS188" s="1683">
        <v>0</v>
      </c>
      <c r="CT188" s="1683">
        <v>0</v>
      </c>
      <c r="CU188" s="1683">
        <v>0</v>
      </c>
      <c r="CV188" s="1683">
        <v>0</v>
      </c>
      <c r="CW188" s="1682"/>
      <c r="CX188" s="1400"/>
      <c r="CY188" s="1400"/>
      <c r="CZ188" s="1400"/>
      <c r="DA188" s="1400"/>
      <c r="DB188" s="1682"/>
      <c r="DC188" s="1326"/>
      <c r="DD188" s="1683">
        <v>0</v>
      </c>
      <c r="DE188" s="1400"/>
      <c r="DF188" s="1400"/>
      <c r="DG188" s="1683">
        <v>0</v>
      </c>
      <c r="DH188" s="1683">
        <v>0</v>
      </c>
    </row>
    <row r="189" spans="1:112" ht="33.75">
      <c r="A189" s="1326" t="s">
        <v>2194</v>
      </c>
      <c r="B189" s="1326" t="s">
        <v>1694</v>
      </c>
      <c r="C189" s="1326" t="s">
        <v>2557</v>
      </c>
      <c r="D189" s="1326" t="s">
        <v>2558</v>
      </c>
      <c r="E189" s="1326" t="s">
        <v>192</v>
      </c>
      <c r="F189" s="1326" t="s">
        <v>2544</v>
      </c>
      <c r="G189" s="1326" t="s">
        <v>2545</v>
      </c>
      <c r="H189" s="1326" t="s">
        <v>2546</v>
      </c>
      <c r="I189" s="1326" t="s">
        <v>732</v>
      </c>
      <c r="J189" s="1326" t="s">
        <v>290</v>
      </c>
      <c r="K189" s="1326" t="s">
        <v>2069</v>
      </c>
      <c r="L189" s="1326" t="s">
        <v>2061</v>
      </c>
      <c r="M189" s="1400"/>
      <c r="N189" s="1400"/>
      <c r="O189" s="1400"/>
      <c r="P189" s="1400"/>
      <c r="Q189" s="1400"/>
      <c r="R189" s="1400"/>
      <c r="S189" s="1400"/>
      <c r="T189" s="1400"/>
      <c r="U189" s="1400"/>
      <c r="V189" s="1400"/>
      <c r="W189" s="1400"/>
      <c r="X189" s="1400"/>
      <c r="Y189" s="1685">
        <v>43332</v>
      </c>
      <c r="Z189" s="1326" t="s">
        <v>2062</v>
      </c>
      <c r="AA189" s="1683">
        <v>0</v>
      </c>
      <c r="AB189" s="1683">
        <v>0</v>
      </c>
      <c r="AC189" s="1683">
        <v>0</v>
      </c>
      <c r="AD189" s="1685">
        <v>43348</v>
      </c>
      <c r="AE189" s="1326" t="s">
        <v>2080</v>
      </c>
      <c r="AF189" s="1326" t="s">
        <v>2064</v>
      </c>
      <c r="AG189" s="1410"/>
      <c r="AH189" s="1683">
        <v>26872.46</v>
      </c>
      <c r="AI189" s="1683">
        <v>26872.46</v>
      </c>
      <c r="AJ189" s="1683">
        <v>22841.59</v>
      </c>
      <c r="AK189" s="1683">
        <v>22841.59</v>
      </c>
      <c r="AL189" s="1683">
        <v>0</v>
      </c>
      <c r="AM189" s="1685">
        <v>43348</v>
      </c>
      <c r="AN189" s="1683">
        <v>26872.46</v>
      </c>
      <c r="AO189" s="1683">
        <v>26872.46</v>
      </c>
      <c r="AP189" s="1683">
        <v>22841.59</v>
      </c>
      <c r="AQ189" s="1683">
        <v>22841.59</v>
      </c>
      <c r="AR189" s="1683">
        <v>0</v>
      </c>
      <c r="AS189" s="1683">
        <v>4030.87</v>
      </c>
      <c r="AT189" s="1683">
        <v>0</v>
      </c>
      <c r="AU189" s="1683">
        <v>4030.87</v>
      </c>
      <c r="AV189" s="1683">
        <v>0</v>
      </c>
      <c r="AW189" s="1683">
        <v>0</v>
      </c>
      <c r="AX189" s="1400"/>
      <c r="AY189" s="1400"/>
      <c r="AZ189" s="1400"/>
      <c r="BA189" s="1682"/>
      <c r="BB189" s="1682"/>
      <c r="BC189" s="1400"/>
      <c r="BD189" s="1400"/>
      <c r="BE189" s="1683">
        <v>26872.46</v>
      </c>
      <c r="BF189" s="1683">
        <v>26872.46</v>
      </c>
      <c r="BG189" s="1683">
        <v>22841.59</v>
      </c>
      <c r="BH189" s="1683">
        <v>22841.59</v>
      </c>
      <c r="BI189" s="1683">
        <v>0</v>
      </c>
      <c r="BJ189" s="1683">
        <v>4030.87</v>
      </c>
      <c r="BK189" s="1683">
        <v>0</v>
      </c>
      <c r="BL189" s="1683">
        <v>4030.87</v>
      </c>
      <c r="BM189" s="1683">
        <v>0</v>
      </c>
      <c r="BN189" s="1683">
        <v>0</v>
      </c>
      <c r="BO189" s="1685">
        <v>43397</v>
      </c>
      <c r="BP189" s="1683">
        <v>26872.46</v>
      </c>
      <c r="BQ189" s="1683">
        <v>26872.46</v>
      </c>
      <c r="BR189" s="1683">
        <v>22841.59</v>
      </c>
      <c r="BS189" s="1683">
        <v>22841.59</v>
      </c>
      <c r="BT189" s="1683">
        <v>0</v>
      </c>
      <c r="BU189" s="1683">
        <v>4030.87</v>
      </c>
      <c r="BV189" s="1683">
        <v>0</v>
      </c>
      <c r="BW189" s="1683">
        <v>0</v>
      </c>
      <c r="BX189" s="1683">
        <v>0</v>
      </c>
      <c r="BY189" s="1683">
        <v>0</v>
      </c>
      <c r="BZ189" s="1683">
        <v>0</v>
      </c>
      <c r="CA189" s="1400"/>
      <c r="CB189" s="1682"/>
      <c r="CC189" s="1682"/>
      <c r="CD189" s="1400"/>
      <c r="CE189" s="1400"/>
      <c r="CF189" s="1683">
        <v>0</v>
      </c>
      <c r="CG189" s="1683">
        <v>0</v>
      </c>
      <c r="CH189" s="1683">
        <v>0</v>
      </c>
      <c r="CI189" s="1683">
        <v>0</v>
      </c>
      <c r="CJ189" s="1683">
        <v>268.7</v>
      </c>
      <c r="CK189" s="1683">
        <v>268.7</v>
      </c>
      <c r="CL189" s="1682"/>
      <c r="CM189" s="1683">
        <v>0</v>
      </c>
      <c r="CN189" s="1683">
        <v>0</v>
      </c>
      <c r="CO189" s="1683">
        <v>0</v>
      </c>
      <c r="CP189" s="1683">
        <v>0</v>
      </c>
      <c r="CQ189" s="1683">
        <v>0</v>
      </c>
      <c r="CR189" s="1683">
        <v>0</v>
      </c>
      <c r="CS189" s="1683">
        <v>0</v>
      </c>
      <c r="CT189" s="1683">
        <v>0</v>
      </c>
      <c r="CU189" s="1683">
        <v>0</v>
      </c>
      <c r="CV189" s="1683">
        <v>0</v>
      </c>
      <c r="CW189" s="1682"/>
      <c r="CX189" s="1400"/>
      <c r="CY189" s="1400"/>
      <c r="CZ189" s="1400"/>
      <c r="DA189" s="1400"/>
      <c r="DB189" s="1682"/>
      <c r="DC189" s="1326"/>
      <c r="DD189" s="1683">
        <v>0</v>
      </c>
      <c r="DE189" s="1400"/>
      <c r="DF189" s="1400"/>
      <c r="DG189" s="1683">
        <v>0</v>
      </c>
      <c r="DH189" s="1683">
        <v>0</v>
      </c>
    </row>
    <row r="190" spans="1:112" ht="78.75">
      <c r="A190" s="1326" t="s">
        <v>2195</v>
      </c>
      <c r="B190" s="1326" t="s">
        <v>1694</v>
      </c>
      <c r="C190" s="1326" t="s">
        <v>2557</v>
      </c>
      <c r="D190" s="1326" t="s">
        <v>2558</v>
      </c>
      <c r="E190" s="1326" t="s">
        <v>192</v>
      </c>
      <c r="F190" s="1326" t="s">
        <v>2544</v>
      </c>
      <c r="G190" s="1326" t="s">
        <v>2545</v>
      </c>
      <c r="H190" s="1326" t="s">
        <v>2546</v>
      </c>
      <c r="I190" s="1326" t="s">
        <v>733</v>
      </c>
      <c r="J190" s="1326" t="s">
        <v>388</v>
      </c>
      <c r="K190" s="1326" t="s">
        <v>2071</v>
      </c>
      <c r="L190" s="1326" t="s">
        <v>2061</v>
      </c>
      <c r="M190" s="1683">
        <v>3993</v>
      </c>
      <c r="N190" s="1683">
        <v>0</v>
      </c>
      <c r="O190" s="1683">
        <v>3993</v>
      </c>
      <c r="P190" s="1683">
        <v>3993</v>
      </c>
      <c r="Q190" s="1683">
        <v>3394.05</v>
      </c>
      <c r="R190" s="1683">
        <v>3394.05</v>
      </c>
      <c r="S190" s="1683">
        <v>0</v>
      </c>
      <c r="T190" s="1683">
        <v>598.95000000000005</v>
      </c>
      <c r="U190" s="1683">
        <v>0</v>
      </c>
      <c r="V190" s="1683">
        <v>598.95000000000005</v>
      </c>
      <c r="W190" s="1683">
        <v>0</v>
      </c>
      <c r="X190" s="1683">
        <v>0</v>
      </c>
      <c r="Y190" s="1682"/>
      <c r="Z190" s="1326"/>
      <c r="AA190" s="1683">
        <v>0</v>
      </c>
      <c r="AB190" s="1683">
        <v>0</v>
      </c>
      <c r="AC190" s="1683">
        <v>0</v>
      </c>
      <c r="AD190" s="1682"/>
      <c r="AE190" s="1326"/>
      <c r="AF190" s="1326"/>
      <c r="AG190" s="1410"/>
      <c r="AH190" s="1683">
        <v>0</v>
      </c>
      <c r="AI190" s="1683">
        <v>1018.22</v>
      </c>
      <c r="AJ190" s="1683">
        <v>1018.22</v>
      </c>
      <c r="AK190" s="1683">
        <v>1018.22</v>
      </c>
      <c r="AL190" s="1683">
        <v>0</v>
      </c>
      <c r="AM190" s="1682"/>
      <c r="AN190" s="1683">
        <v>0</v>
      </c>
      <c r="AO190" s="1683">
        <v>0</v>
      </c>
      <c r="AP190" s="1683">
        <v>0</v>
      </c>
      <c r="AQ190" s="1683">
        <v>0</v>
      </c>
      <c r="AR190" s="1683">
        <v>0</v>
      </c>
      <c r="AS190" s="1683">
        <v>0</v>
      </c>
      <c r="AT190" s="1683">
        <v>0</v>
      </c>
      <c r="AU190" s="1683">
        <v>0</v>
      </c>
      <c r="AV190" s="1683">
        <v>0</v>
      </c>
      <c r="AW190" s="1683">
        <v>0</v>
      </c>
      <c r="AX190" s="1683">
        <v>0</v>
      </c>
      <c r="AY190" s="1683">
        <v>0</v>
      </c>
      <c r="AZ190" s="1683">
        <v>0</v>
      </c>
      <c r="BA190" s="1682"/>
      <c r="BB190" s="1682"/>
      <c r="BC190" s="1683">
        <v>0</v>
      </c>
      <c r="BD190" s="1683">
        <v>0</v>
      </c>
      <c r="BE190" s="1683">
        <v>0</v>
      </c>
      <c r="BF190" s="1683">
        <v>0</v>
      </c>
      <c r="BG190" s="1683">
        <v>0</v>
      </c>
      <c r="BH190" s="1683">
        <v>0</v>
      </c>
      <c r="BI190" s="1683">
        <v>0</v>
      </c>
      <c r="BJ190" s="1683">
        <v>0</v>
      </c>
      <c r="BK190" s="1683">
        <v>0</v>
      </c>
      <c r="BL190" s="1683">
        <v>0</v>
      </c>
      <c r="BM190" s="1683">
        <v>0</v>
      </c>
      <c r="BN190" s="1683">
        <v>0</v>
      </c>
      <c r="BO190" s="1682"/>
      <c r="BP190" s="1683">
        <v>0</v>
      </c>
      <c r="BQ190" s="1683">
        <v>0</v>
      </c>
      <c r="BR190" s="1683">
        <v>0</v>
      </c>
      <c r="BS190" s="1683">
        <v>0</v>
      </c>
      <c r="BT190" s="1683">
        <v>0</v>
      </c>
      <c r="BU190" s="1683">
        <v>0</v>
      </c>
      <c r="BV190" s="1683">
        <v>0</v>
      </c>
      <c r="BW190" s="1683">
        <v>0</v>
      </c>
      <c r="BX190" s="1683">
        <v>0</v>
      </c>
      <c r="BY190" s="1683">
        <v>0</v>
      </c>
      <c r="BZ190" s="1400"/>
      <c r="CA190" s="1683">
        <v>0</v>
      </c>
      <c r="CB190" s="1682"/>
      <c r="CC190" s="1682"/>
      <c r="CD190" s="1683">
        <v>0</v>
      </c>
      <c r="CE190" s="1683">
        <v>0</v>
      </c>
      <c r="CF190" s="1683">
        <v>0</v>
      </c>
      <c r="CG190" s="1683">
        <v>0</v>
      </c>
      <c r="CH190" s="1683">
        <v>0</v>
      </c>
      <c r="CI190" s="1683">
        <v>0</v>
      </c>
      <c r="CJ190" s="1683">
        <v>0</v>
      </c>
      <c r="CK190" s="1683">
        <v>0</v>
      </c>
      <c r="CL190" s="1682"/>
      <c r="CM190" s="1683">
        <v>0</v>
      </c>
      <c r="CN190" s="1683">
        <v>0</v>
      </c>
      <c r="CO190" s="1683">
        <v>0</v>
      </c>
      <c r="CP190" s="1683">
        <v>0</v>
      </c>
      <c r="CQ190" s="1683">
        <v>0</v>
      </c>
      <c r="CR190" s="1683">
        <v>0</v>
      </c>
      <c r="CS190" s="1683">
        <v>0</v>
      </c>
      <c r="CT190" s="1683">
        <v>0</v>
      </c>
      <c r="CU190" s="1683">
        <v>0</v>
      </c>
      <c r="CV190" s="1683">
        <v>0</v>
      </c>
      <c r="CW190" s="1682"/>
      <c r="CX190" s="1683">
        <v>0</v>
      </c>
      <c r="CY190" s="1683">
        <v>0</v>
      </c>
      <c r="CZ190" s="1683">
        <v>0</v>
      </c>
      <c r="DA190" s="1683">
        <v>0</v>
      </c>
      <c r="DB190" s="1682"/>
      <c r="DC190" s="1326"/>
      <c r="DD190" s="1683">
        <v>0</v>
      </c>
      <c r="DE190" s="1683">
        <v>0</v>
      </c>
      <c r="DF190" s="1683">
        <v>0</v>
      </c>
      <c r="DG190" s="1683">
        <v>0</v>
      </c>
      <c r="DH190" s="1683">
        <v>0</v>
      </c>
    </row>
    <row r="191" spans="1:112" ht="78.75">
      <c r="A191" s="1326" t="s">
        <v>2196</v>
      </c>
      <c r="B191" s="1326" t="s">
        <v>1694</v>
      </c>
      <c r="C191" s="1326" t="s">
        <v>2557</v>
      </c>
      <c r="D191" s="1326" t="s">
        <v>2558</v>
      </c>
      <c r="E191" s="1326" t="s">
        <v>192</v>
      </c>
      <c r="F191" s="1326" t="s">
        <v>2544</v>
      </c>
      <c r="G191" s="1326" t="s">
        <v>2545</v>
      </c>
      <c r="H191" s="1326" t="s">
        <v>2546</v>
      </c>
      <c r="I191" s="1326" t="s">
        <v>733</v>
      </c>
      <c r="J191" s="1326" t="s">
        <v>388</v>
      </c>
      <c r="K191" s="1326" t="s">
        <v>2071</v>
      </c>
      <c r="L191" s="1326" t="s">
        <v>2061</v>
      </c>
      <c r="M191" s="1400"/>
      <c r="N191" s="1400"/>
      <c r="O191" s="1400"/>
      <c r="P191" s="1400"/>
      <c r="Q191" s="1400"/>
      <c r="R191" s="1400"/>
      <c r="S191" s="1400"/>
      <c r="T191" s="1400"/>
      <c r="U191" s="1400"/>
      <c r="V191" s="1400"/>
      <c r="W191" s="1400"/>
      <c r="X191" s="1400"/>
      <c r="Y191" s="1685">
        <v>43297</v>
      </c>
      <c r="Z191" s="1326" t="s">
        <v>2096</v>
      </c>
      <c r="AA191" s="1683">
        <v>0</v>
      </c>
      <c r="AB191" s="1683">
        <v>0</v>
      </c>
      <c r="AC191" s="1683">
        <v>0</v>
      </c>
      <c r="AD191" s="1685">
        <v>43322</v>
      </c>
      <c r="AE191" s="1326" t="s">
        <v>2079</v>
      </c>
      <c r="AF191" s="1326" t="s">
        <v>2064</v>
      </c>
      <c r="AG191" s="1410"/>
      <c r="AH191" s="1683">
        <v>0</v>
      </c>
      <c r="AI191" s="1683">
        <v>1018.22</v>
      </c>
      <c r="AJ191" s="1683">
        <v>1018.22</v>
      </c>
      <c r="AK191" s="1683">
        <v>1018.22</v>
      </c>
      <c r="AL191" s="1683">
        <v>0</v>
      </c>
      <c r="AM191" s="1682"/>
      <c r="AN191" s="1683">
        <v>0</v>
      </c>
      <c r="AO191" s="1683">
        <v>0</v>
      </c>
      <c r="AP191" s="1683">
        <v>0</v>
      </c>
      <c r="AQ191" s="1683">
        <v>0</v>
      </c>
      <c r="AR191" s="1683">
        <v>0</v>
      </c>
      <c r="AS191" s="1683">
        <v>0</v>
      </c>
      <c r="AT191" s="1683">
        <v>0</v>
      </c>
      <c r="AU191" s="1683">
        <v>0</v>
      </c>
      <c r="AV191" s="1683">
        <v>0</v>
      </c>
      <c r="AW191" s="1683">
        <v>0</v>
      </c>
      <c r="AX191" s="1400"/>
      <c r="AY191" s="1400"/>
      <c r="AZ191" s="1400"/>
      <c r="BA191" s="1682"/>
      <c r="BB191" s="1682"/>
      <c r="BC191" s="1400"/>
      <c r="BD191" s="1400"/>
      <c r="BE191" s="1683">
        <v>0</v>
      </c>
      <c r="BF191" s="1683">
        <v>0</v>
      </c>
      <c r="BG191" s="1683">
        <v>0</v>
      </c>
      <c r="BH191" s="1683">
        <v>0</v>
      </c>
      <c r="BI191" s="1683">
        <v>0</v>
      </c>
      <c r="BJ191" s="1683">
        <v>0</v>
      </c>
      <c r="BK191" s="1683">
        <v>0</v>
      </c>
      <c r="BL191" s="1683">
        <v>0</v>
      </c>
      <c r="BM191" s="1683">
        <v>0</v>
      </c>
      <c r="BN191" s="1683">
        <v>0</v>
      </c>
      <c r="BO191" s="1682"/>
      <c r="BP191" s="1683">
        <v>0</v>
      </c>
      <c r="BQ191" s="1683">
        <v>0</v>
      </c>
      <c r="BR191" s="1683">
        <v>0</v>
      </c>
      <c r="BS191" s="1683">
        <v>0</v>
      </c>
      <c r="BT191" s="1683">
        <v>0</v>
      </c>
      <c r="BU191" s="1683">
        <v>0</v>
      </c>
      <c r="BV191" s="1683">
        <v>0</v>
      </c>
      <c r="BW191" s="1683">
        <v>0</v>
      </c>
      <c r="BX191" s="1683">
        <v>0</v>
      </c>
      <c r="BY191" s="1683">
        <v>0</v>
      </c>
      <c r="BZ191" s="1400"/>
      <c r="CA191" s="1400"/>
      <c r="CB191" s="1682"/>
      <c r="CC191" s="1682"/>
      <c r="CD191" s="1400"/>
      <c r="CE191" s="1400"/>
      <c r="CF191" s="1683">
        <v>0</v>
      </c>
      <c r="CG191" s="1683">
        <v>0</v>
      </c>
      <c r="CH191" s="1683">
        <v>0</v>
      </c>
      <c r="CI191" s="1683">
        <v>0</v>
      </c>
      <c r="CJ191" s="1683">
        <v>0</v>
      </c>
      <c r="CK191" s="1683">
        <v>0</v>
      </c>
      <c r="CL191" s="1682"/>
      <c r="CM191" s="1683">
        <v>0</v>
      </c>
      <c r="CN191" s="1683">
        <v>0</v>
      </c>
      <c r="CO191" s="1683">
        <v>0</v>
      </c>
      <c r="CP191" s="1683">
        <v>0</v>
      </c>
      <c r="CQ191" s="1683">
        <v>0</v>
      </c>
      <c r="CR191" s="1683">
        <v>0</v>
      </c>
      <c r="CS191" s="1683">
        <v>0</v>
      </c>
      <c r="CT191" s="1683">
        <v>0</v>
      </c>
      <c r="CU191" s="1683">
        <v>0</v>
      </c>
      <c r="CV191" s="1683">
        <v>0</v>
      </c>
      <c r="CW191" s="1682"/>
      <c r="CX191" s="1400"/>
      <c r="CY191" s="1400"/>
      <c r="CZ191" s="1400"/>
      <c r="DA191" s="1400"/>
      <c r="DB191" s="1682"/>
      <c r="DC191" s="1326"/>
      <c r="DD191" s="1683">
        <v>0</v>
      </c>
      <c r="DE191" s="1400"/>
      <c r="DF191" s="1400"/>
      <c r="DG191" s="1683">
        <v>0</v>
      </c>
      <c r="DH191" s="1683">
        <v>0</v>
      </c>
    </row>
    <row r="192" spans="1:112" ht="67.5">
      <c r="A192" s="1326" t="s">
        <v>2197</v>
      </c>
      <c r="B192" s="1326" t="s">
        <v>1694</v>
      </c>
      <c r="C192" s="1326" t="s">
        <v>2557</v>
      </c>
      <c r="D192" s="1326" t="s">
        <v>2558</v>
      </c>
      <c r="E192" s="1326" t="s">
        <v>192</v>
      </c>
      <c r="F192" s="1326" t="s">
        <v>2544</v>
      </c>
      <c r="G192" s="1326" t="s">
        <v>2545</v>
      </c>
      <c r="H192" s="1326" t="s">
        <v>2546</v>
      </c>
      <c r="I192" s="1326" t="s">
        <v>734</v>
      </c>
      <c r="J192" s="1326" t="s">
        <v>378</v>
      </c>
      <c r="K192" s="1326" t="s">
        <v>2110</v>
      </c>
      <c r="L192" s="1326" t="s">
        <v>2137</v>
      </c>
      <c r="M192" s="1683">
        <v>121153.55</v>
      </c>
      <c r="N192" s="1683">
        <v>0</v>
      </c>
      <c r="O192" s="1683">
        <v>121153.55</v>
      </c>
      <c r="P192" s="1683">
        <v>121153.55</v>
      </c>
      <c r="Q192" s="1683">
        <v>102980.52</v>
      </c>
      <c r="R192" s="1683">
        <v>102980.52</v>
      </c>
      <c r="S192" s="1683">
        <v>0</v>
      </c>
      <c r="T192" s="1683">
        <v>18173.03</v>
      </c>
      <c r="U192" s="1683">
        <v>0</v>
      </c>
      <c r="V192" s="1683">
        <v>18173.03</v>
      </c>
      <c r="W192" s="1683">
        <v>0</v>
      </c>
      <c r="X192" s="1683">
        <v>0</v>
      </c>
      <c r="Y192" s="1682"/>
      <c r="Z192" s="1326"/>
      <c r="AA192" s="1683">
        <v>30894.16</v>
      </c>
      <c r="AB192" s="1683">
        <v>30894.16</v>
      </c>
      <c r="AC192" s="1683">
        <v>0</v>
      </c>
      <c r="AD192" s="1682"/>
      <c r="AE192" s="1326"/>
      <c r="AF192" s="1326"/>
      <c r="AG192" s="1410"/>
      <c r="AH192" s="1683">
        <v>121153.53</v>
      </c>
      <c r="AI192" s="1683">
        <v>152047.69</v>
      </c>
      <c r="AJ192" s="1683">
        <v>102980.52</v>
      </c>
      <c r="AK192" s="1683">
        <v>102980.52</v>
      </c>
      <c r="AL192" s="1683">
        <v>0</v>
      </c>
      <c r="AM192" s="1682"/>
      <c r="AN192" s="1683">
        <v>121153.53</v>
      </c>
      <c r="AO192" s="1683">
        <v>121153.53</v>
      </c>
      <c r="AP192" s="1683">
        <v>102980.52</v>
      </c>
      <c r="AQ192" s="1683">
        <v>102980.52</v>
      </c>
      <c r="AR192" s="1683">
        <v>0</v>
      </c>
      <c r="AS192" s="1683">
        <v>18173.009999999998</v>
      </c>
      <c r="AT192" s="1683">
        <v>0</v>
      </c>
      <c r="AU192" s="1683">
        <v>18173.009999999998</v>
      </c>
      <c r="AV192" s="1683">
        <v>0</v>
      </c>
      <c r="AW192" s="1683">
        <v>0</v>
      </c>
      <c r="AX192" s="1683">
        <v>0</v>
      </c>
      <c r="AY192" s="1683">
        <v>0</v>
      </c>
      <c r="AZ192" s="1683">
        <v>0</v>
      </c>
      <c r="BA192" s="1682"/>
      <c r="BB192" s="1682"/>
      <c r="BC192" s="1683">
        <v>0</v>
      </c>
      <c r="BD192" s="1683">
        <v>0</v>
      </c>
      <c r="BE192" s="1683">
        <v>121153.53</v>
      </c>
      <c r="BF192" s="1683">
        <v>121153.53</v>
      </c>
      <c r="BG192" s="1683">
        <v>102980.52</v>
      </c>
      <c r="BH192" s="1683">
        <v>102980.52</v>
      </c>
      <c r="BI192" s="1683">
        <v>0</v>
      </c>
      <c r="BJ192" s="1683">
        <v>18173.009999999998</v>
      </c>
      <c r="BK192" s="1683">
        <v>0</v>
      </c>
      <c r="BL192" s="1683">
        <v>18173.009999999998</v>
      </c>
      <c r="BM192" s="1683">
        <v>0</v>
      </c>
      <c r="BN192" s="1683">
        <v>0</v>
      </c>
      <c r="BO192" s="1682"/>
      <c r="BP192" s="1683">
        <v>121153.53</v>
      </c>
      <c r="BQ192" s="1683">
        <v>121153.53</v>
      </c>
      <c r="BR192" s="1683">
        <v>102980.52</v>
      </c>
      <c r="BS192" s="1683">
        <v>102980.52</v>
      </c>
      <c r="BT192" s="1683">
        <v>0</v>
      </c>
      <c r="BU192" s="1683">
        <v>18173.009999999998</v>
      </c>
      <c r="BV192" s="1683">
        <v>0</v>
      </c>
      <c r="BW192" s="1683">
        <v>5131.53</v>
      </c>
      <c r="BX192" s="1683">
        <v>0</v>
      </c>
      <c r="BY192" s="1683">
        <v>0</v>
      </c>
      <c r="BZ192" s="1683">
        <v>0</v>
      </c>
      <c r="CA192" s="1683">
        <v>0</v>
      </c>
      <c r="CB192" s="1682"/>
      <c r="CC192" s="1682"/>
      <c r="CD192" s="1683">
        <v>0</v>
      </c>
      <c r="CE192" s="1683">
        <v>0</v>
      </c>
      <c r="CF192" s="1683">
        <v>0</v>
      </c>
      <c r="CG192" s="1683">
        <v>0</v>
      </c>
      <c r="CH192" s="1683">
        <v>0</v>
      </c>
      <c r="CI192" s="1683">
        <v>0</v>
      </c>
      <c r="CJ192" s="1683">
        <v>0</v>
      </c>
      <c r="CK192" s="1683">
        <v>0</v>
      </c>
      <c r="CL192" s="1682"/>
      <c r="CM192" s="1683">
        <v>34210.199999999997</v>
      </c>
      <c r="CN192" s="1683">
        <v>34210.199999999997</v>
      </c>
      <c r="CO192" s="1683">
        <v>29078.67</v>
      </c>
      <c r="CP192" s="1683">
        <v>29078.67</v>
      </c>
      <c r="CQ192" s="1683">
        <v>0</v>
      </c>
      <c r="CR192" s="1683">
        <v>5131.53</v>
      </c>
      <c r="CS192" s="1683">
        <v>0</v>
      </c>
      <c r="CT192" s="1683">
        <v>5131.53</v>
      </c>
      <c r="CU192" s="1683">
        <v>0</v>
      </c>
      <c r="CV192" s="1683">
        <v>0</v>
      </c>
      <c r="CW192" s="1682"/>
      <c r="CX192" s="1683">
        <v>0</v>
      </c>
      <c r="CY192" s="1683">
        <v>0</v>
      </c>
      <c r="CZ192" s="1683">
        <v>34210.199999999997</v>
      </c>
      <c r="DA192" s="1683">
        <v>34210.199999999997</v>
      </c>
      <c r="DB192" s="1682"/>
      <c r="DC192" s="1326"/>
      <c r="DD192" s="1683">
        <v>0</v>
      </c>
      <c r="DE192" s="1683">
        <v>0</v>
      </c>
      <c r="DF192" s="1683">
        <v>0</v>
      </c>
      <c r="DG192" s="1683">
        <v>0</v>
      </c>
      <c r="DH192" s="1683">
        <v>0</v>
      </c>
    </row>
    <row r="193" spans="1:112" ht="67.5">
      <c r="A193" s="1326" t="s">
        <v>2198</v>
      </c>
      <c r="B193" s="1326" t="s">
        <v>1694</v>
      </c>
      <c r="C193" s="1326" t="s">
        <v>2557</v>
      </c>
      <c r="D193" s="1326" t="s">
        <v>2558</v>
      </c>
      <c r="E193" s="1326" t="s">
        <v>192</v>
      </c>
      <c r="F193" s="1326" t="s">
        <v>2544</v>
      </c>
      <c r="G193" s="1326" t="s">
        <v>2545</v>
      </c>
      <c r="H193" s="1326" t="s">
        <v>2546</v>
      </c>
      <c r="I193" s="1326" t="s">
        <v>734</v>
      </c>
      <c r="J193" s="1326" t="s">
        <v>378</v>
      </c>
      <c r="K193" s="1326" t="s">
        <v>2110</v>
      </c>
      <c r="L193" s="1326" t="s">
        <v>2137</v>
      </c>
      <c r="M193" s="1400"/>
      <c r="N193" s="1400"/>
      <c r="O193" s="1400"/>
      <c r="P193" s="1400"/>
      <c r="Q193" s="1400"/>
      <c r="R193" s="1400"/>
      <c r="S193" s="1400"/>
      <c r="T193" s="1400"/>
      <c r="U193" s="1400"/>
      <c r="V193" s="1400"/>
      <c r="W193" s="1400"/>
      <c r="X193" s="1400"/>
      <c r="Y193" s="1685">
        <v>42977</v>
      </c>
      <c r="Z193" s="1326" t="s">
        <v>2096</v>
      </c>
      <c r="AA193" s="1683">
        <v>0</v>
      </c>
      <c r="AB193" s="1683">
        <v>0</v>
      </c>
      <c r="AC193" s="1683">
        <v>0</v>
      </c>
      <c r="AD193" s="1685">
        <v>42996</v>
      </c>
      <c r="AE193" s="1326" t="s">
        <v>2073</v>
      </c>
      <c r="AF193" s="1326" t="s">
        <v>2064</v>
      </c>
      <c r="AG193" s="1410"/>
      <c r="AH193" s="1683">
        <v>0</v>
      </c>
      <c r="AI193" s="1683">
        <v>30894.16</v>
      </c>
      <c r="AJ193" s="1683">
        <v>30894.16</v>
      </c>
      <c r="AK193" s="1683">
        <v>30894.16</v>
      </c>
      <c r="AL193" s="1683">
        <v>0</v>
      </c>
      <c r="AM193" s="1682"/>
      <c r="AN193" s="1683">
        <v>0</v>
      </c>
      <c r="AO193" s="1683">
        <v>0</v>
      </c>
      <c r="AP193" s="1683">
        <v>0</v>
      </c>
      <c r="AQ193" s="1683">
        <v>0</v>
      </c>
      <c r="AR193" s="1683">
        <v>0</v>
      </c>
      <c r="AS193" s="1683">
        <v>0</v>
      </c>
      <c r="AT193" s="1683">
        <v>0</v>
      </c>
      <c r="AU193" s="1683">
        <v>0</v>
      </c>
      <c r="AV193" s="1683">
        <v>0</v>
      </c>
      <c r="AW193" s="1683">
        <v>0</v>
      </c>
      <c r="AX193" s="1400"/>
      <c r="AY193" s="1400"/>
      <c r="AZ193" s="1400"/>
      <c r="BA193" s="1682"/>
      <c r="BB193" s="1682"/>
      <c r="BC193" s="1400"/>
      <c r="BD193" s="1400"/>
      <c r="BE193" s="1683">
        <v>0</v>
      </c>
      <c r="BF193" s="1683">
        <v>0</v>
      </c>
      <c r="BG193" s="1683">
        <v>0</v>
      </c>
      <c r="BH193" s="1683">
        <v>0</v>
      </c>
      <c r="BI193" s="1683">
        <v>0</v>
      </c>
      <c r="BJ193" s="1683">
        <v>0</v>
      </c>
      <c r="BK193" s="1683">
        <v>0</v>
      </c>
      <c r="BL193" s="1683">
        <v>0</v>
      </c>
      <c r="BM193" s="1683">
        <v>0</v>
      </c>
      <c r="BN193" s="1683">
        <v>0</v>
      </c>
      <c r="BO193" s="1682"/>
      <c r="BP193" s="1683">
        <v>0</v>
      </c>
      <c r="BQ193" s="1683">
        <v>0</v>
      </c>
      <c r="BR193" s="1683">
        <v>0</v>
      </c>
      <c r="BS193" s="1683">
        <v>0</v>
      </c>
      <c r="BT193" s="1683">
        <v>0</v>
      </c>
      <c r="BU193" s="1683">
        <v>0</v>
      </c>
      <c r="BV193" s="1683">
        <v>0</v>
      </c>
      <c r="BW193" s="1683">
        <v>0</v>
      </c>
      <c r="BX193" s="1683">
        <v>0</v>
      </c>
      <c r="BY193" s="1683">
        <v>0</v>
      </c>
      <c r="BZ193" s="1400"/>
      <c r="CA193" s="1400"/>
      <c r="CB193" s="1682"/>
      <c r="CC193" s="1682"/>
      <c r="CD193" s="1400"/>
      <c r="CE193" s="1400"/>
      <c r="CF193" s="1683">
        <v>0</v>
      </c>
      <c r="CG193" s="1683">
        <v>0</v>
      </c>
      <c r="CH193" s="1683">
        <v>0</v>
      </c>
      <c r="CI193" s="1683">
        <v>0</v>
      </c>
      <c r="CJ193" s="1683">
        <v>0</v>
      </c>
      <c r="CK193" s="1683">
        <v>0</v>
      </c>
      <c r="CL193" s="1682"/>
      <c r="CM193" s="1683">
        <v>0</v>
      </c>
      <c r="CN193" s="1683">
        <v>0</v>
      </c>
      <c r="CO193" s="1683">
        <v>0</v>
      </c>
      <c r="CP193" s="1683">
        <v>0</v>
      </c>
      <c r="CQ193" s="1683">
        <v>0</v>
      </c>
      <c r="CR193" s="1683">
        <v>0</v>
      </c>
      <c r="CS193" s="1683">
        <v>0</v>
      </c>
      <c r="CT193" s="1683">
        <v>0</v>
      </c>
      <c r="CU193" s="1683">
        <v>0</v>
      </c>
      <c r="CV193" s="1683">
        <v>0</v>
      </c>
      <c r="CW193" s="1682"/>
      <c r="CX193" s="1400"/>
      <c r="CY193" s="1400"/>
      <c r="CZ193" s="1400"/>
      <c r="DA193" s="1400"/>
      <c r="DB193" s="1682"/>
      <c r="DC193" s="1326"/>
      <c r="DD193" s="1683">
        <v>0</v>
      </c>
      <c r="DE193" s="1400"/>
      <c r="DF193" s="1400"/>
      <c r="DG193" s="1683">
        <v>0</v>
      </c>
      <c r="DH193" s="1683">
        <v>0</v>
      </c>
    </row>
    <row r="194" spans="1:112" ht="67.5">
      <c r="A194" s="1326" t="s">
        <v>2199</v>
      </c>
      <c r="B194" s="1326" t="s">
        <v>1694</v>
      </c>
      <c r="C194" s="1326" t="s">
        <v>2557</v>
      </c>
      <c r="D194" s="1326" t="s">
        <v>2558</v>
      </c>
      <c r="E194" s="1326" t="s">
        <v>192</v>
      </c>
      <c r="F194" s="1326" t="s">
        <v>2544</v>
      </c>
      <c r="G194" s="1326" t="s">
        <v>2545</v>
      </c>
      <c r="H194" s="1326" t="s">
        <v>2546</v>
      </c>
      <c r="I194" s="1326" t="s">
        <v>734</v>
      </c>
      <c r="J194" s="1326" t="s">
        <v>378</v>
      </c>
      <c r="K194" s="1326" t="s">
        <v>2110</v>
      </c>
      <c r="L194" s="1326" t="s">
        <v>2137</v>
      </c>
      <c r="M194" s="1400"/>
      <c r="N194" s="1400"/>
      <c r="O194" s="1400"/>
      <c r="P194" s="1400"/>
      <c r="Q194" s="1400"/>
      <c r="R194" s="1400"/>
      <c r="S194" s="1400"/>
      <c r="T194" s="1400"/>
      <c r="U194" s="1400"/>
      <c r="V194" s="1400"/>
      <c r="W194" s="1400"/>
      <c r="X194" s="1400"/>
      <c r="Y194" s="1685">
        <v>43028</v>
      </c>
      <c r="Z194" s="1326" t="s">
        <v>2062</v>
      </c>
      <c r="AA194" s="1683">
        <v>0</v>
      </c>
      <c r="AB194" s="1683">
        <v>0</v>
      </c>
      <c r="AC194" s="1683">
        <v>0</v>
      </c>
      <c r="AD194" s="1685">
        <v>43048</v>
      </c>
      <c r="AE194" s="1326" t="s">
        <v>2063</v>
      </c>
      <c r="AF194" s="1326" t="s">
        <v>2064</v>
      </c>
      <c r="AG194" s="1410"/>
      <c r="AH194" s="1683">
        <v>6999.72</v>
      </c>
      <c r="AI194" s="1683">
        <v>6999.72</v>
      </c>
      <c r="AJ194" s="1683">
        <v>5949.76</v>
      </c>
      <c r="AK194" s="1683">
        <v>5949.76</v>
      </c>
      <c r="AL194" s="1683">
        <v>0</v>
      </c>
      <c r="AM194" s="1685">
        <v>43048</v>
      </c>
      <c r="AN194" s="1683">
        <v>6999.72</v>
      </c>
      <c r="AO194" s="1683">
        <v>6999.72</v>
      </c>
      <c r="AP194" s="1683">
        <v>5949.76</v>
      </c>
      <c r="AQ194" s="1683">
        <v>5949.76</v>
      </c>
      <c r="AR194" s="1683">
        <v>0</v>
      </c>
      <c r="AS194" s="1683">
        <v>1049.96</v>
      </c>
      <c r="AT194" s="1683">
        <v>0</v>
      </c>
      <c r="AU194" s="1683">
        <v>1049.96</v>
      </c>
      <c r="AV194" s="1683">
        <v>0</v>
      </c>
      <c r="AW194" s="1683">
        <v>0</v>
      </c>
      <c r="AX194" s="1400"/>
      <c r="AY194" s="1400"/>
      <c r="AZ194" s="1400"/>
      <c r="BA194" s="1682"/>
      <c r="BB194" s="1682"/>
      <c r="BC194" s="1400"/>
      <c r="BD194" s="1400"/>
      <c r="BE194" s="1683">
        <v>6999.72</v>
      </c>
      <c r="BF194" s="1683">
        <v>6999.72</v>
      </c>
      <c r="BG194" s="1683">
        <v>5949.76</v>
      </c>
      <c r="BH194" s="1683">
        <v>5949.76</v>
      </c>
      <c r="BI194" s="1683">
        <v>0</v>
      </c>
      <c r="BJ194" s="1683">
        <v>1049.96</v>
      </c>
      <c r="BK194" s="1683">
        <v>0</v>
      </c>
      <c r="BL194" s="1683">
        <v>1049.96</v>
      </c>
      <c r="BM194" s="1683">
        <v>0</v>
      </c>
      <c r="BN194" s="1683">
        <v>0</v>
      </c>
      <c r="BO194" s="1685">
        <v>43125</v>
      </c>
      <c r="BP194" s="1683">
        <v>6999.72</v>
      </c>
      <c r="BQ194" s="1683">
        <v>6999.72</v>
      </c>
      <c r="BR194" s="1683">
        <v>5949.76</v>
      </c>
      <c r="BS194" s="1683">
        <v>5949.76</v>
      </c>
      <c r="BT194" s="1683">
        <v>0</v>
      </c>
      <c r="BU194" s="1683">
        <v>1049.96</v>
      </c>
      <c r="BV194" s="1683">
        <v>0</v>
      </c>
      <c r="BW194" s="1683">
        <v>1049.96</v>
      </c>
      <c r="BX194" s="1683">
        <v>0</v>
      </c>
      <c r="BY194" s="1683">
        <v>0</v>
      </c>
      <c r="BZ194" s="1683">
        <v>0</v>
      </c>
      <c r="CA194" s="1400"/>
      <c r="CB194" s="1682"/>
      <c r="CC194" s="1682"/>
      <c r="CD194" s="1400"/>
      <c r="CE194" s="1400"/>
      <c r="CF194" s="1683">
        <v>0</v>
      </c>
      <c r="CG194" s="1683">
        <v>0</v>
      </c>
      <c r="CH194" s="1683">
        <v>0</v>
      </c>
      <c r="CI194" s="1683">
        <v>0</v>
      </c>
      <c r="CJ194" s="1683">
        <v>0</v>
      </c>
      <c r="CK194" s="1683">
        <v>0</v>
      </c>
      <c r="CL194" s="1685">
        <v>43511</v>
      </c>
      <c r="CM194" s="1683">
        <v>6999.72</v>
      </c>
      <c r="CN194" s="1683">
        <v>6999.72</v>
      </c>
      <c r="CO194" s="1683">
        <v>5949.76</v>
      </c>
      <c r="CP194" s="1683">
        <v>5949.76</v>
      </c>
      <c r="CQ194" s="1683">
        <v>0</v>
      </c>
      <c r="CR194" s="1683">
        <v>1049.96</v>
      </c>
      <c r="CS194" s="1683">
        <v>0</v>
      </c>
      <c r="CT194" s="1683">
        <v>1049.96</v>
      </c>
      <c r="CU194" s="1683">
        <v>0</v>
      </c>
      <c r="CV194" s="1683">
        <v>0</v>
      </c>
      <c r="CW194" s="1682"/>
      <c r="CX194" s="1400"/>
      <c r="CY194" s="1400"/>
      <c r="CZ194" s="1400"/>
      <c r="DA194" s="1400"/>
      <c r="DB194" s="1682"/>
      <c r="DC194" s="1326"/>
      <c r="DD194" s="1683">
        <v>0</v>
      </c>
      <c r="DE194" s="1400"/>
      <c r="DF194" s="1400"/>
      <c r="DG194" s="1683">
        <v>0</v>
      </c>
      <c r="DH194" s="1683">
        <v>0</v>
      </c>
    </row>
    <row r="195" spans="1:112" ht="67.5">
      <c r="A195" s="1326" t="s">
        <v>2200</v>
      </c>
      <c r="B195" s="1326" t="s">
        <v>1694</v>
      </c>
      <c r="C195" s="1326" t="s">
        <v>2557</v>
      </c>
      <c r="D195" s="1326" t="s">
        <v>2558</v>
      </c>
      <c r="E195" s="1326" t="s">
        <v>192</v>
      </c>
      <c r="F195" s="1326" t="s">
        <v>2544</v>
      </c>
      <c r="G195" s="1326" t="s">
        <v>2545</v>
      </c>
      <c r="H195" s="1326" t="s">
        <v>2546</v>
      </c>
      <c r="I195" s="1326" t="s">
        <v>734</v>
      </c>
      <c r="J195" s="1326" t="s">
        <v>378</v>
      </c>
      <c r="K195" s="1326" t="s">
        <v>2110</v>
      </c>
      <c r="L195" s="1326" t="s">
        <v>2137</v>
      </c>
      <c r="M195" s="1400"/>
      <c r="N195" s="1400"/>
      <c r="O195" s="1400"/>
      <c r="P195" s="1400"/>
      <c r="Q195" s="1400"/>
      <c r="R195" s="1400"/>
      <c r="S195" s="1400"/>
      <c r="T195" s="1400"/>
      <c r="U195" s="1400"/>
      <c r="V195" s="1400"/>
      <c r="W195" s="1400"/>
      <c r="X195" s="1400"/>
      <c r="Y195" s="1685">
        <v>43146</v>
      </c>
      <c r="Z195" s="1326" t="s">
        <v>2062</v>
      </c>
      <c r="AA195" s="1683">
        <v>0</v>
      </c>
      <c r="AB195" s="1683">
        <v>0</v>
      </c>
      <c r="AC195" s="1683">
        <v>0</v>
      </c>
      <c r="AD195" s="1685">
        <v>43160</v>
      </c>
      <c r="AE195" s="1326" t="s">
        <v>2079</v>
      </c>
      <c r="AF195" s="1326" t="s">
        <v>2067</v>
      </c>
      <c r="AG195" s="1410"/>
      <c r="AH195" s="1683">
        <v>19116.62</v>
      </c>
      <c r="AI195" s="1683">
        <v>19116.62</v>
      </c>
      <c r="AJ195" s="1683">
        <v>16249.13</v>
      </c>
      <c r="AK195" s="1683">
        <v>16249.13</v>
      </c>
      <c r="AL195" s="1683">
        <v>0</v>
      </c>
      <c r="AM195" s="1685">
        <v>43165</v>
      </c>
      <c r="AN195" s="1683">
        <v>19116.62</v>
      </c>
      <c r="AO195" s="1683">
        <v>19116.62</v>
      </c>
      <c r="AP195" s="1683">
        <v>16249.13</v>
      </c>
      <c r="AQ195" s="1683">
        <v>16249.13</v>
      </c>
      <c r="AR195" s="1683">
        <v>0</v>
      </c>
      <c r="AS195" s="1683">
        <v>2867.49</v>
      </c>
      <c r="AT195" s="1683">
        <v>0</v>
      </c>
      <c r="AU195" s="1683">
        <v>2867.49</v>
      </c>
      <c r="AV195" s="1683">
        <v>0</v>
      </c>
      <c r="AW195" s="1683">
        <v>0</v>
      </c>
      <c r="AX195" s="1400"/>
      <c r="AY195" s="1400"/>
      <c r="AZ195" s="1400"/>
      <c r="BA195" s="1682"/>
      <c r="BB195" s="1682"/>
      <c r="BC195" s="1400"/>
      <c r="BD195" s="1400"/>
      <c r="BE195" s="1683">
        <v>19116.62</v>
      </c>
      <c r="BF195" s="1683">
        <v>19116.62</v>
      </c>
      <c r="BG195" s="1683">
        <v>16249.13</v>
      </c>
      <c r="BH195" s="1683">
        <v>16249.13</v>
      </c>
      <c r="BI195" s="1683">
        <v>0</v>
      </c>
      <c r="BJ195" s="1683">
        <v>2867.49</v>
      </c>
      <c r="BK195" s="1683">
        <v>0</v>
      </c>
      <c r="BL195" s="1683">
        <v>2867.49</v>
      </c>
      <c r="BM195" s="1683">
        <v>0</v>
      </c>
      <c r="BN195" s="1683">
        <v>0</v>
      </c>
      <c r="BO195" s="1685">
        <v>43230</v>
      </c>
      <c r="BP195" s="1683">
        <v>19116.62</v>
      </c>
      <c r="BQ195" s="1683">
        <v>19116.62</v>
      </c>
      <c r="BR195" s="1683">
        <v>16249.13</v>
      </c>
      <c r="BS195" s="1683">
        <v>16249.13</v>
      </c>
      <c r="BT195" s="1683">
        <v>0</v>
      </c>
      <c r="BU195" s="1683">
        <v>2867.49</v>
      </c>
      <c r="BV195" s="1683">
        <v>0</v>
      </c>
      <c r="BW195" s="1683">
        <v>2867.49</v>
      </c>
      <c r="BX195" s="1683">
        <v>0</v>
      </c>
      <c r="BY195" s="1683">
        <v>0</v>
      </c>
      <c r="BZ195" s="1683">
        <v>0</v>
      </c>
      <c r="CA195" s="1400"/>
      <c r="CB195" s="1682"/>
      <c r="CC195" s="1682"/>
      <c r="CD195" s="1400"/>
      <c r="CE195" s="1400"/>
      <c r="CF195" s="1683">
        <v>0</v>
      </c>
      <c r="CG195" s="1683">
        <v>0</v>
      </c>
      <c r="CH195" s="1683">
        <v>0</v>
      </c>
      <c r="CI195" s="1683">
        <v>0</v>
      </c>
      <c r="CJ195" s="1683">
        <v>0</v>
      </c>
      <c r="CK195" s="1683">
        <v>0</v>
      </c>
      <c r="CL195" s="1685">
        <v>43511</v>
      </c>
      <c r="CM195" s="1683">
        <v>19116.62</v>
      </c>
      <c r="CN195" s="1683">
        <v>19116.62</v>
      </c>
      <c r="CO195" s="1683">
        <v>16249.13</v>
      </c>
      <c r="CP195" s="1683">
        <v>16249.13</v>
      </c>
      <c r="CQ195" s="1683">
        <v>0</v>
      </c>
      <c r="CR195" s="1683">
        <v>2867.49</v>
      </c>
      <c r="CS195" s="1683">
        <v>0</v>
      </c>
      <c r="CT195" s="1683">
        <v>2867.49</v>
      </c>
      <c r="CU195" s="1683">
        <v>0</v>
      </c>
      <c r="CV195" s="1683">
        <v>0</v>
      </c>
      <c r="CW195" s="1682"/>
      <c r="CX195" s="1400"/>
      <c r="CY195" s="1400"/>
      <c r="CZ195" s="1400"/>
      <c r="DA195" s="1400"/>
      <c r="DB195" s="1682"/>
      <c r="DC195" s="1326"/>
      <c r="DD195" s="1683">
        <v>0</v>
      </c>
      <c r="DE195" s="1400"/>
      <c r="DF195" s="1400"/>
      <c r="DG195" s="1683">
        <v>0</v>
      </c>
      <c r="DH195" s="1683">
        <v>0</v>
      </c>
    </row>
    <row r="196" spans="1:112" ht="67.5">
      <c r="A196" s="1326" t="s">
        <v>2201</v>
      </c>
      <c r="B196" s="1326" t="s">
        <v>1694</v>
      </c>
      <c r="C196" s="1326" t="s">
        <v>2557</v>
      </c>
      <c r="D196" s="1326" t="s">
        <v>2558</v>
      </c>
      <c r="E196" s="1326" t="s">
        <v>192</v>
      </c>
      <c r="F196" s="1326" t="s">
        <v>2544</v>
      </c>
      <c r="G196" s="1326" t="s">
        <v>2545</v>
      </c>
      <c r="H196" s="1326" t="s">
        <v>2546</v>
      </c>
      <c r="I196" s="1326" t="s">
        <v>734</v>
      </c>
      <c r="J196" s="1326" t="s">
        <v>378</v>
      </c>
      <c r="K196" s="1326" t="s">
        <v>2110</v>
      </c>
      <c r="L196" s="1326" t="s">
        <v>2137</v>
      </c>
      <c r="M196" s="1400"/>
      <c r="N196" s="1400"/>
      <c r="O196" s="1400"/>
      <c r="P196" s="1400"/>
      <c r="Q196" s="1400"/>
      <c r="R196" s="1400"/>
      <c r="S196" s="1400"/>
      <c r="T196" s="1400"/>
      <c r="U196" s="1400"/>
      <c r="V196" s="1400"/>
      <c r="W196" s="1400"/>
      <c r="X196" s="1400"/>
      <c r="Y196" s="1685">
        <v>43146</v>
      </c>
      <c r="Z196" s="1326" t="s">
        <v>2062</v>
      </c>
      <c r="AA196" s="1683">
        <v>0</v>
      </c>
      <c r="AB196" s="1683">
        <v>0</v>
      </c>
      <c r="AC196" s="1683">
        <v>0</v>
      </c>
      <c r="AD196" s="1685">
        <v>43160</v>
      </c>
      <c r="AE196" s="1326" t="s">
        <v>2079</v>
      </c>
      <c r="AF196" s="1326" t="s">
        <v>2064</v>
      </c>
      <c r="AG196" s="1410"/>
      <c r="AH196" s="1683">
        <v>8093.86</v>
      </c>
      <c r="AI196" s="1683">
        <v>8093.86</v>
      </c>
      <c r="AJ196" s="1683">
        <v>6879.78</v>
      </c>
      <c r="AK196" s="1683">
        <v>6879.78</v>
      </c>
      <c r="AL196" s="1683">
        <v>0</v>
      </c>
      <c r="AM196" s="1685">
        <v>43160</v>
      </c>
      <c r="AN196" s="1683">
        <v>8093.86</v>
      </c>
      <c r="AO196" s="1683">
        <v>8093.86</v>
      </c>
      <c r="AP196" s="1683">
        <v>6879.78</v>
      </c>
      <c r="AQ196" s="1683">
        <v>6879.78</v>
      </c>
      <c r="AR196" s="1683">
        <v>0</v>
      </c>
      <c r="AS196" s="1683">
        <v>1214.08</v>
      </c>
      <c r="AT196" s="1683">
        <v>0</v>
      </c>
      <c r="AU196" s="1683">
        <v>1214.08</v>
      </c>
      <c r="AV196" s="1683">
        <v>0</v>
      </c>
      <c r="AW196" s="1683">
        <v>0</v>
      </c>
      <c r="AX196" s="1400"/>
      <c r="AY196" s="1400"/>
      <c r="AZ196" s="1400"/>
      <c r="BA196" s="1682"/>
      <c r="BB196" s="1682"/>
      <c r="BC196" s="1400"/>
      <c r="BD196" s="1400"/>
      <c r="BE196" s="1683">
        <v>8093.86</v>
      </c>
      <c r="BF196" s="1683">
        <v>8093.86</v>
      </c>
      <c r="BG196" s="1683">
        <v>6879.78</v>
      </c>
      <c r="BH196" s="1683">
        <v>6879.78</v>
      </c>
      <c r="BI196" s="1683">
        <v>0</v>
      </c>
      <c r="BJ196" s="1683">
        <v>1214.08</v>
      </c>
      <c r="BK196" s="1683">
        <v>0</v>
      </c>
      <c r="BL196" s="1683">
        <v>1214.08</v>
      </c>
      <c r="BM196" s="1683">
        <v>0</v>
      </c>
      <c r="BN196" s="1683">
        <v>0</v>
      </c>
      <c r="BO196" s="1685">
        <v>43230</v>
      </c>
      <c r="BP196" s="1683">
        <v>8093.86</v>
      </c>
      <c r="BQ196" s="1683">
        <v>8093.86</v>
      </c>
      <c r="BR196" s="1683">
        <v>6879.78</v>
      </c>
      <c r="BS196" s="1683">
        <v>6879.78</v>
      </c>
      <c r="BT196" s="1683">
        <v>0</v>
      </c>
      <c r="BU196" s="1683">
        <v>1214.08</v>
      </c>
      <c r="BV196" s="1683">
        <v>0</v>
      </c>
      <c r="BW196" s="1683">
        <v>1214.08</v>
      </c>
      <c r="BX196" s="1683">
        <v>0</v>
      </c>
      <c r="BY196" s="1683">
        <v>0</v>
      </c>
      <c r="BZ196" s="1683">
        <v>0</v>
      </c>
      <c r="CA196" s="1400"/>
      <c r="CB196" s="1682"/>
      <c r="CC196" s="1682"/>
      <c r="CD196" s="1400"/>
      <c r="CE196" s="1400"/>
      <c r="CF196" s="1683">
        <v>0</v>
      </c>
      <c r="CG196" s="1683">
        <v>0</v>
      </c>
      <c r="CH196" s="1683">
        <v>0</v>
      </c>
      <c r="CI196" s="1683">
        <v>0</v>
      </c>
      <c r="CJ196" s="1683">
        <v>0</v>
      </c>
      <c r="CK196" s="1683">
        <v>0</v>
      </c>
      <c r="CL196" s="1685">
        <v>43511</v>
      </c>
      <c r="CM196" s="1683">
        <v>8093.86</v>
      </c>
      <c r="CN196" s="1683">
        <v>8093.86</v>
      </c>
      <c r="CO196" s="1683">
        <v>6879.78</v>
      </c>
      <c r="CP196" s="1683">
        <v>6879.78</v>
      </c>
      <c r="CQ196" s="1683">
        <v>0</v>
      </c>
      <c r="CR196" s="1683">
        <v>1214.08</v>
      </c>
      <c r="CS196" s="1683">
        <v>0</v>
      </c>
      <c r="CT196" s="1683">
        <v>1214.08</v>
      </c>
      <c r="CU196" s="1683">
        <v>0</v>
      </c>
      <c r="CV196" s="1683">
        <v>0</v>
      </c>
      <c r="CW196" s="1682"/>
      <c r="CX196" s="1400"/>
      <c r="CY196" s="1400"/>
      <c r="CZ196" s="1400"/>
      <c r="DA196" s="1400"/>
      <c r="DB196" s="1682"/>
      <c r="DC196" s="1326"/>
      <c r="DD196" s="1683">
        <v>0</v>
      </c>
      <c r="DE196" s="1400"/>
      <c r="DF196" s="1400"/>
      <c r="DG196" s="1683">
        <v>0</v>
      </c>
      <c r="DH196" s="1683">
        <v>0</v>
      </c>
    </row>
    <row r="197" spans="1:112" ht="67.5">
      <c r="A197" s="1326" t="s">
        <v>2202</v>
      </c>
      <c r="B197" s="1326" t="s">
        <v>1694</v>
      </c>
      <c r="C197" s="1326" t="s">
        <v>2557</v>
      </c>
      <c r="D197" s="1326" t="s">
        <v>2558</v>
      </c>
      <c r="E197" s="1326" t="s">
        <v>192</v>
      </c>
      <c r="F197" s="1326" t="s">
        <v>2544</v>
      </c>
      <c r="G197" s="1326" t="s">
        <v>2545</v>
      </c>
      <c r="H197" s="1326" t="s">
        <v>2546</v>
      </c>
      <c r="I197" s="1326" t="s">
        <v>734</v>
      </c>
      <c r="J197" s="1326" t="s">
        <v>378</v>
      </c>
      <c r="K197" s="1326" t="s">
        <v>2110</v>
      </c>
      <c r="L197" s="1326" t="s">
        <v>2137</v>
      </c>
      <c r="M197" s="1400"/>
      <c r="N197" s="1400"/>
      <c r="O197" s="1400"/>
      <c r="P197" s="1400"/>
      <c r="Q197" s="1400"/>
      <c r="R197" s="1400"/>
      <c r="S197" s="1400"/>
      <c r="T197" s="1400"/>
      <c r="U197" s="1400"/>
      <c r="V197" s="1400"/>
      <c r="W197" s="1400"/>
      <c r="X197" s="1400"/>
      <c r="Y197" s="1685">
        <v>43217</v>
      </c>
      <c r="Z197" s="1326" t="s">
        <v>2062</v>
      </c>
      <c r="AA197" s="1683">
        <v>0</v>
      </c>
      <c r="AB197" s="1683">
        <v>0</v>
      </c>
      <c r="AC197" s="1683">
        <v>0</v>
      </c>
      <c r="AD197" s="1685">
        <v>43238</v>
      </c>
      <c r="AE197" s="1326" t="s">
        <v>2080</v>
      </c>
      <c r="AF197" s="1326" t="s">
        <v>2067</v>
      </c>
      <c r="AG197" s="1410"/>
      <c r="AH197" s="1683">
        <v>30457.72</v>
      </c>
      <c r="AI197" s="1683">
        <v>30457.72</v>
      </c>
      <c r="AJ197" s="1683">
        <v>25889.06</v>
      </c>
      <c r="AK197" s="1683">
        <v>25889.06</v>
      </c>
      <c r="AL197" s="1683">
        <v>0</v>
      </c>
      <c r="AM197" s="1685">
        <v>43242</v>
      </c>
      <c r="AN197" s="1683">
        <v>30457.72</v>
      </c>
      <c r="AO197" s="1683">
        <v>30457.72</v>
      </c>
      <c r="AP197" s="1683">
        <v>25889.06</v>
      </c>
      <c r="AQ197" s="1683">
        <v>25889.06</v>
      </c>
      <c r="AR197" s="1683">
        <v>0</v>
      </c>
      <c r="AS197" s="1683">
        <v>4568.66</v>
      </c>
      <c r="AT197" s="1683">
        <v>0</v>
      </c>
      <c r="AU197" s="1683">
        <v>4568.66</v>
      </c>
      <c r="AV197" s="1683">
        <v>0</v>
      </c>
      <c r="AW197" s="1683">
        <v>0</v>
      </c>
      <c r="AX197" s="1400"/>
      <c r="AY197" s="1400"/>
      <c r="AZ197" s="1400"/>
      <c r="BA197" s="1682"/>
      <c r="BB197" s="1682"/>
      <c r="BC197" s="1400"/>
      <c r="BD197" s="1400"/>
      <c r="BE197" s="1683">
        <v>30457.72</v>
      </c>
      <c r="BF197" s="1683">
        <v>30457.72</v>
      </c>
      <c r="BG197" s="1683">
        <v>25889.06</v>
      </c>
      <c r="BH197" s="1683">
        <v>25889.06</v>
      </c>
      <c r="BI197" s="1683">
        <v>0</v>
      </c>
      <c r="BJ197" s="1683">
        <v>4568.66</v>
      </c>
      <c r="BK197" s="1683">
        <v>0</v>
      </c>
      <c r="BL197" s="1683">
        <v>4568.66</v>
      </c>
      <c r="BM197" s="1683">
        <v>0</v>
      </c>
      <c r="BN197" s="1683">
        <v>0</v>
      </c>
      <c r="BO197" s="1685">
        <v>43355</v>
      </c>
      <c r="BP197" s="1683">
        <v>30457.72</v>
      </c>
      <c r="BQ197" s="1683">
        <v>30457.72</v>
      </c>
      <c r="BR197" s="1683">
        <v>25889.06</v>
      </c>
      <c r="BS197" s="1683">
        <v>25889.06</v>
      </c>
      <c r="BT197" s="1683">
        <v>0</v>
      </c>
      <c r="BU197" s="1683">
        <v>4568.66</v>
      </c>
      <c r="BV197" s="1683">
        <v>0</v>
      </c>
      <c r="BW197" s="1683">
        <v>0</v>
      </c>
      <c r="BX197" s="1683">
        <v>0</v>
      </c>
      <c r="BY197" s="1683">
        <v>0</v>
      </c>
      <c r="BZ197" s="1683">
        <v>0</v>
      </c>
      <c r="CA197" s="1400"/>
      <c r="CB197" s="1682"/>
      <c r="CC197" s="1682"/>
      <c r="CD197" s="1400"/>
      <c r="CE197" s="1400"/>
      <c r="CF197" s="1683">
        <v>0</v>
      </c>
      <c r="CG197" s="1683">
        <v>0</v>
      </c>
      <c r="CH197" s="1683">
        <v>0</v>
      </c>
      <c r="CI197" s="1683">
        <v>0</v>
      </c>
      <c r="CJ197" s="1683">
        <v>0</v>
      </c>
      <c r="CK197" s="1683">
        <v>0</v>
      </c>
      <c r="CL197" s="1682"/>
      <c r="CM197" s="1683">
        <v>0</v>
      </c>
      <c r="CN197" s="1683">
        <v>0</v>
      </c>
      <c r="CO197" s="1683">
        <v>0</v>
      </c>
      <c r="CP197" s="1683">
        <v>0</v>
      </c>
      <c r="CQ197" s="1683">
        <v>0</v>
      </c>
      <c r="CR197" s="1683">
        <v>0</v>
      </c>
      <c r="CS197" s="1683">
        <v>0</v>
      </c>
      <c r="CT197" s="1683">
        <v>0</v>
      </c>
      <c r="CU197" s="1683">
        <v>0</v>
      </c>
      <c r="CV197" s="1683">
        <v>0</v>
      </c>
      <c r="CW197" s="1682"/>
      <c r="CX197" s="1400"/>
      <c r="CY197" s="1400"/>
      <c r="CZ197" s="1400"/>
      <c r="DA197" s="1400"/>
      <c r="DB197" s="1682"/>
      <c r="DC197" s="1326"/>
      <c r="DD197" s="1683">
        <v>0</v>
      </c>
      <c r="DE197" s="1400"/>
      <c r="DF197" s="1400"/>
      <c r="DG197" s="1683">
        <v>0</v>
      </c>
      <c r="DH197" s="1683">
        <v>0</v>
      </c>
    </row>
    <row r="198" spans="1:112" ht="67.5">
      <c r="A198" s="1326" t="s">
        <v>2203</v>
      </c>
      <c r="B198" s="1326" t="s">
        <v>1694</v>
      </c>
      <c r="C198" s="1326" t="s">
        <v>2557</v>
      </c>
      <c r="D198" s="1326" t="s">
        <v>2558</v>
      </c>
      <c r="E198" s="1326" t="s">
        <v>192</v>
      </c>
      <c r="F198" s="1326" t="s">
        <v>2544</v>
      </c>
      <c r="G198" s="1326" t="s">
        <v>2545</v>
      </c>
      <c r="H198" s="1326" t="s">
        <v>2546</v>
      </c>
      <c r="I198" s="1326" t="s">
        <v>734</v>
      </c>
      <c r="J198" s="1326" t="s">
        <v>378</v>
      </c>
      <c r="K198" s="1326" t="s">
        <v>2110</v>
      </c>
      <c r="L198" s="1326" t="s">
        <v>2137</v>
      </c>
      <c r="M198" s="1400"/>
      <c r="N198" s="1400"/>
      <c r="O198" s="1400"/>
      <c r="P198" s="1400"/>
      <c r="Q198" s="1400"/>
      <c r="R198" s="1400"/>
      <c r="S198" s="1400"/>
      <c r="T198" s="1400"/>
      <c r="U198" s="1400"/>
      <c r="V198" s="1400"/>
      <c r="W198" s="1400"/>
      <c r="X198" s="1400"/>
      <c r="Y198" s="1685">
        <v>43217</v>
      </c>
      <c r="Z198" s="1326" t="s">
        <v>2062</v>
      </c>
      <c r="AA198" s="1683">
        <v>0</v>
      </c>
      <c r="AB198" s="1683">
        <v>0</v>
      </c>
      <c r="AC198" s="1683">
        <v>0</v>
      </c>
      <c r="AD198" s="1685">
        <v>43238</v>
      </c>
      <c r="AE198" s="1326" t="s">
        <v>2080</v>
      </c>
      <c r="AF198" s="1326" t="s">
        <v>2064</v>
      </c>
      <c r="AG198" s="1410"/>
      <c r="AH198" s="1683">
        <v>18558.169999999998</v>
      </c>
      <c r="AI198" s="1683">
        <v>18558.169999999998</v>
      </c>
      <c r="AJ198" s="1683">
        <v>15774.44</v>
      </c>
      <c r="AK198" s="1683">
        <v>15774.44</v>
      </c>
      <c r="AL198" s="1683">
        <v>0</v>
      </c>
      <c r="AM198" s="1685">
        <v>43238</v>
      </c>
      <c r="AN198" s="1683">
        <v>18558.169999999998</v>
      </c>
      <c r="AO198" s="1683">
        <v>18558.169999999998</v>
      </c>
      <c r="AP198" s="1683">
        <v>15774.44</v>
      </c>
      <c r="AQ198" s="1683">
        <v>15774.44</v>
      </c>
      <c r="AR198" s="1683">
        <v>0</v>
      </c>
      <c r="AS198" s="1683">
        <v>2783.73</v>
      </c>
      <c r="AT198" s="1683">
        <v>0</v>
      </c>
      <c r="AU198" s="1683">
        <v>2783.73</v>
      </c>
      <c r="AV198" s="1683">
        <v>0</v>
      </c>
      <c r="AW198" s="1683">
        <v>0</v>
      </c>
      <c r="AX198" s="1400"/>
      <c r="AY198" s="1400"/>
      <c r="AZ198" s="1400"/>
      <c r="BA198" s="1682"/>
      <c r="BB198" s="1682"/>
      <c r="BC198" s="1400"/>
      <c r="BD198" s="1400"/>
      <c r="BE198" s="1683">
        <v>18558.169999999998</v>
      </c>
      <c r="BF198" s="1683">
        <v>18558.169999999998</v>
      </c>
      <c r="BG198" s="1683">
        <v>15774.44</v>
      </c>
      <c r="BH198" s="1683">
        <v>15774.44</v>
      </c>
      <c r="BI198" s="1683">
        <v>0</v>
      </c>
      <c r="BJ198" s="1683">
        <v>2783.73</v>
      </c>
      <c r="BK198" s="1683">
        <v>0</v>
      </c>
      <c r="BL198" s="1683">
        <v>2783.73</v>
      </c>
      <c r="BM198" s="1683">
        <v>0</v>
      </c>
      <c r="BN198" s="1683">
        <v>0</v>
      </c>
      <c r="BO198" s="1685">
        <v>43355</v>
      </c>
      <c r="BP198" s="1683">
        <v>18558.169999999998</v>
      </c>
      <c r="BQ198" s="1683">
        <v>18558.169999999998</v>
      </c>
      <c r="BR198" s="1683">
        <v>15774.44</v>
      </c>
      <c r="BS198" s="1683">
        <v>15774.44</v>
      </c>
      <c r="BT198" s="1683">
        <v>0</v>
      </c>
      <c r="BU198" s="1683">
        <v>2783.73</v>
      </c>
      <c r="BV198" s="1683">
        <v>0</v>
      </c>
      <c r="BW198" s="1683">
        <v>0</v>
      </c>
      <c r="BX198" s="1683">
        <v>0</v>
      </c>
      <c r="BY198" s="1683">
        <v>0</v>
      </c>
      <c r="BZ198" s="1683">
        <v>0</v>
      </c>
      <c r="CA198" s="1400"/>
      <c r="CB198" s="1682"/>
      <c r="CC198" s="1682"/>
      <c r="CD198" s="1400"/>
      <c r="CE198" s="1400"/>
      <c r="CF198" s="1683">
        <v>0</v>
      </c>
      <c r="CG198" s="1683">
        <v>0</v>
      </c>
      <c r="CH198" s="1683">
        <v>0</v>
      </c>
      <c r="CI198" s="1683">
        <v>0</v>
      </c>
      <c r="CJ198" s="1683">
        <v>0</v>
      </c>
      <c r="CK198" s="1683">
        <v>0</v>
      </c>
      <c r="CL198" s="1682"/>
      <c r="CM198" s="1683">
        <v>0</v>
      </c>
      <c r="CN198" s="1683">
        <v>0</v>
      </c>
      <c r="CO198" s="1683">
        <v>0</v>
      </c>
      <c r="CP198" s="1683">
        <v>0</v>
      </c>
      <c r="CQ198" s="1683">
        <v>0</v>
      </c>
      <c r="CR198" s="1683">
        <v>0</v>
      </c>
      <c r="CS198" s="1683">
        <v>0</v>
      </c>
      <c r="CT198" s="1683">
        <v>0</v>
      </c>
      <c r="CU198" s="1683">
        <v>0</v>
      </c>
      <c r="CV198" s="1683">
        <v>0</v>
      </c>
      <c r="CW198" s="1682"/>
      <c r="CX198" s="1400"/>
      <c r="CY198" s="1400"/>
      <c r="CZ198" s="1400"/>
      <c r="DA198" s="1400"/>
      <c r="DB198" s="1682"/>
      <c r="DC198" s="1326"/>
      <c r="DD198" s="1683">
        <v>0</v>
      </c>
      <c r="DE198" s="1400"/>
      <c r="DF198" s="1400"/>
      <c r="DG198" s="1683">
        <v>0</v>
      </c>
      <c r="DH198" s="1683">
        <v>0</v>
      </c>
    </row>
    <row r="199" spans="1:112" ht="67.5">
      <c r="A199" s="1326" t="s">
        <v>2204</v>
      </c>
      <c r="B199" s="1326" t="s">
        <v>1694</v>
      </c>
      <c r="C199" s="1326" t="s">
        <v>2557</v>
      </c>
      <c r="D199" s="1326" t="s">
        <v>2558</v>
      </c>
      <c r="E199" s="1326" t="s">
        <v>192</v>
      </c>
      <c r="F199" s="1326" t="s">
        <v>2544</v>
      </c>
      <c r="G199" s="1326" t="s">
        <v>2545</v>
      </c>
      <c r="H199" s="1326" t="s">
        <v>2546</v>
      </c>
      <c r="I199" s="1326" t="s">
        <v>734</v>
      </c>
      <c r="J199" s="1326" t="s">
        <v>378</v>
      </c>
      <c r="K199" s="1326" t="s">
        <v>2110</v>
      </c>
      <c r="L199" s="1326" t="s">
        <v>2137</v>
      </c>
      <c r="M199" s="1400"/>
      <c r="N199" s="1400"/>
      <c r="O199" s="1400"/>
      <c r="P199" s="1400"/>
      <c r="Q199" s="1400"/>
      <c r="R199" s="1400"/>
      <c r="S199" s="1400"/>
      <c r="T199" s="1400"/>
      <c r="U199" s="1400"/>
      <c r="V199" s="1400"/>
      <c r="W199" s="1400"/>
      <c r="X199" s="1400"/>
      <c r="Y199" s="1685">
        <v>43332</v>
      </c>
      <c r="Z199" s="1326" t="s">
        <v>2145</v>
      </c>
      <c r="AA199" s="1683">
        <v>25960.28</v>
      </c>
      <c r="AB199" s="1683">
        <v>25960.28</v>
      </c>
      <c r="AC199" s="1683">
        <v>0</v>
      </c>
      <c r="AD199" s="1685">
        <v>43343</v>
      </c>
      <c r="AE199" s="1326" t="s">
        <v>2081</v>
      </c>
      <c r="AF199" s="1326" t="s">
        <v>2064</v>
      </c>
      <c r="AG199" s="1410"/>
      <c r="AH199" s="1683">
        <v>30541.49</v>
      </c>
      <c r="AI199" s="1683">
        <v>30541.49</v>
      </c>
      <c r="AJ199" s="1683">
        <v>0</v>
      </c>
      <c r="AK199" s="1683">
        <v>0</v>
      </c>
      <c r="AL199" s="1683">
        <v>0</v>
      </c>
      <c r="AM199" s="1685">
        <v>43343</v>
      </c>
      <c r="AN199" s="1683">
        <v>30541.49</v>
      </c>
      <c r="AO199" s="1683">
        <v>30541.49</v>
      </c>
      <c r="AP199" s="1683">
        <v>25960.28</v>
      </c>
      <c r="AQ199" s="1683">
        <v>25960.28</v>
      </c>
      <c r="AR199" s="1683">
        <v>0</v>
      </c>
      <c r="AS199" s="1683">
        <v>4581.21</v>
      </c>
      <c r="AT199" s="1683">
        <v>0</v>
      </c>
      <c r="AU199" s="1683">
        <v>4581.21</v>
      </c>
      <c r="AV199" s="1683">
        <v>0</v>
      </c>
      <c r="AW199" s="1683">
        <v>0</v>
      </c>
      <c r="AX199" s="1400"/>
      <c r="AY199" s="1400"/>
      <c r="AZ199" s="1400"/>
      <c r="BA199" s="1682"/>
      <c r="BB199" s="1682"/>
      <c r="BC199" s="1400"/>
      <c r="BD199" s="1400"/>
      <c r="BE199" s="1683">
        <v>30541.49</v>
      </c>
      <c r="BF199" s="1683">
        <v>30541.49</v>
      </c>
      <c r="BG199" s="1683">
        <v>25960.28</v>
      </c>
      <c r="BH199" s="1683">
        <v>25960.28</v>
      </c>
      <c r="BI199" s="1683">
        <v>0</v>
      </c>
      <c r="BJ199" s="1683">
        <v>4581.21</v>
      </c>
      <c r="BK199" s="1683">
        <v>0</v>
      </c>
      <c r="BL199" s="1683">
        <v>4581.21</v>
      </c>
      <c r="BM199" s="1683">
        <v>0</v>
      </c>
      <c r="BN199" s="1683">
        <v>0</v>
      </c>
      <c r="BO199" s="1685">
        <v>43397</v>
      </c>
      <c r="BP199" s="1683">
        <v>30541.49</v>
      </c>
      <c r="BQ199" s="1683">
        <v>30541.49</v>
      </c>
      <c r="BR199" s="1683">
        <v>25960.28</v>
      </c>
      <c r="BS199" s="1683">
        <v>25960.28</v>
      </c>
      <c r="BT199" s="1683">
        <v>0</v>
      </c>
      <c r="BU199" s="1683">
        <v>4581.21</v>
      </c>
      <c r="BV199" s="1683">
        <v>0</v>
      </c>
      <c r="BW199" s="1683">
        <v>0</v>
      </c>
      <c r="BX199" s="1683">
        <v>0</v>
      </c>
      <c r="BY199" s="1683">
        <v>0</v>
      </c>
      <c r="BZ199" s="1683">
        <v>0</v>
      </c>
      <c r="CA199" s="1400"/>
      <c r="CB199" s="1682"/>
      <c r="CC199" s="1682"/>
      <c r="CD199" s="1400"/>
      <c r="CE199" s="1400"/>
      <c r="CF199" s="1683">
        <v>0</v>
      </c>
      <c r="CG199" s="1683">
        <v>0</v>
      </c>
      <c r="CH199" s="1683">
        <v>0</v>
      </c>
      <c r="CI199" s="1683">
        <v>0</v>
      </c>
      <c r="CJ199" s="1683">
        <v>0</v>
      </c>
      <c r="CK199" s="1683">
        <v>0</v>
      </c>
      <c r="CL199" s="1682"/>
      <c r="CM199" s="1683">
        <v>0</v>
      </c>
      <c r="CN199" s="1683">
        <v>0</v>
      </c>
      <c r="CO199" s="1683">
        <v>0</v>
      </c>
      <c r="CP199" s="1683">
        <v>0</v>
      </c>
      <c r="CQ199" s="1683">
        <v>0</v>
      </c>
      <c r="CR199" s="1683">
        <v>0</v>
      </c>
      <c r="CS199" s="1683">
        <v>0</v>
      </c>
      <c r="CT199" s="1683">
        <v>0</v>
      </c>
      <c r="CU199" s="1683">
        <v>0</v>
      </c>
      <c r="CV199" s="1683">
        <v>0</v>
      </c>
      <c r="CW199" s="1682"/>
      <c r="CX199" s="1400"/>
      <c r="CY199" s="1400"/>
      <c r="CZ199" s="1400"/>
      <c r="DA199" s="1400"/>
      <c r="DB199" s="1682"/>
      <c r="DC199" s="1326"/>
      <c r="DD199" s="1683">
        <v>0</v>
      </c>
      <c r="DE199" s="1400"/>
      <c r="DF199" s="1400"/>
      <c r="DG199" s="1683">
        <v>0</v>
      </c>
      <c r="DH199" s="1683">
        <v>0</v>
      </c>
    </row>
    <row r="200" spans="1:112" ht="67.5">
      <c r="A200" s="1326" t="s">
        <v>2205</v>
      </c>
      <c r="B200" s="1326" t="s">
        <v>1694</v>
      </c>
      <c r="C200" s="1326" t="s">
        <v>2557</v>
      </c>
      <c r="D200" s="1326" t="s">
        <v>2558</v>
      </c>
      <c r="E200" s="1326" t="s">
        <v>192</v>
      </c>
      <c r="F200" s="1326" t="s">
        <v>2544</v>
      </c>
      <c r="G200" s="1326" t="s">
        <v>2545</v>
      </c>
      <c r="H200" s="1326" t="s">
        <v>2546</v>
      </c>
      <c r="I200" s="1326" t="s">
        <v>734</v>
      </c>
      <c r="J200" s="1326" t="s">
        <v>378</v>
      </c>
      <c r="K200" s="1326" t="s">
        <v>2110</v>
      </c>
      <c r="L200" s="1326" t="s">
        <v>2137</v>
      </c>
      <c r="M200" s="1400"/>
      <c r="N200" s="1400"/>
      <c r="O200" s="1400"/>
      <c r="P200" s="1400"/>
      <c r="Q200" s="1400"/>
      <c r="R200" s="1400"/>
      <c r="S200" s="1400"/>
      <c r="T200" s="1400"/>
      <c r="U200" s="1400"/>
      <c r="V200" s="1400"/>
      <c r="W200" s="1400"/>
      <c r="X200" s="1400"/>
      <c r="Y200" s="1685">
        <v>43332</v>
      </c>
      <c r="Z200" s="1326" t="s">
        <v>2145</v>
      </c>
      <c r="AA200" s="1683">
        <v>4933.88</v>
      </c>
      <c r="AB200" s="1683">
        <v>4933.88</v>
      </c>
      <c r="AC200" s="1683">
        <v>0</v>
      </c>
      <c r="AD200" s="1685">
        <v>43348</v>
      </c>
      <c r="AE200" s="1326" t="s">
        <v>2081</v>
      </c>
      <c r="AF200" s="1326" t="s">
        <v>2067</v>
      </c>
      <c r="AG200" s="1410"/>
      <c r="AH200" s="1683">
        <v>7385.95</v>
      </c>
      <c r="AI200" s="1683">
        <v>7385.95</v>
      </c>
      <c r="AJ200" s="1683">
        <v>1344.19</v>
      </c>
      <c r="AK200" s="1683">
        <v>1344.19</v>
      </c>
      <c r="AL200" s="1683">
        <v>0</v>
      </c>
      <c r="AM200" s="1685">
        <v>43355</v>
      </c>
      <c r="AN200" s="1683">
        <v>7385.95</v>
      </c>
      <c r="AO200" s="1683">
        <v>7385.95</v>
      </c>
      <c r="AP200" s="1683">
        <v>6278.07</v>
      </c>
      <c r="AQ200" s="1683">
        <v>6278.07</v>
      </c>
      <c r="AR200" s="1683">
        <v>0</v>
      </c>
      <c r="AS200" s="1683">
        <v>1107.8800000000001</v>
      </c>
      <c r="AT200" s="1683">
        <v>0</v>
      </c>
      <c r="AU200" s="1683">
        <v>1107.8800000000001</v>
      </c>
      <c r="AV200" s="1683">
        <v>0</v>
      </c>
      <c r="AW200" s="1683">
        <v>0</v>
      </c>
      <c r="AX200" s="1400"/>
      <c r="AY200" s="1400"/>
      <c r="AZ200" s="1400"/>
      <c r="BA200" s="1682"/>
      <c r="BB200" s="1682"/>
      <c r="BC200" s="1400"/>
      <c r="BD200" s="1400"/>
      <c r="BE200" s="1683">
        <v>7385.95</v>
      </c>
      <c r="BF200" s="1683">
        <v>7385.95</v>
      </c>
      <c r="BG200" s="1683">
        <v>6278.07</v>
      </c>
      <c r="BH200" s="1683">
        <v>6278.07</v>
      </c>
      <c r="BI200" s="1683">
        <v>0</v>
      </c>
      <c r="BJ200" s="1683">
        <v>1107.8800000000001</v>
      </c>
      <c r="BK200" s="1683">
        <v>0</v>
      </c>
      <c r="BL200" s="1683">
        <v>1107.8800000000001</v>
      </c>
      <c r="BM200" s="1683">
        <v>0</v>
      </c>
      <c r="BN200" s="1683">
        <v>0</v>
      </c>
      <c r="BO200" s="1685">
        <v>43397</v>
      </c>
      <c r="BP200" s="1683">
        <v>7385.95</v>
      </c>
      <c r="BQ200" s="1683">
        <v>7385.95</v>
      </c>
      <c r="BR200" s="1683">
        <v>6278.07</v>
      </c>
      <c r="BS200" s="1683">
        <v>6278.07</v>
      </c>
      <c r="BT200" s="1683">
        <v>0</v>
      </c>
      <c r="BU200" s="1683">
        <v>1107.8800000000001</v>
      </c>
      <c r="BV200" s="1683">
        <v>0</v>
      </c>
      <c r="BW200" s="1683">
        <v>0</v>
      </c>
      <c r="BX200" s="1683">
        <v>0</v>
      </c>
      <c r="BY200" s="1683">
        <v>0</v>
      </c>
      <c r="BZ200" s="1683">
        <v>0</v>
      </c>
      <c r="CA200" s="1400"/>
      <c r="CB200" s="1682"/>
      <c r="CC200" s="1682"/>
      <c r="CD200" s="1400"/>
      <c r="CE200" s="1400"/>
      <c r="CF200" s="1683">
        <v>0</v>
      </c>
      <c r="CG200" s="1683">
        <v>0</v>
      </c>
      <c r="CH200" s="1683">
        <v>0</v>
      </c>
      <c r="CI200" s="1683">
        <v>0</v>
      </c>
      <c r="CJ200" s="1683">
        <v>0</v>
      </c>
      <c r="CK200" s="1683">
        <v>0</v>
      </c>
      <c r="CL200" s="1682"/>
      <c r="CM200" s="1683">
        <v>0</v>
      </c>
      <c r="CN200" s="1683">
        <v>0</v>
      </c>
      <c r="CO200" s="1683">
        <v>0</v>
      </c>
      <c r="CP200" s="1683">
        <v>0</v>
      </c>
      <c r="CQ200" s="1683">
        <v>0</v>
      </c>
      <c r="CR200" s="1683">
        <v>0</v>
      </c>
      <c r="CS200" s="1683">
        <v>0</v>
      </c>
      <c r="CT200" s="1683">
        <v>0</v>
      </c>
      <c r="CU200" s="1683">
        <v>0</v>
      </c>
      <c r="CV200" s="1683">
        <v>0</v>
      </c>
      <c r="CW200" s="1682"/>
      <c r="CX200" s="1400"/>
      <c r="CY200" s="1400"/>
      <c r="CZ200" s="1400"/>
      <c r="DA200" s="1400"/>
      <c r="DB200" s="1682"/>
      <c r="DC200" s="1326"/>
      <c r="DD200" s="1683">
        <v>0</v>
      </c>
      <c r="DE200" s="1400"/>
      <c r="DF200" s="1400"/>
      <c r="DG200" s="1683">
        <v>0</v>
      </c>
      <c r="DH200" s="1683">
        <v>0</v>
      </c>
    </row>
    <row r="201" spans="1:112">
      <c r="A201" s="1326" t="s">
        <v>2206</v>
      </c>
      <c r="B201" s="1326" t="s">
        <v>1697</v>
      </c>
      <c r="C201" s="1326"/>
      <c r="D201" s="1326"/>
      <c r="E201" s="1326"/>
      <c r="F201" s="1326"/>
      <c r="G201" s="1326"/>
      <c r="H201" s="1326"/>
      <c r="I201" s="1326"/>
      <c r="J201" s="1326"/>
      <c r="K201" s="1326"/>
      <c r="L201" s="1326"/>
      <c r="M201" s="1683">
        <v>3666709.52</v>
      </c>
      <c r="N201" s="1683">
        <v>0</v>
      </c>
      <c r="O201" s="1683">
        <v>3666709.52</v>
      </c>
      <c r="P201" s="1683">
        <v>3666709.52</v>
      </c>
      <c r="Q201" s="1683">
        <v>2651054.1</v>
      </c>
      <c r="R201" s="1683">
        <v>2651054.1</v>
      </c>
      <c r="S201" s="1683">
        <v>0</v>
      </c>
      <c r="T201" s="1683">
        <v>1015655.42</v>
      </c>
      <c r="U201" s="1683">
        <v>62660</v>
      </c>
      <c r="V201" s="1683">
        <v>952995.42</v>
      </c>
      <c r="W201" s="1683">
        <v>0</v>
      </c>
      <c r="X201" s="1683">
        <v>0</v>
      </c>
      <c r="Y201" s="1682"/>
      <c r="Z201" s="1326"/>
      <c r="AA201" s="1683">
        <v>0</v>
      </c>
      <c r="AB201" s="1683">
        <v>0</v>
      </c>
      <c r="AC201" s="1683">
        <v>0</v>
      </c>
      <c r="AD201" s="1682"/>
      <c r="AE201" s="1326"/>
      <c r="AF201" s="1326"/>
      <c r="AG201" s="1410"/>
      <c r="AH201" s="1683">
        <v>2361074.7200000002</v>
      </c>
      <c r="AI201" s="1683">
        <v>2636451.79</v>
      </c>
      <c r="AJ201" s="1683">
        <v>2259259.15</v>
      </c>
      <c r="AK201" s="1683">
        <v>2259259.15</v>
      </c>
      <c r="AL201" s="1683">
        <v>0</v>
      </c>
      <c r="AM201" s="1682"/>
      <c r="AN201" s="1683">
        <v>2361074.7200000002</v>
      </c>
      <c r="AO201" s="1683">
        <v>2361074.7200000002</v>
      </c>
      <c r="AP201" s="1683">
        <v>1983882.08</v>
      </c>
      <c r="AQ201" s="1683">
        <v>1983882.08</v>
      </c>
      <c r="AR201" s="1683">
        <v>0</v>
      </c>
      <c r="AS201" s="1683">
        <v>377192.64</v>
      </c>
      <c r="AT201" s="1683">
        <v>47525.66</v>
      </c>
      <c r="AU201" s="1683">
        <v>329666.98</v>
      </c>
      <c r="AV201" s="1683">
        <v>0</v>
      </c>
      <c r="AW201" s="1683">
        <v>0</v>
      </c>
      <c r="AX201" s="1683">
        <v>0</v>
      </c>
      <c r="AY201" s="1683">
        <v>0</v>
      </c>
      <c r="AZ201" s="1683">
        <v>0</v>
      </c>
      <c r="BA201" s="1682"/>
      <c r="BB201" s="1682"/>
      <c r="BC201" s="1683">
        <v>0</v>
      </c>
      <c r="BD201" s="1683">
        <v>0</v>
      </c>
      <c r="BE201" s="1683">
        <v>2361074.7200000002</v>
      </c>
      <c r="BF201" s="1683">
        <v>2361074.7200000002</v>
      </c>
      <c r="BG201" s="1683">
        <v>1983882.08</v>
      </c>
      <c r="BH201" s="1683">
        <v>1983882.08</v>
      </c>
      <c r="BI201" s="1683">
        <v>0</v>
      </c>
      <c r="BJ201" s="1683">
        <v>377192.64</v>
      </c>
      <c r="BK201" s="1683">
        <v>47525.66</v>
      </c>
      <c r="BL201" s="1683">
        <v>329666.98</v>
      </c>
      <c r="BM201" s="1683">
        <v>0</v>
      </c>
      <c r="BN201" s="1683">
        <v>0</v>
      </c>
      <c r="BO201" s="1682"/>
      <c r="BP201" s="1683">
        <v>1888864.22</v>
      </c>
      <c r="BQ201" s="1683">
        <v>1888864.22</v>
      </c>
      <c r="BR201" s="1683">
        <v>1605534.34</v>
      </c>
      <c r="BS201" s="1683">
        <v>1605534.34</v>
      </c>
      <c r="BT201" s="1683">
        <v>0</v>
      </c>
      <c r="BU201" s="1683">
        <v>283329.88</v>
      </c>
      <c r="BV201" s="1683">
        <v>47525.66</v>
      </c>
      <c r="BW201" s="1683">
        <v>0</v>
      </c>
      <c r="BX201" s="1683">
        <v>0</v>
      </c>
      <c r="BY201" s="1683">
        <v>0</v>
      </c>
      <c r="BZ201" s="1683">
        <v>0</v>
      </c>
      <c r="CA201" s="1683">
        <v>0</v>
      </c>
      <c r="CB201" s="1682"/>
      <c r="CC201" s="1682"/>
      <c r="CD201" s="1683">
        <v>0</v>
      </c>
      <c r="CE201" s="1683">
        <v>0</v>
      </c>
      <c r="CF201" s="1683">
        <v>0</v>
      </c>
      <c r="CG201" s="1683">
        <v>0</v>
      </c>
      <c r="CH201" s="1683">
        <v>0</v>
      </c>
      <c r="CI201" s="1683">
        <v>0</v>
      </c>
      <c r="CJ201" s="1683">
        <v>0</v>
      </c>
      <c r="CK201" s="1683">
        <v>0</v>
      </c>
      <c r="CL201" s="1682"/>
      <c r="CM201" s="1683">
        <v>0</v>
      </c>
      <c r="CN201" s="1683">
        <v>0</v>
      </c>
      <c r="CO201" s="1683">
        <v>0</v>
      </c>
      <c r="CP201" s="1683">
        <v>0</v>
      </c>
      <c r="CQ201" s="1683">
        <v>0</v>
      </c>
      <c r="CR201" s="1683">
        <v>0</v>
      </c>
      <c r="CS201" s="1683">
        <v>0</v>
      </c>
      <c r="CT201" s="1683">
        <v>0</v>
      </c>
      <c r="CU201" s="1683">
        <v>0</v>
      </c>
      <c r="CV201" s="1683">
        <v>0</v>
      </c>
      <c r="CW201" s="1682"/>
      <c r="CX201" s="1683">
        <v>0</v>
      </c>
      <c r="CY201" s="1683">
        <v>0</v>
      </c>
      <c r="CZ201" s="1683">
        <v>0</v>
      </c>
      <c r="DA201" s="1683">
        <v>0</v>
      </c>
      <c r="DB201" s="1682"/>
      <c r="DC201" s="1326"/>
      <c r="DD201" s="1683">
        <v>0</v>
      </c>
      <c r="DE201" s="1683">
        <v>0</v>
      </c>
      <c r="DF201" s="1683">
        <v>0</v>
      </c>
      <c r="DG201" s="1683">
        <v>0</v>
      </c>
      <c r="DH201" s="1683">
        <v>0</v>
      </c>
    </row>
    <row r="202" spans="1:112">
      <c r="A202" s="1326" t="s">
        <v>2207</v>
      </c>
      <c r="B202" s="1326" t="s">
        <v>1697</v>
      </c>
      <c r="C202" s="1326" t="s">
        <v>2559</v>
      </c>
      <c r="D202" s="1326"/>
      <c r="E202" s="1326"/>
      <c r="F202" s="1326"/>
      <c r="G202" s="1326"/>
      <c r="H202" s="1326"/>
      <c r="I202" s="1326"/>
      <c r="J202" s="1326"/>
      <c r="K202" s="1326"/>
      <c r="L202" s="1326"/>
      <c r="M202" s="1683">
        <v>3666709.52</v>
      </c>
      <c r="N202" s="1683">
        <v>0</v>
      </c>
      <c r="O202" s="1683">
        <v>3666709.52</v>
      </c>
      <c r="P202" s="1683">
        <v>3666709.52</v>
      </c>
      <c r="Q202" s="1683">
        <v>2651054.1</v>
      </c>
      <c r="R202" s="1683">
        <v>2651054.1</v>
      </c>
      <c r="S202" s="1683">
        <v>0</v>
      </c>
      <c r="T202" s="1683">
        <v>1015655.42</v>
      </c>
      <c r="U202" s="1683">
        <v>62660</v>
      </c>
      <c r="V202" s="1683">
        <v>952995.42</v>
      </c>
      <c r="W202" s="1683">
        <v>0</v>
      </c>
      <c r="X202" s="1683">
        <v>0</v>
      </c>
      <c r="Y202" s="1682"/>
      <c r="Z202" s="1326"/>
      <c r="AA202" s="1683">
        <v>0</v>
      </c>
      <c r="AB202" s="1683">
        <v>0</v>
      </c>
      <c r="AC202" s="1683">
        <v>0</v>
      </c>
      <c r="AD202" s="1682"/>
      <c r="AE202" s="1326"/>
      <c r="AF202" s="1326"/>
      <c r="AG202" s="1410"/>
      <c r="AH202" s="1683">
        <v>2361074.7200000002</v>
      </c>
      <c r="AI202" s="1683">
        <v>2636451.79</v>
      </c>
      <c r="AJ202" s="1683">
        <v>2259259.15</v>
      </c>
      <c r="AK202" s="1683">
        <v>2259259.15</v>
      </c>
      <c r="AL202" s="1683">
        <v>0</v>
      </c>
      <c r="AM202" s="1682"/>
      <c r="AN202" s="1683">
        <v>2361074.7200000002</v>
      </c>
      <c r="AO202" s="1683">
        <v>2361074.7200000002</v>
      </c>
      <c r="AP202" s="1683">
        <v>1983882.08</v>
      </c>
      <c r="AQ202" s="1683">
        <v>1983882.08</v>
      </c>
      <c r="AR202" s="1683">
        <v>0</v>
      </c>
      <c r="AS202" s="1683">
        <v>377192.64</v>
      </c>
      <c r="AT202" s="1683">
        <v>47525.66</v>
      </c>
      <c r="AU202" s="1683">
        <v>329666.98</v>
      </c>
      <c r="AV202" s="1683">
        <v>0</v>
      </c>
      <c r="AW202" s="1683">
        <v>0</v>
      </c>
      <c r="AX202" s="1683">
        <v>0</v>
      </c>
      <c r="AY202" s="1683">
        <v>0</v>
      </c>
      <c r="AZ202" s="1683">
        <v>0</v>
      </c>
      <c r="BA202" s="1682"/>
      <c r="BB202" s="1682"/>
      <c r="BC202" s="1683">
        <v>0</v>
      </c>
      <c r="BD202" s="1683">
        <v>0</v>
      </c>
      <c r="BE202" s="1683">
        <v>2361074.7200000002</v>
      </c>
      <c r="BF202" s="1683">
        <v>2361074.7200000002</v>
      </c>
      <c r="BG202" s="1683">
        <v>1983882.08</v>
      </c>
      <c r="BH202" s="1683">
        <v>1983882.08</v>
      </c>
      <c r="BI202" s="1683">
        <v>0</v>
      </c>
      <c r="BJ202" s="1683">
        <v>377192.64</v>
      </c>
      <c r="BK202" s="1683">
        <v>47525.66</v>
      </c>
      <c r="BL202" s="1683">
        <v>329666.98</v>
      </c>
      <c r="BM202" s="1683">
        <v>0</v>
      </c>
      <c r="BN202" s="1683">
        <v>0</v>
      </c>
      <c r="BO202" s="1682"/>
      <c r="BP202" s="1683">
        <v>1888864.22</v>
      </c>
      <c r="BQ202" s="1683">
        <v>1888864.22</v>
      </c>
      <c r="BR202" s="1683">
        <v>1605534.34</v>
      </c>
      <c r="BS202" s="1683">
        <v>1605534.34</v>
      </c>
      <c r="BT202" s="1683">
        <v>0</v>
      </c>
      <c r="BU202" s="1683">
        <v>283329.88</v>
      </c>
      <c r="BV202" s="1683">
        <v>47525.66</v>
      </c>
      <c r="BW202" s="1683">
        <v>0</v>
      </c>
      <c r="BX202" s="1683">
        <v>0</v>
      </c>
      <c r="BY202" s="1683">
        <v>0</v>
      </c>
      <c r="BZ202" s="1683">
        <v>0</v>
      </c>
      <c r="CA202" s="1683">
        <v>0</v>
      </c>
      <c r="CB202" s="1682"/>
      <c r="CC202" s="1682"/>
      <c r="CD202" s="1683">
        <v>0</v>
      </c>
      <c r="CE202" s="1683">
        <v>0</v>
      </c>
      <c r="CF202" s="1683">
        <v>0</v>
      </c>
      <c r="CG202" s="1683">
        <v>0</v>
      </c>
      <c r="CH202" s="1683">
        <v>0</v>
      </c>
      <c r="CI202" s="1683">
        <v>0</v>
      </c>
      <c r="CJ202" s="1683">
        <v>0</v>
      </c>
      <c r="CK202" s="1683">
        <v>0</v>
      </c>
      <c r="CL202" s="1682"/>
      <c r="CM202" s="1683">
        <v>0</v>
      </c>
      <c r="CN202" s="1683">
        <v>0</v>
      </c>
      <c r="CO202" s="1683">
        <v>0</v>
      </c>
      <c r="CP202" s="1683">
        <v>0</v>
      </c>
      <c r="CQ202" s="1683">
        <v>0</v>
      </c>
      <c r="CR202" s="1683">
        <v>0</v>
      </c>
      <c r="CS202" s="1683">
        <v>0</v>
      </c>
      <c r="CT202" s="1683">
        <v>0</v>
      </c>
      <c r="CU202" s="1683">
        <v>0</v>
      </c>
      <c r="CV202" s="1683">
        <v>0</v>
      </c>
      <c r="CW202" s="1682"/>
      <c r="CX202" s="1683">
        <v>0</v>
      </c>
      <c r="CY202" s="1683">
        <v>0</v>
      </c>
      <c r="CZ202" s="1683">
        <v>0</v>
      </c>
      <c r="DA202" s="1683">
        <v>0</v>
      </c>
      <c r="DB202" s="1682"/>
      <c r="DC202" s="1326"/>
      <c r="DD202" s="1683">
        <v>0</v>
      </c>
      <c r="DE202" s="1683">
        <v>0</v>
      </c>
      <c r="DF202" s="1683">
        <v>0</v>
      </c>
      <c r="DG202" s="1683">
        <v>0</v>
      </c>
      <c r="DH202" s="1683">
        <v>0</v>
      </c>
    </row>
    <row r="203" spans="1:112">
      <c r="A203" s="1326" t="s">
        <v>2208</v>
      </c>
      <c r="B203" s="1326" t="s">
        <v>1697</v>
      </c>
      <c r="C203" s="1326" t="s">
        <v>2559</v>
      </c>
      <c r="D203" s="1326" t="s">
        <v>2560</v>
      </c>
      <c r="E203" s="1326"/>
      <c r="F203" s="1326"/>
      <c r="G203" s="1326"/>
      <c r="H203" s="1326"/>
      <c r="I203" s="1326"/>
      <c r="J203" s="1326"/>
      <c r="K203" s="1326"/>
      <c r="L203" s="1326"/>
      <c r="M203" s="1683">
        <v>3666709.52</v>
      </c>
      <c r="N203" s="1683">
        <v>0</v>
      </c>
      <c r="O203" s="1683">
        <v>3666709.52</v>
      </c>
      <c r="P203" s="1683">
        <v>3666709.52</v>
      </c>
      <c r="Q203" s="1683">
        <v>2651054.1</v>
      </c>
      <c r="R203" s="1683">
        <v>2651054.1</v>
      </c>
      <c r="S203" s="1683">
        <v>0</v>
      </c>
      <c r="T203" s="1683">
        <v>1015655.42</v>
      </c>
      <c r="U203" s="1683">
        <v>62660</v>
      </c>
      <c r="V203" s="1683">
        <v>952995.42</v>
      </c>
      <c r="W203" s="1683">
        <v>0</v>
      </c>
      <c r="X203" s="1683">
        <v>0</v>
      </c>
      <c r="Y203" s="1682"/>
      <c r="Z203" s="1326"/>
      <c r="AA203" s="1683">
        <v>0</v>
      </c>
      <c r="AB203" s="1683">
        <v>0</v>
      </c>
      <c r="AC203" s="1683">
        <v>0</v>
      </c>
      <c r="AD203" s="1682"/>
      <c r="AE203" s="1326"/>
      <c r="AF203" s="1326"/>
      <c r="AG203" s="1410"/>
      <c r="AH203" s="1683">
        <v>2361074.7200000002</v>
      </c>
      <c r="AI203" s="1683">
        <v>2636451.79</v>
      </c>
      <c r="AJ203" s="1683">
        <v>2259259.15</v>
      </c>
      <c r="AK203" s="1683">
        <v>2259259.15</v>
      </c>
      <c r="AL203" s="1683">
        <v>0</v>
      </c>
      <c r="AM203" s="1682"/>
      <c r="AN203" s="1683">
        <v>2361074.7200000002</v>
      </c>
      <c r="AO203" s="1683">
        <v>2361074.7200000002</v>
      </c>
      <c r="AP203" s="1683">
        <v>1983882.08</v>
      </c>
      <c r="AQ203" s="1683">
        <v>1983882.08</v>
      </c>
      <c r="AR203" s="1683">
        <v>0</v>
      </c>
      <c r="AS203" s="1683">
        <v>377192.64</v>
      </c>
      <c r="AT203" s="1683">
        <v>47525.66</v>
      </c>
      <c r="AU203" s="1683">
        <v>329666.98</v>
      </c>
      <c r="AV203" s="1683">
        <v>0</v>
      </c>
      <c r="AW203" s="1683">
        <v>0</v>
      </c>
      <c r="AX203" s="1683">
        <v>0</v>
      </c>
      <c r="AY203" s="1683">
        <v>0</v>
      </c>
      <c r="AZ203" s="1683">
        <v>0</v>
      </c>
      <c r="BA203" s="1682"/>
      <c r="BB203" s="1682"/>
      <c r="BC203" s="1683">
        <v>0</v>
      </c>
      <c r="BD203" s="1683">
        <v>0</v>
      </c>
      <c r="BE203" s="1683">
        <v>2361074.7200000002</v>
      </c>
      <c r="BF203" s="1683">
        <v>2361074.7200000002</v>
      </c>
      <c r="BG203" s="1683">
        <v>1983882.08</v>
      </c>
      <c r="BH203" s="1683">
        <v>1983882.08</v>
      </c>
      <c r="BI203" s="1683">
        <v>0</v>
      </c>
      <c r="BJ203" s="1683">
        <v>377192.64</v>
      </c>
      <c r="BK203" s="1683">
        <v>47525.66</v>
      </c>
      <c r="BL203" s="1683">
        <v>329666.98</v>
      </c>
      <c r="BM203" s="1683">
        <v>0</v>
      </c>
      <c r="BN203" s="1683">
        <v>0</v>
      </c>
      <c r="BO203" s="1682"/>
      <c r="BP203" s="1683">
        <v>1888864.22</v>
      </c>
      <c r="BQ203" s="1683">
        <v>1888864.22</v>
      </c>
      <c r="BR203" s="1683">
        <v>1605534.34</v>
      </c>
      <c r="BS203" s="1683">
        <v>1605534.34</v>
      </c>
      <c r="BT203" s="1683">
        <v>0</v>
      </c>
      <c r="BU203" s="1683">
        <v>283329.88</v>
      </c>
      <c r="BV203" s="1683">
        <v>47525.66</v>
      </c>
      <c r="BW203" s="1683">
        <v>0</v>
      </c>
      <c r="BX203" s="1683">
        <v>0</v>
      </c>
      <c r="BY203" s="1683">
        <v>0</v>
      </c>
      <c r="BZ203" s="1683">
        <v>0</v>
      </c>
      <c r="CA203" s="1683">
        <v>0</v>
      </c>
      <c r="CB203" s="1682"/>
      <c r="CC203" s="1682"/>
      <c r="CD203" s="1683">
        <v>0</v>
      </c>
      <c r="CE203" s="1683">
        <v>0</v>
      </c>
      <c r="CF203" s="1683">
        <v>0</v>
      </c>
      <c r="CG203" s="1683">
        <v>0</v>
      </c>
      <c r="CH203" s="1683">
        <v>0</v>
      </c>
      <c r="CI203" s="1683">
        <v>0</v>
      </c>
      <c r="CJ203" s="1683">
        <v>0</v>
      </c>
      <c r="CK203" s="1683">
        <v>0</v>
      </c>
      <c r="CL203" s="1682"/>
      <c r="CM203" s="1683">
        <v>0</v>
      </c>
      <c r="CN203" s="1683">
        <v>0</v>
      </c>
      <c r="CO203" s="1683">
        <v>0</v>
      </c>
      <c r="CP203" s="1683">
        <v>0</v>
      </c>
      <c r="CQ203" s="1683">
        <v>0</v>
      </c>
      <c r="CR203" s="1683">
        <v>0</v>
      </c>
      <c r="CS203" s="1683">
        <v>0</v>
      </c>
      <c r="CT203" s="1683">
        <v>0</v>
      </c>
      <c r="CU203" s="1683">
        <v>0</v>
      </c>
      <c r="CV203" s="1683">
        <v>0</v>
      </c>
      <c r="CW203" s="1682"/>
      <c r="CX203" s="1683">
        <v>0</v>
      </c>
      <c r="CY203" s="1683">
        <v>0</v>
      </c>
      <c r="CZ203" s="1683">
        <v>0</v>
      </c>
      <c r="DA203" s="1683">
        <v>0</v>
      </c>
      <c r="DB203" s="1682"/>
      <c r="DC203" s="1326"/>
      <c r="DD203" s="1683">
        <v>0</v>
      </c>
      <c r="DE203" s="1683">
        <v>0</v>
      </c>
      <c r="DF203" s="1683">
        <v>0</v>
      </c>
      <c r="DG203" s="1683">
        <v>0</v>
      </c>
      <c r="DH203" s="1683">
        <v>0</v>
      </c>
    </row>
    <row r="204" spans="1:112">
      <c r="A204" s="1326" t="s">
        <v>2209</v>
      </c>
      <c r="B204" s="1326" t="s">
        <v>1697</v>
      </c>
      <c r="C204" s="1326" t="s">
        <v>2559</v>
      </c>
      <c r="D204" s="1326" t="s">
        <v>2560</v>
      </c>
      <c r="E204" s="1326" t="s">
        <v>141</v>
      </c>
      <c r="F204" s="1326"/>
      <c r="G204" s="1326"/>
      <c r="H204" s="1326"/>
      <c r="I204" s="1326"/>
      <c r="J204" s="1326"/>
      <c r="K204" s="1326"/>
      <c r="L204" s="1326"/>
      <c r="M204" s="1683">
        <v>3666709.52</v>
      </c>
      <c r="N204" s="1683">
        <v>0</v>
      </c>
      <c r="O204" s="1683">
        <v>3666709.52</v>
      </c>
      <c r="P204" s="1683">
        <v>3666709.52</v>
      </c>
      <c r="Q204" s="1683">
        <v>2651054.1</v>
      </c>
      <c r="R204" s="1683">
        <v>2651054.1</v>
      </c>
      <c r="S204" s="1683">
        <v>0</v>
      </c>
      <c r="T204" s="1683">
        <v>1015655.42</v>
      </c>
      <c r="U204" s="1683">
        <v>62660</v>
      </c>
      <c r="V204" s="1683">
        <v>952995.42</v>
      </c>
      <c r="W204" s="1683">
        <v>0</v>
      </c>
      <c r="X204" s="1683">
        <v>0</v>
      </c>
      <c r="Y204" s="1682"/>
      <c r="Z204" s="1326"/>
      <c r="AA204" s="1683">
        <v>0</v>
      </c>
      <c r="AB204" s="1683">
        <v>0</v>
      </c>
      <c r="AC204" s="1683">
        <v>0</v>
      </c>
      <c r="AD204" s="1682"/>
      <c r="AE204" s="1326"/>
      <c r="AF204" s="1326"/>
      <c r="AG204" s="1410"/>
      <c r="AH204" s="1683">
        <v>2361074.7200000002</v>
      </c>
      <c r="AI204" s="1683">
        <v>2636451.79</v>
      </c>
      <c r="AJ204" s="1683">
        <v>2259259.15</v>
      </c>
      <c r="AK204" s="1683">
        <v>2259259.15</v>
      </c>
      <c r="AL204" s="1683">
        <v>0</v>
      </c>
      <c r="AM204" s="1682"/>
      <c r="AN204" s="1683">
        <v>2361074.7200000002</v>
      </c>
      <c r="AO204" s="1683">
        <v>2361074.7200000002</v>
      </c>
      <c r="AP204" s="1683">
        <v>1983882.08</v>
      </c>
      <c r="AQ204" s="1683">
        <v>1983882.08</v>
      </c>
      <c r="AR204" s="1683">
        <v>0</v>
      </c>
      <c r="AS204" s="1683">
        <v>377192.64</v>
      </c>
      <c r="AT204" s="1683">
        <v>47525.66</v>
      </c>
      <c r="AU204" s="1683">
        <v>329666.98</v>
      </c>
      <c r="AV204" s="1683">
        <v>0</v>
      </c>
      <c r="AW204" s="1683">
        <v>0</v>
      </c>
      <c r="AX204" s="1683">
        <v>0</v>
      </c>
      <c r="AY204" s="1683">
        <v>0</v>
      </c>
      <c r="AZ204" s="1683">
        <v>0</v>
      </c>
      <c r="BA204" s="1682"/>
      <c r="BB204" s="1682"/>
      <c r="BC204" s="1683">
        <v>0</v>
      </c>
      <c r="BD204" s="1683">
        <v>0</v>
      </c>
      <c r="BE204" s="1683">
        <v>2361074.7200000002</v>
      </c>
      <c r="BF204" s="1683">
        <v>2361074.7200000002</v>
      </c>
      <c r="BG204" s="1683">
        <v>1983882.08</v>
      </c>
      <c r="BH204" s="1683">
        <v>1983882.08</v>
      </c>
      <c r="BI204" s="1683">
        <v>0</v>
      </c>
      <c r="BJ204" s="1683">
        <v>377192.64</v>
      </c>
      <c r="BK204" s="1683">
        <v>47525.66</v>
      </c>
      <c r="BL204" s="1683">
        <v>329666.98</v>
      </c>
      <c r="BM204" s="1683">
        <v>0</v>
      </c>
      <c r="BN204" s="1683">
        <v>0</v>
      </c>
      <c r="BO204" s="1682"/>
      <c r="BP204" s="1683">
        <v>1888864.22</v>
      </c>
      <c r="BQ204" s="1683">
        <v>1888864.22</v>
      </c>
      <c r="BR204" s="1683">
        <v>1605534.34</v>
      </c>
      <c r="BS204" s="1683">
        <v>1605534.34</v>
      </c>
      <c r="BT204" s="1683">
        <v>0</v>
      </c>
      <c r="BU204" s="1683">
        <v>283329.88</v>
      </c>
      <c r="BV204" s="1683">
        <v>47525.66</v>
      </c>
      <c r="BW204" s="1683">
        <v>0</v>
      </c>
      <c r="BX204" s="1683">
        <v>0</v>
      </c>
      <c r="BY204" s="1683">
        <v>0</v>
      </c>
      <c r="BZ204" s="1683">
        <v>0</v>
      </c>
      <c r="CA204" s="1683">
        <v>0</v>
      </c>
      <c r="CB204" s="1682"/>
      <c r="CC204" s="1682"/>
      <c r="CD204" s="1683">
        <v>0</v>
      </c>
      <c r="CE204" s="1683">
        <v>0</v>
      </c>
      <c r="CF204" s="1683">
        <v>0</v>
      </c>
      <c r="CG204" s="1683">
        <v>0</v>
      </c>
      <c r="CH204" s="1683">
        <v>0</v>
      </c>
      <c r="CI204" s="1683">
        <v>0</v>
      </c>
      <c r="CJ204" s="1683">
        <v>0</v>
      </c>
      <c r="CK204" s="1683">
        <v>0</v>
      </c>
      <c r="CL204" s="1682"/>
      <c r="CM204" s="1683">
        <v>0</v>
      </c>
      <c r="CN204" s="1683">
        <v>0</v>
      </c>
      <c r="CO204" s="1683">
        <v>0</v>
      </c>
      <c r="CP204" s="1683">
        <v>0</v>
      </c>
      <c r="CQ204" s="1683">
        <v>0</v>
      </c>
      <c r="CR204" s="1683">
        <v>0</v>
      </c>
      <c r="CS204" s="1683">
        <v>0</v>
      </c>
      <c r="CT204" s="1683">
        <v>0</v>
      </c>
      <c r="CU204" s="1683">
        <v>0</v>
      </c>
      <c r="CV204" s="1683">
        <v>0</v>
      </c>
      <c r="CW204" s="1682"/>
      <c r="CX204" s="1683">
        <v>0</v>
      </c>
      <c r="CY204" s="1683">
        <v>0</v>
      </c>
      <c r="CZ204" s="1683">
        <v>0</v>
      </c>
      <c r="DA204" s="1683">
        <v>0</v>
      </c>
      <c r="DB204" s="1682"/>
      <c r="DC204" s="1326"/>
      <c r="DD204" s="1683">
        <v>0</v>
      </c>
      <c r="DE204" s="1683">
        <v>0</v>
      </c>
      <c r="DF204" s="1683">
        <v>0</v>
      </c>
      <c r="DG204" s="1683">
        <v>0</v>
      </c>
      <c r="DH204" s="1683">
        <v>0</v>
      </c>
    </row>
    <row r="205" spans="1:112" ht="56.25">
      <c r="A205" s="1326" t="s">
        <v>2210</v>
      </c>
      <c r="B205" s="1326" t="s">
        <v>1697</v>
      </c>
      <c r="C205" s="1326" t="s">
        <v>2559</v>
      </c>
      <c r="D205" s="1326" t="s">
        <v>2560</v>
      </c>
      <c r="E205" s="1326" t="s">
        <v>141</v>
      </c>
      <c r="F205" s="1326" t="s">
        <v>2539</v>
      </c>
      <c r="G205" s="1326" t="s">
        <v>2540</v>
      </c>
      <c r="H205" s="1326" t="s">
        <v>2541</v>
      </c>
      <c r="I205" s="1326" t="s">
        <v>717</v>
      </c>
      <c r="J205" s="1326" t="s">
        <v>2152</v>
      </c>
      <c r="K205" s="1326" t="s">
        <v>2071</v>
      </c>
      <c r="L205" s="1326" t="s">
        <v>2137</v>
      </c>
      <c r="M205" s="1683">
        <v>879927.06</v>
      </c>
      <c r="N205" s="1683">
        <v>0</v>
      </c>
      <c r="O205" s="1683">
        <v>879927.06</v>
      </c>
      <c r="P205" s="1683">
        <v>879927.06</v>
      </c>
      <c r="Q205" s="1683">
        <v>747938</v>
      </c>
      <c r="R205" s="1683">
        <v>747938</v>
      </c>
      <c r="S205" s="1683">
        <v>0</v>
      </c>
      <c r="T205" s="1683">
        <v>131989.06</v>
      </c>
      <c r="U205" s="1683">
        <v>0</v>
      </c>
      <c r="V205" s="1683">
        <v>131989.06</v>
      </c>
      <c r="W205" s="1683">
        <v>0</v>
      </c>
      <c r="X205" s="1683">
        <v>0</v>
      </c>
      <c r="Y205" s="1682"/>
      <c r="Z205" s="1326"/>
      <c r="AA205" s="1683">
        <v>0</v>
      </c>
      <c r="AB205" s="1683">
        <v>0</v>
      </c>
      <c r="AC205" s="1683">
        <v>0</v>
      </c>
      <c r="AD205" s="1682"/>
      <c r="AE205" s="1326"/>
      <c r="AF205" s="1326"/>
      <c r="AG205" s="1410"/>
      <c r="AH205" s="1683">
        <v>879927.06</v>
      </c>
      <c r="AI205" s="1683">
        <v>879927.06</v>
      </c>
      <c r="AJ205" s="1683">
        <v>747938</v>
      </c>
      <c r="AK205" s="1683">
        <v>747938</v>
      </c>
      <c r="AL205" s="1683">
        <v>0</v>
      </c>
      <c r="AM205" s="1682"/>
      <c r="AN205" s="1683">
        <v>879927.06</v>
      </c>
      <c r="AO205" s="1683">
        <v>879927.06</v>
      </c>
      <c r="AP205" s="1683">
        <v>747938</v>
      </c>
      <c r="AQ205" s="1683">
        <v>747938</v>
      </c>
      <c r="AR205" s="1683">
        <v>0</v>
      </c>
      <c r="AS205" s="1683">
        <v>131989.06</v>
      </c>
      <c r="AT205" s="1683">
        <v>0</v>
      </c>
      <c r="AU205" s="1683">
        <v>131989.06</v>
      </c>
      <c r="AV205" s="1683">
        <v>0</v>
      </c>
      <c r="AW205" s="1683">
        <v>0</v>
      </c>
      <c r="AX205" s="1683">
        <v>0</v>
      </c>
      <c r="AY205" s="1683">
        <v>0</v>
      </c>
      <c r="AZ205" s="1683">
        <v>0</v>
      </c>
      <c r="BA205" s="1682"/>
      <c r="BB205" s="1682"/>
      <c r="BC205" s="1683">
        <v>0</v>
      </c>
      <c r="BD205" s="1683">
        <v>0</v>
      </c>
      <c r="BE205" s="1683">
        <v>879927.06</v>
      </c>
      <c r="BF205" s="1683">
        <v>879927.06</v>
      </c>
      <c r="BG205" s="1683">
        <v>747938</v>
      </c>
      <c r="BH205" s="1683">
        <v>747938</v>
      </c>
      <c r="BI205" s="1683">
        <v>0</v>
      </c>
      <c r="BJ205" s="1683">
        <v>131989.06</v>
      </c>
      <c r="BK205" s="1683">
        <v>0</v>
      </c>
      <c r="BL205" s="1683">
        <v>131989.06</v>
      </c>
      <c r="BM205" s="1683">
        <v>0</v>
      </c>
      <c r="BN205" s="1683">
        <v>0</v>
      </c>
      <c r="BO205" s="1682"/>
      <c r="BP205" s="1683">
        <v>787835.73</v>
      </c>
      <c r="BQ205" s="1683">
        <v>787835.73</v>
      </c>
      <c r="BR205" s="1683">
        <v>669660.37</v>
      </c>
      <c r="BS205" s="1683">
        <v>669660.37</v>
      </c>
      <c r="BT205" s="1683">
        <v>0</v>
      </c>
      <c r="BU205" s="1683">
        <v>118175.36</v>
      </c>
      <c r="BV205" s="1683">
        <v>0</v>
      </c>
      <c r="BW205" s="1683">
        <v>0</v>
      </c>
      <c r="BX205" s="1683">
        <v>0</v>
      </c>
      <c r="BY205" s="1683">
        <v>0</v>
      </c>
      <c r="BZ205" s="1683">
        <v>0</v>
      </c>
      <c r="CA205" s="1683">
        <v>0</v>
      </c>
      <c r="CB205" s="1682"/>
      <c r="CC205" s="1682"/>
      <c r="CD205" s="1683">
        <v>0</v>
      </c>
      <c r="CE205" s="1683">
        <v>0</v>
      </c>
      <c r="CF205" s="1683">
        <v>0</v>
      </c>
      <c r="CG205" s="1683">
        <v>0</v>
      </c>
      <c r="CH205" s="1683">
        <v>0</v>
      </c>
      <c r="CI205" s="1683">
        <v>0</v>
      </c>
      <c r="CJ205" s="1683">
        <v>0</v>
      </c>
      <c r="CK205" s="1683">
        <v>0</v>
      </c>
      <c r="CL205" s="1682"/>
      <c r="CM205" s="1683">
        <v>0</v>
      </c>
      <c r="CN205" s="1683">
        <v>0</v>
      </c>
      <c r="CO205" s="1683">
        <v>0</v>
      </c>
      <c r="CP205" s="1683">
        <v>0</v>
      </c>
      <c r="CQ205" s="1683">
        <v>0</v>
      </c>
      <c r="CR205" s="1683">
        <v>0</v>
      </c>
      <c r="CS205" s="1683">
        <v>0</v>
      </c>
      <c r="CT205" s="1683">
        <v>0</v>
      </c>
      <c r="CU205" s="1683">
        <v>0</v>
      </c>
      <c r="CV205" s="1683">
        <v>0</v>
      </c>
      <c r="CW205" s="1682"/>
      <c r="CX205" s="1683">
        <v>0</v>
      </c>
      <c r="CY205" s="1683">
        <v>0</v>
      </c>
      <c r="CZ205" s="1683">
        <v>0</v>
      </c>
      <c r="DA205" s="1683">
        <v>0</v>
      </c>
      <c r="DB205" s="1682"/>
      <c r="DC205" s="1326"/>
      <c r="DD205" s="1683">
        <v>0</v>
      </c>
      <c r="DE205" s="1683">
        <v>0</v>
      </c>
      <c r="DF205" s="1683">
        <v>0</v>
      </c>
      <c r="DG205" s="1683">
        <v>0</v>
      </c>
      <c r="DH205" s="1683">
        <v>0</v>
      </c>
    </row>
    <row r="206" spans="1:112" ht="56.25">
      <c r="A206" s="1326" t="s">
        <v>2211</v>
      </c>
      <c r="B206" s="1326" t="s">
        <v>1697</v>
      </c>
      <c r="C206" s="1326" t="s">
        <v>2559</v>
      </c>
      <c r="D206" s="1326" t="s">
        <v>2560</v>
      </c>
      <c r="E206" s="1326" t="s">
        <v>141</v>
      </c>
      <c r="F206" s="1326" t="s">
        <v>2539</v>
      </c>
      <c r="G206" s="1326" t="s">
        <v>2540</v>
      </c>
      <c r="H206" s="1326" t="s">
        <v>2541</v>
      </c>
      <c r="I206" s="1326" t="s">
        <v>717</v>
      </c>
      <c r="J206" s="1326" t="s">
        <v>2152</v>
      </c>
      <c r="K206" s="1326" t="s">
        <v>2071</v>
      </c>
      <c r="L206" s="1326" t="s">
        <v>2137</v>
      </c>
      <c r="M206" s="1400"/>
      <c r="N206" s="1400"/>
      <c r="O206" s="1400"/>
      <c r="P206" s="1400"/>
      <c r="Q206" s="1400"/>
      <c r="R206" s="1400"/>
      <c r="S206" s="1400"/>
      <c r="T206" s="1400"/>
      <c r="U206" s="1400"/>
      <c r="V206" s="1400"/>
      <c r="W206" s="1400"/>
      <c r="X206" s="1400"/>
      <c r="Y206" s="1685">
        <v>43003</v>
      </c>
      <c r="Z206" s="1326" t="s">
        <v>2062</v>
      </c>
      <c r="AA206" s="1683">
        <v>0</v>
      </c>
      <c r="AB206" s="1683">
        <v>0</v>
      </c>
      <c r="AC206" s="1683">
        <v>0</v>
      </c>
      <c r="AD206" s="1685">
        <v>43024</v>
      </c>
      <c r="AE206" s="1326" t="s">
        <v>2073</v>
      </c>
      <c r="AF206" s="1326" t="s">
        <v>2067</v>
      </c>
      <c r="AG206" s="1410"/>
      <c r="AH206" s="1683">
        <v>104202.09</v>
      </c>
      <c r="AI206" s="1683">
        <v>104202.09</v>
      </c>
      <c r="AJ206" s="1683">
        <v>88571.78</v>
      </c>
      <c r="AK206" s="1683">
        <v>88571.78</v>
      </c>
      <c r="AL206" s="1683">
        <v>0</v>
      </c>
      <c r="AM206" s="1685">
        <v>43025</v>
      </c>
      <c r="AN206" s="1683">
        <v>104202.09</v>
      </c>
      <c r="AO206" s="1683">
        <v>104202.09</v>
      </c>
      <c r="AP206" s="1683">
        <v>88571.78</v>
      </c>
      <c r="AQ206" s="1683">
        <v>88571.78</v>
      </c>
      <c r="AR206" s="1683">
        <v>0</v>
      </c>
      <c r="AS206" s="1683">
        <v>15630.31</v>
      </c>
      <c r="AT206" s="1683">
        <v>0</v>
      </c>
      <c r="AU206" s="1683">
        <v>15630.31</v>
      </c>
      <c r="AV206" s="1683">
        <v>0</v>
      </c>
      <c r="AW206" s="1683">
        <v>0</v>
      </c>
      <c r="AX206" s="1400"/>
      <c r="AY206" s="1400"/>
      <c r="AZ206" s="1400"/>
      <c r="BA206" s="1682"/>
      <c r="BB206" s="1682"/>
      <c r="BC206" s="1400"/>
      <c r="BD206" s="1400"/>
      <c r="BE206" s="1683">
        <v>104202.09</v>
      </c>
      <c r="BF206" s="1683">
        <v>104202.09</v>
      </c>
      <c r="BG206" s="1683">
        <v>88571.78</v>
      </c>
      <c r="BH206" s="1683">
        <v>88571.78</v>
      </c>
      <c r="BI206" s="1683">
        <v>0</v>
      </c>
      <c r="BJ206" s="1683">
        <v>15630.31</v>
      </c>
      <c r="BK206" s="1683">
        <v>0</v>
      </c>
      <c r="BL206" s="1683">
        <v>15630.31</v>
      </c>
      <c r="BM206" s="1683">
        <v>0</v>
      </c>
      <c r="BN206" s="1683">
        <v>0</v>
      </c>
      <c r="BO206" s="1685">
        <v>43364</v>
      </c>
      <c r="BP206" s="1683">
        <v>104202.09</v>
      </c>
      <c r="BQ206" s="1683">
        <v>104202.09</v>
      </c>
      <c r="BR206" s="1683">
        <v>88571.78</v>
      </c>
      <c r="BS206" s="1683">
        <v>88571.78</v>
      </c>
      <c r="BT206" s="1683">
        <v>0</v>
      </c>
      <c r="BU206" s="1683">
        <v>15630.31</v>
      </c>
      <c r="BV206" s="1683">
        <v>0</v>
      </c>
      <c r="BW206" s="1683">
        <v>0</v>
      </c>
      <c r="BX206" s="1683">
        <v>0</v>
      </c>
      <c r="BY206" s="1683">
        <v>0</v>
      </c>
      <c r="BZ206" s="1683">
        <v>0</v>
      </c>
      <c r="CA206" s="1400"/>
      <c r="CB206" s="1682"/>
      <c r="CC206" s="1682"/>
      <c r="CD206" s="1400"/>
      <c r="CE206" s="1400"/>
      <c r="CF206" s="1683">
        <v>0</v>
      </c>
      <c r="CG206" s="1683">
        <v>0</v>
      </c>
      <c r="CH206" s="1683">
        <v>0</v>
      </c>
      <c r="CI206" s="1683">
        <v>0</v>
      </c>
      <c r="CJ206" s="1683">
        <v>0</v>
      </c>
      <c r="CK206" s="1683">
        <v>0</v>
      </c>
      <c r="CL206" s="1682"/>
      <c r="CM206" s="1683">
        <v>0</v>
      </c>
      <c r="CN206" s="1683">
        <v>0</v>
      </c>
      <c r="CO206" s="1683">
        <v>0</v>
      </c>
      <c r="CP206" s="1683">
        <v>0</v>
      </c>
      <c r="CQ206" s="1683">
        <v>0</v>
      </c>
      <c r="CR206" s="1683">
        <v>0</v>
      </c>
      <c r="CS206" s="1683">
        <v>0</v>
      </c>
      <c r="CT206" s="1683">
        <v>0</v>
      </c>
      <c r="CU206" s="1683">
        <v>0</v>
      </c>
      <c r="CV206" s="1683">
        <v>0</v>
      </c>
      <c r="CW206" s="1682"/>
      <c r="CX206" s="1400"/>
      <c r="CY206" s="1400"/>
      <c r="CZ206" s="1400"/>
      <c r="DA206" s="1400"/>
      <c r="DB206" s="1682"/>
      <c r="DC206" s="1326"/>
      <c r="DD206" s="1683">
        <v>0</v>
      </c>
      <c r="DE206" s="1400"/>
      <c r="DF206" s="1400"/>
      <c r="DG206" s="1683">
        <v>0</v>
      </c>
      <c r="DH206" s="1683">
        <v>0</v>
      </c>
    </row>
    <row r="207" spans="1:112" ht="56.25">
      <c r="A207" s="1326" t="s">
        <v>2212</v>
      </c>
      <c r="B207" s="1326" t="s">
        <v>1697</v>
      </c>
      <c r="C207" s="1326" t="s">
        <v>2559</v>
      </c>
      <c r="D207" s="1326" t="s">
        <v>2560</v>
      </c>
      <c r="E207" s="1326" t="s">
        <v>141</v>
      </c>
      <c r="F207" s="1326" t="s">
        <v>2539</v>
      </c>
      <c r="G207" s="1326" t="s">
        <v>2540</v>
      </c>
      <c r="H207" s="1326" t="s">
        <v>2541</v>
      </c>
      <c r="I207" s="1326" t="s">
        <v>717</v>
      </c>
      <c r="J207" s="1326" t="s">
        <v>2152</v>
      </c>
      <c r="K207" s="1326" t="s">
        <v>2071</v>
      </c>
      <c r="L207" s="1326" t="s">
        <v>2137</v>
      </c>
      <c r="M207" s="1400"/>
      <c r="N207" s="1400"/>
      <c r="O207" s="1400"/>
      <c r="P207" s="1400"/>
      <c r="Q207" s="1400"/>
      <c r="R207" s="1400"/>
      <c r="S207" s="1400"/>
      <c r="T207" s="1400"/>
      <c r="U207" s="1400"/>
      <c r="V207" s="1400"/>
      <c r="W207" s="1400"/>
      <c r="X207" s="1400"/>
      <c r="Y207" s="1685">
        <v>43003</v>
      </c>
      <c r="Z207" s="1326" t="s">
        <v>2062</v>
      </c>
      <c r="AA207" s="1683">
        <v>0</v>
      </c>
      <c r="AB207" s="1683">
        <v>0</v>
      </c>
      <c r="AC207" s="1683">
        <v>0</v>
      </c>
      <c r="AD207" s="1685">
        <v>43024</v>
      </c>
      <c r="AE207" s="1326" t="s">
        <v>2073</v>
      </c>
      <c r="AF207" s="1326" t="s">
        <v>2064</v>
      </c>
      <c r="AG207" s="1410"/>
      <c r="AH207" s="1683">
        <v>208638.32</v>
      </c>
      <c r="AI207" s="1683">
        <v>208638.32</v>
      </c>
      <c r="AJ207" s="1683">
        <v>177342.57</v>
      </c>
      <c r="AK207" s="1683">
        <v>177342.57</v>
      </c>
      <c r="AL207" s="1683">
        <v>0</v>
      </c>
      <c r="AM207" s="1685">
        <v>43024</v>
      </c>
      <c r="AN207" s="1683">
        <v>208638.32</v>
      </c>
      <c r="AO207" s="1683">
        <v>208638.32</v>
      </c>
      <c r="AP207" s="1683">
        <v>177342.57</v>
      </c>
      <c r="AQ207" s="1683">
        <v>177342.57</v>
      </c>
      <c r="AR207" s="1683">
        <v>0</v>
      </c>
      <c r="AS207" s="1683">
        <v>31295.75</v>
      </c>
      <c r="AT207" s="1683">
        <v>0</v>
      </c>
      <c r="AU207" s="1683">
        <v>31295.75</v>
      </c>
      <c r="AV207" s="1683">
        <v>0</v>
      </c>
      <c r="AW207" s="1683">
        <v>0</v>
      </c>
      <c r="AX207" s="1400"/>
      <c r="AY207" s="1400"/>
      <c r="AZ207" s="1400"/>
      <c r="BA207" s="1682"/>
      <c r="BB207" s="1682"/>
      <c r="BC207" s="1400"/>
      <c r="BD207" s="1400"/>
      <c r="BE207" s="1683">
        <v>208638.32</v>
      </c>
      <c r="BF207" s="1683">
        <v>208638.32</v>
      </c>
      <c r="BG207" s="1683">
        <v>177342.57</v>
      </c>
      <c r="BH207" s="1683">
        <v>177342.57</v>
      </c>
      <c r="BI207" s="1683">
        <v>0</v>
      </c>
      <c r="BJ207" s="1683">
        <v>31295.75</v>
      </c>
      <c r="BK207" s="1683">
        <v>0</v>
      </c>
      <c r="BL207" s="1683">
        <v>31295.75</v>
      </c>
      <c r="BM207" s="1683">
        <v>0</v>
      </c>
      <c r="BN207" s="1683">
        <v>0</v>
      </c>
      <c r="BO207" s="1685">
        <v>43364</v>
      </c>
      <c r="BP207" s="1683">
        <v>208638.32</v>
      </c>
      <c r="BQ207" s="1683">
        <v>208638.32</v>
      </c>
      <c r="BR207" s="1683">
        <v>177342.57</v>
      </c>
      <c r="BS207" s="1683">
        <v>177342.57</v>
      </c>
      <c r="BT207" s="1683">
        <v>0</v>
      </c>
      <c r="BU207" s="1683">
        <v>31295.75</v>
      </c>
      <c r="BV207" s="1683">
        <v>0</v>
      </c>
      <c r="BW207" s="1683">
        <v>0</v>
      </c>
      <c r="BX207" s="1683">
        <v>0</v>
      </c>
      <c r="BY207" s="1683">
        <v>0</v>
      </c>
      <c r="BZ207" s="1683">
        <v>0</v>
      </c>
      <c r="CA207" s="1400"/>
      <c r="CB207" s="1682"/>
      <c r="CC207" s="1682"/>
      <c r="CD207" s="1400"/>
      <c r="CE207" s="1400"/>
      <c r="CF207" s="1683">
        <v>0</v>
      </c>
      <c r="CG207" s="1683">
        <v>0</v>
      </c>
      <c r="CH207" s="1683">
        <v>0</v>
      </c>
      <c r="CI207" s="1683">
        <v>0</v>
      </c>
      <c r="CJ207" s="1683">
        <v>0</v>
      </c>
      <c r="CK207" s="1683">
        <v>0</v>
      </c>
      <c r="CL207" s="1682"/>
      <c r="CM207" s="1683">
        <v>0</v>
      </c>
      <c r="CN207" s="1683">
        <v>0</v>
      </c>
      <c r="CO207" s="1683">
        <v>0</v>
      </c>
      <c r="CP207" s="1683">
        <v>0</v>
      </c>
      <c r="CQ207" s="1683">
        <v>0</v>
      </c>
      <c r="CR207" s="1683">
        <v>0</v>
      </c>
      <c r="CS207" s="1683">
        <v>0</v>
      </c>
      <c r="CT207" s="1683">
        <v>0</v>
      </c>
      <c r="CU207" s="1683">
        <v>0</v>
      </c>
      <c r="CV207" s="1683">
        <v>0</v>
      </c>
      <c r="CW207" s="1682"/>
      <c r="CX207" s="1400"/>
      <c r="CY207" s="1400"/>
      <c r="CZ207" s="1400"/>
      <c r="DA207" s="1400"/>
      <c r="DB207" s="1682"/>
      <c r="DC207" s="1326"/>
      <c r="DD207" s="1683">
        <v>0</v>
      </c>
      <c r="DE207" s="1400"/>
      <c r="DF207" s="1400"/>
      <c r="DG207" s="1683">
        <v>0</v>
      </c>
      <c r="DH207" s="1683">
        <v>0</v>
      </c>
    </row>
    <row r="208" spans="1:112" ht="56.25">
      <c r="A208" s="1326" t="s">
        <v>2213</v>
      </c>
      <c r="B208" s="1326" t="s">
        <v>1697</v>
      </c>
      <c r="C208" s="1326" t="s">
        <v>2559</v>
      </c>
      <c r="D208" s="1326" t="s">
        <v>2560</v>
      </c>
      <c r="E208" s="1326" t="s">
        <v>141</v>
      </c>
      <c r="F208" s="1326" t="s">
        <v>2539</v>
      </c>
      <c r="G208" s="1326" t="s">
        <v>2540</v>
      </c>
      <c r="H208" s="1326" t="s">
        <v>2541</v>
      </c>
      <c r="I208" s="1326" t="s">
        <v>717</v>
      </c>
      <c r="J208" s="1326" t="s">
        <v>2152</v>
      </c>
      <c r="K208" s="1326" t="s">
        <v>2071</v>
      </c>
      <c r="L208" s="1326" t="s">
        <v>2137</v>
      </c>
      <c r="M208" s="1400"/>
      <c r="N208" s="1400"/>
      <c r="O208" s="1400"/>
      <c r="P208" s="1400"/>
      <c r="Q208" s="1400"/>
      <c r="R208" s="1400"/>
      <c r="S208" s="1400"/>
      <c r="T208" s="1400"/>
      <c r="U208" s="1400"/>
      <c r="V208" s="1400"/>
      <c r="W208" s="1400"/>
      <c r="X208" s="1400"/>
      <c r="Y208" s="1685">
        <v>43063</v>
      </c>
      <c r="Z208" s="1326" t="s">
        <v>2062</v>
      </c>
      <c r="AA208" s="1683">
        <v>0</v>
      </c>
      <c r="AB208" s="1683">
        <v>0</v>
      </c>
      <c r="AC208" s="1683">
        <v>0</v>
      </c>
      <c r="AD208" s="1685">
        <v>43088</v>
      </c>
      <c r="AE208" s="1326" t="s">
        <v>2063</v>
      </c>
      <c r="AF208" s="1326" t="s">
        <v>2064</v>
      </c>
      <c r="AG208" s="1410"/>
      <c r="AH208" s="1683">
        <v>126814.02</v>
      </c>
      <c r="AI208" s="1683">
        <v>126814.02</v>
      </c>
      <c r="AJ208" s="1683">
        <v>107791.92</v>
      </c>
      <c r="AK208" s="1683">
        <v>107791.92</v>
      </c>
      <c r="AL208" s="1683">
        <v>0</v>
      </c>
      <c r="AM208" s="1685">
        <v>43088</v>
      </c>
      <c r="AN208" s="1683">
        <v>126814.02</v>
      </c>
      <c r="AO208" s="1683">
        <v>126814.02</v>
      </c>
      <c r="AP208" s="1683">
        <v>107791.92</v>
      </c>
      <c r="AQ208" s="1683">
        <v>107791.92</v>
      </c>
      <c r="AR208" s="1683">
        <v>0</v>
      </c>
      <c r="AS208" s="1683">
        <v>19022.099999999999</v>
      </c>
      <c r="AT208" s="1683">
        <v>0</v>
      </c>
      <c r="AU208" s="1683">
        <v>19022.099999999999</v>
      </c>
      <c r="AV208" s="1683">
        <v>0</v>
      </c>
      <c r="AW208" s="1683">
        <v>0</v>
      </c>
      <c r="AX208" s="1400"/>
      <c r="AY208" s="1400"/>
      <c r="AZ208" s="1400"/>
      <c r="BA208" s="1682"/>
      <c r="BB208" s="1682"/>
      <c r="BC208" s="1400"/>
      <c r="BD208" s="1400"/>
      <c r="BE208" s="1683">
        <v>126814.02</v>
      </c>
      <c r="BF208" s="1683">
        <v>126814.02</v>
      </c>
      <c r="BG208" s="1683">
        <v>107791.92</v>
      </c>
      <c r="BH208" s="1683">
        <v>107791.92</v>
      </c>
      <c r="BI208" s="1683">
        <v>0</v>
      </c>
      <c r="BJ208" s="1683">
        <v>19022.099999999999</v>
      </c>
      <c r="BK208" s="1683">
        <v>0</v>
      </c>
      <c r="BL208" s="1683">
        <v>19022.099999999999</v>
      </c>
      <c r="BM208" s="1683">
        <v>0</v>
      </c>
      <c r="BN208" s="1683">
        <v>0</v>
      </c>
      <c r="BO208" s="1685">
        <v>43364</v>
      </c>
      <c r="BP208" s="1683">
        <v>126814.02</v>
      </c>
      <c r="BQ208" s="1683">
        <v>126814.02</v>
      </c>
      <c r="BR208" s="1683">
        <v>107791.92</v>
      </c>
      <c r="BS208" s="1683">
        <v>107791.92</v>
      </c>
      <c r="BT208" s="1683">
        <v>0</v>
      </c>
      <c r="BU208" s="1683">
        <v>19022.099999999999</v>
      </c>
      <c r="BV208" s="1683">
        <v>0</v>
      </c>
      <c r="BW208" s="1683">
        <v>0</v>
      </c>
      <c r="BX208" s="1683">
        <v>0</v>
      </c>
      <c r="BY208" s="1683">
        <v>0</v>
      </c>
      <c r="BZ208" s="1683">
        <v>0</v>
      </c>
      <c r="CA208" s="1400"/>
      <c r="CB208" s="1682"/>
      <c r="CC208" s="1682"/>
      <c r="CD208" s="1400"/>
      <c r="CE208" s="1400"/>
      <c r="CF208" s="1683">
        <v>0</v>
      </c>
      <c r="CG208" s="1683">
        <v>0</v>
      </c>
      <c r="CH208" s="1683">
        <v>0</v>
      </c>
      <c r="CI208" s="1683">
        <v>0</v>
      </c>
      <c r="CJ208" s="1683">
        <v>0</v>
      </c>
      <c r="CK208" s="1683">
        <v>0</v>
      </c>
      <c r="CL208" s="1682"/>
      <c r="CM208" s="1683">
        <v>0</v>
      </c>
      <c r="CN208" s="1683">
        <v>0</v>
      </c>
      <c r="CO208" s="1683">
        <v>0</v>
      </c>
      <c r="CP208" s="1683">
        <v>0</v>
      </c>
      <c r="CQ208" s="1683">
        <v>0</v>
      </c>
      <c r="CR208" s="1683">
        <v>0</v>
      </c>
      <c r="CS208" s="1683">
        <v>0</v>
      </c>
      <c r="CT208" s="1683">
        <v>0</v>
      </c>
      <c r="CU208" s="1683">
        <v>0</v>
      </c>
      <c r="CV208" s="1683">
        <v>0</v>
      </c>
      <c r="CW208" s="1682"/>
      <c r="CX208" s="1400"/>
      <c r="CY208" s="1400"/>
      <c r="CZ208" s="1400"/>
      <c r="DA208" s="1400"/>
      <c r="DB208" s="1682"/>
      <c r="DC208" s="1326"/>
      <c r="DD208" s="1683">
        <v>0</v>
      </c>
      <c r="DE208" s="1400"/>
      <c r="DF208" s="1400"/>
      <c r="DG208" s="1683">
        <v>0</v>
      </c>
      <c r="DH208" s="1683">
        <v>0</v>
      </c>
    </row>
    <row r="209" spans="1:112" ht="56.25">
      <c r="A209" s="1326" t="s">
        <v>2214</v>
      </c>
      <c r="B209" s="1326" t="s">
        <v>1697</v>
      </c>
      <c r="C209" s="1326" t="s">
        <v>2559</v>
      </c>
      <c r="D209" s="1326" t="s">
        <v>2560</v>
      </c>
      <c r="E209" s="1326" t="s">
        <v>141</v>
      </c>
      <c r="F209" s="1326" t="s">
        <v>2539</v>
      </c>
      <c r="G209" s="1326" t="s">
        <v>2540</v>
      </c>
      <c r="H209" s="1326" t="s">
        <v>2541</v>
      </c>
      <c r="I209" s="1326" t="s">
        <v>717</v>
      </c>
      <c r="J209" s="1326" t="s">
        <v>2152</v>
      </c>
      <c r="K209" s="1326" t="s">
        <v>2071</v>
      </c>
      <c r="L209" s="1326" t="s">
        <v>2137</v>
      </c>
      <c r="M209" s="1400"/>
      <c r="N209" s="1400"/>
      <c r="O209" s="1400"/>
      <c r="P209" s="1400"/>
      <c r="Q209" s="1400"/>
      <c r="R209" s="1400"/>
      <c r="S209" s="1400"/>
      <c r="T209" s="1400"/>
      <c r="U209" s="1400"/>
      <c r="V209" s="1400"/>
      <c r="W209" s="1400"/>
      <c r="X209" s="1400"/>
      <c r="Y209" s="1685">
        <v>43137</v>
      </c>
      <c r="Z209" s="1326" t="s">
        <v>2062</v>
      </c>
      <c r="AA209" s="1683">
        <v>0</v>
      </c>
      <c r="AB209" s="1683">
        <v>0</v>
      </c>
      <c r="AC209" s="1683">
        <v>0</v>
      </c>
      <c r="AD209" s="1685">
        <v>43167</v>
      </c>
      <c r="AE209" s="1326" t="s">
        <v>2066</v>
      </c>
      <c r="AF209" s="1326" t="s">
        <v>2067</v>
      </c>
      <c r="AG209" s="1410"/>
      <c r="AH209" s="1683">
        <v>198805.13</v>
      </c>
      <c r="AI209" s="1683">
        <v>198805.13</v>
      </c>
      <c r="AJ209" s="1683">
        <v>168984.36</v>
      </c>
      <c r="AK209" s="1683">
        <v>168984.36</v>
      </c>
      <c r="AL209" s="1683">
        <v>0</v>
      </c>
      <c r="AM209" s="1685">
        <v>43168</v>
      </c>
      <c r="AN209" s="1683">
        <v>198805.13</v>
      </c>
      <c r="AO209" s="1683">
        <v>198805.13</v>
      </c>
      <c r="AP209" s="1683">
        <v>168984.36</v>
      </c>
      <c r="AQ209" s="1683">
        <v>168984.36</v>
      </c>
      <c r="AR209" s="1683">
        <v>0</v>
      </c>
      <c r="AS209" s="1683">
        <v>29820.77</v>
      </c>
      <c r="AT209" s="1683">
        <v>0</v>
      </c>
      <c r="AU209" s="1683">
        <v>29820.77</v>
      </c>
      <c r="AV209" s="1683">
        <v>0</v>
      </c>
      <c r="AW209" s="1683">
        <v>0</v>
      </c>
      <c r="AX209" s="1400"/>
      <c r="AY209" s="1400"/>
      <c r="AZ209" s="1400"/>
      <c r="BA209" s="1682"/>
      <c r="BB209" s="1682"/>
      <c r="BC209" s="1400"/>
      <c r="BD209" s="1400"/>
      <c r="BE209" s="1683">
        <v>198805.13</v>
      </c>
      <c r="BF209" s="1683">
        <v>198805.13</v>
      </c>
      <c r="BG209" s="1683">
        <v>168984.36</v>
      </c>
      <c r="BH209" s="1683">
        <v>168984.36</v>
      </c>
      <c r="BI209" s="1683">
        <v>0</v>
      </c>
      <c r="BJ209" s="1683">
        <v>29820.77</v>
      </c>
      <c r="BK209" s="1683">
        <v>0</v>
      </c>
      <c r="BL209" s="1683">
        <v>29820.77</v>
      </c>
      <c r="BM209" s="1683">
        <v>0</v>
      </c>
      <c r="BN209" s="1683">
        <v>0</v>
      </c>
      <c r="BO209" s="1685">
        <v>43364</v>
      </c>
      <c r="BP209" s="1683">
        <v>198805.13</v>
      </c>
      <c r="BQ209" s="1683">
        <v>198805.13</v>
      </c>
      <c r="BR209" s="1683">
        <v>168984.36</v>
      </c>
      <c r="BS209" s="1683">
        <v>168984.36</v>
      </c>
      <c r="BT209" s="1683">
        <v>0</v>
      </c>
      <c r="BU209" s="1683">
        <v>29820.77</v>
      </c>
      <c r="BV209" s="1683">
        <v>0</v>
      </c>
      <c r="BW209" s="1683">
        <v>0</v>
      </c>
      <c r="BX209" s="1683">
        <v>0</v>
      </c>
      <c r="BY209" s="1683">
        <v>0</v>
      </c>
      <c r="BZ209" s="1683">
        <v>0</v>
      </c>
      <c r="CA209" s="1400"/>
      <c r="CB209" s="1682"/>
      <c r="CC209" s="1682"/>
      <c r="CD209" s="1400"/>
      <c r="CE209" s="1400"/>
      <c r="CF209" s="1683">
        <v>0</v>
      </c>
      <c r="CG209" s="1683">
        <v>0</v>
      </c>
      <c r="CH209" s="1683">
        <v>0</v>
      </c>
      <c r="CI209" s="1683">
        <v>0</v>
      </c>
      <c r="CJ209" s="1683">
        <v>0</v>
      </c>
      <c r="CK209" s="1683">
        <v>0</v>
      </c>
      <c r="CL209" s="1682"/>
      <c r="CM209" s="1683">
        <v>0</v>
      </c>
      <c r="CN209" s="1683">
        <v>0</v>
      </c>
      <c r="CO209" s="1683">
        <v>0</v>
      </c>
      <c r="CP209" s="1683">
        <v>0</v>
      </c>
      <c r="CQ209" s="1683">
        <v>0</v>
      </c>
      <c r="CR209" s="1683">
        <v>0</v>
      </c>
      <c r="CS209" s="1683">
        <v>0</v>
      </c>
      <c r="CT209" s="1683">
        <v>0</v>
      </c>
      <c r="CU209" s="1683">
        <v>0</v>
      </c>
      <c r="CV209" s="1683">
        <v>0</v>
      </c>
      <c r="CW209" s="1682"/>
      <c r="CX209" s="1400"/>
      <c r="CY209" s="1400"/>
      <c r="CZ209" s="1400"/>
      <c r="DA209" s="1400"/>
      <c r="DB209" s="1682"/>
      <c r="DC209" s="1326"/>
      <c r="DD209" s="1683">
        <v>0</v>
      </c>
      <c r="DE209" s="1400"/>
      <c r="DF209" s="1400"/>
      <c r="DG209" s="1683">
        <v>0</v>
      </c>
      <c r="DH209" s="1683">
        <v>0</v>
      </c>
    </row>
    <row r="210" spans="1:112" ht="56.25">
      <c r="A210" s="1326" t="s">
        <v>2215</v>
      </c>
      <c r="B210" s="1326" t="s">
        <v>1697</v>
      </c>
      <c r="C210" s="1326" t="s">
        <v>2559</v>
      </c>
      <c r="D210" s="1326" t="s">
        <v>2560</v>
      </c>
      <c r="E210" s="1326" t="s">
        <v>141</v>
      </c>
      <c r="F210" s="1326" t="s">
        <v>2539</v>
      </c>
      <c r="G210" s="1326" t="s">
        <v>2540</v>
      </c>
      <c r="H210" s="1326" t="s">
        <v>2541</v>
      </c>
      <c r="I210" s="1326" t="s">
        <v>717</v>
      </c>
      <c r="J210" s="1326" t="s">
        <v>2152</v>
      </c>
      <c r="K210" s="1326" t="s">
        <v>2071</v>
      </c>
      <c r="L210" s="1326" t="s">
        <v>2137</v>
      </c>
      <c r="M210" s="1400"/>
      <c r="N210" s="1400"/>
      <c r="O210" s="1400"/>
      <c r="P210" s="1400"/>
      <c r="Q210" s="1400"/>
      <c r="R210" s="1400"/>
      <c r="S210" s="1400"/>
      <c r="T210" s="1400"/>
      <c r="U210" s="1400"/>
      <c r="V210" s="1400"/>
      <c r="W210" s="1400"/>
      <c r="X210" s="1400"/>
      <c r="Y210" s="1685">
        <v>43137</v>
      </c>
      <c r="Z210" s="1326" t="s">
        <v>2062</v>
      </c>
      <c r="AA210" s="1683">
        <v>0</v>
      </c>
      <c r="AB210" s="1683">
        <v>0</v>
      </c>
      <c r="AC210" s="1683">
        <v>0</v>
      </c>
      <c r="AD210" s="1685">
        <v>43167</v>
      </c>
      <c r="AE210" s="1326" t="s">
        <v>2066</v>
      </c>
      <c r="AF210" s="1326" t="s">
        <v>2064</v>
      </c>
      <c r="AG210" s="1410"/>
      <c r="AH210" s="1683">
        <v>136925.92000000001</v>
      </c>
      <c r="AI210" s="1683">
        <v>136925.92000000001</v>
      </c>
      <c r="AJ210" s="1683">
        <v>116387.03</v>
      </c>
      <c r="AK210" s="1683">
        <v>116387.03</v>
      </c>
      <c r="AL210" s="1683">
        <v>0</v>
      </c>
      <c r="AM210" s="1685">
        <v>43167</v>
      </c>
      <c r="AN210" s="1683">
        <v>136925.92000000001</v>
      </c>
      <c r="AO210" s="1683">
        <v>136925.92000000001</v>
      </c>
      <c r="AP210" s="1683">
        <v>116387.03</v>
      </c>
      <c r="AQ210" s="1683">
        <v>116387.03</v>
      </c>
      <c r="AR210" s="1683">
        <v>0</v>
      </c>
      <c r="AS210" s="1683">
        <v>20538.89</v>
      </c>
      <c r="AT210" s="1683">
        <v>0</v>
      </c>
      <c r="AU210" s="1683">
        <v>20538.89</v>
      </c>
      <c r="AV210" s="1683">
        <v>0</v>
      </c>
      <c r="AW210" s="1683">
        <v>0</v>
      </c>
      <c r="AX210" s="1400"/>
      <c r="AY210" s="1400"/>
      <c r="AZ210" s="1400"/>
      <c r="BA210" s="1682"/>
      <c r="BB210" s="1682"/>
      <c r="BC210" s="1400"/>
      <c r="BD210" s="1400"/>
      <c r="BE210" s="1683">
        <v>136925.92000000001</v>
      </c>
      <c r="BF210" s="1683">
        <v>136925.92000000001</v>
      </c>
      <c r="BG210" s="1683">
        <v>116387.03</v>
      </c>
      <c r="BH210" s="1683">
        <v>116387.03</v>
      </c>
      <c r="BI210" s="1683">
        <v>0</v>
      </c>
      <c r="BJ210" s="1683">
        <v>20538.89</v>
      </c>
      <c r="BK210" s="1683">
        <v>0</v>
      </c>
      <c r="BL210" s="1683">
        <v>20538.89</v>
      </c>
      <c r="BM210" s="1683">
        <v>0</v>
      </c>
      <c r="BN210" s="1683">
        <v>0</v>
      </c>
      <c r="BO210" s="1685">
        <v>43364</v>
      </c>
      <c r="BP210" s="1683">
        <v>136925.92000000001</v>
      </c>
      <c r="BQ210" s="1683">
        <v>136925.92000000001</v>
      </c>
      <c r="BR210" s="1683">
        <v>116387.03</v>
      </c>
      <c r="BS210" s="1683">
        <v>116387.03</v>
      </c>
      <c r="BT210" s="1683">
        <v>0</v>
      </c>
      <c r="BU210" s="1683">
        <v>20538.89</v>
      </c>
      <c r="BV210" s="1683">
        <v>0</v>
      </c>
      <c r="BW210" s="1683">
        <v>0</v>
      </c>
      <c r="BX210" s="1683">
        <v>0</v>
      </c>
      <c r="BY210" s="1683">
        <v>0</v>
      </c>
      <c r="BZ210" s="1683">
        <v>0</v>
      </c>
      <c r="CA210" s="1400"/>
      <c r="CB210" s="1682"/>
      <c r="CC210" s="1682"/>
      <c r="CD210" s="1400"/>
      <c r="CE210" s="1400"/>
      <c r="CF210" s="1683">
        <v>0</v>
      </c>
      <c r="CG210" s="1683">
        <v>0</v>
      </c>
      <c r="CH210" s="1683">
        <v>0</v>
      </c>
      <c r="CI210" s="1683">
        <v>0</v>
      </c>
      <c r="CJ210" s="1683">
        <v>0</v>
      </c>
      <c r="CK210" s="1683">
        <v>0</v>
      </c>
      <c r="CL210" s="1682"/>
      <c r="CM210" s="1683">
        <v>0</v>
      </c>
      <c r="CN210" s="1683">
        <v>0</v>
      </c>
      <c r="CO210" s="1683">
        <v>0</v>
      </c>
      <c r="CP210" s="1683">
        <v>0</v>
      </c>
      <c r="CQ210" s="1683">
        <v>0</v>
      </c>
      <c r="CR210" s="1683">
        <v>0</v>
      </c>
      <c r="CS210" s="1683">
        <v>0</v>
      </c>
      <c r="CT210" s="1683">
        <v>0</v>
      </c>
      <c r="CU210" s="1683">
        <v>0</v>
      </c>
      <c r="CV210" s="1683">
        <v>0</v>
      </c>
      <c r="CW210" s="1682"/>
      <c r="CX210" s="1400"/>
      <c r="CY210" s="1400"/>
      <c r="CZ210" s="1400"/>
      <c r="DA210" s="1400"/>
      <c r="DB210" s="1682"/>
      <c r="DC210" s="1326"/>
      <c r="DD210" s="1683">
        <v>0</v>
      </c>
      <c r="DE210" s="1400"/>
      <c r="DF210" s="1400"/>
      <c r="DG210" s="1683">
        <v>0</v>
      </c>
      <c r="DH210" s="1683">
        <v>0</v>
      </c>
    </row>
    <row r="211" spans="1:112" ht="56.25">
      <c r="A211" s="1326" t="s">
        <v>2216</v>
      </c>
      <c r="B211" s="1326" t="s">
        <v>1697</v>
      </c>
      <c r="C211" s="1326" t="s">
        <v>2559</v>
      </c>
      <c r="D211" s="1326" t="s">
        <v>2560</v>
      </c>
      <c r="E211" s="1326" t="s">
        <v>141</v>
      </c>
      <c r="F211" s="1326" t="s">
        <v>2539</v>
      </c>
      <c r="G211" s="1326" t="s">
        <v>2540</v>
      </c>
      <c r="H211" s="1326" t="s">
        <v>2541</v>
      </c>
      <c r="I211" s="1326" t="s">
        <v>717</v>
      </c>
      <c r="J211" s="1326" t="s">
        <v>2152</v>
      </c>
      <c r="K211" s="1326" t="s">
        <v>2071</v>
      </c>
      <c r="L211" s="1326" t="s">
        <v>2137</v>
      </c>
      <c r="M211" s="1400"/>
      <c r="N211" s="1400"/>
      <c r="O211" s="1400"/>
      <c r="P211" s="1400"/>
      <c r="Q211" s="1400"/>
      <c r="R211" s="1400"/>
      <c r="S211" s="1400"/>
      <c r="T211" s="1400"/>
      <c r="U211" s="1400"/>
      <c r="V211" s="1400"/>
      <c r="W211" s="1400"/>
      <c r="X211" s="1400"/>
      <c r="Y211" s="1685">
        <v>43252</v>
      </c>
      <c r="Z211" s="1326" t="s">
        <v>2062</v>
      </c>
      <c r="AA211" s="1683">
        <v>0</v>
      </c>
      <c r="AB211" s="1683">
        <v>0</v>
      </c>
      <c r="AC211" s="1683">
        <v>0</v>
      </c>
      <c r="AD211" s="1685">
        <v>43332</v>
      </c>
      <c r="AE211" s="1326" t="s">
        <v>2079</v>
      </c>
      <c r="AF211" s="1326" t="s">
        <v>2064</v>
      </c>
      <c r="AG211" s="1410"/>
      <c r="AH211" s="1683">
        <v>12450.25</v>
      </c>
      <c r="AI211" s="1683">
        <v>12450.25</v>
      </c>
      <c r="AJ211" s="1683">
        <v>10582.71</v>
      </c>
      <c r="AK211" s="1683">
        <v>10582.71</v>
      </c>
      <c r="AL211" s="1683">
        <v>0</v>
      </c>
      <c r="AM211" s="1685">
        <v>43332</v>
      </c>
      <c r="AN211" s="1683">
        <v>12450.25</v>
      </c>
      <c r="AO211" s="1683">
        <v>12450.25</v>
      </c>
      <c r="AP211" s="1683">
        <v>10582.71</v>
      </c>
      <c r="AQ211" s="1683">
        <v>10582.71</v>
      </c>
      <c r="AR211" s="1683">
        <v>0</v>
      </c>
      <c r="AS211" s="1683">
        <v>1867.54</v>
      </c>
      <c r="AT211" s="1683">
        <v>0</v>
      </c>
      <c r="AU211" s="1683">
        <v>1867.54</v>
      </c>
      <c r="AV211" s="1683">
        <v>0</v>
      </c>
      <c r="AW211" s="1683">
        <v>0</v>
      </c>
      <c r="AX211" s="1400"/>
      <c r="AY211" s="1400"/>
      <c r="AZ211" s="1400"/>
      <c r="BA211" s="1682"/>
      <c r="BB211" s="1682"/>
      <c r="BC211" s="1400"/>
      <c r="BD211" s="1400"/>
      <c r="BE211" s="1683">
        <v>12450.25</v>
      </c>
      <c r="BF211" s="1683">
        <v>12450.25</v>
      </c>
      <c r="BG211" s="1683">
        <v>10582.71</v>
      </c>
      <c r="BH211" s="1683">
        <v>10582.71</v>
      </c>
      <c r="BI211" s="1683">
        <v>0</v>
      </c>
      <c r="BJ211" s="1683">
        <v>1867.54</v>
      </c>
      <c r="BK211" s="1683">
        <v>0</v>
      </c>
      <c r="BL211" s="1683">
        <v>1867.54</v>
      </c>
      <c r="BM211" s="1683">
        <v>0</v>
      </c>
      <c r="BN211" s="1683">
        <v>0</v>
      </c>
      <c r="BO211" s="1685">
        <v>43403</v>
      </c>
      <c r="BP211" s="1683">
        <v>12450.25</v>
      </c>
      <c r="BQ211" s="1683">
        <v>12450.25</v>
      </c>
      <c r="BR211" s="1683">
        <v>10582.71</v>
      </c>
      <c r="BS211" s="1683">
        <v>10582.71</v>
      </c>
      <c r="BT211" s="1683">
        <v>0</v>
      </c>
      <c r="BU211" s="1683">
        <v>1867.54</v>
      </c>
      <c r="BV211" s="1683">
        <v>0</v>
      </c>
      <c r="BW211" s="1683">
        <v>0</v>
      </c>
      <c r="BX211" s="1683">
        <v>0</v>
      </c>
      <c r="BY211" s="1683">
        <v>0</v>
      </c>
      <c r="BZ211" s="1683">
        <v>0</v>
      </c>
      <c r="CA211" s="1400"/>
      <c r="CB211" s="1682"/>
      <c r="CC211" s="1682"/>
      <c r="CD211" s="1400"/>
      <c r="CE211" s="1400"/>
      <c r="CF211" s="1683">
        <v>0</v>
      </c>
      <c r="CG211" s="1683">
        <v>0</v>
      </c>
      <c r="CH211" s="1683">
        <v>0</v>
      </c>
      <c r="CI211" s="1683">
        <v>0</v>
      </c>
      <c r="CJ211" s="1683">
        <v>0</v>
      </c>
      <c r="CK211" s="1683">
        <v>0</v>
      </c>
      <c r="CL211" s="1682"/>
      <c r="CM211" s="1683">
        <v>0</v>
      </c>
      <c r="CN211" s="1683">
        <v>0</v>
      </c>
      <c r="CO211" s="1683">
        <v>0</v>
      </c>
      <c r="CP211" s="1683">
        <v>0</v>
      </c>
      <c r="CQ211" s="1683">
        <v>0</v>
      </c>
      <c r="CR211" s="1683">
        <v>0</v>
      </c>
      <c r="CS211" s="1683">
        <v>0</v>
      </c>
      <c r="CT211" s="1683">
        <v>0</v>
      </c>
      <c r="CU211" s="1683">
        <v>0</v>
      </c>
      <c r="CV211" s="1683">
        <v>0</v>
      </c>
      <c r="CW211" s="1682"/>
      <c r="CX211" s="1400"/>
      <c r="CY211" s="1400"/>
      <c r="CZ211" s="1400"/>
      <c r="DA211" s="1400"/>
      <c r="DB211" s="1682"/>
      <c r="DC211" s="1326"/>
      <c r="DD211" s="1683">
        <v>0</v>
      </c>
      <c r="DE211" s="1400"/>
      <c r="DF211" s="1400"/>
      <c r="DG211" s="1683">
        <v>0</v>
      </c>
      <c r="DH211" s="1683">
        <v>0</v>
      </c>
    </row>
    <row r="212" spans="1:112" ht="56.25">
      <c r="A212" s="1326" t="s">
        <v>2217</v>
      </c>
      <c r="B212" s="1326" t="s">
        <v>1697</v>
      </c>
      <c r="C212" s="1326" t="s">
        <v>2559</v>
      </c>
      <c r="D212" s="1326" t="s">
        <v>2560</v>
      </c>
      <c r="E212" s="1326" t="s">
        <v>141</v>
      </c>
      <c r="F212" s="1326" t="s">
        <v>2539</v>
      </c>
      <c r="G212" s="1326" t="s">
        <v>2540</v>
      </c>
      <c r="H212" s="1326" t="s">
        <v>2541</v>
      </c>
      <c r="I212" s="1326" t="s">
        <v>717</v>
      </c>
      <c r="J212" s="1326" t="s">
        <v>2152</v>
      </c>
      <c r="K212" s="1326" t="s">
        <v>2071</v>
      </c>
      <c r="L212" s="1326" t="s">
        <v>2137</v>
      </c>
      <c r="M212" s="1400"/>
      <c r="N212" s="1400"/>
      <c r="O212" s="1400"/>
      <c r="P212" s="1400"/>
      <c r="Q212" s="1400"/>
      <c r="R212" s="1400"/>
      <c r="S212" s="1400"/>
      <c r="T212" s="1400"/>
      <c r="U212" s="1400"/>
      <c r="V212" s="1400"/>
      <c r="W212" s="1400"/>
      <c r="X212" s="1400"/>
      <c r="Y212" s="1685">
        <v>43410</v>
      </c>
      <c r="Z212" s="1326" t="s">
        <v>2145</v>
      </c>
      <c r="AA212" s="1683">
        <v>0</v>
      </c>
      <c r="AB212" s="1683">
        <v>0</v>
      </c>
      <c r="AC212" s="1683">
        <v>0</v>
      </c>
      <c r="AD212" s="1685">
        <v>43447</v>
      </c>
      <c r="AE212" s="1326" t="s">
        <v>2080</v>
      </c>
      <c r="AF212" s="1326" t="s">
        <v>2064</v>
      </c>
      <c r="AG212" s="1410"/>
      <c r="AH212" s="1683">
        <v>92091.33</v>
      </c>
      <c r="AI212" s="1683">
        <v>92091.33</v>
      </c>
      <c r="AJ212" s="1683">
        <v>78277.63</v>
      </c>
      <c r="AK212" s="1683">
        <v>78277.63</v>
      </c>
      <c r="AL212" s="1683">
        <v>0</v>
      </c>
      <c r="AM212" s="1685">
        <v>43447</v>
      </c>
      <c r="AN212" s="1683">
        <v>92091.33</v>
      </c>
      <c r="AO212" s="1683">
        <v>92091.33</v>
      </c>
      <c r="AP212" s="1683">
        <v>78277.63</v>
      </c>
      <c r="AQ212" s="1683">
        <v>78277.63</v>
      </c>
      <c r="AR212" s="1683">
        <v>0</v>
      </c>
      <c r="AS212" s="1683">
        <v>13813.7</v>
      </c>
      <c r="AT212" s="1683">
        <v>0</v>
      </c>
      <c r="AU212" s="1683">
        <v>13813.7</v>
      </c>
      <c r="AV212" s="1683">
        <v>0</v>
      </c>
      <c r="AW212" s="1683">
        <v>0</v>
      </c>
      <c r="AX212" s="1400"/>
      <c r="AY212" s="1400"/>
      <c r="AZ212" s="1400"/>
      <c r="BA212" s="1682"/>
      <c r="BB212" s="1682"/>
      <c r="BC212" s="1400"/>
      <c r="BD212" s="1400"/>
      <c r="BE212" s="1683">
        <v>92091.33</v>
      </c>
      <c r="BF212" s="1683">
        <v>92091.33</v>
      </c>
      <c r="BG212" s="1683">
        <v>78277.63</v>
      </c>
      <c r="BH212" s="1683">
        <v>78277.63</v>
      </c>
      <c r="BI212" s="1683">
        <v>0</v>
      </c>
      <c r="BJ212" s="1683">
        <v>13813.7</v>
      </c>
      <c r="BK212" s="1683">
        <v>0</v>
      </c>
      <c r="BL212" s="1683">
        <v>13813.7</v>
      </c>
      <c r="BM212" s="1683">
        <v>0</v>
      </c>
      <c r="BN212" s="1683">
        <v>0</v>
      </c>
      <c r="BO212" s="1682"/>
      <c r="BP212" s="1683">
        <v>0</v>
      </c>
      <c r="BQ212" s="1683">
        <v>0</v>
      </c>
      <c r="BR212" s="1683">
        <v>0</v>
      </c>
      <c r="BS212" s="1683">
        <v>0</v>
      </c>
      <c r="BT212" s="1683">
        <v>0</v>
      </c>
      <c r="BU212" s="1683">
        <v>0</v>
      </c>
      <c r="BV212" s="1683">
        <v>0</v>
      </c>
      <c r="BW212" s="1683">
        <v>0</v>
      </c>
      <c r="BX212" s="1683">
        <v>0</v>
      </c>
      <c r="BY212" s="1683">
        <v>0</v>
      </c>
      <c r="BZ212" s="1683">
        <v>0</v>
      </c>
      <c r="CA212" s="1400"/>
      <c r="CB212" s="1682"/>
      <c r="CC212" s="1682"/>
      <c r="CD212" s="1400"/>
      <c r="CE212" s="1400"/>
      <c r="CF212" s="1683">
        <v>0</v>
      </c>
      <c r="CG212" s="1683">
        <v>0</v>
      </c>
      <c r="CH212" s="1683">
        <v>0</v>
      </c>
      <c r="CI212" s="1683">
        <v>0</v>
      </c>
      <c r="CJ212" s="1683">
        <v>0</v>
      </c>
      <c r="CK212" s="1683">
        <v>0</v>
      </c>
      <c r="CL212" s="1682"/>
      <c r="CM212" s="1683">
        <v>0</v>
      </c>
      <c r="CN212" s="1683">
        <v>0</v>
      </c>
      <c r="CO212" s="1683">
        <v>0</v>
      </c>
      <c r="CP212" s="1683">
        <v>0</v>
      </c>
      <c r="CQ212" s="1683">
        <v>0</v>
      </c>
      <c r="CR212" s="1683">
        <v>0</v>
      </c>
      <c r="CS212" s="1683">
        <v>0</v>
      </c>
      <c r="CT212" s="1683">
        <v>0</v>
      </c>
      <c r="CU212" s="1683">
        <v>0</v>
      </c>
      <c r="CV212" s="1683">
        <v>0</v>
      </c>
      <c r="CW212" s="1682"/>
      <c r="CX212" s="1400"/>
      <c r="CY212" s="1400"/>
      <c r="CZ212" s="1400"/>
      <c r="DA212" s="1400"/>
      <c r="DB212" s="1682"/>
      <c r="DC212" s="1326"/>
      <c r="DD212" s="1683">
        <v>0</v>
      </c>
      <c r="DE212" s="1400"/>
      <c r="DF212" s="1400"/>
      <c r="DG212" s="1683">
        <v>0</v>
      </c>
      <c r="DH212" s="1683">
        <v>0</v>
      </c>
    </row>
    <row r="213" spans="1:112" ht="56.25">
      <c r="A213" s="1326" t="s">
        <v>2218</v>
      </c>
      <c r="B213" s="1326" t="s">
        <v>1697</v>
      </c>
      <c r="C213" s="1326" t="s">
        <v>2559</v>
      </c>
      <c r="D213" s="1326" t="s">
        <v>2560</v>
      </c>
      <c r="E213" s="1326" t="s">
        <v>141</v>
      </c>
      <c r="F213" s="1326" t="s">
        <v>2539</v>
      </c>
      <c r="G213" s="1326" t="s">
        <v>2540</v>
      </c>
      <c r="H213" s="1326" t="s">
        <v>2541</v>
      </c>
      <c r="I213" s="1326" t="s">
        <v>718</v>
      </c>
      <c r="J213" s="1326" t="s">
        <v>2160</v>
      </c>
      <c r="K213" s="1326" t="s">
        <v>2060</v>
      </c>
      <c r="L213" s="1326" t="s">
        <v>2061</v>
      </c>
      <c r="M213" s="1683">
        <v>835464</v>
      </c>
      <c r="N213" s="1683">
        <v>0</v>
      </c>
      <c r="O213" s="1683">
        <v>835464</v>
      </c>
      <c r="P213" s="1683">
        <v>835464</v>
      </c>
      <c r="Q213" s="1683">
        <v>710144</v>
      </c>
      <c r="R213" s="1683">
        <v>710144</v>
      </c>
      <c r="S213" s="1683">
        <v>0</v>
      </c>
      <c r="T213" s="1683">
        <v>125320</v>
      </c>
      <c r="U213" s="1683">
        <v>62660</v>
      </c>
      <c r="V213" s="1683">
        <v>62660</v>
      </c>
      <c r="W213" s="1683">
        <v>0</v>
      </c>
      <c r="X213" s="1683">
        <v>0</v>
      </c>
      <c r="Y213" s="1682"/>
      <c r="Z213" s="1326"/>
      <c r="AA213" s="1683">
        <v>0</v>
      </c>
      <c r="AB213" s="1683">
        <v>0</v>
      </c>
      <c r="AC213" s="1683">
        <v>0</v>
      </c>
      <c r="AD213" s="1682"/>
      <c r="AE213" s="1326"/>
      <c r="AF213" s="1326"/>
      <c r="AG213" s="1410"/>
      <c r="AH213" s="1683">
        <v>633673.49</v>
      </c>
      <c r="AI213" s="1683">
        <v>805195.33</v>
      </c>
      <c r="AJ213" s="1683">
        <v>710144</v>
      </c>
      <c r="AK213" s="1683">
        <v>710144</v>
      </c>
      <c r="AL213" s="1683">
        <v>0</v>
      </c>
      <c r="AM213" s="1682"/>
      <c r="AN213" s="1683">
        <v>633673.49</v>
      </c>
      <c r="AO213" s="1683">
        <v>633673.49</v>
      </c>
      <c r="AP213" s="1683">
        <v>538622.16</v>
      </c>
      <c r="AQ213" s="1683">
        <v>538622.16</v>
      </c>
      <c r="AR213" s="1683">
        <v>0</v>
      </c>
      <c r="AS213" s="1683">
        <v>95051.33</v>
      </c>
      <c r="AT213" s="1683">
        <v>47525.66</v>
      </c>
      <c r="AU213" s="1683">
        <v>47525.67</v>
      </c>
      <c r="AV213" s="1683">
        <v>0</v>
      </c>
      <c r="AW213" s="1683">
        <v>0</v>
      </c>
      <c r="AX213" s="1683">
        <v>0</v>
      </c>
      <c r="AY213" s="1683">
        <v>0</v>
      </c>
      <c r="AZ213" s="1683">
        <v>0</v>
      </c>
      <c r="BA213" s="1682"/>
      <c r="BB213" s="1682"/>
      <c r="BC213" s="1683">
        <v>0</v>
      </c>
      <c r="BD213" s="1683">
        <v>0</v>
      </c>
      <c r="BE213" s="1683">
        <v>633673.49</v>
      </c>
      <c r="BF213" s="1683">
        <v>633673.49</v>
      </c>
      <c r="BG213" s="1683">
        <v>538622.16</v>
      </c>
      <c r="BH213" s="1683">
        <v>538622.16</v>
      </c>
      <c r="BI213" s="1683">
        <v>0</v>
      </c>
      <c r="BJ213" s="1683">
        <v>95051.33</v>
      </c>
      <c r="BK213" s="1683">
        <v>47525.66</v>
      </c>
      <c r="BL213" s="1683">
        <v>47525.67</v>
      </c>
      <c r="BM213" s="1683">
        <v>0</v>
      </c>
      <c r="BN213" s="1683">
        <v>0</v>
      </c>
      <c r="BO213" s="1682"/>
      <c r="BP213" s="1683">
        <v>633673.49</v>
      </c>
      <c r="BQ213" s="1683">
        <v>633673.49</v>
      </c>
      <c r="BR213" s="1683">
        <v>538622.16</v>
      </c>
      <c r="BS213" s="1683">
        <v>538622.16</v>
      </c>
      <c r="BT213" s="1683">
        <v>0</v>
      </c>
      <c r="BU213" s="1683">
        <v>95051.33</v>
      </c>
      <c r="BV213" s="1683">
        <v>47525.66</v>
      </c>
      <c r="BW213" s="1683">
        <v>0</v>
      </c>
      <c r="BX213" s="1683">
        <v>0</v>
      </c>
      <c r="BY213" s="1683">
        <v>0</v>
      </c>
      <c r="BZ213" s="1683">
        <v>0</v>
      </c>
      <c r="CA213" s="1683">
        <v>0</v>
      </c>
      <c r="CB213" s="1682"/>
      <c r="CC213" s="1682"/>
      <c r="CD213" s="1683">
        <v>0</v>
      </c>
      <c r="CE213" s="1683">
        <v>0</v>
      </c>
      <c r="CF213" s="1683">
        <v>0</v>
      </c>
      <c r="CG213" s="1683">
        <v>0</v>
      </c>
      <c r="CH213" s="1683">
        <v>0</v>
      </c>
      <c r="CI213" s="1683">
        <v>0</v>
      </c>
      <c r="CJ213" s="1683">
        <v>0</v>
      </c>
      <c r="CK213" s="1683">
        <v>0</v>
      </c>
      <c r="CL213" s="1682"/>
      <c r="CM213" s="1683">
        <v>0</v>
      </c>
      <c r="CN213" s="1683">
        <v>0</v>
      </c>
      <c r="CO213" s="1683">
        <v>0</v>
      </c>
      <c r="CP213" s="1683">
        <v>0</v>
      </c>
      <c r="CQ213" s="1683">
        <v>0</v>
      </c>
      <c r="CR213" s="1683">
        <v>0</v>
      </c>
      <c r="CS213" s="1683">
        <v>0</v>
      </c>
      <c r="CT213" s="1683">
        <v>0</v>
      </c>
      <c r="CU213" s="1683">
        <v>0</v>
      </c>
      <c r="CV213" s="1683">
        <v>0</v>
      </c>
      <c r="CW213" s="1682"/>
      <c r="CX213" s="1683">
        <v>0</v>
      </c>
      <c r="CY213" s="1683">
        <v>0</v>
      </c>
      <c r="CZ213" s="1683">
        <v>0</v>
      </c>
      <c r="DA213" s="1683">
        <v>0</v>
      </c>
      <c r="DB213" s="1682"/>
      <c r="DC213" s="1326"/>
      <c r="DD213" s="1683">
        <v>0</v>
      </c>
      <c r="DE213" s="1683">
        <v>0</v>
      </c>
      <c r="DF213" s="1683">
        <v>0</v>
      </c>
      <c r="DG213" s="1683">
        <v>0</v>
      </c>
      <c r="DH213" s="1683">
        <v>0</v>
      </c>
    </row>
    <row r="214" spans="1:112" ht="56.25">
      <c r="A214" s="1326" t="s">
        <v>2219</v>
      </c>
      <c r="B214" s="1326" t="s">
        <v>1697</v>
      </c>
      <c r="C214" s="1326" t="s">
        <v>2559</v>
      </c>
      <c r="D214" s="1326" t="s">
        <v>2560</v>
      </c>
      <c r="E214" s="1326" t="s">
        <v>141</v>
      </c>
      <c r="F214" s="1326" t="s">
        <v>2539</v>
      </c>
      <c r="G214" s="1326" t="s">
        <v>2540</v>
      </c>
      <c r="H214" s="1326" t="s">
        <v>2541</v>
      </c>
      <c r="I214" s="1326" t="s">
        <v>718</v>
      </c>
      <c r="J214" s="1326" t="s">
        <v>2160</v>
      </c>
      <c r="K214" s="1326" t="s">
        <v>2060</v>
      </c>
      <c r="L214" s="1326" t="s">
        <v>2061</v>
      </c>
      <c r="M214" s="1400"/>
      <c r="N214" s="1400"/>
      <c r="O214" s="1400"/>
      <c r="P214" s="1400"/>
      <c r="Q214" s="1400"/>
      <c r="R214" s="1400"/>
      <c r="S214" s="1400"/>
      <c r="T214" s="1400"/>
      <c r="U214" s="1400"/>
      <c r="V214" s="1400"/>
      <c r="W214" s="1400"/>
      <c r="X214" s="1400"/>
      <c r="Y214" s="1685">
        <v>43062</v>
      </c>
      <c r="Z214" s="1326" t="s">
        <v>2062</v>
      </c>
      <c r="AA214" s="1683">
        <v>0</v>
      </c>
      <c r="AB214" s="1683">
        <v>0</v>
      </c>
      <c r="AC214" s="1683">
        <v>0</v>
      </c>
      <c r="AD214" s="1685">
        <v>43091</v>
      </c>
      <c r="AE214" s="1326" t="s">
        <v>2073</v>
      </c>
      <c r="AF214" s="1326" t="s">
        <v>2067</v>
      </c>
      <c r="AG214" s="1410"/>
      <c r="AH214" s="1683">
        <v>167369.53</v>
      </c>
      <c r="AI214" s="1683">
        <v>167369.53</v>
      </c>
      <c r="AJ214" s="1683">
        <v>142264.01999999999</v>
      </c>
      <c r="AK214" s="1683">
        <v>142264.01999999999</v>
      </c>
      <c r="AL214" s="1683">
        <v>0</v>
      </c>
      <c r="AM214" s="1685">
        <v>43130</v>
      </c>
      <c r="AN214" s="1683">
        <v>167369.53</v>
      </c>
      <c r="AO214" s="1683">
        <v>167369.53</v>
      </c>
      <c r="AP214" s="1683">
        <v>142264.01999999999</v>
      </c>
      <c r="AQ214" s="1683">
        <v>142264.01999999999</v>
      </c>
      <c r="AR214" s="1683">
        <v>0</v>
      </c>
      <c r="AS214" s="1683">
        <v>25105.51</v>
      </c>
      <c r="AT214" s="1683">
        <v>12552.75</v>
      </c>
      <c r="AU214" s="1683">
        <v>12552.76</v>
      </c>
      <c r="AV214" s="1683">
        <v>0</v>
      </c>
      <c r="AW214" s="1683">
        <v>0</v>
      </c>
      <c r="AX214" s="1400"/>
      <c r="AY214" s="1400"/>
      <c r="AZ214" s="1400"/>
      <c r="BA214" s="1682"/>
      <c r="BB214" s="1682"/>
      <c r="BC214" s="1400"/>
      <c r="BD214" s="1400"/>
      <c r="BE214" s="1683">
        <v>167369.53</v>
      </c>
      <c r="BF214" s="1683">
        <v>167369.53</v>
      </c>
      <c r="BG214" s="1683">
        <v>142264.01999999999</v>
      </c>
      <c r="BH214" s="1683">
        <v>142264.01999999999</v>
      </c>
      <c r="BI214" s="1683">
        <v>0</v>
      </c>
      <c r="BJ214" s="1683">
        <v>25105.51</v>
      </c>
      <c r="BK214" s="1683">
        <v>12552.75</v>
      </c>
      <c r="BL214" s="1683">
        <v>12552.76</v>
      </c>
      <c r="BM214" s="1683">
        <v>0</v>
      </c>
      <c r="BN214" s="1683">
        <v>0</v>
      </c>
      <c r="BO214" s="1685">
        <v>43364</v>
      </c>
      <c r="BP214" s="1683">
        <v>167369.53</v>
      </c>
      <c r="BQ214" s="1683">
        <v>167369.53</v>
      </c>
      <c r="BR214" s="1683">
        <v>142264.01999999999</v>
      </c>
      <c r="BS214" s="1683">
        <v>142264.01999999999</v>
      </c>
      <c r="BT214" s="1683">
        <v>0</v>
      </c>
      <c r="BU214" s="1683">
        <v>25105.51</v>
      </c>
      <c r="BV214" s="1683">
        <v>12552.75</v>
      </c>
      <c r="BW214" s="1683">
        <v>0</v>
      </c>
      <c r="BX214" s="1683">
        <v>0</v>
      </c>
      <c r="BY214" s="1683">
        <v>0</v>
      </c>
      <c r="BZ214" s="1683">
        <v>0</v>
      </c>
      <c r="CA214" s="1400"/>
      <c r="CB214" s="1682"/>
      <c r="CC214" s="1682"/>
      <c r="CD214" s="1400"/>
      <c r="CE214" s="1400"/>
      <c r="CF214" s="1683">
        <v>0</v>
      </c>
      <c r="CG214" s="1683">
        <v>0</v>
      </c>
      <c r="CH214" s="1683">
        <v>0</v>
      </c>
      <c r="CI214" s="1683">
        <v>0</v>
      </c>
      <c r="CJ214" s="1683">
        <v>0</v>
      </c>
      <c r="CK214" s="1683">
        <v>0</v>
      </c>
      <c r="CL214" s="1682"/>
      <c r="CM214" s="1683">
        <v>0</v>
      </c>
      <c r="CN214" s="1683">
        <v>0</v>
      </c>
      <c r="CO214" s="1683">
        <v>0</v>
      </c>
      <c r="CP214" s="1683">
        <v>0</v>
      </c>
      <c r="CQ214" s="1683">
        <v>0</v>
      </c>
      <c r="CR214" s="1683">
        <v>0</v>
      </c>
      <c r="CS214" s="1683">
        <v>0</v>
      </c>
      <c r="CT214" s="1683">
        <v>0</v>
      </c>
      <c r="CU214" s="1683">
        <v>0</v>
      </c>
      <c r="CV214" s="1683">
        <v>0</v>
      </c>
      <c r="CW214" s="1682"/>
      <c r="CX214" s="1400"/>
      <c r="CY214" s="1400"/>
      <c r="CZ214" s="1400"/>
      <c r="DA214" s="1400"/>
      <c r="DB214" s="1682"/>
      <c r="DC214" s="1326"/>
      <c r="DD214" s="1683">
        <v>0</v>
      </c>
      <c r="DE214" s="1400"/>
      <c r="DF214" s="1400"/>
      <c r="DG214" s="1683">
        <v>0</v>
      </c>
      <c r="DH214" s="1683">
        <v>0</v>
      </c>
    </row>
    <row r="215" spans="1:112" ht="56.25">
      <c r="A215" s="1326" t="s">
        <v>2220</v>
      </c>
      <c r="B215" s="1326" t="s">
        <v>1697</v>
      </c>
      <c r="C215" s="1326" t="s">
        <v>2559</v>
      </c>
      <c r="D215" s="1326" t="s">
        <v>2560</v>
      </c>
      <c r="E215" s="1326" t="s">
        <v>141</v>
      </c>
      <c r="F215" s="1326" t="s">
        <v>2539</v>
      </c>
      <c r="G215" s="1326" t="s">
        <v>2540</v>
      </c>
      <c r="H215" s="1326" t="s">
        <v>2541</v>
      </c>
      <c r="I215" s="1326" t="s">
        <v>718</v>
      </c>
      <c r="J215" s="1326" t="s">
        <v>2160</v>
      </c>
      <c r="K215" s="1326" t="s">
        <v>2060</v>
      </c>
      <c r="L215" s="1326" t="s">
        <v>2061</v>
      </c>
      <c r="M215" s="1400"/>
      <c r="N215" s="1400"/>
      <c r="O215" s="1400"/>
      <c r="P215" s="1400"/>
      <c r="Q215" s="1400"/>
      <c r="R215" s="1400"/>
      <c r="S215" s="1400"/>
      <c r="T215" s="1400"/>
      <c r="U215" s="1400"/>
      <c r="V215" s="1400"/>
      <c r="W215" s="1400"/>
      <c r="X215" s="1400"/>
      <c r="Y215" s="1685">
        <v>43084</v>
      </c>
      <c r="Z215" s="1326" t="s">
        <v>2062</v>
      </c>
      <c r="AA215" s="1683">
        <v>0</v>
      </c>
      <c r="AB215" s="1683">
        <v>0</v>
      </c>
      <c r="AC215" s="1683">
        <v>0</v>
      </c>
      <c r="AD215" s="1685">
        <v>43097</v>
      </c>
      <c r="AE215" s="1326" t="s">
        <v>2063</v>
      </c>
      <c r="AF215" s="1326" t="s">
        <v>2067</v>
      </c>
      <c r="AG215" s="1410"/>
      <c r="AH215" s="1683">
        <v>266567.36</v>
      </c>
      <c r="AI215" s="1683">
        <v>266567.36</v>
      </c>
      <c r="AJ215" s="1683">
        <v>226582.13</v>
      </c>
      <c r="AK215" s="1683">
        <v>226582.13</v>
      </c>
      <c r="AL215" s="1683">
        <v>0</v>
      </c>
      <c r="AM215" s="1685">
        <v>43130</v>
      </c>
      <c r="AN215" s="1683">
        <v>266567.36</v>
      </c>
      <c r="AO215" s="1683">
        <v>266567.36</v>
      </c>
      <c r="AP215" s="1683">
        <v>226582.13</v>
      </c>
      <c r="AQ215" s="1683">
        <v>226582.13</v>
      </c>
      <c r="AR215" s="1683">
        <v>0</v>
      </c>
      <c r="AS215" s="1683">
        <v>39985.230000000003</v>
      </c>
      <c r="AT215" s="1683">
        <v>19992.62</v>
      </c>
      <c r="AU215" s="1683">
        <v>19992.61</v>
      </c>
      <c r="AV215" s="1683">
        <v>0</v>
      </c>
      <c r="AW215" s="1683">
        <v>0</v>
      </c>
      <c r="AX215" s="1400"/>
      <c r="AY215" s="1400"/>
      <c r="AZ215" s="1400"/>
      <c r="BA215" s="1682"/>
      <c r="BB215" s="1682"/>
      <c r="BC215" s="1400"/>
      <c r="BD215" s="1400"/>
      <c r="BE215" s="1683">
        <v>266567.36</v>
      </c>
      <c r="BF215" s="1683">
        <v>266567.36</v>
      </c>
      <c r="BG215" s="1683">
        <v>226582.13</v>
      </c>
      <c r="BH215" s="1683">
        <v>226582.13</v>
      </c>
      <c r="BI215" s="1683">
        <v>0</v>
      </c>
      <c r="BJ215" s="1683">
        <v>39985.230000000003</v>
      </c>
      <c r="BK215" s="1683">
        <v>19992.62</v>
      </c>
      <c r="BL215" s="1683">
        <v>19992.61</v>
      </c>
      <c r="BM215" s="1683">
        <v>0</v>
      </c>
      <c r="BN215" s="1683">
        <v>0</v>
      </c>
      <c r="BO215" s="1685">
        <v>43364</v>
      </c>
      <c r="BP215" s="1683">
        <v>266567.36</v>
      </c>
      <c r="BQ215" s="1683">
        <v>266567.36</v>
      </c>
      <c r="BR215" s="1683">
        <v>226582.13</v>
      </c>
      <c r="BS215" s="1683">
        <v>226582.13</v>
      </c>
      <c r="BT215" s="1683">
        <v>0</v>
      </c>
      <c r="BU215" s="1683">
        <v>39985.230000000003</v>
      </c>
      <c r="BV215" s="1683">
        <v>19992.62</v>
      </c>
      <c r="BW215" s="1683">
        <v>0</v>
      </c>
      <c r="BX215" s="1683">
        <v>0</v>
      </c>
      <c r="BY215" s="1683">
        <v>0</v>
      </c>
      <c r="BZ215" s="1683">
        <v>0</v>
      </c>
      <c r="CA215" s="1400"/>
      <c r="CB215" s="1682"/>
      <c r="CC215" s="1682"/>
      <c r="CD215" s="1400"/>
      <c r="CE215" s="1400"/>
      <c r="CF215" s="1683">
        <v>0</v>
      </c>
      <c r="CG215" s="1683">
        <v>0</v>
      </c>
      <c r="CH215" s="1683">
        <v>0</v>
      </c>
      <c r="CI215" s="1683">
        <v>0</v>
      </c>
      <c r="CJ215" s="1683">
        <v>0</v>
      </c>
      <c r="CK215" s="1683">
        <v>0</v>
      </c>
      <c r="CL215" s="1682"/>
      <c r="CM215" s="1683">
        <v>0</v>
      </c>
      <c r="CN215" s="1683">
        <v>0</v>
      </c>
      <c r="CO215" s="1683">
        <v>0</v>
      </c>
      <c r="CP215" s="1683">
        <v>0</v>
      </c>
      <c r="CQ215" s="1683">
        <v>0</v>
      </c>
      <c r="CR215" s="1683">
        <v>0</v>
      </c>
      <c r="CS215" s="1683">
        <v>0</v>
      </c>
      <c r="CT215" s="1683">
        <v>0</v>
      </c>
      <c r="CU215" s="1683">
        <v>0</v>
      </c>
      <c r="CV215" s="1683">
        <v>0</v>
      </c>
      <c r="CW215" s="1682"/>
      <c r="CX215" s="1400"/>
      <c r="CY215" s="1400"/>
      <c r="CZ215" s="1400"/>
      <c r="DA215" s="1400"/>
      <c r="DB215" s="1682"/>
      <c r="DC215" s="1326"/>
      <c r="DD215" s="1683">
        <v>0</v>
      </c>
      <c r="DE215" s="1400"/>
      <c r="DF215" s="1400"/>
      <c r="DG215" s="1683">
        <v>0</v>
      </c>
      <c r="DH215" s="1683">
        <v>0</v>
      </c>
    </row>
    <row r="216" spans="1:112" ht="56.25">
      <c r="A216" s="1326" t="s">
        <v>2221</v>
      </c>
      <c r="B216" s="1326" t="s">
        <v>1697</v>
      </c>
      <c r="C216" s="1326" t="s">
        <v>2559</v>
      </c>
      <c r="D216" s="1326" t="s">
        <v>2560</v>
      </c>
      <c r="E216" s="1326" t="s">
        <v>141</v>
      </c>
      <c r="F216" s="1326" t="s">
        <v>2539</v>
      </c>
      <c r="G216" s="1326" t="s">
        <v>2540</v>
      </c>
      <c r="H216" s="1326" t="s">
        <v>2541</v>
      </c>
      <c r="I216" s="1326" t="s">
        <v>718</v>
      </c>
      <c r="J216" s="1326" t="s">
        <v>2160</v>
      </c>
      <c r="K216" s="1326" t="s">
        <v>2060</v>
      </c>
      <c r="L216" s="1326" t="s">
        <v>2061</v>
      </c>
      <c r="M216" s="1400"/>
      <c r="N216" s="1400"/>
      <c r="O216" s="1400"/>
      <c r="P216" s="1400"/>
      <c r="Q216" s="1400"/>
      <c r="R216" s="1400"/>
      <c r="S216" s="1400"/>
      <c r="T216" s="1400"/>
      <c r="U216" s="1400"/>
      <c r="V216" s="1400"/>
      <c r="W216" s="1400"/>
      <c r="X216" s="1400"/>
      <c r="Y216" s="1685">
        <v>43174</v>
      </c>
      <c r="Z216" s="1326" t="s">
        <v>2062</v>
      </c>
      <c r="AA216" s="1683">
        <v>0</v>
      </c>
      <c r="AB216" s="1683">
        <v>0</v>
      </c>
      <c r="AC216" s="1683">
        <v>0</v>
      </c>
      <c r="AD216" s="1685">
        <v>43208</v>
      </c>
      <c r="AE216" s="1326" t="s">
        <v>2066</v>
      </c>
      <c r="AF216" s="1326" t="s">
        <v>2064</v>
      </c>
      <c r="AG216" s="1410"/>
      <c r="AH216" s="1683">
        <v>4999.99</v>
      </c>
      <c r="AI216" s="1683">
        <v>4999.99</v>
      </c>
      <c r="AJ216" s="1683">
        <v>4249.99</v>
      </c>
      <c r="AK216" s="1683">
        <v>4249.99</v>
      </c>
      <c r="AL216" s="1683">
        <v>0</v>
      </c>
      <c r="AM216" s="1685">
        <v>43208</v>
      </c>
      <c r="AN216" s="1683">
        <v>4999.99</v>
      </c>
      <c r="AO216" s="1683">
        <v>4999.99</v>
      </c>
      <c r="AP216" s="1683">
        <v>4249.99</v>
      </c>
      <c r="AQ216" s="1683">
        <v>4249.99</v>
      </c>
      <c r="AR216" s="1683">
        <v>0</v>
      </c>
      <c r="AS216" s="1683">
        <v>750</v>
      </c>
      <c r="AT216" s="1683">
        <v>375</v>
      </c>
      <c r="AU216" s="1683">
        <v>375</v>
      </c>
      <c r="AV216" s="1683">
        <v>0</v>
      </c>
      <c r="AW216" s="1683">
        <v>0</v>
      </c>
      <c r="AX216" s="1400"/>
      <c r="AY216" s="1400"/>
      <c r="AZ216" s="1400"/>
      <c r="BA216" s="1682"/>
      <c r="BB216" s="1682"/>
      <c r="BC216" s="1400"/>
      <c r="BD216" s="1400"/>
      <c r="BE216" s="1683">
        <v>4999.99</v>
      </c>
      <c r="BF216" s="1683">
        <v>4999.99</v>
      </c>
      <c r="BG216" s="1683">
        <v>4249.99</v>
      </c>
      <c r="BH216" s="1683">
        <v>4249.99</v>
      </c>
      <c r="BI216" s="1683">
        <v>0</v>
      </c>
      <c r="BJ216" s="1683">
        <v>750</v>
      </c>
      <c r="BK216" s="1683">
        <v>375</v>
      </c>
      <c r="BL216" s="1683">
        <v>375</v>
      </c>
      <c r="BM216" s="1683">
        <v>0</v>
      </c>
      <c r="BN216" s="1683">
        <v>0</v>
      </c>
      <c r="BO216" s="1685">
        <v>43364</v>
      </c>
      <c r="BP216" s="1683">
        <v>4999.99</v>
      </c>
      <c r="BQ216" s="1683">
        <v>4999.99</v>
      </c>
      <c r="BR216" s="1683">
        <v>4249.99</v>
      </c>
      <c r="BS216" s="1683">
        <v>4249.99</v>
      </c>
      <c r="BT216" s="1683">
        <v>0</v>
      </c>
      <c r="BU216" s="1683">
        <v>750</v>
      </c>
      <c r="BV216" s="1683">
        <v>375</v>
      </c>
      <c r="BW216" s="1683">
        <v>0</v>
      </c>
      <c r="BX216" s="1683">
        <v>0</v>
      </c>
      <c r="BY216" s="1683">
        <v>0</v>
      </c>
      <c r="BZ216" s="1683">
        <v>0</v>
      </c>
      <c r="CA216" s="1400"/>
      <c r="CB216" s="1682"/>
      <c r="CC216" s="1682"/>
      <c r="CD216" s="1400"/>
      <c r="CE216" s="1400"/>
      <c r="CF216" s="1683">
        <v>0</v>
      </c>
      <c r="CG216" s="1683">
        <v>0</v>
      </c>
      <c r="CH216" s="1683">
        <v>0</v>
      </c>
      <c r="CI216" s="1683">
        <v>0</v>
      </c>
      <c r="CJ216" s="1683">
        <v>0</v>
      </c>
      <c r="CK216" s="1683">
        <v>0</v>
      </c>
      <c r="CL216" s="1682"/>
      <c r="CM216" s="1683">
        <v>0</v>
      </c>
      <c r="CN216" s="1683">
        <v>0</v>
      </c>
      <c r="CO216" s="1683">
        <v>0</v>
      </c>
      <c r="CP216" s="1683">
        <v>0</v>
      </c>
      <c r="CQ216" s="1683">
        <v>0</v>
      </c>
      <c r="CR216" s="1683">
        <v>0</v>
      </c>
      <c r="CS216" s="1683">
        <v>0</v>
      </c>
      <c r="CT216" s="1683">
        <v>0</v>
      </c>
      <c r="CU216" s="1683">
        <v>0</v>
      </c>
      <c r="CV216" s="1683">
        <v>0</v>
      </c>
      <c r="CW216" s="1682"/>
      <c r="CX216" s="1400"/>
      <c r="CY216" s="1400"/>
      <c r="CZ216" s="1400"/>
      <c r="DA216" s="1400"/>
      <c r="DB216" s="1682"/>
      <c r="DC216" s="1326"/>
      <c r="DD216" s="1683">
        <v>0</v>
      </c>
      <c r="DE216" s="1400"/>
      <c r="DF216" s="1400"/>
      <c r="DG216" s="1683">
        <v>0</v>
      </c>
      <c r="DH216" s="1683">
        <v>0</v>
      </c>
    </row>
    <row r="217" spans="1:112" ht="56.25">
      <c r="A217" s="1326" t="s">
        <v>2222</v>
      </c>
      <c r="B217" s="1326" t="s">
        <v>1697</v>
      </c>
      <c r="C217" s="1326" t="s">
        <v>2559</v>
      </c>
      <c r="D217" s="1326" t="s">
        <v>2560</v>
      </c>
      <c r="E217" s="1326" t="s">
        <v>141</v>
      </c>
      <c r="F217" s="1326" t="s">
        <v>2539</v>
      </c>
      <c r="G217" s="1326" t="s">
        <v>2540</v>
      </c>
      <c r="H217" s="1326" t="s">
        <v>2541</v>
      </c>
      <c r="I217" s="1326" t="s">
        <v>718</v>
      </c>
      <c r="J217" s="1326" t="s">
        <v>2160</v>
      </c>
      <c r="K217" s="1326" t="s">
        <v>2060</v>
      </c>
      <c r="L217" s="1326" t="s">
        <v>2061</v>
      </c>
      <c r="M217" s="1400"/>
      <c r="N217" s="1400"/>
      <c r="O217" s="1400"/>
      <c r="P217" s="1400"/>
      <c r="Q217" s="1400"/>
      <c r="R217" s="1400"/>
      <c r="S217" s="1400"/>
      <c r="T217" s="1400"/>
      <c r="U217" s="1400"/>
      <c r="V217" s="1400"/>
      <c r="W217" s="1400"/>
      <c r="X217" s="1400"/>
      <c r="Y217" s="1685">
        <v>43269</v>
      </c>
      <c r="Z217" s="1326" t="s">
        <v>2062</v>
      </c>
      <c r="AA217" s="1683">
        <v>0</v>
      </c>
      <c r="AB217" s="1683">
        <v>0</v>
      </c>
      <c r="AC217" s="1683">
        <v>0</v>
      </c>
      <c r="AD217" s="1685">
        <v>43335</v>
      </c>
      <c r="AE217" s="1326" t="s">
        <v>2079</v>
      </c>
      <c r="AF217" s="1326" t="s">
        <v>2067</v>
      </c>
      <c r="AG217" s="1410"/>
      <c r="AH217" s="1683">
        <v>144672.89000000001</v>
      </c>
      <c r="AI217" s="1683">
        <v>144672.89000000001</v>
      </c>
      <c r="AJ217" s="1683">
        <v>122971.89</v>
      </c>
      <c r="AK217" s="1683">
        <v>122971.89</v>
      </c>
      <c r="AL217" s="1683">
        <v>0</v>
      </c>
      <c r="AM217" s="1685">
        <v>43341</v>
      </c>
      <c r="AN217" s="1683">
        <v>144672.89000000001</v>
      </c>
      <c r="AO217" s="1683">
        <v>144672.89000000001</v>
      </c>
      <c r="AP217" s="1683">
        <v>122971.89</v>
      </c>
      <c r="AQ217" s="1683">
        <v>122971.89</v>
      </c>
      <c r="AR217" s="1683">
        <v>0</v>
      </c>
      <c r="AS217" s="1683">
        <v>21701</v>
      </c>
      <c r="AT217" s="1683">
        <v>10850.5</v>
      </c>
      <c r="AU217" s="1683">
        <v>10850.5</v>
      </c>
      <c r="AV217" s="1683">
        <v>0</v>
      </c>
      <c r="AW217" s="1683">
        <v>0</v>
      </c>
      <c r="AX217" s="1400"/>
      <c r="AY217" s="1400"/>
      <c r="AZ217" s="1400"/>
      <c r="BA217" s="1682"/>
      <c r="BB217" s="1682"/>
      <c r="BC217" s="1400"/>
      <c r="BD217" s="1400"/>
      <c r="BE217" s="1683">
        <v>144672.89000000001</v>
      </c>
      <c r="BF217" s="1683">
        <v>144672.89000000001</v>
      </c>
      <c r="BG217" s="1683">
        <v>122971.89</v>
      </c>
      <c r="BH217" s="1683">
        <v>122971.89</v>
      </c>
      <c r="BI217" s="1683">
        <v>0</v>
      </c>
      <c r="BJ217" s="1683">
        <v>21701</v>
      </c>
      <c r="BK217" s="1683">
        <v>10850.5</v>
      </c>
      <c r="BL217" s="1683">
        <v>10850.5</v>
      </c>
      <c r="BM217" s="1683">
        <v>0</v>
      </c>
      <c r="BN217" s="1683">
        <v>0</v>
      </c>
      <c r="BO217" s="1685">
        <v>43403</v>
      </c>
      <c r="BP217" s="1683">
        <v>144672.89000000001</v>
      </c>
      <c r="BQ217" s="1683">
        <v>144672.89000000001</v>
      </c>
      <c r="BR217" s="1683">
        <v>122971.89</v>
      </c>
      <c r="BS217" s="1683">
        <v>122971.89</v>
      </c>
      <c r="BT217" s="1683">
        <v>0</v>
      </c>
      <c r="BU217" s="1683">
        <v>21701</v>
      </c>
      <c r="BV217" s="1683">
        <v>10850.5</v>
      </c>
      <c r="BW217" s="1683">
        <v>0</v>
      </c>
      <c r="BX217" s="1683">
        <v>0</v>
      </c>
      <c r="BY217" s="1683">
        <v>0</v>
      </c>
      <c r="BZ217" s="1683">
        <v>0</v>
      </c>
      <c r="CA217" s="1400"/>
      <c r="CB217" s="1682"/>
      <c r="CC217" s="1682"/>
      <c r="CD217" s="1400"/>
      <c r="CE217" s="1400"/>
      <c r="CF217" s="1683">
        <v>0</v>
      </c>
      <c r="CG217" s="1683">
        <v>0</v>
      </c>
      <c r="CH217" s="1683">
        <v>0</v>
      </c>
      <c r="CI217" s="1683">
        <v>0</v>
      </c>
      <c r="CJ217" s="1683">
        <v>0</v>
      </c>
      <c r="CK217" s="1683">
        <v>0</v>
      </c>
      <c r="CL217" s="1682"/>
      <c r="CM217" s="1683">
        <v>0</v>
      </c>
      <c r="CN217" s="1683">
        <v>0</v>
      </c>
      <c r="CO217" s="1683">
        <v>0</v>
      </c>
      <c r="CP217" s="1683">
        <v>0</v>
      </c>
      <c r="CQ217" s="1683">
        <v>0</v>
      </c>
      <c r="CR217" s="1683">
        <v>0</v>
      </c>
      <c r="CS217" s="1683">
        <v>0</v>
      </c>
      <c r="CT217" s="1683">
        <v>0</v>
      </c>
      <c r="CU217" s="1683">
        <v>0</v>
      </c>
      <c r="CV217" s="1683">
        <v>0</v>
      </c>
      <c r="CW217" s="1682"/>
      <c r="CX217" s="1400"/>
      <c r="CY217" s="1400"/>
      <c r="CZ217" s="1400"/>
      <c r="DA217" s="1400"/>
      <c r="DB217" s="1682"/>
      <c r="DC217" s="1326"/>
      <c r="DD217" s="1683">
        <v>0</v>
      </c>
      <c r="DE217" s="1400"/>
      <c r="DF217" s="1400"/>
      <c r="DG217" s="1683">
        <v>0</v>
      </c>
      <c r="DH217" s="1683">
        <v>0</v>
      </c>
    </row>
    <row r="218" spans="1:112" ht="56.25">
      <c r="A218" s="1326" t="s">
        <v>2223</v>
      </c>
      <c r="B218" s="1326" t="s">
        <v>1697</v>
      </c>
      <c r="C218" s="1326" t="s">
        <v>2559</v>
      </c>
      <c r="D218" s="1326" t="s">
        <v>2560</v>
      </c>
      <c r="E218" s="1326" t="s">
        <v>141</v>
      </c>
      <c r="F218" s="1326" t="s">
        <v>2539</v>
      </c>
      <c r="G218" s="1326" t="s">
        <v>2540</v>
      </c>
      <c r="H218" s="1326" t="s">
        <v>2541</v>
      </c>
      <c r="I218" s="1326" t="s">
        <v>718</v>
      </c>
      <c r="J218" s="1326" t="s">
        <v>2160</v>
      </c>
      <c r="K218" s="1326" t="s">
        <v>2060</v>
      </c>
      <c r="L218" s="1326" t="s">
        <v>2061</v>
      </c>
      <c r="M218" s="1400"/>
      <c r="N218" s="1400"/>
      <c r="O218" s="1400"/>
      <c r="P218" s="1400"/>
      <c r="Q218" s="1400"/>
      <c r="R218" s="1400"/>
      <c r="S218" s="1400"/>
      <c r="T218" s="1400"/>
      <c r="U218" s="1400"/>
      <c r="V218" s="1400"/>
      <c r="W218" s="1400"/>
      <c r="X218" s="1400"/>
      <c r="Y218" s="1685">
        <v>43360</v>
      </c>
      <c r="Z218" s="1326" t="s">
        <v>2062</v>
      </c>
      <c r="AA218" s="1683">
        <v>0</v>
      </c>
      <c r="AB218" s="1683">
        <v>0</v>
      </c>
      <c r="AC218" s="1683">
        <v>0</v>
      </c>
      <c r="AD218" s="1685">
        <v>43399</v>
      </c>
      <c r="AE218" s="1326" t="s">
        <v>2080</v>
      </c>
      <c r="AF218" s="1326" t="s">
        <v>2067</v>
      </c>
      <c r="AG218" s="1410"/>
      <c r="AH218" s="1683">
        <v>50063.72</v>
      </c>
      <c r="AI218" s="1683">
        <v>50063.72</v>
      </c>
      <c r="AJ218" s="1683">
        <v>42554.13</v>
      </c>
      <c r="AK218" s="1683">
        <v>42554.13</v>
      </c>
      <c r="AL218" s="1683">
        <v>0</v>
      </c>
      <c r="AM218" s="1685">
        <v>43409</v>
      </c>
      <c r="AN218" s="1683">
        <v>50063.72</v>
      </c>
      <c r="AO218" s="1683">
        <v>50063.72</v>
      </c>
      <c r="AP218" s="1683">
        <v>42554.13</v>
      </c>
      <c r="AQ218" s="1683">
        <v>42554.13</v>
      </c>
      <c r="AR218" s="1683">
        <v>0</v>
      </c>
      <c r="AS218" s="1683">
        <v>7509.59</v>
      </c>
      <c r="AT218" s="1683">
        <v>3754.79</v>
      </c>
      <c r="AU218" s="1683">
        <v>3754.8</v>
      </c>
      <c r="AV218" s="1683">
        <v>0</v>
      </c>
      <c r="AW218" s="1683">
        <v>0</v>
      </c>
      <c r="AX218" s="1400"/>
      <c r="AY218" s="1400"/>
      <c r="AZ218" s="1400"/>
      <c r="BA218" s="1682"/>
      <c r="BB218" s="1682"/>
      <c r="BC218" s="1400"/>
      <c r="BD218" s="1400"/>
      <c r="BE218" s="1683">
        <v>50063.72</v>
      </c>
      <c r="BF218" s="1683">
        <v>50063.72</v>
      </c>
      <c r="BG218" s="1683">
        <v>42554.13</v>
      </c>
      <c r="BH218" s="1683">
        <v>42554.13</v>
      </c>
      <c r="BI218" s="1683">
        <v>0</v>
      </c>
      <c r="BJ218" s="1683">
        <v>7509.59</v>
      </c>
      <c r="BK218" s="1683">
        <v>3754.79</v>
      </c>
      <c r="BL218" s="1683">
        <v>3754.8</v>
      </c>
      <c r="BM218" s="1683">
        <v>0</v>
      </c>
      <c r="BN218" s="1683">
        <v>0</v>
      </c>
      <c r="BO218" s="1685">
        <v>43453</v>
      </c>
      <c r="BP218" s="1683">
        <v>50063.72</v>
      </c>
      <c r="BQ218" s="1683">
        <v>50063.72</v>
      </c>
      <c r="BR218" s="1683">
        <v>42554.13</v>
      </c>
      <c r="BS218" s="1683">
        <v>42554.13</v>
      </c>
      <c r="BT218" s="1683">
        <v>0</v>
      </c>
      <c r="BU218" s="1683">
        <v>7509.59</v>
      </c>
      <c r="BV218" s="1683">
        <v>3754.79</v>
      </c>
      <c r="BW218" s="1683">
        <v>0</v>
      </c>
      <c r="BX218" s="1683">
        <v>0</v>
      </c>
      <c r="BY218" s="1683">
        <v>0</v>
      </c>
      <c r="BZ218" s="1683">
        <v>0</v>
      </c>
      <c r="CA218" s="1400"/>
      <c r="CB218" s="1682"/>
      <c r="CC218" s="1682"/>
      <c r="CD218" s="1400"/>
      <c r="CE218" s="1400"/>
      <c r="CF218" s="1683">
        <v>0</v>
      </c>
      <c r="CG218" s="1683">
        <v>0</v>
      </c>
      <c r="CH218" s="1683">
        <v>0</v>
      </c>
      <c r="CI218" s="1683">
        <v>0</v>
      </c>
      <c r="CJ218" s="1683">
        <v>0</v>
      </c>
      <c r="CK218" s="1683">
        <v>0</v>
      </c>
      <c r="CL218" s="1682"/>
      <c r="CM218" s="1683">
        <v>0</v>
      </c>
      <c r="CN218" s="1683">
        <v>0</v>
      </c>
      <c r="CO218" s="1683">
        <v>0</v>
      </c>
      <c r="CP218" s="1683">
        <v>0</v>
      </c>
      <c r="CQ218" s="1683">
        <v>0</v>
      </c>
      <c r="CR218" s="1683">
        <v>0</v>
      </c>
      <c r="CS218" s="1683">
        <v>0</v>
      </c>
      <c r="CT218" s="1683">
        <v>0</v>
      </c>
      <c r="CU218" s="1683">
        <v>0</v>
      </c>
      <c r="CV218" s="1683">
        <v>0</v>
      </c>
      <c r="CW218" s="1682"/>
      <c r="CX218" s="1400"/>
      <c r="CY218" s="1400"/>
      <c r="CZ218" s="1400"/>
      <c r="DA218" s="1400"/>
      <c r="DB218" s="1682"/>
      <c r="DC218" s="1326"/>
      <c r="DD218" s="1683">
        <v>0</v>
      </c>
      <c r="DE218" s="1400"/>
      <c r="DF218" s="1400"/>
      <c r="DG218" s="1683">
        <v>0</v>
      </c>
      <c r="DH218" s="1683">
        <v>0</v>
      </c>
    </row>
    <row r="219" spans="1:112" ht="56.25">
      <c r="A219" s="1326" t="s">
        <v>2224</v>
      </c>
      <c r="B219" s="1326" t="s">
        <v>1697</v>
      </c>
      <c r="C219" s="1326" t="s">
        <v>2559</v>
      </c>
      <c r="D219" s="1326" t="s">
        <v>2560</v>
      </c>
      <c r="E219" s="1326" t="s">
        <v>141</v>
      </c>
      <c r="F219" s="1326" t="s">
        <v>2539</v>
      </c>
      <c r="G219" s="1326" t="s">
        <v>2540</v>
      </c>
      <c r="H219" s="1326" t="s">
        <v>2541</v>
      </c>
      <c r="I219" s="1326" t="s">
        <v>718</v>
      </c>
      <c r="J219" s="1326" t="s">
        <v>2160</v>
      </c>
      <c r="K219" s="1326" t="s">
        <v>2060</v>
      </c>
      <c r="L219" s="1326" t="s">
        <v>2061</v>
      </c>
      <c r="M219" s="1400"/>
      <c r="N219" s="1400"/>
      <c r="O219" s="1400"/>
      <c r="P219" s="1400"/>
      <c r="Q219" s="1400"/>
      <c r="R219" s="1400"/>
      <c r="S219" s="1400"/>
      <c r="T219" s="1400"/>
      <c r="U219" s="1400"/>
      <c r="V219" s="1400"/>
      <c r="W219" s="1400"/>
      <c r="X219" s="1400"/>
      <c r="Y219" s="1685">
        <v>43447</v>
      </c>
      <c r="Z219" s="1326" t="s">
        <v>2096</v>
      </c>
      <c r="AA219" s="1683">
        <v>0</v>
      </c>
      <c r="AB219" s="1683">
        <v>0</v>
      </c>
      <c r="AC219" s="1683">
        <v>0</v>
      </c>
      <c r="AD219" s="1685">
        <v>43454</v>
      </c>
      <c r="AE219" s="1326" t="s">
        <v>2081</v>
      </c>
      <c r="AF219" s="1326" t="s">
        <v>2064</v>
      </c>
      <c r="AG219" s="1410"/>
      <c r="AH219" s="1683">
        <v>0</v>
      </c>
      <c r="AI219" s="1683">
        <v>171521.84</v>
      </c>
      <c r="AJ219" s="1683">
        <v>171521.84</v>
      </c>
      <c r="AK219" s="1683">
        <v>171521.84</v>
      </c>
      <c r="AL219" s="1683">
        <v>0</v>
      </c>
      <c r="AM219" s="1682"/>
      <c r="AN219" s="1683">
        <v>0</v>
      </c>
      <c r="AO219" s="1683">
        <v>0</v>
      </c>
      <c r="AP219" s="1683">
        <v>0</v>
      </c>
      <c r="AQ219" s="1683">
        <v>0</v>
      </c>
      <c r="AR219" s="1683">
        <v>0</v>
      </c>
      <c r="AS219" s="1683">
        <v>0</v>
      </c>
      <c r="AT219" s="1683">
        <v>0</v>
      </c>
      <c r="AU219" s="1683">
        <v>0</v>
      </c>
      <c r="AV219" s="1683">
        <v>0</v>
      </c>
      <c r="AW219" s="1683">
        <v>0</v>
      </c>
      <c r="AX219" s="1400"/>
      <c r="AY219" s="1400"/>
      <c r="AZ219" s="1400"/>
      <c r="BA219" s="1682"/>
      <c r="BB219" s="1682"/>
      <c r="BC219" s="1400"/>
      <c r="BD219" s="1400"/>
      <c r="BE219" s="1683">
        <v>0</v>
      </c>
      <c r="BF219" s="1683">
        <v>0</v>
      </c>
      <c r="BG219" s="1683">
        <v>0</v>
      </c>
      <c r="BH219" s="1683">
        <v>0</v>
      </c>
      <c r="BI219" s="1683">
        <v>0</v>
      </c>
      <c r="BJ219" s="1683">
        <v>0</v>
      </c>
      <c r="BK219" s="1683">
        <v>0</v>
      </c>
      <c r="BL219" s="1683">
        <v>0</v>
      </c>
      <c r="BM219" s="1683">
        <v>0</v>
      </c>
      <c r="BN219" s="1683">
        <v>0</v>
      </c>
      <c r="BO219" s="1682"/>
      <c r="BP219" s="1683">
        <v>0</v>
      </c>
      <c r="BQ219" s="1683">
        <v>0</v>
      </c>
      <c r="BR219" s="1683">
        <v>0</v>
      </c>
      <c r="BS219" s="1683">
        <v>0</v>
      </c>
      <c r="BT219" s="1683">
        <v>0</v>
      </c>
      <c r="BU219" s="1683">
        <v>0</v>
      </c>
      <c r="BV219" s="1683">
        <v>0</v>
      </c>
      <c r="BW219" s="1683">
        <v>0</v>
      </c>
      <c r="BX219" s="1683">
        <v>0</v>
      </c>
      <c r="BY219" s="1683">
        <v>0</v>
      </c>
      <c r="BZ219" s="1400"/>
      <c r="CA219" s="1400"/>
      <c r="CB219" s="1682"/>
      <c r="CC219" s="1682"/>
      <c r="CD219" s="1400"/>
      <c r="CE219" s="1400"/>
      <c r="CF219" s="1683">
        <v>0</v>
      </c>
      <c r="CG219" s="1683">
        <v>0</v>
      </c>
      <c r="CH219" s="1683">
        <v>0</v>
      </c>
      <c r="CI219" s="1683">
        <v>0</v>
      </c>
      <c r="CJ219" s="1683">
        <v>0</v>
      </c>
      <c r="CK219" s="1683">
        <v>0</v>
      </c>
      <c r="CL219" s="1682"/>
      <c r="CM219" s="1683">
        <v>0</v>
      </c>
      <c r="CN219" s="1683">
        <v>0</v>
      </c>
      <c r="CO219" s="1683">
        <v>0</v>
      </c>
      <c r="CP219" s="1683">
        <v>0</v>
      </c>
      <c r="CQ219" s="1683">
        <v>0</v>
      </c>
      <c r="CR219" s="1683">
        <v>0</v>
      </c>
      <c r="CS219" s="1683">
        <v>0</v>
      </c>
      <c r="CT219" s="1683">
        <v>0</v>
      </c>
      <c r="CU219" s="1683">
        <v>0</v>
      </c>
      <c r="CV219" s="1683">
        <v>0</v>
      </c>
      <c r="CW219" s="1682"/>
      <c r="CX219" s="1400"/>
      <c r="CY219" s="1400"/>
      <c r="CZ219" s="1400"/>
      <c r="DA219" s="1400"/>
      <c r="DB219" s="1682"/>
      <c r="DC219" s="1326"/>
      <c r="DD219" s="1683">
        <v>0</v>
      </c>
      <c r="DE219" s="1400"/>
      <c r="DF219" s="1400"/>
      <c r="DG219" s="1683">
        <v>0</v>
      </c>
      <c r="DH219" s="1683">
        <v>0</v>
      </c>
    </row>
    <row r="220" spans="1:112" ht="67.5">
      <c r="A220" s="1326" t="s">
        <v>2225</v>
      </c>
      <c r="B220" s="1326" t="s">
        <v>1697</v>
      </c>
      <c r="C220" s="1326" t="s">
        <v>2559</v>
      </c>
      <c r="D220" s="1326" t="s">
        <v>2560</v>
      </c>
      <c r="E220" s="1326" t="s">
        <v>141</v>
      </c>
      <c r="F220" s="1326" t="s">
        <v>2539</v>
      </c>
      <c r="G220" s="1326" t="s">
        <v>2540</v>
      </c>
      <c r="H220" s="1326" t="s">
        <v>2541</v>
      </c>
      <c r="I220" s="1326" t="s">
        <v>1590</v>
      </c>
      <c r="J220" s="1326" t="s">
        <v>2978</v>
      </c>
      <c r="K220" s="1326" t="s">
        <v>2069</v>
      </c>
      <c r="L220" s="1326" t="s">
        <v>2061</v>
      </c>
      <c r="M220" s="1683">
        <v>759934</v>
      </c>
      <c r="N220" s="1683">
        <v>0</v>
      </c>
      <c r="O220" s="1683">
        <v>759934</v>
      </c>
      <c r="P220" s="1683">
        <v>759934</v>
      </c>
      <c r="Q220" s="1683">
        <v>645944</v>
      </c>
      <c r="R220" s="1683">
        <v>645944</v>
      </c>
      <c r="S220" s="1683">
        <v>0</v>
      </c>
      <c r="T220" s="1683">
        <v>113990</v>
      </c>
      <c r="U220" s="1683">
        <v>0</v>
      </c>
      <c r="V220" s="1683">
        <v>113990</v>
      </c>
      <c r="W220" s="1683">
        <v>0</v>
      </c>
      <c r="X220" s="1683">
        <v>0</v>
      </c>
      <c r="Y220" s="1682"/>
      <c r="Z220" s="1326"/>
      <c r="AA220" s="1683">
        <v>0</v>
      </c>
      <c r="AB220" s="1683">
        <v>0</v>
      </c>
      <c r="AC220" s="1683">
        <v>0</v>
      </c>
      <c r="AD220" s="1682"/>
      <c r="AE220" s="1326"/>
      <c r="AF220" s="1326"/>
      <c r="AG220" s="1410"/>
      <c r="AH220" s="1683">
        <v>654217.94999999995</v>
      </c>
      <c r="AI220" s="1683">
        <v>654217.94999999995</v>
      </c>
      <c r="AJ220" s="1683">
        <v>556085.34</v>
      </c>
      <c r="AK220" s="1683">
        <v>556085.34</v>
      </c>
      <c r="AL220" s="1683">
        <v>0</v>
      </c>
      <c r="AM220" s="1682"/>
      <c r="AN220" s="1683">
        <v>654217.94999999995</v>
      </c>
      <c r="AO220" s="1683">
        <v>654217.94999999995</v>
      </c>
      <c r="AP220" s="1683">
        <v>556085.34</v>
      </c>
      <c r="AQ220" s="1683">
        <v>556085.34</v>
      </c>
      <c r="AR220" s="1683">
        <v>0</v>
      </c>
      <c r="AS220" s="1683">
        <v>98132.61</v>
      </c>
      <c r="AT220" s="1683">
        <v>0</v>
      </c>
      <c r="AU220" s="1683">
        <v>98132.61</v>
      </c>
      <c r="AV220" s="1683">
        <v>0</v>
      </c>
      <c r="AW220" s="1683">
        <v>0</v>
      </c>
      <c r="AX220" s="1683">
        <v>0</v>
      </c>
      <c r="AY220" s="1683">
        <v>0</v>
      </c>
      <c r="AZ220" s="1683">
        <v>0</v>
      </c>
      <c r="BA220" s="1682"/>
      <c r="BB220" s="1682"/>
      <c r="BC220" s="1683">
        <v>0</v>
      </c>
      <c r="BD220" s="1683">
        <v>0</v>
      </c>
      <c r="BE220" s="1683">
        <v>654217.94999999995</v>
      </c>
      <c r="BF220" s="1683">
        <v>654217.94999999995</v>
      </c>
      <c r="BG220" s="1683">
        <v>556085.34</v>
      </c>
      <c r="BH220" s="1683">
        <v>556085.34</v>
      </c>
      <c r="BI220" s="1683">
        <v>0</v>
      </c>
      <c r="BJ220" s="1683">
        <v>98132.61</v>
      </c>
      <c r="BK220" s="1683">
        <v>0</v>
      </c>
      <c r="BL220" s="1683">
        <v>98132.61</v>
      </c>
      <c r="BM220" s="1683">
        <v>0</v>
      </c>
      <c r="BN220" s="1683">
        <v>0</v>
      </c>
      <c r="BO220" s="1682"/>
      <c r="BP220" s="1683">
        <v>467355</v>
      </c>
      <c r="BQ220" s="1683">
        <v>467355</v>
      </c>
      <c r="BR220" s="1683">
        <v>397251.81</v>
      </c>
      <c r="BS220" s="1683">
        <v>397251.81</v>
      </c>
      <c r="BT220" s="1683">
        <v>0</v>
      </c>
      <c r="BU220" s="1683">
        <v>70103.19</v>
      </c>
      <c r="BV220" s="1683">
        <v>0</v>
      </c>
      <c r="BW220" s="1683">
        <v>0</v>
      </c>
      <c r="BX220" s="1683">
        <v>0</v>
      </c>
      <c r="BY220" s="1683">
        <v>0</v>
      </c>
      <c r="BZ220" s="1683">
        <v>0</v>
      </c>
      <c r="CA220" s="1683">
        <v>0</v>
      </c>
      <c r="CB220" s="1682"/>
      <c r="CC220" s="1682"/>
      <c r="CD220" s="1683">
        <v>0</v>
      </c>
      <c r="CE220" s="1683">
        <v>0</v>
      </c>
      <c r="CF220" s="1683">
        <v>0</v>
      </c>
      <c r="CG220" s="1683">
        <v>0</v>
      </c>
      <c r="CH220" s="1683">
        <v>0</v>
      </c>
      <c r="CI220" s="1683">
        <v>0</v>
      </c>
      <c r="CJ220" s="1683">
        <v>0</v>
      </c>
      <c r="CK220" s="1683">
        <v>0</v>
      </c>
      <c r="CL220" s="1682"/>
      <c r="CM220" s="1683">
        <v>0</v>
      </c>
      <c r="CN220" s="1683">
        <v>0</v>
      </c>
      <c r="CO220" s="1683">
        <v>0</v>
      </c>
      <c r="CP220" s="1683">
        <v>0</v>
      </c>
      <c r="CQ220" s="1683">
        <v>0</v>
      </c>
      <c r="CR220" s="1683">
        <v>0</v>
      </c>
      <c r="CS220" s="1683">
        <v>0</v>
      </c>
      <c r="CT220" s="1683">
        <v>0</v>
      </c>
      <c r="CU220" s="1683">
        <v>0</v>
      </c>
      <c r="CV220" s="1683">
        <v>0</v>
      </c>
      <c r="CW220" s="1682"/>
      <c r="CX220" s="1683">
        <v>0</v>
      </c>
      <c r="CY220" s="1683">
        <v>0</v>
      </c>
      <c r="CZ220" s="1683">
        <v>0</v>
      </c>
      <c r="DA220" s="1683">
        <v>0</v>
      </c>
      <c r="DB220" s="1682"/>
      <c r="DC220" s="1326"/>
      <c r="DD220" s="1683">
        <v>0</v>
      </c>
      <c r="DE220" s="1683">
        <v>0</v>
      </c>
      <c r="DF220" s="1683">
        <v>0</v>
      </c>
      <c r="DG220" s="1683">
        <v>0</v>
      </c>
      <c r="DH220" s="1683">
        <v>0</v>
      </c>
    </row>
    <row r="221" spans="1:112" ht="67.5">
      <c r="A221" s="1326" t="s">
        <v>2226</v>
      </c>
      <c r="B221" s="1326" t="s">
        <v>1697</v>
      </c>
      <c r="C221" s="1326" t="s">
        <v>2559</v>
      </c>
      <c r="D221" s="1326" t="s">
        <v>2560</v>
      </c>
      <c r="E221" s="1326" t="s">
        <v>141</v>
      </c>
      <c r="F221" s="1326" t="s">
        <v>2539</v>
      </c>
      <c r="G221" s="1326" t="s">
        <v>2540</v>
      </c>
      <c r="H221" s="1326" t="s">
        <v>2541</v>
      </c>
      <c r="I221" s="1326" t="s">
        <v>1590</v>
      </c>
      <c r="J221" s="1326" t="s">
        <v>2978</v>
      </c>
      <c r="K221" s="1326" t="s">
        <v>2069</v>
      </c>
      <c r="L221" s="1326" t="s">
        <v>2061</v>
      </c>
      <c r="M221" s="1400"/>
      <c r="N221" s="1400"/>
      <c r="O221" s="1400"/>
      <c r="P221" s="1400"/>
      <c r="Q221" s="1400"/>
      <c r="R221" s="1400"/>
      <c r="S221" s="1400"/>
      <c r="T221" s="1400"/>
      <c r="U221" s="1400"/>
      <c r="V221" s="1400"/>
      <c r="W221" s="1400"/>
      <c r="X221" s="1400"/>
      <c r="Y221" s="1685">
        <v>43346</v>
      </c>
      <c r="Z221" s="1326" t="s">
        <v>2062</v>
      </c>
      <c r="AA221" s="1683">
        <v>0</v>
      </c>
      <c r="AB221" s="1683">
        <v>0</v>
      </c>
      <c r="AC221" s="1683">
        <v>0</v>
      </c>
      <c r="AD221" s="1685">
        <v>43398</v>
      </c>
      <c r="AE221" s="1326" t="s">
        <v>2073</v>
      </c>
      <c r="AF221" s="1326" t="s">
        <v>2067</v>
      </c>
      <c r="AG221" s="1410"/>
      <c r="AH221" s="1683">
        <v>454583.48</v>
      </c>
      <c r="AI221" s="1683">
        <v>454583.48</v>
      </c>
      <c r="AJ221" s="1683">
        <v>386396.02</v>
      </c>
      <c r="AK221" s="1683">
        <v>386396.02</v>
      </c>
      <c r="AL221" s="1683">
        <v>0</v>
      </c>
      <c r="AM221" s="1685">
        <v>43399</v>
      </c>
      <c r="AN221" s="1683">
        <v>454583.48</v>
      </c>
      <c r="AO221" s="1683">
        <v>454583.48</v>
      </c>
      <c r="AP221" s="1683">
        <v>386396.02</v>
      </c>
      <c r="AQ221" s="1683">
        <v>386396.02</v>
      </c>
      <c r="AR221" s="1683">
        <v>0</v>
      </c>
      <c r="AS221" s="1683">
        <v>68187.460000000006</v>
      </c>
      <c r="AT221" s="1683">
        <v>0</v>
      </c>
      <c r="AU221" s="1683">
        <v>68187.460000000006</v>
      </c>
      <c r="AV221" s="1683">
        <v>0</v>
      </c>
      <c r="AW221" s="1683">
        <v>0</v>
      </c>
      <c r="AX221" s="1400"/>
      <c r="AY221" s="1400"/>
      <c r="AZ221" s="1400"/>
      <c r="BA221" s="1682"/>
      <c r="BB221" s="1682"/>
      <c r="BC221" s="1400"/>
      <c r="BD221" s="1400"/>
      <c r="BE221" s="1683">
        <v>454583.48</v>
      </c>
      <c r="BF221" s="1683">
        <v>454583.48</v>
      </c>
      <c r="BG221" s="1683">
        <v>386396.02</v>
      </c>
      <c r="BH221" s="1683">
        <v>386396.02</v>
      </c>
      <c r="BI221" s="1683">
        <v>0</v>
      </c>
      <c r="BJ221" s="1683">
        <v>68187.460000000006</v>
      </c>
      <c r="BK221" s="1683">
        <v>0</v>
      </c>
      <c r="BL221" s="1683">
        <v>68187.460000000006</v>
      </c>
      <c r="BM221" s="1683">
        <v>0</v>
      </c>
      <c r="BN221" s="1683">
        <v>0</v>
      </c>
      <c r="BO221" s="1685">
        <v>43453</v>
      </c>
      <c r="BP221" s="1683">
        <v>454583.48</v>
      </c>
      <c r="BQ221" s="1683">
        <v>454583.48</v>
      </c>
      <c r="BR221" s="1683">
        <v>386396.02</v>
      </c>
      <c r="BS221" s="1683">
        <v>386396.02</v>
      </c>
      <c r="BT221" s="1683">
        <v>0</v>
      </c>
      <c r="BU221" s="1683">
        <v>68187.460000000006</v>
      </c>
      <c r="BV221" s="1683">
        <v>0</v>
      </c>
      <c r="BW221" s="1683">
        <v>0</v>
      </c>
      <c r="BX221" s="1683">
        <v>0</v>
      </c>
      <c r="BY221" s="1683">
        <v>0</v>
      </c>
      <c r="BZ221" s="1683">
        <v>0</v>
      </c>
      <c r="CA221" s="1400"/>
      <c r="CB221" s="1682"/>
      <c r="CC221" s="1682"/>
      <c r="CD221" s="1400"/>
      <c r="CE221" s="1400"/>
      <c r="CF221" s="1683">
        <v>0</v>
      </c>
      <c r="CG221" s="1683">
        <v>0</v>
      </c>
      <c r="CH221" s="1683">
        <v>0</v>
      </c>
      <c r="CI221" s="1683">
        <v>0</v>
      </c>
      <c r="CJ221" s="1683">
        <v>0</v>
      </c>
      <c r="CK221" s="1683">
        <v>0</v>
      </c>
      <c r="CL221" s="1682"/>
      <c r="CM221" s="1683">
        <v>0</v>
      </c>
      <c r="CN221" s="1683">
        <v>0</v>
      </c>
      <c r="CO221" s="1683">
        <v>0</v>
      </c>
      <c r="CP221" s="1683">
        <v>0</v>
      </c>
      <c r="CQ221" s="1683">
        <v>0</v>
      </c>
      <c r="CR221" s="1683">
        <v>0</v>
      </c>
      <c r="CS221" s="1683">
        <v>0</v>
      </c>
      <c r="CT221" s="1683">
        <v>0</v>
      </c>
      <c r="CU221" s="1683">
        <v>0</v>
      </c>
      <c r="CV221" s="1683">
        <v>0</v>
      </c>
      <c r="CW221" s="1682"/>
      <c r="CX221" s="1400"/>
      <c r="CY221" s="1400"/>
      <c r="CZ221" s="1400"/>
      <c r="DA221" s="1400"/>
      <c r="DB221" s="1682"/>
      <c r="DC221" s="1326"/>
      <c r="DD221" s="1683">
        <v>0</v>
      </c>
      <c r="DE221" s="1400"/>
      <c r="DF221" s="1400"/>
      <c r="DG221" s="1683">
        <v>0</v>
      </c>
      <c r="DH221" s="1683">
        <v>0</v>
      </c>
    </row>
    <row r="222" spans="1:112" ht="67.5">
      <c r="A222" s="1326" t="s">
        <v>2227</v>
      </c>
      <c r="B222" s="1326" t="s">
        <v>1697</v>
      </c>
      <c r="C222" s="1326" t="s">
        <v>2559</v>
      </c>
      <c r="D222" s="1326" t="s">
        <v>2560</v>
      </c>
      <c r="E222" s="1326" t="s">
        <v>141</v>
      </c>
      <c r="F222" s="1326" t="s">
        <v>2539</v>
      </c>
      <c r="G222" s="1326" t="s">
        <v>2540</v>
      </c>
      <c r="H222" s="1326" t="s">
        <v>2541</v>
      </c>
      <c r="I222" s="1326" t="s">
        <v>1590</v>
      </c>
      <c r="J222" s="1326" t="s">
        <v>2978</v>
      </c>
      <c r="K222" s="1326" t="s">
        <v>2069</v>
      </c>
      <c r="L222" s="1326" t="s">
        <v>2061</v>
      </c>
      <c r="M222" s="1400"/>
      <c r="N222" s="1400"/>
      <c r="O222" s="1400"/>
      <c r="P222" s="1400"/>
      <c r="Q222" s="1400"/>
      <c r="R222" s="1400"/>
      <c r="S222" s="1400"/>
      <c r="T222" s="1400"/>
      <c r="U222" s="1400"/>
      <c r="V222" s="1400"/>
      <c r="W222" s="1400"/>
      <c r="X222" s="1400"/>
      <c r="Y222" s="1685">
        <v>43346</v>
      </c>
      <c r="Z222" s="1326" t="s">
        <v>2062</v>
      </c>
      <c r="AA222" s="1683">
        <v>0</v>
      </c>
      <c r="AB222" s="1683">
        <v>0</v>
      </c>
      <c r="AC222" s="1683">
        <v>0</v>
      </c>
      <c r="AD222" s="1685">
        <v>43398</v>
      </c>
      <c r="AE222" s="1326" t="s">
        <v>2073</v>
      </c>
      <c r="AF222" s="1326" t="s">
        <v>2064</v>
      </c>
      <c r="AG222" s="1410"/>
      <c r="AH222" s="1683">
        <v>12771.52</v>
      </c>
      <c r="AI222" s="1683">
        <v>12771.52</v>
      </c>
      <c r="AJ222" s="1683">
        <v>10855.79</v>
      </c>
      <c r="AK222" s="1683">
        <v>10855.79</v>
      </c>
      <c r="AL222" s="1683">
        <v>0</v>
      </c>
      <c r="AM222" s="1685">
        <v>43398</v>
      </c>
      <c r="AN222" s="1683">
        <v>12771.52</v>
      </c>
      <c r="AO222" s="1683">
        <v>12771.52</v>
      </c>
      <c r="AP222" s="1683">
        <v>10855.79</v>
      </c>
      <c r="AQ222" s="1683">
        <v>10855.79</v>
      </c>
      <c r="AR222" s="1683">
        <v>0</v>
      </c>
      <c r="AS222" s="1683">
        <v>1915.73</v>
      </c>
      <c r="AT222" s="1683">
        <v>0</v>
      </c>
      <c r="AU222" s="1683">
        <v>1915.73</v>
      </c>
      <c r="AV222" s="1683">
        <v>0</v>
      </c>
      <c r="AW222" s="1683">
        <v>0</v>
      </c>
      <c r="AX222" s="1400"/>
      <c r="AY222" s="1400"/>
      <c r="AZ222" s="1400"/>
      <c r="BA222" s="1682"/>
      <c r="BB222" s="1682"/>
      <c r="BC222" s="1400"/>
      <c r="BD222" s="1400"/>
      <c r="BE222" s="1683">
        <v>12771.52</v>
      </c>
      <c r="BF222" s="1683">
        <v>12771.52</v>
      </c>
      <c r="BG222" s="1683">
        <v>10855.79</v>
      </c>
      <c r="BH222" s="1683">
        <v>10855.79</v>
      </c>
      <c r="BI222" s="1683">
        <v>0</v>
      </c>
      <c r="BJ222" s="1683">
        <v>1915.73</v>
      </c>
      <c r="BK222" s="1683">
        <v>0</v>
      </c>
      <c r="BL222" s="1683">
        <v>1915.73</v>
      </c>
      <c r="BM222" s="1683">
        <v>0</v>
      </c>
      <c r="BN222" s="1683">
        <v>0</v>
      </c>
      <c r="BO222" s="1685">
        <v>43453</v>
      </c>
      <c r="BP222" s="1683">
        <v>12771.52</v>
      </c>
      <c r="BQ222" s="1683">
        <v>12771.52</v>
      </c>
      <c r="BR222" s="1683">
        <v>10855.79</v>
      </c>
      <c r="BS222" s="1683">
        <v>10855.79</v>
      </c>
      <c r="BT222" s="1683">
        <v>0</v>
      </c>
      <c r="BU222" s="1683">
        <v>1915.73</v>
      </c>
      <c r="BV222" s="1683">
        <v>0</v>
      </c>
      <c r="BW222" s="1683">
        <v>0</v>
      </c>
      <c r="BX222" s="1683">
        <v>0</v>
      </c>
      <c r="BY222" s="1683">
        <v>0</v>
      </c>
      <c r="BZ222" s="1683">
        <v>0</v>
      </c>
      <c r="CA222" s="1400"/>
      <c r="CB222" s="1682"/>
      <c r="CC222" s="1682"/>
      <c r="CD222" s="1400"/>
      <c r="CE222" s="1400"/>
      <c r="CF222" s="1683">
        <v>0</v>
      </c>
      <c r="CG222" s="1683">
        <v>0</v>
      </c>
      <c r="CH222" s="1683">
        <v>0</v>
      </c>
      <c r="CI222" s="1683">
        <v>0</v>
      </c>
      <c r="CJ222" s="1683">
        <v>0</v>
      </c>
      <c r="CK222" s="1683">
        <v>0</v>
      </c>
      <c r="CL222" s="1682"/>
      <c r="CM222" s="1683">
        <v>0</v>
      </c>
      <c r="CN222" s="1683">
        <v>0</v>
      </c>
      <c r="CO222" s="1683">
        <v>0</v>
      </c>
      <c r="CP222" s="1683">
        <v>0</v>
      </c>
      <c r="CQ222" s="1683">
        <v>0</v>
      </c>
      <c r="CR222" s="1683">
        <v>0</v>
      </c>
      <c r="CS222" s="1683">
        <v>0</v>
      </c>
      <c r="CT222" s="1683">
        <v>0</v>
      </c>
      <c r="CU222" s="1683">
        <v>0</v>
      </c>
      <c r="CV222" s="1683">
        <v>0</v>
      </c>
      <c r="CW222" s="1682"/>
      <c r="CX222" s="1400"/>
      <c r="CY222" s="1400"/>
      <c r="CZ222" s="1400"/>
      <c r="DA222" s="1400"/>
      <c r="DB222" s="1682"/>
      <c r="DC222" s="1326"/>
      <c r="DD222" s="1683">
        <v>0</v>
      </c>
      <c r="DE222" s="1400"/>
      <c r="DF222" s="1400"/>
      <c r="DG222" s="1683">
        <v>0</v>
      </c>
      <c r="DH222" s="1683">
        <v>0</v>
      </c>
    </row>
    <row r="223" spans="1:112" ht="67.5">
      <c r="A223" s="1326" t="s">
        <v>2228</v>
      </c>
      <c r="B223" s="1326" t="s">
        <v>1697</v>
      </c>
      <c r="C223" s="1326" t="s">
        <v>2559</v>
      </c>
      <c r="D223" s="1326" t="s">
        <v>2560</v>
      </c>
      <c r="E223" s="1326" t="s">
        <v>141</v>
      </c>
      <c r="F223" s="1326" t="s">
        <v>2539</v>
      </c>
      <c r="G223" s="1326" t="s">
        <v>2540</v>
      </c>
      <c r="H223" s="1326" t="s">
        <v>2541</v>
      </c>
      <c r="I223" s="1326" t="s">
        <v>1590</v>
      </c>
      <c r="J223" s="1326" t="s">
        <v>2978</v>
      </c>
      <c r="K223" s="1326" t="s">
        <v>2069</v>
      </c>
      <c r="L223" s="1326" t="s">
        <v>2061</v>
      </c>
      <c r="M223" s="1400"/>
      <c r="N223" s="1400"/>
      <c r="O223" s="1400"/>
      <c r="P223" s="1400"/>
      <c r="Q223" s="1400"/>
      <c r="R223" s="1400"/>
      <c r="S223" s="1400"/>
      <c r="T223" s="1400"/>
      <c r="U223" s="1400"/>
      <c r="V223" s="1400"/>
      <c r="W223" s="1400"/>
      <c r="X223" s="1400"/>
      <c r="Y223" s="1685">
        <v>43434</v>
      </c>
      <c r="Z223" s="1326" t="s">
        <v>2062</v>
      </c>
      <c r="AA223" s="1683">
        <v>0</v>
      </c>
      <c r="AB223" s="1683">
        <v>0</v>
      </c>
      <c r="AC223" s="1683">
        <v>0</v>
      </c>
      <c r="AD223" s="1685">
        <v>43504</v>
      </c>
      <c r="AE223" s="1326" t="s">
        <v>2063</v>
      </c>
      <c r="AF223" s="1326" t="s">
        <v>2067</v>
      </c>
      <c r="AG223" s="1410"/>
      <c r="AH223" s="1683">
        <v>186862.95</v>
      </c>
      <c r="AI223" s="1683">
        <v>186862.95</v>
      </c>
      <c r="AJ223" s="1683">
        <v>158833.53</v>
      </c>
      <c r="AK223" s="1683">
        <v>158833.53</v>
      </c>
      <c r="AL223" s="1683">
        <v>0</v>
      </c>
      <c r="AM223" s="1685">
        <v>43510</v>
      </c>
      <c r="AN223" s="1683">
        <v>186862.95</v>
      </c>
      <c r="AO223" s="1683">
        <v>186862.95</v>
      </c>
      <c r="AP223" s="1683">
        <v>158833.53</v>
      </c>
      <c r="AQ223" s="1683">
        <v>158833.53</v>
      </c>
      <c r="AR223" s="1683">
        <v>0</v>
      </c>
      <c r="AS223" s="1683">
        <v>28029.42</v>
      </c>
      <c r="AT223" s="1683">
        <v>0</v>
      </c>
      <c r="AU223" s="1683">
        <v>28029.42</v>
      </c>
      <c r="AV223" s="1683">
        <v>0</v>
      </c>
      <c r="AW223" s="1683">
        <v>0</v>
      </c>
      <c r="AX223" s="1400"/>
      <c r="AY223" s="1400"/>
      <c r="AZ223" s="1400"/>
      <c r="BA223" s="1682"/>
      <c r="BB223" s="1682"/>
      <c r="BC223" s="1400"/>
      <c r="BD223" s="1400"/>
      <c r="BE223" s="1683">
        <v>186862.95</v>
      </c>
      <c r="BF223" s="1683">
        <v>186862.95</v>
      </c>
      <c r="BG223" s="1683">
        <v>158833.53</v>
      </c>
      <c r="BH223" s="1683">
        <v>158833.53</v>
      </c>
      <c r="BI223" s="1683">
        <v>0</v>
      </c>
      <c r="BJ223" s="1683">
        <v>28029.42</v>
      </c>
      <c r="BK223" s="1683">
        <v>0</v>
      </c>
      <c r="BL223" s="1683">
        <v>28029.42</v>
      </c>
      <c r="BM223" s="1683">
        <v>0</v>
      </c>
      <c r="BN223" s="1683">
        <v>0</v>
      </c>
      <c r="BO223" s="1682"/>
      <c r="BP223" s="1683">
        <v>0</v>
      </c>
      <c r="BQ223" s="1683">
        <v>0</v>
      </c>
      <c r="BR223" s="1683">
        <v>0</v>
      </c>
      <c r="BS223" s="1683">
        <v>0</v>
      </c>
      <c r="BT223" s="1683">
        <v>0</v>
      </c>
      <c r="BU223" s="1683">
        <v>0</v>
      </c>
      <c r="BV223" s="1683">
        <v>0</v>
      </c>
      <c r="BW223" s="1683">
        <v>0</v>
      </c>
      <c r="BX223" s="1683">
        <v>0</v>
      </c>
      <c r="BY223" s="1683">
        <v>0</v>
      </c>
      <c r="BZ223" s="1400"/>
      <c r="CA223" s="1400"/>
      <c r="CB223" s="1682"/>
      <c r="CC223" s="1682"/>
      <c r="CD223" s="1400"/>
      <c r="CE223" s="1400"/>
      <c r="CF223" s="1683">
        <v>0</v>
      </c>
      <c r="CG223" s="1683">
        <v>0</v>
      </c>
      <c r="CH223" s="1683">
        <v>0</v>
      </c>
      <c r="CI223" s="1683">
        <v>0</v>
      </c>
      <c r="CJ223" s="1683">
        <v>0</v>
      </c>
      <c r="CK223" s="1683">
        <v>0</v>
      </c>
      <c r="CL223" s="1682"/>
      <c r="CM223" s="1683">
        <v>0</v>
      </c>
      <c r="CN223" s="1683">
        <v>0</v>
      </c>
      <c r="CO223" s="1683">
        <v>0</v>
      </c>
      <c r="CP223" s="1683">
        <v>0</v>
      </c>
      <c r="CQ223" s="1683">
        <v>0</v>
      </c>
      <c r="CR223" s="1683">
        <v>0</v>
      </c>
      <c r="CS223" s="1683">
        <v>0</v>
      </c>
      <c r="CT223" s="1683">
        <v>0</v>
      </c>
      <c r="CU223" s="1683">
        <v>0</v>
      </c>
      <c r="CV223" s="1683">
        <v>0</v>
      </c>
      <c r="CW223" s="1682"/>
      <c r="CX223" s="1400"/>
      <c r="CY223" s="1400"/>
      <c r="CZ223" s="1400"/>
      <c r="DA223" s="1400"/>
      <c r="DB223" s="1682"/>
      <c r="DC223" s="1326"/>
      <c r="DD223" s="1683">
        <v>0</v>
      </c>
      <c r="DE223" s="1400"/>
      <c r="DF223" s="1400"/>
      <c r="DG223" s="1683">
        <v>0</v>
      </c>
      <c r="DH223" s="1683">
        <v>0</v>
      </c>
    </row>
    <row r="224" spans="1:112" ht="45">
      <c r="A224" s="1326" t="s">
        <v>2229</v>
      </c>
      <c r="B224" s="1326" t="s">
        <v>1697</v>
      </c>
      <c r="C224" s="1326" t="s">
        <v>2559</v>
      </c>
      <c r="D224" s="1326" t="s">
        <v>2560</v>
      </c>
      <c r="E224" s="1326" t="s">
        <v>141</v>
      </c>
      <c r="F224" s="1326" t="s">
        <v>2539</v>
      </c>
      <c r="G224" s="1326" t="s">
        <v>2540</v>
      </c>
      <c r="H224" s="1326" t="s">
        <v>2541</v>
      </c>
      <c r="I224" s="1326" t="s">
        <v>1589</v>
      </c>
      <c r="J224" s="1326" t="s">
        <v>2981</v>
      </c>
      <c r="K224" s="1326" t="s">
        <v>2077</v>
      </c>
      <c r="L224" s="1326" t="s">
        <v>2061</v>
      </c>
      <c r="M224" s="1683">
        <v>274817.98</v>
      </c>
      <c r="N224" s="1683">
        <v>0</v>
      </c>
      <c r="O224" s="1683">
        <v>274817.98</v>
      </c>
      <c r="P224" s="1683">
        <v>274817.98</v>
      </c>
      <c r="Q224" s="1683">
        <v>200844</v>
      </c>
      <c r="R224" s="1683">
        <v>200844</v>
      </c>
      <c r="S224" s="1683">
        <v>0</v>
      </c>
      <c r="T224" s="1683">
        <v>73973.98</v>
      </c>
      <c r="U224" s="1683">
        <v>0</v>
      </c>
      <c r="V224" s="1683">
        <v>73973.98</v>
      </c>
      <c r="W224" s="1683">
        <v>0</v>
      </c>
      <c r="X224" s="1683">
        <v>0</v>
      </c>
      <c r="Y224" s="1682"/>
      <c r="Z224" s="1326"/>
      <c r="AA224" s="1683">
        <v>0</v>
      </c>
      <c r="AB224" s="1683">
        <v>0</v>
      </c>
      <c r="AC224" s="1683">
        <v>0</v>
      </c>
      <c r="AD224" s="1682"/>
      <c r="AE224" s="1326"/>
      <c r="AF224" s="1326"/>
      <c r="AG224" s="1410"/>
      <c r="AH224" s="1683">
        <v>193256.22</v>
      </c>
      <c r="AI224" s="1683">
        <v>193256.22</v>
      </c>
      <c r="AJ224" s="1683">
        <v>141236.57999999999</v>
      </c>
      <c r="AK224" s="1683">
        <v>141236.57999999999</v>
      </c>
      <c r="AL224" s="1683">
        <v>0</v>
      </c>
      <c r="AM224" s="1682"/>
      <c r="AN224" s="1683">
        <v>193256.22</v>
      </c>
      <c r="AO224" s="1683">
        <v>193256.22</v>
      </c>
      <c r="AP224" s="1683">
        <v>141236.57999999999</v>
      </c>
      <c r="AQ224" s="1683">
        <v>141236.57999999999</v>
      </c>
      <c r="AR224" s="1683">
        <v>0</v>
      </c>
      <c r="AS224" s="1683">
        <v>52019.64</v>
      </c>
      <c r="AT224" s="1683">
        <v>0</v>
      </c>
      <c r="AU224" s="1683">
        <v>52019.64</v>
      </c>
      <c r="AV224" s="1683">
        <v>0</v>
      </c>
      <c r="AW224" s="1683">
        <v>0</v>
      </c>
      <c r="AX224" s="1683">
        <v>0</v>
      </c>
      <c r="AY224" s="1683">
        <v>0</v>
      </c>
      <c r="AZ224" s="1683">
        <v>0</v>
      </c>
      <c r="BA224" s="1682"/>
      <c r="BB224" s="1682"/>
      <c r="BC224" s="1683">
        <v>0</v>
      </c>
      <c r="BD224" s="1683">
        <v>0</v>
      </c>
      <c r="BE224" s="1683">
        <v>193256.22</v>
      </c>
      <c r="BF224" s="1683">
        <v>193256.22</v>
      </c>
      <c r="BG224" s="1683">
        <v>141236.57999999999</v>
      </c>
      <c r="BH224" s="1683">
        <v>141236.57999999999</v>
      </c>
      <c r="BI224" s="1683">
        <v>0</v>
      </c>
      <c r="BJ224" s="1683">
        <v>52019.64</v>
      </c>
      <c r="BK224" s="1683">
        <v>0</v>
      </c>
      <c r="BL224" s="1683">
        <v>52019.64</v>
      </c>
      <c r="BM224" s="1683">
        <v>0</v>
      </c>
      <c r="BN224" s="1683">
        <v>0</v>
      </c>
      <c r="BO224" s="1682"/>
      <c r="BP224" s="1683">
        <v>0</v>
      </c>
      <c r="BQ224" s="1683">
        <v>0</v>
      </c>
      <c r="BR224" s="1683">
        <v>0</v>
      </c>
      <c r="BS224" s="1683">
        <v>0</v>
      </c>
      <c r="BT224" s="1683">
        <v>0</v>
      </c>
      <c r="BU224" s="1683">
        <v>0</v>
      </c>
      <c r="BV224" s="1683">
        <v>0</v>
      </c>
      <c r="BW224" s="1683">
        <v>0</v>
      </c>
      <c r="BX224" s="1683">
        <v>0</v>
      </c>
      <c r="BY224" s="1683">
        <v>0</v>
      </c>
      <c r="BZ224" s="1683">
        <v>0</v>
      </c>
      <c r="CA224" s="1683">
        <v>0</v>
      </c>
      <c r="CB224" s="1682"/>
      <c r="CC224" s="1682"/>
      <c r="CD224" s="1683">
        <v>0</v>
      </c>
      <c r="CE224" s="1683">
        <v>0</v>
      </c>
      <c r="CF224" s="1683">
        <v>0</v>
      </c>
      <c r="CG224" s="1683">
        <v>0</v>
      </c>
      <c r="CH224" s="1683">
        <v>0</v>
      </c>
      <c r="CI224" s="1683">
        <v>0</v>
      </c>
      <c r="CJ224" s="1683">
        <v>0</v>
      </c>
      <c r="CK224" s="1683">
        <v>0</v>
      </c>
      <c r="CL224" s="1682"/>
      <c r="CM224" s="1683">
        <v>0</v>
      </c>
      <c r="CN224" s="1683">
        <v>0</v>
      </c>
      <c r="CO224" s="1683">
        <v>0</v>
      </c>
      <c r="CP224" s="1683">
        <v>0</v>
      </c>
      <c r="CQ224" s="1683">
        <v>0</v>
      </c>
      <c r="CR224" s="1683">
        <v>0</v>
      </c>
      <c r="CS224" s="1683">
        <v>0</v>
      </c>
      <c r="CT224" s="1683">
        <v>0</v>
      </c>
      <c r="CU224" s="1683">
        <v>0</v>
      </c>
      <c r="CV224" s="1683">
        <v>0</v>
      </c>
      <c r="CW224" s="1682"/>
      <c r="CX224" s="1683">
        <v>0</v>
      </c>
      <c r="CY224" s="1683">
        <v>0</v>
      </c>
      <c r="CZ224" s="1683">
        <v>0</v>
      </c>
      <c r="DA224" s="1683">
        <v>0</v>
      </c>
      <c r="DB224" s="1682"/>
      <c r="DC224" s="1326"/>
      <c r="DD224" s="1683">
        <v>0</v>
      </c>
      <c r="DE224" s="1683">
        <v>0</v>
      </c>
      <c r="DF224" s="1683">
        <v>0</v>
      </c>
      <c r="DG224" s="1683">
        <v>0</v>
      </c>
      <c r="DH224" s="1683">
        <v>0</v>
      </c>
    </row>
    <row r="225" spans="1:112" ht="45">
      <c r="A225" s="1326" t="s">
        <v>2231</v>
      </c>
      <c r="B225" s="1326" t="s">
        <v>1697</v>
      </c>
      <c r="C225" s="1326" t="s">
        <v>2559</v>
      </c>
      <c r="D225" s="1326" t="s">
        <v>2560</v>
      </c>
      <c r="E225" s="1326" t="s">
        <v>141</v>
      </c>
      <c r="F225" s="1326" t="s">
        <v>2539</v>
      </c>
      <c r="G225" s="1326" t="s">
        <v>2540</v>
      </c>
      <c r="H225" s="1326" t="s">
        <v>2541</v>
      </c>
      <c r="I225" s="1326" t="s">
        <v>1589</v>
      </c>
      <c r="J225" s="1326" t="s">
        <v>2981</v>
      </c>
      <c r="K225" s="1326" t="s">
        <v>2077</v>
      </c>
      <c r="L225" s="1326" t="s">
        <v>2061</v>
      </c>
      <c r="M225" s="1400"/>
      <c r="N225" s="1400"/>
      <c r="O225" s="1400"/>
      <c r="P225" s="1400"/>
      <c r="Q225" s="1400"/>
      <c r="R225" s="1400"/>
      <c r="S225" s="1400"/>
      <c r="T225" s="1400"/>
      <c r="U225" s="1400"/>
      <c r="V225" s="1400"/>
      <c r="W225" s="1400"/>
      <c r="X225" s="1400"/>
      <c r="Y225" s="1685">
        <v>43419</v>
      </c>
      <c r="Z225" s="1326" t="s">
        <v>2062</v>
      </c>
      <c r="AA225" s="1683">
        <v>0</v>
      </c>
      <c r="AB225" s="1683">
        <v>0</v>
      </c>
      <c r="AC225" s="1683">
        <v>0</v>
      </c>
      <c r="AD225" s="1685">
        <v>43461</v>
      </c>
      <c r="AE225" s="1326" t="s">
        <v>2073</v>
      </c>
      <c r="AF225" s="1326" t="s">
        <v>2064</v>
      </c>
      <c r="AG225" s="1410"/>
      <c r="AH225" s="1683">
        <v>95116.55</v>
      </c>
      <c r="AI225" s="1683">
        <v>95116.55</v>
      </c>
      <c r="AJ225" s="1683">
        <v>69513.600000000006</v>
      </c>
      <c r="AK225" s="1683">
        <v>69513.600000000006</v>
      </c>
      <c r="AL225" s="1683">
        <v>0</v>
      </c>
      <c r="AM225" s="1685">
        <v>43461</v>
      </c>
      <c r="AN225" s="1683">
        <v>95116.55</v>
      </c>
      <c r="AO225" s="1683">
        <v>95116.55</v>
      </c>
      <c r="AP225" s="1683">
        <v>69513.600000000006</v>
      </c>
      <c r="AQ225" s="1683">
        <v>69513.600000000006</v>
      </c>
      <c r="AR225" s="1683">
        <v>0</v>
      </c>
      <c r="AS225" s="1683">
        <v>25602.95</v>
      </c>
      <c r="AT225" s="1683">
        <v>0</v>
      </c>
      <c r="AU225" s="1683">
        <v>25602.95</v>
      </c>
      <c r="AV225" s="1683">
        <v>0</v>
      </c>
      <c r="AW225" s="1683">
        <v>0</v>
      </c>
      <c r="AX225" s="1400"/>
      <c r="AY225" s="1400"/>
      <c r="AZ225" s="1400"/>
      <c r="BA225" s="1682"/>
      <c r="BB225" s="1682"/>
      <c r="BC225" s="1400"/>
      <c r="BD225" s="1400"/>
      <c r="BE225" s="1683">
        <v>95116.55</v>
      </c>
      <c r="BF225" s="1683">
        <v>95116.55</v>
      </c>
      <c r="BG225" s="1683">
        <v>69513.600000000006</v>
      </c>
      <c r="BH225" s="1683">
        <v>69513.600000000006</v>
      </c>
      <c r="BI225" s="1683">
        <v>0</v>
      </c>
      <c r="BJ225" s="1683">
        <v>25602.95</v>
      </c>
      <c r="BK225" s="1683">
        <v>0</v>
      </c>
      <c r="BL225" s="1683">
        <v>25602.95</v>
      </c>
      <c r="BM225" s="1683">
        <v>0</v>
      </c>
      <c r="BN225" s="1683">
        <v>0</v>
      </c>
      <c r="BO225" s="1682"/>
      <c r="BP225" s="1683">
        <v>0</v>
      </c>
      <c r="BQ225" s="1683">
        <v>0</v>
      </c>
      <c r="BR225" s="1683">
        <v>0</v>
      </c>
      <c r="BS225" s="1683">
        <v>0</v>
      </c>
      <c r="BT225" s="1683">
        <v>0</v>
      </c>
      <c r="BU225" s="1683">
        <v>0</v>
      </c>
      <c r="BV225" s="1683">
        <v>0</v>
      </c>
      <c r="BW225" s="1683">
        <v>0</v>
      </c>
      <c r="BX225" s="1683">
        <v>0</v>
      </c>
      <c r="BY225" s="1683">
        <v>0</v>
      </c>
      <c r="BZ225" s="1683">
        <v>0</v>
      </c>
      <c r="CA225" s="1400"/>
      <c r="CB225" s="1682"/>
      <c r="CC225" s="1682"/>
      <c r="CD225" s="1400"/>
      <c r="CE225" s="1400"/>
      <c r="CF225" s="1683">
        <v>0</v>
      </c>
      <c r="CG225" s="1683">
        <v>0</v>
      </c>
      <c r="CH225" s="1683">
        <v>0</v>
      </c>
      <c r="CI225" s="1683">
        <v>0</v>
      </c>
      <c r="CJ225" s="1683">
        <v>0</v>
      </c>
      <c r="CK225" s="1683">
        <v>0</v>
      </c>
      <c r="CL225" s="1682"/>
      <c r="CM225" s="1683">
        <v>0</v>
      </c>
      <c r="CN225" s="1683">
        <v>0</v>
      </c>
      <c r="CO225" s="1683">
        <v>0</v>
      </c>
      <c r="CP225" s="1683">
        <v>0</v>
      </c>
      <c r="CQ225" s="1683">
        <v>0</v>
      </c>
      <c r="CR225" s="1683">
        <v>0</v>
      </c>
      <c r="CS225" s="1683">
        <v>0</v>
      </c>
      <c r="CT225" s="1683">
        <v>0</v>
      </c>
      <c r="CU225" s="1683">
        <v>0</v>
      </c>
      <c r="CV225" s="1683">
        <v>0</v>
      </c>
      <c r="CW225" s="1682"/>
      <c r="CX225" s="1400"/>
      <c r="CY225" s="1400"/>
      <c r="CZ225" s="1400"/>
      <c r="DA225" s="1400"/>
      <c r="DB225" s="1682"/>
      <c r="DC225" s="1326"/>
      <c r="DD225" s="1683">
        <v>0</v>
      </c>
      <c r="DE225" s="1400"/>
      <c r="DF225" s="1400"/>
      <c r="DG225" s="1683">
        <v>0</v>
      </c>
      <c r="DH225" s="1683">
        <v>0</v>
      </c>
    </row>
    <row r="226" spans="1:112" ht="45">
      <c r="A226" s="1326" t="s">
        <v>2232</v>
      </c>
      <c r="B226" s="1326" t="s">
        <v>1697</v>
      </c>
      <c r="C226" s="1326" t="s">
        <v>2559</v>
      </c>
      <c r="D226" s="1326" t="s">
        <v>2560</v>
      </c>
      <c r="E226" s="1326" t="s">
        <v>141</v>
      </c>
      <c r="F226" s="1326" t="s">
        <v>2539</v>
      </c>
      <c r="G226" s="1326" t="s">
        <v>2540</v>
      </c>
      <c r="H226" s="1326" t="s">
        <v>2541</v>
      </c>
      <c r="I226" s="1326" t="s">
        <v>1589</v>
      </c>
      <c r="J226" s="1326" t="s">
        <v>2981</v>
      </c>
      <c r="K226" s="1326" t="s">
        <v>2077</v>
      </c>
      <c r="L226" s="1326" t="s">
        <v>2061</v>
      </c>
      <c r="M226" s="1400"/>
      <c r="N226" s="1400"/>
      <c r="O226" s="1400"/>
      <c r="P226" s="1400"/>
      <c r="Q226" s="1400"/>
      <c r="R226" s="1400"/>
      <c r="S226" s="1400"/>
      <c r="T226" s="1400"/>
      <c r="U226" s="1400"/>
      <c r="V226" s="1400"/>
      <c r="W226" s="1400"/>
      <c r="X226" s="1400"/>
      <c r="Y226" s="1685">
        <v>43496</v>
      </c>
      <c r="Z226" s="1326" t="s">
        <v>2062</v>
      </c>
      <c r="AA226" s="1683">
        <v>0</v>
      </c>
      <c r="AB226" s="1683">
        <v>0</v>
      </c>
      <c r="AC226" s="1683">
        <v>0</v>
      </c>
      <c r="AD226" s="1685">
        <v>43524</v>
      </c>
      <c r="AE226" s="1326" t="s">
        <v>2063</v>
      </c>
      <c r="AF226" s="1326" t="s">
        <v>2067</v>
      </c>
      <c r="AG226" s="1410"/>
      <c r="AH226" s="1683">
        <v>98139.67</v>
      </c>
      <c r="AI226" s="1683">
        <v>98139.67</v>
      </c>
      <c r="AJ226" s="1683">
        <v>71722.98</v>
      </c>
      <c r="AK226" s="1683">
        <v>71722.98</v>
      </c>
      <c r="AL226" s="1683">
        <v>0</v>
      </c>
      <c r="AM226" s="1685">
        <v>43536</v>
      </c>
      <c r="AN226" s="1683">
        <v>98139.67</v>
      </c>
      <c r="AO226" s="1683">
        <v>98139.67</v>
      </c>
      <c r="AP226" s="1683">
        <v>71722.98</v>
      </c>
      <c r="AQ226" s="1683">
        <v>71722.98</v>
      </c>
      <c r="AR226" s="1683">
        <v>0</v>
      </c>
      <c r="AS226" s="1683">
        <v>26416.69</v>
      </c>
      <c r="AT226" s="1683">
        <v>0</v>
      </c>
      <c r="AU226" s="1683">
        <v>26416.69</v>
      </c>
      <c r="AV226" s="1683">
        <v>0</v>
      </c>
      <c r="AW226" s="1683">
        <v>0</v>
      </c>
      <c r="AX226" s="1400"/>
      <c r="AY226" s="1400"/>
      <c r="AZ226" s="1400"/>
      <c r="BA226" s="1682"/>
      <c r="BB226" s="1682"/>
      <c r="BC226" s="1400"/>
      <c r="BD226" s="1400"/>
      <c r="BE226" s="1683">
        <v>98139.67</v>
      </c>
      <c r="BF226" s="1683">
        <v>98139.67</v>
      </c>
      <c r="BG226" s="1683">
        <v>71722.98</v>
      </c>
      <c r="BH226" s="1683">
        <v>71722.98</v>
      </c>
      <c r="BI226" s="1683">
        <v>0</v>
      </c>
      <c r="BJ226" s="1683">
        <v>26416.69</v>
      </c>
      <c r="BK226" s="1683">
        <v>0</v>
      </c>
      <c r="BL226" s="1683">
        <v>26416.69</v>
      </c>
      <c r="BM226" s="1683">
        <v>0</v>
      </c>
      <c r="BN226" s="1683">
        <v>0</v>
      </c>
      <c r="BO226" s="1682"/>
      <c r="BP226" s="1683">
        <v>0</v>
      </c>
      <c r="BQ226" s="1683">
        <v>0</v>
      </c>
      <c r="BR226" s="1683">
        <v>0</v>
      </c>
      <c r="BS226" s="1683">
        <v>0</v>
      </c>
      <c r="BT226" s="1683">
        <v>0</v>
      </c>
      <c r="BU226" s="1683">
        <v>0</v>
      </c>
      <c r="BV226" s="1683">
        <v>0</v>
      </c>
      <c r="BW226" s="1683">
        <v>0</v>
      </c>
      <c r="BX226" s="1683">
        <v>0</v>
      </c>
      <c r="BY226" s="1683">
        <v>0</v>
      </c>
      <c r="BZ226" s="1400"/>
      <c r="CA226" s="1400"/>
      <c r="CB226" s="1682"/>
      <c r="CC226" s="1682"/>
      <c r="CD226" s="1400"/>
      <c r="CE226" s="1400"/>
      <c r="CF226" s="1683">
        <v>0</v>
      </c>
      <c r="CG226" s="1683">
        <v>0</v>
      </c>
      <c r="CH226" s="1683">
        <v>0</v>
      </c>
      <c r="CI226" s="1683">
        <v>0</v>
      </c>
      <c r="CJ226" s="1683">
        <v>0</v>
      </c>
      <c r="CK226" s="1683">
        <v>0</v>
      </c>
      <c r="CL226" s="1682"/>
      <c r="CM226" s="1683">
        <v>0</v>
      </c>
      <c r="CN226" s="1683">
        <v>0</v>
      </c>
      <c r="CO226" s="1683">
        <v>0</v>
      </c>
      <c r="CP226" s="1683">
        <v>0</v>
      </c>
      <c r="CQ226" s="1683">
        <v>0</v>
      </c>
      <c r="CR226" s="1683">
        <v>0</v>
      </c>
      <c r="CS226" s="1683">
        <v>0</v>
      </c>
      <c r="CT226" s="1683">
        <v>0</v>
      </c>
      <c r="CU226" s="1683">
        <v>0</v>
      </c>
      <c r="CV226" s="1683">
        <v>0</v>
      </c>
      <c r="CW226" s="1682"/>
      <c r="CX226" s="1400"/>
      <c r="CY226" s="1400"/>
      <c r="CZ226" s="1400"/>
      <c r="DA226" s="1400"/>
      <c r="DB226" s="1682"/>
      <c r="DC226" s="1326"/>
      <c r="DD226" s="1683">
        <v>0</v>
      </c>
      <c r="DE226" s="1400"/>
      <c r="DF226" s="1400"/>
      <c r="DG226" s="1683">
        <v>0</v>
      </c>
      <c r="DH226" s="1683">
        <v>0</v>
      </c>
    </row>
    <row r="227" spans="1:112" ht="45">
      <c r="A227" s="1326" t="s">
        <v>2233</v>
      </c>
      <c r="B227" s="1326" t="s">
        <v>1697</v>
      </c>
      <c r="C227" s="1326" t="s">
        <v>2559</v>
      </c>
      <c r="D227" s="1326" t="s">
        <v>2560</v>
      </c>
      <c r="E227" s="1326" t="s">
        <v>141</v>
      </c>
      <c r="F227" s="1326" t="s">
        <v>2539</v>
      </c>
      <c r="G227" s="1326" t="s">
        <v>2540</v>
      </c>
      <c r="H227" s="1326" t="s">
        <v>2541</v>
      </c>
      <c r="I227" s="1326" t="s">
        <v>1652</v>
      </c>
      <c r="J227" s="1326" t="s">
        <v>230</v>
      </c>
      <c r="K227" s="1326" t="s">
        <v>2110</v>
      </c>
      <c r="L227" s="1326" t="s">
        <v>2061</v>
      </c>
      <c r="M227" s="1683">
        <v>916566.48</v>
      </c>
      <c r="N227" s="1683">
        <v>0</v>
      </c>
      <c r="O227" s="1683">
        <v>916566.48</v>
      </c>
      <c r="P227" s="1683">
        <v>916566.48</v>
      </c>
      <c r="Q227" s="1683">
        <v>346184.1</v>
      </c>
      <c r="R227" s="1683">
        <v>346184.1</v>
      </c>
      <c r="S227" s="1683">
        <v>0</v>
      </c>
      <c r="T227" s="1683">
        <v>570382.38</v>
      </c>
      <c r="U227" s="1683">
        <v>0</v>
      </c>
      <c r="V227" s="1683">
        <v>570382.38</v>
      </c>
      <c r="W227" s="1683">
        <v>0</v>
      </c>
      <c r="X227" s="1683">
        <v>0</v>
      </c>
      <c r="Y227" s="1682"/>
      <c r="Z227" s="1326"/>
      <c r="AA227" s="1683">
        <v>0</v>
      </c>
      <c r="AB227" s="1683">
        <v>0</v>
      </c>
      <c r="AC227" s="1683">
        <v>0</v>
      </c>
      <c r="AD227" s="1682"/>
      <c r="AE227" s="1326"/>
      <c r="AF227" s="1326"/>
      <c r="AG227" s="1410"/>
      <c r="AH227" s="1683">
        <v>0</v>
      </c>
      <c r="AI227" s="1683">
        <v>103855.23</v>
      </c>
      <c r="AJ227" s="1683">
        <v>103855.23</v>
      </c>
      <c r="AK227" s="1683">
        <v>103855.23</v>
      </c>
      <c r="AL227" s="1683">
        <v>0</v>
      </c>
      <c r="AM227" s="1682"/>
      <c r="AN227" s="1683">
        <v>0</v>
      </c>
      <c r="AO227" s="1683">
        <v>0</v>
      </c>
      <c r="AP227" s="1683">
        <v>0</v>
      </c>
      <c r="AQ227" s="1683">
        <v>0</v>
      </c>
      <c r="AR227" s="1683">
        <v>0</v>
      </c>
      <c r="AS227" s="1683">
        <v>0</v>
      </c>
      <c r="AT227" s="1683">
        <v>0</v>
      </c>
      <c r="AU227" s="1683">
        <v>0</v>
      </c>
      <c r="AV227" s="1683">
        <v>0</v>
      </c>
      <c r="AW227" s="1683">
        <v>0</v>
      </c>
      <c r="AX227" s="1683">
        <v>0</v>
      </c>
      <c r="AY227" s="1683">
        <v>0</v>
      </c>
      <c r="AZ227" s="1683">
        <v>0</v>
      </c>
      <c r="BA227" s="1682"/>
      <c r="BB227" s="1682"/>
      <c r="BC227" s="1683">
        <v>0</v>
      </c>
      <c r="BD227" s="1683">
        <v>0</v>
      </c>
      <c r="BE227" s="1683">
        <v>0</v>
      </c>
      <c r="BF227" s="1683">
        <v>0</v>
      </c>
      <c r="BG227" s="1683">
        <v>0</v>
      </c>
      <c r="BH227" s="1683">
        <v>0</v>
      </c>
      <c r="BI227" s="1683">
        <v>0</v>
      </c>
      <c r="BJ227" s="1683">
        <v>0</v>
      </c>
      <c r="BK227" s="1683">
        <v>0</v>
      </c>
      <c r="BL227" s="1683">
        <v>0</v>
      </c>
      <c r="BM227" s="1683">
        <v>0</v>
      </c>
      <c r="BN227" s="1683">
        <v>0</v>
      </c>
      <c r="BO227" s="1682"/>
      <c r="BP227" s="1683">
        <v>0</v>
      </c>
      <c r="BQ227" s="1683">
        <v>0</v>
      </c>
      <c r="BR227" s="1683">
        <v>0</v>
      </c>
      <c r="BS227" s="1683">
        <v>0</v>
      </c>
      <c r="BT227" s="1683">
        <v>0</v>
      </c>
      <c r="BU227" s="1683">
        <v>0</v>
      </c>
      <c r="BV227" s="1683">
        <v>0</v>
      </c>
      <c r="BW227" s="1683">
        <v>0</v>
      </c>
      <c r="BX227" s="1683">
        <v>0</v>
      </c>
      <c r="BY227" s="1683">
        <v>0</v>
      </c>
      <c r="BZ227" s="1400"/>
      <c r="CA227" s="1683">
        <v>0</v>
      </c>
      <c r="CB227" s="1682"/>
      <c r="CC227" s="1682"/>
      <c r="CD227" s="1683">
        <v>0</v>
      </c>
      <c r="CE227" s="1683">
        <v>0</v>
      </c>
      <c r="CF227" s="1683">
        <v>0</v>
      </c>
      <c r="CG227" s="1683">
        <v>0</v>
      </c>
      <c r="CH227" s="1683">
        <v>0</v>
      </c>
      <c r="CI227" s="1683">
        <v>0</v>
      </c>
      <c r="CJ227" s="1683">
        <v>0</v>
      </c>
      <c r="CK227" s="1683">
        <v>0</v>
      </c>
      <c r="CL227" s="1682"/>
      <c r="CM227" s="1683">
        <v>0</v>
      </c>
      <c r="CN227" s="1683">
        <v>0</v>
      </c>
      <c r="CO227" s="1683">
        <v>0</v>
      </c>
      <c r="CP227" s="1683">
        <v>0</v>
      </c>
      <c r="CQ227" s="1683">
        <v>0</v>
      </c>
      <c r="CR227" s="1683">
        <v>0</v>
      </c>
      <c r="CS227" s="1683">
        <v>0</v>
      </c>
      <c r="CT227" s="1683">
        <v>0</v>
      </c>
      <c r="CU227" s="1683">
        <v>0</v>
      </c>
      <c r="CV227" s="1683">
        <v>0</v>
      </c>
      <c r="CW227" s="1682"/>
      <c r="CX227" s="1683">
        <v>0</v>
      </c>
      <c r="CY227" s="1683">
        <v>0</v>
      </c>
      <c r="CZ227" s="1683">
        <v>0</v>
      </c>
      <c r="DA227" s="1683">
        <v>0</v>
      </c>
      <c r="DB227" s="1682"/>
      <c r="DC227" s="1326"/>
      <c r="DD227" s="1683">
        <v>0</v>
      </c>
      <c r="DE227" s="1683">
        <v>0</v>
      </c>
      <c r="DF227" s="1683">
        <v>0</v>
      </c>
      <c r="DG227" s="1683">
        <v>0</v>
      </c>
      <c r="DH227" s="1683">
        <v>0</v>
      </c>
    </row>
    <row r="228" spans="1:112" ht="45">
      <c r="A228" s="1326" t="s">
        <v>2234</v>
      </c>
      <c r="B228" s="1326" t="s">
        <v>1697</v>
      </c>
      <c r="C228" s="1326" t="s">
        <v>2559</v>
      </c>
      <c r="D228" s="1326" t="s">
        <v>2560</v>
      </c>
      <c r="E228" s="1326" t="s">
        <v>141</v>
      </c>
      <c r="F228" s="1326" t="s">
        <v>2539</v>
      </c>
      <c r="G228" s="1326" t="s">
        <v>2540</v>
      </c>
      <c r="H228" s="1326" t="s">
        <v>2541</v>
      </c>
      <c r="I228" s="1326" t="s">
        <v>1652</v>
      </c>
      <c r="J228" s="1326" t="s">
        <v>230</v>
      </c>
      <c r="K228" s="1326" t="s">
        <v>2110</v>
      </c>
      <c r="L228" s="1326" t="s">
        <v>2061</v>
      </c>
      <c r="M228" s="1400"/>
      <c r="N228" s="1400"/>
      <c r="O228" s="1400"/>
      <c r="P228" s="1400"/>
      <c r="Q228" s="1400"/>
      <c r="R228" s="1400"/>
      <c r="S228" s="1400"/>
      <c r="T228" s="1400"/>
      <c r="U228" s="1400"/>
      <c r="V228" s="1400"/>
      <c r="W228" s="1400"/>
      <c r="X228" s="1400"/>
      <c r="Y228" s="1685">
        <v>43500</v>
      </c>
      <c r="Z228" s="1326" t="s">
        <v>2096</v>
      </c>
      <c r="AA228" s="1683">
        <v>0</v>
      </c>
      <c r="AB228" s="1683">
        <v>0</v>
      </c>
      <c r="AC228" s="1683">
        <v>0</v>
      </c>
      <c r="AD228" s="1685">
        <v>43514</v>
      </c>
      <c r="AE228" s="1326" t="s">
        <v>2073</v>
      </c>
      <c r="AF228" s="1326" t="s">
        <v>2064</v>
      </c>
      <c r="AG228" s="1410"/>
      <c r="AH228" s="1683">
        <v>0</v>
      </c>
      <c r="AI228" s="1683">
        <v>103855.23</v>
      </c>
      <c r="AJ228" s="1683">
        <v>103855.23</v>
      </c>
      <c r="AK228" s="1683">
        <v>103855.23</v>
      </c>
      <c r="AL228" s="1683">
        <v>0</v>
      </c>
      <c r="AM228" s="1682"/>
      <c r="AN228" s="1683">
        <v>0</v>
      </c>
      <c r="AO228" s="1683">
        <v>0</v>
      </c>
      <c r="AP228" s="1683">
        <v>0</v>
      </c>
      <c r="AQ228" s="1683">
        <v>0</v>
      </c>
      <c r="AR228" s="1683">
        <v>0</v>
      </c>
      <c r="AS228" s="1683">
        <v>0</v>
      </c>
      <c r="AT228" s="1683">
        <v>0</v>
      </c>
      <c r="AU228" s="1683">
        <v>0</v>
      </c>
      <c r="AV228" s="1683">
        <v>0</v>
      </c>
      <c r="AW228" s="1683">
        <v>0</v>
      </c>
      <c r="AX228" s="1400"/>
      <c r="AY228" s="1400"/>
      <c r="AZ228" s="1400"/>
      <c r="BA228" s="1682"/>
      <c r="BB228" s="1682"/>
      <c r="BC228" s="1400"/>
      <c r="BD228" s="1400"/>
      <c r="BE228" s="1683">
        <v>0</v>
      </c>
      <c r="BF228" s="1683">
        <v>0</v>
      </c>
      <c r="BG228" s="1683">
        <v>0</v>
      </c>
      <c r="BH228" s="1683">
        <v>0</v>
      </c>
      <c r="BI228" s="1683">
        <v>0</v>
      </c>
      <c r="BJ228" s="1683">
        <v>0</v>
      </c>
      <c r="BK228" s="1683">
        <v>0</v>
      </c>
      <c r="BL228" s="1683">
        <v>0</v>
      </c>
      <c r="BM228" s="1683">
        <v>0</v>
      </c>
      <c r="BN228" s="1683">
        <v>0</v>
      </c>
      <c r="BO228" s="1682"/>
      <c r="BP228" s="1683">
        <v>0</v>
      </c>
      <c r="BQ228" s="1683">
        <v>0</v>
      </c>
      <c r="BR228" s="1683">
        <v>0</v>
      </c>
      <c r="BS228" s="1683">
        <v>0</v>
      </c>
      <c r="BT228" s="1683">
        <v>0</v>
      </c>
      <c r="BU228" s="1683">
        <v>0</v>
      </c>
      <c r="BV228" s="1683">
        <v>0</v>
      </c>
      <c r="BW228" s="1683">
        <v>0</v>
      </c>
      <c r="BX228" s="1683">
        <v>0</v>
      </c>
      <c r="BY228" s="1683">
        <v>0</v>
      </c>
      <c r="BZ228" s="1400"/>
      <c r="CA228" s="1400"/>
      <c r="CB228" s="1682"/>
      <c r="CC228" s="1682"/>
      <c r="CD228" s="1400"/>
      <c r="CE228" s="1400"/>
      <c r="CF228" s="1683">
        <v>0</v>
      </c>
      <c r="CG228" s="1683">
        <v>0</v>
      </c>
      <c r="CH228" s="1683">
        <v>0</v>
      </c>
      <c r="CI228" s="1683">
        <v>0</v>
      </c>
      <c r="CJ228" s="1683">
        <v>0</v>
      </c>
      <c r="CK228" s="1683">
        <v>0</v>
      </c>
      <c r="CL228" s="1682"/>
      <c r="CM228" s="1683">
        <v>0</v>
      </c>
      <c r="CN228" s="1683">
        <v>0</v>
      </c>
      <c r="CO228" s="1683">
        <v>0</v>
      </c>
      <c r="CP228" s="1683">
        <v>0</v>
      </c>
      <c r="CQ228" s="1683">
        <v>0</v>
      </c>
      <c r="CR228" s="1683">
        <v>0</v>
      </c>
      <c r="CS228" s="1683">
        <v>0</v>
      </c>
      <c r="CT228" s="1683">
        <v>0</v>
      </c>
      <c r="CU228" s="1683">
        <v>0</v>
      </c>
      <c r="CV228" s="1683">
        <v>0</v>
      </c>
      <c r="CW228" s="1682"/>
      <c r="CX228" s="1400"/>
      <c r="CY228" s="1400"/>
      <c r="CZ228" s="1400"/>
      <c r="DA228" s="1400"/>
      <c r="DB228" s="1682"/>
      <c r="DC228" s="1326"/>
      <c r="DD228" s="1683">
        <v>0</v>
      </c>
      <c r="DE228" s="1400"/>
      <c r="DF228" s="1400"/>
      <c r="DG228" s="1683">
        <v>0</v>
      </c>
      <c r="DH228" s="1683">
        <v>0</v>
      </c>
    </row>
    <row r="229" spans="1:112">
      <c r="A229" s="1326" t="s">
        <v>2235</v>
      </c>
      <c r="B229" s="1326" t="s">
        <v>1700</v>
      </c>
      <c r="C229" s="1326"/>
      <c r="D229" s="1326"/>
      <c r="E229" s="1326"/>
      <c r="F229" s="1326"/>
      <c r="G229" s="1326"/>
      <c r="H229" s="1326"/>
      <c r="I229" s="1326"/>
      <c r="J229" s="1326"/>
      <c r="K229" s="1326"/>
      <c r="L229" s="1326"/>
      <c r="M229" s="1683">
        <v>6680145.2199999997</v>
      </c>
      <c r="N229" s="1683">
        <v>0</v>
      </c>
      <c r="O229" s="1683">
        <v>6680145.2199999997</v>
      </c>
      <c r="P229" s="1683">
        <v>6680145.2199999997</v>
      </c>
      <c r="Q229" s="1683">
        <v>5288682.8099999996</v>
      </c>
      <c r="R229" s="1683">
        <v>4957019.0999999996</v>
      </c>
      <c r="S229" s="1683">
        <v>331663.71000000002</v>
      </c>
      <c r="T229" s="1683">
        <v>1391462.41</v>
      </c>
      <c r="U229" s="1683">
        <v>352400.82</v>
      </c>
      <c r="V229" s="1683">
        <v>1039061.59</v>
      </c>
      <c r="W229" s="1683">
        <v>0</v>
      </c>
      <c r="X229" s="1683">
        <v>0</v>
      </c>
      <c r="Y229" s="1682"/>
      <c r="Z229" s="1326"/>
      <c r="AA229" s="1683">
        <v>707163.79</v>
      </c>
      <c r="AB229" s="1683">
        <v>649699.66</v>
      </c>
      <c r="AC229" s="1683">
        <v>57464.13</v>
      </c>
      <c r="AD229" s="1682"/>
      <c r="AE229" s="1326"/>
      <c r="AF229" s="1326"/>
      <c r="AG229" s="1410"/>
      <c r="AH229" s="1683">
        <v>3982043.44</v>
      </c>
      <c r="AI229" s="1683">
        <v>5265956.59</v>
      </c>
      <c r="AJ229" s="1683">
        <v>3653067.02</v>
      </c>
      <c r="AK229" s="1683">
        <v>3395910.17</v>
      </c>
      <c r="AL229" s="1683">
        <v>257156.85</v>
      </c>
      <c r="AM229" s="1682"/>
      <c r="AN229" s="1683">
        <v>3961067.81</v>
      </c>
      <c r="AO229" s="1683">
        <v>3961067.81</v>
      </c>
      <c r="AP229" s="1683">
        <v>3128880.03</v>
      </c>
      <c r="AQ229" s="1683">
        <v>2905822.62</v>
      </c>
      <c r="AR229" s="1683">
        <v>223057.41</v>
      </c>
      <c r="AS229" s="1683">
        <v>832187.78</v>
      </c>
      <c r="AT229" s="1683">
        <v>318879.01</v>
      </c>
      <c r="AU229" s="1683">
        <v>513308.77</v>
      </c>
      <c r="AV229" s="1683">
        <v>0</v>
      </c>
      <c r="AW229" s="1683">
        <v>0</v>
      </c>
      <c r="AX229" s="1683">
        <v>0</v>
      </c>
      <c r="AY229" s="1683">
        <v>0</v>
      </c>
      <c r="AZ229" s="1683">
        <v>0</v>
      </c>
      <c r="BA229" s="1682"/>
      <c r="BB229" s="1682"/>
      <c r="BC229" s="1683">
        <v>0</v>
      </c>
      <c r="BD229" s="1683">
        <v>0</v>
      </c>
      <c r="BE229" s="1683">
        <v>3961067.81</v>
      </c>
      <c r="BF229" s="1683">
        <v>3961067.81</v>
      </c>
      <c r="BG229" s="1683">
        <v>3128880.03</v>
      </c>
      <c r="BH229" s="1683">
        <v>2905822.62</v>
      </c>
      <c r="BI229" s="1683">
        <v>223057.41</v>
      </c>
      <c r="BJ229" s="1683">
        <v>832187.78</v>
      </c>
      <c r="BK229" s="1683">
        <v>318879.01</v>
      </c>
      <c r="BL229" s="1683">
        <v>513308.77</v>
      </c>
      <c r="BM229" s="1683">
        <v>0</v>
      </c>
      <c r="BN229" s="1683">
        <v>0</v>
      </c>
      <c r="BO229" s="1682"/>
      <c r="BP229" s="1683">
        <v>3569802.03</v>
      </c>
      <c r="BQ229" s="1683">
        <v>3569802.03</v>
      </c>
      <c r="BR229" s="1683">
        <v>2815162.94</v>
      </c>
      <c r="BS229" s="1683">
        <v>2608703.09</v>
      </c>
      <c r="BT229" s="1683">
        <v>206459.85</v>
      </c>
      <c r="BU229" s="1683">
        <v>754639.09</v>
      </c>
      <c r="BV229" s="1683">
        <v>318879.01</v>
      </c>
      <c r="BW229" s="1683">
        <v>29787.21</v>
      </c>
      <c r="BX229" s="1683">
        <v>0</v>
      </c>
      <c r="BY229" s="1683">
        <v>0</v>
      </c>
      <c r="BZ229" s="1683">
        <v>0</v>
      </c>
      <c r="CA229" s="1683">
        <v>0</v>
      </c>
      <c r="CB229" s="1682"/>
      <c r="CC229" s="1682"/>
      <c r="CD229" s="1683">
        <v>4827.1099999999997</v>
      </c>
      <c r="CE229" s="1683">
        <v>4827.1099999999997</v>
      </c>
      <c r="CF229" s="1683">
        <v>0</v>
      </c>
      <c r="CG229" s="1683">
        <v>0</v>
      </c>
      <c r="CH229" s="1683">
        <v>0</v>
      </c>
      <c r="CI229" s="1683">
        <v>0</v>
      </c>
      <c r="CJ229" s="1683">
        <v>28024.720000000001</v>
      </c>
      <c r="CK229" s="1683">
        <v>28024.720000000001</v>
      </c>
      <c r="CL229" s="1682"/>
      <c r="CM229" s="1683">
        <v>471681.2</v>
      </c>
      <c r="CN229" s="1683">
        <v>471681.2</v>
      </c>
      <c r="CO229" s="1683">
        <v>438818.25</v>
      </c>
      <c r="CP229" s="1683">
        <v>397732.54</v>
      </c>
      <c r="CQ229" s="1683">
        <v>41085.71</v>
      </c>
      <c r="CR229" s="1683">
        <v>32862.949999999997</v>
      </c>
      <c r="CS229" s="1683">
        <v>3075.74</v>
      </c>
      <c r="CT229" s="1683">
        <v>29787.21</v>
      </c>
      <c r="CU229" s="1683">
        <v>0</v>
      </c>
      <c r="CV229" s="1683">
        <v>0</v>
      </c>
      <c r="CW229" s="1682"/>
      <c r="CX229" s="1683">
        <v>-4827.1099999999997</v>
      </c>
      <c r="CY229" s="1683">
        <v>-4827.1099999999997</v>
      </c>
      <c r="CZ229" s="1683">
        <v>466854.09</v>
      </c>
      <c r="DA229" s="1683">
        <v>466854.09</v>
      </c>
      <c r="DB229" s="1682"/>
      <c r="DC229" s="1326"/>
      <c r="DD229" s="1683">
        <v>0</v>
      </c>
      <c r="DE229" s="1683">
        <v>0</v>
      </c>
      <c r="DF229" s="1683">
        <v>0</v>
      </c>
      <c r="DG229" s="1683">
        <v>0</v>
      </c>
      <c r="DH229" s="1683">
        <v>0</v>
      </c>
    </row>
    <row r="230" spans="1:112">
      <c r="A230" s="1326" t="s">
        <v>2236</v>
      </c>
      <c r="B230" s="1326" t="s">
        <v>1700</v>
      </c>
      <c r="C230" s="1326" t="s">
        <v>2561</v>
      </c>
      <c r="D230" s="1326"/>
      <c r="E230" s="1326"/>
      <c r="F230" s="1326"/>
      <c r="G230" s="1326"/>
      <c r="H230" s="1326"/>
      <c r="I230" s="1326"/>
      <c r="J230" s="1326"/>
      <c r="K230" s="1326"/>
      <c r="L230" s="1326"/>
      <c r="M230" s="1683">
        <v>6680145.2199999997</v>
      </c>
      <c r="N230" s="1683">
        <v>0</v>
      </c>
      <c r="O230" s="1683">
        <v>6680145.2199999997</v>
      </c>
      <c r="P230" s="1683">
        <v>6680145.2199999997</v>
      </c>
      <c r="Q230" s="1683">
        <v>5288682.8099999996</v>
      </c>
      <c r="R230" s="1683">
        <v>4957019.0999999996</v>
      </c>
      <c r="S230" s="1683">
        <v>331663.71000000002</v>
      </c>
      <c r="T230" s="1683">
        <v>1391462.41</v>
      </c>
      <c r="U230" s="1683">
        <v>352400.82</v>
      </c>
      <c r="V230" s="1683">
        <v>1039061.59</v>
      </c>
      <c r="W230" s="1683">
        <v>0</v>
      </c>
      <c r="X230" s="1683">
        <v>0</v>
      </c>
      <c r="Y230" s="1682"/>
      <c r="Z230" s="1326"/>
      <c r="AA230" s="1683">
        <v>707163.79</v>
      </c>
      <c r="AB230" s="1683">
        <v>649699.66</v>
      </c>
      <c r="AC230" s="1683">
        <v>57464.13</v>
      </c>
      <c r="AD230" s="1682"/>
      <c r="AE230" s="1326"/>
      <c r="AF230" s="1326"/>
      <c r="AG230" s="1410"/>
      <c r="AH230" s="1683">
        <v>3982043.44</v>
      </c>
      <c r="AI230" s="1683">
        <v>5265956.59</v>
      </c>
      <c r="AJ230" s="1683">
        <v>3653067.02</v>
      </c>
      <c r="AK230" s="1683">
        <v>3395910.17</v>
      </c>
      <c r="AL230" s="1683">
        <v>257156.85</v>
      </c>
      <c r="AM230" s="1682"/>
      <c r="AN230" s="1683">
        <v>3961067.81</v>
      </c>
      <c r="AO230" s="1683">
        <v>3961067.81</v>
      </c>
      <c r="AP230" s="1683">
        <v>3128880.03</v>
      </c>
      <c r="AQ230" s="1683">
        <v>2905822.62</v>
      </c>
      <c r="AR230" s="1683">
        <v>223057.41</v>
      </c>
      <c r="AS230" s="1683">
        <v>832187.78</v>
      </c>
      <c r="AT230" s="1683">
        <v>318879.01</v>
      </c>
      <c r="AU230" s="1683">
        <v>513308.77</v>
      </c>
      <c r="AV230" s="1683">
        <v>0</v>
      </c>
      <c r="AW230" s="1683">
        <v>0</v>
      </c>
      <c r="AX230" s="1683">
        <v>0</v>
      </c>
      <c r="AY230" s="1683">
        <v>0</v>
      </c>
      <c r="AZ230" s="1683">
        <v>0</v>
      </c>
      <c r="BA230" s="1682"/>
      <c r="BB230" s="1682"/>
      <c r="BC230" s="1683">
        <v>0</v>
      </c>
      <c r="BD230" s="1683">
        <v>0</v>
      </c>
      <c r="BE230" s="1683">
        <v>3961067.81</v>
      </c>
      <c r="BF230" s="1683">
        <v>3961067.81</v>
      </c>
      <c r="BG230" s="1683">
        <v>3128880.03</v>
      </c>
      <c r="BH230" s="1683">
        <v>2905822.62</v>
      </c>
      <c r="BI230" s="1683">
        <v>223057.41</v>
      </c>
      <c r="BJ230" s="1683">
        <v>832187.78</v>
      </c>
      <c r="BK230" s="1683">
        <v>318879.01</v>
      </c>
      <c r="BL230" s="1683">
        <v>513308.77</v>
      </c>
      <c r="BM230" s="1683">
        <v>0</v>
      </c>
      <c r="BN230" s="1683">
        <v>0</v>
      </c>
      <c r="BO230" s="1682"/>
      <c r="BP230" s="1683">
        <v>3569802.03</v>
      </c>
      <c r="BQ230" s="1683">
        <v>3569802.03</v>
      </c>
      <c r="BR230" s="1683">
        <v>2815162.94</v>
      </c>
      <c r="BS230" s="1683">
        <v>2608703.09</v>
      </c>
      <c r="BT230" s="1683">
        <v>206459.85</v>
      </c>
      <c r="BU230" s="1683">
        <v>754639.09</v>
      </c>
      <c r="BV230" s="1683">
        <v>318879.01</v>
      </c>
      <c r="BW230" s="1683">
        <v>29787.21</v>
      </c>
      <c r="BX230" s="1683">
        <v>0</v>
      </c>
      <c r="BY230" s="1683">
        <v>0</v>
      </c>
      <c r="BZ230" s="1683">
        <v>0</v>
      </c>
      <c r="CA230" s="1683">
        <v>0</v>
      </c>
      <c r="CB230" s="1682"/>
      <c r="CC230" s="1682"/>
      <c r="CD230" s="1683">
        <v>4827.1099999999997</v>
      </c>
      <c r="CE230" s="1683">
        <v>4827.1099999999997</v>
      </c>
      <c r="CF230" s="1683">
        <v>0</v>
      </c>
      <c r="CG230" s="1683">
        <v>0</v>
      </c>
      <c r="CH230" s="1683">
        <v>0</v>
      </c>
      <c r="CI230" s="1683">
        <v>0</v>
      </c>
      <c r="CJ230" s="1683">
        <v>28024.720000000001</v>
      </c>
      <c r="CK230" s="1683">
        <v>28024.720000000001</v>
      </c>
      <c r="CL230" s="1682"/>
      <c r="CM230" s="1683">
        <v>471681.2</v>
      </c>
      <c r="CN230" s="1683">
        <v>471681.2</v>
      </c>
      <c r="CO230" s="1683">
        <v>438818.25</v>
      </c>
      <c r="CP230" s="1683">
        <v>397732.54</v>
      </c>
      <c r="CQ230" s="1683">
        <v>41085.71</v>
      </c>
      <c r="CR230" s="1683">
        <v>32862.949999999997</v>
      </c>
      <c r="CS230" s="1683">
        <v>3075.74</v>
      </c>
      <c r="CT230" s="1683">
        <v>29787.21</v>
      </c>
      <c r="CU230" s="1683">
        <v>0</v>
      </c>
      <c r="CV230" s="1683">
        <v>0</v>
      </c>
      <c r="CW230" s="1682"/>
      <c r="CX230" s="1683">
        <v>-4827.1099999999997</v>
      </c>
      <c r="CY230" s="1683">
        <v>-4827.1099999999997</v>
      </c>
      <c r="CZ230" s="1683">
        <v>466854.09</v>
      </c>
      <c r="DA230" s="1683">
        <v>466854.09</v>
      </c>
      <c r="DB230" s="1682"/>
      <c r="DC230" s="1326"/>
      <c r="DD230" s="1683">
        <v>0</v>
      </c>
      <c r="DE230" s="1683">
        <v>0</v>
      </c>
      <c r="DF230" s="1683">
        <v>0</v>
      </c>
      <c r="DG230" s="1683">
        <v>0</v>
      </c>
      <c r="DH230" s="1683">
        <v>0</v>
      </c>
    </row>
    <row r="231" spans="1:112">
      <c r="A231" s="1326" t="s">
        <v>2237</v>
      </c>
      <c r="B231" s="1326" t="s">
        <v>1700</v>
      </c>
      <c r="C231" s="1326" t="s">
        <v>2561</v>
      </c>
      <c r="D231" s="1326" t="s">
        <v>2562</v>
      </c>
      <c r="E231" s="1326"/>
      <c r="F231" s="1326"/>
      <c r="G231" s="1326"/>
      <c r="H231" s="1326"/>
      <c r="I231" s="1326"/>
      <c r="J231" s="1326"/>
      <c r="K231" s="1326"/>
      <c r="L231" s="1326"/>
      <c r="M231" s="1683">
        <v>6680145.2199999997</v>
      </c>
      <c r="N231" s="1683">
        <v>0</v>
      </c>
      <c r="O231" s="1683">
        <v>6680145.2199999997</v>
      </c>
      <c r="P231" s="1683">
        <v>6680145.2199999997</v>
      </c>
      <c r="Q231" s="1683">
        <v>5288682.8099999996</v>
      </c>
      <c r="R231" s="1683">
        <v>4957019.0999999996</v>
      </c>
      <c r="S231" s="1683">
        <v>331663.71000000002</v>
      </c>
      <c r="T231" s="1683">
        <v>1391462.41</v>
      </c>
      <c r="U231" s="1683">
        <v>352400.82</v>
      </c>
      <c r="V231" s="1683">
        <v>1039061.59</v>
      </c>
      <c r="W231" s="1683">
        <v>0</v>
      </c>
      <c r="X231" s="1683">
        <v>0</v>
      </c>
      <c r="Y231" s="1682"/>
      <c r="Z231" s="1326"/>
      <c r="AA231" s="1683">
        <v>707163.79</v>
      </c>
      <c r="AB231" s="1683">
        <v>649699.66</v>
      </c>
      <c r="AC231" s="1683">
        <v>57464.13</v>
      </c>
      <c r="AD231" s="1682"/>
      <c r="AE231" s="1326"/>
      <c r="AF231" s="1326"/>
      <c r="AG231" s="1410"/>
      <c r="AH231" s="1683">
        <v>3982043.44</v>
      </c>
      <c r="AI231" s="1683">
        <v>5265956.59</v>
      </c>
      <c r="AJ231" s="1683">
        <v>3653067.02</v>
      </c>
      <c r="AK231" s="1683">
        <v>3395910.17</v>
      </c>
      <c r="AL231" s="1683">
        <v>257156.85</v>
      </c>
      <c r="AM231" s="1682"/>
      <c r="AN231" s="1683">
        <v>3961067.81</v>
      </c>
      <c r="AO231" s="1683">
        <v>3961067.81</v>
      </c>
      <c r="AP231" s="1683">
        <v>3128880.03</v>
      </c>
      <c r="AQ231" s="1683">
        <v>2905822.62</v>
      </c>
      <c r="AR231" s="1683">
        <v>223057.41</v>
      </c>
      <c r="AS231" s="1683">
        <v>832187.78</v>
      </c>
      <c r="AT231" s="1683">
        <v>318879.01</v>
      </c>
      <c r="AU231" s="1683">
        <v>513308.77</v>
      </c>
      <c r="AV231" s="1683">
        <v>0</v>
      </c>
      <c r="AW231" s="1683">
        <v>0</v>
      </c>
      <c r="AX231" s="1683">
        <v>0</v>
      </c>
      <c r="AY231" s="1683">
        <v>0</v>
      </c>
      <c r="AZ231" s="1683">
        <v>0</v>
      </c>
      <c r="BA231" s="1682"/>
      <c r="BB231" s="1682"/>
      <c r="BC231" s="1683">
        <v>0</v>
      </c>
      <c r="BD231" s="1683">
        <v>0</v>
      </c>
      <c r="BE231" s="1683">
        <v>3961067.81</v>
      </c>
      <c r="BF231" s="1683">
        <v>3961067.81</v>
      </c>
      <c r="BG231" s="1683">
        <v>3128880.03</v>
      </c>
      <c r="BH231" s="1683">
        <v>2905822.62</v>
      </c>
      <c r="BI231" s="1683">
        <v>223057.41</v>
      </c>
      <c r="BJ231" s="1683">
        <v>832187.78</v>
      </c>
      <c r="BK231" s="1683">
        <v>318879.01</v>
      </c>
      <c r="BL231" s="1683">
        <v>513308.77</v>
      </c>
      <c r="BM231" s="1683">
        <v>0</v>
      </c>
      <c r="BN231" s="1683">
        <v>0</v>
      </c>
      <c r="BO231" s="1682"/>
      <c r="BP231" s="1683">
        <v>3569802.03</v>
      </c>
      <c r="BQ231" s="1683">
        <v>3569802.03</v>
      </c>
      <c r="BR231" s="1683">
        <v>2815162.94</v>
      </c>
      <c r="BS231" s="1683">
        <v>2608703.09</v>
      </c>
      <c r="BT231" s="1683">
        <v>206459.85</v>
      </c>
      <c r="BU231" s="1683">
        <v>754639.09</v>
      </c>
      <c r="BV231" s="1683">
        <v>318879.01</v>
      </c>
      <c r="BW231" s="1683">
        <v>29787.21</v>
      </c>
      <c r="BX231" s="1683">
        <v>0</v>
      </c>
      <c r="BY231" s="1683">
        <v>0</v>
      </c>
      <c r="BZ231" s="1683">
        <v>0</v>
      </c>
      <c r="CA231" s="1683">
        <v>0</v>
      </c>
      <c r="CB231" s="1682"/>
      <c r="CC231" s="1682"/>
      <c r="CD231" s="1683">
        <v>4827.1099999999997</v>
      </c>
      <c r="CE231" s="1683">
        <v>4827.1099999999997</v>
      </c>
      <c r="CF231" s="1683">
        <v>0</v>
      </c>
      <c r="CG231" s="1683">
        <v>0</v>
      </c>
      <c r="CH231" s="1683">
        <v>0</v>
      </c>
      <c r="CI231" s="1683">
        <v>0</v>
      </c>
      <c r="CJ231" s="1683">
        <v>28024.720000000001</v>
      </c>
      <c r="CK231" s="1683">
        <v>28024.720000000001</v>
      </c>
      <c r="CL231" s="1682"/>
      <c r="CM231" s="1683">
        <v>471681.2</v>
      </c>
      <c r="CN231" s="1683">
        <v>471681.2</v>
      </c>
      <c r="CO231" s="1683">
        <v>438818.25</v>
      </c>
      <c r="CP231" s="1683">
        <v>397732.54</v>
      </c>
      <c r="CQ231" s="1683">
        <v>41085.71</v>
      </c>
      <c r="CR231" s="1683">
        <v>32862.949999999997</v>
      </c>
      <c r="CS231" s="1683">
        <v>3075.74</v>
      </c>
      <c r="CT231" s="1683">
        <v>29787.21</v>
      </c>
      <c r="CU231" s="1683">
        <v>0</v>
      </c>
      <c r="CV231" s="1683">
        <v>0</v>
      </c>
      <c r="CW231" s="1682"/>
      <c r="CX231" s="1683">
        <v>-4827.1099999999997</v>
      </c>
      <c r="CY231" s="1683">
        <v>-4827.1099999999997</v>
      </c>
      <c r="CZ231" s="1683">
        <v>466854.09</v>
      </c>
      <c r="DA231" s="1683">
        <v>466854.09</v>
      </c>
      <c r="DB231" s="1682"/>
      <c r="DC231" s="1326"/>
      <c r="DD231" s="1683">
        <v>0</v>
      </c>
      <c r="DE231" s="1683">
        <v>0</v>
      </c>
      <c r="DF231" s="1683">
        <v>0</v>
      </c>
      <c r="DG231" s="1683">
        <v>0</v>
      </c>
      <c r="DH231" s="1683">
        <v>0</v>
      </c>
    </row>
    <row r="232" spans="1:112">
      <c r="A232" s="1326" t="s">
        <v>2238</v>
      </c>
      <c r="B232" s="1326" t="s">
        <v>1700</v>
      </c>
      <c r="C232" s="1326" t="s">
        <v>2561</v>
      </c>
      <c r="D232" s="1326" t="s">
        <v>2562</v>
      </c>
      <c r="E232" s="1326" t="s">
        <v>145</v>
      </c>
      <c r="F232" s="1326"/>
      <c r="G232" s="1326"/>
      <c r="H232" s="1326"/>
      <c r="I232" s="1326"/>
      <c r="J232" s="1326"/>
      <c r="K232" s="1326"/>
      <c r="L232" s="1326"/>
      <c r="M232" s="1683">
        <v>3889018.71</v>
      </c>
      <c r="N232" s="1683">
        <v>0</v>
      </c>
      <c r="O232" s="1683">
        <v>3889018.71</v>
      </c>
      <c r="P232" s="1683">
        <v>3889018.71</v>
      </c>
      <c r="Q232" s="1683">
        <v>3464256.14</v>
      </c>
      <c r="R232" s="1683">
        <v>3183370.51</v>
      </c>
      <c r="S232" s="1683">
        <v>280885.63</v>
      </c>
      <c r="T232" s="1683">
        <v>424762.57</v>
      </c>
      <c r="U232" s="1683">
        <v>0</v>
      </c>
      <c r="V232" s="1683">
        <v>424762.57</v>
      </c>
      <c r="W232" s="1683">
        <v>0</v>
      </c>
      <c r="X232" s="1683">
        <v>0</v>
      </c>
      <c r="Y232" s="1682"/>
      <c r="Z232" s="1326"/>
      <c r="AA232" s="1683">
        <v>493312.24</v>
      </c>
      <c r="AB232" s="1683">
        <v>443641.13</v>
      </c>
      <c r="AC232" s="1683">
        <v>49671.11</v>
      </c>
      <c r="AD232" s="1682"/>
      <c r="AE232" s="1326"/>
      <c r="AF232" s="1326"/>
      <c r="AG232" s="1410"/>
      <c r="AH232" s="1683">
        <v>2188085.23</v>
      </c>
      <c r="AI232" s="1683">
        <v>3074257.23</v>
      </c>
      <c r="AJ232" s="1683">
        <v>2346641.16</v>
      </c>
      <c r="AK232" s="1683">
        <v>2130095.73</v>
      </c>
      <c r="AL232" s="1683">
        <v>216545.43</v>
      </c>
      <c r="AM232" s="1682"/>
      <c r="AN232" s="1683">
        <v>2188085.23</v>
      </c>
      <c r="AO232" s="1683">
        <v>2188085.23</v>
      </c>
      <c r="AP232" s="1683">
        <v>2017846.3</v>
      </c>
      <c r="AQ232" s="1683">
        <v>1827959.9</v>
      </c>
      <c r="AR232" s="1683">
        <v>189886.4</v>
      </c>
      <c r="AS232" s="1683">
        <v>170238.93</v>
      </c>
      <c r="AT232" s="1683">
        <v>0</v>
      </c>
      <c r="AU232" s="1683">
        <v>170238.93</v>
      </c>
      <c r="AV232" s="1683">
        <v>0</v>
      </c>
      <c r="AW232" s="1683">
        <v>0</v>
      </c>
      <c r="AX232" s="1683">
        <v>0</v>
      </c>
      <c r="AY232" s="1683">
        <v>0</v>
      </c>
      <c r="AZ232" s="1683">
        <v>0</v>
      </c>
      <c r="BA232" s="1682"/>
      <c r="BB232" s="1682"/>
      <c r="BC232" s="1683">
        <v>0</v>
      </c>
      <c r="BD232" s="1683">
        <v>0</v>
      </c>
      <c r="BE232" s="1683">
        <v>2188085.23</v>
      </c>
      <c r="BF232" s="1683">
        <v>2188085.23</v>
      </c>
      <c r="BG232" s="1683">
        <v>2017846.3</v>
      </c>
      <c r="BH232" s="1683">
        <v>1827959.9</v>
      </c>
      <c r="BI232" s="1683">
        <v>189886.4</v>
      </c>
      <c r="BJ232" s="1683">
        <v>170238.93</v>
      </c>
      <c r="BK232" s="1683">
        <v>0</v>
      </c>
      <c r="BL232" s="1683">
        <v>170238.93</v>
      </c>
      <c r="BM232" s="1683">
        <v>0</v>
      </c>
      <c r="BN232" s="1683">
        <v>0</v>
      </c>
      <c r="BO232" s="1682"/>
      <c r="BP232" s="1683">
        <v>1900852.76</v>
      </c>
      <c r="BQ232" s="1683">
        <v>1900852.76</v>
      </c>
      <c r="BR232" s="1683">
        <v>1786255.56</v>
      </c>
      <c r="BS232" s="1683">
        <v>1611567.35</v>
      </c>
      <c r="BT232" s="1683">
        <v>174688.21</v>
      </c>
      <c r="BU232" s="1683">
        <v>114597.2</v>
      </c>
      <c r="BV232" s="1683">
        <v>0</v>
      </c>
      <c r="BW232" s="1683">
        <v>20110.28</v>
      </c>
      <c r="BX232" s="1683">
        <v>0</v>
      </c>
      <c r="BY232" s="1683">
        <v>0</v>
      </c>
      <c r="BZ232" s="1683">
        <v>0</v>
      </c>
      <c r="CA232" s="1683">
        <v>0</v>
      </c>
      <c r="CB232" s="1682"/>
      <c r="CC232" s="1682"/>
      <c r="CD232" s="1683">
        <v>0</v>
      </c>
      <c r="CE232" s="1683">
        <v>0</v>
      </c>
      <c r="CF232" s="1683">
        <v>0</v>
      </c>
      <c r="CG232" s="1683">
        <v>0</v>
      </c>
      <c r="CH232" s="1683">
        <v>0</v>
      </c>
      <c r="CI232" s="1683">
        <v>0</v>
      </c>
      <c r="CJ232" s="1683">
        <v>16888.29</v>
      </c>
      <c r="CK232" s="1683">
        <v>16888.29</v>
      </c>
      <c r="CL232" s="1682"/>
      <c r="CM232" s="1683">
        <v>402205.43</v>
      </c>
      <c r="CN232" s="1683">
        <v>402205.43</v>
      </c>
      <c r="CO232" s="1683">
        <v>382095.15</v>
      </c>
      <c r="CP232" s="1683">
        <v>341874.61</v>
      </c>
      <c r="CQ232" s="1683">
        <v>40220.54</v>
      </c>
      <c r="CR232" s="1683">
        <v>20110.28</v>
      </c>
      <c r="CS232" s="1683">
        <v>0</v>
      </c>
      <c r="CT232" s="1683">
        <v>20110.28</v>
      </c>
      <c r="CU232" s="1683">
        <v>0</v>
      </c>
      <c r="CV232" s="1683">
        <v>0</v>
      </c>
      <c r="CW232" s="1682"/>
      <c r="CX232" s="1683">
        <v>0</v>
      </c>
      <c r="CY232" s="1683">
        <v>0</v>
      </c>
      <c r="CZ232" s="1683">
        <v>402205.43</v>
      </c>
      <c r="DA232" s="1683">
        <v>402205.43</v>
      </c>
      <c r="DB232" s="1682"/>
      <c r="DC232" s="1326"/>
      <c r="DD232" s="1683">
        <v>0</v>
      </c>
      <c r="DE232" s="1683">
        <v>0</v>
      </c>
      <c r="DF232" s="1683">
        <v>0</v>
      </c>
      <c r="DG232" s="1683">
        <v>0</v>
      </c>
      <c r="DH232" s="1683">
        <v>0</v>
      </c>
    </row>
    <row r="233" spans="1:112" ht="67.5">
      <c r="A233" s="1326" t="s">
        <v>2239</v>
      </c>
      <c r="B233" s="1326" t="s">
        <v>1700</v>
      </c>
      <c r="C233" s="1326" t="s">
        <v>2561</v>
      </c>
      <c r="D233" s="1326" t="s">
        <v>2562</v>
      </c>
      <c r="E233" s="1326" t="s">
        <v>145</v>
      </c>
      <c r="F233" s="1326" t="s">
        <v>2563</v>
      </c>
      <c r="G233" s="1326" t="s">
        <v>2556</v>
      </c>
      <c r="H233" s="1326" t="s">
        <v>2541</v>
      </c>
      <c r="I233" s="1326" t="s">
        <v>707</v>
      </c>
      <c r="J233" s="1326" t="s">
        <v>300</v>
      </c>
      <c r="K233" s="1326" t="s">
        <v>2060</v>
      </c>
      <c r="L233" s="1326" t="s">
        <v>2137</v>
      </c>
      <c r="M233" s="1683">
        <v>1516932.01</v>
      </c>
      <c r="N233" s="1683">
        <v>0</v>
      </c>
      <c r="O233" s="1683">
        <v>1516932.01</v>
      </c>
      <c r="P233" s="1683">
        <v>1516932.01</v>
      </c>
      <c r="Q233" s="1683">
        <v>1403162.1</v>
      </c>
      <c r="R233" s="1683">
        <v>1289392.2</v>
      </c>
      <c r="S233" s="1683">
        <v>113769.9</v>
      </c>
      <c r="T233" s="1683">
        <v>113769.91</v>
      </c>
      <c r="U233" s="1683">
        <v>0</v>
      </c>
      <c r="V233" s="1683">
        <v>113769.91</v>
      </c>
      <c r="W233" s="1683">
        <v>0</v>
      </c>
      <c r="X233" s="1683">
        <v>0</v>
      </c>
      <c r="Y233" s="1682"/>
      <c r="Z233" s="1326"/>
      <c r="AA233" s="1683">
        <v>400000</v>
      </c>
      <c r="AB233" s="1683">
        <v>357894.74</v>
      </c>
      <c r="AC233" s="1683">
        <v>42105.26</v>
      </c>
      <c r="AD233" s="1682"/>
      <c r="AE233" s="1326"/>
      <c r="AF233" s="1326"/>
      <c r="AG233" s="1410"/>
      <c r="AH233" s="1683">
        <v>1516825.67</v>
      </c>
      <c r="AI233" s="1683">
        <v>1916825.67</v>
      </c>
      <c r="AJ233" s="1683">
        <v>1403063.73</v>
      </c>
      <c r="AK233" s="1683">
        <v>1263024.56</v>
      </c>
      <c r="AL233" s="1683">
        <v>140039.17000000001</v>
      </c>
      <c r="AM233" s="1682"/>
      <c r="AN233" s="1683">
        <v>1516825.67</v>
      </c>
      <c r="AO233" s="1683">
        <v>1516825.67</v>
      </c>
      <c r="AP233" s="1683">
        <v>1403063.73</v>
      </c>
      <c r="AQ233" s="1683">
        <v>1263024.56</v>
      </c>
      <c r="AR233" s="1683">
        <v>140039.17000000001</v>
      </c>
      <c r="AS233" s="1683">
        <v>113761.94</v>
      </c>
      <c r="AT233" s="1683">
        <v>0</v>
      </c>
      <c r="AU233" s="1683">
        <v>113761.94</v>
      </c>
      <c r="AV233" s="1683">
        <v>0</v>
      </c>
      <c r="AW233" s="1683">
        <v>0</v>
      </c>
      <c r="AX233" s="1683">
        <v>0</v>
      </c>
      <c r="AY233" s="1683">
        <v>0</v>
      </c>
      <c r="AZ233" s="1683">
        <v>0</v>
      </c>
      <c r="BA233" s="1682"/>
      <c r="BB233" s="1682"/>
      <c r="BC233" s="1683">
        <v>0</v>
      </c>
      <c r="BD233" s="1683">
        <v>0</v>
      </c>
      <c r="BE233" s="1683">
        <v>1516825.67</v>
      </c>
      <c r="BF233" s="1683">
        <v>1516825.67</v>
      </c>
      <c r="BG233" s="1683">
        <v>1403063.73</v>
      </c>
      <c r="BH233" s="1683">
        <v>1263024.56</v>
      </c>
      <c r="BI233" s="1683">
        <v>140039.17000000001</v>
      </c>
      <c r="BJ233" s="1683">
        <v>113761.94</v>
      </c>
      <c r="BK233" s="1683">
        <v>0</v>
      </c>
      <c r="BL233" s="1683">
        <v>113761.94</v>
      </c>
      <c r="BM233" s="1683">
        <v>0</v>
      </c>
      <c r="BN233" s="1683">
        <v>0</v>
      </c>
      <c r="BO233" s="1682"/>
      <c r="BP233" s="1683">
        <v>1299643.92</v>
      </c>
      <c r="BQ233" s="1683">
        <v>1299643.92</v>
      </c>
      <c r="BR233" s="1683">
        <v>1234661.72</v>
      </c>
      <c r="BS233" s="1683">
        <v>1104697.3400000001</v>
      </c>
      <c r="BT233" s="1683">
        <v>129964.38</v>
      </c>
      <c r="BU233" s="1683">
        <v>64982.2</v>
      </c>
      <c r="BV233" s="1683">
        <v>0</v>
      </c>
      <c r="BW233" s="1683">
        <v>20110.28</v>
      </c>
      <c r="BX233" s="1683">
        <v>0</v>
      </c>
      <c r="BY233" s="1683">
        <v>0</v>
      </c>
      <c r="BZ233" s="1683">
        <v>0</v>
      </c>
      <c r="CA233" s="1683">
        <v>0</v>
      </c>
      <c r="CB233" s="1682"/>
      <c r="CC233" s="1682"/>
      <c r="CD233" s="1683">
        <v>0</v>
      </c>
      <c r="CE233" s="1683">
        <v>0</v>
      </c>
      <c r="CF233" s="1683">
        <v>0</v>
      </c>
      <c r="CG233" s="1683">
        <v>0</v>
      </c>
      <c r="CH233" s="1683">
        <v>0</v>
      </c>
      <c r="CI233" s="1683">
        <v>0</v>
      </c>
      <c r="CJ233" s="1683">
        <v>11556.24</v>
      </c>
      <c r="CK233" s="1683">
        <v>11556.24</v>
      </c>
      <c r="CL233" s="1682"/>
      <c r="CM233" s="1683">
        <v>402205.43</v>
      </c>
      <c r="CN233" s="1683">
        <v>402205.43</v>
      </c>
      <c r="CO233" s="1683">
        <v>382095.15</v>
      </c>
      <c r="CP233" s="1683">
        <v>341874.61</v>
      </c>
      <c r="CQ233" s="1683">
        <v>40220.54</v>
      </c>
      <c r="CR233" s="1683">
        <v>20110.28</v>
      </c>
      <c r="CS233" s="1683">
        <v>0</v>
      </c>
      <c r="CT233" s="1683">
        <v>20110.28</v>
      </c>
      <c r="CU233" s="1683">
        <v>0</v>
      </c>
      <c r="CV233" s="1683">
        <v>0</v>
      </c>
      <c r="CW233" s="1682"/>
      <c r="CX233" s="1683">
        <v>0</v>
      </c>
      <c r="CY233" s="1683">
        <v>0</v>
      </c>
      <c r="CZ233" s="1683">
        <v>402205.43</v>
      </c>
      <c r="DA233" s="1683">
        <v>402205.43</v>
      </c>
      <c r="DB233" s="1682"/>
      <c r="DC233" s="1326"/>
      <c r="DD233" s="1683">
        <v>0</v>
      </c>
      <c r="DE233" s="1683">
        <v>0</v>
      </c>
      <c r="DF233" s="1683">
        <v>0</v>
      </c>
      <c r="DG233" s="1683">
        <v>0</v>
      </c>
      <c r="DH233" s="1683">
        <v>0</v>
      </c>
    </row>
    <row r="234" spans="1:112" ht="67.5">
      <c r="A234" s="1326" t="s">
        <v>2240</v>
      </c>
      <c r="B234" s="1326" t="s">
        <v>1700</v>
      </c>
      <c r="C234" s="1326" t="s">
        <v>2561</v>
      </c>
      <c r="D234" s="1326" t="s">
        <v>2562</v>
      </c>
      <c r="E234" s="1326" t="s">
        <v>145</v>
      </c>
      <c r="F234" s="1326" t="s">
        <v>2563</v>
      </c>
      <c r="G234" s="1326" t="s">
        <v>2556</v>
      </c>
      <c r="H234" s="1326" t="s">
        <v>2541</v>
      </c>
      <c r="I234" s="1326" t="s">
        <v>707</v>
      </c>
      <c r="J234" s="1326" t="s">
        <v>300</v>
      </c>
      <c r="K234" s="1326" t="s">
        <v>2060</v>
      </c>
      <c r="L234" s="1326" t="s">
        <v>2137</v>
      </c>
      <c r="M234" s="1400"/>
      <c r="N234" s="1400"/>
      <c r="O234" s="1400"/>
      <c r="P234" s="1400"/>
      <c r="Q234" s="1400"/>
      <c r="R234" s="1400"/>
      <c r="S234" s="1400"/>
      <c r="T234" s="1400"/>
      <c r="U234" s="1400"/>
      <c r="V234" s="1400"/>
      <c r="W234" s="1400"/>
      <c r="X234" s="1400"/>
      <c r="Y234" s="1682"/>
      <c r="Z234" s="1326"/>
      <c r="AA234" s="1683">
        <v>0</v>
      </c>
      <c r="AB234" s="1683">
        <v>0</v>
      </c>
      <c r="AC234" s="1683">
        <v>0</v>
      </c>
      <c r="AD234" s="1682"/>
      <c r="AE234" s="1326" t="s">
        <v>2171</v>
      </c>
      <c r="AF234" s="1326"/>
      <c r="AG234" s="1410" t="s">
        <v>2172</v>
      </c>
      <c r="AH234" s="1683">
        <v>0</v>
      </c>
      <c r="AI234" s="1683">
        <v>0</v>
      </c>
      <c r="AJ234" s="1683">
        <v>0</v>
      </c>
      <c r="AK234" s="1683">
        <v>0</v>
      </c>
      <c r="AL234" s="1683">
        <v>0</v>
      </c>
      <c r="AM234" s="1685">
        <v>43080</v>
      </c>
      <c r="AN234" s="1683">
        <v>-10275.49</v>
      </c>
      <c r="AO234" s="1683">
        <v>-10275.49</v>
      </c>
      <c r="AP234" s="1683">
        <v>-9761.7199999999993</v>
      </c>
      <c r="AQ234" s="1683">
        <v>-8734.17</v>
      </c>
      <c r="AR234" s="1683">
        <v>-1027.55</v>
      </c>
      <c r="AS234" s="1683">
        <v>-513.77</v>
      </c>
      <c r="AT234" s="1683">
        <v>0</v>
      </c>
      <c r="AU234" s="1683">
        <v>-513.77</v>
      </c>
      <c r="AV234" s="1683">
        <v>0</v>
      </c>
      <c r="AW234" s="1683">
        <v>0</v>
      </c>
      <c r="AX234" s="1400"/>
      <c r="AY234" s="1400"/>
      <c r="AZ234" s="1400"/>
      <c r="BA234" s="1682"/>
      <c r="BB234" s="1682"/>
      <c r="BC234" s="1400"/>
      <c r="BD234" s="1400"/>
      <c r="BE234" s="1683">
        <v>-10275.49</v>
      </c>
      <c r="BF234" s="1683">
        <v>-10275.49</v>
      </c>
      <c r="BG234" s="1683">
        <v>-9761.7199999999993</v>
      </c>
      <c r="BH234" s="1683">
        <v>-8734.17</v>
      </c>
      <c r="BI234" s="1683">
        <v>-1027.55</v>
      </c>
      <c r="BJ234" s="1683">
        <v>-513.77</v>
      </c>
      <c r="BK234" s="1683">
        <v>0</v>
      </c>
      <c r="BL234" s="1683">
        <v>-513.77</v>
      </c>
      <c r="BM234" s="1683">
        <v>0</v>
      </c>
      <c r="BN234" s="1683">
        <v>0</v>
      </c>
      <c r="BO234" s="1685">
        <v>43364</v>
      </c>
      <c r="BP234" s="1683">
        <v>-10275.49</v>
      </c>
      <c r="BQ234" s="1683">
        <v>-10275.49</v>
      </c>
      <c r="BR234" s="1683">
        <v>-9761.7199999999993</v>
      </c>
      <c r="BS234" s="1683">
        <v>-8734.17</v>
      </c>
      <c r="BT234" s="1683">
        <v>-1027.55</v>
      </c>
      <c r="BU234" s="1683">
        <v>-513.77</v>
      </c>
      <c r="BV234" s="1683">
        <v>0</v>
      </c>
      <c r="BW234" s="1683">
        <v>0</v>
      </c>
      <c r="BX234" s="1683">
        <v>0</v>
      </c>
      <c r="BY234" s="1683">
        <v>0</v>
      </c>
      <c r="BZ234" s="1683">
        <v>0</v>
      </c>
      <c r="CA234" s="1400"/>
      <c r="CB234" s="1682"/>
      <c r="CC234" s="1682"/>
      <c r="CD234" s="1400"/>
      <c r="CE234" s="1400"/>
      <c r="CF234" s="1683">
        <v>0</v>
      </c>
      <c r="CG234" s="1683">
        <v>0</v>
      </c>
      <c r="CH234" s="1683">
        <v>0</v>
      </c>
      <c r="CI234" s="1683">
        <v>0</v>
      </c>
      <c r="CJ234" s="1683">
        <v>0</v>
      </c>
      <c r="CK234" s="1683">
        <v>0</v>
      </c>
      <c r="CL234" s="1682"/>
      <c r="CM234" s="1683">
        <v>0</v>
      </c>
      <c r="CN234" s="1683">
        <v>0</v>
      </c>
      <c r="CO234" s="1683">
        <v>0</v>
      </c>
      <c r="CP234" s="1683">
        <v>0</v>
      </c>
      <c r="CQ234" s="1683">
        <v>0</v>
      </c>
      <c r="CR234" s="1683">
        <v>0</v>
      </c>
      <c r="CS234" s="1683">
        <v>0</v>
      </c>
      <c r="CT234" s="1683">
        <v>0</v>
      </c>
      <c r="CU234" s="1683">
        <v>0</v>
      </c>
      <c r="CV234" s="1683">
        <v>0</v>
      </c>
      <c r="CW234" s="1682"/>
      <c r="CX234" s="1400"/>
      <c r="CY234" s="1400"/>
      <c r="CZ234" s="1400"/>
      <c r="DA234" s="1400"/>
      <c r="DB234" s="1682"/>
      <c r="DC234" s="1326"/>
      <c r="DD234" s="1683">
        <v>0</v>
      </c>
      <c r="DE234" s="1400"/>
      <c r="DF234" s="1400"/>
      <c r="DG234" s="1683">
        <v>0</v>
      </c>
      <c r="DH234" s="1683">
        <v>0</v>
      </c>
    </row>
    <row r="235" spans="1:112" ht="67.5">
      <c r="A235" s="1326" t="s">
        <v>2241</v>
      </c>
      <c r="B235" s="1326" t="s">
        <v>1700</v>
      </c>
      <c r="C235" s="1326" t="s">
        <v>2561</v>
      </c>
      <c r="D235" s="1326" t="s">
        <v>2562</v>
      </c>
      <c r="E235" s="1326" t="s">
        <v>145</v>
      </c>
      <c r="F235" s="1326" t="s">
        <v>2563</v>
      </c>
      <c r="G235" s="1326" t="s">
        <v>2556</v>
      </c>
      <c r="H235" s="1326" t="s">
        <v>2541</v>
      </c>
      <c r="I235" s="1326" t="s">
        <v>707</v>
      </c>
      <c r="J235" s="1326" t="s">
        <v>300</v>
      </c>
      <c r="K235" s="1326" t="s">
        <v>2060</v>
      </c>
      <c r="L235" s="1326" t="s">
        <v>2137</v>
      </c>
      <c r="M235" s="1400"/>
      <c r="N235" s="1400"/>
      <c r="O235" s="1400"/>
      <c r="P235" s="1400"/>
      <c r="Q235" s="1400"/>
      <c r="R235" s="1400"/>
      <c r="S235" s="1400"/>
      <c r="T235" s="1400"/>
      <c r="U235" s="1400"/>
      <c r="V235" s="1400"/>
      <c r="W235" s="1400"/>
      <c r="X235" s="1400"/>
      <c r="Y235" s="1682"/>
      <c r="Z235" s="1326"/>
      <c r="AA235" s="1683">
        <v>0</v>
      </c>
      <c r="AB235" s="1683">
        <v>0</v>
      </c>
      <c r="AC235" s="1683">
        <v>0</v>
      </c>
      <c r="AD235" s="1682"/>
      <c r="AE235" s="1326" t="s">
        <v>2171</v>
      </c>
      <c r="AF235" s="1326" t="s">
        <v>2174</v>
      </c>
      <c r="AG235" s="1410" t="s">
        <v>2172</v>
      </c>
      <c r="AH235" s="1683">
        <v>-10275.49</v>
      </c>
      <c r="AI235" s="1683">
        <v>-10275.49</v>
      </c>
      <c r="AJ235" s="1683">
        <v>0</v>
      </c>
      <c r="AK235" s="1683">
        <v>0</v>
      </c>
      <c r="AL235" s="1683">
        <v>0</v>
      </c>
      <c r="AM235" s="1682"/>
      <c r="AN235" s="1683">
        <v>0</v>
      </c>
      <c r="AO235" s="1683">
        <v>0</v>
      </c>
      <c r="AP235" s="1683">
        <v>0</v>
      </c>
      <c r="AQ235" s="1683">
        <v>0</v>
      </c>
      <c r="AR235" s="1683">
        <v>0</v>
      </c>
      <c r="AS235" s="1683">
        <v>0</v>
      </c>
      <c r="AT235" s="1683">
        <v>0</v>
      </c>
      <c r="AU235" s="1683">
        <v>0</v>
      </c>
      <c r="AV235" s="1683">
        <v>0</v>
      </c>
      <c r="AW235" s="1683">
        <v>0</v>
      </c>
      <c r="AX235" s="1400"/>
      <c r="AY235" s="1400"/>
      <c r="AZ235" s="1400"/>
      <c r="BA235" s="1682"/>
      <c r="BB235" s="1682"/>
      <c r="BC235" s="1400"/>
      <c r="BD235" s="1400"/>
      <c r="BE235" s="1683">
        <v>0</v>
      </c>
      <c r="BF235" s="1683">
        <v>0</v>
      </c>
      <c r="BG235" s="1683">
        <v>0</v>
      </c>
      <c r="BH235" s="1683">
        <v>0</v>
      </c>
      <c r="BI235" s="1683">
        <v>0</v>
      </c>
      <c r="BJ235" s="1683">
        <v>0</v>
      </c>
      <c r="BK235" s="1683">
        <v>0</v>
      </c>
      <c r="BL235" s="1683">
        <v>0</v>
      </c>
      <c r="BM235" s="1683">
        <v>0</v>
      </c>
      <c r="BN235" s="1683">
        <v>0</v>
      </c>
      <c r="BO235" s="1682"/>
      <c r="BP235" s="1683">
        <v>0</v>
      </c>
      <c r="BQ235" s="1683">
        <v>0</v>
      </c>
      <c r="BR235" s="1683">
        <v>0</v>
      </c>
      <c r="BS235" s="1683">
        <v>0</v>
      </c>
      <c r="BT235" s="1683">
        <v>0</v>
      </c>
      <c r="BU235" s="1683">
        <v>0</v>
      </c>
      <c r="BV235" s="1683">
        <v>0</v>
      </c>
      <c r="BW235" s="1683">
        <v>0</v>
      </c>
      <c r="BX235" s="1683">
        <v>0</v>
      </c>
      <c r="BY235" s="1683">
        <v>0</v>
      </c>
      <c r="BZ235" s="1683">
        <v>0</v>
      </c>
      <c r="CA235" s="1400"/>
      <c r="CB235" s="1682"/>
      <c r="CC235" s="1682"/>
      <c r="CD235" s="1400"/>
      <c r="CE235" s="1400"/>
      <c r="CF235" s="1683">
        <v>0</v>
      </c>
      <c r="CG235" s="1683">
        <v>0</v>
      </c>
      <c r="CH235" s="1683">
        <v>0</v>
      </c>
      <c r="CI235" s="1683">
        <v>0</v>
      </c>
      <c r="CJ235" s="1683">
        <v>0</v>
      </c>
      <c r="CK235" s="1683">
        <v>0</v>
      </c>
      <c r="CL235" s="1682"/>
      <c r="CM235" s="1683">
        <v>0</v>
      </c>
      <c r="CN235" s="1683">
        <v>0</v>
      </c>
      <c r="CO235" s="1683">
        <v>0</v>
      </c>
      <c r="CP235" s="1683">
        <v>0</v>
      </c>
      <c r="CQ235" s="1683">
        <v>0</v>
      </c>
      <c r="CR235" s="1683">
        <v>0</v>
      </c>
      <c r="CS235" s="1683">
        <v>0</v>
      </c>
      <c r="CT235" s="1683">
        <v>0</v>
      </c>
      <c r="CU235" s="1683">
        <v>0</v>
      </c>
      <c r="CV235" s="1683">
        <v>0</v>
      </c>
      <c r="CW235" s="1682"/>
      <c r="CX235" s="1400"/>
      <c r="CY235" s="1400"/>
      <c r="CZ235" s="1400"/>
      <c r="DA235" s="1400"/>
      <c r="DB235" s="1682"/>
      <c r="DC235" s="1326"/>
      <c r="DD235" s="1683">
        <v>0</v>
      </c>
      <c r="DE235" s="1400"/>
      <c r="DF235" s="1400"/>
      <c r="DG235" s="1683">
        <v>0</v>
      </c>
      <c r="DH235" s="1683">
        <v>0</v>
      </c>
    </row>
    <row r="236" spans="1:112" ht="67.5">
      <c r="A236" s="1326" t="s">
        <v>2242</v>
      </c>
      <c r="B236" s="1326" t="s">
        <v>1700</v>
      </c>
      <c r="C236" s="1326" t="s">
        <v>2561</v>
      </c>
      <c r="D236" s="1326" t="s">
        <v>2562</v>
      </c>
      <c r="E236" s="1326" t="s">
        <v>145</v>
      </c>
      <c r="F236" s="1326" t="s">
        <v>2563</v>
      </c>
      <c r="G236" s="1326" t="s">
        <v>2556</v>
      </c>
      <c r="H236" s="1326" t="s">
        <v>2541</v>
      </c>
      <c r="I236" s="1326" t="s">
        <v>707</v>
      </c>
      <c r="J236" s="1326" t="s">
        <v>300</v>
      </c>
      <c r="K236" s="1326" t="s">
        <v>2060</v>
      </c>
      <c r="L236" s="1326" t="s">
        <v>2137</v>
      </c>
      <c r="M236" s="1400"/>
      <c r="N236" s="1400"/>
      <c r="O236" s="1400"/>
      <c r="P236" s="1400"/>
      <c r="Q236" s="1400"/>
      <c r="R236" s="1400"/>
      <c r="S236" s="1400"/>
      <c r="T236" s="1400"/>
      <c r="U236" s="1400"/>
      <c r="V236" s="1400"/>
      <c r="W236" s="1400"/>
      <c r="X236" s="1400"/>
      <c r="Y236" s="1682"/>
      <c r="Z236" s="1326"/>
      <c r="AA236" s="1683">
        <v>0</v>
      </c>
      <c r="AB236" s="1683">
        <v>0</v>
      </c>
      <c r="AC236" s="1683">
        <v>0</v>
      </c>
      <c r="AD236" s="1682"/>
      <c r="AE236" s="1326" t="s">
        <v>2176</v>
      </c>
      <c r="AF236" s="1326"/>
      <c r="AG236" s="1410" t="s">
        <v>2172</v>
      </c>
      <c r="AH236" s="1683">
        <v>0</v>
      </c>
      <c r="AI236" s="1683">
        <v>0</v>
      </c>
      <c r="AJ236" s="1683">
        <v>0</v>
      </c>
      <c r="AK236" s="1683">
        <v>0</v>
      </c>
      <c r="AL236" s="1683">
        <v>0</v>
      </c>
      <c r="AM236" s="1685">
        <v>43080</v>
      </c>
      <c r="AN236" s="1683">
        <v>-91.45</v>
      </c>
      <c r="AO236" s="1683">
        <v>-91.45</v>
      </c>
      <c r="AP236" s="1683">
        <v>-86.88</v>
      </c>
      <c r="AQ236" s="1683">
        <v>-77.73</v>
      </c>
      <c r="AR236" s="1683">
        <v>-9.15</v>
      </c>
      <c r="AS236" s="1683">
        <v>-4.57</v>
      </c>
      <c r="AT236" s="1683">
        <v>0</v>
      </c>
      <c r="AU236" s="1683">
        <v>-4.57</v>
      </c>
      <c r="AV236" s="1683">
        <v>0</v>
      </c>
      <c r="AW236" s="1683">
        <v>0</v>
      </c>
      <c r="AX236" s="1400"/>
      <c r="AY236" s="1400"/>
      <c r="AZ236" s="1400"/>
      <c r="BA236" s="1682"/>
      <c r="BB236" s="1682"/>
      <c r="BC236" s="1400"/>
      <c r="BD236" s="1400"/>
      <c r="BE236" s="1683">
        <v>-91.45</v>
      </c>
      <c r="BF236" s="1683">
        <v>-91.45</v>
      </c>
      <c r="BG236" s="1683">
        <v>-86.88</v>
      </c>
      <c r="BH236" s="1683">
        <v>-77.73</v>
      </c>
      <c r="BI236" s="1683">
        <v>-9.15</v>
      </c>
      <c r="BJ236" s="1683">
        <v>-4.57</v>
      </c>
      <c r="BK236" s="1683">
        <v>0</v>
      </c>
      <c r="BL236" s="1683">
        <v>-4.57</v>
      </c>
      <c r="BM236" s="1683">
        <v>0</v>
      </c>
      <c r="BN236" s="1683">
        <v>0</v>
      </c>
      <c r="BO236" s="1685">
        <v>43364</v>
      </c>
      <c r="BP236" s="1683">
        <v>-91.45</v>
      </c>
      <c r="BQ236" s="1683">
        <v>-91.45</v>
      </c>
      <c r="BR236" s="1683">
        <v>-86.88</v>
      </c>
      <c r="BS236" s="1683">
        <v>-77.73</v>
      </c>
      <c r="BT236" s="1683">
        <v>-9.15</v>
      </c>
      <c r="BU236" s="1683">
        <v>-4.57</v>
      </c>
      <c r="BV236" s="1683">
        <v>0</v>
      </c>
      <c r="BW236" s="1683">
        <v>0</v>
      </c>
      <c r="BX236" s="1683">
        <v>0</v>
      </c>
      <c r="BY236" s="1683">
        <v>0</v>
      </c>
      <c r="BZ236" s="1683">
        <v>0</v>
      </c>
      <c r="CA236" s="1400"/>
      <c r="CB236" s="1682"/>
      <c r="CC236" s="1682"/>
      <c r="CD236" s="1400"/>
      <c r="CE236" s="1400"/>
      <c r="CF236" s="1683">
        <v>0</v>
      </c>
      <c r="CG236" s="1683">
        <v>0</v>
      </c>
      <c r="CH236" s="1683">
        <v>0</v>
      </c>
      <c r="CI236" s="1683">
        <v>0</v>
      </c>
      <c r="CJ236" s="1683">
        <v>0</v>
      </c>
      <c r="CK236" s="1683">
        <v>0</v>
      </c>
      <c r="CL236" s="1682"/>
      <c r="CM236" s="1683">
        <v>0</v>
      </c>
      <c r="CN236" s="1683">
        <v>0</v>
      </c>
      <c r="CO236" s="1683">
        <v>0</v>
      </c>
      <c r="CP236" s="1683">
        <v>0</v>
      </c>
      <c r="CQ236" s="1683">
        <v>0</v>
      </c>
      <c r="CR236" s="1683">
        <v>0</v>
      </c>
      <c r="CS236" s="1683">
        <v>0</v>
      </c>
      <c r="CT236" s="1683">
        <v>0</v>
      </c>
      <c r="CU236" s="1683">
        <v>0</v>
      </c>
      <c r="CV236" s="1683">
        <v>0</v>
      </c>
      <c r="CW236" s="1682"/>
      <c r="CX236" s="1400"/>
      <c r="CY236" s="1400"/>
      <c r="CZ236" s="1400"/>
      <c r="DA236" s="1400"/>
      <c r="DB236" s="1682"/>
      <c r="DC236" s="1326"/>
      <c r="DD236" s="1683">
        <v>0</v>
      </c>
      <c r="DE236" s="1400"/>
      <c r="DF236" s="1400"/>
      <c r="DG236" s="1683">
        <v>0</v>
      </c>
      <c r="DH236" s="1683">
        <v>0</v>
      </c>
    </row>
    <row r="237" spans="1:112" ht="67.5">
      <c r="A237" s="1326" t="s">
        <v>2244</v>
      </c>
      <c r="B237" s="1326" t="s">
        <v>1700</v>
      </c>
      <c r="C237" s="1326" t="s">
        <v>2561</v>
      </c>
      <c r="D237" s="1326" t="s">
        <v>2562</v>
      </c>
      <c r="E237" s="1326" t="s">
        <v>145</v>
      </c>
      <c r="F237" s="1326" t="s">
        <v>2563</v>
      </c>
      <c r="G237" s="1326" t="s">
        <v>2556</v>
      </c>
      <c r="H237" s="1326" t="s">
        <v>2541</v>
      </c>
      <c r="I237" s="1326" t="s">
        <v>707</v>
      </c>
      <c r="J237" s="1326" t="s">
        <v>300</v>
      </c>
      <c r="K237" s="1326" t="s">
        <v>2060</v>
      </c>
      <c r="L237" s="1326" t="s">
        <v>2137</v>
      </c>
      <c r="M237" s="1400"/>
      <c r="N237" s="1400"/>
      <c r="O237" s="1400"/>
      <c r="P237" s="1400"/>
      <c r="Q237" s="1400"/>
      <c r="R237" s="1400"/>
      <c r="S237" s="1400"/>
      <c r="T237" s="1400"/>
      <c r="U237" s="1400"/>
      <c r="V237" s="1400"/>
      <c r="W237" s="1400"/>
      <c r="X237" s="1400"/>
      <c r="Y237" s="1682"/>
      <c r="Z237" s="1326"/>
      <c r="AA237" s="1683">
        <v>0</v>
      </c>
      <c r="AB237" s="1683">
        <v>0</v>
      </c>
      <c r="AC237" s="1683">
        <v>0</v>
      </c>
      <c r="AD237" s="1682"/>
      <c r="AE237" s="1326" t="s">
        <v>2176</v>
      </c>
      <c r="AF237" s="1326" t="s">
        <v>2174</v>
      </c>
      <c r="AG237" s="1410" t="s">
        <v>2172</v>
      </c>
      <c r="AH237" s="1683">
        <v>-91.45</v>
      </c>
      <c r="AI237" s="1683">
        <v>-91.45</v>
      </c>
      <c r="AJ237" s="1683">
        <v>0</v>
      </c>
      <c r="AK237" s="1683">
        <v>0</v>
      </c>
      <c r="AL237" s="1683">
        <v>0</v>
      </c>
      <c r="AM237" s="1682"/>
      <c r="AN237" s="1683">
        <v>0</v>
      </c>
      <c r="AO237" s="1683">
        <v>0</v>
      </c>
      <c r="AP237" s="1683">
        <v>0</v>
      </c>
      <c r="AQ237" s="1683">
        <v>0</v>
      </c>
      <c r="AR237" s="1683">
        <v>0</v>
      </c>
      <c r="AS237" s="1683">
        <v>0</v>
      </c>
      <c r="AT237" s="1683">
        <v>0</v>
      </c>
      <c r="AU237" s="1683">
        <v>0</v>
      </c>
      <c r="AV237" s="1683">
        <v>0</v>
      </c>
      <c r="AW237" s="1683">
        <v>0</v>
      </c>
      <c r="AX237" s="1400"/>
      <c r="AY237" s="1400"/>
      <c r="AZ237" s="1400"/>
      <c r="BA237" s="1682"/>
      <c r="BB237" s="1682"/>
      <c r="BC237" s="1400"/>
      <c r="BD237" s="1400"/>
      <c r="BE237" s="1683">
        <v>0</v>
      </c>
      <c r="BF237" s="1683">
        <v>0</v>
      </c>
      <c r="BG237" s="1683">
        <v>0</v>
      </c>
      <c r="BH237" s="1683">
        <v>0</v>
      </c>
      <c r="BI237" s="1683">
        <v>0</v>
      </c>
      <c r="BJ237" s="1683">
        <v>0</v>
      </c>
      <c r="BK237" s="1683">
        <v>0</v>
      </c>
      <c r="BL237" s="1683">
        <v>0</v>
      </c>
      <c r="BM237" s="1683">
        <v>0</v>
      </c>
      <c r="BN237" s="1683">
        <v>0</v>
      </c>
      <c r="BO237" s="1682"/>
      <c r="BP237" s="1683">
        <v>0</v>
      </c>
      <c r="BQ237" s="1683">
        <v>0</v>
      </c>
      <c r="BR237" s="1683">
        <v>0</v>
      </c>
      <c r="BS237" s="1683">
        <v>0</v>
      </c>
      <c r="BT237" s="1683">
        <v>0</v>
      </c>
      <c r="BU237" s="1683">
        <v>0</v>
      </c>
      <c r="BV237" s="1683">
        <v>0</v>
      </c>
      <c r="BW237" s="1683">
        <v>0</v>
      </c>
      <c r="BX237" s="1683">
        <v>0</v>
      </c>
      <c r="BY237" s="1683">
        <v>0</v>
      </c>
      <c r="BZ237" s="1683">
        <v>0</v>
      </c>
      <c r="CA237" s="1400"/>
      <c r="CB237" s="1682"/>
      <c r="CC237" s="1682"/>
      <c r="CD237" s="1400"/>
      <c r="CE237" s="1400"/>
      <c r="CF237" s="1683">
        <v>0</v>
      </c>
      <c r="CG237" s="1683">
        <v>0</v>
      </c>
      <c r="CH237" s="1683">
        <v>0</v>
      </c>
      <c r="CI237" s="1683">
        <v>0</v>
      </c>
      <c r="CJ237" s="1683">
        <v>0</v>
      </c>
      <c r="CK237" s="1683">
        <v>0</v>
      </c>
      <c r="CL237" s="1682"/>
      <c r="CM237" s="1683">
        <v>0</v>
      </c>
      <c r="CN237" s="1683">
        <v>0</v>
      </c>
      <c r="CO237" s="1683">
        <v>0</v>
      </c>
      <c r="CP237" s="1683">
        <v>0</v>
      </c>
      <c r="CQ237" s="1683">
        <v>0</v>
      </c>
      <c r="CR237" s="1683">
        <v>0</v>
      </c>
      <c r="CS237" s="1683">
        <v>0</v>
      </c>
      <c r="CT237" s="1683">
        <v>0</v>
      </c>
      <c r="CU237" s="1683">
        <v>0</v>
      </c>
      <c r="CV237" s="1683">
        <v>0</v>
      </c>
      <c r="CW237" s="1682"/>
      <c r="CX237" s="1400"/>
      <c r="CY237" s="1400"/>
      <c r="CZ237" s="1400"/>
      <c r="DA237" s="1400"/>
      <c r="DB237" s="1682"/>
      <c r="DC237" s="1326"/>
      <c r="DD237" s="1683">
        <v>0</v>
      </c>
      <c r="DE237" s="1400"/>
      <c r="DF237" s="1400"/>
      <c r="DG237" s="1683">
        <v>0</v>
      </c>
      <c r="DH237" s="1683">
        <v>0</v>
      </c>
    </row>
    <row r="238" spans="1:112" ht="67.5">
      <c r="A238" s="1326" t="s">
        <v>2245</v>
      </c>
      <c r="B238" s="1326" t="s">
        <v>1700</v>
      </c>
      <c r="C238" s="1326" t="s">
        <v>2561</v>
      </c>
      <c r="D238" s="1326" t="s">
        <v>2562</v>
      </c>
      <c r="E238" s="1326" t="s">
        <v>145</v>
      </c>
      <c r="F238" s="1326" t="s">
        <v>2563</v>
      </c>
      <c r="G238" s="1326" t="s">
        <v>2556</v>
      </c>
      <c r="H238" s="1326" t="s">
        <v>2541</v>
      </c>
      <c r="I238" s="1326" t="s">
        <v>707</v>
      </c>
      <c r="J238" s="1326" t="s">
        <v>300</v>
      </c>
      <c r="K238" s="1326" t="s">
        <v>2060</v>
      </c>
      <c r="L238" s="1326" t="s">
        <v>2137</v>
      </c>
      <c r="M238" s="1400"/>
      <c r="N238" s="1400"/>
      <c r="O238" s="1400"/>
      <c r="P238" s="1400"/>
      <c r="Q238" s="1400"/>
      <c r="R238" s="1400"/>
      <c r="S238" s="1400"/>
      <c r="T238" s="1400"/>
      <c r="U238" s="1400"/>
      <c r="V238" s="1400"/>
      <c r="W238" s="1400"/>
      <c r="X238" s="1400"/>
      <c r="Y238" s="1685">
        <v>42790</v>
      </c>
      <c r="Z238" s="1326" t="s">
        <v>2096</v>
      </c>
      <c r="AA238" s="1683">
        <v>0</v>
      </c>
      <c r="AB238" s="1683">
        <v>0</v>
      </c>
      <c r="AC238" s="1683">
        <v>0</v>
      </c>
      <c r="AD238" s="1685">
        <v>42803</v>
      </c>
      <c r="AE238" s="1326" t="s">
        <v>2073</v>
      </c>
      <c r="AF238" s="1326" t="s">
        <v>2064</v>
      </c>
      <c r="AG238" s="1410"/>
      <c r="AH238" s="1683">
        <v>0</v>
      </c>
      <c r="AI238" s="1683">
        <v>200000</v>
      </c>
      <c r="AJ238" s="1683">
        <v>200000</v>
      </c>
      <c r="AK238" s="1683">
        <v>178947.37</v>
      </c>
      <c r="AL238" s="1683">
        <v>21052.63</v>
      </c>
      <c r="AM238" s="1682"/>
      <c r="AN238" s="1683">
        <v>0</v>
      </c>
      <c r="AO238" s="1683">
        <v>0</v>
      </c>
      <c r="AP238" s="1683">
        <v>0</v>
      </c>
      <c r="AQ238" s="1683">
        <v>0</v>
      </c>
      <c r="AR238" s="1683">
        <v>0</v>
      </c>
      <c r="AS238" s="1683">
        <v>0</v>
      </c>
      <c r="AT238" s="1683">
        <v>0</v>
      </c>
      <c r="AU238" s="1683">
        <v>0</v>
      </c>
      <c r="AV238" s="1683">
        <v>0</v>
      </c>
      <c r="AW238" s="1683">
        <v>0</v>
      </c>
      <c r="AX238" s="1400"/>
      <c r="AY238" s="1400"/>
      <c r="AZ238" s="1400"/>
      <c r="BA238" s="1682"/>
      <c r="BB238" s="1682"/>
      <c r="BC238" s="1400"/>
      <c r="BD238" s="1400"/>
      <c r="BE238" s="1683">
        <v>0</v>
      </c>
      <c r="BF238" s="1683">
        <v>0</v>
      </c>
      <c r="BG238" s="1683">
        <v>0</v>
      </c>
      <c r="BH238" s="1683">
        <v>0</v>
      </c>
      <c r="BI238" s="1683">
        <v>0</v>
      </c>
      <c r="BJ238" s="1683">
        <v>0</v>
      </c>
      <c r="BK238" s="1683">
        <v>0</v>
      </c>
      <c r="BL238" s="1683">
        <v>0</v>
      </c>
      <c r="BM238" s="1683">
        <v>0</v>
      </c>
      <c r="BN238" s="1683">
        <v>0</v>
      </c>
      <c r="BO238" s="1682"/>
      <c r="BP238" s="1683">
        <v>0</v>
      </c>
      <c r="BQ238" s="1683">
        <v>0</v>
      </c>
      <c r="BR238" s="1683">
        <v>0</v>
      </c>
      <c r="BS238" s="1683">
        <v>0</v>
      </c>
      <c r="BT238" s="1683">
        <v>0</v>
      </c>
      <c r="BU238" s="1683">
        <v>0</v>
      </c>
      <c r="BV238" s="1683">
        <v>0</v>
      </c>
      <c r="BW238" s="1683">
        <v>0</v>
      </c>
      <c r="BX238" s="1683">
        <v>0</v>
      </c>
      <c r="BY238" s="1683">
        <v>0</v>
      </c>
      <c r="BZ238" s="1400"/>
      <c r="CA238" s="1400"/>
      <c r="CB238" s="1682"/>
      <c r="CC238" s="1682"/>
      <c r="CD238" s="1400"/>
      <c r="CE238" s="1400"/>
      <c r="CF238" s="1683">
        <v>0</v>
      </c>
      <c r="CG238" s="1683">
        <v>0</v>
      </c>
      <c r="CH238" s="1683">
        <v>0</v>
      </c>
      <c r="CI238" s="1683">
        <v>0</v>
      </c>
      <c r="CJ238" s="1683">
        <v>0</v>
      </c>
      <c r="CK238" s="1683">
        <v>0</v>
      </c>
      <c r="CL238" s="1682"/>
      <c r="CM238" s="1683">
        <v>0</v>
      </c>
      <c r="CN238" s="1683">
        <v>0</v>
      </c>
      <c r="CO238" s="1683">
        <v>0</v>
      </c>
      <c r="CP238" s="1683">
        <v>0</v>
      </c>
      <c r="CQ238" s="1683">
        <v>0</v>
      </c>
      <c r="CR238" s="1683">
        <v>0</v>
      </c>
      <c r="CS238" s="1683">
        <v>0</v>
      </c>
      <c r="CT238" s="1683">
        <v>0</v>
      </c>
      <c r="CU238" s="1683">
        <v>0</v>
      </c>
      <c r="CV238" s="1683">
        <v>0</v>
      </c>
      <c r="CW238" s="1682"/>
      <c r="CX238" s="1400"/>
      <c r="CY238" s="1400"/>
      <c r="CZ238" s="1400"/>
      <c r="DA238" s="1400"/>
      <c r="DB238" s="1682"/>
      <c r="DC238" s="1326"/>
      <c r="DD238" s="1683">
        <v>0</v>
      </c>
      <c r="DE238" s="1400"/>
      <c r="DF238" s="1400"/>
      <c r="DG238" s="1683">
        <v>0</v>
      </c>
      <c r="DH238" s="1683">
        <v>0</v>
      </c>
    </row>
    <row r="239" spans="1:112" ht="67.5">
      <c r="A239" s="1326" t="s">
        <v>2246</v>
      </c>
      <c r="B239" s="1326" t="s">
        <v>1700</v>
      </c>
      <c r="C239" s="1326" t="s">
        <v>2561</v>
      </c>
      <c r="D239" s="1326" t="s">
        <v>2562</v>
      </c>
      <c r="E239" s="1326" t="s">
        <v>145</v>
      </c>
      <c r="F239" s="1326" t="s">
        <v>2563</v>
      </c>
      <c r="G239" s="1326" t="s">
        <v>2556</v>
      </c>
      <c r="H239" s="1326" t="s">
        <v>2541</v>
      </c>
      <c r="I239" s="1326" t="s">
        <v>707</v>
      </c>
      <c r="J239" s="1326" t="s">
        <v>300</v>
      </c>
      <c r="K239" s="1326" t="s">
        <v>2060</v>
      </c>
      <c r="L239" s="1326" t="s">
        <v>2137</v>
      </c>
      <c r="M239" s="1400"/>
      <c r="N239" s="1400"/>
      <c r="O239" s="1400"/>
      <c r="P239" s="1400"/>
      <c r="Q239" s="1400"/>
      <c r="R239" s="1400"/>
      <c r="S239" s="1400"/>
      <c r="T239" s="1400"/>
      <c r="U239" s="1400"/>
      <c r="V239" s="1400"/>
      <c r="W239" s="1400"/>
      <c r="X239" s="1400"/>
      <c r="Y239" s="1685">
        <v>42830</v>
      </c>
      <c r="Z239" s="1326" t="s">
        <v>2062</v>
      </c>
      <c r="AA239" s="1683">
        <v>0</v>
      </c>
      <c r="AB239" s="1683">
        <v>0</v>
      </c>
      <c r="AC239" s="1683">
        <v>0</v>
      </c>
      <c r="AD239" s="1685">
        <v>42857</v>
      </c>
      <c r="AE239" s="1326" t="s">
        <v>2063</v>
      </c>
      <c r="AF239" s="1326" t="s">
        <v>2064</v>
      </c>
      <c r="AG239" s="1410"/>
      <c r="AH239" s="1683">
        <v>125696.28</v>
      </c>
      <c r="AI239" s="1683">
        <v>125696.28</v>
      </c>
      <c r="AJ239" s="1683">
        <v>119411.47</v>
      </c>
      <c r="AK239" s="1683">
        <v>106841.84</v>
      </c>
      <c r="AL239" s="1683">
        <v>12569.63</v>
      </c>
      <c r="AM239" s="1685">
        <v>42857</v>
      </c>
      <c r="AN239" s="1683">
        <v>125696.28</v>
      </c>
      <c r="AO239" s="1683">
        <v>125696.28</v>
      </c>
      <c r="AP239" s="1683">
        <v>119411.47</v>
      </c>
      <c r="AQ239" s="1683">
        <v>106841.84</v>
      </c>
      <c r="AR239" s="1683">
        <v>12569.63</v>
      </c>
      <c r="AS239" s="1683">
        <v>6284.81</v>
      </c>
      <c r="AT239" s="1683">
        <v>0</v>
      </c>
      <c r="AU239" s="1683">
        <v>6284.81</v>
      </c>
      <c r="AV239" s="1683">
        <v>0</v>
      </c>
      <c r="AW239" s="1683">
        <v>0</v>
      </c>
      <c r="AX239" s="1400"/>
      <c r="AY239" s="1400"/>
      <c r="AZ239" s="1400"/>
      <c r="BA239" s="1682"/>
      <c r="BB239" s="1682"/>
      <c r="BC239" s="1400"/>
      <c r="BD239" s="1400"/>
      <c r="BE239" s="1683">
        <v>125696.28</v>
      </c>
      <c r="BF239" s="1683">
        <v>125696.28</v>
      </c>
      <c r="BG239" s="1683">
        <v>119411.47</v>
      </c>
      <c r="BH239" s="1683">
        <v>106841.84</v>
      </c>
      <c r="BI239" s="1683">
        <v>12569.63</v>
      </c>
      <c r="BJ239" s="1683">
        <v>6284.81</v>
      </c>
      <c r="BK239" s="1683">
        <v>0</v>
      </c>
      <c r="BL239" s="1683">
        <v>6284.81</v>
      </c>
      <c r="BM239" s="1683">
        <v>0</v>
      </c>
      <c r="BN239" s="1683">
        <v>0</v>
      </c>
      <c r="BO239" s="1685">
        <v>42993</v>
      </c>
      <c r="BP239" s="1683">
        <v>125696.28</v>
      </c>
      <c r="BQ239" s="1683">
        <v>125696.28</v>
      </c>
      <c r="BR239" s="1683">
        <v>119411.47</v>
      </c>
      <c r="BS239" s="1683">
        <v>106841.84</v>
      </c>
      <c r="BT239" s="1683">
        <v>12569.63</v>
      </c>
      <c r="BU239" s="1683">
        <v>6284.81</v>
      </c>
      <c r="BV239" s="1683">
        <v>0</v>
      </c>
      <c r="BW239" s="1683">
        <v>6284.81</v>
      </c>
      <c r="BX239" s="1683">
        <v>0</v>
      </c>
      <c r="BY239" s="1683">
        <v>0</v>
      </c>
      <c r="BZ239" s="1683">
        <v>0</v>
      </c>
      <c r="CA239" s="1400"/>
      <c r="CB239" s="1682"/>
      <c r="CC239" s="1682"/>
      <c r="CD239" s="1400"/>
      <c r="CE239" s="1400"/>
      <c r="CF239" s="1683">
        <v>0</v>
      </c>
      <c r="CG239" s="1683">
        <v>0</v>
      </c>
      <c r="CH239" s="1683">
        <v>0</v>
      </c>
      <c r="CI239" s="1683">
        <v>0</v>
      </c>
      <c r="CJ239" s="1683">
        <v>1108.83</v>
      </c>
      <c r="CK239" s="1683">
        <v>1108.83</v>
      </c>
      <c r="CL239" s="1685">
        <v>43511</v>
      </c>
      <c r="CM239" s="1683">
        <v>125696.28</v>
      </c>
      <c r="CN239" s="1683">
        <v>125696.28</v>
      </c>
      <c r="CO239" s="1683">
        <v>119411.47</v>
      </c>
      <c r="CP239" s="1683">
        <v>106841.84</v>
      </c>
      <c r="CQ239" s="1683">
        <v>12569.63</v>
      </c>
      <c r="CR239" s="1683">
        <v>6284.81</v>
      </c>
      <c r="CS239" s="1683">
        <v>0</v>
      </c>
      <c r="CT239" s="1683">
        <v>6284.81</v>
      </c>
      <c r="CU239" s="1683">
        <v>0</v>
      </c>
      <c r="CV239" s="1683">
        <v>0</v>
      </c>
      <c r="CW239" s="1682"/>
      <c r="CX239" s="1400"/>
      <c r="CY239" s="1400"/>
      <c r="CZ239" s="1400"/>
      <c r="DA239" s="1400"/>
      <c r="DB239" s="1682"/>
      <c r="DC239" s="1326"/>
      <c r="DD239" s="1683">
        <v>0</v>
      </c>
      <c r="DE239" s="1400"/>
      <c r="DF239" s="1400"/>
      <c r="DG239" s="1683">
        <v>0</v>
      </c>
      <c r="DH239" s="1683">
        <v>0</v>
      </c>
    </row>
    <row r="240" spans="1:112" ht="67.5">
      <c r="A240" s="1326" t="s">
        <v>2247</v>
      </c>
      <c r="B240" s="1326" t="s">
        <v>1700</v>
      </c>
      <c r="C240" s="1326" t="s">
        <v>2561</v>
      </c>
      <c r="D240" s="1326" t="s">
        <v>2562</v>
      </c>
      <c r="E240" s="1326" t="s">
        <v>145</v>
      </c>
      <c r="F240" s="1326" t="s">
        <v>2563</v>
      </c>
      <c r="G240" s="1326" t="s">
        <v>2556</v>
      </c>
      <c r="H240" s="1326" t="s">
        <v>2541</v>
      </c>
      <c r="I240" s="1326" t="s">
        <v>707</v>
      </c>
      <c r="J240" s="1326" t="s">
        <v>300</v>
      </c>
      <c r="K240" s="1326" t="s">
        <v>2060</v>
      </c>
      <c r="L240" s="1326" t="s">
        <v>2137</v>
      </c>
      <c r="M240" s="1400"/>
      <c r="N240" s="1400"/>
      <c r="O240" s="1400"/>
      <c r="P240" s="1400"/>
      <c r="Q240" s="1400"/>
      <c r="R240" s="1400"/>
      <c r="S240" s="1400"/>
      <c r="T240" s="1400"/>
      <c r="U240" s="1400"/>
      <c r="V240" s="1400"/>
      <c r="W240" s="1400"/>
      <c r="X240" s="1400"/>
      <c r="Y240" s="1685">
        <v>42909</v>
      </c>
      <c r="Z240" s="1326" t="s">
        <v>2062</v>
      </c>
      <c r="AA240" s="1683">
        <v>0</v>
      </c>
      <c r="AB240" s="1683">
        <v>0</v>
      </c>
      <c r="AC240" s="1683">
        <v>0</v>
      </c>
      <c r="AD240" s="1685">
        <v>42930</v>
      </c>
      <c r="AE240" s="1326" t="s">
        <v>2066</v>
      </c>
      <c r="AF240" s="1326" t="s">
        <v>2064</v>
      </c>
      <c r="AG240" s="1410"/>
      <c r="AH240" s="1683">
        <v>276509.15000000002</v>
      </c>
      <c r="AI240" s="1683">
        <v>276509.15000000002</v>
      </c>
      <c r="AJ240" s="1683">
        <v>262683.68</v>
      </c>
      <c r="AK240" s="1683">
        <v>235032.77</v>
      </c>
      <c r="AL240" s="1683">
        <v>27650.91</v>
      </c>
      <c r="AM240" s="1685">
        <v>42930</v>
      </c>
      <c r="AN240" s="1683">
        <v>276509.15000000002</v>
      </c>
      <c r="AO240" s="1683">
        <v>276509.15000000002</v>
      </c>
      <c r="AP240" s="1683">
        <v>262683.68</v>
      </c>
      <c r="AQ240" s="1683">
        <v>235032.77</v>
      </c>
      <c r="AR240" s="1683">
        <v>27650.91</v>
      </c>
      <c r="AS240" s="1683">
        <v>13825.47</v>
      </c>
      <c r="AT240" s="1683">
        <v>0</v>
      </c>
      <c r="AU240" s="1683">
        <v>13825.47</v>
      </c>
      <c r="AV240" s="1683">
        <v>0</v>
      </c>
      <c r="AW240" s="1683">
        <v>0</v>
      </c>
      <c r="AX240" s="1400"/>
      <c r="AY240" s="1400"/>
      <c r="AZ240" s="1400"/>
      <c r="BA240" s="1682"/>
      <c r="BB240" s="1682"/>
      <c r="BC240" s="1400"/>
      <c r="BD240" s="1400"/>
      <c r="BE240" s="1683">
        <v>276509.15000000002</v>
      </c>
      <c r="BF240" s="1683">
        <v>276509.15000000002</v>
      </c>
      <c r="BG240" s="1683">
        <v>262683.68</v>
      </c>
      <c r="BH240" s="1683">
        <v>235032.77</v>
      </c>
      <c r="BI240" s="1683">
        <v>27650.91</v>
      </c>
      <c r="BJ240" s="1683">
        <v>13825.47</v>
      </c>
      <c r="BK240" s="1683">
        <v>0</v>
      </c>
      <c r="BL240" s="1683">
        <v>13825.47</v>
      </c>
      <c r="BM240" s="1683">
        <v>0</v>
      </c>
      <c r="BN240" s="1683">
        <v>0</v>
      </c>
      <c r="BO240" s="1685">
        <v>42993</v>
      </c>
      <c r="BP240" s="1683">
        <v>276509.15000000002</v>
      </c>
      <c r="BQ240" s="1683">
        <v>276509.15000000002</v>
      </c>
      <c r="BR240" s="1683">
        <v>262683.68</v>
      </c>
      <c r="BS240" s="1683">
        <v>235032.77</v>
      </c>
      <c r="BT240" s="1683">
        <v>27650.91</v>
      </c>
      <c r="BU240" s="1683">
        <v>13825.47</v>
      </c>
      <c r="BV240" s="1683">
        <v>0</v>
      </c>
      <c r="BW240" s="1683">
        <v>13825.47</v>
      </c>
      <c r="BX240" s="1683">
        <v>0</v>
      </c>
      <c r="BY240" s="1683">
        <v>0</v>
      </c>
      <c r="BZ240" s="1683">
        <v>0</v>
      </c>
      <c r="CA240" s="1400"/>
      <c r="CB240" s="1682"/>
      <c r="CC240" s="1682"/>
      <c r="CD240" s="1400"/>
      <c r="CE240" s="1400"/>
      <c r="CF240" s="1683">
        <v>0</v>
      </c>
      <c r="CG240" s="1683">
        <v>0</v>
      </c>
      <c r="CH240" s="1683">
        <v>0</v>
      </c>
      <c r="CI240" s="1683">
        <v>0</v>
      </c>
      <c r="CJ240" s="1683">
        <v>2439.2199999999998</v>
      </c>
      <c r="CK240" s="1683">
        <v>2439.2199999999998</v>
      </c>
      <c r="CL240" s="1685">
        <v>43511</v>
      </c>
      <c r="CM240" s="1683">
        <v>276509.15000000002</v>
      </c>
      <c r="CN240" s="1683">
        <v>276509.15000000002</v>
      </c>
      <c r="CO240" s="1683">
        <v>262683.68</v>
      </c>
      <c r="CP240" s="1683">
        <v>235032.77</v>
      </c>
      <c r="CQ240" s="1683">
        <v>27650.91</v>
      </c>
      <c r="CR240" s="1683">
        <v>13825.47</v>
      </c>
      <c r="CS240" s="1683">
        <v>0</v>
      </c>
      <c r="CT240" s="1683">
        <v>13825.47</v>
      </c>
      <c r="CU240" s="1683">
        <v>0</v>
      </c>
      <c r="CV240" s="1683">
        <v>0</v>
      </c>
      <c r="CW240" s="1682"/>
      <c r="CX240" s="1400"/>
      <c r="CY240" s="1400"/>
      <c r="CZ240" s="1400"/>
      <c r="DA240" s="1400"/>
      <c r="DB240" s="1682"/>
      <c r="DC240" s="1326"/>
      <c r="DD240" s="1683">
        <v>0</v>
      </c>
      <c r="DE240" s="1400"/>
      <c r="DF240" s="1400"/>
      <c r="DG240" s="1683">
        <v>0</v>
      </c>
      <c r="DH240" s="1683">
        <v>0</v>
      </c>
    </row>
    <row r="241" spans="1:112" ht="67.5">
      <c r="A241" s="1326" t="s">
        <v>2248</v>
      </c>
      <c r="B241" s="1326" t="s">
        <v>1700</v>
      </c>
      <c r="C241" s="1326" t="s">
        <v>2561</v>
      </c>
      <c r="D241" s="1326" t="s">
        <v>2562</v>
      </c>
      <c r="E241" s="1326" t="s">
        <v>145</v>
      </c>
      <c r="F241" s="1326" t="s">
        <v>2563</v>
      </c>
      <c r="G241" s="1326" t="s">
        <v>2556</v>
      </c>
      <c r="H241" s="1326" t="s">
        <v>2541</v>
      </c>
      <c r="I241" s="1326" t="s">
        <v>707</v>
      </c>
      <c r="J241" s="1326" t="s">
        <v>300</v>
      </c>
      <c r="K241" s="1326" t="s">
        <v>2060</v>
      </c>
      <c r="L241" s="1326" t="s">
        <v>2137</v>
      </c>
      <c r="M241" s="1400"/>
      <c r="N241" s="1400"/>
      <c r="O241" s="1400"/>
      <c r="P241" s="1400"/>
      <c r="Q241" s="1400"/>
      <c r="R241" s="1400"/>
      <c r="S241" s="1400"/>
      <c r="T241" s="1400"/>
      <c r="U241" s="1400"/>
      <c r="V241" s="1400"/>
      <c r="W241" s="1400"/>
      <c r="X241" s="1400"/>
      <c r="Y241" s="1685">
        <v>42936</v>
      </c>
      <c r="Z241" s="1326" t="s">
        <v>2096</v>
      </c>
      <c r="AA241" s="1683">
        <v>0</v>
      </c>
      <c r="AB241" s="1683">
        <v>0</v>
      </c>
      <c r="AC241" s="1683">
        <v>0</v>
      </c>
      <c r="AD241" s="1685">
        <v>42978</v>
      </c>
      <c r="AE241" s="1326" t="s">
        <v>2079</v>
      </c>
      <c r="AF241" s="1326" t="s">
        <v>2064</v>
      </c>
      <c r="AG241" s="1410"/>
      <c r="AH241" s="1683">
        <v>0</v>
      </c>
      <c r="AI241" s="1683">
        <v>200000</v>
      </c>
      <c r="AJ241" s="1683">
        <v>200000</v>
      </c>
      <c r="AK241" s="1683">
        <v>178947.37</v>
      </c>
      <c r="AL241" s="1683">
        <v>21052.63</v>
      </c>
      <c r="AM241" s="1682"/>
      <c r="AN241" s="1683">
        <v>0</v>
      </c>
      <c r="AO241" s="1683">
        <v>0</v>
      </c>
      <c r="AP241" s="1683">
        <v>0</v>
      </c>
      <c r="AQ241" s="1683">
        <v>0</v>
      </c>
      <c r="AR241" s="1683">
        <v>0</v>
      </c>
      <c r="AS241" s="1683">
        <v>0</v>
      </c>
      <c r="AT241" s="1683">
        <v>0</v>
      </c>
      <c r="AU241" s="1683">
        <v>0</v>
      </c>
      <c r="AV241" s="1683">
        <v>0</v>
      </c>
      <c r="AW241" s="1683">
        <v>0</v>
      </c>
      <c r="AX241" s="1400"/>
      <c r="AY241" s="1400"/>
      <c r="AZ241" s="1400"/>
      <c r="BA241" s="1682"/>
      <c r="BB241" s="1682"/>
      <c r="BC241" s="1400"/>
      <c r="BD241" s="1400"/>
      <c r="BE241" s="1683">
        <v>0</v>
      </c>
      <c r="BF241" s="1683">
        <v>0</v>
      </c>
      <c r="BG241" s="1683">
        <v>0</v>
      </c>
      <c r="BH241" s="1683">
        <v>0</v>
      </c>
      <c r="BI241" s="1683">
        <v>0</v>
      </c>
      <c r="BJ241" s="1683">
        <v>0</v>
      </c>
      <c r="BK241" s="1683">
        <v>0</v>
      </c>
      <c r="BL241" s="1683">
        <v>0</v>
      </c>
      <c r="BM241" s="1683">
        <v>0</v>
      </c>
      <c r="BN241" s="1683">
        <v>0</v>
      </c>
      <c r="BO241" s="1682"/>
      <c r="BP241" s="1683">
        <v>0</v>
      </c>
      <c r="BQ241" s="1683">
        <v>0</v>
      </c>
      <c r="BR241" s="1683">
        <v>0</v>
      </c>
      <c r="BS241" s="1683">
        <v>0</v>
      </c>
      <c r="BT241" s="1683">
        <v>0</v>
      </c>
      <c r="BU241" s="1683">
        <v>0</v>
      </c>
      <c r="BV241" s="1683">
        <v>0</v>
      </c>
      <c r="BW241" s="1683">
        <v>0</v>
      </c>
      <c r="BX241" s="1683">
        <v>0</v>
      </c>
      <c r="BY241" s="1683">
        <v>0</v>
      </c>
      <c r="BZ241" s="1400"/>
      <c r="CA241" s="1400"/>
      <c r="CB241" s="1682"/>
      <c r="CC241" s="1682"/>
      <c r="CD241" s="1400"/>
      <c r="CE241" s="1400"/>
      <c r="CF241" s="1683">
        <v>0</v>
      </c>
      <c r="CG241" s="1683">
        <v>0</v>
      </c>
      <c r="CH241" s="1683">
        <v>0</v>
      </c>
      <c r="CI241" s="1683">
        <v>0</v>
      </c>
      <c r="CJ241" s="1683">
        <v>0</v>
      </c>
      <c r="CK241" s="1683">
        <v>0</v>
      </c>
      <c r="CL241" s="1682"/>
      <c r="CM241" s="1683">
        <v>0</v>
      </c>
      <c r="CN241" s="1683">
        <v>0</v>
      </c>
      <c r="CO241" s="1683">
        <v>0</v>
      </c>
      <c r="CP241" s="1683">
        <v>0</v>
      </c>
      <c r="CQ241" s="1683">
        <v>0</v>
      </c>
      <c r="CR241" s="1683">
        <v>0</v>
      </c>
      <c r="CS241" s="1683">
        <v>0</v>
      </c>
      <c r="CT241" s="1683">
        <v>0</v>
      </c>
      <c r="CU241" s="1683">
        <v>0</v>
      </c>
      <c r="CV241" s="1683">
        <v>0</v>
      </c>
      <c r="CW241" s="1682"/>
      <c r="CX241" s="1400"/>
      <c r="CY241" s="1400"/>
      <c r="CZ241" s="1400"/>
      <c r="DA241" s="1400"/>
      <c r="DB241" s="1682"/>
      <c r="DC241" s="1326"/>
      <c r="DD241" s="1683">
        <v>0</v>
      </c>
      <c r="DE241" s="1400"/>
      <c r="DF241" s="1400"/>
      <c r="DG241" s="1683">
        <v>0</v>
      </c>
      <c r="DH241" s="1683">
        <v>0</v>
      </c>
    </row>
    <row r="242" spans="1:112" ht="67.5">
      <c r="A242" s="1326" t="s">
        <v>2249</v>
      </c>
      <c r="B242" s="1326" t="s">
        <v>1700</v>
      </c>
      <c r="C242" s="1326" t="s">
        <v>2561</v>
      </c>
      <c r="D242" s="1326" t="s">
        <v>2562</v>
      </c>
      <c r="E242" s="1326" t="s">
        <v>145</v>
      </c>
      <c r="F242" s="1326" t="s">
        <v>2563</v>
      </c>
      <c r="G242" s="1326" t="s">
        <v>2556</v>
      </c>
      <c r="H242" s="1326" t="s">
        <v>2541</v>
      </c>
      <c r="I242" s="1326" t="s">
        <v>707</v>
      </c>
      <c r="J242" s="1326" t="s">
        <v>300</v>
      </c>
      <c r="K242" s="1326" t="s">
        <v>2060</v>
      </c>
      <c r="L242" s="1326" t="s">
        <v>2137</v>
      </c>
      <c r="M242" s="1400"/>
      <c r="N242" s="1400"/>
      <c r="O242" s="1400"/>
      <c r="P242" s="1400"/>
      <c r="Q242" s="1400"/>
      <c r="R242" s="1400"/>
      <c r="S242" s="1400"/>
      <c r="T242" s="1400"/>
      <c r="U242" s="1400"/>
      <c r="V242" s="1400"/>
      <c r="W242" s="1400"/>
      <c r="X242" s="1400"/>
      <c r="Y242" s="1685">
        <v>42998</v>
      </c>
      <c r="Z242" s="1326" t="s">
        <v>2062</v>
      </c>
      <c r="AA242" s="1683">
        <v>0</v>
      </c>
      <c r="AB242" s="1683">
        <v>0</v>
      </c>
      <c r="AC242" s="1683">
        <v>0</v>
      </c>
      <c r="AD242" s="1685">
        <v>43012</v>
      </c>
      <c r="AE242" s="1326" t="s">
        <v>2080</v>
      </c>
      <c r="AF242" s="1326" t="s">
        <v>2064</v>
      </c>
      <c r="AG242" s="1410"/>
      <c r="AH242" s="1683">
        <v>247223.2</v>
      </c>
      <c r="AI242" s="1683">
        <v>247223.2</v>
      </c>
      <c r="AJ242" s="1683">
        <v>234862.04</v>
      </c>
      <c r="AK242" s="1683">
        <v>210139.72</v>
      </c>
      <c r="AL242" s="1683">
        <v>24722.32</v>
      </c>
      <c r="AM242" s="1685">
        <v>43012</v>
      </c>
      <c r="AN242" s="1683">
        <v>247223.2</v>
      </c>
      <c r="AO242" s="1683">
        <v>247223.2</v>
      </c>
      <c r="AP242" s="1683">
        <v>234862.04</v>
      </c>
      <c r="AQ242" s="1683">
        <v>210139.72</v>
      </c>
      <c r="AR242" s="1683">
        <v>24722.32</v>
      </c>
      <c r="AS242" s="1683">
        <v>12361.16</v>
      </c>
      <c r="AT242" s="1683">
        <v>0</v>
      </c>
      <c r="AU242" s="1683">
        <v>12361.16</v>
      </c>
      <c r="AV242" s="1683">
        <v>0</v>
      </c>
      <c r="AW242" s="1683">
        <v>0</v>
      </c>
      <c r="AX242" s="1400"/>
      <c r="AY242" s="1400"/>
      <c r="AZ242" s="1400"/>
      <c r="BA242" s="1682"/>
      <c r="BB242" s="1682"/>
      <c r="BC242" s="1400"/>
      <c r="BD242" s="1400"/>
      <c r="BE242" s="1683">
        <v>247223.2</v>
      </c>
      <c r="BF242" s="1683">
        <v>247223.2</v>
      </c>
      <c r="BG242" s="1683">
        <v>234862.04</v>
      </c>
      <c r="BH242" s="1683">
        <v>210139.72</v>
      </c>
      <c r="BI242" s="1683">
        <v>24722.32</v>
      </c>
      <c r="BJ242" s="1683">
        <v>12361.16</v>
      </c>
      <c r="BK242" s="1683">
        <v>0</v>
      </c>
      <c r="BL242" s="1683">
        <v>12361.16</v>
      </c>
      <c r="BM242" s="1683">
        <v>0</v>
      </c>
      <c r="BN242" s="1683">
        <v>0</v>
      </c>
      <c r="BO242" s="1685">
        <v>43364</v>
      </c>
      <c r="BP242" s="1683">
        <v>247223.2</v>
      </c>
      <c r="BQ242" s="1683">
        <v>247223.2</v>
      </c>
      <c r="BR242" s="1683">
        <v>234862.04</v>
      </c>
      <c r="BS242" s="1683">
        <v>210139.72</v>
      </c>
      <c r="BT242" s="1683">
        <v>24722.32</v>
      </c>
      <c r="BU242" s="1683">
        <v>12361.16</v>
      </c>
      <c r="BV242" s="1683">
        <v>0</v>
      </c>
      <c r="BW242" s="1683">
        <v>0</v>
      </c>
      <c r="BX242" s="1683">
        <v>0</v>
      </c>
      <c r="BY242" s="1683">
        <v>0</v>
      </c>
      <c r="BZ242" s="1683">
        <v>0</v>
      </c>
      <c r="CA242" s="1400"/>
      <c r="CB242" s="1682"/>
      <c r="CC242" s="1682"/>
      <c r="CD242" s="1400"/>
      <c r="CE242" s="1400"/>
      <c r="CF242" s="1683">
        <v>0</v>
      </c>
      <c r="CG242" s="1683">
        <v>0</v>
      </c>
      <c r="CH242" s="1683">
        <v>0</v>
      </c>
      <c r="CI242" s="1683">
        <v>0</v>
      </c>
      <c r="CJ242" s="1683">
        <v>2180.88</v>
      </c>
      <c r="CK242" s="1683">
        <v>2180.88</v>
      </c>
      <c r="CL242" s="1682"/>
      <c r="CM242" s="1683">
        <v>0</v>
      </c>
      <c r="CN242" s="1683">
        <v>0</v>
      </c>
      <c r="CO242" s="1683">
        <v>0</v>
      </c>
      <c r="CP242" s="1683">
        <v>0</v>
      </c>
      <c r="CQ242" s="1683">
        <v>0</v>
      </c>
      <c r="CR242" s="1683">
        <v>0</v>
      </c>
      <c r="CS242" s="1683">
        <v>0</v>
      </c>
      <c r="CT242" s="1683">
        <v>0</v>
      </c>
      <c r="CU242" s="1683">
        <v>0</v>
      </c>
      <c r="CV242" s="1683">
        <v>0</v>
      </c>
      <c r="CW242" s="1682"/>
      <c r="CX242" s="1400"/>
      <c r="CY242" s="1400"/>
      <c r="CZ242" s="1400"/>
      <c r="DA242" s="1400"/>
      <c r="DB242" s="1682"/>
      <c r="DC242" s="1326"/>
      <c r="DD242" s="1683">
        <v>0</v>
      </c>
      <c r="DE242" s="1400"/>
      <c r="DF242" s="1400"/>
      <c r="DG242" s="1683">
        <v>0</v>
      </c>
      <c r="DH242" s="1683">
        <v>0</v>
      </c>
    </row>
    <row r="243" spans="1:112" ht="67.5">
      <c r="A243" s="1326" t="s">
        <v>2250</v>
      </c>
      <c r="B243" s="1326" t="s">
        <v>1700</v>
      </c>
      <c r="C243" s="1326" t="s">
        <v>2561</v>
      </c>
      <c r="D243" s="1326" t="s">
        <v>2562</v>
      </c>
      <c r="E243" s="1326" t="s">
        <v>145</v>
      </c>
      <c r="F243" s="1326" t="s">
        <v>2563</v>
      </c>
      <c r="G243" s="1326" t="s">
        <v>2556</v>
      </c>
      <c r="H243" s="1326" t="s">
        <v>2541</v>
      </c>
      <c r="I243" s="1326" t="s">
        <v>707</v>
      </c>
      <c r="J243" s="1326" t="s">
        <v>300</v>
      </c>
      <c r="K243" s="1326" t="s">
        <v>2060</v>
      </c>
      <c r="L243" s="1326" t="s">
        <v>2137</v>
      </c>
      <c r="M243" s="1400"/>
      <c r="N243" s="1400"/>
      <c r="O243" s="1400"/>
      <c r="P243" s="1400"/>
      <c r="Q243" s="1400"/>
      <c r="R243" s="1400"/>
      <c r="S243" s="1400"/>
      <c r="T243" s="1400"/>
      <c r="U243" s="1400"/>
      <c r="V243" s="1400"/>
      <c r="W243" s="1400"/>
      <c r="X243" s="1400"/>
      <c r="Y243" s="1685">
        <v>43076</v>
      </c>
      <c r="Z243" s="1326" t="s">
        <v>2062</v>
      </c>
      <c r="AA243" s="1683">
        <v>152916.46</v>
      </c>
      <c r="AB243" s="1683">
        <v>136819.99</v>
      </c>
      <c r="AC243" s="1683">
        <v>16096.47</v>
      </c>
      <c r="AD243" s="1685">
        <v>43081</v>
      </c>
      <c r="AE243" s="1326" t="s">
        <v>2081</v>
      </c>
      <c r="AF243" s="1326" t="s">
        <v>2064</v>
      </c>
      <c r="AG243" s="1410"/>
      <c r="AH243" s="1683">
        <v>171331.64</v>
      </c>
      <c r="AI243" s="1683">
        <v>171331.64</v>
      </c>
      <c r="AJ243" s="1683">
        <v>0</v>
      </c>
      <c r="AK243" s="1683">
        <v>0</v>
      </c>
      <c r="AL243" s="1683">
        <v>0</v>
      </c>
      <c r="AM243" s="1685">
        <v>43081</v>
      </c>
      <c r="AN243" s="1683">
        <v>171331.64</v>
      </c>
      <c r="AO243" s="1683">
        <v>171331.64</v>
      </c>
      <c r="AP243" s="1683">
        <v>162765.06</v>
      </c>
      <c r="AQ243" s="1683">
        <v>145631.89000000001</v>
      </c>
      <c r="AR243" s="1683">
        <v>17133.169999999998</v>
      </c>
      <c r="AS243" s="1683">
        <v>8566.58</v>
      </c>
      <c r="AT243" s="1683">
        <v>0</v>
      </c>
      <c r="AU243" s="1683">
        <v>8566.58</v>
      </c>
      <c r="AV243" s="1683">
        <v>0</v>
      </c>
      <c r="AW243" s="1683">
        <v>0</v>
      </c>
      <c r="AX243" s="1400"/>
      <c r="AY243" s="1400"/>
      <c r="AZ243" s="1400"/>
      <c r="BA243" s="1682"/>
      <c r="BB243" s="1682"/>
      <c r="BC243" s="1400"/>
      <c r="BD243" s="1400"/>
      <c r="BE243" s="1683">
        <v>171331.64</v>
      </c>
      <c r="BF243" s="1683">
        <v>171331.64</v>
      </c>
      <c r="BG243" s="1683">
        <v>162765.06</v>
      </c>
      <c r="BH243" s="1683">
        <v>145631.89000000001</v>
      </c>
      <c r="BI243" s="1683">
        <v>17133.169999999998</v>
      </c>
      <c r="BJ243" s="1683">
        <v>8566.58</v>
      </c>
      <c r="BK243" s="1683">
        <v>0</v>
      </c>
      <c r="BL243" s="1683">
        <v>8566.58</v>
      </c>
      <c r="BM243" s="1683">
        <v>0</v>
      </c>
      <c r="BN243" s="1683">
        <v>0</v>
      </c>
      <c r="BO243" s="1685">
        <v>43364</v>
      </c>
      <c r="BP243" s="1683">
        <v>171331.64</v>
      </c>
      <c r="BQ243" s="1683">
        <v>171331.64</v>
      </c>
      <c r="BR243" s="1683">
        <v>162765.06</v>
      </c>
      <c r="BS243" s="1683">
        <v>145631.89000000001</v>
      </c>
      <c r="BT243" s="1683">
        <v>17133.169999999998</v>
      </c>
      <c r="BU243" s="1683">
        <v>8566.58</v>
      </c>
      <c r="BV243" s="1683">
        <v>0</v>
      </c>
      <c r="BW243" s="1683">
        <v>0</v>
      </c>
      <c r="BX243" s="1683">
        <v>0</v>
      </c>
      <c r="BY243" s="1683">
        <v>0</v>
      </c>
      <c r="BZ243" s="1683">
        <v>0</v>
      </c>
      <c r="CA243" s="1400"/>
      <c r="CB243" s="1682"/>
      <c r="CC243" s="1682"/>
      <c r="CD243" s="1400"/>
      <c r="CE243" s="1400"/>
      <c r="CF243" s="1683">
        <v>0</v>
      </c>
      <c r="CG243" s="1683">
        <v>0</v>
      </c>
      <c r="CH243" s="1683">
        <v>0</v>
      </c>
      <c r="CI243" s="1683">
        <v>0</v>
      </c>
      <c r="CJ243" s="1683">
        <v>1511.4</v>
      </c>
      <c r="CK243" s="1683">
        <v>1511.4</v>
      </c>
      <c r="CL243" s="1682"/>
      <c r="CM243" s="1683">
        <v>0</v>
      </c>
      <c r="CN243" s="1683">
        <v>0</v>
      </c>
      <c r="CO243" s="1683">
        <v>0</v>
      </c>
      <c r="CP243" s="1683">
        <v>0</v>
      </c>
      <c r="CQ243" s="1683">
        <v>0</v>
      </c>
      <c r="CR243" s="1683">
        <v>0</v>
      </c>
      <c r="CS243" s="1683">
        <v>0</v>
      </c>
      <c r="CT243" s="1683">
        <v>0</v>
      </c>
      <c r="CU243" s="1683">
        <v>0</v>
      </c>
      <c r="CV243" s="1683">
        <v>0</v>
      </c>
      <c r="CW243" s="1682"/>
      <c r="CX243" s="1400"/>
      <c r="CY243" s="1400"/>
      <c r="CZ243" s="1400"/>
      <c r="DA243" s="1400"/>
      <c r="DB243" s="1682"/>
      <c r="DC243" s="1326"/>
      <c r="DD243" s="1683">
        <v>0</v>
      </c>
      <c r="DE243" s="1400"/>
      <c r="DF243" s="1400"/>
      <c r="DG243" s="1683">
        <v>0</v>
      </c>
      <c r="DH243" s="1683">
        <v>0</v>
      </c>
    </row>
    <row r="244" spans="1:112" ht="67.5">
      <c r="A244" s="1326" t="s">
        <v>2251</v>
      </c>
      <c r="B244" s="1326" t="s">
        <v>1700</v>
      </c>
      <c r="C244" s="1326" t="s">
        <v>2561</v>
      </c>
      <c r="D244" s="1326" t="s">
        <v>2562</v>
      </c>
      <c r="E244" s="1326" t="s">
        <v>145</v>
      </c>
      <c r="F244" s="1326" t="s">
        <v>2563</v>
      </c>
      <c r="G244" s="1326" t="s">
        <v>2556</v>
      </c>
      <c r="H244" s="1326" t="s">
        <v>2541</v>
      </c>
      <c r="I244" s="1326" t="s">
        <v>707</v>
      </c>
      <c r="J244" s="1326" t="s">
        <v>300</v>
      </c>
      <c r="K244" s="1326" t="s">
        <v>2060</v>
      </c>
      <c r="L244" s="1326" t="s">
        <v>2137</v>
      </c>
      <c r="M244" s="1400"/>
      <c r="N244" s="1400"/>
      <c r="O244" s="1400"/>
      <c r="P244" s="1400"/>
      <c r="Q244" s="1400"/>
      <c r="R244" s="1400"/>
      <c r="S244" s="1400"/>
      <c r="T244" s="1400"/>
      <c r="U244" s="1400"/>
      <c r="V244" s="1400"/>
      <c r="W244" s="1400"/>
      <c r="X244" s="1400"/>
      <c r="Y244" s="1685">
        <v>43164</v>
      </c>
      <c r="Z244" s="1326" t="s">
        <v>2062</v>
      </c>
      <c r="AA244" s="1683">
        <v>0</v>
      </c>
      <c r="AB244" s="1683">
        <v>0</v>
      </c>
      <c r="AC244" s="1683">
        <v>0</v>
      </c>
      <c r="AD244" s="1685">
        <v>43179</v>
      </c>
      <c r="AE244" s="1326" t="s">
        <v>2088</v>
      </c>
      <c r="AF244" s="1326" t="s">
        <v>2064</v>
      </c>
      <c r="AG244" s="1410"/>
      <c r="AH244" s="1683">
        <v>68578.7</v>
      </c>
      <c r="AI244" s="1683">
        <v>68578.7</v>
      </c>
      <c r="AJ244" s="1683">
        <v>65149.77</v>
      </c>
      <c r="AK244" s="1683">
        <v>58291.9</v>
      </c>
      <c r="AL244" s="1683">
        <v>6857.87</v>
      </c>
      <c r="AM244" s="1685">
        <v>43179</v>
      </c>
      <c r="AN244" s="1683">
        <v>68578.7</v>
      </c>
      <c r="AO244" s="1683">
        <v>68578.7</v>
      </c>
      <c r="AP244" s="1683">
        <v>65149.77</v>
      </c>
      <c r="AQ244" s="1683">
        <v>58291.9</v>
      </c>
      <c r="AR244" s="1683">
        <v>6857.87</v>
      </c>
      <c r="AS244" s="1683">
        <v>3428.93</v>
      </c>
      <c r="AT244" s="1683">
        <v>0</v>
      </c>
      <c r="AU244" s="1683">
        <v>3428.93</v>
      </c>
      <c r="AV244" s="1683">
        <v>0</v>
      </c>
      <c r="AW244" s="1683">
        <v>0</v>
      </c>
      <c r="AX244" s="1400"/>
      <c r="AY244" s="1400"/>
      <c r="AZ244" s="1400"/>
      <c r="BA244" s="1682"/>
      <c r="BB244" s="1682"/>
      <c r="BC244" s="1400"/>
      <c r="BD244" s="1400"/>
      <c r="BE244" s="1683">
        <v>68578.7</v>
      </c>
      <c r="BF244" s="1683">
        <v>68578.7</v>
      </c>
      <c r="BG244" s="1683">
        <v>65149.77</v>
      </c>
      <c r="BH244" s="1683">
        <v>58291.9</v>
      </c>
      <c r="BI244" s="1683">
        <v>6857.87</v>
      </c>
      <c r="BJ244" s="1683">
        <v>3428.93</v>
      </c>
      <c r="BK244" s="1683">
        <v>0</v>
      </c>
      <c r="BL244" s="1683">
        <v>3428.93</v>
      </c>
      <c r="BM244" s="1683">
        <v>0</v>
      </c>
      <c r="BN244" s="1683">
        <v>0</v>
      </c>
      <c r="BO244" s="1685">
        <v>43364</v>
      </c>
      <c r="BP244" s="1683">
        <v>68578.7</v>
      </c>
      <c r="BQ244" s="1683">
        <v>68578.7</v>
      </c>
      <c r="BR244" s="1683">
        <v>65149.77</v>
      </c>
      <c r="BS244" s="1683">
        <v>58291.9</v>
      </c>
      <c r="BT244" s="1683">
        <v>6857.87</v>
      </c>
      <c r="BU244" s="1683">
        <v>3428.93</v>
      </c>
      <c r="BV244" s="1683">
        <v>0</v>
      </c>
      <c r="BW244" s="1683">
        <v>0</v>
      </c>
      <c r="BX244" s="1683">
        <v>0</v>
      </c>
      <c r="BY244" s="1683">
        <v>0</v>
      </c>
      <c r="BZ244" s="1683">
        <v>0</v>
      </c>
      <c r="CA244" s="1400"/>
      <c r="CB244" s="1682"/>
      <c r="CC244" s="1682"/>
      <c r="CD244" s="1400"/>
      <c r="CE244" s="1400"/>
      <c r="CF244" s="1683">
        <v>0</v>
      </c>
      <c r="CG244" s="1683">
        <v>0</v>
      </c>
      <c r="CH244" s="1683">
        <v>0</v>
      </c>
      <c r="CI244" s="1683">
        <v>0</v>
      </c>
      <c r="CJ244" s="1683">
        <v>604.97</v>
      </c>
      <c r="CK244" s="1683">
        <v>604.97</v>
      </c>
      <c r="CL244" s="1682"/>
      <c r="CM244" s="1683">
        <v>0</v>
      </c>
      <c r="CN244" s="1683">
        <v>0</v>
      </c>
      <c r="CO244" s="1683">
        <v>0</v>
      </c>
      <c r="CP244" s="1683">
        <v>0</v>
      </c>
      <c r="CQ244" s="1683">
        <v>0</v>
      </c>
      <c r="CR244" s="1683">
        <v>0</v>
      </c>
      <c r="CS244" s="1683">
        <v>0</v>
      </c>
      <c r="CT244" s="1683">
        <v>0</v>
      </c>
      <c r="CU244" s="1683">
        <v>0</v>
      </c>
      <c r="CV244" s="1683">
        <v>0</v>
      </c>
      <c r="CW244" s="1682"/>
      <c r="CX244" s="1400"/>
      <c r="CY244" s="1400"/>
      <c r="CZ244" s="1400"/>
      <c r="DA244" s="1400"/>
      <c r="DB244" s="1682"/>
      <c r="DC244" s="1326"/>
      <c r="DD244" s="1683">
        <v>0</v>
      </c>
      <c r="DE244" s="1400"/>
      <c r="DF244" s="1400"/>
      <c r="DG244" s="1683">
        <v>0</v>
      </c>
      <c r="DH244" s="1683">
        <v>0</v>
      </c>
    </row>
    <row r="245" spans="1:112" ht="67.5">
      <c r="A245" s="1326" t="s">
        <v>2252</v>
      </c>
      <c r="B245" s="1326" t="s">
        <v>1700</v>
      </c>
      <c r="C245" s="1326" t="s">
        <v>2561</v>
      </c>
      <c r="D245" s="1326" t="s">
        <v>2562</v>
      </c>
      <c r="E245" s="1326" t="s">
        <v>145</v>
      </c>
      <c r="F245" s="1326" t="s">
        <v>2563</v>
      </c>
      <c r="G245" s="1326" t="s">
        <v>2556</v>
      </c>
      <c r="H245" s="1326" t="s">
        <v>2541</v>
      </c>
      <c r="I245" s="1326" t="s">
        <v>707</v>
      </c>
      <c r="J245" s="1326" t="s">
        <v>300</v>
      </c>
      <c r="K245" s="1326" t="s">
        <v>2060</v>
      </c>
      <c r="L245" s="1326" t="s">
        <v>2137</v>
      </c>
      <c r="M245" s="1400"/>
      <c r="N245" s="1400"/>
      <c r="O245" s="1400"/>
      <c r="P245" s="1400"/>
      <c r="Q245" s="1400"/>
      <c r="R245" s="1400"/>
      <c r="S245" s="1400"/>
      <c r="T245" s="1400"/>
      <c r="U245" s="1400"/>
      <c r="V245" s="1400"/>
      <c r="W245" s="1400"/>
      <c r="X245" s="1400"/>
      <c r="Y245" s="1685">
        <v>43257</v>
      </c>
      <c r="Z245" s="1326" t="s">
        <v>2062</v>
      </c>
      <c r="AA245" s="1683">
        <v>50000</v>
      </c>
      <c r="AB245" s="1683">
        <v>50000</v>
      </c>
      <c r="AC245" s="1683">
        <v>0</v>
      </c>
      <c r="AD245" s="1685">
        <v>43291</v>
      </c>
      <c r="AE245" s="1326" t="s">
        <v>2082</v>
      </c>
      <c r="AF245" s="1326" t="s">
        <v>2064</v>
      </c>
      <c r="AG245" s="1410"/>
      <c r="AH245" s="1683">
        <v>64463.47</v>
      </c>
      <c r="AI245" s="1683">
        <v>64463.47</v>
      </c>
      <c r="AJ245" s="1683">
        <v>11240.3</v>
      </c>
      <c r="AK245" s="1683">
        <v>4793.95</v>
      </c>
      <c r="AL245" s="1683">
        <v>6446.35</v>
      </c>
      <c r="AM245" s="1685">
        <v>43291</v>
      </c>
      <c r="AN245" s="1683">
        <v>64463.47</v>
      </c>
      <c r="AO245" s="1683">
        <v>64463.47</v>
      </c>
      <c r="AP245" s="1683">
        <v>61240.3</v>
      </c>
      <c r="AQ245" s="1683">
        <v>54793.95</v>
      </c>
      <c r="AR245" s="1683">
        <v>6446.35</v>
      </c>
      <c r="AS245" s="1683">
        <v>3223.17</v>
      </c>
      <c r="AT245" s="1683">
        <v>0</v>
      </c>
      <c r="AU245" s="1683">
        <v>3223.17</v>
      </c>
      <c r="AV245" s="1683">
        <v>0</v>
      </c>
      <c r="AW245" s="1683">
        <v>0</v>
      </c>
      <c r="AX245" s="1400"/>
      <c r="AY245" s="1400"/>
      <c r="AZ245" s="1400"/>
      <c r="BA245" s="1682"/>
      <c r="BB245" s="1682"/>
      <c r="BC245" s="1400"/>
      <c r="BD245" s="1400"/>
      <c r="BE245" s="1683">
        <v>64463.47</v>
      </c>
      <c r="BF245" s="1683">
        <v>64463.47</v>
      </c>
      <c r="BG245" s="1683">
        <v>61240.3</v>
      </c>
      <c r="BH245" s="1683">
        <v>54793.95</v>
      </c>
      <c r="BI245" s="1683">
        <v>6446.35</v>
      </c>
      <c r="BJ245" s="1683">
        <v>3223.17</v>
      </c>
      <c r="BK245" s="1683">
        <v>0</v>
      </c>
      <c r="BL245" s="1683">
        <v>3223.17</v>
      </c>
      <c r="BM245" s="1683">
        <v>0</v>
      </c>
      <c r="BN245" s="1683">
        <v>0</v>
      </c>
      <c r="BO245" s="1685">
        <v>43364</v>
      </c>
      <c r="BP245" s="1683">
        <v>64463.47</v>
      </c>
      <c r="BQ245" s="1683">
        <v>64463.47</v>
      </c>
      <c r="BR245" s="1683">
        <v>61240.3</v>
      </c>
      <c r="BS245" s="1683">
        <v>54793.95</v>
      </c>
      <c r="BT245" s="1683">
        <v>6446.35</v>
      </c>
      <c r="BU245" s="1683">
        <v>3223.17</v>
      </c>
      <c r="BV245" s="1683">
        <v>0</v>
      </c>
      <c r="BW245" s="1683">
        <v>0</v>
      </c>
      <c r="BX245" s="1683">
        <v>0</v>
      </c>
      <c r="BY245" s="1683">
        <v>0</v>
      </c>
      <c r="BZ245" s="1683">
        <v>0</v>
      </c>
      <c r="CA245" s="1400"/>
      <c r="CB245" s="1682"/>
      <c r="CC245" s="1682"/>
      <c r="CD245" s="1400"/>
      <c r="CE245" s="1400"/>
      <c r="CF245" s="1683">
        <v>0</v>
      </c>
      <c r="CG245" s="1683">
        <v>0</v>
      </c>
      <c r="CH245" s="1683">
        <v>0</v>
      </c>
      <c r="CI245" s="1683">
        <v>0</v>
      </c>
      <c r="CJ245" s="1683">
        <v>568.66</v>
      </c>
      <c r="CK245" s="1683">
        <v>568.66</v>
      </c>
      <c r="CL245" s="1682"/>
      <c r="CM245" s="1683">
        <v>0</v>
      </c>
      <c r="CN245" s="1683">
        <v>0</v>
      </c>
      <c r="CO245" s="1683">
        <v>0</v>
      </c>
      <c r="CP245" s="1683">
        <v>0</v>
      </c>
      <c r="CQ245" s="1683">
        <v>0</v>
      </c>
      <c r="CR245" s="1683">
        <v>0</v>
      </c>
      <c r="CS245" s="1683">
        <v>0</v>
      </c>
      <c r="CT245" s="1683">
        <v>0</v>
      </c>
      <c r="CU245" s="1683">
        <v>0</v>
      </c>
      <c r="CV245" s="1683">
        <v>0</v>
      </c>
      <c r="CW245" s="1682"/>
      <c r="CX245" s="1400"/>
      <c r="CY245" s="1400"/>
      <c r="CZ245" s="1400"/>
      <c r="DA245" s="1400"/>
      <c r="DB245" s="1682"/>
      <c r="DC245" s="1326"/>
      <c r="DD245" s="1683">
        <v>0</v>
      </c>
      <c r="DE245" s="1400"/>
      <c r="DF245" s="1400"/>
      <c r="DG245" s="1683">
        <v>0</v>
      </c>
      <c r="DH245" s="1683">
        <v>0</v>
      </c>
    </row>
    <row r="246" spans="1:112" ht="67.5">
      <c r="A246" s="1326" t="s">
        <v>2253</v>
      </c>
      <c r="B246" s="1326" t="s">
        <v>1700</v>
      </c>
      <c r="C246" s="1326" t="s">
        <v>2561</v>
      </c>
      <c r="D246" s="1326" t="s">
        <v>2562</v>
      </c>
      <c r="E246" s="1326" t="s">
        <v>145</v>
      </c>
      <c r="F246" s="1326" t="s">
        <v>2563</v>
      </c>
      <c r="G246" s="1326" t="s">
        <v>2556</v>
      </c>
      <c r="H246" s="1326" t="s">
        <v>2541</v>
      </c>
      <c r="I246" s="1326" t="s">
        <v>707</v>
      </c>
      <c r="J246" s="1326" t="s">
        <v>300</v>
      </c>
      <c r="K246" s="1326" t="s">
        <v>2060</v>
      </c>
      <c r="L246" s="1326" t="s">
        <v>2137</v>
      </c>
      <c r="M246" s="1400"/>
      <c r="N246" s="1400"/>
      <c r="O246" s="1400"/>
      <c r="P246" s="1400"/>
      <c r="Q246" s="1400"/>
      <c r="R246" s="1400"/>
      <c r="S246" s="1400"/>
      <c r="T246" s="1400"/>
      <c r="U246" s="1400"/>
      <c r="V246" s="1400"/>
      <c r="W246" s="1400"/>
      <c r="X246" s="1400"/>
      <c r="Y246" s="1685">
        <v>43298</v>
      </c>
      <c r="Z246" s="1326" t="s">
        <v>2062</v>
      </c>
      <c r="AA246" s="1683">
        <v>80000</v>
      </c>
      <c r="AB246" s="1683">
        <v>71576</v>
      </c>
      <c r="AC246" s="1683">
        <v>8424</v>
      </c>
      <c r="AD246" s="1685">
        <v>43319</v>
      </c>
      <c r="AE246" s="1326" t="s">
        <v>2083</v>
      </c>
      <c r="AF246" s="1326" t="s">
        <v>2064</v>
      </c>
      <c r="AG246" s="1410"/>
      <c r="AH246" s="1683">
        <v>150738.23999999999</v>
      </c>
      <c r="AI246" s="1683">
        <v>150738.23999999999</v>
      </c>
      <c r="AJ246" s="1683">
        <v>63201.33</v>
      </c>
      <c r="AK246" s="1683">
        <v>56551.51</v>
      </c>
      <c r="AL246" s="1683">
        <v>6649.82</v>
      </c>
      <c r="AM246" s="1685">
        <v>43319</v>
      </c>
      <c r="AN246" s="1683">
        <v>150738.23999999999</v>
      </c>
      <c r="AO246" s="1683">
        <v>150738.23999999999</v>
      </c>
      <c r="AP246" s="1683">
        <v>143201.32999999999</v>
      </c>
      <c r="AQ246" s="1683">
        <v>128127.51</v>
      </c>
      <c r="AR246" s="1683">
        <v>15073.82</v>
      </c>
      <c r="AS246" s="1683">
        <v>7536.91</v>
      </c>
      <c r="AT246" s="1683">
        <v>0</v>
      </c>
      <c r="AU246" s="1683">
        <v>7536.91</v>
      </c>
      <c r="AV246" s="1683">
        <v>0</v>
      </c>
      <c r="AW246" s="1683">
        <v>0</v>
      </c>
      <c r="AX246" s="1400"/>
      <c r="AY246" s="1400"/>
      <c r="AZ246" s="1400"/>
      <c r="BA246" s="1682"/>
      <c r="BB246" s="1682"/>
      <c r="BC246" s="1400"/>
      <c r="BD246" s="1400"/>
      <c r="BE246" s="1683">
        <v>150738.23999999999</v>
      </c>
      <c r="BF246" s="1683">
        <v>150738.23999999999</v>
      </c>
      <c r="BG246" s="1683">
        <v>143201.32999999999</v>
      </c>
      <c r="BH246" s="1683">
        <v>128127.51</v>
      </c>
      <c r="BI246" s="1683">
        <v>15073.82</v>
      </c>
      <c r="BJ246" s="1683">
        <v>7536.91</v>
      </c>
      <c r="BK246" s="1683">
        <v>0</v>
      </c>
      <c r="BL246" s="1683">
        <v>7536.91</v>
      </c>
      <c r="BM246" s="1683">
        <v>0</v>
      </c>
      <c r="BN246" s="1683">
        <v>0</v>
      </c>
      <c r="BO246" s="1685">
        <v>43403</v>
      </c>
      <c r="BP246" s="1683">
        <v>150738.23999999999</v>
      </c>
      <c r="BQ246" s="1683">
        <v>150738.23999999999</v>
      </c>
      <c r="BR246" s="1683">
        <v>143201.32999999999</v>
      </c>
      <c r="BS246" s="1683">
        <v>128127.51</v>
      </c>
      <c r="BT246" s="1683">
        <v>15073.82</v>
      </c>
      <c r="BU246" s="1683">
        <v>7536.91</v>
      </c>
      <c r="BV246" s="1683">
        <v>0</v>
      </c>
      <c r="BW246" s="1683">
        <v>0</v>
      </c>
      <c r="BX246" s="1683">
        <v>0</v>
      </c>
      <c r="BY246" s="1683">
        <v>0</v>
      </c>
      <c r="BZ246" s="1683">
        <v>0</v>
      </c>
      <c r="CA246" s="1400"/>
      <c r="CB246" s="1682"/>
      <c r="CC246" s="1682"/>
      <c r="CD246" s="1400"/>
      <c r="CE246" s="1400"/>
      <c r="CF246" s="1683">
        <v>0</v>
      </c>
      <c r="CG246" s="1683">
        <v>0</v>
      </c>
      <c r="CH246" s="1683">
        <v>0</v>
      </c>
      <c r="CI246" s="1683">
        <v>0</v>
      </c>
      <c r="CJ246" s="1683">
        <v>1329.73</v>
      </c>
      <c r="CK246" s="1683">
        <v>1329.73</v>
      </c>
      <c r="CL246" s="1682"/>
      <c r="CM246" s="1683">
        <v>0</v>
      </c>
      <c r="CN246" s="1683">
        <v>0</v>
      </c>
      <c r="CO246" s="1683">
        <v>0</v>
      </c>
      <c r="CP246" s="1683">
        <v>0</v>
      </c>
      <c r="CQ246" s="1683">
        <v>0</v>
      </c>
      <c r="CR246" s="1683">
        <v>0</v>
      </c>
      <c r="CS246" s="1683">
        <v>0</v>
      </c>
      <c r="CT246" s="1683">
        <v>0</v>
      </c>
      <c r="CU246" s="1683">
        <v>0</v>
      </c>
      <c r="CV246" s="1683">
        <v>0</v>
      </c>
      <c r="CW246" s="1682"/>
      <c r="CX246" s="1400"/>
      <c r="CY246" s="1400"/>
      <c r="CZ246" s="1400"/>
      <c r="DA246" s="1400"/>
      <c r="DB246" s="1682"/>
      <c r="DC246" s="1326"/>
      <c r="DD246" s="1683">
        <v>0</v>
      </c>
      <c r="DE246" s="1400"/>
      <c r="DF246" s="1400"/>
      <c r="DG246" s="1683">
        <v>0</v>
      </c>
      <c r="DH246" s="1683">
        <v>0</v>
      </c>
    </row>
    <row r="247" spans="1:112" ht="67.5">
      <c r="A247" s="1326" t="s">
        <v>2254</v>
      </c>
      <c r="B247" s="1326" t="s">
        <v>1700</v>
      </c>
      <c r="C247" s="1326" t="s">
        <v>2561</v>
      </c>
      <c r="D247" s="1326" t="s">
        <v>2562</v>
      </c>
      <c r="E247" s="1326" t="s">
        <v>145</v>
      </c>
      <c r="F247" s="1326" t="s">
        <v>2563</v>
      </c>
      <c r="G247" s="1326" t="s">
        <v>2556</v>
      </c>
      <c r="H247" s="1326" t="s">
        <v>2541</v>
      </c>
      <c r="I247" s="1326" t="s">
        <v>707</v>
      </c>
      <c r="J247" s="1326" t="s">
        <v>300</v>
      </c>
      <c r="K247" s="1326" t="s">
        <v>2060</v>
      </c>
      <c r="L247" s="1326" t="s">
        <v>2137</v>
      </c>
      <c r="M247" s="1400"/>
      <c r="N247" s="1400"/>
      <c r="O247" s="1400"/>
      <c r="P247" s="1400"/>
      <c r="Q247" s="1400"/>
      <c r="R247" s="1400"/>
      <c r="S247" s="1400"/>
      <c r="T247" s="1400"/>
      <c r="U247" s="1400"/>
      <c r="V247" s="1400"/>
      <c r="W247" s="1400"/>
      <c r="X247" s="1400"/>
      <c r="Y247" s="1685">
        <v>43342</v>
      </c>
      <c r="Z247" s="1326" t="s">
        <v>2062</v>
      </c>
      <c r="AA247" s="1683">
        <v>50000</v>
      </c>
      <c r="AB247" s="1683">
        <v>42490</v>
      </c>
      <c r="AC247" s="1683">
        <v>7510</v>
      </c>
      <c r="AD247" s="1685">
        <v>43384</v>
      </c>
      <c r="AE247" s="1326" t="s">
        <v>2084</v>
      </c>
      <c r="AF247" s="1326" t="s">
        <v>2067</v>
      </c>
      <c r="AG247" s="1410"/>
      <c r="AH247" s="1683">
        <v>205470.18</v>
      </c>
      <c r="AI247" s="1683">
        <v>205470.18</v>
      </c>
      <c r="AJ247" s="1683">
        <v>145196.67000000001</v>
      </c>
      <c r="AK247" s="1683">
        <v>132159.66</v>
      </c>
      <c r="AL247" s="1683">
        <v>13037.01</v>
      </c>
      <c r="AM247" s="1685">
        <v>43385</v>
      </c>
      <c r="AN247" s="1683">
        <v>205470.18</v>
      </c>
      <c r="AO247" s="1683">
        <v>205470.18</v>
      </c>
      <c r="AP247" s="1683">
        <v>195196.67</v>
      </c>
      <c r="AQ247" s="1683">
        <v>174649.66</v>
      </c>
      <c r="AR247" s="1683">
        <v>20547.009999999998</v>
      </c>
      <c r="AS247" s="1683">
        <v>10273.51</v>
      </c>
      <c r="AT247" s="1683">
        <v>0</v>
      </c>
      <c r="AU247" s="1683">
        <v>10273.51</v>
      </c>
      <c r="AV247" s="1683">
        <v>0</v>
      </c>
      <c r="AW247" s="1683">
        <v>0</v>
      </c>
      <c r="AX247" s="1400"/>
      <c r="AY247" s="1400"/>
      <c r="AZ247" s="1400"/>
      <c r="BA247" s="1682"/>
      <c r="BB247" s="1682"/>
      <c r="BC247" s="1400"/>
      <c r="BD247" s="1400"/>
      <c r="BE247" s="1683">
        <v>205470.18</v>
      </c>
      <c r="BF247" s="1683">
        <v>205470.18</v>
      </c>
      <c r="BG247" s="1683">
        <v>195196.67</v>
      </c>
      <c r="BH247" s="1683">
        <v>174649.66</v>
      </c>
      <c r="BI247" s="1683">
        <v>20547.009999999998</v>
      </c>
      <c r="BJ247" s="1683">
        <v>10273.51</v>
      </c>
      <c r="BK247" s="1683">
        <v>0</v>
      </c>
      <c r="BL247" s="1683">
        <v>10273.51</v>
      </c>
      <c r="BM247" s="1683">
        <v>0</v>
      </c>
      <c r="BN247" s="1683">
        <v>0</v>
      </c>
      <c r="BO247" s="1685">
        <v>43453</v>
      </c>
      <c r="BP247" s="1683">
        <v>205470.18</v>
      </c>
      <c r="BQ247" s="1683">
        <v>205470.18</v>
      </c>
      <c r="BR247" s="1683">
        <v>195196.67</v>
      </c>
      <c r="BS247" s="1683">
        <v>174649.66</v>
      </c>
      <c r="BT247" s="1683">
        <v>20547.009999999998</v>
      </c>
      <c r="BU247" s="1683">
        <v>10273.51</v>
      </c>
      <c r="BV247" s="1683">
        <v>0</v>
      </c>
      <c r="BW247" s="1683">
        <v>0</v>
      </c>
      <c r="BX247" s="1683">
        <v>0</v>
      </c>
      <c r="BY247" s="1683">
        <v>0</v>
      </c>
      <c r="BZ247" s="1683">
        <v>0</v>
      </c>
      <c r="CA247" s="1400"/>
      <c r="CB247" s="1682"/>
      <c r="CC247" s="1682"/>
      <c r="CD247" s="1400"/>
      <c r="CE247" s="1400"/>
      <c r="CF247" s="1683">
        <v>0</v>
      </c>
      <c r="CG247" s="1683">
        <v>0</v>
      </c>
      <c r="CH247" s="1683">
        <v>0</v>
      </c>
      <c r="CI247" s="1683">
        <v>0</v>
      </c>
      <c r="CJ247" s="1683">
        <v>1812.55</v>
      </c>
      <c r="CK247" s="1683">
        <v>1812.55</v>
      </c>
      <c r="CL247" s="1682"/>
      <c r="CM247" s="1683">
        <v>0</v>
      </c>
      <c r="CN247" s="1683">
        <v>0</v>
      </c>
      <c r="CO247" s="1683">
        <v>0</v>
      </c>
      <c r="CP247" s="1683">
        <v>0</v>
      </c>
      <c r="CQ247" s="1683">
        <v>0</v>
      </c>
      <c r="CR247" s="1683">
        <v>0</v>
      </c>
      <c r="CS247" s="1683">
        <v>0</v>
      </c>
      <c r="CT247" s="1683">
        <v>0</v>
      </c>
      <c r="CU247" s="1683">
        <v>0</v>
      </c>
      <c r="CV247" s="1683">
        <v>0</v>
      </c>
      <c r="CW247" s="1682"/>
      <c r="CX247" s="1400"/>
      <c r="CY247" s="1400"/>
      <c r="CZ247" s="1400"/>
      <c r="DA247" s="1400"/>
      <c r="DB247" s="1682"/>
      <c r="DC247" s="1326"/>
      <c r="DD247" s="1683">
        <v>0</v>
      </c>
      <c r="DE247" s="1400"/>
      <c r="DF247" s="1400"/>
      <c r="DG247" s="1683">
        <v>0</v>
      </c>
      <c r="DH247" s="1683">
        <v>0</v>
      </c>
    </row>
    <row r="248" spans="1:112" ht="67.5">
      <c r="A248" s="1326" t="s">
        <v>2255</v>
      </c>
      <c r="B248" s="1326" t="s">
        <v>1700</v>
      </c>
      <c r="C248" s="1326" t="s">
        <v>2561</v>
      </c>
      <c r="D248" s="1326" t="s">
        <v>2562</v>
      </c>
      <c r="E248" s="1326" t="s">
        <v>145</v>
      </c>
      <c r="F248" s="1326" t="s">
        <v>2563</v>
      </c>
      <c r="G248" s="1326" t="s">
        <v>2556</v>
      </c>
      <c r="H248" s="1326" t="s">
        <v>2541</v>
      </c>
      <c r="I248" s="1326" t="s">
        <v>707</v>
      </c>
      <c r="J248" s="1326" t="s">
        <v>300</v>
      </c>
      <c r="K248" s="1326" t="s">
        <v>2060</v>
      </c>
      <c r="L248" s="1326" t="s">
        <v>2137</v>
      </c>
      <c r="M248" s="1400"/>
      <c r="N248" s="1400"/>
      <c r="O248" s="1400"/>
      <c r="P248" s="1400"/>
      <c r="Q248" s="1400"/>
      <c r="R248" s="1400"/>
      <c r="S248" s="1400"/>
      <c r="T248" s="1400"/>
      <c r="U248" s="1400"/>
      <c r="V248" s="1400"/>
      <c r="W248" s="1400"/>
      <c r="X248" s="1400"/>
      <c r="Y248" s="1685">
        <v>43385</v>
      </c>
      <c r="Z248" s="1326" t="s">
        <v>2145</v>
      </c>
      <c r="AA248" s="1683">
        <v>52022.92</v>
      </c>
      <c r="AB248" s="1683">
        <v>47804.85</v>
      </c>
      <c r="AC248" s="1683">
        <v>4218.07</v>
      </c>
      <c r="AD248" s="1685">
        <v>43453</v>
      </c>
      <c r="AE248" s="1326" t="s">
        <v>2304</v>
      </c>
      <c r="AF248" s="1326" t="s">
        <v>2067</v>
      </c>
      <c r="AG248" s="1410"/>
      <c r="AH248" s="1683">
        <v>56240.99</v>
      </c>
      <c r="AI248" s="1683">
        <v>56240.99</v>
      </c>
      <c r="AJ248" s="1683">
        <v>0</v>
      </c>
      <c r="AK248" s="1683">
        <v>0</v>
      </c>
      <c r="AL248" s="1683">
        <v>0</v>
      </c>
      <c r="AM248" s="1685">
        <v>43453</v>
      </c>
      <c r="AN248" s="1683">
        <v>56240.99</v>
      </c>
      <c r="AO248" s="1683">
        <v>56240.99</v>
      </c>
      <c r="AP248" s="1683">
        <v>52022.92</v>
      </c>
      <c r="AQ248" s="1683">
        <v>47804.85</v>
      </c>
      <c r="AR248" s="1683">
        <v>4218.07</v>
      </c>
      <c r="AS248" s="1683">
        <v>4218.07</v>
      </c>
      <c r="AT248" s="1683">
        <v>0</v>
      </c>
      <c r="AU248" s="1683">
        <v>4218.07</v>
      </c>
      <c r="AV248" s="1683">
        <v>0</v>
      </c>
      <c r="AW248" s="1683">
        <v>0</v>
      </c>
      <c r="AX248" s="1400"/>
      <c r="AY248" s="1400"/>
      <c r="AZ248" s="1400"/>
      <c r="BA248" s="1682"/>
      <c r="BB248" s="1682"/>
      <c r="BC248" s="1400"/>
      <c r="BD248" s="1400"/>
      <c r="BE248" s="1683">
        <v>56240.99</v>
      </c>
      <c r="BF248" s="1683">
        <v>56240.99</v>
      </c>
      <c r="BG248" s="1683">
        <v>52022.92</v>
      </c>
      <c r="BH248" s="1683">
        <v>47804.85</v>
      </c>
      <c r="BI248" s="1683">
        <v>4218.07</v>
      </c>
      <c r="BJ248" s="1683">
        <v>4218.07</v>
      </c>
      <c r="BK248" s="1683">
        <v>0</v>
      </c>
      <c r="BL248" s="1683">
        <v>4218.07</v>
      </c>
      <c r="BM248" s="1683">
        <v>0</v>
      </c>
      <c r="BN248" s="1683">
        <v>0</v>
      </c>
      <c r="BO248" s="1682"/>
      <c r="BP248" s="1683">
        <v>0</v>
      </c>
      <c r="BQ248" s="1683">
        <v>0</v>
      </c>
      <c r="BR248" s="1683">
        <v>0</v>
      </c>
      <c r="BS248" s="1683">
        <v>0</v>
      </c>
      <c r="BT248" s="1683">
        <v>0</v>
      </c>
      <c r="BU248" s="1683">
        <v>0</v>
      </c>
      <c r="BV248" s="1683">
        <v>0</v>
      </c>
      <c r="BW248" s="1683">
        <v>0</v>
      </c>
      <c r="BX248" s="1683">
        <v>0</v>
      </c>
      <c r="BY248" s="1683">
        <v>0</v>
      </c>
      <c r="BZ248" s="1683">
        <v>0</v>
      </c>
      <c r="CA248" s="1400"/>
      <c r="CB248" s="1682"/>
      <c r="CC248" s="1682"/>
      <c r="CD248" s="1400"/>
      <c r="CE248" s="1400"/>
      <c r="CF248" s="1683">
        <v>0</v>
      </c>
      <c r="CG248" s="1683">
        <v>0</v>
      </c>
      <c r="CH248" s="1683">
        <v>0</v>
      </c>
      <c r="CI248" s="1683">
        <v>0</v>
      </c>
      <c r="CJ248" s="1683">
        <v>0</v>
      </c>
      <c r="CK248" s="1683">
        <v>0</v>
      </c>
      <c r="CL248" s="1682"/>
      <c r="CM248" s="1683">
        <v>0</v>
      </c>
      <c r="CN248" s="1683">
        <v>0</v>
      </c>
      <c r="CO248" s="1683">
        <v>0</v>
      </c>
      <c r="CP248" s="1683">
        <v>0</v>
      </c>
      <c r="CQ248" s="1683">
        <v>0</v>
      </c>
      <c r="CR248" s="1683">
        <v>0</v>
      </c>
      <c r="CS248" s="1683">
        <v>0</v>
      </c>
      <c r="CT248" s="1683">
        <v>0</v>
      </c>
      <c r="CU248" s="1683">
        <v>0</v>
      </c>
      <c r="CV248" s="1683">
        <v>0</v>
      </c>
      <c r="CW248" s="1682"/>
      <c r="CX248" s="1400"/>
      <c r="CY248" s="1400"/>
      <c r="CZ248" s="1400"/>
      <c r="DA248" s="1400"/>
      <c r="DB248" s="1682"/>
      <c r="DC248" s="1326"/>
      <c r="DD248" s="1683">
        <v>0</v>
      </c>
      <c r="DE248" s="1400"/>
      <c r="DF248" s="1400"/>
      <c r="DG248" s="1683">
        <v>0</v>
      </c>
      <c r="DH248" s="1683">
        <v>0</v>
      </c>
    </row>
    <row r="249" spans="1:112" ht="67.5">
      <c r="A249" s="1326" t="s">
        <v>2256</v>
      </c>
      <c r="B249" s="1326" t="s">
        <v>1700</v>
      </c>
      <c r="C249" s="1326" t="s">
        <v>2561</v>
      </c>
      <c r="D249" s="1326" t="s">
        <v>2562</v>
      </c>
      <c r="E249" s="1326" t="s">
        <v>145</v>
      </c>
      <c r="F249" s="1326" t="s">
        <v>2563</v>
      </c>
      <c r="G249" s="1326" t="s">
        <v>2556</v>
      </c>
      <c r="H249" s="1326" t="s">
        <v>2541</v>
      </c>
      <c r="I249" s="1326" t="s">
        <v>707</v>
      </c>
      <c r="J249" s="1326" t="s">
        <v>300</v>
      </c>
      <c r="K249" s="1326" t="s">
        <v>2060</v>
      </c>
      <c r="L249" s="1326" t="s">
        <v>2137</v>
      </c>
      <c r="M249" s="1400"/>
      <c r="N249" s="1400"/>
      <c r="O249" s="1400"/>
      <c r="P249" s="1400"/>
      <c r="Q249" s="1400"/>
      <c r="R249" s="1400"/>
      <c r="S249" s="1400"/>
      <c r="T249" s="1400"/>
      <c r="U249" s="1400"/>
      <c r="V249" s="1400"/>
      <c r="W249" s="1400"/>
      <c r="X249" s="1400"/>
      <c r="Y249" s="1685">
        <v>43385</v>
      </c>
      <c r="Z249" s="1326" t="s">
        <v>2145</v>
      </c>
      <c r="AA249" s="1683">
        <v>15060.62</v>
      </c>
      <c r="AB249" s="1683">
        <v>9203.9</v>
      </c>
      <c r="AC249" s="1683">
        <v>5856.72</v>
      </c>
      <c r="AD249" s="1685">
        <v>43462</v>
      </c>
      <c r="AE249" s="1326" t="s">
        <v>2304</v>
      </c>
      <c r="AF249" s="1326" t="s">
        <v>2064</v>
      </c>
      <c r="AG249" s="1410"/>
      <c r="AH249" s="1683">
        <v>160940.76</v>
      </c>
      <c r="AI249" s="1683">
        <v>160940.76</v>
      </c>
      <c r="AJ249" s="1683">
        <v>101318.47</v>
      </c>
      <c r="AK249" s="1683">
        <v>101318.47</v>
      </c>
      <c r="AL249" s="1683">
        <v>0</v>
      </c>
      <c r="AM249" s="1685">
        <v>43462</v>
      </c>
      <c r="AN249" s="1683">
        <v>160940.76</v>
      </c>
      <c r="AO249" s="1683">
        <v>160940.76</v>
      </c>
      <c r="AP249" s="1683">
        <v>116379.09</v>
      </c>
      <c r="AQ249" s="1683">
        <v>110522.37</v>
      </c>
      <c r="AR249" s="1683">
        <v>5856.72</v>
      </c>
      <c r="AS249" s="1683">
        <v>44561.67</v>
      </c>
      <c r="AT249" s="1683">
        <v>0</v>
      </c>
      <c r="AU249" s="1683">
        <v>44561.67</v>
      </c>
      <c r="AV249" s="1683">
        <v>0</v>
      </c>
      <c r="AW249" s="1683">
        <v>0</v>
      </c>
      <c r="AX249" s="1400"/>
      <c r="AY249" s="1400"/>
      <c r="AZ249" s="1400"/>
      <c r="BA249" s="1682"/>
      <c r="BB249" s="1682"/>
      <c r="BC249" s="1400"/>
      <c r="BD249" s="1400"/>
      <c r="BE249" s="1683">
        <v>160940.76</v>
      </c>
      <c r="BF249" s="1683">
        <v>160940.76</v>
      </c>
      <c r="BG249" s="1683">
        <v>116379.09</v>
      </c>
      <c r="BH249" s="1683">
        <v>110522.37</v>
      </c>
      <c r="BI249" s="1683">
        <v>5856.72</v>
      </c>
      <c r="BJ249" s="1683">
        <v>44561.67</v>
      </c>
      <c r="BK249" s="1683">
        <v>0</v>
      </c>
      <c r="BL249" s="1683">
        <v>44561.67</v>
      </c>
      <c r="BM249" s="1683">
        <v>0</v>
      </c>
      <c r="BN249" s="1683">
        <v>0</v>
      </c>
      <c r="BO249" s="1682"/>
      <c r="BP249" s="1683">
        <v>0</v>
      </c>
      <c r="BQ249" s="1683">
        <v>0</v>
      </c>
      <c r="BR249" s="1683">
        <v>0</v>
      </c>
      <c r="BS249" s="1683">
        <v>0</v>
      </c>
      <c r="BT249" s="1683">
        <v>0</v>
      </c>
      <c r="BU249" s="1683">
        <v>0</v>
      </c>
      <c r="BV249" s="1683">
        <v>0</v>
      </c>
      <c r="BW249" s="1683">
        <v>0</v>
      </c>
      <c r="BX249" s="1683">
        <v>0</v>
      </c>
      <c r="BY249" s="1683">
        <v>0</v>
      </c>
      <c r="BZ249" s="1683">
        <v>0</v>
      </c>
      <c r="CA249" s="1400"/>
      <c r="CB249" s="1682"/>
      <c r="CC249" s="1682"/>
      <c r="CD249" s="1400"/>
      <c r="CE249" s="1400"/>
      <c r="CF249" s="1683">
        <v>0</v>
      </c>
      <c r="CG249" s="1683">
        <v>0</v>
      </c>
      <c r="CH249" s="1683">
        <v>0</v>
      </c>
      <c r="CI249" s="1683">
        <v>0</v>
      </c>
      <c r="CJ249" s="1683">
        <v>0</v>
      </c>
      <c r="CK249" s="1683">
        <v>0</v>
      </c>
      <c r="CL249" s="1682"/>
      <c r="CM249" s="1683">
        <v>0</v>
      </c>
      <c r="CN249" s="1683">
        <v>0</v>
      </c>
      <c r="CO249" s="1683">
        <v>0</v>
      </c>
      <c r="CP249" s="1683">
        <v>0</v>
      </c>
      <c r="CQ249" s="1683">
        <v>0</v>
      </c>
      <c r="CR249" s="1683">
        <v>0</v>
      </c>
      <c r="CS249" s="1683">
        <v>0</v>
      </c>
      <c r="CT249" s="1683">
        <v>0</v>
      </c>
      <c r="CU249" s="1683">
        <v>0</v>
      </c>
      <c r="CV249" s="1683">
        <v>0</v>
      </c>
      <c r="CW249" s="1682"/>
      <c r="CX249" s="1400"/>
      <c r="CY249" s="1400"/>
      <c r="CZ249" s="1400"/>
      <c r="DA249" s="1400"/>
      <c r="DB249" s="1682"/>
      <c r="DC249" s="1326"/>
      <c r="DD249" s="1683">
        <v>0</v>
      </c>
      <c r="DE249" s="1400"/>
      <c r="DF249" s="1400"/>
      <c r="DG249" s="1683">
        <v>0</v>
      </c>
      <c r="DH249" s="1683">
        <v>0</v>
      </c>
    </row>
    <row r="250" spans="1:112" ht="67.5">
      <c r="A250" s="1326" t="s">
        <v>2257</v>
      </c>
      <c r="B250" s="1326" t="s">
        <v>1700</v>
      </c>
      <c r="C250" s="1326" t="s">
        <v>2561</v>
      </c>
      <c r="D250" s="1326" t="s">
        <v>2562</v>
      </c>
      <c r="E250" s="1326" t="s">
        <v>145</v>
      </c>
      <c r="F250" s="1326" t="s">
        <v>2563</v>
      </c>
      <c r="G250" s="1326" t="s">
        <v>2556</v>
      </c>
      <c r="H250" s="1326" t="s">
        <v>2541</v>
      </c>
      <c r="I250" s="1326" t="s">
        <v>708</v>
      </c>
      <c r="J250" s="1326" t="s">
        <v>302</v>
      </c>
      <c r="K250" s="1326" t="s">
        <v>2060</v>
      </c>
      <c r="L250" s="1326" t="s">
        <v>2061</v>
      </c>
      <c r="M250" s="1683">
        <v>806317.97</v>
      </c>
      <c r="N250" s="1683">
        <v>0</v>
      </c>
      <c r="O250" s="1683">
        <v>806317.97</v>
      </c>
      <c r="P250" s="1683">
        <v>806317.97</v>
      </c>
      <c r="Q250" s="1683">
        <v>745844.12</v>
      </c>
      <c r="R250" s="1683">
        <v>685370.28</v>
      </c>
      <c r="S250" s="1683">
        <v>60473.84</v>
      </c>
      <c r="T250" s="1683">
        <v>60473.85</v>
      </c>
      <c r="U250" s="1683">
        <v>0</v>
      </c>
      <c r="V250" s="1683">
        <v>60473.85</v>
      </c>
      <c r="W250" s="1683">
        <v>0</v>
      </c>
      <c r="X250" s="1683">
        <v>0</v>
      </c>
      <c r="Y250" s="1682"/>
      <c r="Z250" s="1326"/>
      <c r="AA250" s="1683">
        <v>93312.24</v>
      </c>
      <c r="AB250" s="1683">
        <v>85746.39</v>
      </c>
      <c r="AC250" s="1683">
        <v>7565.85</v>
      </c>
      <c r="AD250" s="1682"/>
      <c r="AE250" s="1326"/>
      <c r="AF250" s="1326"/>
      <c r="AG250" s="1410"/>
      <c r="AH250" s="1683">
        <v>623837.03</v>
      </c>
      <c r="AI250" s="1683">
        <v>950009.03</v>
      </c>
      <c r="AJ250" s="1683">
        <v>745844.12</v>
      </c>
      <c r="AK250" s="1683">
        <v>685370.28</v>
      </c>
      <c r="AL250" s="1683">
        <v>60473.84</v>
      </c>
      <c r="AM250" s="1682"/>
      <c r="AN250" s="1683">
        <v>623837.03</v>
      </c>
      <c r="AO250" s="1683">
        <v>623837.03</v>
      </c>
      <c r="AP250" s="1683">
        <v>577049.26</v>
      </c>
      <c r="AQ250" s="1683">
        <v>530261.48</v>
      </c>
      <c r="AR250" s="1683">
        <v>46787.78</v>
      </c>
      <c r="AS250" s="1683">
        <v>46787.77</v>
      </c>
      <c r="AT250" s="1683">
        <v>0</v>
      </c>
      <c r="AU250" s="1683">
        <v>46787.77</v>
      </c>
      <c r="AV250" s="1683">
        <v>0</v>
      </c>
      <c r="AW250" s="1683">
        <v>0</v>
      </c>
      <c r="AX250" s="1683">
        <v>0</v>
      </c>
      <c r="AY250" s="1683">
        <v>0</v>
      </c>
      <c r="AZ250" s="1683">
        <v>0</v>
      </c>
      <c r="BA250" s="1682"/>
      <c r="BB250" s="1682"/>
      <c r="BC250" s="1683">
        <v>0</v>
      </c>
      <c r="BD250" s="1683">
        <v>0</v>
      </c>
      <c r="BE250" s="1683">
        <v>623837.03</v>
      </c>
      <c r="BF250" s="1683">
        <v>623837.03</v>
      </c>
      <c r="BG250" s="1683">
        <v>577049.26</v>
      </c>
      <c r="BH250" s="1683">
        <v>530261.48</v>
      </c>
      <c r="BI250" s="1683">
        <v>46787.78</v>
      </c>
      <c r="BJ250" s="1683">
        <v>46787.77</v>
      </c>
      <c r="BK250" s="1683">
        <v>0</v>
      </c>
      <c r="BL250" s="1683">
        <v>46787.77</v>
      </c>
      <c r="BM250" s="1683">
        <v>0</v>
      </c>
      <c r="BN250" s="1683">
        <v>0</v>
      </c>
      <c r="BO250" s="1682"/>
      <c r="BP250" s="1683">
        <v>577012.99</v>
      </c>
      <c r="BQ250" s="1683">
        <v>577012.99</v>
      </c>
      <c r="BR250" s="1683">
        <v>533737.02</v>
      </c>
      <c r="BS250" s="1683">
        <v>490461.04</v>
      </c>
      <c r="BT250" s="1683">
        <v>43275.98</v>
      </c>
      <c r="BU250" s="1683">
        <v>43275.97</v>
      </c>
      <c r="BV250" s="1683">
        <v>0</v>
      </c>
      <c r="BW250" s="1683">
        <v>0</v>
      </c>
      <c r="BX250" s="1683">
        <v>0</v>
      </c>
      <c r="BY250" s="1683">
        <v>0</v>
      </c>
      <c r="BZ250" s="1683">
        <v>0</v>
      </c>
      <c r="CA250" s="1683">
        <v>0</v>
      </c>
      <c r="CB250" s="1682"/>
      <c r="CC250" s="1682"/>
      <c r="CD250" s="1683">
        <v>0</v>
      </c>
      <c r="CE250" s="1683">
        <v>0</v>
      </c>
      <c r="CF250" s="1683">
        <v>0</v>
      </c>
      <c r="CG250" s="1683">
        <v>0</v>
      </c>
      <c r="CH250" s="1683">
        <v>0</v>
      </c>
      <c r="CI250" s="1683">
        <v>0</v>
      </c>
      <c r="CJ250" s="1683">
        <v>5090.12</v>
      </c>
      <c r="CK250" s="1683">
        <v>5090.12</v>
      </c>
      <c r="CL250" s="1682"/>
      <c r="CM250" s="1683">
        <v>0</v>
      </c>
      <c r="CN250" s="1683">
        <v>0</v>
      </c>
      <c r="CO250" s="1683">
        <v>0</v>
      </c>
      <c r="CP250" s="1683">
        <v>0</v>
      </c>
      <c r="CQ250" s="1683">
        <v>0</v>
      </c>
      <c r="CR250" s="1683">
        <v>0</v>
      </c>
      <c r="CS250" s="1683">
        <v>0</v>
      </c>
      <c r="CT250" s="1683">
        <v>0</v>
      </c>
      <c r="CU250" s="1683">
        <v>0</v>
      </c>
      <c r="CV250" s="1683">
        <v>0</v>
      </c>
      <c r="CW250" s="1682"/>
      <c r="CX250" s="1683">
        <v>0</v>
      </c>
      <c r="CY250" s="1683">
        <v>0</v>
      </c>
      <c r="CZ250" s="1683">
        <v>0</v>
      </c>
      <c r="DA250" s="1683">
        <v>0</v>
      </c>
      <c r="DB250" s="1682"/>
      <c r="DC250" s="1326"/>
      <c r="DD250" s="1683">
        <v>0</v>
      </c>
      <c r="DE250" s="1683">
        <v>0</v>
      </c>
      <c r="DF250" s="1683">
        <v>0</v>
      </c>
      <c r="DG250" s="1683">
        <v>0</v>
      </c>
      <c r="DH250" s="1683">
        <v>0</v>
      </c>
    </row>
    <row r="251" spans="1:112" ht="67.5">
      <c r="A251" s="1326" t="s">
        <v>2258</v>
      </c>
      <c r="B251" s="1326" t="s">
        <v>1700</v>
      </c>
      <c r="C251" s="1326" t="s">
        <v>2561</v>
      </c>
      <c r="D251" s="1326" t="s">
        <v>2562</v>
      </c>
      <c r="E251" s="1326" t="s">
        <v>145</v>
      </c>
      <c r="F251" s="1326" t="s">
        <v>2563</v>
      </c>
      <c r="G251" s="1326" t="s">
        <v>2556</v>
      </c>
      <c r="H251" s="1326" t="s">
        <v>2541</v>
      </c>
      <c r="I251" s="1326" t="s">
        <v>708</v>
      </c>
      <c r="J251" s="1326" t="s">
        <v>302</v>
      </c>
      <c r="K251" s="1326" t="s">
        <v>2060</v>
      </c>
      <c r="L251" s="1326" t="s">
        <v>2061</v>
      </c>
      <c r="M251" s="1400"/>
      <c r="N251" s="1400"/>
      <c r="O251" s="1400"/>
      <c r="P251" s="1400"/>
      <c r="Q251" s="1400"/>
      <c r="R251" s="1400"/>
      <c r="S251" s="1400"/>
      <c r="T251" s="1400"/>
      <c r="U251" s="1400"/>
      <c r="V251" s="1400"/>
      <c r="W251" s="1400"/>
      <c r="X251" s="1400"/>
      <c r="Y251" s="1682"/>
      <c r="Z251" s="1326"/>
      <c r="AA251" s="1683">
        <v>0</v>
      </c>
      <c r="AB251" s="1683">
        <v>0</v>
      </c>
      <c r="AC251" s="1683">
        <v>0</v>
      </c>
      <c r="AD251" s="1682"/>
      <c r="AE251" s="1326" t="s">
        <v>2171</v>
      </c>
      <c r="AF251" s="1326"/>
      <c r="AG251" s="1410" t="s">
        <v>3627</v>
      </c>
      <c r="AH251" s="1683">
        <v>0</v>
      </c>
      <c r="AI251" s="1683">
        <v>0</v>
      </c>
      <c r="AJ251" s="1683">
        <v>0</v>
      </c>
      <c r="AK251" s="1683">
        <v>0</v>
      </c>
      <c r="AL251" s="1683">
        <v>0</v>
      </c>
      <c r="AM251" s="1682"/>
      <c r="AN251" s="1683">
        <v>0</v>
      </c>
      <c r="AO251" s="1683">
        <v>0</v>
      </c>
      <c r="AP251" s="1683">
        <v>0</v>
      </c>
      <c r="AQ251" s="1683">
        <v>0</v>
      </c>
      <c r="AR251" s="1683">
        <v>0</v>
      </c>
      <c r="AS251" s="1683">
        <v>0</v>
      </c>
      <c r="AT251" s="1683">
        <v>0</v>
      </c>
      <c r="AU251" s="1683">
        <v>0</v>
      </c>
      <c r="AV251" s="1683">
        <v>0</v>
      </c>
      <c r="AW251" s="1683">
        <v>0</v>
      </c>
      <c r="AX251" s="1400"/>
      <c r="AY251" s="1400"/>
      <c r="AZ251" s="1400"/>
      <c r="BA251" s="1682"/>
      <c r="BB251" s="1682"/>
      <c r="BC251" s="1400"/>
      <c r="BD251" s="1400"/>
      <c r="BE251" s="1683">
        <v>0</v>
      </c>
      <c r="BF251" s="1683">
        <v>0</v>
      </c>
      <c r="BG251" s="1683">
        <v>0</v>
      </c>
      <c r="BH251" s="1683">
        <v>0</v>
      </c>
      <c r="BI251" s="1683">
        <v>0</v>
      </c>
      <c r="BJ251" s="1683">
        <v>0</v>
      </c>
      <c r="BK251" s="1683">
        <v>0</v>
      </c>
      <c r="BL251" s="1683">
        <v>0</v>
      </c>
      <c r="BM251" s="1683">
        <v>0</v>
      </c>
      <c r="BN251" s="1683">
        <v>0</v>
      </c>
      <c r="BO251" s="1682"/>
      <c r="BP251" s="1683">
        <v>0</v>
      </c>
      <c r="BQ251" s="1683">
        <v>0</v>
      </c>
      <c r="BR251" s="1683">
        <v>0</v>
      </c>
      <c r="BS251" s="1683">
        <v>0</v>
      </c>
      <c r="BT251" s="1683">
        <v>0</v>
      </c>
      <c r="BU251" s="1683">
        <v>0</v>
      </c>
      <c r="BV251" s="1683">
        <v>0</v>
      </c>
      <c r="BW251" s="1683">
        <v>0</v>
      </c>
      <c r="BX251" s="1683">
        <v>0</v>
      </c>
      <c r="BY251" s="1683">
        <v>0</v>
      </c>
      <c r="BZ251" s="1683">
        <v>0</v>
      </c>
      <c r="CA251" s="1400"/>
      <c r="CB251" s="1682"/>
      <c r="CC251" s="1682"/>
      <c r="CD251" s="1400"/>
      <c r="CE251" s="1400"/>
      <c r="CF251" s="1683">
        <v>0</v>
      </c>
      <c r="CG251" s="1683">
        <v>0</v>
      </c>
      <c r="CH251" s="1683">
        <v>0</v>
      </c>
      <c r="CI251" s="1683">
        <v>0</v>
      </c>
      <c r="CJ251" s="1683">
        <v>0</v>
      </c>
      <c r="CK251" s="1683">
        <v>0</v>
      </c>
      <c r="CL251" s="1682"/>
      <c r="CM251" s="1683">
        <v>0</v>
      </c>
      <c r="CN251" s="1683">
        <v>0</v>
      </c>
      <c r="CO251" s="1683">
        <v>0</v>
      </c>
      <c r="CP251" s="1683">
        <v>0</v>
      </c>
      <c r="CQ251" s="1683">
        <v>0</v>
      </c>
      <c r="CR251" s="1683">
        <v>0</v>
      </c>
      <c r="CS251" s="1683">
        <v>0</v>
      </c>
      <c r="CT251" s="1683">
        <v>0</v>
      </c>
      <c r="CU251" s="1683">
        <v>0</v>
      </c>
      <c r="CV251" s="1683">
        <v>0</v>
      </c>
      <c r="CW251" s="1682"/>
      <c r="CX251" s="1400"/>
      <c r="CY251" s="1400"/>
      <c r="CZ251" s="1400"/>
      <c r="DA251" s="1400"/>
      <c r="DB251" s="1682"/>
      <c r="DC251" s="1326"/>
      <c r="DD251" s="1683">
        <v>0</v>
      </c>
      <c r="DE251" s="1400"/>
      <c r="DF251" s="1400"/>
      <c r="DG251" s="1683">
        <v>0</v>
      </c>
      <c r="DH251" s="1683">
        <v>0</v>
      </c>
    </row>
    <row r="252" spans="1:112" ht="67.5">
      <c r="A252" s="1326" t="s">
        <v>2260</v>
      </c>
      <c r="B252" s="1326" t="s">
        <v>1700</v>
      </c>
      <c r="C252" s="1326" t="s">
        <v>2561</v>
      </c>
      <c r="D252" s="1326" t="s">
        <v>2562</v>
      </c>
      <c r="E252" s="1326" t="s">
        <v>145</v>
      </c>
      <c r="F252" s="1326" t="s">
        <v>2563</v>
      </c>
      <c r="G252" s="1326" t="s">
        <v>2556</v>
      </c>
      <c r="H252" s="1326" t="s">
        <v>2541</v>
      </c>
      <c r="I252" s="1326" t="s">
        <v>708</v>
      </c>
      <c r="J252" s="1326" t="s">
        <v>302</v>
      </c>
      <c r="K252" s="1326" t="s">
        <v>2060</v>
      </c>
      <c r="L252" s="1326" t="s">
        <v>2061</v>
      </c>
      <c r="M252" s="1400"/>
      <c r="N252" s="1400"/>
      <c r="O252" s="1400"/>
      <c r="P252" s="1400"/>
      <c r="Q252" s="1400"/>
      <c r="R252" s="1400"/>
      <c r="S252" s="1400"/>
      <c r="T252" s="1400"/>
      <c r="U252" s="1400"/>
      <c r="V252" s="1400"/>
      <c r="W252" s="1400"/>
      <c r="X252" s="1400"/>
      <c r="Y252" s="1682"/>
      <c r="Z252" s="1326"/>
      <c r="AA252" s="1683">
        <v>0</v>
      </c>
      <c r="AB252" s="1683">
        <v>0</v>
      </c>
      <c r="AC252" s="1683">
        <v>0</v>
      </c>
      <c r="AD252" s="1682"/>
      <c r="AE252" s="1326" t="s">
        <v>2176</v>
      </c>
      <c r="AF252" s="1326"/>
      <c r="AG252" s="1410" t="s">
        <v>3627</v>
      </c>
      <c r="AH252" s="1683">
        <v>0</v>
      </c>
      <c r="AI252" s="1683">
        <v>0</v>
      </c>
      <c r="AJ252" s="1683">
        <v>0</v>
      </c>
      <c r="AK252" s="1683">
        <v>0</v>
      </c>
      <c r="AL252" s="1683">
        <v>0</v>
      </c>
      <c r="AM252" s="1682"/>
      <c r="AN252" s="1683">
        <v>0</v>
      </c>
      <c r="AO252" s="1683">
        <v>0</v>
      </c>
      <c r="AP252" s="1683">
        <v>0</v>
      </c>
      <c r="AQ252" s="1683">
        <v>0</v>
      </c>
      <c r="AR252" s="1683">
        <v>0</v>
      </c>
      <c r="AS252" s="1683">
        <v>0</v>
      </c>
      <c r="AT252" s="1683">
        <v>0</v>
      </c>
      <c r="AU252" s="1683">
        <v>0</v>
      </c>
      <c r="AV252" s="1683">
        <v>0</v>
      </c>
      <c r="AW252" s="1683">
        <v>0</v>
      </c>
      <c r="AX252" s="1400"/>
      <c r="AY252" s="1400"/>
      <c r="AZ252" s="1400"/>
      <c r="BA252" s="1682"/>
      <c r="BB252" s="1682"/>
      <c r="BC252" s="1400"/>
      <c r="BD252" s="1400"/>
      <c r="BE252" s="1683">
        <v>0</v>
      </c>
      <c r="BF252" s="1683">
        <v>0</v>
      </c>
      <c r="BG252" s="1683">
        <v>0</v>
      </c>
      <c r="BH252" s="1683">
        <v>0</v>
      </c>
      <c r="BI252" s="1683">
        <v>0</v>
      </c>
      <c r="BJ252" s="1683">
        <v>0</v>
      </c>
      <c r="BK252" s="1683">
        <v>0</v>
      </c>
      <c r="BL252" s="1683">
        <v>0</v>
      </c>
      <c r="BM252" s="1683">
        <v>0</v>
      </c>
      <c r="BN252" s="1683">
        <v>0</v>
      </c>
      <c r="BO252" s="1682"/>
      <c r="BP252" s="1683">
        <v>0</v>
      </c>
      <c r="BQ252" s="1683">
        <v>0</v>
      </c>
      <c r="BR252" s="1683">
        <v>0</v>
      </c>
      <c r="BS252" s="1683">
        <v>0</v>
      </c>
      <c r="BT252" s="1683">
        <v>0</v>
      </c>
      <c r="BU252" s="1683">
        <v>0</v>
      </c>
      <c r="BV252" s="1683">
        <v>0</v>
      </c>
      <c r="BW252" s="1683">
        <v>0</v>
      </c>
      <c r="BX252" s="1683">
        <v>0</v>
      </c>
      <c r="BY252" s="1683">
        <v>0</v>
      </c>
      <c r="BZ252" s="1683">
        <v>0</v>
      </c>
      <c r="CA252" s="1400"/>
      <c r="CB252" s="1682"/>
      <c r="CC252" s="1682"/>
      <c r="CD252" s="1400"/>
      <c r="CE252" s="1400"/>
      <c r="CF252" s="1683">
        <v>0</v>
      </c>
      <c r="CG252" s="1683">
        <v>0</v>
      </c>
      <c r="CH252" s="1683">
        <v>0</v>
      </c>
      <c r="CI252" s="1683">
        <v>0</v>
      </c>
      <c r="CJ252" s="1683">
        <v>0</v>
      </c>
      <c r="CK252" s="1683">
        <v>0</v>
      </c>
      <c r="CL252" s="1682"/>
      <c r="CM252" s="1683">
        <v>0</v>
      </c>
      <c r="CN252" s="1683">
        <v>0</v>
      </c>
      <c r="CO252" s="1683">
        <v>0</v>
      </c>
      <c r="CP252" s="1683">
        <v>0</v>
      </c>
      <c r="CQ252" s="1683">
        <v>0</v>
      </c>
      <c r="CR252" s="1683">
        <v>0</v>
      </c>
      <c r="CS252" s="1683">
        <v>0</v>
      </c>
      <c r="CT252" s="1683">
        <v>0</v>
      </c>
      <c r="CU252" s="1683">
        <v>0</v>
      </c>
      <c r="CV252" s="1683">
        <v>0</v>
      </c>
      <c r="CW252" s="1682"/>
      <c r="CX252" s="1400"/>
      <c r="CY252" s="1400"/>
      <c r="CZ252" s="1400"/>
      <c r="DA252" s="1400"/>
      <c r="DB252" s="1682"/>
      <c r="DC252" s="1326"/>
      <c r="DD252" s="1683">
        <v>0</v>
      </c>
      <c r="DE252" s="1400"/>
      <c r="DF252" s="1400"/>
      <c r="DG252" s="1683">
        <v>0</v>
      </c>
      <c r="DH252" s="1683">
        <v>0</v>
      </c>
    </row>
    <row r="253" spans="1:112" ht="67.5">
      <c r="A253" s="1326" t="s">
        <v>2261</v>
      </c>
      <c r="B253" s="1326" t="s">
        <v>1700</v>
      </c>
      <c r="C253" s="1326" t="s">
        <v>2561</v>
      </c>
      <c r="D253" s="1326" t="s">
        <v>2562</v>
      </c>
      <c r="E253" s="1326" t="s">
        <v>145</v>
      </c>
      <c r="F253" s="1326" t="s">
        <v>2563</v>
      </c>
      <c r="G253" s="1326" t="s">
        <v>2556</v>
      </c>
      <c r="H253" s="1326" t="s">
        <v>2541</v>
      </c>
      <c r="I253" s="1326" t="s">
        <v>708</v>
      </c>
      <c r="J253" s="1326" t="s">
        <v>302</v>
      </c>
      <c r="K253" s="1326" t="s">
        <v>2060</v>
      </c>
      <c r="L253" s="1326" t="s">
        <v>2061</v>
      </c>
      <c r="M253" s="1400"/>
      <c r="N253" s="1400"/>
      <c r="O253" s="1400"/>
      <c r="P253" s="1400"/>
      <c r="Q253" s="1400"/>
      <c r="R253" s="1400"/>
      <c r="S253" s="1400"/>
      <c r="T253" s="1400"/>
      <c r="U253" s="1400"/>
      <c r="V253" s="1400"/>
      <c r="W253" s="1400"/>
      <c r="X253" s="1400"/>
      <c r="Y253" s="1682"/>
      <c r="Z253" s="1326"/>
      <c r="AA253" s="1683">
        <v>0</v>
      </c>
      <c r="AB253" s="1683">
        <v>0</v>
      </c>
      <c r="AC253" s="1683">
        <v>0</v>
      </c>
      <c r="AD253" s="1685">
        <v>43469</v>
      </c>
      <c r="AE253" s="1326" t="s">
        <v>2171</v>
      </c>
      <c r="AF253" s="1326" t="s">
        <v>2174</v>
      </c>
      <c r="AG253" s="1410" t="s">
        <v>3627</v>
      </c>
      <c r="AH253" s="1683">
        <v>0</v>
      </c>
      <c r="AI253" s="1683">
        <v>0</v>
      </c>
      <c r="AJ253" s="1683">
        <v>-52418.76</v>
      </c>
      <c r="AK253" s="1683">
        <v>-48168.59</v>
      </c>
      <c r="AL253" s="1683">
        <v>-4250.17</v>
      </c>
      <c r="AM253" s="1682"/>
      <c r="AN253" s="1683">
        <v>0</v>
      </c>
      <c r="AO253" s="1683">
        <v>0</v>
      </c>
      <c r="AP253" s="1683">
        <v>0</v>
      </c>
      <c r="AQ253" s="1683">
        <v>0</v>
      </c>
      <c r="AR253" s="1683">
        <v>0</v>
      </c>
      <c r="AS253" s="1683">
        <v>0</v>
      </c>
      <c r="AT253" s="1683">
        <v>0</v>
      </c>
      <c r="AU253" s="1683">
        <v>0</v>
      </c>
      <c r="AV253" s="1683">
        <v>0</v>
      </c>
      <c r="AW253" s="1683">
        <v>0</v>
      </c>
      <c r="AX253" s="1400"/>
      <c r="AY253" s="1400"/>
      <c r="AZ253" s="1400"/>
      <c r="BA253" s="1682"/>
      <c r="BB253" s="1682"/>
      <c r="BC253" s="1400"/>
      <c r="BD253" s="1400"/>
      <c r="BE253" s="1683">
        <v>0</v>
      </c>
      <c r="BF253" s="1683">
        <v>0</v>
      </c>
      <c r="BG253" s="1683">
        <v>0</v>
      </c>
      <c r="BH253" s="1683">
        <v>0</v>
      </c>
      <c r="BI253" s="1683">
        <v>0</v>
      </c>
      <c r="BJ253" s="1683">
        <v>0</v>
      </c>
      <c r="BK253" s="1683">
        <v>0</v>
      </c>
      <c r="BL253" s="1683">
        <v>0</v>
      </c>
      <c r="BM253" s="1683">
        <v>0</v>
      </c>
      <c r="BN253" s="1683">
        <v>0</v>
      </c>
      <c r="BO253" s="1682"/>
      <c r="BP253" s="1683">
        <v>0</v>
      </c>
      <c r="BQ253" s="1683">
        <v>0</v>
      </c>
      <c r="BR253" s="1683">
        <v>0</v>
      </c>
      <c r="BS253" s="1683">
        <v>0</v>
      </c>
      <c r="BT253" s="1683">
        <v>0</v>
      </c>
      <c r="BU253" s="1683">
        <v>0</v>
      </c>
      <c r="BV253" s="1683">
        <v>0</v>
      </c>
      <c r="BW253" s="1683">
        <v>0</v>
      </c>
      <c r="BX253" s="1683">
        <v>0</v>
      </c>
      <c r="BY253" s="1683">
        <v>0</v>
      </c>
      <c r="BZ253" s="1683">
        <v>0</v>
      </c>
      <c r="CA253" s="1400"/>
      <c r="CB253" s="1682"/>
      <c r="CC253" s="1682"/>
      <c r="CD253" s="1400"/>
      <c r="CE253" s="1400"/>
      <c r="CF253" s="1683">
        <v>0</v>
      </c>
      <c r="CG253" s="1683">
        <v>0</v>
      </c>
      <c r="CH253" s="1683">
        <v>0</v>
      </c>
      <c r="CI253" s="1683">
        <v>0</v>
      </c>
      <c r="CJ253" s="1683">
        <v>0</v>
      </c>
      <c r="CK253" s="1683">
        <v>0</v>
      </c>
      <c r="CL253" s="1682"/>
      <c r="CM253" s="1683">
        <v>0</v>
      </c>
      <c r="CN253" s="1683">
        <v>0</v>
      </c>
      <c r="CO253" s="1683">
        <v>0</v>
      </c>
      <c r="CP253" s="1683">
        <v>0</v>
      </c>
      <c r="CQ253" s="1683">
        <v>0</v>
      </c>
      <c r="CR253" s="1683">
        <v>0</v>
      </c>
      <c r="CS253" s="1683">
        <v>0</v>
      </c>
      <c r="CT253" s="1683">
        <v>0</v>
      </c>
      <c r="CU253" s="1683">
        <v>0</v>
      </c>
      <c r="CV253" s="1683">
        <v>0</v>
      </c>
      <c r="CW253" s="1682"/>
      <c r="CX253" s="1400"/>
      <c r="CY253" s="1400"/>
      <c r="CZ253" s="1400"/>
      <c r="DA253" s="1400"/>
      <c r="DB253" s="1682"/>
      <c r="DC253" s="1326"/>
      <c r="DD253" s="1683">
        <v>0</v>
      </c>
      <c r="DE253" s="1400"/>
      <c r="DF253" s="1400"/>
      <c r="DG253" s="1683">
        <v>0</v>
      </c>
      <c r="DH253" s="1683">
        <v>0</v>
      </c>
    </row>
    <row r="254" spans="1:112" ht="67.5">
      <c r="A254" s="1326" t="s">
        <v>2262</v>
      </c>
      <c r="B254" s="1326" t="s">
        <v>1700</v>
      </c>
      <c r="C254" s="1326" t="s">
        <v>2561</v>
      </c>
      <c r="D254" s="1326" t="s">
        <v>2562</v>
      </c>
      <c r="E254" s="1326" t="s">
        <v>145</v>
      </c>
      <c r="F254" s="1326" t="s">
        <v>2563</v>
      </c>
      <c r="G254" s="1326" t="s">
        <v>2556</v>
      </c>
      <c r="H254" s="1326" t="s">
        <v>2541</v>
      </c>
      <c r="I254" s="1326" t="s">
        <v>708</v>
      </c>
      <c r="J254" s="1326" t="s">
        <v>302</v>
      </c>
      <c r="K254" s="1326" t="s">
        <v>2060</v>
      </c>
      <c r="L254" s="1326" t="s">
        <v>2061</v>
      </c>
      <c r="M254" s="1400"/>
      <c r="N254" s="1400"/>
      <c r="O254" s="1400"/>
      <c r="P254" s="1400"/>
      <c r="Q254" s="1400"/>
      <c r="R254" s="1400"/>
      <c r="S254" s="1400"/>
      <c r="T254" s="1400"/>
      <c r="U254" s="1400"/>
      <c r="V254" s="1400"/>
      <c r="W254" s="1400"/>
      <c r="X254" s="1400"/>
      <c r="Y254" s="1682"/>
      <c r="Z254" s="1326"/>
      <c r="AA254" s="1683">
        <v>0</v>
      </c>
      <c r="AB254" s="1683">
        <v>0</v>
      </c>
      <c r="AC254" s="1683">
        <v>0</v>
      </c>
      <c r="AD254" s="1685">
        <v>43469</v>
      </c>
      <c r="AE254" s="1326" t="s">
        <v>2176</v>
      </c>
      <c r="AF254" s="1326" t="s">
        <v>2174</v>
      </c>
      <c r="AG254" s="1410" t="s">
        <v>3627</v>
      </c>
      <c r="AH254" s="1683">
        <v>0</v>
      </c>
      <c r="AI254" s="1683">
        <v>0</v>
      </c>
      <c r="AJ254" s="1683">
        <v>-11646.14</v>
      </c>
      <c r="AK254" s="1683">
        <v>-10701.84</v>
      </c>
      <c r="AL254" s="1683">
        <v>-944.3</v>
      </c>
      <c r="AM254" s="1682"/>
      <c r="AN254" s="1683">
        <v>0</v>
      </c>
      <c r="AO254" s="1683">
        <v>0</v>
      </c>
      <c r="AP254" s="1683">
        <v>0</v>
      </c>
      <c r="AQ254" s="1683">
        <v>0</v>
      </c>
      <c r="AR254" s="1683">
        <v>0</v>
      </c>
      <c r="AS254" s="1683">
        <v>0</v>
      </c>
      <c r="AT254" s="1683">
        <v>0</v>
      </c>
      <c r="AU254" s="1683">
        <v>0</v>
      </c>
      <c r="AV254" s="1683">
        <v>0</v>
      </c>
      <c r="AW254" s="1683">
        <v>0</v>
      </c>
      <c r="AX254" s="1400"/>
      <c r="AY254" s="1400"/>
      <c r="AZ254" s="1400"/>
      <c r="BA254" s="1682"/>
      <c r="BB254" s="1682"/>
      <c r="BC254" s="1400"/>
      <c r="BD254" s="1400"/>
      <c r="BE254" s="1683">
        <v>0</v>
      </c>
      <c r="BF254" s="1683">
        <v>0</v>
      </c>
      <c r="BG254" s="1683">
        <v>0</v>
      </c>
      <c r="BH254" s="1683">
        <v>0</v>
      </c>
      <c r="BI254" s="1683">
        <v>0</v>
      </c>
      <c r="BJ254" s="1683">
        <v>0</v>
      </c>
      <c r="BK254" s="1683">
        <v>0</v>
      </c>
      <c r="BL254" s="1683">
        <v>0</v>
      </c>
      <c r="BM254" s="1683">
        <v>0</v>
      </c>
      <c r="BN254" s="1683">
        <v>0</v>
      </c>
      <c r="BO254" s="1682"/>
      <c r="BP254" s="1683">
        <v>0</v>
      </c>
      <c r="BQ254" s="1683">
        <v>0</v>
      </c>
      <c r="BR254" s="1683">
        <v>0</v>
      </c>
      <c r="BS254" s="1683">
        <v>0</v>
      </c>
      <c r="BT254" s="1683">
        <v>0</v>
      </c>
      <c r="BU254" s="1683">
        <v>0</v>
      </c>
      <c r="BV254" s="1683">
        <v>0</v>
      </c>
      <c r="BW254" s="1683">
        <v>0</v>
      </c>
      <c r="BX254" s="1683">
        <v>0</v>
      </c>
      <c r="BY254" s="1683">
        <v>0</v>
      </c>
      <c r="BZ254" s="1683">
        <v>0</v>
      </c>
      <c r="CA254" s="1400"/>
      <c r="CB254" s="1682"/>
      <c r="CC254" s="1682"/>
      <c r="CD254" s="1400"/>
      <c r="CE254" s="1400"/>
      <c r="CF254" s="1683">
        <v>0</v>
      </c>
      <c r="CG254" s="1683">
        <v>0</v>
      </c>
      <c r="CH254" s="1683">
        <v>0</v>
      </c>
      <c r="CI254" s="1683">
        <v>0</v>
      </c>
      <c r="CJ254" s="1683">
        <v>0</v>
      </c>
      <c r="CK254" s="1683">
        <v>0</v>
      </c>
      <c r="CL254" s="1682"/>
      <c r="CM254" s="1683">
        <v>0</v>
      </c>
      <c r="CN254" s="1683">
        <v>0</v>
      </c>
      <c r="CO254" s="1683">
        <v>0</v>
      </c>
      <c r="CP254" s="1683">
        <v>0</v>
      </c>
      <c r="CQ254" s="1683">
        <v>0</v>
      </c>
      <c r="CR254" s="1683">
        <v>0</v>
      </c>
      <c r="CS254" s="1683">
        <v>0</v>
      </c>
      <c r="CT254" s="1683">
        <v>0</v>
      </c>
      <c r="CU254" s="1683">
        <v>0</v>
      </c>
      <c r="CV254" s="1683">
        <v>0</v>
      </c>
      <c r="CW254" s="1682"/>
      <c r="CX254" s="1400"/>
      <c r="CY254" s="1400"/>
      <c r="CZ254" s="1400"/>
      <c r="DA254" s="1400"/>
      <c r="DB254" s="1682"/>
      <c r="DC254" s="1326"/>
      <c r="DD254" s="1683">
        <v>0</v>
      </c>
      <c r="DE254" s="1400"/>
      <c r="DF254" s="1400"/>
      <c r="DG254" s="1683">
        <v>0</v>
      </c>
      <c r="DH254" s="1683">
        <v>0</v>
      </c>
    </row>
    <row r="255" spans="1:112" ht="67.5">
      <c r="A255" s="1326" t="s">
        <v>2263</v>
      </c>
      <c r="B255" s="1326" t="s">
        <v>1700</v>
      </c>
      <c r="C255" s="1326" t="s">
        <v>2561</v>
      </c>
      <c r="D255" s="1326" t="s">
        <v>2562</v>
      </c>
      <c r="E255" s="1326" t="s">
        <v>145</v>
      </c>
      <c r="F255" s="1326" t="s">
        <v>2563</v>
      </c>
      <c r="G255" s="1326" t="s">
        <v>2556</v>
      </c>
      <c r="H255" s="1326" t="s">
        <v>2541</v>
      </c>
      <c r="I255" s="1326" t="s">
        <v>708</v>
      </c>
      <c r="J255" s="1326" t="s">
        <v>302</v>
      </c>
      <c r="K255" s="1326" t="s">
        <v>2060</v>
      </c>
      <c r="L255" s="1326" t="s">
        <v>2061</v>
      </c>
      <c r="M255" s="1400"/>
      <c r="N255" s="1400"/>
      <c r="O255" s="1400"/>
      <c r="P255" s="1400"/>
      <c r="Q255" s="1400"/>
      <c r="R255" s="1400"/>
      <c r="S255" s="1400"/>
      <c r="T255" s="1400"/>
      <c r="U255" s="1400"/>
      <c r="V255" s="1400"/>
      <c r="W255" s="1400"/>
      <c r="X255" s="1400"/>
      <c r="Y255" s="1685">
        <v>43019</v>
      </c>
      <c r="Z255" s="1326" t="s">
        <v>2096</v>
      </c>
      <c r="AA255" s="1683">
        <v>0</v>
      </c>
      <c r="AB255" s="1683">
        <v>0</v>
      </c>
      <c r="AC255" s="1683">
        <v>0</v>
      </c>
      <c r="AD255" s="1685">
        <v>43031</v>
      </c>
      <c r="AE255" s="1326" t="s">
        <v>2073</v>
      </c>
      <c r="AF255" s="1326" t="s">
        <v>2064</v>
      </c>
      <c r="AG255" s="1410"/>
      <c r="AH255" s="1683">
        <v>0</v>
      </c>
      <c r="AI255" s="1683">
        <v>100000</v>
      </c>
      <c r="AJ255" s="1683">
        <v>100000</v>
      </c>
      <c r="AK255" s="1683">
        <v>91891.89</v>
      </c>
      <c r="AL255" s="1683">
        <v>8108.11</v>
      </c>
      <c r="AM255" s="1682"/>
      <c r="AN255" s="1683">
        <v>0</v>
      </c>
      <c r="AO255" s="1683">
        <v>0</v>
      </c>
      <c r="AP255" s="1683">
        <v>0</v>
      </c>
      <c r="AQ255" s="1683">
        <v>0</v>
      </c>
      <c r="AR255" s="1683">
        <v>0</v>
      </c>
      <c r="AS255" s="1683">
        <v>0</v>
      </c>
      <c r="AT255" s="1683">
        <v>0</v>
      </c>
      <c r="AU255" s="1683">
        <v>0</v>
      </c>
      <c r="AV255" s="1683">
        <v>0</v>
      </c>
      <c r="AW255" s="1683">
        <v>0</v>
      </c>
      <c r="AX255" s="1400"/>
      <c r="AY255" s="1400"/>
      <c r="AZ255" s="1400"/>
      <c r="BA255" s="1682"/>
      <c r="BB255" s="1682"/>
      <c r="BC255" s="1400"/>
      <c r="BD255" s="1400"/>
      <c r="BE255" s="1683">
        <v>0</v>
      </c>
      <c r="BF255" s="1683">
        <v>0</v>
      </c>
      <c r="BG255" s="1683">
        <v>0</v>
      </c>
      <c r="BH255" s="1683">
        <v>0</v>
      </c>
      <c r="BI255" s="1683">
        <v>0</v>
      </c>
      <c r="BJ255" s="1683">
        <v>0</v>
      </c>
      <c r="BK255" s="1683">
        <v>0</v>
      </c>
      <c r="BL255" s="1683">
        <v>0</v>
      </c>
      <c r="BM255" s="1683">
        <v>0</v>
      </c>
      <c r="BN255" s="1683">
        <v>0</v>
      </c>
      <c r="BO255" s="1682"/>
      <c r="BP255" s="1683">
        <v>0</v>
      </c>
      <c r="BQ255" s="1683">
        <v>0</v>
      </c>
      <c r="BR255" s="1683">
        <v>0</v>
      </c>
      <c r="BS255" s="1683">
        <v>0</v>
      </c>
      <c r="BT255" s="1683">
        <v>0</v>
      </c>
      <c r="BU255" s="1683">
        <v>0</v>
      </c>
      <c r="BV255" s="1683">
        <v>0</v>
      </c>
      <c r="BW255" s="1683">
        <v>0</v>
      </c>
      <c r="BX255" s="1683">
        <v>0</v>
      </c>
      <c r="BY255" s="1683">
        <v>0</v>
      </c>
      <c r="BZ255" s="1400"/>
      <c r="CA255" s="1400"/>
      <c r="CB255" s="1682"/>
      <c r="CC255" s="1682"/>
      <c r="CD255" s="1400"/>
      <c r="CE255" s="1400"/>
      <c r="CF255" s="1683">
        <v>0</v>
      </c>
      <c r="CG255" s="1683">
        <v>0</v>
      </c>
      <c r="CH255" s="1683">
        <v>0</v>
      </c>
      <c r="CI255" s="1683">
        <v>0</v>
      </c>
      <c r="CJ255" s="1683">
        <v>0</v>
      </c>
      <c r="CK255" s="1683">
        <v>0</v>
      </c>
      <c r="CL255" s="1682"/>
      <c r="CM255" s="1683">
        <v>0</v>
      </c>
      <c r="CN255" s="1683">
        <v>0</v>
      </c>
      <c r="CO255" s="1683">
        <v>0</v>
      </c>
      <c r="CP255" s="1683">
        <v>0</v>
      </c>
      <c r="CQ255" s="1683">
        <v>0</v>
      </c>
      <c r="CR255" s="1683">
        <v>0</v>
      </c>
      <c r="CS255" s="1683">
        <v>0</v>
      </c>
      <c r="CT255" s="1683">
        <v>0</v>
      </c>
      <c r="CU255" s="1683">
        <v>0</v>
      </c>
      <c r="CV255" s="1683">
        <v>0</v>
      </c>
      <c r="CW255" s="1682"/>
      <c r="CX255" s="1400"/>
      <c r="CY255" s="1400"/>
      <c r="CZ255" s="1400"/>
      <c r="DA255" s="1400"/>
      <c r="DB255" s="1682"/>
      <c r="DC255" s="1326"/>
      <c r="DD255" s="1683">
        <v>0</v>
      </c>
      <c r="DE255" s="1400"/>
      <c r="DF255" s="1400"/>
      <c r="DG255" s="1683">
        <v>0</v>
      </c>
      <c r="DH255" s="1683">
        <v>0</v>
      </c>
    </row>
    <row r="256" spans="1:112" ht="67.5">
      <c r="A256" s="1326" t="s">
        <v>2264</v>
      </c>
      <c r="B256" s="1326" t="s">
        <v>1700</v>
      </c>
      <c r="C256" s="1326" t="s">
        <v>2561</v>
      </c>
      <c r="D256" s="1326" t="s">
        <v>2562</v>
      </c>
      <c r="E256" s="1326" t="s">
        <v>145</v>
      </c>
      <c r="F256" s="1326" t="s">
        <v>2563</v>
      </c>
      <c r="G256" s="1326" t="s">
        <v>2556</v>
      </c>
      <c r="H256" s="1326" t="s">
        <v>2541</v>
      </c>
      <c r="I256" s="1326" t="s">
        <v>708</v>
      </c>
      <c r="J256" s="1326" t="s">
        <v>302</v>
      </c>
      <c r="K256" s="1326" t="s">
        <v>2060</v>
      </c>
      <c r="L256" s="1326" t="s">
        <v>2061</v>
      </c>
      <c r="M256" s="1400"/>
      <c r="N256" s="1400"/>
      <c r="O256" s="1400"/>
      <c r="P256" s="1400"/>
      <c r="Q256" s="1400"/>
      <c r="R256" s="1400"/>
      <c r="S256" s="1400"/>
      <c r="T256" s="1400"/>
      <c r="U256" s="1400"/>
      <c r="V256" s="1400"/>
      <c r="W256" s="1400"/>
      <c r="X256" s="1400"/>
      <c r="Y256" s="1685">
        <v>43075</v>
      </c>
      <c r="Z256" s="1326" t="s">
        <v>2062</v>
      </c>
      <c r="AA256" s="1683">
        <v>50000</v>
      </c>
      <c r="AB256" s="1683">
        <v>45945.95</v>
      </c>
      <c r="AC256" s="1683">
        <v>4054.05</v>
      </c>
      <c r="AD256" s="1685">
        <v>43116</v>
      </c>
      <c r="AE256" s="1326" t="s">
        <v>2063</v>
      </c>
      <c r="AF256" s="1326" t="s">
        <v>2064</v>
      </c>
      <c r="AG256" s="1410"/>
      <c r="AH256" s="1683">
        <v>86852.23</v>
      </c>
      <c r="AI256" s="1683">
        <v>86852.23</v>
      </c>
      <c r="AJ256" s="1683">
        <v>30338.32</v>
      </c>
      <c r="AK256" s="1683">
        <v>27878.45</v>
      </c>
      <c r="AL256" s="1683">
        <v>2459.87</v>
      </c>
      <c r="AM256" s="1685">
        <v>43116</v>
      </c>
      <c r="AN256" s="1683">
        <v>86852.23</v>
      </c>
      <c r="AO256" s="1683">
        <v>86852.23</v>
      </c>
      <c r="AP256" s="1683">
        <v>80338.320000000007</v>
      </c>
      <c r="AQ256" s="1683">
        <v>73824.399999999994</v>
      </c>
      <c r="AR256" s="1683">
        <v>6513.92</v>
      </c>
      <c r="AS256" s="1683">
        <v>6513.91</v>
      </c>
      <c r="AT256" s="1683">
        <v>0</v>
      </c>
      <c r="AU256" s="1683">
        <v>6513.91</v>
      </c>
      <c r="AV256" s="1683">
        <v>0</v>
      </c>
      <c r="AW256" s="1683">
        <v>0</v>
      </c>
      <c r="AX256" s="1400"/>
      <c r="AY256" s="1400"/>
      <c r="AZ256" s="1400"/>
      <c r="BA256" s="1682"/>
      <c r="BB256" s="1682"/>
      <c r="BC256" s="1400"/>
      <c r="BD256" s="1400"/>
      <c r="BE256" s="1683">
        <v>86852.23</v>
      </c>
      <c r="BF256" s="1683">
        <v>86852.23</v>
      </c>
      <c r="BG256" s="1683">
        <v>80338.320000000007</v>
      </c>
      <c r="BH256" s="1683">
        <v>73824.399999999994</v>
      </c>
      <c r="BI256" s="1683">
        <v>6513.92</v>
      </c>
      <c r="BJ256" s="1683">
        <v>6513.91</v>
      </c>
      <c r="BK256" s="1683">
        <v>0</v>
      </c>
      <c r="BL256" s="1683">
        <v>6513.91</v>
      </c>
      <c r="BM256" s="1683">
        <v>0</v>
      </c>
      <c r="BN256" s="1683">
        <v>0</v>
      </c>
      <c r="BO256" s="1685">
        <v>43364</v>
      </c>
      <c r="BP256" s="1683">
        <v>86852.23</v>
      </c>
      <c r="BQ256" s="1683">
        <v>86852.23</v>
      </c>
      <c r="BR256" s="1683">
        <v>80338.320000000007</v>
      </c>
      <c r="BS256" s="1683">
        <v>73824.399999999994</v>
      </c>
      <c r="BT256" s="1683">
        <v>6513.92</v>
      </c>
      <c r="BU256" s="1683">
        <v>6513.91</v>
      </c>
      <c r="BV256" s="1683">
        <v>0</v>
      </c>
      <c r="BW256" s="1683">
        <v>0</v>
      </c>
      <c r="BX256" s="1683">
        <v>0</v>
      </c>
      <c r="BY256" s="1683">
        <v>0</v>
      </c>
      <c r="BZ256" s="1683">
        <v>0</v>
      </c>
      <c r="CA256" s="1400"/>
      <c r="CB256" s="1682"/>
      <c r="CC256" s="1682"/>
      <c r="CD256" s="1400"/>
      <c r="CE256" s="1400"/>
      <c r="CF256" s="1683">
        <v>0</v>
      </c>
      <c r="CG256" s="1683">
        <v>0</v>
      </c>
      <c r="CH256" s="1683">
        <v>0</v>
      </c>
      <c r="CI256" s="1683">
        <v>0</v>
      </c>
      <c r="CJ256" s="1683">
        <v>766.17</v>
      </c>
      <c r="CK256" s="1683">
        <v>766.17</v>
      </c>
      <c r="CL256" s="1682"/>
      <c r="CM256" s="1683">
        <v>0</v>
      </c>
      <c r="CN256" s="1683">
        <v>0</v>
      </c>
      <c r="CO256" s="1683">
        <v>0</v>
      </c>
      <c r="CP256" s="1683">
        <v>0</v>
      </c>
      <c r="CQ256" s="1683">
        <v>0</v>
      </c>
      <c r="CR256" s="1683">
        <v>0</v>
      </c>
      <c r="CS256" s="1683">
        <v>0</v>
      </c>
      <c r="CT256" s="1683">
        <v>0</v>
      </c>
      <c r="CU256" s="1683">
        <v>0</v>
      </c>
      <c r="CV256" s="1683">
        <v>0</v>
      </c>
      <c r="CW256" s="1682"/>
      <c r="CX256" s="1400"/>
      <c r="CY256" s="1400"/>
      <c r="CZ256" s="1400"/>
      <c r="DA256" s="1400"/>
      <c r="DB256" s="1682"/>
      <c r="DC256" s="1326"/>
      <c r="DD256" s="1683">
        <v>0</v>
      </c>
      <c r="DE256" s="1400"/>
      <c r="DF256" s="1400"/>
      <c r="DG256" s="1683">
        <v>0</v>
      </c>
      <c r="DH256" s="1683">
        <v>0</v>
      </c>
    </row>
    <row r="257" spans="1:112" ht="67.5">
      <c r="A257" s="1326" t="s">
        <v>2265</v>
      </c>
      <c r="B257" s="1326" t="s">
        <v>1700</v>
      </c>
      <c r="C257" s="1326" t="s">
        <v>2561</v>
      </c>
      <c r="D257" s="1326" t="s">
        <v>2562</v>
      </c>
      <c r="E257" s="1326" t="s">
        <v>145</v>
      </c>
      <c r="F257" s="1326" t="s">
        <v>2563</v>
      </c>
      <c r="G257" s="1326" t="s">
        <v>2556</v>
      </c>
      <c r="H257" s="1326" t="s">
        <v>2541</v>
      </c>
      <c r="I257" s="1326" t="s">
        <v>708</v>
      </c>
      <c r="J257" s="1326" t="s">
        <v>302</v>
      </c>
      <c r="K257" s="1326" t="s">
        <v>2060</v>
      </c>
      <c r="L257" s="1326" t="s">
        <v>2061</v>
      </c>
      <c r="M257" s="1400"/>
      <c r="N257" s="1400"/>
      <c r="O257" s="1400"/>
      <c r="P257" s="1400"/>
      <c r="Q257" s="1400"/>
      <c r="R257" s="1400"/>
      <c r="S257" s="1400"/>
      <c r="T257" s="1400"/>
      <c r="U257" s="1400"/>
      <c r="V257" s="1400"/>
      <c r="W257" s="1400"/>
      <c r="X257" s="1400"/>
      <c r="Y257" s="1685">
        <v>43132</v>
      </c>
      <c r="Z257" s="1326" t="s">
        <v>2062</v>
      </c>
      <c r="AA257" s="1683">
        <v>0</v>
      </c>
      <c r="AB257" s="1683">
        <v>0</v>
      </c>
      <c r="AC257" s="1683">
        <v>0</v>
      </c>
      <c r="AD257" s="1685">
        <v>43160</v>
      </c>
      <c r="AE257" s="1326" t="s">
        <v>2066</v>
      </c>
      <c r="AF257" s="1326" t="s">
        <v>2064</v>
      </c>
      <c r="AG257" s="1410"/>
      <c r="AH257" s="1683">
        <v>17815.8</v>
      </c>
      <c r="AI257" s="1683">
        <v>17815.8</v>
      </c>
      <c r="AJ257" s="1683">
        <v>16479.61</v>
      </c>
      <c r="AK257" s="1683">
        <v>15143.42</v>
      </c>
      <c r="AL257" s="1683">
        <v>1336.19</v>
      </c>
      <c r="AM257" s="1685">
        <v>43160</v>
      </c>
      <c r="AN257" s="1683">
        <v>17815.8</v>
      </c>
      <c r="AO257" s="1683">
        <v>17815.8</v>
      </c>
      <c r="AP257" s="1683">
        <v>16479.61</v>
      </c>
      <c r="AQ257" s="1683">
        <v>15143.42</v>
      </c>
      <c r="AR257" s="1683">
        <v>1336.19</v>
      </c>
      <c r="AS257" s="1683">
        <v>1336.19</v>
      </c>
      <c r="AT257" s="1683">
        <v>0</v>
      </c>
      <c r="AU257" s="1683">
        <v>1336.19</v>
      </c>
      <c r="AV257" s="1683">
        <v>0</v>
      </c>
      <c r="AW257" s="1683">
        <v>0</v>
      </c>
      <c r="AX257" s="1400"/>
      <c r="AY257" s="1400"/>
      <c r="AZ257" s="1400"/>
      <c r="BA257" s="1682"/>
      <c r="BB257" s="1682"/>
      <c r="BC257" s="1400"/>
      <c r="BD257" s="1400"/>
      <c r="BE257" s="1683">
        <v>17815.8</v>
      </c>
      <c r="BF257" s="1683">
        <v>17815.8</v>
      </c>
      <c r="BG257" s="1683">
        <v>16479.61</v>
      </c>
      <c r="BH257" s="1683">
        <v>15143.42</v>
      </c>
      <c r="BI257" s="1683">
        <v>1336.19</v>
      </c>
      <c r="BJ257" s="1683">
        <v>1336.19</v>
      </c>
      <c r="BK257" s="1683">
        <v>0</v>
      </c>
      <c r="BL257" s="1683">
        <v>1336.19</v>
      </c>
      <c r="BM257" s="1683">
        <v>0</v>
      </c>
      <c r="BN257" s="1683">
        <v>0</v>
      </c>
      <c r="BO257" s="1685">
        <v>43364</v>
      </c>
      <c r="BP257" s="1683">
        <v>17815.8</v>
      </c>
      <c r="BQ257" s="1683">
        <v>17815.8</v>
      </c>
      <c r="BR257" s="1683">
        <v>16479.61</v>
      </c>
      <c r="BS257" s="1683">
        <v>15143.42</v>
      </c>
      <c r="BT257" s="1683">
        <v>1336.19</v>
      </c>
      <c r="BU257" s="1683">
        <v>1336.19</v>
      </c>
      <c r="BV257" s="1683">
        <v>0</v>
      </c>
      <c r="BW257" s="1683">
        <v>0</v>
      </c>
      <c r="BX257" s="1683">
        <v>0</v>
      </c>
      <c r="BY257" s="1683">
        <v>0</v>
      </c>
      <c r="BZ257" s="1683">
        <v>0</v>
      </c>
      <c r="CA257" s="1400"/>
      <c r="CB257" s="1682"/>
      <c r="CC257" s="1682"/>
      <c r="CD257" s="1400"/>
      <c r="CE257" s="1400"/>
      <c r="CF257" s="1683">
        <v>0</v>
      </c>
      <c r="CG257" s="1683">
        <v>0</v>
      </c>
      <c r="CH257" s="1683">
        <v>0</v>
      </c>
      <c r="CI257" s="1683">
        <v>0</v>
      </c>
      <c r="CJ257" s="1683">
        <v>157.16</v>
      </c>
      <c r="CK257" s="1683">
        <v>157.16</v>
      </c>
      <c r="CL257" s="1682"/>
      <c r="CM257" s="1683">
        <v>0</v>
      </c>
      <c r="CN257" s="1683">
        <v>0</v>
      </c>
      <c r="CO257" s="1683">
        <v>0</v>
      </c>
      <c r="CP257" s="1683">
        <v>0</v>
      </c>
      <c r="CQ257" s="1683">
        <v>0</v>
      </c>
      <c r="CR257" s="1683">
        <v>0</v>
      </c>
      <c r="CS257" s="1683">
        <v>0</v>
      </c>
      <c r="CT257" s="1683">
        <v>0</v>
      </c>
      <c r="CU257" s="1683">
        <v>0</v>
      </c>
      <c r="CV257" s="1683">
        <v>0</v>
      </c>
      <c r="CW257" s="1682"/>
      <c r="CX257" s="1400"/>
      <c r="CY257" s="1400"/>
      <c r="CZ257" s="1400"/>
      <c r="DA257" s="1400"/>
      <c r="DB257" s="1682"/>
      <c r="DC257" s="1326"/>
      <c r="DD257" s="1683">
        <v>0</v>
      </c>
      <c r="DE257" s="1400"/>
      <c r="DF257" s="1400"/>
      <c r="DG257" s="1683">
        <v>0</v>
      </c>
      <c r="DH257" s="1683">
        <v>0</v>
      </c>
    </row>
    <row r="258" spans="1:112" ht="67.5">
      <c r="A258" s="1326" t="s">
        <v>2266</v>
      </c>
      <c r="B258" s="1326" t="s">
        <v>1700</v>
      </c>
      <c r="C258" s="1326" t="s">
        <v>2561</v>
      </c>
      <c r="D258" s="1326" t="s">
        <v>2562</v>
      </c>
      <c r="E258" s="1326" t="s">
        <v>145</v>
      </c>
      <c r="F258" s="1326" t="s">
        <v>2563</v>
      </c>
      <c r="G258" s="1326" t="s">
        <v>2556</v>
      </c>
      <c r="H258" s="1326" t="s">
        <v>2541</v>
      </c>
      <c r="I258" s="1326" t="s">
        <v>708</v>
      </c>
      <c r="J258" s="1326" t="s">
        <v>302</v>
      </c>
      <c r="K258" s="1326" t="s">
        <v>2060</v>
      </c>
      <c r="L258" s="1326" t="s">
        <v>2061</v>
      </c>
      <c r="M258" s="1400"/>
      <c r="N258" s="1400"/>
      <c r="O258" s="1400"/>
      <c r="P258" s="1400"/>
      <c r="Q258" s="1400"/>
      <c r="R258" s="1400"/>
      <c r="S258" s="1400"/>
      <c r="T258" s="1400"/>
      <c r="U258" s="1400"/>
      <c r="V258" s="1400"/>
      <c r="W258" s="1400"/>
      <c r="X258" s="1400"/>
      <c r="Y258" s="1685">
        <v>43189</v>
      </c>
      <c r="Z258" s="1326" t="s">
        <v>2096</v>
      </c>
      <c r="AA258" s="1683">
        <v>0</v>
      </c>
      <c r="AB258" s="1683">
        <v>0</v>
      </c>
      <c r="AC258" s="1683">
        <v>0</v>
      </c>
      <c r="AD258" s="1685">
        <v>43201</v>
      </c>
      <c r="AE258" s="1326" t="s">
        <v>2079</v>
      </c>
      <c r="AF258" s="1326" t="s">
        <v>2064</v>
      </c>
      <c r="AG258" s="1410"/>
      <c r="AH258" s="1683">
        <v>0</v>
      </c>
      <c r="AI258" s="1683">
        <v>100000</v>
      </c>
      <c r="AJ258" s="1683">
        <v>100000</v>
      </c>
      <c r="AK258" s="1683">
        <v>91891.89</v>
      </c>
      <c r="AL258" s="1683">
        <v>8108.11</v>
      </c>
      <c r="AM258" s="1682"/>
      <c r="AN258" s="1683">
        <v>0</v>
      </c>
      <c r="AO258" s="1683">
        <v>0</v>
      </c>
      <c r="AP258" s="1683">
        <v>0</v>
      </c>
      <c r="AQ258" s="1683">
        <v>0</v>
      </c>
      <c r="AR258" s="1683">
        <v>0</v>
      </c>
      <c r="AS258" s="1683">
        <v>0</v>
      </c>
      <c r="AT258" s="1683">
        <v>0</v>
      </c>
      <c r="AU258" s="1683">
        <v>0</v>
      </c>
      <c r="AV258" s="1683">
        <v>0</v>
      </c>
      <c r="AW258" s="1683">
        <v>0</v>
      </c>
      <c r="AX258" s="1400"/>
      <c r="AY258" s="1400"/>
      <c r="AZ258" s="1400"/>
      <c r="BA258" s="1682"/>
      <c r="BB258" s="1682"/>
      <c r="BC258" s="1400"/>
      <c r="BD258" s="1400"/>
      <c r="BE258" s="1683">
        <v>0</v>
      </c>
      <c r="BF258" s="1683">
        <v>0</v>
      </c>
      <c r="BG258" s="1683">
        <v>0</v>
      </c>
      <c r="BH258" s="1683">
        <v>0</v>
      </c>
      <c r="BI258" s="1683">
        <v>0</v>
      </c>
      <c r="BJ258" s="1683">
        <v>0</v>
      </c>
      <c r="BK258" s="1683">
        <v>0</v>
      </c>
      <c r="BL258" s="1683">
        <v>0</v>
      </c>
      <c r="BM258" s="1683">
        <v>0</v>
      </c>
      <c r="BN258" s="1683">
        <v>0</v>
      </c>
      <c r="BO258" s="1682"/>
      <c r="BP258" s="1683">
        <v>0</v>
      </c>
      <c r="BQ258" s="1683">
        <v>0</v>
      </c>
      <c r="BR258" s="1683">
        <v>0</v>
      </c>
      <c r="BS258" s="1683">
        <v>0</v>
      </c>
      <c r="BT258" s="1683">
        <v>0</v>
      </c>
      <c r="BU258" s="1683">
        <v>0</v>
      </c>
      <c r="BV258" s="1683">
        <v>0</v>
      </c>
      <c r="BW258" s="1683">
        <v>0</v>
      </c>
      <c r="BX258" s="1683">
        <v>0</v>
      </c>
      <c r="BY258" s="1683">
        <v>0</v>
      </c>
      <c r="BZ258" s="1400"/>
      <c r="CA258" s="1400"/>
      <c r="CB258" s="1682"/>
      <c r="CC258" s="1682"/>
      <c r="CD258" s="1400"/>
      <c r="CE258" s="1400"/>
      <c r="CF258" s="1683">
        <v>0</v>
      </c>
      <c r="CG258" s="1683">
        <v>0</v>
      </c>
      <c r="CH258" s="1683">
        <v>0</v>
      </c>
      <c r="CI258" s="1683">
        <v>0</v>
      </c>
      <c r="CJ258" s="1683">
        <v>0</v>
      </c>
      <c r="CK258" s="1683">
        <v>0</v>
      </c>
      <c r="CL258" s="1682"/>
      <c r="CM258" s="1683">
        <v>0</v>
      </c>
      <c r="CN258" s="1683">
        <v>0</v>
      </c>
      <c r="CO258" s="1683">
        <v>0</v>
      </c>
      <c r="CP258" s="1683">
        <v>0</v>
      </c>
      <c r="CQ258" s="1683">
        <v>0</v>
      </c>
      <c r="CR258" s="1683">
        <v>0</v>
      </c>
      <c r="CS258" s="1683">
        <v>0</v>
      </c>
      <c r="CT258" s="1683">
        <v>0</v>
      </c>
      <c r="CU258" s="1683">
        <v>0</v>
      </c>
      <c r="CV258" s="1683">
        <v>0</v>
      </c>
      <c r="CW258" s="1682"/>
      <c r="CX258" s="1400"/>
      <c r="CY258" s="1400"/>
      <c r="CZ258" s="1400"/>
      <c r="DA258" s="1400"/>
      <c r="DB258" s="1682"/>
      <c r="DC258" s="1326"/>
      <c r="DD258" s="1683">
        <v>0</v>
      </c>
      <c r="DE258" s="1400"/>
      <c r="DF258" s="1400"/>
      <c r="DG258" s="1683">
        <v>0</v>
      </c>
      <c r="DH258" s="1683">
        <v>0</v>
      </c>
    </row>
    <row r="259" spans="1:112" ht="67.5">
      <c r="A259" s="1326" t="s">
        <v>2267</v>
      </c>
      <c r="B259" s="1326" t="s">
        <v>1700</v>
      </c>
      <c r="C259" s="1326" t="s">
        <v>2561</v>
      </c>
      <c r="D259" s="1326" t="s">
        <v>2562</v>
      </c>
      <c r="E259" s="1326" t="s">
        <v>145</v>
      </c>
      <c r="F259" s="1326" t="s">
        <v>2563</v>
      </c>
      <c r="G259" s="1326" t="s">
        <v>2556</v>
      </c>
      <c r="H259" s="1326" t="s">
        <v>2541</v>
      </c>
      <c r="I259" s="1326" t="s">
        <v>708</v>
      </c>
      <c r="J259" s="1326" t="s">
        <v>302</v>
      </c>
      <c r="K259" s="1326" t="s">
        <v>2060</v>
      </c>
      <c r="L259" s="1326" t="s">
        <v>2061</v>
      </c>
      <c r="M259" s="1400"/>
      <c r="N259" s="1400"/>
      <c r="O259" s="1400"/>
      <c r="P259" s="1400"/>
      <c r="Q259" s="1400"/>
      <c r="R259" s="1400"/>
      <c r="S259" s="1400"/>
      <c r="T259" s="1400"/>
      <c r="U259" s="1400"/>
      <c r="V259" s="1400"/>
      <c r="W259" s="1400"/>
      <c r="X259" s="1400"/>
      <c r="Y259" s="1685">
        <v>43220</v>
      </c>
      <c r="Z259" s="1326" t="s">
        <v>2062</v>
      </c>
      <c r="AA259" s="1683">
        <v>0</v>
      </c>
      <c r="AB259" s="1683">
        <v>0</v>
      </c>
      <c r="AC259" s="1683">
        <v>0</v>
      </c>
      <c r="AD259" s="1685">
        <v>43250</v>
      </c>
      <c r="AE259" s="1326" t="s">
        <v>2080</v>
      </c>
      <c r="AF259" s="1326" t="s">
        <v>2064</v>
      </c>
      <c r="AG259" s="1410"/>
      <c r="AH259" s="1683">
        <v>52363.43</v>
      </c>
      <c r="AI259" s="1683">
        <v>52363.43</v>
      </c>
      <c r="AJ259" s="1683">
        <v>48436.17</v>
      </c>
      <c r="AK259" s="1683">
        <v>44508.92</v>
      </c>
      <c r="AL259" s="1683">
        <v>3927.25</v>
      </c>
      <c r="AM259" s="1685">
        <v>43250</v>
      </c>
      <c r="AN259" s="1683">
        <v>52363.43</v>
      </c>
      <c r="AO259" s="1683">
        <v>52363.43</v>
      </c>
      <c r="AP259" s="1683">
        <v>48436.17</v>
      </c>
      <c r="AQ259" s="1683">
        <v>44508.92</v>
      </c>
      <c r="AR259" s="1683">
        <v>3927.25</v>
      </c>
      <c r="AS259" s="1683">
        <v>3927.26</v>
      </c>
      <c r="AT259" s="1683">
        <v>0</v>
      </c>
      <c r="AU259" s="1683">
        <v>3927.26</v>
      </c>
      <c r="AV259" s="1683">
        <v>0</v>
      </c>
      <c r="AW259" s="1683">
        <v>0</v>
      </c>
      <c r="AX259" s="1400"/>
      <c r="AY259" s="1400"/>
      <c r="AZ259" s="1400"/>
      <c r="BA259" s="1682"/>
      <c r="BB259" s="1682"/>
      <c r="BC259" s="1400"/>
      <c r="BD259" s="1400"/>
      <c r="BE259" s="1683">
        <v>52363.43</v>
      </c>
      <c r="BF259" s="1683">
        <v>52363.43</v>
      </c>
      <c r="BG259" s="1683">
        <v>48436.17</v>
      </c>
      <c r="BH259" s="1683">
        <v>44508.92</v>
      </c>
      <c r="BI259" s="1683">
        <v>3927.25</v>
      </c>
      <c r="BJ259" s="1683">
        <v>3927.26</v>
      </c>
      <c r="BK259" s="1683">
        <v>0</v>
      </c>
      <c r="BL259" s="1683">
        <v>3927.26</v>
      </c>
      <c r="BM259" s="1683">
        <v>0</v>
      </c>
      <c r="BN259" s="1683">
        <v>0</v>
      </c>
      <c r="BO259" s="1685">
        <v>43364</v>
      </c>
      <c r="BP259" s="1683">
        <v>52363.43</v>
      </c>
      <c r="BQ259" s="1683">
        <v>52363.43</v>
      </c>
      <c r="BR259" s="1683">
        <v>48436.17</v>
      </c>
      <c r="BS259" s="1683">
        <v>44508.92</v>
      </c>
      <c r="BT259" s="1683">
        <v>3927.25</v>
      </c>
      <c r="BU259" s="1683">
        <v>3927.26</v>
      </c>
      <c r="BV259" s="1683">
        <v>0</v>
      </c>
      <c r="BW259" s="1683">
        <v>0</v>
      </c>
      <c r="BX259" s="1683">
        <v>0</v>
      </c>
      <c r="BY259" s="1683">
        <v>0</v>
      </c>
      <c r="BZ259" s="1683">
        <v>0</v>
      </c>
      <c r="CA259" s="1400"/>
      <c r="CB259" s="1682"/>
      <c r="CC259" s="1682"/>
      <c r="CD259" s="1400"/>
      <c r="CE259" s="1400"/>
      <c r="CF259" s="1683">
        <v>0</v>
      </c>
      <c r="CG259" s="1683">
        <v>0</v>
      </c>
      <c r="CH259" s="1683">
        <v>0</v>
      </c>
      <c r="CI259" s="1683">
        <v>0</v>
      </c>
      <c r="CJ259" s="1683">
        <v>461.92</v>
      </c>
      <c r="CK259" s="1683">
        <v>461.92</v>
      </c>
      <c r="CL259" s="1682"/>
      <c r="CM259" s="1683">
        <v>0</v>
      </c>
      <c r="CN259" s="1683">
        <v>0</v>
      </c>
      <c r="CO259" s="1683">
        <v>0</v>
      </c>
      <c r="CP259" s="1683">
        <v>0</v>
      </c>
      <c r="CQ259" s="1683">
        <v>0</v>
      </c>
      <c r="CR259" s="1683">
        <v>0</v>
      </c>
      <c r="CS259" s="1683">
        <v>0</v>
      </c>
      <c r="CT259" s="1683">
        <v>0</v>
      </c>
      <c r="CU259" s="1683">
        <v>0</v>
      </c>
      <c r="CV259" s="1683">
        <v>0</v>
      </c>
      <c r="CW259" s="1682"/>
      <c r="CX259" s="1400"/>
      <c r="CY259" s="1400"/>
      <c r="CZ259" s="1400"/>
      <c r="DA259" s="1400"/>
      <c r="DB259" s="1682"/>
      <c r="DC259" s="1326"/>
      <c r="DD259" s="1683">
        <v>0</v>
      </c>
      <c r="DE259" s="1400"/>
      <c r="DF259" s="1400"/>
      <c r="DG259" s="1683">
        <v>0</v>
      </c>
      <c r="DH259" s="1683">
        <v>0</v>
      </c>
    </row>
    <row r="260" spans="1:112" ht="67.5">
      <c r="A260" s="1326" t="s">
        <v>2269</v>
      </c>
      <c r="B260" s="1326" t="s">
        <v>1700</v>
      </c>
      <c r="C260" s="1326" t="s">
        <v>2561</v>
      </c>
      <c r="D260" s="1326" t="s">
        <v>2562</v>
      </c>
      <c r="E260" s="1326" t="s">
        <v>145</v>
      </c>
      <c r="F260" s="1326" t="s">
        <v>2563</v>
      </c>
      <c r="G260" s="1326" t="s">
        <v>2556</v>
      </c>
      <c r="H260" s="1326" t="s">
        <v>2541</v>
      </c>
      <c r="I260" s="1326" t="s">
        <v>708</v>
      </c>
      <c r="J260" s="1326" t="s">
        <v>302</v>
      </c>
      <c r="K260" s="1326" t="s">
        <v>2060</v>
      </c>
      <c r="L260" s="1326" t="s">
        <v>2061</v>
      </c>
      <c r="M260" s="1400"/>
      <c r="N260" s="1400"/>
      <c r="O260" s="1400"/>
      <c r="P260" s="1400"/>
      <c r="Q260" s="1400"/>
      <c r="R260" s="1400"/>
      <c r="S260" s="1400"/>
      <c r="T260" s="1400"/>
      <c r="U260" s="1400"/>
      <c r="V260" s="1400"/>
      <c r="W260" s="1400"/>
      <c r="X260" s="1400"/>
      <c r="Y260" s="1685">
        <v>43280</v>
      </c>
      <c r="Z260" s="1326" t="s">
        <v>2096</v>
      </c>
      <c r="AA260" s="1683">
        <v>0</v>
      </c>
      <c r="AB260" s="1683">
        <v>0</v>
      </c>
      <c r="AC260" s="1683">
        <v>0</v>
      </c>
      <c r="AD260" s="1685">
        <v>43291</v>
      </c>
      <c r="AE260" s="1326" t="s">
        <v>2081</v>
      </c>
      <c r="AF260" s="1326" t="s">
        <v>2064</v>
      </c>
      <c r="AG260" s="1410"/>
      <c r="AH260" s="1683">
        <v>0</v>
      </c>
      <c r="AI260" s="1683">
        <v>126172</v>
      </c>
      <c r="AJ260" s="1683">
        <v>126172</v>
      </c>
      <c r="AK260" s="1683">
        <v>115941.84</v>
      </c>
      <c r="AL260" s="1683">
        <v>10230.16</v>
      </c>
      <c r="AM260" s="1682"/>
      <c r="AN260" s="1683">
        <v>0</v>
      </c>
      <c r="AO260" s="1683">
        <v>0</v>
      </c>
      <c r="AP260" s="1683">
        <v>0</v>
      </c>
      <c r="AQ260" s="1683">
        <v>0</v>
      </c>
      <c r="AR260" s="1683">
        <v>0</v>
      </c>
      <c r="AS260" s="1683">
        <v>0</v>
      </c>
      <c r="AT260" s="1683">
        <v>0</v>
      </c>
      <c r="AU260" s="1683">
        <v>0</v>
      </c>
      <c r="AV260" s="1683">
        <v>0</v>
      </c>
      <c r="AW260" s="1683">
        <v>0</v>
      </c>
      <c r="AX260" s="1400"/>
      <c r="AY260" s="1400"/>
      <c r="AZ260" s="1400"/>
      <c r="BA260" s="1682"/>
      <c r="BB260" s="1682"/>
      <c r="BC260" s="1400"/>
      <c r="BD260" s="1400"/>
      <c r="BE260" s="1683">
        <v>0</v>
      </c>
      <c r="BF260" s="1683">
        <v>0</v>
      </c>
      <c r="BG260" s="1683">
        <v>0</v>
      </c>
      <c r="BH260" s="1683">
        <v>0</v>
      </c>
      <c r="BI260" s="1683">
        <v>0</v>
      </c>
      <c r="BJ260" s="1683">
        <v>0</v>
      </c>
      <c r="BK260" s="1683">
        <v>0</v>
      </c>
      <c r="BL260" s="1683">
        <v>0</v>
      </c>
      <c r="BM260" s="1683">
        <v>0</v>
      </c>
      <c r="BN260" s="1683">
        <v>0</v>
      </c>
      <c r="BO260" s="1682"/>
      <c r="BP260" s="1683">
        <v>0</v>
      </c>
      <c r="BQ260" s="1683">
        <v>0</v>
      </c>
      <c r="BR260" s="1683">
        <v>0</v>
      </c>
      <c r="BS260" s="1683">
        <v>0</v>
      </c>
      <c r="BT260" s="1683">
        <v>0</v>
      </c>
      <c r="BU260" s="1683">
        <v>0</v>
      </c>
      <c r="BV260" s="1683">
        <v>0</v>
      </c>
      <c r="BW260" s="1683">
        <v>0</v>
      </c>
      <c r="BX260" s="1683">
        <v>0</v>
      </c>
      <c r="BY260" s="1683">
        <v>0</v>
      </c>
      <c r="BZ260" s="1400"/>
      <c r="CA260" s="1400"/>
      <c r="CB260" s="1682"/>
      <c r="CC260" s="1682"/>
      <c r="CD260" s="1400"/>
      <c r="CE260" s="1400"/>
      <c r="CF260" s="1683">
        <v>0</v>
      </c>
      <c r="CG260" s="1683">
        <v>0</v>
      </c>
      <c r="CH260" s="1683">
        <v>0</v>
      </c>
      <c r="CI260" s="1683">
        <v>0</v>
      </c>
      <c r="CJ260" s="1683">
        <v>0</v>
      </c>
      <c r="CK260" s="1683">
        <v>0</v>
      </c>
      <c r="CL260" s="1682"/>
      <c r="CM260" s="1683">
        <v>0</v>
      </c>
      <c r="CN260" s="1683">
        <v>0</v>
      </c>
      <c r="CO260" s="1683">
        <v>0</v>
      </c>
      <c r="CP260" s="1683">
        <v>0</v>
      </c>
      <c r="CQ260" s="1683">
        <v>0</v>
      </c>
      <c r="CR260" s="1683">
        <v>0</v>
      </c>
      <c r="CS260" s="1683">
        <v>0</v>
      </c>
      <c r="CT260" s="1683">
        <v>0</v>
      </c>
      <c r="CU260" s="1683">
        <v>0</v>
      </c>
      <c r="CV260" s="1683">
        <v>0</v>
      </c>
      <c r="CW260" s="1682"/>
      <c r="CX260" s="1400"/>
      <c r="CY260" s="1400"/>
      <c r="CZ260" s="1400"/>
      <c r="DA260" s="1400"/>
      <c r="DB260" s="1682"/>
      <c r="DC260" s="1326"/>
      <c r="DD260" s="1683">
        <v>0</v>
      </c>
      <c r="DE260" s="1400"/>
      <c r="DF260" s="1400"/>
      <c r="DG260" s="1683">
        <v>0</v>
      </c>
      <c r="DH260" s="1683">
        <v>0</v>
      </c>
    </row>
    <row r="261" spans="1:112" ht="67.5">
      <c r="A261" s="1326" t="s">
        <v>2270</v>
      </c>
      <c r="B261" s="1326" t="s">
        <v>1700</v>
      </c>
      <c r="C261" s="1326" t="s">
        <v>2561</v>
      </c>
      <c r="D261" s="1326" t="s">
        <v>2562</v>
      </c>
      <c r="E261" s="1326" t="s">
        <v>145</v>
      </c>
      <c r="F261" s="1326" t="s">
        <v>2563</v>
      </c>
      <c r="G261" s="1326" t="s">
        <v>2556</v>
      </c>
      <c r="H261" s="1326" t="s">
        <v>2541</v>
      </c>
      <c r="I261" s="1326" t="s">
        <v>708</v>
      </c>
      <c r="J261" s="1326" t="s">
        <v>302</v>
      </c>
      <c r="K261" s="1326" t="s">
        <v>2060</v>
      </c>
      <c r="L261" s="1326" t="s">
        <v>2061</v>
      </c>
      <c r="M261" s="1400"/>
      <c r="N261" s="1400"/>
      <c r="O261" s="1400"/>
      <c r="P261" s="1400"/>
      <c r="Q261" s="1400"/>
      <c r="R261" s="1400"/>
      <c r="S261" s="1400"/>
      <c r="T261" s="1400"/>
      <c r="U261" s="1400"/>
      <c r="V261" s="1400"/>
      <c r="W261" s="1400"/>
      <c r="X261" s="1400"/>
      <c r="Y261" s="1685">
        <v>43300</v>
      </c>
      <c r="Z261" s="1326" t="s">
        <v>2062</v>
      </c>
      <c r="AA261" s="1683">
        <v>0</v>
      </c>
      <c r="AB261" s="1683">
        <v>0</v>
      </c>
      <c r="AC261" s="1683">
        <v>0</v>
      </c>
      <c r="AD261" s="1685">
        <v>43334</v>
      </c>
      <c r="AE261" s="1326" t="s">
        <v>2088</v>
      </c>
      <c r="AF261" s="1326" t="s">
        <v>2064</v>
      </c>
      <c r="AG261" s="1410"/>
      <c r="AH261" s="1683">
        <v>237713.52</v>
      </c>
      <c r="AI261" s="1683">
        <v>237713.52</v>
      </c>
      <c r="AJ261" s="1683">
        <v>219885</v>
      </c>
      <c r="AK261" s="1683">
        <v>202056.49</v>
      </c>
      <c r="AL261" s="1683">
        <v>17828.509999999998</v>
      </c>
      <c r="AM261" s="1685">
        <v>43334</v>
      </c>
      <c r="AN261" s="1683">
        <v>237713.52</v>
      </c>
      <c r="AO261" s="1683">
        <v>237713.52</v>
      </c>
      <c r="AP261" s="1683">
        <v>219885</v>
      </c>
      <c r="AQ261" s="1683">
        <v>202056.49</v>
      </c>
      <c r="AR261" s="1683">
        <v>17828.509999999998</v>
      </c>
      <c r="AS261" s="1683">
        <v>17828.52</v>
      </c>
      <c r="AT261" s="1683">
        <v>0</v>
      </c>
      <c r="AU261" s="1683">
        <v>17828.52</v>
      </c>
      <c r="AV261" s="1683">
        <v>0</v>
      </c>
      <c r="AW261" s="1683">
        <v>0</v>
      </c>
      <c r="AX261" s="1400"/>
      <c r="AY261" s="1400"/>
      <c r="AZ261" s="1400"/>
      <c r="BA261" s="1682"/>
      <c r="BB261" s="1682"/>
      <c r="BC261" s="1400"/>
      <c r="BD261" s="1400"/>
      <c r="BE261" s="1683">
        <v>237713.52</v>
      </c>
      <c r="BF261" s="1683">
        <v>237713.52</v>
      </c>
      <c r="BG261" s="1683">
        <v>219885</v>
      </c>
      <c r="BH261" s="1683">
        <v>202056.49</v>
      </c>
      <c r="BI261" s="1683">
        <v>17828.509999999998</v>
      </c>
      <c r="BJ261" s="1683">
        <v>17828.52</v>
      </c>
      <c r="BK261" s="1683">
        <v>0</v>
      </c>
      <c r="BL261" s="1683">
        <v>17828.52</v>
      </c>
      <c r="BM261" s="1683">
        <v>0</v>
      </c>
      <c r="BN261" s="1683">
        <v>0</v>
      </c>
      <c r="BO261" s="1685">
        <v>43403</v>
      </c>
      <c r="BP261" s="1683">
        <v>237713.52</v>
      </c>
      <c r="BQ261" s="1683">
        <v>237713.52</v>
      </c>
      <c r="BR261" s="1683">
        <v>219885</v>
      </c>
      <c r="BS261" s="1683">
        <v>202056.49</v>
      </c>
      <c r="BT261" s="1683">
        <v>17828.509999999998</v>
      </c>
      <c r="BU261" s="1683">
        <v>17828.52</v>
      </c>
      <c r="BV261" s="1683">
        <v>0</v>
      </c>
      <c r="BW261" s="1683">
        <v>0</v>
      </c>
      <c r="BX261" s="1683">
        <v>0</v>
      </c>
      <c r="BY261" s="1683">
        <v>0</v>
      </c>
      <c r="BZ261" s="1683">
        <v>0</v>
      </c>
      <c r="CA261" s="1400"/>
      <c r="CB261" s="1682"/>
      <c r="CC261" s="1682"/>
      <c r="CD261" s="1400"/>
      <c r="CE261" s="1400"/>
      <c r="CF261" s="1683">
        <v>0</v>
      </c>
      <c r="CG261" s="1683">
        <v>0</v>
      </c>
      <c r="CH261" s="1683">
        <v>0</v>
      </c>
      <c r="CI261" s="1683">
        <v>0</v>
      </c>
      <c r="CJ261" s="1683">
        <v>2096.9899999999998</v>
      </c>
      <c r="CK261" s="1683">
        <v>2096.9899999999998</v>
      </c>
      <c r="CL261" s="1682"/>
      <c r="CM261" s="1683">
        <v>0</v>
      </c>
      <c r="CN261" s="1683">
        <v>0</v>
      </c>
      <c r="CO261" s="1683">
        <v>0</v>
      </c>
      <c r="CP261" s="1683">
        <v>0</v>
      </c>
      <c r="CQ261" s="1683">
        <v>0</v>
      </c>
      <c r="CR261" s="1683">
        <v>0</v>
      </c>
      <c r="CS261" s="1683">
        <v>0</v>
      </c>
      <c r="CT261" s="1683">
        <v>0</v>
      </c>
      <c r="CU261" s="1683">
        <v>0</v>
      </c>
      <c r="CV261" s="1683">
        <v>0</v>
      </c>
      <c r="CW261" s="1682"/>
      <c r="CX261" s="1400"/>
      <c r="CY261" s="1400"/>
      <c r="CZ261" s="1400"/>
      <c r="DA261" s="1400"/>
      <c r="DB261" s="1682"/>
      <c r="DC261" s="1326"/>
      <c r="DD261" s="1683">
        <v>0</v>
      </c>
      <c r="DE261" s="1400"/>
      <c r="DF261" s="1400"/>
      <c r="DG261" s="1683">
        <v>0</v>
      </c>
      <c r="DH261" s="1683">
        <v>0</v>
      </c>
    </row>
    <row r="262" spans="1:112" ht="67.5">
      <c r="A262" s="1326" t="s">
        <v>2271</v>
      </c>
      <c r="B262" s="1326" t="s">
        <v>1700</v>
      </c>
      <c r="C262" s="1326" t="s">
        <v>2561</v>
      </c>
      <c r="D262" s="1326" t="s">
        <v>2562</v>
      </c>
      <c r="E262" s="1326" t="s">
        <v>145</v>
      </c>
      <c r="F262" s="1326" t="s">
        <v>2563</v>
      </c>
      <c r="G262" s="1326" t="s">
        <v>2556</v>
      </c>
      <c r="H262" s="1326" t="s">
        <v>2541</v>
      </c>
      <c r="I262" s="1326" t="s">
        <v>708</v>
      </c>
      <c r="J262" s="1326" t="s">
        <v>302</v>
      </c>
      <c r="K262" s="1326" t="s">
        <v>2060</v>
      </c>
      <c r="L262" s="1326" t="s">
        <v>2061</v>
      </c>
      <c r="M262" s="1400"/>
      <c r="N262" s="1400"/>
      <c r="O262" s="1400"/>
      <c r="P262" s="1400"/>
      <c r="Q262" s="1400"/>
      <c r="R262" s="1400"/>
      <c r="S262" s="1400"/>
      <c r="T262" s="1400"/>
      <c r="U262" s="1400"/>
      <c r="V262" s="1400"/>
      <c r="W262" s="1400"/>
      <c r="X262" s="1400"/>
      <c r="Y262" s="1685">
        <v>43392</v>
      </c>
      <c r="Z262" s="1326" t="s">
        <v>2062</v>
      </c>
      <c r="AA262" s="1683">
        <v>0</v>
      </c>
      <c r="AB262" s="1683">
        <v>0</v>
      </c>
      <c r="AC262" s="1683">
        <v>0</v>
      </c>
      <c r="AD262" s="1685">
        <v>43423</v>
      </c>
      <c r="AE262" s="1326" t="s">
        <v>2082</v>
      </c>
      <c r="AF262" s="1326" t="s">
        <v>2064</v>
      </c>
      <c r="AG262" s="1410"/>
      <c r="AH262" s="1683">
        <v>182268.01</v>
      </c>
      <c r="AI262" s="1683">
        <v>182268.01</v>
      </c>
      <c r="AJ262" s="1683">
        <v>168597.92</v>
      </c>
      <c r="AK262" s="1683">
        <v>154927.81</v>
      </c>
      <c r="AL262" s="1683">
        <v>13670.11</v>
      </c>
      <c r="AM262" s="1685">
        <v>43423</v>
      </c>
      <c r="AN262" s="1683">
        <v>182268.01</v>
      </c>
      <c r="AO262" s="1683">
        <v>182268.01</v>
      </c>
      <c r="AP262" s="1683">
        <v>168597.92</v>
      </c>
      <c r="AQ262" s="1683">
        <v>154927.81</v>
      </c>
      <c r="AR262" s="1683">
        <v>13670.11</v>
      </c>
      <c r="AS262" s="1683">
        <v>13670.09</v>
      </c>
      <c r="AT262" s="1683">
        <v>0</v>
      </c>
      <c r="AU262" s="1683">
        <v>13670.09</v>
      </c>
      <c r="AV262" s="1683">
        <v>0</v>
      </c>
      <c r="AW262" s="1683">
        <v>0</v>
      </c>
      <c r="AX262" s="1400"/>
      <c r="AY262" s="1400"/>
      <c r="AZ262" s="1400"/>
      <c r="BA262" s="1682"/>
      <c r="BB262" s="1682"/>
      <c r="BC262" s="1400"/>
      <c r="BD262" s="1400"/>
      <c r="BE262" s="1683">
        <v>182268.01</v>
      </c>
      <c r="BF262" s="1683">
        <v>182268.01</v>
      </c>
      <c r="BG262" s="1683">
        <v>168597.92</v>
      </c>
      <c r="BH262" s="1683">
        <v>154927.81</v>
      </c>
      <c r="BI262" s="1683">
        <v>13670.11</v>
      </c>
      <c r="BJ262" s="1683">
        <v>13670.09</v>
      </c>
      <c r="BK262" s="1683">
        <v>0</v>
      </c>
      <c r="BL262" s="1683">
        <v>13670.09</v>
      </c>
      <c r="BM262" s="1683">
        <v>0</v>
      </c>
      <c r="BN262" s="1683">
        <v>0</v>
      </c>
      <c r="BO262" s="1685">
        <v>43453</v>
      </c>
      <c r="BP262" s="1683">
        <v>182268.01</v>
      </c>
      <c r="BQ262" s="1683">
        <v>182268.01</v>
      </c>
      <c r="BR262" s="1683">
        <v>168597.92</v>
      </c>
      <c r="BS262" s="1683">
        <v>154927.81</v>
      </c>
      <c r="BT262" s="1683">
        <v>13670.11</v>
      </c>
      <c r="BU262" s="1683">
        <v>13670.09</v>
      </c>
      <c r="BV262" s="1683">
        <v>0</v>
      </c>
      <c r="BW262" s="1683">
        <v>0</v>
      </c>
      <c r="BX262" s="1683">
        <v>0</v>
      </c>
      <c r="BY262" s="1683">
        <v>0</v>
      </c>
      <c r="BZ262" s="1683">
        <v>0</v>
      </c>
      <c r="CA262" s="1400"/>
      <c r="CB262" s="1682"/>
      <c r="CC262" s="1682"/>
      <c r="CD262" s="1400"/>
      <c r="CE262" s="1400"/>
      <c r="CF262" s="1683">
        <v>0</v>
      </c>
      <c r="CG262" s="1683">
        <v>0</v>
      </c>
      <c r="CH262" s="1683">
        <v>0</v>
      </c>
      <c r="CI262" s="1683">
        <v>0</v>
      </c>
      <c r="CJ262" s="1683">
        <v>1607.88</v>
      </c>
      <c r="CK262" s="1683">
        <v>1607.88</v>
      </c>
      <c r="CL262" s="1682"/>
      <c r="CM262" s="1683">
        <v>0</v>
      </c>
      <c r="CN262" s="1683">
        <v>0</v>
      </c>
      <c r="CO262" s="1683">
        <v>0</v>
      </c>
      <c r="CP262" s="1683">
        <v>0</v>
      </c>
      <c r="CQ262" s="1683">
        <v>0</v>
      </c>
      <c r="CR262" s="1683">
        <v>0</v>
      </c>
      <c r="CS262" s="1683">
        <v>0</v>
      </c>
      <c r="CT262" s="1683">
        <v>0</v>
      </c>
      <c r="CU262" s="1683">
        <v>0</v>
      </c>
      <c r="CV262" s="1683">
        <v>0</v>
      </c>
      <c r="CW262" s="1682"/>
      <c r="CX262" s="1400"/>
      <c r="CY262" s="1400"/>
      <c r="CZ262" s="1400"/>
      <c r="DA262" s="1400"/>
      <c r="DB262" s="1682"/>
      <c r="DC262" s="1326"/>
      <c r="DD262" s="1683">
        <v>0</v>
      </c>
      <c r="DE262" s="1400"/>
      <c r="DF262" s="1400"/>
      <c r="DG262" s="1683">
        <v>0</v>
      </c>
      <c r="DH262" s="1683">
        <v>0</v>
      </c>
    </row>
    <row r="263" spans="1:112" ht="67.5">
      <c r="A263" s="1326" t="s">
        <v>2272</v>
      </c>
      <c r="B263" s="1326" t="s">
        <v>1700</v>
      </c>
      <c r="C263" s="1326" t="s">
        <v>2561</v>
      </c>
      <c r="D263" s="1326" t="s">
        <v>2562</v>
      </c>
      <c r="E263" s="1326" t="s">
        <v>145</v>
      </c>
      <c r="F263" s="1326" t="s">
        <v>2563</v>
      </c>
      <c r="G263" s="1326" t="s">
        <v>2556</v>
      </c>
      <c r="H263" s="1326" t="s">
        <v>2541</v>
      </c>
      <c r="I263" s="1326" t="s">
        <v>708</v>
      </c>
      <c r="J263" s="1326" t="s">
        <v>302</v>
      </c>
      <c r="K263" s="1326" t="s">
        <v>2060</v>
      </c>
      <c r="L263" s="1326" t="s">
        <v>2061</v>
      </c>
      <c r="M263" s="1400"/>
      <c r="N263" s="1400"/>
      <c r="O263" s="1400"/>
      <c r="P263" s="1400"/>
      <c r="Q263" s="1400"/>
      <c r="R263" s="1400"/>
      <c r="S263" s="1400"/>
      <c r="T263" s="1400"/>
      <c r="U263" s="1400"/>
      <c r="V263" s="1400"/>
      <c r="W263" s="1400"/>
      <c r="X263" s="1400"/>
      <c r="Y263" s="1685">
        <v>43437</v>
      </c>
      <c r="Z263" s="1326" t="s">
        <v>2062</v>
      </c>
      <c r="AA263" s="1683">
        <v>43312.24</v>
      </c>
      <c r="AB263" s="1683">
        <v>39800.44</v>
      </c>
      <c r="AC263" s="1683">
        <v>3511.8</v>
      </c>
      <c r="AD263" s="1685">
        <v>43476</v>
      </c>
      <c r="AE263" s="1326" t="s">
        <v>2083</v>
      </c>
      <c r="AF263" s="1326" t="s">
        <v>2064</v>
      </c>
      <c r="AG263" s="1410"/>
      <c r="AH263" s="1683">
        <v>46824.04</v>
      </c>
      <c r="AI263" s="1683">
        <v>46824.04</v>
      </c>
      <c r="AJ263" s="1683">
        <v>0</v>
      </c>
      <c r="AK263" s="1683">
        <v>0</v>
      </c>
      <c r="AL263" s="1683">
        <v>0</v>
      </c>
      <c r="AM263" s="1685">
        <v>43476</v>
      </c>
      <c r="AN263" s="1683">
        <v>46824.04</v>
      </c>
      <c r="AO263" s="1683">
        <v>46824.04</v>
      </c>
      <c r="AP263" s="1683">
        <v>43312.24</v>
      </c>
      <c r="AQ263" s="1683">
        <v>39800.44</v>
      </c>
      <c r="AR263" s="1683">
        <v>3511.8</v>
      </c>
      <c r="AS263" s="1683">
        <v>3511.8</v>
      </c>
      <c r="AT263" s="1683">
        <v>0</v>
      </c>
      <c r="AU263" s="1683">
        <v>3511.8</v>
      </c>
      <c r="AV263" s="1683">
        <v>0</v>
      </c>
      <c r="AW263" s="1683">
        <v>0</v>
      </c>
      <c r="AX263" s="1400"/>
      <c r="AY263" s="1400"/>
      <c r="AZ263" s="1400"/>
      <c r="BA263" s="1682"/>
      <c r="BB263" s="1682"/>
      <c r="BC263" s="1400"/>
      <c r="BD263" s="1400"/>
      <c r="BE263" s="1683">
        <v>46824.04</v>
      </c>
      <c r="BF263" s="1683">
        <v>46824.04</v>
      </c>
      <c r="BG263" s="1683">
        <v>43312.24</v>
      </c>
      <c r="BH263" s="1683">
        <v>39800.44</v>
      </c>
      <c r="BI263" s="1683">
        <v>3511.8</v>
      </c>
      <c r="BJ263" s="1683">
        <v>3511.8</v>
      </c>
      <c r="BK263" s="1683">
        <v>0</v>
      </c>
      <c r="BL263" s="1683">
        <v>3511.8</v>
      </c>
      <c r="BM263" s="1683">
        <v>0</v>
      </c>
      <c r="BN263" s="1683">
        <v>0</v>
      </c>
      <c r="BO263" s="1682"/>
      <c r="BP263" s="1683">
        <v>0</v>
      </c>
      <c r="BQ263" s="1683">
        <v>0</v>
      </c>
      <c r="BR263" s="1683">
        <v>0</v>
      </c>
      <c r="BS263" s="1683">
        <v>0</v>
      </c>
      <c r="BT263" s="1683">
        <v>0</v>
      </c>
      <c r="BU263" s="1683">
        <v>0</v>
      </c>
      <c r="BV263" s="1683">
        <v>0</v>
      </c>
      <c r="BW263" s="1683">
        <v>0</v>
      </c>
      <c r="BX263" s="1683">
        <v>0</v>
      </c>
      <c r="BY263" s="1683">
        <v>0</v>
      </c>
      <c r="BZ263" s="1400"/>
      <c r="CA263" s="1400"/>
      <c r="CB263" s="1682"/>
      <c r="CC263" s="1682"/>
      <c r="CD263" s="1400"/>
      <c r="CE263" s="1400"/>
      <c r="CF263" s="1683">
        <v>0</v>
      </c>
      <c r="CG263" s="1683">
        <v>0</v>
      </c>
      <c r="CH263" s="1683">
        <v>0</v>
      </c>
      <c r="CI263" s="1683">
        <v>0</v>
      </c>
      <c r="CJ263" s="1683">
        <v>0</v>
      </c>
      <c r="CK263" s="1683">
        <v>0</v>
      </c>
      <c r="CL263" s="1682"/>
      <c r="CM263" s="1683">
        <v>0</v>
      </c>
      <c r="CN263" s="1683">
        <v>0</v>
      </c>
      <c r="CO263" s="1683">
        <v>0</v>
      </c>
      <c r="CP263" s="1683">
        <v>0</v>
      </c>
      <c r="CQ263" s="1683">
        <v>0</v>
      </c>
      <c r="CR263" s="1683">
        <v>0</v>
      </c>
      <c r="CS263" s="1683">
        <v>0</v>
      </c>
      <c r="CT263" s="1683">
        <v>0</v>
      </c>
      <c r="CU263" s="1683">
        <v>0</v>
      </c>
      <c r="CV263" s="1683">
        <v>0</v>
      </c>
      <c r="CW263" s="1682"/>
      <c r="CX263" s="1400"/>
      <c r="CY263" s="1400"/>
      <c r="CZ263" s="1400"/>
      <c r="DA263" s="1400"/>
      <c r="DB263" s="1682"/>
      <c r="DC263" s="1326"/>
      <c r="DD263" s="1683">
        <v>0</v>
      </c>
      <c r="DE263" s="1400"/>
      <c r="DF263" s="1400"/>
      <c r="DG263" s="1683">
        <v>0</v>
      </c>
      <c r="DH263" s="1683">
        <v>0</v>
      </c>
    </row>
    <row r="264" spans="1:112" ht="56.25">
      <c r="A264" s="1326" t="s">
        <v>2273</v>
      </c>
      <c r="B264" s="1326" t="s">
        <v>1700</v>
      </c>
      <c r="C264" s="1326" t="s">
        <v>2561</v>
      </c>
      <c r="D264" s="1326" t="s">
        <v>2562</v>
      </c>
      <c r="E264" s="1326" t="s">
        <v>145</v>
      </c>
      <c r="F264" s="1326" t="s">
        <v>2563</v>
      </c>
      <c r="G264" s="1326" t="s">
        <v>2556</v>
      </c>
      <c r="H264" s="1326" t="s">
        <v>2541</v>
      </c>
      <c r="I264" s="1326" t="s">
        <v>806</v>
      </c>
      <c r="J264" s="1326" t="s">
        <v>640</v>
      </c>
      <c r="K264" s="1326" t="s">
        <v>2060</v>
      </c>
      <c r="L264" s="1326" t="s">
        <v>2061</v>
      </c>
      <c r="M264" s="1683">
        <v>877516.65</v>
      </c>
      <c r="N264" s="1683">
        <v>0</v>
      </c>
      <c r="O264" s="1683">
        <v>877516.65</v>
      </c>
      <c r="P264" s="1683">
        <v>877516.65</v>
      </c>
      <c r="Q264" s="1683">
        <v>700452</v>
      </c>
      <c r="R264" s="1683">
        <v>643658.59</v>
      </c>
      <c r="S264" s="1683">
        <v>56793.41</v>
      </c>
      <c r="T264" s="1683">
        <v>177064.65</v>
      </c>
      <c r="U264" s="1683">
        <v>0</v>
      </c>
      <c r="V264" s="1683">
        <v>177064.65</v>
      </c>
      <c r="W264" s="1683">
        <v>0</v>
      </c>
      <c r="X264" s="1683">
        <v>0</v>
      </c>
      <c r="Y264" s="1682"/>
      <c r="Z264" s="1326"/>
      <c r="AA264" s="1683">
        <v>0</v>
      </c>
      <c r="AB264" s="1683">
        <v>0</v>
      </c>
      <c r="AC264" s="1683">
        <v>0</v>
      </c>
      <c r="AD264" s="1682"/>
      <c r="AE264" s="1326"/>
      <c r="AF264" s="1326"/>
      <c r="AG264" s="1410"/>
      <c r="AH264" s="1683">
        <v>25989.45</v>
      </c>
      <c r="AI264" s="1683">
        <v>185989.45</v>
      </c>
      <c r="AJ264" s="1683">
        <v>179180.52</v>
      </c>
      <c r="AK264" s="1683">
        <v>164652.37</v>
      </c>
      <c r="AL264" s="1683">
        <v>14528.15</v>
      </c>
      <c r="AM264" s="1682"/>
      <c r="AN264" s="1683">
        <v>25989.45</v>
      </c>
      <c r="AO264" s="1683">
        <v>25989.45</v>
      </c>
      <c r="AP264" s="1683">
        <v>19180.52</v>
      </c>
      <c r="AQ264" s="1683">
        <v>17625.34</v>
      </c>
      <c r="AR264" s="1683">
        <v>1555.18</v>
      </c>
      <c r="AS264" s="1683">
        <v>6808.93</v>
      </c>
      <c r="AT264" s="1683">
        <v>0</v>
      </c>
      <c r="AU264" s="1683">
        <v>6808.93</v>
      </c>
      <c r="AV264" s="1683">
        <v>0</v>
      </c>
      <c r="AW264" s="1683">
        <v>0</v>
      </c>
      <c r="AX264" s="1683">
        <v>0</v>
      </c>
      <c r="AY264" s="1683">
        <v>0</v>
      </c>
      <c r="AZ264" s="1683">
        <v>0</v>
      </c>
      <c r="BA264" s="1682"/>
      <c r="BB264" s="1682"/>
      <c r="BC264" s="1683">
        <v>0</v>
      </c>
      <c r="BD264" s="1683">
        <v>0</v>
      </c>
      <c r="BE264" s="1683">
        <v>25989.45</v>
      </c>
      <c r="BF264" s="1683">
        <v>25989.45</v>
      </c>
      <c r="BG264" s="1683">
        <v>19180.52</v>
      </c>
      <c r="BH264" s="1683">
        <v>17625.34</v>
      </c>
      <c r="BI264" s="1683">
        <v>1555.18</v>
      </c>
      <c r="BJ264" s="1683">
        <v>6808.93</v>
      </c>
      <c r="BK264" s="1683">
        <v>0</v>
      </c>
      <c r="BL264" s="1683">
        <v>6808.93</v>
      </c>
      <c r="BM264" s="1683">
        <v>0</v>
      </c>
      <c r="BN264" s="1683">
        <v>0</v>
      </c>
      <c r="BO264" s="1682"/>
      <c r="BP264" s="1683">
        <v>24195.85</v>
      </c>
      <c r="BQ264" s="1683">
        <v>24195.85</v>
      </c>
      <c r="BR264" s="1683">
        <v>17856.82</v>
      </c>
      <c r="BS264" s="1683">
        <v>16408.97</v>
      </c>
      <c r="BT264" s="1683">
        <v>1447.85</v>
      </c>
      <c r="BU264" s="1683">
        <v>6339.03</v>
      </c>
      <c r="BV264" s="1683">
        <v>0</v>
      </c>
      <c r="BW264" s="1683">
        <v>0</v>
      </c>
      <c r="BX264" s="1683">
        <v>0</v>
      </c>
      <c r="BY264" s="1683">
        <v>0</v>
      </c>
      <c r="BZ264" s="1683">
        <v>0</v>
      </c>
      <c r="CA264" s="1683">
        <v>0</v>
      </c>
      <c r="CB264" s="1682"/>
      <c r="CC264" s="1682"/>
      <c r="CD264" s="1683">
        <v>0</v>
      </c>
      <c r="CE264" s="1683">
        <v>0</v>
      </c>
      <c r="CF264" s="1683">
        <v>0</v>
      </c>
      <c r="CG264" s="1683">
        <v>0</v>
      </c>
      <c r="CH264" s="1683">
        <v>0</v>
      </c>
      <c r="CI264" s="1683">
        <v>0</v>
      </c>
      <c r="CJ264" s="1683">
        <v>241.93</v>
      </c>
      <c r="CK264" s="1683">
        <v>241.93</v>
      </c>
      <c r="CL264" s="1682"/>
      <c r="CM264" s="1683">
        <v>0</v>
      </c>
      <c r="CN264" s="1683">
        <v>0</v>
      </c>
      <c r="CO264" s="1683">
        <v>0</v>
      </c>
      <c r="CP264" s="1683">
        <v>0</v>
      </c>
      <c r="CQ264" s="1683">
        <v>0</v>
      </c>
      <c r="CR264" s="1683">
        <v>0</v>
      </c>
      <c r="CS264" s="1683">
        <v>0</v>
      </c>
      <c r="CT264" s="1683">
        <v>0</v>
      </c>
      <c r="CU264" s="1683">
        <v>0</v>
      </c>
      <c r="CV264" s="1683">
        <v>0</v>
      </c>
      <c r="CW264" s="1682"/>
      <c r="CX264" s="1683">
        <v>0</v>
      </c>
      <c r="CY264" s="1683">
        <v>0</v>
      </c>
      <c r="CZ264" s="1683">
        <v>0</v>
      </c>
      <c r="DA264" s="1683">
        <v>0</v>
      </c>
      <c r="DB264" s="1682"/>
      <c r="DC264" s="1326"/>
      <c r="DD264" s="1683">
        <v>0</v>
      </c>
      <c r="DE264" s="1683">
        <v>0</v>
      </c>
      <c r="DF264" s="1683">
        <v>0</v>
      </c>
      <c r="DG264" s="1683">
        <v>0</v>
      </c>
      <c r="DH264" s="1683">
        <v>0</v>
      </c>
    </row>
    <row r="265" spans="1:112" ht="56.25">
      <c r="A265" s="1326" t="s">
        <v>2274</v>
      </c>
      <c r="B265" s="1326" t="s">
        <v>1700</v>
      </c>
      <c r="C265" s="1326" t="s">
        <v>2561</v>
      </c>
      <c r="D265" s="1326" t="s">
        <v>2562</v>
      </c>
      <c r="E265" s="1326" t="s">
        <v>145</v>
      </c>
      <c r="F265" s="1326" t="s">
        <v>2563</v>
      </c>
      <c r="G265" s="1326" t="s">
        <v>2556</v>
      </c>
      <c r="H265" s="1326" t="s">
        <v>2541</v>
      </c>
      <c r="I265" s="1326" t="s">
        <v>806</v>
      </c>
      <c r="J265" s="1326" t="s">
        <v>640</v>
      </c>
      <c r="K265" s="1326" t="s">
        <v>2060</v>
      </c>
      <c r="L265" s="1326" t="s">
        <v>2061</v>
      </c>
      <c r="M265" s="1400"/>
      <c r="N265" s="1400"/>
      <c r="O265" s="1400"/>
      <c r="P265" s="1400"/>
      <c r="Q265" s="1400"/>
      <c r="R265" s="1400"/>
      <c r="S265" s="1400"/>
      <c r="T265" s="1400"/>
      <c r="U265" s="1400"/>
      <c r="V265" s="1400"/>
      <c r="W265" s="1400"/>
      <c r="X265" s="1400"/>
      <c r="Y265" s="1685">
        <v>43185</v>
      </c>
      <c r="Z265" s="1326" t="s">
        <v>2062</v>
      </c>
      <c r="AA265" s="1683">
        <v>0</v>
      </c>
      <c r="AB265" s="1683">
        <v>0</v>
      </c>
      <c r="AC265" s="1683">
        <v>0</v>
      </c>
      <c r="AD265" s="1685">
        <v>43228</v>
      </c>
      <c r="AE265" s="1326" t="s">
        <v>2073</v>
      </c>
      <c r="AF265" s="1326" t="s">
        <v>2064</v>
      </c>
      <c r="AG265" s="1410"/>
      <c r="AH265" s="1683">
        <v>5110.8599999999997</v>
      </c>
      <c r="AI265" s="1683">
        <v>5110.8599999999997</v>
      </c>
      <c r="AJ265" s="1683">
        <v>3771.88</v>
      </c>
      <c r="AK265" s="1683">
        <v>3466.05</v>
      </c>
      <c r="AL265" s="1683">
        <v>305.83</v>
      </c>
      <c r="AM265" s="1685">
        <v>43228</v>
      </c>
      <c r="AN265" s="1683">
        <v>5110.8599999999997</v>
      </c>
      <c r="AO265" s="1683">
        <v>5110.8599999999997</v>
      </c>
      <c r="AP265" s="1683">
        <v>3771.88</v>
      </c>
      <c r="AQ265" s="1683">
        <v>3466.05</v>
      </c>
      <c r="AR265" s="1683">
        <v>305.83</v>
      </c>
      <c r="AS265" s="1683">
        <v>1338.98</v>
      </c>
      <c r="AT265" s="1683">
        <v>0</v>
      </c>
      <c r="AU265" s="1683">
        <v>1338.98</v>
      </c>
      <c r="AV265" s="1683">
        <v>0</v>
      </c>
      <c r="AW265" s="1683">
        <v>0</v>
      </c>
      <c r="AX265" s="1400"/>
      <c r="AY265" s="1400"/>
      <c r="AZ265" s="1400"/>
      <c r="BA265" s="1682"/>
      <c r="BB265" s="1682"/>
      <c r="BC265" s="1400"/>
      <c r="BD265" s="1400"/>
      <c r="BE265" s="1683">
        <v>5110.8599999999997</v>
      </c>
      <c r="BF265" s="1683">
        <v>5110.8599999999997</v>
      </c>
      <c r="BG265" s="1683">
        <v>3771.88</v>
      </c>
      <c r="BH265" s="1683">
        <v>3466.05</v>
      </c>
      <c r="BI265" s="1683">
        <v>305.83</v>
      </c>
      <c r="BJ265" s="1683">
        <v>1338.98</v>
      </c>
      <c r="BK265" s="1683">
        <v>0</v>
      </c>
      <c r="BL265" s="1683">
        <v>1338.98</v>
      </c>
      <c r="BM265" s="1683">
        <v>0</v>
      </c>
      <c r="BN265" s="1683">
        <v>0</v>
      </c>
      <c r="BO265" s="1685">
        <v>43364</v>
      </c>
      <c r="BP265" s="1683">
        <v>5110.8599999999997</v>
      </c>
      <c r="BQ265" s="1683">
        <v>5110.8599999999997</v>
      </c>
      <c r="BR265" s="1683">
        <v>3771.88</v>
      </c>
      <c r="BS265" s="1683">
        <v>3466.05</v>
      </c>
      <c r="BT265" s="1683">
        <v>305.83</v>
      </c>
      <c r="BU265" s="1683">
        <v>1338.98</v>
      </c>
      <c r="BV265" s="1683">
        <v>0</v>
      </c>
      <c r="BW265" s="1683">
        <v>0</v>
      </c>
      <c r="BX265" s="1683">
        <v>0</v>
      </c>
      <c r="BY265" s="1683">
        <v>0</v>
      </c>
      <c r="BZ265" s="1683">
        <v>0</v>
      </c>
      <c r="CA265" s="1400"/>
      <c r="CB265" s="1682"/>
      <c r="CC265" s="1682"/>
      <c r="CD265" s="1400"/>
      <c r="CE265" s="1400"/>
      <c r="CF265" s="1683">
        <v>0</v>
      </c>
      <c r="CG265" s="1683">
        <v>0</v>
      </c>
      <c r="CH265" s="1683">
        <v>0</v>
      </c>
      <c r="CI265" s="1683">
        <v>0</v>
      </c>
      <c r="CJ265" s="1683">
        <v>51.1</v>
      </c>
      <c r="CK265" s="1683">
        <v>51.1</v>
      </c>
      <c r="CL265" s="1682"/>
      <c r="CM265" s="1683">
        <v>0</v>
      </c>
      <c r="CN265" s="1683">
        <v>0</v>
      </c>
      <c r="CO265" s="1683">
        <v>0</v>
      </c>
      <c r="CP265" s="1683">
        <v>0</v>
      </c>
      <c r="CQ265" s="1683">
        <v>0</v>
      </c>
      <c r="CR265" s="1683">
        <v>0</v>
      </c>
      <c r="CS265" s="1683">
        <v>0</v>
      </c>
      <c r="CT265" s="1683">
        <v>0</v>
      </c>
      <c r="CU265" s="1683">
        <v>0</v>
      </c>
      <c r="CV265" s="1683">
        <v>0</v>
      </c>
      <c r="CW265" s="1682"/>
      <c r="CX265" s="1400"/>
      <c r="CY265" s="1400"/>
      <c r="CZ265" s="1400"/>
      <c r="DA265" s="1400"/>
      <c r="DB265" s="1682"/>
      <c r="DC265" s="1326"/>
      <c r="DD265" s="1683">
        <v>0</v>
      </c>
      <c r="DE265" s="1400"/>
      <c r="DF265" s="1400"/>
      <c r="DG265" s="1683">
        <v>0</v>
      </c>
      <c r="DH265" s="1683">
        <v>0</v>
      </c>
    </row>
    <row r="266" spans="1:112" ht="56.25">
      <c r="A266" s="1326" t="s">
        <v>2275</v>
      </c>
      <c r="B266" s="1326" t="s">
        <v>1700</v>
      </c>
      <c r="C266" s="1326" t="s">
        <v>2561</v>
      </c>
      <c r="D266" s="1326" t="s">
        <v>2562</v>
      </c>
      <c r="E266" s="1326" t="s">
        <v>145</v>
      </c>
      <c r="F266" s="1326" t="s">
        <v>2563</v>
      </c>
      <c r="G266" s="1326" t="s">
        <v>2556</v>
      </c>
      <c r="H266" s="1326" t="s">
        <v>2541</v>
      </c>
      <c r="I266" s="1326" t="s">
        <v>806</v>
      </c>
      <c r="J266" s="1326" t="s">
        <v>640</v>
      </c>
      <c r="K266" s="1326" t="s">
        <v>2060</v>
      </c>
      <c r="L266" s="1326" t="s">
        <v>2061</v>
      </c>
      <c r="M266" s="1400"/>
      <c r="N266" s="1400"/>
      <c r="O266" s="1400"/>
      <c r="P266" s="1400"/>
      <c r="Q266" s="1400"/>
      <c r="R266" s="1400"/>
      <c r="S266" s="1400"/>
      <c r="T266" s="1400"/>
      <c r="U266" s="1400"/>
      <c r="V266" s="1400"/>
      <c r="W266" s="1400"/>
      <c r="X266" s="1400"/>
      <c r="Y266" s="1685">
        <v>43363</v>
      </c>
      <c r="Z266" s="1326" t="s">
        <v>2062</v>
      </c>
      <c r="AA266" s="1683">
        <v>0</v>
      </c>
      <c r="AB266" s="1683">
        <v>0</v>
      </c>
      <c r="AC266" s="1683">
        <v>0</v>
      </c>
      <c r="AD266" s="1685">
        <v>43388</v>
      </c>
      <c r="AE266" s="1326" t="s">
        <v>2066</v>
      </c>
      <c r="AF266" s="1326" t="s">
        <v>2064</v>
      </c>
      <c r="AG266" s="1410"/>
      <c r="AH266" s="1683">
        <v>19084.990000000002</v>
      </c>
      <c r="AI266" s="1683">
        <v>19084.990000000002</v>
      </c>
      <c r="AJ266" s="1683">
        <v>14084.94</v>
      </c>
      <c r="AK266" s="1683">
        <v>12942.92</v>
      </c>
      <c r="AL266" s="1683">
        <v>1142.02</v>
      </c>
      <c r="AM266" s="1685">
        <v>43388</v>
      </c>
      <c r="AN266" s="1683">
        <v>19084.990000000002</v>
      </c>
      <c r="AO266" s="1683">
        <v>19084.990000000002</v>
      </c>
      <c r="AP266" s="1683">
        <v>14084.94</v>
      </c>
      <c r="AQ266" s="1683">
        <v>12942.92</v>
      </c>
      <c r="AR266" s="1683">
        <v>1142.02</v>
      </c>
      <c r="AS266" s="1683">
        <v>5000.05</v>
      </c>
      <c r="AT266" s="1683">
        <v>0</v>
      </c>
      <c r="AU266" s="1683">
        <v>5000.05</v>
      </c>
      <c r="AV266" s="1683">
        <v>0</v>
      </c>
      <c r="AW266" s="1683">
        <v>0</v>
      </c>
      <c r="AX266" s="1400"/>
      <c r="AY266" s="1400"/>
      <c r="AZ266" s="1400"/>
      <c r="BA266" s="1682"/>
      <c r="BB266" s="1682"/>
      <c r="BC266" s="1400"/>
      <c r="BD266" s="1400"/>
      <c r="BE266" s="1683">
        <v>19084.990000000002</v>
      </c>
      <c r="BF266" s="1683">
        <v>19084.990000000002</v>
      </c>
      <c r="BG266" s="1683">
        <v>14084.94</v>
      </c>
      <c r="BH266" s="1683">
        <v>12942.92</v>
      </c>
      <c r="BI266" s="1683">
        <v>1142.02</v>
      </c>
      <c r="BJ266" s="1683">
        <v>5000.05</v>
      </c>
      <c r="BK266" s="1683">
        <v>0</v>
      </c>
      <c r="BL266" s="1683">
        <v>5000.05</v>
      </c>
      <c r="BM266" s="1683">
        <v>0</v>
      </c>
      <c r="BN266" s="1683">
        <v>0</v>
      </c>
      <c r="BO266" s="1685">
        <v>43453</v>
      </c>
      <c r="BP266" s="1683">
        <v>19084.990000000002</v>
      </c>
      <c r="BQ266" s="1683">
        <v>19084.990000000002</v>
      </c>
      <c r="BR266" s="1683">
        <v>14084.94</v>
      </c>
      <c r="BS266" s="1683">
        <v>12942.92</v>
      </c>
      <c r="BT266" s="1683">
        <v>1142.02</v>
      </c>
      <c r="BU266" s="1683">
        <v>5000.05</v>
      </c>
      <c r="BV266" s="1683">
        <v>0</v>
      </c>
      <c r="BW266" s="1683">
        <v>0</v>
      </c>
      <c r="BX266" s="1683">
        <v>0</v>
      </c>
      <c r="BY266" s="1683">
        <v>0</v>
      </c>
      <c r="BZ266" s="1683">
        <v>0</v>
      </c>
      <c r="CA266" s="1400"/>
      <c r="CB266" s="1682"/>
      <c r="CC266" s="1682"/>
      <c r="CD266" s="1400"/>
      <c r="CE266" s="1400"/>
      <c r="CF266" s="1683">
        <v>0</v>
      </c>
      <c r="CG266" s="1683">
        <v>0</v>
      </c>
      <c r="CH266" s="1683">
        <v>0</v>
      </c>
      <c r="CI266" s="1683">
        <v>0</v>
      </c>
      <c r="CJ266" s="1683">
        <v>190.83</v>
      </c>
      <c r="CK266" s="1683">
        <v>190.83</v>
      </c>
      <c r="CL266" s="1682"/>
      <c r="CM266" s="1683">
        <v>0</v>
      </c>
      <c r="CN266" s="1683">
        <v>0</v>
      </c>
      <c r="CO266" s="1683">
        <v>0</v>
      </c>
      <c r="CP266" s="1683">
        <v>0</v>
      </c>
      <c r="CQ266" s="1683">
        <v>0</v>
      </c>
      <c r="CR266" s="1683">
        <v>0</v>
      </c>
      <c r="CS266" s="1683">
        <v>0</v>
      </c>
      <c r="CT266" s="1683">
        <v>0</v>
      </c>
      <c r="CU266" s="1683">
        <v>0</v>
      </c>
      <c r="CV266" s="1683">
        <v>0</v>
      </c>
      <c r="CW266" s="1682"/>
      <c r="CX266" s="1400"/>
      <c r="CY266" s="1400"/>
      <c r="CZ266" s="1400"/>
      <c r="DA266" s="1400"/>
      <c r="DB266" s="1682"/>
      <c r="DC266" s="1326"/>
      <c r="DD266" s="1683">
        <v>0</v>
      </c>
      <c r="DE266" s="1400"/>
      <c r="DF266" s="1400"/>
      <c r="DG266" s="1683">
        <v>0</v>
      </c>
      <c r="DH266" s="1683">
        <v>0</v>
      </c>
    </row>
    <row r="267" spans="1:112" ht="56.25">
      <c r="A267" s="1326" t="s">
        <v>2276</v>
      </c>
      <c r="B267" s="1326" t="s">
        <v>1700</v>
      </c>
      <c r="C267" s="1326" t="s">
        <v>2561</v>
      </c>
      <c r="D267" s="1326" t="s">
        <v>2562</v>
      </c>
      <c r="E267" s="1326" t="s">
        <v>145</v>
      </c>
      <c r="F267" s="1326" t="s">
        <v>2563</v>
      </c>
      <c r="G267" s="1326" t="s">
        <v>2556</v>
      </c>
      <c r="H267" s="1326" t="s">
        <v>2541</v>
      </c>
      <c r="I267" s="1326" t="s">
        <v>806</v>
      </c>
      <c r="J267" s="1326" t="s">
        <v>640</v>
      </c>
      <c r="K267" s="1326" t="s">
        <v>2060</v>
      </c>
      <c r="L267" s="1326" t="s">
        <v>2061</v>
      </c>
      <c r="M267" s="1400"/>
      <c r="N267" s="1400"/>
      <c r="O267" s="1400"/>
      <c r="P267" s="1400"/>
      <c r="Q267" s="1400"/>
      <c r="R267" s="1400"/>
      <c r="S267" s="1400"/>
      <c r="T267" s="1400"/>
      <c r="U267" s="1400"/>
      <c r="V267" s="1400"/>
      <c r="W267" s="1400"/>
      <c r="X267" s="1400"/>
      <c r="Y267" s="1685">
        <v>43445</v>
      </c>
      <c r="Z267" s="1326" t="s">
        <v>2062</v>
      </c>
      <c r="AA267" s="1683">
        <v>0</v>
      </c>
      <c r="AB267" s="1683">
        <v>0</v>
      </c>
      <c r="AC267" s="1683">
        <v>0</v>
      </c>
      <c r="AD267" s="1685">
        <v>43482</v>
      </c>
      <c r="AE267" s="1326" t="s">
        <v>2079</v>
      </c>
      <c r="AF267" s="1326" t="s">
        <v>2064</v>
      </c>
      <c r="AG267" s="1410"/>
      <c r="AH267" s="1683">
        <v>1793.6</v>
      </c>
      <c r="AI267" s="1683">
        <v>1793.6</v>
      </c>
      <c r="AJ267" s="1683">
        <v>1323.7</v>
      </c>
      <c r="AK267" s="1683">
        <v>1216.3699999999999</v>
      </c>
      <c r="AL267" s="1683">
        <v>107.33</v>
      </c>
      <c r="AM267" s="1685">
        <v>43482</v>
      </c>
      <c r="AN267" s="1683">
        <v>1793.6</v>
      </c>
      <c r="AO267" s="1683">
        <v>1793.6</v>
      </c>
      <c r="AP267" s="1683">
        <v>1323.7</v>
      </c>
      <c r="AQ267" s="1683">
        <v>1216.3699999999999</v>
      </c>
      <c r="AR267" s="1683">
        <v>107.33</v>
      </c>
      <c r="AS267" s="1683">
        <v>469.9</v>
      </c>
      <c r="AT267" s="1683">
        <v>0</v>
      </c>
      <c r="AU267" s="1683">
        <v>469.9</v>
      </c>
      <c r="AV267" s="1683">
        <v>0</v>
      </c>
      <c r="AW267" s="1683">
        <v>0</v>
      </c>
      <c r="AX267" s="1400"/>
      <c r="AY267" s="1400"/>
      <c r="AZ267" s="1400"/>
      <c r="BA267" s="1682"/>
      <c r="BB267" s="1682"/>
      <c r="BC267" s="1400"/>
      <c r="BD267" s="1400"/>
      <c r="BE267" s="1683">
        <v>1793.6</v>
      </c>
      <c r="BF267" s="1683">
        <v>1793.6</v>
      </c>
      <c r="BG267" s="1683">
        <v>1323.7</v>
      </c>
      <c r="BH267" s="1683">
        <v>1216.3699999999999</v>
      </c>
      <c r="BI267" s="1683">
        <v>107.33</v>
      </c>
      <c r="BJ267" s="1683">
        <v>469.9</v>
      </c>
      <c r="BK267" s="1683">
        <v>0</v>
      </c>
      <c r="BL267" s="1683">
        <v>469.9</v>
      </c>
      <c r="BM267" s="1683">
        <v>0</v>
      </c>
      <c r="BN267" s="1683">
        <v>0</v>
      </c>
      <c r="BO267" s="1682"/>
      <c r="BP267" s="1683">
        <v>0</v>
      </c>
      <c r="BQ267" s="1683">
        <v>0</v>
      </c>
      <c r="BR267" s="1683">
        <v>0</v>
      </c>
      <c r="BS267" s="1683">
        <v>0</v>
      </c>
      <c r="BT267" s="1683">
        <v>0</v>
      </c>
      <c r="BU267" s="1683">
        <v>0</v>
      </c>
      <c r="BV267" s="1683">
        <v>0</v>
      </c>
      <c r="BW267" s="1683">
        <v>0</v>
      </c>
      <c r="BX267" s="1683">
        <v>0</v>
      </c>
      <c r="BY267" s="1683">
        <v>0</v>
      </c>
      <c r="BZ267" s="1400"/>
      <c r="CA267" s="1400"/>
      <c r="CB267" s="1682"/>
      <c r="CC267" s="1682"/>
      <c r="CD267" s="1400"/>
      <c r="CE267" s="1400"/>
      <c r="CF267" s="1683">
        <v>0</v>
      </c>
      <c r="CG267" s="1683">
        <v>0</v>
      </c>
      <c r="CH267" s="1683">
        <v>0</v>
      </c>
      <c r="CI267" s="1683">
        <v>0</v>
      </c>
      <c r="CJ267" s="1683">
        <v>0</v>
      </c>
      <c r="CK267" s="1683">
        <v>0</v>
      </c>
      <c r="CL267" s="1682"/>
      <c r="CM267" s="1683">
        <v>0</v>
      </c>
      <c r="CN267" s="1683">
        <v>0</v>
      </c>
      <c r="CO267" s="1683">
        <v>0</v>
      </c>
      <c r="CP267" s="1683">
        <v>0</v>
      </c>
      <c r="CQ267" s="1683">
        <v>0</v>
      </c>
      <c r="CR267" s="1683">
        <v>0</v>
      </c>
      <c r="CS267" s="1683">
        <v>0</v>
      </c>
      <c r="CT267" s="1683">
        <v>0</v>
      </c>
      <c r="CU267" s="1683">
        <v>0</v>
      </c>
      <c r="CV267" s="1683">
        <v>0</v>
      </c>
      <c r="CW267" s="1682"/>
      <c r="CX267" s="1400"/>
      <c r="CY267" s="1400"/>
      <c r="CZ267" s="1400"/>
      <c r="DA267" s="1400"/>
      <c r="DB267" s="1682"/>
      <c r="DC267" s="1326"/>
      <c r="DD267" s="1683">
        <v>0</v>
      </c>
      <c r="DE267" s="1400"/>
      <c r="DF267" s="1400"/>
      <c r="DG267" s="1683">
        <v>0</v>
      </c>
      <c r="DH267" s="1683">
        <v>0</v>
      </c>
    </row>
    <row r="268" spans="1:112" ht="56.25">
      <c r="A268" s="1326" t="s">
        <v>2277</v>
      </c>
      <c r="B268" s="1326" t="s">
        <v>1700</v>
      </c>
      <c r="C268" s="1326" t="s">
        <v>2561</v>
      </c>
      <c r="D268" s="1326" t="s">
        <v>2562</v>
      </c>
      <c r="E268" s="1326" t="s">
        <v>145</v>
      </c>
      <c r="F268" s="1326" t="s">
        <v>2563</v>
      </c>
      <c r="G268" s="1326" t="s">
        <v>2556</v>
      </c>
      <c r="H268" s="1326" t="s">
        <v>2541</v>
      </c>
      <c r="I268" s="1326" t="s">
        <v>806</v>
      </c>
      <c r="J268" s="1326" t="s">
        <v>640</v>
      </c>
      <c r="K268" s="1326" t="s">
        <v>2060</v>
      </c>
      <c r="L268" s="1326" t="s">
        <v>2061</v>
      </c>
      <c r="M268" s="1400"/>
      <c r="N268" s="1400"/>
      <c r="O268" s="1400"/>
      <c r="P268" s="1400"/>
      <c r="Q268" s="1400"/>
      <c r="R268" s="1400"/>
      <c r="S268" s="1400"/>
      <c r="T268" s="1400"/>
      <c r="U268" s="1400"/>
      <c r="V268" s="1400"/>
      <c r="W268" s="1400"/>
      <c r="X268" s="1400"/>
      <c r="Y268" s="1685">
        <v>43476</v>
      </c>
      <c r="Z268" s="1326" t="s">
        <v>2096</v>
      </c>
      <c r="AA268" s="1683">
        <v>0</v>
      </c>
      <c r="AB268" s="1683">
        <v>0</v>
      </c>
      <c r="AC268" s="1683">
        <v>0</v>
      </c>
      <c r="AD268" s="1685">
        <v>43483</v>
      </c>
      <c r="AE268" s="1326" t="s">
        <v>2080</v>
      </c>
      <c r="AF268" s="1326" t="s">
        <v>2064</v>
      </c>
      <c r="AG268" s="1410"/>
      <c r="AH268" s="1683">
        <v>0</v>
      </c>
      <c r="AI268" s="1683">
        <v>160000</v>
      </c>
      <c r="AJ268" s="1683">
        <v>160000</v>
      </c>
      <c r="AK268" s="1683">
        <v>147027.03</v>
      </c>
      <c r="AL268" s="1683">
        <v>12972.97</v>
      </c>
      <c r="AM268" s="1682"/>
      <c r="AN268" s="1683">
        <v>0</v>
      </c>
      <c r="AO268" s="1683">
        <v>0</v>
      </c>
      <c r="AP268" s="1683">
        <v>0</v>
      </c>
      <c r="AQ268" s="1683">
        <v>0</v>
      </c>
      <c r="AR268" s="1683">
        <v>0</v>
      </c>
      <c r="AS268" s="1683">
        <v>0</v>
      </c>
      <c r="AT268" s="1683">
        <v>0</v>
      </c>
      <c r="AU268" s="1683">
        <v>0</v>
      </c>
      <c r="AV268" s="1683">
        <v>0</v>
      </c>
      <c r="AW268" s="1683">
        <v>0</v>
      </c>
      <c r="AX268" s="1400"/>
      <c r="AY268" s="1400"/>
      <c r="AZ268" s="1400"/>
      <c r="BA268" s="1682"/>
      <c r="BB268" s="1682"/>
      <c r="BC268" s="1400"/>
      <c r="BD268" s="1400"/>
      <c r="BE268" s="1683">
        <v>0</v>
      </c>
      <c r="BF268" s="1683">
        <v>0</v>
      </c>
      <c r="BG268" s="1683">
        <v>0</v>
      </c>
      <c r="BH268" s="1683">
        <v>0</v>
      </c>
      <c r="BI268" s="1683">
        <v>0</v>
      </c>
      <c r="BJ268" s="1683">
        <v>0</v>
      </c>
      <c r="BK268" s="1683">
        <v>0</v>
      </c>
      <c r="BL268" s="1683">
        <v>0</v>
      </c>
      <c r="BM268" s="1683">
        <v>0</v>
      </c>
      <c r="BN268" s="1683">
        <v>0</v>
      </c>
      <c r="BO268" s="1682"/>
      <c r="BP268" s="1683">
        <v>0</v>
      </c>
      <c r="BQ268" s="1683">
        <v>0</v>
      </c>
      <c r="BR268" s="1683">
        <v>0</v>
      </c>
      <c r="BS268" s="1683">
        <v>0</v>
      </c>
      <c r="BT268" s="1683">
        <v>0</v>
      </c>
      <c r="BU268" s="1683">
        <v>0</v>
      </c>
      <c r="BV268" s="1683">
        <v>0</v>
      </c>
      <c r="BW268" s="1683">
        <v>0</v>
      </c>
      <c r="BX268" s="1683">
        <v>0</v>
      </c>
      <c r="BY268" s="1683">
        <v>0</v>
      </c>
      <c r="BZ268" s="1400"/>
      <c r="CA268" s="1400"/>
      <c r="CB268" s="1682"/>
      <c r="CC268" s="1682"/>
      <c r="CD268" s="1400"/>
      <c r="CE268" s="1400"/>
      <c r="CF268" s="1683">
        <v>0</v>
      </c>
      <c r="CG268" s="1683">
        <v>0</v>
      </c>
      <c r="CH268" s="1683">
        <v>0</v>
      </c>
      <c r="CI268" s="1683">
        <v>0</v>
      </c>
      <c r="CJ268" s="1683">
        <v>0</v>
      </c>
      <c r="CK268" s="1683">
        <v>0</v>
      </c>
      <c r="CL268" s="1682"/>
      <c r="CM268" s="1683">
        <v>0</v>
      </c>
      <c r="CN268" s="1683">
        <v>0</v>
      </c>
      <c r="CO268" s="1683">
        <v>0</v>
      </c>
      <c r="CP268" s="1683">
        <v>0</v>
      </c>
      <c r="CQ268" s="1683">
        <v>0</v>
      </c>
      <c r="CR268" s="1683">
        <v>0</v>
      </c>
      <c r="CS268" s="1683">
        <v>0</v>
      </c>
      <c r="CT268" s="1683">
        <v>0</v>
      </c>
      <c r="CU268" s="1683">
        <v>0</v>
      </c>
      <c r="CV268" s="1683">
        <v>0</v>
      </c>
      <c r="CW268" s="1682"/>
      <c r="CX268" s="1400"/>
      <c r="CY268" s="1400"/>
      <c r="CZ268" s="1400"/>
      <c r="DA268" s="1400"/>
      <c r="DB268" s="1682"/>
      <c r="DC268" s="1326"/>
      <c r="DD268" s="1683">
        <v>0</v>
      </c>
      <c r="DE268" s="1400"/>
      <c r="DF268" s="1400"/>
      <c r="DG268" s="1683">
        <v>0</v>
      </c>
      <c r="DH268" s="1683">
        <v>0</v>
      </c>
    </row>
    <row r="269" spans="1:112" ht="78.75">
      <c r="A269" s="1326" t="s">
        <v>2278</v>
      </c>
      <c r="B269" s="1326" t="s">
        <v>1700</v>
      </c>
      <c r="C269" s="1326" t="s">
        <v>2561</v>
      </c>
      <c r="D269" s="1326" t="s">
        <v>2562</v>
      </c>
      <c r="E269" s="1326" t="s">
        <v>145</v>
      </c>
      <c r="F269" s="1326" t="s">
        <v>2563</v>
      </c>
      <c r="G269" s="1326" t="s">
        <v>2556</v>
      </c>
      <c r="H269" s="1326" t="s">
        <v>2541</v>
      </c>
      <c r="I269" s="1326" t="s">
        <v>1597</v>
      </c>
      <c r="J269" s="1326" t="s">
        <v>2996</v>
      </c>
      <c r="K269" s="1326" t="s">
        <v>2060</v>
      </c>
      <c r="L269" s="1326" t="s">
        <v>2061</v>
      </c>
      <c r="M269" s="1683">
        <v>514646.41</v>
      </c>
      <c r="N269" s="1683">
        <v>0</v>
      </c>
      <c r="O269" s="1683">
        <v>514646.41</v>
      </c>
      <c r="P269" s="1683">
        <v>514646.41</v>
      </c>
      <c r="Q269" s="1683">
        <v>476047.92</v>
      </c>
      <c r="R269" s="1683">
        <v>437449.44</v>
      </c>
      <c r="S269" s="1683">
        <v>38598.480000000003</v>
      </c>
      <c r="T269" s="1683">
        <v>38598.49</v>
      </c>
      <c r="U269" s="1683">
        <v>0</v>
      </c>
      <c r="V269" s="1683">
        <v>38598.49</v>
      </c>
      <c r="W269" s="1683">
        <v>0</v>
      </c>
      <c r="X269" s="1683">
        <v>0</v>
      </c>
      <c r="Y269" s="1682"/>
      <c r="Z269" s="1326"/>
      <c r="AA269" s="1683">
        <v>0</v>
      </c>
      <c r="AB269" s="1683">
        <v>0</v>
      </c>
      <c r="AC269" s="1683">
        <v>0</v>
      </c>
      <c r="AD269" s="1682"/>
      <c r="AE269" s="1326"/>
      <c r="AF269" s="1326"/>
      <c r="AG269" s="1410"/>
      <c r="AH269" s="1683">
        <v>17867.11</v>
      </c>
      <c r="AI269" s="1683">
        <v>17867.11</v>
      </c>
      <c r="AJ269" s="1683">
        <v>15702.78</v>
      </c>
      <c r="AK269" s="1683">
        <v>14429.59</v>
      </c>
      <c r="AL269" s="1683">
        <v>1273.19</v>
      </c>
      <c r="AM269" s="1682"/>
      <c r="AN269" s="1683">
        <v>17867.11</v>
      </c>
      <c r="AO269" s="1683">
        <v>17867.11</v>
      </c>
      <c r="AP269" s="1683">
        <v>15702.78</v>
      </c>
      <c r="AQ269" s="1683">
        <v>14429.59</v>
      </c>
      <c r="AR269" s="1683">
        <v>1273.19</v>
      </c>
      <c r="AS269" s="1683">
        <v>2164.33</v>
      </c>
      <c r="AT269" s="1683">
        <v>0</v>
      </c>
      <c r="AU269" s="1683">
        <v>2164.33</v>
      </c>
      <c r="AV269" s="1683">
        <v>0</v>
      </c>
      <c r="AW269" s="1683">
        <v>0</v>
      </c>
      <c r="AX269" s="1683">
        <v>0</v>
      </c>
      <c r="AY269" s="1683">
        <v>0</v>
      </c>
      <c r="AZ269" s="1683">
        <v>0</v>
      </c>
      <c r="BA269" s="1682"/>
      <c r="BB269" s="1682"/>
      <c r="BC269" s="1683">
        <v>0</v>
      </c>
      <c r="BD269" s="1683">
        <v>0</v>
      </c>
      <c r="BE269" s="1683">
        <v>17867.11</v>
      </c>
      <c r="BF269" s="1683">
        <v>17867.11</v>
      </c>
      <c r="BG269" s="1683">
        <v>15702.78</v>
      </c>
      <c r="BH269" s="1683">
        <v>14429.59</v>
      </c>
      <c r="BI269" s="1683">
        <v>1273.19</v>
      </c>
      <c r="BJ269" s="1683">
        <v>2164.33</v>
      </c>
      <c r="BK269" s="1683">
        <v>0</v>
      </c>
      <c r="BL269" s="1683">
        <v>2164.33</v>
      </c>
      <c r="BM269" s="1683">
        <v>0</v>
      </c>
      <c r="BN269" s="1683">
        <v>0</v>
      </c>
      <c r="BO269" s="1682"/>
      <c r="BP269" s="1683">
        <v>0</v>
      </c>
      <c r="BQ269" s="1683">
        <v>0</v>
      </c>
      <c r="BR269" s="1683">
        <v>0</v>
      </c>
      <c r="BS269" s="1683">
        <v>0</v>
      </c>
      <c r="BT269" s="1683">
        <v>0</v>
      </c>
      <c r="BU269" s="1683">
        <v>0</v>
      </c>
      <c r="BV269" s="1683">
        <v>0</v>
      </c>
      <c r="BW269" s="1683">
        <v>0</v>
      </c>
      <c r="BX269" s="1683">
        <v>0</v>
      </c>
      <c r="BY269" s="1683">
        <v>0</v>
      </c>
      <c r="BZ269" s="1683">
        <v>0</v>
      </c>
      <c r="CA269" s="1683">
        <v>0</v>
      </c>
      <c r="CB269" s="1682"/>
      <c r="CC269" s="1682"/>
      <c r="CD269" s="1683">
        <v>0</v>
      </c>
      <c r="CE269" s="1683">
        <v>0</v>
      </c>
      <c r="CF269" s="1683">
        <v>0</v>
      </c>
      <c r="CG269" s="1683">
        <v>0</v>
      </c>
      <c r="CH269" s="1683">
        <v>0</v>
      </c>
      <c r="CI269" s="1683">
        <v>0</v>
      </c>
      <c r="CJ269" s="1683">
        <v>0</v>
      </c>
      <c r="CK269" s="1683">
        <v>0</v>
      </c>
      <c r="CL269" s="1682"/>
      <c r="CM269" s="1683">
        <v>0</v>
      </c>
      <c r="CN269" s="1683">
        <v>0</v>
      </c>
      <c r="CO269" s="1683">
        <v>0</v>
      </c>
      <c r="CP269" s="1683">
        <v>0</v>
      </c>
      <c r="CQ269" s="1683">
        <v>0</v>
      </c>
      <c r="CR269" s="1683">
        <v>0</v>
      </c>
      <c r="CS269" s="1683">
        <v>0</v>
      </c>
      <c r="CT269" s="1683">
        <v>0</v>
      </c>
      <c r="CU269" s="1683">
        <v>0</v>
      </c>
      <c r="CV269" s="1683">
        <v>0</v>
      </c>
      <c r="CW269" s="1682"/>
      <c r="CX269" s="1683">
        <v>0</v>
      </c>
      <c r="CY269" s="1683">
        <v>0</v>
      </c>
      <c r="CZ269" s="1683">
        <v>0</v>
      </c>
      <c r="DA269" s="1683">
        <v>0</v>
      </c>
      <c r="DB269" s="1682"/>
      <c r="DC269" s="1326"/>
      <c r="DD269" s="1683">
        <v>0</v>
      </c>
      <c r="DE269" s="1683">
        <v>0</v>
      </c>
      <c r="DF269" s="1683">
        <v>0</v>
      </c>
      <c r="DG269" s="1683">
        <v>0</v>
      </c>
      <c r="DH269" s="1683">
        <v>0</v>
      </c>
    </row>
    <row r="270" spans="1:112" ht="78.75">
      <c r="A270" s="1326" t="s">
        <v>2279</v>
      </c>
      <c r="B270" s="1326" t="s">
        <v>1700</v>
      </c>
      <c r="C270" s="1326" t="s">
        <v>2561</v>
      </c>
      <c r="D270" s="1326" t="s">
        <v>2562</v>
      </c>
      <c r="E270" s="1326" t="s">
        <v>145</v>
      </c>
      <c r="F270" s="1326" t="s">
        <v>2563</v>
      </c>
      <c r="G270" s="1326" t="s">
        <v>2556</v>
      </c>
      <c r="H270" s="1326" t="s">
        <v>2541</v>
      </c>
      <c r="I270" s="1326" t="s">
        <v>1597</v>
      </c>
      <c r="J270" s="1326" t="s">
        <v>2996</v>
      </c>
      <c r="K270" s="1326" t="s">
        <v>2060</v>
      </c>
      <c r="L270" s="1326" t="s">
        <v>2061</v>
      </c>
      <c r="M270" s="1400"/>
      <c r="N270" s="1400"/>
      <c r="O270" s="1400"/>
      <c r="P270" s="1400"/>
      <c r="Q270" s="1400"/>
      <c r="R270" s="1400"/>
      <c r="S270" s="1400"/>
      <c r="T270" s="1400"/>
      <c r="U270" s="1400"/>
      <c r="V270" s="1400"/>
      <c r="W270" s="1400"/>
      <c r="X270" s="1400"/>
      <c r="Y270" s="1685">
        <v>43411</v>
      </c>
      <c r="Z270" s="1326" t="s">
        <v>2062</v>
      </c>
      <c r="AA270" s="1683">
        <v>0</v>
      </c>
      <c r="AB270" s="1683">
        <v>0</v>
      </c>
      <c r="AC270" s="1683">
        <v>0</v>
      </c>
      <c r="AD270" s="1685">
        <v>43439</v>
      </c>
      <c r="AE270" s="1326" t="s">
        <v>2073</v>
      </c>
      <c r="AF270" s="1326" t="s">
        <v>2064</v>
      </c>
      <c r="AG270" s="1410"/>
      <c r="AH270" s="1683">
        <v>17867.11</v>
      </c>
      <c r="AI270" s="1683">
        <v>17867.11</v>
      </c>
      <c r="AJ270" s="1683">
        <v>15702.78</v>
      </c>
      <c r="AK270" s="1683">
        <v>14429.59</v>
      </c>
      <c r="AL270" s="1683">
        <v>1273.19</v>
      </c>
      <c r="AM270" s="1685">
        <v>43439</v>
      </c>
      <c r="AN270" s="1683">
        <v>17867.11</v>
      </c>
      <c r="AO270" s="1683">
        <v>17867.11</v>
      </c>
      <c r="AP270" s="1683">
        <v>15702.78</v>
      </c>
      <c r="AQ270" s="1683">
        <v>14429.59</v>
      </c>
      <c r="AR270" s="1683">
        <v>1273.19</v>
      </c>
      <c r="AS270" s="1683">
        <v>2164.33</v>
      </c>
      <c r="AT270" s="1683">
        <v>0</v>
      </c>
      <c r="AU270" s="1683">
        <v>2164.33</v>
      </c>
      <c r="AV270" s="1683">
        <v>0</v>
      </c>
      <c r="AW270" s="1683">
        <v>0</v>
      </c>
      <c r="AX270" s="1400"/>
      <c r="AY270" s="1400"/>
      <c r="AZ270" s="1400"/>
      <c r="BA270" s="1682"/>
      <c r="BB270" s="1682"/>
      <c r="BC270" s="1400"/>
      <c r="BD270" s="1400"/>
      <c r="BE270" s="1683">
        <v>17867.11</v>
      </c>
      <c r="BF270" s="1683">
        <v>17867.11</v>
      </c>
      <c r="BG270" s="1683">
        <v>15702.78</v>
      </c>
      <c r="BH270" s="1683">
        <v>14429.59</v>
      </c>
      <c r="BI270" s="1683">
        <v>1273.19</v>
      </c>
      <c r="BJ270" s="1683">
        <v>2164.33</v>
      </c>
      <c r="BK270" s="1683">
        <v>0</v>
      </c>
      <c r="BL270" s="1683">
        <v>2164.33</v>
      </c>
      <c r="BM270" s="1683">
        <v>0</v>
      </c>
      <c r="BN270" s="1683">
        <v>0</v>
      </c>
      <c r="BO270" s="1682"/>
      <c r="BP270" s="1683">
        <v>0</v>
      </c>
      <c r="BQ270" s="1683">
        <v>0</v>
      </c>
      <c r="BR270" s="1683">
        <v>0</v>
      </c>
      <c r="BS270" s="1683">
        <v>0</v>
      </c>
      <c r="BT270" s="1683">
        <v>0</v>
      </c>
      <c r="BU270" s="1683">
        <v>0</v>
      </c>
      <c r="BV270" s="1683">
        <v>0</v>
      </c>
      <c r="BW270" s="1683">
        <v>0</v>
      </c>
      <c r="BX270" s="1683">
        <v>0</v>
      </c>
      <c r="BY270" s="1683">
        <v>0</v>
      </c>
      <c r="BZ270" s="1683">
        <v>0</v>
      </c>
      <c r="CA270" s="1400"/>
      <c r="CB270" s="1682"/>
      <c r="CC270" s="1682"/>
      <c r="CD270" s="1400"/>
      <c r="CE270" s="1400"/>
      <c r="CF270" s="1683">
        <v>0</v>
      </c>
      <c r="CG270" s="1683">
        <v>0</v>
      </c>
      <c r="CH270" s="1683">
        <v>0</v>
      </c>
      <c r="CI270" s="1683">
        <v>0</v>
      </c>
      <c r="CJ270" s="1683">
        <v>0</v>
      </c>
      <c r="CK270" s="1683">
        <v>0</v>
      </c>
      <c r="CL270" s="1682"/>
      <c r="CM270" s="1683">
        <v>0</v>
      </c>
      <c r="CN270" s="1683">
        <v>0</v>
      </c>
      <c r="CO270" s="1683">
        <v>0</v>
      </c>
      <c r="CP270" s="1683">
        <v>0</v>
      </c>
      <c r="CQ270" s="1683">
        <v>0</v>
      </c>
      <c r="CR270" s="1683">
        <v>0</v>
      </c>
      <c r="CS270" s="1683">
        <v>0</v>
      </c>
      <c r="CT270" s="1683">
        <v>0</v>
      </c>
      <c r="CU270" s="1683">
        <v>0</v>
      </c>
      <c r="CV270" s="1683">
        <v>0</v>
      </c>
      <c r="CW270" s="1682"/>
      <c r="CX270" s="1400"/>
      <c r="CY270" s="1400"/>
      <c r="CZ270" s="1400"/>
      <c r="DA270" s="1400"/>
      <c r="DB270" s="1682"/>
      <c r="DC270" s="1326"/>
      <c r="DD270" s="1683">
        <v>0</v>
      </c>
      <c r="DE270" s="1400"/>
      <c r="DF270" s="1400"/>
      <c r="DG270" s="1683">
        <v>0</v>
      </c>
      <c r="DH270" s="1683">
        <v>0</v>
      </c>
    </row>
    <row r="271" spans="1:112" ht="45">
      <c r="A271" s="1326" t="s">
        <v>2280</v>
      </c>
      <c r="B271" s="1326" t="s">
        <v>1700</v>
      </c>
      <c r="C271" s="1326" t="s">
        <v>2561</v>
      </c>
      <c r="D271" s="1326" t="s">
        <v>2562</v>
      </c>
      <c r="E271" s="1326" t="s">
        <v>145</v>
      </c>
      <c r="F271" s="1326" t="s">
        <v>2563</v>
      </c>
      <c r="G271" s="1326" t="s">
        <v>2556</v>
      </c>
      <c r="H271" s="1326" t="s">
        <v>2541</v>
      </c>
      <c r="I271" s="1326" t="s">
        <v>3431</v>
      </c>
      <c r="J271" s="1326" t="s">
        <v>3432</v>
      </c>
      <c r="K271" s="1326" t="s">
        <v>2060</v>
      </c>
      <c r="L271" s="1326" t="s">
        <v>2061</v>
      </c>
      <c r="M271" s="1683">
        <v>173605.67</v>
      </c>
      <c r="N271" s="1683">
        <v>0</v>
      </c>
      <c r="O271" s="1683">
        <v>173605.67</v>
      </c>
      <c r="P271" s="1683">
        <v>173605.67</v>
      </c>
      <c r="Q271" s="1683">
        <v>138750</v>
      </c>
      <c r="R271" s="1683">
        <v>127500</v>
      </c>
      <c r="S271" s="1683">
        <v>11250</v>
      </c>
      <c r="T271" s="1683">
        <v>34855.67</v>
      </c>
      <c r="U271" s="1683">
        <v>0</v>
      </c>
      <c r="V271" s="1683">
        <v>34855.67</v>
      </c>
      <c r="W271" s="1683">
        <v>0</v>
      </c>
      <c r="X271" s="1683">
        <v>0</v>
      </c>
      <c r="Y271" s="1682"/>
      <c r="Z271" s="1326"/>
      <c r="AA271" s="1683">
        <v>0</v>
      </c>
      <c r="AB271" s="1683">
        <v>0</v>
      </c>
      <c r="AC271" s="1683">
        <v>0</v>
      </c>
      <c r="AD271" s="1682"/>
      <c r="AE271" s="1326"/>
      <c r="AF271" s="1326"/>
      <c r="AG271" s="1410"/>
      <c r="AH271" s="1683">
        <v>3565.97</v>
      </c>
      <c r="AI271" s="1683">
        <v>3565.97</v>
      </c>
      <c r="AJ271" s="1683">
        <v>2850.01</v>
      </c>
      <c r="AK271" s="1683">
        <v>2618.9299999999998</v>
      </c>
      <c r="AL271" s="1683">
        <v>231.08</v>
      </c>
      <c r="AM271" s="1682"/>
      <c r="AN271" s="1683">
        <v>3565.97</v>
      </c>
      <c r="AO271" s="1683">
        <v>3565.97</v>
      </c>
      <c r="AP271" s="1683">
        <v>2850.01</v>
      </c>
      <c r="AQ271" s="1683">
        <v>2618.9299999999998</v>
      </c>
      <c r="AR271" s="1683">
        <v>231.08</v>
      </c>
      <c r="AS271" s="1683">
        <v>715.96</v>
      </c>
      <c r="AT271" s="1683">
        <v>0</v>
      </c>
      <c r="AU271" s="1683">
        <v>715.96</v>
      </c>
      <c r="AV271" s="1683">
        <v>0</v>
      </c>
      <c r="AW271" s="1683">
        <v>0</v>
      </c>
      <c r="AX271" s="1683">
        <v>0</v>
      </c>
      <c r="AY271" s="1683">
        <v>0</v>
      </c>
      <c r="AZ271" s="1683">
        <v>0</v>
      </c>
      <c r="BA271" s="1682"/>
      <c r="BB271" s="1682"/>
      <c r="BC271" s="1683">
        <v>0</v>
      </c>
      <c r="BD271" s="1683">
        <v>0</v>
      </c>
      <c r="BE271" s="1683">
        <v>3565.97</v>
      </c>
      <c r="BF271" s="1683">
        <v>3565.97</v>
      </c>
      <c r="BG271" s="1683">
        <v>2850.01</v>
      </c>
      <c r="BH271" s="1683">
        <v>2618.9299999999998</v>
      </c>
      <c r="BI271" s="1683">
        <v>231.08</v>
      </c>
      <c r="BJ271" s="1683">
        <v>715.96</v>
      </c>
      <c r="BK271" s="1683">
        <v>0</v>
      </c>
      <c r="BL271" s="1683">
        <v>715.96</v>
      </c>
      <c r="BM271" s="1683">
        <v>0</v>
      </c>
      <c r="BN271" s="1683">
        <v>0</v>
      </c>
      <c r="BO271" s="1682"/>
      <c r="BP271" s="1683">
        <v>0</v>
      </c>
      <c r="BQ271" s="1683">
        <v>0</v>
      </c>
      <c r="BR271" s="1683">
        <v>0</v>
      </c>
      <c r="BS271" s="1683">
        <v>0</v>
      </c>
      <c r="BT271" s="1683">
        <v>0</v>
      </c>
      <c r="BU271" s="1683">
        <v>0</v>
      </c>
      <c r="BV271" s="1683">
        <v>0</v>
      </c>
      <c r="BW271" s="1683">
        <v>0</v>
      </c>
      <c r="BX271" s="1683">
        <v>0</v>
      </c>
      <c r="BY271" s="1683">
        <v>0</v>
      </c>
      <c r="BZ271" s="1400"/>
      <c r="CA271" s="1683">
        <v>0</v>
      </c>
      <c r="CB271" s="1682"/>
      <c r="CC271" s="1682"/>
      <c r="CD271" s="1683">
        <v>0</v>
      </c>
      <c r="CE271" s="1683">
        <v>0</v>
      </c>
      <c r="CF271" s="1683">
        <v>0</v>
      </c>
      <c r="CG271" s="1683">
        <v>0</v>
      </c>
      <c r="CH271" s="1683">
        <v>0</v>
      </c>
      <c r="CI271" s="1683">
        <v>0</v>
      </c>
      <c r="CJ271" s="1683">
        <v>0</v>
      </c>
      <c r="CK271" s="1683">
        <v>0</v>
      </c>
      <c r="CL271" s="1682"/>
      <c r="CM271" s="1683">
        <v>0</v>
      </c>
      <c r="CN271" s="1683">
        <v>0</v>
      </c>
      <c r="CO271" s="1683">
        <v>0</v>
      </c>
      <c r="CP271" s="1683">
        <v>0</v>
      </c>
      <c r="CQ271" s="1683">
        <v>0</v>
      </c>
      <c r="CR271" s="1683">
        <v>0</v>
      </c>
      <c r="CS271" s="1683">
        <v>0</v>
      </c>
      <c r="CT271" s="1683">
        <v>0</v>
      </c>
      <c r="CU271" s="1683">
        <v>0</v>
      </c>
      <c r="CV271" s="1683">
        <v>0</v>
      </c>
      <c r="CW271" s="1682"/>
      <c r="CX271" s="1683">
        <v>0</v>
      </c>
      <c r="CY271" s="1683">
        <v>0</v>
      </c>
      <c r="CZ271" s="1683">
        <v>0</v>
      </c>
      <c r="DA271" s="1683">
        <v>0</v>
      </c>
      <c r="DB271" s="1682"/>
      <c r="DC271" s="1326"/>
      <c r="DD271" s="1683">
        <v>0</v>
      </c>
      <c r="DE271" s="1683">
        <v>0</v>
      </c>
      <c r="DF271" s="1683">
        <v>0</v>
      </c>
      <c r="DG271" s="1683">
        <v>0</v>
      </c>
      <c r="DH271" s="1683">
        <v>0</v>
      </c>
    </row>
    <row r="272" spans="1:112" ht="45">
      <c r="A272" s="1326" t="s">
        <v>2281</v>
      </c>
      <c r="B272" s="1326" t="s">
        <v>1700</v>
      </c>
      <c r="C272" s="1326" t="s">
        <v>2561</v>
      </c>
      <c r="D272" s="1326" t="s">
        <v>2562</v>
      </c>
      <c r="E272" s="1326" t="s">
        <v>145</v>
      </c>
      <c r="F272" s="1326" t="s">
        <v>2563</v>
      </c>
      <c r="G272" s="1326" t="s">
        <v>2556</v>
      </c>
      <c r="H272" s="1326" t="s">
        <v>2541</v>
      </c>
      <c r="I272" s="1326" t="s">
        <v>3431</v>
      </c>
      <c r="J272" s="1326" t="s">
        <v>3432</v>
      </c>
      <c r="K272" s="1326" t="s">
        <v>2060</v>
      </c>
      <c r="L272" s="1326" t="s">
        <v>2061</v>
      </c>
      <c r="M272" s="1400"/>
      <c r="N272" s="1400"/>
      <c r="O272" s="1400"/>
      <c r="P272" s="1400"/>
      <c r="Q272" s="1400"/>
      <c r="R272" s="1400"/>
      <c r="S272" s="1400"/>
      <c r="T272" s="1400"/>
      <c r="U272" s="1400"/>
      <c r="V272" s="1400"/>
      <c r="W272" s="1400"/>
      <c r="X272" s="1400"/>
      <c r="Y272" s="1685">
        <v>43501</v>
      </c>
      <c r="Z272" s="1326" t="s">
        <v>2062</v>
      </c>
      <c r="AA272" s="1683">
        <v>0</v>
      </c>
      <c r="AB272" s="1683">
        <v>0</v>
      </c>
      <c r="AC272" s="1683">
        <v>0</v>
      </c>
      <c r="AD272" s="1685">
        <v>43529</v>
      </c>
      <c r="AE272" s="1326" t="s">
        <v>2073</v>
      </c>
      <c r="AF272" s="1326" t="s">
        <v>2064</v>
      </c>
      <c r="AG272" s="1410"/>
      <c r="AH272" s="1683">
        <v>3565.97</v>
      </c>
      <c r="AI272" s="1683">
        <v>3565.97</v>
      </c>
      <c r="AJ272" s="1683">
        <v>2850.01</v>
      </c>
      <c r="AK272" s="1683">
        <v>2618.9299999999998</v>
      </c>
      <c r="AL272" s="1683">
        <v>231.08</v>
      </c>
      <c r="AM272" s="1685">
        <v>43529</v>
      </c>
      <c r="AN272" s="1683">
        <v>3565.97</v>
      </c>
      <c r="AO272" s="1683">
        <v>3565.97</v>
      </c>
      <c r="AP272" s="1683">
        <v>2850.01</v>
      </c>
      <c r="AQ272" s="1683">
        <v>2618.9299999999998</v>
      </c>
      <c r="AR272" s="1683">
        <v>231.08</v>
      </c>
      <c r="AS272" s="1683">
        <v>715.96</v>
      </c>
      <c r="AT272" s="1683">
        <v>0</v>
      </c>
      <c r="AU272" s="1683">
        <v>715.96</v>
      </c>
      <c r="AV272" s="1683">
        <v>0</v>
      </c>
      <c r="AW272" s="1683">
        <v>0</v>
      </c>
      <c r="AX272" s="1400"/>
      <c r="AY272" s="1400"/>
      <c r="AZ272" s="1400"/>
      <c r="BA272" s="1682"/>
      <c r="BB272" s="1682"/>
      <c r="BC272" s="1400"/>
      <c r="BD272" s="1400"/>
      <c r="BE272" s="1683">
        <v>3565.97</v>
      </c>
      <c r="BF272" s="1683">
        <v>3565.97</v>
      </c>
      <c r="BG272" s="1683">
        <v>2850.01</v>
      </c>
      <c r="BH272" s="1683">
        <v>2618.9299999999998</v>
      </c>
      <c r="BI272" s="1683">
        <v>231.08</v>
      </c>
      <c r="BJ272" s="1683">
        <v>715.96</v>
      </c>
      <c r="BK272" s="1683">
        <v>0</v>
      </c>
      <c r="BL272" s="1683">
        <v>715.96</v>
      </c>
      <c r="BM272" s="1683">
        <v>0</v>
      </c>
      <c r="BN272" s="1683">
        <v>0</v>
      </c>
      <c r="BO272" s="1682"/>
      <c r="BP272" s="1683">
        <v>0</v>
      </c>
      <c r="BQ272" s="1683">
        <v>0</v>
      </c>
      <c r="BR272" s="1683">
        <v>0</v>
      </c>
      <c r="BS272" s="1683">
        <v>0</v>
      </c>
      <c r="BT272" s="1683">
        <v>0</v>
      </c>
      <c r="BU272" s="1683">
        <v>0</v>
      </c>
      <c r="BV272" s="1683">
        <v>0</v>
      </c>
      <c r="BW272" s="1683">
        <v>0</v>
      </c>
      <c r="BX272" s="1683">
        <v>0</v>
      </c>
      <c r="BY272" s="1683">
        <v>0</v>
      </c>
      <c r="BZ272" s="1400"/>
      <c r="CA272" s="1400"/>
      <c r="CB272" s="1682"/>
      <c r="CC272" s="1682"/>
      <c r="CD272" s="1400"/>
      <c r="CE272" s="1400"/>
      <c r="CF272" s="1683">
        <v>0</v>
      </c>
      <c r="CG272" s="1683">
        <v>0</v>
      </c>
      <c r="CH272" s="1683">
        <v>0</v>
      </c>
      <c r="CI272" s="1683">
        <v>0</v>
      </c>
      <c r="CJ272" s="1683">
        <v>0</v>
      </c>
      <c r="CK272" s="1683">
        <v>0</v>
      </c>
      <c r="CL272" s="1682"/>
      <c r="CM272" s="1683">
        <v>0</v>
      </c>
      <c r="CN272" s="1683">
        <v>0</v>
      </c>
      <c r="CO272" s="1683">
        <v>0</v>
      </c>
      <c r="CP272" s="1683">
        <v>0</v>
      </c>
      <c r="CQ272" s="1683">
        <v>0</v>
      </c>
      <c r="CR272" s="1683">
        <v>0</v>
      </c>
      <c r="CS272" s="1683">
        <v>0</v>
      </c>
      <c r="CT272" s="1683">
        <v>0</v>
      </c>
      <c r="CU272" s="1683">
        <v>0</v>
      </c>
      <c r="CV272" s="1683">
        <v>0</v>
      </c>
      <c r="CW272" s="1682"/>
      <c r="CX272" s="1400"/>
      <c r="CY272" s="1400"/>
      <c r="CZ272" s="1400"/>
      <c r="DA272" s="1400"/>
      <c r="DB272" s="1682"/>
      <c r="DC272" s="1326"/>
      <c r="DD272" s="1683">
        <v>0</v>
      </c>
      <c r="DE272" s="1400"/>
      <c r="DF272" s="1400"/>
      <c r="DG272" s="1683">
        <v>0</v>
      </c>
      <c r="DH272" s="1683">
        <v>0</v>
      </c>
    </row>
    <row r="273" spans="1:112">
      <c r="A273" s="1326" t="s">
        <v>2282</v>
      </c>
      <c r="B273" s="1326" t="s">
        <v>1700</v>
      </c>
      <c r="C273" s="1326" t="s">
        <v>2561</v>
      </c>
      <c r="D273" s="1326" t="s">
        <v>2562</v>
      </c>
      <c r="E273" s="1326" t="s">
        <v>267</v>
      </c>
      <c r="F273" s="1326"/>
      <c r="G273" s="1326"/>
      <c r="H273" s="1326"/>
      <c r="I273" s="1326"/>
      <c r="J273" s="1326"/>
      <c r="K273" s="1326"/>
      <c r="L273" s="1326"/>
      <c r="M273" s="1683">
        <v>818291</v>
      </c>
      <c r="N273" s="1683">
        <v>0</v>
      </c>
      <c r="O273" s="1683">
        <v>818291</v>
      </c>
      <c r="P273" s="1683">
        <v>818291</v>
      </c>
      <c r="Q273" s="1683">
        <v>626262.97</v>
      </c>
      <c r="R273" s="1683">
        <v>575484.89</v>
      </c>
      <c r="S273" s="1683">
        <v>50778.080000000002</v>
      </c>
      <c r="T273" s="1683">
        <v>192028.03</v>
      </c>
      <c r="U273" s="1683">
        <v>0</v>
      </c>
      <c r="V273" s="1683">
        <v>192028.03</v>
      </c>
      <c r="W273" s="1683">
        <v>0</v>
      </c>
      <c r="X273" s="1683">
        <v>0</v>
      </c>
      <c r="Y273" s="1682"/>
      <c r="Z273" s="1326"/>
      <c r="AA273" s="1683">
        <v>96112.1</v>
      </c>
      <c r="AB273" s="1683">
        <v>88319.08</v>
      </c>
      <c r="AC273" s="1683">
        <v>7793.02</v>
      </c>
      <c r="AD273" s="1682"/>
      <c r="AE273" s="1326"/>
      <c r="AF273" s="1326"/>
      <c r="AG273" s="1410"/>
      <c r="AH273" s="1683">
        <v>544566.19999999995</v>
      </c>
      <c r="AI273" s="1683">
        <v>732445.09</v>
      </c>
      <c r="AJ273" s="1683">
        <v>500875.87</v>
      </c>
      <c r="AK273" s="1683">
        <v>460264.45</v>
      </c>
      <c r="AL273" s="1683">
        <v>40611.42</v>
      </c>
      <c r="AM273" s="1682"/>
      <c r="AN273" s="1683">
        <v>544566.19999999995</v>
      </c>
      <c r="AO273" s="1683">
        <v>544566.19999999995</v>
      </c>
      <c r="AP273" s="1683">
        <v>409109.08</v>
      </c>
      <c r="AQ273" s="1683">
        <v>375938.07</v>
      </c>
      <c r="AR273" s="1683">
        <v>33171.01</v>
      </c>
      <c r="AS273" s="1683">
        <v>135457.12</v>
      </c>
      <c r="AT273" s="1683">
        <v>0</v>
      </c>
      <c r="AU273" s="1683">
        <v>135457.12</v>
      </c>
      <c r="AV273" s="1683">
        <v>0</v>
      </c>
      <c r="AW273" s="1683">
        <v>0</v>
      </c>
      <c r="AX273" s="1683">
        <v>0</v>
      </c>
      <c r="AY273" s="1683">
        <v>0</v>
      </c>
      <c r="AZ273" s="1683">
        <v>0</v>
      </c>
      <c r="BA273" s="1682"/>
      <c r="BB273" s="1682"/>
      <c r="BC273" s="1683">
        <v>0</v>
      </c>
      <c r="BD273" s="1683">
        <v>0</v>
      </c>
      <c r="BE273" s="1683">
        <v>544566.19999999995</v>
      </c>
      <c r="BF273" s="1683">
        <v>544566.19999999995</v>
      </c>
      <c r="BG273" s="1683">
        <v>409109.08</v>
      </c>
      <c r="BH273" s="1683">
        <v>375938.07</v>
      </c>
      <c r="BI273" s="1683">
        <v>33171.01</v>
      </c>
      <c r="BJ273" s="1683">
        <v>135457.12</v>
      </c>
      <c r="BK273" s="1683">
        <v>0</v>
      </c>
      <c r="BL273" s="1683">
        <v>135457.12</v>
      </c>
      <c r="BM273" s="1683">
        <v>0</v>
      </c>
      <c r="BN273" s="1683">
        <v>0</v>
      </c>
      <c r="BO273" s="1682"/>
      <c r="BP273" s="1683">
        <v>518006.27</v>
      </c>
      <c r="BQ273" s="1683">
        <v>518006.27</v>
      </c>
      <c r="BR273" s="1683">
        <v>391850.2</v>
      </c>
      <c r="BS273" s="1683">
        <v>360078.56</v>
      </c>
      <c r="BT273" s="1683">
        <v>31771.64</v>
      </c>
      <c r="BU273" s="1683">
        <v>126156.07</v>
      </c>
      <c r="BV273" s="1683">
        <v>0</v>
      </c>
      <c r="BW273" s="1683">
        <v>865.17</v>
      </c>
      <c r="BX273" s="1683">
        <v>0</v>
      </c>
      <c r="BY273" s="1683">
        <v>0</v>
      </c>
      <c r="BZ273" s="1683">
        <v>0</v>
      </c>
      <c r="CA273" s="1683">
        <v>0</v>
      </c>
      <c r="CB273" s="1682"/>
      <c r="CC273" s="1682"/>
      <c r="CD273" s="1683">
        <v>4827.1099999999997</v>
      </c>
      <c r="CE273" s="1683">
        <v>4827.1099999999997</v>
      </c>
      <c r="CF273" s="1683">
        <v>0</v>
      </c>
      <c r="CG273" s="1683">
        <v>0</v>
      </c>
      <c r="CH273" s="1683">
        <v>0</v>
      </c>
      <c r="CI273" s="1683">
        <v>0</v>
      </c>
      <c r="CJ273" s="1683">
        <v>2160.15</v>
      </c>
      <c r="CK273" s="1683">
        <v>2160.15</v>
      </c>
      <c r="CL273" s="1682"/>
      <c r="CM273" s="1683">
        <v>11535.59</v>
      </c>
      <c r="CN273" s="1683">
        <v>11535.59</v>
      </c>
      <c r="CO273" s="1683">
        <v>10670.42</v>
      </c>
      <c r="CP273" s="1683">
        <v>9805.25</v>
      </c>
      <c r="CQ273" s="1683">
        <v>865.17</v>
      </c>
      <c r="CR273" s="1683">
        <v>865.17</v>
      </c>
      <c r="CS273" s="1683">
        <v>0</v>
      </c>
      <c r="CT273" s="1683">
        <v>865.17</v>
      </c>
      <c r="CU273" s="1683">
        <v>0</v>
      </c>
      <c r="CV273" s="1683">
        <v>0</v>
      </c>
      <c r="CW273" s="1682"/>
      <c r="CX273" s="1683">
        <v>-4827.1099999999997</v>
      </c>
      <c r="CY273" s="1683">
        <v>-4827.1099999999997</v>
      </c>
      <c r="CZ273" s="1683">
        <v>6708.48</v>
      </c>
      <c r="DA273" s="1683">
        <v>6708.48</v>
      </c>
      <c r="DB273" s="1682"/>
      <c r="DC273" s="1326"/>
      <c r="DD273" s="1683">
        <v>0</v>
      </c>
      <c r="DE273" s="1683">
        <v>0</v>
      </c>
      <c r="DF273" s="1683">
        <v>0</v>
      </c>
      <c r="DG273" s="1683">
        <v>0</v>
      </c>
      <c r="DH273" s="1683">
        <v>0</v>
      </c>
    </row>
    <row r="274" spans="1:112" ht="45">
      <c r="A274" s="1326" t="s">
        <v>2283</v>
      </c>
      <c r="B274" s="1326" t="s">
        <v>1700</v>
      </c>
      <c r="C274" s="1326" t="s">
        <v>2561</v>
      </c>
      <c r="D274" s="1326" t="s">
        <v>2562</v>
      </c>
      <c r="E274" s="1326" t="s">
        <v>267</v>
      </c>
      <c r="F274" s="1326" t="s">
        <v>2563</v>
      </c>
      <c r="G274" s="1326" t="s">
        <v>2556</v>
      </c>
      <c r="H274" s="1326" t="s">
        <v>2541</v>
      </c>
      <c r="I274" s="1326" t="s">
        <v>709</v>
      </c>
      <c r="J274" s="1326" t="s">
        <v>160</v>
      </c>
      <c r="K274" s="1326" t="s">
        <v>2110</v>
      </c>
      <c r="L274" s="1326" t="s">
        <v>2061</v>
      </c>
      <c r="M274" s="1683">
        <v>474784</v>
      </c>
      <c r="N274" s="1683">
        <v>0</v>
      </c>
      <c r="O274" s="1683">
        <v>474784</v>
      </c>
      <c r="P274" s="1683">
        <v>474784</v>
      </c>
      <c r="Q274" s="1683">
        <v>308519</v>
      </c>
      <c r="R274" s="1683">
        <v>283503.94</v>
      </c>
      <c r="S274" s="1683">
        <v>25015.06</v>
      </c>
      <c r="T274" s="1683">
        <v>166265</v>
      </c>
      <c r="U274" s="1683">
        <v>0</v>
      </c>
      <c r="V274" s="1683">
        <v>166265</v>
      </c>
      <c r="W274" s="1683">
        <v>0</v>
      </c>
      <c r="X274" s="1683">
        <v>0</v>
      </c>
      <c r="Y274" s="1682"/>
      <c r="Z274" s="1326"/>
      <c r="AA274" s="1683">
        <v>7555.7</v>
      </c>
      <c r="AB274" s="1683">
        <v>6942.93</v>
      </c>
      <c r="AC274" s="1683">
        <v>612.77</v>
      </c>
      <c r="AD274" s="1682"/>
      <c r="AE274" s="1326"/>
      <c r="AF274" s="1326"/>
      <c r="AG274" s="1410"/>
      <c r="AH274" s="1683">
        <v>343814.69</v>
      </c>
      <c r="AI274" s="1683">
        <v>436370.39</v>
      </c>
      <c r="AJ274" s="1683">
        <v>308413.94</v>
      </c>
      <c r="AK274" s="1683">
        <v>283407.53999999998</v>
      </c>
      <c r="AL274" s="1683">
        <v>25006.400000000001</v>
      </c>
      <c r="AM274" s="1682"/>
      <c r="AN274" s="1683">
        <v>343814.69</v>
      </c>
      <c r="AO274" s="1683">
        <v>343814.69</v>
      </c>
      <c r="AP274" s="1683">
        <v>223413.94</v>
      </c>
      <c r="AQ274" s="1683">
        <v>205299.29</v>
      </c>
      <c r="AR274" s="1683">
        <v>18114.650000000001</v>
      </c>
      <c r="AS274" s="1683">
        <v>120400.75</v>
      </c>
      <c r="AT274" s="1683">
        <v>0</v>
      </c>
      <c r="AU274" s="1683">
        <v>120400.75</v>
      </c>
      <c r="AV274" s="1683">
        <v>0</v>
      </c>
      <c r="AW274" s="1683">
        <v>0</v>
      </c>
      <c r="AX274" s="1683">
        <v>0</v>
      </c>
      <c r="AY274" s="1683">
        <v>0</v>
      </c>
      <c r="AZ274" s="1683">
        <v>0</v>
      </c>
      <c r="BA274" s="1682"/>
      <c r="BB274" s="1682"/>
      <c r="BC274" s="1683">
        <v>0</v>
      </c>
      <c r="BD274" s="1683">
        <v>0</v>
      </c>
      <c r="BE274" s="1683">
        <v>343814.69</v>
      </c>
      <c r="BF274" s="1683">
        <v>343814.69</v>
      </c>
      <c r="BG274" s="1683">
        <v>223413.94</v>
      </c>
      <c r="BH274" s="1683">
        <v>205299.29</v>
      </c>
      <c r="BI274" s="1683">
        <v>18114.650000000001</v>
      </c>
      <c r="BJ274" s="1683">
        <v>120400.75</v>
      </c>
      <c r="BK274" s="1683">
        <v>0</v>
      </c>
      <c r="BL274" s="1683">
        <v>120400.75</v>
      </c>
      <c r="BM274" s="1683">
        <v>0</v>
      </c>
      <c r="BN274" s="1683">
        <v>0</v>
      </c>
      <c r="BO274" s="1682"/>
      <c r="BP274" s="1683">
        <v>317254.76</v>
      </c>
      <c r="BQ274" s="1683">
        <v>317254.76</v>
      </c>
      <c r="BR274" s="1683">
        <v>206155.06</v>
      </c>
      <c r="BS274" s="1683">
        <v>189439.78</v>
      </c>
      <c r="BT274" s="1683">
        <v>16715.28</v>
      </c>
      <c r="BU274" s="1683">
        <v>111099.7</v>
      </c>
      <c r="BV274" s="1683">
        <v>0</v>
      </c>
      <c r="BW274" s="1683">
        <v>0</v>
      </c>
      <c r="BX274" s="1683">
        <v>0</v>
      </c>
      <c r="BY274" s="1683">
        <v>0</v>
      </c>
      <c r="BZ274" s="1683">
        <v>0</v>
      </c>
      <c r="CA274" s="1683">
        <v>0</v>
      </c>
      <c r="CB274" s="1682"/>
      <c r="CC274" s="1682"/>
      <c r="CD274" s="1683">
        <v>0</v>
      </c>
      <c r="CE274" s="1683">
        <v>0</v>
      </c>
      <c r="CF274" s="1683">
        <v>0</v>
      </c>
      <c r="CG274" s="1683">
        <v>0</v>
      </c>
      <c r="CH274" s="1683">
        <v>0</v>
      </c>
      <c r="CI274" s="1683">
        <v>0</v>
      </c>
      <c r="CJ274" s="1683">
        <v>0</v>
      </c>
      <c r="CK274" s="1683">
        <v>0</v>
      </c>
      <c r="CL274" s="1682"/>
      <c r="CM274" s="1683">
        <v>0</v>
      </c>
      <c r="CN274" s="1683">
        <v>0</v>
      </c>
      <c r="CO274" s="1683">
        <v>0</v>
      </c>
      <c r="CP274" s="1683">
        <v>0</v>
      </c>
      <c r="CQ274" s="1683">
        <v>0</v>
      </c>
      <c r="CR274" s="1683">
        <v>0</v>
      </c>
      <c r="CS274" s="1683">
        <v>0</v>
      </c>
      <c r="CT274" s="1683">
        <v>0</v>
      </c>
      <c r="CU274" s="1683">
        <v>0</v>
      </c>
      <c r="CV274" s="1683">
        <v>0</v>
      </c>
      <c r="CW274" s="1682"/>
      <c r="CX274" s="1683">
        <v>0</v>
      </c>
      <c r="CY274" s="1683">
        <v>0</v>
      </c>
      <c r="CZ274" s="1683">
        <v>0</v>
      </c>
      <c r="DA274" s="1683">
        <v>0</v>
      </c>
      <c r="DB274" s="1682"/>
      <c r="DC274" s="1326"/>
      <c r="DD274" s="1683">
        <v>0</v>
      </c>
      <c r="DE274" s="1683">
        <v>0</v>
      </c>
      <c r="DF274" s="1683">
        <v>0</v>
      </c>
      <c r="DG274" s="1683">
        <v>0</v>
      </c>
      <c r="DH274" s="1683">
        <v>0</v>
      </c>
    </row>
    <row r="275" spans="1:112" ht="45">
      <c r="A275" s="1326" t="s">
        <v>2284</v>
      </c>
      <c r="B275" s="1326" t="s">
        <v>1700</v>
      </c>
      <c r="C275" s="1326" t="s">
        <v>2561</v>
      </c>
      <c r="D275" s="1326" t="s">
        <v>2562</v>
      </c>
      <c r="E275" s="1326" t="s">
        <v>267</v>
      </c>
      <c r="F275" s="1326" t="s">
        <v>2563</v>
      </c>
      <c r="G275" s="1326" t="s">
        <v>2556</v>
      </c>
      <c r="H275" s="1326" t="s">
        <v>2541</v>
      </c>
      <c r="I275" s="1326" t="s">
        <v>709</v>
      </c>
      <c r="J275" s="1326" t="s">
        <v>160</v>
      </c>
      <c r="K275" s="1326" t="s">
        <v>2110</v>
      </c>
      <c r="L275" s="1326" t="s">
        <v>2061</v>
      </c>
      <c r="M275" s="1400"/>
      <c r="N275" s="1400"/>
      <c r="O275" s="1400"/>
      <c r="P275" s="1400"/>
      <c r="Q275" s="1400"/>
      <c r="R275" s="1400"/>
      <c r="S275" s="1400"/>
      <c r="T275" s="1400"/>
      <c r="U275" s="1400"/>
      <c r="V275" s="1400"/>
      <c r="W275" s="1400"/>
      <c r="X275" s="1400"/>
      <c r="Y275" s="1685">
        <v>43074</v>
      </c>
      <c r="Z275" s="1326" t="s">
        <v>2062</v>
      </c>
      <c r="AA275" s="1683">
        <v>0</v>
      </c>
      <c r="AB275" s="1683">
        <v>0</v>
      </c>
      <c r="AC275" s="1683">
        <v>0</v>
      </c>
      <c r="AD275" s="1685">
        <v>43116</v>
      </c>
      <c r="AE275" s="1326" t="s">
        <v>2081</v>
      </c>
      <c r="AF275" s="1326" t="s">
        <v>2064</v>
      </c>
      <c r="AG275" s="1410"/>
      <c r="AH275" s="1683">
        <v>62.48</v>
      </c>
      <c r="AI275" s="1683">
        <v>62.48</v>
      </c>
      <c r="AJ275" s="1683">
        <v>40.6</v>
      </c>
      <c r="AK275" s="1683">
        <v>37.31</v>
      </c>
      <c r="AL275" s="1683">
        <v>3.29</v>
      </c>
      <c r="AM275" s="1685">
        <v>43116</v>
      </c>
      <c r="AN275" s="1683">
        <v>62.48</v>
      </c>
      <c r="AO275" s="1683">
        <v>62.48</v>
      </c>
      <c r="AP275" s="1683">
        <v>40.6</v>
      </c>
      <c r="AQ275" s="1683">
        <v>37.31</v>
      </c>
      <c r="AR275" s="1683">
        <v>3.29</v>
      </c>
      <c r="AS275" s="1683">
        <v>21.88</v>
      </c>
      <c r="AT275" s="1683">
        <v>0</v>
      </c>
      <c r="AU275" s="1683">
        <v>21.88</v>
      </c>
      <c r="AV275" s="1683">
        <v>0</v>
      </c>
      <c r="AW275" s="1683">
        <v>0</v>
      </c>
      <c r="AX275" s="1400"/>
      <c r="AY275" s="1400"/>
      <c r="AZ275" s="1400"/>
      <c r="BA275" s="1682"/>
      <c r="BB275" s="1682"/>
      <c r="BC275" s="1400"/>
      <c r="BD275" s="1400"/>
      <c r="BE275" s="1683">
        <v>62.48</v>
      </c>
      <c r="BF275" s="1683">
        <v>62.48</v>
      </c>
      <c r="BG275" s="1683">
        <v>40.6</v>
      </c>
      <c r="BH275" s="1683">
        <v>37.31</v>
      </c>
      <c r="BI275" s="1683">
        <v>3.29</v>
      </c>
      <c r="BJ275" s="1683">
        <v>21.88</v>
      </c>
      <c r="BK275" s="1683">
        <v>0</v>
      </c>
      <c r="BL275" s="1683">
        <v>21.88</v>
      </c>
      <c r="BM275" s="1683">
        <v>0</v>
      </c>
      <c r="BN275" s="1683">
        <v>0</v>
      </c>
      <c r="BO275" s="1685">
        <v>43364</v>
      </c>
      <c r="BP275" s="1683">
        <v>62.48</v>
      </c>
      <c r="BQ275" s="1683">
        <v>62.48</v>
      </c>
      <c r="BR275" s="1683">
        <v>40.6</v>
      </c>
      <c r="BS275" s="1683">
        <v>37.31</v>
      </c>
      <c r="BT275" s="1683">
        <v>3.29</v>
      </c>
      <c r="BU275" s="1683">
        <v>21.88</v>
      </c>
      <c r="BV275" s="1683">
        <v>0</v>
      </c>
      <c r="BW275" s="1683">
        <v>0</v>
      </c>
      <c r="BX275" s="1683">
        <v>0</v>
      </c>
      <c r="BY275" s="1683">
        <v>0</v>
      </c>
      <c r="BZ275" s="1683">
        <v>0</v>
      </c>
      <c r="CA275" s="1400"/>
      <c r="CB275" s="1682"/>
      <c r="CC275" s="1682"/>
      <c r="CD275" s="1400"/>
      <c r="CE275" s="1400"/>
      <c r="CF275" s="1683">
        <v>0</v>
      </c>
      <c r="CG275" s="1683">
        <v>0</v>
      </c>
      <c r="CH275" s="1683">
        <v>0</v>
      </c>
      <c r="CI275" s="1683">
        <v>0</v>
      </c>
      <c r="CJ275" s="1683">
        <v>0</v>
      </c>
      <c r="CK275" s="1683">
        <v>0</v>
      </c>
      <c r="CL275" s="1682"/>
      <c r="CM275" s="1683">
        <v>0</v>
      </c>
      <c r="CN275" s="1683">
        <v>0</v>
      </c>
      <c r="CO275" s="1683">
        <v>0</v>
      </c>
      <c r="CP275" s="1683">
        <v>0</v>
      </c>
      <c r="CQ275" s="1683">
        <v>0</v>
      </c>
      <c r="CR275" s="1683">
        <v>0</v>
      </c>
      <c r="CS275" s="1683">
        <v>0</v>
      </c>
      <c r="CT275" s="1683">
        <v>0</v>
      </c>
      <c r="CU275" s="1683">
        <v>0</v>
      </c>
      <c r="CV275" s="1683">
        <v>0</v>
      </c>
      <c r="CW275" s="1682"/>
      <c r="CX275" s="1400"/>
      <c r="CY275" s="1400"/>
      <c r="CZ275" s="1400"/>
      <c r="DA275" s="1400"/>
      <c r="DB275" s="1682"/>
      <c r="DC275" s="1326"/>
      <c r="DD275" s="1683">
        <v>0</v>
      </c>
      <c r="DE275" s="1400"/>
      <c r="DF275" s="1400"/>
      <c r="DG275" s="1683">
        <v>0</v>
      </c>
      <c r="DH275" s="1683">
        <v>0</v>
      </c>
    </row>
    <row r="276" spans="1:112" ht="45">
      <c r="A276" s="1326" t="s">
        <v>2285</v>
      </c>
      <c r="B276" s="1326" t="s">
        <v>1700</v>
      </c>
      <c r="C276" s="1326" t="s">
        <v>2561</v>
      </c>
      <c r="D276" s="1326" t="s">
        <v>2562</v>
      </c>
      <c r="E276" s="1326" t="s">
        <v>267</v>
      </c>
      <c r="F276" s="1326" t="s">
        <v>2563</v>
      </c>
      <c r="G276" s="1326" t="s">
        <v>2556</v>
      </c>
      <c r="H276" s="1326" t="s">
        <v>2541</v>
      </c>
      <c r="I276" s="1326" t="s">
        <v>709</v>
      </c>
      <c r="J276" s="1326" t="s">
        <v>160</v>
      </c>
      <c r="K276" s="1326" t="s">
        <v>2110</v>
      </c>
      <c r="L276" s="1326" t="s">
        <v>2061</v>
      </c>
      <c r="M276" s="1400"/>
      <c r="N276" s="1400"/>
      <c r="O276" s="1400"/>
      <c r="P276" s="1400"/>
      <c r="Q276" s="1400"/>
      <c r="R276" s="1400"/>
      <c r="S276" s="1400"/>
      <c r="T276" s="1400"/>
      <c r="U276" s="1400"/>
      <c r="V276" s="1400"/>
      <c r="W276" s="1400"/>
      <c r="X276" s="1400"/>
      <c r="Y276" s="1685">
        <v>43146</v>
      </c>
      <c r="Z276" s="1326" t="s">
        <v>2062</v>
      </c>
      <c r="AA276" s="1683">
        <v>0</v>
      </c>
      <c r="AB276" s="1683">
        <v>0</v>
      </c>
      <c r="AC276" s="1683">
        <v>0</v>
      </c>
      <c r="AD276" s="1685">
        <v>43175</v>
      </c>
      <c r="AE276" s="1326" t="s">
        <v>2088</v>
      </c>
      <c r="AF276" s="1326" t="s">
        <v>2067</v>
      </c>
      <c r="AG276" s="1410"/>
      <c r="AH276" s="1683">
        <v>29844.15</v>
      </c>
      <c r="AI276" s="1683">
        <v>29844.15</v>
      </c>
      <c r="AJ276" s="1683">
        <v>19393</v>
      </c>
      <c r="AK276" s="1683">
        <v>17820.59</v>
      </c>
      <c r="AL276" s="1683">
        <v>1572.41</v>
      </c>
      <c r="AM276" s="1685">
        <v>43179</v>
      </c>
      <c r="AN276" s="1683">
        <v>29844.15</v>
      </c>
      <c r="AO276" s="1683">
        <v>29844.15</v>
      </c>
      <c r="AP276" s="1683">
        <v>19393</v>
      </c>
      <c r="AQ276" s="1683">
        <v>17820.59</v>
      </c>
      <c r="AR276" s="1683">
        <v>1572.41</v>
      </c>
      <c r="AS276" s="1683">
        <v>10451.15</v>
      </c>
      <c r="AT276" s="1683">
        <v>0</v>
      </c>
      <c r="AU276" s="1683">
        <v>10451.15</v>
      </c>
      <c r="AV276" s="1683">
        <v>0</v>
      </c>
      <c r="AW276" s="1683">
        <v>0</v>
      </c>
      <c r="AX276" s="1400"/>
      <c r="AY276" s="1400"/>
      <c r="AZ276" s="1400"/>
      <c r="BA276" s="1682"/>
      <c r="BB276" s="1682"/>
      <c r="BC276" s="1400"/>
      <c r="BD276" s="1400"/>
      <c r="BE276" s="1683">
        <v>29844.15</v>
      </c>
      <c r="BF276" s="1683">
        <v>29844.15</v>
      </c>
      <c r="BG276" s="1683">
        <v>19393</v>
      </c>
      <c r="BH276" s="1683">
        <v>17820.59</v>
      </c>
      <c r="BI276" s="1683">
        <v>1572.41</v>
      </c>
      <c r="BJ276" s="1683">
        <v>10451.15</v>
      </c>
      <c r="BK276" s="1683">
        <v>0</v>
      </c>
      <c r="BL276" s="1683">
        <v>10451.15</v>
      </c>
      <c r="BM276" s="1683">
        <v>0</v>
      </c>
      <c r="BN276" s="1683">
        <v>0</v>
      </c>
      <c r="BO276" s="1685">
        <v>43364</v>
      </c>
      <c r="BP276" s="1683">
        <v>29844.15</v>
      </c>
      <c r="BQ276" s="1683">
        <v>29844.15</v>
      </c>
      <c r="BR276" s="1683">
        <v>19393</v>
      </c>
      <c r="BS276" s="1683">
        <v>17820.59</v>
      </c>
      <c r="BT276" s="1683">
        <v>1572.41</v>
      </c>
      <c r="BU276" s="1683">
        <v>10451.15</v>
      </c>
      <c r="BV276" s="1683">
        <v>0</v>
      </c>
      <c r="BW276" s="1683">
        <v>0</v>
      </c>
      <c r="BX276" s="1683">
        <v>0</v>
      </c>
      <c r="BY276" s="1683">
        <v>0</v>
      </c>
      <c r="BZ276" s="1683">
        <v>0</v>
      </c>
      <c r="CA276" s="1400"/>
      <c r="CB276" s="1682"/>
      <c r="CC276" s="1682"/>
      <c r="CD276" s="1400"/>
      <c r="CE276" s="1400"/>
      <c r="CF276" s="1683">
        <v>0</v>
      </c>
      <c r="CG276" s="1683">
        <v>0</v>
      </c>
      <c r="CH276" s="1683">
        <v>0</v>
      </c>
      <c r="CI276" s="1683">
        <v>0</v>
      </c>
      <c r="CJ276" s="1683">
        <v>0</v>
      </c>
      <c r="CK276" s="1683">
        <v>0</v>
      </c>
      <c r="CL276" s="1682"/>
      <c r="CM276" s="1683">
        <v>0</v>
      </c>
      <c r="CN276" s="1683">
        <v>0</v>
      </c>
      <c r="CO276" s="1683">
        <v>0</v>
      </c>
      <c r="CP276" s="1683">
        <v>0</v>
      </c>
      <c r="CQ276" s="1683">
        <v>0</v>
      </c>
      <c r="CR276" s="1683">
        <v>0</v>
      </c>
      <c r="CS276" s="1683">
        <v>0</v>
      </c>
      <c r="CT276" s="1683">
        <v>0</v>
      </c>
      <c r="CU276" s="1683">
        <v>0</v>
      </c>
      <c r="CV276" s="1683">
        <v>0</v>
      </c>
      <c r="CW276" s="1682"/>
      <c r="CX276" s="1400"/>
      <c r="CY276" s="1400"/>
      <c r="CZ276" s="1400"/>
      <c r="DA276" s="1400"/>
      <c r="DB276" s="1682"/>
      <c r="DC276" s="1326"/>
      <c r="DD276" s="1683">
        <v>0</v>
      </c>
      <c r="DE276" s="1400"/>
      <c r="DF276" s="1400"/>
      <c r="DG276" s="1683">
        <v>0</v>
      </c>
      <c r="DH276" s="1683">
        <v>0</v>
      </c>
    </row>
    <row r="277" spans="1:112" ht="45">
      <c r="A277" s="1326" t="s">
        <v>2286</v>
      </c>
      <c r="B277" s="1326" t="s">
        <v>1700</v>
      </c>
      <c r="C277" s="1326" t="s">
        <v>2561</v>
      </c>
      <c r="D277" s="1326" t="s">
        <v>2562</v>
      </c>
      <c r="E277" s="1326" t="s">
        <v>267</v>
      </c>
      <c r="F277" s="1326" t="s">
        <v>2563</v>
      </c>
      <c r="G277" s="1326" t="s">
        <v>2556</v>
      </c>
      <c r="H277" s="1326" t="s">
        <v>2541</v>
      </c>
      <c r="I277" s="1326" t="s">
        <v>709</v>
      </c>
      <c r="J277" s="1326" t="s">
        <v>160</v>
      </c>
      <c r="K277" s="1326" t="s">
        <v>2110</v>
      </c>
      <c r="L277" s="1326" t="s">
        <v>2061</v>
      </c>
      <c r="M277" s="1400"/>
      <c r="N277" s="1400"/>
      <c r="O277" s="1400"/>
      <c r="P277" s="1400"/>
      <c r="Q277" s="1400"/>
      <c r="R277" s="1400"/>
      <c r="S277" s="1400"/>
      <c r="T277" s="1400"/>
      <c r="U277" s="1400"/>
      <c r="V277" s="1400"/>
      <c r="W277" s="1400"/>
      <c r="X277" s="1400"/>
      <c r="Y277" s="1685">
        <v>43200</v>
      </c>
      <c r="Z277" s="1326" t="s">
        <v>2096</v>
      </c>
      <c r="AA277" s="1683">
        <v>0</v>
      </c>
      <c r="AB277" s="1683">
        <v>0</v>
      </c>
      <c r="AC277" s="1683">
        <v>0</v>
      </c>
      <c r="AD277" s="1685">
        <v>43208</v>
      </c>
      <c r="AE277" s="1326" t="s">
        <v>2082</v>
      </c>
      <c r="AF277" s="1326" t="s">
        <v>2064</v>
      </c>
      <c r="AG277" s="1410"/>
      <c r="AH277" s="1683">
        <v>0</v>
      </c>
      <c r="AI277" s="1683">
        <v>92555.7</v>
      </c>
      <c r="AJ277" s="1683">
        <v>92555.7</v>
      </c>
      <c r="AK277" s="1683">
        <v>85051.18</v>
      </c>
      <c r="AL277" s="1683">
        <v>7504.52</v>
      </c>
      <c r="AM277" s="1682"/>
      <c r="AN277" s="1683">
        <v>0</v>
      </c>
      <c r="AO277" s="1683">
        <v>0</v>
      </c>
      <c r="AP277" s="1683">
        <v>0</v>
      </c>
      <c r="AQ277" s="1683">
        <v>0</v>
      </c>
      <c r="AR277" s="1683">
        <v>0</v>
      </c>
      <c r="AS277" s="1683">
        <v>0</v>
      </c>
      <c r="AT277" s="1683">
        <v>0</v>
      </c>
      <c r="AU277" s="1683">
        <v>0</v>
      </c>
      <c r="AV277" s="1683">
        <v>0</v>
      </c>
      <c r="AW277" s="1683">
        <v>0</v>
      </c>
      <c r="AX277" s="1400"/>
      <c r="AY277" s="1400"/>
      <c r="AZ277" s="1400"/>
      <c r="BA277" s="1682"/>
      <c r="BB277" s="1682"/>
      <c r="BC277" s="1400"/>
      <c r="BD277" s="1400"/>
      <c r="BE277" s="1683">
        <v>0</v>
      </c>
      <c r="BF277" s="1683">
        <v>0</v>
      </c>
      <c r="BG277" s="1683">
        <v>0</v>
      </c>
      <c r="BH277" s="1683">
        <v>0</v>
      </c>
      <c r="BI277" s="1683">
        <v>0</v>
      </c>
      <c r="BJ277" s="1683">
        <v>0</v>
      </c>
      <c r="BK277" s="1683">
        <v>0</v>
      </c>
      <c r="BL277" s="1683">
        <v>0</v>
      </c>
      <c r="BM277" s="1683">
        <v>0</v>
      </c>
      <c r="BN277" s="1683">
        <v>0</v>
      </c>
      <c r="BO277" s="1682"/>
      <c r="BP277" s="1683">
        <v>0</v>
      </c>
      <c r="BQ277" s="1683">
        <v>0</v>
      </c>
      <c r="BR277" s="1683">
        <v>0</v>
      </c>
      <c r="BS277" s="1683">
        <v>0</v>
      </c>
      <c r="BT277" s="1683">
        <v>0</v>
      </c>
      <c r="BU277" s="1683">
        <v>0</v>
      </c>
      <c r="BV277" s="1683">
        <v>0</v>
      </c>
      <c r="BW277" s="1683">
        <v>0</v>
      </c>
      <c r="BX277" s="1683">
        <v>0</v>
      </c>
      <c r="BY277" s="1683">
        <v>0</v>
      </c>
      <c r="BZ277" s="1400"/>
      <c r="CA277" s="1400"/>
      <c r="CB277" s="1682"/>
      <c r="CC277" s="1682"/>
      <c r="CD277" s="1400"/>
      <c r="CE277" s="1400"/>
      <c r="CF277" s="1683">
        <v>0</v>
      </c>
      <c r="CG277" s="1683">
        <v>0</v>
      </c>
      <c r="CH277" s="1683">
        <v>0</v>
      </c>
      <c r="CI277" s="1683">
        <v>0</v>
      </c>
      <c r="CJ277" s="1683">
        <v>0</v>
      </c>
      <c r="CK277" s="1683">
        <v>0</v>
      </c>
      <c r="CL277" s="1682"/>
      <c r="CM277" s="1683">
        <v>0</v>
      </c>
      <c r="CN277" s="1683">
        <v>0</v>
      </c>
      <c r="CO277" s="1683">
        <v>0</v>
      </c>
      <c r="CP277" s="1683">
        <v>0</v>
      </c>
      <c r="CQ277" s="1683">
        <v>0</v>
      </c>
      <c r="CR277" s="1683">
        <v>0</v>
      </c>
      <c r="CS277" s="1683">
        <v>0</v>
      </c>
      <c r="CT277" s="1683">
        <v>0</v>
      </c>
      <c r="CU277" s="1683">
        <v>0</v>
      </c>
      <c r="CV277" s="1683">
        <v>0</v>
      </c>
      <c r="CW277" s="1682"/>
      <c r="CX277" s="1400"/>
      <c r="CY277" s="1400"/>
      <c r="CZ277" s="1400"/>
      <c r="DA277" s="1400"/>
      <c r="DB277" s="1682"/>
      <c r="DC277" s="1326"/>
      <c r="DD277" s="1683">
        <v>0</v>
      </c>
      <c r="DE277" s="1400"/>
      <c r="DF277" s="1400"/>
      <c r="DG277" s="1683">
        <v>0</v>
      </c>
      <c r="DH277" s="1683">
        <v>0</v>
      </c>
    </row>
    <row r="278" spans="1:112" ht="45">
      <c r="A278" s="1326" t="s">
        <v>2287</v>
      </c>
      <c r="B278" s="1326" t="s">
        <v>1700</v>
      </c>
      <c r="C278" s="1326" t="s">
        <v>2561</v>
      </c>
      <c r="D278" s="1326" t="s">
        <v>2562</v>
      </c>
      <c r="E278" s="1326" t="s">
        <v>267</v>
      </c>
      <c r="F278" s="1326" t="s">
        <v>2563</v>
      </c>
      <c r="G278" s="1326" t="s">
        <v>2556</v>
      </c>
      <c r="H278" s="1326" t="s">
        <v>2541</v>
      </c>
      <c r="I278" s="1326" t="s">
        <v>709</v>
      </c>
      <c r="J278" s="1326" t="s">
        <v>160</v>
      </c>
      <c r="K278" s="1326" t="s">
        <v>2110</v>
      </c>
      <c r="L278" s="1326" t="s">
        <v>2061</v>
      </c>
      <c r="M278" s="1400"/>
      <c r="N278" s="1400"/>
      <c r="O278" s="1400"/>
      <c r="P278" s="1400"/>
      <c r="Q278" s="1400"/>
      <c r="R278" s="1400"/>
      <c r="S278" s="1400"/>
      <c r="T278" s="1400"/>
      <c r="U278" s="1400"/>
      <c r="V278" s="1400"/>
      <c r="W278" s="1400"/>
      <c r="X278" s="1400"/>
      <c r="Y278" s="1685">
        <v>43237</v>
      </c>
      <c r="Z278" s="1326" t="s">
        <v>2062</v>
      </c>
      <c r="AA278" s="1683">
        <v>0</v>
      </c>
      <c r="AB278" s="1683">
        <v>0</v>
      </c>
      <c r="AC278" s="1683">
        <v>0</v>
      </c>
      <c r="AD278" s="1685">
        <v>43263</v>
      </c>
      <c r="AE278" s="1326" t="s">
        <v>2083</v>
      </c>
      <c r="AF278" s="1326" t="s">
        <v>2067</v>
      </c>
      <c r="AG278" s="1410"/>
      <c r="AH278" s="1683">
        <v>53394.03</v>
      </c>
      <c r="AI278" s="1683">
        <v>53394.03</v>
      </c>
      <c r="AJ278" s="1683">
        <v>34695.93</v>
      </c>
      <c r="AK278" s="1683">
        <v>31882.75</v>
      </c>
      <c r="AL278" s="1683">
        <v>2813.18</v>
      </c>
      <c r="AM278" s="1685">
        <v>43266</v>
      </c>
      <c r="AN278" s="1683">
        <v>53394.03</v>
      </c>
      <c r="AO278" s="1683">
        <v>53394.03</v>
      </c>
      <c r="AP278" s="1683">
        <v>34695.93</v>
      </c>
      <c r="AQ278" s="1683">
        <v>31882.75</v>
      </c>
      <c r="AR278" s="1683">
        <v>2813.18</v>
      </c>
      <c r="AS278" s="1683">
        <v>18698.099999999999</v>
      </c>
      <c r="AT278" s="1683">
        <v>0</v>
      </c>
      <c r="AU278" s="1683">
        <v>18698.099999999999</v>
      </c>
      <c r="AV278" s="1683">
        <v>0</v>
      </c>
      <c r="AW278" s="1683">
        <v>0</v>
      </c>
      <c r="AX278" s="1400"/>
      <c r="AY278" s="1400"/>
      <c r="AZ278" s="1400"/>
      <c r="BA278" s="1682"/>
      <c r="BB278" s="1682"/>
      <c r="BC278" s="1400"/>
      <c r="BD278" s="1400"/>
      <c r="BE278" s="1683">
        <v>53394.03</v>
      </c>
      <c r="BF278" s="1683">
        <v>53394.03</v>
      </c>
      <c r="BG278" s="1683">
        <v>34695.93</v>
      </c>
      <c r="BH278" s="1683">
        <v>31882.75</v>
      </c>
      <c r="BI278" s="1683">
        <v>2813.18</v>
      </c>
      <c r="BJ278" s="1683">
        <v>18698.099999999999</v>
      </c>
      <c r="BK278" s="1683">
        <v>0</v>
      </c>
      <c r="BL278" s="1683">
        <v>18698.099999999999</v>
      </c>
      <c r="BM278" s="1683">
        <v>0</v>
      </c>
      <c r="BN278" s="1683">
        <v>0</v>
      </c>
      <c r="BO278" s="1685">
        <v>43364</v>
      </c>
      <c r="BP278" s="1683">
        <v>53394.03</v>
      </c>
      <c r="BQ278" s="1683">
        <v>53394.03</v>
      </c>
      <c r="BR278" s="1683">
        <v>34695.93</v>
      </c>
      <c r="BS278" s="1683">
        <v>31882.75</v>
      </c>
      <c r="BT278" s="1683">
        <v>2813.18</v>
      </c>
      <c r="BU278" s="1683">
        <v>18698.099999999999</v>
      </c>
      <c r="BV278" s="1683">
        <v>0</v>
      </c>
      <c r="BW278" s="1683">
        <v>0</v>
      </c>
      <c r="BX278" s="1683">
        <v>0</v>
      </c>
      <c r="BY278" s="1683">
        <v>0</v>
      </c>
      <c r="BZ278" s="1683">
        <v>0</v>
      </c>
      <c r="CA278" s="1400"/>
      <c r="CB278" s="1682"/>
      <c r="CC278" s="1682"/>
      <c r="CD278" s="1400"/>
      <c r="CE278" s="1400"/>
      <c r="CF278" s="1683">
        <v>0</v>
      </c>
      <c r="CG278" s="1683">
        <v>0</v>
      </c>
      <c r="CH278" s="1683">
        <v>0</v>
      </c>
      <c r="CI278" s="1683">
        <v>0</v>
      </c>
      <c r="CJ278" s="1683">
        <v>0</v>
      </c>
      <c r="CK278" s="1683">
        <v>0</v>
      </c>
      <c r="CL278" s="1682"/>
      <c r="CM278" s="1683">
        <v>0</v>
      </c>
      <c r="CN278" s="1683">
        <v>0</v>
      </c>
      <c r="CO278" s="1683">
        <v>0</v>
      </c>
      <c r="CP278" s="1683">
        <v>0</v>
      </c>
      <c r="CQ278" s="1683">
        <v>0</v>
      </c>
      <c r="CR278" s="1683">
        <v>0</v>
      </c>
      <c r="CS278" s="1683">
        <v>0</v>
      </c>
      <c r="CT278" s="1683">
        <v>0</v>
      </c>
      <c r="CU278" s="1683">
        <v>0</v>
      </c>
      <c r="CV278" s="1683">
        <v>0</v>
      </c>
      <c r="CW278" s="1682"/>
      <c r="CX278" s="1400"/>
      <c r="CY278" s="1400"/>
      <c r="CZ278" s="1400"/>
      <c r="DA278" s="1400"/>
      <c r="DB278" s="1682"/>
      <c r="DC278" s="1326"/>
      <c r="DD278" s="1683">
        <v>0</v>
      </c>
      <c r="DE278" s="1400"/>
      <c r="DF278" s="1400"/>
      <c r="DG278" s="1683">
        <v>0</v>
      </c>
      <c r="DH278" s="1683">
        <v>0</v>
      </c>
    </row>
    <row r="279" spans="1:112" ht="45">
      <c r="A279" s="1326" t="s">
        <v>2288</v>
      </c>
      <c r="B279" s="1326" t="s">
        <v>1700</v>
      </c>
      <c r="C279" s="1326" t="s">
        <v>2561</v>
      </c>
      <c r="D279" s="1326" t="s">
        <v>2562</v>
      </c>
      <c r="E279" s="1326" t="s">
        <v>267</v>
      </c>
      <c r="F279" s="1326" t="s">
        <v>2563</v>
      </c>
      <c r="G279" s="1326" t="s">
        <v>2556</v>
      </c>
      <c r="H279" s="1326" t="s">
        <v>2541</v>
      </c>
      <c r="I279" s="1326" t="s">
        <v>709</v>
      </c>
      <c r="J279" s="1326" t="s">
        <v>160</v>
      </c>
      <c r="K279" s="1326" t="s">
        <v>2110</v>
      </c>
      <c r="L279" s="1326" t="s">
        <v>2061</v>
      </c>
      <c r="M279" s="1400"/>
      <c r="N279" s="1400"/>
      <c r="O279" s="1400"/>
      <c r="P279" s="1400"/>
      <c r="Q279" s="1400"/>
      <c r="R279" s="1400"/>
      <c r="S279" s="1400"/>
      <c r="T279" s="1400"/>
      <c r="U279" s="1400"/>
      <c r="V279" s="1400"/>
      <c r="W279" s="1400"/>
      <c r="X279" s="1400"/>
      <c r="Y279" s="1685">
        <v>43237</v>
      </c>
      <c r="Z279" s="1326" t="s">
        <v>2062</v>
      </c>
      <c r="AA279" s="1683">
        <v>0</v>
      </c>
      <c r="AB279" s="1683">
        <v>0</v>
      </c>
      <c r="AC279" s="1683">
        <v>0</v>
      </c>
      <c r="AD279" s="1685">
        <v>43263</v>
      </c>
      <c r="AE279" s="1326" t="s">
        <v>2083</v>
      </c>
      <c r="AF279" s="1326" t="s">
        <v>2064</v>
      </c>
      <c r="AG279" s="1410"/>
      <c r="AH279" s="1683">
        <v>51083.73</v>
      </c>
      <c r="AI279" s="1683">
        <v>51083.73</v>
      </c>
      <c r="AJ279" s="1683">
        <v>33194.68</v>
      </c>
      <c r="AK279" s="1683">
        <v>30503.22</v>
      </c>
      <c r="AL279" s="1683">
        <v>2691.46</v>
      </c>
      <c r="AM279" s="1685">
        <v>43263</v>
      </c>
      <c r="AN279" s="1683">
        <v>51083.73</v>
      </c>
      <c r="AO279" s="1683">
        <v>51083.73</v>
      </c>
      <c r="AP279" s="1683">
        <v>33194.68</v>
      </c>
      <c r="AQ279" s="1683">
        <v>30503.22</v>
      </c>
      <c r="AR279" s="1683">
        <v>2691.46</v>
      </c>
      <c r="AS279" s="1683">
        <v>17889.05</v>
      </c>
      <c r="AT279" s="1683">
        <v>0</v>
      </c>
      <c r="AU279" s="1683">
        <v>17889.05</v>
      </c>
      <c r="AV279" s="1683">
        <v>0</v>
      </c>
      <c r="AW279" s="1683">
        <v>0</v>
      </c>
      <c r="AX279" s="1400"/>
      <c r="AY279" s="1400"/>
      <c r="AZ279" s="1400"/>
      <c r="BA279" s="1682"/>
      <c r="BB279" s="1682"/>
      <c r="BC279" s="1400"/>
      <c r="BD279" s="1400"/>
      <c r="BE279" s="1683">
        <v>51083.73</v>
      </c>
      <c r="BF279" s="1683">
        <v>51083.73</v>
      </c>
      <c r="BG279" s="1683">
        <v>33194.68</v>
      </c>
      <c r="BH279" s="1683">
        <v>30503.22</v>
      </c>
      <c r="BI279" s="1683">
        <v>2691.46</v>
      </c>
      <c r="BJ279" s="1683">
        <v>17889.05</v>
      </c>
      <c r="BK279" s="1683">
        <v>0</v>
      </c>
      <c r="BL279" s="1683">
        <v>17889.05</v>
      </c>
      <c r="BM279" s="1683">
        <v>0</v>
      </c>
      <c r="BN279" s="1683">
        <v>0</v>
      </c>
      <c r="BO279" s="1685">
        <v>43364</v>
      </c>
      <c r="BP279" s="1683">
        <v>51083.73</v>
      </c>
      <c r="BQ279" s="1683">
        <v>51083.73</v>
      </c>
      <c r="BR279" s="1683">
        <v>33194.68</v>
      </c>
      <c r="BS279" s="1683">
        <v>30503.22</v>
      </c>
      <c r="BT279" s="1683">
        <v>2691.46</v>
      </c>
      <c r="BU279" s="1683">
        <v>17889.05</v>
      </c>
      <c r="BV279" s="1683">
        <v>0</v>
      </c>
      <c r="BW279" s="1683">
        <v>0</v>
      </c>
      <c r="BX279" s="1683">
        <v>0</v>
      </c>
      <c r="BY279" s="1683">
        <v>0</v>
      </c>
      <c r="BZ279" s="1683">
        <v>0</v>
      </c>
      <c r="CA279" s="1400"/>
      <c r="CB279" s="1682"/>
      <c r="CC279" s="1682"/>
      <c r="CD279" s="1400"/>
      <c r="CE279" s="1400"/>
      <c r="CF279" s="1683">
        <v>0</v>
      </c>
      <c r="CG279" s="1683">
        <v>0</v>
      </c>
      <c r="CH279" s="1683">
        <v>0</v>
      </c>
      <c r="CI279" s="1683">
        <v>0</v>
      </c>
      <c r="CJ279" s="1683">
        <v>0</v>
      </c>
      <c r="CK279" s="1683">
        <v>0</v>
      </c>
      <c r="CL279" s="1682"/>
      <c r="CM279" s="1683">
        <v>0</v>
      </c>
      <c r="CN279" s="1683">
        <v>0</v>
      </c>
      <c r="CO279" s="1683">
        <v>0</v>
      </c>
      <c r="CP279" s="1683">
        <v>0</v>
      </c>
      <c r="CQ279" s="1683">
        <v>0</v>
      </c>
      <c r="CR279" s="1683">
        <v>0</v>
      </c>
      <c r="CS279" s="1683">
        <v>0</v>
      </c>
      <c r="CT279" s="1683">
        <v>0</v>
      </c>
      <c r="CU279" s="1683">
        <v>0</v>
      </c>
      <c r="CV279" s="1683">
        <v>0</v>
      </c>
      <c r="CW279" s="1682"/>
      <c r="CX279" s="1400"/>
      <c r="CY279" s="1400"/>
      <c r="CZ279" s="1400"/>
      <c r="DA279" s="1400"/>
      <c r="DB279" s="1682"/>
      <c r="DC279" s="1326"/>
      <c r="DD279" s="1683">
        <v>0</v>
      </c>
      <c r="DE279" s="1400"/>
      <c r="DF279" s="1400"/>
      <c r="DG279" s="1683">
        <v>0</v>
      </c>
      <c r="DH279" s="1683">
        <v>0</v>
      </c>
    </row>
    <row r="280" spans="1:112" ht="45">
      <c r="A280" s="1326" t="s">
        <v>2289</v>
      </c>
      <c r="B280" s="1326" t="s">
        <v>1700</v>
      </c>
      <c r="C280" s="1326" t="s">
        <v>2561</v>
      </c>
      <c r="D280" s="1326" t="s">
        <v>2562</v>
      </c>
      <c r="E280" s="1326" t="s">
        <v>267</v>
      </c>
      <c r="F280" s="1326" t="s">
        <v>2563</v>
      </c>
      <c r="G280" s="1326" t="s">
        <v>2556</v>
      </c>
      <c r="H280" s="1326" t="s">
        <v>2541</v>
      </c>
      <c r="I280" s="1326" t="s">
        <v>709</v>
      </c>
      <c r="J280" s="1326" t="s">
        <v>160</v>
      </c>
      <c r="K280" s="1326" t="s">
        <v>2110</v>
      </c>
      <c r="L280" s="1326" t="s">
        <v>2061</v>
      </c>
      <c r="M280" s="1400"/>
      <c r="N280" s="1400"/>
      <c r="O280" s="1400"/>
      <c r="P280" s="1400"/>
      <c r="Q280" s="1400"/>
      <c r="R280" s="1400"/>
      <c r="S280" s="1400"/>
      <c r="T280" s="1400"/>
      <c r="U280" s="1400"/>
      <c r="V280" s="1400"/>
      <c r="W280" s="1400"/>
      <c r="X280" s="1400"/>
      <c r="Y280" s="1685">
        <v>43319</v>
      </c>
      <c r="Z280" s="1326" t="s">
        <v>2062</v>
      </c>
      <c r="AA280" s="1683">
        <v>0</v>
      </c>
      <c r="AB280" s="1683">
        <v>0</v>
      </c>
      <c r="AC280" s="1683">
        <v>0</v>
      </c>
      <c r="AD280" s="1685">
        <v>43346</v>
      </c>
      <c r="AE280" s="1326" t="s">
        <v>2084</v>
      </c>
      <c r="AF280" s="1326" t="s">
        <v>2067</v>
      </c>
      <c r="AG280" s="1410"/>
      <c r="AH280" s="1683">
        <v>36461.57</v>
      </c>
      <c r="AI280" s="1683">
        <v>36461.57</v>
      </c>
      <c r="AJ280" s="1683">
        <v>23693.06</v>
      </c>
      <c r="AK280" s="1683">
        <v>21772</v>
      </c>
      <c r="AL280" s="1683">
        <v>1921.06</v>
      </c>
      <c r="AM280" s="1685">
        <v>43348</v>
      </c>
      <c r="AN280" s="1683">
        <v>36461.57</v>
      </c>
      <c r="AO280" s="1683">
        <v>36461.57</v>
      </c>
      <c r="AP280" s="1683">
        <v>23693.06</v>
      </c>
      <c r="AQ280" s="1683">
        <v>21772</v>
      </c>
      <c r="AR280" s="1683">
        <v>1921.06</v>
      </c>
      <c r="AS280" s="1683">
        <v>12768.51</v>
      </c>
      <c r="AT280" s="1683">
        <v>0</v>
      </c>
      <c r="AU280" s="1683">
        <v>12768.51</v>
      </c>
      <c r="AV280" s="1683">
        <v>0</v>
      </c>
      <c r="AW280" s="1683">
        <v>0</v>
      </c>
      <c r="AX280" s="1400"/>
      <c r="AY280" s="1400"/>
      <c r="AZ280" s="1400"/>
      <c r="BA280" s="1682"/>
      <c r="BB280" s="1682"/>
      <c r="BC280" s="1400"/>
      <c r="BD280" s="1400"/>
      <c r="BE280" s="1683">
        <v>36461.57</v>
      </c>
      <c r="BF280" s="1683">
        <v>36461.57</v>
      </c>
      <c r="BG280" s="1683">
        <v>23693.06</v>
      </c>
      <c r="BH280" s="1683">
        <v>21772</v>
      </c>
      <c r="BI280" s="1683">
        <v>1921.06</v>
      </c>
      <c r="BJ280" s="1683">
        <v>12768.51</v>
      </c>
      <c r="BK280" s="1683">
        <v>0</v>
      </c>
      <c r="BL280" s="1683">
        <v>12768.51</v>
      </c>
      <c r="BM280" s="1683">
        <v>0</v>
      </c>
      <c r="BN280" s="1683">
        <v>0</v>
      </c>
      <c r="BO280" s="1685">
        <v>43403</v>
      </c>
      <c r="BP280" s="1683">
        <v>36461.57</v>
      </c>
      <c r="BQ280" s="1683">
        <v>36461.57</v>
      </c>
      <c r="BR280" s="1683">
        <v>23693.06</v>
      </c>
      <c r="BS280" s="1683">
        <v>21772</v>
      </c>
      <c r="BT280" s="1683">
        <v>1921.06</v>
      </c>
      <c r="BU280" s="1683">
        <v>12768.51</v>
      </c>
      <c r="BV280" s="1683">
        <v>0</v>
      </c>
      <c r="BW280" s="1683">
        <v>0</v>
      </c>
      <c r="BX280" s="1683">
        <v>0</v>
      </c>
      <c r="BY280" s="1683">
        <v>0</v>
      </c>
      <c r="BZ280" s="1683">
        <v>0</v>
      </c>
      <c r="CA280" s="1400"/>
      <c r="CB280" s="1682"/>
      <c r="CC280" s="1682"/>
      <c r="CD280" s="1400"/>
      <c r="CE280" s="1400"/>
      <c r="CF280" s="1683">
        <v>0</v>
      </c>
      <c r="CG280" s="1683">
        <v>0</v>
      </c>
      <c r="CH280" s="1683">
        <v>0</v>
      </c>
      <c r="CI280" s="1683">
        <v>0</v>
      </c>
      <c r="CJ280" s="1683">
        <v>0</v>
      </c>
      <c r="CK280" s="1683">
        <v>0</v>
      </c>
      <c r="CL280" s="1682"/>
      <c r="CM280" s="1683">
        <v>0</v>
      </c>
      <c r="CN280" s="1683">
        <v>0</v>
      </c>
      <c r="CO280" s="1683">
        <v>0</v>
      </c>
      <c r="CP280" s="1683">
        <v>0</v>
      </c>
      <c r="CQ280" s="1683">
        <v>0</v>
      </c>
      <c r="CR280" s="1683">
        <v>0</v>
      </c>
      <c r="CS280" s="1683">
        <v>0</v>
      </c>
      <c r="CT280" s="1683">
        <v>0</v>
      </c>
      <c r="CU280" s="1683">
        <v>0</v>
      </c>
      <c r="CV280" s="1683">
        <v>0</v>
      </c>
      <c r="CW280" s="1682"/>
      <c r="CX280" s="1400"/>
      <c r="CY280" s="1400"/>
      <c r="CZ280" s="1400"/>
      <c r="DA280" s="1400"/>
      <c r="DB280" s="1682"/>
      <c r="DC280" s="1326"/>
      <c r="DD280" s="1683">
        <v>0</v>
      </c>
      <c r="DE280" s="1400"/>
      <c r="DF280" s="1400"/>
      <c r="DG280" s="1683">
        <v>0</v>
      </c>
      <c r="DH280" s="1683">
        <v>0</v>
      </c>
    </row>
    <row r="281" spans="1:112" ht="45">
      <c r="A281" s="1326" t="s">
        <v>2290</v>
      </c>
      <c r="B281" s="1326" t="s">
        <v>1700</v>
      </c>
      <c r="C281" s="1326" t="s">
        <v>2561</v>
      </c>
      <c r="D281" s="1326" t="s">
        <v>2562</v>
      </c>
      <c r="E281" s="1326" t="s">
        <v>267</v>
      </c>
      <c r="F281" s="1326" t="s">
        <v>2563</v>
      </c>
      <c r="G281" s="1326" t="s">
        <v>2556</v>
      </c>
      <c r="H281" s="1326" t="s">
        <v>2541</v>
      </c>
      <c r="I281" s="1326" t="s">
        <v>709</v>
      </c>
      <c r="J281" s="1326" t="s">
        <v>160</v>
      </c>
      <c r="K281" s="1326" t="s">
        <v>2110</v>
      </c>
      <c r="L281" s="1326" t="s">
        <v>2061</v>
      </c>
      <c r="M281" s="1400"/>
      <c r="N281" s="1400"/>
      <c r="O281" s="1400"/>
      <c r="P281" s="1400"/>
      <c r="Q281" s="1400"/>
      <c r="R281" s="1400"/>
      <c r="S281" s="1400"/>
      <c r="T281" s="1400"/>
      <c r="U281" s="1400"/>
      <c r="V281" s="1400"/>
      <c r="W281" s="1400"/>
      <c r="X281" s="1400"/>
      <c r="Y281" s="1685">
        <v>43319</v>
      </c>
      <c r="Z281" s="1326" t="s">
        <v>2062</v>
      </c>
      <c r="AA281" s="1683">
        <v>0</v>
      </c>
      <c r="AB281" s="1683">
        <v>0</v>
      </c>
      <c r="AC281" s="1683">
        <v>0</v>
      </c>
      <c r="AD281" s="1685">
        <v>43346</v>
      </c>
      <c r="AE281" s="1326" t="s">
        <v>2084</v>
      </c>
      <c r="AF281" s="1326" t="s">
        <v>2064</v>
      </c>
      <c r="AG281" s="1410"/>
      <c r="AH281" s="1683">
        <v>70944.92</v>
      </c>
      <c r="AI281" s="1683">
        <v>70944.92</v>
      </c>
      <c r="AJ281" s="1683">
        <v>46100.66</v>
      </c>
      <c r="AK281" s="1683">
        <v>42362.77</v>
      </c>
      <c r="AL281" s="1683">
        <v>3737.89</v>
      </c>
      <c r="AM281" s="1685">
        <v>43346</v>
      </c>
      <c r="AN281" s="1683">
        <v>70944.92</v>
      </c>
      <c r="AO281" s="1683">
        <v>70944.92</v>
      </c>
      <c r="AP281" s="1683">
        <v>46100.66</v>
      </c>
      <c r="AQ281" s="1683">
        <v>42362.77</v>
      </c>
      <c r="AR281" s="1683">
        <v>3737.89</v>
      </c>
      <c r="AS281" s="1683">
        <v>24844.26</v>
      </c>
      <c r="AT281" s="1683">
        <v>0</v>
      </c>
      <c r="AU281" s="1683">
        <v>24844.26</v>
      </c>
      <c r="AV281" s="1683">
        <v>0</v>
      </c>
      <c r="AW281" s="1683">
        <v>0</v>
      </c>
      <c r="AX281" s="1400"/>
      <c r="AY281" s="1400"/>
      <c r="AZ281" s="1400"/>
      <c r="BA281" s="1682"/>
      <c r="BB281" s="1682"/>
      <c r="BC281" s="1400"/>
      <c r="BD281" s="1400"/>
      <c r="BE281" s="1683">
        <v>70944.92</v>
      </c>
      <c r="BF281" s="1683">
        <v>70944.92</v>
      </c>
      <c r="BG281" s="1683">
        <v>46100.66</v>
      </c>
      <c r="BH281" s="1683">
        <v>42362.77</v>
      </c>
      <c r="BI281" s="1683">
        <v>3737.89</v>
      </c>
      <c r="BJ281" s="1683">
        <v>24844.26</v>
      </c>
      <c r="BK281" s="1683">
        <v>0</v>
      </c>
      <c r="BL281" s="1683">
        <v>24844.26</v>
      </c>
      <c r="BM281" s="1683">
        <v>0</v>
      </c>
      <c r="BN281" s="1683">
        <v>0</v>
      </c>
      <c r="BO281" s="1685">
        <v>43403</v>
      </c>
      <c r="BP281" s="1683">
        <v>70944.92</v>
      </c>
      <c r="BQ281" s="1683">
        <v>70944.92</v>
      </c>
      <c r="BR281" s="1683">
        <v>46100.66</v>
      </c>
      <c r="BS281" s="1683">
        <v>42362.77</v>
      </c>
      <c r="BT281" s="1683">
        <v>3737.89</v>
      </c>
      <c r="BU281" s="1683">
        <v>24844.26</v>
      </c>
      <c r="BV281" s="1683">
        <v>0</v>
      </c>
      <c r="BW281" s="1683">
        <v>0</v>
      </c>
      <c r="BX281" s="1683">
        <v>0</v>
      </c>
      <c r="BY281" s="1683">
        <v>0</v>
      </c>
      <c r="BZ281" s="1683">
        <v>0</v>
      </c>
      <c r="CA281" s="1400"/>
      <c r="CB281" s="1682"/>
      <c r="CC281" s="1682"/>
      <c r="CD281" s="1400"/>
      <c r="CE281" s="1400"/>
      <c r="CF281" s="1683">
        <v>0</v>
      </c>
      <c r="CG281" s="1683">
        <v>0</v>
      </c>
      <c r="CH281" s="1683">
        <v>0</v>
      </c>
      <c r="CI281" s="1683">
        <v>0</v>
      </c>
      <c r="CJ281" s="1683">
        <v>0</v>
      </c>
      <c r="CK281" s="1683">
        <v>0</v>
      </c>
      <c r="CL281" s="1682"/>
      <c r="CM281" s="1683">
        <v>0</v>
      </c>
      <c r="CN281" s="1683">
        <v>0</v>
      </c>
      <c r="CO281" s="1683">
        <v>0</v>
      </c>
      <c r="CP281" s="1683">
        <v>0</v>
      </c>
      <c r="CQ281" s="1683">
        <v>0</v>
      </c>
      <c r="CR281" s="1683">
        <v>0</v>
      </c>
      <c r="CS281" s="1683">
        <v>0</v>
      </c>
      <c r="CT281" s="1683">
        <v>0</v>
      </c>
      <c r="CU281" s="1683">
        <v>0</v>
      </c>
      <c r="CV281" s="1683">
        <v>0</v>
      </c>
      <c r="CW281" s="1682"/>
      <c r="CX281" s="1400"/>
      <c r="CY281" s="1400"/>
      <c r="CZ281" s="1400"/>
      <c r="DA281" s="1400"/>
      <c r="DB281" s="1682"/>
      <c r="DC281" s="1326"/>
      <c r="DD281" s="1683">
        <v>0</v>
      </c>
      <c r="DE281" s="1400"/>
      <c r="DF281" s="1400"/>
      <c r="DG281" s="1683">
        <v>0</v>
      </c>
      <c r="DH281" s="1683">
        <v>0</v>
      </c>
    </row>
    <row r="282" spans="1:112" ht="45">
      <c r="A282" s="1326" t="s">
        <v>2291</v>
      </c>
      <c r="B282" s="1326" t="s">
        <v>1700</v>
      </c>
      <c r="C282" s="1326" t="s">
        <v>2561</v>
      </c>
      <c r="D282" s="1326" t="s">
        <v>2562</v>
      </c>
      <c r="E282" s="1326" t="s">
        <v>267</v>
      </c>
      <c r="F282" s="1326" t="s">
        <v>2563</v>
      </c>
      <c r="G282" s="1326" t="s">
        <v>2556</v>
      </c>
      <c r="H282" s="1326" t="s">
        <v>2541</v>
      </c>
      <c r="I282" s="1326" t="s">
        <v>709</v>
      </c>
      <c r="J282" s="1326" t="s">
        <v>160</v>
      </c>
      <c r="K282" s="1326" t="s">
        <v>2110</v>
      </c>
      <c r="L282" s="1326" t="s">
        <v>2061</v>
      </c>
      <c r="M282" s="1400"/>
      <c r="N282" s="1400"/>
      <c r="O282" s="1400"/>
      <c r="P282" s="1400"/>
      <c r="Q282" s="1400"/>
      <c r="R282" s="1400"/>
      <c r="S282" s="1400"/>
      <c r="T282" s="1400"/>
      <c r="U282" s="1400"/>
      <c r="V282" s="1400"/>
      <c r="W282" s="1400"/>
      <c r="X282" s="1400"/>
      <c r="Y282" s="1685">
        <v>43403</v>
      </c>
      <c r="Z282" s="1326" t="s">
        <v>2062</v>
      </c>
      <c r="AA282" s="1683">
        <v>0</v>
      </c>
      <c r="AB282" s="1683">
        <v>0</v>
      </c>
      <c r="AC282" s="1683">
        <v>0</v>
      </c>
      <c r="AD282" s="1685">
        <v>43434</v>
      </c>
      <c r="AE282" s="1326" t="s">
        <v>2304</v>
      </c>
      <c r="AF282" s="1326" t="s">
        <v>2067</v>
      </c>
      <c r="AG282" s="1410"/>
      <c r="AH282" s="1683">
        <v>46460.09</v>
      </c>
      <c r="AI282" s="1683">
        <v>46460.09</v>
      </c>
      <c r="AJ282" s="1683">
        <v>30190.2</v>
      </c>
      <c r="AK282" s="1683">
        <v>27742.34</v>
      </c>
      <c r="AL282" s="1683">
        <v>2447.86</v>
      </c>
      <c r="AM282" s="1685">
        <v>43434</v>
      </c>
      <c r="AN282" s="1683">
        <v>46460.09</v>
      </c>
      <c r="AO282" s="1683">
        <v>46460.09</v>
      </c>
      <c r="AP282" s="1683">
        <v>30190.2</v>
      </c>
      <c r="AQ282" s="1683">
        <v>27742.34</v>
      </c>
      <c r="AR282" s="1683">
        <v>2447.86</v>
      </c>
      <c r="AS282" s="1683">
        <v>16269.89</v>
      </c>
      <c r="AT282" s="1683">
        <v>0</v>
      </c>
      <c r="AU282" s="1683">
        <v>16269.89</v>
      </c>
      <c r="AV282" s="1683">
        <v>0</v>
      </c>
      <c r="AW282" s="1683">
        <v>0</v>
      </c>
      <c r="AX282" s="1400"/>
      <c r="AY282" s="1400"/>
      <c r="AZ282" s="1400"/>
      <c r="BA282" s="1682"/>
      <c r="BB282" s="1682"/>
      <c r="BC282" s="1400"/>
      <c r="BD282" s="1400"/>
      <c r="BE282" s="1683">
        <v>46460.09</v>
      </c>
      <c r="BF282" s="1683">
        <v>46460.09</v>
      </c>
      <c r="BG282" s="1683">
        <v>30190.2</v>
      </c>
      <c r="BH282" s="1683">
        <v>27742.34</v>
      </c>
      <c r="BI282" s="1683">
        <v>2447.86</v>
      </c>
      <c r="BJ282" s="1683">
        <v>16269.89</v>
      </c>
      <c r="BK282" s="1683">
        <v>0</v>
      </c>
      <c r="BL282" s="1683">
        <v>16269.89</v>
      </c>
      <c r="BM282" s="1683">
        <v>0</v>
      </c>
      <c r="BN282" s="1683">
        <v>0</v>
      </c>
      <c r="BO282" s="1685">
        <v>43453</v>
      </c>
      <c r="BP282" s="1683">
        <v>46460.09</v>
      </c>
      <c r="BQ282" s="1683">
        <v>46460.09</v>
      </c>
      <c r="BR282" s="1683">
        <v>30190.2</v>
      </c>
      <c r="BS282" s="1683">
        <v>27742.34</v>
      </c>
      <c r="BT282" s="1683">
        <v>2447.86</v>
      </c>
      <c r="BU282" s="1683">
        <v>16269.89</v>
      </c>
      <c r="BV282" s="1683">
        <v>0</v>
      </c>
      <c r="BW282" s="1683">
        <v>0</v>
      </c>
      <c r="BX282" s="1683">
        <v>0</v>
      </c>
      <c r="BY282" s="1683">
        <v>0</v>
      </c>
      <c r="BZ282" s="1683">
        <v>0</v>
      </c>
      <c r="CA282" s="1400"/>
      <c r="CB282" s="1682"/>
      <c r="CC282" s="1682"/>
      <c r="CD282" s="1400"/>
      <c r="CE282" s="1400"/>
      <c r="CF282" s="1683">
        <v>0</v>
      </c>
      <c r="CG282" s="1683">
        <v>0</v>
      </c>
      <c r="CH282" s="1683">
        <v>0</v>
      </c>
      <c r="CI282" s="1683">
        <v>0</v>
      </c>
      <c r="CJ282" s="1683">
        <v>0</v>
      </c>
      <c r="CK282" s="1683">
        <v>0</v>
      </c>
      <c r="CL282" s="1682"/>
      <c r="CM282" s="1683">
        <v>0</v>
      </c>
      <c r="CN282" s="1683">
        <v>0</v>
      </c>
      <c r="CO282" s="1683">
        <v>0</v>
      </c>
      <c r="CP282" s="1683">
        <v>0</v>
      </c>
      <c r="CQ282" s="1683">
        <v>0</v>
      </c>
      <c r="CR282" s="1683">
        <v>0</v>
      </c>
      <c r="CS282" s="1683">
        <v>0</v>
      </c>
      <c r="CT282" s="1683">
        <v>0</v>
      </c>
      <c r="CU282" s="1683">
        <v>0</v>
      </c>
      <c r="CV282" s="1683">
        <v>0</v>
      </c>
      <c r="CW282" s="1682"/>
      <c r="CX282" s="1400"/>
      <c r="CY282" s="1400"/>
      <c r="CZ282" s="1400"/>
      <c r="DA282" s="1400"/>
      <c r="DB282" s="1682"/>
      <c r="DC282" s="1326"/>
      <c r="DD282" s="1683">
        <v>0</v>
      </c>
      <c r="DE282" s="1400"/>
      <c r="DF282" s="1400"/>
      <c r="DG282" s="1683">
        <v>0</v>
      </c>
      <c r="DH282" s="1683">
        <v>0</v>
      </c>
    </row>
    <row r="283" spans="1:112" ht="45">
      <c r="A283" s="1326" t="s">
        <v>2292</v>
      </c>
      <c r="B283" s="1326" t="s">
        <v>1700</v>
      </c>
      <c r="C283" s="1326" t="s">
        <v>2561</v>
      </c>
      <c r="D283" s="1326" t="s">
        <v>2562</v>
      </c>
      <c r="E283" s="1326" t="s">
        <v>267</v>
      </c>
      <c r="F283" s="1326" t="s">
        <v>2563</v>
      </c>
      <c r="G283" s="1326" t="s">
        <v>2556</v>
      </c>
      <c r="H283" s="1326" t="s">
        <v>2541</v>
      </c>
      <c r="I283" s="1326" t="s">
        <v>709</v>
      </c>
      <c r="J283" s="1326" t="s">
        <v>160</v>
      </c>
      <c r="K283" s="1326" t="s">
        <v>2110</v>
      </c>
      <c r="L283" s="1326" t="s">
        <v>2061</v>
      </c>
      <c r="M283" s="1400"/>
      <c r="N283" s="1400"/>
      <c r="O283" s="1400"/>
      <c r="P283" s="1400"/>
      <c r="Q283" s="1400"/>
      <c r="R283" s="1400"/>
      <c r="S283" s="1400"/>
      <c r="T283" s="1400"/>
      <c r="U283" s="1400"/>
      <c r="V283" s="1400"/>
      <c r="W283" s="1400"/>
      <c r="X283" s="1400"/>
      <c r="Y283" s="1685">
        <v>43403</v>
      </c>
      <c r="Z283" s="1326" t="s">
        <v>2062</v>
      </c>
      <c r="AA283" s="1683">
        <v>0</v>
      </c>
      <c r="AB283" s="1683">
        <v>0</v>
      </c>
      <c r="AC283" s="1683">
        <v>0</v>
      </c>
      <c r="AD283" s="1685">
        <v>43434</v>
      </c>
      <c r="AE283" s="1326" t="s">
        <v>2304</v>
      </c>
      <c r="AF283" s="1326" t="s">
        <v>2064</v>
      </c>
      <c r="AG283" s="1410"/>
      <c r="AH283" s="1683">
        <v>29003.79</v>
      </c>
      <c r="AI283" s="1683">
        <v>29003.79</v>
      </c>
      <c r="AJ283" s="1683">
        <v>18846.93</v>
      </c>
      <c r="AK283" s="1683">
        <v>17318.8</v>
      </c>
      <c r="AL283" s="1683">
        <v>1528.13</v>
      </c>
      <c r="AM283" s="1685">
        <v>43434</v>
      </c>
      <c r="AN283" s="1683">
        <v>29003.79</v>
      </c>
      <c r="AO283" s="1683">
        <v>29003.79</v>
      </c>
      <c r="AP283" s="1683">
        <v>18846.93</v>
      </c>
      <c r="AQ283" s="1683">
        <v>17318.8</v>
      </c>
      <c r="AR283" s="1683">
        <v>1528.13</v>
      </c>
      <c r="AS283" s="1683">
        <v>10156.86</v>
      </c>
      <c r="AT283" s="1683">
        <v>0</v>
      </c>
      <c r="AU283" s="1683">
        <v>10156.86</v>
      </c>
      <c r="AV283" s="1683">
        <v>0</v>
      </c>
      <c r="AW283" s="1683">
        <v>0</v>
      </c>
      <c r="AX283" s="1400"/>
      <c r="AY283" s="1400"/>
      <c r="AZ283" s="1400"/>
      <c r="BA283" s="1682"/>
      <c r="BB283" s="1682"/>
      <c r="BC283" s="1400"/>
      <c r="BD283" s="1400"/>
      <c r="BE283" s="1683">
        <v>29003.79</v>
      </c>
      <c r="BF283" s="1683">
        <v>29003.79</v>
      </c>
      <c r="BG283" s="1683">
        <v>18846.93</v>
      </c>
      <c r="BH283" s="1683">
        <v>17318.8</v>
      </c>
      <c r="BI283" s="1683">
        <v>1528.13</v>
      </c>
      <c r="BJ283" s="1683">
        <v>10156.86</v>
      </c>
      <c r="BK283" s="1683">
        <v>0</v>
      </c>
      <c r="BL283" s="1683">
        <v>10156.86</v>
      </c>
      <c r="BM283" s="1683">
        <v>0</v>
      </c>
      <c r="BN283" s="1683">
        <v>0</v>
      </c>
      <c r="BO283" s="1685">
        <v>43453</v>
      </c>
      <c r="BP283" s="1683">
        <v>29003.79</v>
      </c>
      <c r="BQ283" s="1683">
        <v>29003.79</v>
      </c>
      <c r="BR283" s="1683">
        <v>18846.93</v>
      </c>
      <c r="BS283" s="1683">
        <v>17318.8</v>
      </c>
      <c r="BT283" s="1683">
        <v>1528.13</v>
      </c>
      <c r="BU283" s="1683">
        <v>10156.86</v>
      </c>
      <c r="BV283" s="1683">
        <v>0</v>
      </c>
      <c r="BW283" s="1683">
        <v>0</v>
      </c>
      <c r="BX283" s="1683">
        <v>0</v>
      </c>
      <c r="BY283" s="1683">
        <v>0</v>
      </c>
      <c r="BZ283" s="1683">
        <v>0</v>
      </c>
      <c r="CA283" s="1400"/>
      <c r="CB283" s="1682"/>
      <c r="CC283" s="1682"/>
      <c r="CD283" s="1400"/>
      <c r="CE283" s="1400"/>
      <c r="CF283" s="1683">
        <v>0</v>
      </c>
      <c r="CG283" s="1683">
        <v>0</v>
      </c>
      <c r="CH283" s="1683">
        <v>0</v>
      </c>
      <c r="CI283" s="1683">
        <v>0</v>
      </c>
      <c r="CJ283" s="1683">
        <v>0</v>
      </c>
      <c r="CK283" s="1683">
        <v>0</v>
      </c>
      <c r="CL283" s="1682"/>
      <c r="CM283" s="1683">
        <v>0</v>
      </c>
      <c r="CN283" s="1683">
        <v>0</v>
      </c>
      <c r="CO283" s="1683">
        <v>0</v>
      </c>
      <c r="CP283" s="1683">
        <v>0</v>
      </c>
      <c r="CQ283" s="1683">
        <v>0</v>
      </c>
      <c r="CR283" s="1683">
        <v>0</v>
      </c>
      <c r="CS283" s="1683">
        <v>0</v>
      </c>
      <c r="CT283" s="1683">
        <v>0</v>
      </c>
      <c r="CU283" s="1683">
        <v>0</v>
      </c>
      <c r="CV283" s="1683">
        <v>0</v>
      </c>
      <c r="CW283" s="1682"/>
      <c r="CX283" s="1400"/>
      <c r="CY283" s="1400"/>
      <c r="CZ283" s="1400"/>
      <c r="DA283" s="1400"/>
      <c r="DB283" s="1682"/>
      <c r="DC283" s="1326"/>
      <c r="DD283" s="1683">
        <v>0</v>
      </c>
      <c r="DE283" s="1400"/>
      <c r="DF283" s="1400"/>
      <c r="DG283" s="1683">
        <v>0</v>
      </c>
      <c r="DH283" s="1683">
        <v>0</v>
      </c>
    </row>
    <row r="284" spans="1:112" ht="45">
      <c r="A284" s="1326" t="s">
        <v>2294</v>
      </c>
      <c r="B284" s="1326" t="s">
        <v>1700</v>
      </c>
      <c r="C284" s="1326" t="s">
        <v>2561</v>
      </c>
      <c r="D284" s="1326" t="s">
        <v>2562</v>
      </c>
      <c r="E284" s="1326" t="s">
        <v>267</v>
      </c>
      <c r="F284" s="1326" t="s">
        <v>2563</v>
      </c>
      <c r="G284" s="1326" t="s">
        <v>2556</v>
      </c>
      <c r="H284" s="1326" t="s">
        <v>2541</v>
      </c>
      <c r="I284" s="1326" t="s">
        <v>709</v>
      </c>
      <c r="J284" s="1326" t="s">
        <v>160</v>
      </c>
      <c r="K284" s="1326" t="s">
        <v>2110</v>
      </c>
      <c r="L284" s="1326" t="s">
        <v>2061</v>
      </c>
      <c r="M284" s="1400"/>
      <c r="N284" s="1400"/>
      <c r="O284" s="1400"/>
      <c r="P284" s="1400"/>
      <c r="Q284" s="1400"/>
      <c r="R284" s="1400"/>
      <c r="S284" s="1400"/>
      <c r="T284" s="1400"/>
      <c r="U284" s="1400"/>
      <c r="V284" s="1400"/>
      <c r="W284" s="1400"/>
      <c r="X284" s="1400"/>
      <c r="Y284" s="1685">
        <v>43487</v>
      </c>
      <c r="Z284" s="1326" t="s">
        <v>2062</v>
      </c>
      <c r="AA284" s="1683">
        <v>7555.7</v>
      </c>
      <c r="AB284" s="1683">
        <v>6942.93</v>
      </c>
      <c r="AC284" s="1683">
        <v>612.77</v>
      </c>
      <c r="AD284" s="1685">
        <v>43515</v>
      </c>
      <c r="AE284" s="1326" t="s">
        <v>2337</v>
      </c>
      <c r="AF284" s="1326" t="s">
        <v>2064</v>
      </c>
      <c r="AG284" s="1410"/>
      <c r="AH284" s="1683">
        <v>26559.93</v>
      </c>
      <c r="AI284" s="1683">
        <v>26559.93</v>
      </c>
      <c r="AJ284" s="1683">
        <v>9703.18</v>
      </c>
      <c r="AK284" s="1683">
        <v>8916.58</v>
      </c>
      <c r="AL284" s="1683">
        <v>786.6</v>
      </c>
      <c r="AM284" s="1685">
        <v>43515</v>
      </c>
      <c r="AN284" s="1683">
        <v>26559.93</v>
      </c>
      <c r="AO284" s="1683">
        <v>26559.93</v>
      </c>
      <c r="AP284" s="1683">
        <v>17258.88</v>
      </c>
      <c r="AQ284" s="1683">
        <v>15859.51</v>
      </c>
      <c r="AR284" s="1683">
        <v>1399.37</v>
      </c>
      <c r="AS284" s="1683">
        <v>9301.0499999999993</v>
      </c>
      <c r="AT284" s="1683">
        <v>0</v>
      </c>
      <c r="AU284" s="1683">
        <v>9301.0499999999993</v>
      </c>
      <c r="AV284" s="1683">
        <v>0</v>
      </c>
      <c r="AW284" s="1683">
        <v>0</v>
      </c>
      <c r="AX284" s="1400"/>
      <c r="AY284" s="1400"/>
      <c r="AZ284" s="1400"/>
      <c r="BA284" s="1682"/>
      <c r="BB284" s="1682"/>
      <c r="BC284" s="1400"/>
      <c r="BD284" s="1400"/>
      <c r="BE284" s="1683">
        <v>26559.93</v>
      </c>
      <c r="BF284" s="1683">
        <v>26559.93</v>
      </c>
      <c r="BG284" s="1683">
        <v>17258.88</v>
      </c>
      <c r="BH284" s="1683">
        <v>15859.51</v>
      </c>
      <c r="BI284" s="1683">
        <v>1399.37</v>
      </c>
      <c r="BJ284" s="1683">
        <v>9301.0499999999993</v>
      </c>
      <c r="BK284" s="1683">
        <v>0</v>
      </c>
      <c r="BL284" s="1683">
        <v>9301.0499999999993</v>
      </c>
      <c r="BM284" s="1683">
        <v>0</v>
      </c>
      <c r="BN284" s="1683">
        <v>0</v>
      </c>
      <c r="BO284" s="1682"/>
      <c r="BP284" s="1683">
        <v>0</v>
      </c>
      <c r="BQ284" s="1683">
        <v>0</v>
      </c>
      <c r="BR284" s="1683">
        <v>0</v>
      </c>
      <c r="BS284" s="1683">
        <v>0</v>
      </c>
      <c r="BT284" s="1683">
        <v>0</v>
      </c>
      <c r="BU284" s="1683">
        <v>0</v>
      </c>
      <c r="BV284" s="1683">
        <v>0</v>
      </c>
      <c r="BW284" s="1683">
        <v>0</v>
      </c>
      <c r="BX284" s="1683">
        <v>0</v>
      </c>
      <c r="BY284" s="1683">
        <v>0</v>
      </c>
      <c r="BZ284" s="1400"/>
      <c r="CA284" s="1400"/>
      <c r="CB284" s="1682"/>
      <c r="CC284" s="1682"/>
      <c r="CD284" s="1400"/>
      <c r="CE284" s="1400"/>
      <c r="CF284" s="1683">
        <v>0</v>
      </c>
      <c r="CG284" s="1683">
        <v>0</v>
      </c>
      <c r="CH284" s="1683">
        <v>0</v>
      </c>
      <c r="CI284" s="1683">
        <v>0</v>
      </c>
      <c r="CJ284" s="1683">
        <v>0</v>
      </c>
      <c r="CK284" s="1683">
        <v>0</v>
      </c>
      <c r="CL284" s="1682"/>
      <c r="CM284" s="1683">
        <v>0</v>
      </c>
      <c r="CN284" s="1683">
        <v>0</v>
      </c>
      <c r="CO284" s="1683">
        <v>0</v>
      </c>
      <c r="CP284" s="1683">
        <v>0</v>
      </c>
      <c r="CQ284" s="1683">
        <v>0</v>
      </c>
      <c r="CR284" s="1683">
        <v>0</v>
      </c>
      <c r="CS284" s="1683">
        <v>0</v>
      </c>
      <c r="CT284" s="1683">
        <v>0</v>
      </c>
      <c r="CU284" s="1683">
        <v>0</v>
      </c>
      <c r="CV284" s="1683">
        <v>0</v>
      </c>
      <c r="CW284" s="1682"/>
      <c r="CX284" s="1400"/>
      <c r="CY284" s="1400"/>
      <c r="CZ284" s="1400"/>
      <c r="DA284" s="1400"/>
      <c r="DB284" s="1682"/>
      <c r="DC284" s="1326"/>
      <c r="DD284" s="1683">
        <v>0</v>
      </c>
      <c r="DE284" s="1400"/>
      <c r="DF284" s="1400"/>
      <c r="DG284" s="1683">
        <v>0</v>
      </c>
      <c r="DH284" s="1683">
        <v>0</v>
      </c>
    </row>
    <row r="285" spans="1:112" ht="45">
      <c r="A285" s="1326" t="s">
        <v>2295</v>
      </c>
      <c r="B285" s="1326" t="s">
        <v>1700</v>
      </c>
      <c r="C285" s="1326" t="s">
        <v>2561</v>
      </c>
      <c r="D285" s="1326" t="s">
        <v>2562</v>
      </c>
      <c r="E285" s="1326" t="s">
        <v>267</v>
      </c>
      <c r="F285" s="1326" t="s">
        <v>2563</v>
      </c>
      <c r="G285" s="1326" t="s">
        <v>2556</v>
      </c>
      <c r="H285" s="1326" t="s">
        <v>2541</v>
      </c>
      <c r="I285" s="1326" t="s">
        <v>710</v>
      </c>
      <c r="J285" s="1326" t="s">
        <v>299</v>
      </c>
      <c r="K285" s="1326" t="s">
        <v>2069</v>
      </c>
      <c r="L285" s="1326" t="s">
        <v>2061</v>
      </c>
      <c r="M285" s="1683">
        <v>343507</v>
      </c>
      <c r="N285" s="1683">
        <v>0</v>
      </c>
      <c r="O285" s="1683">
        <v>343507</v>
      </c>
      <c r="P285" s="1683">
        <v>343507</v>
      </c>
      <c r="Q285" s="1683">
        <v>317743.96999999997</v>
      </c>
      <c r="R285" s="1683">
        <v>291980.95</v>
      </c>
      <c r="S285" s="1683">
        <v>25763.02</v>
      </c>
      <c r="T285" s="1683">
        <v>25763.03</v>
      </c>
      <c r="U285" s="1683">
        <v>0</v>
      </c>
      <c r="V285" s="1683">
        <v>25763.03</v>
      </c>
      <c r="W285" s="1683">
        <v>0</v>
      </c>
      <c r="X285" s="1683">
        <v>0</v>
      </c>
      <c r="Y285" s="1682"/>
      <c r="Z285" s="1326"/>
      <c r="AA285" s="1683">
        <v>88556.4</v>
      </c>
      <c r="AB285" s="1683">
        <v>81376.149999999994</v>
      </c>
      <c r="AC285" s="1683">
        <v>7180.25</v>
      </c>
      <c r="AD285" s="1682"/>
      <c r="AE285" s="1326"/>
      <c r="AF285" s="1326"/>
      <c r="AG285" s="1410"/>
      <c r="AH285" s="1683">
        <v>200751.51</v>
      </c>
      <c r="AI285" s="1683">
        <v>296074.7</v>
      </c>
      <c r="AJ285" s="1683">
        <v>192461.93</v>
      </c>
      <c r="AK285" s="1683">
        <v>176856.91</v>
      </c>
      <c r="AL285" s="1683">
        <v>15605.02</v>
      </c>
      <c r="AM285" s="1682"/>
      <c r="AN285" s="1683">
        <v>200751.51</v>
      </c>
      <c r="AO285" s="1683">
        <v>200751.51</v>
      </c>
      <c r="AP285" s="1683">
        <v>185695.14</v>
      </c>
      <c r="AQ285" s="1683">
        <v>170638.78</v>
      </c>
      <c r="AR285" s="1683">
        <v>15056.36</v>
      </c>
      <c r="AS285" s="1683">
        <v>15056.37</v>
      </c>
      <c r="AT285" s="1683">
        <v>0</v>
      </c>
      <c r="AU285" s="1683">
        <v>15056.37</v>
      </c>
      <c r="AV285" s="1683">
        <v>0</v>
      </c>
      <c r="AW285" s="1683">
        <v>0</v>
      </c>
      <c r="AX285" s="1683">
        <v>0</v>
      </c>
      <c r="AY285" s="1683">
        <v>0</v>
      </c>
      <c r="AZ285" s="1683">
        <v>0</v>
      </c>
      <c r="BA285" s="1682"/>
      <c r="BB285" s="1682"/>
      <c r="BC285" s="1683">
        <v>0</v>
      </c>
      <c r="BD285" s="1683">
        <v>0</v>
      </c>
      <c r="BE285" s="1683">
        <v>200751.51</v>
      </c>
      <c r="BF285" s="1683">
        <v>200751.51</v>
      </c>
      <c r="BG285" s="1683">
        <v>185695.14</v>
      </c>
      <c r="BH285" s="1683">
        <v>170638.78</v>
      </c>
      <c r="BI285" s="1683">
        <v>15056.36</v>
      </c>
      <c r="BJ285" s="1683">
        <v>15056.37</v>
      </c>
      <c r="BK285" s="1683">
        <v>0</v>
      </c>
      <c r="BL285" s="1683">
        <v>15056.37</v>
      </c>
      <c r="BM285" s="1683">
        <v>0</v>
      </c>
      <c r="BN285" s="1683">
        <v>0</v>
      </c>
      <c r="BO285" s="1682"/>
      <c r="BP285" s="1683">
        <v>200751.51</v>
      </c>
      <c r="BQ285" s="1683">
        <v>200751.51</v>
      </c>
      <c r="BR285" s="1683">
        <v>185695.14</v>
      </c>
      <c r="BS285" s="1683">
        <v>170638.78</v>
      </c>
      <c r="BT285" s="1683">
        <v>15056.36</v>
      </c>
      <c r="BU285" s="1683">
        <v>15056.37</v>
      </c>
      <c r="BV285" s="1683">
        <v>0</v>
      </c>
      <c r="BW285" s="1683">
        <v>865.17</v>
      </c>
      <c r="BX285" s="1683">
        <v>0</v>
      </c>
      <c r="BY285" s="1683">
        <v>0</v>
      </c>
      <c r="BZ285" s="1683">
        <v>0</v>
      </c>
      <c r="CA285" s="1683">
        <v>0</v>
      </c>
      <c r="CB285" s="1682"/>
      <c r="CC285" s="1682"/>
      <c r="CD285" s="1683">
        <v>4827.1099999999997</v>
      </c>
      <c r="CE285" s="1683">
        <v>4827.1099999999997</v>
      </c>
      <c r="CF285" s="1683">
        <v>0</v>
      </c>
      <c r="CG285" s="1683">
        <v>0</v>
      </c>
      <c r="CH285" s="1683">
        <v>0</v>
      </c>
      <c r="CI285" s="1683">
        <v>0</v>
      </c>
      <c r="CJ285" s="1683">
        <v>2160.15</v>
      </c>
      <c r="CK285" s="1683">
        <v>2160.15</v>
      </c>
      <c r="CL285" s="1682"/>
      <c r="CM285" s="1683">
        <v>11535.59</v>
      </c>
      <c r="CN285" s="1683">
        <v>11535.59</v>
      </c>
      <c r="CO285" s="1683">
        <v>10670.42</v>
      </c>
      <c r="CP285" s="1683">
        <v>9805.25</v>
      </c>
      <c r="CQ285" s="1683">
        <v>865.17</v>
      </c>
      <c r="CR285" s="1683">
        <v>865.17</v>
      </c>
      <c r="CS285" s="1683">
        <v>0</v>
      </c>
      <c r="CT285" s="1683">
        <v>865.17</v>
      </c>
      <c r="CU285" s="1683">
        <v>0</v>
      </c>
      <c r="CV285" s="1683">
        <v>0</v>
      </c>
      <c r="CW285" s="1685">
        <v>43144</v>
      </c>
      <c r="CX285" s="1683">
        <v>-4827.1099999999997</v>
      </c>
      <c r="CY285" s="1683">
        <v>-4827.1099999999997</v>
      </c>
      <c r="CZ285" s="1683">
        <v>6708.48</v>
      </c>
      <c r="DA285" s="1683">
        <v>6708.48</v>
      </c>
      <c r="DB285" s="1682"/>
      <c r="DC285" s="1326"/>
      <c r="DD285" s="1683">
        <v>0</v>
      </c>
      <c r="DE285" s="1683">
        <v>0</v>
      </c>
      <c r="DF285" s="1683">
        <v>0</v>
      </c>
      <c r="DG285" s="1683">
        <v>0</v>
      </c>
      <c r="DH285" s="1683">
        <v>0</v>
      </c>
    </row>
    <row r="286" spans="1:112" ht="45">
      <c r="A286" s="1326" t="s">
        <v>2296</v>
      </c>
      <c r="B286" s="1326" t="s">
        <v>1700</v>
      </c>
      <c r="C286" s="1326" t="s">
        <v>2561</v>
      </c>
      <c r="D286" s="1326" t="s">
        <v>2562</v>
      </c>
      <c r="E286" s="1326" t="s">
        <v>267</v>
      </c>
      <c r="F286" s="1326" t="s">
        <v>2563</v>
      </c>
      <c r="G286" s="1326" t="s">
        <v>2556</v>
      </c>
      <c r="H286" s="1326" t="s">
        <v>2541</v>
      </c>
      <c r="I286" s="1326" t="s">
        <v>710</v>
      </c>
      <c r="J286" s="1326" t="s">
        <v>299</v>
      </c>
      <c r="K286" s="1326" t="s">
        <v>2069</v>
      </c>
      <c r="L286" s="1326" t="s">
        <v>2061</v>
      </c>
      <c r="M286" s="1400"/>
      <c r="N286" s="1400"/>
      <c r="O286" s="1400"/>
      <c r="P286" s="1400"/>
      <c r="Q286" s="1400"/>
      <c r="R286" s="1400"/>
      <c r="S286" s="1400"/>
      <c r="T286" s="1400"/>
      <c r="U286" s="1400"/>
      <c r="V286" s="1400"/>
      <c r="W286" s="1400"/>
      <c r="X286" s="1400"/>
      <c r="Y286" s="1685">
        <v>42802</v>
      </c>
      <c r="Z286" s="1326" t="s">
        <v>2062</v>
      </c>
      <c r="AA286" s="1683">
        <v>0</v>
      </c>
      <c r="AB286" s="1683">
        <v>0</v>
      </c>
      <c r="AC286" s="1683">
        <v>0</v>
      </c>
      <c r="AD286" s="1685">
        <v>42821</v>
      </c>
      <c r="AE286" s="1326" t="s">
        <v>2073</v>
      </c>
      <c r="AF286" s="1326" t="s">
        <v>2064</v>
      </c>
      <c r="AG286" s="1410"/>
      <c r="AH286" s="1683">
        <v>4827.1099999999997</v>
      </c>
      <c r="AI286" s="1683">
        <v>4827.1099999999997</v>
      </c>
      <c r="AJ286" s="1683">
        <v>4465.07</v>
      </c>
      <c r="AK286" s="1683">
        <v>4103.04</v>
      </c>
      <c r="AL286" s="1683">
        <v>362.03</v>
      </c>
      <c r="AM286" s="1685">
        <v>42821</v>
      </c>
      <c r="AN286" s="1683">
        <v>4827.1099999999997</v>
      </c>
      <c r="AO286" s="1683">
        <v>4827.1099999999997</v>
      </c>
      <c r="AP286" s="1683">
        <v>4465.07</v>
      </c>
      <c r="AQ286" s="1683">
        <v>4103.04</v>
      </c>
      <c r="AR286" s="1683">
        <v>362.03</v>
      </c>
      <c r="AS286" s="1683">
        <v>362.04</v>
      </c>
      <c r="AT286" s="1683">
        <v>0</v>
      </c>
      <c r="AU286" s="1683">
        <v>362.04</v>
      </c>
      <c r="AV286" s="1683">
        <v>0</v>
      </c>
      <c r="AW286" s="1683">
        <v>0</v>
      </c>
      <c r="AX286" s="1400"/>
      <c r="AY286" s="1400"/>
      <c r="AZ286" s="1400"/>
      <c r="BA286" s="1682"/>
      <c r="BB286" s="1682"/>
      <c r="BC286" s="1400"/>
      <c r="BD286" s="1400"/>
      <c r="BE286" s="1683">
        <v>4827.1099999999997</v>
      </c>
      <c r="BF286" s="1683">
        <v>4827.1099999999997</v>
      </c>
      <c r="BG286" s="1683">
        <v>4465.07</v>
      </c>
      <c r="BH286" s="1683">
        <v>4103.04</v>
      </c>
      <c r="BI286" s="1683">
        <v>362.03</v>
      </c>
      <c r="BJ286" s="1683">
        <v>362.04</v>
      </c>
      <c r="BK286" s="1683">
        <v>0</v>
      </c>
      <c r="BL286" s="1683">
        <v>362.04</v>
      </c>
      <c r="BM286" s="1683">
        <v>0</v>
      </c>
      <c r="BN286" s="1683">
        <v>0</v>
      </c>
      <c r="BO286" s="1685">
        <v>42866</v>
      </c>
      <c r="BP286" s="1683">
        <v>4827.1099999999997</v>
      </c>
      <c r="BQ286" s="1683">
        <v>4827.1099999999997</v>
      </c>
      <c r="BR286" s="1683">
        <v>4465.07</v>
      </c>
      <c r="BS286" s="1683">
        <v>4103.04</v>
      </c>
      <c r="BT286" s="1683">
        <v>362.03</v>
      </c>
      <c r="BU286" s="1683">
        <v>362.04</v>
      </c>
      <c r="BV286" s="1683">
        <v>0</v>
      </c>
      <c r="BW286" s="1683">
        <v>362.04</v>
      </c>
      <c r="BX286" s="1683">
        <v>0</v>
      </c>
      <c r="BY286" s="1683">
        <v>0</v>
      </c>
      <c r="BZ286" s="1683">
        <v>0</v>
      </c>
      <c r="CA286" s="1400"/>
      <c r="CB286" s="1682"/>
      <c r="CC286" s="1682"/>
      <c r="CD286" s="1400"/>
      <c r="CE286" s="1400"/>
      <c r="CF286" s="1683">
        <v>0</v>
      </c>
      <c r="CG286" s="1683">
        <v>0</v>
      </c>
      <c r="CH286" s="1683">
        <v>0</v>
      </c>
      <c r="CI286" s="1683">
        <v>0</v>
      </c>
      <c r="CJ286" s="1683">
        <v>47.61</v>
      </c>
      <c r="CK286" s="1683">
        <v>47.61</v>
      </c>
      <c r="CL286" s="1685">
        <v>43144</v>
      </c>
      <c r="CM286" s="1683">
        <v>4827.1099999999997</v>
      </c>
      <c r="CN286" s="1683">
        <v>4827.1099999999997</v>
      </c>
      <c r="CO286" s="1683">
        <v>4465.07</v>
      </c>
      <c r="CP286" s="1683">
        <v>4103.04</v>
      </c>
      <c r="CQ286" s="1683">
        <v>362.03</v>
      </c>
      <c r="CR286" s="1683">
        <v>362.04</v>
      </c>
      <c r="CS286" s="1683">
        <v>0</v>
      </c>
      <c r="CT286" s="1683">
        <v>362.04</v>
      </c>
      <c r="CU286" s="1683">
        <v>0</v>
      </c>
      <c r="CV286" s="1683">
        <v>0</v>
      </c>
      <c r="CW286" s="1682"/>
      <c r="CX286" s="1400"/>
      <c r="CY286" s="1400"/>
      <c r="CZ286" s="1400"/>
      <c r="DA286" s="1400"/>
      <c r="DB286" s="1682"/>
      <c r="DC286" s="1326"/>
      <c r="DD286" s="1683">
        <v>0</v>
      </c>
      <c r="DE286" s="1400"/>
      <c r="DF286" s="1400"/>
      <c r="DG286" s="1683">
        <v>0</v>
      </c>
      <c r="DH286" s="1683">
        <v>0</v>
      </c>
    </row>
    <row r="287" spans="1:112" ht="45">
      <c r="A287" s="1326" t="s">
        <v>2297</v>
      </c>
      <c r="B287" s="1326" t="s">
        <v>1700</v>
      </c>
      <c r="C287" s="1326" t="s">
        <v>2561</v>
      </c>
      <c r="D287" s="1326" t="s">
        <v>2562</v>
      </c>
      <c r="E287" s="1326" t="s">
        <v>267</v>
      </c>
      <c r="F287" s="1326" t="s">
        <v>2563</v>
      </c>
      <c r="G287" s="1326" t="s">
        <v>2556</v>
      </c>
      <c r="H287" s="1326" t="s">
        <v>2541</v>
      </c>
      <c r="I287" s="1326" t="s">
        <v>710</v>
      </c>
      <c r="J287" s="1326" t="s">
        <v>299</v>
      </c>
      <c r="K287" s="1326" t="s">
        <v>2069</v>
      </c>
      <c r="L287" s="1326" t="s">
        <v>2061</v>
      </c>
      <c r="M287" s="1400"/>
      <c r="N287" s="1400"/>
      <c r="O287" s="1400"/>
      <c r="P287" s="1400"/>
      <c r="Q287" s="1400"/>
      <c r="R287" s="1400"/>
      <c r="S287" s="1400"/>
      <c r="T287" s="1400"/>
      <c r="U287" s="1400"/>
      <c r="V287" s="1400"/>
      <c r="W287" s="1400"/>
      <c r="X287" s="1400"/>
      <c r="Y287" s="1685">
        <v>42887</v>
      </c>
      <c r="Z287" s="1326" t="s">
        <v>2062</v>
      </c>
      <c r="AA287" s="1683">
        <v>0</v>
      </c>
      <c r="AB287" s="1683">
        <v>0</v>
      </c>
      <c r="AC287" s="1683">
        <v>0</v>
      </c>
      <c r="AD287" s="1685">
        <v>42923</v>
      </c>
      <c r="AE287" s="1326" t="s">
        <v>2063</v>
      </c>
      <c r="AF287" s="1326" t="s">
        <v>2067</v>
      </c>
      <c r="AG287" s="1410"/>
      <c r="AH287" s="1683">
        <v>6636.15</v>
      </c>
      <c r="AI287" s="1683">
        <v>6636.15</v>
      </c>
      <c r="AJ287" s="1683">
        <v>6138.44</v>
      </c>
      <c r="AK287" s="1683">
        <v>5640.73</v>
      </c>
      <c r="AL287" s="1683">
        <v>497.71</v>
      </c>
      <c r="AM287" s="1685">
        <v>42930</v>
      </c>
      <c r="AN287" s="1683">
        <v>6636.15</v>
      </c>
      <c r="AO287" s="1683">
        <v>6636.15</v>
      </c>
      <c r="AP287" s="1683">
        <v>6138.44</v>
      </c>
      <c r="AQ287" s="1683">
        <v>5640.73</v>
      </c>
      <c r="AR287" s="1683">
        <v>497.71</v>
      </c>
      <c r="AS287" s="1683">
        <v>497.71</v>
      </c>
      <c r="AT287" s="1683">
        <v>0</v>
      </c>
      <c r="AU287" s="1683">
        <v>497.71</v>
      </c>
      <c r="AV287" s="1683">
        <v>0</v>
      </c>
      <c r="AW287" s="1683">
        <v>0</v>
      </c>
      <c r="AX287" s="1400"/>
      <c r="AY287" s="1400"/>
      <c r="AZ287" s="1400"/>
      <c r="BA287" s="1682"/>
      <c r="BB287" s="1682"/>
      <c r="BC287" s="1400"/>
      <c r="BD287" s="1400"/>
      <c r="BE287" s="1683">
        <v>6636.15</v>
      </c>
      <c r="BF287" s="1683">
        <v>6636.15</v>
      </c>
      <c r="BG287" s="1683">
        <v>6138.44</v>
      </c>
      <c r="BH287" s="1683">
        <v>5640.73</v>
      </c>
      <c r="BI287" s="1683">
        <v>497.71</v>
      </c>
      <c r="BJ287" s="1683">
        <v>497.71</v>
      </c>
      <c r="BK287" s="1683">
        <v>0</v>
      </c>
      <c r="BL287" s="1683">
        <v>497.71</v>
      </c>
      <c r="BM287" s="1683">
        <v>0</v>
      </c>
      <c r="BN287" s="1683">
        <v>0</v>
      </c>
      <c r="BO287" s="1685">
        <v>42993</v>
      </c>
      <c r="BP287" s="1683">
        <v>6636.15</v>
      </c>
      <c r="BQ287" s="1683">
        <v>6636.15</v>
      </c>
      <c r="BR287" s="1683">
        <v>6138.44</v>
      </c>
      <c r="BS287" s="1683">
        <v>5640.73</v>
      </c>
      <c r="BT287" s="1683">
        <v>497.71</v>
      </c>
      <c r="BU287" s="1683">
        <v>497.71</v>
      </c>
      <c r="BV287" s="1683">
        <v>0</v>
      </c>
      <c r="BW287" s="1683">
        <v>497.71</v>
      </c>
      <c r="BX287" s="1683">
        <v>0</v>
      </c>
      <c r="BY287" s="1683">
        <v>0</v>
      </c>
      <c r="BZ287" s="1683">
        <v>0</v>
      </c>
      <c r="CA287" s="1400"/>
      <c r="CB287" s="1682"/>
      <c r="CC287" s="1682"/>
      <c r="CD287" s="1400"/>
      <c r="CE287" s="1400"/>
      <c r="CF287" s="1683">
        <v>0</v>
      </c>
      <c r="CG287" s="1683">
        <v>0</v>
      </c>
      <c r="CH287" s="1683">
        <v>0</v>
      </c>
      <c r="CI287" s="1683">
        <v>0</v>
      </c>
      <c r="CJ287" s="1683">
        <v>0</v>
      </c>
      <c r="CK287" s="1683">
        <v>0</v>
      </c>
      <c r="CL287" s="1685">
        <v>43511</v>
      </c>
      <c r="CM287" s="1683">
        <v>6636.15</v>
      </c>
      <c r="CN287" s="1683">
        <v>6636.15</v>
      </c>
      <c r="CO287" s="1683">
        <v>6138.44</v>
      </c>
      <c r="CP287" s="1683">
        <v>5640.73</v>
      </c>
      <c r="CQ287" s="1683">
        <v>497.71</v>
      </c>
      <c r="CR287" s="1683">
        <v>497.71</v>
      </c>
      <c r="CS287" s="1683">
        <v>0</v>
      </c>
      <c r="CT287" s="1683">
        <v>497.71</v>
      </c>
      <c r="CU287" s="1683">
        <v>0</v>
      </c>
      <c r="CV287" s="1683">
        <v>0</v>
      </c>
      <c r="CW287" s="1682"/>
      <c r="CX287" s="1400"/>
      <c r="CY287" s="1400"/>
      <c r="CZ287" s="1400"/>
      <c r="DA287" s="1400"/>
      <c r="DB287" s="1682"/>
      <c r="DC287" s="1326"/>
      <c r="DD287" s="1683">
        <v>0</v>
      </c>
      <c r="DE287" s="1400"/>
      <c r="DF287" s="1400"/>
      <c r="DG287" s="1683">
        <v>0</v>
      </c>
      <c r="DH287" s="1683">
        <v>0</v>
      </c>
    </row>
    <row r="288" spans="1:112" ht="45">
      <c r="A288" s="1326" t="s">
        <v>2298</v>
      </c>
      <c r="B288" s="1326" t="s">
        <v>1700</v>
      </c>
      <c r="C288" s="1326" t="s">
        <v>2561</v>
      </c>
      <c r="D288" s="1326" t="s">
        <v>2562</v>
      </c>
      <c r="E288" s="1326" t="s">
        <v>267</v>
      </c>
      <c r="F288" s="1326" t="s">
        <v>2563</v>
      </c>
      <c r="G288" s="1326" t="s">
        <v>2556</v>
      </c>
      <c r="H288" s="1326" t="s">
        <v>2541</v>
      </c>
      <c r="I288" s="1326" t="s">
        <v>710</v>
      </c>
      <c r="J288" s="1326" t="s">
        <v>299</v>
      </c>
      <c r="K288" s="1326" t="s">
        <v>2069</v>
      </c>
      <c r="L288" s="1326" t="s">
        <v>2061</v>
      </c>
      <c r="M288" s="1400"/>
      <c r="N288" s="1400"/>
      <c r="O288" s="1400"/>
      <c r="P288" s="1400"/>
      <c r="Q288" s="1400"/>
      <c r="R288" s="1400"/>
      <c r="S288" s="1400"/>
      <c r="T288" s="1400"/>
      <c r="U288" s="1400"/>
      <c r="V288" s="1400"/>
      <c r="W288" s="1400"/>
      <c r="X288" s="1400"/>
      <c r="Y288" s="1685">
        <v>42887</v>
      </c>
      <c r="Z288" s="1326" t="s">
        <v>2062</v>
      </c>
      <c r="AA288" s="1683">
        <v>0</v>
      </c>
      <c r="AB288" s="1683">
        <v>0</v>
      </c>
      <c r="AC288" s="1683">
        <v>0</v>
      </c>
      <c r="AD288" s="1685">
        <v>42923</v>
      </c>
      <c r="AE288" s="1326" t="s">
        <v>2063</v>
      </c>
      <c r="AF288" s="1326" t="s">
        <v>2064</v>
      </c>
      <c r="AG288" s="1410"/>
      <c r="AH288" s="1683">
        <v>72.33</v>
      </c>
      <c r="AI288" s="1683">
        <v>72.33</v>
      </c>
      <c r="AJ288" s="1683">
        <v>66.91</v>
      </c>
      <c r="AK288" s="1683">
        <v>61.48</v>
      </c>
      <c r="AL288" s="1683">
        <v>5.43</v>
      </c>
      <c r="AM288" s="1685">
        <v>42923</v>
      </c>
      <c r="AN288" s="1683">
        <v>72.33</v>
      </c>
      <c r="AO288" s="1683">
        <v>72.33</v>
      </c>
      <c r="AP288" s="1683">
        <v>66.91</v>
      </c>
      <c r="AQ288" s="1683">
        <v>61.48</v>
      </c>
      <c r="AR288" s="1683">
        <v>5.43</v>
      </c>
      <c r="AS288" s="1683">
        <v>5.42</v>
      </c>
      <c r="AT288" s="1683">
        <v>0</v>
      </c>
      <c r="AU288" s="1683">
        <v>5.42</v>
      </c>
      <c r="AV288" s="1683">
        <v>0</v>
      </c>
      <c r="AW288" s="1683">
        <v>0</v>
      </c>
      <c r="AX288" s="1400"/>
      <c r="AY288" s="1400"/>
      <c r="AZ288" s="1400"/>
      <c r="BA288" s="1682"/>
      <c r="BB288" s="1682"/>
      <c r="BC288" s="1400"/>
      <c r="BD288" s="1400"/>
      <c r="BE288" s="1683">
        <v>72.33</v>
      </c>
      <c r="BF288" s="1683">
        <v>72.33</v>
      </c>
      <c r="BG288" s="1683">
        <v>66.91</v>
      </c>
      <c r="BH288" s="1683">
        <v>61.48</v>
      </c>
      <c r="BI288" s="1683">
        <v>5.43</v>
      </c>
      <c r="BJ288" s="1683">
        <v>5.42</v>
      </c>
      <c r="BK288" s="1683">
        <v>0</v>
      </c>
      <c r="BL288" s="1683">
        <v>5.42</v>
      </c>
      <c r="BM288" s="1683">
        <v>0</v>
      </c>
      <c r="BN288" s="1683">
        <v>0</v>
      </c>
      <c r="BO288" s="1685">
        <v>43039</v>
      </c>
      <c r="BP288" s="1683">
        <v>72.33</v>
      </c>
      <c r="BQ288" s="1683">
        <v>72.33</v>
      </c>
      <c r="BR288" s="1683">
        <v>66.91</v>
      </c>
      <c r="BS288" s="1683">
        <v>61.48</v>
      </c>
      <c r="BT288" s="1683">
        <v>5.43</v>
      </c>
      <c r="BU288" s="1683">
        <v>5.42</v>
      </c>
      <c r="BV288" s="1683">
        <v>0</v>
      </c>
      <c r="BW288" s="1683">
        <v>5.42</v>
      </c>
      <c r="BX288" s="1683">
        <v>0</v>
      </c>
      <c r="BY288" s="1683">
        <v>0</v>
      </c>
      <c r="BZ288" s="1683">
        <v>0</v>
      </c>
      <c r="CA288" s="1400"/>
      <c r="CB288" s="1682"/>
      <c r="CC288" s="1682"/>
      <c r="CD288" s="1400"/>
      <c r="CE288" s="1400"/>
      <c r="CF288" s="1683">
        <v>0</v>
      </c>
      <c r="CG288" s="1683">
        <v>0</v>
      </c>
      <c r="CH288" s="1683">
        <v>0</v>
      </c>
      <c r="CI288" s="1683">
        <v>0</v>
      </c>
      <c r="CJ288" s="1683">
        <v>72.33</v>
      </c>
      <c r="CK288" s="1683">
        <v>72.33</v>
      </c>
      <c r="CL288" s="1685">
        <v>43511</v>
      </c>
      <c r="CM288" s="1683">
        <v>72.33</v>
      </c>
      <c r="CN288" s="1683">
        <v>72.33</v>
      </c>
      <c r="CO288" s="1683">
        <v>66.91</v>
      </c>
      <c r="CP288" s="1683">
        <v>61.48</v>
      </c>
      <c r="CQ288" s="1683">
        <v>5.43</v>
      </c>
      <c r="CR288" s="1683">
        <v>5.42</v>
      </c>
      <c r="CS288" s="1683">
        <v>0</v>
      </c>
      <c r="CT288" s="1683">
        <v>5.42</v>
      </c>
      <c r="CU288" s="1683">
        <v>0</v>
      </c>
      <c r="CV288" s="1683">
        <v>0</v>
      </c>
      <c r="CW288" s="1682"/>
      <c r="CX288" s="1400"/>
      <c r="CY288" s="1400"/>
      <c r="CZ288" s="1400"/>
      <c r="DA288" s="1400"/>
      <c r="DB288" s="1682"/>
      <c r="DC288" s="1326"/>
      <c r="DD288" s="1683">
        <v>0</v>
      </c>
      <c r="DE288" s="1400"/>
      <c r="DF288" s="1400"/>
      <c r="DG288" s="1683">
        <v>0</v>
      </c>
      <c r="DH288" s="1683">
        <v>0</v>
      </c>
    </row>
    <row r="289" spans="1:112" ht="45">
      <c r="A289" s="1326" t="s">
        <v>2299</v>
      </c>
      <c r="B289" s="1326" t="s">
        <v>1700</v>
      </c>
      <c r="C289" s="1326" t="s">
        <v>2561</v>
      </c>
      <c r="D289" s="1326" t="s">
        <v>2562</v>
      </c>
      <c r="E289" s="1326" t="s">
        <v>267</v>
      </c>
      <c r="F289" s="1326" t="s">
        <v>2563</v>
      </c>
      <c r="G289" s="1326" t="s">
        <v>2556</v>
      </c>
      <c r="H289" s="1326" t="s">
        <v>2541</v>
      </c>
      <c r="I289" s="1326" t="s">
        <v>710</v>
      </c>
      <c r="J289" s="1326" t="s">
        <v>299</v>
      </c>
      <c r="K289" s="1326" t="s">
        <v>2069</v>
      </c>
      <c r="L289" s="1326" t="s">
        <v>2061</v>
      </c>
      <c r="M289" s="1400"/>
      <c r="N289" s="1400"/>
      <c r="O289" s="1400"/>
      <c r="P289" s="1400"/>
      <c r="Q289" s="1400"/>
      <c r="R289" s="1400"/>
      <c r="S289" s="1400"/>
      <c r="T289" s="1400"/>
      <c r="U289" s="1400"/>
      <c r="V289" s="1400"/>
      <c r="W289" s="1400"/>
      <c r="X289" s="1400"/>
      <c r="Y289" s="1685">
        <v>43157</v>
      </c>
      <c r="Z289" s="1326" t="s">
        <v>2062</v>
      </c>
      <c r="AA289" s="1683">
        <v>0</v>
      </c>
      <c r="AB289" s="1683">
        <v>0</v>
      </c>
      <c r="AC289" s="1683">
        <v>0</v>
      </c>
      <c r="AD289" s="1685">
        <v>43167</v>
      </c>
      <c r="AE289" s="1326" t="s">
        <v>2080</v>
      </c>
      <c r="AF289" s="1326" t="s">
        <v>2067</v>
      </c>
      <c r="AG289" s="1410"/>
      <c r="AH289" s="1683">
        <v>0</v>
      </c>
      <c r="AI289" s="1683">
        <v>0</v>
      </c>
      <c r="AJ289" s="1683">
        <v>0</v>
      </c>
      <c r="AK289" s="1683">
        <v>0</v>
      </c>
      <c r="AL289" s="1683">
        <v>0</v>
      </c>
      <c r="AM289" s="1682"/>
      <c r="AN289" s="1683">
        <v>0</v>
      </c>
      <c r="AO289" s="1683">
        <v>0</v>
      </c>
      <c r="AP289" s="1683">
        <v>0</v>
      </c>
      <c r="AQ289" s="1683">
        <v>0</v>
      </c>
      <c r="AR289" s="1683">
        <v>0</v>
      </c>
      <c r="AS289" s="1683">
        <v>0</v>
      </c>
      <c r="AT289" s="1683">
        <v>0</v>
      </c>
      <c r="AU289" s="1683">
        <v>0</v>
      </c>
      <c r="AV289" s="1683">
        <v>0</v>
      </c>
      <c r="AW289" s="1683">
        <v>0</v>
      </c>
      <c r="AX289" s="1400"/>
      <c r="AY289" s="1400"/>
      <c r="AZ289" s="1400"/>
      <c r="BA289" s="1682"/>
      <c r="BB289" s="1682"/>
      <c r="BC289" s="1400"/>
      <c r="BD289" s="1400"/>
      <c r="BE289" s="1683">
        <v>0</v>
      </c>
      <c r="BF289" s="1683">
        <v>0</v>
      </c>
      <c r="BG289" s="1683">
        <v>0</v>
      </c>
      <c r="BH289" s="1683">
        <v>0</v>
      </c>
      <c r="BI289" s="1683">
        <v>0</v>
      </c>
      <c r="BJ289" s="1683">
        <v>0</v>
      </c>
      <c r="BK289" s="1683">
        <v>0</v>
      </c>
      <c r="BL289" s="1683">
        <v>0</v>
      </c>
      <c r="BM289" s="1683">
        <v>0</v>
      </c>
      <c r="BN289" s="1683">
        <v>0</v>
      </c>
      <c r="BO289" s="1682"/>
      <c r="BP289" s="1683">
        <v>0</v>
      </c>
      <c r="BQ289" s="1683">
        <v>0</v>
      </c>
      <c r="BR289" s="1683">
        <v>0</v>
      </c>
      <c r="BS289" s="1683">
        <v>0</v>
      </c>
      <c r="BT289" s="1683">
        <v>0</v>
      </c>
      <c r="BU289" s="1683">
        <v>0</v>
      </c>
      <c r="BV289" s="1683">
        <v>0</v>
      </c>
      <c r="BW289" s="1683">
        <v>0</v>
      </c>
      <c r="BX289" s="1683">
        <v>0</v>
      </c>
      <c r="BY289" s="1683">
        <v>0</v>
      </c>
      <c r="BZ289" s="1400"/>
      <c r="CA289" s="1400"/>
      <c r="CB289" s="1682"/>
      <c r="CC289" s="1682"/>
      <c r="CD289" s="1400"/>
      <c r="CE289" s="1400"/>
      <c r="CF289" s="1683">
        <v>0</v>
      </c>
      <c r="CG289" s="1683">
        <v>0</v>
      </c>
      <c r="CH289" s="1683">
        <v>0</v>
      </c>
      <c r="CI289" s="1683">
        <v>0</v>
      </c>
      <c r="CJ289" s="1683">
        <v>0</v>
      </c>
      <c r="CK289" s="1683">
        <v>0</v>
      </c>
      <c r="CL289" s="1682"/>
      <c r="CM289" s="1683">
        <v>0</v>
      </c>
      <c r="CN289" s="1683">
        <v>0</v>
      </c>
      <c r="CO289" s="1683">
        <v>0</v>
      </c>
      <c r="CP289" s="1683">
        <v>0</v>
      </c>
      <c r="CQ289" s="1683">
        <v>0</v>
      </c>
      <c r="CR289" s="1683">
        <v>0</v>
      </c>
      <c r="CS289" s="1683">
        <v>0</v>
      </c>
      <c r="CT289" s="1683">
        <v>0</v>
      </c>
      <c r="CU289" s="1683">
        <v>0</v>
      </c>
      <c r="CV289" s="1683">
        <v>0</v>
      </c>
      <c r="CW289" s="1682"/>
      <c r="CX289" s="1400"/>
      <c r="CY289" s="1400"/>
      <c r="CZ289" s="1400"/>
      <c r="DA289" s="1400"/>
      <c r="DB289" s="1682"/>
      <c r="DC289" s="1326"/>
      <c r="DD289" s="1683">
        <v>0</v>
      </c>
      <c r="DE289" s="1400"/>
      <c r="DF289" s="1400"/>
      <c r="DG289" s="1683">
        <v>0</v>
      </c>
      <c r="DH289" s="1683">
        <v>0</v>
      </c>
    </row>
    <row r="290" spans="1:112" ht="45">
      <c r="A290" s="1326" t="s">
        <v>2300</v>
      </c>
      <c r="B290" s="1326" t="s">
        <v>1700</v>
      </c>
      <c r="C290" s="1326" t="s">
        <v>2561</v>
      </c>
      <c r="D290" s="1326" t="s">
        <v>2562</v>
      </c>
      <c r="E290" s="1326" t="s">
        <v>267</v>
      </c>
      <c r="F290" s="1326" t="s">
        <v>2563</v>
      </c>
      <c r="G290" s="1326" t="s">
        <v>2556</v>
      </c>
      <c r="H290" s="1326" t="s">
        <v>2541</v>
      </c>
      <c r="I290" s="1326" t="s">
        <v>710</v>
      </c>
      <c r="J290" s="1326" t="s">
        <v>299</v>
      </c>
      <c r="K290" s="1326" t="s">
        <v>2069</v>
      </c>
      <c r="L290" s="1326" t="s">
        <v>2061</v>
      </c>
      <c r="M290" s="1400"/>
      <c r="N290" s="1400"/>
      <c r="O290" s="1400"/>
      <c r="P290" s="1400"/>
      <c r="Q290" s="1400"/>
      <c r="R290" s="1400"/>
      <c r="S290" s="1400"/>
      <c r="T290" s="1400"/>
      <c r="U290" s="1400"/>
      <c r="V290" s="1400"/>
      <c r="W290" s="1400"/>
      <c r="X290" s="1400"/>
      <c r="Y290" s="1685">
        <v>43157</v>
      </c>
      <c r="Z290" s="1326" t="s">
        <v>2062</v>
      </c>
      <c r="AA290" s="1683">
        <v>0</v>
      </c>
      <c r="AB290" s="1683">
        <v>0</v>
      </c>
      <c r="AC290" s="1683">
        <v>0</v>
      </c>
      <c r="AD290" s="1685">
        <v>43167</v>
      </c>
      <c r="AE290" s="1326" t="s">
        <v>2080</v>
      </c>
      <c r="AF290" s="1326" t="s">
        <v>2064</v>
      </c>
      <c r="AG290" s="1410"/>
      <c r="AH290" s="1683">
        <v>0</v>
      </c>
      <c r="AI290" s="1683">
        <v>0</v>
      </c>
      <c r="AJ290" s="1683">
        <v>0</v>
      </c>
      <c r="AK290" s="1683">
        <v>0</v>
      </c>
      <c r="AL290" s="1683">
        <v>0</v>
      </c>
      <c r="AM290" s="1682"/>
      <c r="AN290" s="1683">
        <v>0</v>
      </c>
      <c r="AO290" s="1683">
        <v>0</v>
      </c>
      <c r="AP290" s="1683">
        <v>0</v>
      </c>
      <c r="AQ290" s="1683">
        <v>0</v>
      </c>
      <c r="AR290" s="1683">
        <v>0</v>
      </c>
      <c r="AS290" s="1683">
        <v>0</v>
      </c>
      <c r="AT290" s="1683">
        <v>0</v>
      </c>
      <c r="AU290" s="1683">
        <v>0</v>
      </c>
      <c r="AV290" s="1683">
        <v>0</v>
      </c>
      <c r="AW290" s="1683">
        <v>0</v>
      </c>
      <c r="AX290" s="1400"/>
      <c r="AY290" s="1400"/>
      <c r="AZ290" s="1400"/>
      <c r="BA290" s="1682"/>
      <c r="BB290" s="1682"/>
      <c r="BC290" s="1400"/>
      <c r="BD290" s="1400"/>
      <c r="BE290" s="1683">
        <v>0</v>
      </c>
      <c r="BF290" s="1683">
        <v>0</v>
      </c>
      <c r="BG290" s="1683">
        <v>0</v>
      </c>
      <c r="BH290" s="1683">
        <v>0</v>
      </c>
      <c r="BI290" s="1683">
        <v>0</v>
      </c>
      <c r="BJ290" s="1683">
        <v>0</v>
      </c>
      <c r="BK290" s="1683">
        <v>0</v>
      </c>
      <c r="BL290" s="1683">
        <v>0</v>
      </c>
      <c r="BM290" s="1683">
        <v>0</v>
      </c>
      <c r="BN290" s="1683">
        <v>0</v>
      </c>
      <c r="BO290" s="1682"/>
      <c r="BP290" s="1683">
        <v>0</v>
      </c>
      <c r="BQ290" s="1683">
        <v>0</v>
      </c>
      <c r="BR290" s="1683">
        <v>0</v>
      </c>
      <c r="BS290" s="1683">
        <v>0</v>
      </c>
      <c r="BT290" s="1683">
        <v>0</v>
      </c>
      <c r="BU290" s="1683">
        <v>0</v>
      </c>
      <c r="BV290" s="1683">
        <v>0</v>
      </c>
      <c r="BW290" s="1683">
        <v>0</v>
      </c>
      <c r="BX290" s="1683">
        <v>0</v>
      </c>
      <c r="BY290" s="1683">
        <v>0</v>
      </c>
      <c r="BZ290" s="1400"/>
      <c r="CA290" s="1400"/>
      <c r="CB290" s="1682"/>
      <c r="CC290" s="1682"/>
      <c r="CD290" s="1400"/>
      <c r="CE290" s="1400"/>
      <c r="CF290" s="1683">
        <v>0</v>
      </c>
      <c r="CG290" s="1683">
        <v>0</v>
      </c>
      <c r="CH290" s="1683">
        <v>0</v>
      </c>
      <c r="CI290" s="1683">
        <v>0</v>
      </c>
      <c r="CJ290" s="1683">
        <v>0</v>
      </c>
      <c r="CK290" s="1683">
        <v>0</v>
      </c>
      <c r="CL290" s="1682"/>
      <c r="CM290" s="1683">
        <v>0</v>
      </c>
      <c r="CN290" s="1683">
        <v>0</v>
      </c>
      <c r="CO290" s="1683">
        <v>0</v>
      </c>
      <c r="CP290" s="1683">
        <v>0</v>
      </c>
      <c r="CQ290" s="1683">
        <v>0</v>
      </c>
      <c r="CR290" s="1683">
        <v>0</v>
      </c>
      <c r="CS290" s="1683">
        <v>0</v>
      </c>
      <c r="CT290" s="1683">
        <v>0</v>
      </c>
      <c r="CU290" s="1683">
        <v>0</v>
      </c>
      <c r="CV290" s="1683">
        <v>0</v>
      </c>
      <c r="CW290" s="1682"/>
      <c r="CX290" s="1400"/>
      <c r="CY290" s="1400"/>
      <c r="CZ290" s="1400"/>
      <c r="DA290" s="1400"/>
      <c r="DB290" s="1682"/>
      <c r="DC290" s="1326"/>
      <c r="DD290" s="1683">
        <v>0</v>
      </c>
      <c r="DE290" s="1400"/>
      <c r="DF290" s="1400"/>
      <c r="DG290" s="1683">
        <v>0</v>
      </c>
      <c r="DH290" s="1683">
        <v>0</v>
      </c>
    </row>
    <row r="291" spans="1:112" ht="45">
      <c r="A291" s="1326" t="s">
        <v>2301</v>
      </c>
      <c r="B291" s="1326" t="s">
        <v>1700</v>
      </c>
      <c r="C291" s="1326" t="s">
        <v>2561</v>
      </c>
      <c r="D291" s="1326" t="s">
        <v>2562</v>
      </c>
      <c r="E291" s="1326" t="s">
        <v>267</v>
      </c>
      <c r="F291" s="1326" t="s">
        <v>2563</v>
      </c>
      <c r="G291" s="1326" t="s">
        <v>2556</v>
      </c>
      <c r="H291" s="1326" t="s">
        <v>2541</v>
      </c>
      <c r="I291" s="1326" t="s">
        <v>710</v>
      </c>
      <c r="J291" s="1326" t="s">
        <v>299</v>
      </c>
      <c r="K291" s="1326" t="s">
        <v>2069</v>
      </c>
      <c r="L291" s="1326" t="s">
        <v>2061</v>
      </c>
      <c r="M291" s="1400"/>
      <c r="N291" s="1400"/>
      <c r="O291" s="1400"/>
      <c r="P291" s="1400"/>
      <c r="Q291" s="1400"/>
      <c r="R291" s="1400"/>
      <c r="S291" s="1400"/>
      <c r="T291" s="1400"/>
      <c r="U291" s="1400"/>
      <c r="V291" s="1400"/>
      <c r="W291" s="1400"/>
      <c r="X291" s="1400"/>
      <c r="Y291" s="1685">
        <v>43223</v>
      </c>
      <c r="Z291" s="1326" t="s">
        <v>2096</v>
      </c>
      <c r="AA291" s="1683">
        <v>0</v>
      </c>
      <c r="AB291" s="1683">
        <v>0</v>
      </c>
      <c r="AC291" s="1683">
        <v>0</v>
      </c>
      <c r="AD291" s="1685">
        <v>43235</v>
      </c>
      <c r="AE291" s="1326" t="s">
        <v>2081</v>
      </c>
      <c r="AF291" s="1326" t="s">
        <v>2064</v>
      </c>
      <c r="AG291" s="1410"/>
      <c r="AH291" s="1683">
        <v>0</v>
      </c>
      <c r="AI291" s="1683">
        <v>95323.19</v>
      </c>
      <c r="AJ291" s="1683">
        <v>95323.19</v>
      </c>
      <c r="AK291" s="1683">
        <v>87594.28</v>
      </c>
      <c r="AL291" s="1683">
        <v>7728.91</v>
      </c>
      <c r="AM291" s="1682"/>
      <c r="AN291" s="1683">
        <v>0</v>
      </c>
      <c r="AO291" s="1683">
        <v>0</v>
      </c>
      <c r="AP291" s="1683">
        <v>0</v>
      </c>
      <c r="AQ291" s="1683">
        <v>0</v>
      </c>
      <c r="AR291" s="1683">
        <v>0</v>
      </c>
      <c r="AS291" s="1683">
        <v>0</v>
      </c>
      <c r="AT291" s="1683">
        <v>0</v>
      </c>
      <c r="AU291" s="1683">
        <v>0</v>
      </c>
      <c r="AV291" s="1683">
        <v>0</v>
      </c>
      <c r="AW291" s="1683">
        <v>0</v>
      </c>
      <c r="AX291" s="1400"/>
      <c r="AY291" s="1400"/>
      <c r="AZ291" s="1400"/>
      <c r="BA291" s="1682"/>
      <c r="BB291" s="1682"/>
      <c r="BC291" s="1400"/>
      <c r="BD291" s="1400"/>
      <c r="BE291" s="1683">
        <v>0</v>
      </c>
      <c r="BF291" s="1683">
        <v>0</v>
      </c>
      <c r="BG291" s="1683">
        <v>0</v>
      </c>
      <c r="BH291" s="1683">
        <v>0</v>
      </c>
      <c r="BI291" s="1683">
        <v>0</v>
      </c>
      <c r="BJ291" s="1683">
        <v>0</v>
      </c>
      <c r="BK291" s="1683">
        <v>0</v>
      </c>
      <c r="BL291" s="1683">
        <v>0</v>
      </c>
      <c r="BM291" s="1683">
        <v>0</v>
      </c>
      <c r="BN291" s="1683">
        <v>0</v>
      </c>
      <c r="BO291" s="1682"/>
      <c r="BP291" s="1683">
        <v>0</v>
      </c>
      <c r="BQ291" s="1683">
        <v>0</v>
      </c>
      <c r="BR291" s="1683">
        <v>0</v>
      </c>
      <c r="BS291" s="1683">
        <v>0</v>
      </c>
      <c r="BT291" s="1683">
        <v>0</v>
      </c>
      <c r="BU291" s="1683">
        <v>0</v>
      </c>
      <c r="BV291" s="1683">
        <v>0</v>
      </c>
      <c r="BW291" s="1683">
        <v>0</v>
      </c>
      <c r="BX291" s="1683">
        <v>0</v>
      </c>
      <c r="BY291" s="1683">
        <v>0</v>
      </c>
      <c r="BZ291" s="1400"/>
      <c r="CA291" s="1400"/>
      <c r="CB291" s="1682"/>
      <c r="CC291" s="1682"/>
      <c r="CD291" s="1400"/>
      <c r="CE291" s="1400"/>
      <c r="CF291" s="1683">
        <v>0</v>
      </c>
      <c r="CG291" s="1683">
        <v>0</v>
      </c>
      <c r="CH291" s="1683">
        <v>0</v>
      </c>
      <c r="CI291" s="1683">
        <v>0</v>
      </c>
      <c r="CJ291" s="1683">
        <v>0</v>
      </c>
      <c r="CK291" s="1683">
        <v>0</v>
      </c>
      <c r="CL291" s="1682"/>
      <c r="CM291" s="1683">
        <v>0</v>
      </c>
      <c r="CN291" s="1683">
        <v>0</v>
      </c>
      <c r="CO291" s="1683">
        <v>0</v>
      </c>
      <c r="CP291" s="1683">
        <v>0</v>
      </c>
      <c r="CQ291" s="1683">
        <v>0</v>
      </c>
      <c r="CR291" s="1683">
        <v>0</v>
      </c>
      <c r="CS291" s="1683">
        <v>0</v>
      </c>
      <c r="CT291" s="1683">
        <v>0</v>
      </c>
      <c r="CU291" s="1683">
        <v>0</v>
      </c>
      <c r="CV291" s="1683">
        <v>0</v>
      </c>
      <c r="CW291" s="1682"/>
      <c r="CX291" s="1400"/>
      <c r="CY291" s="1400"/>
      <c r="CZ291" s="1400"/>
      <c r="DA291" s="1400"/>
      <c r="DB291" s="1682"/>
      <c r="DC291" s="1326"/>
      <c r="DD291" s="1683">
        <v>0</v>
      </c>
      <c r="DE291" s="1400"/>
      <c r="DF291" s="1400"/>
      <c r="DG291" s="1683">
        <v>0</v>
      </c>
      <c r="DH291" s="1683">
        <v>0</v>
      </c>
    </row>
    <row r="292" spans="1:112" ht="45">
      <c r="A292" s="1326" t="s">
        <v>2302</v>
      </c>
      <c r="B292" s="1326" t="s">
        <v>1700</v>
      </c>
      <c r="C292" s="1326" t="s">
        <v>2561</v>
      </c>
      <c r="D292" s="1326" t="s">
        <v>2562</v>
      </c>
      <c r="E292" s="1326" t="s">
        <v>267</v>
      </c>
      <c r="F292" s="1326" t="s">
        <v>2563</v>
      </c>
      <c r="G292" s="1326" t="s">
        <v>2556</v>
      </c>
      <c r="H292" s="1326" t="s">
        <v>2541</v>
      </c>
      <c r="I292" s="1326" t="s">
        <v>710</v>
      </c>
      <c r="J292" s="1326" t="s">
        <v>299</v>
      </c>
      <c r="K292" s="1326" t="s">
        <v>2069</v>
      </c>
      <c r="L292" s="1326" t="s">
        <v>2061</v>
      </c>
      <c r="M292" s="1400"/>
      <c r="N292" s="1400"/>
      <c r="O292" s="1400"/>
      <c r="P292" s="1400"/>
      <c r="Q292" s="1400"/>
      <c r="R292" s="1400"/>
      <c r="S292" s="1400"/>
      <c r="T292" s="1400"/>
      <c r="U292" s="1400"/>
      <c r="V292" s="1400"/>
      <c r="W292" s="1400"/>
      <c r="X292" s="1400"/>
      <c r="Y292" s="1685">
        <v>43248</v>
      </c>
      <c r="Z292" s="1326" t="s">
        <v>2062</v>
      </c>
      <c r="AA292" s="1683">
        <v>0</v>
      </c>
      <c r="AB292" s="1683">
        <v>0</v>
      </c>
      <c r="AC292" s="1683">
        <v>0</v>
      </c>
      <c r="AD292" s="1685">
        <v>43269</v>
      </c>
      <c r="AE292" s="1326" t="s">
        <v>2088</v>
      </c>
      <c r="AF292" s="1326" t="s">
        <v>2067</v>
      </c>
      <c r="AG292" s="1410"/>
      <c r="AH292" s="1683">
        <v>88495.42</v>
      </c>
      <c r="AI292" s="1683">
        <v>88495.42</v>
      </c>
      <c r="AJ292" s="1683">
        <v>81858.259999999995</v>
      </c>
      <c r="AK292" s="1683">
        <v>75221.11</v>
      </c>
      <c r="AL292" s="1683">
        <v>6637.15</v>
      </c>
      <c r="AM292" s="1685">
        <v>43270</v>
      </c>
      <c r="AN292" s="1683">
        <v>88495.42</v>
      </c>
      <c r="AO292" s="1683">
        <v>88495.42</v>
      </c>
      <c r="AP292" s="1683">
        <v>81858.259999999995</v>
      </c>
      <c r="AQ292" s="1683">
        <v>75221.11</v>
      </c>
      <c r="AR292" s="1683">
        <v>6637.15</v>
      </c>
      <c r="AS292" s="1683">
        <v>6637.16</v>
      </c>
      <c r="AT292" s="1683">
        <v>0</v>
      </c>
      <c r="AU292" s="1683">
        <v>6637.16</v>
      </c>
      <c r="AV292" s="1683">
        <v>0</v>
      </c>
      <c r="AW292" s="1683">
        <v>0</v>
      </c>
      <c r="AX292" s="1400"/>
      <c r="AY292" s="1400"/>
      <c r="AZ292" s="1400"/>
      <c r="BA292" s="1682"/>
      <c r="BB292" s="1682"/>
      <c r="BC292" s="1400"/>
      <c r="BD292" s="1400"/>
      <c r="BE292" s="1683">
        <v>88495.42</v>
      </c>
      <c r="BF292" s="1683">
        <v>88495.42</v>
      </c>
      <c r="BG292" s="1683">
        <v>81858.259999999995</v>
      </c>
      <c r="BH292" s="1683">
        <v>75221.11</v>
      </c>
      <c r="BI292" s="1683">
        <v>6637.15</v>
      </c>
      <c r="BJ292" s="1683">
        <v>6637.16</v>
      </c>
      <c r="BK292" s="1683">
        <v>0</v>
      </c>
      <c r="BL292" s="1683">
        <v>6637.16</v>
      </c>
      <c r="BM292" s="1683">
        <v>0</v>
      </c>
      <c r="BN292" s="1683">
        <v>0</v>
      </c>
      <c r="BO292" s="1685">
        <v>43364</v>
      </c>
      <c r="BP292" s="1683">
        <v>88495.42</v>
      </c>
      <c r="BQ292" s="1683">
        <v>88495.42</v>
      </c>
      <c r="BR292" s="1683">
        <v>81858.259999999995</v>
      </c>
      <c r="BS292" s="1683">
        <v>75221.11</v>
      </c>
      <c r="BT292" s="1683">
        <v>6637.15</v>
      </c>
      <c r="BU292" s="1683">
        <v>6637.16</v>
      </c>
      <c r="BV292" s="1683">
        <v>0</v>
      </c>
      <c r="BW292" s="1683">
        <v>0</v>
      </c>
      <c r="BX292" s="1683">
        <v>0</v>
      </c>
      <c r="BY292" s="1683">
        <v>0</v>
      </c>
      <c r="BZ292" s="1683">
        <v>0</v>
      </c>
      <c r="CA292" s="1400"/>
      <c r="CB292" s="1682"/>
      <c r="CC292" s="1682"/>
      <c r="CD292" s="1400"/>
      <c r="CE292" s="1400"/>
      <c r="CF292" s="1683">
        <v>0</v>
      </c>
      <c r="CG292" s="1683">
        <v>0</v>
      </c>
      <c r="CH292" s="1683">
        <v>0</v>
      </c>
      <c r="CI292" s="1683">
        <v>0</v>
      </c>
      <c r="CJ292" s="1683">
        <v>0</v>
      </c>
      <c r="CK292" s="1683">
        <v>0</v>
      </c>
      <c r="CL292" s="1682"/>
      <c r="CM292" s="1683">
        <v>0</v>
      </c>
      <c r="CN292" s="1683">
        <v>0</v>
      </c>
      <c r="CO292" s="1683">
        <v>0</v>
      </c>
      <c r="CP292" s="1683">
        <v>0</v>
      </c>
      <c r="CQ292" s="1683">
        <v>0</v>
      </c>
      <c r="CR292" s="1683">
        <v>0</v>
      </c>
      <c r="CS292" s="1683">
        <v>0</v>
      </c>
      <c r="CT292" s="1683">
        <v>0</v>
      </c>
      <c r="CU292" s="1683">
        <v>0</v>
      </c>
      <c r="CV292" s="1683">
        <v>0</v>
      </c>
      <c r="CW292" s="1682"/>
      <c r="CX292" s="1400"/>
      <c r="CY292" s="1400"/>
      <c r="CZ292" s="1400"/>
      <c r="DA292" s="1400"/>
      <c r="DB292" s="1682"/>
      <c r="DC292" s="1326"/>
      <c r="DD292" s="1683">
        <v>0</v>
      </c>
      <c r="DE292" s="1400"/>
      <c r="DF292" s="1400"/>
      <c r="DG292" s="1683">
        <v>0</v>
      </c>
      <c r="DH292" s="1683">
        <v>0</v>
      </c>
    </row>
    <row r="293" spans="1:112" ht="45">
      <c r="A293" s="1326" t="s">
        <v>2303</v>
      </c>
      <c r="B293" s="1326" t="s">
        <v>1700</v>
      </c>
      <c r="C293" s="1326" t="s">
        <v>2561</v>
      </c>
      <c r="D293" s="1326" t="s">
        <v>2562</v>
      </c>
      <c r="E293" s="1326" t="s">
        <v>267</v>
      </c>
      <c r="F293" s="1326" t="s">
        <v>2563</v>
      </c>
      <c r="G293" s="1326" t="s">
        <v>2556</v>
      </c>
      <c r="H293" s="1326" t="s">
        <v>2541</v>
      </c>
      <c r="I293" s="1326" t="s">
        <v>710</v>
      </c>
      <c r="J293" s="1326" t="s">
        <v>299</v>
      </c>
      <c r="K293" s="1326" t="s">
        <v>2069</v>
      </c>
      <c r="L293" s="1326" t="s">
        <v>2061</v>
      </c>
      <c r="M293" s="1400"/>
      <c r="N293" s="1400"/>
      <c r="O293" s="1400"/>
      <c r="P293" s="1400"/>
      <c r="Q293" s="1400"/>
      <c r="R293" s="1400"/>
      <c r="S293" s="1400"/>
      <c r="T293" s="1400"/>
      <c r="U293" s="1400"/>
      <c r="V293" s="1400"/>
      <c r="W293" s="1400"/>
      <c r="X293" s="1400"/>
      <c r="Y293" s="1685">
        <v>43248</v>
      </c>
      <c r="Z293" s="1326" t="s">
        <v>2062</v>
      </c>
      <c r="AA293" s="1683">
        <v>0</v>
      </c>
      <c r="AB293" s="1683">
        <v>0</v>
      </c>
      <c r="AC293" s="1683">
        <v>0</v>
      </c>
      <c r="AD293" s="1685">
        <v>43269</v>
      </c>
      <c r="AE293" s="1326" t="s">
        <v>2088</v>
      </c>
      <c r="AF293" s="1326" t="s">
        <v>2064</v>
      </c>
      <c r="AG293" s="1410"/>
      <c r="AH293" s="1683">
        <v>964.6</v>
      </c>
      <c r="AI293" s="1683">
        <v>964.6</v>
      </c>
      <c r="AJ293" s="1683">
        <v>892.25</v>
      </c>
      <c r="AK293" s="1683">
        <v>819.91</v>
      </c>
      <c r="AL293" s="1683">
        <v>72.34</v>
      </c>
      <c r="AM293" s="1685">
        <v>43269</v>
      </c>
      <c r="AN293" s="1683">
        <v>964.6</v>
      </c>
      <c r="AO293" s="1683">
        <v>964.6</v>
      </c>
      <c r="AP293" s="1683">
        <v>892.25</v>
      </c>
      <c r="AQ293" s="1683">
        <v>819.91</v>
      </c>
      <c r="AR293" s="1683">
        <v>72.34</v>
      </c>
      <c r="AS293" s="1683">
        <v>72.349999999999994</v>
      </c>
      <c r="AT293" s="1683">
        <v>0</v>
      </c>
      <c r="AU293" s="1683">
        <v>72.349999999999994</v>
      </c>
      <c r="AV293" s="1683">
        <v>0</v>
      </c>
      <c r="AW293" s="1683">
        <v>0</v>
      </c>
      <c r="AX293" s="1400"/>
      <c r="AY293" s="1400"/>
      <c r="AZ293" s="1400"/>
      <c r="BA293" s="1682"/>
      <c r="BB293" s="1682"/>
      <c r="BC293" s="1400"/>
      <c r="BD293" s="1400"/>
      <c r="BE293" s="1683">
        <v>964.6</v>
      </c>
      <c r="BF293" s="1683">
        <v>964.6</v>
      </c>
      <c r="BG293" s="1683">
        <v>892.25</v>
      </c>
      <c r="BH293" s="1683">
        <v>819.91</v>
      </c>
      <c r="BI293" s="1683">
        <v>72.34</v>
      </c>
      <c r="BJ293" s="1683">
        <v>72.349999999999994</v>
      </c>
      <c r="BK293" s="1683">
        <v>0</v>
      </c>
      <c r="BL293" s="1683">
        <v>72.349999999999994</v>
      </c>
      <c r="BM293" s="1683">
        <v>0</v>
      </c>
      <c r="BN293" s="1683">
        <v>0</v>
      </c>
      <c r="BO293" s="1685">
        <v>43364</v>
      </c>
      <c r="BP293" s="1683">
        <v>964.6</v>
      </c>
      <c r="BQ293" s="1683">
        <v>964.6</v>
      </c>
      <c r="BR293" s="1683">
        <v>892.25</v>
      </c>
      <c r="BS293" s="1683">
        <v>819.91</v>
      </c>
      <c r="BT293" s="1683">
        <v>72.34</v>
      </c>
      <c r="BU293" s="1683">
        <v>72.349999999999994</v>
      </c>
      <c r="BV293" s="1683">
        <v>0</v>
      </c>
      <c r="BW293" s="1683">
        <v>0</v>
      </c>
      <c r="BX293" s="1683">
        <v>0</v>
      </c>
      <c r="BY293" s="1683">
        <v>0</v>
      </c>
      <c r="BZ293" s="1683">
        <v>0</v>
      </c>
      <c r="CA293" s="1400"/>
      <c r="CB293" s="1682"/>
      <c r="CC293" s="1682"/>
      <c r="CD293" s="1400"/>
      <c r="CE293" s="1400"/>
      <c r="CF293" s="1683">
        <v>0</v>
      </c>
      <c r="CG293" s="1683">
        <v>0</v>
      </c>
      <c r="CH293" s="1683">
        <v>0</v>
      </c>
      <c r="CI293" s="1683">
        <v>0</v>
      </c>
      <c r="CJ293" s="1683">
        <v>964.6</v>
      </c>
      <c r="CK293" s="1683">
        <v>964.6</v>
      </c>
      <c r="CL293" s="1682"/>
      <c r="CM293" s="1683">
        <v>0</v>
      </c>
      <c r="CN293" s="1683">
        <v>0</v>
      </c>
      <c r="CO293" s="1683">
        <v>0</v>
      </c>
      <c r="CP293" s="1683">
        <v>0</v>
      </c>
      <c r="CQ293" s="1683">
        <v>0</v>
      </c>
      <c r="CR293" s="1683">
        <v>0</v>
      </c>
      <c r="CS293" s="1683">
        <v>0</v>
      </c>
      <c r="CT293" s="1683">
        <v>0</v>
      </c>
      <c r="CU293" s="1683">
        <v>0</v>
      </c>
      <c r="CV293" s="1683">
        <v>0</v>
      </c>
      <c r="CW293" s="1682"/>
      <c r="CX293" s="1400"/>
      <c r="CY293" s="1400"/>
      <c r="CZ293" s="1400"/>
      <c r="DA293" s="1400"/>
      <c r="DB293" s="1682"/>
      <c r="DC293" s="1326"/>
      <c r="DD293" s="1683">
        <v>0</v>
      </c>
      <c r="DE293" s="1400"/>
      <c r="DF293" s="1400"/>
      <c r="DG293" s="1683">
        <v>0</v>
      </c>
      <c r="DH293" s="1683">
        <v>0</v>
      </c>
    </row>
    <row r="294" spans="1:112" ht="45">
      <c r="A294" s="1326" t="s">
        <v>2305</v>
      </c>
      <c r="B294" s="1326" t="s">
        <v>1700</v>
      </c>
      <c r="C294" s="1326" t="s">
        <v>2561</v>
      </c>
      <c r="D294" s="1326" t="s">
        <v>2562</v>
      </c>
      <c r="E294" s="1326" t="s">
        <v>267</v>
      </c>
      <c r="F294" s="1326" t="s">
        <v>2563</v>
      </c>
      <c r="G294" s="1326" t="s">
        <v>2556</v>
      </c>
      <c r="H294" s="1326" t="s">
        <v>2541</v>
      </c>
      <c r="I294" s="1326" t="s">
        <v>710</v>
      </c>
      <c r="J294" s="1326" t="s">
        <v>299</v>
      </c>
      <c r="K294" s="1326" t="s">
        <v>2069</v>
      </c>
      <c r="L294" s="1326" t="s">
        <v>2061</v>
      </c>
      <c r="M294" s="1400"/>
      <c r="N294" s="1400"/>
      <c r="O294" s="1400"/>
      <c r="P294" s="1400"/>
      <c r="Q294" s="1400"/>
      <c r="R294" s="1400"/>
      <c r="S294" s="1400"/>
      <c r="T294" s="1400"/>
      <c r="U294" s="1400"/>
      <c r="V294" s="1400"/>
      <c r="W294" s="1400"/>
      <c r="X294" s="1400"/>
      <c r="Y294" s="1685">
        <v>43374</v>
      </c>
      <c r="Z294" s="1326" t="s">
        <v>2062</v>
      </c>
      <c r="AA294" s="1683">
        <v>52823.19</v>
      </c>
      <c r="AB294" s="1683">
        <v>48540.23</v>
      </c>
      <c r="AC294" s="1683">
        <v>4282.96</v>
      </c>
      <c r="AD294" s="1685">
        <v>43398</v>
      </c>
      <c r="AE294" s="1326" t="s">
        <v>2083</v>
      </c>
      <c r="AF294" s="1326" t="s">
        <v>2067</v>
      </c>
      <c r="AG294" s="1410"/>
      <c r="AH294" s="1683">
        <v>60466.32</v>
      </c>
      <c r="AI294" s="1683">
        <v>60466.32</v>
      </c>
      <c r="AJ294" s="1683">
        <v>3108.16</v>
      </c>
      <c r="AK294" s="1683">
        <v>2856.14</v>
      </c>
      <c r="AL294" s="1683">
        <v>252.02</v>
      </c>
      <c r="AM294" s="1685">
        <v>43398</v>
      </c>
      <c r="AN294" s="1683">
        <v>60466.32</v>
      </c>
      <c r="AO294" s="1683">
        <v>60466.32</v>
      </c>
      <c r="AP294" s="1683">
        <v>55931.35</v>
      </c>
      <c r="AQ294" s="1683">
        <v>51396.37</v>
      </c>
      <c r="AR294" s="1683">
        <v>4534.9799999999996</v>
      </c>
      <c r="AS294" s="1683">
        <v>4534.97</v>
      </c>
      <c r="AT294" s="1683">
        <v>0</v>
      </c>
      <c r="AU294" s="1683">
        <v>4534.97</v>
      </c>
      <c r="AV294" s="1683">
        <v>0</v>
      </c>
      <c r="AW294" s="1683">
        <v>0</v>
      </c>
      <c r="AX294" s="1400"/>
      <c r="AY294" s="1400"/>
      <c r="AZ294" s="1400"/>
      <c r="BA294" s="1682"/>
      <c r="BB294" s="1682"/>
      <c r="BC294" s="1400"/>
      <c r="BD294" s="1400"/>
      <c r="BE294" s="1683">
        <v>60466.32</v>
      </c>
      <c r="BF294" s="1683">
        <v>60466.32</v>
      </c>
      <c r="BG294" s="1683">
        <v>55931.35</v>
      </c>
      <c r="BH294" s="1683">
        <v>51396.37</v>
      </c>
      <c r="BI294" s="1683">
        <v>4534.9799999999996</v>
      </c>
      <c r="BJ294" s="1683">
        <v>4534.97</v>
      </c>
      <c r="BK294" s="1683">
        <v>0</v>
      </c>
      <c r="BL294" s="1683">
        <v>4534.97</v>
      </c>
      <c r="BM294" s="1683">
        <v>0</v>
      </c>
      <c r="BN294" s="1683">
        <v>0</v>
      </c>
      <c r="BO294" s="1685">
        <v>43453</v>
      </c>
      <c r="BP294" s="1683">
        <v>60466.32</v>
      </c>
      <c r="BQ294" s="1683">
        <v>60466.32</v>
      </c>
      <c r="BR294" s="1683">
        <v>55931.35</v>
      </c>
      <c r="BS294" s="1683">
        <v>51396.37</v>
      </c>
      <c r="BT294" s="1683">
        <v>4534.9799999999996</v>
      </c>
      <c r="BU294" s="1683">
        <v>4534.97</v>
      </c>
      <c r="BV294" s="1683">
        <v>0</v>
      </c>
      <c r="BW294" s="1683">
        <v>0</v>
      </c>
      <c r="BX294" s="1683">
        <v>0</v>
      </c>
      <c r="BY294" s="1683">
        <v>0</v>
      </c>
      <c r="BZ294" s="1683">
        <v>0</v>
      </c>
      <c r="CA294" s="1400"/>
      <c r="CB294" s="1682"/>
      <c r="CC294" s="1682"/>
      <c r="CD294" s="1400"/>
      <c r="CE294" s="1400"/>
      <c r="CF294" s="1683">
        <v>0</v>
      </c>
      <c r="CG294" s="1683">
        <v>0</v>
      </c>
      <c r="CH294" s="1683">
        <v>0</v>
      </c>
      <c r="CI294" s="1683">
        <v>0</v>
      </c>
      <c r="CJ294" s="1683">
        <v>0</v>
      </c>
      <c r="CK294" s="1683">
        <v>0</v>
      </c>
      <c r="CL294" s="1682"/>
      <c r="CM294" s="1683">
        <v>0</v>
      </c>
      <c r="CN294" s="1683">
        <v>0</v>
      </c>
      <c r="CO294" s="1683">
        <v>0</v>
      </c>
      <c r="CP294" s="1683">
        <v>0</v>
      </c>
      <c r="CQ294" s="1683">
        <v>0</v>
      </c>
      <c r="CR294" s="1683">
        <v>0</v>
      </c>
      <c r="CS294" s="1683">
        <v>0</v>
      </c>
      <c r="CT294" s="1683">
        <v>0</v>
      </c>
      <c r="CU294" s="1683">
        <v>0</v>
      </c>
      <c r="CV294" s="1683">
        <v>0</v>
      </c>
      <c r="CW294" s="1682"/>
      <c r="CX294" s="1400"/>
      <c r="CY294" s="1400"/>
      <c r="CZ294" s="1400"/>
      <c r="DA294" s="1400"/>
      <c r="DB294" s="1682"/>
      <c r="DC294" s="1326"/>
      <c r="DD294" s="1683">
        <v>0</v>
      </c>
      <c r="DE294" s="1400"/>
      <c r="DF294" s="1400"/>
      <c r="DG294" s="1683">
        <v>0</v>
      </c>
      <c r="DH294" s="1683">
        <v>0</v>
      </c>
    </row>
    <row r="295" spans="1:112" ht="45">
      <c r="A295" s="1326" t="s">
        <v>2306</v>
      </c>
      <c r="B295" s="1326" t="s">
        <v>1700</v>
      </c>
      <c r="C295" s="1326" t="s">
        <v>2561</v>
      </c>
      <c r="D295" s="1326" t="s">
        <v>2562</v>
      </c>
      <c r="E295" s="1326" t="s">
        <v>267</v>
      </c>
      <c r="F295" s="1326" t="s">
        <v>2563</v>
      </c>
      <c r="G295" s="1326" t="s">
        <v>2556</v>
      </c>
      <c r="H295" s="1326" t="s">
        <v>2541</v>
      </c>
      <c r="I295" s="1326" t="s">
        <v>710</v>
      </c>
      <c r="J295" s="1326" t="s">
        <v>299</v>
      </c>
      <c r="K295" s="1326" t="s">
        <v>2069</v>
      </c>
      <c r="L295" s="1326" t="s">
        <v>2061</v>
      </c>
      <c r="M295" s="1400"/>
      <c r="N295" s="1400"/>
      <c r="O295" s="1400"/>
      <c r="P295" s="1400"/>
      <c r="Q295" s="1400"/>
      <c r="R295" s="1400"/>
      <c r="S295" s="1400"/>
      <c r="T295" s="1400"/>
      <c r="U295" s="1400"/>
      <c r="V295" s="1400"/>
      <c r="W295" s="1400"/>
      <c r="X295" s="1400"/>
      <c r="Y295" s="1685">
        <v>43374</v>
      </c>
      <c r="Z295" s="1326" t="s">
        <v>2062</v>
      </c>
      <c r="AA295" s="1683">
        <v>0</v>
      </c>
      <c r="AB295" s="1683">
        <v>0</v>
      </c>
      <c r="AC295" s="1683">
        <v>0</v>
      </c>
      <c r="AD295" s="1685">
        <v>43398</v>
      </c>
      <c r="AE295" s="1326" t="s">
        <v>2083</v>
      </c>
      <c r="AF295" s="1326" t="s">
        <v>2064</v>
      </c>
      <c r="AG295" s="1410"/>
      <c r="AH295" s="1683">
        <v>659.08</v>
      </c>
      <c r="AI295" s="1683">
        <v>659.08</v>
      </c>
      <c r="AJ295" s="1683">
        <v>609.65</v>
      </c>
      <c r="AK295" s="1683">
        <v>560.22</v>
      </c>
      <c r="AL295" s="1683">
        <v>49.43</v>
      </c>
      <c r="AM295" s="1685">
        <v>43398</v>
      </c>
      <c r="AN295" s="1683">
        <v>659.08</v>
      </c>
      <c r="AO295" s="1683">
        <v>659.08</v>
      </c>
      <c r="AP295" s="1683">
        <v>609.65</v>
      </c>
      <c r="AQ295" s="1683">
        <v>560.22</v>
      </c>
      <c r="AR295" s="1683">
        <v>49.43</v>
      </c>
      <c r="AS295" s="1683">
        <v>49.43</v>
      </c>
      <c r="AT295" s="1683">
        <v>0</v>
      </c>
      <c r="AU295" s="1683">
        <v>49.43</v>
      </c>
      <c r="AV295" s="1683">
        <v>0</v>
      </c>
      <c r="AW295" s="1683">
        <v>0</v>
      </c>
      <c r="AX295" s="1400"/>
      <c r="AY295" s="1400"/>
      <c r="AZ295" s="1400"/>
      <c r="BA295" s="1682"/>
      <c r="BB295" s="1682"/>
      <c r="BC295" s="1400"/>
      <c r="BD295" s="1400"/>
      <c r="BE295" s="1683">
        <v>659.08</v>
      </c>
      <c r="BF295" s="1683">
        <v>659.08</v>
      </c>
      <c r="BG295" s="1683">
        <v>609.65</v>
      </c>
      <c r="BH295" s="1683">
        <v>560.22</v>
      </c>
      <c r="BI295" s="1683">
        <v>49.43</v>
      </c>
      <c r="BJ295" s="1683">
        <v>49.43</v>
      </c>
      <c r="BK295" s="1683">
        <v>0</v>
      </c>
      <c r="BL295" s="1683">
        <v>49.43</v>
      </c>
      <c r="BM295" s="1683">
        <v>0</v>
      </c>
      <c r="BN295" s="1683">
        <v>0</v>
      </c>
      <c r="BO295" s="1685">
        <v>43453</v>
      </c>
      <c r="BP295" s="1683">
        <v>659.08</v>
      </c>
      <c r="BQ295" s="1683">
        <v>659.08</v>
      </c>
      <c r="BR295" s="1683">
        <v>609.65</v>
      </c>
      <c r="BS295" s="1683">
        <v>560.22</v>
      </c>
      <c r="BT295" s="1683">
        <v>49.43</v>
      </c>
      <c r="BU295" s="1683">
        <v>49.43</v>
      </c>
      <c r="BV295" s="1683">
        <v>0</v>
      </c>
      <c r="BW295" s="1683">
        <v>0</v>
      </c>
      <c r="BX295" s="1683">
        <v>0</v>
      </c>
      <c r="BY295" s="1683">
        <v>0</v>
      </c>
      <c r="BZ295" s="1683">
        <v>0</v>
      </c>
      <c r="CA295" s="1400"/>
      <c r="CB295" s="1682"/>
      <c r="CC295" s="1682"/>
      <c r="CD295" s="1400"/>
      <c r="CE295" s="1400"/>
      <c r="CF295" s="1683">
        <v>0</v>
      </c>
      <c r="CG295" s="1683">
        <v>0</v>
      </c>
      <c r="CH295" s="1683">
        <v>0</v>
      </c>
      <c r="CI295" s="1683">
        <v>0</v>
      </c>
      <c r="CJ295" s="1683">
        <v>659.08</v>
      </c>
      <c r="CK295" s="1683">
        <v>659.08</v>
      </c>
      <c r="CL295" s="1682"/>
      <c r="CM295" s="1683">
        <v>0</v>
      </c>
      <c r="CN295" s="1683">
        <v>0</v>
      </c>
      <c r="CO295" s="1683">
        <v>0</v>
      </c>
      <c r="CP295" s="1683">
        <v>0</v>
      </c>
      <c r="CQ295" s="1683">
        <v>0</v>
      </c>
      <c r="CR295" s="1683">
        <v>0</v>
      </c>
      <c r="CS295" s="1683">
        <v>0</v>
      </c>
      <c r="CT295" s="1683">
        <v>0</v>
      </c>
      <c r="CU295" s="1683">
        <v>0</v>
      </c>
      <c r="CV295" s="1683">
        <v>0</v>
      </c>
      <c r="CW295" s="1682"/>
      <c r="CX295" s="1400"/>
      <c r="CY295" s="1400"/>
      <c r="CZ295" s="1400"/>
      <c r="DA295" s="1400"/>
      <c r="DB295" s="1682"/>
      <c r="DC295" s="1326"/>
      <c r="DD295" s="1683">
        <v>0</v>
      </c>
      <c r="DE295" s="1400"/>
      <c r="DF295" s="1400"/>
      <c r="DG295" s="1683">
        <v>0</v>
      </c>
      <c r="DH295" s="1683">
        <v>0</v>
      </c>
    </row>
    <row r="296" spans="1:112" ht="45">
      <c r="A296" s="1326" t="s">
        <v>2307</v>
      </c>
      <c r="B296" s="1326" t="s">
        <v>1700</v>
      </c>
      <c r="C296" s="1326" t="s">
        <v>2561</v>
      </c>
      <c r="D296" s="1326" t="s">
        <v>2562</v>
      </c>
      <c r="E296" s="1326" t="s">
        <v>267</v>
      </c>
      <c r="F296" s="1326" t="s">
        <v>2563</v>
      </c>
      <c r="G296" s="1326" t="s">
        <v>2556</v>
      </c>
      <c r="H296" s="1326" t="s">
        <v>2541</v>
      </c>
      <c r="I296" s="1326" t="s">
        <v>710</v>
      </c>
      <c r="J296" s="1326" t="s">
        <v>299</v>
      </c>
      <c r="K296" s="1326" t="s">
        <v>2069</v>
      </c>
      <c r="L296" s="1326" t="s">
        <v>2061</v>
      </c>
      <c r="M296" s="1400"/>
      <c r="N296" s="1400"/>
      <c r="O296" s="1400"/>
      <c r="P296" s="1400"/>
      <c r="Q296" s="1400"/>
      <c r="R296" s="1400"/>
      <c r="S296" s="1400"/>
      <c r="T296" s="1400"/>
      <c r="U296" s="1400"/>
      <c r="V296" s="1400"/>
      <c r="W296" s="1400"/>
      <c r="X296" s="1400"/>
      <c r="Y296" s="1685">
        <v>43410</v>
      </c>
      <c r="Z296" s="1326" t="s">
        <v>2062</v>
      </c>
      <c r="AA296" s="1683">
        <v>35347.919999999998</v>
      </c>
      <c r="AB296" s="1683">
        <v>32481.87</v>
      </c>
      <c r="AC296" s="1683">
        <v>2866.05</v>
      </c>
      <c r="AD296" s="1685">
        <v>43423</v>
      </c>
      <c r="AE296" s="1326" t="s">
        <v>2084</v>
      </c>
      <c r="AF296" s="1326" t="s">
        <v>2067</v>
      </c>
      <c r="AG296" s="1410"/>
      <c r="AH296" s="1683">
        <v>38213.97</v>
      </c>
      <c r="AI296" s="1683">
        <v>38213.97</v>
      </c>
      <c r="AJ296" s="1683">
        <v>0</v>
      </c>
      <c r="AK296" s="1683">
        <v>0</v>
      </c>
      <c r="AL296" s="1683">
        <v>0</v>
      </c>
      <c r="AM296" s="1685">
        <v>43430</v>
      </c>
      <c r="AN296" s="1683">
        <v>38213.97</v>
      </c>
      <c r="AO296" s="1683">
        <v>38213.97</v>
      </c>
      <c r="AP296" s="1683">
        <v>35347.919999999998</v>
      </c>
      <c r="AQ296" s="1683">
        <v>32481.87</v>
      </c>
      <c r="AR296" s="1683">
        <v>2866.05</v>
      </c>
      <c r="AS296" s="1683">
        <v>2866.05</v>
      </c>
      <c r="AT296" s="1683">
        <v>0</v>
      </c>
      <c r="AU296" s="1683">
        <v>2866.05</v>
      </c>
      <c r="AV296" s="1683">
        <v>0</v>
      </c>
      <c r="AW296" s="1683">
        <v>0</v>
      </c>
      <c r="AX296" s="1400"/>
      <c r="AY296" s="1400"/>
      <c r="AZ296" s="1400"/>
      <c r="BA296" s="1682"/>
      <c r="BB296" s="1682"/>
      <c r="BC296" s="1400"/>
      <c r="BD296" s="1400"/>
      <c r="BE296" s="1683">
        <v>38213.97</v>
      </c>
      <c r="BF296" s="1683">
        <v>38213.97</v>
      </c>
      <c r="BG296" s="1683">
        <v>35347.919999999998</v>
      </c>
      <c r="BH296" s="1683">
        <v>32481.87</v>
      </c>
      <c r="BI296" s="1683">
        <v>2866.05</v>
      </c>
      <c r="BJ296" s="1683">
        <v>2866.05</v>
      </c>
      <c r="BK296" s="1683">
        <v>0</v>
      </c>
      <c r="BL296" s="1683">
        <v>2866.05</v>
      </c>
      <c r="BM296" s="1683">
        <v>0</v>
      </c>
      <c r="BN296" s="1683">
        <v>0</v>
      </c>
      <c r="BO296" s="1685">
        <v>43453</v>
      </c>
      <c r="BP296" s="1683">
        <v>38213.97</v>
      </c>
      <c r="BQ296" s="1683">
        <v>38213.97</v>
      </c>
      <c r="BR296" s="1683">
        <v>35347.919999999998</v>
      </c>
      <c r="BS296" s="1683">
        <v>32481.87</v>
      </c>
      <c r="BT296" s="1683">
        <v>2866.05</v>
      </c>
      <c r="BU296" s="1683">
        <v>2866.05</v>
      </c>
      <c r="BV296" s="1683">
        <v>0</v>
      </c>
      <c r="BW296" s="1683">
        <v>0</v>
      </c>
      <c r="BX296" s="1683">
        <v>0</v>
      </c>
      <c r="BY296" s="1683">
        <v>0</v>
      </c>
      <c r="BZ296" s="1683">
        <v>0</v>
      </c>
      <c r="CA296" s="1400"/>
      <c r="CB296" s="1682"/>
      <c r="CC296" s="1682"/>
      <c r="CD296" s="1400"/>
      <c r="CE296" s="1400"/>
      <c r="CF296" s="1683">
        <v>0</v>
      </c>
      <c r="CG296" s="1683">
        <v>0</v>
      </c>
      <c r="CH296" s="1683">
        <v>0</v>
      </c>
      <c r="CI296" s="1683">
        <v>0</v>
      </c>
      <c r="CJ296" s="1683">
        <v>0</v>
      </c>
      <c r="CK296" s="1683">
        <v>0</v>
      </c>
      <c r="CL296" s="1682"/>
      <c r="CM296" s="1683">
        <v>0</v>
      </c>
      <c r="CN296" s="1683">
        <v>0</v>
      </c>
      <c r="CO296" s="1683">
        <v>0</v>
      </c>
      <c r="CP296" s="1683">
        <v>0</v>
      </c>
      <c r="CQ296" s="1683">
        <v>0</v>
      </c>
      <c r="CR296" s="1683">
        <v>0</v>
      </c>
      <c r="CS296" s="1683">
        <v>0</v>
      </c>
      <c r="CT296" s="1683">
        <v>0</v>
      </c>
      <c r="CU296" s="1683">
        <v>0</v>
      </c>
      <c r="CV296" s="1683">
        <v>0</v>
      </c>
      <c r="CW296" s="1682"/>
      <c r="CX296" s="1400"/>
      <c r="CY296" s="1400"/>
      <c r="CZ296" s="1400"/>
      <c r="DA296" s="1400"/>
      <c r="DB296" s="1682"/>
      <c r="DC296" s="1326"/>
      <c r="DD296" s="1683">
        <v>0</v>
      </c>
      <c r="DE296" s="1400"/>
      <c r="DF296" s="1400"/>
      <c r="DG296" s="1683">
        <v>0</v>
      </c>
      <c r="DH296" s="1683">
        <v>0</v>
      </c>
    </row>
    <row r="297" spans="1:112" ht="45">
      <c r="A297" s="1326" t="s">
        <v>2308</v>
      </c>
      <c r="B297" s="1326" t="s">
        <v>1700</v>
      </c>
      <c r="C297" s="1326" t="s">
        <v>2561</v>
      </c>
      <c r="D297" s="1326" t="s">
        <v>2562</v>
      </c>
      <c r="E297" s="1326" t="s">
        <v>267</v>
      </c>
      <c r="F297" s="1326" t="s">
        <v>2563</v>
      </c>
      <c r="G297" s="1326" t="s">
        <v>2556</v>
      </c>
      <c r="H297" s="1326" t="s">
        <v>2541</v>
      </c>
      <c r="I297" s="1326" t="s">
        <v>710</v>
      </c>
      <c r="J297" s="1326" t="s">
        <v>299</v>
      </c>
      <c r="K297" s="1326" t="s">
        <v>2069</v>
      </c>
      <c r="L297" s="1326" t="s">
        <v>2061</v>
      </c>
      <c r="M297" s="1400"/>
      <c r="N297" s="1400"/>
      <c r="O297" s="1400"/>
      <c r="P297" s="1400"/>
      <c r="Q297" s="1400"/>
      <c r="R297" s="1400"/>
      <c r="S297" s="1400"/>
      <c r="T297" s="1400"/>
      <c r="U297" s="1400"/>
      <c r="V297" s="1400"/>
      <c r="W297" s="1400"/>
      <c r="X297" s="1400"/>
      <c r="Y297" s="1685">
        <v>43410</v>
      </c>
      <c r="Z297" s="1326" t="s">
        <v>2062</v>
      </c>
      <c r="AA297" s="1683">
        <v>385.29</v>
      </c>
      <c r="AB297" s="1683">
        <v>354.05</v>
      </c>
      <c r="AC297" s="1683">
        <v>31.24</v>
      </c>
      <c r="AD297" s="1685">
        <v>43423</v>
      </c>
      <c r="AE297" s="1326" t="s">
        <v>2084</v>
      </c>
      <c r="AF297" s="1326" t="s">
        <v>2064</v>
      </c>
      <c r="AG297" s="1410"/>
      <c r="AH297" s="1683">
        <v>416.53</v>
      </c>
      <c r="AI297" s="1683">
        <v>416.53</v>
      </c>
      <c r="AJ297" s="1683">
        <v>0</v>
      </c>
      <c r="AK297" s="1683">
        <v>0</v>
      </c>
      <c r="AL297" s="1683">
        <v>0</v>
      </c>
      <c r="AM297" s="1685">
        <v>43423</v>
      </c>
      <c r="AN297" s="1683">
        <v>416.53</v>
      </c>
      <c r="AO297" s="1683">
        <v>416.53</v>
      </c>
      <c r="AP297" s="1683">
        <v>385.29</v>
      </c>
      <c r="AQ297" s="1683">
        <v>354.05</v>
      </c>
      <c r="AR297" s="1683">
        <v>31.24</v>
      </c>
      <c r="AS297" s="1683">
        <v>31.24</v>
      </c>
      <c r="AT297" s="1683">
        <v>0</v>
      </c>
      <c r="AU297" s="1683">
        <v>31.24</v>
      </c>
      <c r="AV297" s="1683">
        <v>0</v>
      </c>
      <c r="AW297" s="1683">
        <v>0</v>
      </c>
      <c r="AX297" s="1400"/>
      <c r="AY297" s="1400"/>
      <c r="AZ297" s="1400"/>
      <c r="BA297" s="1682"/>
      <c r="BB297" s="1682"/>
      <c r="BC297" s="1400"/>
      <c r="BD297" s="1400"/>
      <c r="BE297" s="1683">
        <v>416.53</v>
      </c>
      <c r="BF297" s="1683">
        <v>416.53</v>
      </c>
      <c r="BG297" s="1683">
        <v>385.29</v>
      </c>
      <c r="BH297" s="1683">
        <v>354.05</v>
      </c>
      <c r="BI297" s="1683">
        <v>31.24</v>
      </c>
      <c r="BJ297" s="1683">
        <v>31.24</v>
      </c>
      <c r="BK297" s="1683">
        <v>0</v>
      </c>
      <c r="BL297" s="1683">
        <v>31.24</v>
      </c>
      <c r="BM297" s="1683">
        <v>0</v>
      </c>
      <c r="BN297" s="1683">
        <v>0</v>
      </c>
      <c r="BO297" s="1685">
        <v>43453</v>
      </c>
      <c r="BP297" s="1683">
        <v>416.53</v>
      </c>
      <c r="BQ297" s="1683">
        <v>416.53</v>
      </c>
      <c r="BR297" s="1683">
        <v>385.29</v>
      </c>
      <c r="BS297" s="1683">
        <v>354.05</v>
      </c>
      <c r="BT297" s="1683">
        <v>31.24</v>
      </c>
      <c r="BU297" s="1683">
        <v>31.24</v>
      </c>
      <c r="BV297" s="1683">
        <v>0</v>
      </c>
      <c r="BW297" s="1683">
        <v>0</v>
      </c>
      <c r="BX297" s="1683">
        <v>0</v>
      </c>
      <c r="BY297" s="1683">
        <v>0</v>
      </c>
      <c r="BZ297" s="1683">
        <v>0</v>
      </c>
      <c r="CA297" s="1400"/>
      <c r="CB297" s="1682"/>
      <c r="CC297" s="1682"/>
      <c r="CD297" s="1400"/>
      <c r="CE297" s="1400"/>
      <c r="CF297" s="1683">
        <v>0</v>
      </c>
      <c r="CG297" s="1683">
        <v>0</v>
      </c>
      <c r="CH297" s="1683">
        <v>0</v>
      </c>
      <c r="CI297" s="1683">
        <v>0</v>
      </c>
      <c r="CJ297" s="1683">
        <v>416.53</v>
      </c>
      <c r="CK297" s="1683">
        <v>416.53</v>
      </c>
      <c r="CL297" s="1682"/>
      <c r="CM297" s="1683">
        <v>0</v>
      </c>
      <c r="CN297" s="1683">
        <v>0</v>
      </c>
      <c r="CO297" s="1683">
        <v>0</v>
      </c>
      <c r="CP297" s="1683">
        <v>0</v>
      </c>
      <c r="CQ297" s="1683">
        <v>0</v>
      </c>
      <c r="CR297" s="1683">
        <v>0</v>
      </c>
      <c r="CS297" s="1683">
        <v>0</v>
      </c>
      <c r="CT297" s="1683">
        <v>0</v>
      </c>
      <c r="CU297" s="1683">
        <v>0</v>
      </c>
      <c r="CV297" s="1683">
        <v>0</v>
      </c>
      <c r="CW297" s="1682"/>
      <c r="CX297" s="1400"/>
      <c r="CY297" s="1400"/>
      <c r="CZ297" s="1400"/>
      <c r="DA297" s="1400"/>
      <c r="DB297" s="1682"/>
      <c r="DC297" s="1326"/>
      <c r="DD297" s="1683">
        <v>0</v>
      </c>
      <c r="DE297" s="1400"/>
      <c r="DF297" s="1400"/>
      <c r="DG297" s="1683">
        <v>0</v>
      </c>
      <c r="DH297" s="1683">
        <v>0</v>
      </c>
    </row>
    <row r="298" spans="1:112">
      <c r="A298" s="1326" t="s">
        <v>2309</v>
      </c>
      <c r="B298" s="1326" t="s">
        <v>1700</v>
      </c>
      <c r="C298" s="1326" t="s">
        <v>2561</v>
      </c>
      <c r="D298" s="1326" t="s">
        <v>2562</v>
      </c>
      <c r="E298" s="1326" t="s">
        <v>143</v>
      </c>
      <c r="F298" s="1326"/>
      <c r="G298" s="1326"/>
      <c r="H298" s="1326"/>
      <c r="I298" s="1326"/>
      <c r="J298" s="1326"/>
      <c r="K298" s="1326"/>
      <c r="L298" s="1326"/>
      <c r="M298" s="1683">
        <v>1972835.51</v>
      </c>
      <c r="N298" s="1683">
        <v>0</v>
      </c>
      <c r="O298" s="1683">
        <v>1972835.51</v>
      </c>
      <c r="P298" s="1683">
        <v>1972835.51</v>
      </c>
      <c r="Q298" s="1683">
        <v>1198163.7</v>
      </c>
      <c r="R298" s="1683">
        <v>1198163.7</v>
      </c>
      <c r="S298" s="1683">
        <v>0</v>
      </c>
      <c r="T298" s="1683">
        <v>774671.81</v>
      </c>
      <c r="U298" s="1683">
        <v>352400.82</v>
      </c>
      <c r="V298" s="1683">
        <v>422270.99</v>
      </c>
      <c r="W298" s="1683">
        <v>0</v>
      </c>
      <c r="X298" s="1683">
        <v>0</v>
      </c>
      <c r="Y298" s="1682"/>
      <c r="Z298" s="1326"/>
      <c r="AA298" s="1683">
        <v>117739.45</v>
      </c>
      <c r="AB298" s="1683">
        <v>117739.45</v>
      </c>
      <c r="AC298" s="1683">
        <v>0</v>
      </c>
      <c r="AD298" s="1682"/>
      <c r="AE298" s="1326"/>
      <c r="AF298" s="1326"/>
      <c r="AG298" s="1410"/>
      <c r="AH298" s="1683">
        <v>1249392.01</v>
      </c>
      <c r="AI298" s="1683">
        <v>1459254.27</v>
      </c>
      <c r="AJ298" s="1683">
        <v>805549.99</v>
      </c>
      <c r="AK298" s="1683">
        <v>805549.99</v>
      </c>
      <c r="AL298" s="1683">
        <v>0</v>
      </c>
      <c r="AM298" s="1682"/>
      <c r="AN298" s="1683">
        <v>1228416.3799999999</v>
      </c>
      <c r="AO298" s="1683">
        <v>1228416.3799999999</v>
      </c>
      <c r="AP298" s="1683">
        <v>701924.65</v>
      </c>
      <c r="AQ298" s="1683">
        <v>701924.65</v>
      </c>
      <c r="AR298" s="1683">
        <v>0</v>
      </c>
      <c r="AS298" s="1683">
        <v>526491.73</v>
      </c>
      <c r="AT298" s="1683">
        <v>318879.01</v>
      </c>
      <c r="AU298" s="1683">
        <v>207612.72</v>
      </c>
      <c r="AV298" s="1683">
        <v>0</v>
      </c>
      <c r="AW298" s="1683">
        <v>0</v>
      </c>
      <c r="AX298" s="1683">
        <v>0</v>
      </c>
      <c r="AY298" s="1683">
        <v>0</v>
      </c>
      <c r="AZ298" s="1683">
        <v>0</v>
      </c>
      <c r="BA298" s="1682"/>
      <c r="BB298" s="1682"/>
      <c r="BC298" s="1683">
        <v>0</v>
      </c>
      <c r="BD298" s="1683">
        <v>0</v>
      </c>
      <c r="BE298" s="1683">
        <v>1228416.3799999999</v>
      </c>
      <c r="BF298" s="1683">
        <v>1228416.3799999999</v>
      </c>
      <c r="BG298" s="1683">
        <v>701924.65</v>
      </c>
      <c r="BH298" s="1683">
        <v>701924.65</v>
      </c>
      <c r="BI298" s="1683">
        <v>0</v>
      </c>
      <c r="BJ298" s="1683">
        <v>526491.73</v>
      </c>
      <c r="BK298" s="1683">
        <v>318879.01</v>
      </c>
      <c r="BL298" s="1683">
        <v>207612.72</v>
      </c>
      <c r="BM298" s="1683">
        <v>0</v>
      </c>
      <c r="BN298" s="1683">
        <v>0</v>
      </c>
      <c r="BO298" s="1682"/>
      <c r="BP298" s="1683">
        <v>1150943</v>
      </c>
      <c r="BQ298" s="1683">
        <v>1150943</v>
      </c>
      <c r="BR298" s="1683">
        <v>637057.18000000005</v>
      </c>
      <c r="BS298" s="1683">
        <v>637057.18000000005</v>
      </c>
      <c r="BT298" s="1683">
        <v>0</v>
      </c>
      <c r="BU298" s="1683">
        <v>513885.82</v>
      </c>
      <c r="BV298" s="1683">
        <v>318879.01</v>
      </c>
      <c r="BW298" s="1683">
        <v>8811.76</v>
      </c>
      <c r="BX298" s="1683">
        <v>0</v>
      </c>
      <c r="BY298" s="1683">
        <v>0</v>
      </c>
      <c r="BZ298" s="1683">
        <v>0</v>
      </c>
      <c r="CA298" s="1683">
        <v>0</v>
      </c>
      <c r="CB298" s="1682"/>
      <c r="CC298" s="1682"/>
      <c r="CD298" s="1683">
        <v>0</v>
      </c>
      <c r="CE298" s="1683">
        <v>0</v>
      </c>
      <c r="CF298" s="1683">
        <v>0</v>
      </c>
      <c r="CG298" s="1683">
        <v>0</v>
      </c>
      <c r="CH298" s="1683">
        <v>0</v>
      </c>
      <c r="CI298" s="1683">
        <v>0</v>
      </c>
      <c r="CJ298" s="1683">
        <v>8976.2800000000007</v>
      </c>
      <c r="CK298" s="1683">
        <v>8976.2800000000007</v>
      </c>
      <c r="CL298" s="1682"/>
      <c r="CM298" s="1683">
        <v>57940.18</v>
      </c>
      <c r="CN298" s="1683">
        <v>57940.18</v>
      </c>
      <c r="CO298" s="1683">
        <v>46052.68</v>
      </c>
      <c r="CP298" s="1683">
        <v>46052.68</v>
      </c>
      <c r="CQ298" s="1683">
        <v>0</v>
      </c>
      <c r="CR298" s="1683">
        <v>11887.5</v>
      </c>
      <c r="CS298" s="1683">
        <v>3075.74</v>
      </c>
      <c r="CT298" s="1683">
        <v>8811.76</v>
      </c>
      <c r="CU298" s="1683">
        <v>0</v>
      </c>
      <c r="CV298" s="1683">
        <v>0</v>
      </c>
      <c r="CW298" s="1682"/>
      <c r="CX298" s="1683">
        <v>0</v>
      </c>
      <c r="CY298" s="1683">
        <v>0</v>
      </c>
      <c r="CZ298" s="1683">
        <v>57940.18</v>
      </c>
      <c r="DA298" s="1683">
        <v>57940.18</v>
      </c>
      <c r="DB298" s="1682"/>
      <c r="DC298" s="1326"/>
      <c r="DD298" s="1683">
        <v>0</v>
      </c>
      <c r="DE298" s="1683">
        <v>0</v>
      </c>
      <c r="DF298" s="1683">
        <v>0</v>
      </c>
      <c r="DG298" s="1683">
        <v>0</v>
      </c>
      <c r="DH298" s="1683">
        <v>0</v>
      </c>
    </row>
    <row r="299" spans="1:112" ht="45">
      <c r="A299" s="1326" t="s">
        <v>2310</v>
      </c>
      <c r="B299" s="1326" t="s">
        <v>1700</v>
      </c>
      <c r="C299" s="1326" t="s">
        <v>2561</v>
      </c>
      <c r="D299" s="1326" t="s">
        <v>2562</v>
      </c>
      <c r="E299" s="1326" t="s">
        <v>143</v>
      </c>
      <c r="F299" s="1326" t="s">
        <v>2555</v>
      </c>
      <c r="G299" s="1326" t="s">
        <v>2556</v>
      </c>
      <c r="H299" s="1326" t="s">
        <v>2541</v>
      </c>
      <c r="I299" s="1326" t="s">
        <v>711</v>
      </c>
      <c r="J299" s="1326" t="s">
        <v>134</v>
      </c>
      <c r="K299" s="1326" t="s">
        <v>2060</v>
      </c>
      <c r="L299" s="1326" t="s">
        <v>2061</v>
      </c>
      <c r="M299" s="1683">
        <v>352401</v>
      </c>
      <c r="N299" s="1683">
        <v>0</v>
      </c>
      <c r="O299" s="1683">
        <v>352401</v>
      </c>
      <c r="P299" s="1683">
        <v>352401</v>
      </c>
      <c r="Q299" s="1683">
        <v>299540.84999999998</v>
      </c>
      <c r="R299" s="1683">
        <v>299540.84999999998</v>
      </c>
      <c r="S299" s="1683">
        <v>0</v>
      </c>
      <c r="T299" s="1683">
        <v>52860.15</v>
      </c>
      <c r="U299" s="1683">
        <v>0</v>
      </c>
      <c r="V299" s="1683">
        <v>52860.15</v>
      </c>
      <c r="W299" s="1683">
        <v>0</v>
      </c>
      <c r="X299" s="1683">
        <v>0</v>
      </c>
      <c r="Y299" s="1682"/>
      <c r="Z299" s="1326"/>
      <c r="AA299" s="1683">
        <v>36681.35</v>
      </c>
      <c r="AB299" s="1683">
        <v>36681.35</v>
      </c>
      <c r="AC299" s="1683">
        <v>0</v>
      </c>
      <c r="AD299" s="1682"/>
      <c r="AE299" s="1326"/>
      <c r="AF299" s="1326"/>
      <c r="AG299" s="1410"/>
      <c r="AH299" s="1683">
        <v>284756.75</v>
      </c>
      <c r="AI299" s="1683">
        <v>374619.01</v>
      </c>
      <c r="AJ299" s="1683">
        <v>295224.15000000002</v>
      </c>
      <c r="AK299" s="1683">
        <v>295224.15000000002</v>
      </c>
      <c r="AL299" s="1683">
        <v>0</v>
      </c>
      <c r="AM299" s="1682"/>
      <c r="AN299" s="1683">
        <v>284756.75</v>
      </c>
      <c r="AO299" s="1683">
        <v>284756.75</v>
      </c>
      <c r="AP299" s="1683">
        <v>242043.24</v>
      </c>
      <c r="AQ299" s="1683">
        <v>242043.24</v>
      </c>
      <c r="AR299" s="1683">
        <v>0</v>
      </c>
      <c r="AS299" s="1683">
        <v>42713.51</v>
      </c>
      <c r="AT299" s="1683">
        <v>0</v>
      </c>
      <c r="AU299" s="1683">
        <v>42713.51</v>
      </c>
      <c r="AV299" s="1683">
        <v>0</v>
      </c>
      <c r="AW299" s="1683">
        <v>0</v>
      </c>
      <c r="AX299" s="1683">
        <v>0</v>
      </c>
      <c r="AY299" s="1683">
        <v>0</v>
      </c>
      <c r="AZ299" s="1683">
        <v>0</v>
      </c>
      <c r="BA299" s="1682"/>
      <c r="BB299" s="1682"/>
      <c r="BC299" s="1683">
        <v>0</v>
      </c>
      <c r="BD299" s="1683">
        <v>0</v>
      </c>
      <c r="BE299" s="1683">
        <v>284756.75</v>
      </c>
      <c r="BF299" s="1683">
        <v>284756.75</v>
      </c>
      <c r="BG299" s="1683">
        <v>242043.24</v>
      </c>
      <c r="BH299" s="1683">
        <v>242043.24</v>
      </c>
      <c r="BI299" s="1683">
        <v>0</v>
      </c>
      <c r="BJ299" s="1683">
        <v>42713.51</v>
      </c>
      <c r="BK299" s="1683">
        <v>0</v>
      </c>
      <c r="BL299" s="1683">
        <v>42713.51</v>
      </c>
      <c r="BM299" s="1683">
        <v>0</v>
      </c>
      <c r="BN299" s="1683">
        <v>0</v>
      </c>
      <c r="BO299" s="1682"/>
      <c r="BP299" s="1683">
        <v>217810.54</v>
      </c>
      <c r="BQ299" s="1683">
        <v>217810.54</v>
      </c>
      <c r="BR299" s="1683">
        <v>185138.96</v>
      </c>
      <c r="BS299" s="1683">
        <v>185138.96</v>
      </c>
      <c r="BT299" s="1683">
        <v>0</v>
      </c>
      <c r="BU299" s="1683">
        <v>32671.58</v>
      </c>
      <c r="BV299" s="1683">
        <v>0</v>
      </c>
      <c r="BW299" s="1683">
        <v>7665.58</v>
      </c>
      <c r="BX299" s="1683">
        <v>0</v>
      </c>
      <c r="BY299" s="1683">
        <v>0</v>
      </c>
      <c r="BZ299" s="1683">
        <v>0</v>
      </c>
      <c r="CA299" s="1683">
        <v>0</v>
      </c>
      <c r="CB299" s="1682"/>
      <c r="CC299" s="1682"/>
      <c r="CD299" s="1683">
        <v>0</v>
      </c>
      <c r="CE299" s="1683">
        <v>0</v>
      </c>
      <c r="CF299" s="1683">
        <v>0</v>
      </c>
      <c r="CG299" s="1683">
        <v>0</v>
      </c>
      <c r="CH299" s="1683">
        <v>0</v>
      </c>
      <c r="CI299" s="1683">
        <v>0</v>
      </c>
      <c r="CJ299" s="1683">
        <v>2369.83</v>
      </c>
      <c r="CK299" s="1683">
        <v>2369.83</v>
      </c>
      <c r="CL299" s="1682"/>
      <c r="CM299" s="1683">
        <v>51103.87</v>
      </c>
      <c r="CN299" s="1683">
        <v>51103.87</v>
      </c>
      <c r="CO299" s="1683">
        <v>43438.29</v>
      </c>
      <c r="CP299" s="1683">
        <v>43438.29</v>
      </c>
      <c r="CQ299" s="1683">
        <v>0</v>
      </c>
      <c r="CR299" s="1683">
        <v>7665.58</v>
      </c>
      <c r="CS299" s="1683">
        <v>0</v>
      </c>
      <c r="CT299" s="1683">
        <v>7665.58</v>
      </c>
      <c r="CU299" s="1683">
        <v>0</v>
      </c>
      <c r="CV299" s="1683">
        <v>0</v>
      </c>
      <c r="CW299" s="1682"/>
      <c r="CX299" s="1683">
        <v>0</v>
      </c>
      <c r="CY299" s="1683">
        <v>0</v>
      </c>
      <c r="CZ299" s="1683">
        <v>51103.87</v>
      </c>
      <c r="DA299" s="1683">
        <v>51103.87</v>
      </c>
      <c r="DB299" s="1682"/>
      <c r="DC299" s="1326"/>
      <c r="DD299" s="1683">
        <v>0</v>
      </c>
      <c r="DE299" s="1683">
        <v>0</v>
      </c>
      <c r="DF299" s="1683">
        <v>0</v>
      </c>
      <c r="DG299" s="1683">
        <v>0</v>
      </c>
      <c r="DH299" s="1683">
        <v>0</v>
      </c>
    </row>
    <row r="300" spans="1:112" ht="45">
      <c r="A300" s="1326" t="s">
        <v>2311</v>
      </c>
      <c r="B300" s="1326" t="s">
        <v>1700</v>
      </c>
      <c r="C300" s="1326" t="s">
        <v>2561</v>
      </c>
      <c r="D300" s="1326" t="s">
        <v>2562</v>
      </c>
      <c r="E300" s="1326" t="s">
        <v>143</v>
      </c>
      <c r="F300" s="1326" t="s">
        <v>2555</v>
      </c>
      <c r="G300" s="1326" t="s">
        <v>2556</v>
      </c>
      <c r="H300" s="1326" t="s">
        <v>2541</v>
      </c>
      <c r="I300" s="1326" t="s">
        <v>711</v>
      </c>
      <c r="J300" s="1326" t="s">
        <v>134</v>
      </c>
      <c r="K300" s="1326" t="s">
        <v>2060</v>
      </c>
      <c r="L300" s="1326" t="s">
        <v>2061</v>
      </c>
      <c r="M300" s="1400"/>
      <c r="N300" s="1400"/>
      <c r="O300" s="1400"/>
      <c r="P300" s="1400"/>
      <c r="Q300" s="1400"/>
      <c r="R300" s="1400"/>
      <c r="S300" s="1400"/>
      <c r="T300" s="1400"/>
      <c r="U300" s="1400"/>
      <c r="V300" s="1400"/>
      <c r="W300" s="1400"/>
      <c r="X300" s="1400"/>
      <c r="Y300" s="1685">
        <v>42900</v>
      </c>
      <c r="Z300" s="1326" t="s">
        <v>2096</v>
      </c>
      <c r="AA300" s="1683">
        <v>0</v>
      </c>
      <c r="AB300" s="1683">
        <v>0</v>
      </c>
      <c r="AC300" s="1683">
        <v>0</v>
      </c>
      <c r="AD300" s="1685">
        <v>42909</v>
      </c>
      <c r="AE300" s="1326" t="s">
        <v>2073</v>
      </c>
      <c r="AF300" s="1326" t="s">
        <v>2064</v>
      </c>
      <c r="AG300" s="1410"/>
      <c r="AH300" s="1683">
        <v>0</v>
      </c>
      <c r="AI300" s="1683">
        <v>30000</v>
      </c>
      <c r="AJ300" s="1683">
        <v>30000</v>
      </c>
      <c r="AK300" s="1683">
        <v>30000</v>
      </c>
      <c r="AL300" s="1683">
        <v>0</v>
      </c>
      <c r="AM300" s="1682"/>
      <c r="AN300" s="1683">
        <v>0</v>
      </c>
      <c r="AO300" s="1683">
        <v>0</v>
      </c>
      <c r="AP300" s="1683">
        <v>0</v>
      </c>
      <c r="AQ300" s="1683">
        <v>0</v>
      </c>
      <c r="AR300" s="1683">
        <v>0</v>
      </c>
      <c r="AS300" s="1683">
        <v>0</v>
      </c>
      <c r="AT300" s="1683">
        <v>0</v>
      </c>
      <c r="AU300" s="1683">
        <v>0</v>
      </c>
      <c r="AV300" s="1683">
        <v>0</v>
      </c>
      <c r="AW300" s="1683">
        <v>0</v>
      </c>
      <c r="AX300" s="1400"/>
      <c r="AY300" s="1400"/>
      <c r="AZ300" s="1400"/>
      <c r="BA300" s="1682"/>
      <c r="BB300" s="1682"/>
      <c r="BC300" s="1400"/>
      <c r="BD300" s="1400"/>
      <c r="BE300" s="1683">
        <v>0</v>
      </c>
      <c r="BF300" s="1683">
        <v>0</v>
      </c>
      <c r="BG300" s="1683">
        <v>0</v>
      </c>
      <c r="BH300" s="1683">
        <v>0</v>
      </c>
      <c r="BI300" s="1683">
        <v>0</v>
      </c>
      <c r="BJ300" s="1683">
        <v>0</v>
      </c>
      <c r="BK300" s="1683">
        <v>0</v>
      </c>
      <c r="BL300" s="1683">
        <v>0</v>
      </c>
      <c r="BM300" s="1683">
        <v>0</v>
      </c>
      <c r="BN300" s="1683">
        <v>0</v>
      </c>
      <c r="BO300" s="1682"/>
      <c r="BP300" s="1683">
        <v>0</v>
      </c>
      <c r="BQ300" s="1683">
        <v>0</v>
      </c>
      <c r="BR300" s="1683">
        <v>0</v>
      </c>
      <c r="BS300" s="1683">
        <v>0</v>
      </c>
      <c r="BT300" s="1683">
        <v>0</v>
      </c>
      <c r="BU300" s="1683">
        <v>0</v>
      </c>
      <c r="BV300" s="1683">
        <v>0</v>
      </c>
      <c r="BW300" s="1683">
        <v>0</v>
      </c>
      <c r="BX300" s="1683">
        <v>0</v>
      </c>
      <c r="BY300" s="1683">
        <v>0</v>
      </c>
      <c r="BZ300" s="1400"/>
      <c r="CA300" s="1400"/>
      <c r="CB300" s="1682"/>
      <c r="CC300" s="1682"/>
      <c r="CD300" s="1400"/>
      <c r="CE300" s="1400"/>
      <c r="CF300" s="1683">
        <v>0</v>
      </c>
      <c r="CG300" s="1683">
        <v>0</v>
      </c>
      <c r="CH300" s="1683">
        <v>0</v>
      </c>
      <c r="CI300" s="1683">
        <v>0</v>
      </c>
      <c r="CJ300" s="1683">
        <v>0</v>
      </c>
      <c r="CK300" s="1683">
        <v>0</v>
      </c>
      <c r="CL300" s="1682"/>
      <c r="CM300" s="1683">
        <v>0</v>
      </c>
      <c r="CN300" s="1683">
        <v>0</v>
      </c>
      <c r="CO300" s="1683">
        <v>0</v>
      </c>
      <c r="CP300" s="1683">
        <v>0</v>
      </c>
      <c r="CQ300" s="1683">
        <v>0</v>
      </c>
      <c r="CR300" s="1683">
        <v>0</v>
      </c>
      <c r="CS300" s="1683">
        <v>0</v>
      </c>
      <c r="CT300" s="1683">
        <v>0</v>
      </c>
      <c r="CU300" s="1683">
        <v>0</v>
      </c>
      <c r="CV300" s="1683">
        <v>0</v>
      </c>
      <c r="CW300" s="1682"/>
      <c r="CX300" s="1400"/>
      <c r="CY300" s="1400"/>
      <c r="CZ300" s="1400"/>
      <c r="DA300" s="1400"/>
      <c r="DB300" s="1682"/>
      <c r="DC300" s="1326"/>
      <c r="DD300" s="1683">
        <v>0</v>
      </c>
      <c r="DE300" s="1400"/>
      <c r="DF300" s="1400"/>
      <c r="DG300" s="1683">
        <v>0</v>
      </c>
      <c r="DH300" s="1683">
        <v>0</v>
      </c>
    </row>
    <row r="301" spans="1:112" ht="45">
      <c r="A301" s="1326" t="s">
        <v>2312</v>
      </c>
      <c r="B301" s="1326" t="s">
        <v>1700</v>
      </c>
      <c r="C301" s="1326" t="s">
        <v>2561</v>
      </c>
      <c r="D301" s="1326" t="s">
        <v>2562</v>
      </c>
      <c r="E301" s="1326" t="s">
        <v>143</v>
      </c>
      <c r="F301" s="1326" t="s">
        <v>2555</v>
      </c>
      <c r="G301" s="1326" t="s">
        <v>2556</v>
      </c>
      <c r="H301" s="1326" t="s">
        <v>2541</v>
      </c>
      <c r="I301" s="1326" t="s">
        <v>711</v>
      </c>
      <c r="J301" s="1326" t="s">
        <v>134</v>
      </c>
      <c r="K301" s="1326" t="s">
        <v>2060</v>
      </c>
      <c r="L301" s="1326" t="s">
        <v>2061</v>
      </c>
      <c r="M301" s="1400"/>
      <c r="N301" s="1400"/>
      <c r="O301" s="1400"/>
      <c r="P301" s="1400"/>
      <c r="Q301" s="1400"/>
      <c r="R301" s="1400"/>
      <c r="S301" s="1400"/>
      <c r="T301" s="1400"/>
      <c r="U301" s="1400"/>
      <c r="V301" s="1400"/>
      <c r="W301" s="1400"/>
      <c r="X301" s="1400"/>
      <c r="Y301" s="1685">
        <v>42906</v>
      </c>
      <c r="Z301" s="1326" t="s">
        <v>2062</v>
      </c>
      <c r="AA301" s="1683">
        <v>0</v>
      </c>
      <c r="AB301" s="1683">
        <v>0</v>
      </c>
      <c r="AC301" s="1683">
        <v>0</v>
      </c>
      <c r="AD301" s="1685">
        <v>42926</v>
      </c>
      <c r="AE301" s="1326" t="s">
        <v>2063</v>
      </c>
      <c r="AF301" s="1326" t="s">
        <v>2064</v>
      </c>
      <c r="AG301" s="1410"/>
      <c r="AH301" s="1683">
        <v>11026.18</v>
      </c>
      <c r="AI301" s="1683">
        <v>11026.18</v>
      </c>
      <c r="AJ301" s="1683">
        <v>9372.25</v>
      </c>
      <c r="AK301" s="1683">
        <v>9372.25</v>
      </c>
      <c r="AL301" s="1683">
        <v>0</v>
      </c>
      <c r="AM301" s="1685">
        <v>42926</v>
      </c>
      <c r="AN301" s="1683">
        <v>11026.18</v>
      </c>
      <c r="AO301" s="1683">
        <v>11026.18</v>
      </c>
      <c r="AP301" s="1683">
        <v>9372.25</v>
      </c>
      <c r="AQ301" s="1683">
        <v>9372.25</v>
      </c>
      <c r="AR301" s="1683">
        <v>0</v>
      </c>
      <c r="AS301" s="1683">
        <v>1653.93</v>
      </c>
      <c r="AT301" s="1683">
        <v>0</v>
      </c>
      <c r="AU301" s="1683">
        <v>1653.93</v>
      </c>
      <c r="AV301" s="1683">
        <v>0</v>
      </c>
      <c r="AW301" s="1683">
        <v>0</v>
      </c>
      <c r="AX301" s="1400"/>
      <c r="AY301" s="1400"/>
      <c r="AZ301" s="1400"/>
      <c r="BA301" s="1682"/>
      <c r="BB301" s="1682"/>
      <c r="BC301" s="1400"/>
      <c r="BD301" s="1400"/>
      <c r="BE301" s="1683">
        <v>11026.18</v>
      </c>
      <c r="BF301" s="1683">
        <v>11026.18</v>
      </c>
      <c r="BG301" s="1683">
        <v>9372.25</v>
      </c>
      <c r="BH301" s="1683">
        <v>9372.25</v>
      </c>
      <c r="BI301" s="1683">
        <v>0</v>
      </c>
      <c r="BJ301" s="1683">
        <v>1653.93</v>
      </c>
      <c r="BK301" s="1683">
        <v>0</v>
      </c>
      <c r="BL301" s="1683">
        <v>1653.93</v>
      </c>
      <c r="BM301" s="1683">
        <v>0</v>
      </c>
      <c r="BN301" s="1683">
        <v>0</v>
      </c>
      <c r="BO301" s="1685">
        <v>42993</v>
      </c>
      <c r="BP301" s="1683">
        <v>11026.18</v>
      </c>
      <c r="BQ301" s="1683">
        <v>11026.18</v>
      </c>
      <c r="BR301" s="1683">
        <v>9372.25</v>
      </c>
      <c r="BS301" s="1683">
        <v>9372.25</v>
      </c>
      <c r="BT301" s="1683">
        <v>0</v>
      </c>
      <c r="BU301" s="1683">
        <v>1653.93</v>
      </c>
      <c r="BV301" s="1683">
        <v>0</v>
      </c>
      <c r="BW301" s="1683">
        <v>1653.93</v>
      </c>
      <c r="BX301" s="1683">
        <v>0</v>
      </c>
      <c r="BY301" s="1683">
        <v>0</v>
      </c>
      <c r="BZ301" s="1683">
        <v>0</v>
      </c>
      <c r="CA301" s="1400"/>
      <c r="CB301" s="1682"/>
      <c r="CC301" s="1682"/>
      <c r="CD301" s="1400"/>
      <c r="CE301" s="1400"/>
      <c r="CF301" s="1683">
        <v>0</v>
      </c>
      <c r="CG301" s="1683">
        <v>0</v>
      </c>
      <c r="CH301" s="1683">
        <v>0</v>
      </c>
      <c r="CI301" s="1683">
        <v>0</v>
      </c>
      <c r="CJ301" s="1683">
        <v>119.97</v>
      </c>
      <c r="CK301" s="1683">
        <v>119.97</v>
      </c>
      <c r="CL301" s="1685">
        <v>43511</v>
      </c>
      <c r="CM301" s="1683">
        <v>11026.18</v>
      </c>
      <c r="CN301" s="1683">
        <v>11026.18</v>
      </c>
      <c r="CO301" s="1683">
        <v>9372.25</v>
      </c>
      <c r="CP301" s="1683">
        <v>9372.25</v>
      </c>
      <c r="CQ301" s="1683">
        <v>0</v>
      </c>
      <c r="CR301" s="1683">
        <v>1653.93</v>
      </c>
      <c r="CS301" s="1683">
        <v>0</v>
      </c>
      <c r="CT301" s="1683">
        <v>1653.93</v>
      </c>
      <c r="CU301" s="1683">
        <v>0</v>
      </c>
      <c r="CV301" s="1683">
        <v>0</v>
      </c>
      <c r="CW301" s="1682"/>
      <c r="CX301" s="1400"/>
      <c r="CY301" s="1400"/>
      <c r="CZ301" s="1400"/>
      <c r="DA301" s="1400"/>
      <c r="DB301" s="1682"/>
      <c r="DC301" s="1326"/>
      <c r="DD301" s="1683">
        <v>0</v>
      </c>
      <c r="DE301" s="1400"/>
      <c r="DF301" s="1400"/>
      <c r="DG301" s="1683">
        <v>0</v>
      </c>
      <c r="DH301" s="1683">
        <v>0</v>
      </c>
    </row>
    <row r="302" spans="1:112" ht="45">
      <c r="A302" s="1326" t="s">
        <v>2313</v>
      </c>
      <c r="B302" s="1326" t="s">
        <v>1700</v>
      </c>
      <c r="C302" s="1326" t="s">
        <v>2561</v>
      </c>
      <c r="D302" s="1326" t="s">
        <v>2562</v>
      </c>
      <c r="E302" s="1326" t="s">
        <v>143</v>
      </c>
      <c r="F302" s="1326" t="s">
        <v>2555</v>
      </c>
      <c r="G302" s="1326" t="s">
        <v>2556</v>
      </c>
      <c r="H302" s="1326" t="s">
        <v>2541</v>
      </c>
      <c r="I302" s="1326" t="s">
        <v>711</v>
      </c>
      <c r="J302" s="1326" t="s">
        <v>134</v>
      </c>
      <c r="K302" s="1326" t="s">
        <v>2060</v>
      </c>
      <c r="L302" s="1326" t="s">
        <v>2061</v>
      </c>
      <c r="M302" s="1400"/>
      <c r="N302" s="1400"/>
      <c r="O302" s="1400"/>
      <c r="P302" s="1400"/>
      <c r="Q302" s="1400"/>
      <c r="R302" s="1400"/>
      <c r="S302" s="1400"/>
      <c r="T302" s="1400"/>
      <c r="U302" s="1400"/>
      <c r="V302" s="1400"/>
      <c r="W302" s="1400"/>
      <c r="X302" s="1400"/>
      <c r="Y302" s="1685">
        <v>42972</v>
      </c>
      <c r="Z302" s="1326" t="s">
        <v>2096</v>
      </c>
      <c r="AA302" s="1683">
        <v>0</v>
      </c>
      <c r="AB302" s="1683">
        <v>0</v>
      </c>
      <c r="AC302" s="1683">
        <v>0</v>
      </c>
      <c r="AD302" s="1685">
        <v>42978</v>
      </c>
      <c r="AE302" s="1326" t="s">
        <v>2066</v>
      </c>
      <c r="AF302" s="1326" t="s">
        <v>2064</v>
      </c>
      <c r="AG302" s="1410"/>
      <c r="AH302" s="1683">
        <v>0</v>
      </c>
      <c r="AI302" s="1683">
        <v>0</v>
      </c>
      <c r="AJ302" s="1683">
        <v>0</v>
      </c>
      <c r="AK302" s="1683">
        <v>0</v>
      </c>
      <c r="AL302" s="1683">
        <v>0</v>
      </c>
      <c r="AM302" s="1682"/>
      <c r="AN302" s="1683">
        <v>0</v>
      </c>
      <c r="AO302" s="1683">
        <v>0</v>
      </c>
      <c r="AP302" s="1683">
        <v>0</v>
      </c>
      <c r="AQ302" s="1683">
        <v>0</v>
      </c>
      <c r="AR302" s="1683">
        <v>0</v>
      </c>
      <c r="AS302" s="1683">
        <v>0</v>
      </c>
      <c r="AT302" s="1683">
        <v>0</v>
      </c>
      <c r="AU302" s="1683">
        <v>0</v>
      </c>
      <c r="AV302" s="1683">
        <v>0</v>
      </c>
      <c r="AW302" s="1683">
        <v>0</v>
      </c>
      <c r="AX302" s="1400"/>
      <c r="AY302" s="1400"/>
      <c r="AZ302" s="1400"/>
      <c r="BA302" s="1682"/>
      <c r="BB302" s="1682"/>
      <c r="BC302" s="1400"/>
      <c r="BD302" s="1400"/>
      <c r="BE302" s="1683">
        <v>0</v>
      </c>
      <c r="BF302" s="1683">
        <v>0</v>
      </c>
      <c r="BG302" s="1683">
        <v>0</v>
      </c>
      <c r="BH302" s="1683">
        <v>0</v>
      </c>
      <c r="BI302" s="1683">
        <v>0</v>
      </c>
      <c r="BJ302" s="1683">
        <v>0</v>
      </c>
      <c r="BK302" s="1683">
        <v>0</v>
      </c>
      <c r="BL302" s="1683">
        <v>0</v>
      </c>
      <c r="BM302" s="1683">
        <v>0</v>
      </c>
      <c r="BN302" s="1683">
        <v>0</v>
      </c>
      <c r="BO302" s="1682"/>
      <c r="BP302" s="1683">
        <v>0</v>
      </c>
      <c r="BQ302" s="1683">
        <v>0</v>
      </c>
      <c r="BR302" s="1683">
        <v>0</v>
      </c>
      <c r="BS302" s="1683">
        <v>0</v>
      </c>
      <c r="BT302" s="1683">
        <v>0</v>
      </c>
      <c r="BU302" s="1683">
        <v>0</v>
      </c>
      <c r="BV302" s="1683">
        <v>0</v>
      </c>
      <c r="BW302" s="1683">
        <v>0</v>
      </c>
      <c r="BX302" s="1683">
        <v>0</v>
      </c>
      <c r="BY302" s="1683">
        <v>0</v>
      </c>
      <c r="BZ302" s="1400"/>
      <c r="CA302" s="1400"/>
      <c r="CB302" s="1682"/>
      <c r="CC302" s="1682"/>
      <c r="CD302" s="1400"/>
      <c r="CE302" s="1400"/>
      <c r="CF302" s="1683">
        <v>0</v>
      </c>
      <c r="CG302" s="1683">
        <v>0</v>
      </c>
      <c r="CH302" s="1683">
        <v>0</v>
      </c>
      <c r="CI302" s="1683">
        <v>0</v>
      </c>
      <c r="CJ302" s="1683">
        <v>0</v>
      </c>
      <c r="CK302" s="1683">
        <v>0</v>
      </c>
      <c r="CL302" s="1682"/>
      <c r="CM302" s="1683">
        <v>0</v>
      </c>
      <c r="CN302" s="1683">
        <v>0</v>
      </c>
      <c r="CO302" s="1683">
        <v>0</v>
      </c>
      <c r="CP302" s="1683">
        <v>0</v>
      </c>
      <c r="CQ302" s="1683">
        <v>0</v>
      </c>
      <c r="CR302" s="1683">
        <v>0</v>
      </c>
      <c r="CS302" s="1683">
        <v>0</v>
      </c>
      <c r="CT302" s="1683">
        <v>0</v>
      </c>
      <c r="CU302" s="1683">
        <v>0</v>
      </c>
      <c r="CV302" s="1683">
        <v>0</v>
      </c>
      <c r="CW302" s="1682"/>
      <c r="CX302" s="1400"/>
      <c r="CY302" s="1400"/>
      <c r="CZ302" s="1400"/>
      <c r="DA302" s="1400"/>
      <c r="DB302" s="1682"/>
      <c r="DC302" s="1326"/>
      <c r="DD302" s="1683">
        <v>0</v>
      </c>
      <c r="DE302" s="1400"/>
      <c r="DF302" s="1400"/>
      <c r="DG302" s="1683">
        <v>0</v>
      </c>
      <c r="DH302" s="1683">
        <v>0</v>
      </c>
    </row>
    <row r="303" spans="1:112" ht="45">
      <c r="A303" s="1326" t="s">
        <v>2314</v>
      </c>
      <c r="B303" s="1326" t="s">
        <v>1700</v>
      </c>
      <c r="C303" s="1326" t="s">
        <v>2561</v>
      </c>
      <c r="D303" s="1326" t="s">
        <v>2562</v>
      </c>
      <c r="E303" s="1326" t="s">
        <v>143</v>
      </c>
      <c r="F303" s="1326" t="s">
        <v>2555</v>
      </c>
      <c r="G303" s="1326" t="s">
        <v>2556</v>
      </c>
      <c r="H303" s="1326" t="s">
        <v>2541</v>
      </c>
      <c r="I303" s="1326" t="s">
        <v>711</v>
      </c>
      <c r="J303" s="1326" t="s">
        <v>134</v>
      </c>
      <c r="K303" s="1326" t="s">
        <v>2060</v>
      </c>
      <c r="L303" s="1326" t="s">
        <v>2061</v>
      </c>
      <c r="M303" s="1400"/>
      <c r="N303" s="1400"/>
      <c r="O303" s="1400"/>
      <c r="P303" s="1400"/>
      <c r="Q303" s="1400"/>
      <c r="R303" s="1400"/>
      <c r="S303" s="1400"/>
      <c r="T303" s="1400"/>
      <c r="U303" s="1400"/>
      <c r="V303" s="1400"/>
      <c r="W303" s="1400"/>
      <c r="X303" s="1400"/>
      <c r="Y303" s="1685">
        <v>42986</v>
      </c>
      <c r="Z303" s="1326" t="s">
        <v>2062</v>
      </c>
      <c r="AA303" s="1683">
        <v>0</v>
      </c>
      <c r="AB303" s="1683">
        <v>0</v>
      </c>
      <c r="AC303" s="1683">
        <v>0</v>
      </c>
      <c r="AD303" s="1685">
        <v>42999</v>
      </c>
      <c r="AE303" s="1326" t="s">
        <v>2079</v>
      </c>
      <c r="AF303" s="1326" t="s">
        <v>2067</v>
      </c>
      <c r="AG303" s="1410"/>
      <c r="AH303" s="1683">
        <v>8547.5499999999993</v>
      </c>
      <c r="AI303" s="1683">
        <v>8547.5499999999993</v>
      </c>
      <c r="AJ303" s="1683">
        <v>7265.42</v>
      </c>
      <c r="AK303" s="1683">
        <v>7265.42</v>
      </c>
      <c r="AL303" s="1683">
        <v>0</v>
      </c>
      <c r="AM303" s="1685">
        <v>43006</v>
      </c>
      <c r="AN303" s="1683">
        <v>8547.5499999999993</v>
      </c>
      <c r="AO303" s="1683">
        <v>8547.5499999999993</v>
      </c>
      <c r="AP303" s="1683">
        <v>7265.42</v>
      </c>
      <c r="AQ303" s="1683">
        <v>7265.42</v>
      </c>
      <c r="AR303" s="1683">
        <v>0</v>
      </c>
      <c r="AS303" s="1683">
        <v>1282.1300000000001</v>
      </c>
      <c r="AT303" s="1683">
        <v>0</v>
      </c>
      <c r="AU303" s="1683">
        <v>1282.1300000000001</v>
      </c>
      <c r="AV303" s="1683">
        <v>0</v>
      </c>
      <c r="AW303" s="1683">
        <v>0</v>
      </c>
      <c r="AX303" s="1400"/>
      <c r="AY303" s="1400"/>
      <c r="AZ303" s="1400"/>
      <c r="BA303" s="1682"/>
      <c r="BB303" s="1682"/>
      <c r="BC303" s="1400"/>
      <c r="BD303" s="1400"/>
      <c r="BE303" s="1683">
        <v>8547.5499999999993</v>
      </c>
      <c r="BF303" s="1683">
        <v>8547.5499999999993</v>
      </c>
      <c r="BG303" s="1683">
        <v>7265.42</v>
      </c>
      <c r="BH303" s="1683">
        <v>7265.42</v>
      </c>
      <c r="BI303" s="1683">
        <v>0</v>
      </c>
      <c r="BJ303" s="1683">
        <v>1282.1300000000001</v>
      </c>
      <c r="BK303" s="1683">
        <v>0</v>
      </c>
      <c r="BL303" s="1683">
        <v>1282.1300000000001</v>
      </c>
      <c r="BM303" s="1683">
        <v>0</v>
      </c>
      <c r="BN303" s="1683">
        <v>0</v>
      </c>
      <c r="BO303" s="1685">
        <v>43039</v>
      </c>
      <c r="BP303" s="1683">
        <v>8547.5499999999993</v>
      </c>
      <c r="BQ303" s="1683">
        <v>8547.5499999999993</v>
      </c>
      <c r="BR303" s="1683">
        <v>7265.42</v>
      </c>
      <c r="BS303" s="1683">
        <v>7265.42</v>
      </c>
      <c r="BT303" s="1683">
        <v>0</v>
      </c>
      <c r="BU303" s="1683">
        <v>1282.1300000000001</v>
      </c>
      <c r="BV303" s="1683">
        <v>0</v>
      </c>
      <c r="BW303" s="1683">
        <v>1282.1300000000001</v>
      </c>
      <c r="BX303" s="1683">
        <v>0</v>
      </c>
      <c r="BY303" s="1683">
        <v>0</v>
      </c>
      <c r="BZ303" s="1683">
        <v>0</v>
      </c>
      <c r="CA303" s="1400"/>
      <c r="CB303" s="1682"/>
      <c r="CC303" s="1682"/>
      <c r="CD303" s="1400"/>
      <c r="CE303" s="1400"/>
      <c r="CF303" s="1683">
        <v>0</v>
      </c>
      <c r="CG303" s="1683">
        <v>0</v>
      </c>
      <c r="CH303" s="1683">
        <v>0</v>
      </c>
      <c r="CI303" s="1683">
        <v>0</v>
      </c>
      <c r="CJ303" s="1683">
        <v>93</v>
      </c>
      <c r="CK303" s="1683">
        <v>93</v>
      </c>
      <c r="CL303" s="1685">
        <v>43511</v>
      </c>
      <c r="CM303" s="1683">
        <v>8547.5499999999993</v>
      </c>
      <c r="CN303" s="1683">
        <v>8547.5499999999993</v>
      </c>
      <c r="CO303" s="1683">
        <v>7265.42</v>
      </c>
      <c r="CP303" s="1683">
        <v>7265.42</v>
      </c>
      <c r="CQ303" s="1683">
        <v>0</v>
      </c>
      <c r="CR303" s="1683">
        <v>1282.1300000000001</v>
      </c>
      <c r="CS303" s="1683">
        <v>0</v>
      </c>
      <c r="CT303" s="1683">
        <v>1282.1300000000001</v>
      </c>
      <c r="CU303" s="1683">
        <v>0</v>
      </c>
      <c r="CV303" s="1683">
        <v>0</v>
      </c>
      <c r="CW303" s="1682"/>
      <c r="CX303" s="1400"/>
      <c r="CY303" s="1400"/>
      <c r="CZ303" s="1400"/>
      <c r="DA303" s="1400"/>
      <c r="DB303" s="1682"/>
      <c r="DC303" s="1326"/>
      <c r="DD303" s="1683">
        <v>0</v>
      </c>
      <c r="DE303" s="1400"/>
      <c r="DF303" s="1400"/>
      <c r="DG303" s="1683">
        <v>0</v>
      </c>
      <c r="DH303" s="1683">
        <v>0</v>
      </c>
    </row>
    <row r="304" spans="1:112" ht="45">
      <c r="A304" s="1326" t="s">
        <v>2315</v>
      </c>
      <c r="B304" s="1326" t="s">
        <v>1700</v>
      </c>
      <c r="C304" s="1326" t="s">
        <v>2561</v>
      </c>
      <c r="D304" s="1326" t="s">
        <v>2562</v>
      </c>
      <c r="E304" s="1326" t="s">
        <v>143</v>
      </c>
      <c r="F304" s="1326" t="s">
        <v>2555</v>
      </c>
      <c r="G304" s="1326" t="s">
        <v>2556</v>
      </c>
      <c r="H304" s="1326" t="s">
        <v>2541</v>
      </c>
      <c r="I304" s="1326" t="s">
        <v>711</v>
      </c>
      <c r="J304" s="1326" t="s">
        <v>134</v>
      </c>
      <c r="K304" s="1326" t="s">
        <v>2060</v>
      </c>
      <c r="L304" s="1326" t="s">
        <v>2061</v>
      </c>
      <c r="M304" s="1400"/>
      <c r="N304" s="1400"/>
      <c r="O304" s="1400"/>
      <c r="P304" s="1400"/>
      <c r="Q304" s="1400"/>
      <c r="R304" s="1400"/>
      <c r="S304" s="1400"/>
      <c r="T304" s="1400"/>
      <c r="U304" s="1400"/>
      <c r="V304" s="1400"/>
      <c r="W304" s="1400"/>
      <c r="X304" s="1400"/>
      <c r="Y304" s="1685">
        <v>42986</v>
      </c>
      <c r="Z304" s="1326" t="s">
        <v>2062</v>
      </c>
      <c r="AA304" s="1683">
        <v>0</v>
      </c>
      <c r="AB304" s="1683">
        <v>0</v>
      </c>
      <c r="AC304" s="1683">
        <v>0</v>
      </c>
      <c r="AD304" s="1685">
        <v>42999</v>
      </c>
      <c r="AE304" s="1326" t="s">
        <v>2079</v>
      </c>
      <c r="AF304" s="1326" t="s">
        <v>2064</v>
      </c>
      <c r="AG304" s="1410"/>
      <c r="AH304" s="1683">
        <v>31530.14</v>
      </c>
      <c r="AI304" s="1683">
        <v>31530.14</v>
      </c>
      <c r="AJ304" s="1683">
        <v>26800.62</v>
      </c>
      <c r="AK304" s="1683">
        <v>26800.62</v>
      </c>
      <c r="AL304" s="1683">
        <v>0</v>
      </c>
      <c r="AM304" s="1685">
        <v>42999</v>
      </c>
      <c r="AN304" s="1683">
        <v>31530.14</v>
      </c>
      <c r="AO304" s="1683">
        <v>31530.14</v>
      </c>
      <c r="AP304" s="1683">
        <v>26800.62</v>
      </c>
      <c r="AQ304" s="1683">
        <v>26800.62</v>
      </c>
      <c r="AR304" s="1683">
        <v>0</v>
      </c>
      <c r="AS304" s="1683">
        <v>4729.5200000000004</v>
      </c>
      <c r="AT304" s="1683">
        <v>0</v>
      </c>
      <c r="AU304" s="1683">
        <v>4729.5200000000004</v>
      </c>
      <c r="AV304" s="1683">
        <v>0</v>
      </c>
      <c r="AW304" s="1683">
        <v>0</v>
      </c>
      <c r="AX304" s="1400"/>
      <c r="AY304" s="1400"/>
      <c r="AZ304" s="1400"/>
      <c r="BA304" s="1682"/>
      <c r="BB304" s="1682"/>
      <c r="BC304" s="1400"/>
      <c r="BD304" s="1400"/>
      <c r="BE304" s="1683">
        <v>31530.14</v>
      </c>
      <c r="BF304" s="1683">
        <v>31530.14</v>
      </c>
      <c r="BG304" s="1683">
        <v>26800.62</v>
      </c>
      <c r="BH304" s="1683">
        <v>26800.62</v>
      </c>
      <c r="BI304" s="1683">
        <v>0</v>
      </c>
      <c r="BJ304" s="1683">
        <v>4729.5200000000004</v>
      </c>
      <c r="BK304" s="1683">
        <v>0</v>
      </c>
      <c r="BL304" s="1683">
        <v>4729.5200000000004</v>
      </c>
      <c r="BM304" s="1683">
        <v>0</v>
      </c>
      <c r="BN304" s="1683">
        <v>0</v>
      </c>
      <c r="BO304" s="1685">
        <v>43039</v>
      </c>
      <c r="BP304" s="1683">
        <v>31530.14</v>
      </c>
      <c r="BQ304" s="1683">
        <v>31530.14</v>
      </c>
      <c r="BR304" s="1683">
        <v>26800.62</v>
      </c>
      <c r="BS304" s="1683">
        <v>26800.62</v>
      </c>
      <c r="BT304" s="1683">
        <v>0</v>
      </c>
      <c r="BU304" s="1683">
        <v>4729.5200000000004</v>
      </c>
      <c r="BV304" s="1683">
        <v>0</v>
      </c>
      <c r="BW304" s="1683">
        <v>4729.5200000000004</v>
      </c>
      <c r="BX304" s="1683">
        <v>0</v>
      </c>
      <c r="BY304" s="1683">
        <v>0</v>
      </c>
      <c r="BZ304" s="1683">
        <v>0</v>
      </c>
      <c r="CA304" s="1400"/>
      <c r="CB304" s="1682"/>
      <c r="CC304" s="1682"/>
      <c r="CD304" s="1400"/>
      <c r="CE304" s="1400"/>
      <c r="CF304" s="1683">
        <v>0</v>
      </c>
      <c r="CG304" s="1683">
        <v>0</v>
      </c>
      <c r="CH304" s="1683">
        <v>0</v>
      </c>
      <c r="CI304" s="1683">
        <v>0</v>
      </c>
      <c r="CJ304" s="1683">
        <v>343.06</v>
      </c>
      <c r="CK304" s="1683">
        <v>343.06</v>
      </c>
      <c r="CL304" s="1685">
        <v>43511</v>
      </c>
      <c r="CM304" s="1683">
        <v>31530.14</v>
      </c>
      <c r="CN304" s="1683">
        <v>31530.14</v>
      </c>
      <c r="CO304" s="1683">
        <v>26800.62</v>
      </c>
      <c r="CP304" s="1683">
        <v>26800.62</v>
      </c>
      <c r="CQ304" s="1683">
        <v>0</v>
      </c>
      <c r="CR304" s="1683">
        <v>4729.5200000000004</v>
      </c>
      <c r="CS304" s="1683">
        <v>0</v>
      </c>
      <c r="CT304" s="1683">
        <v>4729.5200000000004</v>
      </c>
      <c r="CU304" s="1683">
        <v>0</v>
      </c>
      <c r="CV304" s="1683">
        <v>0</v>
      </c>
      <c r="CW304" s="1682"/>
      <c r="CX304" s="1400"/>
      <c r="CY304" s="1400"/>
      <c r="CZ304" s="1400"/>
      <c r="DA304" s="1400"/>
      <c r="DB304" s="1682"/>
      <c r="DC304" s="1326"/>
      <c r="DD304" s="1683">
        <v>0</v>
      </c>
      <c r="DE304" s="1400"/>
      <c r="DF304" s="1400"/>
      <c r="DG304" s="1683">
        <v>0</v>
      </c>
      <c r="DH304" s="1683">
        <v>0</v>
      </c>
    </row>
    <row r="305" spans="1:112" ht="45">
      <c r="A305" s="1326" t="s">
        <v>2316</v>
      </c>
      <c r="B305" s="1326" t="s">
        <v>1700</v>
      </c>
      <c r="C305" s="1326" t="s">
        <v>2561</v>
      </c>
      <c r="D305" s="1326" t="s">
        <v>2562</v>
      </c>
      <c r="E305" s="1326" t="s">
        <v>143</v>
      </c>
      <c r="F305" s="1326" t="s">
        <v>2555</v>
      </c>
      <c r="G305" s="1326" t="s">
        <v>2556</v>
      </c>
      <c r="H305" s="1326" t="s">
        <v>2541</v>
      </c>
      <c r="I305" s="1326" t="s">
        <v>711</v>
      </c>
      <c r="J305" s="1326" t="s">
        <v>134</v>
      </c>
      <c r="K305" s="1326" t="s">
        <v>2060</v>
      </c>
      <c r="L305" s="1326" t="s">
        <v>2061</v>
      </c>
      <c r="M305" s="1400"/>
      <c r="N305" s="1400"/>
      <c r="O305" s="1400"/>
      <c r="P305" s="1400"/>
      <c r="Q305" s="1400"/>
      <c r="R305" s="1400"/>
      <c r="S305" s="1400"/>
      <c r="T305" s="1400"/>
      <c r="U305" s="1400"/>
      <c r="V305" s="1400"/>
      <c r="W305" s="1400"/>
      <c r="X305" s="1400"/>
      <c r="Y305" s="1685">
        <v>43067</v>
      </c>
      <c r="Z305" s="1326" t="s">
        <v>2062</v>
      </c>
      <c r="AA305" s="1683">
        <v>0</v>
      </c>
      <c r="AB305" s="1683">
        <v>0</v>
      </c>
      <c r="AC305" s="1683">
        <v>0</v>
      </c>
      <c r="AD305" s="1685">
        <v>43089</v>
      </c>
      <c r="AE305" s="1326" t="s">
        <v>2080</v>
      </c>
      <c r="AF305" s="1326" t="s">
        <v>2064</v>
      </c>
      <c r="AG305" s="1410"/>
      <c r="AH305" s="1683">
        <v>30552.46</v>
      </c>
      <c r="AI305" s="1683">
        <v>30552.46</v>
      </c>
      <c r="AJ305" s="1683">
        <v>25969.59</v>
      </c>
      <c r="AK305" s="1683">
        <v>25969.59</v>
      </c>
      <c r="AL305" s="1683">
        <v>0</v>
      </c>
      <c r="AM305" s="1685">
        <v>43089</v>
      </c>
      <c r="AN305" s="1683">
        <v>30552.46</v>
      </c>
      <c r="AO305" s="1683">
        <v>30552.46</v>
      </c>
      <c r="AP305" s="1683">
        <v>25969.59</v>
      </c>
      <c r="AQ305" s="1683">
        <v>25969.59</v>
      </c>
      <c r="AR305" s="1683">
        <v>0</v>
      </c>
      <c r="AS305" s="1683">
        <v>4582.87</v>
      </c>
      <c r="AT305" s="1683">
        <v>0</v>
      </c>
      <c r="AU305" s="1683">
        <v>4582.87</v>
      </c>
      <c r="AV305" s="1683">
        <v>0</v>
      </c>
      <c r="AW305" s="1683">
        <v>0</v>
      </c>
      <c r="AX305" s="1400"/>
      <c r="AY305" s="1400"/>
      <c r="AZ305" s="1400"/>
      <c r="BA305" s="1682"/>
      <c r="BB305" s="1682"/>
      <c r="BC305" s="1400"/>
      <c r="BD305" s="1400"/>
      <c r="BE305" s="1683">
        <v>30552.46</v>
      </c>
      <c r="BF305" s="1683">
        <v>30552.46</v>
      </c>
      <c r="BG305" s="1683">
        <v>25969.59</v>
      </c>
      <c r="BH305" s="1683">
        <v>25969.59</v>
      </c>
      <c r="BI305" s="1683">
        <v>0</v>
      </c>
      <c r="BJ305" s="1683">
        <v>4582.87</v>
      </c>
      <c r="BK305" s="1683">
        <v>0</v>
      </c>
      <c r="BL305" s="1683">
        <v>4582.87</v>
      </c>
      <c r="BM305" s="1683">
        <v>0</v>
      </c>
      <c r="BN305" s="1683">
        <v>0</v>
      </c>
      <c r="BO305" s="1685">
        <v>43364</v>
      </c>
      <c r="BP305" s="1683">
        <v>30552.46</v>
      </c>
      <c r="BQ305" s="1683">
        <v>30552.46</v>
      </c>
      <c r="BR305" s="1683">
        <v>25969.59</v>
      </c>
      <c r="BS305" s="1683">
        <v>25969.59</v>
      </c>
      <c r="BT305" s="1683">
        <v>0</v>
      </c>
      <c r="BU305" s="1683">
        <v>4582.87</v>
      </c>
      <c r="BV305" s="1683">
        <v>0</v>
      </c>
      <c r="BW305" s="1683">
        <v>0</v>
      </c>
      <c r="BX305" s="1683">
        <v>0</v>
      </c>
      <c r="BY305" s="1683">
        <v>0</v>
      </c>
      <c r="BZ305" s="1683">
        <v>0</v>
      </c>
      <c r="CA305" s="1400"/>
      <c r="CB305" s="1682"/>
      <c r="CC305" s="1682"/>
      <c r="CD305" s="1400"/>
      <c r="CE305" s="1400"/>
      <c r="CF305" s="1683">
        <v>0</v>
      </c>
      <c r="CG305" s="1683">
        <v>0</v>
      </c>
      <c r="CH305" s="1683">
        <v>0</v>
      </c>
      <c r="CI305" s="1683">
        <v>0</v>
      </c>
      <c r="CJ305" s="1683">
        <v>332.42</v>
      </c>
      <c r="CK305" s="1683">
        <v>332.42</v>
      </c>
      <c r="CL305" s="1682"/>
      <c r="CM305" s="1683">
        <v>0</v>
      </c>
      <c r="CN305" s="1683">
        <v>0</v>
      </c>
      <c r="CO305" s="1683">
        <v>0</v>
      </c>
      <c r="CP305" s="1683">
        <v>0</v>
      </c>
      <c r="CQ305" s="1683">
        <v>0</v>
      </c>
      <c r="CR305" s="1683">
        <v>0</v>
      </c>
      <c r="CS305" s="1683">
        <v>0</v>
      </c>
      <c r="CT305" s="1683">
        <v>0</v>
      </c>
      <c r="CU305" s="1683">
        <v>0</v>
      </c>
      <c r="CV305" s="1683">
        <v>0</v>
      </c>
      <c r="CW305" s="1682"/>
      <c r="CX305" s="1400"/>
      <c r="CY305" s="1400"/>
      <c r="CZ305" s="1400"/>
      <c r="DA305" s="1400"/>
      <c r="DB305" s="1682"/>
      <c r="DC305" s="1326"/>
      <c r="DD305" s="1683">
        <v>0</v>
      </c>
      <c r="DE305" s="1400"/>
      <c r="DF305" s="1400"/>
      <c r="DG305" s="1683">
        <v>0</v>
      </c>
      <c r="DH305" s="1683">
        <v>0</v>
      </c>
    </row>
    <row r="306" spans="1:112" ht="45">
      <c r="A306" s="1326" t="s">
        <v>2317</v>
      </c>
      <c r="B306" s="1326" t="s">
        <v>1700</v>
      </c>
      <c r="C306" s="1326" t="s">
        <v>2561</v>
      </c>
      <c r="D306" s="1326" t="s">
        <v>2562</v>
      </c>
      <c r="E306" s="1326" t="s">
        <v>143</v>
      </c>
      <c r="F306" s="1326" t="s">
        <v>2555</v>
      </c>
      <c r="G306" s="1326" t="s">
        <v>2556</v>
      </c>
      <c r="H306" s="1326" t="s">
        <v>2541</v>
      </c>
      <c r="I306" s="1326" t="s">
        <v>711</v>
      </c>
      <c r="J306" s="1326" t="s">
        <v>134</v>
      </c>
      <c r="K306" s="1326" t="s">
        <v>2060</v>
      </c>
      <c r="L306" s="1326" t="s">
        <v>2061</v>
      </c>
      <c r="M306" s="1400"/>
      <c r="N306" s="1400"/>
      <c r="O306" s="1400"/>
      <c r="P306" s="1400"/>
      <c r="Q306" s="1400"/>
      <c r="R306" s="1400"/>
      <c r="S306" s="1400"/>
      <c r="T306" s="1400"/>
      <c r="U306" s="1400"/>
      <c r="V306" s="1400"/>
      <c r="W306" s="1400"/>
      <c r="X306" s="1400"/>
      <c r="Y306" s="1685">
        <v>43084</v>
      </c>
      <c r="Z306" s="1326" t="s">
        <v>2096</v>
      </c>
      <c r="AA306" s="1683">
        <v>0</v>
      </c>
      <c r="AB306" s="1683">
        <v>0</v>
      </c>
      <c r="AC306" s="1683">
        <v>0</v>
      </c>
      <c r="AD306" s="1685">
        <v>43096</v>
      </c>
      <c r="AE306" s="1326" t="s">
        <v>2081</v>
      </c>
      <c r="AF306" s="1326" t="s">
        <v>2064</v>
      </c>
      <c r="AG306" s="1410"/>
      <c r="AH306" s="1683">
        <v>0</v>
      </c>
      <c r="AI306" s="1683">
        <v>59862.26</v>
      </c>
      <c r="AJ306" s="1683">
        <v>59862.26</v>
      </c>
      <c r="AK306" s="1683">
        <v>59862.26</v>
      </c>
      <c r="AL306" s="1683">
        <v>0</v>
      </c>
      <c r="AM306" s="1682"/>
      <c r="AN306" s="1683">
        <v>0</v>
      </c>
      <c r="AO306" s="1683">
        <v>0</v>
      </c>
      <c r="AP306" s="1683">
        <v>0</v>
      </c>
      <c r="AQ306" s="1683">
        <v>0</v>
      </c>
      <c r="AR306" s="1683">
        <v>0</v>
      </c>
      <c r="AS306" s="1683">
        <v>0</v>
      </c>
      <c r="AT306" s="1683">
        <v>0</v>
      </c>
      <c r="AU306" s="1683">
        <v>0</v>
      </c>
      <c r="AV306" s="1683">
        <v>0</v>
      </c>
      <c r="AW306" s="1683">
        <v>0</v>
      </c>
      <c r="AX306" s="1400"/>
      <c r="AY306" s="1400"/>
      <c r="AZ306" s="1400"/>
      <c r="BA306" s="1682"/>
      <c r="BB306" s="1682"/>
      <c r="BC306" s="1400"/>
      <c r="BD306" s="1400"/>
      <c r="BE306" s="1683">
        <v>0</v>
      </c>
      <c r="BF306" s="1683">
        <v>0</v>
      </c>
      <c r="BG306" s="1683">
        <v>0</v>
      </c>
      <c r="BH306" s="1683">
        <v>0</v>
      </c>
      <c r="BI306" s="1683">
        <v>0</v>
      </c>
      <c r="BJ306" s="1683">
        <v>0</v>
      </c>
      <c r="BK306" s="1683">
        <v>0</v>
      </c>
      <c r="BL306" s="1683">
        <v>0</v>
      </c>
      <c r="BM306" s="1683">
        <v>0</v>
      </c>
      <c r="BN306" s="1683">
        <v>0</v>
      </c>
      <c r="BO306" s="1682"/>
      <c r="BP306" s="1683">
        <v>0</v>
      </c>
      <c r="BQ306" s="1683">
        <v>0</v>
      </c>
      <c r="BR306" s="1683">
        <v>0</v>
      </c>
      <c r="BS306" s="1683">
        <v>0</v>
      </c>
      <c r="BT306" s="1683">
        <v>0</v>
      </c>
      <c r="BU306" s="1683">
        <v>0</v>
      </c>
      <c r="BV306" s="1683">
        <v>0</v>
      </c>
      <c r="BW306" s="1683">
        <v>0</v>
      </c>
      <c r="BX306" s="1683">
        <v>0</v>
      </c>
      <c r="BY306" s="1683">
        <v>0</v>
      </c>
      <c r="BZ306" s="1400"/>
      <c r="CA306" s="1400"/>
      <c r="CB306" s="1682"/>
      <c r="CC306" s="1682"/>
      <c r="CD306" s="1400"/>
      <c r="CE306" s="1400"/>
      <c r="CF306" s="1683">
        <v>0</v>
      </c>
      <c r="CG306" s="1683">
        <v>0</v>
      </c>
      <c r="CH306" s="1683">
        <v>0</v>
      </c>
      <c r="CI306" s="1683">
        <v>0</v>
      </c>
      <c r="CJ306" s="1683">
        <v>0</v>
      </c>
      <c r="CK306" s="1683">
        <v>0</v>
      </c>
      <c r="CL306" s="1682"/>
      <c r="CM306" s="1683">
        <v>0</v>
      </c>
      <c r="CN306" s="1683">
        <v>0</v>
      </c>
      <c r="CO306" s="1683">
        <v>0</v>
      </c>
      <c r="CP306" s="1683">
        <v>0</v>
      </c>
      <c r="CQ306" s="1683">
        <v>0</v>
      </c>
      <c r="CR306" s="1683">
        <v>0</v>
      </c>
      <c r="CS306" s="1683">
        <v>0</v>
      </c>
      <c r="CT306" s="1683">
        <v>0</v>
      </c>
      <c r="CU306" s="1683">
        <v>0</v>
      </c>
      <c r="CV306" s="1683">
        <v>0</v>
      </c>
      <c r="CW306" s="1682"/>
      <c r="CX306" s="1400"/>
      <c r="CY306" s="1400"/>
      <c r="CZ306" s="1400"/>
      <c r="DA306" s="1400"/>
      <c r="DB306" s="1682"/>
      <c r="DC306" s="1326"/>
      <c r="DD306" s="1683">
        <v>0</v>
      </c>
      <c r="DE306" s="1400"/>
      <c r="DF306" s="1400"/>
      <c r="DG306" s="1683">
        <v>0</v>
      </c>
      <c r="DH306" s="1683">
        <v>0</v>
      </c>
    </row>
    <row r="307" spans="1:112" ht="45">
      <c r="A307" s="1326" t="s">
        <v>2318</v>
      </c>
      <c r="B307" s="1326" t="s">
        <v>1700</v>
      </c>
      <c r="C307" s="1326" t="s">
        <v>2561</v>
      </c>
      <c r="D307" s="1326" t="s">
        <v>2562</v>
      </c>
      <c r="E307" s="1326" t="s">
        <v>143</v>
      </c>
      <c r="F307" s="1326" t="s">
        <v>2555</v>
      </c>
      <c r="G307" s="1326" t="s">
        <v>2556</v>
      </c>
      <c r="H307" s="1326" t="s">
        <v>2541</v>
      </c>
      <c r="I307" s="1326" t="s">
        <v>711</v>
      </c>
      <c r="J307" s="1326" t="s">
        <v>134</v>
      </c>
      <c r="K307" s="1326" t="s">
        <v>2060</v>
      </c>
      <c r="L307" s="1326" t="s">
        <v>2061</v>
      </c>
      <c r="M307" s="1400"/>
      <c r="N307" s="1400"/>
      <c r="O307" s="1400"/>
      <c r="P307" s="1400"/>
      <c r="Q307" s="1400"/>
      <c r="R307" s="1400"/>
      <c r="S307" s="1400"/>
      <c r="T307" s="1400"/>
      <c r="U307" s="1400"/>
      <c r="V307" s="1400"/>
      <c r="W307" s="1400"/>
      <c r="X307" s="1400"/>
      <c r="Y307" s="1685">
        <v>43248</v>
      </c>
      <c r="Z307" s="1326" t="s">
        <v>2062</v>
      </c>
      <c r="AA307" s="1683">
        <v>0</v>
      </c>
      <c r="AB307" s="1683">
        <v>0</v>
      </c>
      <c r="AC307" s="1683">
        <v>0</v>
      </c>
      <c r="AD307" s="1685">
        <v>43273</v>
      </c>
      <c r="AE307" s="1326" t="s">
        <v>2082</v>
      </c>
      <c r="AF307" s="1326" t="s">
        <v>2067</v>
      </c>
      <c r="AG307" s="1410"/>
      <c r="AH307" s="1683">
        <v>57937.49</v>
      </c>
      <c r="AI307" s="1683">
        <v>57937.49</v>
      </c>
      <c r="AJ307" s="1683">
        <v>49246.87</v>
      </c>
      <c r="AK307" s="1683">
        <v>49246.87</v>
      </c>
      <c r="AL307" s="1683">
        <v>0</v>
      </c>
      <c r="AM307" s="1685">
        <v>43277</v>
      </c>
      <c r="AN307" s="1683">
        <v>57937.49</v>
      </c>
      <c r="AO307" s="1683">
        <v>57937.49</v>
      </c>
      <c r="AP307" s="1683">
        <v>49246.87</v>
      </c>
      <c r="AQ307" s="1683">
        <v>49246.87</v>
      </c>
      <c r="AR307" s="1683">
        <v>0</v>
      </c>
      <c r="AS307" s="1683">
        <v>8690.6200000000008</v>
      </c>
      <c r="AT307" s="1683">
        <v>0</v>
      </c>
      <c r="AU307" s="1683">
        <v>8690.6200000000008</v>
      </c>
      <c r="AV307" s="1683">
        <v>0</v>
      </c>
      <c r="AW307" s="1683">
        <v>0</v>
      </c>
      <c r="AX307" s="1400"/>
      <c r="AY307" s="1400"/>
      <c r="AZ307" s="1400"/>
      <c r="BA307" s="1682"/>
      <c r="BB307" s="1682"/>
      <c r="BC307" s="1400"/>
      <c r="BD307" s="1400"/>
      <c r="BE307" s="1683">
        <v>57937.49</v>
      </c>
      <c r="BF307" s="1683">
        <v>57937.49</v>
      </c>
      <c r="BG307" s="1683">
        <v>49246.87</v>
      </c>
      <c r="BH307" s="1683">
        <v>49246.87</v>
      </c>
      <c r="BI307" s="1683">
        <v>0</v>
      </c>
      <c r="BJ307" s="1683">
        <v>8690.6200000000008</v>
      </c>
      <c r="BK307" s="1683">
        <v>0</v>
      </c>
      <c r="BL307" s="1683">
        <v>8690.6200000000008</v>
      </c>
      <c r="BM307" s="1683">
        <v>0</v>
      </c>
      <c r="BN307" s="1683">
        <v>0</v>
      </c>
      <c r="BO307" s="1685">
        <v>43364</v>
      </c>
      <c r="BP307" s="1683">
        <v>57937.49</v>
      </c>
      <c r="BQ307" s="1683">
        <v>57937.49</v>
      </c>
      <c r="BR307" s="1683">
        <v>49246.87</v>
      </c>
      <c r="BS307" s="1683">
        <v>49246.87</v>
      </c>
      <c r="BT307" s="1683">
        <v>0</v>
      </c>
      <c r="BU307" s="1683">
        <v>8690.6200000000008</v>
      </c>
      <c r="BV307" s="1683">
        <v>0</v>
      </c>
      <c r="BW307" s="1683">
        <v>0</v>
      </c>
      <c r="BX307" s="1683">
        <v>0</v>
      </c>
      <c r="BY307" s="1683">
        <v>0</v>
      </c>
      <c r="BZ307" s="1683">
        <v>0</v>
      </c>
      <c r="CA307" s="1400"/>
      <c r="CB307" s="1682"/>
      <c r="CC307" s="1682"/>
      <c r="CD307" s="1400"/>
      <c r="CE307" s="1400"/>
      <c r="CF307" s="1683">
        <v>0</v>
      </c>
      <c r="CG307" s="1683">
        <v>0</v>
      </c>
      <c r="CH307" s="1683">
        <v>0</v>
      </c>
      <c r="CI307" s="1683">
        <v>0</v>
      </c>
      <c r="CJ307" s="1683">
        <v>630.37</v>
      </c>
      <c r="CK307" s="1683">
        <v>630.37</v>
      </c>
      <c r="CL307" s="1682"/>
      <c r="CM307" s="1683">
        <v>0</v>
      </c>
      <c r="CN307" s="1683">
        <v>0</v>
      </c>
      <c r="CO307" s="1683">
        <v>0</v>
      </c>
      <c r="CP307" s="1683">
        <v>0</v>
      </c>
      <c r="CQ307" s="1683">
        <v>0</v>
      </c>
      <c r="CR307" s="1683">
        <v>0</v>
      </c>
      <c r="CS307" s="1683">
        <v>0</v>
      </c>
      <c r="CT307" s="1683">
        <v>0</v>
      </c>
      <c r="CU307" s="1683">
        <v>0</v>
      </c>
      <c r="CV307" s="1683">
        <v>0</v>
      </c>
      <c r="CW307" s="1682"/>
      <c r="CX307" s="1400"/>
      <c r="CY307" s="1400"/>
      <c r="CZ307" s="1400"/>
      <c r="DA307" s="1400"/>
      <c r="DB307" s="1682"/>
      <c r="DC307" s="1326"/>
      <c r="DD307" s="1683">
        <v>0</v>
      </c>
      <c r="DE307" s="1400"/>
      <c r="DF307" s="1400"/>
      <c r="DG307" s="1683">
        <v>0</v>
      </c>
      <c r="DH307" s="1683">
        <v>0</v>
      </c>
    </row>
    <row r="308" spans="1:112" ht="45">
      <c r="A308" s="1326" t="s">
        <v>2319</v>
      </c>
      <c r="B308" s="1326" t="s">
        <v>1700</v>
      </c>
      <c r="C308" s="1326" t="s">
        <v>2561</v>
      </c>
      <c r="D308" s="1326" t="s">
        <v>2562</v>
      </c>
      <c r="E308" s="1326" t="s">
        <v>143</v>
      </c>
      <c r="F308" s="1326" t="s">
        <v>2555</v>
      </c>
      <c r="G308" s="1326" t="s">
        <v>2556</v>
      </c>
      <c r="H308" s="1326" t="s">
        <v>2541</v>
      </c>
      <c r="I308" s="1326" t="s">
        <v>711</v>
      </c>
      <c r="J308" s="1326" t="s">
        <v>134</v>
      </c>
      <c r="K308" s="1326" t="s">
        <v>2060</v>
      </c>
      <c r="L308" s="1326" t="s">
        <v>2061</v>
      </c>
      <c r="M308" s="1400"/>
      <c r="N308" s="1400"/>
      <c r="O308" s="1400"/>
      <c r="P308" s="1400"/>
      <c r="Q308" s="1400"/>
      <c r="R308" s="1400"/>
      <c r="S308" s="1400"/>
      <c r="T308" s="1400"/>
      <c r="U308" s="1400"/>
      <c r="V308" s="1400"/>
      <c r="W308" s="1400"/>
      <c r="X308" s="1400"/>
      <c r="Y308" s="1685">
        <v>43248</v>
      </c>
      <c r="Z308" s="1326" t="s">
        <v>2062</v>
      </c>
      <c r="AA308" s="1683">
        <v>0</v>
      </c>
      <c r="AB308" s="1683">
        <v>0</v>
      </c>
      <c r="AC308" s="1683">
        <v>0</v>
      </c>
      <c r="AD308" s="1685">
        <v>43273</v>
      </c>
      <c r="AE308" s="1326" t="s">
        <v>2082</v>
      </c>
      <c r="AF308" s="1326" t="s">
        <v>2064</v>
      </c>
      <c r="AG308" s="1410"/>
      <c r="AH308" s="1683">
        <v>2095.23</v>
      </c>
      <c r="AI308" s="1683">
        <v>2095.23</v>
      </c>
      <c r="AJ308" s="1683">
        <v>1780.94</v>
      </c>
      <c r="AK308" s="1683">
        <v>1780.94</v>
      </c>
      <c r="AL308" s="1683">
        <v>0</v>
      </c>
      <c r="AM308" s="1685">
        <v>43273</v>
      </c>
      <c r="AN308" s="1683">
        <v>2095.23</v>
      </c>
      <c r="AO308" s="1683">
        <v>2095.23</v>
      </c>
      <c r="AP308" s="1683">
        <v>1780.94</v>
      </c>
      <c r="AQ308" s="1683">
        <v>1780.94</v>
      </c>
      <c r="AR308" s="1683">
        <v>0</v>
      </c>
      <c r="AS308" s="1683">
        <v>314.29000000000002</v>
      </c>
      <c r="AT308" s="1683">
        <v>0</v>
      </c>
      <c r="AU308" s="1683">
        <v>314.29000000000002</v>
      </c>
      <c r="AV308" s="1683">
        <v>0</v>
      </c>
      <c r="AW308" s="1683">
        <v>0</v>
      </c>
      <c r="AX308" s="1400"/>
      <c r="AY308" s="1400"/>
      <c r="AZ308" s="1400"/>
      <c r="BA308" s="1682"/>
      <c r="BB308" s="1682"/>
      <c r="BC308" s="1400"/>
      <c r="BD308" s="1400"/>
      <c r="BE308" s="1683">
        <v>2095.23</v>
      </c>
      <c r="BF308" s="1683">
        <v>2095.23</v>
      </c>
      <c r="BG308" s="1683">
        <v>1780.94</v>
      </c>
      <c r="BH308" s="1683">
        <v>1780.94</v>
      </c>
      <c r="BI308" s="1683">
        <v>0</v>
      </c>
      <c r="BJ308" s="1683">
        <v>314.29000000000002</v>
      </c>
      <c r="BK308" s="1683">
        <v>0</v>
      </c>
      <c r="BL308" s="1683">
        <v>314.29000000000002</v>
      </c>
      <c r="BM308" s="1683">
        <v>0</v>
      </c>
      <c r="BN308" s="1683">
        <v>0</v>
      </c>
      <c r="BO308" s="1685">
        <v>43364</v>
      </c>
      <c r="BP308" s="1683">
        <v>2095.23</v>
      </c>
      <c r="BQ308" s="1683">
        <v>2095.23</v>
      </c>
      <c r="BR308" s="1683">
        <v>1780.94</v>
      </c>
      <c r="BS308" s="1683">
        <v>1780.94</v>
      </c>
      <c r="BT308" s="1683">
        <v>0</v>
      </c>
      <c r="BU308" s="1683">
        <v>314.29000000000002</v>
      </c>
      <c r="BV308" s="1683">
        <v>0</v>
      </c>
      <c r="BW308" s="1683">
        <v>0</v>
      </c>
      <c r="BX308" s="1683">
        <v>0</v>
      </c>
      <c r="BY308" s="1683">
        <v>0</v>
      </c>
      <c r="BZ308" s="1683">
        <v>0</v>
      </c>
      <c r="CA308" s="1400"/>
      <c r="CB308" s="1682"/>
      <c r="CC308" s="1682"/>
      <c r="CD308" s="1400"/>
      <c r="CE308" s="1400"/>
      <c r="CF308" s="1683">
        <v>0</v>
      </c>
      <c r="CG308" s="1683">
        <v>0</v>
      </c>
      <c r="CH308" s="1683">
        <v>0</v>
      </c>
      <c r="CI308" s="1683">
        <v>0</v>
      </c>
      <c r="CJ308" s="1683">
        <v>22.79</v>
      </c>
      <c r="CK308" s="1683">
        <v>22.79</v>
      </c>
      <c r="CL308" s="1682"/>
      <c r="CM308" s="1683">
        <v>0</v>
      </c>
      <c r="CN308" s="1683">
        <v>0</v>
      </c>
      <c r="CO308" s="1683">
        <v>0</v>
      </c>
      <c r="CP308" s="1683">
        <v>0</v>
      </c>
      <c r="CQ308" s="1683">
        <v>0</v>
      </c>
      <c r="CR308" s="1683">
        <v>0</v>
      </c>
      <c r="CS308" s="1683">
        <v>0</v>
      </c>
      <c r="CT308" s="1683">
        <v>0</v>
      </c>
      <c r="CU308" s="1683">
        <v>0</v>
      </c>
      <c r="CV308" s="1683">
        <v>0</v>
      </c>
      <c r="CW308" s="1682"/>
      <c r="CX308" s="1400"/>
      <c r="CY308" s="1400"/>
      <c r="CZ308" s="1400"/>
      <c r="DA308" s="1400"/>
      <c r="DB308" s="1682"/>
      <c r="DC308" s="1326"/>
      <c r="DD308" s="1683">
        <v>0</v>
      </c>
      <c r="DE308" s="1400"/>
      <c r="DF308" s="1400"/>
      <c r="DG308" s="1683">
        <v>0</v>
      </c>
      <c r="DH308" s="1683">
        <v>0</v>
      </c>
    </row>
    <row r="309" spans="1:112" ht="45">
      <c r="A309" s="1326" t="s">
        <v>2320</v>
      </c>
      <c r="B309" s="1326" t="s">
        <v>1700</v>
      </c>
      <c r="C309" s="1326" t="s">
        <v>2561</v>
      </c>
      <c r="D309" s="1326" t="s">
        <v>2562</v>
      </c>
      <c r="E309" s="1326" t="s">
        <v>143</v>
      </c>
      <c r="F309" s="1326" t="s">
        <v>2555</v>
      </c>
      <c r="G309" s="1326" t="s">
        <v>2556</v>
      </c>
      <c r="H309" s="1326" t="s">
        <v>2541</v>
      </c>
      <c r="I309" s="1326" t="s">
        <v>711</v>
      </c>
      <c r="J309" s="1326" t="s">
        <v>134</v>
      </c>
      <c r="K309" s="1326" t="s">
        <v>2060</v>
      </c>
      <c r="L309" s="1326" t="s">
        <v>2061</v>
      </c>
      <c r="M309" s="1400"/>
      <c r="N309" s="1400"/>
      <c r="O309" s="1400"/>
      <c r="P309" s="1400"/>
      <c r="Q309" s="1400"/>
      <c r="R309" s="1400"/>
      <c r="S309" s="1400"/>
      <c r="T309" s="1400"/>
      <c r="U309" s="1400"/>
      <c r="V309" s="1400"/>
      <c r="W309" s="1400"/>
      <c r="X309" s="1400"/>
      <c r="Y309" s="1685">
        <v>43335</v>
      </c>
      <c r="Z309" s="1326" t="s">
        <v>2062</v>
      </c>
      <c r="AA309" s="1683">
        <v>0</v>
      </c>
      <c r="AB309" s="1683">
        <v>0</v>
      </c>
      <c r="AC309" s="1683">
        <v>0</v>
      </c>
      <c r="AD309" s="1685">
        <v>43350</v>
      </c>
      <c r="AE309" s="1326" t="s">
        <v>2083</v>
      </c>
      <c r="AF309" s="1326" t="s">
        <v>2064</v>
      </c>
      <c r="AG309" s="1410"/>
      <c r="AH309" s="1683">
        <v>76121.490000000005</v>
      </c>
      <c r="AI309" s="1683">
        <v>76121.490000000005</v>
      </c>
      <c r="AJ309" s="1683">
        <v>64703.27</v>
      </c>
      <c r="AK309" s="1683">
        <v>64703.27</v>
      </c>
      <c r="AL309" s="1683">
        <v>0</v>
      </c>
      <c r="AM309" s="1685">
        <v>43350</v>
      </c>
      <c r="AN309" s="1683">
        <v>76121.490000000005</v>
      </c>
      <c r="AO309" s="1683">
        <v>76121.490000000005</v>
      </c>
      <c r="AP309" s="1683">
        <v>64703.27</v>
      </c>
      <c r="AQ309" s="1683">
        <v>64703.27</v>
      </c>
      <c r="AR309" s="1683">
        <v>0</v>
      </c>
      <c r="AS309" s="1683">
        <v>11418.22</v>
      </c>
      <c r="AT309" s="1683">
        <v>0</v>
      </c>
      <c r="AU309" s="1683">
        <v>11418.22</v>
      </c>
      <c r="AV309" s="1683">
        <v>0</v>
      </c>
      <c r="AW309" s="1683">
        <v>0</v>
      </c>
      <c r="AX309" s="1400"/>
      <c r="AY309" s="1400"/>
      <c r="AZ309" s="1400"/>
      <c r="BA309" s="1682"/>
      <c r="BB309" s="1682"/>
      <c r="BC309" s="1400"/>
      <c r="BD309" s="1400"/>
      <c r="BE309" s="1683">
        <v>76121.490000000005</v>
      </c>
      <c r="BF309" s="1683">
        <v>76121.490000000005</v>
      </c>
      <c r="BG309" s="1683">
        <v>64703.27</v>
      </c>
      <c r="BH309" s="1683">
        <v>64703.27</v>
      </c>
      <c r="BI309" s="1683">
        <v>0</v>
      </c>
      <c r="BJ309" s="1683">
        <v>11418.22</v>
      </c>
      <c r="BK309" s="1683">
        <v>0</v>
      </c>
      <c r="BL309" s="1683">
        <v>11418.22</v>
      </c>
      <c r="BM309" s="1683">
        <v>0</v>
      </c>
      <c r="BN309" s="1683">
        <v>0</v>
      </c>
      <c r="BO309" s="1685">
        <v>43403</v>
      </c>
      <c r="BP309" s="1683">
        <v>76121.490000000005</v>
      </c>
      <c r="BQ309" s="1683">
        <v>76121.490000000005</v>
      </c>
      <c r="BR309" s="1683">
        <v>64703.27</v>
      </c>
      <c r="BS309" s="1683">
        <v>64703.27</v>
      </c>
      <c r="BT309" s="1683">
        <v>0</v>
      </c>
      <c r="BU309" s="1683">
        <v>11418.22</v>
      </c>
      <c r="BV309" s="1683">
        <v>0</v>
      </c>
      <c r="BW309" s="1683">
        <v>0</v>
      </c>
      <c r="BX309" s="1683">
        <v>0</v>
      </c>
      <c r="BY309" s="1683">
        <v>0</v>
      </c>
      <c r="BZ309" s="1683">
        <v>0</v>
      </c>
      <c r="CA309" s="1400"/>
      <c r="CB309" s="1682"/>
      <c r="CC309" s="1682"/>
      <c r="CD309" s="1400"/>
      <c r="CE309" s="1400"/>
      <c r="CF309" s="1683">
        <v>0</v>
      </c>
      <c r="CG309" s="1683">
        <v>0</v>
      </c>
      <c r="CH309" s="1683">
        <v>0</v>
      </c>
      <c r="CI309" s="1683">
        <v>0</v>
      </c>
      <c r="CJ309" s="1683">
        <v>828.22</v>
      </c>
      <c r="CK309" s="1683">
        <v>828.22</v>
      </c>
      <c r="CL309" s="1682"/>
      <c r="CM309" s="1683">
        <v>0</v>
      </c>
      <c r="CN309" s="1683">
        <v>0</v>
      </c>
      <c r="CO309" s="1683">
        <v>0</v>
      </c>
      <c r="CP309" s="1683">
        <v>0</v>
      </c>
      <c r="CQ309" s="1683">
        <v>0</v>
      </c>
      <c r="CR309" s="1683">
        <v>0</v>
      </c>
      <c r="CS309" s="1683">
        <v>0</v>
      </c>
      <c r="CT309" s="1683">
        <v>0</v>
      </c>
      <c r="CU309" s="1683">
        <v>0</v>
      </c>
      <c r="CV309" s="1683">
        <v>0</v>
      </c>
      <c r="CW309" s="1682"/>
      <c r="CX309" s="1400"/>
      <c r="CY309" s="1400"/>
      <c r="CZ309" s="1400"/>
      <c r="DA309" s="1400"/>
      <c r="DB309" s="1682"/>
      <c r="DC309" s="1326"/>
      <c r="DD309" s="1683">
        <v>0</v>
      </c>
      <c r="DE309" s="1400"/>
      <c r="DF309" s="1400"/>
      <c r="DG309" s="1683">
        <v>0</v>
      </c>
      <c r="DH309" s="1683">
        <v>0</v>
      </c>
    </row>
    <row r="310" spans="1:112" ht="45">
      <c r="A310" s="1326" t="s">
        <v>2321</v>
      </c>
      <c r="B310" s="1326" t="s">
        <v>1700</v>
      </c>
      <c r="C310" s="1326" t="s">
        <v>2561</v>
      </c>
      <c r="D310" s="1326" t="s">
        <v>2562</v>
      </c>
      <c r="E310" s="1326" t="s">
        <v>143</v>
      </c>
      <c r="F310" s="1326" t="s">
        <v>2555</v>
      </c>
      <c r="G310" s="1326" t="s">
        <v>2556</v>
      </c>
      <c r="H310" s="1326" t="s">
        <v>2541</v>
      </c>
      <c r="I310" s="1326" t="s">
        <v>711</v>
      </c>
      <c r="J310" s="1326" t="s">
        <v>134</v>
      </c>
      <c r="K310" s="1326" t="s">
        <v>2060</v>
      </c>
      <c r="L310" s="1326" t="s">
        <v>2061</v>
      </c>
      <c r="M310" s="1400"/>
      <c r="N310" s="1400"/>
      <c r="O310" s="1400"/>
      <c r="P310" s="1400"/>
      <c r="Q310" s="1400"/>
      <c r="R310" s="1400"/>
      <c r="S310" s="1400"/>
      <c r="T310" s="1400"/>
      <c r="U310" s="1400"/>
      <c r="V310" s="1400"/>
      <c r="W310" s="1400"/>
      <c r="X310" s="1400"/>
      <c r="Y310" s="1685">
        <v>43413</v>
      </c>
      <c r="Z310" s="1326" t="s">
        <v>2062</v>
      </c>
      <c r="AA310" s="1683">
        <v>12750</v>
      </c>
      <c r="AB310" s="1683">
        <v>12750</v>
      </c>
      <c r="AC310" s="1683">
        <v>0</v>
      </c>
      <c r="AD310" s="1685">
        <v>43440</v>
      </c>
      <c r="AE310" s="1326" t="s">
        <v>2084</v>
      </c>
      <c r="AF310" s="1326" t="s">
        <v>2064</v>
      </c>
      <c r="AG310" s="1410"/>
      <c r="AH310" s="1683">
        <v>38791.67</v>
      </c>
      <c r="AI310" s="1683">
        <v>38791.67</v>
      </c>
      <c r="AJ310" s="1683">
        <v>20222.919999999998</v>
      </c>
      <c r="AK310" s="1683">
        <v>20222.919999999998</v>
      </c>
      <c r="AL310" s="1683">
        <v>0</v>
      </c>
      <c r="AM310" s="1685">
        <v>43440</v>
      </c>
      <c r="AN310" s="1683">
        <v>38791.67</v>
      </c>
      <c r="AO310" s="1683">
        <v>38791.67</v>
      </c>
      <c r="AP310" s="1683">
        <v>32972.92</v>
      </c>
      <c r="AQ310" s="1683">
        <v>32972.92</v>
      </c>
      <c r="AR310" s="1683">
        <v>0</v>
      </c>
      <c r="AS310" s="1683">
        <v>5818.75</v>
      </c>
      <c r="AT310" s="1683">
        <v>0</v>
      </c>
      <c r="AU310" s="1683">
        <v>5818.75</v>
      </c>
      <c r="AV310" s="1683">
        <v>0</v>
      </c>
      <c r="AW310" s="1683">
        <v>0</v>
      </c>
      <c r="AX310" s="1400"/>
      <c r="AY310" s="1400"/>
      <c r="AZ310" s="1400"/>
      <c r="BA310" s="1682"/>
      <c r="BB310" s="1682"/>
      <c r="BC310" s="1400"/>
      <c r="BD310" s="1400"/>
      <c r="BE310" s="1683">
        <v>38791.67</v>
      </c>
      <c r="BF310" s="1683">
        <v>38791.67</v>
      </c>
      <c r="BG310" s="1683">
        <v>32972.92</v>
      </c>
      <c r="BH310" s="1683">
        <v>32972.92</v>
      </c>
      <c r="BI310" s="1683">
        <v>0</v>
      </c>
      <c r="BJ310" s="1683">
        <v>5818.75</v>
      </c>
      <c r="BK310" s="1683">
        <v>0</v>
      </c>
      <c r="BL310" s="1683">
        <v>5818.75</v>
      </c>
      <c r="BM310" s="1683">
        <v>0</v>
      </c>
      <c r="BN310" s="1683">
        <v>0</v>
      </c>
      <c r="BO310" s="1682"/>
      <c r="BP310" s="1683">
        <v>0</v>
      </c>
      <c r="BQ310" s="1683">
        <v>0</v>
      </c>
      <c r="BR310" s="1683">
        <v>0</v>
      </c>
      <c r="BS310" s="1683">
        <v>0</v>
      </c>
      <c r="BT310" s="1683">
        <v>0</v>
      </c>
      <c r="BU310" s="1683">
        <v>0</v>
      </c>
      <c r="BV310" s="1683">
        <v>0</v>
      </c>
      <c r="BW310" s="1683">
        <v>0</v>
      </c>
      <c r="BX310" s="1683">
        <v>0</v>
      </c>
      <c r="BY310" s="1683">
        <v>0</v>
      </c>
      <c r="BZ310" s="1683">
        <v>0</v>
      </c>
      <c r="CA310" s="1400"/>
      <c r="CB310" s="1682"/>
      <c r="CC310" s="1682"/>
      <c r="CD310" s="1400"/>
      <c r="CE310" s="1400"/>
      <c r="CF310" s="1683">
        <v>0</v>
      </c>
      <c r="CG310" s="1683">
        <v>0</v>
      </c>
      <c r="CH310" s="1683">
        <v>0</v>
      </c>
      <c r="CI310" s="1683">
        <v>0</v>
      </c>
      <c r="CJ310" s="1683">
        <v>0</v>
      </c>
      <c r="CK310" s="1683">
        <v>0</v>
      </c>
      <c r="CL310" s="1682"/>
      <c r="CM310" s="1683">
        <v>0</v>
      </c>
      <c r="CN310" s="1683">
        <v>0</v>
      </c>
      <c r="CO310" s="1683">
        <v>0</v>
      </c>
      <c r="CP310" s="1683">
        <v>0</v>
      </c>
      <c r="CQ310" s="1683">
        <v>0</v>
      </c>
      <c r="CR310" s="1683">
        <v>0</v>
      </c>
      <c r="CS310" s="1683">
        <v>0</v>
      </c>
      <c r="CT310" s="1683">
        <v>0</v>
      </c>
      <c r="CU310" s="1683">
        <v>0</v>
      </c>
      <c r="CV310" s="1683">
        <v>0</v>
      </c>
      <c r="CW310" s="1682"/>
      <c r="CX310" s="1400"/>
      <c r="CY310" s="1400"/>
      <c r="CZ310" s="1400"/>
      <c r="DA310" s="1400"/>
      <c r="DB310" s="1682"/>
      <c r="DC310" s="1326"/>
      <c r="DD310" s="1683">
        <v>0</v>
      </c>
      <c r="DE310" s="1400"/>
      <c r="DF310" s="1400"/>
      <c r="DG310" s="1683">
        <v>0</v>
      </c>
      <c r="DH310" s="1683">
        <v>0</v>
      </c>
    </row>
    <row r="311" spans="1:112" ht="45">
      <c r="A311" s="1326" t="s">
        <v>2322</v>
      </c>
      <c r="B311" s="1326" t="s">
        <v>1700</v>
      </c>
      <c r="C311" s="1326" t="s">
        <v>2561</v>
      </c>
      <c r="D311" s="1326" t="s">
        <v>2562</v>
      </c>
      <c r="E311" s="1326" t="s">
        <v>143</v>
      </c>
      <c r="F311" s="1326" t="s">
        <v>2555</v>
      </c>
      <c r="G311" s="1326" t="s">
        <v>2556</v>
      </c>
      <c r="H311" s="1326" t="s">
        <v>2541</v>
      </c>
      <c r="I311" s="1326" t="s">
        <v>711</v>
      </c>
      <c r="J311" s="1326" t="s">
        <v>134</v>
      </c>
      <c r="K311" s="1326" t="s">
        <v>2060</v>
      </c>
      <c r="L311" s="1326" t="s">
        <v>2061</v>
      </c>
      <c r="M311" s="1400"/>
      <c r="N311" s="1400"/>
      <c r="O311" s="1400"/>
      <c r="P311" s="1400"/>
      <c r="Q311" s="1400"/>
      <c r="R311" s="1400"/>
      <c r="S311" s="1400"/>
      <c r="T311" s="1400"/>
      <c r="U311" s="1400"/>
      <c r="V311" s="1400"/>
      <c r="W311" s="1400"/>
      <c r="X311" s="1400"/>
      <c r="Y311" s="1685">
        <v>43504</v>
      </c>
      <c r="Z311" s="1326" t="s">
        <v>2062</v>
      </c>
      <c r="AA311" s="1683">
        <v>23931.35</v>
      </c>
      <c r="AB311" s="1683">
        <v>23931.35</v>
      </c>
      <c r="AC311" s="1683">
        <v>0</v>
      </c>
      <c r="AD311" s="1685">
        <v>43538</v>
      </c>
      <c r="AE311" s="1326" t="s">
        <v>2304</v>
      </c>
      <c r="AF311" s="1326" t="s">
        <v>2064</v>
      </c>
      <c r="AG311" s="1410"/>
      <c r="AH311" s="1683">
        <v>28154.54</v>
      </c>
      <c r="AI311" s="1683">
        <v>28154.54</v>
      </c>
      <c r="AJ311" s="1683">
        <v>0.01</v>
      </c>
      <c r="AK311" s="1683">
        <v>0.01</v>
      </c>
      <c r="AL311" s="1683">
        <v>0</v>
      </c>
      <c r="AM311" s="1685">
        <v>43538</v>
      </c>
      <c r="AN311" s="1683">
        <v>28154.54</v>
      </c>
      <c r="AO311" s="1683">
        <v>28154.54</v>
      </c>
      <c r="AP311" s="1683">
        <v>23931.360000000001</v>
      </c>
      <c r="AQ311" s="1683">
        <v>23931.360000000001</v>
      </c>
      <c r="AR311" s="1683">
        <v>0</v>
      </c>
      <c r="AS311" s="1683">
        <v>4223.18</v>
      </c>
      <c r="AT311" s="1683">
        <v>0</v>
      </c>
      <c r="AU311" s="1683">
        <v>4223.18</v>
      </c>
      <c r="AV311" s="1683">
        <v>0</v>
      </c>
      <c r="AW311" s="1683">
        <v>0</v>
      </c>
      <c r="AX311" s="1400"/>
      <c r="AY311" s="1400"/>
      <c r="AZ311" s="1400"/>
      <c r="BA311" s="1682"/>
      <c r="BB311" s="1682"/>
      <c r="BC311" s="1400"/>
      <c r="BD311" s="1400"/>
      <c r="BE311" s="1683">
        <v>28154.54</v>
      </c>
      <c r="BF311" s="1683">
        <v>28154.54</v>
      </c>
      <c r="BG311" s="1683">
        <v>23931.360000000001</v>
      </c>
      <c r="BH311" s="1683">
        <v>23931.360000000001</v>
      </c>
      <c r="BI311" s="1683">
        <v>0</v>
      </c>
      <c r="BJ311" s="1683">
        <v>4223.18</v>
      </c>
      <c r="BK311" s="1683">
        <v>0</v>
      </c>
      <c r="BL311" s="1683">
        <v>4223.18</v>
      </c>
      <c r="BM311" s="1683">
        <v>0</v>
      </c>
      <c r="BN311" s="1683">
        <v>0</v>
      </c>
      <c r="BO311" s="1682"/>
      <c r="BP311" s="1683">
        <v>0</v>
      </c>
      <c r="BQ311" s="1683">
        <v>0</v>
      </c>
      <c r="BR311" s="1683">
        <v>0</v>
      </c>
      <c r="BS311" s="1683">
        <v>0</v>
      </c>
      <c r="BT311" s="1683">
        <v>0</v>
      </c>
      <c r="BU311" s="1683">
        <v>0</v>
      </c>
      <c r="BV311" s="1683">
        <v>0</v>
      </c>
      <c r="BW311" s="1683">
        <v>0</v>
      </c>
      <c r="BX311" s="1683">
        <v>0</v>
      </c>
      <c r="BY311" s="1683">
        <v>0</v>
      </c>
      <c r="BZ311" s="1400"/>
      <c r="CA311" s="1400"/>
      <c r="CB311" s="1682"/>
      <c r="CC311" s="1682"/>
      <c r="CD311" s="1400"/>
      <c r="CE311" s="1400"/>
      <c r="CF311" s="1683">
        <v>0</v>
      </c>
      <c r="CG311" s="1683">
        <v>0</v>
      </c>
      <c r="CH311" s="1683">
        <v>0</v>
      </c>
      <c r="CI311" s="1683">
        <v>0</v>
      </c>
      <c r="CJ311" s="1683">
        <v>0</v>
      </c>
      <c r="CK311" s="1683">
        <v>0</v>
      </c>
      <c r="CL311" s="1682"/>
      <c r="CM311" s="1683">
        <v>0</v>
      </c>
      <c r="CN311" s="1683">
        <v>0</v>
      </c>
      <c r="CO311" s="1683">
        <v>0</v>
      </c>
      <c r="CP311" s="1683">
        <v>0</v>
      </c>
      <c r="CQ311" s="1683">
        <v>0</v>
      </c>
      <c r="CR311" s="1683">
        <v>0</v>
      </c>
      <c r="CS311" s="1683">
        <v>0</v>
      </c>
      <c r="CT311" s="1683">
        <v>0</v>
      </c>
      <c r="CU311" s="1683">
        <v>0</v>
      </c>
      <c r="CV311" s="1683">
        <v>0</v>
      </c>
      <c r="CW311" s="1682"/>
      <c r="CX311" s="1400"/>
      <c r="CY311" s="1400"/>
      <c r="CZ311" s="1400"/>
      <c r="DA311" s="1400"/>
      <c r="DB311" s="1682"/>
      <c r="DC311" s="1326"/>
      <c r="DD311" s="1683">
        <v>0</v>
      </c>
      <c r="DE311" s="1400"/>
      <c r="DF311" s="1400"/>
      <c r="DG311" s="1683">
        <v>0</v>
      </c>
      <c r="DH311" s="1683">
        <v>0</v>
      </c>
    </row>
    <row r="312" spans="1:112" ht="56.25">
      <c r="A312" s="1326" t="s">
        <v>2323</v>
      </c>
      <c r="B312" s="1326" t="s">
        <v>1700</v>
      </c>
      <c r="C312" s="1326" t="s">
        <v>2561</v>
      </c>
      <c r="D312" s="1326" t="s">
        <v>2562</v>
      </c>
      <c r="E312" s="1326" t="s">
        <v>143</v>
      </c>
      <c r="F312" s="1326" t="s">
        <v>2555</v>
      </c>
      <c r="G312" s="1326" t="s">
        <v>2556</v>
      </c>
      <c r="H312" s="1326" t="s">
        <v>2541</v>
      </c>
      <c r="I312" s="1326" t="s">
        <v>712</v>
      </c>
      <c r="J312" s="1326" t="s">
        <v>2230</v>
      </c>
      <c r="K312" s="1326" t="s">
        <v>2071</v>
      </c>
      <c r="L312" s="1326" t="s">
        <v>2061</v>
      </c>
      <c r="M312" s="1683">
        <v>783264.16</v>
      </c>
      <c r="N312" s="1683">
        <v>0</v>
      </c>
      <c r="O312" s="1683">
        <v>783264.16</v>
      </c>
      <c r="P312" s="1683">
        <v>783264.16</v>
      </c>
      <c r="Q312" s="1683">
        <v>299541</v>
      </c>
      <c r="R312" s="1683">
        <v>299541</v>
      </c>
      <c r="S312" s="1683">
        <v>0</v>
      </c>
      <c r="T312" s="1683">
        <v>483723.16</v>
      </c>
      <c r="U312" s="1683">
        <v>352400.82</v>
      </c>
      <c r="V312" s="1683">
        <v>131322.34</v>
      </c>
      <c r="W312" s="1683">
        <v>0</v>
      </c>
      <c r="X312" s="1683">
        <v>0</v>
      </c>
      <c r="Y312" s="1682"/>
      <c r="Z312" s="1326"/>
      <c r="AA312" s="1683">
        <v>57916.78</v>
      </c>
      <c r="AB312" s="1683">
        <v>57916.78</v>
      </c>
      <c r="AC312" s="1683">
        <v>0</v>
      </c>
      <c r="AD312" s="1682"/>
      <c r="AE312" s="1326"/>
      <c r="AF312" s="1326"/>
      <c r="AG312" s="1410"/>
      <c r="AH312" s="1683">
        <v>714950.25</v>
      </c>
      <c r="AI312" s="1683">
        <v>794950.25</v>
      </c>
      <c r="AJ312" s="1683">
        <v>295499.18</v>
      </c>
      <c r="AK312" s="1683">
        <v>295499.18</v>
      </c>
      <c r="AL312" s="1683">
        <v>0</v>
      </c>
      <c r="AM312" s="1682"/>
      <c r="AN312" s="1683">
        <v>708756.86</v>
      </c>
      <c r="AO312" s="1683">
        <v>708756.86</v>
      </c>
      <c r="AP312" s="1683">
        <v>271047.44</v>
      </c>
      <c r="AQ312" s="1683">
        <v>271047.44</v>
      </c>
      <c r="AR312" s="1683">
        <v>0</v>
      </c>
      <c r="AS312" s="1683">
        <v>437709.42</v>
      </c>
      <c r="AT312" s="1683">
        <v>318879.01</v>
      </c>
      <c r="AU312" s="1683">
        <v>118830.41</v>
      </c>
      <c r="AV312" s="1683">
        <v>0</v>
      </c>
      <c r="AW312" s="1683">
        <v>0</v>
      </c>
      <c r="AX312" s="1683">
        <v>0</v>
      </c>
      <c r="AY312" s="1683">
        <v>0</v>
      </c>
      <c r="AZ312" s="1683">
        <v>0</v>
      </c>
      <c r="BA312" s="1682"/>
      <c r="BB312" s="1682"/>
      <c r="BC312" s="1683">
        <v>0</v>
      </c>
      <c r="BD312" s="1683">
        <v>0</v>
      </c>
      <c r="BE312" s="1683">
        <v>708756.86</v>
      </c>
      <c r="BF312" s="1683">
        <v>708756.86</v>
      </c>
      <c r="BG312" s="1683">
        <v>271047.44</v>
      </c>
      <c r="BH312" s="1683">
        <v>271047.44</v>
      </c>
      <c r="BI312" s="1683">
        <v>0</v>
      </c>
      <c r="BJ312" s="1683">
        <v>437709.42</v>
      </c>
      <c r="BK312" s="1683">
        <v>318879.01</v>
      </c>
      <c r="BL312" s="1683">
        <v>118830.41</v>
      </c>
      <c r="BM312" s="1683">
        <v>0</v>
      </c>
      <c r="BN312" s="1683">
        <v>0</v>
      </c>
      <c r="BO312" s="1682"/>
      <c r="BP312" s="1683">
        <v>714950.25</v>
      </c>
      <c r="BQ312" s="1683">
        <v>714950.25</v>
      </c>
      <c r="BR312" s="1683">
        <v>273415.96000000002</v>
      </c>
      <c r="BS312" s="1683">
        <v>273415.96000000002</v>
      </c>
      <c r="BT312" s="1683">
        <v>0</v>
      </c>
      <c r="BU312" s="1683">
        <v>441534.29</v>
      </c>
      <c r="BV312" s="1683">
        <v>318879.01</v>
      </c>
      <c r="BW312" s="1683">
        <v>1146.18</v>
      </c>
      <c r="BX312" s="1683">
        <v>0</v>
      </c>
      <c r="BY312" s="1683">
        <v>0</v>
      </c>
      <c r="BZ312" s="1683">
        <v>0</v>
      </c>
      <c r="CA312" s="1683">
        <v>0</v>
      </c>
      <c r="CB312" s="1682"/>
      <c r="CC312" s="1682"/>
      <c r="CD312" s="1683">
        <v>0</v>
      </c>
      <c r="CE312" s="1683">
        <v>0</v>
      </c>
      <c r="CF312" s="1683">
        <v>0</v>
      </c>
      <c r="CG312" s="1683">
        <v>0</v>
      </c>
      <c r="CH312" s="1683">
        <v>0</v>
      </c>
      <c r="CI312" s="1683">
        <v>0</v>
      </c>
      <c r="CJ312" s="1683">
        <v>6306.93</v>
      </c>
      <c r="CK312" s="1683">
        <v>6306.93</v>
      </c>
      <c r="CL312" s="1682"/>
      <c r="CM312" s="1683">
        <v>6836.31</v>
      </c>
      <c r="CN312" s="1683">
        <v>6836.31</v>
      </c>
      <c r="CO312" s="1683">
        <v>2614.39</v>
      </c>
      <c r="CP312" s="1683">
        <v>2614.39</v>
      </c>
      <c r="CQ312" s="1683">
        <v>0</v>
      </c>
      <c r="CR312" s="1683">
        <v>4221.92</v>
      </c>
      <c r="CS312" s="1683">
        <v>3075.74</v>
      </c>
      <c r="CT312" s="1683">
        <v>1146.18</v>
      </c>
      <c r="CU312" s="1683">
        <v>0</v>
      </c>
      <c r="CV312" s="1683">
        <v>0</v>
      </c>
      <c r="CW312" s="1682"/>
      <c r="CX312" s="1683">
        <v>0</v>
      </c>
      <c r="CY312" s="1683">
        <v>0</v>
      </c>
      <c r="CZ312" s="1683">
        <v>6836.31</v>
      </c>
      <c r="DA312" s="1683">
        <v>6836.31</v>
      </c>
      <c r="DB312" s="1682"/>
      <c r="DC312" s="1326"/>
      <c r="DD312" s="1683">
        <v>0</v>
      </c>
      <c r="DE312" s="1683">
        <v>0</v>
      </c>
      <c r="DF312" s="1683">
        <v>0</v>
      </c>
      <c r="DG312" s="1683">
        <v>0</v>
      </c>
      <c r="DH312" s="1683">
        <v>0</v>
      </c>
    </row>
    <row r="313" spans="1:112" ht="56.25">
      <c r="A313" s="1326" t="s">
        <v>2324</v>
      </c>
      <c r="B313" s="1326" t="s">
        <v>1700</v>
      </c>
      <c r="C313" s="1326" t="s">
        <v>2561</v>
      </c>
      <c r="D313" s="1326" t="s">
        <v>2562</v>
      </c>
      <c r="E313" s="1326" t="s">
        <v>143</v>
      </c>
      <c r="F313" s="1326" t="s">
        <v>2555</v>
      </c>
      <c r="G313" s="1326" t="s">
        <v>2556</v>
      </c>
      <c r="H313" s="1326" t="s">
        <v>2541</v>
      </c>
      <c r="I313" s="1326" t="s">
        <v>712</v>
      </c>
      <c r="J313" s="1326" t="s">
        <v>2230</v>
      </c>
      <c r="K313" s="1326" t="s">
        <v>2071</v>
      </c>
      <c r="L313" s="1326" t="s">
        <v>2061</v>
      </c>
      <c r="M313" s="1400"/>
      <c r="N313" s="1400"/>
      <c r="O313" s="1400"/>
      <c r="P313" s="1400"/>
      <c r="Q313" s="1400"/>
      <c r="R313" s="1400"/>
      <c r="S313" s="1400"/>
      <c r="T313" s="1400"/>
      <c r="U313" s="1400"/>
      <c r="V313" s="1400"/>
      <c r="W313" s="1400"/>
      <c r="X313" s="1400"/>
      <c r="Y313" s="1682"/>
      <c r="Z313" s="1326"/>
      <c r="AA313" s="1683">
        <v>0</v>
      </c>
      <c r="AB313" s="1683">
        <v>0</v>
      </c>
      <c r="AC313" s="1683">
        <v>0</v>
      </c>
      <c r="AD313" s="1682"/>
      <c r="AE313" s="1326" t="s">
        <v>2171</v>
      </c>
      <c r="AF313" s="1326"/>
      <c r="AG313" s="1410" t="s">
        <v>2172</v>
      </c>
      <c r="AH313" s="1683">
        <v>0</v>
      </c>
      <c r="AI313" s="1683">
        <v>0</v>
      </c>
      <c r="AJ313" s="1683">
        <v>0</v>
      </c>
      <c r="AK313" s="1683">
        <v>0</v>
      </c>
      <c r="AL313" s="1683">
        <v>0</v>
      </c>
      <c r="AM313" s="1685">
        <v>43552</v>
      </c>
      <c r="AN313" s="1683">
        <v>-6138.75</v>
      </c>
      <c r="AO313" s="1683">
        <v>-6138.75</v>
      </c>
      <c r="AP313" s="1683">
        <v>-2347.62</v>
      </c>
      <c r="AQ313" s="1683">
        <v>-2347.62</v>
      </c>
      <c r="AR313" s="1683">
        <v>0</v>
      </c>
      <c r="AS313" s="1683">
        <v>-3791.13</v>
      </c>
      <c r="AT313" s="1683">
        <v>-2761.9</v>
      </c>
      <c r="AU313" s="1683">
        <v>-1029.23</v>
      </c>
      <c r="AV313" s="1683">
        <v>0</v>
      </c>
      <c r="AW313" s="1683">
        <v>0</v>
      </c>
      <c r="AX313" s="1400"/>
      <c r="AY313" s="1400"/>
      <c r="AZ313" s="1400"/>
      <c r="BA313" s="1682"/>
      <c r="BB313" s="1682"/>
      <c r="BC313" s="1400"/>
      <c r="BD313" s="1400"/>
      <c r="BE313" s="1683">
        <v>-6138.75</v>
      </c>
      <c r="BF313" s="1683">
        <v>-6138.75</v>
      </c>
      <c r="BG313" s="1683">
        <v>-2347.62</v>
      </c>
      <c r="BH313" s="1683">
        <v>-2347.62</v>
      </c>
      <c r="BI313" s="1683">
        <v>0</v>
      </c>
      <c r="BJ313" s="1683">
        <v>-3791.13</v>
      </c>
      <c r="BK313" s="1683">
        <v>-2761.9</v>
      </c>
      <c r="BL313" s="1683">
        <v>-1029.23</v>
      </c>
      <c r="BM313" s="1683">
        <v>0</v>
      </c>
      <c r="BN313" s="1683">
        <v>0</v>
      </c>
      <c r="BO313" s="1682"/>
      <c r="BP313" s="1683">
        <v>0</v>
      </c>
      <c r="BQ313" s="1683">
        <v>0</v>
      </c>
      <c r="BR313" s="1683">
        <v>0</v>
      </c>
      <c r="BS313" s="1683">
        <v>0</v>
      </c>
      <c r="BT313" s="1683">
        <v>0</v>
      </c>
      <c r="BU313" s="1683">
        <v>0</v>
      </c>
      <c r="BV313" s="1683">
        <v>-2761.9</v>
      </c>
      <c r="BW313" s="1683">
        <v>0</v>
      </c>
      <c r="BX313" s="1683">
        <v>0</v>
      </c>
      <c r="BY313" s="1683">
        <v>0</v>
      </c>
      <c r="BZ313" s="1683">
        <v>0</v>
      </c>
      <c r="CA313" s="1400"/>
      <c r="CB313" s="1682"/>
      <c r="CC313" s="1682"/>
      <c r="CD313" s="1400"/>
      <c r="CE313" s="1400"/>
      <c r="CF313" s="1683">
        <v>0</v>
      </c>
      <c r="CG313" s="1683">
        <v>0</v>
      </c>
      <c r="CH313" s="1683">
        <v>0</v>
      </c>
      <c r="CI313" s="1683">
        <v>0</v>
      </c>
      <c r="CJ313" s="1683">
        <v>0</v>
      </c>
      <c r="CK313" s="1683">
        <v>0</v>
      </c>
      <c r="CL313" s="1682"/>
      <c r="CM313" s="1683">
        <v>0</v>
      </c>
      <c r="CN313" s="1683">
        <v>0</v>
      </c>
      <c r="CO313" s="1683">
        <v>0</v>
      </c>
      <c r="CP313" s="1683">
        <v>0</v>
      </c>
      <c r="CQ313" s="1683">
        <v>0</v>
      </c>
      <c r="CR313" s="1683">
        <v>0</v>
      </c>
      <c r="CS313" s="1683">
        <v>0</v>
      </c>
      <c r="CT313" s="1683">
        <v>0</v>
      </c>
      <c r="CU313" s="1683">
        <v>0</v>
      </c>
      <c r="CV313" s="1683">
        <v>0</v>
      </c>
      <c r="CW313" s="1682"/>
      <c r="CX313" s="1400"/>
      <c r="CY313" s="1400"/>
      <c r="CZ313" s="1400"/>
      <c r="DA313" s="1400"/>
      <c r="DB313" s="1682"/>
      <c r="DC313" s="1326"/>
      <c r="DD313" s="1683">
        <v>0</v>
      </c>
      <c r="DE313" s="1400"/>
      <c r="DF313" s="1400"/>
      <c r="DG313" s="1683">
        <v>0</v>
      </c>
      <c r="DH313" s="1683">
        <v>0</v>
      </c>
    </row>
    <row r="314" spans="1:112" ht="56.25">
      <c r="A314" s="1326" t="s">
        <v>2325</v>
      </c>
      <c r="B314" s="1326" t="s">
        <v>1700</v>
      </c>
      <c r="C314" s="1326" t="s">
        <v>2561</v>
      </c>
      <c r="D314" s="1326" t="s">
        <v>2562</v>
      </c>
      <c r="E314" s="1326" t="s">
        <v>143</v>
      </c>
      <c r="F314" s="1326" t="s">
        <v>2555</v>
      </c>
      <c r="G314" s="1326" t="s">
        <v>2556</v>
      </c>
      <c r="H314" s="1326" t="s">
        <v>2541</v>
      </c>
      <c r="I314" s="1326" t="s">
        <v>712</v>
      </c>
      <c r="J314" s="1326" t="s">
        <v>2230</v>
      </c>
      <c r="K314" s="1326" t="s">
        <v>2071</v>
      </c>
      <c r="L314" s="1326" t="s">
        <v>2061</v>
      </c>
      <c r="M314" s="1400"/>
      <c r="N314" s="1400"/>
      <c r="O314" s="1400"/>
      <c r="P314" s="1400"/>
      <c r="Q314" s="1400"/>
      <c r="R314" s="1400"/>
      <c r="S314" s="1400"/>
      <c r="T314" s="1400"/>
      <c r="U314" s="1400"/>
      <c r="V314" s="1400"/>
      <c r="W314" s="1400"/>
      <c r="X314" s="1400"/>
      <c r="Y314" s="1682"/>
      <c r="Z314" s="1326"/>
      <c r="AA314" s="1683">
        <v>0</v>
      </c>
      <c r="AB314" s="1683">
        <v>0</v>
      </c>
      <c r="AC314" s="1683">
        <v>0</v>
      </c>
      <c r="AD314" s="1682"/>
      <c r="AE314" s="1326" t="s">
        <v>2176</v>
      </c>
      <c r="AF314" s="1326"/>
      <c r="AG314" s="1410" t="s">
        <v>2172</v>
      </c>
      <c r="AH314" s="1683">
        <v>0</v>
      </c>
      <c r="AI314" s="1683">
        <v>0</v>
      </c>
      <c r="AJ314" s="1683">
        <v>0</v>
      </c>
      <c r="AK314" s="1683">
        <v>0</v>
      </c>
      <c r="AL314" s="1683">
        <v>0</v>
      </c>
      <c r="AM314" s="1685">
        <v>43556</v>
      </c>
      <c r="AN314" s="1683">
        <v>-54.64</v>
      </c>
      <c r="AO314" s="1683">
        <v>-54.64</v>
      </c>
      <c r="AP314" s="1683">
        <v>-20.9</v>
      </c>
      <c r="AQ314" s="1683">
        <v>-20.9</v>
      </c>
      <c r="AR314" s="1683">
        <v>0</v>
      </c>
      <c r="AS314" s="1683">
        <v>-33.74</v>
      </c>
      <c r="AT314" s="1683">
        <v>-24.58</v>
      </c>
      <c r="AU314" s="1683">
        <v>-9.16</v>
      </c>
      <c r="AV314" s="1683">
        <v>0</v>
      </c>
      <c r="AW314" s="1683">
        <v>0</v>
      </c>
      <c r="AX314" s="1400"/>
      <c r="AY314" s="1400"/>
      <c r="AZ314" s="1400"/>
      <c r="BA314" s="1682"/>
      <c r="BB314" s="1682"/>
      <c r="BC314" s="1400"/>
      <c r="BD314" s="1400"/>
      <c r="BE314" s="1683">
        <v>-54.64</v>
      </c>
      <c r="BF314" s="1683">
        <v>-54.64</v>
      </c>
      <c r="BG314" s="1683">
        <v>-20.9</v>
      </c>
      <c r="BH314" s="1683">
        <v>-20.9</v>
      </c>
      <c r="BI314" s="1683">
        <v>0</v>
      </c>
      <c r="BJ314" s="1683">
        <v>-33.74</v>
      </c>
      <c r="BK314" s="1683">
        <v>-24.58</v>
      </c>
      <c r="BL314" s="1683">
        <v>-9.16</v>
      </c>
      <c r="BM314" s="1683">
        <v>0</v>
      </c>
      <c r="BN314" s="1683">
        <v>0</v>
      </c>
      <c r="BO314" s="1682"/>
      <c r="BP314" s="1683">
        <v>0</v>
      </c>
      <c r="BQ314" s="1683">
        <v>0</v>
      </c>
      <c r="BR314" s="1683">
        <v>0</v>
      </c>
      <c r="BS314" s="1683">
        <v>0</v>
      </c>
      <c r="BT314" s="1683">
        <v>0</v>
      </c>
      <c r="BU314" s="1683">
        <v>0</v>
      </c>
      <c r="BV314" s="1683">
        <v>-24.58</v>
      </c>
      <c r="BW314" s="1683">
        <v>0</v>
      </c>
      <c r="BX314" s="1683">
        <v>0</v>
      </c>
      <c r="BY314" s="1683">
        <v>0</v>
      </c>
      <c r="BZ314" s="1683">
        <v>0</v>
      </c>
      <c r="CA314" s="1400"/>
      <c r="CB314" s="1682"/>
      <c r="CC314" s="1682"/>
      <c r="CD314" s="1400"/>
      <c r="CE314" s="1400"/>
      <c r="CF314" s="1683">
        <v>0</v>
      </c>
      <c r="CG314" s="1683">
        <v>0</v>
      </c>
      <c r="CH314" s="1683">
        <v>0</v>
      </c>
      <c r="CI314" s="1683">
        <v>0</v>
      </c>
      <c r="CJ314" s="1683">
        <v>0</v>
      </c>
      <c r="CK314" s="1683">
        <v>0</v>
      </c>
      <c r="CL314" s="1682"/>
      <c r="CM314" s="1683">
        <v>0</v>
      </c>
      <c r="CN314" s="1683">
        <v>0</v>
      </c>
      <c r="CO314" s="1683">
        <v>0</v>
      </c>
      <c r="CP314" s="1683">
        <v>0</v>
      </c>
      <c r="CQ314" s="1683">
        <v>0</v>
      </c>
      <c r="CR314" s="1683">
        <v>0</v>
      </c>
      <c r="CS314" s="1683">
        <v>0</v>
      </c>
      <c r="CT314" s="1683">
        <v>0</v>
      </c>
      <c r="CU314" s="1683">
        <v>0</v>
      </c>
      <c r="CV314" s="1683">
        <v>0</v>
      </c>
      <c r="CW314" s="1682"/>
      <c r="CX314" s="1400"/>
      <c r="CY314" s="1400"/>
      <c r="CZ314" s="1400"/>
      <c r="DA314" s="1400"/>
      <c r="DB314" s="1682"/>
      <c r="DC314" s="1326"/>
      <c r="DD314" s="1683">
        <v>0</v>
      </c>
      <c r="DE314" s="1400"/>
      <c r="DF314" s="1400"/>
      <c r="DG314" s="1683">
        <v>0</v>
      </c>
      <c r="DH314" s="1683">
        <v>0</v>
      </c>
    </row>
    <row r="315" spans="1:112" ht="56.25">
      <c r="A315" s="1326" t="s">
        <v>2326</v>
      </c>
      <c r="B315" s="1326" t="s">
        <v>1700</v>
      </c>
      <c r="C315" s="1326" t="s">
        <v>2561</v>
      </c>
      <c r="D315" s="1326" t="s">
        <v>2562</v>
      </c>
      <c r="E315" s="1326" t="s">
        <v>143</v>
      </c>
      <c r="F315" s="1326" t="s">
        <v>2555</v>
      </c>
      <c r="G315" s="1326" t="s">
        <v>2556</v>
      </c>
      <c r="H315" s="1326" t="s">
        <v>2541</v>
      </c>
      <c r="I315" s="1326" t="s">
        <v>712</v>
      </c>
      <c r="J315" s="1326" t="s">
        <v>2230</v>
      </c>
      <c r="K315" s="1326" t="s">
        <v>2071</v>
      </c>
      <c r="L315" s="1326" t="s">
        <v>2061</v>
      </c>
      <c r="M315" s="1400"/>
      <c r="N315" s="1400"/>
      <c r="O315" s="1400"/>
      <c r="P315" s="1400"/>
      <c r="Q315" s="1400"/>
      <c r="R315" s="1400"/>
      <c r="S315" s="1400"/>
      <c r="T315" s="1400"/>
      <c r="U315" s="1400"/>
      <c r="V315" s="1400"/>
      <c r="W315" s="1400"/>
      <c r="X315" s="1400"/>
      <c r="Y315" s="1685">
        <v>42965</v>
      </c>
      <c r="Z315" s="1326" t="s">
        <v>2096</v>
      </c>
      <c r="AA315" s="1683">
        <v>0</v>
      </c>
      <c r="AB315" s="1683">
        <v>0</v>
      </c>
      <c r="AC315" s="1683">
        <v>0</v>
      </c>
      <c r="AD315" s="1685">
        <v>42970</v>
      </c>
      <c r="AE315" s="1326" t="s">
        <v>2073</v>
      </c>
      <c r="AF315" s="1326" t="s">
        <v>2064</v>
      </c>
      <c r="AG315" s="1410"/>
      <c r="AH315" s="1683">
        <v>0</v>
      </c>
      <c r="AI315" s="1683">
        <v>0</v>
      </c>
      <c r="AJ315" s="1683">
        <v>0</v>
      </c>
      <c r="AK315" s="1683">
        <v>0</v>
      </c>
      <c r="AL315" s="1683">
        <v>0</v>
      </c>
      <c r="AM315" s="1682"/>
      <c r="AN315" s="1683">
        <v>0</v>
      </c>
      <c r="AO315" s="1683">
        <v>0</v>
      </c>
      <c r="AP315" s="1683">
        <v>0</v>
      </c>
      <c r="AQ315" s="1683">
        <v>0</v>
      </c>
      <c r="AR315" s="1683">
        <v>0</v>
      </c>
      <c r="AS315" s="1683">
        <v>0</v>
      </c>
      <c r="AT315" s="1683">
        <v>0</v>
      </c>
      <c r="AU315" s="1683">
        <v>0</v>
      </c>
      <c r="AV315" s="1683">
        <v>0</v>
      </c>
      <c r="AW315" s="1683">
        <v>0</v>
      </c>
      <c r="AX315" s="1400"/>
      <c r="AY315" s="1400"/>
      <c r="AZ315" s="1400"/>
      <c r="BA315" s="1682"/>
      <c r="BB315" s="1682"/>
      <c r="BC315" s="1400"/>
      <c r="BD315" s="1400"/>
      <c r="BE315" s="1683">
        <v>0</v>
      </c>
      <c r="BF315" s="1683">
        <v>0</v>
      </c>
      <c r="BG315" s="1683">
        <v>0</v>
      </c>
      <c r="BH315" s="1683">
        <v>0</v>
      </c>
      <c r="BI315" s="1683">
        <v>0</v>
      </c>
      <c r="BJ315" s="1683">
        <v>0</v>
      </c>
      <c r="BK315" s="1683">
        <v>0</v>
      </c>
      <c r="BL315" s="1683">
        <v>0</v>
      </c>
      <c r="BM315" s="1683">
        <v>0</v>
      </c>
      <c r="BN315" s="1683">
        <v>0</v>
      </c>
      <c r="BO315" s="1682"/>
      <c r="BP315" s="1683">
        <v>0</v>
      </c>
      <c r="BQ315" s="1683">
        <v>0</v>
      </c>
      <c r="BR315" s="1683">
        <v>0</v>
      </c>
      <c r="BS315" s="1683">
        <v>0</v>
      </c>
      <c r="BT315" s="1683">
        <v>0</v>
      </c>
      <c r="BU315" s="1683">
        <v>0</v>
      </c>
      <c r="BV315" s="1683">
        <v>0</v>
      </c>
      <c r="BW315" s="1683">
        <v>0</v>
      </c>
      <c r="BX315" s="1683">
        <v>0</v>
      </c>
      <c r="BY315" s="1683">
        <v>0</v>
      </c>
      <c r="BZ315" s="1400"/>
      <c r="CA315" s="1400"/>
      <c r="CB315" s="1682"/>
      <c r="CC315" s="1682"/>
      <c r="CD315" s="1400"/>
      <c r="CE315" s="1400"/>
      <c r="CF315" s="1683">
        <v>0</v>
      </c>
      <c r="CG315" s="1683">
        <v>0</v>
      </c>
      <c r="CH315" s="1683">
        <v>0</v>
      </c>
      <c r="CI315" s="1683">
        <v>0</v>
      </c>
      <c r="CJ315" s="1683">
        <v>0</v>
      </c>
      <c r="CK315" s="1683">
        <v>0</v>
      </c>
      <c r="CL315" s="1682"/>
      <c r="CM315" s="1683">
        <v>0</v>
      </c>
      <c r="CN315" s="1683">
        <v>0</v>
      </c>
      <c r="CO315" s="1683">
        <v>0</v>
      </c>
      <c r="CP315" s="1683">
        <v>0</v>
      </c>
      <c r="CQ315" s="1683">
        <v>0</v>
      </c>
      <c r="CR315" s="1683">
        <v>0</v>
      </c>
      <c r="CS315" s="1683">
        <v>0</v>
      </c>
      <c r="CT315" s="1683">
        <v>0</v>
      </c>
      <c r="CU315" s="1683">
        <v>0</v>
      </c>
      <c r="CV315" s="1683">
        <v>0</v>
      </c>
      <c r="CW315" s="1682"/>
      <c r="CX315" s="1400"/>
      <c r="CY315" s="1400"/>
      <c r="CZ315" s="1400"/>
      <c r="DA315" s="1400"/>
      <c r="DB315" s="1682"/>
      <c r="DC315" s="1326"/>
      <c r="DD315" s="1683">
        <v>0</v>
      </c>
      <c r="DE315" s="1400"/>
      <c r="DF315" s="1400"/>
      <c r="DG315" s="1683">
        <v>0</v>
      </c>
      <c r="DH315" s="1683">
        <v>0</v>
      </c>
    </row>
    <row r="316" spans="1:112" ht="56.25">
      <c r="A316" s="1326" t="s">
        <v>2327</v>
      </c>
      <c r="B316" s="1326" t="s">
        <v>1700</v>
      </c>
      <c r="C316" s="1326" t="s">
        <v>2561</v>
      </c>
      <c r="D316" s="1326" t="s">
        <v>2562</v>
      </c>
      <c r="E316" s="1326" t="s">
        <v>143</v>
      </c>
      <c r="F316" s="1326" t="s">
        <v>2555</v>
      </c>
      <c r="G316" s="1326" t="s">
        <v>2556</v>
      </c>
      <c r="H316" s="1326" t="s">
        <v>2541</v>
      </c>
      <c r="I316" s="1326" t="s">
        <v>712</v>
      </c>
      <c r="J316" s="1326" t="s">
        <v>2230</v>
      </c>
      <c r="K316" s="1326" t="s">
        <v>2071</v>
      </c>
      <c r="L316" s="1326" t="s">
        <v>2061</v>
      </c>
      <c r="M316" s="1400"/>
      <c r="N316" s="1400"/>
      <c r="O316" s="1400"/>
      <c r="P316" s="1400"/>
      <c r="Q316" s="1400"/>
      <c r="R316" s="1400"/>
      <c r="S316" s="1400"/>
      <c r="T316" s="1400"/>
      <c r="U316" s="1400"/>
      <c r="V316" s="1400"/>
      <c r="W316" s="1400"/>
      <c r="X316" s="1400"/>
      <c r="Y316" s="1685">
        <v>42965</v>
      </c>
      <c r="Z316" s="1326" t="s">
        <v>2062</v>
      </c>
      <c r="AA316" s="1683">
        <v>0</v>
      </c>
      <c r="AB316" s="1683">
        <v>0</v>
      </c>
      <c r="AC316" s="1683">
        <v>0</v>
      </c>
      <c r="AD316" s="1685">
        <v>42992</v>
      </c>
      <c r="AE316" s="1326" t="s">
        <v>2063</v>
      </c>
      <c r="AF316" s="1326" t="s">
        <v>2064</v>
      </c>
      <c r="AG316" s="1410"/>
      <c r="AH316" s="1683">
        <v>6836.31</v>
      </c>
      <c r="AI316" s="1683">
        <v>6836.31</v>
      </c>
      <c r="AJ316" s="1683">
        <v>2614.39</v>
      </c>
      <c r="AK316" s="1683">
        <v>2614.39</v>
      </c>
      <c r="AL316" s="1683">
        <v>0</v>
      </c>
      <c r="AM316" s="1685">
        <v>42992</v>
      </c>
      <c r="AN316" s="1683">
        <v>6836.31</v>
      </c>
      <c r="AO316" s="1683">
        <v>6836.31</v>
      </c>
      <c r="AP316" s="1683">
        <v>2614.39</v>
      </c>
      <c r="AQ316" s="1683">
        <v>2614.39</v>
      </c>
      <c r="AR316" s="1683">
        <v>0</v>
      </c>
      <c r="AS316" s="1683">
        <v>4221.92</v>
      </c>
      <c r="AT316" s="1683">
        <v>3075.74</v>
      </c>
      <c r="AU316" s="1683">
        <v>1146.18</v>
      </c>
      <c r="AV316" s="1683">
        <v>0</v>
      </c>
      <c r="AW316" s="1683">
        <v>0</v>
      </c>
      <c r="AX316" s="1400"/>
      <c r="AY316" s="1400"/>
      <c r="AZ316" s="1400"/>
      <c r="BA316" s="1682"/>
      <c r="BB316" s="1682"/>
      <c r="BC316" s="1400"/>
      <c r="BD316" s="1400"/>
      <c r="BE316" s="1683">
        <v>6836.31</v>
      </c>
      <c r="BF316" s="1683">
        <v>6836.31</v>
      </c>
      <c r="BG316" s="1683">
        <v>2614.39</v>
      </c>
      <c r="BH316" s="1683">
        <v>2614.39</v>
      </c>
      <c r="BI316" s="1683">
        <v>0</v>
      </c>
      <c r="BJ316" s="1683">
        <v>4221.92</v>
      </c>
      <c r="BK316" s="1683">
        <v>3075.74</v>
      </c>
      <c r="BL316" s="1683">
        <v>1146.18</v>
      </c>
      <c r="BM316" s="1683">
        <v>0</v>
      </c>
      <c r="BN316" s="1683">
        <v>0</v>
      </c>
      <c r="BO316" s="1685">
        <v>43039</v>
      </c>
      <c r="BP316" s="1683">
        <v>6836.31</v>
      </c>
      <c r="BQ316" s="1683">
        <v>6836.31</v>
      </c>
      <c r="BR316" s="1683">
        <v>2614.39</v>
      </c>
      <c r="BS316" s="1683">
        <v>2614.39</v>
      </c>
      <c r="BT316" s="1683">
        <v>0</v>
      </c>
      <c r="BU316" s="1683">
        <v>4221.92</v>
      </c>
      <c r="BV316" s="1683">
        <v>3075.74</v>
      </c>
      <c r="BW316" s="1683">
        <v>1146.18</v>
      </c>
      <c r="BX316" s="1683">
        <v>0</v>
      </c>
      <c r="BY316" s="1683">
        <v>0</v>
      </c>
      <c r="BZ316" s="1683">
        <v>0</v>
      </c>
      <c r="CA316" s="1400"/>
      <c r="CB316" s="1682"/>
      <c r="CC316" s="1682"/>
      <c r="CD316" s="1400"/>
      <c r="CE316" s="1400"/>
      <c r="CF316" s="1683">
        <v>0</v>
      </c>
      <c r="CG316" s="1683">
        <v>0</v>
      </c>
      <c r="CH316" s="1683">
        <v>0</v>
      </c>
      <c r="CI316" s="1683">
        <v>0</v>
      </c>
      <c r="CJ316" s="1683">
        <v>60.31</v>
      </c>
      <c r="CK316" s="1683">
        <v>60.31</v>
      </c>
      <c r="CL316" s="1685">
        <v>43511</v>
      </c>
      <c r="CM316" s="1683">
        <v>6836.31</v>
      </c>
      <c r="CN316" s="1683">
        <v>6836.31</v>
      </c>
      <c r="CO316" s="1683">
        <v>2614.39</v>
      </c>
      <c r="CP316" s="1683">
        <v>2614.39</v>
      </c>
      <c r="CQ316" s="1683">
        <v>0</v>
      </c>
      <c r="CR316" s="1683">
        <v>4221.92</v>
      </c>
      <c r="CS316" s="1683">
        <v>3075.74</v>
      </c>
      <c r="CT316" s="1683">
        <v>1146.18</v>
      </c>
      <c r="CU316" s="1683">
        <v>0</v>
      </c>
      <c r="CV316" s="1683">
        <v>0</v>
      </c>
      <c r="CW316" s="1682"/>
      <c r="CX316" s="1400"/>
      <c r="CY316" s="1400"/>
      <c r="CZ316" s="1400"/>
      <c r="DA316" s="1400"/>
      <c r="DB316" s="1682"/>
      <c r="DC316" s="1326"/>
      <c r="DD316" s="1683">
        <v>0</v>
      </c>
      <c r="DE316" s="1400"/>
      <c r="DF316" s="1400"/>
      <c r="DG316" s="1683">
        <v>0</v>
      </c>
      <c r="DH316" s="1683">
        <v>0</v>
      </c>
    </row>
    <row r="317" spans="1:112" ht="56.25">
      <c r="A317" s="1326" t="s">
        <v>2328</v>
      </c>
      <c r="B317" s="1326" t="s">
        <v>1700</v>
      </c>
      <c r="C317" s="1326" t="s">
        <v>2561</v>
      </c>
      <c r="D317" s="1326" t="s">
        <v>2562</v>
      </c>
      <c r="E317" s="1326" t="s">
        <v>143</v>
      </c>
      <c r="F317" s="1326" t="s">
        <v>2555</v>
      </c>
      <c r="G317" s="1326" t="s">
        <v>2556</v>
      </c>
      <c r="H317" s="1326" t="s">
        <v>2541</v>
      </c>
      <c r="I317" s="1326" t="s">
        <v>712</v>
      </c>
      <c r="J317" s="1326" t="s">
        <v>2230</v>
      </c>
      <c r="K317" s="1326" t="s">
        <v>2071</v>
      </c>
      <c r="L317" s="1326" t="s">
        <v>2061</v>
      </c>
      <c r="M317" s="1400"/>
      <c r="N317" s="1400"/>
      <c r="O317" s="1400"/>
      <c r="P317" s="1400"/>
      <c r="Q317" s="1400"/>
      <c r="R317" s="1400"/>
      <c r="S317" s="1400"/>
      <c r="T317" s="1400"/>
      <c r="U317" s="1400"/>
      <c r="V317" s="1400"/>
      <c r="W317" s="1400"/>
      <c r="X317" s="1400"/>
      <c r="Y317" s="1685">
        <v>43019</v>
      </c>
      <c r="Z317" s="1326" t="s">
        <v>2096</v>
      </c>
      <c r="AA317" s="1683">
        <v>0</v>
      </c>
      <c r="AB317" s="1683">
        <v>0</v>
      </c>
      <c r="AC317" s="1683">
        <v>0</v>
      </c>
      <c r="AD317" s="1685">
        <v>43032</v>
      </c>
      <c r="AE317" s="1326" t="s">
        <v>2066</v>
      </c>
      <c r="AF317" s="1326" t="s">
        <v>2064</v>
      </c>
      <c r="AG317" s="1410"/>
      <c r="AH317" s="1683">
        <v>0</v>
      </c>
      <c r="AI317" s="1683">
        <v>80000</v>
      </c>
      <c r="AJ317" s="1683">
        <v>80000</v>
      </c>
      <c r="AK317" s="1683">
        <v>80000</v>
      </c>
      <c r="AL317" s="1683">
        <v>0</v>
      </c>
      <c r="AM317" s="1682"/>
      <c r="AN317" s="1683">
        <v>0</v>
      </c>
      <c r="AO317" s="1683">
        <v>0</v>
      </c>
      <c r="AP317" s="1683">
        <v>0</v>
      </c>
      <c r="AQ317" s="1683">
        <v>0</v>
      </c>
      <c r="AR317" s="1683">
        <v>0</v>
      </c>
      <c r="AS317" s="1683">
        <v>0</v>
      </c>
      <c r="AT317" s="1683">
        <v>0</v>
      </c>
      <c r="AU317" s="1683">
        <v>0</v>
      </c>
      <c r="AV317" s="1683">
        <v>0</v>
      </c>
      <c r="AW317" s="1683">
        <v>0</v>
      </c>
      <c r="AX317" s="1400"/>
      <c r="AY317" s="1400"/>
      <c r="AZ317" s="1400"/>
      <c r="BA317" s="1682"/>
      <c r="BB317" s="1682"/>
      <c r="BC317" s="1400"/>
      <c r="BD317" s="1400"/>
      <c r="BE317" s="1683">
        <v>0</v>
      </c>
      <c r="BF317" s="1683">
        <v>0</v>
      </c>
      <c r="BG317" s="1683">
        <v>0</v>
      </c>
      <c r="BH317" s="1683">
        <v>0</v>
      </c>
      <c r="BI317" s="1683">
        <v>0</v>
      </c>
      <c r="BJ317" s="1683">
        <v>0</v>
      </c>
      <c r="BK317" s="1683">
        <v>0</v>
      </c>
      <c r="BL317" s="1683">
        <v>0</v>
      </c>
      <c r="BM317" s="1683">
        <v>0</v>
      </c>
      <c r="BN317" s="1683">
        <v>0</v>
      </c>
      <c r="BO317" s="1682"/>
      <c r="BP317" s="1683">
        <v>0</v>
      </c>
      <c r="BQ317" s="1683">
        <v>0</v>
      </c>
      <c r="BR317" s="1683">
        <v>0</v>
      </c>
      <c r="BS317" s="1683">
        <v>0</v>
      </c>
      <c r="BT317" s="1683">
        <v>0</v>
      </c>
      <c r="BU317" s="1683">
        <v>0</v>
      </c>
      <c r="BV317" s="1683">
        <v>0</v>
      </c>
      <c r="BW317" s="1683">
        <v>0</v>
      </c>
      <c r="BX317" s="1683">
        <v>0</v>
      </c>
      <c r="BY317" s="1683">
        <v>0</v>
      </c>
      <c r="BZ317" s="1400"/>
      <c r="CA317" s="1400"/>
      <c r="CB317" s="1682"/>
      <c r="CC317" s="1682"/>
      <c r="CD317" s="1400"/>
      <c r="CE317" s="1400"/>
      <c r="CF317" s="1683">
        <v>0</v>
      </c>
      <c r="CG317" s="1683">
        <v>0</v>
      </c>
      <c r="CH317" s="1683">
        <v>0</v>
      </c>
      <c r="CI317" s="1683">
        <v>0</v>
      </c>
      <c r="CJ317" s="1683">
        <v>0</v>
      </c>
      <c r="CK317" s="1683">
        <v>0</v>
      </c>
      <c r="CL317" s="1682"/>
      <c r="CM317" s="1683">
        <v>0</v>
      </c>
      <c r="CN317" s="1683">
        <v>0</v>
      </c>
      <c r="CO317" s="1683">
        <v>0</v>
      </c>
      <c r="CP317" s="1683">
        <v>0</v>
      </c>
      <c r="CQ317" s="1683">
        <v>0</v>
      </c>
      <c r="CR317" s="1683">
        <v>0</v>
      </c>
      <c r="CS317" s="1683">
        <v>0</v>
      </c>
      <c r="CT317" s="1683">
        <v>0</v>
      </c>
      <c r="CU317" s="1683">
        <v>0</v>
      </c>
      <c r="CV317" s="1683">
        <v>0</v>
      </c>
      <c r="CW317" s="1682"/>
      <c r="CX317" s="1400"/>
      <c r="CY317" s="1400"/>
      <c r="CZ317" s="1400"/>
      <c r="DA317" s="1400"/>
      <c r="DB317" s="1682"/>
      <c r="DC317" s="1326"/>
      <c r="DD317" s="1683">
        <v>0</v>
      </c>
      <c r="DE317" s="1400"/>
      <c r="DF317" s="1400"/>
      <c r="DG317" s="1683">
        <v>0</v>
      </c>
      <c r="DH317" s="1683">
        <v>0</v>
      </c>
    </row>
    <row r="318" spans="1:112" ht="56.25">
      <c r="A318" s="1326" t="s">
        <v>2329</v>
      </c>
      <c r="B318" s="1326" t="s">
        <v>1700</v>
      </c>
      <c r="C318" s="1326" t="s">
        <v>2561</v>
      </c>
      <c r="D318" s="1326" t="s">
        <v>2562</v>
      </c>
      <c r="E318" s="1326" t="s">
        <v>143</v>
      </c>
      <c r="F318" s="1326" t="s">
        <v>2555</v>
      </c>
      <c r="G318" s="1326" t="s">
        <v>2556</v>
      </c>
      <c r="H318" s="1326" t="s">
        <v>2541</v>
      </c>
      <c r="I318" s="1326" t="s">
        <v>712</v>
      </c>
      <c r="J318" s="1326" t="s">
        <v>2230</v>
      </c>
      <c r="K318" s="1326" t="s">
        <v>2071</v>
      </c>
      <c r="L318" s="1326" t="s">
        <v>2061</v>
      </c>
      <c r="M318" s="1400"/>
      <c r="N318" s="1400"/>
      <c r="O318" s="1400"/>
      <c r="P318" s="1400"/>
      <c r="Q318" s="1400"/>
      <c r="R318" s="1400"/>
      <c r="S318" s="1400"/>
      <c r="T318" s="1400"/>
      <c r="U318" s="1400"/>
      <c r="V318" s="1400"/>
      <c r="W318" s="1400"/>
      <c r="X318" s="1400"/>
      <c r="Y318" s="1685">
        <v>43054</v>
      </c>
      <c r="Z318" s="1326" t="s">
        <v>2062</v>
      </c>
      <c r="AA318" s="1683">
        <v>0</v>
      </c>
      <c r="AB318" s="1683">
        <v>0</v>
      </c>
      <c r="AC318" s="1683">
        <v>0</v>
      </c>
      <c r="AD318" s="1685">
        <v>43089</v>
      </c>
      <c r="AE318" s="1326" t="s">
        <v>2079</v>
      </c>
      <c r="AF318" s="1326" t="s">
        <v>2064</v>
      </c>
      <c r="AG318" s="1410"/>
      <c r="AH318" s="1683">
        <v>5725.86</v>
      </c>
      <c r="AI318" s="1683">
        <v>5725.86</v>
      </c>
      <c r="AJ318" s="1683">
        <v>2189.7199999999998</v>
      </c>
      <c r="AK318" s="1683">
        <v>2189.7199999999998</v>
      </c>
      <c r="AL318" s="1683">
        <v>0</v>
      </c>
      <c r="AM318" s="1685">
        <v>43089</v>
      </c>
      <c r="AN318" s="1683">
        <v>5725.86</v>
      </c>
      <c r="AO318" s="1683">
        <v>5725.86</v>
      </c>
      <c r="AP318" s="1683">
        <v>2189.7199999999998</v>
      </c>
      <c r="AQ318" s="1683">
        <v>2189.7199999999998</v>
      </c>
      <c r="AR318" s="1683">
        <v>0</v>
      </c>
      <c r="AS318" s="1683">
        <v>3536.14</v>
      </c>
      <c r="AT318" s="1683">
        <v>2576.14</v>
      </c>
      <c r="AU318" s="1683">
        <v>960</v>
      </c>
      <c r="AV318" s="1683">
        <v>0</v>
      </c>
      <c r="AW318" s="1683">
        <v>0</v>
      </c>
      <c r="AX318" s="1400"/>
      <c r="AY318" s="1400"/>
      <c r="AZ318" s="1400"/>
      <c r="BA318" s="1682"/>
      <c r="BB318" s="1682"/>
      <c r="BC318" s="1400"/>
      <c r="BD318" s="1400"/>
      <c r="BE318" s="1683">
        <v>5725.86</v>
      </c>
      <c r="BF318" s="1683">
        <v>5725.86</v>
      </c>
      <c r="BG318" s="1683">
        <v>2189.7199999999998</v>
      </c>
      <c r="BH318" s="1683">
        <v>2189.7199999999998</v>
      </c>
      <c r="BI318" s="1683">
        <v>0</v>
      </c>
      <c r="BJ318" s="1683">
        <v>3536.14</v>
      </c>
      <c r="BK318" s="1683">
        <v>2576.14</v>
      </c>
      <c r="BL318" s="1683">
        <v>960</v>
      </c>
      <c r="BM318" s="1683">
        <v>0</v>
      </c>
      <c r="BN318" s="1683">
        <v>0</v>
      </c>
      <c r="BO318" s="1685">
        <v>43364</v>
      </c>
      <c r="BP318" s="1683">
        <v>5725.86</v>
      </c>
      <c r="BQ318" s="1683">
        <v>5725.86</v>
      </c>
      <c r="BR318" s="1683">
        <v>2189.7199999999998</v>
      </c>
      <c r="BS318" s="1683">
        <v>2189.7199999999998</v>
      </c>
      <c r="BT318" s="1683">
        <v>0</v>
      </c>
      <c r="BU318" s="1683">
        <v>3536.14</v>
      </c>
      <c r="BV318" s="1683">
        <v>2576.14</v>
      </c>
      <c r="BW318" s="1683">
        <v>0</v>
      </c>
      <c r="BX318" s="1683">
        <v>0</v>
      </c>
      <c r="BY318" s="1683">
        <v>0</v>
      </c>
      <c r="BZ318" s="1683">
        <v>0</v>
      </c>
      <c r="CA318" s="1400"/>
      <c r="CB318" s="1682"/>
      <c r="CC318" s="1682"/>
      <c r="CD318" s="1400"/>
      <c r="CE318" s="1400"/>
      <c r="CF318" s="1683">
        <v>0</v>
      </c>
      <c r="CG318" s="1683">
        <v>0</v>
      </c>
      <c r="CH318" s="1683">
        <v>0</v>
      </c>
      <c r="CI318" s="1683">
        <v>0</v>
      </c>
      <c r="CJ318" s="1683">
        <v>50.51</v>
      </c>
      <c r="CK318" s="1683">
        <v>50.51</v>
      </c>
      <c r="CL318" s="1682"/>
      <c r="CM318" s="1683">
        <v>0</v>
      </c>
      <c r="CN318" s="1683">
        <v>0</v>
      </c>
      <c r="CO318" s="1683">
        <v>0</v>
      </c>
      <c r="CP318" s="1683">
        <v>0</v>
      </c>
      <c r="CQ318" s="1683">
        <v>0</v>
      </c>
      <c r="CR318" s="1683">
        <v>0</v>
      </c>
      <c r="CS318" s="1683">
        <v>0</v>
      </c>
      <c r="CT318" s="1683">
        <v>0</v>
      </c>
      <c r="CU318" s="1683">
        <v>0</v>
      </c>
      <c r="CV318" s="1683">
        <v>0</v>
      </c>
      <c r="CW318" s="1682"/>
      <c r="CX318" s="1400"/>
      <c r="CY318" s="1400"/>
      <c r="CZ318" s="1400"/>
      <c r="DA318" s="1400"/>
      <c r="DB318" s="1682"/>
      <c r="DC318" s="1326"/>
      <c r="DD318" s="1683">
        <v>0</v>
      </c>
      <c r="DE318" s="1400"/>
      <c r="DF318" s="1400"/>
      <c r="DG318" s="1683">
        <v>0</v>
      </c>
      <c r="DH318" s="1683">
        <v>0</v>
      </c>
    </row>
    <row r="319" spans="1:112" ht="56.25">
      <c r="A319" s="1326" t="s">
        <v>2330</v>
      </c>
      <c r="B319" s="1326" t="s">
        <v>1700</v>
      </c>
      <c r="C319" s="1326" t="s">
        <v>2561</v>
      </c>
      <c r="D319" s="1326" t="s">
        <v>2562</v>
      </c>
      <c r="E319" s="1326" t="s">
        <v>143</v>
      </c>
      <c r="F319" s="1326" t="s">
        <v>2555</v>
      </c>
      <c r="G319" s="1326" t="s">
        <v>2556</v>
      </c>
      <c r="H319" s="1326" t="s">
        <v>2541</v>
      </c>
      <c r="I319" s="1326" t="s">
        <v>712</v>
      </c>
      <c r="J319" s="1326" t="s">
        <v>2230</v>
      </c>
      <c r="K319" s="1326" t="s">
        <v>2071</v>
      </c>
      <c r="L319" s="1326" t="s">
        <v>2061</v>
      </c>
      <c r="M319" s="1400"/>
      <c r="N319" s="1400"/>
      <c r="O319" s="1400"/>
      <c r="P319" s="1400"/>
      <c r="Q319" s="1400"/>
      <c r="R319" s="1400"/>
      <c r="S319" s="1400"/>
      <c r="T319" s="1400"/>
      <c r="U319" s="1400"/>
      <c r="V319" s="1400"/>
      <c r="W319" s="1400"/>
      <c r="X319" s="1400"/>
      <c r="Y319" s="1685">
        <v>43119</v>
      </c>
      <c r="Z319" s="1326" t="s">
        <v>2062</v>
      </c>
      <c r="AA319" s="1683">
        <v>0</v>
      </c>
      <c r="AB319" s="1683">
        <v>0</v>
      </c>
      <c r="AC319" s="1683">
        <v>0</v>
      </c>
      <c r="AD319" s="1685">
        <v>43144</v>
      </c>
      <c r="AE319" s="1326" t="s">
        <v>2080</v>
      </c>
      <c r="AF319" s="1326" t="s">
        <v>2064</v>
      </c>
      <c r="AG319" s="1410"/>
      <c r="AH319" s="1683">
        <v>98684.39</v>
      </c>
      <c r="AI319" s="1683">
        <v>98684.39</v>
      </c>
      <c r="AJ319" s="1683">
        <v>37739.53</v>
      </c>
      <c r="AK319" s="1683">
        <v>37739.53</v>
      </c>
      <c r="AL319" s="1683">
        <v>0</v>
      </c>
      <c r="AM319" s="1685">
        <v>43144</v>
      </c>
      <c r="AN319" s="1683">
        <v>98684.39</v>
      </c>
      <c r="AO319" s="1683">
        <v>98684.39</v>
      </c>
      <c r="AP319" s="1683">
        <v>37739.53</v>
      </c>
      <c r="AQ319" s="1683">
        <v>37739.53</v>
      </c>
      <c r="AR319" s="1683">
        <v>0</v>
      </c>
      <c r="AS319" s="1683">
        <v>60944.86</v>
      </c>
      <c r="AT319" s="1683">
        <v>44399.4</v>
      </c>
      <c r="AU319" s="1683">
        <v>16545.46</v>
      </c>
      <c r="AV319" s="1683">
        <v>0</v>
      </c>
      <c r="AW319" s="1683">
        <v>0</v>
      </c>
      <c r="AX319" s="1400"/>
      <c r="AY319" s="1400"/>
      <c r="AZ319" s="1400"/>
      <c r="BA319" s="1682"/>
      <c r="BB319" s="1682"/>
      <c r="BC319" s="1400"/>
      <c r="BD319" s="1400"/>
      <c r="BE319" s="1683">
        <v>98684.39</v>
      </c>
      <c r="BF319" s="1683">
        <v>98684.39</v>
      </c>
      <c r="BG319" s="1683">
        <v>37739.53</v>
      </c>
      <c r="BH319" s="1683">
        <v>37739.53</v>
      </c>
      <c r="BI319" s="1683">
        <v>0</v>
      </c>
      <c r="BJ319" s="1683">
        <v>60944.86</v>
      </c>
      <c r="BK319" s="1683">
        <v>44399.4</v>
      </c>
      <c r="BL319" s="1683">
        <v>16545.46</v>
      </c>
      <c r="BM319" s="1683">
        <v>0</v>
      </c>
      <c r="BN319" s="1683">
        <v>0</v>
      </c>
      <c r="BO319" s="1685">
        <v>43364</v>
      </c>
      <c r="BP319" s="1683">
        <v>98684.39</v>
      </c>
      <c r="BQ319" s="1683">
        <v>98684.39</v>
      </c>
      <c r="BR319" s="1683">
        <v>37739.53</v>
      </c>
      <c r="BS319" s="1683">
        <v>37739.53</v>
      </c>
      <c r="BT319" s="1683">
        <v>0</v>
      </c>
      <c r="BU319" s="1683">
        <v>60944.86</v>
      </c>
      <c r="BV319" s="1683">
        <v>44399.4</v>
      </c>
      <c r="BW319" s="1683">
        <v>0</v>
      </c>
      <c r="BX319" s="1683">
        <v>0</v>
      </c>
      <c r="BY319" s="1683">
        <v>0</v>
      </c>
      <c r="BZ319" s="1683">
        <v>0</v>
      </c>
      <c r="CA319" s="1400"/>
      <c r="CB319" s="1682"/>
      <c r="CC319" s="1682"/>
      <c r="CD319" s="1400"/>
      <c r="CE319" s="1400"/>
      <c r="CF319" s="1683">
        <v>0</v>
      </c>
      <c r="CG319" s="1683">
        <v>0</v>
      </c>
      <c r="CH319" s="1683">
        <v>0</v>
      </c>
      <c r="CI319" s="1683">
        <v>0</v>
      </c>
      <c r="CJ319" s="1683">
        <v>870.54</v>
      </c>
      <c r="CK319" s="1683">
        <v>870.54</v>
      </c>
      <c r="CL319" s="1682"/>
      <c r="CM319" s="1683">
        <v>0</v>
      </c>
      <c r="CN319" s="1683">
        <v>0</v>
      </c>
      <c r="CO319" s="1683">
        <v>0</v>
      </c>
      <c r="CP319" s="1683">
        <v>0</v>
      </c>
      <c r="CQ319" s="1683">
        <v>0</v>
      </c>
      <c r="CR319" s="1683">
        <v>0</v>
      </c>
      <c r="CS319" s="1683">
        <v>0</v>
      </c>
      <c r="CT319" s="1683">
        <v>0</v>
      </c>
      <c r="CU319" s="1683">
        <v>0</v>
      </c>
      <c r="CV319" s="1683">
        <v>0</v>
      </c>
      <c r="CW319" s="1682"/>
      <c r="CX319" s="1400"/>
      <c r="CY319" s="1400"/>
      <c r="CZ319" s="1400"/>
      <c r="DA319" s="1400"/>
      <c r="DB319" s="1682"/>
      <c r="DC319" s="1326"/>
      <c r="DD319" s="1683">
        <v>0</v>
      </c>
      <c r="DE319" s="1400"/>
      <c r="DF319" s="1400"/>
      <c r="DG319" s="1683">
        <v>0</v>
      </c>
      <c r="DH319" s="1683">
        <v>0</v>
      </c>
    </row>
    <row r="320" spans="1:112" ht="56.25">
      <c r="A320" s="1326" t="s">
        <v>2331</v>
      </c>
      <c r="B320" s="1326" t="s">
        <v>1700</v>
      </c>
      <c r="C320" s="1326" t="s">
        <v>2561</v>
      </c>
      <c r="D320" s="1326" t="s">
        <v>2562</v>
      </c>
      <c r="E320" s="1326" t="s">
        <v>143</v>
      </c>
      <c r="F320" s="1326" t="s">
        <v>2555</v>
      </c>
      <c r="G320" s="1326" t="s">
        <v>2556</v>
      </c>
      <c r="H320" s="1326" t="s">
        <v>2541</v>
      </c>
      <c r="I320" s="1326" t="s">
        <v>712</v>
      </c>
      <c r="J320" s="1326" t="s">
        <v>2230</v>
      </c>
      <c r="K320" s="1326" t="s">
        <v>2071</v>
      </c>
      <c r="L320" s="1326" t="s">
        <v>2061</v>
      </c>
      <c r="M320" s="1400"/>
      <c r="N320" s="1400"/>
      <c r="O320" s="1400"/>
      <c r="P320" s="1400"/>
      <c r="Q320" s="1400"/>
      <c r="R320" s="1400"/>
      <c r="S320" s="1400"/>
      <c r="T320" s="1400"/>
      <c r="U320" s="1400"/>
      <c r="V320" s="1400"/>
      <c r="W320" s="1400"/>
      <c r="X320" s="1400"/>
      <c r="Y320" s="1685">
        <v>43152</v>
      </c>
      <c r="Z320" s="1326" t="s">
        <v>2062</v>
      </c>
      <c r="AA320" s="1683">
        <v>0</v>
      </c>
      <c r="AB320" s="1683">
        <v>0</v>
      </c>
      <c r="AC320" s="1683">
        <v>0</v>
      </c>
      <c r="AD320" s="1685">
        <v>43175</v>
      </c>
      <c r="AE320" s="1326" t="s">
        <v>2081</v>
      </c>
      <c r="AF320" s="1326" t="s">
        <v>2067</v>
      </c>
      <c r="AG320" s="1410"/>
      <c r="AH320" s="1683">
        <v>51227.74</v>
      </c>
      <c r="AI320" s="1683">
        <v>51227.74</v>
      </c>
      <c r="AJ320" s="1683">
        <v>19590.84</v>
      </c>
      <c r="AK320" s="1683">
        <v>19590.84</v>
      </c>
      <c r="AL320" s="1683">
        <v>0</v>
      </c>
      <c r="AM320" s="1685">
        <v>43178</v>
      </c>
      <c r="AN320" s="1683">
        <v>51227.74</v>
      </c>
      <c r="AO320" s="1683">
        <v>51227.74</v>
      </c>
      <c r="AP320" s="1683">
        <v>19590.84</v>
      </c>
      <c r="AQ320" s="1683">
        <v>19590.84</v>
      </c>
      <c r="AR320" s="1683">
        <v>0</v>
      </c>
      <c r="AS320" s="1683">
        <v>31636.9</v>
      </c>
      <c r="AT320" s="1683">
        <v>23048.04</v>
      </c>
      <c r="AU320" s="1683">
        <v>8588.86</v>
      </c>
      <c r="AV320" s="1683">
        <v>0</v>
      </c>
      <c r="AW320" s="1683">
        <v>0</v>
      </c>
      <c r="AX320" s="1400"/>
      <c r="AY320" s="1400"/>
      <c r="AZ320" s="1400"/>
      <c r="BA320" s="1682"/>
      <c r="BB320" s="1682"/>
      <c r="BC320" s="1400"/>
      <c r="BD320" s="1400"/>
      <c r="BE320" s="1683">
        <v>51227.74</v>
      </c>
      <c r="BF320" s="1683">
        <v>51227.74</v>
      </c>
      <c r="BG320" s="1683">
        <v>19590.84</v>
      </c>
      <c r="BH320" s="1683">
        <v>19590.84</v>
      </c>
      <c r="BI320" s="1683">
        <v>0</v>
      </c>
      <c r="BJ320" s="1683">
        <v>31636.9</v>
      </c>
      <c r="BK320" s="1683">
        <v>23048.04</v>
      </c>
      <c r="BL320" s="1683">
        <v>8588.86</v>
      </c>
      <c r="BM320" s="1683">
        <v>0</v>
      </c>
      <c r="BN320" s="1683">
        <v>0</v>
      </c>
      <c r="BO320" s="1685">
        <v>43364</v>
      </c>
      <c r="BP320" s="1683">
        <v>51227.74</v>
      </c>
      <c r="BQ320" s="1683">
        <v>51227.74</v>
      </c>
      <c r="BR320" s="1683">
        <v>19590.84</v>
      </c>
      <c r="BS320" s="1683">
        <v>19590.84</v>
      </c>
      <c r="BT320" s="1683">
        <v>0</v>
      </c>
      <c r="BU320" s="1683">
        <v>31636.9</v>
      </c>
      <c r="BV320" s="1683">
        <v>23048.04</v>
      </c>
      <c r="BW320" s="1683">
        <v>0</v>
      </c>
      <c r="BX320" s="1683">
        <v>0</v>
      </c>
      <c r="BY320" s="1683">
        <v>0</v>
      </c>
      <c r="BZ320" s="1683">
        <v>0</v>
      </c>
      <c r="CA320" s="1400"/>
      <c r="CB320" s="1682"/>
      <c r="CC320" s="1682"/>
      <c r="CD320" s="1400"/>
      <c r="CE320" s="1400"/>
      <c r="CF320" s="1683">
        <v>0</v>
      </c>
      <c r="CG320" s="1683">
        <v>0</v>
      </c>
      <c r="CH320" s="1683">
        <v>0</v>
      </c>
      <c r="CI320" s="1683">
        <v>0</v>
      </c>
      <c r="CJ320" s="1683">
        <v>0</v>
      </c>
      <c r="CK320" s="1683">
        <v>0</v>
      </c>
      <c r="CL320" s="1682"/>
      <c r="CM320" s="1683">
        <v>0</v>
      </c>
      <c r="CN320" s="1683">
        <v>0</v>
      </c>
      <c r="CO320" s="1683">
        <v>0</v>
      </c>
      <c r="CP320" s="1683">
        <v>0</v>
      </c>
      <c r="CQ320" s="1683">
        <v>0</v>
      </c>
      <c r="CR320" s="1683">
        <v>0</v>
      </c>
      <c r="CS320" s="1683">
        <v>0</v>
      </c>
      <c r="CT320" s="1683">
        <v>0</v>
      </c>
      <c r="CU320" s="1683">
        <v>0</v>
      </c>
      <c r="CV320" s="1683">
        <v>0</v>
      </c>
      <c r="CW320" s="1682"/>
      <c r="CX320" s="1400"/>
      <c r="CY320" s="1400"/>
      <c r="CZ320" s="1400"/>
      <c r="DA320" s="1400"/>
      <c r="DB320" s="1682"/>
      <c r="DC320" s="1326"/>
      <c r="DD320" s="1683">
        <v>0</v>
      </c>
      <c r="DE320" s="1400"/>
      <c r="DF320" s="1400"/>
      <c r="DG320" s="1683">
        <v>0</v>
      </c>
      <c r="DH320" s="1683">
        <v>0</v>
      </c>
    </row>
    <row r="321" spans="1:112" ht="56.25">
      <c r="A321" s="1326" t="s">
        <v>2332</v>
      </c>
      <c r="B321" s="1326" t="s">
        <v>1700</v>
      </c>
      <c r="C321" s="1326" t="s">
        <v>2561</v>
      </c>
      <c r="D321" s="1326" t="s">
        <v>2562</v>
      </c>
      <c r="E321" s="1326" t="s">
        <v>143</v>
      </c>
      <c r="F321" s="1326" t="s">
        <v>2555</v>
      </c>
      <c r="G321" s="1326" t="s">
        <v>2556</v>
      </c>
      <c r="H321" s="1326" t="s">
        <v>2541</v>
      </c>
      <c r="I321" s="1326" t="s">
        <v>712</v>
      </c>
      <c r="J321" s="1326" t="s">
        <v>2230</v>
      </c>
      <c r="K321" s="1326" t="s">
        <v>2071</v>
      </c>
      <c r="L321" s="1326" t="s">
        <v>2061</v>
      </c>
      <c r="M321" s="1400"/>
      <c r="N321" s="1400"/>
      <c r="O321" s="1400"/>
      <c r="P321" s="1400"/>
      <c r="Q321" s="1400"/>
      <c r="R321" s="1400"/>
      <c r="S321" s="1400"/>
      <c r="T321" s="1400"/>
      <c r="U321" s="1400"/>
      <c r="V321" s="1400"/>
      <c r="W321" s="1400"/>
      <c r="X321" s="1400"/>
      <c r="Y321" s="1685">
        <v>43152</v>
      </c>
      <c r="Z321" s="1326" t="s">
        <v>2062</v>
      </c>
      <c r="AA321" s="1683">
        <v>0</v>
      </c>
      <c r="AB321" s="1683">
        <v>0</v>
      </c>
      <c r="AC321" s="1683">
        <v>0</v>
      </c>
      <c r="AD321" s="1685">
        <v>43175</v>
      </c>
      <c r="AE321" s="1326" t="s">
        <v>2081</v>
      </c>
      <c r="AF321" s="1326" t="s">
        <v>2064</v>
      </c>
      <c r="AG321" s="1410"/>
      <c r="AH321" s="1683">
        <v>92239.81</v>
      </c>
      <c r="AI321" s="1683">
        <v>92239.81</v>
      </c>
      <c r="AJ321" s="1683">
        <v>35274.94</v>
      </c>
      <c r="AK321" s="1683">
        <v>35274.94</v>
      </c>
      <c r="AL321" s="1683">
        <v>0</v>
      </c>
      <c r="AM321" s="1685">
        <v>43175</v>
      </c>
      <c r="AN321" s="1683">
        <v>92239.81</v>
      </c>
      <c r="AO321" s="1683">
        <v>92239.81</v>
      </c>
      <c r="AP321" s="1683">
        <v>35274.94</v>
      </c>
      <c r="AQ321" s="1683">
        <v>35274.94</v>
      </c>
      <c r="AR321" s="1683">
        <v>0</v>
      </c>
      <c r="AS321" s="1683">
        <v>56964.87</v>
      </c>
      <c r="AT321" s="1683">
        <v>41499.910000000003</v>
      </c>
      <c r="AU321" s="1683">
        <v>15464.96</v>
      </c>
      <c r="AV321" s="1683">
        <v>0</v>
      </c>
      <c r="AW321" s="1683">
        <v>0</v>
      </c>
      <c r="AX321" s="1400"/>
      <c r="AY321" s="1400"/>
      <c r="AZ321" s="1400"/>
      <c r="BA321" s="1682"/>
      <c r="BB321" s="1682"/>
      <c r="BC321" s="1400"/>
      <c r="BD321" s="1400"/>
      <c r="BE321" s="1683">
        <v>92239.81</v>
      </c>
      <c r="BF321" s="1683">
        <v>92239.81</v>
      </c>
      <c r="BG321" s="1683">
        <v>35274.94</v>
      </c>
      <c r="BH321" s="1683">
        <v>35274.94</v>
      </c>
      <c r="BI321" s="1683">
        <v>0</v>
      </c>
      <c r="BJ321" s="1683">
        <v>56964.87</v>
      </c>
      <c r="BK321" s="1683">
        <v>41499.910000000003</v>
      </c>
      <c r="BL321" s="1683">
        <v>15464.96</v>
      </c>
      <c r="BM321" s="1683">
        <v>0</v>
      </c>
      <c r="BN321" s="1683">
        <v>0</v>
      </c>
      <c r="BO321" s="1685">
        <v>43364</v>
      </c>
      <c r="BP321" s="1683">
        <v>92239.81</v>
      </c>
      <c r="BQ321" s="1683">
        <v>92239.81</v>
      </c>
      <c r="BR321" s="1683">
        <v>35274.94</v>
      </c>
      <c r="BS321" s="1683">
        <v>35274.94</v>
      </c>
      <c r="BT321" s="1683">
        <v>0</v>
      </c>
      <c r="BU321" s="1683">
        <v>56964.87</v>
      </c>
      <c r="BV321" s="1683">
        <v>41499.910000000003</v>
      </c>
      <c r="BW321" s="1683">
        <v>0</v>
      </c>
      <c r="BX321" s="1683">
        <v>0</v>
      </c>
      <c r="BY321" s="1683">
        <v>0</v>
      </c>
      <c r="BZ321" s="1683">
        <v>0</v>
      </c>
      <c r="CA321" s="1400"/>
      <c r="CB321" s="1682"/>
      <c r="CC321" s="1682"/>
      <c r="CD321" s="1400"/>
      <c r="CE321" s="1400"/>
      <c r="CF321" s="1683">
        <v>0</v>
      </c>
      <c r="CG321" s="1683">
        <v>0</v>
      </c>
      <c r="CH321" s="1683">
        <v>0</v>
      </c>
      <c r="CI321" s="1683">
        <v>0</v>
      </c>
      <c r="CJ321" s="1683">
        <v>1265.5999999999999</v>
      </c>
      <c r="CK321" s="1683">
        <v>1265.5999999999999</v>
      </c>
      <c r="CL321" s="1682"/>
      <c r="CM321" s="1683">
        <v>0</v>
      </c>
      <c r="CN321" s="1683">
        <v>0</v>
      </c>
      <c r="CO321" s="1683">
        <v>0</v>
      </c>
      <c r="CP321" s="1683">
        <v>0</v>
      </c>
      <c r="CQ321" s="1683">
        <v>0</v>
      </c>
      <c r="CR321" s="1683">
        <v>0</v>
      </c>
      <c r="CS321" s="1683">
        <v>0</v>
      </c>
      <c r="CT321" s="1683">
        <v>0</v>
      </c>
      <c r="CU321" s="1683">
        <v>0</v>
      </c>
      <c r="CV321" s="1683">
        <v>0</v>
      </c>
      <c r="CW321" s="1682"/>
      <c r="CX321" s="1400"/>
      <c r="CY321" s="1400"/>
      <c r="CZ321" s="1400"/>
      <c r="DA321" s="1400"/>
      <c r="DB321" s="1682"/>
      <c r="DC321" s="1326"/>
      <c r="DD321" s="1683">
        <v>0</v>
      </c>
      <c r="DE321" s="1400"/>
      <c r="DF321" s="1400"/>
      <c r="DG321" s="1683">
        <v>0</v>
      </c>
      <c r="DH321" s="1683">
        <v>0</v>
      </c>
    </row>
    <row r="322" spans="1:112" ht="56.25">
      <c r="A322" s="1326" t="s">
        <v>2333</v>
      </c>
      <c r="B322" s="1326" t="s">
        <v>1700</v>
      </c>
      <c r="C322" s="1326" t="s">
        <v>2561</v>
      </c>
      <c r="D322" s="1326" t="s">
        <v>2562</v>
      </c>
      <c r="E322" s="1326" t="s">
        <v>143</v>
      </c>
      <c r="F322" s="1326" t="s">
        <v>2555</v>
      </c>
      <c r="G322" s="1326" t="s">
        <v>2556</v>
      </c>
      <c r="H322" s="1326" t="s">
        <v>2541</v>
      </c>
      <c r="I322" s="1326" t="s">
        <v>712</v>
      </c>
      <c r="J322" s="1326" t="s">
        <v>2230</v>
      </c>
      <c r="K322" s="1326" t="s">
        <v>2071</v>
      </c>
      <c r="L322" s="1326" t="s">
        <v>2061</v>
      </c>
      <c r="M322" s="1400"/>
      <c r="N322" s="1400"/>
      <c r="O322" s="1400"/>
      <c r="P322" s="1400"/>
      <c r="Q322" s="1400"/>
      <c r="R322" s="1400"/>
      <c r="S322" s="1400"/>
      <c r="T322" s="1400"/>
      <c r="U322" s="1400"/>
      <c r="V322" s="1400"/>
      <c r="W322" s="1400"/>
      <c r="X322" s="1400"/>
      <c r="Y322" s="1685">
        <v>43180</v>
      </c>
      <c r="Z322" s="1326" t="s">
        <v>2062</v>
      </c>
      <c r="AA322" s="1683">
        <v>0</v>
      </c>
      <c r="AB322" s="1683">
        <v>0</v>
      </c>
      <c r="AC322" s="1683">
        <v>0</v>
      </c>
      <c r="AD322" s="1685">
        <v>43199</v>
      </c>
      <c r="AE322" s="1326" t="s">
        <v>2088</v>
      </c>
      <c r="AF322" s="1326" t="s">
        <v>2067</v>
      </c>
      <c r="AG322" s="1410"/>
      <c r="AH322" s="1683">
        <v>82358.720000000001</v>
      </c>
      <c r="AI322" s="1683">
        <v>82358.720000000001</v>
      </c>
      <c r="AJ322" s="1683">
        <v>31496.17</v>
      </c>
      <c r="AK322" s="1683">
        <v>31496.17</v>
      </c>
      <c r="AL322" s="1683">
        <v>0</v>
      </c>
      <c r="AM322" s="1685">
        <v>43200</v>
      </c>
      <c r="AN322" s="1683">
        <v>82358.720000000001</v>
      </c>
      <c r="AO322" s="1683">
        <v>82358.720000000001</v>
      </c>
      <c r="AP322" s="1683">
        <v>31496.17</v>
      </c>
      <c r="AQ322" s="1683">
        <v>31496.17</v>
      </c>
      <c r="AR322" s="1683">
        <v>0</v>
      </c>
      <c r="AS322" s="1683">
        <v>50862.55</v>
      </c>
      <c r="AT322" s="1683">
        <v>37054.26</v>
      </c>
      <c r="AU322" s="1683">
        <v>13808.29</v>
      </c>
      <c r="AV322" s="1683">
        <v>0</v>
      </c>
      <c r="AW322" s="1683">
        <v>0</v>
      </c>
      <c r="AX322" s="1400"/>
      <c r="AY322" s="1400"/>
      <c r="AZ322" s="1400"/>
      <c r="BA322" s="1682"/>
      <c r="BB322" s="1682"/>
      <c r="BC322" s="1400"/>
      <c r="BD322" s="1400"/>
      <c r="BE322" s="1683">
        <v>82358.720000000001</v>
      </c>
      <c r="BF322" s="1683">
        <v>82358.720000000001</v>
      </c>
      <c r="BG322" s="1683">
        <v>31496.17</v>
      </c>
      <c r="BH322" s="1683">
        <v>31496.17</v>
      </c>
      <c r="BI322" s="1683">
        <v>0</v>
      </c>
      <c r="BJ322" s="1683">
        <v>50862.55</v>
      </c>
      <c r="BK322" s="1683">
        <v>37054.26</v>
      </c>
      <c r="BL322" s="1683">
        <v>13808.29</v>
      </c>
      <c r="BM322" s="1683">
        <v>0</v>
      </c>
      <c r="BN322" s="1683">
        <v>0</v>
      </c>
      <c r="BO322" s="1685">
        <v>43364</v>
      </c>
      <c r="BP322" s="1683">
        <v>82358.720000000001</v>
      </c>
      <c r="BQ322" s="1683">
        <v>82358.720000000001</v>
      </c>
      <c r="BR322" s="1683">
        <v>31496.17</v>
      </c>
      <c r="BS322" s="1683">
        <v>31496.17</v>
      </c>
      <c r="BT322" s="1683">
        <v>0</v>
      </c>
      <c r="BU322" s="1683">
        <v>50862.55</v>
      </c>
      <c r="BV322" s="1683">
        <v>37054.26</v>
      </c>
      <c r="BW322" s="1683">
        <v>0</v>
      </c>
      <c r="BX322" s="1683">
        <v>0</v>
      </c>
      <c r="BY322" s="1683">
        <v>0</v>
      </c>
      <c r="BZ322" s="1683">
        <v>0</v>
      </c>
      <c r="CA322" s="1400"/>
      <c r="CB322" s="1682"/>
      <c r="CC322" s="1682"/>
      <c r="CD322" s="1400"/>
      <c r="CE322" s="1400"/>
      <c r="CF322" s="1683">
        <v>0</v>
      </c>
      <c r="CG322" s="1683">
        <v>0</v>
      </c>
      <c r="CH322" s="1683">
        <v>0</v>
      </c>
      <c r="CI322" s="1683">
        <v>0</v>
      </c>
      <c r="CJ322" s="1683">
        <v>726.53</v>
      </c>
      <c r="CK322" s="1683">
        <v>726.53</v>
      </c>
      <c r="CL322" s="1682"/>
      <c r="CM322" s="1683">
        <v>0</v>
      </c>
      <c r="CN322" s="1683">
        <v>0</v>
      </c>
      <c r="CO322" s="1683">
        <v>0</v>
      </c>
      <c r="CP322" s="1683">
        <v>0</v>
      </c>
      <c r="CQ322" s="1683">
        <v>0</v>
      </c>
      <c r="CR322" s="1683">
        <v>0</v>
      </c>
      <c r="CS322" s="1683">
        <v>0</v>
      </c>
      <c r="CT322" s="1683">
        <v>0</v>
      </c>
      <c r="CU322" s="1683">
        <v>0</v>
      </c>
      <c r="CV322" s="1683">
        <v>0</v>
      </c>
      <c r="CW322" s="1682"/>
      <c r="CX322" s="1400"/>
      <c r="CY322" s="1400"/>
      <c r="CZ322" s="1400"/>
      <c r="DA322" s="1400"/>
      <c r="DB322" s="1682"/>
      <c r="DC322" s="1326"/>
      <c r="DD322" s="1683">
        <v>0</v>
      </c>
      <c r="DE322" s="1400"/>
      <c r="DF322" s="1400"/>
      <c r="DG322" s="1683">
        <v>0</v>
      </c>
      <c r="DH322" s="1683">
        <v>0</v>
      </c>
    </row>
    <row r="323" spans="1:112" ht="56.25">
      <c r="A323" s="1326" t="s">
        <v>2334</v>
      </c>
      <c r="B323" s="1326" t="s">
        <v>1700</v>
      </c>
      <c r="C323" s="1326" t="s">
        <v>2561</v>
      </c>
      <c r="D323" s="1326" t="s">
        <v>2562</v>
      </c>
      <c r="E323" s="1326" t="s">
        <v>143</v>
      </c>
      <c r="F323" s="1326" t="s">
        <v>2555</v>
      </c>
      <c r="G323" s="1326" t="s">
        <v>2556</v>
      </c>
      <c r="H323" s="1326" t="s">
        <v>2541</v>
      </c>
      <c r="I323" s="1326" t="s">
        <v>712</v>
      </c>
      <c r="J323" s="1326" t="s">
        <v>2230</v>
      </c>
      <c r="K323" s="1326" t="s">
        <v>2071</v>
      </c>
      <c r="L323" s="1326" t="s">
        <v>2061</v>
      </c>
      <c r="M323" s="1400"/>
      <c r="N323" s="1400"/>
      <c r="O323" s="1400"/>
      <c r="P323" s="1400"/>
      <c r="Q323" s="1400"/>
      <c r="R323" s="1400"/>
      <c r="S323" s="1400"/>
      <c r="T323" s="1400"/>
      <c r="U323" s="1400"/>
      <c r="V323" s="1400"/>
      <c r="W323" s="1400"/>
      <c r="X323" s="1400"/>
      <c r="Y323" s="1685">
        <v>43217</v>
      </c>
      <c r="Z323" s="1326" t="s">
        <v>2062</v>
      </c>
      <c r="AA323" s="1683">
        <v>10000</v>
      </c>
      <c r="AB323" s="1683">
        <v>10000</v>
      </c>
      <c r="AC323" s="1683">
        <v>0</v>
      </c>
      <c r="AD323" s="1685">
        <v>43248</v>
      </c>
      <c r="AE323" s="1326" t="s">
        <v>2082</v>
      </c>
      <c r="AF323" s="1326" t="s">
        <v>2064</v>
      </c>
      <c r="AG323" s="1410"/>
      <c r="AH323" s="1683">
        <v>89923.520000000004</v>
      </c>
      <c r="AI323" s="1683">
        <v>89923.520000000004</v>
      </c>
      <c r="AJ323" s="1683">
        <v>24389.14</v>
      </c>
      <c r="AK323" s="1683">
        <v>24389.14</v>
      </c>
      <c r="AL323" s="1683">
        <v>0</v>
      </c>
      <c r="AM323" s="1685">
        <v>43248</v>
      </c>
      <c r="AN323" s="1683">
        <v>89923.520000000004</v>
      </c>
      <c r="AO323" s="1683">
        <v>89923.520000000004</v>
      </c>
      <c r="AP323" s="1683">
        <v>34389.14</v>
      </c>
      <c r="AQ323" s="1683">
        <v>34389.14</v>
      </c>
      <c r="AR323" s="1683">
        <v>0</v>
      </c>
      <c r="AS323" s="1683">
        <v>55534.38</v>
      </c>
      <c r="AT323" s="1683">
        <v>40457.769999999997</v>
      </c>
      <c r="AU323" s="1683">
        <v>15076.61</v>
      </c>
      <c r="AV323" s="1683">
        <v>0</v>
      </c>
      <c r="AW323" s="1683">
        <v>0</v>
      </c>
      <c r="AX323" s="1400"/>
      <c r="AY323" s="1400"/>
      <c r="AZ323" s="1400"/>
      <c r="BA323" s="1682"/>
      <c r="BB323" s="1682"/>
      <c r="BC323" s="1400"/>
      <c r="BD323" s="1400"/>
      <c r="BE323" s="1683">
        <v>89923.520000000004</v>
      </c>
      <c r="BF323" s="1683">
        <v>89923.520000000004</v>
      </c>
      <c r="BG323" s="1683">
        <v>34389.14</v>
      </c>
      <c r="BH323" s="1683">
        <v>34389.14</v>
      </c>
      <c r="BI323" s="1683">
        <v>0</v>
      </c>
      <c r="BJ323" s="1683">
        <v>55534.38</v>
      </c>
      <c r="BK323" s="1683">
        <v>40457.769999999997</v>
      </c>
      <c r="BL323" s="1683">
        <v>15076.61</v>
      </c>
      <c r="BM323" s="1683">
        <v>0</v>
      </c>
      <c r="BN323" s="1683">
        <v>0</v>
      </c>
      <c r="BO323" s="1685">
        <v>43364</v>
      </c>
      <c r="BP323" s="1683">
        <v>89923.520000000004</v>
      </c>
      <c r="BQ323" s="1683">
        <v>89923.520000000004</v>
      </c>
      <c r="BR323" s="1683">
        <v>34389.14</v>
      </c>
      <c r="BS323" s="1683">
        <v>34389.14</v>
      </c>
      <c r="BT323" s="1683">
        <v>0</v>
      </c>
      <c r="BU323" s="1683">
        <v>55534.38</v>
      </c>
      <c r="BV323" s="1683">
        <v>40457.769999999997</v>
      </c>
      <c r="BW323" s="1683">
        <v>0</v>
      </c>
      <c r="BX323" s="1683">
        <v>0</v>
      </c>
      <c r="BY323" s="1683">
        <v>0</v>
      </c>
      <c r="BZ323" s="1683">
        <v>0</v>
      </c>
      <c r="CA323" s="1400"/>
      <c r="CB323" s="1682"/>
      <c r="CC323" s="1682"/>
      <c r="CD323" s="1400"/>
      <c r="CE323" s="1400"/>
      <c r="CF323" s="1683">
        <v>0</v>
      </c>
      <c r="CG323" s="1683">
        <v>0</v>
      </c>
      <c r="CH323" s="1683">
        <v>0</v>
      </c>
      <c r="CI323" s="1683">
        <v>0</v>
      </c>
      <c r="CJ323" s="1683">
        <v>793.26</v>
      </c>
      <c r="CK323" s="1683">
        <v>793.26</v>
      </c>
      <c r="CL323" s="1682"/>
      <c r="CM323" s="1683">
        <v>0</v>
      </c>
      <c r="CN323" s="1683">
        <v>0</v>
      </c>
      <c r="CO323" s="1683">
        <v>0</v>
      </c>
      <c r="CP323" s="1683">
        <v>0</v>
      </c>
      <c r="CQ323" s="1683">
        <v>0</v>
      </c>
      <c r="CR323" s="1683">
        <v>0</v>
      </c>
      <c r="CS323" s="1683">
        <v>0</v>
      </c>
      <c r="CT323" s="1683">
        <v>0</v>
      </c>
      <c r="CU323" s="1683">
        <v>0</v>
      </c>
      <c r="CV323" s="1683">
        <v>0</v>
      </c>
      <c r="CW323" s="1682"/>
      <c r="CX323" s="1400"/>
      <c r="CY323" s="1400"/>
      <c r="CZ323" s="1400"/>
      <c r="DA323" s="1400"/>
      <c r="DB323" s="1682"/>
      <c r="DC323" s="1326"/>
      <c r="DD323" s="1683">
        <v>0</v>
      </c>
      <c r="DE323" s="1400"/>
      <c r="DF323" s="1400"/>
      <c r="DG323" s="1683">
        <v>0</v>
      </c>
      <c r="DH323" s="1683">
        <v>0</v>
      </c>
    </row>
    <row r="324" spans="1:112" ht="56.25">
      <c r="A324" s="1326" t="s">
        <v>2335</v>
      </c>
      <c r="B324" s="1326" t="s">
        <v>1700</v>
      </c>
      <c r="C324" s="1326" t="s">
        <v>2561</v>
      </c>
      <c r="D324" s="1326" t="s">
        <v>2562</v>
      </c>
      <c r="E324" s="1326" t="s">
        <v>143</v>
      </c>
      <c r="F324" s="1326" t="s">
        <v>2555</v>
      </c>
      <c r="G324" s="1326" t="s">
        <v>2556</v>
      </c>
      <c r="H324" s="1326" t="s">
        <v>2541</v>
      </c>
      <c r="I324" s="1326" t="s">
        <v>712</v>
      </c>
      <c r="J324" s="1326" t="s">
        <v>2230</v>
      </c>
      <c r="K324" s="1326" t="s">
        <v>2071</v>
      </c>
      <c r="L324" s="1326" t="s">
        <v>2061</v>
      </c>
      <c r="M324" s="1400"/>
      <c r="N324" s="1400"/>
      <c r="O324" s="1400"/>
      <c r="P324" s="1400"/>
      <c r="Q324" s="1400"/>
      <c r="R324" s="1400"/>
      <c r="S324" s="1400"/>
      <c r="T324" s="1400"/>
      <c r="U324" s="1400"/>
      <c r="V324" s="1400"/>
      <c r="W324" s="1400"/>
      <c r="X324" s="1400"/>
      <c r="Y324" s="1685">
        <v>43273</v>
      </c>
      <c r="Z324" s="1326" t="s">
        <v>2062</v>
      </c>
      <c r="AA324" s="1683">
        <v>0</v>
      </c>
      <c r="AB324" s="1683">
        <v>0</v>
      </c>
      <c r="AC324" s="1683">
        <v>0</v>
      </c>
      <c r="AD324" s="1685">
        <v>43307</v>
      </c>
      <c r="AE324" s="1326" t="s">
        <v>2083</v>
      </c>
      <c r="AF324" s="1326" t="s">
        <v>2064</v>
      </c>
      <c r="AG324" s="1410"/>
      <c r="AH324" s="1683">
        <v>153840.57999999999</v>
      </c>
      <c r="AI324" s="1683">
        <v>153840.57999999999</v>
      </c>
      <c r="AJ324" s="1683">
        <v>58832.73</v>
      </c>
      <c r="AK324" s="1683">
        <v>58832.73</v>
      </c>
      <c r="AL324" s="1683">
        <v>0</v>
      </c>
      <c r="AM324" s="1685">
        <v>43307</v>
      </c>
      <c r="AN324" s="1683">
        <v>153840.57999999999</v>
      </c>
      <c r="AO324" s="1683">
        <v>153840.57999999999</v>
      </c>
      <c r="AP324" s="1683">
        <v>58832.73</v>
      </c>
      <c r="AQ324" s="1683">
        <v>58832.73</v>
      </c>
      <c r="AR324" s="1683">
        <v>0</v>
      </c>
      <c r="AS324" s="1683">
        <v>95007.85</v>
      </c>
      <c r="AT324" s="1683">
        <v>69214.89</v>
      </c>
      <c r="AU324" s="1683">
        <v>25792.959999999999</v>
      </c>
      <c r="AV324" s="1683">
        <v>0</v>
      </c>
      <c r="AW324" s="1683">
        <v>0</v>
      </c>
      <c r="AX324" s="1400"/>
      <c r="AY324" s="1400"/>
      <c r="AZ324" s="1400"/>
      <c r="BA324" s="1682"/>
      <c r="BB324" s="1682"/>
      <c r="BC324" s="1400"/>
      <c r="BD324" s="1400"/>
      <c r="BE324" s="1683">
        <v>153840.57999999999</v>
      </c>
      <c r="BF324" s="1683">
        <v>153840.57999999999</v>
      </c>
      <c r="BG324" s="1683">
        <v>58832.73</v>
      </c>
      <c r="BH324" s="1683">
        <v>58832.73</v>
      </c>
      <c r="BI324" s="1683">
        <v>0</v>
      </c>
      <c r="BJ324" s="1683">
        <v>95007.85</v>
      </c>
      <c r="BK324" s="1683">
        <v>69214.89</v>
      </c>
      <c r="BL324" s="1683">
        <v>25792.959999999999</v>
      </c>
      <c r="BM324" s="1683">
        <v>0</v>
      </c>
      <c r="BN324" s="1683">
        <v>0</v>
      </c>
      <c r="BO324" s="1685">
        <v>43364</v>
      </c>
      <c r="BP324" s="1683">
        <v>153840.57999999999</v>
      </c>
      <c r="BQ324" s="1683">
        <v>153840.57999999999</v>
      </c>
      <c r="BR324" s="1683">
        <v>58832.73</v>
      </c>
      <c r="BS324" s="1683">
        <v>58832.73</v>
      </c>
      <c r="BT324" s="1683">
        <v>0</v>
      </c>
      <c r="BU324" s="1683">
        <v>95007.85</v>
      </c>
      <c r="BV324" s="1683">
        <v>69214.89</v>
      </c>
      <c r="BW324" s="1683">
        <v>0</v>
      </c>
      <c r="BX324" s="1683">
        <v>0</v>
      </c>
      <c r="BY324" s="1683">
        <v>0</v>
      </c>
      <c r="BZ324" s="1683">
        <v>0</v>
      </c>
      <c r="CA324" s="1400"/>
      <c r="CB324" s="1682"/>
      <c r="CC324" s="1682"/>
      <c r="CD324" s="1400"/>
      <c r="CE324" s="1400"/>
      <c r="CF324" s="1683">
        <v>0</v>
      </c>
      <c r="CG324" s="1683">
        <v>0</v>
      </c>
      <c r="CH324" s="1683">
        <v>0</v>
      </c>
      <c r="CI324" s="1683">
        <v>0</v>
      </c>
      <c r="CJ324" s="1683">
        <v>1357.1</v>
      </c>
      <c r="CK324" s="1683">
        <v>1357.1</v>
      </c>
      <c r="CL324" s="1682"/>
      <c r="CM324" s="1683">
        <v>0</v>
      </c>
      <c r="CN324" s="1683">
        <v>0</v>
      </c>
      <c r="CO324" s="1683">
        <v>0</v>
      </c>
      <c r="CP324" s="1683">
        <v>0</v>
      </c>
      <c r="CQ324" s="1683">
        <v>0</v>
      </c>
      <c r="CR324" s="1683">
        <v>0</v>
      </c>
      <c r="CS324" s="1683">
        <v>0</v>
      </c>
      <c r="CT324" s="1683">
        <v>0</v>
      </c>
      <c r="CU324" s="1683">
        <v>0</v>
      </c>
      <c r="CV324" s="1683">
        <v>0</v>
      </c>
      <c r="CW324" s="1682"/>
      <c r="CX324" s="1400"/>
      <c r="CY324" s="1400"/>
      <c r="CZ324" s="1400"/>
      <c r="DA324" s="1400"/>
      <c r="DB324" s="1682"/>
      <c r="DC324" s="1326"/>
      <c r="DD324" s="1683">
        <v>0</v>
      </c>
      <c r="DE324" s="1400"/>
      <c r="DF324" s="1400"/>
      <c r="DG324" s="1683">
        <v>0</v>
      </c>
      <c r="DH324" s="1683">
        <v>0</v>
      </c>
    </row>
    <row r="325" spans="1:112" ht="56.25">
      <c r="A325" s="1326" t="s">
        <v>2336</v>
      </c>
      <c r="B325" s="1326" t="s">
        <v>1700</v>
      </c>
      <c r="C325" s="1326" t="s">
        <v>2561</v>
      </c>
      <c r="D325" s="1326" t="s">
        <v>2562</v>
      </c>
      <c r="E325" s="1326" t="s">
        <v>143</v>
      </c>
      <c r="F325" s="1326" t="s">
        <v>2555</v>
      </c>
      <c r="G325" s="1326" t="s">
        <v>2556</v>
      </c>
      <c r="H325" s="1326" t="s">
        <v>2541</v>
      </c>
      <c r="I325" s="1326" t="s">
        <v>712</v>
      </c>
      <c r="J325" s="1326" t="s">
        <v>2230</v>
      </c>
      <c r="K325" s="1326" t="s">
        <v>2071</v>
      </c>
      <c r="L325" s="1326" t="s">
        <v>2061</v>
      </c>
      <c r="M325" s="1400"/>
      <c r="N325" s="1400"/>
      <c r="O325" s="1400"/>
      <c r="P325" s="1400"/>
      <c r="Q325" s="1400"/>
      <c r="R325" s="1400"/>
      <c r="S325" s="1400"/>
      <c r="T325" s="1400"/>
      <c r="U325" s="1400"/>
      <c r="V325" s="1400"/>
      <c r="W325" s="1400"/>
      <c r="X325" s="1400"/>
      <c r="Y325" s="1685">
        <v>43312</v>
      </c>
      <c r="Z325" s="1326" t="s">
        <v>2062</v>
      </c>
      <c r="AA325" s="1683">
        <v>16000</v>
      </c>
      <c r="AB325" s="1683">
        <v>16000</v>
      </c>
      <c r="AC325" s="1683">
        <v>0</v>
      </c>
      <c r="AD325" s="1685">
        <v>43350</v>
      </c>
      <c r="AE325" s="1326" t="s">
        <v>2084</v>
      </c>
      <c r="AF325" s="1326" t="s">
        <v>2064</v>
      </c>
      <c r="AG325" s="1410"/>
      <c r="AH325" s="1683">
        <v>50654.74</v>
      </c>
      <c r="AI325" s="1683">
        <v>50654.74</v>
      </c>
      <c r="AJ325" s="1683">
        <v>3371.72</v>
      </c>
      <c r="AK325" s="1683">
        <v>3371.72</v>
      </c>
      <c r="AL325" s="1683">
        <v>0</v>
      </c>
      <c r="AM325" s="1685">
        <v>43350</v>
      </c>
      <c r="AN325" s="1683">
        <v>50654.74</v>
      </c>
      <c r="AO325" s="1683">
        <v>50654.74</v>
      </c>
      <c r="AP325" s="1683">
        <v>19371.72</v>
      </c>
      <c r="AQ325" s="1683">
        <v>19371.72</v>
      </c>
      <c r="AR325" s="1683">
        <v>0</v>
      </c>
      <c r="AS325" s="1683">
        <v>31283.02</v>
      </c>
      <c r="AT325" s="1683">
        <v>22790.23</v>
      </c>
      <c r="AU325" s="1683">
        <v>8492.7900000000009</v>
      </c>
      <c r="AV325" s="1683">
        <v>0</v>
      </c>
      <c r="AW325" s="1683">
        <v>0</v>
      </c>
      <c r="AX325" s="1400"/>
      <c r="AY325" s="1400"/>
      <c r="AZ325" s="1400"/>
      <c r="BA325" s="1682"/>
      <c r="BB325" s="1682"/>
      <c r="BC325" s="1400"/>
      <c r="BD325" s="1400"/>
      <c r="BE325" s="1683">
        <v>50654.74</v>
      </c>
      <c r="BF325" s="1683">
        <v>50654.74</v>
      </c>
      <c r="BG325" s="1683">
        <v>19371.72</v>
      </c>
      <c r="BH325" s="1683">
        <v>19371.72</v>
      </c>
      <c r="BI325" s="1683">
        <v>0</v>
      </c>
      <c r="BJ325" s="1683">
        <v>31283.02</v>
      </c>
      <c r="BK325" s="1683">
        <v>22790.23</v>
      </c>
      <c r="BL325" s="1683">
        <v>8492.7900000000009</v>
      </c>
      <c r="BM325" s="1683">
        <v>0</v>
      </c>
      <c r="BN325" s="1683">
        <v>0</v>
      </c>
      <c r="BO325" s="1685">
        <v>43403</v>
      </c>
      <c r="BP325" s="1683">
        <v>50654.74</v>
      </c>
      <c r="BQ325" s="1683">
        <v>50654.74</v>
      </c>
      <c r="BR325" s="1683">
        <v>19371.72</v>
      </c>
      <c r="BS325" s="1683">
        <v>19371.72</v>
      </c>
      <c r="BT325" s="1683">
        <v>0</v>
      </c>
      <c r="BU325" s="1683">
        <v>31283.02</v>
      </c>
      <c r="BV325" s="1683">
        <v>22790.23</v>
      </c>
      <c r="BW325" s="1683">
        <v>0</v>
      </c>
      <c r="BX325" s="1683">
        <v>0</v>
      </c>
      <c r="BY325" s="1683">
        <v>0</v>
      </c>
      <c r="BZ325" s="1683">
        <v>0</v>
      </c>
      <c r="CA325" s="1400"/>
      <c r="CB325" s="1682"/>
      <c r="CC325" s="1682"/>
      <c r="CD325" s="1400"/>
      <c r="CE325" s="1400"/>
      <c r="CF325" s="1683">
        <v>0</v>
      </c>
      <c r="CG325" s="1683">
        <v>0</v>
      </c>
      <c r="CH325" s="1683">
        <v>0</v>
      </c>
      <c r="CI325" s="1683">
        <v>0</v>
      </c>
      <c r="CJ325" s="1683">
        <v>446.85</v>
      </c>
      <c r="CK325" s="1683">
        <v>446.85</v>
      </c>
      <c r="CL325" s="1682"/>
      <c r="CM325" s="1683">
        <v>0</v>
      </c>
      <c r="CN325" s="1683">
        <v>0</v>
      </c>
      <c r="CO325" s="1683">
        <v>0</v>
      </c>
      <c r="CP325" s="1683">
        <v>0</v>
      </c>
      <c r="CQ325" s="1683">
        <v>0</v>
      </c>
      <c r="CR325" s="1683">
        <v>0</v>
      </c>
      <c r="CS325" s="1683">
        <v>0</v>
      </c>
      <c r="CT325" s="1683">
        <v>0</v>
      </c>
      <c r="CU325" s="1683">
        <v>0</v>
      </c>
      <c r="CV325" s="1683">
        <v>0</v>
      </c>
      <c r="CW325" s="1682"/>
      <c r="CX325" s="1400"/>
      <c r="CY325" s="1400"/>
      <c r="CZ325" s="1400"/>
      <c r="DA325" s="1400"/>
      <c r="DB325" s="1682"/>
      <c r="DC325" s="1326"/>
      <c r="DD325" s="1683">
        <v>0</v>
      </c>
      <c r="DE325" s="1400"/>
      <c r="DF325" s="1400"/>
      <c r="DG325" s="1683">
        <v>0</v>
      </c>
      <c r="DH325" s="1683">
        <v>0</v>
      </c>
    </row>
    <row r="326" spans="1:112" ht="56.25">
      <c r="A326" s="1326" t="s">
        <v>2338</v>
      </c>
      <c r="B326" s="1326" t="s">
        <v>1700</v>
      </c>
      <c r="C326" s="1326" t="s">
        <v>2561</v>
      </c>
      <c r="D326" s="1326" t="s">
        <v>2562</v>
      </c>
      <c r="E326" s="1326" t="s">
        <v>143</v>
      </c>
      <c r="F326" s="1326" t="s">
        <v>2555</v>
      </c>
      <c r="G326" s="1326" t="s">
        <v>2556</v>
      </c>
      <c r="H326" s="1326" t="s">
        <v>2541</v>
      </c>
      <c r="I326" s="1326" t="s">
        <v>712</v>
      </c>
      <c r="J326" s="1326" t="s">
        <v>2230</v>
      </c>
      <c r="K326" s="1326" t="s">
        <v>2071</v>
      </c>
      <c r="L326" s="1326" t="s">
        <v>2061</v>
      </c>
      <c r="M326" s="1400"/>
      <c r="N326" s="1400"/>
      <c r="O326" s="1400"/>
      <c r="P326" s="1400"/>
      <c r="Q326" s="1400"/>
      <c r="R326" s="1400"/>
      <c r="S326" s="1400"/>
      <c r="T326" s="1400"/>
      <c r="U326" s="1400"/>
      <c r="V326" s="1400"/>
      <c r="W326" s="1400"/>
      <c r="X326" s="1400"/>
      <c r="Y326" s="1685">
        <v>43388</v>
      </c>
      <c r="Z326" s="1326" t="s">
        <v>2062</v>
      </c>
      <c r="AA326" s="1683">
        <v>31916.78</v>
      </c>
      <c r="AB326" s="1683">
        <v>31916.78</v>
      </c>
      <c r="AC326" s="1683">
        <v>0</v>
      </c>
      <c r="AD326" s="1685">
        <v>43417</v>
      </c>
      <c r="AE326" s="1326" t="s">
        <v>2304</v>
      </c>
      <c r="AF326" s="1326" t="s">
        <v>2064</v>
      </c>
      <c r="AG326" s="1410"/>
      <c r="AH326" s="1683">
        <v>83458.58</v>
      </c>
      <c r="AI326" s="1683">
        <v>83458.58</v>
      </c>
      <c r="AJ326" s="1683">
        <v>0</v>
      </c>
      <c r="AK326" s="1683">
        <v>0</v>
      </c>
      <c r="AL326" s="1683">
        <v>0</v>
      </c>
      <c r="AM326" s="1685">
        <v>43417</v>
      </c>
      <c r="AN326" s="1683">
        <v>83458.58</v>
      </c>
      <c r="AO326" s="1683">
        <v>83458.58</v>
      </c>
      <c r="AP326" s="1683">
        <v>31916.78</v>
      </c>
      <c r="AQ326" s="1683">
        <v>31916.78</v>
      </c>
      <c r="AR326" s="1683">
        <v>0</v>
      </c>
      <c r="AS326" s="1683">
        <v>51541.8</v>
      </c>
      <c r="AT326" s="1683">
        <v>37549.11</v>
      </c>
      <c r="AU326" s="1683">
        <v>13992.69</v>
      </c>
      <c r="AV326" s="1683">
        <v>0</v>
      </c>
      <c r="AW326" s="1683">
        <v>0</v>
      </c>
      <c r="AX326" s="1400"/>
      <c r="AY326" s="1400"/>
      <c r="AZ326" s="1400"/>
      <c r="BA326" s="1682"/>
      <c r="BB326" s="1682"/>
      <c r="BC326" s="1400"/>
      <c r="BD326" s="1400"/>
      <c r="BE326" s="1683">
        <v>83458.58</v>
      </c>
      <c r="BF326" s="1683">
        <v>83458.58</v>
      </c>
      <c r="BG326" s="1683">
        <v>31916.78</v>
      </c>
      <c r="BH326" s="1683">
        <v>31916.78</v>
      </c>
      <c r="BI326" s="1683">
        <v>0</v>
      </c>
      <c r="BJ326" s="1683">
        <v>51541.8</v>
      </c>
      <c r="BK326" s="1683">
        <v>37549.11</v>
      </c>
      <c r="BL326" s="1683">
        <v>13992.69</v>
      </c>
      <c r="BM326" s="1683">
        <v>0</v>
      </c>
      <c r="BN326" s="1683">
        <v>0</v>
      </c>
      <c r="BO326" s="1685">
        <v>43453</v>
      </c>
      <c r="BP326" s="1683">
        <v>83458.58</v>
      </c>
      <c r="BQ326" s="1683">
        <v>83458.58</v>
      </c>
      <c r="BR326" s="1683">
        <v>31916.78</v>
      </c>
      <c r="BS326" s="1683">
        <v>31916.78</v>
      </c>
      <c r="BT326" s="1683">
        <v>0</v>
      </c>
      <c r="BU326" s="1683">
        <v>51541.8</v>
      </c>
      <c r="BV326" s="1683">
        <v>37549.11</v>
      </c>
      <c r="BW326" s="1683">
        <v>0</v>
      </c>
      <c r="BX326" s="1683">
        <v>0</v>
      </c>
      <c r="BY326" s="1683">
        <v>0</v>
      </c>
      <c r="BZ326" s="1683">
        <v>0</v>
      </c>
      <c r="CA326" s="1400"/>
      <c r="CB326" s="1682"/>
      <c r="CC326" s="1682"/>
      <c r="CD326" s="1400"/>
      <c r="CE326" s="1400"/>
      <c r="CF326" s="1683">
        <v>0</v>
      </c>
      <c r="CG326" s="1683">
        <v>0</v>
      </c>
      <c r="CH326" s="1683">
        <v>0</v>
      </c>
      <c r="CI326" s="1683">
        <v>0</v>
      </c>
      <c r="CJ326" s="1683">
        <v>736.23</v>
      </c>
      <c r="CK326" s="1683">
        <v>736.23</v>
      </c>
      <c r="CL326" s="1682"/>
      <c r="CM326" s="1683">
        <v>0</v>
      </c>
      <c r="CN326" s="1683">
        <v>0</v>
      </c>
      <c r="CO326" s="1683">
        <v>0</v>
      </c>
      <c r="CP326" s="1683">
        <v>0</v>
      </c>
      <c r="CQ326" s="1683">
        <v>0</v>
      </c>
      <c r="CR326" s="1683">
        <v>0</v>
      </c>
      <c r="CS326" s="1683">
        <v>0</v>
      </c>
      <c r="CT326" s="1683">
        <v>0</v>
      </c>
      <c r="CU326" s="1683">
        <v>0</v>
      </c>
      <c r="CV326" s="1683">
        <v>0</v>
      </c>
      <c r="CW326" s="1682"/>
      <c r="CX326" s="1400"/>
      <c r="CY326" s="1400"/>
      <c r="CZ326" s="1400"/>
      <c r="DA326" s="1400"/>
      <c r="DB326" s="1682"/>
      <c r="DC326" s="1326"/>
      <c r="DD326" s="1683">
        <v>0</v>
      </c>
      <c r="DE326" s="1400"/>
      <c r="DF326" s="1400"/>
      <c r="DG326" s="1683">
        <v>0</v>
      </c>
      <c r="DH326" s="1683">
        <v>0</v>
      </c>
    </row>
    <row r="327" spans="1:112" ht="78.75">
      <c r="A327" s="1326" t="s">
        <v>2340</v>
      </c>
      <c r="B327" s="1326" t="s">
        <v>1700</v>
      </c>
      <c r="C327" s="1326" t="s">
        <v>2561</v>
      </c>
      <c r="D327" s="1326" t="s">
        <v>2562</v>
      </c>
      <c r="E327" s="1326" t="s">
        <v>143</v>
      </c>
      <c r="F327" s="1326" t="s">
        <v>2555</v>
      </c>
      <c r="G327" s="1326" t="s">
        <v>2556</v>
      </c>
      <c r="H327" s="1326" t="s">
        <v>2541</v>
      </c>
      <c r="I327" s="1326" t="s">
        <v>713</v>
      </c>
      <c r="J327" s="1326" t="s">
        <v>2243</v>
      </c>
      <c r="K327" s="1326" t="s">
        <v>2110</v>
      </c>
      <c r="L327" s="1326" t="s">
        <v>2061</v>
      </c>
      <c r="M327" s="1683">
        <v>352401</v>
      </c>
      <c r="N327" s="1683">
        <v>0</v>
      </c>
      <c r="O327" s="1683">
        <v>352401</v>
      </c>
      <c r="P327" s="1683">
        <v>352401</v>
      </c>
      <c r="Q327" s="1683">
        <v>299540.84999999998</v>
      </c>
      <c r="R327" s="1683">
        <v>299540.84999999998</v>
      </c>
      <c r="S327" s="1683">
        <v>0</v>
      </c>
      <c r="T327" s="1683">
        <v>52860.15</v>
      </c>
      <c r="U327" s="1683">
        <v>0</v>
      </c>
      <c r="V327" s="1683">
        <v>52860.15</v>
      </c>
      <c r="W327" s="1683">
        <v>0</v>
      </c>
      <c r="X327" s="1683">
        <v>0</v>
      </c>
      <c r="Y327" s="1682"/>
      <c r="Z327" s="1326"/>
      <c r="AA327" s="1683">
        <v>23141.32</v>
      </c>
      <c r="AB327" s="1683">
        <v>23141.32</v>
      </c>
      <c r="AC327" s="1683">
        <v>0</v>
      </c>
      <c r="AD327" s="1682"/>
      <c r="AE327" s="1326"/>
      <c r="AF327" s="1326"/>
      <c r="AG327" s="1410"/>
      <c r="AH327" s="1683">
        <v>188226.44</v>
      </c>
      <c r="AI327" s="1683">
        <v>228226.44</v>
      </c>
      <c r="AJ327" s="1683">
        <v>176851.15</v>
      </c>
      <c r="AK327" s="1683">
        <v>176851.15</v>
      </c>
      <c r="AL327" s="1683">
        <v>0</v>
      </c>
      <c r="AM327" s="1682"/>
      <c r="AN327" s="1683">
        <v>188226.44</v>
      </c>
      <c r="AO327" s="1683">
        <v>188226.44</v>
      </c>
      <c r="AP327" s="1683">
        <v>159992.47</v>
      </c>
      <c r="AQ327" s="1683">
        <v>159992.47</v>
      </c>
      <c r="AR327" s="1683">
        <v>0</v>
      </c>
      <c r="AS327" s="1683">
        <v>28233.97</v>
      </c>
      <c r="AT327" s="1683">
        <v>0</v>
      </c>
      <c r="AU327" s="1683">
        <v>28233.97</v>
      </c>
      <c r="AV327" s="1683">
        <v>0</v>
      </c>
      <c r="AW327" s="1683">
        <v>0</v>
      </c>
      <c r="AX327" s="1683">
        <v>0</v>
      </c>
      <c r="AY327" s="1683">
        <v>0</v>
      </c>
      <c r="AZ327" s="1683">
        <v>0</v>
      </c>
      <c r="BA327" s="1682"/>
      <c r="BB327" s="1682"/>
      <c r="BC327" s="1683">
        <v>0</v>
      </c>
      <c r="BD327" s="1683">
        <v>0</v>
      </c>
      <c r="BE327" s="1683">
        <v>188226.44</v>
      </c>
      <c r="BF327" s="1683">
        <v>188226.44</v>
      </c>
      <c r="BG327" s="1683">
        <v>159992.47</v>
      </c>
      <c r="BH327" s="1683">
        <v>159992.47</v>
      </c>
      <c r="BI327" s="1683">
        <v>0</v>
      </c>
      <c r="BJ327" s="1683">
        <v>28233.97</v>
      </c>
      <c r="BK327" s="1683">
        <v>0</v>
      </c>
      <c r="BL327" s="1683">
        <v>28233.97</v>
      </c>
      <c r="BM327" s="1683">
        <v>0</v>
      </c>
      <c r="BN327" s="1683">
        <v>0</v>
      </c>
      <c r="BO327" s="1682"/>
      <c r="BP327" s="1683">
        <v>188226.44</v>
      </c>
      <c r="BQ327" s="1683">
        <v>188226.44</v>
      </c>
      <c r="BR327" s="1683">
        <v>159992.47</v>
      </c>
      <c r="BS327" s="1683">
        <v>159992.47</v>
      </c>
      <c r="BT327" s="1683">
        <v>0</v>
      </c>
      <c r="BU327" s="1683">
        <v>28233.97</v>
      </c>
      <c r="BV327" s="1683">
        <v>0</v>
      </c>
      <c r="BW327" s="1683">
        <v>0</v>
      </c>
      <c r="BX327" s="1683">
        <v>0</v>
      </c>
      <c r="BY327" s="1683">
        <v>0</v>
      </c>
      <c r="BZ327" s="1683">
        <v>0</v>
      </c>
      <c r="CA327" s="1683">
        <v>0</v>
      </c>
      <c r="CB327" s="1682"/>
      <c r="CC327" s="1682"/>
      <c r="CD327" s="1683">
        <v>0</v>
      </c>
      <c r="CE327" s="1683">
        <v>0</v>
      </c>
      <c r="CF327" s="1683">
        <v>0</v>
      </c>
      <c r="CG327" s="1683">
        <v>0</v>
      </c>
      <c r="CH327" s="1683">
        <v>0</v>
      </c>
      <c r="CI327" s="1683">
        <v>0</v>
      </c>
      <c r="CJ327" s="1683">
        <v>0</v>
      </c>
      <c r="CK327" s="1683">
        <v>0</v>
      </c>
      <c r="CL327" s="1682"/>
      <c r="CM327" s="1683">
        <v>0</v>
      </c>
      <c r="CN327" s="1683">
        <v>0</v>
      </c>
      <c r="CO327" s="1683">
        <v>0</v>
      </c>
      <c r="CP327" s="1683">
        <v>0</v>
      </c>
      <c r="CQ327" s="1683">
        <v>0</v>
      </c>
      <c r="CR327" s="1683">
        <v>0</v>
      </c>
      <c r="CS327" s="1683">
        <v>0</v>
      </c>
      <c r="CT327" s="1683">
        <v>0</v>
      </c>
      <c r="CU327" s="1683">
        <v>0</v>
      </c>
      <c r="CV327" s="1683">
        <v>0</v>
      </c>
      <c r="CW327" s="1682"/>
      <c r="CX327" s="1683">
        <v>0</v>
      </c>
      <c r="CY327" s="1683">
        <v>0</v>
      </c>
      <c r="CZ327" s="1683">
        <v>0</v>
      </c>
      <c r="DA327" s="1683">
        <v>0</v>
      </c>
      <c r="DB327" s="1682"/>
      <c r="DC327" s="1326"/>
      <c r="DD327" s="1683">
        <v>0</v>
      </c>
      <c r="DE327" s="1683">
        <v>0</v>
      </c>
      <c r="DF327" s="1683">
        <v>0</v>
      </c>
      <c r="DG327" s="1683">
        <v>0</v>
      </c>
      <c r="DH327" s="1683">
        <v>0</v>
      </c>
    </row>
    <row r="328" spans="1:112" ht="78.75">
      <c r="A328" s="1326" t="s">
        <v>2342</v>
      </c>
      <c r="B328" s="1326" t="s">
        <v>1700</v>
      </c>
      <c r="C328" s="1326" t="s">
        <v>2561</v>
      </c>
      <c r="D328" s="1326" t="s">
        <v>2562</v>
      </c>
      <c r="E328" s="1326" t="s">
        <v>143</v>
      </c>
      <c r="F328" s="1326" t="s">
        <v>2555</v>
      </c>
      <c r="G328" s="1326" t="s">
        <v>2556</v>
      </c>
      <c r="H328" s="1326" t="s">
        <v>2541</v>
      </c>
      <c r="I328" s="1326" t="s">
        <v>713</v>
      </c>
      <c r="J328" s="1326" t="s">
        <v>2243</v>
      </c>
      <c r="K328" s="1326" t="s">
        <v>2110</v>
      </c>
      <c r="L328" s="1326" t="s">
        <v>2061</v>
      </c>
      <c r="M328" s="1400"/>
      <c r="N328" s="1400"/>
      <c r="O328" s="1400"/>
      <c r="P328" s="1400"/>
      <c r="Q328" s="1400"/>
      <c r="R328" s="1400"/>
      <c r="S328" s="1400"/>
      <c r="T328" s="1400"/>
      <c r="U328" s="1400"/>
      <c r="V328" s="1400"/>
      <c r="W328" s="1400"/>
      <c r="X328" s="1400"/>
      <c r="Y328" s="1682"/>
      <c r="Z328" s="1326"/>
      <c r="AA328" s="1683">
        <v>0</v>
      </c>
      <c r="AB328" s="1683">
        <v>0</v>
      </c>
      <c r="AC328" s="1683">
        <v>0</v>
      </c>
      <c r="AD328" s="1682"/>
      <c r="AE328" s="1326" t="s">
        <v>2171</v>
      </c>
      <c r="AF328" s="1326"/>
      <c r="AG328" s="1410" t="s">
        <v>2172</v>
      </c>
      <c r="AH328" s="1683">
        <v>0</v>
      </c>
      <c r="AI328" s="1683">
        <v>0</v>
      </c>
      <c r="AJ328" s="1683">
        <v>0</v>
      </c>
      <c r="AK328" s="1683">
        <v>0</v>
      </c>
      <c r="AL328" s="1683">
        <v>0</v>
      </c>
      <c r="AM328" s="1685">
        <v>43355</v>
      </c>
      <c r="AN328" s="1683">
        <v>-160.68</v>
      </c>
      <c r="AO328" s="1683">
        <v>-160.68</v>
      </c>
      <c r="AP328" s="1683">
        <v>-136.58000000000001</v>
      </c>
      <c r="AQ328" s="1683">
        <v>-136.58000000000001</v>
      </c>
      <c r="AR328" s="1683">
        <v>0</v>
      </c>
      <c r="AS328" s="1683">
        <v>-24.1</v>
      </c>
      <c r="AT328" s="1683">
        <v>0</v>
      </c>
      <c r="AU328" s="1683">
        <v>-24.1</v>
      </c>
      <c r="AV328" s="1683">
        <v>0</v>
      </c>
      <c r="AW328" s="1683">
        <v>0</v>
      </c>
      <c r="AX328" s="1400"/>
      <c r="AY328" s="1400"/>
      <c r="AZ328" s="1400"/>
      <c r="BA328" s="1682"/>
      <c r="BB328" s="1682"/>
      <c r="BC328" s="1400"/>
      <c r="BD328" s="1400"/>
      <c r="BE328" s="1683">
        <v>-160.68</v>
      </c>
      <c r="BF328" s="1683">
        <v>-160.68</v>
      </c>
      <c r="BG328" s="1683">
        <v>-136.58000000000001</v>
      </c>
      <c r="BH328" s="1683">
        <v>-136.58000000000001</v>
      </c>
      <c r="BI328" s="1683">
        <v>0</v>
      </c>
      <c r="BJ328" s="1683">
        <v>-24.1</v>
      </c>
      <c r="BK328" s="1683">
        <v>0</v>
      </c>
      <c r="BL328" s="1683">
        <v>-24.1</v>
      </c>
      <c r="BM328" s="1683">
        <v>0</v>
      </c>
      <c r="BN328" s="1683">
        <v>0</v>
      </c>
      <c r="BO328" s="1685">
        <v>43403</v>
      </c>
      <c r="BP328" s="1683">
        <v>-160.68</v>
      </c>
      <c r="BQ328" s="1683">
        <v>-160.68</v>
      </c>
      <c r="BR328" s="1683">
        <v>-136.58000000000001</v>
      </c>
      <c r="BS328" s="1683">
        <v>-136.58000000000001</v>
      </c>
      <c r="BT328" s="1683">
        <v>0</v>
      </c>
      <c r="BU328" s="1683">
        <v>-24.1</v>
      </c>
      <c r="BV328" s="1683">
        <v>0</v>
      </c>
      <c r="BW328" s="1683">
        <v>0</v>
      </c>
      <c r="BX328" s="1683">
        <v>0</v>
      </c>
      <c r="BY328" s="1683">
        <v>0</v>
      </c>
      <c r="BZ328" s="1683">
        <v>0</v>
      </c>
      <c r="CA328" s="1400"/>
      <c r="CB328" s="1682"/>
      <c r="CC328" s="1682"/>
      <c r="CD328" s="1400"/>
      <c r="CE328" s="1400"/>
      <c r="CF328" s="1683">
        <v>0</v>
      </c>
      <c r="CG328" s="1683">
        <v>0</v>
      </c>
      <c r="CH328" s="1683">
        <v>0</v>
      </c>
      <c r="CI328" s="1683">
        <v>0</v>
      </c>
      <c r="CJ328" s="1683">
        <v>0</v>
      </c>
      <c r="CK328" s="1683">
        <v>0</v>
      </c>
      <c r="CL328" s="1682"/>
      <c r="CM328" s="1683">
        <v>0</v>
      </c>
      <c r="CN328" s="1683">
        <v>0</v>
      </c>
      <c r="CO328" s="1683">
        <v>0</v>
      </c>
      <c r="CP328" s="1683">
        <v>0</v>
      </c>
      <c r="CQ328" s="1683">
        <v>0</v>
      </c>
      <c r="CR328" s="1683">
        <v>0</v>
      </c>
      <c r="CS328" s="1683">
        <v>0</v>
      </c>
      <c r="CT328" s="1683">
        <v>0</v>
      </c>
      <c r="CU328" s="1683">
        <v>0</v>
      </c>
      <c r="CV328" s="1683">
        <v>0</v>
      </c>
      <c r="CW328" s="1682"/>
      <c r="CX328" s="1400"/>
      <c r="CY328" s="1400"/>
      <c r="CZ328" s="1400"/>
      <c r="DA328" s="1400"/>
      <c r="DB328" s="1682"/>
      <c r="DC328" s="1326"/>
      <c r="DD328" s="1683">
        <v>0</v>
      </c>
      <c r="DE328" s="1400"/>
      <c r="DF328" s="1400"/>
      <c r="DG328" s="1683">
        <v>0</v>
      </c>
      <c r="DH328" s="1683">
        <v>0</v>
      </c>
    </row>
    <row r="329" spans="1:112" ht="78.75">
      <c r="A329" s="1326" t="s">
        <v>2344</v>
      </c>
      <c r="B329" s="1326" t="s">
        <v>1700</v>
      </c>
      <c r="C329" s="1326" t="s">
        <v>2561</v>
      </c>
      <c r="D329" s="1326" t="s">
        <v>2562</v>
      </c>
      <c r="E329" s="1326" t="s">
        <v>143</v>
      </c>
      <c r="F329" s="1326" t="s">
        <v>2555</v>
      </c>
      <c r="G329" s="1326" t="s">
        <v>2556</v>
      </c>
      <c r="H329" s="1326" t="s">
        <v>2541</v>
      </c>
      <c r="I329" s="1326" t="s">
        <v>713</v>
      </c>
      <c r="J329" s="1326" t="s">
        <v>2243</v>
      </c>
      <c r="K329" s="1326" t="s">
        <v>2110</v>
      </c>
      <c r="L329" s="1326" t="s">
        <v>2061</v>
      </c>
      <c r="M329" s="1400"/>
      <c r="N329" s="1400"/>
      <c r="O329" s="1400"/>
      <c r="P329" s="1400"/>
      <c r="Q329" s="1400"/>
      <c r="R329" s="1400"/>
      <c r="S329" s="1400"/>
      <c r="T329" s="1400"/>
      <c r="U329" s="1400"/>
      <c r="V329" s="1400"/>
      <c r="W329" s="1400"/>
      <c r="X329" s="1400"/>
      <c r="Y329" s="1682"/>
      <c r="Z329" s="1326"/>
      <c r="AA329" s="1683">
        <v>0</v>
      </c>
      <c r="AB329" s="1683">
        <v>0</v>
      </c>
      <c r="AC329" s="1683">
        <v>0</v>
      </c>
      <c r="AD329" s="1682"/>
      <c r="AE329" s="1326" t="s">
        <v>2171</v>
      </c>
      <c r="AF329" s="1326" t="s">
        <v>2174</v>
      </c>
      <c r="AG329" s="1410" t="s">
        <v>2172</v>
      </c>
      <c r="AH329" s="1683">
        <v>-160.68</v>
      </c>
      <c r="AI329" s="1683">
        <v>-160.68</v>
      </c>
      <c r="AJ329" s="1683">
        <v>0</v>
      </c>
      <c r="AK329" s="1683">
        <v>0</v>
      </c>
      <c r="AL329" s="1683">
        <v>0</v>
      </c>
      <c r="AM329" s="1682"/>
      <c r="AN329" s="1683">
        <v>0</v>
      </c>
      <c r="AO329" s="1683">
        <v>0</v>
      </c>
      <c r="AP329" s="1683">
        <v>0</v>
      </c>
      <c r="AQ329" s="1683">
        <v>0</v>
      </c>
      <c r="AR329" s="1683">
        <v>0</v>
      </c>
      <c r="AS329" s="1683">
        <v>0</v>
      </c>
      <c r="AT329" s="1683">
        <v>0</v>
      </c>
      <c r="AU329" s="1683">
        <v>0</v>
      </c>
      <c r="AV329" s="1683">
        <v>0</v>
      </c>
      <c r="AW329" s="1683">
        <v>0</v>
      </c>
      <c r="AX329" s="1400"/>
      <c r="AY329" s="1400"/>
      <c r="AZ329" s="1400"/>
      <c r="BA329" s="1682"/>
      <c r="BB329" s="1682"/>
      <c r="BC329" s="1400"/>
      <c r="BD329" s="1400"/>
      <c r="BE329" s="1683">
        <v>0</v>
      </c>
      <c r="BF329" s="1683">
        <v>0</v>
      </c>
      <c r="BG329" s="1683">
        <v>0</v>
      </c>
      <c r="BH329" s="1683">
        <v>0</v>
      </c>
      <c r="BI329" s="1683">
        <v>0</v>
      </c>
      <c r="BJ329" s="1683">
        <v>0</v>
      </c>
      <c r="BK329" s="1683">
        <v>0</v>
      </c>
      <c r="BL329" s="1683">
        <v>0</v>
      </c>
      <c r="BM329" s="1683">
        <v>0</v>
      </c>
      <c r="BN329" s="1683">
        <v>0</v>
      </c>
      <c r="BO329" s="1682"/>
      <c r="BP329" s="1683">
        <v>0</v>
      </c>
      <c r="BQ329" s="1683">
        <v>0</v>
      </c>
      <c r="BR329" s="1683">
        <v>0</v>
      </c>
      <c r="BS329" s="1683">
        <v>0</v>
      </c>
      <c r="BT329" s="1683">
        <v>0</v>
      </c>
      <c r="BU329" s="1683">
        <v>0</v>
      </c>
      <c r="BV329" s="1683">
        <v>0</v>
      </c>
      <c r="BW329" s="1683">
        <v>0</v>
      </c>
      <c r="BX329" s="1683">
        <v>0</v>
      </c>
      <c r="BY329" s="1683">
        <v>0</v>
      </c>
      <c r="BZ329" s="1683">
        <v>0</v>
      </c>
      <c r="CA329" s="1400"/>
      <c r="CB329" s="1682"/>
      <c r="CC329" s="1682"/>
      <c r="CD329" s="1400"/>
      <c r="CE329" s="1400"/>
      <c r="CF329" s="1683">
        <v>0</v>
      </c>
      <c r="CG329" s="1683">
        <v>0</v>
      </c>
      <c r="CH329" s="1683">
        <v>0</v>
      </c>
      <c r="CI329" s="1683">
        <v>0</v>
      </c>
      <c r="CJ329" s="1683">
        <v>0</v>
      </c>
      <c r="CK329" s="1683">
        <v>0</v>
      </c>
      <c r="CL329" s="1682"/>
      <c r="CM329" s="1683">
        <v>0</v>
      </c>
      <c r="CN329" s="1683">
        <v>0</v>
      </c>
      <c r="CO329" s="1683">
        <v>0</v>
      </c>
      <c r="CP329" s="1683">
        <v>0</v>
      </c>
      <c r="CQ329" s="1683">
        <v>0</v>
      </c>
      <c r="CR329" s="1683">
        <v>0</v>
      </c>
      <c r="CS329" s="1683">
        <v>0</v>
      </c>
      <c r="CT329" s="1683">
        <v>0</v>
      </c>
      <c r="CU329" s="1683">
        <v>0</v>
      </c>
      <c r="CV329" s="1683">
        <v>0</v>
      </c>
      <c r="CW329" s="1682"/>
      <c r="CX329" s="1400"/>
      <c r="CY329" s="1400"/>
      <c r="CZ329" s="1400"/>
      <c r="DA329" s="1400"/>
      <c r="DB329" s="1682"/>
      <c r="DC329" s="1326"/>
      <c r="DD329" s="1683">
        <v>0</v>
      </c>
      <c r="DE329" s="1400"/>
      <c r="DF329" s="1400"/>
      <c r="DG329" s="1683">
        <v>0</v>
      </c>
      <c r="DH329" s="1683">
        <v>0</v>
      </c>
    </row>
    <row r="330" spans="1:112" ht="78.75">
      <c r="A330" s="1326" t="s">
        <v>2345</v>
      </c>
      <c r="B330" s="1326" t="s">
        <v>1700</v>
      </c>
      <c r="C330" s="1326" t="s">
        <v>2561</v>
      </c>
      <c r="D330" s="1326" t="s">
        <v>2562</v>
      </c>
      <c r="E330" s="1326" t="s">
        <v>143</v>
      </c>
      <c r="F330" s="1326" t="s">
        <v>2555</v>
      </c>
      <c r="G330" s="1326" t="s">
        <v>2556</v>
      </c>
      <c r="H330" s="1326" t="s">
        <v>2541</v>
      </c>
      <c r="I330" s="1326" t="s">
        <v>713</v>
      </c>
      <c r="J330" s="1326" t="s">
        <v>2243</v>
      </c>
      <c r="K330" s="1326" t="s">
        <v>2110</v>
      </c>
      <c r="L330" s="1326" t="s">
        <v>2061</v>
      </c>
      <c r="M330" s="1400"/>
      <c r="N330" s="1400"/>
      <c r="O330" s="1400"/>
      <c r="P330" s="1400"/>
      <c r="Q330" s="1400"/>
      <c r="R330" s="1400"/>
      <c r="S330" s="1400"/>
      <c r="T330" s="1400"/>
      <c r="U330" s="1400"/>
      <c r="V330" s="1400"/>
      <c r="W330" s="1400"/>
      <c r="X330" s="1400"/>
      <c r="Y330" s="1685">
        <v>43083</v>
      </c>
      <c r="Z330" s="1326" t="s">
        <v>2096</v>
      </c>
      <c r="AA330" s="1683">
        <v>0</v>
      </c>
      <c r="AB330" s="1683">
        <v>0</v>
      </c>
      <c r="AC330" s="1683">
        <v>0</v>
      </c>
      <c r="AD330" s="1685">
        <v>43096</v>
      </c>
      <c r="AE330" s="1326" t="s">
        <v>2066</v>
      </c>
      <c r="AF330" s="1326" t="s">
        <v>2064</v>
      </c>
      <c r="AG330" s="1410"/>
      <c r="AH330" s="1683">
        <v>0</v>
      </c>
      <c r="AI330" s="1683">
        <v>20000</v>
      </c>
      <c r="AJ330" s="1683">
        <v>20000</v>
      </c>
      <c r="AK330" s="1683">
        <v>20000</v>
      </c>
      <c r="AL330" s="1683">
        <v>0</v>
      </c>
      <c r="AM330" s="1682"/>
      <c r="AN330" s="1683">
        <v>0</v>
      </c>
      <c r="AO330" s="1683">
        <v>0</v>
      </c>
      <c r="AP330" s="1683">
        <v>0</v>
      </c>
      <c r="AQ330" s="1683">
        <v>0</v>
      </c>
      <c r="AR330" s="1683">
        <v>0</v>
      </c>
      <c r="AS330" s="1683">
        <v>0</v>
      </c>
      <c r="AT330" s="1683">
        <v>0</v>
      </c>
      <c r="AU330" s="1683">
        <v>0</v>
      </c>
      <c r="AV330" s="1683">
        <v>0</v>
      </c>
      <c r="AW330" s="1683">
        <v>0</v>
      </c>
      <c r="AX330" s="1400"/>
      <c r="AY330" s="1400"/>
      <c r="AZ330" s="1400"/>
      <c r="BA330" s="1682"/>
      <c r="BB330" s="1682"/>
      <c r="BC330" s="1400"/>
      <c r="BD330" s="1400"/>
      <c r="BE330" s="1683">
        <v>0</v>
      </c>
      <c r="BF330" s="1683">
        <v>0</v>
      </c>
      <c r="BG330" s="1683">
        <v>0</v>
      </c>
      <c r="BH330" s="1683">
        <v>0</v>
      </c>
      <c r="BI330" s="1683">
        <v>0</v>
      </c>
      <c r="BJ330" s="1683">
        <v>0</v>
      </c>
      <c r="BK330" s="1683">
        <v>0</v>
      </c>
      <c r="BL330" s="1683">
        <v>0</v>
      </c>
      <c r="BM330" s="1683">
        <v>0</v>
      </c>
      <c r="BN330" s="1683">
        <v>0</v>
      </c>
      <c r="BO330" s="1682"/>
      <c r="BP330" s="1683">
        <v>0</v>
      </c>
      <c r="BQ330" s="1683">
        <v>0</v>
      </c>
      <c r="BR330" s="1683">
        <v>0</v>
      </c>
      <c r="BS330" s="1683">
        <v>0</v>
      </c>
      <c r="BT330" s="1683">
        <v>0</v>
      </c>
      <c r="BU330" s="1683">
        <v>0</v>
      </c>
      <c r="BV330" s="1683">
        <v>0</v>
      </c>
      <c r="BW330" s="1683">
        <v>0</v>
      </c>
      <c r="BX330" s="1683">
        <v>0</v>
      </c>
      <c r="BY330" s="1683">
        <v>0</v>
      </c>
      <c r="BZ330" s="1400"/>
      <c r="CA330" s="1400"/>
      <c r="CB330" s="1682"/>
      <c r="CC330" s="1682"/>
      <c r="CD330" s="1400"/>
      <c r="CE330" s="1400"/>
      <c r="CF330" s="1683">
        <v>0</v>
      </c>
      <c r="CG330" s="1683">
        <v>0</v>
      </c>
      <c r="CH330" s="1683">
        <v>0</v>
      </c>
      <c r="CI330" s="1683">
        <v>0</v>
      </c>
      <c r="CJ330" s="1683">
        <v>0</v>
      </c>
      <c r="CK330" s="1683">
        <v>0</v>
      </c>
      <c r="CL330" s="1682"/>
      <c r="CM330" s="1683">
        <v>0</v>
      </c>
      <c r="CN330" s="1683">
        <v>0</v>
      </c>
      <c r="CO330" s="1683">
        <v>0</v>
      </c>
      <c r="CP330" s="1683">
        <v>0</v>
      </c>
      <c r="CQ330" s="1683">
        <v>0</v>
      </c>
      <c r="CR330" s="1683">
        <v>0</v>
      </c>
      <c r="CS330" s="1683">
        <v>0</v>
      </c>
      <c r="CT330" s="1683">
        <v>0</v>
      </c>
      <c r="CU330" s="1683">
        <v>0</v>
      </c>
      <c r="CV330" s="1683">
        <v>0</v>
      </c>
      <c r="CW330" s="1682"/>
      <c r="CX330" s="1400"/>
      <c r="CY330" s="1400"/>
      <c r="CZ330" s="1400"/>
      <c r="DA330" s="1400"/>
      <c r="DB330" s="1682"/>
      <c r="DC330" s="1326"/>
      <c r="DD330" s="1683">
        <v>0</v>
      </c>
      <c r="DE330" s="1400"/>
      <c r="DF330" s="1400"/>
      <c r="DG330" s="1683">
        <v>0</v>
      </c>
      <c r="DH330" s="1683">
        <v>0</v>
      </c>
    </row>
    <row r="331" spans="1:112" ht="78.75">
      <c r="A331" s="1326" t="s">
        <v>2346</v>
      </c>
      <c r="B331" s="1326" t="s">
        <v>1700</v>
      </c>
      <c r="C331" s="1326" t="s">
        <v>2561</v>
      </c>
      <c r="D331" s="1326" t="s">
        <v>2562</v>
      </c>
      <c r="E331" s="1326" t="s">
        <v>143</v>
      </c>
      <c r="F331" s="1326" t="s">
        <v>2555</v>
      </c>
      <c r="G331" s="1326" t="s">
        <v>2556</v>
      </c>
      <c r="H331" s="1326" t="s">
        <v>2541</v>
      </c>
      <c r="I331" s="1326" t="s">
        <v>713</v>
      </c>
      <c r="J331" s="1326" t="s">
        <v>2243</v>
      </c>
      <c r="K331" s="1326" t="s">
        <v>2110</v>
      </c>
      <c r="L331" s="1326" t="s">
        <v>2061</v>
      </c>
      <c r="M331" s="1400"/>
      <c r="N331" s="1400"/>
      <c r="O331" s="1400"/>
      <c r="P331" s="1400"/>
      <c r="Q331" s="1400"/>
      <c r="R331" s="1400"/>
      <c r="S331" s="1400"/>
      <c r="T331" s="1400"/>
      <c r="U331" s="1400"/>
      <c r="V331" s="1400"/>
      <c r="W331" s="1400"/>
      <c r="X331" s="1400"/>
      <c r="Y331" s="1685">
        <v>43083</v>
      </c>
      <c r="Z331" s="1326" t="s">
        <v>2062</v>
      </c>
      <c r="AA331" s="1683">
        <v>0</v>
      </c>
      <c r="AB331" s="1683">
        <v>0</v>
      </c>
      <c r="AC331" s="1683">
        <v>0</v>
      </c>
      <c r="AD331" s="1685">
        <v>43130</v>
      </c>
      <c r="AE331" s="1326" t="s">
        <v>2079</v>
      </c>
      <c r="AF331" s="1326" t="s">
        <v>2067</v>
      </c>
      <c r="AG331" s="1410"/>
      <c r="AH331" s="1683">
        <v>7738.1</v>
      </c>
      <c r="AI331" s="1683">
        <v>7738.1</v>
      </c>
      <c r="AJ331" s="1683">
        <v>6577.38</v>
      </c>
      <c r="AK331" s="1683">
        <v>6577.38</v>
      </c>
      <c r="AL331" s="1683">
        <v>0</v>
      </c>
      <c r="AM331" s="1685">
        <v>43130</v>
      </c>
      <c r="AN331" s="1683">
        <v>7738.1</v>
      </c>
      <c r="AO331" s="1683">
        <v>7738.1</v>
      </c>
      <c r="AP331" s="1683">
        <v>6577.38</v>
      </c>
      <c r="AQ331" s="1683">
        <v>6577.38</v>
      </c>
      <c r="AR331" s="1683">
        <v>0</v>
      </c>
      <c r="AS331" s="1683">
        <v>1160.72</v>
      </c>
      <c r="AT331" s="1683">
        <v>0</v>
      </c>
      <c r="AU331" s="1683">
        <v>1160.72</v>
      </c>
      <c r="AV331" s="1683">
        <v>0</v>
      </c>
      <c r="AW331" s="1683">
        <v>0</v>
      </c>
      <c r="AX331" s="1400"/>
      <c r="AY331" s="1400"/>
      <c r="AZ331" s="1400"/>
      <c r="BA331" s="1682"/>
      <c r="BB331" s="1682"/>
      <c r="BC331" s="1400"/>
      <c r="BD331" s="1400"/>
      <c r="BE331" s="1683">
        <v>7738.1</v>
      </c>
      <c r="BF331" s="1683">
        <v>7738.1</v>
      </c>
      <c r="BG331" s="1683">
        <v>6577.38</v>
      </c>
      <c r="BH331" s="1683">
        <v>6577.38</v>
      </c>
      <c r="BI331" s="1683">
        <v>0</v>
      </c>
      <c r="BJ331" s="1683">
        <v>1160.72</v>
      </c>
      <c r="BK331" s="1683">
        <v>0</v>
      </c>
      <c r="BL331" s="1683">
        <v>1160.72</v>
      </c>
      <c r="BM331" s="1683">
        <v>0</v>
      </c>
      <c r="BN331" s="1683">
        <v>0</v>
      </c>
      <c r="BO331" s="1685">
        <v>43364</v>
      </c>
      <c r="BP331" s="1683">
        <v>7738.1</v>
      </c>
      <c r="BQ331" s="1683">
        <v>7738.1</v>
      </c>
      <c r="BR331" s="1683">
        <v>6577.38</v>
      </c>
      <c r="BS331" s="1683">
        <v>6577.38</v>
      </c>
      <c r="BT331" s="1683">
        <v>0</v>
      </c>
      <c r="BU331" s="1683">
        <v>1160.72</v>
      </c>
      <c r="BV331" s="1683">
        <v>0</v>
      </c>
      <c r="BW331" s="1683">
        <v>0</v>
      </c>
      <c r="BX331" s="1683">
        <v>0</v>
      </c>
      <c r="BY331" s="1683">
        <v>0</v>
      </c>
      <c r="BZ331" s="1683">
        <v>0</v>
      </c>
      <c r="CA331" s="1400"/>
      <c r="CB331" s="1682"/>
      <c r="CC331" s="1682"/>
      <c r="CD331" s="1400"/>
      <c r="CE331" s="1400"/>
      <c r="CF331" s="1683">
        <v>0</v>
      </c>
      <c r="CG331" s="1683">
        <v>0</v>
      </c>
      <c r="CH331" s="1683">
        <v>0</v>
      </c>
      <c r="CI331" s="1683">
        <v>0</v>
      </c>
      <c r="CJ331" s="1683">
        <v>0</v>
      </c>
      <c r="CK331" s="1683">
        <v>0</v>
      </c>
      <c r="CL331" s="1682"/>
      <c r="CM331" s="1683">
        <v>0</v>
      </c>
      <c r="CN331" s="1683">
        <v>0</v>
      </c>
      <c r="CO331" s="1683">
        <v>0</v>
      </c>
      <c r="CP331" s="1683">
        <v>0</v>
      </c>
      <c r="CQ331" s="1683">
        <v>0</v>
      </c>
      <c r="CR331" s="1683">
        <v>0</v>
      </c>
      <c r="CS331" s="1683">
        <v>0</v>
      </c>
      <c r="CT331" s="1683">
        <v>0</v>
      </c>
      <c r="CU331" s="1683">
        <v>0</v>
      </c>
      <c r="CV331" s="1683">
        <v>0</v>
      </c>
      <c r="CW331" s="1682"/>
      <c r="CX331" s="1400"/>
      <c r="CY331" s="1400"/>
      <c r="CZ331" s="1400"/>
      <c r="DA331" s="1400"/>
      <c r="DB331" s="1682"/>
      <c r="DC331" s="1326"/>
      <c r="DD331" s="1683">
        <v>0</v>
      </c>
      <c r="DE331" s="1400"/>
      <c r="DF331" s="1400"/>
      <c r="DG331" s="1683">
        <v>0</v>
      </c>
      <c r="DH331" s="1683">
        <v>0</v>
      </c>
    </row>
    <row r="332" spans="1:112" ht="78.75">
      <c r="A332" s="1326" t="s">
        <v>2348</v>
      </c>
      <c r="B332" s="1326" t="s">
        <v>1700</v>
      </c>
      <c r="C332" s="1326" t="s">
        <v>2561</v>
      </c>
      <c r="D332" s="1326" t="s">
        <v>2562</v>
      </c>
      <c r="E332" s="1326" t="s">
        <v>143</v>
      </c>
      <c r="F332" s="1326" t="s">
        <v>2555</v>
      </c>
      <c r="G332" s="1326" t="s">
        <v>2556</v>
      </c>
      <c r="H332" s="1326" t="s">
        <v>2541</v>
      </c>
      <c r="I332" s="1326" t="s">
        <v>713</v>
      </c>
      <c r="J332" s="1326" t="s">
        <v>2243</v>
      </c>
      <c r="K332" s="1326" t="s">
        <v>2110</v>
      </c>
      <c r="L332" s="1326" t="s">
        <v>2061</v>
      </c>
      <c r="M332" s="1400"/>
      <c r="N332" s="1400"/>
      <c r="O332" s="1400"/>
      <c r="P332" s="1400"/>
      <c r="Q332" s="1400"/>
      <c r="R332" s="1400"/>
      <c r="S332" s="1400"/>
      <c r="T332" s="1400"/>
      <c r="U332" s="1400"/>
      <c r="V332" s="1400"/>
      <c r="W332" s="1400"/>
      <c r="X332" s="1400"/>
      <c r="Y332" s="1685">
        <v>43157</v>
      </c>
      <c r="Z332" s="1326" t="s">
        <v>2062</v>
      </c>
      <c r="AA332" s="1683">
        <v>0</v>
      </c>
      <c r="AB332" s="1683">
        <v>0</v>
      </c>
      <c r="AC332" s="1683">
        <v>0</v>
      </c>
      <c r="AD332" s="1685">
        <v>43173</v>
      </c>
      <c r="AE332" s="1326" t="s">
        <v>2080</v>
      </c>
      <c r="AF332" s="1326" t="s">
        <v>2064</v>
      </c>
      <c r="AG332" s="1410"/>
      <c r="AH332" s="1683">
        <v>12275.8</v>
      </c>
      <c r="AI332" s="1683">
        <v>12275.8</v>
      </c>
      <c r="AJ332" s="1683">
        <v>10434.43</v>
      </c>
      <c r="AK332" s="1683">
        <v>10434.43</v>
      </c>
      <c r="AL332" s="1683">
        <v>0</v>
      </c>
      <c r="AM332" s="1685">
        <v>43173</v>
      </c>
      <c r="AN332" s="1683">
        <v>12275.8</v>
      </c>
      <c r="AO332" s="1683">
        <v>12275.8</v>
      </c>
      <c r="AP332" s="1683">
        <v>10434.43</v>
      </c>
      <c r="AQ332" s="1683">
        <v>10434.43</v>
      </c>
      <c r="AR332" s="1683">
        <v>0</v>
      </c>
      <c r="AS332" s="1683">
        <v>1841.37</v>
      </c>
      <c r="AT332" s="1683">
        <v>0</v>
      </c>
      <c r="AU332" s="1683">
        <v>1841.37</v>
      </c>
      <c r="AV332" s="1683">
        <v>0</v>
      </c>
      <c r="AW332" s="1683">
        <v>0</v>
      </c>
      <c r="AX332" s="1400"/>
      <c r="AY332" s="1400"/>
      <c r="AZ332" s="1400"/>
      <c r="BA332" s="1682"/>
      <c r="BB332" s="1682"/>
      <c r="BC332" s="1400"/>
      <c r="BD332" s="1400"/>
      <c r="BE332" s="1683">
        <v>12275.8</v>
      </c>
      <c r="BF332" s="1683">
        <v>12275.8</v>
      </c>
      <c r="BG332" s="1683">
        <v>10434.43</v>
      </c>
      <c r="BH332" s="1683">
        <v>10434.43</v>
      </c>
      <c r="BI332" s="1683">
        <v>0</v>
      </c>
      <c r="BJ332" s="1683">
        <v>1841.37</v>
      </c>
      <c r="BK332" s="1683">
        <v>0</v>
      </c>
      <c r="BL332" s="1683">
        <v>1841.37</v>
      </c>
      <c r="BM332" s="1683">
        <v>0</v>
      </c>
      <c r="BN332" s="1683">
        <v>0</v>
      </c>
      <c r="BO332" s="1685">
        <v>43364</v>
      </c>
      <c r="BP332" s="1683">
        <v>12275.8</v>
      </c>
      <c r="BQ332" s="1683">
        <v>12275.8</v>
      </c>
      <c r="BR332" s="1683">
        <v>10434.43</v>
      </c>
      <c r="BS332" s="1683">
        <v>10434.43</v>
      </c>
      <c r="BT332" s="1683">
        <v>0</v>
      </c>
      <c r="BU332" s="1683">
        <v>1841.37</v>
      </c>
      <c r="BV332" s="1683">
        <v>0</v>
      </c>
      <c r="BW332" s="1683">
        <v>0</v>
      </c>
      <c r="BX332" s="1683">
        <v>0</v>
      </c>
      <c r="BY332" s="1683">
        <v>0</v>
      </c>
      <c r="BZ332" s="1683">
        <v>0</v>
      </c>
      <c r="CA332" s="1400"/>
      <c r="CB332" s="1682"/>
      <c r="CC332" s="1682"/>
      <c r="CD332" s="1400"/>
      <c r="CE332" s="1400"/>
      <c r="CF332" s="1683">
        <v>0</v>
      </c>
      <c r="CG332" s="1683">
        <v>0</v>
      </c>
      <c r="CH332" s="1683">
        <v>0</v>
      </c>
      <c r="CI332" s="1683">
        <v>0</v>
      </c>
      <c r="CJ332" s="1683">
        <v>0</v>
      </c>
      <c r="CK332" s="1683">
        <v>0</v>
      </c>
      <c r="CL332" s="1682"/>
      <c r="CM332" s="1683">
        <v>0</v>
      </c>
      <c r="CN332" s="1683">
        <v>0</v>
      </c>
      <c r="CO332" s="1683">
        <v>0</v>
      </c>
      <c r="CP332" s="1683">
        <v>0</v>
      </c>
      <c r="CQ332" s="1683">
        <v>0</v>
      </c>
      <c r="CR332" s="1683">
        <v>0</v>
      </c>
      <c r="CS332" s="1683">
        <v>0</v>
      </c>
      <c r="CT332" s="1683">
        <v>0</v>
      </c>
      <c r="CU332" s="1683">
        <v>0</v>
      </c>
      <c r="CV332" s="1683">
        <v>0</v>
      </c>
      <c r="CW332" s="1682"/>
      <c r="CX332" s="1400"/>
      <c r="CY332" s="1400"/>
      <c r="CZ332" s="1400"/>
      <c r="DA332" s="1400"/>
      <c r="DB332" s="1682"/>
      <c r="DC332" s="1326"/>
      <c r="DD332" s="1683">
        <v>0</v>
      </c>
      <c r="DE332" s="1400"/>
      <c r="DF332" s="1400"/>
      <c r="DG332" s="1683">
        <v>0</v>
      </c>
      <c r="DH332" s="1683">
        <v>0</v>
      </c>
    </row>
    <row r="333" spans="1:112" ht="78.75">
      <c r="A333" s="1326" t="s">
        <v>2349</v>
      </c>
      <c r="B333" s="1326" t="s">
        <v>1700</v>
      </c>
      <c r="C333" s="1326" t="s">
        <v>2561</v>
      </c>
      <c r="D333" s="1326" t="s">
        <v>2562</v>
      </c>
      <c r="E333" s="1326" t="s">
        <v>143</v>
      </c>
      <c r="F333" s="1326" t="s">
        <v>2555</v>
      </c>
      <c r="G333" s="1326" t="s">
        <v>2556</v>
      </c>
      <c r="H333" s="1326" t="s">
        <v>2541</v>
      </c>
      <c r="I333" s="1326" t="s">
        <v>713</v>
      </c>
      <c r="J333" s="1326" t="s">
        <v>2243</v>
      </c>
      <c r="K333" s="1326" t="s">
        <v>2110</v>
      </c>
      <c r="L333" s="1326" t="s">
        <v>2061</v>
      </c>
      <c r="M333" s="1400"/>
      <c r="N333" s="1400"/>
      <c r="O333" s="1400"/>
      <c r="P333" s="1400"/>
      <c r="Q333" s="1400"/>
      <c r="R333" s="1400"/>
      <c r="S333" s="1400"/>
      <c r="T333" s="1400"/>
      <c r="U333" s="1400"/>
      <c r="V333" s="1400"/>
      <c r="W333" s="1400"/>
      <c r="X333" s="1400"/>
      <c r="Y333" s="1685">
        <v>43200</v>
      </c>
      <c r="Z333" s="1326" t="s">
        <v>2096</v>
      </c>
      <c r="AA333" s="1683">
        <v>0</v>
      </c>
      <c r="AB333" s="1683">
        <v>0</v>
      </c>
      <c r="AC333" s="1683">
        <v>0</v>
      </c>
      <c r="AD333" s="1685">
        <v>43213</v>
      </c>
      <c r="AE333" s="1326" t="s">
        <v>2081</v>
      </c>
      <c r="AF333" s="1326" t="s">
        <v>2064</v>
      </c>
      <c r="AG333" s="1410"/>
      <c r="AH333" s="1683">
        <v>0</v>
      </c>
      <c r="AI333" s="1683">
        <v>20000</v>
      </c>
      <c r="AJ333" s="1683">
        <v>20000</v>
      </c>
      <c r="AK333" s="1683">
        <v>20000</v>
      </c>
      <c r="AL333" s="1683">
        <v>0</v>
      </c>
      <c r="AM333" s="1682"/>
      <c r="AN333" s="1683">
        <v>0</v>
      </c>
      <c r="AO333" s="1683">
        <v>0</v>
      </c>
      <c r="AP333" s="1683">
        <v>0</v>
      </c>
      <c r="AQ333" s="1683">
        <v>0</v>
      </c>
      <c r="AR333" s="1683">
        <v>0</v>
      </c>
      <c r="AS333" s="1683">
        <v>0</v>
      </c>
      <c r="AT333" s="1683">
        <v>0</v>
      </c>
      <c r="AU333" s="1683">
        <v>0</v>
      </c>
      <c r="AV333" s="1683">
        <v>0</v>
      </c>
      <c r="AW333" s="1683">
        <v>0</v>
      </c>
      <c r="AX333" s="1400"/>
      <c r="AY333" s="1400"/>
      <c r="AZ333" s="1400"/>
      <c r="BA333" s="1682"/>
      <c r="BB333" s="1682"/>
      <c r="BC333" s="1400"/>
      <c r="BD333" s="1400"/>
      <c r="BE333" s="1683">
        <v>0</v>
      </c>
      <c r="BF333" s="1683">
        <v>0</v>
      </c>
      <c r="BG333" s="1683">
        <v>0</v>
      </c>
      <c r="BH333" s="1683">
        <v>0</v>
      </c>
      <c r="BI333" s="1683">
        <v>0</v>
      </c>
      <c r="BJ333" s="1683">
        <v>0</v>
      </c>
      <c r="BK333" s="1683">
        <v>0</v>
      </c>
      <c r="BL333" s="1683">
        <v>0</v>
      </c>
      <c r="BM333" s="1683">
        <v>0</v>
      </c>
      <c r="BN333" s="1683">
        <v>0</v>
      </c>
      <c r="BO333" s="1682"/>
      <c r="BP333" s="1683">
        <v>0</v>
      </c>
      <c r="BQ333" s="1683">
        <v>0</v>
      </c>
      <c r="BR333" s="1683">
        <v>0</v>
      </c>
      <c r="BS333" s="1683">
        <v>0</v>
      </c>
      <c r="BT333" s="1683">
        <v>0</v>
      </c>
      <c r="BU333" s="1683">
        <v>0</v>
      </c>
      <c r="BV333" s="1683">
        <v>0</v>
      </c>
      <c r="BW333" s="1683">
        <v>0</v>
      </c>
      <c r="BX333" s="1683">
        <v>0</v>
      </c>
      <c r="BY333" s="1683">
        <v>0</v>
      </c>
      <c r="BZ333" s="1400"/>
      <c r="CA333" s="1400"/>
      <c r="CB333" s="1682"/>
      <c r="CC333" s="1682"/>
      <c r="CD333" s="1400"/>
      <c r="CE333" s="1400"/>
      <c r="CF333" s="1683">
        <v>0</v>
      </c>
      <c r="CG333" s="1683">
        <v>0</v>
      </c>
      <c r="CH333" s="1683">
        <v>0</v>
      </c>
      <c r="CI333" s="1683">
        <v>0</v>
      </c>
      <c r="CJ333" s="1683">
        <v>0</v>
      </c>
      <c r="CK333" s="1683">
        <v>0</v>
      </c>
      <c r="CL333" s="1682"/>
      <c r="CM333" s="1683">
        <v>0</v>
      </c>
      <c r="CN333" s="1683">
        <v>0</v>
      </c>
      <c r="CO333" s="1683">
        <v>0</v>
      </c>
      <c r="CP333" s="1683">
        <v>0</v>
      </c>
      <c r="CQ333" s="1683">
        <v>0</v>
      </c>
      <c r="CR333" s="1683">
        <v>0</v>
      </c>
      <c r="CS333" s="1683">
        <v>0</v>
      </c>
      <c r="CT333" s="1683">
        <v>0</v>
      </c>
      <c r="CU333" s="1683">
        <v>0</v>
      </c>
      <c r="CV333" s="1683">
        <v>0</v>
      </c>
      <c r="CW333" s="1682"/>
      <c r="CX333" s="1400"/>
      <c r="CY333" s="1400"/>
      <c r="CZ333" s="1400"/>
      <c r="DA333" s="1400"/>
      <c r="DB333" s="1682"/>
      <c r="DC333" s="1326"/>
      <c r="DD333" s="1683">
        <v>0</v>
      </c>
      <c r="DE333" s="1400"/>
      <c r="DF333" s="1400"/>
      <c r="DG333" s="1683">
        <v>0</v>
      </c>
      <c r="DH333" s="1683">
        <v>0</v>
      </c>
    </row>
    <row r="334" spans="1:112" ht="78.75">
      <c r="A334" s="1326" t="s">
        <v>2350</v>
      </c>
      <c r="B334" s="1326" t="s">
        <v>1700</v>
      </c>
      <c r="C334" s="1326" t="s">
        <v>2561</v>
      </c>
      <c r="D334" s="1326" t="s">
        <v>2562</v>
      </c>
      <c r="E334" s="1326" t="s">
        <v>143</v>
      </c>
      <c r="F334" s="1326" t="s">
        <v>2555</v>
      </c>
      <c r="G334" s="1326" t="s">
        <v>2556</v>
      </c>
      <c r="H334" s="1326" t="s">
        <v>2541</v>
      </c>
      <c r="I334" s="1326" t="s">
        <v>713</v>
      </c>
      <c r="J334" s="1326" t="s">
        <v>2243</v>
      </c>
      <c r="K334" s="1326" t="s">
        <v>2110</v>
      </c>
      <c r="L334" s="1326" t="s">
        <v>2061</v>
      </c>
      <c r="M334" s="1400"/>
      <c r="N334" s="1400"/>
      <c r="O334" s="1400"/>
      <c r="P334" s="1400"/>
      <c r="Q334" s="1400"/>
      <c r="R334" s="1400"/>
      <c r="S334" s="1400"/>
      <c r="T334" s="1400"/>
      <c r="U334" s="1400"/>
      <c r="V334" s="1400"/>
      <c r="W334" s="1400"/>
      <c r="X334" s="1400"/>
      <c r="Y334" s="1685">
        <v>43242</v>
      </c>
      <c r="Z334" s="1326" t="s">
        <v>2062</v>
      </c>
      <c r="AA334" s="1683">
        <v>0</v>
      </c>
      <c r="AB334" s="1683">
        <v>0</v>
      </c>
      <c r="AC334" s="1683">
        <v>0</v>
      </c>
      <c r="AD334" s="1685">
        <v>43270</v>
      </c>
      <c r="AE334" s="1326" t="s">
        <v>2088</v>
      </c>
      <c r="AF334" s="1326" t="s">
        <v>2064</v>
      </c>
      <c r="AG334" s="1410"/>
      <c r="AH334" s="1683">
        <v>28056.02</v>
      </c>
      <c r="AI334" s="1683">
        <v>28056.02</v>
      </c>
      <c r="AJ334" s="1683">
        <v>23847.62</v>
      </c>
      <c r="AK334" s="1683">
        <v>23847.62</v>
      </c>
      <c r="AL334" s="1683">
        <v>0</v>
      </c>
      <c r="AM334" s="1685">
        <v>43270</v>
      </c>
      <c r="AN334" s="1683">
        <v>28056.02</v>
      </c>
      <c r="AO334" s="1683">
        <v>28056.02</v>
      </c>
      <c r="AP334" s="1683">
        <v>23847.62</v>
      </c>
      <c r="AQ334" s="1683">
        <v>23847.62</v>
      </c>
      <c r="AR334" s="1683">
        <v>0</v>
      </c>
      <c r="AS334" s="1683">
        <v>4208.3999999999996</v>
      </c>
      <c r="AT334" s="1683">
        <v>0</v>
      </c>
      <c r="AU334" s="1683">
        <v>4208.3999999999996</v>
      </c>
      <c r="AV334" s="1683">
        <v>0</v>
      </c>
      <c r="AW334" s="1683">
        <v>0</v>
      </c>
      <c r="AX334" s="1400"/>
      <c r="AY334" s="1400"/>
      <c r="AZ334" s="1400"/>
      <c r="BA334" s="1682"/>
      <c r="BB334" s="1682"/>
      <c r="BC334" s="1400"/>
      <c r="BD334" s="1400"/>
      <c r="BE334" s="1683">
        <v>28056.02</v>
      </c>
      <c r="BF334" s="1683">
        <v>28056.02</v>
      </c>
      <c r="BG334" s="1683">
        <v>23847.62</v>
      </c>
      <c r="BH334" s="1683">
        <v>23847.62</v>
      </c>
      <c r="BI334" s="1683">
        <v>0</v>
      </c>
      <c r="BJ334" s="1683">
        <v>4208.3999999999996</v>
      </c>
      <c r="BK334" s="1683">
        <v>0</v>
      </c>
      <c r="BL334" s="1683">
        <v>4208.3999999999996</v>
      </c>
      <c r="BM334" s="1683">
        <v>0</v>
      </c>
      <c r="BN334" s="1683">
        <v>0</v>
      </c>
      <c r="BO334" s="1685">
        <v>43364</v>
      </c>
      <c r="BP334" s="1683">
        <v>28056.02</v>
      </c>
      <c r="BQ334" s="1683">
        <v>28056.02</v>
      </c>
      <c r="BR334" s="1683">
        <v>23847.62</v>
      </c>
      <c r="BS334" s="1683">
        <v>23847.62</v>
      </c>
      <c r="BT334" s="1683">
        <v>0</v>
      </c>
      <c r="BU334" s="1683">
        <v>4208.3999999999996</v>
      </c>
      <c r="BV334" s="1683">
        <v>0</v>
      </c>
      <c r="BW334" s="1683">
        <v>0</v>
      </c>
      <c r="BX334" s="1683">
        <v>0</v>
      </c>
      <c r="BY334" s="1683">
        <v>0</v>
      </c>
      <c r="BZ334" s="1683">
        <v>0</v>
      </c>
      <c r="CA334" s="1400"/>
      <c r="CB334" s="1682"/>
      <c r="CC334" s="1682"/>
      <c r="CD334" s="1400"/>
      <c r="CE334" s="1400"/>
      <c r="CF334" s="1683">
        <v>0</v>
      </c>
      <c r="CG334" s="1683">
        <v>0</v>
      </c>
      <c r="CH334" s="1683">
        <v>0</v>
      </c>
      <c r="CI334" s="1683">
        <v>0</v>
      </c>
      <c r="CJ334" s="1683">
        <v>0</v>
      </c>
      <c r="CK334" s="1683">
        <v>0</v>
      </c>
      <c r="CL334" s="1682"/>
      <c r="CM334" s="1683">
        <v>0</v>
      </c>
      <c r="CN334" s="1683">
        <v>0</v>
      </c>
      <c r="CO334" s="1683">
        <v>0</v>
      </c>
      <c r="CP334" s="1683">
        <v>0</v>
      </c>
      <c r="CQ334" s="1683">
        <v>0</v>
      </c>
      <c r="CR334" s="1683">
        <v>0</v>
      </c>
      <c r="CS334" s="1683">
        <v>0</v>
      </c>
      <c r="CT334" s="1683">
        <v>0</v>
      </c>
      <c r="CU334" s="1683">
        <v>0</v>
      </c>
      <c r="CV334" s="1683">
        <v>0</v>
      </c>
      <c r="CW334" s="1682"/>
      <c r="CX334" s="1400"/>
      <c r="CY334" s="1400"/>
      <c r="CZ334" s="1400"/>
      <c r="DA334" s="1400"/>
      <c r="DB334" s="1682"/>
      <c r="DC334" s="1326"/>
      <c r="DD334" s="1683">
        <v>0</v>
      </c>
      <c r="DE334" s="1400"/>
      <c r="DF334" s="1400"/>
      <c r="DG334" s="1683">
        <v>0</v>
      </c>
      <c r="DH334" s="1683">
        <v>0</v>
      </c>
    </row>
    <row r="335" spans="1:112" ht="78.75">
      <c r="A335" s="1326" t="s">
        <v>2351</v>
      </c>
      <c r="B335" s="1326" t="s">
        <v>1700</v>
      </c>
      <c r="C335" s="1326" t="s">
        <v>2561</v>
      </c>
      <c r="D335" s="1326" t="s">
        <v>2562</v>
      </c>
      <c r="E335" s="1326" t="s">
        <v>143</v>
      </c>
      <c r="F335" s="1326" t="s">
        <v>2555</v>
      </c>
      <c r="G335" s="1326" t="s">
        <v>2556</v>
      </c>
      <c r="H335" s="1326" t="s">
        <v>2541</v>
      </c>
      <c r="I335" s="1326" t="s">
        <v>713</v>
      </c>
      <c r="J335" s="1326" t="s">
        <v>2243</v>
      </c>
      <c r="K335" s="1326" t="s">
        <v>2110</v>
      </c>
      <c r="L335" s="1326" t="s">
        <v>2061</v>
      </c>
      <c r="M335" s="1400"/>
      <c r="N335" s="1400"/>
      <c r="O335" s="1400"/>
      <c r="P335" s="1400"/>
      <c r="Q335" s="1400"/>
      <c r="R335" s="1400"/>
      <c r="S335" s="1400"/>
      <c r="T335" s="1400"/>
      <c r="U335" s="1400"/>
      <c r="V335" s="1400"/>
      <c r="W335" s="1400"/>
      <c r="X335" s="1400"/>
      <c r="Y335" s="1685">
        <v>43308</v>
      </c>
      <c r="Z335" s="1326" t="s">
        <v>2062</v>
      </c>
      <c r="AA335" s="1683">
        <v>0</v>
      </c>
      <c r="AB335" s="1683">
        <v>0</v>
      </c>
      <c r="AC335" s="1683">
        <v>0</v>
      </c>
      <c r="AD335" s="1685">
        <v>43336</v>
      </c>
      <c r="AE335" s="1326" t="s">
        <v>2082</v>
      </c>
      <c r="AF335" s="1326" t="s">
        <v>2064</v>
      </c>
      <c r="AG335" s="1410"/>
      <c r="AH335" s="1683">
        <v>0</v>
      </c>
      <c r="AI335" s="1683">
        <v>0</v>
      </c>
      <c r="AJ335" s="1683">
        <v>0</v>
      </c>
      <c r="AK335" s="1683">
        <v>0</v>
      </c>
      <c r="AL335" s="1683">
        <v>0</v>
      </c>
      <c r="AM335" s="1682"/>
      <c r="AN335" s="1683">
        <v>0</v>
      </c>
      <c r="AO335" s="1683">
        <v>0</v>
      </c>
      <c r="AP335" s="1683">
        <v>0</v>
      </c>
      <c r="AQ335" s="1683">
        <v>0</v>
      </c>
      <c r="AR335" s="1683">
        <v>0</v>
      </c>
      <c r="AS335" s="1683">
        <v>0</v>
      </c>
      <c r="AT335" s="1683">
        <v>0</v>
      </c>
      <c r="AU335" s="1683">
        <v>0</v>
      </c>
      <c r="AV335" s="1683">
        <v>0</v>
      </c>
      <c r="AW335" s="1683">
        <v>0</v>
      </c>
      <c r="AX335" s="1400"/>
      <c r="AY335" s="1400"/>
      <c r="AZ335" s="1400"/>
      <c r="BA335" s="1682"/>
      <c r="BB335" s="1682"/>
      <c r="BC335" s="1400"/>
      <c r="BD335" s="1400"/>
      <c r="BE335" s="1683">
        <v>0</v>
      </c>
      <c r="BF335" s="1683">
        <v>0</v>
      </c>
      <c r="BG335" s="1683">
        <v>0</v>
      </c>
      <c r="BH335" s="1683">
        <v>0</v>
      </c>
      <c r="BI335" s="1683">
        <v>0</v>
      </c>
      <c r="BJ335" s="1683">
        <v>0</v>
      </c>
      <c r="BK335" s="1683">
        <v>0</v>
      </c>
      <c r="BL335" s="1683">
        <v>0</v>
      </c>
      <c r="BM335" s="1683">
        <v>0</v>
      </c>
      <c r="BN335" s="1683">
        <v>0</v>
      </c>
      <c r="BO335" s="1682"/>
      <c r="BP335" s="1683">
        <v>0</v>
      </c>
      <c r="BQ335" s="1683">
        <v>0</v>
      </c>
      <c r="BR335" s="1683">
        <v>0</v>
      </c>
      <c r="BS335" s="1683">
        <v>0</v>
      </c>
      <c r="BT335" s="1683">
        <v>0</v>
      </c>
      <c r="BU335" s="1683">
        <v>0</v>
      </c>
      <c r="BV335" s="1683">
        <v>0</v>
      </c>
      <c r="BW335" s="1683">
        <v>0</v>
      </c>
      <c r="BX335" s="1683">
        <v>0</v>
      </c>
      <c r="BY335" s="1683">
        <v>0</v>
      </c>
      <c r="BZ335" s="1400"/>
      <c r="CA335" s="1400"/>
      <c r="CB335" s="1682"/>
      <c r="CC335" s="1682"/>
      <c r="CD335" s="1400"/>
      <c r="CE335" s="1400"/>
      <c r="CF335" s="1683">
        <v>0</v>
      </c>
      <c r="CG335" s="1683">
        <v>0</v>
      </c>
      <c r="CH335" s="1683">
        <v>0</v>
      </c>
      <c r="CI335" s="1683">
        <v>0</v>
      </c>
      <c r="CJ335" s="1683">
        <v>0</v>
      </c>
      <c r="CK335" s="1683">
        <v>0</v>
      </c>
      <c r="CL335" s="1682"/>
      <c r="CM335" s="1683">
        <v>0</v>
      </c>
      <c r="CN335" s="1683">
        <v>0</v>
      </c>
      <c r="CO335" s="1683">
        <v>0</v>
      </c>
      <c r="CP335" s="1683">
        <v>0</v>
      </c>
      <c r="CQ335" s="1683">
        <v>0</v>
      </c>
      <c r="CR335" s="1683">
        <v>0</v>
      </c>
      <c r="CS335" s="1683">
        <v>0</v>
      </c>
      <c r="CT335" s="1683">
        <v>0</v>
      </c>
      <c r="CU335" s="1683">
        <v>0</v>
      </c>
      <c r="CV335" s="1683">
        <v>0</v>
      </c>
      <c r="CW335" s="1682"/>
      <c r="CX335" s="1400"/>
      <c r="CY335" s="1400"/>
      <c r="CZ335" s="1400"/>
      <c r="DA335" s="1400"/>
      <c r="DB335" s="1682"/>
      <c r="DC335" s="1326"/>
      <c r="DD335" s="1683">
        <v>0</v>
      </c>
      <c r="DE335" s="1400"/>
      <c r="DF335" s="1400"/>
      <c r="DG335" s="1683">
        <v>0</v>
      </c>
      <c r="DH335" s="1683">
        <v>0</v>
      </c>
    </row>
    <row r="336" spans="1:112" ht="78.75">
      <c r="A336" s="1326" t="s">
        <v>2352</v>
      </c>
      <c r="B336" s="1326" t="s">
        <v>1700</v>
      </c>
      <c r="C336" s="1326" t="s">
        <v>2561</v>
      </c>
      <c r="D336" s="1326" t="s">
        <v>2562</v>
      </c>
      <c r="E336" s="1326" t="s">
        <v>143</v>
      </c>
      <c r="F336" s="1326" t="s">
        <v>2555</v>
      </c>
      <c r="G336" s="1326" t="s">
        <v>2556</v>
      </c>
      <c r="H336" s="1326" t="s">
        <v>2541</v>
      </c>
      <c r="I336" s="1326" t="s">
        <v>713</v>
      </c>
      <c r="J336" s="1326" t="s">
        <v>2243</v>
      </c>
      <c r="K336" s="1326" t="s">
        <v>2110</v>
      </c>
      <c r="L336" s="1326" t="s">
        <v>2061</v>
      </c>
      <c r="M336" s="1400"/>
      <c r="N336" s="1400"/>
      <c r="O336" s="1400"/>
      <c r="P336" s="1400"/>
      <c r="Q336" s="1400"/>
      <c r="R336" s="1400"/>
      <c r="S336" s="1400"/>
      <c r="T336" s="1400"/>
      <c r="U336" s="1400"/>
      <c r="V336" s="1400"/>
      <c r="W336" s="1400"/>
      <c r="X336" s="1400"/>
      <c r="Y336" s="1685">
        <v>43343</v>
      </c>
      <c r="Z336" s="1326" t="s">
        <v>2062</v>
      </c>
      <c r="AA336" s="1683">
        <v>0</v>
      </c>
      <c r="AB336" s="1683">
        <v>0</v>
      </c>
      <c r="AC336" s="1683">
        <v>0</v>
      </c>
      <c r="AD336" s="1685">
        <v>43364</v>
      </c>
      <c r="AE336" s="1326" t="s">
        <v>2083</v>
      </c>
      <c r="AF336" s="1326" t="s">
        <v>2064</v>
      </c>
      <c r="AG336" s="1410"/>
      <c r="AH336" s="1683">
        <v>28997.200000000001</v>
      </c>
      <c r="AI336" s="1683">
        <v>28997.200000000001</v>
      </c>
      <c r="AJ336" s="1683">
        <v>24511.040000000001</v>
      </c>
      <c r="AK336" s="1683">
        <v>24511.040000000001</v>
      </c>
      <c r="AL336" s="1683">
        <v>0</v>
      </c>
      <c r="AM336" s="1685">
        <v>43364</v>
      </c>
      <c r="AN336" s="1683">
        <v>28997.200000000001</v>
      </c>
      <c r="AO336" s="1683">
        <v>28997.200000000001</v>
      </c>
      <c r="AP336" s="1683">
        <v>24647.62</v>
      </c>
      <c r="AQ336" s="1683">
        <v>24647.62</v>
      </c>
      <c r="AR336" s="1683">
        <v>0</v>
      </c>
      <c r="AS336" s="1683">
        <v>4349.58</v>
      </c>
      <c r="AT336" s="1683">
        <v>0</v>
      </c>
      <c r="AU336" s="1683">
        <v>4349.58</v>
      </c>
      <c r="AV336" s="1683">
        <v>0</v>
      </c>
      <c r="AW336" s="1683">
        <v>0</v>
      </c>
      <c r="AX336" s="1400"/>
      <c r="AY336" s="1400"/>
      <c r="AZ336" s="1400"/>
      <c r="BA336" s="1682"/>
      <c r="BB336" s="1682"/>
      <c r="BC336" s="1400"/>
      <c r="BD336" s="1400"/>
      <c r="BE336" s="1683">
        <v>28997.200000000001</v>
      </c>
      <c r="BF336" s="1683">
        <v>28997.200000000001</v>
      </c>
      <c r="BG336" s="1683">
        <v>24647.62</v>
      </c>
      <c r="BH336" s="1683">
        <v>24647.62</v>
      </c>
      <c r="BI336" s="1683">
        <v>0</v>
      </c>
      <c r="BJ336" s="1683">
        <v>4349.58</v>
      </c>
      <c r="BK336" s="1683">
        <v>0</v>
      </c>
      <c r="BL336" s="1683">
        <v>4349.58</v>
      </c>
      <c r="BM336" s="1683">
        <v>0</v>
      </c>
      <c r="BN336" s="1683">
        <v>0</v>
      </c>
      <c r="BO336" s="1685">
        <v>43403</v>
      </c>
      <c r="BP336" s="1683">
        <v>28997.200000000001</v>
      </c>
      <c r="BQ336" s="1683">
        <v>28997.200000000001</v>
      </c>
      <c r="BR336" s="1683">
        <v>24647.62</v>
      </c>
      <c r="BS336" s="1683">
        <v>24647.62</v>
      </c>
      <c r="BT336" s="1683">
        <v>0</v>
      </c>
      <c r="BU336" s="1683">
        <v>4349.58</v>
      </c>
      <c r="BV336" s="1683">
        <v>0</v>
      </c>
      <c r="BW336" s="1683">
        <v>0</v>
      </c>
      <c r="BX336" s="1683">
        <v>0</v>
      </c>
      <c r="BY336" s="1683">
        <v>0</v>
      </c>
      <c r="BZ336" s="1683">
        <v>0</v>
      </c>
      <c r="CA336" s="1400"/>
      <c r="CB336" s="1682"/>
      <c r="CC336" s="1682"/>
      <c r="CD336" s="1400"/>
      <c r="CE336" s="1400"/>
      <c r="CF336" s="1683">
        <v>0</v>
      </c>
      <c r="CG336" s="1683">
        <v>0</v>
      </c>
      <c r="CH336" s="1683">
        <v>0</v>
      </c>
      <c r="CI336" s="1683">
        <v>0</v>
      </c>
      <c r="CJ336" s="1683">
        <v>0</v>
      </c>
      <c r="CK336" s="1683">
        <v>0</v>
      </c>
      <c r="CL336" s="1682"/>
      <c r="CM336" s="1683">
        <v>0</v>
      </c>
      <c r="CN336" s="1683">
        <v>0</v>
      </c>
      <c r="CO336" s="1683">
        <v>0</v>
      </c>
      <c r="CP336" s="1683">
        <v>0</v>
      </c>
      <c r="CQ336" s="1683">
        <v>0</v>
      </c>
      <c r="CR336" s="1683">
        <v>0</v>
      </c>
      <c r="CS336" s="1683">
        <v>0</v>
      </c>
      <c r="CT336" s="1683">
        <v>0</v>
      </c>
      <c r="CU336" s="1683">
        <v>0</v>
      </c>
      <c r="CV336" s="1683">
        <v>0</v>
      </c>
      <c r="CW336" s="1682"/>
      <c r="CX336" s="1400"/>
      <c r="CY336" s="1400"/>
      <c r="CZ336" s="1400"/>
      <c r="DA336" s="1400"/>
      <c r="DB336" s="1682"/>
      <c r="DC336" s="1326"/>
      <c r="DD336" s="1683">
        <v>0</v>
      </c>
      <c r="DE336" s="1400"/>
      <c r="DF336" s="1400"/>
      <c r="DG336" s="1683">
        <v>0</v>
      </c>
      <c r="DH336" s="1683">
        <v>0</v>
      </c>
    </row>
    <row r="337" spans="1:112" ht="78.75">
      <c r="A337" s="1326" t="s">
        <v>2353</v>
      </c>
      <c r="B337" s="1326" t="s">
        <v>1700</v>
      </c>
      <c r="C337" s="1326" t="s">
        <v>2561</v>
      </c>
      <c r="D337" s="1326" t="s">
        <v>2562</v>
      </c>
      <c r="E337" s="1326" t="s">
        <v>143</v>
      </c>
      <c r="F337" s="1326" t="s">
        <v>2555</v>
      </c>
      <c r="G337" s="1326" t="s">
        <v>2556</v>
      </c>
      <c r="H337" s="1326" t="s">
        <v>2541</v>
      </c>
      <c r="I337" s="1326" t="s">
        <v>713</v>
      </c>
      <c r="J337" s="1326" t="s">
        <v>2243</v>
      </c>
      <c r="K337" s="1326" t="s">
        <v>2110</v>
      </c>
      <c r="L337" s="1326" t="s">
        <v>2061</v>
      </c>
      <c r="M337" s="1400"/>
      <c r="N337" s="1400"/>
      <c r="O337" s="1400"/>
      <c r="P337" s="1400"/>
      <c r="Q337" s="1400"/>
      <c r="R337" s="1400"/>
      <c r="S337" s="1400"/>
      <c r="T337" s="1400"/>
      <c r="U337" s="1400"/>
      <c r="V337" s="1400"/>
      <c r="W337" s="1400"/>
      <c r="X337" s="1400"/>
      <c r="Y337" s="1685">
        <v>43423</v>
      </c>
      <c r="Z337" s="1326" t="s">
        <v>2062</v>
      </c>
      <c r="AA337" s="1683">
        <v>23141.32</v>
      </c>
      <c r="AB337" s="1683">
        <v>23141.32</v>
      </c>
      <c r="AC337" s="1683">
        <v>0</v>
      </c>
      <c r="AD337" s="1685">
        <v>43432</v>
      </c>
      <c r="AE337" s="1326" t="s">
        <v>2084</v>
      </c>
      <c r="AF337" s="1326" t="s">
        <v>2067</v>
      </c>
      <c r="AG337" s="1410"/>
      <c r="AH337" s="1683">
        <v>111320</v>
      </c>
      <c r="AI337" s="1683">
        <v>111320</v>
      </c>
      <c r="AJ337" s="1683">
        <v>71480.679999999993</v>
      </c>
      <c r="AK337" s="1683">
        <v>71480.679999999993</v>
      </c>
      <c r="AL337" s="1683">
        <v>0</v>
      </c>
      <c r="AM337" s="1685">
        <v>43433</v>
      </c>
      <c r="AN337" s="1683">
        <v>111320</v>
      </c>
      <c r="AO337" s="1683">
        <v>111320</v>
      </c>
      <c r="AP337" s="1683">
        <v>94622</v>
      </c>
      <c r="AQ337" s="1683">
        <v>94622</v>
      </c>
      <c r="AR337" s="1683">
        <v>0</v>
      </c>
      <c r="AS337" s="1683">
        <v>16698</v>
      </c>
      <c r="AT337" s="1683">
        <v>0</v>
      </c>
      <c r="AU337" s="1683">
        <v>16698</v>
      </c>
      <c r="AV337" s="1683">
        <v>0</v>
      </c>
      <c r="AW337" s="1683">
        <v>0</v>
      </c>
      <c r="AX337" s="1400"/>
      <c r="AY337" s="1400"/>
      <c r="AZ337" s="1400"/>
      <c r="BA337" s="1682"/>
      <c r="BB337" s="1682"/>
      <c r="BC337" s="1400"/>
      <c r="BD337" s="1400"/>
      <c r="BE337" s="1683">
        <v>111320</v>
      </c>
      <c r="BF337" s="1683">
        <v>111320</v>
      </c>
      <c r="BG337" s="1683">
        <v>94622</v>
      </c>
      <c r="BH337" s="1683">
        <v>94622</v>
      </c>
      <c r="BI337" s="1683">
        <v>0</v>
      </c>
      <c r="BJ337" s="1683">
        <v>16698</v>
      </c>
      <c r="BK337" s="1683">
        <v>0</v>
      </c>
      <c r="BL337" s="1683">
        <v>16698</v>
      </c>
      <c r="BM337" s="1683">
        <v>0</v>
      </c>
      <c r="BN337" s="1683">
        <v>0</v>
      </c>
      <c r="BO337" s="1685">
        <v>43453</v>
      </c>
      <c r="BP337" s="1683">
        <v>111320</v>
      </c>
      <c r="BQ337" s="1683">
        <v>111320</v>
      </c>
      <c r="BR337" s="1683">
        <v>94622</v>
      </c>
      <c r="BS337" s="1683">
        <v>94622</v>
      </c>
      <c r="BT337" s="1683">
        <v>0</v>
      </c>
      <c r="BU337" s="1683">
        <v>16698</v>
      </c>
      <c r="BV337" s="1683">
        <v>0</v>
      </c>
      <c r="BW337" s="1683">
        <v>0</v>
      </c>
      <c r="BX337" s="1683">
        <v>0</v>
      </c>
      <c r="BY337" s="1683">
        <v>0</v>
      </c>
      <c r="BZ337" s="1683">
        <v>0</v>
      </c>
      <c r="CA337" s="1400"/>
      <c r="CB337" s="1682"/>
      <c r="CC337" s="1682"/>
      <c r="CD337" s="1400"/>
      <c r="CE337" s="1400"/>
      <c r="CF337" s="1683">
        <v>0</v>
      </c>
      <c r="CG337" s="1683">
        <v>0</v>
      </c>
      <c r="CH337" s="1683">
        <v>0</v>
      </c>
      <c r="CI337" s="1683">
        <v>0</v>
      </c>
      <c r="CJ337" s="1683">
        <v>0</v>
      </c>
      <c r="CK337" s="1683">
        <v>0</v>
      </c>
      <c r="CL337" s="1682"/>
      <c r="CM337" s="1683">
        <v>0</v>
      </c>
      <c r="CN337" s="1683">
        <v>0</v>
      </c>
      <c r="CO337" s="1683">
        <v>0</v>
      </c>
      <c r="CP337" s="1683">
        <v>0</v>
      </c>
      <c r="CQ337" s="1683">
        <v>0</v>
      </c>
      <c r="CR337" s="1683">
        <v>0</v>
      </c>
      <c r="CS337" s="1683">
        <v>0</v>
      </c>
      <c r="CT337" s="1683">
        <v>0</v>
      </c>
      <c r="CU337" s="1683">
        <v>0</v>
      </c>
      <c r="CV337" s="1683">
        <v>0</v>
      </c>
      <c r="CW337" s="1682"/>
      <c r="CX337" s="1400"/>
      <c r="CY337" s="1400"/>
      <c r="CZ337" s="1400"/>
      <c r="DA337" s="1400"/>
      <c r="DB337" s="1682"/>
      <c r="DC337" s="1326"/>
      <c r="DD337" s="1683">
        <v>0</v>
      </c>
      <c r="DE337" s="1400"/>
      <c r="DF337" s="1400"/>
      <c r="DG337" s="1683">
        <v>0</v>
      </c>
      <c r="DH337" s="1683">
        <v>0</v>
      </c>
    </row>
    <row r="338" spans="1:112" ht="78.75">
      <c r="A338" s="1326" t="s">
        <v>2354</v>
      </c>
      <c r="B338" s="1326" t="s">
        <v>1700</v>
      </c>
      <c r="C338" s="1326" t="s">
        <v>2561</v>
      </c>
      <c r="D338" s="1326" t="s">
        <v>2562</v>
      </c>
      <c r="E338" s="1326" t="s">
        <v>143</v>
      </c>
      <c r="F338" s="1326" t="s">
        <v>2555</v>
      </c>
      <c r="G338" s="1326" t="s">
        <v>2556</v>
      </c>
      <c r="H338" s="1326" t="s">
        <v>2541</v>
      </c>
      <c r="I338" s="1326" t="s">
        <v>1236</v>
      </c>
      <c r="J338" s="1326" t="s">
        <v>317</v>
      </c>
      <c r="K338" s="1326" t="s">
        <v>2069</v>
      </c>
      <c r="L338" s="1326" t="s">
        <v>2061</v>
      </c>
      <c r="M338" s="1683">
        <v>484769.35</v>
      </c>
      <c r="N338" s="1683">
        <v>0</v>
      </c>
      <c r="O338" s="1683">
        <v>484769.35</v>
      </c>
      <c r="P338" s="1683">
        <v>484769.35</v>
      </c>
      <c r="Q338" s="1683">
        <v>299541</v>
      </c>
      <c r="R338" s="1683">
        <v>299541</v>
      </c>
      <c r="S338" s="1683">
        <v>0</v>
      </c>
      <c r="T338" s="1683">
        <v>185228.35</v>
      </c>
      <c r="U338" s="1683">
        <v>0</v>
      </c>
      <c r="V338" s="1683">
        <v>185228.35</v>
      </c>
      <c r="W338" s="1683">
        <v>0</v>
      </c>
      <c r="X338" s="1683">
        <v>0</v>
      </c>
      <c r="Y338" s="1682"/>
      <c r="Z338" s="1326"/>
      <c r="AA338" s="1683">
        <v>0</v>
      </c>
      <c r="AB338" s="1683">
        <v>0</v>
      </c>
      <c r="AC338" s="1683">
        <v>0</v>
      </c>
      <c r="AD338" s="1682"/>
      <c r="AE338" s="1326"/>
      <c r="AF338" s="1326"/>
      <c r="AG338" s="1410"/>
      <c r="AH338" s="1683">
        <v>61458.57</v>
      </c>
      <c r="AI338" s="1683">
        <v>61458.57</v>
      </c>
      <c r="AJ338" s="1683">
        <v>37975.51</v>
      </c>
      <c r="AK338" s="1683">
        <v>37975.51</v>
      </c>
      <c r="AL338" s="1683">
        <v>0</v>
      </c>
      <c r="AM338" s="1682"/>
      <c r="AN338" s="1683">
        <v>46676.33</v>
      </c>
      <c r="AO338" s="1683">
        <v>46676.33</v>
      </c>
      <c r="AP338" s="1683">
        <v>28841.5</v>
      </c>
      <c r="AQ338" s="1683">
        <v>28841.5</v>
      </c>
      <c r="AR338" s="1683">
        <v>0</v>
      </c>
      <c r="AS338" s="1683">
        <v>17834.830000000002</v>
      </c>
      <c r="AT338" s="1683">
        <v>0</v>
      </c>
      <c r="AU338" s="1683">
        <v>17834.830000000002</v>
      </c>
      <c r="AV338" s="1683">
        <v>0</v>
      </c>
      <c r="AW338" s="1683">
        <v>0</v>
      </c>
      <c r="AX338" s="1683">
        <v>0</v>
      </c>
      <c r="AY338" s="1683">
        <v>0</v>
      </c>
      <c r="AZ338" s="1683">
        <v>0</v>
      </c>
      <c r="BA338" s="1682"/>
      <c r="BB338" s="1682"/>
      <c r="BC338" s="1683">
        <v>0</v>
      </c>
      <c r="BD338" s="1683">
        <v>0</v>
      </c>
      <c r="BE338" s="1683">
        <v>46676.33</v>
      </c>
      <c r="BF338" s="1683">
        <v>46676.33</v>
      </c>
      <c r="BG338" s="1683">
        <v>28841.5</v>
      </c>
      <c r="BH338" s="1683">
        <v>28841.5</v>
      </c>
      <c r="BI338" s="1683">
        <v>0</v>
      </c>
      <c r="BJ338" s="1683">
        <v>17834.830000000002</v>
      </c>
      <c r="BK338" s="1683">
        <v>0</v>
      </c>
      <c r="BL338" s="1683">
        <v>17834.830000000002</v>
      </c>
      <c r="BM338" s="1683">
        <v>0</v>
      </c>
      <c r="BN338" s="1683">
        <v>0</v>
      </c>
      <c r="BO338" s="1682"/>
      <c r="BP338" s="1683">
        <v>29955.77</v>
      </c>
      <c r="BQ338" s="1683">
        <v>29955.77</v>
      </c>
      <c r="BR338" s="1683">
        <v>18509.79</v>
      </c>
      <c r="BS338" s="1683">
        <v>18509.79</v>
      </c>
      <c r="BT338" s="1683">
        <v>0</v>
      </c>
      <c r="BU338" s="1683">
        <v>11445.98</v>
      </c>
      <c r="BV338" s="1683">
        <v>0</v>
      </c>
      <c r="BW338" s="1683">
        <v>0</v>
      </c>
      <c r="BX338" s="1683">
        <v>0</v>
      </c>
      <c r="BY338" s="1683">
        <v>0</v>
      </c>
      <c r="BZ338" s="1683">
        <v>0</v>
      </c>
      <c r="CA338" s="1683">
        <v>0</v>
      </c>
      <c r="CB338" s="1682"/>
      <c r="CC338" s="1682"/>
      <c r="CD338" s="1683">
        <v>0</v>
      </c>
      <c r="CE338" s="1683">
        <v>0</v>
      </c>
      <c r="CF338" s="1683">
        <v>0</v>
      </c>
      <c r="CG338" s="1683">
        <v>0</v>
      </c>
      <c r="CH338" s="1683">
        <v>0</v>
      </c>
      <c r="CI338" s="1683">
        <v>0</v>
      </c>
      <c r="CJ338" s="1683">
        <v>299.52</v>
      </c>
      <c r="CK338" s="1683">
        <v>299.52</v>
      </c>
      <c r="CL338" s="1682"/>
      <c r="CM338" s="1683">
        <v>0</v>
      </c>
      <c r="CN338" s="1683">
        <v>0</v>
      </c>
      <c r="CO338" s="1683">
        <v>0</v>
      </c>
      <c r="CP338" s="1683">
        <v>0</v>
      </c>
      <c r="CQ338" s="1683">
        <v>0</v>
      </c>
      <c r="CR338" s="1683">
        <v>0</v>
      </c>
      <c r="CS338" s="1683">
        <v>0</v>
      </c>
      <c r="CT338" s="1683">
        <v>0</v>
      </c>
      <c r="CU338" s="1683">
        <v>0</v>
      </c>
      <c r="CV338" s="1683">
        <v>0</v>
      </c>
      <c r="CW338" s="1682"/>
      <c r="CX338" s="1683">
        <v>0</v>
      </c>
      <c r="CY338" s="1683">
        <v>0</v>
      </c>
      <c r="CZ338" s="1683">
        <v>0</v>
      </c>
      <c r="DA338" s="1683">
        <v>0</v>
      </c>
      <c r="DB338" s="1682"/>
      <c r="DC338" s="1326"/>
      <c r="DD338" s="1683">
        <v>0</v>
      </c>
      <c r="DE338" s="1683">
        <v>0</v>
      </c>
      <c r="DF338" s="1683">
        <v>0</v>
      </c>
      <c r="DG338" s="1683">
        <v>0</v>
      </c>
      <c r="DH338" s="1683">
        <v>0</v>
      </c>
    </row>
    <row r="339" spans="1:112" ht="78.75">
      <c r="A339" s="1326" t="s">
        <v>2355</v>
      </c>
      <c r="B339" s="1326" t="s">
        <v>1700</v>
      </c>
      <c r="C339" s="1326" t="s">
        <v>2561</v>
      </c>
      <c r="D339" s="1326" t="s">
        <v>2562</v>
      </c>
      <c r="E339" s="1326" t="s">
        <v>143</v>
      </c>
      <c r="F339" s="1326" t="s">
        <v>2555</v>
      </c>
      <c r="G339" s="1326" t="s">
        <v>2556</v>
      </c>
      <c r="H339" s="1326" t="s">
        <v>2541</v>
      </c>
      <c r="I339" s="1326" t="s">
        <v>1236</v>
      </c>
      <c r="J339" s="1326" t="s">
        <v>317</v>
      </c>
      <c r="K339" s="1326" t="s">
        <v>2069</v>
      </c>
      <c r="L339" s="1326" t="s">
        <v>2061</v>
      </c>
      <c r="M339" s="1400"/>
      <c r="N339" s="1400"/>
      <c r="O339" s="1400"/>
      <c r="P339" s="1400"/>
      <c r="Q339" s="1400"/>
      <c r="R339" s="1400"/>
      <c r="S339" s="1400"/>
      <c r="T339" s="1400"/>
      <c r="U339" s="1400"/>
      <c r="V339" s="1400"/>
      <c r="W339" s="1400"/>
      <c r="X339" s="1400"/>
      <c r="Y339" s="1682"/>
      <c r="Z339" s="1326"/>
      <c r="AA339" s="1683">
        <v>0</v>
      </c>
      <c r="AB339" s="1683">
        <v>0</v>
      </c>
      <c r="AC339" s="1683">
        <v>0</v>
      </c>
      <c r="AD339" s="1682"/>
      <c r="AE339" s="1326" t="s">
        <v>2171</v>
      </c>
      <c r="AF339" s="1326"/>
      <c r="AG339" s="1410" t="s">
        <v>2172</v>
      </c>
      <c r="AH339" s="1683">
        <v>0</v>
      </c>
      <c r="AI339" s="1683">
        <v>0</v>
      </c>
      <c r="AJ339" s="1683">
        <v>0</v>
      </c>
      <c r="AK339" s="1683">
        <v>0</v>
      </c>
      <c r="AL339" s="1683">
        <v>0</v>
      </c>
      <c r="AM339" s="1685">
        <v>43419</v>
      </c>
      <c r="AN339" s="1683">
        <v>-1999.53</v>
      </c>
      <c r="AO339" s="1683">
        <v>-1999.53</v>
      </c>
      <c r="AP339" s="1683">
        <v>-1235.52</v>
      </c>
      <c r="AQ339" s="1683">
        <v>-1235.52</v>
      </c>
      <c r="AR339" s="1683">
        <v>0</v>
      </c>
      <c r="AS339" s="1683">
        <v>-764.01</v>
      </c>
      <c r="AT339" s="1683">
        <v>0</v>
      </c>
      <c r="AU339" s="1683">
        <v>-764.01</v>
      </c>
      <c r="AV339" s="1683">
        <v>0</v>
      </c>
      <c r="AW339" s="1683">
        <v>0</v>
      </c>
      <c r="AX339" s="1400"/>
      <c r="AY339" s="1400"/>
      <c r="AZ339" s="1400"/>
      <c r="BA339" s="1682"/>
      <c r="BB339" s="1682"/>
      <c r="BC339" s="1400"/>
      <c r="BD339" s="1400"/>
      <c r="BE339" s="1683">
        <v>-1999.53</v>
      </c>
      <c r="BF339" s="1683">
        <v>-1999.53</v>
      </c>
      <c r="BG339" s="1683">
        <v>-1235.52</v>
      </c>
      <c r="BH339" s="1683">
        <v>-1235.52</v>
      </c>
      <c r="BI339" s="1683">
        <v>0</v>
      </c>
      <c r="BJ339" s="1683">
        <v>-764.01</v>
      </c>
      <c r="BK339" s="1683">
        <v>0</v>
      </c>
      <c r="BL339" s="1683">
        <v>-764.01</v>
      </c>
      <c r="BM339" s="1683">
        <v>0</v>
      </c>
      <c r="BN339" s="1683">
        <v>0</v>
      </c>
      <c r="BO339" s="1682"/>
      <c r="BP339" s="1683">
        <v>0</v>
      </c>
      <c r="BQ339" s="1683">
        <v>0</v>
      </c>
      <c r="BR339" s="1683">
        <v>0</v>
      </c>
      <c r="BS339" s="1683">
        <v>0</v>
      </c>
      <c r="BT339" s="1683">
        <v>0</v>
      </c>
      <c r="BU339" s="1683">
        <v>0</v>
      </c>
      <c r="BV339" s="1683">
        <v>0</v>
      </c>
      <c r="BW339" s="1683">
        <v>0</v>
      </c>
      <c r="BX339" s="1683">
        <v>0</v>
      </c>
      <c r="BY339" s="1683">
        <v>0</v>
      </c>
      <c r="BZ339" s="1683">
        <v>0</v>
      </c>
      <c r="CA339" s="1400"/>
      <c r="CB339" s="1682"/>
      <c r="CC339" s="1682"/>
      <c r="CD339" s="1400"/>
      <c r="CE339" s="1400"/>
      <c r="CF339" s="1683">
        <v>0</v>
      </c>
      <c r="CG339" s="1683">
        <v>0</v>
      </c>
      <c r="CH339" s="1683">
        <v>0</v>
      </c>
      <c r="CI339" s="1683">
        <v>0</v>
      </c>
      <c r="CJ339" s="1683">
        <v>0</v>
      </c>
      <c r="CK339" s="1683">
        <v>0</v>
      </c>
      <c r="CL339" s="1682"/>
      <c r="CM339" s="1683">
        <v>0</v>
      </c>
      <c r="CN339" s="1683">
        <v>0</v>
      </c>
      <c r="CO339" s="1683">
        <v>0</v>
      </c>
      <c r="CP339" s="1683">
        <v>0</v>
      </c>
      <c r="CQ339" s="1683">
        <v>0</v>
      </c>
      <c r="CR339" s="1683">
        <v>0</v>
      </c>
      <c r="CS339" s="1683">
        <v>0</v>
      </c>
      <c r="CT339" s="1683">
        <v>0</v>
      </c>
      <c r="CU339" s="1683">
        <v>0</v>
      </c>
      <c r="CV339" s="1683">
        <v>0</v>
      </c>
      <c r="CW339" s="1682"/>
      <c r="CX339" s="1400"/>
      <c r="CY339" s="1400"/>
      <c r="CZ339" s="1400"/>
      <c r="DA339" s="1400"/>
      <c r="DB339" s="1682"/>
      <c r="DC339" s="1326"/>
      <c r="DD339" s="1683">
        <v>0</v>
      </c>
      <c r="DE339" s="1400"/>
      <c r="DF339" s="1400"/>
      <c r="DG339" s="1683">
        <v>0</v>
      </c>
      <c r="DH339" s="1683">
        <v>0</v>
      </c>
    </row>
    <row r="340" spans="1:112" ht="78.75">
      <c r="A340" s="1326" t="s">
        <v>2357</v>
      </c>
      <c r="B340" s="1326" t="s">
        <v>1700</v>
      </c>
      <c r="C340" s="1326" t="s">
        <v>2561</v>
      </c>
      <c r="D340" s="1326" t="s">
        <v>2562</v>
      </c>
      <c r="E340" s="1326" t="s">
        <v>143</v>
      </c>
      <c r="F340" s="1326" t="s">
        <v>2555</v>
      </c>
      <c r="G340" s="1326" t="s">
        <v>2556</v>
      </c>
      <c r="H340" s="1326" t="s">
        <v>2541</v>
      </c>
      <c r="I340" s="1326" t="s">
        <v>1236</v>
      </c>
      <c r="J340" s="1326" t="s">
        <v>317</v>
      </c>
      <c r="K340" s="1326" t="s">
        <v>2069</v>
      </c>
      <c r="L340" s="1326" t="s">
        <v>2061</v>
      </c>
      <c r="M340" s="1400"/>
      <c r="N340" s="1400"/>
      <c r="O340" s="1400"/>
      <c r="P340" s="1400"/>
      <c r="Q340" s="1400"/>
      <c r="R340" s="1400"/>
      <c r="S340" s="1400"/>
      <c r="T340" s="1400"/>
      <c r="U340" s="1400"/>
      <c r="V340" s="1400"/>
      <c r="W340" s="1400"/>
      <c r="X340" s="1400"/>
      <c r="Y340" s="1682"/>
      <c r="Z340" s="1326"/>
      <c r="AA340" s="1683">
        <v>0</v>
      </c>
      <c r="AB340" s="1683">
        <v>0</v>
      </c>
      <c r="AC340" s="1683">
        <v>0</v>
      </c>
      <c r="AD340" s="1682"/>
      <c r="AE340" s="1326" t="s">
        <v>2171</v>
      </c>
      <c r="AF340" s="1326" t="s">
        <v>2174</v>
      </c>
      <c r="AG340" s="1410" t="s">
        <v>2172</v>
      </c>
      <c r="AH340" s="1683">
        <v>-1999.53</v>
      </c>
      <c r="AI340" s="1683">
        <v>-1999.53</v>
      </c>
      <c r="AJ340" s="1683">
        <v>0</v>
      </c>
      <c r="AK340" s="1683">
        <v>0</v>
      </c>
      <c r="AL340" s="1683">
        <v>0</v>
      </c>
      <c r="AM340" s="1682"/>
      <c r="AN340" s="1683">
        <v>0</v>
      </c>
      <c r="AO340" s="1683">
        <v>0</v>
      </c>
      <c r="AP340" s="1683">
        <v>0</v>
      </c>
      <c r="AQ340" s="1683">
        <v>0</v>
      </c>
      <c r="AR340" s="1683">
        <v>0</v>
      </c>
      <c r="AS340" s="1683">
        <v>0</v>
      </c>
      <c r="AT340" s="1683">
        <v>0</v>
      </c>
      <c r="AU340" s="1683">
        <v>0</v>
      </c>
      <c r="AV340" s="1683">
        <v>0</v>
      </c>
      <c r="AW340" s="1683">
        <v>0</v>
      </c>
      <c r="AX340" s="1400"/>
      <c r="AY340" s="1400"/>
      <c r="AZ340" s="1400"/>
      <c r="BA340" s="1682"/>
      <c r="BB340" s="1682"/>
      <c r="BC340" s="1400"/>
      <c r="BD340" s="1400"/>
      <c r="BE340" s="1683">
        <v>0</v>
      </c>
      <c r="BF340" s="1683">
        <v>0</v>
      </c>
      <c r="BG340" s="1683">
        <v>0</v>
      </c>
      <c r="BH340" s="1683">
        <v>0</v>
      </c>
      <c r="BI340" s="1683">
        <v>0</v>
      </c>
      <c r="BJ340" s="1683">
        <v>0</v>
      </c>
      <c r="BK340" s="1683">
        <v>0</v>
      </c>
      <c r="BL340" s="1683">
        <v>0</v>
      </c>
      <c r="BM340" s="1683">
        <v>0</v>
      </c>
      <c r="BN340" s="1683">
        <v>0</v>
      </c>
      <c r="BO340" s="1682"/>
      <c r="BP340" s="1683">
        <v>0</v>
      </c>
      <c r="BQ340" s="1683">
        <v>0</v>
      </c>
      <c r="BR340" s="1683">
        <v>0</v>
      </c>
      <c r="BS340" s="1683">
        <v>0</v>
      </c>
      <c r="BT340" s="1683">
        <v>0</v>
      </c>
      <c r="BU340" s="1683">
        <v>0</v>
      </c>
      <c r="BV340" s="1683">
        <v>0</v>
      </c>
      <c r="BW340" s="1683">
        <v>0</v>
      </c>
      <c r="BX340" s="1683">
        <v>0</v>
      </c>
      <c r="BY340" s="1683">
        <v>0</v>
      </c>
      <c r="BZ340" s="1683">
        <v>0</v>
      </c>
      <c r="CA340" s="1400"/>
      <c r="CB340" s="1682"/>
      <c r="CC340" s="1682"/>
      <c r="CD340" s="1400"/>
      <c r="CE340" s="1400"/>
      <c r="CF340" s="1683">
        <v>0</v>
      </c>
      <c r="CG340" s="1683">
        <v>0</v>
      </c>
      <c r="CH340" s="1683">
        <v>0</v>
      </c>
      <c r="CI340" s="1683">
        <v>0</v>
      </c>
      <c r="CJ340" s="1683">
        <v>0</v>
      </c>
      <c r="CK340" s="1683">
        <v>0</v>
      </c>
      <c r="CL340" s="1682"/>
      <c r="CM340" s="1683">
        <v>0</v>
      </c>
      <c r="CN340" s="1683">
        <v>0</v>
      </c>
      <c r="CO340" s="1683">
        <v>0</v>
      </c>
      <c r="CP340" s="1683">
        <v>0</v>
      </c>
      <c r="CQ340" s="1683">
        <v>0</v>
      </c>
      <c r="CR340" s="1683">
        <v>0</v>
      </c>
      <c r="CS340" s="1683">
        <v>0</v>
      </c>
      <c r="CT340" s="1683">
        <v>0</v>
      </c>
      <c r="CU340" s="1683">
        <v>0</v>
      </c>
      <c r="CV340" s="1683">
        <v>0</v>
      </c>
      <c r="CW340" s="1682"/>
      <c r="CX340" s="1400"/>
      <c r="CY340" s="1400"/>
      <c r="CZ340" s="1400"/>
      <c r="DA340" s="1400"/>
      <c r="DB340" s="1682"/>
      <c r="DC340" s="1326"/>
      <c r="DD340" s="1683">
        <v>0</v>
      </c>
      <c r="DE340" s="1400"/>
      <c r="DF340" s="1400"/>
      <c r="DG340" s="1683">
        <v>0</v>
      </c>
      <c r="DH340" s="1683">
        <v>0</v>
      </c>
    </row>
    <row r="341" spans="1:112" ht="78.75">
      <c r="A341" s="1326" t="s">
        <v>2361</v>
      </c>
      <c r="B341" s="1326" t="s">
        <v>1700</v>
      </c>
      <c r="C341" s="1326" t="s">
        <v>2561</v>
      </c>
      <c r="D341" s="1326" t="s">
        <v>2562</v>
      </c>
      <c r="E341" s="1326" t="s">
        <v>143</v>
      </c>
      <c r="F341" s="1326" t="s">
        <v>2555</v>
      </c>
      <c r="G341" s="1326" t="s">
        <v>2556</v>
      </c>
      <c r="H341" s="1326" t="s">
        <v>2541</v>
      </c>
      <c r="I341" s="1326" t="s">
        <v>1236</v>
      </c>
      <c r="J341" s="1326" t="s">
        <v>317</v>
      </c>
      <c r="K341" s="1326" t="s">
        <v>2069</v>
      </c>
      <c r="L341" s="1326" t="s">
        <v>2061</v>
      </c>
      <c r="M341" s="1400"/>
      <c r="N341" s="1400"/>
      <c r="O341" s="1400"/>
      <c r="P341" s="1400"/>
      <c r="Q341" s="1400"/>
      <c r="R341" s="1400"/>
      <c r="S341" s="1400"/>
      <c r="T341" s="1400"/>
      <c r="U341" s="1400"/>
      <c r="V341" s="1400"/>
      <c r="W341" s="1400"/>
      <c r="X341" s="1400"/>
      <c r="Y341" s="1682"/>
      <c r="Z341" s="1326"/>
      <c r="AA341" s="1683">
        <v>0</v>
      </c>
      <c r="AB341" s="1683">
        <v>0</v>
      </c>
      <c r="AC341" s="1683">
        <v>0</v>
      </c>
      <c r="AD341" s="1682"/>
      <c r="AE341" s="1326" t="s">
        <v>2176</v>
      </c>
      <c r="AF341" s="1326"/>
      <c r="AG341" s="1410" t="s">
        <v>2172</v>
      </c>
      <c r="AH341" s="1683">
        <v>0</v>
      </c>
      <c r="AI341" s="1683">
        <v>0</v>
      </c>
      <c r="AJ341" s="1683">
        <v>0</v>
      </c>
      <c r="AK341" s="1683">
        <v>0</v>
      </c>
      <c r="AL341" s="1683">
        <v>0</v>
      </c>
      <c r="AM341" s="1685">
        <v>43399</v>
      </c>
      <c r="AN341" s="1683">
        <v>-121</v>
      </c>
      <c r="AO341" s="1683">
        <v>-121</v>
      </c>
      <c r="AP341" s="1683">
        <v>-74.77</v>
      </c>
      <c r="AQ341" s="1683">
        <v>-74.77</v>
      </c>
      <c r="AR341" s="1683">
        <v>0</v>
      </c>
      <c r="AS341" s="1683">
        <v>-46.23</v>
      </c>
      <c r="AT341" s="1683">
        <v>0</v>
      </c>
      <c r="AU341" s="1683">
        <v>-46.23</v>
      </c>
      <c r="AV341" s="1683">
        <v>0</v>
      </c>
      <c r="AW341" s="1683">
        <v>0</v>
      </c>
      <c r="AX341" s="1400"/>
      <c r="AY341" s="1400"/>
      <c r="AZ341" s="1400"/>
      <c r="BA341" s="1682"/>
      <c r="BB341" s="1682"/>
      <c r="BC341" s="1400"/>
      <c r="BD341" s="1400"/>
      <c r="BE341" s="1683">
        <v>-121</v>
      </c>
      <c r="BF341" s="1683">
        <v>-121</v>
      </c>
      <c r="BG341" s="1683">
        <v>-74.77</v>
      </c>
      <c r="BH341" s="1683">
        <v>-74.77</v>
      </c>
      <c r="BI341" s="1683">
        <v>0</v>
      </c>
      <c r="BJ341" s="1683">
        <v>-46.23</v>
      </c>
      <c r="BK341" s="1683">
        <v>0</v>
      </c>
      <c r="BL341" s="1683">
        <v>-46.23</v>
      </c>
      <c r="BM341" s="1683">
        <v>0</v>
      </c>
      <c r="BN341" s="1683">
        <v>0</v>
      </c>
      <c r="BO341" s="1682"/>
      <c r="BP341" s="1683">
        <v>0</v>
      </c>
      <c r="BQ341" s="1683">
        <v>0</v>
      </c>
      <c r="BR341" s="1683">
        <v>0</v>
      </c>
      <c r="BS341" s="1683">
        <v>0</v>
      </c>
      <c r="BT341" s="1683">
        <v>0</v>
      </c>
      <c r="BU341" s="1683">
        <v>0</v>
      </c>
      <c r="BV341" s="1683">
        <v>0</v>
      </c>
      <c r="BW341" s="1683">
        <v>0</v>
      </c>
      <c r="BX341" s="1683">
        <v>0</v>
      </c>
      <c r="BY341" s="1683">
        <v>0</v>
      </c>
      <c r="BZ341" s="1683">
        <v>0</v>
      </c>
      <c r="CA341" s="1400"/>
      <c r="CB341" s="1682"/>
      <c r="CC341" s="1682"/>
      <c r="CD341" s="1400"/>
      <c r="CE341" s="1400"/>
      <c r="CF341" s="1683">
        <v>0</v>
      </c>
      <c r="CG341" s="1683">
        <v>0</v>
      </c>
      <c r="CH341" s="1683">
        <v>0</v>
      </c>
      <c r="CI341" s="1683">
        <v>0</v>
      </c>
      <c r="CJ341" s="1683">
        <v>0</v>
      </c>
      <c r="CK341" s="1683">
        <v>0</v>
      </c>
      <c r="CL341" s="1682"/>
      <c r="CM341" s="1683">
        <v>0</v>
      </c>
      <c r="CN341" s="1683">
        <v>0</v>
      </c>
      <c r="CO341" s="1683">
        <v>0</v>
      </c>
      <c r="CP341" s="1683">
        <v>0</v>
      </c>
      <c r="CQ341" s="1683">
        <v>0</v>
      </c>
      <c r="CR341" s="1683">
        <v>0</v>
      </c>
      <c r="CS341" s="1683">
        <v>0</v>
      </c>
      <c r="CT341" s="1683">
        <v>0</v>
      </c>
      <c r="CU341" s="1683">
        <v>0</v>
      </c>
      <c r="CV341" s="1683">
        <v>0</v>
      </c>
      <c r="CW341" s="1682"/>
      <c r="CX341" s="1400"/>
      <c r="CY341" s="1400"/>
      <c r="CZ341" s="1400"/>
      <c r="DA341" s="1400"/>
      <c r="DB341" s="1682"/>
      <c r="DC341" s="1326"/>
      <c r="DD341" s="1683">
        <v>0</v>
      </c>
      <c r="DE341" s="1400"/>
      <c r="DF341" s="1400"/>
      <c r="DG341" s="1683">
        <v>0</v>
      </c>
      <c r="DH341" s="1683">
        <v>0</v>
      </c>
    </row>
    <row r="342" spans="1:112" ht="78.75">
      <c r="A342" s="1326" t="s">
        <v>2362</v>
      </c>
      <c r="B342" s="1326" t="s">
        <v>1700</v>
      </c>
      <c r="C342" s="1326" t="s">
        <v>2561</v>
      </c>
      <c r="D342" s="1326" t="s">
        <v>2562</v>
      </c>
      <c r="E342" s="1326" t="s">
        <v>143</v>
      </c>
      <c r="F342" s="1326" t="s">
        <v>2555</v>
      </c>
      <c r="G342" s="1326" t="s">
        <v>2556</v>
      </c>
      <c r="H342" s="1326" t="s">
        <v>2541</v>
      </c>
      <c r="I342" s="1326" t="s">
        <v>1236</v>
      </c>
      <c r="J342" s="1326" t="s">
        <v>317</v>
      </c>
      <c r="K342" s="1326" t="s">
        <v>2069</v>
      </c>
      <c r="L342" s="1326" t="s">
        <v>2061</v>
      </c>
      <c r="M342" s="1400"/>
      <c r="N342" s="1400"/>
      <c r="O342" s="1400"/>
      <c r="P342" s="1400"/>
      <c r="Q342" s="1400"/>
      <c r="R342" s="1400"/>
      <c r="S342" s="1400"/>
      <c r="T342" s="1400"/>
      <c r="U342" s="1400"/>
      <c r="V342" s="1400"/>
      <c r="W342" s="1400"/>
      <c r="X342" s="1400"/>
      <c r="Y342" s="1682"/>
      <c r="Z342" s="1326"/>
      <c r="AA342" s="1683">
        <v>0</v>
      </c>
      <c r="AB342" s="1683">
        <v>0</v>
      </c>
      <c r="AC342" s="1683">
        <v>0</v>
      </c>
      <c r="AD342" s="1682"/>
      <c r="AE342" s="1326" t="s">
        <v>2176</v>
      </c>
      <c r="AF342" s="1326" t="s">
        <v>2174</v>
      </c>
      <c r="AG342" s="1410" t="s">
        <v>2172</v>
      </c>
      <c r="AH342" s="1683">
        <v>-121</v>
      </c>
      <c r="AI342" s="1683">
        <v>-121</v>
      </c>
      <c r="AJ342" s="1683">
        <v>0</v>
      </c>
      <c r="AK342" s="1683">
        <v>0</v>
      </c>
      <c r="AL342" s="1683">
        <v>0</v>
      </c>
      <c r="AM342" s="1682"/>
      <c r="AN342" s="1683">
        <v>0</v>
      </c>
      <c r="AO342" s="1683">
        <v>0</v>
      </c>
      <c r="AP342" s="1683">
        <v>0</v>
      </c>
      <c r="AQ342" s="1683">
        <v>0</v>
      </c>
      <c r="AR342" s="1683">
        <v>0</v>
      </c>
      <c r="AS342" s="1683">
        <v>0</v>
      </c>
      <c r="AT342" s="1683">
        <v>0</v>
      </c>
      <c r="AU342" s="1683">
        <v>0</v>
      </c>
      <c r="AV342" s="1683">
        <v>0</v>
      </c>
      <c r="AW342" s="1683">
        <v>0</v>
      </c>
      <c r="AX342" s="1400"/>
      <c r="AY342" s="1400"/>
      <c r="AZ342" s="1400"/>
      <c r="BA342" s="1682"/>
      <c r="BB342" s="1682"/>
      <c r="BC342" s="1400"/>
      <c r="BD342" s="1400"/>
      <c r="BE342" s="1683">
        <v>0</v>
      </c>
      <c r="BF342" s="1683">
        <v>0</v>
      </c>
      <c r="BG342" s="1683">
        <v>0</v>
      </c>
      <c r="BH342" s="1683">
        <v>0</v>
      </c>
      <c r="BI342" s="1683">
        <v>0</v>
      </c>
      <c r="BJ342" s="1683">
        <v>0</v>
      </c>
      <c r="BK342" s="1683">
        <v>0</v>
      </c>
      <c r="BL342" s="1683">
        <v>0</v>
      </c>
      <c r="BM342" s="1683">
        <v>0</v>
      </c>
      <c r="BN342" s="1683">
        <v>0</v>
      </c>
      <c r="BO342" s="1682"/>
      <c r="BP342" s="1683">
        <v>0</v>
      </c>
      <c r="BQ342" s="1683">
        <v>0</v>
      </c>
      <c r="BR342" s="1683">
        <v>0</v>
      </c>
      <c r="BS342" s="1683">
        <v>0</v>
      </c>
      <c r="BT342" s="1683">
        <v>0</v>
      </c>
      <c r="BU342" s="1683">
        <v>0</v>
      </c>
      <c r="BV342" s="1683">
        <v>0</v>
      </c>
      <c r="BW342" s="1683">
        <v>0</v>
      </c>
      <c r="BX342" s="1683">
        <v>0</v>
      </c>
      <c r="BY342" s="1683">
        <v>0</v>
      </c>
      <c r="BZ342" s="1683">
        <v>0</v>
      </c>
      <c r="CA342" s="1400"/>
      <c r="CB342" s="1682"/>
      <c r="CC342" s="1682"/>
      <c r="CD342" s="1400"/>
      <c r="CE342" s="1400"/>
      <c r="CF342" s="1683">
        <v>0</v>
      </c>
      <c r="CG342" s="1683">
        <v>0</v>
      </c>
      <c r="CH342" s="1683">
        <v>0</v>
      </c>
      <c r="CI342" s="1683">
        <v>0</v>
      </c>
      <c r="CJ342" s="1683">
        <v>0</v>
      </c>
      <c r="CK342" s="1683">
        <v>0</v>
      </c>
      <c r="CL342" s="1682"/>
      <c r="CM342" s="1683">
        <v>0</v>
      </c>
      <c r="CN342" s="1683">
        <v>0</v>
      </c>
      <c r="CO342" s="1683">
        <v>0</v>
      </c>
      <c r="CP342" s="1683">
        <v>0</v>
      </c>
      <c r="CQ342" s="1683">
        <v>0</v>
      </c>
      <c r="CR342" s="1683">
        <v>0</v>
      </c>
      <c r="CS342" s="1683">
        <v>0</v>
      </c>
      <c r="CT342" s="1683">
        <v>0</v>
      </c>
      <c r="CU342" s="1683">
        <v>0</v>
      </c>
      <c r="CV342" s="1683">
        <v>0</v>
      </c>
      <c r="CW342" s="1682"/>
      <c r="CX342" s="1400"/>
      <c r="CY342" s="1400"/>
      <c r="CZ342" s="1400"/>
      <c r="DA342" s="1400"/>
      <c r="DB342" s="1682"/>
      <c r="DC342" s="1326"/>
      <c r="DD342" s="1683">
        <v>0</v>
      </c>
      <c r="DE342" s="1400"/>
      <c r="DF342" s="1400"/>
      <c r="DG342" s="1683">
        <v>0</v>
      </c>
      <c r="DH342" s="1683">
        <v>0</v>
      </c>
    </row>
    <row r="343" spans="1:112" ht="78.75">
      <c r="A343" s="1326" t="s">
        <v>2363</v>
      </c>
      <c r="B343" s="1326" t="s">
        <v>1700</v>
      </c>
      <c r="C343" s="1326" t="s">
        <v>2561</v>
      </c>
      <c r="D343" s="1326" t="s">
        <v>2562</v>
      </c>
      <c r="E343" s="1326" t="s">
        <v>143</v>
      </c>
      <c r="F343" s="1326" t="s">
        <v>2555</v>
      </c>
      <c r="G343" s="1326" t="s">
        <v>2556</v>
      </c>
      <c r="H343" s="1326" t="s">
        <v>2541</v>
      </c>
      <c r="I343" s="1326" t="s">
        <v>1236</v>
      </c>
      <c r="J343" s="1326" t="s">
        <v>317</v>
      </c>
      <c r="K343" s="1326" t="s">
        <v>2069</v>
      </c>
      <c r="L343" s="1326" t="s">
        <v>2061</v>
      </c>
      <c r="M343" s="1400"/>
      <c r="N343" s="1400"/>
      <c r="O343" s="1400"/>
      <c r="P343" s="1400"/>
      <c r="Q343" s="1400"/>
      <c r="R343" s="1400"/>
      <c r="S343" s="1400"/>
      <c r="T343" s="1400"/>
      <c r="U343" s="1400"/>
      <c r="V343" s="1400"/>
      <c r="W343" s="1400"/>
      <c r="X343" s="1400"/>
      <c r="Y343" s="1682"/>
      <c r="Z343" s="1326"/>
      <c r="AA343" s="1683">
        <v>0</v>
      </c>
      <c r="AB343" s="1683">
        <v>0</v>
      </c>
      <c r="AC343" s="1683">
        <v>0</v>
      </c>
      <c r="AD343" s="1682"/>
      <c r="AE343" s="1326" t="s">
        <v>3552</v>
      </c>
      <c r="AF343" s="1326"/>
      <c r="AG343" s="1410" t="s">
        <v>2172</v>
      </c>
      <c r="AH343" s="1683">
        <v>0</v>
      </c>
      <c r="AI343" s="1683">
        <v>0</v>
      </c>
      <c r="AJ343" s="1683">
        <v>0</v>
      </c>
      <c r="AK343" s="1683">
        <v>0</v>
      </c>
      <c r="AL343" s="1683">
        <v>0</v>
      </c>
      <c r="AM343" s="1685">
        <v>43433</v>
      </c>
      <c r="AN343" s="1683">
        <v>-21.42</v>
      </c>
      <c r="AO343" s="1683">
        <v>-21.42</v>
      </c>
      <c r="AP343" s="1683">
        <v>-13.24</v>
      </c>
      <c r="AQ343" s="1683">
        <v>-13.24</v>
      </c>
      <c r="AR343" s="1683">
        <v>0</v>
      </c>
      <c r="AS343" s="1683">
        <v>-8.18</v>
      </c>
      <c r="AT343" s="1683">
        <v>0</v>
      </c>
      <c r="AU343" s="1683">
        <v>-8.18</v>
      </c>
      <c r="AV343" s="1683">
        <v>0</v>
      </c>
      <c r="AW343" s="1683">
        <v>0</v>
      </c>
      <c r="AX343" s="1400"/>
      <c r="AY343" s="1400"/>
      <c r="AZ343" s="1400"/>
      <c r="BA343" s="1682"/>
      <c r="BB343" s="1682"/>
      <c r="BC343" s="1400"/>
      <c r="BD343" s="1400"/>
      <c r="BE343" s="1683">
        <v>-21.42</v>
      </c>
      <c r="BF343" s="1683">
        <v>-21.42</v>
      </c>
      <c r="BG343" s="1683">
        <v>-13.24</v>
      </c>
      <c r="BH343" s="1683">
        <v>-13.24</v>
      </c>
      <c r="BI343" s="1683">
        <v>0</v>
      </c>
      <c r="BJ343" s="1683">
        <v>-8.18</v>
      </c>
      <c r="BK343" s="1683">
        <v>0</v>
      </c>
      <c r="BL343" s="1683">
        <v>-8.18</v>
      </c>
      <c r="BM343" s="1683">
        <v>0</v>
      </c>
      <c r="BN343" s="1683">
        <v>0</v>
      </c>
      <c r="BO343" s="1682"/>
      <c r="BP343" s="1683">
        <v>0</v>
      </c>
      <c r="BQ343" s="1683">
        <v>0</v>
      </c>
      <c r="BR343" s="1683">
        <v>0</v>
      </c>
      <c r="BS343" s="1683">
        <v>0</v>
      </c>
      <c r="BT343" s="1683">
        <v>0</v>
      </c>
      <c r="BU343" s="1683">
        <v>0</v>
      </c>
      <c r="BV343" s="1683">
        <v>0</v>
      </c>
      <c r="BW343" s="1683">
        <v>0</v>
      </c>
      <c r="BX343" s="1683">
        <v>0</v>
      </c>
      <c r="BY343" s="1683">
        <v>0</v>
      </c>
      <c r="BZ343" s="1683">
        <v>0</v>
      </c>
      <c r="CA343" s="1400"/>
      <c r="CB343" s="1682"/>
      <c r="CC343" s="1682"/>
      <c r="CD343" s="1400"/>
      <c r="CE343" s="1400"/>
      <c r="CF343" s="1683">
        <v>0</v>
      </c>
      <c r="CG343" s="1683">
        <v>0</v>
      </c>
      <c r="CH343" s="1683">
        <v>0</v>
      </c>
      <c r="CI343" s="1683">
        <v>0</v>
      </c>
      <c r="CJ343" s="1683">
        <v>0</v>
      </c>
      <c r="CK343" s="1683">
        <v>0</v>
      </c>
      <c r="CL343" s="1682"/>
      <c r="CM343" s="1683">
        <v>0</v>
      </c>
      <c r="CN343" s="1683">
        <v>0</v>
      </c>
      <c r="CO343" s="1683">
        <v>0</v>
      </c>
      <c r="CP343" s="1683">
        <v>0</v>
      </c>
      <c r="CQ343" s="1683">
        <v>0</v>
      </c>
      <c r="CR343" s="1683">
        <v>0</v>
      </c>
      <c r="CS343" s="1683">
        <v>0</v>
      </c>
      <c r="CT343" s="1683">
        <v>0</v>
      </c>
      <c r="CU343" s="1683">
        <v>0</v>
      </c>
      <c r="CV343" s="1683">
        <v>0</v>
      </c>
      <c r="CW343" s="1682"/>
      <c r="CX343" s="1400"/>
      <c r="CY343" s="1400"/>
      <c r="CZ343" s="1400"/>
      <c r="DA343" s="1400"/>
      <c r="DB343" s="1682"/>
      <c r="DC343" s="1326"/>
      <c r="DD343" s="1683">
        <v>0</v>
      </c>
      <c r="DE343" s="1400"/>
      <c r="DF343" s="1400"/>
      <c r="DG343" s="1683">
        <v>0</v>
      </c>
      <c r="DH343" s="1683">
        <v>0</v>
      </c>
    </row>
    <row r="344" spans="1:112" ht="78.75">
      <c r="A344" s="1326" t="s">
        <v>2364</v>
      </c>
      <c r="B344" s="1326" t="s">
        <v>1700</v>
      </c>
      <c r="C344" s="1326" t="s">
        <v>2561</v>
      </c>
      <c r="D344" s="1326" t="s">
        <v>2562</v>
      </c>
      <c r="E344" s="1326" t="s">
        <v>143</v>
      </c>
      <c r="F344" s="1326" t="s">
        <v>2555</v>
      </c>
      <c r="G344" s="1326" t="s">
        <v>2556</v>
      </c>
      <c r="H344" s="1326" t="s">
        <v>2541</v>
      </c>
      <c r="I344" s="1326" t="s">
        <v>1236</v>
      </c>
      <c r="J344" s="1326" t="s">
        <v>317</v>
      </c>
      <c r="K344" s="1326" t="s">
        <v>2069</v>
      </c>
      <c r="L344" s="1326" t="s">
        <v>2061</v>
      </c>
      <c r="M344" s="1400"/>
      <c r="N344" s="1400"/>
      <c r="O344" s="1400"/>
      <c r="P344" s="1400"/>
      <c r="Q344" s="1400"/>
      <c r="R344" s="1400"/>
      <c r="S344" s="1400"/>
      <c r="T344" s="1400"/>
      <c r="U344" s="1400"/>
      <c r="V344" s="1400"/>
      <c r="W344" s="1400"/>
      <c r="X344" s="1400"/>
      <c r="Y344" s="1682"/>
      <c r="Z344" s="1326"/>
      <c r="AA344" s="1683">
        <v>0</v>
      </c>
      <c r="AB344" s="1683">
        <v>0</v>
      </c>
      <c r="AC344" s="1683">
        <v>0</v>
      </c>
      <c r="AD344" s="1682"/>
      <c r="AE344" s="1326" t="s">
        <v>3552</v>
      </c>
      <c r="AF344" s="1326" t="s">
        <v>2174</v>
      </c>
      <c r="AG344" s="1410" t="s">
        <v>2172</v>
      </c>
      <c r="AH344" s="1683">
        <v>-21.42</v>
      </c>
      <c r="AI344" s="1683">
        <v>-21.42</v>
      </c>
      <c r="AJ344" s="1683">
        <v>0</v>
      </c>
      <c r="AK344" s="1683">
        <v>0</v>
      </c>
      <c r="AL344" s="1683">
        <v>0</v>
      </c>
      <c r="AM344" s="1682"/>
      <c r="AN344" s="1683">
        <v>0</v>
      </c>
      <c r="AO344" s="1683">
        <v>0</v>
      </c>
      <c r="AP344" s="1683">
        <v>0</v>
      </c>
      <c r="AQ344" s="1683">
        <v>0</v>
      </c>
      <c r="AR344" s="1683">
        <v>0</v>
      </c>
      <c r="AS344" s="1683">
        <v>0</v>
      </c>
      <c r="AT344" s="1683">
        <v>0</v>
      </c>
      <c r="AU344" s="1683">
        <v>0</v>
      </c>
      <c r="AV344" s="1683">
        <v>0</v>
      </c>
      <c r="AW344" s="1683">
        <v>0</v>
      </c>
      <c r="AX344" s="1400"/>
      <c r="AY344" s="1400"/>
      <c r="AZ344" s="1400"/>
      <c r="BA344" s="1682"/>
      <c r="BB344" s="1682"/>
      <c r="BC344" s="1400"/>
      <c r="BD344" s="1400"/>
      <c r="BE344" s="1683">
        <v>0</v>
      </c>
      <c r="BF344" s="1683">
        <v>0</v>
      </c>
      <c r="BG344" s="1683">
        <v>0</v>
      </c>
      <c r="BH344" s="1683">
        <v>0</v>
      </c>
      <c r="BI344" s="1683">
        <v>0</v>
      </c>
      <c r="BJ344" s="1683">
        <v>0</v>
      </c>
      <c r="BK344" s="1683">
        <v>0</v>
      </c>
      <c r="BL344" s="1683">
        <v>0</v>
      </c>
      <c r="BM344" s="1683">
        <v>0</v>
      </c>
      <c r="BN344" s="1683">
        <v>0</v>
      </c>
      <c r="BO344" s="1682"/>
      <c r="BP344" s="1683">
        <v>0</v>
      </c>
      <c r="BQ344" s="1683">
        <v>0</v>
      </c>
      <c r="BR344" s="1683">
        <v>0</v>
      </c>
      <c r="BS344" s="1683">
        <v>0</v>
      </c>
      <c r="BT344" s="1683">
        <v>0</v>
      </c>
      <c r="BU344" s="1683">
        <v>0</v>
      </c>
      <c r="BV344" s="1683">
        <v>0</v>
      </c>
      <c r="BW344" s="1683">
        <v>0</v>
      </c>
      <c r="BX344" s="1683">
        <v>0</v>
      </c>
      <c r="BY344" s="1683">
        <v>0</v>
      </c>
      <c r="BZ344" s="1683">
        <v>0</v>
      </c>
      <c r="CA344" s="1400"/>
      <c r="CB344" s="1682"/>
      <c r="CC344" s="1682"/>
      <c r="CD344" s="1400"/>
      <c r="CE344" s="1400"/>
      <c r="CF344" s="1683">
        <v>0</v>
      </c>
      <c r="CG344" s="1683">
        <v>0</v>
      </c>
      <c r="CH344" s="1683">
        <v>0</v>
      </c>
      <c r="CI344" s="1683">
        <v>0</v>
      </c>
      <c r="CJ344" s="1683">
        <v>0</v>
      </c>
      <c r="CK344" s="1683">
        <v>0</v>
      </c>
      <c r="CL344" s="1682"/>
      <c r="CM344" s="1683">
        <v>0</v>
      </c>
      <c r="CN344" s="1683">
        <v>0</v>
      </c>
      <c r="CO344" s="1683">
        <v>0</v>
      </c>
      <c r="CP344" s="1683">
        <v>0</v>
      </c>
      <c r="CQ344" s="1683">
        <v>0</v>
      </c>
      <c r="CR344" s="1683">
        <v>0</v>
      </c>
      <c r="CS344" s="1683">
        <v>0</v>
      </c>
      <c r="CT344" s="1683">
        <v>0</v>
      </c>
      <c r="CU344" s="1683">
        <v>0</v>
      </c>
      <c r="CV344" s="1683">
        <v>0</v>
      </c>
      <c r="CW344" s="1682"/>
      <c r="CX344" s="1400"/>
      <c r="CY344" s="1400"/>
      <c r="CZ344" s="1400"/>
      <c r="DA344" s="1400"/>
      <c r="DB344" s="1682"/>
      <c r="DC344" s="1326"/>
      <c r="DD344" s="1683">
        <v>0</v>
      </c>
      <c r="DE344" s="1400"/>
      <c r="DF344" s="1400"/>
      <c r="DG344" s="1683">
        <v>0</v>
      </c>
      <c r="DH344" s="1683">
        <v>0</v>
      </c>
    </row>
    <row r="345" spans="1:112" ht="78.75">
      <c r="A345" s="1326" t="s">
        <v>2365</v>
      </c>
      <c r="B345" s="1326" t="s">
        <v>1700</v>
      </c>
      <c r="C345" s="1326" t="s">
        <v>2561</v>
      </c>
      <c r="D345" s="1326" t="s">
        <v>2562</v>
      </c>
      <c r="E345" s="1326" t="s">
        <v>143</v>
      </c>
      <c r="F345" s="1326" t="s">
        <v>2555</v>
      </c>
      <c r="G345" s="1326" t="s">
        <v>2556</v>
      </c>
      <c r="H345" s="1326" t="s">
        <v>2541</v>
      </c>
      <c r="I345" s="1326" t="s">
        <v>1236</v>
      </c>
      <c r="J345" s="1326" t="s">
        <v>317</v>
      </c>
      <c r="K345" s="1326" t="s">
        <v>2069</v>
      </c>
      <c r="L345" s="1326" t="s">
        <v>2061</v>
      </c>
      <c r="M345" s="1400"/>
      <c r="N345" s="1400"/>
      <c r="O345" s="1400"/>
      <c r="P345" s="1400"/>
      <c r="Q345" s="1400"/>
      <c r="R345" s="1400"/>
      <c r="S345" s="1400"/>
      <c r="T345" s="1400"/>
      <c r="U345" s="1400"/>
      <c r="V345" s="1400"/>
      <c r="W345" s="1400"/>
      <c r="X345" s="1400"/>
      <c r="Y345" s="1685">
        <v>43300</v>
      </c>
      <c r="Z345" s="1326" t="s">
        <v>2062</v>
      </c>
      <c r="AA345" s="1683">
        <v>0</v>
      </c>
      <c r="AB345" s="1683">
        <v>0</v>
      </c>
      <c r="AC345" s="1683">
        <v>0</v>
      </c>
      <c r="AD345" s="1685">
        <v>43336</v>
      </c>
      <c r="AE345" s="1326" t="s">
        <v>2063</v>
      </c>
      <c r="AF345" s="1326" t="s">
        <v>2064</v>
      </c>
      <c r="AG345" s="1410"/>
      <c r="AH345" s="1683">
        <v>22641.64</v>
      </c>
      <c r="AI345" s="1683">
        <v>22641.64</v>
      </c>
      <c r="AJ345" s="1683">
        <v>13990.36</v>
      </c>
      <c r="AK345" s="1683">
        <v>13990.36</v>
      </c>
      <c r="AL345" s="1683">
        <v>0</v>
      </c>
      <c r="AM345" s="1685">
        <v>43336</v>
      </c>
      <c r="AN345" s="1683">
        <v>22641.64</v>
      </c>
      <c r="AO345" s="1683">
        <v>22641.64</v>
      </c>
      <c r="AP345" s="1683">
        <v>13990.36</v>
      </c>
      <c r="AQ345" s="1683">
        <v>13990.36</v>
      </c>
      <c r="AR345" s="1683">
        <v>0</v>
      </c>
      <c r="AS345" s="1683">
        <v>8651.2800000000007</v>
      </c>
      <c r="AT345" s="1683">
        <v>0</v>
      </c>
      <c r="AU345" s="1683">
        <v>8651.2800000000007</v>
      </c>
      <c r="AV345" s="1683">
        <v>0</v>
      </c>
      <c r="AW345" s="1683">
        <v>0</v>
      </c>
      <c r="AX345" s="1400"/>
      <c r="AY345" s="1400"/>
      <c r="AZ345" s="1400"/>
      <c r="BA345" s="1682"/>
      <c r="BB345" s="1682"/>
      <c r="BC345" s="1400"/>
      <c r="BD345" s="1400"/>
      <c r="BE345" s="1683">
        <v>22641.64</v>
      </c>
      <c r="BF345" s="1683">
        <v>22641.64</v>
      </c>
      <c r="BG345" s="1683">
        <v>13990.36</v>
      </c>
      <c r="BH345" s="1683">
        <v>13990.36</v>
      </c>
      <c r="BI345" s="1683">
        <v>0</v>
      </c>
      <c r="BJ345" s="1683">
        <v>8651.2800000000007</v>
      </c>
      <c r="BK345" s="1683">
        <v>0</v>
      </c>
      <c r="BL345" s="1683">
        <v>8651.2800000000007</v>
      </c>
      <c r="BM345" s="1683">
        <v>0</v>
      </c>
      <c r="BN345" s="1683">
        <v>0</v>
      </c>
      <c r="BO345" s="1685">
        <v>43403</v>
      </c>
      <c r="BP345" s="1683">
        <v>22641.64</v>
      </c>
      <c r="BQ345" s="1683">
        <v>22641.64</v>
      </c>
      <c r="BR345" s="1683">
        <v>13990.36</v>
      </c>
      <c r="BS345" s="1683">
        <v>13990.36</v>
      </c>
      <c r="BT345" s="1683">
        <v>0</v>
      </c>
      <c r="BU345" s="1683">
        <v>8651.2800000000007</v>
      </c>
      <c r="BV345" s="1683">
        <v>0</v>
      </c>
      <c r="BW345" s="1683">
        <v>0</v>
      </c>
      <c r="BX345" s="1683">
        <v>0</v>
      </c>
      <c r="BY345" s="1683">
        <v>0</v>
      </c>
      <c r="BZ345" s="1683">
        <v>0</v>
      </c>
      <c r="CA345" s="1400"/>
      <c r="CB345" s="1682"/>
      <c r="CC345" s="1682"/>
      <c r="CD345" s="1400"/>
      <c r="CE345" s="1400"/>
      <c r="CF345" s="1683">
        <v>0</v>
      </c>
      <c r="CG345" s="1683">
        <v>0</v>
      </c>
      <c r="CH345" s="1683">
        <v>0</v>
      </c>
      <c r="CI345" s="1683">
        <v>0</v>
      </c>
      <c r="CJ345" s="1683">
        <v>226.39</v>
      </c>
      <c r="CK345" s="1683">
        <v>226.39</v>
      </c>
      <c r="CL345" s="1682"/>
      <c r="CM345" s="1683">
        <v>0</v>
      </c>
      <c r="CN345" s="1683">
        <v>0</v>
      </c>
      <c r="CO345" s="1683">
        <v>0</v>
      </c>
      <c r="CP345" s="1683">
        <v>0</v>
      </c>
      <c r="CQ345" s="1683">
        <v>0</v>
      </c>
      <c r="CR345" s="1683">
        <v>0</v>
      </c>
      <c r="CS345" s="1683">
        <v>0</v>
      </c>
      <c r="CT345" s="1683">
        <v>0</v>
      </c>
      <c r="CU345" s="1683">
        <v>0</v>
      </c>
      <c r="CV345" s="1683">
        <v>0</v>
      </c>
      <c r="CW345" s="1682"/>
      <c r="CX345" s="1400"/>
      <c r="CY345" s="1400"/>
      <c r="CZ345" s="1400"/>
      <c r="DA345" s="1400"/>
      <c r="DB345" s="1682"/>
      <c r="DC345" s="1326"/>
      <c r="DD345" s="1683">
        <v>0</v>
      </c>
      <c r="DE345" s="1400"/>
      <c r="DF345" s="1400"/>
      <c r="DG345" s="1683">
        <v>0</v>
      </c>
      <c r="DH345" s="1683">
        <v>0</v>
      </c>
    </row>
    <row r="346" spans="1:112" ht="78.75">
      <c r="A346" s="1326" t="s">
        <v>2366</v>
      </c>
      <c r="B346" s="1326" t="s">
        <v>1700</v>
      </c>
      <c r="C346" s="1326" t="s">
        <v>2561</v>
      </c>
      <c r="D346" s="1326" t="s">
        <v>2562</v>
      </c>
      <c r="E346" s="1326" t="s">
        <v>143</v>
      </c>
      <c r="F346" s="1326" t="s">
        <v>2555</v>
      </c>
      <c r="G346" s="1326" t="s">
        <v>2556</v>
      </c>
      <c r="H346" s="1326" t="s">
        <v>2541</v>
      </c>
      <c r="I346" s="1326" t="s">
        <v>1236</v>
      </c>
      <c r="J346" s="1326" t="s">
        <v>317</v>
      </c>
      <c r="K346" s="1326" t="s">
        <v>2069</v>
      </c>
      <c r="L346" s="1326" t="s">
        <v>2061</v>
      </c>
      <c r="M346" s="1400"/>
      <c r="N346" s="1400"/>
      <c r="O346" s="1400"/>
      <c r="P346" s="1400"/>
      <c r="Q346" s="1400"/>
      <c r="R346" s="1400"/>
      <c r="S346" s="1400"/>
      <c r="T346" s="1400"/>
      <c r="U346" s="1400"/>
      <c r="V346" s="1400"/>
      <c r="W346" s="1400"/>
      <c r="X346" s="1400"/>
      <c r="Y346" s="1685">
        <v>43388</v>
      </c>
      <c r="Z346" s="1326" t="s">
        <v>2062</v>
      </c>
      <c r="AA346" s="1683">
        <v>0</v>
      </c>
      <c r="AB346" s="1683">
        <v>0</v>
      </c>
      <c r="AC346" s="1683">
        <v>0</v>
      </c>
      <c r="AD346" s="1685">
        <v>43423</v>
      </c>
      <c r="AE346" s="1326" t="s">
        <v>2066</v>
      </c>
      <c r="AF346" s="1326" t="s">
        <v>2064</v>
      </c>
      <c r="AG346" s="1410"/>
      <c r="AH346" s="1683">
        <v>7314.13</v>
      </c>
      <c r="AI346" s="1683">
        <v>7314.13</v>
      </c>
      <c r="AJ346" s="1683">
        <v>4444.66</v>
      </c>
      <c r="AK346" s="1683">
        <v>4444.66</v>
      </c>
      <c r="AL346" s="1683">
        <v>0</v>
      </c>
      <c r="AM346" s="1685">
        <v>43423</v>
      </c>
      <c r="AN346" s="1683">
        <v>7314.13</v>
      </c>
      <c r="AO346" s="1683">
        <v>7314.13</v>
      </c>
      <c r="AP346" s="1683">
        <v>4519.43</v>
      </c>
      <c r="AQ346" s="1683">
        <v>4519.43</v>
      </c>
      <c r="AR346" s="1683">
        <v>0</v>
      </c>
      <c r="AS346" s="1683">
        <v>2794.7</v>
      </c>
      <c r="AT346" s="1683">
        <v>0</v>
      </c>
      <c r="AU346" s="1683">
        <v>2794.7</v>
      </c>
      <c r="AV346" s="1683">
        <v>0</v>
      </c>
      <c r="AW346" s="1683">
        <v>0</v>
      </c>
      <c r="AX346" s="1400"/>
      <c r="AY346" s="1400"/>
      <c r="AZ346" s="1400"/>
      <c r="BA346" s="1682"/>
      <c r="BB346" s="1682"/>
      <c r="BC346" s="1400"/>
      <c r="BD346" s="1400"/>
      <c r="BE346" s="1683">
        <v>7314.13</v>
      </c>
      <c r="BF346" s="1683">
        <v>7314.13</v>
      </c>
      <c r="BG346" s="1683">
        <v>4519.43</v>
      </c>
      <c r="BH346" s="1683">
        <v>4519.43</v>
      </c>
      <c r="BI346" s="1683">
        <v>0</v>
      </c>
      <c r="BJ346" s="1683">
        <v>2794.7</v>
      </c>
      <c r="BK346" s="1683">
        <v>0</v>
      </c>
      <c r="BL346" s="1683">
        <v>2794.7</v>
      </c>
      <c r="BM346" s="1683">
        <v>0</v>
      </c>
      <c r="BN346" s="1683">
        <v>0</v>
      </c>
      <c r="BO346" s="1685">
        <v>43453</v>
      </c>
      <c r="BP346" s="1683">
        <v>7314.13</v>
      </c>
      <c r="BQ346" s="1683">
        <v>7314.13</v>
      </c>
      <c r="BR346" s="1683">
        <v>4519.43</v>
      </c>
      <c r="BS346" s="1683">
        <v>4519.43</v>
      </c>
      <c r="BT346" s="1683">
        <v>0</v>
      </c>
      <c r="BU346" s="1683">
        <v>2794.7</v>
      </c>
      <c r="BV346" s="1683">
        <v>0</v>
      </c>
      <c r="BW346" s="1683">
        <v>0</v>
      </c>
      <c r="BX346" s="1683">
        <v>0</v>
      </c>
      <c r="BY346" s="1683">
        <v>0</v>
      </c>
      <c r="BZ346" s="1683">
        <v>0</v>
      </c>
      <c r="CA346" s="1400"/>
      <c r="CB346" s="1682"/>
      <c r="CC346" s="1682"/>
      <c r="CD346" s="1400"/>
      <c r="CE346" s="1400"/>
      <c r="CF346" s="1683">
        <v>0</v>
      </c>
      <c r="CG346" s="1683">
        <v>0</v>
      </c>
      <c r="CH346" s="1683">
        <v>0</v>
      </c>
      <c r="CI346" s="1683">
        <v>0</v>
      </c>
      <c r="CJ346" s="1683">
        <v>73.13</v>
      </c>
      <c r="CK346" s="1683">
        <v>73.13</v>
      </c>
      <c r="CL346" s="1682"/>
      <c r="CM346" s="1683">
        <v>0</v>
      </c>
      <c r="CN346" s="1683">
        <v>0</v>
      </c>
      <c r="CO346" s="1683">
        <v>0</v>
      </c>
      <c r="CP346" s="1683">
        <v>0</v>
      </c>
      <c r="CQ346" s="1683">
        <v>0</v>
      </c>
      <c r="CR346" s="1683">
        <v>0</v>
      </c>
      <c r="CS346" s="1683">
        <v>0</v>
      </c>
      <c r="CT346" s="1683">
        <v>0</v>
      </c>
      <c r="CU346" s="1683">
        <v>0</v>
      </c>
      <c r="CV346" s="1683">
        <v>0</v>
      </c>
      <c r="CW346" s="1682"/>
      <c r="CX346" s="1400"/>
      <c r="CY346" s="1400"/>
      <c r="CZ346" s="1400"/>
      <c r="DA346" s="1400"/>
      <c r="DB346" s="1682"/>
      <c r="DC346" s="1326"/>
      <c r="DD346" s="1683">
        <v>0</v>
      </c>
      <c r="DE346" s="1400"/>
      <c r="DF346" s="1400"/>
      <c r="DG346" s="1683">
        <v>0</v>
      </c>
      <c r="DH346" s="1683">
        <v>0</v>
      </c>
    </row>
    <row r="347" spans="1:112" ht="78.75">
      <c r="A347" s="1326" t="s">
        <v>2367</v>
      </c>
      <c r="B347" s="1326" t="s">
        <v>1700</v>
      </c>
      <c r="C347" s="1326" t="s">
        <v>2561</v>
      </c>
      <c r="D347" s="1326" t="s">
        <v>2562</v>
      </c>
      <c r="E347" s="1326" t="s">
        <v>143</v>
      </c>
      <c r="F347" s="1326" t="s">
        <v>2555</v>
      </c>
      <c r="G347" s="1326" t="s">
        <v>2556</v>
      </c>
      <c r="H347" s="1326" t="s">
        <v>2541</v>
      </c>
      <c r="I347" s="1326" t="s">
        <v>1236</v>
      </c>
      <c r="J347" s="1326" t="s">
        <v>317</v>
      </c>
      <c r="K347" s="1326" t="s">
        <v>2069</v>
      </c>
      <c r="L347" s="1326" t="s">
        <v>2061</v>
      </c>
      <c r="M347" s="1400"/>
      <c r="N347" s="1400"/>
      <c r="O347" s="1400"/>
      <c r="P347" s="1400"/>
      <c r="Q347" s="1400"/>
      <c r="R347" s="1400"/>
      <c r="S347" s="1400"/>
      <c r="T347" s="1400"/>
      <c r="U347" s="1400"/>
      <c r="V347" s="1400"/>
      <c r="W347" s="1400"/>
      <c r="X347" s="1400"/>
      <c r="Y347" s="1685">
        <v>43479</v>
      </c>
      <c r="Z347" s="1326" t="s">
        <v>2062</v>
      </c>
      <c r="AA347" s="1683">
        <v>0</v>
      </c>
      <c r="AB347" s="1683">
        <v>0</v>
      </c>
      <c r="AC347" s="1683">
        <v>0</v>
      </c>
      <c r="AD347" s="1685">
        <v>43510</v>
      </c>
      <c r="AE347" s="1326" t="s">
        <v>2079</v>
      </c>
      <c r="AF347" s="1326" t="s">
        <v>2067</v>
      </c>
      <c r="AG347" s="1410"/>
      <c r="AH347" s="1683">
        <v>11315.3</v>
      </c>
      <c r="AI347" s="1683">
        <v>11315.3</v>
      </c>
      <c r="AJ347" s="1683">
        <v>5743.02</v>
      </c>
      <c r="AK347" s="1683">
        <v>5743.02</v>
      </c>
      <c r="AL347" s="1683">
        <v>0</v>
      </c>
      <c r="AM347" s="1685">
        <v>43515</v>
      </c>
      <c r="AN347" s="1683">
        <v>11315.3</v>
      </c>
      <c r="AO347" s="1683">
        <v>11315.3</v>
      </c>
      <c r="AP347" s="1683">
        <v>6991.78</v>
      </c>
      <c r="AQ347" s="1683">
        <v>6991.78</v>
      </c>
      <c r="AR347" s="1683">
        <v>0</v>
      </c>
      <c r="AS347" s="1683">
        <v>4323.5200000000004</v>
      </c>
      <c r="AT347" s="1683">
        <v>0</v>
      </c>
      <c r="AU347" s="1683">
        <v>4323.5200000000004</v>
      </c>
      <c r="AV347" s="1683">
        <v>0</v>
      </c>
      <c r="AW347" s="1683">
        <v>0</v>
      </c>
      <c r="AX347" s="1400"/>
      <c r="AY347" s="1400"/>
      <c r="AZ347" s="1400"/>
      <c r="BA347" s="1682"/>
      <c r="BB347" s="1682"/>
      <c r="BC347" s="1400"/>
      <c r="BD347" s="1400"/>
      <c r="BE347" s="1683">
        <v>11315.3</v>
      </c>
      <c r="BF347" s="1683">
        <v>11315.3</v>
      </c>
      <c r="BG347" s="1683">
        <v>6991.78</v>
      </c>
      <c r="BH347" s="1683">
        <v>6991.78</v>
      </c>
      <c r="BI347" s="1683">
        <v>0</v>
      </c>
      <c r="BJ347" s="1683">
        <v>4323.5200000000004</v>
      </c>
      <c r="BK347" s="1683">
        <v>0</v>
      </c>
      <c r="BL347" s="1683">
        <v>4323.5200000000004</v>
      </c>
      <c r="BM347" s="1683">
        <v>0</v>
      </c>
      <c r="BN347" s="1683">
        <v>0</v>
      </c>
      <c r="BO347" s="1682"/>
      <c r="BP347" s="1683">
        <v>0</v>
      </c>
      <c r="BQ347" s="1683">
        <v>0</v>
      </c>
      <c r="BR347" s="1683">
        <v>0</v>
      </c>
      <c r="BS347" s="1683">
        <v>0</v>
      </c>
      <c r="BT347" s="1683">
        <v>0</v>
      </c>
      <c r="BU347" s="1683">
        <v>0</v>
      </c>
      <c r="BV347" s="1683">
        <v>0</v>
      </c>
      <c r="BW347" s="1683">
        <v>0</v>
      </c>
      <c r="BX347" s="1683">
        <v>0</v>
      </c>
      <c r="BY347" s="1683">
        <v>0</v>
      </c>
      <c r="BZ347" s="1400"/>
      <c r="CA347" s="1400"/>
      <c r="CB347" s="1682"/>
      <c r="CC347" s="1682"/>
      <c r="CD347" s="1400"/>
      <c r="CE347" s="1400"/>
      <c r="CF347" s="1683">
        <v>0</v>
      </c>
      <c r="CG347" s="1683">
        <v>0</v>
      </c>
      <c r="CH347" s="1683">
        <v>0</v>
      </c>
      <c r="CI347" s="1683">
        <v>0</v>
      </c>
      <c r="CJ347" s="1683">
        <v>0</v>
      </c>
      <c r="CK347" s="1683">
        <v>0</v>
      </c>
      <c r="CL347" s="1682"/>
      <c r="CM347" s="1683">
        <v>0</v>
      </c>
      <c r="CN347" s="1683">
        <v>0</v>
      </c>
      <c r="CO347" s="1683">
        <v>0</v>
      </c>
      <c r="CP347" s="1683">
        <v>0</v>
      </c>
      <c r="CQ347" s="1683">
        <v>0</v>
      </c>
      <c r="CR347" s="1683">
        <v>0</v>
      </c>
      <c r="CS347" s="1683">
        <v>0</v>
      </c>
      <c r="CT347" s="1683">
        <v>0</v>
      </c>
      <c r="CU347" s="1683">
        <v>0</v>
      </c>
      <c r="CV347" s="1683">
        <v>0</v>
      </c>
      <c r="CW347" s="1682"/>
      <c r="CX347" s="1400"/>
      <c r="CY347" s="1400"/>
      <c r="CZ347" s="1400"/>
      <c r="DA347" s="1400"/>
      <c r="DB347" s="1682"/>
      <c r="DC347" s="1326"/>
      <c r="DD347" s="1683">
        <v>0</v>
      </c>
      <c r="DE347" s="1400"/>
      <c r="DF347" s="1400"/>
      <c r="DG347" s="1683">
        <v>0</v>
      </c>
      <c r="DH347" s="1683">
        <v>0</v>
      </c>
    </row>
    <row r="348" spans="1:112" ht="78.75">
      <c r="A348" s="1326" t="s">
        <v>2371</v>
      </c>
      <c r="B348" s="1326" t="s">
        <v>1700</v>
      </c>
      <c r="C348" s="1326" t="s">
        <v>2561</v>
      </c>
      <c r="D348" s="1326" t="s">
        <v>2562</v>
      </c>
      <c r="E348" s="1326" t="s">
        <v>143</v>
      </c>
      <c r="F348" s="1326" t="s">
        <v>2555</v>
      </c>
      <c r="G348" s="1326" t="s">
        <v>2556</v>
      </c>
      <c r="H348" s="1326" t="s">
        <v>2541</v>
      </c>
      <c r="I348" s="1326" t="s">
        <v>1236</v>
      </c>
      <c r="J348" s="1326" t="s">
        <v>317</v>
      </c>
      <c r="K348" s="1326" t="s">
        <v>2069</v>
      </c>
      <c r="L348" s="1326" t="s">
        <v>2061</v>
      </c>
      <c r="M348" s="1400"/>
      <c r="N348" s="1400"/>
      <c r="O348" s="1400"/>
      <c r="P348" s="1400"/>
      <c r="Q348" s="1400"/>
      <c r="R348" s="1400"/>
      <c r="S348" s="1400"/>
      <c r="T348" s="1400"/>
      <c r="U348" s="1400"/>
      <c r="V348" s="1400"/>
      <c r="W348" s="1400"/>
      <c r="X348" s="1400"/>
      <c r="Y348" s="1685">
        <v>43515</v>
      </c>
      <c r="Z348" s="1326" t="s">
        <v>2062</v>
      </c>
      <c r="AA348" s="1683">
        <v>0</v>
      </c>
      <c r="AB348" s="1683">
        <v>0</v>
      </c>
      <c r="AC348" s="1683">
        <v>0</v>
      </c>
      <c r="AD348" s="1685">
        <v>43549</v>
      </c>
      <c r="AE348" s="1326" t="s">
        <v>2080</v>
      </c>
      <c r="AF348" s="1326" t="s">
        <v>2067</v>
      </c>
      <c r="AG348" s="1410"/>
      <c r="AH348" s="1683">
        <v>14782.24</v>
      </c>
      <c r="AI348" s="1683">
        <v>14782.24</v>
      </c>
      <c r="AJ348" s="1683">
        <v>9134.01</v>
      </c>
      <c r="AK348" s="1683">
        <v>9134.01</v>
      </c>
      <c r="AL348" s="1683">
        <v>0</v>
      </c>
      <c r="AM348" s="1682"/>
      <c r="AN348" s="1683">
        <v>0</v>
      </c>
      <c r="AO348" s="1683">
        <v>0</v>
      </c>
      <c r="AP348" s="1683">
        <v>0</v>
      </c>
      <c r="AQ348" s="1683">
        <v>0</v>
      </c>
      <c r="AR348" s="1683">
        <v>0</v>
      </c>
      <c r="AS348" s="1683">
        <v>0</v>
      </c>
      <c r="AT348" s="1683">
        <v>0</v>
      </c>
      <c r="AU348" s="1683">
        <v>0</v>
      </c>
      <c r="AV348" s="1683">
        <v>0</v>
      </c>
      <c r="AW348" s="1683">
        <v>0</v>
      </c>
      <c r="AX348" s="1400"/>
      <c r="AY348" s="1400"/>
      <c r="AZ348" s="1400"/>
      <c r="BA348" s="1682"/>
      <c r="BB348" s="1682"/>
      <c r="BC348" s="1400"/>
      <c r="BD348" s="1400"/>
      <c r="BE348" s="1683">
        <v>0</v>
      </c>
      <c r="BF348" s="1683">
        <v>0</v>
      </c>
      <c r="BG348" s="1683">
        <v>0</v>
      </c>
      <c r="BH348" s="1683">
        <v>0</v>
      </c>
      <c r="BI348" s="1683">
        <v>0</v>
      </c>
      <c r="BJ348" s="1683">
        <v>0</v>
      </c>
      <c r="BK348" s="1683">
        <v>0</v>
      </c>
      <c r="BL348" s="1683">
        <v>0</v>
      </c>
      <c r="BM348" s="1683">
        <v>0</v>
      </c>
      <c r="BN348" s="1683">
        <v>0</v>
      </c>
      <c r="BO348" s="1682"/>
      <c r="BP348" s="1683">
        <v>0</v>
      </c>
      <c r="BQ348" s="1683">
        <v>0</v>
      </c>
      <c r="BR348" s="1683">
        <v>0</v>
      </c>
      <c r="BS348" s="1683">
        <v>0</v>
      </c>
      <c r="BT348" s="1683">
        <v>0</v>
      </c>
      <c r="BU348" s="1683">
        <v>0</v>
      </c>
      <c r="BV348" s="1683">
        <v>0</v>
      </c>
      <c r="BW348" s="1683">
        <v>0</v>
      </c>
      <c r="BX348" s="1683">
        <v>0</v>
      </c>
      <c r="BY348" s="1683">
        <v>0</v>
      </c>
      <c r="BZ348" s="1400"/>
      <c r="CA348" s="1400"/>
      <c r="CB348" s="1682"/>
      <c r="CC348" s="1682"/>
      <c r="CD348" s="1400"/>
      <c r="CE348" s="1400"/>
      <c r="CF348" s="1683">
        <v>0</v>
      </c>
      <c r="CG348" s="1683">
        <v>0</v>
      </c>
      <c r="CH348" s="1683">
        <v>0</v>
      </c>
      <c r="CI348" s="1683">
        <v>0</v>
      </c>
      <c r="CJ348" s="1683">
        <v>0</v>
      </c>
      <c r="CK348" s="1683">
        <v>0</v>
      </c>
      <c r="CL348" s="1682"/>
      <c r="CM348" s="1683">
        <v>0</v>
      </c>
      <c r="CN348" s="1683">
        <v>0</v>
      </c>
      <c r="CO348" s="1683">
        <v>0</v>
      </c>
      <c r="CP348" s="1683">
        <v>0</v>
      </c>
      <c r="CQ348" s="1683">
        <v>0</v>
      </c>
      <c r="CR348" s="1683">
        <v>0</v>
      </c>
      <c r="CS348" s="1683">
        <v>0</v>
      </c>
      <c r="CT348" s="1683">
        <v>0</v>
      </c>
      <c r="CU348" s="1683">
        <v>0</v>
      </c>
      <c r="CV348" s="1683">
        <v>0</v>
      </c>
      <c r="CW348" s="1682"/>
      <c r="CX348" s="1400"/>
      <c r="CY348" s="1400"/>
      <c r="CZ348" s="1400"/>
      <c r="DA348" s="1400"/>
      <c r="DB348" s="1682"/>
      <c r="DC348" s="1326"/>
      <c r="DD348" s="1683">
        <v>0</v>
      </c>
      <c r="DE348" s="1400"/>
      <c r="DF348" s="1400"/>
      <c r="DG348" s="1683">
        <v>0</v>
      </c>
      <c r="DH348" s="1683">
        <v>0</v>
      </c>
    </row>
    <row r="349" spans="1:112" ht="78.75">
      <c r="A349" s="1326" t="s">
        <v>2372</v>
      </c>
      <c r="B349" s="1326" t="s">
        <v>1700</v>
      </c>
      <c r="C349" s="1326" t="s">
        <v>2561</v>
      </c>
      <c r="D349" s="1326" t="s">
        <v>2562</v>
      </c>
      <c r="E349" s="1326" t="s">
        <v>143</v>
      </c>
      <c r="F349" s="1326" t="s">
        <v>2555</v>
      </c>
      <c r="G349" s="1326" t="s">
        <v>2556</v>
      </c>
      <c r="H349" s="1326" t="s">
        <v>2541</v>
      </c>
      <c r="I349" s="1326" t="s">
        <v>1236</v>
      </c>
      <c r="J349" s="1326" t="s">
        <v>317</v>
      </c>
      <c r="K349" s="1326" t="s">
        <v>2069</v>
      </c>
      <c r="L349" s="1326" t="s">
        <v>2061</v>
      </c>
      <c r="M349" s="1400"/>
      <c r="N349" s="1400"/>
      <c r="O349" s="1400"/>
      <c r="P349" s="1400"/>
      <c r="Q349" s="1400"/>
      <c r="R349" s="1400"/>
      <c r="S349" s="1400"/>
      <c r="T349" s="1400"/>
      <c r="U349" s="1400"/>
      <c r="V349" s="1400"/>
      <c r="W349" s="1400"/>
      <c r="X349" s="1400"/>
      <c r="Y349" s="1685">
        <v>43515</v>
      </c>
      <c r="Z349" s="1326" t="s">
        <v>2062</v>
      </c>
      <c r="AA349" s="1683">
        <v>0</v>
      </c>
      <c r="AB349" s="1683">
        <v>0</v>
      </c>
      <c r="AC349" s="1683">
        <v>0</v>
      </c>
      <c r="AD349" s="1685">
        <v>43549</v>
      </c>
      <c r="AE349" s="1326" t="s">
        <v>2080</v>
      </c>
      <c r="AF349" s="1326" t="s">
        <v>2064</v>
      </c>
      <c r="AG349" s="1410"/>
      <c r="AH349" s="1683">
        <v>7547.21</v>
      </c>
      <c r="AI349" s="1683">
        <v>7547.21</v>
      </c>
      <c r="AJ349" s="1683">
        <v>4663.46</v>
      </c>
      <c r="AK349" s="1683">
        <v>4663.46</v>
      </c>
      <c r="AL349" s="1683">
        <v>0</v>
      </c>
      <c r="AM349" s="1685">
        <v>43549</v>
      </c>
      <c r="AN349" s="1683">
        <v>7547.21</v>
      </c>
      <c r="AO349" s="1683">
        <v>7547.21</v>
      </c>
      <c r="AP349" s="1683">
        <v>4663.46</v>
      </c>
      <c r="AQ349" s="1683">
        <v>4663.46</v>
      </c>
      <c r="AR349" s="1683">
        <v>0</v>
      </c>
      <c r="AS349" s="1683">
        <v>2883.75</v>
      </c>
      <c r="AT349" s="1683">
        <v>0</v>
      </c>
      <c r="AU349" s="1683">
        <v>2883.75</v>
      </c>
      <c r="AV349" s="1683">
        <v>0</v>
      </c>
      <c r="AW349" s="1683">
        <v>0</v>
      </c>
      <c r="AX349" s="1400"/>
      <c r="AY349" s="1400"/>
      <c r="AZ349" s="1400"/>
      <c r="BA349" s="1682"/>
      <c r="BB349" s="1682"/>
      <c r="BC349" s="1400"/>
      <c r="BD349" s="1400"/>
      <c r="BE349" s="1683">
        <v>7547.21</v>
      </c>
      <c r="BF349" s="1683">
        <v>7547.21</v>
      </c>
      <c r="BG349" s="1683">
        <v>4663.46</v>
      </c>
      <c r="BH349" s="1683">
        <v>4663.46</v>
      </c>
      <c r="BI349" s="1683">
        <v>0</v>
      </c>
      <c r="BJ349" s="1683">
        <v>2883.75</v>
      </c>
      <c r="BK349" s="1683">
        <v>0</v>
      </c>
      <c r="BL349" s="1683">
        <v>2883.75</v>
      </c>
      <c r="BM349" s="1683">
        <v>0</v>
      </c>
      <c r="BN349" s="1683">
        <v>0</v>
      </c>
      <c r="BO349" s="1682"/>
      <c r="BP349" s="1683">
        <v>0</v>
      </c>
      <c r="BQ349" s="1683">
        <v>0</v>
      </c>
      <c r="BR349" s="1683">
        <v>0</v>
      </c>
      <c r="BS349" s="1683">
        <v>0</v>
      </c>
      <c r="BT349" s="1683">
        <v>0</v>
      </c>
      <c r="BU349" s="1683">
        <v>0</v>
      </c>
      <c r="BV349" s="1683">
        <v>0</v>
      </c>
      <c r="BW349" s="1683">
        <v>0</v>
      </c>
      <c r="BX349" s="1683">
        <v>0</v>
      </c>
      <c r="BY349" s="1683">
        <v>0</v>
      </c>
      <c r="BZ349" s="1400"/>
      <c r="CA349" s="1400"/>
      <c r="CB349" s="1682"/>
      <c r="CC349" s="1682"/>
      <c r="CD349" s="1400"/>
      <c r="CE349" s="1400"/>
      <c r="CF349" s="1683">
        <v>0</v>
      </c>
      <c r="CG349" s="1683">
        <v>0</v>
      </c>
      <c r="CH349" s="1683">
        <v>0</v>
      </c>
      <c r="CI349" s="1683">
        <v>0</v>
      </c>
      <c r="CJ349" s="1683">
        <v>0</v>
      </c>
      <c r="CK349" s="1683">
        <v>0</v>
      </c>
      <c r="CL349" s="1682"/>
      <c r="CM349" s="1683">
        <v>0</v>
      </c>
      <c r="CN349" s="1683">
        <v>0</v>
      </c>
      <c r="CO349" s="1683">
        <v>0</v>
      </c>
      <c r="CP349" s="1683">
        <v>0</v>
      </c>
      <c r="CQ349" s="1683">
        <v>0</v>
      </c>
      <c r="CR349" s="1683">
        <v>0</v>
      </c>
      <c r="CS349" s="1683">
        <v>0</v>
      </c>
      <c r="CT349" s="1683">
        <v>0</v>
      </c>
      <c r="CU349" s="1683">
        <v>0</v>
      </c>
      <c r="CV349" s="1683">
        <v>0</v>
      </c>
      <c r="CW349" s="1682"/>
      <c r="CX349" s="1400"/>
      <c r="CY349" s="1400"/>
      <c r="CZ349" s="1400"/>
      <c r="DA349" s="1400"/>
      <c r="DB349" s="1682"/>
      <c r="DC349" s="1326"/>
      <c r="DD349" s="1683">
        <v>0</v>
      </c>
      <c r="DE349" s="1400"/>
      <c r="DF349" s="1400"/>
      <c r="DG349" s="1683">
        <v>0</v>
      </c>
      <c r="DH349" s="1683">
        <v>0</v>
      </c>
    </row>
    <row r="350" spans="1:112">
      <c r="A350" s="1326" t="s">
        <v>2373</v>
      </c>
      <c r="B350" s="1326" t="s">
        <v>1702</v>
      </c>
      <c r="C350" s="1326"/>
      <c r="D350" s="1326"/>
      <c r="E350" s="1326"/>
      <c r="F350" s="1326"/>
      <c r="G350" s="1326"/>
      <c r="H350" s="1326"/>
      <c r="I350" s="1326"/>
      <c r="J350" s="1326"/>
      <c r="K350" s="1326"/>
      <c r="L350" s="1326"/>
      <c r="M350" s="1683">
        <v>10122649.66</v>
      </c>
      <c r="N350" s="1683">
        <v>0</v>
      </c>
      <c r="O350" s="1683">
        <v>10122649.66</v>
      </c>
      <c r="P350" s="1683">
        <v>10057825.960000001</v>
      </c>
      <c r="Q350" s="1683">
        <v>8631362.1500000004</v>
      </c>
      <c r="R350" s="1683">
        <v>7846143.5</v>
      </c>
      <c r="S350" s="1683">
        <v>785218.65</v>
      </c>
      <c r="T350" s="1683">
        <v>1491287.51</v>
      </c>
      <c r="U350" s="1683">
        <v>0</v>
      </c>
      <c r="V350" s="1683">
        <v>1425163.86</v>
      </c>
      <c r="W350" s="1683">
        <v>1299.95</v>
      </c>
      <c r="X350" s="1683">
        <v>64823.7</v>
      </c>
      <c r="Y350" s="1682"/>
      <c r="Z350" s="1326"/>
      <c r="AA350" s="1683">
        <v>85483.02</v>
      </c>
      <c r="AB350" s="1683">
        <v>83428.710000000006</v>
      </c>
      <c r="AC350" s="1683">
        <v>2054.31</v>
      </c>
      <c r="AD350" s="1682"/>
      <c r="AE350" s="1326"/>
      <c r="AF350" s="1326"/>
      <c r="AG350" s="1410"/>
      <c r="AH350" s="1683">
        <v>4282857.71</v>
      </c>
      <c r="AI350" s="1683">
        <v>5411678.3200000003</v>
      </c>
      <c r="AJ350" s="1683">
        <v>4568339.75</v>
      </c>
      <c r="AK350" s="1683">
        <v>4281701.28</v>
      </c>
      <c r="AL350" s="1683">
        <v>286638.46999999997</v>
      </c>
      <c r="AM350" s="1682"/>
      <c r="AN350" s="1683">
        <v>4282712.46</v>
      </c>
      <c r="AO350" s="1683">
        <v>4252575.0199999996</v>
      </c>
      <c r="AP350" s="1683">
        <v>3494719.47</v>
      </c>
      <c r="AQ350" s="1683">
        <v>3295207.99</v>
      </c>
      <c r="AR350" s="1683">
        <v>199511.48</v>
      </c>
      <c r="AS350" s="1683">
        <v>787992.99</v>
      </c>
      <c r="AT350" s="1683">
        <v>0</v>
      </c>
      <c r="AU350" s="1683">
        <v>757808.83</v>
      </c>
      <c r="AV350" s="1683">
        <v>46.72</v>
      </c>
      <c r="AW350" s="1683">
        <v>30137.439999999999</v>
      </c>
      <c r="AX350" s="1683">
        <v>0</v>
      </c>
      <c r="AY350" s="1683">
        <v>0</v>
      </c>
      <c r="AZ350" s="1683">
        <v>0</v>
      </c>
      <c r="BA350" s="1682"/>
      <c r="BB350" s="1682"/>
      <c r="BC350" s="1683">
        <v>0</v>
      </c>
      <c r="BD350" s="1683">
        <v>0</v>
      </c>
      <c r="BE350" s="1683">
        <v>4282712.46</v>
      </c>
      <c r="BF350" s="1683">
        <v>4252575.0199999996</v>
      </c>
      <c r="BG350" s="1683">
        <v>3494719.47</v>
      </c>
      <c r="BH350" s="1683">
        <v>3295207.99</v>
      </c>
      <c r="BI350" s="1683">
        <v>199511.48</v>
      </c>
      <c r="BJ350" s="1683">
        <v>787992.99</v>
      </c>
      <c r="BK350" s="1683">
        <v>0</v>
      </c>
      <c r="BL350" s="1683">
        <v>757808.83</v>
      </c>
      <c r="BM350" s="1683">
        <v>46.72</v>
      </c>
      <c r="BN350" s="1683">
        <v>30137.439999999999</v>
      </c>
      <c r="BO350" s="1682"/>
      <c r="BP350" s="1683">
        <v>3617521.41</v>
      </c>
      <c r="BQ350" s="1683">
        <v>3617521.41</v>
      </c>
      <c r="BR350" s="1683">
        <v>2906631</v>
      </c>
      <c r="BS350" s="1683">
        <v>2761619.89</v>
      </c>
      <c r="BT350" s="1683">
        <v>145011.10999999999</v>
      </c>
      <c r="BU350" s="1683">
        <v>710890.41</v>
      </c>
      <c r="BV350" s="1683">
        <v>0</v>
      </c>
      <c r="BW350" s="1683">
        <v>266424.59000000003</v>
      </c>
      <c r="BX350" s="1683">
        <v>0</v>
      </c>
      <c r="BY350" s="1683">
        <v>0</v>
      </c>
      <c r="BZ350" s="1683">
        <v>0</v>
      </c>
      <c r="CA350" s="1683">
        <v>0</v>
      </c>
      <c r="CB350" s="1682"/>
      <c r="CC350" s="1682"/>
      <c r="CD350" s="1683">
        <v>0</v>
      </c>
      <c r="CE350" s="1683">
        <v>0</v>
      </c>
      <c r="CF350" s="1683">
        <v>15633</v>
      </c>
      <c r="CG350" s="1683">
        <v>15633</v>
      </c>
      <c r="CH350" s="1683">
        <v>0</v>
      </c>
      <c r="CI350" s="1683">
        <v>0</v>
      </c>
      <c r="CJ350" s="1683">
        <v>131293.46</v>
      </c>
      <c r="CK350" s="1683">
        <v>131293.46</v>
      </c>
      <c r="CL350" s="1682"/>
      <c r="CM350" s="1683">
        <v>1344716.75</v>
      </c>
      <c r="CN350" s="1683">
        <v>1344716.75</v>
      </c>
      <c r="CO350" s="1683">
        <v>1078292.1599999999</v>
      </c>
      <c r="CP350" s="1683">
        <v>1070762.3600000001</v>
      </c>
      <c r="CQ350" s="1683">
        <v>7529.8</v>
      </c>
      <c r="CR350" s="1683">
        <v>266424.59000000003</v>
      </c>
      <c r="CS350" s="1683">
        <v>0</v>
      </c>
      <c r="CT350" s="1683">
        <v>266424.59000000003</v>
      </c>
      <c r="CU350" s="1683">
        <v>0</v>
      </c>
      <c r="CV350" s="1683">
        <v>0</v>
      </c>
      <c r="CW350" s="1682"/>
      <c r="CX350" s="1683">
        <v>0</v>
      </c>
      <c r="CY350" s="1683">
        <v>0</v>
      </c>
      <c r="CZ350" s="1683">
        <v>1344716.75</v>
      </c>
      <c r="DA350" s="1683">
        <v>1344716.75</v>
      </c>
      <c r="DB350" s="1682"/>
      <c r="DC350" s="1326"/>
      <c r="DD350" s="1683">
        <v>8437.2000000000007</v>
      </c>
      <c r="DE350" s="1683">
        <v>0</v>
      </c>
      <c r="DF350" s="1683">
        <v>0</v>
      </c>
      <c r="DG350" s="1683">
        <v>2346.04</v>
      </c>
      <c r="DH350" s="1683">
        <v>0</v>
      </c>
    </row>
    <row r="351" spans="1:112">
      <c r="A351" s="1326" t="s">
        <v>2374</v>
      </c>
      <c r="B351" s="1326" t="s">
        <v>1702</v>
      </c>
      <c r="C351" s="1326" t="s">
        <v>2564</v>
      </c>
      <c r="D351" s="1326"/>
      <c r="E351" s="1326"/>
      <c r="F351" s="1326"/>
      <c r="G351" s="1326"/>
      <c r="H351" s="1326"/>
      <c r="I351" s="1326"/>
      <c r="J351" s="1326"/>
      <c r="K351" s="1326"/>
      <c r="L351" s="1326"/>
      <c r="M351" s="1683">
        <v>4268926.7300000004</v>
      </c>
      <c r="N351" s="1683">
        <v>0</v>
      </c>
      <c r="O351" s="1683">
        <v>4268926.7300000004</v>
      </c>
      <c r="P351" s="1683">
        <v>4257761.97</v>
      </c>
      <c r="Q351" s="1683">
        <v>3484921.69</v>
      </c>
      <c r="R351" s="1683">
        <v>3459451.75</v>
      </c>
      <c r="S351" s="1683">
        <v>25469.94</v>
      </c>
      <c r="T351" s="1683">
        <v>784005.04</v>
      </c>
      <c r="U351" s="1683">
        <v>0</v>
      </c>
      <c r="V351" s="1683">
        <v>772840.28</v>
      </c>
      <c r="W351" s="1683">
        <v>0</v>
      </c>
      <c r="X351" s="1683">
        <v>11164.76</v>
      </c>
      <c r="Y351" s="1682"/>
      <c r="Z351" s="1326"/>
      <c r="AA351" s="1683">
        <v>75592.240000000005</v>
      </c>
      <c r="AB351" s="1683">
        <v>74339.89</v>
      </c>
      <c r="AC351" s="1683">
        <v>1252.3499999999999</v>
      </c>
      <c r="AD351" s="1682"/>
      <c r="AE351" s="1326"/>
      <c r="AF351" s="1326"/>
      <c r="AG351" s="1410"/>
      <c r="AH351" s="1683">
        <v>2750521.47</v>
      </c>
      <c r="AI351" s="1683">
        <v>3340245.75</v>
      </c>
      <c r="AJ351" s="1683">
        <v>2716154.1</v>
      </c>
      <c r="AK351" s="1683">
        <v>2691993.47</v>
      </c>
      <c r="AL351" s="1683">
        <v>24160.63</v>
      </c>
      <c r="AM351" s="1682"/>
      <c r="AN351" s="1683">
        <v>2750521.47</v>
      </c>
      <c r="AO351" s="1683">
        <v>2743165.75</v>
      </c>
      <c r="AP351" s="1683">
        <v>2194666.34</v>
      </c>
      <c r="AQ351" s="1683">
        <v>2170505.71</v>
      </c>
      <c r="AR351" s="1683">
        <v>24160.63</v>
      </c>
      <c r="AS351" s="1683">
        <v>555855.13</v>
      </c>
      <c r="AT351" s="1683">
        <v>0</v>
      </c>
      <c r="AU351" s="1683">
        <v>548499.41</v>
      </c>
      <c r="AV351" s="1683">
        <v>0</v>
      </c>
      <c r="AW351" s="1683">
        <v>7355.72</v>
      </c>
      <c r="AX351" s="1683">
        <v>0</v>
      </c>
      <c r="AY351" s="1683">
        <v>0</v>
      </c>
      <c r="AZ351" s="1683">
        <v>0</v>
      </c>
      <c r="BA351" s="1682"/>
      <c r="BB351" s="1682"/>
      <c r="BC351" s="1683">
        <v>0</v>
      </c>
      <c r="BD351" s="1683">
        <v>0</v>
      </c>
      <c r="BE351" s="1683">
        <v>2750521.47</v>
      </c>
      <c r="BF351" s="1683">
        <v>2743165.75</v>
      </c>
      <c r="BG351" s="1683">
        <v>2194666.34</v>
      </c>
      <c r="BH351" s="1683">
        <v>2170505.71</v>
      </c>
      <c r="BI351" s="1683">
        <v>24160.63</v>
      </c>
      <c r="BJ351" s="1683">
        <v>555855.13</v>
      </c>
      <c r="BK351" s="1683">
        <v>0</v>
      </c>
      <c r="BL351" s="1683">
        <v>548499.41</v>
      </c>
      <c r="BM351" s="1683">
        <v>0</v>
      </c>
      <c r="BN351" s="1683">
        <v>7355.72</v>
      </c>
      <c r="BO351" s="1682"/>
      <c r="BP351" s="1683">
        <v>2458047.2999999998</v>
      </c>
      <c r="BQ351" s="1683">
        <v>2458047.2999999998</v>
      </c>
      <c r="BR351" s="1683">
        <v>1945578.27</v>
      </c>
      <c r="BS351" s="1683">
        <v>1925039.04</v>
      </c>
      <c r="BT351" s="1683">
        <v>20539.23</v>
      </c>
      <c r="BU351" s="1683">
        <v>512469.03</v>
      </c>
      <c r="BV351" s="1683">
        <v>0</v>
      </c>
      <c r="BW351" s="1683">
        <v>266424.59000000003</v>
      </c>
      <c r="BX351" s="1683">
        <v>0</v>
      </c>
      <c r="BY351" s="1683">
        <v>0</v>
      </c>
      <c r="BZ351" s="1683">
        <v>0</v>
      </c>
      <c r="CA351" s="1683">
        <v>0</v>
      </c>
      <c r="CB351" s="1682"/>
      <c r="CC351" s="1682"/>
      <c r="CD351" s="1683">
        <v>0</v>
      </c>
      <c r="CE351" s="1683">
        <v>0</v>
      </c>
      <c r="CF351" s="1683">
        <v>0</v>
      </c>
      <c r="CG351" s="1683">
        <v>0</v>
      </c>
      <c r="CH351" s="1683">
        <v>0</v>
      </c>
      <c r="CI351" s="1683">
        <v>0</v>
      </c>
      <c r="CJ351" s="1683">
        <v>21357.31</v>
      </c>
      <c r="CK351" s="1683">
        <v>21357.31</v>
      </c>
      <c r="CL351" s="1682"/>
      <c r="CM351" s="1683">
        <v>1323243.04</v>
      </c>
      <c r="CN351" s="1683">
        <v>1323243.04</v>
      </c>
      <c r="CO351" s="1683">
        <v>1056818.45</v>
      </c>
      <c r="CP351" s="1683">
        <v>1054256.1000000001</v>
      </c>
      <c r="CQ351" s="1683">
        <v>2562.35</v>
      </c>
      <c r="CR351" s="1683">
        <v>266424.59000000003</v>
      </c>
      <c r="CS351" s="1683">
        <v>0</v>
      </c>
      <c r="CT351" s="1683">
        <v>266424.59000000003</v>
      </c>
      <c r="CU351" s="1683">
        <v>0</v>
      </c>
      <c r="CV351" s="1683">
        <v>0</v>
      </c>
      <c r="CW351" s="1682"/>
      <c r="CX351" s="1683">
        <v>0</v>
      </c>
      <c r="CY351" s="1683">
        <v>0</v>
      </c>
      <c r="CZ351" s="1683">
        <v>1323243.04</v>
      </c>
      <c r="DA351" s="1683">
        <v>1323243.04</v>
      </c>
      <c r="DB351" s="1682"/>
      <c r="DC351" s="1326"/>
      <c r="DD351" s="1683">
        <v>0</v>
      </c>
      <c r="DE351" s="1683">
        <v>0</v>
      </c>
      <c r="DF351" s="1683">
        <v>0</v>
      </c>
      <c r="DG351" s="1683">
        <v>0</v>
      </c>
      <c r="DH351" s="1683">
        <v>0</v>
      </c>
    </row>
    <row r="352" spans="1:112">
      <c r="A352" s="1326" t="s">
        <v>2375</v>
      </c>
      <c r="B352" s="1326" t="s">
        <v>1702</v>
      </c>
      <c r="C352" s="1326" t="s">
        <v>2564</v>
      </c>
      <c r="D352" s="1326" t="s">
        <v>2565</v>
      </c>
      <c r="E352" s="1326"/>
      <c r="F352" s="1326"/>
      <c r="G352" s="1326"/>
      <c r="H352" s="1326"/>
      <c r="I352" s="1326"/>
      <c r="J352" s="1326"/>
      <c r="K352" s="1326"/>
      <c r="L352" s="1326"/>
      <c r="M352" s="1683">
        <v>1235321.8</v>
      </c>
      <c r="N352" s="1683">
        <v>0</v>
      </c>
      <c r="O352" s="1683">
        <v>1235321.8</v>
      </c>
      <c r="P352" s="1683">
        <v>1235321.8</v>
      </c>
      <c r="Q352" s="1683">
        <v>907709</v>
      </c>
      <c r="R352" s="1683">
        <v>885761.15</v>
      </c>
      <c r="S352" s="1683">
        <v>21947.85</v>
      </c>
      <c r="T352" s="1683">
        <v>327612.79999999999</v>
      </c>
      <c r="U352" s="1683">
        <v>0</v>
      </c>
      <c r="V352" s="1683">
        <v>327612.79999999999</v>
      </c>
      <c r="W352" s="1683">
        <v>0</v>
      </c>
      <c r="X352" s="1683">
        <v>0</v>
      </c>
      <c r="Y352" s="1682"/>
      <c r="Z352" s="1326"/>
      <c r="AA352" s="1683">
        <v>8349</v>
      </c>
      <c r="AB352" s="1683">
        <v>7096.65</v>
      </c>
      <c r="AC352" s="1683">
        <v>1252.3499999999999</v>
      </c>
      <c r="AD352" s="1682"/>
      <c r="AE352" s="1326"/>
      <c r="AF352" s="1326"/>
      <c r="AG352" s="1410"/>
      <c r="AH352" s="1683">
        <v>963295.17</v>
      </c>
      <c r="AI352" s="1683">
        <v>1026655.17</v>
      </c>
      <c r="AJ352" s="1683">
        <v>731497.77</v>
      </c>
      <c r="AK352" s="1683">
        <v>709549.92</v>
      </c>
      <c r="AL352" s="1683">
        <v>21947.85</v>
      </c>
      <c r="AM352" s="1682"/>
      <c r="AN352" s="1683">
        <v>963295.17</v>
      </c>
      <c r="AO352" s="1683">
        <v>963295.17</v>
      </c>
      <c r="AP352" s="1683">
        <v>676486.77</v>
      </c>
      <c r="AQ352" s="1683">
        <v>654538.92000000004</v>
      </c>
      <c r="AR352" s="1683">
        <v>21947.85</v>
      </c>
      <c r="AS352" s="1683">
        <v>286808.40000000002</v>
      </c>
      <c r="AT352" s="1683">
        <v>0</v>
      </c>
      <c r="AU352" s="1683">
        <v>286808.40000000002</v>
      </c>
      <c r="AV352" s="1683">
        <v>0</v>
      </c>
      <c r="AW352" s="1683">
        <v>0</v>
      </c>
      <c r="AX352" s="1683">
        <v>0</v>
      </c>
      <c r="AY352" s="1683">
        <v>0</v>
      </c>
      <c r="AZ352" s="1683">
        <v>0</v>
      </c>
      <c r="BA352" s="1682"/>
      <c r="BB352" s="1682"/>
      <c r="BC352" s="1683">
        <v>0</v>
      </c>
      <c r="BD352" s="1683">
        <v>0</v>
      </c>
      <c r="BE352" s="1683">
        <v>963295.17</v>
      </c>
      <c r="BF352" s="1683">
        <v>963295.17</v>
      </c>
      <c r="BG352" s="1683">
        <v>676486.77</v>
      </c>
      <c r="BH352" s="1683">
        <v>654538.92000000004</v>
      </c>
      <c r="BI352" s="1683">
        <v>21947.85</v>
      </c>
      <c r="BJ352" s="1683">
        <v>286808.40000000002</v>
      </c>
      <c r="BK352" s="1683">
        <v>0</v>
      </c>
      <c r="BL352" s="1683">
        <v>286808.40000000002</v>
      </c>
      <c r="BM352" s="1683">
        <v>0</v>
      </c>
      <c r="BN352" s="1683">
        <v>0</v>
      </c>
      <c r="BO352" s="1682"/>
      <c r="BP352" s="1683">
        <v>944737.33</v>
      </c>
      <c r="BQ352" s="1683">
        <v>944737.33</v>
      </c>
      <c r="BR352" s="1683">
        <v>659331.53</v>
      </c>
      <c r="BS352" s="1683">
        <v>638792.30000000005</v>
      </c>
      <c r="BT352" s="1683">
        <v>20539.23</v>
      </c>
      <c r="BU352" s="1683">
        <v>285405.8</v>
      </c>
      <c r="BV352" s="1683">
        <v>0</v>
      </c>
      <c r="BW352" s="1683">
        <v>104846.36</v>
      </c>
      <c r="BX352" s="1683">
        <v>0</v>
      </c>
      <c r="BY352" s="1683">
        <v>0</v>
      </c>
      <c r="BZ352" s="1683">
        <v>0</v>
      </c>
      <c r="CA352" s="1683">
        <v>0</v>
      </c>
      <c r="CB352" s="1682"/>
      <c r="CC352" s="1682"/>
      <c r="CD352" s="1683">
        <v>0</v>
      </c>
      <c r="CE352" s="1683">
        <v>0</v>
      </c>
      <c r="CF352" s="1683">
        <v>0</v>
      </c>
      <c r="CG352" s="1683">
        <v>0</v>
      </c>
      <c r="CH352" s="1683">
        <v>0</v>
      </c>
      <c r="CI352" s="1683">
        <v>0</v>
      </c>
      <c r="CJ352" s="1683">
        <v>10623.96</v>
      </c>
      <c r="CK352" s="1683">
        <v>10623.96</v>
      </c>
      <c r="CL352" s="1682"/>
      <c r="CM352" s="1683">
        <v>246490.47</v>
      </c>
      <c r="CN352" s="1683">
        <v>246490.47</v>
      </c>
      <c r="CO352" s="1683">
        <v>141644.10999999999</v>
      </c>
      <c r="CP352" s="1683">
        <v>139081.76</v>
      </c>
      <c r="CQ352" s="1683">
        <v>2562.35</v>
      </c>
      <c r="CR352" s="1683">
        <v>104846.36</v>
      </c>
      <c r="CS352" s="1683">
        <v>0</v>
      </c>
      <c r="CT352" s="1683">
        <v>104846.36</v>
      </c>
      <c r="CU352" s="1683">
        <v>0</v>
      </c>
      <c r="CV352" s="1683">
        <v>0</v>
      </c>
      <c r="CW352" s="1682"/>
      <c r="CX352" s="1683">
        <v>0</v>
      </c>
      <c r="CY352" s="1683">
        <v>0</v>
      </c>
      <c r="CZ352" s="1683">
        <v>246490.47</v>
      </c>
      <c r="DA352" s="1683">
        <v>246490.47</v>
      </c>
      <c r="DB352" s="1682"/>
      <c r="DC352" s="1326"/>
      <c r="DD352" s="1683">
        <v>0</v>
      </c>
      <c r="DE352" s="1683">
        <v>0</v>
      </c>
      <c r="DF352" s="1683">
        <v>0</v>
      </c>
      <c r="DG352" s="1683">
        <v>0</v>
      </c>
      <c r="DH352" s="1683">
        <v>0</v>
      </c>
    </row>
    <row r="353" spans="1:112">
      <c r="A353" s="1326" t="s">
        <v>2376</v>
      </c>
      <c r="B353" s="1326" t="s">
        <v>1702</v>
      </c>
      <c r="C353" s="1326" t="s">
        <v>2564</v>
      </c>
      <c r="D353" s="1326" t="s">
        <v>2565</v>
      </c>
      <c r="E353" s="1326" t="s">
        <v>2259</v>
      </c>
      <c r="F353" s="1326"/>
      <c r="G353" s="1326"/>
      <c r="H353" s="1326"/>
      <c r="I353" s="1326"/>
      <c r="J353" s="1326"/>
      <c r="K353" s="1326"/>
      <c r="L353" s="1326"/>
      <c r="M353" s="1683">
        <v>1235321.8</v>
      </c>
      <c r="N353" s="1683">
        <v>0</v>
      </c>
      <c r="O353" s="1683">
        <v>1235321.8</v>
      </c>
      <c r="P353" s="1683">
        <v>1235321.8</v>
      </c>
      <c r="Q353" s="1683">
        <v>907709</v>
      </c>
      <c r="R353" s="1683">
        <v>885761.15</v>
      </c>
      <c r="S353" s="1683">
        <v>21947.85</v>
      </c>
      <c r="T353" s="1683">
        <v>327612.79999999999</v>
      </c>
      <c r="U353" s="1683">
        <v>0</v>
      </c>
      <c r="V353" s="1683">
        <v>327612.79999999999</v>
      </c>
      <c r="W353" s="1683">
        <v>0</v>
      </c>
      <c r="X353" s="1683">
        <v>0</v>
      </c>
      <c r="Y353" s="1682"/>
      <c r="Z353" s="1326"/>
      <c r="AA353" s="1683">
        <v>8349</v>
      </c>
      <c r="AB353" s="1683">
        <v>7096.65</v>
      </c>
      <c r="AC353" s="1683">
        <v>1252.3499999999999</v>
      </c>
      <c r="AD353" s="1682"/>
      <c r="AE353" s="1326"/>
      <c r="AF353" s="1326"/>
      <c r="AG353" s="1410"/>
      <c r="AH353" s="1683">
        <v>963295.17</v>
      </c>
      <c r="AI353" s="1683">
        <v>1026655.17</v>
      </c>
      <c r="AJ353" s="1683">
        <v>731497.77</v>
      </c>
      <c r="AK353" s="1683">
        <v>709549.92</v>
      </c>
      <c r="AL353" s="1683">
        <v>21947.85</v>
      </c>
      <c r="AM353" s="1682"/>
      <c r="AN353" s="1683">
        <v>963295.17</v>
      </c>
      <c r="AO353" s="1683">
        <v>963295.17</v>
      </c>
      <c r="AP353" s="1683">
        <v>676486.77</v>
      </c>
      <c r="AQ353" s="1683">
        <v>654538.92000000004</v>
      </c>
      <c r="AR353" s="1683">
        <v>21947.85</v>
      </c>
      <c r="AS353" s="1683">
        <v>286808.40000000002</v>
      </c>
      <c r="AT353" s="1683">
        <v>0</v>
      </c>
      <c r="AU353" s="1683">
        <v>286808.40000000002</v>
      </c>
      <c r="AV353" s="1683">
        <v>0</v>
      </c>
      <c r="AW353" s="1683">
        <v>0</v>
      </c>
      <c r="AX353" s="1683">
        <v>0</v>
      </c>
      <c r="AY353" s="1683">
        <v>0</v>
      </c>
      <c r="AZ353" s="1683">
        <v>0</v>
      </c>
      <c r="BA353" s="1682"/>
      <c r="BB353" s="1682"/>
      <c r="BC353" s="1683">
        <v>0</v>
      </c>
      <c r="BD353" s="1683">
        <v>0</v>
      </c>
      <c r="BE353" s="1683">
        <v>963295.17</v>
      </c>
      <c r="BF353" s="1683">
        <v>963295.17</v>
      </c>
      <c r="BG353" s="1683">
        <v>676486.77</v>
      </c>
      <c r="BH353" s="1683">
        <v>654538.92000000004</v>
      </c>
      <c r="BI353" s="1683">
        <v>21947.85</v>
      </c>
      <c r="BJ353" s="1683">
        <v>286808.40000000002</v>
      </c>
      <c r="BK353" s="1683">
        <v>0</v>
      </c>
      <c r="BL353" s="1683">
        <v>286808.40000000002</v>
      </c>
      <c r="BM353" s="1683">
        <v>0</v>
      </c>
      <c r="BN353" s="1683">
        <v>0</v>
      </c>
      <c r="BO353" s="1682"/>
      <c r="BP353" s="1683">
        <v>944737.33</v>
      </c>
      <c r="BQ353" s="1683">
        <v>944737.33</v>
      </c>
      <c r="BR353" s="1683">
        <v>659331.53</v>
      </c>
      <c r="BS353" s="1683">
        <v>638792.30000000005</v>
      </c>
      <c r="BT353" s="1683">
        <v>20539.23</v>
      </c>
      <c r="BU353" s="1683">
        <v>285405.8</v>
      </c>
      <c r="BV353" s="1683">
        <v>0</v>
      </c>
      <c r="BW353" s="1683">
        <v>104846.36</v>
      </c>
      <c r="BX353" s="1683">
        <v>0</v>
      </c>
      <c r="BY353" s="1683">
        <v>0</v>
      </c>
      <c r="BZ353" s="1683">
        <v>0</v>
      </c>
      <c r="CA353" s="1683">
        <v>0</v>
      </c>
      <c r="CB353" s="1682"/>
      <c r="CC353" s="1682"/>
      <c r="CD353" s="1683">
        <v>0</v>
      </c>
      <c r="CE353" s="1683">
        <v>0</v>
      </c>
      <c r="CF353" s="1683">
        <v>0</v>
      </c>
      <c r="CG353" s="1683">
        <v>0</v>
      </c>
      <c r="CH353" s="1683">
        <v>0</v>
      </c>
      <c r="CI353" s="1683">
        <v>0</v>
      </c>
      <c r="CJ353" s="1683">
        <v>10623.96</v>
      </c>
      <c r="CK353" s="1683">
        <v>10623.96</v>
      </c>
      <c r="CL353" s="1682"/>
      <c r="CM353" s="1683">
        <v>246490.47</v>
      </c>
      <c r="CN353" s="1683">
        <v>246490.47</v>
      </c>
      <c r="CO353" s="1683">
        <v>141644.10999999999</v>
      </c>
      <c r="CP353" s="1683">
        <v>139081.76</v>
      </c>
      <c r="CQ353" s="1683">
        <v>2562.35</v>
      </c>
      <c r="CR353" s="1683">
        <v>104846.36</v>
      </c>
      <c r="CS353" s="1683">
        <v>0</v>
      </c>
      <c r="CT353" s="1683">
        <v>104846.36</v>
      </c>
      <c r="CU353" s="1683">
        <v>0</v>
      </c>
      <c r="CV353" s="1683">
        <v>0</v>
      </c>
      <c r="CW353" s="1682"/>
      <c r="CX353" s="1683">
        <v>0</v>
      </c>
      <c r="CY353" s="1683">
        <v>0</v>
      </c>
      <c r="CZ353" s="1683">
        <v>246490.47</v>
      </c>
      <c r="DA353" s="1683">
        <v>246490.47</v>
      </c>
      <c r="DB353" s="1682"/>
      <c r="DC353" s="1326"/>
      <c r="DD353" s="1683">
        <v>0</v>
      </c>
      <c r="DE353" s="1683">
        <v>0</v>
      </c>
      <c r="DF353" s="1683">
        <v>0</v>
      </c>
      <c r="DG353" s="1683">
        <v>0</v>
      </c>
      <c r="DH353" s="1683">
        <v>0</v>
      </c>
    </row>
    <row r="354" spans="1:112" ht="45">
      <c r="A354" s="1326" t="s">
        <v>2377</v>
      </c>
      <c r="B354" s="1326" t="s">
        <v>1702</v>
      </c>
      <c r="C354" s="1326" t="s">
        <v>2564</v>
      </c>
      <c r="D354" s="1326" t="s">
        <v>2565</v>
      </c>
      <c r="E354" s="1326" t="s">
        <v>2259</v>
      </c>
      <c r="F354" s="1326" t="s">
        <v>2566</v>
      </c>
      <c r="G354" s="1326" t="s">
        <v>2556</v>
      </c>
      <c r="H354" s="1326" t="s">
        <v>2541</v>
      </c>
      <c r="I354" s="1326" t="s">
        <v>720</v>
      </c>
      <c r="J354" s="1326" t="s">
        <v>312</v>
      </c>
      <c r="K354" s="1326" t="s">
        <v>2110</v>
      </c>
      <c r="L354" s="1326" t="s">
        <v>2061</v>
      </c>
      <c r="M354" s="1683">
        <v>151437</v>
      </c>
      <c r="N354" s="1683">
        <v>0</v>
      </c>
      <c r="O354" s="1683">
        <v>151437</v>
      </c>
      <c r="P354" s="1683">
        <v>151437</v>
      </c>
      <c r="Q354" s="1683">
        <v>128721</v>
      </c>
      <c r="R354" s="1683">
        <v>128721</v>
      </c>
      <c r="S354" s="1683">
        <v>0</v>
      </c>
      <c r="T354" s="1683">
        <v>22716</v>
      </c>
      <c r="U354" s="1683">
        <v>0</v>
      </c>
      <c r="V354" s="1683">
        <v>22716</v>
      </c>
      <c r="W354" s="1683">
        <v>0</v>
      </c>
      <c r="X354" s="1683">
        <v>0</v>
      </c>
      <c r="Y354" s="1682"/>
      <c r="Z354" s="1326"/>
      <c r="AA354" s="1683">
        <v>0</v>
      </c>
      <c r="AB354" s="1683">
        <v>0</v>
      </c>
      <c r="AC354" s="1683">
        <v>0</v>
      </c>
      <c r="AD354" s="1682"/>
      <c r="AE354" s="1326"/>
      <c r="AF354" s="1326"/>
      <c r="AG354" s="1410"/>
      <c r="AH354" s="1683">
        <v>13699.66</v>
      </c>
      <c r="AI354" s="1683">
        <v>30956.66</v>
      </c>
      <c r="AJ354" s="1683">
        <v>28901.67</v>
      </c>
      <c r="AK354" s="1683">
        <v>28901.67</v>
      </c>
      <c r="AL354" s="1683">
        <v>0</v>
      </c>
      <c r="AM354" s="1682"/>
      <c r="AN354" s="1683">
        <v>13699.66</v>
      </c>
      <c r="AO354" s="1683">
        <v>13699.66</v>
      </c>
      <c r="AP354" s="1683">
        <v>11644.67</v>
      </c>
      <c r="AQ354" s="1683">
        <v>11644.67</v>
      </c>
      <c r="AR354" s="1683">
        <v>0</v>
      </c>
      <c r="AS354" s="1683">
        <v>2054.9899999999998</v>
      </c>
      <c r="AT354" s="1683">
        <v>0</v>
      </c>
      <c r="AU354" s="1683">
        <v>2054.9899999999998</v>
      </c>
      <c r="AV354" s="1683">
        <v>0</v>
      </c>
      <c r="AW354" s="1683">
        <v>0</v>
      </c>
      <c r="AX354" s="1683">
        <v>0</v>
      </c>
      <c r="AY354" s="1683">
        <v>0</v>
      </c>
      <c r="AZ354" s="1683">
        <v>0</v>
      </c>
      <c r="BA354" s="1682"/>
      <c r="BB354" s="1682"/>
      <c r="BC354" s="1683">
        <v>0</v>
      </c>
      <c r="BD354" s="1683">
        <v>0</v>
      </c>
      <c r="BE354" s="1683">
        <v>13699.66</v>
      </c>
      <c r="BF354" s="1683">
        <v>13699.66</v>
      </c>
      <c r="BG354" s="1683">
        <v>11644.67</v>
      </c>
      <c r="BH354" s="1683">
        <v>11644.67</v>
      </c>
      <c r="BI354" s="1683">
        <v>0</v>
      </c>
      <c r="BJ354" s="1683">
        <v>2054.9899999999998</v>
      </c>
      <c r="BK354" s="1683">
        <v>0</v>
      </c>
      <c r="BL354" s="1683">
        <v>2054.9899999999998</v>
      </c>
      <c r="BM354" s="1683">
        <v>0</v>
      </c>
      <c r="BN354" s="1683">
        <v>0</v>
      </c>
      <c r="BO354" s="1682"/>
      <c r="BP354" s="1683">
        <v>7257</v>
      </c>
      <c r="BQ354" s="1683">
        <v>7257</v>
      </c>
      <c r="BR354" s="1683">
        <v>6168.43</v>
      </c>
      <c r="BS354" s="1683">
        <v>6168.43</v>
      </c>
      <c r="BT354" s="1683">
        <v>0</v>
      </c>
      <c r="BU354" s="1683">
        <v>1088.57</v>
      </c>
      <c r="BV354" s="1683">
        <v>0</v>
      </c>
      <c r="BW354" s="1683">
        <v>0</v>
      </c>
      <c r="BX354" s="1683">
        <v>0</v>
      </c>
      <c r="BY354" s="1683">
        <v>0</v>
      </c>
      <c r="BZ354" s="1683">
        <v>0</v>
      </c>
      <c r="CA354" s="1683">
        <v>0</v>
      </c>
      <c r="CB354" s="1682"/>
      <c r="CC354" s="1682"/>
      <c r="CD354" s="1683">
        <v>0</v>
      </c>
      <c r="CE354" s="1683">
        <v>0</v>
      </c>
      <c r="CF354" s="1683">
        <v>0</v>
      </c>
      <c r="CG354" s="1683">
        <v>0</v>
      </c>
      <c r="CH354" s="1683">
        <v>0</v>
      </c>
      <c r="CI354" s="1683">
        <v>0</v>
      </c>
      <c r="CJ354" s="1683">
        <v>0</v>
      </c>
      <c r="CK354" s="1683">
        <v>0</v>
      </c>
      <c r="CL354" s="1682"/>
      <c r="CM354" s="1683">
        <v>0</v>
      </c>
      <c r="CN354" s="1683">
        <v>0</v>
      </c>
      <c r="CO354" s="1683">
        <v>0</v>
      </c>
      <c r="CP354" s="1683">
        <v>0</v>
      </c>
      <c r="CQ354" s="1683">
        <v>0</v>
      </c>
      <c r="CR354" s="1683">
        <v>0</v>
      </c>
      <c r="CS354" s="1683">
        <v>0</v>
      </c>
      <c r="CT354" s="1683">
        <v>0</v>
      </c>
      <c r="CU354" s="1683">
        <v>0</v>
      </c>
      <c r="CV354" s="1683">
        <v>0</v>
      </c>
      <c r="CW354" s="1682"/>
      <c r="CX354" s="1683">
        <v>0</v>
      </c>
      <c r="CY354" s="1683">
        <v>0</v>
      </c>
      <c r="CZ354" s="1683">
        <v>0</v>
      </c>
      <c r="DA354" s="1683">
        <v>0</v>
      </c>
      <c r="DB354" s="1682"/>
      <c r="DC354" s="1326"/>
      <c r="DD354" s="1683">
        <v>0</v>
      </c>
      <c r="DE354" s="1683">
        <v>0</v>
      </c>
      <c r="DF354" s="1683">
        <v>0</v>
      </c>
      <c r="DG354" s="1683">
        <v>0</v>
      </c>
      <c r="DH354" s="1683">
        <v>0</v>
      </c>
    </row>
    <row r="355" spans="1:112" ht="45">
      <c r="A355" s="1326" t="s">
        <v>2378</v>
      </c>
      <c r="B355" s="1326" t="s">
        <v>1702</v>
      </c>
      <c r="C355" s="1326" t="s">
        <v>2564</v>
      </c>
      <c r="D355" s="1326" t="s">
        <v>2565</v>
      </c>
      <c r="E355" s="1326" t="s">
        <v>2259</v>
      </c>
      <c r="F355" s="1326" t="s">
        <v>2566</v>
      </c>
      <c r="G355" s="1326" t="s">
        <v>2556</v>
      </c>
      <c r="H355" s="1326" t="s">
        <v>2541</v>
      </c>
      <c r="I355" s="1326" t="s">
        <v>720</v>
      </c>
      <c r="J355" s="1326" t="s">
        <v>312</v>
      </c>
      <c r="K355" s="1326" t="s">
        <v>2110</v>
      </c>
      <c r="L355" s="1326" t="s">
        <v>2061</v>
      </c>
      <c r="M355" s="1400"/>
      <c r="N355" s="1400"/>
      <c r="O355" s="1400"/>
      <c r="P355" s="1400"/>
      <c r="Q355" s="1400"/>
      <c r="R355" s="1400"/>
      <c r="S355" s="1400"/>
      <c r="T355" s="1400"/>
      <c r="U355" s="1400"/>
      <c r="V355" s="1400"/>
      <c r="W355" s="1400"/>
      <c r="X355" s="1400"/>
      <c r="Y355" s="1685">
        <v>42983</v>
      </c>
      <c r="Z355" s="1326" t="s">
        <v>2096</v>
      </c>
      <c r="AA355" s="1683">
        <v>0</v>
      </c>
      <c r="AB355" s="1683">
        <v>0</v>
      </c>
      <c r="AC355" s="1683">
        <v>0</v>
      </c>
      <c r="AD355" s="1685">
        <v>42993</v>
      </c>
      <c r="AE355" s="1326" t="s">
        <v>2063</v>
      </c>
      <c r="AF355" s="1326" t="s">
        <v>2064</v>
      </c>
      <c r="AG355" s="1410"/>
      <c r="AH355" s="1683">
        <v>0</v>
      </c>
      <c r="AI355" s="1683">
        <v>7257</v>
      </c>
      <c r="AJ355" s="1683">
        <v>7257</v>
      </c>
      <c r="AK355" s="1683">
        <v>7257</v>
      </c>
      <c r="AL355" s="1683">
        <v>0</v>
      </c>
      <c r="AM355" s="1682"/>
      <c r="AN355" s="1683">
        <v>0</v>
      </c>
      <c r="AO355" s="1683">
        <v>0</v>
      </c>
      <c r="AP355" s="1683">
        <v>0</v>
      </c>
      <c r="AQ355" s="1683">
        <v>0</v>
      </c>
      <c r="AR355" s="1683">
        <v>0</v>
      </c>
      <c r="AS355" s="1683">
        <v>0</v>
      </c>
      <c r="AT355" s="1683">
        <v>0</v>
      </c>
      <c r="AU355" s="1683">
        <v>0</v>
      </c>
      <c r="AV355" s="1683">
        <v>0</v>
      </c>
      <c r="AW355" s="1683">
        <v>0</v>
      </c>
      <c r="AX355" s="1400"/>
      <c r="AY355" s="1400"/>
      <c r="AZ355" s="1400"/>
      <c r="BA355" s="1682"/>
      <c r="BB355" s="1682"/>
      <c r="BC355" s="1400"/>
      <c r="BD355" s="1400"/>
      <c r="BE355" s="1683">
        <v>0</v>
      </c>
      <c r="BF355" s="1683">
        <v>0</v>
      </c>
      <c r="BG355" s="1683">
        <v>0</v>
      </c>
      <c r="BH355" s="1683">
        <v>0</v>
      </c>
      <c r="BI355" s="1683">
        <v>0</v>
      </c>
      <c r="BJ355" s="1683">
        <v>0</v>
      </c>
      <c r="BK355" s="1683">
        <v>0</v>
      </c>
      <c r="BL355" s="1683">
        <v>0</v>
      </c>
      <c r="BM355" s="1683">
        <v>0</v>
      </c>
      <c r="BN355" s="1683">
        <v>0</v>
      </c>
      <c r="BO355" s="1682"/>
      <c r="BP355" s="1683">
        <v>0</v>
      </c>
      <c r="BQ355" s="1683">
        <v>0</v>
      </c>
      <c r="BR355" s="1683">
        <v>0</v>
      </c>
      <c r="BS355" s="1683">
        <v>0</v>
      </c>
      <c r="BT355" s="1683">
        <v>0</v>
      </c>
      <c r="BU355" s="1683">
        <v>0</v>
      </c>
      <c r="BV355" s="1683">
        <v>0</v>
      </c>
      <c r="BW355" s="1683">
        <v>0</v>
      </c>
      <c r="BX355" s="1683">
        <v>0</v>
      </c>
      <c r="BY355" s="1683">
        <v>0</v>
      </c>
      <c r="BZ355" s="1400"/>
      <c r="CA355" s="1400"/>
      <c r="CB355" s="1682"/>
      <c r="CC355" s="1682"/>
      <c r="CD355" s="1400"/>
      <c r="CE355" s="1400"/>
      <c r="CF355" s="1683">
        <v>0</v>
      </c>
      <c r="CG355" s="1683">
        <v>0</v>
      </c>
      <c r="CH355" s="1683">
        <v>0</v>
      </c>
      <c r="CI355" s="1683">
        <v>0</v>
      </c>
      <c r="CJ355" s="1683">
        <v>0</v>
      </c>
      <c r="CK355" s="1683">
        <v>0</v>
      </c>
      <c r="CL355" s="1682"/>
      <c r="CM355" s="1683">
        <v>0</v>
      </c>
      <c r="CN355" s="1683">
        <v>0</v>
      </c>
      <c r="CO355" s="1683">
        <v>0</v>
      </c>
      <c r="CP355" s="1683">
        <v>0</v>
      </c>
      <c r="CQ355" s="1683">
        <v>0</v>
      </c>
      <c r="CR355" s="1683">
        <v>0</v>
      </c>
      <c r="CS355" s="1683">
        <v>0</v>
      </c>
      <c r="CT355" s="1683">
        <v>0</v>
      </c>
      <c r="CU355" s="1683">
        <v>0</v>
      </c>
      <c r="CV355" s="1683">
        <v>0</v>
      </c>
      <c r="CW355" s="1682"/>
      <c r="CX355" s="1400"/>
      <c r="CY355" s="1400"/>
      <c r="CZ355" s="1400"/>
      <c r="DA355" s="1400"/>
      <c r="DB355" s="1682"/>
      <c r="DC355" s="1326"/>
      <c r="DD355" s="1683">
        <v>0</v>
      </c>
      <c r="DE355" s="1400"/>
      <c r="DF355" s="1400"/>
      <c r="DG355" s="1683">
        <v>0</v>
      </c>
      <c r="DH355" s="1683">
        <v>0</v>
      </c>
    </row>
    <row r="356" spans="1:112" ht="45">
      <c r="A356" s="1326" t="s">
        <v>2379</v>
      </c>
      <c r="B356" s="1326" t="s">
        <v>1702</v>
      </c>
      <c r="C356" s="1326" t="s">
        <v>2564</v>
      </c>
      <c r="D356" s="1326" t="s">
        <v>2565</v>
      </c>
      <c r="E356" s="1326" t="s">
        <v>2259</v>
      </c>
      <c r="F356" s="1326" t="s">
        <v>2566</v>
      </c>
      <c r="G356" s="1326" t="s">
        <v>2556</v>
      </c>
      <c r="H356" s="1326" t="s">
        <v>2541</v>
      </c>
      <c r="I356" s="1326" t="s">
        <v>720</v>
      </c>
      <c r="J356" s="1326" t="s">
        <v>312</v>
      </c>
      <c r="K356" s="1326" t="s">
        <v>2110</v>
      </c>
      <c r="L356" s="1326" t="s">
        <v>2061</v>
      </c>
      <c r="M356" s="1400"/>
      <c r="N356" s="1400"/>
      <c r="O356" s="1400"/>
      <c r="P356" s="1400"/>
      <c r="Q356" s="1400"/>
      <c r="R356" s="1400"/>
      <c r="S356" s="1400"/>
      <c r="T356" s="1400"/>
      <c r="U356" s="1400"/>
      <c r="V356" s="1400"/>
      <c r="W356" s="1400"/>
      <c r="X356" s="1400"/>
      <c r="Y356" s="1685">
        <v>43293</v>
      </c>
      <c r="Z356" s="1326" t="s">
        <v>2062</v>
      </c>
      <c r="AA356" s="1683">
        <v>0</v>
      </c>
      <c r="AB356" s="1683">
        <v>0</v>
      </c>
      <c r="AC356" s="1683">
        <v>0</v>
      </c>
      <c r="AD356" s="1685">
        <v>43328</v>
      </c>
      <c r="AE356" s="1326" t="s">
        <v>2081</v>
      </c>
      <c r="AF356" s="1326" t="s">
        <v>2064</v>
      </c>
      <c r="AG356" s="1410"/>
      <c r="AH356" s="1683">
        <v>7257</v>
      </c>
      <c r="AI356" s="1683">
        <v>7257</v>
      </c>
      <c r="AJ356" s="1683">
        <v>6168.43</v>
      </c>
      <c r="AK356" s="1683">
        <v>6168.43</v>
      </c>
      <c r="AL356" s="1683">
        <v>0</v>
      </c>
      <c r="AM356" s="1685">
        <v>43328</v>
      </c>
      <c r="AN356" s="1683">
        <v>7257</v>
      </c>
      <c r="AO356" s="1683">
        <v>7257</v>
      </c>
      <c r="AP356" s="1683">
        <v>6168.43</v>
      </c>
      <c r="AQ356" s="1683">
        <v>6168.43</v>
      </c>
      <c r="AR356" s="1683">
        <v>0</v>
      </c>
      <c r="AS356" s="1683">
        <v>1088.57</v>
      </c>
      <c r="AT356" s="1683">
        <v>0</v>
      </c>
      <c r="AU356" s="1683">
        <v>1088.57</v>
      </c>
      <c r="AV356" s="1683">
        <v>0</v>
      </c>
      <c r="AW356" s="1683">
        <v>0</v>
      </c>
      <c r="AX356" s="1400"/>
      <c r="AY356" s="1400"/>
      <c r="AZ356" s="1400"/>
      <c r="BA356" s="1682"/>
      <c r="BB356" s="1682"/>
      <c r="BC356" s="1400"/>
      <c r="BD356" s="1400"/>
      <c r="BE356" s="1683">
        <v>7257</v>
      </c>
      <c r="BF356" s="1683">
        <v>7257</v>
      </c>
      <c r="BG356" s="1683">
        <v>6168.43</v>
      </c>
      <c r="BH356" s="1683">
        <v>6168.43</v>
      </c>
      <c r="BI356" s="1683">
        <v>0</v>
      </c>
      <c r="BJ356" s="1683">
        <v>1088.57</v>
      </c>
      <c r="BK356" s="1683">
        <v>0</v>
      </c>
      <c r="BL356" s="1683">
        <v>1088.57</v>
      </c>
      <c r="BM356" s="1683">
        <v>0</v>
      </c>
      <c r="BN356" s="1683">
        <v>0</v>
      </c>
      <c r="BO356" s="1685">
        <v>43403</v>
      </c>
      <c r="BP356" s="1683">
        <v>7257</v>
      </c>
      <c r="BQ356" s="1683">
        <v>7257</v>
      </c>
      <c r="BR356" s="1683">
        <v>6168.43</v>
      </c>
      <c r="BS356" s="1683">
        <v>6168.43</v>
      </c>
      <c r="BT356" s="1683">
        <v>0</v>
      </c>
      <c r="BU356" s="1683">
        <v>1088.57</v>
      </c>
      <c r="BV356" s="1683">
        <v>0</v>
      </c>
      <c r="BW356" s="1683">
        <v>0</v>
      </c>
      <c r="BX356" s="1683">
        <v>0</v>
      </c>
      <c r="BY356" s="1683">
        <v>0</v>
      </c>
      <c r="BZ356" s="1683">
        <v>0</v>
      </c>
      <c r="CA356" s="1400"/>
      <c r="CB356" s="1682"/>
      <c r="CC356" s="1682"/>
      <c r="CD356" s="1400"/>
      <c r="CE356" s="1400"/>
      <c r="CF356" s="1683">
        <v>0</v>
      </c>
      <c r="CG356" s="1683">
        <v>0</v>
      </c>
      <c r="CH356" s="1683">
        <v>0</v>
      </c>
      <c r="CI356" s="1683">
        <v>0</v>
      </c>
      <c r="CJ356" s="1683">
        <v>0</v>
      </c>
      <c r="CK356" s="1683">
        <v>0</v>
      </c>
      <c r="CL356" s="1682"/>
      <c r="CM356" s="1683">
        <v>0</v>
      </c>
      <c r="CN356" s="1683">
        <v>0</v>
      </c>
      <c r="CO356" s="1683">
        <v>0</v>
      </c>
      <c r="CP356" s="1683">
        <v>0</v>
      </c>
      <c r="CQ356" s="1683">
        <v>0</v>
      </c>
      <c r="CR356" s="1683">
        <v>0</v>
      </c>
      <c r="CS356" s="1683">
        <v>0</v>
      </c>
      <c r="CT356" s="1683">
        <v>0</v>
      </c>
      <c r="CU356" s="1683">
        <v>0</v>
      </c>
      <c r="CV356" s="1683">
        <v>0</v>
      </c>
      <c r="CW356" s="1682"/>
      <c r="CX356" s="1400"/>
      <c r="CY356" s="1400"/>
      <c r="CZ356" s="1400"/>
      <c r="DA356" s="1400"/>
      <c r="DB356" s="1682"/>
      <c r="DC356" s="1326"/>
      <c r="DD356" s="1683">
        <v>0</v>
      </c>
      <c r="DE356" s="1400"/>
      <c r="DF356" s="1400"/>
      <c r="DG356" s="1683">
        <v>0</v>
      </c>
      <c r="DH356" s="1683">
        <v>0</v>
      </c>
    </row>
    <row r="357" spans="1:112" ht="45">
      <c r="A357" s="1326" t="s">
        <v>2381</v>
      </c>
      <c r="B357" s="1326" t="s">
        <v>1702</v>
      </c>
      <c r="C357" s="1326" t="s">
        <v>2564</v>
      </c>
      <c r="D357" s="1326" t="s">
        <v>2565</v>
      </c>
      <c r="E357" s="1326" t="s">
        <v>2259</v>
      </c>
      <c r="F357" s="1326" t="s">
        <v>2566</v>
      </c>
      <c r="G357" s="1326" t="s">
        <v>2556</v>
      </c>
      <c r="H357" s="1326" t="s">
        <v>2541</v>
      </c>
      <c r="I357" s="1326" t="s">
        <v>720</v>
      </c>
      <c r="J357" s="1326" t="s">
        <v>312</v>
      </c>
      <c r="K357" s="1326" t="s">
        <v>2110</v>
      </c>
      <c r="L357" s="1326" t="s">
        <v>2061</v>
      </c>
      <c r="M357" s="1400"/>
      <c r="N357" s="1400"/>
      <c r="O357" s="1400"/>
      <c r="P357" s="1400"/>
      <c r="Q357" s="1400"/>
      <c r="R357" s="1400"/>
      <c r="S357" s="1400"/>
      <c r="T357" s="1400"/>
      <c r="U357" s="1400"/>
      <c r="V357" s="1400"/>
      <c r="W357" s="1400"/>
      <c r="X357" s="1400"/>
      <c r="Y357" s="1685">
        <v>43440</v>
      </c>
      <c r="Z357" s="1326" t="s">
        <v>2062</v>
      </c>
      <c r="AA357" s="1683">
        <v>0</v>
      </c>
      <c r="AB357" s="1683">
        <v>0</v>
      </c>
      <c r="AC357" s="1683">
        <v>0</v>
      </c>
      <c r="AD357" s="1685">
        <v>43489</v>
      </c>
      <c r="AE357" s="1326" t="s">
        <v>2082</v>
      </c>
      <c r="AF357" s="1326" t="s">
        <v>2067</v>
      </c>
      <c r="AG357" s="1410"/>
      <c r="AH357" s="1683">
        <v>6442.66</v>
      </c>
      <c r="AI357" s="1683">
        <v>6442.66</v>
      </c>
      <c r="AJ357" s="1683">
        <v>5476.24</v>
      </c>
      <c r="AK357" s="1683">
        <v>5476.24</v>
      </c>
      <c r="AL357" s="1683">
        <v>0</v>
      </c>
      <c r="AM357" s="1685">
        <v>43490</v>
      </c>
      <c r="AN357" s="1683">
        <v>6442.66</v>
      </c>
      <c r="AO357" s="1683">
        <v>6442.66</v>
      </c>
      <c r="AP357" s="1683">
        <v>5476.24</v>
      </c>
      <c r="AQ357" s="1683">
        <v>5476.24</v>
      </c>
      <c r="AR357" s="1683">
        <v>0</v>
      </c>
      <c r="AS357" s="1683">
        <v>966.42</v>
      </c>
      <c r="AT357" s="1683">
        <v>0</v>
      </c>
      <c r="AU357" s="1683">
        <v>966.42</v>
      </c>
      <c r="AV357" s="1683">
        <v>0</v>
      </c>
      <c r="AW357" s="1683">
        <v>0</v>
      </c>
      <c r="AX357" s="1400"/>
      <c r="AY357" s="1400"/>
      <c r="AZ357" s="1400"/>
      <c r="BA357" s="1682"/>
      <c r="BB357" s="1682"/>
      <c r="BC357" s="1400"/>
      <c r="BD357" s="1400"/>
      <c r="BE357" s="1683">
        <v>6442.66</v>
      </c>
      <c r="BF357" s="1683">
        <v>6442.66</v>
      </c>
      <c r="BG357" s="1683">
        <v>5476.24</v>
      </c>
      <c r="BH357" s="1683">
        <v>5476.24</v>
      </c>
      <c r="BI357" s="1683">
        <v>0</v>
      </c>
      <c r="BJ357" s="1683">
        <v>966.42</v>
      </c>
      <c r="BK357" s="1683">
        <v>0</v>
      </c>
      <c r="BL357" s="1683">
        <v>966.42</v>
      </c>
      <c r="BM357" s="1683">
        <v>0</v>
      </c>
      <c r="BN357" s="1683">
        <v>0</v>
      </c>
      <c r="BO357" s="1682"/>
      <c r="BP357" s="1683">
        <v>0</v>
      </c>
      <c r="BQ357" s="1683">
        <v>0</v>
      </c>
      <c r="BR357" s="1683">
        <v>0</v>
      </c>
      <c r="BS357" s="1683">
        <v>0</v>
      </c>
      <c r="BT357" s="1683">
        <v>0</v>
      </c>
      <c r="BU357" s="1683">
        <v>0</v>
      </c>
      <c r="BV357" s="1683">
        <v>0</v>
      </c>
      <c r="BW357" s="1683">
        <v>0</v>
      </c>
      <c r="BX357" s="1683">
        <v>0</v>
      </c>
      <c r="BY357" s="1683">
        <v>0</v>
      </c>
      <c r="BZ357" s="1400"/>
      <c r="CA357" s="1400"/>
      <c r="CB357" s="1682"/>
      <c r="CC357" s="1682"/>
      <c r="CD357" s="1400"/>
      <c r="CE357" s="1400"/>
      <c r="CF357" s="1683">
        <v>0</v>
      </c>
      <c r="CG357" s="1683">
        <v>0</v>
      </c>
      <c r="CH357" s="1683">
        <v>0</v>
      </c>
      <c r="CI357" s="1683">
        <v>0</v>
      </c>
      <c r="CJ357" s="1683">
        <v>0</v>
      </c>
      <c r="CK357" s="1683">
        <v>0</v>
      </c>
      <c r="CL357" s="1682"/>
      <c r="CM357" s="1683">
        <v>0</v>
      </c>
      <c r="CN357" s="1683">
        <v>0</v>
      </c>
      <c r="CO357" s="1683">
        <v>0</v>
      </c>
      <c r="CP357" s="1683">
        <v>0</v>
      </c>
      <c r="CQ357" s="1683">
        <v>0</v>
      </c>
      <c r="CR357" s="1683">
        <v>0</v>
      </c>
      <c r="CS357" s="1683">
        <v>0</v>
      </c>
      <c r="CT357" s="1683">
        <v>0</v>
      </c>
      <c r="CU357" s="1683">
        <v>0</v>
      </c>
      <c r="CV357" s="1683">
        <v>0</v>
      </c>
      <c r="CW357" s="1682"/>
      <c r="CX357" s="1400"/>
      <c r="CY357" s="1400"/>
      <c r="CZ357" s="1400"/>
      <c r="DA357" s="1400"/>
      <c r="DB357" s="1682"/>
      <c r="DC357" s="1326"/>
      <c r="DD357" s="1683">
        <v>0</v>
      </c>
      <c r="DE357" s="1400"/>
      <c r="DF357" s="1400"/>
      <c r="DG357" s="1683">
        <v>0</v>
      </c>
      <c r="DH357" s="1683">
        <v>0</v>
      </c>
    </row>
    <row r="358" spans="1:112" ht="45">
      <c r="A358" s="1326" t="s">
        <v>2382</v>
      </c>
      <c r="B358" s="1326" t="s">
        <v>1702</v>
      </c>
      <c r="C358" s="1326" t="s">
        <v>2564</v>
      </c>
      <c r="D358" s="1326" t="s">
        <v>2565</v>
      </c>
      <c r="E358" s="1326" t="s">
        <v>2259</v>
      </c>
      <c r="F358" s="1326" t="s">
        <v>2566</v>
      </c>
      <c r="G358" s="1326" t="s">
        <v>2556</v>
      </c>
      <c r="H358" s="1326" t="s">
        <v>2541</v>
      </c>
      <c r="I358" s="1326" t="s">
        <v>720</v>
      </c>
      <c r="J358" s="1326" t="s">
        <v>312</v>
      </c>
      <c r="K358" s="1326" t="s">
        <v>2110</v>
      </c>
      <c r="L358" s="1326" t="s">
        <v>2061</v>
      </c>
      <c r="M358" s="1400"/>
      <c r="N358" s="1400"/>
      <c r="O358" s="1400"/>
      <c r="P358" s="1400"/>
      <c r="Q358" s="1400"/>
      <c r="R358" s="1400"/>
      <c r="S358" s="1400"/>
      <c r="T358" s="1400"/>
      <c r="U358" s="1400"/>
      <c r="V358" s="1400"/>
      <c r="W358" s="1400"/>
      <c r="X358" s="1400"/>
      <c r="Y358" s="1685">
        <v>43481</v>
      </c>
      <c r="Z358" s="1326" t="s">
        <v>2096</v>
      </c>
      <c r="AA358" s="1683">
        <v>0</v>
      </c>
      <c r="AB358" s="1683">
        <v>0</v>
      </c>
      <c r="AC358" s="1683">
        <v>0</v>
      </c>
      <c r="AD358" s="1685">
        <v>43490</v>
      </c>
      <c r="AE358" s="1326" t="s">
        <v>2083</v>
      </c>
      <c r="AF358" s="1326" t="s">
        <v>2064</v>
      </c>
      <c r="AG358" s="1410"/>
      <c r="AH358" s="1683">
        <v>0</v>
      </c>
      <c r="AI358" s="1683">
        <v>10000</v>
      </c>
      <c r="AJ358" s="1683">
        <v>10000</v>
      </c>
      <c r="AK358" s="1683">
        <v>10000</v>
      </c>
      <c r="AL358" s="1683">
        <v>0</v>
      </c>
      <c r="AM358" s="1682"/>
      <c r="AN358" s="1683">
        <v>0</v>
      </c>
      <c r="AO358" s="1683">
        <v>0</v>
      </c>
      <c r="AP358" s="1683">
        <v>0</v>
      </c>
      <c r="AQ358" s="1683">
        <v>0</v>
      </c>
      <c r="AR358" s="1683">
        <v>0</v>
      </c>
      <c r="AS358" s="1683">
        <v>0</v>
      </c>
      <c r="AT358" s="1683">
        <v>0</v>
      </c>
      <c r="AU358" s="1683">
        <v>0</v>
      </c>
      <c r="AV358" s="1683">
        <v>0</v>
      </c>
      <c r="AW358" s="1683">
        <v>0</v>
      </c>
      <c r="AX358" s="1400"/>
      <c r="AY358" s="1400"/>
      <c r="AZ358" s="1400"/>
      <c r="BA358" s="1682"/>
      <c r="BB358" s="1682"/>
      <c r="BC358" s="1400"/>
      <c r="BD358" s="1400"/>
      <c r="BE358" s="1683">
        <v>0</v>
      </c>
      <c r="BF358" s="1683">
        <v>0</v>
      </c>
      <c r="BG358" s="1683">
        <v>0</v>
      </c>
      <c r="BH358" s="1683">
        <v>0</v>
      </c>
      <c r="BI358" s="1683">
        <v>0</v>
      </c>
      <c r="BJ358" s="1683">
        <v>0</v>
      </c>
      <c r="BK358" s="1683">
        <v>0</v>
      </c>
      <c r="BL358" s="1683">
        <v>0</v>
      </c>
      <c r="BM358" s="1683">
        <v>0</v>
      </c>
      <c r="BN358" s="1683">
        <v>0</v>
      </c>
      <c r="BO358" s="1682"/>
      <c r="BP358" s="1683">
        <v>0</v>
      </c>
      <c r="BQ358" s="1683">
        <v>0</v>
      </c>
      <c r="BR358" s="1683">
        <v>0</v>
      </c>
      <c r="BS358" s="1683">
        <v>0</v>
      </c>
      <c r="BT358" s="1683">
        <v>0</v>
      </c>
      <c r="BU358" s="1683">
        <v>0</v>
      </c>
      <c r="BV358" s="1683">
        <v>0</v>
      </c>
      <c r="BW358" s="1683">
        <v>0</v>
      </c>
      <c r="BX358" s="1683">
        <v>0</v>
      </c>
      <c r="BY358" s="1683">
        <v>0</v>
      </c>
      <c r="BZ358" s="1400"/>
      <c r="CA358" s="1400"/>
      <c r="CB358" s="1682"/>
      <c r="CC358" s="1682"/>
      <c r="CD358" s="1400"/>
      <c r="CE358" s="1400"/>
      <c r="CF358" s="1683">
        <v>0</v>
      </c>
      <c r="CG358" s="1683">
        <v>0</v>
      </c>
      <c r="CH358" s="1683">
        <v>0</v>
      </c>
      <c r="CI358" s="1683">
        <v>0</v>
      </c>
      <c r="CJ358" s="1683">
        <v>0</v>
      </c>
      <c r="CK358" s="1683">
        <v>0</v>
      </c>
      <c r="CL358" s="1682"/>
      <c r="CM358" s="1683">
        <v>0</v>
      </c>
      <c r="CN358" s="1683">
        <v>0</v>
      </c>
      <c r="CO358" s="1683">
        <v>0</v>
      </c>
      <c r="CP358" s="1683">
        <v>0</v>
      </c>
      <c r="CQ358" s="1683">
        <v>0</v>
      </c>
      <c r="CR358" s="1683">
        <v>0</v>
      </c>
      <c r="CS358" s="1683">
        <v>0</v>
      </c>
      <c r="CT358" s="1683">
        <v>0</v>
      </c>
      <c r="CU358" s="1683">
        <v>0</v>
      </c>
      <c r="CV358" s="1683">
        <v>0</v>
      </c>
      <c r="CW358" s="1682"/>
      <c r="CX358" s="1400"/>
      <c r="CY358" s="1400"/>
      <c r="CZ358" s="1400"/>
      <c r="DA358" s="1400"/>
      <c r="DB358" s="1682"/>
      <c r="DC358" s="1326"/>
      <c r="DD358" s="1683">
        <v>0</v>
      </c>
      <c r="DE358" s="1400"/>
      <c r="DF358" s="1400"/>
      <c r="DG358" s="1683">
        <v>0</v>
      </c>
      <c r="DH358" s="1683">
        <v>0</v>
      </c>
    </row>
    <row r="359" spans="1:112" ht="45">
      <c r="A359" s="1326" t="s">
        <v>2384</v>
      </c>
      <c r="B359" s="1326" t="s">
        <v>1702</v>
      </c>
      <c r="C359" s="1326" t="s">
        <v>2564</v>
      </c>
      <c r="D359" s="1326" t="s">
        <v>2565</v>
      </c>
      <c r="E359" s="1326" t="s">
        <v>2259</v>
      </c>
      <c r="F359" s="1326" t="s">
        <v>2566</v>
      </c>
      <c r="G359" s="1326" t="s">
        <v>2556</v>
      </c>
      <c r="H359" s="1326" t="s">
        <v>2541</v>
      </c>
      <c r="I359" s="1326" t="s">
        <v>719</v>
      </c>
      <c r="J359" s="1326" t="s">
        <v>310</v>
      </c>
      <c r="K359" s="1326" t="s">
        <v>2060</v>
      </c>
      <c r="L359" s="1326" t="s">
        <v>2061</v>
      </c>
      <c r="M359" s="1683">
        <v>148480</v>
      </c>
      <c r="N359" s="1683">
        <v>0</v>
      </c>
      <c r="O359" s="1683">
        <v>148480</v>
      </c>
      <c r="P359" s="1683">
        <v>148480</v>
      </c>
      <c r="Q359" s="1683">
        <v>126208</v>
      </c>
      <c r="R359" s="1683">
        <v>126208</v>
      </c>
      <c r="S359" s="1683">
        <v>0</v>
      </c>
      <c r="T359" s="1683">
        <v>22272</v>
      </c>
      <c r="U359" s="1683">
        <v>0</v>
      </c>
      <c r="V359" s="1683">
        <v>22272</v>
      </c>
      <c r="W359" s="1683">
        <v>0</v>
      </c>
      <c r="X359" s="1683">
        <v>0</v>
      </c>
      <c r="Y359" s="1682"/>
      <c r="Z359" s="1326"/>
      <c r="AA359" s="1683">
        <v>0</v>
      </c>
      <c r="AB359" s="1683">
        <v>0</v>
      </c>
      <c r="AC359" s="1683">
        <v>0</v>
      </c>
      <c r="AD359" s="1682"/>
      <c r="AE359" s="1326"/>
      <c r="AF359" s="1326"/>
      <c r="AG359" s="1410"/>
      <c r="AH359" s="1683">
        <v>25710.17</v>
      </c>
      <c r="AI359" s="1683">
        <v>63464.17</v>
      </c>
      <c r="AJ359" s="1683">
        <v>59607.64</v>
      </c>
      <c r="AK359" s="1683">
        <v>59607.64</v>
      </c>
      <c r="AL359" s="1683">
        <v>0</v>
      </c>
      <c r="AM359" s="1682"/>
      <c r="AN359" s="1683">
        <v>25710.17</v>
      </c>
      <c r="AO359" s="1683">
        <v>25710.17</v>
      </c>
      <c r="AP359" s="1683">
        <v>21853.64</v>
      </c>
      <c r="AQ359" s="1683">
        <v>21853.64</v>
      </c>
      <c r="AR359" s="1683">
        <v>0</v>
      </c>
      <c r="AS359" s="1683">
        <v>3856.53</v>
      </c>
      <c r="AT359" s="1683">
        <v>0</v>
      </c>
      <c r="AU359" s="1683">
        <v>3856.53</v>
      </c>
      <c r="AV359" s="1683">
        <v>0</v>
      </c>
      <c r="AW359" s="1683">
        <v>0</v>
      </c>
      <c r="AX359" s="1683">
        <v>0</v>
      </c>
      <c r="AY359" s="1683">
        <v>0</v>
      </c>
      <c r="AZ359" s="1683">
        <v>0</v>
      </c>
      <c r="BA359" s="1682"/>
      <c r="BB359" s="1682"/>
      <c r="BC359" s="1683">
        <v>0</v>
      </c>
      <c r="BD359" s="1683">
        <v>0</v>
      </c>
      <c r="BE359" s="1683">
        <v>25710.17</v>
      </c>
      <c r="BF359" s="1683">
        <v>25710.17</v>
      </c>
      <c r="BG359" s="1683">
        <v>21853.64</v>
      </c>
      <c r="BH359" s="1683">
        <v>21853.64</v>
      </c>
      <c r="BI359" s="1683">
        <v>0</v>
      </c>
      <c r="BJ359" s="1683">
        <v>3856.53</v>
      </c>
      <c r="BK359" s="1683">
        <v>0</v>
      </c>
      <c r="BL359" s="1683">
        <v>3856.53</v>
      </c>
      <c r="BM359" s="1683">
        <v>0</v>
      </c>
      <c r="BN359" s="1683">
        <v>0</v>
      </c>
      <c r="BO359" s="1682"/>
      <c r="BP359" s="1683">
        <v>25710.17</v>
      </c>
      <c r="BQ359" s="1683">
        <v>25710.17</v>
      </c>
      <c r="BR359" s="1683">
        <v>21853.64</v>
      </c>
      <c r="BS359" s="1683">
        <v>21853.64</v>
      </c>
      <c r="BT359" s="1683">
        <v>0</v>
      </c>
      <c r="BU359" s="1683">
        <v>3856.53</v>
      </c>
      <c r="BV359" s="1683">
        <v>0</v>
      </c>
      <c r="BW359" s="1683">
        <v>0</v>
      </c>
      <c r="BX359" s="1683">
        <v>0</v>
      </c>
      <c r="BY359" s="1683">
        <v>0</v>
      </c>
      <c r="BZ359" s="1683">
        <v>0</v>
      </c>
      <c r="CA359" s="1683">
        <v>0</v>
      </c>
      <c r="CB359" s="1682"/>
      <c r="CC359" s="1682"/>
      <c r="CD359" s="1683">
        <v>0</v>
      </c>
      <c r="CE359" s="1683">
        <v>0</v>
      </c>
      <c r="CF359" s="1683">
        <v>0</v>
      </c>
      <c r="CG359" s="1683">
        <v>0</v>
      </c>
      <c r="CH359" s="1683">
        <v>0</v>
      </c>
      <c r="CI359" s="1683">
        <v>0</v>
      </c>
      <c r="CJ359" s="1683">
        <v>337.46</v>
      </c>
      <c r="CK359" s="1683">
        <v>337.46</v>
      </c>
      <c r="CL359" s="1682"/>
      <c r="CM359" s="1683">
        <v>0</v>
      </c>
      <c r="CN359" s="1683">
        <v>0</v>
      </c>
      <c r="CO359" s="1683">
        <v>0</v>
      </c>
      <c r="CP359" s="1683">
        <v>0</v>
      </c>
      <c r="CQ359" s="1683">
        <v>0</v>
      </c>
      <c r="CR359" s="1683">
        <v>0</v>
      </c>
      <c r="CS359" s="1683">
        <v>0</v>
      </c>
      <c r="CT359" s="1683">
        <v>0</v>
      </c>
      <c r="CU359" s="1683">
        <v>0</v>
      </c>
      <c r="CV359" s="1683">
        <v>0</v>
      </c>
      <c r="CW359" s="1682"/>
      <c r="CX359" s="1683">
        <v>0</v>
      </c>
      <c r="CY359" s="1683">
        <v>0</v>
      </c>
      <c r="CZ359" s="1683">
        <v>0</v>
      </c>
      <c r="DA359" s="1683">
        <v>0</v>
      </c>
      <c r="DB359" s="1682"/>
      <c r="DC359" s="1326"/>
      <c r="DD359" s="1683">
        <v>0</v>
      </c>
      <c r="DE359" s="1683">
        <v>0</v>
      </c>
      <c r="DF359" s="1683">
        <v>0</v>
      </c>
      <c r="DG359" s="1683">
        <v>0</v>
      </c>
      <c r="DH359" s="1683">
        <v>0</v>
      </c>
    </row>
    <row r="360" spans="1:112" ht="45">
      <c r="A360" s="1326" t="s">
        <v>2385</v>
      </c>
      <c r="B360" s="1326" t="s">
        <v>1702</v>
      </c>
      <c r="C360" s="1326" t="s">
        <v>2564</v>
      </c>
      <c r="D360" s="1326" t="s">
        <v>2565</v>
      </c>
      <c r="E360" s="1326" t="s">
        <v>2259</v>
      </c>
      <c r="F360" s="1326" t="s">
        <v>2566</v>
      </c>
      <c r="G360" s="1326" t="s">
        <v>2556</v>
      </c>
      <c r="H360" s="1326" t="s">
        <v>2541</v>
      </c>
      <c r="I360" s="1326" t="s">
        <v>719</v>
      </c>
      <c r="J360" s="1326" t="s">
        <v>310</v>
      </c>
      <c r="K360" s="1326" t="s">
        <v>2060</v>
      </c>
      <c r="L360" s="1326" t="s">
        <v>2061</v>
      </c>
      <c r="M360" s="1400"/>
      <c r="N360" s="1400"/>
      <c r="O360" s="1400"/>
      <c r="P360" s="1400"/>
      <c r="Q360" s="1400"/>
      <c r="R360" s="1400"/>
      <c r="S360" s="1400"/>
      <c r="T360" s="1400"/>
      <c r="U360" s="1400"/>
      <c r="V360" s="1400"/>
      <c r="W360" s="1400"/>
      <c r="X360" s="1400"/>
      <c r="Y360" s="1685">
        <v>42900</v>
      </c>
      <c r="Z360" s="1326" t="s">
        <v>2096</v>
      </c>
      <c r="AA360" s="1683">
        <v>0</v>
      </c>
      <c r="AB360" s="1683">
        <v>0</v>
      </c>
      <c r="AC360" s="1683">
        <v>0</v>
      </c>
      <c r="AD360" s="1685">
        <v>42900</v>
      </c>
      <c r="AE360" s="1326" t="s">
        <v>2073</v>
      </c>
      <c r="AF360" s="1326" t="s">
        <v>2064</v>
      </c>
      <c r="AG360" s="1410"/>
      <c r="AH360" s="1683">
        <v>0</v>
      </c>
      <c r="AI360" s="1683">
        <v>0</v>
      </c>
      <c r="AJ360" s="1683">
        <v>0</v>
      </c>
      <c r="AK360" s="1683">
        <v>0</v>
      </c>
      <c r="AL360" s="1683">
        <v>0</v>
      </c>
      <c r="AM360" s="1682"/>
      <c r="AN360" s="1683">
        <v>0</v>
      </c>
      <c r="AO360" s="1683">
        <v>0</v>
      </c>
      <c r="AP360" s="1683">
        <v>0</v>
      </c>
      <c r="AQ360" s="1683">
        <v>0</v>
      </c>
      <c r="AR360" s="1683">
        <v>0</v>
      </c>
      <c r="AS360" s="1683">
        <v>0</v>
      </c>
      <c r="AT360" s="1683">
        <v>0</v>
      </c>
      <c r="AU360" s="1683">
        <v>0</v>
      </c>
      <c r="AV360" s="1683">
        <v>0</v>
      </c>
      <c r="AW360" s="1683">
        <v>0</v>
      </c>
      <c r="AX360" s="1400"/>
      <c r="AY360" s="1400"/>
      <c r="AZ360" s="1400"/>
      <c r="BA360" s="1682"/>
      <c r="BB360" s="1682"/>
      <c r="BC360" s="1400"/>
      <c r="BD360" s="1400"/>
      <c r="BE360" s="1683">
        <v>0</v>
      </c>
      <c r="BF360" s="1683">
        <v>0</v>
      </c>
      <c r="BG360" s="1683">
        <v>0</v>
      </c>
      <c r="BH360" s="1683">
        <v>0</v>
      </c>
      <c r="BI360" s="1683">
        <v>0</v>
      </c>
      <c r="BJ360" s="1683">
        <v>0</v>
      </c>
      <c r="BK360" s="1683">
        <v>0</v>
      </c>
      <c r="BL360" s="1683">
        <v>0</v>
      </c>
      <c r="BM360" s="1683">
        <v>0</v>
      </c>
      <c r="BN360" s="1683">
        <v>0</v>
      </c>
      <c r="BO360" s="1682"/>
      <c r="BP360" s="1683">
        <v>0</v>
      </c>
      <c r="BQ360" s="1683">
        <v>0</v>
      </c>
      <c r="BR360" s="1683">
        <v>0</v>
      </c>
      <c r="BS360" s="1683">
        <v>0</v>
      </c>
      <c r="BT360" s="1683">
        <v>0</v>
      </c>
      <c r="BU360" s="1683">
        <v>0</v>
      </c>
      <c r="BV360" s="1683">
        <v>0</v>
      </c>
      <c r="BW360" s="1683">
        <v>0</v>
      </c>
      <c r="BX360" s="1683">
        <v>0</v>
      </c>
      <c r="BY360" s="1683">
        <v>0</v>
      </c>
      <c r="BZ360" s="1400"/>
      <c r="CA360" s="1400"/>
      <c r="CB360" s="1682"/>
      <c r="CC360" s="1682"/>
      <c r="CD360" s="1400"/>
      <c r="CE360" s="1400"/>
      <c r="CF360" s="1683">
        <v>0</v>
      </c>
      <c r="CG360" s="1683">
        <v>0</v>
      </c>
      <c r="CH360" s="1683">
        <v>0</v>
      </c>
      <c r="CI360" s="1683">
        <v>0</v>
      </c>
      <c r="CJ360" s="1683">
        <v>0</v>
      </c>
      <c r="CK360" s="1683">
        <v>0</v>
      </c>
      <c r="CL360" s="1682"/>
      <c r="CM360" s="1683">
        <v>0</v>
      </c>
      <c r="CN360" s="1683">
        <v>0</v>
      </c>
      <c r="CO360" s="1683">
        <v>0</v>
      </c>
      <c r="CP360" s="1683">
        <v>0</v>
      </c>
      <c r="CQ360" s="1683">
        <v>0</v>
      </c>
      <c r="CR360" s="1683">
        <v>0</v>
      </c>
      <c r="CS360" s="1683">
        <v>0</v>
      </c>
      <c r="CT360" s="1683">
        <v>0</v>
      </c>
      <c r="CU360" s="1683">
        <v>0</v>
      </c>
      <c r="CV360" s="1683">
        <v>0</v>
      </c>
      <c r="CW360" s="1682"/>
      <c r="CX360" s="1400"/>
      <c r="CY360" s="1400"/>
      <c r="CZ360" s="1400"/>
      <c r="DA360" s="1400"/>
      <c r="DB360" s="1682"/>
      <c r="DC360" s="1326"/>
      <c r="DD360" s="1683">
        <v>0</v>
      </c>
      <c r="DE360" s="1400"/>
      <c r="DF360" s="1400"/>
      <c r="DG360" s="1683">
        <v>0</v>
      </c>
      <c r="DH360" s="1683">
        <v>0</v>
      </c>
    </row>
    <row r="361" spans="1:112" ht="45">
      <c r="A361" s="1326" t="s">
        <v>2387</v>
      </c>
      <c r="B361" s="1326" t="s">
        <v>1702</v>
      </c>
      <c r="C361" s="1326" t="s">
        <v>2564</v>
      </c>
      <c r="D361" s="1326" t="s">
        <v>2565</v>
      </c>
      <c r="E361" s="1326" t="s">
        <v>2259</v>
      </c>
      <c r="F361" s="1326" t="s">
        <v>2566</v>
      </c>
      <c r="G361" s="1326" t="s">
        <v>2556</v>
      </c>
      <c r="H361" s="1326" t="s">
        <v>2541</v>
      </c>
      <c r="I361" s="1326" t="s">
        <v>719</v>
      </c>
      <c r="J361" s="1326" t="s">
        <v>310</v>
      </c>
      <c r="K361" s="1326" t="s">
        <v>2060</v>
      </c>
      <c r="L361" s="1326" t="s">
        <v>2061</v>
      </c>
      <c r="M361" s="1400"/>
      <c r="N361" s="1400"/>
      <c r="O361" s="1400"/>
      <c r="P361" s="1400"/>
      <c r="Q361" s="1400"/>
      <c r="R361" s="1400"/>
      <c r="S361" s="1400"/>
      <c r="T361" s="1400"/>
      <c r="U361" s="1400"/>
      <c r="V361" s="1400"/>
      <c r="W361" s="1400"/>
      <c r="X361" s="1400"/>
      <c r="Y361" s="1685">
        <v>43165</v>
      </c>
      <c r="Z361" s="1326" t="s">
        <v>2096</v>
      </c>
      <c r="AA361" s="1683">
        <v>0</v>
      </c>
      <c r="AB361" s="1683">
        <v>0</v>
      </c>
      <c r="AC361" s="1683">
        <v>0</v>
      </c>
      <c r="AD361" s="1685">
        <v>43172</v>
      </c>
      <c r="AE361" s="1326" t="s">
        <v>2080</v>
      </c>
      <c r="AF361" s="1326" t="s">
        <v>2064</v>
      </c>
      <c r="AG361" s="1410"/>
      <c r="AH361" s="1683">
        <v>0</v>
      </c>
      <c r="AI361" s="1683">
        <v>7754</v>
      </c>
      <c r="AJ361" s="1683">
        <v>7754</v>
      </c>
      <c r="AK361" s="1683">
        <v>7754</v>
      </c>
      <c r="AL361" s="1683">
        <v>0</v>
      </c>
      <c r="AM361" s="1682"/>
      <c r="AN361" s="1683">
        <v>0</v>
      </c>
      <c r="AO361" s="1683">
        <v>0</v>
      </c>
      <c r="AP361" s="1683">
        <v>0</v>
      </c>
      <c r="AQ361" s="1683">
        <v>0</v>
      </c>
      <c r="AR361" s="1683">
        <v>0</v>
      </c>
      <c r="AS361" s="1683">
        <v>0</v>
      </c>
      <c r="AT361" s="1683">
        <v>0</v>
      </c>
      <c r="AU361" s="1683">
        <v>0</v>
      </c>
      <c r="AV361" s="1683">
        <v>0</v>
      </c>
      <c r="AW361" s="1683">
        <v>0</v>
      </c>
      <c r="AX361" s="1400"/>
      <c r="AY361" s="1400"/>
      <c r="AZ361" s="1400"/>
      <c r="BA361" s="1682"/>
      <c r="BB361" s="1682"/>
      <c r="BC361" s="1400"/>
      <c r="BD361" s="1400"/>
      <c r="BE361" s="1683">
        <v>0</v>
      </c>
      <c r="BF361" s="1683">
        <v>0</v>
      </c>
      <c r="BG361" s="1683">
        <v>0</v>
      </c>
      <c r="BH361" s="1683">
        <v>0</v>
      </c>
      <c r="BI361" s="1683">
        <v>0</v>
      </c>
      <c r="BJ361" s="1683">
        <v>0</v>
      </c>
      <c r="BK361" s="1683">
        <v>0</v>
      </c>
      <c r="BL361" s="1683">
        <v>0</v>
      </c>
      <c r="BM361" s="1683">
        <v>0</v>
      </c>
      <c r="BN361" s="1683">
        <v>0</v>
      </c>
      <c r="BO361" s="1682"/>
      <c r="BP361" s="1683">
        <v>0</v>
      </c>
      <c r="BQ361" s="1683">
        <v>0</v>
      </c>
      <c r="BR361" s="1683">
        <v>0</v>
      </c>
      <c r="BS361" s="1683">
        <v>0</v>
      </c>
      <c r="BT361" s="1683">
        <v>0</v>
      </c>
      <c r="BU361" s="1683">
        <v>0</v>
      </c>
      <c r="BV361" s="1683">
        <v>0</v>
      </c>
      <c r="BW361" s="1683">
        <v>0</v>
      </c>
      <c r="BX361" s="1683">
        <v>0</v>
      </c>
      <c r="BY361" s="1683">
        <v>0</v>
      </c>
      <c r="BZ361" s="1400"/>
      <c r="CA361" s="1400"/>
      <c r="CB361" s="1682"/>
      <c r="CC361" s="1682"/>
      <c r="CD361" s="1400"/>
      <c r="CE361" s="1400"/>
      <c r="CF361" s="1683">
        <v>0</v>
      </c>
      <c r="CG361" s="1683">
        <v>0</v>
      </c>
      <c r="CH361" s="1683">
        <v>0</v>
      </c>
      <c r="CI361" s="1683">
        <v>0</v>
      </c>
      <c r="CJ361" s="1683">
        <v>0</v>
      </c>
      <c r="CK361" s="1683">
        <v>0</v>
      </c>
      <c r="CL361" s="1682"/>
      <c r="CM361" s="1683">
        <v>0</v>
      </c>
      <c r="CN361" s="1683">
        <v>0</v>
      </c>
      <c r="CO361" s="1683">
        <v>0</v>
      </c>
      <c r="CP361" s="1683">
        <v>0</v>
      </c>
      <c r="CQ361" s="1683">
        <v>0</v>
      </c>
      <c r="CR361" s="1683">
        <v>0</v>
      </c>
      <c r="CS361" s="1683">
        <v>0</v>
      </c>
      <c r="CT361" s="1683">
        <v>0</v>
      </c>
      <c r="CU361" s="1683">
        <v>0</v>
      </c>
      <c r="CV361" s="1683">
        <v>0</v>
      </c>
      <c r="CW361" s="1682"/>
      <c r="CX361" s="1400"/>
      <c r="CY361" s="1400"/>
      <c r="CZ361" s="1400"/>
      <c r="DA361" s="1400"/>
      <c r="DB361" s="1682"/>
      <c r="DC361" s="1326"/>
      <c r="DD361" s="1683">
        <v>0</v>
      </c>
      <c r="DE361" s="1400"/>
      <c r="DF361" s="1400"/>
      <c r="DG361" s="1683">
        <v>0</v>
      </c>
      <c r="DH361" s="1683">
        <v>0</v>
      </c>
    </row>
    <row r="362" spans="1:112" ht="45">
      <c r="A362" s="1326" t="s">
        <v>2388</v>
      </c>
      <c r="B362" s="1326" t="s">
        <v>1702</v>
      </c>
      <c r="C362" s="1326" t="s">
        <v>2564</v>
      </c>
      <c r="D362" s="1326" t="s">
        <v>2565</v>
      </c>
      <c r="E362" s="1326" t="s">
        <v>2259</v>
      </c>
      <c r="F362" s="1326" t="s">
        <v>2566</v>
      </c>
      <c r="G362" s="1326" t="s">
        <v>2556</v>
      </c>
      <c r="H362" s="1326" t="s">
        <v>2541</v>
      </c>
      <c r="I362" s="1326" t="s">
        <v>719</v>
      </c>
      <c r="J362" s="1326" t="s">
        <v>310</v>
      </c>
      <c r="K362" s="1326" t="s">
        <v>2060</v>
      </c>
      <c r="L362" s="1326" t="s">
        <v>2061</v>
      </c>
      <c r="M362" s="1400"/>
      <c r="N362" s="1400"/>
      <c r="O362" s="1400"/>
      <c r="P362" s="1400"/>
      <c r="Q362" s="1400"/>
      <c r="R362" s="1400"/>
      <c r="S362" s="1400"/>
      <c r="T362" s="1400"/>
      <c r="U362" s="1400"/>
      <c r="V362" s="1400"/>
      <c r="W362" s="1400"/>
      <c r="X362" s="1400"/>
      <c r="Y362" s="1685">
        <v>43279</v>
      </c>
      <c r="Z362" s="1326" t="s">
        <v>2062</v>
      </c>
      <c r="AA362" s="1683">
        <v>0</v>
      </c>
      <c r="AB362" s="1683">
        <v>0</v>
      </c>
      <c r="AC362" s="1683">
        <v>0</v>
      </c>
      <c r="AD362" s="1685">
        <v>43319</v>
      </c>
      <c r="AE362" s="1326" t="s">
        <v>2088</v>
      </c>
      <c r="AF362" s="1326" t="s">
        <v>2064</v>
      </c>
      <c r="AG362" s="1410"/>
      <c r="AH362" s="1683">
        <v>5885.25</v>
      </c>
      <c r="AI362" s="1683">
        <v>5885.25</v>
      </c>
      <c r="AJ362" s="1683">
        <v>5002.46</v>
      </c>
      <c r="AK362" s="1683">
        <v>5002.46</v>
      </c>
      <c r="AL362" s="1683">
        <v>0</v>
      </c>
      <c r="AM362" s="1685">
        <v>43319</v>
      </c>
      <c r="AN362" s="1683">
        <v>5885.25</v>
      </c>
      <c r="AO362" s="1683">
        <v>5885.25</v>
      </c>
      <c r="AP362" s="1683">
        <v>5002.46</v>
      </c>
      <c r="AQ362" s="1683">
        <v>5002.46</v>
      </c>
      <c r="AR362" s="1683">
        <v>0</v>
      </c>
      <c r="AS362" s="1683">
        <v>882.79</v>
      </c>
      <c r="AT362" s="1683">
        <v>0</v>
      </c>
      <c r="AU362" s="1683">
        <v>882.79</v>
      </c>
      <c r="AV362" s="1683">
        <v>0</v>
      </c>
      <c r="AW362" s="1683">
        <v>0</v>
      </c>
      <c r="AX362" s="1400"/>
      <c r="AY362" s="1400"/>
      <c r="AZ362" s="1400"/>
      <c r="BA362" s="1682"/>
      <c r="BB362" s="1682"/>
      <c r="BC362" s="1400"/>
      <c r="BD362" s="1400"/>
      <c r="BE362" s="1683">
        <v>5885.25</v>
      </c>
      <c r="BF362" s="1683">
        <v>5885.25</v>
      </c>
      <c r="BG362" s="1683">
        <v>5002.46</v>
      </c>
      <c r="BH362" s="1683">
        <v>5002.46</v>
      </c>
      <c r="BI362" s="1683">
        <v>0</v>
      </c>
      <c r="BJ362" s="1683">
        <v>882.79</v>
      </c>
      <c r="BK362" s="1683">
        <v>0</v>
      </c>
      <c r="BL362" s="1683">
        <v>882.79</v>
      </c>
      <c r="BM362" s="1683">
        <v>0</v>
      </c>
      <c r="BN362" s="1683">
        <v>0</v>
      </c>
      <c r="BO362" s="1685">
        <v>43403</v>
      </c>
      <c r="BP362" s="1683">
        <v>5885.25</v>
      </c>
      <c r="BQ362" s="1683">
        <v>5885.25</v>
      </c>
      <c r="BR362" s="1683">
        <v>5002.46</v>
      </c>
      <c r="BS362" s="1683">
        <v>5002.46</v>
      </c>
      <c r="BT362" s="1683">
        <v>0</v>
      </c>
      <c r="BU362" s="1683">
        <v>882.79</v>
      </c>
      <c r="BV362" s="1683">
        <v>0</v>
      </c>
      <c r="BW362" s="1683">
        <v>0</v>
      </c>
      <c r="BX362" s="1683">
        <v>0</v>
      </c>
      <c r="BY362" s="1683">
        <v>0</v>
      </c>
      <c r="BZ362" s="1683">
        <v>0</v>
      </c>
      <c r="CA362" s="1400"/>
      <c r="CB362" s="1682"/>
      <c r="CC362" s="1682"/>
      <c r="CD362" s="1400"/>
      <c r="CE362" s="1400"/>
      <c r="CF362" s="1683">
        <v>0</v>
      </c>
      <c r="CG362" s="1683">
        <v>0</v>
      </c>
      <c r="CH362" s="1683">
        <v>0</v>
      </c>
      <c r="CI362" s="1683">
        <v>0</v>
      </c>
      <c r="CJ362" s="1683">
        <v>77.25</v>
      </c>
      <c r="CK362" s="1683">
        <v>77.25</v>
      </c>
      <c r="CL362" s="1682"/>
      <c r="CM362" s="1683">
        <v>0</v>
      </c>
      <c r="CN362" s="1683">
        <v>0</v>
      </c>
      <c r="CO362" s="1683">
        <v>0</v>
      </c>
      <c r="CP362" s="1683">
        <v>0</v>
      </c>
      <c r="CQ362" s="1683">
        <v>0</v>
      </c>
      <c r="CR362" s="1683">
        <v>0</v>
      </c>
      <c r="CS362" s="1683">
        <v>0</v>
      </c>
      <c r="CT362" s="1683">
        <v>0</v>
      </c>
      <c r="CU362" s="1683">
        <v>0</v>
      </c>
      <c r="CV362" s="1683">
        <v>0</v>
      </c>
      <c r="CW362" s="1682"/>
      <c r="CX362" s="1400"/>
      <c r="CY362" s="1400"/>
      <c r="CZ362" s="1400"/>
      <c r="DA362" s="1400"/>
      <c r="DB362" s="1682"/>
      <c r="DC362" s="1326"/>
      <c r="DD362" s="1683">
        <v>0</v>
      </c>
      <c r="DE362" s="1400"/>
      <c r="DF362" s="1400"/>
      <c r="DG362" s="1683">
        <v>0</v>
      </c>
      <c r="DH362" s="1683">
        <v>0</v>
      </c>
    </row>
    <row r="363" spans="1:112" ht="45">
      <c r="A363" s="1326" t="s">
        <v>2391</v>
      </c>
      <c r="B363" s="1326" t="s">
        <v>1702</v>
      </c>
      <c r="C363" s="1326" t="s">
        <v>2564</v>
      </c>
      <c r="D363" s="1326" t="s">
        <v>2565</v>
      </c>
      <c r="E363" s="1326" t="s">
        <v>2259</v>
      </c>
      <c r="F363" s="1326" t="s">
        <v>2566</v>
      </c>
      <c r="G363" s="1326" t="s">
        <v>2556</v>
      </c>
      <c r="H363" s="1326" t="s">
        <v>2541</v>
      </c>
      <c r="I363" s="1326" t="s">
        <v>719</v>
      </c>
      <c r="J363" s="1326" t="s">
        <v>310</v>
      </c>
      <c r="K363" s="1326" t="s">
        <v>2060</v>
      </c>
      <c r="L363" s="1326" t="s">
        <v>2061</v>
      </c>
      <c r="M363" s="1400"/>
      <c r="N363" s="1400"/>
      <c r="O363" s="1400"/>
      <c r="P363" s="1400"/>
      <c r="Q363" s="1400"/>
      <c r="R363" s="1400"/>
      <c r="S363" s="1400"/>
      <c r="T363" s="1400"/>
      <c r="U363" s="1400"/>
      <c r="V363" s="1400"/>
      <c r="W363" s="1400"/>
      <c r="X363" s="1400"/>
      <c r="Y363" s="1685">
        <v>43412</v>
      </c>
      <c r="Z363" s="1326" t="s">
        <v>2062</v>
      </c>
      <c r="AA363" s="1683">
        <v>0</v>
      </c>
      <c r="AB363" s="1683">
        <v>0</v>
      </c>
      <c r="AC363" s="1683">
        <v>0</v>
      </c>
      <c r="AD363" s="1685">
        <v>43427</v>
      </c>
      <c r="AE363" s="1326" t="s">
        <v>2083</v>
      </c>
      <c r="AF363" s="1326" t="s">
        <v>2064</v>
      </c>
      <c r="AG363" s="1410"/>
      <c r="AH363" s="1683">
        <v>19824.919999999998</v>
      </c>
      <c r="AI363" s="1683">
        <v>19824.919999999998</v>
      </c>
      <c r="AJ363" s="1683">
        <v>16851.18</v>
      </c>
      <c r="AK363" s="1683">
        <v>16851.18</v>
      </c>
      <c r="AL363" s="1683">
        <v>0</v>
      </c>
      <c r="AM363" s="1685">
        <v>43427</v>
      </c>
      <c r="AN363" s="1683">
        <v>19824.919999999998</v>
      </c>
      <c r="AO363" s="1683">
        <v>19824.919999999998</v>
      </c>
      <c r="AP363" s="1683">
        <v>16851.18</v>
      </c>
      <c r="AQ363" s="1683">
        <v>16851.18</v>
      </c>
      <c r="AR363" s="1683">
        <v>0</v>
      </c>
      <c r="AS363" s="1683">
        <v>2973.74</v>
      </c>
      <c r="AT363" s="1683">
        <v>0</v>
      </c>
      <c r="AU363" s="1683">
        <v>2973.74</v>
      </c>
      <c r="AV363" s="1683">
        <v>0</v>
      </c>
      <c r="AW363" s="1683">
        <v>0</v>
      </c>
      <c r="AX363" s="1400"/>
      <c r="AY363" s="1400"/>
      <c r="AZ363" s="1400"/>
      <c r="BA363" s="1682"/>
      <c r="BB363" s="1682"/>
      <c r="BC363" s="1400"/>
      <c r="BD363" s="1400"/>
      <c r="BE363" s="1683">
        <v>19824.919999999998</v>
      </c>
      <c r="BF363" s="1683">
        <v>19824.919999999998</v>
      </c>
      <c r="BG363" s="1683">
        <v>16851.18</v>
      </c>
      <c r="BH363" s="1683">
        <v>16851.18</v>
      </c>
      <c r="BI363" s="1683">
        <v>0</v>
      </c>
      <c r="BJ363" s="1683">
        <v>2973.74</v>
      </c>
      <c r="BK363" s="1683">
        <v>0</v>
      </c>
      <c r="BL363" s="1683">
        <v>2973.74</v>
      </c>
      <c r="BM363" s="1683">
        <v>0</v>
      </c>
      <c r="BN363" s="1683">
        <v>0</v>
      </c>
      <c r="BO363" s="1685">
        <v>43453</v>
      </c>
      <c r="BP363" s="1683">
        <v>19824.919999999998</v>
      </c>
      <c r="BQ363" s="1683">
        <v>19824.919999999998</v>
      </c>
      <c r="BR363" s="1683">
        <v>16851.18</v>
      </c>
      <c r="BS363" s="1683">
        <v>16851.18</v>
      </c>
      <c r="BT363" s="1683">
        <v>0</v>
      </c>
      <c r="BU363" s="1683">
        <v>2973.74</v>
      </c>
      <c r="BV363" s="1683">
        <v>0</v>
      </c>
      <c r="BW363" s="1683">
        <v>0</v>
      </c>
      <c r="BX363" s="1683">
        <v>0</v>
      </c>
      <c r="BY363" s="1683">
        <v>0</v>
      </c>
      <c r="BZ363" s="1683">
        <v>0</v>
      </c>
      <c r="CA363" s="1400"/>
      <c r="CB363" s="1682"/>
      <c r="CC363" s="1682"/>
      <c r="CD363" s="1400"/>
      <c r="CE363" s="1400"/>
      <c r="CF363" s="1683">
        <v>0</v>
      </c>
      <c r="CG363" s="1683">
        <v>0</v>
      </c>
      <c r="CH363" s="1683">
        <v>0</v>
      </c>
      <c r="CI363" s="1683">
        <v>0</v>
      </c>
      <c r="CJ363" s="1683">
        <v>260.20999999999998</v>
      </c>
      <c r="CK363" s="1683">
        <v>260.20999999999998</v>
      </c>
      <c r="CL363" s="1682"/>
      <c r="CM363" s="1683">
        <v>0</v>
      </c>
      <c r="CN363" s="1683">
        <v>0</v>
      </c>
      <c r="CO363" s="1683">
        <v>0</v>
      </c>
      <c r="CP363" s="1683">
        <v>0</v>
      </c>
      <c r="CQ363" s="1683">
        <v>0</v>
      </c>
      <c r="CR363" s="1683">
        <v>0</v>
      </c>
      <c r="CS363" s="1683">
        <v>0</v>
      </c>
      <c r="CT363" s="1683">
        <v>0</v>
      </c>
      <c r="CU363" s="1683">
        <v>0</v>
      </c>
      <c r="CV363" s="1683">
        <v>0</v>
      </c>
      <c r="CW363" s="1682"/>
      <c r="CX363" s="1400"/>
      <c r="CY363" s="1400"/>
      <c r="CZ363" s="1400"/>
      <c r="DA363" s="1400"/>
      <c r="DB363" s="1682"/>
      <c r="DC363" s="1326"/>
      <c r="DD363" s="1683">
        <v>0</v>
      </c>
      <c r="DE363" s="1400"/>
      <c r="DF363" s="1400"/>
      <c r="DG363" s="1683">
        <v>0</v>
      </c>
      <c r="DH363" s="1683">
        <v>0</v>
      </c>
    </row>
    <row r="364" spans="1:112" ht="45">
      <c r="A364" s="1326" t="s">
        <v>2392</v>
      </c>
      <c r="B364" s="1326" t="s">
        <v>1702</v>
      </c>
      <c r="C364" s="1326" t="s">
        <v>2564</v>
      </c>
      <c r="D364" s="1326" t="s">
        <v>2565</v>
      </c>
      <c r="E364" s="1326" t="s">
        <v>2259</v>
      </c>
      <c r="F364" s="1326" t="s">
        <v>2566</v>
      </c>
      <c r="G364" s="1326" t="s">
        <v>2556</v>
      </c>
      <c r="H364" s="1326" t="s">
        <v>2541</v>
      </c>
      <c r="I364" s="1326" t="s">
        <v>719</v>
      </c>
      <c r="J364" s="1326" t="s">
        <v>310</v>
      </c>
      <c r="K364" s="1326" t="s">
        <v>2060</v>
      </c>
      <c r="L364" s="1326" t="s">
        <v>2061</v>
      </c>
      <c r="M364" s="1400"/>
      <c r="N364" s="1400"/>
      <c r="O364" s="1400"/>
      <c r="P364" s="1400"/>
      <c r="Q364" s="1400"/>
      <c r="R364" s="1400"/>
      <c r="S364" s="1400"/>
      <c r="T364" s="1400"/>
      <c r="U364" s="1400"/>
      <c r="V364" s="1400"/>
      <c r="W364" s="1400"/>
      <c r="X364" s="1400"/>
      <c r="Y364" s="1685">
        <v>43521</v>
      </c>
      <c r="Z364" s="1326" t="s">
        <v>2096</v>
      </c>
      <c r="AA364" s="1683">
        <v>0</v>
      </c>
      <c r="AB364" s="1683">
        <v>0</v>
      </c>
      <c r="AC364" s="1683">
        <v>0</v>
      </c>
      <c r="AD364" s="1685">
        <v>43528</v>
      </c>
      <c r="AE364" s="1326" t="s">
        <v>2084</v>
      </c>
      <c r="AF364" s="1326" t="s">
        <v>2064</v>
      </c>
      <c r="AG364" s="1410"/>
      <c r="AH364" s="1683">
        <v>0</v>
      </c>
      <c r="AI364" s="1683">
        <v>30000</v>
      </c>
      <c r="AJ364" s="1683">
        <v>30000</v>
      </c>
      <c r="AK364" s="1683">
        <v>30000</v>
      </c>
      <c r="AL364" s="1683">
        <v>0</v>
      </c>
      <c r="AM364" s="1682"/>
      <c r="AN364" s="1683">
        <v>0</v>
      </c>
      <c r="AO364" s="1683">
        <v>0</v>
      </c>
      <c r="AP364" s="1683">
        <v>0</v>
      </c>
      <c r="AQ364" s="1683">
        <v>0</v>
      </c>
      <c r="AR364" s="1683">
        <v>0</v>
      </c>
      <c r="AS364" s="1683">
        <v>0</v>
      </c>
      <c r="AT364" s="1683">
        <v>0</v>
      </c>
      <c r="AU364" s="1683">
        <v>0</v>
      </c>
      <c r="AV364" s="1683">
        <v>0</v>
      </c>
      <c r="AW364" s="1683">
        <v>0</v>
      </c>
      <c r="AX364" s="1400"/>
      <c r="AY364" s="1400"/>
      <c r="AZ364" s="1400"/>
      <c r="BA364" s="1682"/>
      <c r="BB364" s="1682"/>
      <c r="BC364" s="1400"/>
      <c r="BD364" s="1400"/>
      <c r="BE364" s="1683">
        <v>0</v>
      </c>
      <c r="BF364" s="1683">
        <v>0</v>
      </c>
      <c r="BG364" s="1683">
        <v>0</v>
      </c>
      <c r="BH364" s="1683">
        <v>0</v>
      </c>
      <c r="BI364" s="1683">
        <v>0</v>
      </c>
      <c r="BJ364" s="1683">
        <v>0</v>
      </c>
      <c r="BK364" s="1683">
        <v>0</v>
      </c>
      <c r="BL364" s="1683">
        <v>0</v>
      </c>
      <c r="BM364" s="1683">
        <v>0</v>
      </c>
      <c r="BN364" s="1683">
        <v>0</v>
      </c>
      <c r="BO364" s="1682"/>
      <c r="BP364" s="1683">
        <v>0</v>
      </c>
      <c r="BQ364" s="1683">
        <v>0</v>
      </c>
      <c r="BR364" s="1683">
        <v>0</v>
      </c>
      <c r="BS364" s="1683">
        <v>0</v>
      </c>
      <c r="BT364" s="1683">
        <v>0</v>
      </c>
      <c r="BU364" s="1683">
        <v>0</v>
      </c>
      <c r="BV364" s="1683">
        <v>0</v>
      </c>
      <c r="BW364" s="1683">
        <v>0</v>
      </c>
      <c r="BX364" s="1683">
        <v>0</v>
      </c>
      <c r="BY364" s="1683">
        <v>0</v>
      </c>
      <c r="BZ364" s="1400"/>
      <c r="CA364" s="1400"/>
      <c r="CB364" s="1682"/>
      <c r="CC364" s="1682"/>
      <c r="CD364" s="1400"/>
      <c r="CE364" s="1400"/>
      <c r="CF364" s="1683">
        <v>0</v>
      </c>
      <c r="CG364" s="1683">
        <v>0</v>
      </c>
      <c r="CH364" s="1683">
        <v>0</v>
      </c>
      <c r="CI364" s="1683">
        <v>0</v>
      </c>
      <c r="CJ364" s="1683">
        <v>0</v>
      </c>
      <c r="CK364" s="1683">
        <v>0</v>
      </c>
      <c r="CL364" s="1682"/>
      <c r="CM364" s="1683">
        <v>0</v>
      </c>
      <c r="CN364" s="1683">
        <v>0</v>
      </c>
      <c r="CO364" s="1683">
        <v>0</v>
      </c>
      <c r="CP364" s="1683">
        <v>0</v>
      </c>
      <c r="CQ364" s="1683">
        <v>0</v>
      </c>
      <c r="CR364" s="1683">
        <v>0</v>
      </c>
      <c r="CS364" s="1683">
        <v>0</v>
      </c>
      <c r="CT364" s="1683">
        <v>0</v>
      </c>
      <c r="CU364" s="1683">
        <v>0</v>
      </c>
      <c r="CV364" s="1683">
        <v>0</v>
      </c>
      <c r="CW364" s="1682"/>
      <c r="CX364" s="1400"/>
      <c r="CY364" s="1400"/>
      <c r="CZ364" s="1400"/>
      <c r="DA364" s="1400"/>
      <c r="DB364" s="1682"/>
      <c r="DC364" s="1326"/>
      <c r="DD364" s="1683">
        <v>0</v>
      </c>
      <c r="DE364" s="1400"/>
      <c r="DF364" s="1400"/>
      <c r="DG364" s="1683">
        <v>0</v>
      </c>
      <c r="DH364" s="1683">
        <v>0</v>
      </c>
    </row>
    <row r="365" spans="1:112" ht="67.5">
      <c r="A365" s="1326" t="s">
        <v>2393</v>
      </c>
      <c r="B365" s="1326" t="s">
        <v>1702</v>
      </c>
      <c r="C365" s="1326" t="s">
        <v>2564</v>
      </c>
      <c r="D365" s="1326" t="s">
        <v>2565</v>
      </c>
      <c r="E365" s="1326" t="s">
        <v>2259</v>
      </c>
      <c r="F365" s="1326" t="s">
        <v>2566</v>
      </c>
      <c r="G365" s="1326" t="s">
        <v>2556</v>
      </c>
      <c r="H365" s="1326" t="s">
        <v>2541</v>
      </c>
      <c r="I365" s="1326" t="s">
        <v>721</v>
      </c>
      <c r="J365" s="1326" t="s">
        <v>313</v>
      </c>
      <c r="K365" s="1326" t="s">
        <v>2268</v>
      </c>
      <c r="L365" s="1326" t="s">
        <v>2137</v>
      </c>
      <c r="M365" s="1683">
        <v>146319</v>
      </c>
      <c r="N365" s="1683">
        <v>0</v>
      </c>
      <c r="O365" s="1683">
        <v>146319</v>
      </c>
      <c r="P365" s="1683">
        <v>146319</v>
      </c>
      <c r="Q365" s="1683">
        <v>146319</v>
      </c>
      <c r="R365" s="1683">
        <v>124371.15</v>
      </c>
      <c r="S365" s="1683">
        <v>21947.85</v>
      </c>
      <c r="T365" s="1683">
        <v>0</v>
      </c>
      <c r="U365" s="1683">
        <v>0</v>
      </c>
      <c r="V365" s="1683">
        <v>0</v>
      </c>
      <c r="W365" s="1683">
        <v>0</v>
      </c>
      <c r="X365" s="1683">
        <v>0</v>
      </c>
      <c r="Y365" s="1682"/>
      <c r="Z365" s="1326"/>
      <c r="AA365" s="1683">
        <v>8349</v>
      </c>
      <c r="AB365" s="1683">
        <v>7096.65</v>
      </c>
      <c r="AC365" s="1683">
        <v>1252.3499999999999</v>
      </c>
      <c r="AD365" s="1682"/>
      <c r="AE365" s="1326"/>
      <c r="AF365" s="1326"/>
      <c r="AG365" s="1410"/>
      <c r="AH365" s="1683">
        <v>146319</v>
      </c>
      <c r="AI365" s="1683">
        <v>154668</v>
      </c>
      <c r="AJ365" s="1683">
        <v>146319</v>
      </c>
      <c r="AK365" s="1683">
        <v>124371.15</v>
      </c>
      <c r="AL365" s="1683">
        <v>21947.85</v>
      </c>
      <c r="AM365" s="1682"/>
      <c r="AN365" s="1683">
        <v>146319</v>
      </c>
      <c r="AO365" s="1683">
        <v>146319</v>
      </c>
      <c r="AP365" s="1683">
        <v>146319</v>
      </c>
      <c r="AQ365" s="1683">
        <v>124371.15</v>
      </c>
      <c r="AR365" s="1683">
        <v>21947.85</v>
      </c>
      <c r="AS365" s="1683">
        <v>0</v>
      </c>
      <c r="AT365" s="1683">
        <v>0</v>
      </c>
      <c r="AU365" s="1683">
        <v>0</v>
      </c>
      <c r="AV365" s="1683">
        <v>0</v>
      </c>
      <c r="AW365" s="1683">
        <v>0</v>
      </c>
      <c r="AX365" s="1683">
        <v>0</v>
      </c>
      <c r="AY365" s="1683">
        <v>0</v>
      </c>
      <c r="AZ365" s="1683">
        <v>0</v>
      </c>
      <c r="BA365" s="1682"/>
      <c r="BB365" s="1682"/>
      <c r="BC365" s="1683">
        <v>0</v>
      </c>
      <c r="BD365" s="1683">
        <v>0</v>
      </c>
      <c r="BE365" s="1683">
        <v>146319</v>
      </c>
      <c r="BF365" s="1683">
        <v>146319</v>
      </c>
      <c r="BG365" s="1683">
        <v>146319</v>
      </c>
      <c r="BH365" s="1683">
        <v>124371.15</v>
      </c>
      <c r="BI365" s="1683">
        <v>21947.85</v>
      </c>
      <c r="BJ365" s="1683">
        <v>0</v>
      </c>
      <c r="BK365" s="1683">
        <v>0</v>
      </c>
      <c r="BL365" s="1683">
        <v>0</v>
      </c>
      <c r="BM365" s="1683">
        <v>0</v>
      </c>
      <c r="BN365" s="1683">
        <v>0</v>
      </c>
      <c r="BO365" s="1682"/>
      <c r="BP365" s="1683">
        <v>136928.17000000001</v>
      </c>
      <c r="BQ365" s="1683">
        <v>136928.17000000001</v>
      </c>
      <c r="BR365" s="1683">
        <v>136928.17000000001</v>
      </c>
      <c r="BS365" s="1683">
        <v>116388.94</v>
      </c>
      <c r="BT365" s="1683">
        <v>20539.23</v>
      </c>
      <c r="BU365" s="1683">
        <v>0</v>
      </c>
      <c r="BV365" s="1683">
        <v>0</v>
      </c>
      <c r="BW365" s="1683">
        <v>0</v>
      </c>
      <c r="BX365" s="1683">
        <v>0</v>
      </c>
      <c r="BY365" s="1683">
        <v>0</v>
      </c>
      <c r="BZ365" s="1683">
        <v>0</v>
      </c>
      <c r="CA365" s="1683">
        <v>0</v>
      </c>
      <c r="CB365" s="1682"/>
      <c r="CC365" s="1682"/>
      <c r="CD365" s="1683">
        <v>0</v>
      </c>
      <c r="CE365" s="1683">
        <v>0</v>
      </c>
      <c r="CF365" s="1683">
        <v>0</v>
      </c>
      <c r="CG365" s="1683">
        <v>0</v>
      </c>
      <c r="CH365" s="1683">
        <v>0</v>
      </c>
      <c r="CI365" s="1683">
        <v>0</v>
      </c>
      <c r="CJ365" s="1683">
        <v>0</v>
      </c>
      <c r="CK365" s="1683">
        <v>0</v>
      </c>
      <c r="CL365" s="1682"/>
      <c r="CM365" s="1683">
        <v>17082.32</v>
      </c>
      <c r="CN365" s="1683">
        <v>17082.32</v>
      </c>
      <c r="CO365" s="1683">
        <v>17082.32</v>
      </c>
      <c r="CP365" s="1683">
        <v>14519.97</v>
      </c>
      <c r="CQ365" s="1683">
        <v>2562.35</v>
      </c>
      <c r="CR365" s="1683">
        <v>0</v>
      </c>
      <c r="CS365" s="1683">
        <v>0</v>
      </c>
      <c r="CT365" s="1683">
        <v>0</v>
      </c>
      <c r="CU365" s="1683">
        <v>0</v>
      </c>
      <c r="CV365" s="1683">
        <v>0</v>
      </c>
      <c r="CW365" s="1682"/>
      <c r="CX365" s="1683">
        <v>0</v>
      </c>
      <c r="CY365" s="1683">
        <v>0</v>
      </c>
      <c r="CZ365" s="1683">
        <v>17082.32</v>
      </c>
      <c r="DA365" s="1683">
        <v>17082.32</v>
      </c>
      <c r="DB365" s="1682"/>
      <c r="DC365" s="1326"/>
      <c r="DD365" s="1683">
        <v>0</v>
      </c>
      <c r="DE365" s="1683">
        <v>0</v>
      </c>
      <c r="DF365" s="1683">
        <v>0</v>
      </c>
      <c r="DG365" s="1683">
        <v>0</v>
      </c>
      <c r="DH365" s="1683">
        <v>0</v>
      </c>
    </row>
    <row r="366" spans="1:112" ht="67.5">
      <c r="A366" s="1326" t="s">
        <v>2394</v>
      </c>
      <c r="B366" s="1326" t="s">
        <v>1702</v>
      </c>
      <c r="C366" s="1326" t="s">
        <v>2564</v>
      </c>
      <c r="D366" s="1326" t="s">
        <v>2565</v>
      </c>
      <c r="E366" s="1326" t="s">
        <v>2259</v>
      </c>
      <c r="F366" s="1326" t="s">
        <v>2566</v>
      </c>
      <c r="G366" s="1326" t="s">
        <v>2556</v>
      </c>
      <c r="H366" s="1326" t="s">
        <v>2541</v>
      </c>
      <c r="I366" s="1326" t="s">
        <v>721</v>
      </c>
      <c r="J366" s="1326" t="s">
        <v>313</v>
      </c>
      <c r="K366" s="1326" t="s">
        <v>2268</v>
      </c>
      <c r="L366" s="1326" t="s">
        <v>2137</v>
      </c>
      <c r="M366" s="1400"/>
      <c r="N366" s="1400"/>
      <c r="O366" s="1400"/>
      <c r="P366" s="1400"/>
      <c r="Q366" s="1400"/>
      <c r="R366" s="1400"/>
      <c r="S366" s="1400"/>
      <c r="T366" s="1400"/>
      <c r="U366" s="1400"/>
      <c r="V366" s="1400"/>
      <c r="W366" s="1400"/>
      <c r="X366" s="1400"/>
      <c r="Y366" s="1685">
        <v>42857</v>
      </c>
      <c r="Z366" s="1326" t="s">
        <v>2096</v>
      </c>
      <c r="AA366" s="1683">
        <v>0</v>
      </c>
      <c r="AB366" s="1683">
        <v>0</v>
      </c>
      <c r="AC366" s="1683">
        <v>0</v>
      </c>
      <c r="AD366" s="1685">
        <v>42905</v>
      </c>
      <c r="AE366" s="1326" t="s">
        <v>2073</v>
      </c>
      <c r="AF366" s="1326" t="s">
        <v>2064</v>
      </c>
      <c r="AG366" s="1410"/>
      <c r="AH366" s="1683">
        <v>0</v>
      </c>
      <c r="AI366" s="1683">
        <v>8349</v>
      </c>
      <c r="AJ366" s="1683">
        <v>8349</v>
      </c>
      <c r="AK366" s="1683">
        <v>7096.65</v>
      </c>
      <c r="AL366" s="1683">
        <v>1252.3499999999999</v>
      </c>
      <c r="AM366" s="1682"/>
      <c r="AN366" s="1683">
        <v>0</v>
      </c>
      <c r="AO366" s="1683">
        <v>0</v>
      </c>
      <c r="AP366" s="1683">
        <v>0</v>
      </c>
      <c r="AQ366" s="1683">
        <v>0</v>
      </c>
      <c r="AR366" s="1683">
        <v>0</v>
      </c>
      <c r="AS366" s="1683">
        <v>0</v>
      </c>
      <c r="AT366" s="1683">
        <v>0</v>
      </c>
      <c r="AU366" s="1683">
        <v>0</v>
      </c>
      <c r="AV366" s="1683">
        <v>0</v>
      </c>
      <c r="AW366" s="1683">
        <v>0</v>
      </c>
      <c r="AX366" s="1400"/>
      <c r="AY366" s="1400"/>
      <c r="AZ366" s="1400"/>
      <c r="BA366" s="1682"/>
      <c r="BB366" s="1682"/>
      <c r="BC366" s="1400"/>
      <c r="BD366" s="1400"/>
      <c r="BE366" s="1683">
        <v>0</v>
      </c>
      <c r="BF366" s="1683">
        <v>0</v>
      </c>
      <c r="BG366" s="1683">
        <v>0</v>
      </c>
      <c r="BH366" s="1683">
        <v>0</v>
      </c>
      <c r="BI366" s="1683">
        <v>0</v>
      </c>
      <c r="BJ366" s="1683">
        <v>0</v>
      </c>
      <c r="BK366" s="1683">
        <v>0</v>
      </c>
      <c r="BL366" s="1683">
        <v>0</v>
      </c>
      <c r="BM366" s="1683">
        <v>0</v>
      </c>
      <c r="BN366" s="1683">
        <v>0</v>
      </c>
      <c r="BO366" s="1682"/>
      <c r="BP366" s="1683">
        <v>0</v>
      </c>
      <c r="BQ366" s="1683">
        <v>0</v>
      </c>
      <c r="BR366" s="1683">
        <v>0</v>
      </c>
      <c r="BS366" s="1683">
        <v>0</v>
      </c>
      <c r="BT366" s="1683">
        <v>0</v>
      </c>
      <c r="BU366" s="1683">
        <v>0</v>
      </c>
      <c r="BV366" s="1683">
        <v>0</v>
      </c>
      <c r="BW366" s="1683">
        <v>0</v>
      </c>
      <c r="BX366" s="1683">
        <v>0</v>
      </c>
      <c r="BY366" s="1683">
        <v>0</v>
      </c>
      <c r="BZ366" s="1400"/>
      <c r="CA366" s="1400"/>
      <c r="CB366" s="1682"/>
      <c r="CC366" s="1682"/>
      <c r="CD366" s="1400"/>
      <c r="CE366" s="1400"/>
      <c r="CF366" s="1683">
        <v>0</v>
      </c>
      <c r="CG366" s="1683">
        <v>0</v>
      </c>
      <c r="CH366" s="1683">
        <v>0</v>
      </c>
      <c r="CI366" s="1683">
        <v>0</v>
      </c>
      <c r="CJ366" s="1683">
        <v>0</v>
      </c>
      <c r="CK366" s="1683">
        <v>0</v>
      </c>
      <c r="CL366" s="1682"/>
      <c r="CM366" s="1683">
        <v>0</v>
      </c>
      <c r="CN366" s="1683">
        <v>0</v>
      </c>
      <c r="CO366" s="1683">
        <v>0</v>
      </c>
      <c r="CP366" s="1683">
        <v>0</v>
      </c>
      <c r="CQ366" s="1683">
        <v>0</v>
      </c>
      <c r="CR366" s="1683">
        <v>0</v>
      </c>
      <c r="CS366" s="1683">
        <v>0</v>
      </c>
      <c r="CT366" s="1683">
        <v>0</v>
      </c>
      <c r="CU366" s="1683">
        <v>0</v>
      </c>
      <c r="CV366" s="1683">
        <v>0</v>
      </c>
      <c r="CW366" s="1682"/>
      <c r="CX366" s="1400"/>
      <c r="CY366" s="1400"/>
      <c r="CZ366" s="1400"/>
      <c r="DA366" s="1400"/>
      <c r="DB366" s="1682"/>
      <c r="DC366" s="1326"/>
      <c r="DD366" s="1683">
        <v>0</v>
      </c>
      <c r="DE366" s="1400"/>
      <c r="DF366" s="1400"/>
      <c r="DG366" s="1683">
        <v>0</v>
      </c>
      <c r="DH366" s="1683">
        <v>0</v>
      </c>
    </row>
    <row r="367" spans="1:112" ht="67.5">
      <c r="A367" s="1326" t="s">
        <v>2396</v>
      </c>
      <c r="B367" s="1326" t="s">
        <v>1702</v>
      </c>
      <c r="C367" s="1326" t="s">
        <v>2564</v>
      </c>
      <c r="D367" s="1326" t="s">
        <v>2565</v>
      </c>
      <c r="E367" s="1326" t="s">
        <v>2259</v>
      </c>
      <c r="F367" s="1326" t="s">
        <v>2566</v>
      </c>
      <c r="G367" s="1326" t="s">
        <v>2556</v>
      </c>
      <c r="H367" s="1326" t="s">
        <v>2541</v>
      </c>
      <c r="I367" s="1326" t="s">
        <v>721</v>
      </c>
      <c r="J367" s="1326" t="s">
        <v>313</v>
      </c>
      <c r="K367" s="1326" t="s">
        <v>2268</v>
      </c>
      <c r="L367" s="1326" t="s">
        <v>2137</v>
      </c>
      <c r="M367" s="1400"/>
      <c r="N367" s="1400"/>
      <c r="O367" s="1400"/>
      <c r="P367" s="1400"/>
      <c r="Q367" s="1400"/>
      <c r="R367" s="1400"/>
      <c r="S367" s="1400"/>
      <c r="T367" s="1400"/>
      <c r="U367" s="1400"/>
      <c r="V367" s="1400"/>
      <c r="W367" s="1400"/>
      <c r="X367" s="1400"/>
      <c r="Y367" s="1685">
        <v>42941</v>
      </c>
      <c r="Z367" s="1326" t="s">
        <v>2062</v>
      </c>
      <c r="AA367" s="1683">
        <v>0</v>
      </c>
      <c r="AB367" s="1683">
        <v>0</v>
      </c>
      <c r="AC367" s="1683">
        <v>0</v>
      </c>
      <c r="AD367" s="1685">
        <v>42964</v>
      </c>
      <c r="AE367" s="1326" t="s">
        <v>2063</v>
      </c>
      <c r="AF367" s="1326" t="s">
        <v>2067</v>
      </c>
      <c r="AG367" s="1410"/>
      <c r="AH367" s="1683">
        <v>750</v>
      </c>
      <c r="AI367" s="1683">
        <v>750</v>
      </c>
      <c r="AJ367" s="1683">
        <v>750</v>
      </c>
      <c r="AK367" s="1683">
        <v>637.5</v>
      </c>
      <c r="AL367" s="1683">
        <v>112.5</v>
      </c>
      <c r="AM367" s="1685">
        <v>42969</v>
      </c>
      <c r="AN367" s="1683">
        <v>750</v>
      </c>
      <c r="AO367" s="1683">
        <v>750</v>
      </c>
      <c r="AP367" s="1683">
        <v>750</v>
      </c>
      <c r="AQ367" s="1683">
        <v>637.5</v>
      </c>
      <c r="AR367" s="1683">
        <v>112.5</v>
      </c>
      <c r="AS367" s="1683">
        <v>0</v>
      </c>
      <c r="AT367" s="1683">
        <v>0</v>
      </c>
      <c r="AU367" s="1683">
        <v>0</v>
      </c>
      <c r="AV367" s="1683">
        <v>0</v>
      </c>
      <c r="AW367" s="1683">
        <v>0</v>
      </c>
      <c r="AX367" s="1400"/>
      <c r="AY367" s="1400"/>
      <c r="AZ367" s="1400"/>
      <c r="BA367" s="1682"/>
      <c r="BB367" s="1682"/>
      <c r="BC367" s="1400"/>
      <c r="BD367" s="1400"/>
      <c r="BE367" s="1683">
        <v>750</v>
      </c>
      <c r="BF367" s="1683">
        <v>750</v>
      </c>
      <c r="BG367" s="1683">
        <v>750</v>
      </c>
      <c r="BH367" s="1683">
        <v>637.5</v>
      </c>
      <c r="BI367" s="1683">
        <v>112.5</v>
      </c>
      <c r="BJ367" s="1683">
        <v>0</v>
      </c>
      <c r="BK367" s="1683">
        <v>0</v>
      </c>
      <c r="BL367" s="1683">
        <v>0</v>
      </c>
      <c r="BM367" s="1683">
        <v>0</v>
      </c>
      <c r="BN367" s="1683">
        <v>0</v>
      </c>
      <c r="BO367" s="1685">
        <v>43039</v>
      </c>
      <c r="BP367" s="1683">
        <v>750</v>
      </c>
      <c r="BQ367" s="1683">
        <v>750</v>
      </c>
      <c r="BR367" s="1683">
        <v>750</v>
      </c>
      <c r="BS367" s="1683">
        <v>637.5</v>
      </c>
      <c r="BT367" s="1683">
        <v>112.5</v>
      </c>
      <c r="BU367" s="1683">
        <v>0</v>
      </c>
      <c r="BV367" s="1683">
        <v>0</v>
      </c>
      <c r="BW367" s="1683">
        <v>0</v>
      </c>
      <c r="BX367" s="1683">
        <v>0</v>
      </c>
      <c r="BY367" s="1683">
        <v>0</v>
      </c>
      <c r="BZ367" s="1683">
        <v>0</v>
      </c>
      <c r="CA367" s="1400"/>
      <c r="CB367" s="1682"/>
      <c r="CC367" s="1682"/>
      <c r="CD367" s="1400"/>
      <c r="CE367" s="1400"/>
      <c r="CF367" s="1683">
        <v>0</v>
      </c>
      <c r="CG367" s="1683">
        <v>0</v>
      </c>
      <c r="CH367" s="1683">
        <v>0</v>
      </c>
      <c r="CI367" s="1683">
        <v>0</v>
      </c>
      <c r="CJ367" s="1683">
        <v>0</v>
      </c>
      <c r="CK367" s="1683">
        <v>0</v>
      </c>
      <c r="CL367" s="1685">
        <v>43511</v>
      </c>
      <c r="CM367" s="1683">
        <v>750</v>
      </c>
      <c r="CN367" s="1683">
        <v>750</v>
      </c>
      <c r="CO367" s="1683">
        <v>750</v>
      </c>
      <c r="CP367" s="1683">
        <v>637.5</v>
      </c>
      <c r="CQ367" s="1683">
        <v>112.5</v>
      </c>
      <c r="CR367" s="1683">
        <v>0</v>
      </c>
      <c r="CS367" s="1683">
        <v>0</v>
      </c>
      <c r="CT367" s="1683">
        <v>0</v>
      </c>
      <c r="CU367" s="1683">
        <v>0</v>
      </c>
      <c r="CV367" s="1683">
        <v>0</v>
      </c>
      <c r="CW367" s="1682"/>
      <c r="CX367" s="1400"/>
      <c r="CY367" s="1400"/>
      <c r="CZ367" s="1400"/>
      <c r="DA367" s="1400"/>
      <c r="DB367" s="1682"/>
      <c r="DC367" s="1326"/>
      <c r="DD367" s="1683">
        <v>0</v>
      </c>
      <c r="DE367" s="1400"/>
      <c r="DF367" s="1400"/>
      <c r="DG367" s="1683">
        <v>0</v>
      </c>
      <c r="DH367" s="1683">
        <v>0</v>
      </c>
    </row>
    <row r="368" spans="1:112" ht="67.5">
      <c r="A368" s="1326" t="s">
        <v>2400</v>
      </c>
      <c r="B368" s="1326" t="s">
        <v>1702</v>
      </c>
      <c r="C368" s="1326" t="s">
        <v>2564</v>
      </c>
      <c r="D368" s="1326" t="s">
        <v>2565</v>
      </c>
      <c r="E368" s="1326" t="s">
        <v>2259</v>
      </c>
      <c r="F368" s="1326" t="s">
        <v>2566</v>
      </c>
      <c r="G368" s="1326" t="s">
        <v>2556</v>
      </c>
      <c r="H368" s="1326" t="s">
        <v>2541</v>
      </c>
      <c r="I368" s="1326" t="s">
        <v>721</v>
      </c>
      <c r="J368" s="1326" t="s">
        <v>313</v>
      </c>
      <c r="K368" s="1326" t="s">
        <v>2268</v>
      </c>
      <c r="L368" s="1326" t="s">
        <v>2137</v>
      </c>
      <c r="M368" s="1400"/>
      <c r="N368" s="1400"/>
      <c r="O368" s="1400"/>
      <c r="P368" s="1400"/>
      <c r="Q368" s="1400"/>
      <c r="R368" s="1400"/>
      <c r="S368" s="1400"/>
      <c r="T368" s="1400"/>
      <c r="U368" s="1400"/>
      <c r="V368" s="1400"/>
      <c r="W368" s="1400"/>
      <c r="X368" s="1400"/>
      <c r="Y368" s="1685">
        <v>42941</v>
      </c>
      <c r="Z368" s="1326" t="s">
        <v>2062</v>
      </c>
      <c r="AA368" s="1683">
        <v>0</v>
      </c>
      <c r="AB368" s="1683">
        <v>0</v>
      </c>
      <c r="AC368" s="1683">
        <v>0</v>
      </c>
      <c r="AD368" s="1685">
        <v>42964</v>
      </c>
      <c r="AE368" s="1326" t="s">
        <v>2063</v>
      </c>
      <c r="AF368" s="1326" t="s">
        <v>2064</v>
      </c>
      <c r="AG368" s="1410"/>
      <c r="AH368" s="1683">
        <v>8349</v>
      </c>
      <c r="AI368" s="1683">
        <v>8349</v>
      </c>
      <c r="AJ368" s="1683">
        <v>8349</v>
      </c>
      <c r="AK368" s="1683">
        <v>7096.65</v>
      </c>
      <c r="AL368" s="1683">
        <v>1252.3499999999999</v>
      </c>
      <c r="AM368" s="1685">
        <v>42964</v>
      </c>
      <c r="AN368" s="1683">
        <v>8349</v>
      </c>
      <c r="AO368" s="1683">
        <v>8349</v>
      </c>
      <c r="AP368" s="1683">
        <v>8349</v>
      </c>
      <c r="AQ368" s="1683">
        <v>7096.65</v>
      </c>
      <c r="AR368" s="1683">
        <v>1252.3499999999999</v>
      </c>
      <c r="AS368" s="1683">
        <v>0</v>
      </c>
      <c r="AT368" s="1683">
        <v>0</v>
      </c>
      <c r="AU368" s="1683">
        <v>0</v>
      </c>
      <c r="AV368" s="1683">
        <v>0</v>
      </c>
      <c r="AW368" s="1683">
        <v>0</v>
      </c>
      <c r="AX368" s="1400"/>
      <c r="AY368" s="1400"/>
      <c r="AZ368" s="1400"/>
      <c r="BA368" s="1682"/>
      <c r="BB368" s="1682"/>
      <c r="BC368" s="1400"/>
      <c r="BD368" s="1400"/>
      <c r="BE368" s="1683">
        <v>8349</v>
      </c>
      <c r="BF368" s="1683">
        <v>8349</v>
      </c>
      <c r="BG368" s="1683">
        <v>8349</v>
      </c>
      <c r="BH368" s="1683">
        <v>7096.65</v>
      </c>
      <c r="BI368" s="1683">
        <v>1252.3499999999999</v>
      </c>
      <c r="BJ368" s="1683">
        <v>0</v>
      </c>
      <c r="BK368" s="1683">
        <v>0</v>
      </c>
      <c r="BL368" s="1683">
        <v>0</v>
      </c>
      <c r="BM368" s="1683">
        <v>0</v>
      </c>
      <c r="BN368" s="1683">
        <v>0</v>
      </c>
      <c r="BO368" s="1685">
        <v>43039</v>
      </c>
      <c r="BP368" s="1683">
        <v>8349</v>
      </c>
      <c r="BQ368" s="1683">
        <v>8349</v>
      </c>
      <c r="BR368" s="1683">
        <v>8349</v>
      </c>
      <c r="BS368" s="1683">
        <v>7096.65</v>
      </c>
      <c r="BT368" s="1683">
        <v>1252.3499999999999</v>
      </c>
      <c r="BU368" s="1683">
        <v>0</v>
      </c>
      <c r="BV368" s="1683">
        <v>0</v>
      </c>
      <c r="BW368" s="1683">
        <v>0</v>
      </c>
      <c r="BX368" s="1683">
        <v>0</v>
      </c>
      <c r="BY368" s="1683">
        <v>0</v>
      </c>
      <c r="BZ368" s="1683">
        <v>0</v>
      </c>
      <c r="CA368" s="1400"/>
      <c r="CB368" s="1682"/>
      <c r="CC368" s="1682"/>
      <c r="CD368" s="1400"/>
      <c r="CE368" s="1400"/>
      <c r="CF368" s="1683">
        <v>0</v>
      </c>
      <c r="CG368" s="1683">
        <v>0</v>
      </c>
      <c r="CH368" s="1683">
        <v>0</v>
      </c>
      <c r="CI368" s="1683">
        <v>0</v>
      </c>
      <c r="CJ368" s="1683">
        <v>0</v>
      </c>
      <c r="CK368" s="1683">
        <v>0</v>
      </c>
      <c r="CL368" s="1685">
        <v>43511</v>
      </c>
      <c r="CM368" s="1683">
        <v>8349</v>
      </c>
      <c r="CN368" s="1683">
        <v>8349</v>
      </c>
      <c r="CO368" s="1683">
        <v>8349</v>
      </c>
      <c r="CP368" s="1683">
        <v>7096.65</v>
      </c>
      <c r="CQ368" s="1683">
        <v>1252.3499999999999</v>
      </c>
      <c r="CR368" s="1683">
        <v>0</v>
      </c>
      <c r="CS368" s="1683">
        <v>0</v>
      </c>
      <c r="CT368" s="1683">
        <v>0</v>
      </c>
      <c r="CU368" s="1683">
        <v>0</v>
      </c>
      <c r="CV368" s="1683">
        <v>0</v>
      </c>
      <c r="CW368" s="1682"/>
      <c r="CX368" s="1400"/>
      <c r="CY368" s="1400"/>
      <c r="CZ368" s="1400"/>
      <c r="DA368" s="1400"/>
      <c r="DB368" s="1682"/>
      <c r="DC368" s="1326"/>
      <c r="DD368" s="1683">
        <v>0</v>
      </c>
      <c r="DE368" s="1400"/>
      <c r="DF368" s="1400"/>
      <c r="DG368" s="1683">
        <v>0</v>
      </c>
      <c r="DH368" s="1683">
        <v>0</v>
      </c>
    </row>
    <row r="369" spans="1:112" ht="67.5">
      <c r="A369" s="1326" t="s">
        <v>2401</v>
      </c>
      <c r="B369" s="1326" t="s">
        <v>1702</v>
      </c>
      <c r="C369" s="1326" t="s">
        <v>2564</v>
      </c>
      <c r="D369" s="1326" t="s">
        <v>2565</v>
      </c>
      <c r="E369" s="1326" t="s">
        <v>2259</v>
      </c>
      <c r="F369" s="1326" t="s">
        <v>2566</v>
      </c>
      <c r="G369" s="1326" t="s">
        <v>2556</v>
      </c>
      <c r="H369" s="1326" t="s">
        <v>2541</v>
      </c>
      <c r="I369" s="1326" t="s">
        <v>721</v>
      </c>
      <c r="J369" s="1326" t="s">
        <v>313</v>
      </c>
      <c r="K369" s="1326" t="s">
        <v>2268</v>
      </c>
      <c r="L369" s="1326" t="s">
        <v>2137</v>
      </c>
      <c r="M369" s="1400"/>
      <c r="N369" s="1400"/>
      <c r="O369" s="1400"/>
      <c r="P369" s="1400"/>
      <c r="Q369" s="1400"/>
      <c r="R369" s="1400"/>
      <c r="S369" s="1400"/>
      <c r="T369" s="1400"/>
      <c r="U369" s="1400"/>
      <c r="V369" s="1400"/>
      <c r="W369" s="1400"/>
      <c r="X369" s="1400"/>
      <c r="Y369" s="1685">
        <v>43031</v>
      </c>
      <c r="Z369" s="1326" t="s">
        <v>2062</v>
      </c>
      <c r="AA369" s="1683">
        <v>0</v>
      </c>
      <c r="AB369" s="1683">
        <v>0</v>
      </c>
      <c r="AC369" s="1683">
        <v>0</v>
      </c>
      <c r="AD369" s="1685">
        <v>43049</v>
      </c>
      <c r="AE369" s="1326" t="s">
        <v>2066</v>
      </c>
      <c r="AF369" s="1326" t="s">
        <v>2064</v>
      </c>
      <c r="AG369" s="1410"/>
      <c r="AH369" s="1683">
        <v>462.22</v>
      </c>
      <c r="AI369" s="1683">
        <v>462.22</v>
      </c>
      <c r="AJ369" s="1683">
        <v>462.22</v>
      </c>
      <c r="AK369" s="1683">
        <v>392.89</v>
      </c>
      <c r="AL369" s="1683">
        <v>69.33</v>
      </c>
      <c r="AM369" s="1685">
        <v>43049</v>
      </c>
      <c r="AN369" s="1683">
        <v>462.22</v>
      </c>
      <c r="AO369" s="1683">
        <v>462.22</v>
      </c>
      <c r="AP369" s="1683">
        <v>462.22</v>
      </c>
      <c r="AQ369" s="1683">
        <v>392.89</v>
      </c>
      <c r="AR369" s="1683">
        <v>69.33</v>
      </c>
      <c r="AS369" s="1683">
        <v>0</v>
      </c>
      <c r="AT369" s="1683">
        <v>0</v>
      </c>
      <c r="AU369" s="1683">
        <v>0</v>
      </c>
      <c r="AV369" s="1683">
        <v>0</v>
      </c>
      <c r="AW369" s="1683">
        <v>0</v>
      </c>
      <c r="AX369" s="1400"/>
      <c r="AY369" s="1400"/>
      <c r="AZ369" s="1400"/>
      <c r="BA369" s="1682"/>
      <c r="BB369" s="1682"/>
      <c r="BC369" s="1400"/>
      <c r="BD369" s="1400"/>
      <c r="BE369" s="1683">
        <v>462.22</v>
      </c>
      <c r="BF369" s="1683">
        <v>462.22</v>
      </c>
      <c r="BG369" s="1683">
        <v>462.22</v>
      </c>
      <c r="BH369" s="1683">
        <v>392.89</v>
      </c>
      <c r="BI369" s="1683">
        <v>69.33</v>
      </c>
      <c r="BJ369" s="1683">
        <v>0</v>
      </c>
      <c r="BK369" s="1683">
        <v>0</v>
      </c>
      <c r="BL369" s="1683">
        <v>0</v>
      </c>
      <c r="BM369" s="1683">
        <v>0</v>
      </c>
      <c r="BN369" s="1683">
        <v>0</v>
      </c>
      <c r="BO369" s="1685">
        <v>43159</v>
      </c>
      <c r="BP369" s="1683">
        <v>462.22</v>
      </c>
      <c r="BQ369" s="1683">
        <v>462.22</v>
      </c>
      <c r="BR369" s="1683">
        <v>462.22</v>
      </c>
      <c r="BS369" s="1683">
        <v>392.89</v>
      </c>
      <c r="BT369" s="1683">
        <v>69.33</v>
      </c>
      <c r="BU369" s="1683">
        <v>0</v>
      </c>
      <c r="BV369" s="1683">
        <v>0</v>
      </c>
      <c r="BW369" s="1683">
        <v>0</v>
      </c>
      <c r="BX369" s="1683">
        <v>0</v>
      </c>
      <c r="BY369" s="1683">
        <v>0</v>
      </c>
      <c r="BZ369" s="1683">
        <v>0</v>
      </c>
      <c r="CA369" s="1400"/>
      <c r="CB369" s="1682"/>
      <c r="CC369" s="1682"/>
      <c r="CD369" s="1400"/>
      <c r="CE369" s="1400"/>
      <c r="CF369" s="1683">
        <v>0</v>
      </c>
      <c r="CG369" s="1683">
        <v>0</v>
      </c>
      <c r="CH369" s="1683">
        <v>0</v>
      </c>
      <c r="CI369" s="1683">
        <v>0</v>
      </c>
      <c r="CJ369" s="1683">
        <v>0</v>
      </c>
      <c r="CK369" s="1683">
        <v>0</v>
      </c>
      <c r="CL369" s="1685">
        <v>43511</v>
      </c>
      <c r="CM369" s="1683">
        <v>462.22</v>
      </c>
      <c r="CN369" s="1683">
        <v>462.22</v>
      </c>
      <c r="CO369" s="1683">
        <v>462.22</v>
      </c>
      <c r="CP369" s="1683">
        <v>392.89</v>
      </c>
      <c r="CQ369" s="1683">
        <v>69.33</v>
      </c>
      <c r="CR369" s="1683">
        <v>0</v>
      </c>
      <c r="CS369" s="1683">
        <v>0</v>
      </c>
      <c r="CT369" s="1683">
        <v>0</v>
      </c>
      <c r="CU369" s="1683">
        <v>0</v>
      </c>
      <c r="CV369" s="1683">
        <v>0</v>
      </c>
      <c r="CW369" s="1682"/>
      <c r="CX369" s="1400"/>
      <c r="CY369" s="1400"/>
      <c r="CZ369" s="1400"/>
      <c r="DA369" s="1400"/>
      <c r="DB369" s="1682"/>
      <c r="DC369" s="1326"/>
      <c r="DD369" s="1683">
        <v>0</v>
      </c>
      <c r="DE369" s="1400"/>
      <c r="DF369" s="1400"/>
      <c r="DG369" s="1683">
        <v>0</v>
      </c>
      <c r="DH369" s="1683">
        <v>0</v>
      </c>
    </row>
    <row r="370" spans="1:112" ht="67.5">
      <c r="A370" s="1326" t="s">
        <v>2405</v>
      </c>
      <c r="B370" s="1326" t="s">
        <v>1702</v>
      </c>
      <c r="C370" s="1326" t="s">
        <v>2564</v>
      </c>
      <c r="D370" s="1326" t="s">
        <v>2565</v>
      </c>
      <c r="E370" s="1326" t="s">
        <v>2259</v>
      </c>
      <c r="F370" s="1326" t="s">
        <v>2566</v>
      </c>
      <c r="G370" s="1326" t="s">
        <v>2556</v>
      </c>
      <c r="H370" s="1326" t="s">
        <v>2541</v>
      </c>
      <c r="I370" s="1326" t="s">
        <v>721</v>
      </c>
      <c r="J370" s="1326" t="s">
        <v>313</v>
      </c>
      <c r="K370" s="1326" t="s">
        <v>2268</v>
      </c>
      <c r="L370" s="1326" t="s">
        <v>2137</v>
      </c>
      <c r="M370" s="1400"/>
      <c r="N370" s="1400"/>
      <c r="O370" s="1400"/>
      <c r="P370" s="1400"/>
      <c r="Q370" s="1400"/>
      <c r="R370" s="1400"/>
      <c r="S370" s="1400"/>
      <c r="T370" s="1400"/>
      <c r="U370" s="1400"/>
      <c r="V370" s="1400"/>
      <c r="W370" s="1400"/>
      <c r="X370" s="1400"/>
      <c r="Y370" s="1685">
        <v>43109</v>
      </c>
      <c r="Z370" s="1326" t="s">
        <v>2062</v>
      </c>
      <c r="AA370" s="1683">
        <v>0</v>
      </c>
      <c r="AB370" s="1683">
        <v>0</v>
      </c>
      <c r="AC370" s="1683">
        <v>0</v>
      </c>
      <c r="AD370" s="1685">
        <v>43125</v>
      </c>
      <c r="AE370" s="1326" t="s">
        <v>2079</v>
      </c>
      <c r="AF370" s="1326" t="s">
        <v>2067</v>
      </c>
      <c r="AG370" s="1410"/>
      <c r="AH370" s="1683">
        <v>25</v>
      </c>
      <c r="AI370" s="1683">
        <v>25</v>
      </c>
      <c r="AJ370" s="1683">
        <v>25</v>
      </c>
      <c r="AK370" s="1683">
        <v>21.25</v>
      </c>
      <c r="AL370" s="1683">
        <v>3.75</v>
      </c>
      <c r="AM370" s="1685">
        <v>43138</v>
      </c>
      <c r="AN370" s="1683">
        <v>25</v>
      </c>
      <c r="AO370" s="1683">
        <v>25</v>
      </c>
      <c r="AP370" s="1683">
        <v>25</v>
      </c>
      <c r="AQ370" s="1683">
        <v>21.25</v>
      </c>
      <c r="AR370" s="1683">
        <v>3.75</v>
      </c>
      <c r="AS370" s="1683">
        <v>0</v>
      </c>
      <c r="AT370" s="1683">
        <v>0</v>
      </c>
      <c r="AU370" s="1683">
        <v>0</v>
      </c>
      <c r="AV370" s="1683">
        <v>0</v>
      </c>
      <c r="AW370" s="1683">
        <v>0</v>
      </c>
      <c r="AX370" s="1400"/>
      <c r="AY370" s="1400"/>
      <c r="AZ370" s="1400"/>
      <c r="BA370" s="1682"/>
      <c r="BB370" s="1682"/>
      <c r="BC370" s="1400"/>
      <c r="BD370" s="1400"/>
      <c r="BE370" s="1683">
        <v>25</v>
      </c>
      <c r="BF370" s="1683">
        <v>25</v>
      </c>
      <c r="BG370" s="1683">
        <v>25</v>
      </c>
      <c r="BH370" s="1683">
        <v>21.25</v>
      </c>
      <c r="BI370" s="1683">
        <v>3.75</v>
      </c>
      <c r="BJ370" s="1683">
        <v>0</v>
      </c>
      <c r="BK370" s="1683">
        <v>0</v>
      </c>
      <c r="BL370" s="1683">
        <v>0</v>
      </c>
      <c r="BM370" s="1683">
        <v>0</v>
      </c>
      <c r="BN370" s="1683">
        <v>0</v>
      </c>
      <c r="BO370" s="1685">
        <v>43236</v>
      </c>
      <c r="BP370" s="1683">
        <v>25</v>
      </c>
      <c r="BQ370" s="1683">
        <v>25</v>
      </c>
      <c r="BR370" s="1683">
        <v>25</v>
      </c>
      <c r="BS370" s="1683">
        <v>21.25</v>
      </c>
      <c r="BT370" s="1683">
        <v>3.75</v>
      </c>
      <c r="BU370" s="1683">
        <v>0</v>
      </c>
      <c r="BV370" s="1683">
        <v>0</v>
      </c>
      <c r="BW370" s="1683">
        <v>0</v>
      </c>
      <c r="BX370" s="1683">
        <v>0</v>
      </c>
      <c r="BY370" s="1683">
        <v>0</v>
      </c>
      <c r="BZ370" s="1683">
        <v>0</v>
      </c>
      <c r="CA370" s="1400"/>
      <c r="CB370" s="1682"/>
      <c r="CC370" s="1682"/>
      <c r="CD370" s="1400"/>
      <c r="CE370" s="1400"/>
      <c r="CF370" s="1683">
        <v>0</v>
      </c>
      <c r="CG370" s="1683">
        <v>0</v>
      </c>
      <c r="CH370" s="1683">
        <v>0</v>
      </c>
      <c r="CI370" s="1683">
        <v>0</v>
      </c>
      <c r="CJ370" s="1683">
        <v>0</v>
      </c>
      <c r="CK370" s="1683">
        <v>0</v>
      </c>
      <c r="CL370" s="1685">
        <v>43511</v>
      </c>
      <c r="CM370" s="1683">
        <v>25</v>
      </c>
      <c r="CN370" s="1683">
        <v>25</v>
      </c>
      <c r="CO370" s="1683">
        <v>25</v>
      </c>
      <c r="CP370" s="1683">
        <v>21.25</v>
      </c>
      <c r="CQ370" s="1683">
        <v>3.75</v>
      </c>
      <c r="CR370" s="1683">
        <v>0</v>
      </c>
      <c r="CS370" s="1683">
        <v>0</v>
      </c>
      <c r="CT370" s="1683">
        <v>0</v>
      </c>
      <c r="CU370" s="1683">
        <v>0</v>
      </c>
      <c r="CV370" s="1683">
        <v>0</v>
      </c>
      <c r="CW370" s="1682"/>
      <c r="CX370" s="1400"/>
      <c r="CY370" s="1400"/>
      <c r="CZ370" s="1400"/>
      <c r="DA370" s="1400"/>
      <c r="DB370" s="1682"/>
      <c r="DC370" s="1326"/>
      <c r="DD370" s="1683">
        <v>0</v>
      </c>
      <c r="DE370" s="1400"/>
      <c r="DF370" s="1400"/>
      <c r="DG370" s="1683">
        <v>0</v>
      </c>
      <c r="DH370" s="1683">
        <v>0</v>
      </c>
    </row>
    <row r="371" spans="1:112" ht="67.5">
      <c r="A371" s="1326" t="s">
        <v>2406</v>
      </c>
      <c r="B371" s="1326" t="s">
        <v>1702</v>
      </c>
      <c r="C371" s="1326" t="s">
        <v>2564</v>
      </c>
      <c r="D371" s="1326" t="s">
        <v>2565</v>
      </c>
      <c r="E371" s="1326" t="s">
        <v>2259</v>
      </c>
      <c r="F371" s="1326" t="s">
        <v>2566</v>
      </c>
      <c r="G371" s="1326" t="s">
        <v>2556</v>
      </c>
      <c r="H371" s="1326" t="s">
        <v>2541</v>
      </c>
      <c r="I371" s="1326" t="s">
        <v>721</v>
      </c>
      <c r="J371" s="1326" t="s">
        <v>313</v>
      </c>
      <c r="K371" s="1326" t="s">
        <v>2268</v>
      </c>
      <c r="L371" s="1326" t="s">
        <v>2137</v>
      </c>
      <c r="M371" s="1400"/>
      <c r="N371" s="1400"/>
      <c r="O371" s="1400"/>
      <c r="P371" s="1400"/>
      <c r="Q371" s="1400"/>
      <c r="R371" s="1400"/>
      <c r="S371" s="1400"/>
      <c r="T371" s="1400"/>
      <c r="U371" s="1400"/>
      <c r="V371" s="1400"/>
      <c r="W371" s="1400"/>
      <c r="X371" s="1400"/>
      <c r="Y371" s="1685">
        <v>43109</v>
      </c>
      <c r="Z371" s="1326" t="s">
        <v>2062</v>
      </c>
      <c r="AA371" s="1683">
        <v>0</v>
      </c>
      <c r="AB371" s="1683">
        <v>0</v>
      </c>
      <c r="AC371" s="1683">
        <v>0</v>
      </c>
      <c r="AD371" s="1685">
        <v>43125</v>
      </c>
      <c r="AE371" s="1326" t="s">
        <v>2079</v>
      </c>
      <c r="AF371" s="1326" t="s">
        <v>2064</v>
      </c>
      <c r="AG371" s="1410"/>
      <c r="AH371" s="1683">
        <v>496.1</v>
      </c>
      <c r="AI371" s="1683">
        <v>496.1</v>
      </c>
      <c r="AJ371" s="1683">
        <v>496.1</v>
      </c>
      <c r="AK371" s="1683">
        <v>421.68</v>
      </c>
      <c r="AL371" s="1683">
        <v>74.42</v>
      </c>
      <c r="AM371" s="1685">
        <v>43125</v>
      </c>
      <c r="AN371" s="1683">
        <v>496.1</v>
      </c>
      <c r="AO371" s="1683">
        <v>496.1</v>
      </c>
      <c r="AP371" s="1683">
        <v>496.1</v>
      </c>
      <c r="AQ371" s="1683">
        <v>421.68</v>
      </c>
      <c r="AR371" s="1683">
        <v>74.42</v>
      </c>
      <c r="AS371" s="1683">
        <v>0</v>
      </c>
      <c r="AT371" s="1683">
        <v>0</v>
      </c>
      <c r="AU371" s="1683">
        <v>0</v>
      </c>
      <c r="AV371" s="1683">
        <v>0</v>
      </c>
      <c r="AW371" s="1683">
        <v>0</v>
      </c>
      <c r="AX371" s="1400"/>
      <c r="AY371" s="1400"/>
      <c r="AZ371" s="1400"/>
      <c r="BA371" s="1682"/>
      <c r="BB371" s="1682"/>
      <c r="BC371" s="1400"/>
      <c r="BD371" s="1400"/>
      <c r="BE371" s="1683">
        <v>496.1</v>
      </c>
      <c r="BF371" s="1683">
        <v>496.1</v>
      </c>
      <c r="BG371" s="1683">
        <v>496.1</v>
      </c>
      <c r="BH371" s="1683">
        <v>421.68</v>
      </c>
      <c r="BI371" s="1683">
        <v>74.42</v>
      </c>
      <c r="BJ371" s="1683">
        <v>0</v>
      </c>
      <c r="BK371" s="1683">
        <v>0</v>
      </c>
      <c r="BL371" s="1683">
        <v>0</v>
      </c>
      <c r="BM371" s="1683">
        <v>0</v>
      </c>
      <c r="BN371" s="1683">
        <v>0</v>
      </c>
      <c r="BO371" s="1685">
        <v>43206</v>
      </c>
      <c r="BP371" s="1683">
        <v>496.1</v>
      </c>
      <c r="BQ371" s="1683">
        <v>496.1</v>
      </c>
      <c r="BR371" s="1683">
        <v>496.1</v>
      </c>
      <c r="BS371" s="1683">
        <v>421.68</v>
      </c>
      <c r="BT371" s="1683">
        <v>74.42</v>
      </c>
      <c r="BU371" s="1683">
        <v>0</v>
      </c>
      <c r="BV371" s="1683">
        <v>0</v>
      </c>
      <c r="BW371" s="1683">
        <v>0</v>
      </c>
      <c r="BX371" s="1683">
        <v>0</v>
      </c>
      <c r="BY371" s="1683">
        <v>0</v>
      </c>
      <c r="BZ371" s="1683">
        <v>0</v>
      </c>
      <c r="CA371" s="1400"/>
      <c r="CB371" s="1682"/>
      <c r="CC371" s="1682"/>
      <c r="CD371" s="1400"/>
      <c r="CE371" s="1400"/>
      <c r="CF371" s="1683">
        <v>0</v>
      </c>
      <c r="CG371" s="1683">
        <v>0</v>
      </c>
      <c r="CH371" s="1683">
        <v>0</v>
      </c>
      <c r="CI371" s="1683">
        <v>0</v>
      </c>
      <c r="CJ371" s="1683">
        <v>0</v>
      </c>
      <c r="CK371" s="1683">
        <v>0</v>
      </c>
      <c r="CL371" s="1685">
        <v>43511</v>
      </c>
      <c r="CM371" s="1683">
        <v>496.1</v>
      </c>
      <c r="CN371" s="1683">
        <v>496.1</v>
      </c>
      <c r="CO371" s="1683">
        <v>496.1</v>
      </c>
      <c r="CP371" s="1683">
        <v>421.68</v>
      </c>
      <c r="CQ371" s="1683">
        <v>74.42</v>
      </c>
      <c r="CR371" s="1683">
        <v>0</v>
      </c>
      <c r="CS371" s="1683">
        <v>0</v>
      </c>
      <c r="CT371" s="1683">
        <v>0</v>
      </c>
      <c r="CU371" s="1683">
        <v>0</v>
      </c>
      <c r="CV371" s="1683">
        <v>0</v>
      </c>
      <c r="CW371" s="1682"/>
      <c r="CX371" s="1400"/>
      <c r="CY371" s="1400"/>
      <c r="CZ371" s="1400"/>
      <c r="DA371" s="1400"/>
      <c r="DB371" s="1682"/>
      <c r="DC371" s="1326"/>
      <c r="DD371" s="1683">
        <v>0</v>
      </c>
      <c r="DE371" s="1400"/>
      <c r="DF371" s="1400"/>
      <c r="DG371" s="1683">
        <v>0</v>
      </c>
      <c r="DH371" s="1683">
        <v>0</v>
      </c>
    </row>
    <row r="372" spans="1:112" ht="67.5">
      <c r="A372" s="1326" t="s">
        <v>2409</v>
      </c>
      <c r="B372" s="1326" t="s">
        <v>1702</v>
      </c>
      <c r="C372" s="1326" t="s">
        <v>2564</v>
      </c>
      <c r="D372" s="1326" t="s">
        <v>2565</v>
      </c>
      <c r="E372" s="1326" t="s">
        <v>2259</v>
      </c>
      <c r="F372" s="1326" t="s">
        <v>2566</v>
      </c>
      <c r="G372" s="1326" t="s">
        <v>2556</v>
      </c>
      <c r="H372" s="1326" t="s">
        <v>2541</v>
      </c>
      <c r="I372" s="1326" t="s">
        <v>721</v>
      </c>
      <c r="J372" s="1326" t="s">
        <v>313</v>
      </c>
      <c r="K372" s="1326" t="s">
        <v>2268</v>
      </c>
      <c r="L372" s="1326" t="s">
        <v>2137</v>
      </c>
      <c r="M372" s="1400"/>
      <c r="N372" s="1400"/>
      <c r="O372" s="1400"/>
      <c r="P372" s="1400"/>
      <c r="Q372" s="1400"/>
      <c r="R372" s="1400"/>
      <c r="S372" s="1400"/>
      <c r="T372" s="1400"/>
      <c r="U372" s="1400"/>
      <c r="V372" s="1400"/>
      <c r="W372" s="1400"/>
      <c r="X372" s="1400"/>
      <c r="Y372" s="1685">
        <v>43165</v>
      </c>
      <c r="Z372" s="1326" t="s">
        <v>2062</v>
      </c>
      <c r="AA372" s="1683">
        <v>0</v>
      </c>
      <c r="AB372" s="1683">
        <v>0</v>
      </c>
      <c r="AC372" s="1683">
        <v>0</v>
      </c>
      <c r="AD372" s="1685">
        <v>43179</v>
      </c>
      <c r="AE372" s="1326" t="s">
        <v>2080</v>
      </c>
      <c r="AF372" s="1326" t="s">
        <v>2064</v>
      </c>
      <c r="AG372" s="1410"/>
      <c r="AH372" s="1683">
        <v>7000</v>
      </c>
      <c r="AI372" s="1683">
        <v>7000</v>
      </c>
      <c r="AJ372" s="1683">
        <v>7000</v>
      </c>
      <c r="AK372" s="1683">
        <v>5950</v>
      </c>
      <c r="AL372" s="1683">
        <v>1050</v>
      </c>
      <c r="AM372" s="1685">
        <v>43179</v>
      </c>
      <c r="AN372" s="1683">
        <v>7000</v>
      </c>
      <c r="AO372" s="1683">
        <v>7000</v>
      </c>
      <c r="AP372" s="1683">
        <v>7000</v>
      </c>
      <c r="AQ372" s="1683">
        <v>5950</v>
      </c>
      <c r="AR372" s="1683">
        <v>1050</v>
      </c>
      <c r="AS372" s="1683">
        <v>0</v>
      </c>
      <c r="AT372" s="1683">
        <v>0</v>
      </c>
      <c r="AU372" s="1683">
        <v>0</v>
      </c>
      <c r="AV372" s="1683">
        <v>0</v>
      </c>
      <c r="AW372" s="1683">
        <v>0</v>
      </c>
      <c r="AX372" s="1400"/>
      <c r="AY372" s="1400"/>
      <c r="AZ372" s="1400"/>
      <c r="BA372" s="1682"/>
      <c r="BB372" s="1682"/>
      <c r="BC372" s="1400"/>
      <c r="BD372" s="1400"/>
      <c r="BE372" s="1683">
        <v>7000</v>
      </c>
      <c r="BF372" s="1683">
        <v>7000</v>
      </c>
      <c r="BG372" s="1683">
        <v>7000</v>
      </c>
      <c r="BH372" s="1683">
        <v>5950</v>
      </c>
      <c r="BI372" s="1683">
        <v>1050</v>
      </c>
      <c r="BJ372" s="1683">
        <v>0</v>
      </c>
      <c r="BK372" s="1683">
        <v>0</v>
      </c>
      <c r="BL372" s="1683">
        <v>0</v>
      </c>
      <c r="BM372" s="1683">
        <v>0</v>
      </c>
      <c r="BN372" s="1683">
        <v>0</v>
      </c>
      <c r="BO372" s="1685">
        <v>43236</v>
      </c>
      <c r="BP372" s="1683">
        <v>7000</v>
      </c>
      <c r="BQ372" s="1683">
        <v>7000</v>
      </c>
      <c r="BR372" s="1683">
        <v>7000</v>
      </c>
      <c r="BS372" s="1683">
        <v>5950</v>
      </c>
      <c r="BT372" s="1683">
        <v>1050</v>
      </c>
      <c r="BU372" s="1683">
        <v>0</v>
      </c>
      <c r="BV372" s="1683">
        <v>0</v>
      </c>
      <c r="BW372" s="1683">
        <v>0</v>
      </c>
      <c r="BX372" s="1683">
        <v>0</v>
      </c>
      <c r="BY372" s="1683">
        <v>0</v>
      </c>
      <c r="BZ372" s="1683">
        <v>0</v>
      </c>
      <c r="CA372" s="1400"/>
      <c r="CB372" s="1682"/>
      <c r="CC372" s="1682"/>
      <c r="CD372" s="1400"/>
      <c r="CE372" s="1400"/>
      <c r="CF372" s="1683">
        <v>0</v>
      </c>
      <c r="CG372" s="1683">
        <v>0</v>
      </c>
      <c r="CH372" s="1683">
        <v>0</v>
      </c>
      <c r="CI372" s="1683">
        <v>0</v>
      </c>
      <c r="CJ372" s="1683">
        <v>0</v>
      </c>
      <c r="CK372" s="1683">
        <v>0</v>
      </c>
      <c r="CL372" s="1685">
        <v>43511</v>
      </c>
      <c r="CM372" s="1683">
        <v>7000</v>
      </c>
      <c r="CN372" s="1683">
        <v>7000</v>
      </c>
      <c r="CO372" s="1683">
        <v>7000</v>
      </c>
      <c r="CP372" s="1683">
        <v>5950</v>
      </c>
      <c r="CQ372" s="1683">
        <v>1050</v>
      </c>
      <c r="CR372" s="1683">
        <v>0</v>
      </c>
      <c r="CS372" s="1683">
        <v>0</v>
      </c>
      <c r="CT372" s="1683">
        <v>0</v>
      </c>
      <c r="CU372" s="1683">
        <v>0</v>
      </c>
      <c r="CV372" s="1683">
        <v>0</v>
      </c>
      <c r="CW372" s="1682"/>
      <c r="CX372" s="1400"/>
      <c r="CY372" s="1400"/>
      <c r="CZ372" s="1400"/>
      <c r="DA372" s="1400"/>
      <c r="DB372" s="1682"/>
      <c r="DC372" s="1326"/>
      <c r="DD372" s="1683">
        <v>0</v>
      </c>
      <c r="DE372" s="1400"/>
      <c r="DF372" s="1400"/>
      <c r="DG372" s="1683">
        <v>0</v>
      </c>
      <c r="DH372" s="1683">
        <v>0</v>
      </c>
    </row>
    <row r="373" spans="1:112" ht="67.5">
      <c r="A373" s="1326" t="s">
        <v>2410</v>
      </c>
      <c r="B373" s="1326" t="s">
        <v>1702</v>
      </c>
      <c r="C373" s="1326" t="s">
        <v>2564</v>
      </c>
      <c r="D373" s="1326" t="s">
        <v>2565</v>
      </c>
      <c r="E373" s="1326" t="s">
        <v>2259</v>
      </c>
      <c r="F373" s="1326" t="s">
        <v>2566</v>
      </c>
      <c r="G373" s="1326" t="s">
        <v>2556</v>
      </c>
      <c r="H373" s="1326" t="s">
        <v>2541</v>
      </c>
      <c r="I373" s="1326" t="s">
        <v>721</v>
      </c>
      <c r="J373" s="1326" t="s">
        <v>313</v>
      </c>
      <c r="K373" s="1326" t="s">
        <v>2268</v>
      </c>
      <c r="L373" s="1326" t="s">
        <v>2137</v>
      </c>
      <c r="M373" s="1400"/>
      <c r="N373" s="1400"/>
      <c r="O373" s="1400"/>
      <c r="P373" s="1400"/>
      <c r="Q373" s="1400"/>
      <c r="R373" s="1400"/>
      <c r="S373" s="1400"/>
      <c r="T373" s="1400"/>
      <c r="U373" s="1400"/>
      <c r="V373" s="1400"/>
      <c r="W373" s="1400"/>
      <c r="X373" s="1400"/>
      <c r="Y373" s="1685">
        <v>43165</v>
      </c>
      <c r="Z373" s="1326" t="s">
        <v>2062</v>
      </c>
      <c r="AA373" s="1683">
        <v>0</v>
      </c>
      <c r="AB373" s="1683">
        <v>0</v>
      </c>
      <c r="AC373" s="1683">
        <v>0</v>
      </c>
      <c r="AD373" s="1685">
        <v>43203</v>
      </c>
      <c r="AE373" s="1326" t="s">
        <v>2080</v>
      </c>
      <c r="AF373" s="1326" t="s">
        <v>2067</v>
      </c>
      <c r="AG373" s="1410"/>
      <c r="AH373" s="1683">
        <v>98688.13</v>
      </c>
      <c r="AI373" s="1683">
        <v>98688.13</v>
      </c>
      <c r="AJ373" s="1683">
        <v>98688.13</v>
      </c>
      <c r="AK373" s="1683">
        <v>83884.91</v>
      </c>
      <c r="AL373" s="1683">
        <v>14803.22</v>
      </c>
      <c r="AM373" s="1685">
        <v>43204</v>
      </c>
      <c r="AN373" s="1683">
        <v>98688.13</v>
      </c>
      <c r="AO373" s="1683">
        <v>98688.13</v>
      </c>
      <c r="AP373" s="1683">
        <v>98688.13</v>
      </c>
      <c r="AQ373" s="1683">
        <v>83884.91</v>
      </c>
      <c r="AR373" s="1683">
        <v>14803.22</v>
      </c>
      <c r="AS373" s="1683">
        <v>0</v>
      </c>
      <c r="AT373" s="1683">
        <v>0</v>
      </c>
      <c r="AU373" s="1683">
        <v>0</v>
      </c>
      <c r="AV373" s="1683">
        <v>0</v>
      </c>
      <c r="AW373" s="1683">
        <v>0</v>
      </c>
      <c r="AX373" s="1400"/>
      <c r="AY373" s="1400"/>
      <c r="AZ373" s="1400"/>
      <c r="BA373" s="1682"/>
      <c r="BB373" s="1682"/>
      <c r="BC373" s="1400"/>
      <c r="BD373" s="1400"/>
      <c r="BE373" s="1683">
        <v>98688.13</v>
      </c>
      <c r="BF373" s="1683">
        <v>98688.13</v>
      </c>
      <c r="BG373" s="1683">
        <v>98688.13</v>
      </c>
      <c r="BH373" s="1683">
        <v>83884.91</v>
      </c>
      <c r="BI373" s="1683">
        <v>14803.22</v>
      </c>
      <c r="BJ373" s="1683">
        <v>0</v>
      </c>
      <c r="BK373" s="1683">
        <v>0</v>
      </c>
      <c r="BL373" s="1683">
        <v>0</v>
      </c>
      <c r="BM373" s="1683">
        <v>0</v>
      </c>
      <c r="BN373" s="1683">
        <v>0</v>
      </c>
      <c r="BO373" s="1685">
        <v>43364</v>
      </c>
      <c r="BP373" s="1683">
        <v>98688.13</v>
      </c>
      <c r="BQ373" s="1683">
        <v>98688.13</v>
      </c>
      <c r="BR373" s="1683">
        <v>98688.13</v>
      </c>
      <c r="BS373" s="1683">
        <v>83884.91</v>
      </c>
      <c r="BT373" s="1683">
        <v>14803.22</v>
      </c>
      <c r="BU373" s="1683">
        <v>0</v>
      </c>
      <c r="BV373" s="1683">
        <v>0</v>
      </c>
      <c r="BW373" s="1683">
        <v>0</v>
      </c>
      <c r="BX373" s="1683">
        <v>0</v>
      </c>
      <c r="BY373" s="1683">
        <v>0</v>
      </c>
      <c r="BZ373" s="1683">
        <v>0</v>
      </c>
      <c r="CA373" s="1400"/>
      <c r="CB373" s="1682"/>
      <c r="CC373" s="1682"/>
      <c r="CD373" s="1400"/>
      <c r="CE373" s="1400"/>
      <c r="CF373" s="1683">
        <v>0</v>
      </c>
      <c r="CG373" s="1683">
        <v>0</v>
      </c>
      <c r="CH373" s="1683">
        <v>0</v>
      </c>
      <c r="CI373" s="1683">
        <v>0</v>
      </c>
      <c r="CJ373" s="1683">
        <v>0</v>
      </c>
      <c r="CK373" s="1683">
        <v>0</v>
      </c>
      <c r="CL373" s="1682"/>
      <c r="CM373" s="1683">
        <v>0</v>
      </c>
      <c r="CN373" s="1683">
        <v>0</v>
      </c>
      <c r="CO373" s="1683">
        <v>0</v>
      </c>
      <c r="CP373" s="1683">
        <v>0</v>
      </c>
      <c r="CQ373" s="1683">
        <v>0</v>
      </c>
      <c r="CR373" s="1683">
        <v>0</v>
      </c>
      <c r="CS373" s="1683">
        <v>0</v>
      </c>
      <c r="CT373" s="1683">
        <v>0</v>
      </c>
      <c r="CU373" s="1683">
        <v>0</v>
      </c>
      <c r="CV373" s="1683">
        <v>0</v>
      </c>
      <c r="CW373" s="1682"/>
      <c r="CX373" s="1400"/>
      <c r="CY373" s="1400"/>
      <c r="CZ373" s="1400"/>
      <c r="DA373" s="1400"/>
      <c r="DB373" s="1682"/>
      <c r="DC373" s="1326"/>
      <c r="DD373" s="1683">
        <v>0</v>
      </c>
      <c r="DE373" s="1400"/>
      <c r="DF373" s="1400"/>
      <c r="DG373" s="1683">
        <v>0</v>
      </c>
      <c r="DH373" s="1683">
        <v>0</v>
      </c>
    </row>
    <row r="374" spans="1:112" ht="67.5">
      <c r="A374" s="1326" t="s">
        <v>2414</v>
      </c>
      <c r="B374" s="1326" t="s">
        <v>1702</v>
      </c>
      <c r="C374" s="1326" t="s">
        <v>2564</v>
      </c>
      <c r="D374" s="1326" t="s">
        <v>2565</v>
      </c>
      <c r="E374" s="1326" t="s">
        <v>2259</v>
      </c>
      <c r="F374" s="1326" t="s">
        <v>2566</v>
      </c>
      <c r="G374" s="1326" t="s">
        <v>2556</v>
      </c>
      <c r="H374" s="1326" t="s">
        <v>2541</v>
      </c>
      <c r="I374" s="1326" t="s">
        <v>721</v>
      </c>
      <c r="J374" s="1326" t="s">
        <v>313</v>
      </c>
      <c r="K374" s="1326" t="s">
        <v>2268</v>
      </c>
      <c r="L374" s="1326" t="s">
        <v>2137</v>
      </c>
      <c r="M374" s="1400"/>
      <c r="N374" s="1400"/>
      <c r="O374" s="1400"/>
      <c r="P374" s="1400"/>
      <c r="Q374" s="1400"/>
      <c r="R374" s="1400"/>
      <c r="S374" s="1400"/>
      <c r="T374" s="1400"/>
      <c r="U374" s="1400"/>
      <c r="V374" s="1400"/>
      <c r="W374" s="1400"/>
      <c r="X374" s="1400"/>
      <c r="Y374" s="1685">
        <v>43229</v>
      </c>
      <c r="Z374" s="1326" t="s">
        <v>2062</v>
      </c>
      <c r="AA374" s="1683">
        <v>0</v>
      </c>
      <c r="AB374" s="1683">
        <v>0</v>
      </c>
      <c r="AC374" s="1683">
        <v>0</v>
      </c>
      <c r="AD374" s="1685">
        <v>43258</v>
      </c>
      <c r="AE374" s="1326" t="s">
        <v>2081</v>
      </c>
      <c r="AF374" s="1326" t="s">
        <v>2067</v>
      </c>
      <c r="AG374" s="1410"/>
      <c r="AH374" s="1683">
        <v>15285.67</v>
      </c>
      <c r="AI374" s="1683">
        <v>15285.67</v>
      </c>
      <c r="AJ374" s="1683">
        <v>15285.67</v>
      </c>
      <c r="AK374" s="1683">
        <v>12992.82</v>
      </c>
      <c r="AL374" s="1683">
        <v>2292.85</v>
      </c>
      <c r="AM374" s="1685">
        <v>43258</v>
      </c>
      <c r="AN374" s="1683">
        <v>15285.67</v>
      </c>
      <c r="AO374" s="1683">
        <v>15285.67</v>
      </c>
      <c r="AP374" s="1683">
        <v>15285.67</v>
      </c>
      <c r="AQ374" s="1683">
        <v>12992.82</v>
      </c>
      <c r="AR374" s="1683">
        <v>2292.85</v>
      </c>
      <c r="AS374" s="1683">
        <v>0</v>
      </c>
      <c r="AT374" s="1683">
        <v>0</v>
      </c>
      <c r="AU374" s="1683">
        <v>0</v>
      </c>
      <c r="AV374" s="1683">
        <v>0</v>
      </c>
      <c r="AW374" s="1683">
        <v>0</v>
      </c>
      <c r="AX374" s="1400"/>
      <c r="AY374" s="1400"/>
      <c r="AZ374" s="1400"/>
      <c r="BA374" s="1682"/>
      <c r="BB374" s="1682"/>
      <c r="BC374" s="1400"/>
      <c r="BD374" s="1400"/>
      <c r="BE374" s="1683">
        <v>15285.67</v>
      </c>
      <c r="BF374" s="1683">
        <v>15285.67</v>
      </c>
      <c r="BG374" s="1683">
        <v>15285.67</v>
      </c>
      <c r="BH374" s="1683">
        <v>12992.82</v>
      </c>
      <c r="BI374" s="1683">
        <v>2292.85</v>
      </c>
      <c r="BJ374" s="1683">
        <v>0</v>
      </c>
      <c r="BK374" s="1683">
        <v>0</v>
      </c>
      <c r="BL374" s="1683">
        <v>0</v>
      </c>
      <c r="BM374" s="1683">
        <v>0</v>
      </c>
      <c r="BN374" s="1683">
        <v>0</v>
      </c>
      <c r="BO374" s="1685">
        <v>43364</v>
      </c>
      <c r="BP374" s="1683">
        <v>15285.67</v>
      </c>
      <c r="BQ374" s="1683">
        <v>15285.67</v>
      </c>
      <c r="BR374" s="1683">
        <v>15285.67</v>
      </c>
      <c r="BS374" s="1683">
        <v>12992.82</v>
      </c>
      <c r="BT374" s="1683">
        <v>2292.85</v>
      </c>
      <c r="BU374" s="1683">
        <v>0</v>
      </c>
      <c r="BV374" s="1683">
        <v>0</v>
      </c>
      <c r="BW374" s="1683">
        <v>0</v>
      </c>
      <c r="BX374" s="1683">
        <v>0</v>
      </c>
      <c r="BY374" s="1683">
        <v>0</v>
      </c>
      <c r="BZ374" s="1683">
        <v>0</v>
      </c>
      <c r="CA374" s="1400"/>
      <c r="CB374" s="1682"/>
      <c r="CC374" s="1682"/>
      <c r="CD374" s="1400"/>
      <c r="CE374" s="1400"/>
      <c r="CF374" s="1683">
        <v>0</v>
      </c>
      <c r="CG374" s="1683">
        <v>0</v>
      </c>
      <c r="CH374" s="1683">
        <v>0</v>
      </c>
      <c r="CI374" s="1683">
        <v>0</v>
      </c>
      <c r="CJ374" s="1683">
        <v>0</v>
      </c>
      <c r="CK374" s="1683">
        <v>0</v>
      </c>
      <c r="CL374" s="1682"/>
      <c r="CM374" s="1683">
        <v>0</v>
      </c>
      <c r="CN374" s="1683">
        <v>0</v>
      </c>
      <c r="CO374" s="1683">
        <v>0</v>
      </c>
      <c r="CP374" s="1683">
        <v>0</v>
      </c>
      <c r="CQ374" s="1683">
        <v>0</v>
      </c>
      <c r="CR374" s="1683">
        <v>0</v>
      </c>
      <c r="CS374" s="1683">
        <v>0</v>
      </c>
      <c r="CT374" s="1683">
        <v>0</v>
      </c>
      <c r="CU374" s="1683">
        <v>0</v>
      </c>
      <c r="CV374" s="1683">
        <v>0</v>
      </c>
      <c r="CW374" s="1682"/>
      <c r="CX374" s="1400"/>
      <c r="CY374" s="1400"/>
      <c r="CZ374" s="1400"/>
      <c r="DA374" s="1400"/>
      <c r="DB374" s="1682"/>
      <c r="DC374" s="1326"/>
      <c r="DD374" s="1683">
        <v>0</v>
      </c>
      <c r="DE374" s="1400"/>
      <c r="DF374" s="1400"/>
      <c r="DG374" s="1683">
        <v>0</v>
      </c>
      <c r="DH374" s="1683">
        <v>0</v>
      </c>
    </row>
    <row r="375" spans="1:112" ht="67.5">
      <c r="A375" s="1326" t="s">
        <v>2415</v>
      </c>
      <c r="B375" s="1326" t="s">
        <v>1702</v>
      </c>
      <c r="C375" s="1326" t="s">
        <v>2564</v>
      </c>
      <c r="D375" s="1326" t="s">
        <v>2565</v>
      </c>
      <c r="E375" s="1326" t="s">
        <v>2259</v>
      </c>
      <c r="F375" s="1326" t="s">
        <v>2566</v>
      </c>
      <c r="G375" s="1326" t="s">
        <v>2556</v>
      </c>
      <c r="H375" s="1326" t="s">
        <v>2541</v>
      </c>
      <c r="I375" s="1326" t="s">
        <v>721</v>
      </c>
      <c r="J375" s="1326" t="s">
        <v>313</v>
      </c>
      <c r="K375" s="1326" t="s">
        <v>2268</v>
      </c>
      <c r="L375" s="1326" t="s">
        <v>2137</v>
      </c>
      <c r="M375" s="1400"/>
      <c r="N375" s="1400"/>
      <c r="O375" s="1400"/>
      <c r="P375" s="1400"/>
      <c r="Q375" s="1400"/>
      <c r="R375" s="1400"/>
      <c r="S375" s="1400"/>
      <c r="T375" s="1400"/>
      <c r="U375" s="1400"/>
      <c r="V375" s="1400"/>
      <c r="W375" s="1400"/>
      <c r="X375" s="1400"/>
      <c r="Y375" s="1685">
        <v>43229</v>
      </c>
      <c r="Z375" s="1326" t="s">
        <v>2062</v>
      </c>
      <c r="AA375" s="1683">
        <v>0</v>
      </c>
      <c r="AB375" s="1683">
        <v>0</v>
      </c>
      <c r="AC375" s="1683">
        <v>0</v>
      </c>
      <c r="AD375" s="1685">
        <v>43258</v>
      </c>
      <c r="AE375" s="1326" t="s">
        <v>2081</v>
      </c>
      <c r="AF375" s="1326" t="s">
        <v>2064</v>
      </c>
      <c r="AG375" s="1410"/>
      <c r="AH375" s="1683">
        <v>5872.05</v>
      </c>
      <c r="AI375" s="1683">
        <v>5872.05</v>
      </c>
      <c r="AJ375" s="1683">
        <v>5872.05</v>
      </c>
      <c r="AK375" s="1683">
        <v>4991.24</v>
      </c>
      <c r="AL375" s="1683">
        <v>880.81</v>
      </c>
      <c r="AM375" s="1685">
        <v>43258</v>
      </c>
      <c r="AN375" s="1683">
        <v>5872.05</v>
      </c>
      <c r="AO375" s="1683">
        <v>5872.05</v>
      </c>
      <c r="AP375" s="1683">
        <v>5872.05</v>
      </c>
      <c r="AQ375" s="1683">
        <v>4991.24</v>
      </c>
      <c r="AR375" s="1683">
        <v>880.81</v>
      </c>
      <c r="AS375" s="1683">
        <v>0</v>
      </c>
      <c r="AT375" s="1683">
        <v>0</v>
      </c>
      <c r="AU375" s="1683">
        <v>0</v>
      </c>
      <c r="AV375" s="1683">
        <v>0</v>
      </c>
      <c r="AW375" s="1683">
        <v>0</v>
      </c>
      <c r="AX375" s="1400"/>
      <c r="AY375" s="1400"/>
      <c r="AZ375" s="1400"/>
      <c r="BA375" s="1682"/>
      <c r="BB375" s="1682"/>
      <c r="BC375" s="1400"/>
      <c r="BD375" s="1400"/>
      <c r="BE375" s="1683">
        <v>5872.05</v>
      </c>
      <c r="BF375" s="1683">
        <v>5872.05</v>
      </c>
      <c r="BG375" s="1683">
        <v>5872.05</v>
      </c>
      <c r="BH375" s="1683">
        <v>4991.24</v>
      </c>
      <c r="BI375" s="1683">
        <v>880.81</v>
      </c>
      <c r="BJ375" s="1683">
        <v>0</v>
      </c>
      <c r="BK375" s="1683">
        <v>0</v>
      </c>
      <c r="BL375" s="1683">
        <v>0</v>
      </c>
      <c r="BM375" s="1683">
        <v>0</v>
      </c>
      <c r="BN375" s="1683">
        <v>0</v>
      </c>
      <c r="BO375" s="1685">
        <v>43364</v>
      </c>
      <c r="BP375" s="1683">
        <v>5872.05</v>
      </c>
      <c r="BQ375" s="1683">
        <v>5872.05</v>
      </c>
      <c r="BR375" s="1683">
        <v>5872.05</v>
      </c>
      <c r="BS375" s="1683">
        <v>4991.24</v>
      </c>
      <c r="BT375" s="1683">
        <v>880.81</v>
      </c>
      <c r="BU375" s="1683">
        <v>0</v>
      </c>
      <c r="BV375" s="1683">
        <v>0</v>
      </c>
      <c r="BW375" s="1683">
        <v>0</v>
      </c>
      <c r="BX375" s="1683">
        <v>0</v>
      </c>
      <c r="BY375" s="1683">
        <v>0</v>
      </c>
      <c r="BZ375" s="1683">
        <v>0</v>
      </c>
      <c r="CA375" s="1400"/>
      <c r="CB375" s="1682"/>
      <c r="CC375" s="1682"/>
      <c r="CD375" s="1400"/>
      <c r="CE375" s="1400"/>
      <c r="CF375" s="1683">
        <v>0</v>
      </c>
      <c r="CG375" s="1683">
        <v>0</v>
      </c>
      <c r="CH375" s="1683">
        <v>0</v>
      </c>
      <c r="CI375" s="1683">
        <v>0</v>
      </c>
      <c r="CJ375" s="1683">
        <v>0</v>
      </c>
      <c r="CK375" s="1683">
        <v>0</v>
      </c>
      <c r="CL375" s="1682"/>
      <c r="CM375" s="1683">
        <v>0</v>
      </c>
      <c r="CN375" s="1683">
        <v>0</v>
      </c>
      <c r="CO375" s="1683">
        <v>0</v>
      </c>
      <c r="CP375" s="1683">
        <v>0</v>
      </c>
      <c r="CQ375" s="1683">
        <v>0</v>
      </c>
      <c r="CR375" s="1683">
        <v>0</v>
      </c>
      <c r="CS375" s="1683">
        <v>0</v>
      </c>
      <c r="CT375" s="1683">
        <v>0</v>
      </c>
      <c r="CU375" s="1683">
        <v>0</v>
      </c>
      <c r="CV375" s="1683">
        <v>0</v>
      </c>
      <c r="CW375" s="1682"/>
      <c r="CX375" s="1400"/>
      <c r="CY375" s="1400"/>
      <c r="CZ375" s="1400"/>
      <c r="DA375" s="1400"/>
      <c r="DB375" s="1682"/>
      <c r="DC375" s="1326"/>
      <c r="DD375" s="1683">
        <v>0</v>
      </c>
      <c r="DE375" s="1400"/>
      <c r="DF375" s="1400"/>
      <c r="DG375" s="1683">
        <v>0</v>
      </c>
      <c r="DH375" s="1683">
        <v>0</v>
      </c>
    </row>
    <row r="376" spans="1:112" ht="67.5">
      <c r="A376" s="1326" t="s">
        <v>2419</v>
      </c>
      <c r="B376" s="1326" t="s">
        <v>1702</v>
      </c>
      <c r="C376" s="1326" t="s">
        <v>2564</v>
      </c>
      <c r="D376" s="1326" t="s">
        <v>2565</v>
      </c>
      <c r="E376" s="1326" t="s">
        <v>2259</v>
      </c>
      <c r="F376" s="1326" t="s">
        <v>2566</v>
      </c>
      <c r="G376" s="1326" t="s">
        <v>2556</v>
      </c>
      <c r="H376" s="1326" t="s">
        <v>2541</v>
      </c>
      <c r="I376" s="1326" t="s">
        <v>721</v>
      </c>
      <c r="J376" s="1326" t="s">
        <v>313</v>
      </c>
      <c r="K376" s="1326" t="s">
        <v>2268</v>
      </c>
      <c r="L376" s="1326" t="s">
        <v>2137</v>
      </c>
      <c r="M376" s="1400"/>
      <c r="N376" s="1400"/>
      <c r="O376" s="1400"/>
      <c r="P376" s="1400"/>
      <c r="Q376" s="1400"/>
      <c r="R376" s="1400"/>
      <c r="S376" s="1400"/>
      <c r="T376" s="1400"/>
      <c r="U376" s="1400"/>
      <c r="V376" s="1400"/>
      <c r="W376" s="1400"/>
      <c r="X376" s="1400"/>
      <c r="Y376" s="1685">
        <v>43440</v>
      </c>
      <c r="Z376" s="1326" t="s">
        <v>2145</v>
      </c>
      <c r="AA376" s="1683">
        <v>0</v>
      </c>
      <c r="AB376" s="1683">
        <v>0</v>
      </c>
      <c r="AC376" s="1683">
        <v>0</v>
      </c>
      <c r="AD376" s="1685">
        <v>43488</v>
      </c>
      <c r="AE376" s="1326" t="s">
        <v>2083</v>
      </c>
      <c r="AF376" s="1326" t="s">
        <v>2067</v>
      </c>
      <c r="AG376" s="1410"/>
      <c r="AH376" s="1683">
        <v>1041.82</v>
      </c>
      <c r="AI376" s="1683">
        <v>1041.82</v>
      </c>
      <c r="AJ376" s="1683">
        <v>1041.82</v>
      </c>
      <c r="AK376" s="1683">
        <v>885.55</v>
      </c>
      <c r="AL376" s="1683">
        <v>156.27000000000001</v>
      </c>
      <c r="AM376" s="1685">
        <v>43488</v>
      </c>
      <c r="AN376" s="1683">
        <v>1041.82</v>
      </c>
      <c r="AO376" s="1683">
        <v>1041.82</v>
      </c>
      <c r="AP376" s="1683">
        <v>1041.82</v>
      </c>
      <c r="AQ376" s="1683">
        <v>885.55</v>
      </c>
      <c r="AR376" s="1683">
        <v>156.27000000000001</v>
      </c>
      <c r="AS376" s="1683">
        <v>0</v>
      </c>
      <c r="AT376" s="1683">
        <v>0</v>
      </c>
      <c r="AU376" s="1683">
        <v>0</v>
      </c>
      <c r="AV376" s="1683">
        <v>0</v>
      </c>
      <c r="AW376" s="1683">
        <v>0</v>
      </c>
      <c r="AX376" s="1400"/>
      <c r="AY376" s="1400"/>
      <c r="AZ376" s="1400"/>
      <c r="BA376" s="1682"/>
      <c r="BB376" s="1682"/>
      <c r="BC376" s="1400"/>
      <c r="BD376" s="1400"/>
      <c r="BE376" s="1683">
        <v>1041.82</v>
      </c>
      <c r="BF376" s="1683">
        <v>1041.82</v>
      </c>
      <c r="BG376" s="1683">
        <v>1041.82</v>
      </c>
      <c r="BH376" s="1683">
        <v>885.55</v>
      </c>
      <c r="BI376" s="1683">
        <v>156.27000000000001</v>
      </c>
      <c r="BJ376" s="1683">
        <v>0</v>
      </c>
      <c r="BK376" s="1683">
        <v>0</v>
      </c>
      <c r="BL376" s="1683">
        <v>0</v>
      </c>
      <c r="BM376" s="1683">
        <v>0</v>
      </c>
      <c r="BN376" s="1683">
        <v>0</v>
      </c>
      <c r="BO376" s="1682"/>
      <c r="BP376" s="1683">
        <v>0</v>
      </c>
      <c r="BQ376" s="1683">
        <v>0</v>
      </c>
      <c r="BR376" s="1683">
        <v>0</v>
      </c>
      <c r="BS376" s="1683">
        <v>0</v>
      </c>
      <c r="BT376" s="1683">
        <v>0</v>
      </c>
      <c r="BU376" s="1683">
        <v>0</v>
      </c>
      <c r="BV376" s="1683">
        <v>0</v>
      </c>
      <c r="BW376" s="1683">
        <v>0</v>
      </c>
      <c r="BX376" s="1683">
        <v>0</v>
      </c>
      <c r="BY376" s="1683">
        <v>0</v>
      </c>
      <c r="BZ376" s="1400"/>
      <c r="CA376" s="1400"/>
      <c r="CB376" s="1682"/>
      <c r="CC376" s="1682"/>
      <c r="CD376" s="1400"/>
      <c r="CE376" s="1400"/>
      <c r="CF376" s="1683">
        <v>0</v>
      </c>
      <c r="CG376" s="1683">
        <v>0</v>
      </c>
      <c r="CH376" s="1683">
        <v>0</v>
      </c>
      <c r="CI376" s="1683">
        <v>0</v>
      </c>
      <c r="CJ376" s="1683">
        <v>0</v>
      </c>
      <c r="CK376" s="1683">
        <v>0</v>
      </c>
      <c r="CL376" s="1682"/>
      <c r="CM376" s="1683">
        <v>0</v>
      </c>
      <c r="CN376" s="1683">
        <v>0</v>
      </c>
      <c r="CO376" s="1683">
        <v>0</v>
      </c>
      <c r="CP376" s="1683">
        <v>0</v>
      </c>
      <c r="CQ376" s="1683">
        <v>0</v>
      </c>
      <c r="CR376" s="1683">
        <v>0</v>
      </c>
      <c r="CS376" s="1683">
        <v>0</v>
      </c>
      <c r="CT376" s="1683">
        <v>0</v>
      </c>
      <c r="CU376" s="1683">
        <v>0</v>
      </c>
      <c r="CV376" s="1683">
        <v>0</v>
      </c>
      <c r="CW376" s="1682"/>
      <c r="CX376" s="1400"/>
      <c r="CY376" s="1400"/>
      <c r="CZ376" s="1400"/>
      <c r="DA376" s="1400"/>
      <c r="DB376" s="1682"/>
      <c r="DC376" s="1326"/>
      <c r="DD376" s="1683">
        <v>0</v>
      </c>
      <c r="DE376" s="1400"/>
      <c r="DF376" s="1400"/>
      <c r="DG376" s="1683">
        <v>0</v>
      </c>
      <c r="DH376" s="1683">
        <v>0</v>
      </c>
    </row>
    <row r="377" spans="1:112" ht="67.5">
      <c r="A377" s="1326" t="s">
        <v>2420</v>
      </c>
      <c r="B377" s="1326" t="s">
        <v>1702</v>
      </c>
      <c r="C377" s="1326" t="s">
        <v>2564</v>
      </c>
      <c r="D377" s="1326" t="s">
        <v>2565</v>
      </c>
      <c r="E377" s="1326" t="s">
        <v>2259</v>
      </c>
      <c r="F377" s="1326" t="s">
        <v>2566</v>
      </c>
      <c r="G377" s="1326" t="s">
        <v>2556</v>
      </c>
      <c r="H377" s="1326" t="s">
        <v>2541</v>
      </c>
      <c r="I377" s="1326" t="s">
        <v>721</v>
      </c>
      <c r="J377" s="1326" t="s">
        <v>313</v>
      </c>
      <c r="K377" s="1326" t="s">
        <v>2268</v>
      </c>
      <c r="L377" s="1326" t="s">
        <v>2137</v>
      </c>
      <c r="M377" s="1400"/>
      <c r="N377" s="1400"/>
      <c r="O377" s="1400"/>
      <c r="P377" s="1400"/>
      <c r="Q377" s="1400"/>
      <c r="R377" s="1400"/>
      <c r="S377" s="1400"/>
      <c r="T377" s="1400"/>
      <c r="U377" s="1400"/>
      <c r="V377" s="1400"/>
      <c r="W377" s="1400"/>
      <c r="X377" s="1400"/>
      <c r="Y377" s="1685">
        <v>43440</v>
      </c>
      <c r="Z377" s="1326" t="s">
        <v>2145</v>
      </c>
      <c r="AA377" s="1683">
        <v>8349</v>
      </c>
      <c r="AB377" s="1683">
        <v>7096.65</v>
      </c>
      <c r="AC377" s="1683">
        <v>1252.3499999999999</v>
      </c>
      <c r="AD377" s="1685">
        <v>43488</v>
      </c>
      <c r="AE377" s="1326" t="s">
        <v>2083</v>
      </c>
      <c r="AF377" s="1326" t="s">
        <v>2064</v>
      </c>
      <c r="AG377" s="1410"/>
      <c r="AH377" s="1683">
        <v>8349.01</v>
      </c>
      <c r="AI377" s="1683">
        <v>8349.01</v>
      </c>
      <c r="AJ377" s="1683">
        <v>0.01</v>
      </c>
      <c r="AK377" s="1683">
        <v>0.01</v>
      </c>
      <c r="AL377" s="1683">
        <v>0</v>
      </c>
      <c r="AM377" s="1685">
        <v>43488</v>
      </c>
      <c r="AN377" s="1683">
        <v>8349.01</v>
      </c>
      <c r="AO377" s="1683">
        <v>8349.01</v>
      </c>
      <c r="AP377" s="1683">
        <v>8349.01</v>
      </c>
      <c r="AQ377" s="1683">
        <v>7096.66</v>
      </c>
      <c r="AR377" s="1683">
        <v>1252.3499999999999</v>
      </c>
      <c r="AS377" s="1683">
        <v>0</v>
      </c>
      <c r="AT377" s="1683">
        <v>0</v>
      </c>
      <c r="AU377" s="1683">
        <v>0</v>
      </c>
      <c r="AV377" s="1683">
        <v>0</v>
      </c>
      <c r="AW377" s="1683">
        <v>0</v>
      </c>
      <c r="AX377" s="1400"/>
      <c r="AY377" s="1400"/>
      <c r="AZ377" s="1400"/>
      <c r="BA377" s="1682"/>
      <c r="BB377" s="1682"/>
      <c r="BC377" s="1400"/>
      <c r="BD377" s="1400"/>
      <c r="BE377" s="1683">
        <v>8349.01</v>
      </c>
      <c r="BF377" s="1683">
        <v>8349.01</v>
      </c>
      <c r="BG377" s="1683">
        <v>8349.01</v>
      </c>
      <c r="BH377" s="1683">
        <v>7096.66</v>
      </c>
      <c r="BI377" s="1683">
        <v>1252.3499999999999</v>
      </c>
      <c r="BJ377" s="1683">
        <v>0</v>
      </c>
      <c r="BK377" s="1683">
        <v>0</v>
      </c>
      <c r="BL377" s="1683">
        <v>0</v>
      </c>
      <c r="BM377" s="1683">
        <v>0</v>
      </c>
      <c r="BN377" s="1683">
        <v>0</v>
      </c>
      <c r="BO377" s="1682"/>
      <c r="BP377" s="1683">
        <v>0</v>
      </c>
      <c r="BQ377" s="1683">
        <v>0</v>
      </c>
      <c r="BR377" s="1683">
        <v>0</v>
      </c>
      <c r="BS377" s="1683">
        <v>0</v>
      </c>
      <c r="BT377" s="1683">
        <v>0</v>
      </c>
      <c r="BU377" s="1683">
        <v>0</v>
      </c>
      <c r="BV377" s="1683">
        <v>0</v>
      </c>
      <c r="BW377" s="1683">
        <v>0</v>
      </c>
      <c r="BX377" s="1683">
        <v>0</v>
      </c>
      <c r="BY377" s="1683">
        <v>0</v>
      </c>
      <c r="BZ377" s="1400"/>
      <c r="CA377" s="1400"/>
      <c r="CB377" s="1682"/>
      <c r="CC377" s="1682"/>
      <c r="CD377" s="1400"/>
      <c r="CE377" s="1400"/>
      <c r="CF377" s="1683">
        <v>0</v>
      </c>
      <c r="CG377" s="1683">
        <v>0</v>
      </c>
      <c r="CH377" s="1683">
        <v>0</v>
      </c>
      <c r="CI377" s="1683">
        <v>0</v>
      </c>
      <c r="CJ377" s="1683">
        <v>0</v>
      </c>
      <c r="CK377" s="1683">
        <v>0</v>
      </c>
      <c r="CL377" s="1682"/>
      <c r="CM377" s="1683">
        <v>0</v>
      </c>
      <c r="CN377" s="1683">
        <v>0</v>
      </c>
      <c r="CO377" s="1683">
        <v>0</v>
      </c>
      <c r="CP377" s="1683">
        <v>0</v>
      </c>
      <c r="CQ377" s="1683">
        <v>0</v>
      </c>
      <c r="CR377" s="1683">
        <v>0</v>
      </c>
      <c r="CS377" s="1683">
        <v>0</v>
      </c>
      <c r="CT377" s="1683">
        <v>0</v>
      </c>
      <c r="CU377" s="1683">
        <v>0</v>
      </c>
      <c r="CV377" s="1683">
        <v>0</v>
      </c>
      <c r="CW377" s="1682"/>
      <c r="CX377" s="1400"/>
      <c r="CY377" s="1400"/>
      <c r="CZ377" s="1400"/>
      <c r="DA377" s="1400"/>
      <c r="DB377" s="1682"/>
      <c r="DC377" s="1326"/>
      <c r="DD377" s="1683">
        <v>0</v>
      </c>
      <c r="DE377" s="1400"/>
      <c r="DF377" s="1400"/>
      <c r="DG377" s="1683">
        <v>0</v>
      </c>
      <c r="DH377" s="1683">
        <v>0</v>
      </c>
    </row>
    <row r="378" spans="1:112" ht="33.75">
      <c r="A378" s="1326" t="s">
        <v>2424</v>
      </c>
      <c r="B378" s="1326" t="s">
        <v>1702</v>
      </c>
      <c r="C378" s="1326" t="s">
        <v>2564</v>
      </c>
      <c r="D378" s="1326" t="s">
        <v>2565</v>
      </c>
      <c r="E378" s="1326" t="s">
        <v>2259</v>
      </c>
      <c r="F378" s="1326" t="s">
        <v>2566</v>
      </c>
      <c r="G378" s="1326" t="s">
        <v>2556</v>
      </c>
      <c r="H378" s="1326" t="s">
        <v>2541</v>
      </c>
      <c r="I378" s="1326" t="s">
        <v>722</v>
      </c>
      <c r="J378" s="1326" t="s">
        <v>311</v>
      </c>
      <c r="K378" s="1326" t="s">
        <v>2077</v>
      </c>
      <c r="L378" s="1326" t="s">
        <v>2061</v>
      </c>
      <c r="M378" s="1683">
        <v>188353</v>
      </c>
      <c r="N378" s="1683">
        <v>0</v>
      </c>
      <c r="O378" s="1683">
        <v>188353</v>
      </c>
      <c r="P378" s="1683">
        <v>188353</v>
      </c>
      <c r="Q378" s="1683">
        <v>160100</v>
      </c>
      <c r="R378" s="1683">
        <v>160100</v>
      </c>
      <c r="S378" s="1683">
        <v>0</v>
      </c>
      <c r="T378" s="1683">
        <v>28253</v>
      </c>
      <c r="U378" s="1683">
        <v>0</v>
      </c>
      <c r="V378" s="1683">
        <v>28253</v>
      </c>
      <c r="W378" s="1683">
        <v>0</v>
      </c>
      <c r="X378" s="1683">
        <v>0</v>
      </c>
      <c r="Y378" s="1682"/>
      <c r="Z378" s="1326"/>
      <c r="AA378" s="1683">
        <v>0</v>
      </c>
      <c r="AB378" s="1683">
        <v>0</v>
      </c>
      <c r="AC378" s="1683">
        <v>0</v>
      </c>
      <c r="AD378" s="1682"/>
      <c r="AE378" s="1326"/>
      <c r="AF378" s="1326"/>
      <c r="AG378" s="1410"/>
      <c r="AH378" s="1683">
        <v>176833.54</v>
      </c>
      <c r="AI378" s="1683">
        <v>176833.54</v>
      </c>
      <c r="AJ378" s="1683">
        <v>150308.46</v>
      </c>
      <c r="AK378" s="1683">
        <v>150308.46</v>
      </c>
      <c r="AL378" s="1683">
        <v>0</v>
      </c>
      <c r="AM378" s="1682"/>
      <c r="AN378" s="1683">
        <v>176833.54</v>
      </c>
      <c r="AO378" s="1683">
        <v>176833.54</v>
      </c>
      <c r="AP378" s="1683">
        <v>150308.46</v>
      </c>
      <c r="AQ378" s="1683">
        <v>150308.46</v>
      </c>
      <c r="AR378" s="1683">
        <v>0</v>
      </c>
      <c r="AS378" s="1683">
        <v>26525.08</v>
      </c>
      <c r="AT378" s="1683">
        <v>0</v>
      </c>
      <c r="AU378" s="1683">
        <v>26525.08</v>
      </c>
      <c r="AV378" s="1683">
        <v>0</v>
      </c>
      <c r="AW378" s="1683">
        <v>0</v>
      </c>
      <c r="AX378" s="1683">
        <v>0</v>
      </c>
      <c r="AY378" s="1683">
        <v>0</v>
      </c>
      <c r="AZ378" s="1683">
        <v>0</v>
      </c>
      <c r="BA378" s="1682"/>
      <c r="BB378" s="1682"/>
      <c r="BC378" s="1683">
        <v>0</v>
      </c>
      <c r="BD378" s="1683">
        <v>0</v>
      </c>
      <c r="BE378" s="1683">
        <v>176833.54</v>
      </c>
      <c r="BF378" s="1683">
        <v>176833.54</v>
      </c>
      <c r="BG378" s="1683">
        <v>150308.46</v>
      </c>
      <c r="BH378" s="1683">
        <v>150308.46</v>
      </c>
      <c r="BI378" s="1683">
        <v>0</v>
      </c>
      <c r="BJ378" s="1683">
        <v>26525.08</v>
      </c>
      <c r="BK378" s="1683">
        <v>0</v>
      </c>
      <c r="BL378" s="1683">
        <v>26525.08</v>
      </c>
      <c r="BM378" s="1683">
        <v>0</v>
      </c>
      <c r="BN378" s="1683">
        <v>0</v>
      </c>
      <c r="BO378" s="1682"/>
      <c r="BP378" s="1683">
        <v>174209.9</v>
      </c>
      <c r="BQ378" s="1683">
        <v>174209.9</v>
      </c>
      <c r="BR378" s="1683">
        <v>148078.35999999999</v>
      </c>
      <c r="BS378" s="1683">
        <v>148078.35999999999</v>
      </c>
      <c r="BT378" s="1683">
        <v>0</v>
      </c>
      <c r="BU378" s="1683">
        <v>26131.54</v>
      </c>
      <c r="BV378" s="1683">
        <v>0</v>
      </c>
      <c r="BW378" s="1683">
        <v>0</v>
      </c>
      <c r="BX378" s="1683">
        <v>0</v>
      </c>
      <c r="BY378" s="1683">
        <v>0</v>
      </c>
      <c r="BZ378" s="1683">
        <v>0</v>
      </c>
      <c r="CA378" s="1683">
        <v>0</v>
      </c>
      <c r="CB378" s="1682"/>
      <c r="CC378" s="1682"/>
      <c r="CD378" s="1683">
        <v>0</v>
      </c>
      <c r="CE378" s="1683">
        <v>0</v>
      </c>
      <c r="CF378" s="1683">
        <v>0</v>
      </c>
      <c r="CG378" s="1683">
        <v>0</v>
      </c>
      <c r="CH378" s="1683">
        <v>0</v>
      </c>
      <c r="CI378" s="1683">
        <v>0</v>
      </c>
      <c r="CJ378" s="1683">
        <v>1817.64</v>
      </c>
      <c r="CK378" s="1683">
        <v>1817.64</v>
      </c>
      <c r="CL378" s="1682"/>
      <c r="CM378" s="1683">
        <v>0</v>
      </c>
      <c r="CN378" s="1683">
        <v>0</v>
      </c>
      <c r="CO378" s="1683">
        <v>0</v>
      </c>
      <c r="CP378" s="1683">
        <v>0</v>
      </c>
      <c r="CQ378" s="1683">
        <v>0</v>
      </c>
      <c r="CR378" s="1683">
        <v>0</v>
      </c>
      <c r="CS378" s="1683">
        <v>0</v>
      </c>
      <c r="CT378" s="1683">
        <v>0</v>
      </c>
      <c r="CU378" s="1683">
        <v>0</v>
      </c>
      <c r="CV378" s="1683">
        <v>0</v>
      </c>
      <c r="CW378" s="1682"/>
      <c r="CX378" s="1683">
        <v>0</v>
      </c>
      <c r="CY378" s="1683">
        <v>0</v>
      </c>
      <c r="CZ378" s="1683">
        <v>0</v>
      </c>
      <c r="DA378" s="1683">
        <v>0</v>
      </c>
      <c r="DB378" s="1682"/>
      <c r="DC378" s="1326"/>
      <c r="DD378" s="1683">
        <v>0</v>
      </c>
      <c r="DE378" s="1683">
        <v>0</v>
      </c>
      <c r="DF378" s="1683">
        <v>0</v>
      </c>
      <c r="DG378" s="1683">
        <v>0</v>
      </c>
      <c r="DH378" s="1683">
        <v>0</v>
      </c>
    </row>
    <row r="379" spans="1:112" ht="33.75">
      <c r="A379" s="1326" t="s">
        <v>2425</v>
      </c>
      <c r="B379" s="1326" t="s">
        <v>1702</v>
      </c>
      <c r="C379" s="1326" t="s">
        <v>2564</v>
      </c>
      <c r="D379" s="1326" t="s">
        <v>2565</v>
      </c>
      <c r="E379" s="1326" t="s">
        <v>2259</v>
      </c>
      <c r="F379" s="1326" t="s">
        <v>2566</v>
      </c>
      <c r="G379" s="1326" t="s">
        <v>2556</v>
      </c>
      <c r="H379" s="1326" t="s">
        <v>2541</v>
      </c>
      <c r="I379" s="1326" t="s">
        <v>722</v>
      </c>
      <c r="J379" s="1326" t="s">
        <v>311</v>
      </c>
      <c r="K379" s="1326" t="s">
        <v>2077</v>
      </c>
      <c r="L379" s="1326" t="s">
        <v>2061</v>
      </c>
      <c r="M379" s="1400"/>
      <c r="N379" s="1400"/>
      <c r="O379" s="1400"/>
      <c r="P379" s="1400"/>
      <c r="Q379" s="1400"/>
      <c r="R379" s="1400"/>
      <c r="S379" s="1400"/>
      <c r="T379" s="1400"/>
      <c r="U379" s="1400"/>
      <c r="V379" s="1400"/>
      <c r="W379" s="1400"/>
      <c r="X379" s="1400"/>
      <c r="Y379" s="1685">
        <v>43343</v>
      </c>
      <c r="Z379" s="1326" t="s">
        <v>2062</v>
      </c>
      <c r="AA379" s="1683">
        <v>0</v>
      </c>
      <c r="AB379" s="1683">
        <v>0</v>
      </c>
      <c r="AC379" s="1683">
        <v>0</v>
      </c>
      <c r="AD379" s="1685">
        <v>43378</v>
      </c>
      <c r="AE379" s="1326" t="s">
        <v>2080</v>
      </c>
      <c r="AF379" s="1326" t="s">
        <v>2067</v>
      </c>
      <c r="AG379" s="1410"/>
      <c r="AH379" s="1683">
        <v>2412.4299999999998</v>
      </c>
      <c r="AI379" s="1683">
        <v>2412.4299999999998</v>
      </c>
      <c r="AJ379" s="1683">
        <v>2050.56</v>
      </c>
      <c r="AK379" s="1683">
        <v>2050.56</v>
      </c>
      <c r="AL379" s="1683">
        <v>0</v>
      </c>
      <c r="AM379" s="1685">
        <v>43378</v>
      </c>
      <c r="AN379" s="1683">
        <v>2412.4299999999998</v>
      </c>
      <c r="AO379" s="1683">
        <v>2412.4299999999998</v>
      </c>
      <c r="AP379" s="1683">
        <v>2050.56</v>
      </c>
      <c r="AQ379" s="1683">
        <v>2050.56</v>
      </c>
      <c r="AR379" s="1683">
        <v>0</v>
      </c>
      <c r="AS379" s="1683">
        <v>361.87</v>
      </c>
      <c r="AT379" s="1683">
        <v>0</v>
      </c>
      <c r="AU379" s="1683">
        <v>361.87</v>
      </c>
      <c r="AV379" s="1683">
        <v>0</v>
      </c>
      <c r="AW379" s="1683">
        <v>0</v>
      </c>
      <c r="AX379" s="1400"/>
      <c r="AY379" s="1400"/>
      <c r="AZ379" s="1400"/>
      <c r="BA379" s="1682"/>
      <c r="BB379" s="1682"/>
      <c r="BC379" s="1400"/>
      <c r="BD379" s="1400"/>
      <c r="BE379" s="1683">
        <v>2412.4299999999998</v>
      </c>
      <c r="BF379" s="1683">
        <v>2412.4299999999998</v>
      </c>
      <c r="BG379" s="1683">
        <v>2050.56</v>
      </c>
      <c r="BH379" s="1683">
        <v>2050.56</v>
      </c>
      <c r="BI379" s="1683">
        <v>0</v>
      </c>
      <c r="BJ379" s="1683">
        <v>361.87</v>
      </c>
      <c r="BK379" s="1683">
        <v>0</v>
      </c>
      <c r="BL379" s="1683">
        <v>361.87</v>
      </c>
      <c r="BM379" s="1683">
        <v>0</v>
      </c>
      <c r="BN379" s="1683">
        <v>0</v>
      </c>
      <c r="BO379" s="1685">
        <v>43453</v>
      </c>
      <c r="BP379" s="1683">
        <v>2412.4299999999998</v>
      </c>
      <c r="BQ379" s="1683">
        <v>2412.4299999999998</v>
      </c>
      <c r="BR379" s="1683">
        <v>2050.56</v>
      </c>
      <c r="BS379" s="1683">
        <v>2050.56</v>
      </c>
      <c r="BT379" s="1683">
        <v>0</v>
      </c>
      <c r="BU379" s="1683">
        <v>361.87</v>
      </c>
      <c r="BV379" s="1683">
        <v>0</v>
      </c>
      <c r="BW379" s="1683">
        <v>0</v>
      </c>
      <c r="BX379" s="1683">
        <v>0</v>
      </c>
      <c r="BY379" s="1683">
        <v>0</v>
      </c>
      <c r="BZ379" s="1683">
        <v>0</v>
      </c>
      <c r="CA379" s="1400"/>
      <c r="CB379" s="1682"/>
      <c r="CC379" s="1682"/>
      <c r="CD379" s="1400"/>
      <c r="CE379" s="1400"/>
      <c r="CF379" s="1683">
        <v>0</v>
      </c>
      <c r="CG379" s="1683">
        <v>0</v>
      </c>
      <c r="CH379" s="1683">
        <v>0</v>
      </c>
      <c r="CI379" s="1683">
        <v>0</v>
      </c>
      <c r="CJ379" s="1683">
        <v>25.17</v>
      </c>
      <c r="CK379" s="1683">
        <v>25.17</v>
      </c>
      <c r="CL379" s="1682"/>
      <c r="CM379" s="1683">
        <v>0</v>
      </c>
      <c r="CN379" s="1683">
        <v>0</v>
      </c>
      <c r="CO379" s="1683">
        <v>0</v>
      </c>
      <c r="CP379" s="1683">
        <v>0</v>
      </c>
      <c r="CQ379" s="1683">
        <v>0</v>
      </c>
      <c r="CR379" s="1683">
        <v>0</v>
      </c>
      <c r="CS379" s="1683">
        <v>0</v>
      </c>
      <c r="CT379" s="1683">
        <v>0</v>
      </c>
      <c r="CU379" s="1683">
        <v>0</v>
      </c>
      <c r="CV379" s="1683">
        <v>0</v>
      </c>
      <c r="CW379" s="1682"/>
      <c r="CX379" s="1400"/>
      <c r="CY379" s="1400"/>
      <c r="CZ379" s="1400"/>
      <c r="DA379" s="1400"/>
      <c r="DB379" s="1682"/>
      <c r="DC379" s="1326"/>
      <c r="DD379" s="1683">
        <v>0</v>
      </c>
      <c r="DE379" s="1400"/>
      <c r="DF379" s="1400"/>
      <c r="DG379" s="1683">
        <v>0</v>
      </c>
      <c r="DH379" s="1683">
        <v>0</v>
      </c>
    </row>
    <row r="380" spans="1:112" ht="33.75">
      <c r="A380" s="1326" t="s">
        <v>2429</v>
      </c>
      <c r="B380" s="1326" t="s">
        <v>1702</v>
      </c>
      <c r="C380" s="1326" t="s">
        <v>2564</v>
      </c>
      <c r="D380" s="1326" t="s">
        <v>2565</v>
      </c>
      <c r="E380" s="1326" t="s">
        <v>2259</v>
      </c>
      <c r="F380" s="1326" t="s">
        <v>2566</v>
      </c>
      <c r="G380" s="1326" t="s">
        <v>2556</v>
      </c>
      <c r="H380" s="1326" t="s">
        <v>2541</v>
      </c>
      <c r="I380" s="1326" t="s">
        <v>722</v>
      </c>
      <c r="J380" s="1326" t="s">
        <v>311</v>
      </c>
      <c r="K380" s="1326" t="s">
        <v>2077</v>
      </c>
      <c r="L380" s="1326" t="s">
        <v>2061</v>
      </c>
      <c r="M380" s="1400"/>
      <c r="N380" s="1400"/>
      <c r="O380" s="1400"/>
      <c r="P380" s="1400"/>
      <c r="Q380" s="1400"/>
      <c r="R380" s="1400"/>
      <c r="S380" s="1400"/>
      <c r="T380" s="1400"/>
      <c r="U380" s="1400"/>
      <c r="V380" s="1400"/>
      <c r="W380" s="1400"/>
      <c r="X380" s="1400"/>
      <c r="Y380" s="1685">
        <v>43343</v>
      </c>
      <c r="Z380" s="1326" t="s">
        <v>2062</v>
      </c>
      <c r="AA380" s="1683">
        <v>0</v>
      </c>
      <c r="AB380" s="1683">
        <v>0</v>
      </c>
      <c r="AC380" s="1683">
        <v>0</v>
      </c>
      <c r="AD380" s="1685">
        <v>43427</v>
      </c>
      <c r="AE380" s="1326" t="s">
        <v>2080</v>
      </c>
      <c r="AF380" s="1326" t="s">
        <v>2064</v>
      </c>
      <c r="AG380" s="1410"/>
      <c r="AH380" s="1683">
        <v>171797.47</v>
      </c>
      <c r="AI380" s="1683">
        <v>171797.47</v>
      </c>
      <c r="AJ380" s="1683">
        <v>146027.79999999999</v>
      </c>
      <c r="AK380" s="1683">
        <v>146027.79999999999</v>
      </c>
      <c r="AL380" s="1683">
        <v>0</v>
      </c>
      <c r="AM380" s="1685">
        <v>43427</v>
      </c>
      <c r="AN380" s="1683">
        <v>171797.47</v>
      </c>
      <c r="AO380" s="1683">
        <v>171797.47</v>
      </c>
      <c r="AP380" s="1683">
        <v>146027.79999999999</v>
      </c>
      <c r="AQ380" s="1683">
        <v>146027.79999999999</v>
      </c>
      <c r="AR380" s="1683">
        <v>0</v>
      </c>
      <c r="AS380" s="1683">
        <v>25769.67</v>
      </c>
      <c r="AT380" s="1683">
        <v>0</v>
      </c>
      <c r="AU380" s="1683">
        <v>25769.67</v>
      </c>
      <c r="AV380" s="1683">
        <v>0</v>
      </c>
      <c r="AW380" s="1683">
        <v>0</v>
      </c>
      <c r="AX380" s="1400"/>
      <c r="AY380" s="1400"/>
      <c r="AZ380" s="1400"/>
      <c r="BA380" s="1682"/>
      <c r="BB380" s="1682"/>
      <c r="BC380" s="1400"/>
      <c r="BD380" s="1400"/>
      <c r="BE380" s="1683">
        <v>171797.47</v>
      </c>
      <c r="BF380" s="1683">
        <v>171797.47</v>
      </c>
      <c r="BG380" s="1683">
        <v>146027.79999999999</v>
      </c>
      <c r="BH380" s="1683">
        <v>146027.79999999999</v>
      </c>
      <c r="BI380" s="1683">
        <v>0</v>
      </c>
      <c r="BJ380" s="1683">
        <v>25769.67</v>
      </c>
      <c r="BK380" s="1683">
        <v>0</v>
      </c>
      <c r="BL380" s="1683">
        <v>25769.67</v>
      </c>
      <c r="BM380" s="1683">
        <v>0</v>
      </c>
      <c r="BN380" s="1683">
        <v>0</v>
      </c>
      <c r="BO380" s="1685">
        <v>43453</v>
      </c>
      <c r="BP380" s="1683">
        <v>171797.47</v>
      </c>
      <c r="BQ380" s="1683">
        <v>171797.47</v>
      </c>
      <c r="BR380" s="1683">
        <v>146027.79999999999</v>
      </c>
      <c r="BS380" s="1683">
        <v>146027.79999999999</v>
      </c>
      <c r="BT380" s="1683">
        <v>0</v>
      </c>
      <c r="BU380" s="1683">
        <v>25769.67</v>
      </c>
      <c r="BV380" s="1683">
        <v>0</v>
      </c>
      <c r="BW380" s="1683">
        <v>0</v>
      </c>
      <c r="BX380" s="1683">
        <v>0</v>
      </c>
      <c r="BY380" s="1683">
        <v>0</v>
      </c>
      <c r="BZ380" s="1683">
        <v>0</v>
      </c>
      <c r="CA380" s="1400"/>
      <c r="CB380" s="1682"/>
      <c r="CC380" s="1682"/>
      <c r="CD380" s="1400"/>
      <c r="CE380" s="1400"/>
      <c r="CF380" s="1683">
        <v>0</v>
      </c>
      <c r="CG380" s="1683">
        <v>0</v>
      </c>
      <c r="CH380" s="1683">
        <v>0</v>
      </c>
      <c r="CI380" s="1683">
        <v>0</v>
      </c>
      <c r="CJ380" s="1683">
        <v>1792.47</v>
      </c>
      <c r="CK380" s="1683">
        <v>1792.47</v>
      </c>
      <c r="CL380" s="1682"/>
      <c r="CM380" s="1683">
        <v>0</v>
      </c>
      <c r="CN380" s="1683">
        <v>0</v>
      </c>
      <c r="CO380" s="1683">
        <v>0</v>
      </c>
      <c r="CP380" s="1683">
        <v>0</v>
      </c>
      <c r="CQ380" s="1683">
        <v>0</v>
      </c>
      <c r="CR380" s="1683">
        <v>0</v>
      </c>
      <c r="CS380" s="1683">
        <v>0</v>
      </c>
      <c r="CT380" s="1683">
        <v>0</v>
      </c>
      <c r="CU380" s="1683">
        <v>0</v>
      </c>
      <c r="CV380" s="1683">
        <v>0</v>
      </c>
      <c r="CW380" s="1682"/>
      <c r="CX380" s="1400"/>
      <c r="CY380" s="1400"/>
      <c r="CZ380" s="1400"/>
      <c r="DA380" s="1400"/>
      <c r="DB380" s="1682"/>
      <c r="DC380" s="1326"/>
      <c r="DD380" s="1683">
        <v>0</v>
      </c>
      <c r="DE380" s="1400"/>
      <c r="DF380" s="1400"/>
      <c r="DG380" s="1683">
        <v>0</v>
      </c>
      <c r="DH380" s="1683">
        <v>0</v>
      </c>
    </row>
    <row r="381" spans="1:112" ht="33.75">
      <c r="A381" s="1326" t="s">
        <v>2430</v>
      </c>
      <c r="B381" s="1326" t="s">
        <v>1702</v>
      </c>
      <c r="C381" s="1326" t="s">
        <v>2564</v>
      </c>
      <c r="D381" s="1326" t="s">
        <v>2565</v>
      </c>
      <c r="E381" s="1326" t="s">
        <v>2259</v>
      </c>
      <c r="F381" s="1326" t="s">
        <v>2566</v>
      </c>
      <c r="G381" s="1326" t="s">
        <v>2556</v>
      </c>
      <c r="H381" s="1326" t="s">
        <v>2541</v>
      </c>
      <c r="I381" s="1326" t="s">
        <v>722</v>
      </c>
      <c r="J381" s="1326" t="s">
        <v>311</v>
      </c>
      <c r="K381" s="1326" t="s">
        <v>2077</v>
      </c>
      <c r="L381" s="1326" t="s">
        <v>2061</v>
      </c>
      <c r="M381" s="1400"/>
      <c r="N381" s="1400"/>
      <c r="O381" s="1400"/>
      <c r="P381" s="1400"/>
      <c r="Q381" s="1400"/>
      <c r="R381" s="1400"/>
      <c r="S381" s="1400"/>
      <c r="T381" s="1400"/>
      <c r="U381" s="1400"/>
      <c r="V381" s="1400"/>
      <c r="W381" s="1400"/>
      <c r="X381" s="1400"/>
      <c r="Y381" s="1685">
        <v>43427</v>
      </c>
      <c r="Z381" s="1326" t="s">
        <v>2062</v>
      </c>
      <c r="AA381" s="1683">
        <v>0</v>
      </c>
      <c r="AB381" s="1683">
        <v>0</v>
      </c>
      <c r="AC381" s="1683">
        <v>0</v>
      </c>
      <c r="AD381" s="1685">
        <v>43488</v>
      </c>
      <c r="AE381" s="1326" t="s">
        <v>2081</v>
      </c>
      <c r="AF381" s="1326" t="s">
        <v>2067</v>
      </c>
      <c r="AG381" s="1410"/>
      <c r="AH381" s="1683">
        <v>898.57</v>
      </c>
      <c r="AI381" s="1683">
        <v>898.57</v>
      </c>
      <c r="AJ381" s="1683">
        <v>763.79</v>
      </c>
      <c r="AK381" s="1683">
        <v>763.79</v>
      </c>
      <c r="AL381" s="1683">
        <v>0</v>
      </c>
      <c r="AM381" s="1685">
        <v>43488</v>
      </c>
      <c r="AN381" s="1683">
        <v>898.57</v>
      </c>
      <c r="AO381" s="1683">
        <v>898.57</v>
      </c>
      <c r="AP381" s="1683">
        <v>763.79</v>
      </c>
      <c r="AQ381" s="1683">
        <v>763.79</v>
      </c>
      <c r="AR381" s="1683">
        <v>0</v>
      </c>
      <c r="AS381" s="1683">
        <v>134.78</v>
      </c>
      <c r="AT381" s="1683">
        <v>0</v>
      </c>
      <c r="AU381" s="1683">
        <v>134.78</v>
      </c>
      <c r="AV381" s="1683">
        <v>0</v>
      </c>
      <c r="AW381" s="1683">
        <v>0</v>
      </c>
      <c r="AX381" s="1400"/>
      <c r="AY381" s="1400"/>
      <c r="AZ381" s="1400"/>
      <c r="BA381" s="1682"/>
      <c r="BB381" s="1682"/>
      <c r="BC381" s="1400"/>
      <c r="BD381" s="1400"/>
      <c r="BE381" s="1683">
        <v>898.57</v>
      </c>
      <c r="BF381" s="1683">
        <v>898.57</v>
      </c>
      <c r="BG381" s="1683">
        <v>763.79</v>
      </c>
      <c r="BH381" s="1683">
        <v>763.79</v>
      </c>
      <c r="BI381" s="1683">
        <v>0</v>
      </c>
      <c r="BJ381" s="1683">
        <v>134.78</v>
      </c>
      <c r="BK381" s="1683">
        <v>0</v>
      </c>
      <c r="BL381" s="1683">
        <v>134.78</v>
      </c>
      <c r="BM381" s="1683">
        <v>0</v>
      </c>
      <c r="BN381" s="1683">
        <v>0</v>
      </c>
      <c r="BO381" s="1682"/>
      <c r="BP381" s="1683">
        <v>0</v>
      </c>
      <c r="BQ381" s="1683">
        <v>0</v>
      </c>
      <c r="BR381" s="1683">
        <v>0</v>
      </c>
      <c r="BS381" s="1683">
        <v>0</v>
      </c>
      <c r="BT381" s="1683">
        <v>0</v>
      </c>
      <c r="BU381" s="1683">
        <v>0</v>
      </c>
      <c r="BV381" s="1683">
        <v>0</v>
      </c>
      <c r="BW381" s="1683">
        <v>0</v>
      </c>
      <c r="BX381" s="1683">
        <v>0</v>
      </c>
      <c r="BY381" s="1683">
        <v>0</v>
      </c>
      <c r="BZ381" s="1400"/>
      <c r="CA381" s="1400"/>
      <c r="CB381" s="1682"/>
      <c r="CC381" s="1682"/>
      <c r="CD381" s="1400"/>
      <c r="CE381" s="1400"/>
      <c r="CF381" s="1683">
        <v>0</v>
      </c>
      <c r="CG381" s="1683">
        <v>0</v>
      </c>
      <c r="CH381" s="1683">
        <v>0</v>
      </c>
      <c r="CI381" s="1683">
        <v>0</v>
      </c>
      <c r="CJ381" s="1683">
        <v>0</v>
      </c>
      <c r="CK381" s="1683">
        <v>0</v>
      </c>
      <c r="CL381" s="1682"/>
      <c r="CM381" s="1683">
        <v>0</v>
      </c>
      <c r="CN381" s="1683">
        <v>0</v>
      </c>
      <c r="CO381" s="1683">
        <v>0</v>
      </c>
      <c r="CP381" s="1683">
        <v>0</v>
      </c>
      <c r="CQ381" s="1683">
        <v>0</v>
      </c>
      <c r="CR381" s="1683">
        <v>0</v>
      </c>
      <c r="CS381" s="1683">
        <v>0</v>
      </c>
      <c r="CT381" s="1683">
        <v>0</v>
      </c>
      <c r="CU381" s="1683">
        <v>0</v>
      </c>
      <c r="CV381" s="1683">
        <v>0</v>
      </c>
      <c r="CW381" s="1682"/>
      <c r="CX381" s="1400"/>
      <c r="CY381" s="1400"/>
      <c r="CZ381" s="1400"/>
      <c r="DA381" s="1400"/>
      <c r="DB381" s="1682"/>
      <c r="DC381" s="1326"/>
      <c r="DD381" s="1683">
        <v>0</v>
      </c>
      <c r="DE381" s="1400"/>
      <c r="DF381" s="1400"/>
      <c r="DG381" s="1683">
        <v>0</v>
      </c>
      <c r="DH381" s="1683">
        <v>0</v>
      </c>
    </row>
    <row r="382" spans="1:112" ht="33.75">
      <c r="A382" s="1326" t="s">
        <v>2431</v>
      </c>
      <c r="B382" s="1326" t="s">
        <v>1702</v>
      </c>
      <c r="C382" s="1326" t="s">
        <v>2564</v>
      </c>
      <c r="D382" s="1326" t="s">
        <v>2565</v>
      </c>
      <c r="E382" s="1326" t="s">
        <v>2259</v>
      </c>
      <c r="F382" s="1326" t="s">
        <v>2566</v>
      </c>
      <c r="G382" s="1326" t="s">
        <v>2556</v>
      </c>
      <c r="H382" s="1326" t="s">
        <v>2541</v>
      </c>
      <c r="I382" s="1326" t="s">
        <v>722</v>
      </c>
      <c r="J382" s="1326" t="s">
        <v>311</v>
      </c>
      <c r="K382" s="1326" t="s">
        <v>2077</v>
      </c>
      <c r="L382" s="1326" t="s">
        <v>2061</v>
      </c>
      <c r="M382" s="1400"/>
      <c r="N382" s="1400"/>
      <c r="O382" s="1400"/>
      <c r="P382" s="1400"/>
      <c r="Q382" s="1400"/>
      <c r="R382" s="1400"/>
      <c r="S382" s="1400"/>
      <c r="T382" s="1400"/>
      <c r="U382" s="1400"/>
      <c r="V382" s="1400"/>
      <c r="W382" s="1400"/>
      <c r="X382" s="1400"/>
      <c r="Y382" s="1685">
        <v>43518</v>
      </c>
      <c r="Z382" s="1326" t="s">
        <v>2062</v>
      </c>
      <c r="AA382" s="1683">
        <v>0</v>
      </c>
      <c r="AB382" s="1683">
        <v>0</v>
      </c>
      <c r="AC382" s="1683">
        <v>0</v>
      </c>
      <c r="AD382" s="1685">
        <v>43532</v>
      </c>
      <c r="AE382" s="1326" t="s">
        <v>2088</v>
      </c>
      <c r="AF382" s="1326" t="s">
        <v>2067</v>
      </c>
      <c r="AG382" s="1410"/>
      <c r="AH382" s="1683">
        <v>1725.07</v>
      </c>
      <c r="AI382" s="1683">
        <v>1725.07</v>
      </c>
      <c r="AJ382" s="1683">
        <v>1466.31</v>
      </c>
      <c r="AK382" s="1683">
        <v>1466.31</v>
      </c>
      <c r="AL382" s="1683">
        <v>0</v>
      </c>
      <c r="AM382" s="1685">
        <v>43532</v>
      </c>
      <c r="AN382" s="1683">
        <v>1725.07</v>
      </c>
      <c r="AO382" s="1683">
        <v>1725.07</v>
      </c>
      <c r="AP382" s="1683">
        <v>1466.31</v>
      </c>
      <c r="AQ382" s="1683">
        <v>1466.31</v>
      </c>
      <c r="AR382" s="1683">
        <v>0</v>
      </c>
      <c r="AS382" s="1683">
        <v>258.76</v>
      </c>
      <c r="AT382" s="1683">
        <v>0</v>
      </c>
      <c r="AU382" s="1683">
        <v>258.76</v>
      </c>
      <c r="AV382" s="1683">
        <v>0</v>
      </c>
      <c r="AW382" s="1683">
        <v>0</v>
      </c>
      <c r="AX382" s="1400"/>
      <c r="AY382" s="1400"/>
      <c r="AZ382" s="1400"/>
      <c r="BA382" s="1682"/>
      <c r="BB382" s="1682"/>
      <c r="BC382" s="1400"/>
      <c r="BD382" s="1400"/>
      <c r="BE382" s="1683">
        <v>1725.07</v>
      </c>
      <c r="BF382" s="1683">
        <v>1725.07</v>
      </c>
      <c r="BG382" s="1683">
        <v>1466.31</v>
      </c>
      <c r="BH382" s="1683">
        <v>1466.31</v>
      </c>
      <c r="BI382" s="1683">
        <v>0</v>
      </c>
      <c r="BJ382" s="1683">
        <v>258.76</v>
      </c>
      <c r="BK382" s="1683">
        <v>0</v>
      </c>
      <c r="BL382" s="1683">
        <v>258.76</v>
      </c>
      <c r="BM382" s="1683">
        <v>0</v>
      </c>
      <c r="BN382" s="1683">
        <v>0</v>
      </c>
      <c r="BO382" s="1682"/>
      <c r="BP382" s="1683">
        <v>0</v>
      </c>
      <c r="BQ382" s="1683">
        <v>0</v>
      </c>
      <c r="BR382" s="1683">
        <v>0</v>
      </c>
      <c r="BS382" s="1683">
        <v>0</v>
      </c>
      <c r="BT382" s="1683">
        <v>0</v>
      </c>
      <c r="BU382" s="1683">
        <v>0</v>
      </c>
      <c r="BV382" s="1683">
        <v>0</v>
      </c>
      <c r="BW382" s="1683">
        <v>0</v>
      </c>
      <c r="BX382" s="1683">
        <v>0</v>
      </c>
      <c r="BY382" s="1683">
        <v>0</v>
      </c>
      <c r="BZ382" s="1400"/>
      <c r="CA382" s="1400"/>
      <c r="CB382" s="1682"/>
      <c r="CC382" s="1682"/>
      <c r="CD382" s="1400"/>
      <c r="CE382" s="1400"/>
      <c r="CF382" s="1683">
        <v>0</v>
      </c>
      <c r="CG382" s="1683">
        <v>0</v>
      </c>
      <c r="CH382" s="1683">
        <v>0</v>
      </c>
      <c r="CI382" s="1683">
        <v>0</v>
      </c>
      <c r="CJ382" s="1683">
        <v>0</v>
      </c>
      <c r="CK382" s="1683">
        <v>0</v>
      </c>
      <c r="CL382" s="1682"/>
      <c r="CM382" s="1683">
        <v>0</v>
      </c>
      <c r="CN382" s="1683">
        <v>0</v>
      </c>
      <c r="CO382" s="1683">
        <v>0</v>
      </c>
      <c r="CP382" s="1683">
        <v>0</v>
      </c>
      <c r="CQ382" s="1683">
        <v>0</v>
      </c>
      <c r="CR382" s="1683">
        <v>0</v>
      </c>
      <c r="CS382" s="1683">
        <v>0</v>
      </c>
      <c r="CT382" s="1683">
        <v>0</v>
      </c>
      <c r="CU382" s="1683">
        <v>0</v>
      </c>
      <c r="CV382" s="1683">
        <v>0</v>
      </c>
      <c r="CW382" s="1682"/>
      <c r="CX382" s="1400"/>
      <c r="CY382" s="1400"/>
      <c r="CZ382" s="1400"/>
      <c r="DA382" s="1400"/>
      <c r="DB382" s="1682"/>
      <c r="DC382" s="1326"/>
      <c r="DD382" s="1683">
        <v>0</v>
      </c>
      <c r="DE382" s="1400"/>
      <c r="DF382" s="1400"/>
      <c r="DG382" s="1683">
        <v>0</v>
      </c>
      <c r="DH382" s="1683">
        <v>0</v>
      </c>
    </row>
    <row r="383" spans="1:112" ht="22.5">
      <c r="A383" s="1326" t="s">
        <v>2432</v>
      </c>
      <c r="B383" s="1326" t="s">
        <v>1702</v>
      </c>
      <c r="C383" s="1326" t="s">
        <v>2564</v>
      </c>
      <c r="D383" s="1326" t="s">
        <v>2565</v>
      </c>
      <c r="E383" s="1326" t="s">
        <v>2259</v>
      </c>
      <c r="F383" s="1326" t="s">
        <v>2566</v>
      </c>
      <c r="G383" s="1326" t="s">
        <v>2556</v>
      </c>
      <c r="H383" s="1326" t="s">
        <v>2541</v>
      </c>
      <c r="I383" s="1326" t="s">
        <v>723</v>
      </c>
      <c r="J383" s="1326" t="s">
        <v>217</v>
      </c>
      <c r="K383" s="1326" t="s">
        <v>2071</v>
      </c>
      <c r="L383" s="1326" t="s">
        <v>2137</v>
      </c>
      <c r="M383" s="1683">
        <v>600732.80000000005</v>
      </c>
      <c r="N383" s="1683">
        <v>0</v>
      </c>
      <c r="O383" s="1683">
        <v>600732.80000000005</v>
      </c>
      <c r="P383" s="1683">
        <v>600732.80000000005</v>
      </c>
      <c r="Q383" s="1683">
        <v>346361</v>
      </c>
      <c r="R383" s="1683">
        <v>346361</v>
      </c>
      <c r="S383" s="1683">
        <v>0</v>
      </c>
      <c r="T383" s="1683">
        <v>254371.8</v>
      </c>
      <c r="U383" s="1683">
        <v>0</v>
      </c>
      <c r="V383" s="1683">
        <v>254371.8</v>
      </c>
      <c r="W383" s="1683">
        <v>0</v>
      </c>
      <c r="X383" s="1683">
        <v>0</v>
      </c>
      <c r="Y383" s="1682"/>
      <c r="Z383" s="1326"/>
      <c r="AA383" s="1683">
        <v>0</v>
      </c>
      <c r="AB383" s="1683">
        <v>0</v>
      </c>
      <c r="AC383" s="1683">
        <v>0</v>
      </c>
      <c r="AD383" s="1682"/>
      <c r="AE383" s="1326"/>
      <c r="AF383" s="1326"/>
      <c r="AG383" s="1410"/>
      <c r="AH383" s="1683">
        <v>600732.80000000005</v>
      </c>
      <c r="AI383" s="1683">
        <v>600732.80000000005</v>
      </c>
      <c r="AJ383" s="1683">
        <v>346361</v>
      </c>
      <c r="AK383" s="1683">
        <v>346361</v>
      </c>
      <c r="AL383" s="1683">
        <v>0</v>
      </c>
      <c r="AM383" s="1682"/>
      <c r="AN383" s="1683">
        <v>600732.80000000005</v>
      </c>
      <c r="AO383" s="1683">
        <v>600732.80000000005</v>
      </c>
      <c r="AP383" s="1683">
        <v>346361</v>
      </c>
      <c r="AQ383" s="1683">
        <v>346361</v>
      </c>
      <c r="AR383" s="1683">
        <v>0</v>
      </c>
      <c r="AS383" s="1683">
        <v>254371.8</v>
      </c>
      <c r="AT383" s="1683">
        <v>0</v>
      </c>
      <c r="AU383" s="1683">
        <v>254371.8</v>
      </c>
      <c r="AV383" s="1683">
        <v>0</v>
      </c>
      <c r="AW383" s="1683">
        <v>0</v>
      </c>
      <c r="AX383" s="1683">
        <v>0</v>
      </c>
      <c r="AY383" s="1683">
        <v>0</v>
      </c>
      <c r="AZ383" s="1683">
        <v>0</v>
      </c>
      <c r="BA383" s="1682"/>
      <c r="BB383" s="1682"/>
      <c r="BC383" s="1683">
        <v>0</v>
      </c>
      <c r="BD383" s="1683">
        <v>0</v>
      </c>
      <c r="BE383" s="1683">
        <v>600732.80000000005</v>
      </c>
      <c r="BF383" s="1683">
        <v>600732.80000000005</v>
      </c>
      <c r="BG383" s="1683">
        <v>346361</v>
      </c>
      <c r="BH383" s="1683">
        <v>346361</v>
      </c>
      <c r="BI383" s="1683">
        <v>0</v>
      </c>
      <c r="BJ383" s="1683">
        <v>254371.8</v>
      </c>
      <c r="BK383" s="1683">
        <v>0</v>
      </c>
      <c r="BL383" s="1683">
        <v>254371.8</v>
      </c>
      <c r="BM383" s="1683">
        <v>0</v>
      </c>
      <c r="BN383" s="1683">
        <v>0</v>
      </c>
      <c r="BO383" s="1682"/>
      <c r="BP383" s="1683">
        <v>600632.09</v>
      </c>
      <c r="BQ383" s="1683">
        <v>600632.09</v>
      </c>
      <c r="BR383" s="1683">
        <v>346302.93</v>
      </c>
      <c r="BS383" s="1683">
        <v>346302.93</v>
      </c>
      <c r="BT383" s="1683">
        <v>0</v>
      </c>
      <c r="BU383" s="1683">
        <v>254329.16</v>
      </c>
      <c r="BV383" s="1683">
        <v>0</v>
      </c>
      <c r="BW383" s="1683">
        <v>104846.36</v>
      </c>
      <c r="BX383" s="1683">
        <v>0</v>
      </c>
      <c r="BY383" s="1683">
        <v>0</v>
      </c>
      <c r="BZ383" s="1683">
        <v>0</v>
      </c>
      <c r="CA383" s="1683">
        <v>0</v>
      </c>
      <c r="CB383" s="1682"/>
      <c r="CC383" s="1682"/>
      <c r="CD383" s="1683">
        <v>0</v>
      </c>
      <c r="CE383" s="1683">
        <v>0</v>
      </c>
      <c r="CF383" s="1683">
        <v>0</v>
      </c>
      <c r="CG383" s="1683">
        <v>0</v>
      </c>
      <c r="CH383" s="1683">
        <v>0</v>
      </c>
      <c r="CI383" s="1683">
        <v>0</v>
      </c>
      <c r="CJ383" s="1683">
        <v>8468.86</v>
      </c>
      <c r="CK383" s="1683">
        <v>8468.86</v>
      </c>
      <c r="CL383" s="1682"/>
      <c r="CM383" s="1683">
        <v>229408.15</v>
      </c>
      <c r="CN383" s="1683">
        <v>229408.15</v>
      </c>
      <c r="CO383" s="1683">
        <v>124561.79</v>
      </c>
      <c r="CP383" s="1683">
        <v>124561.79</v>
      </c>
      <c r="CQ383" s="1683">
        <v>0</v>
      </c>
      <c r="CR383" s="1683">
        <v>104846.36</v>
      </c>
      <c r="CS383" s="1683">
        <v>0</v>
      </c>
      <c r="CT383" s="1683">
        <v>104846.36</v>
      </c>
      <c r="CU383" s="1683">
        <v>0</v>
      </c>
      <c r="CV383" s="1683">
        <v>0</v>
      </c>
      <c r="CW383" s="1682"/>
      <c r="CX383" s="1683">
        <v>0</v>
      </c>
      <c r="CY383" s="1683">
        <v>0</v>
      </c>
      <c r="CZ383" s="1683">
        <v>229408.15</v>
      </c>
      <c r="DA383" s="1683">
        <v>229408.15</v>
      </c>
      <c r="DB383" s="1682"/>
      <c r="DC383" s="1326"/>
      <c r="DD383" s="1683">
        <v>0</v>
      </c>
      <c r="DE383" s="1683">
        <v>0</v>
      </c>
      <c r="DF383" s="1683">
        <v>0</v>
      </c>
      <c r="DG383" s="1683">
        <v>0</v>
      </c>
      <c r="DH383" s="1683">
        <v>0</v>
      </c>
    </row>
    <row r="384" spans="1:112" ht="22.5">
      <c r="A384" s="1326" t="s">
        <v>2433</v>
      </c>
      <c r="B384" s="1326" t="s">
        <v>1702</v>
      </c>
      <c r="C384" s="1326" t="s">
        <v>2564</v>
      </c>
      <c r="D384" s="1326" t="s">
        <v>2565</v>
      </c>
      <c r="E384" s="1326" t="s">
        <v>2259</v>
      </c>
      <c r="F384" s="1326" t="s">
        <v>2566</v>
      </c>
      <c r="G384" s="1326" t="s">
        <v>2556</v>
      </c>
      <c r="H384" s="1326" t="s">
        <v>2541</v>
      </c>
      <c r="I384" s="1326" t="s">
        <v>723</v>
      </c>
      <c r="J384" s="1326" t="s">
        <v>217</v>
      </c>
      <c r="K384" s="1326" t="s">
        <v>2071</v>
      </c>
      <c r="L384" s="1326" t="s">
        <v>2137</v>
      </c>
      <c r="M384" s="1400"/>
      <c r="N384" s="1400"/>
      <c r="O384" s="1400"/>
      <c r="P384" s="1400"/>
      <c r="Q384" s="1400"/>
      <c r="R384" s="1400"/>
      <c r="S384" s="1400"/>
      <c r="T384" s="1400"/>
      <c r="U384" s="1400"/>
      <c r="V384" s="1400"/>
      <c r="W384" s="1400"/>
      <c r="X384" s="1400"/>
      <c r="Y384" s="1682"/>
      <c r="Z384" s="1326"/>
      <c r="AA384" s="1683">
        <v>0</v>
      </c>
      <c r="AB384" s="1683">
        <v>0</v>
      </c>
      <c r="AC384" s="1683">
        <v>0</v>
      </c>
      <c r="AD384" s="1682"/>
      <c r="AE384" s="1326" t="s">
        <v>2171</v>
      </c>
      <c r="AF384" s="1326"/>
      <c r="AG384" s="1410" t="s">
        <v>2172</v>
      </c>
      <c r="AH384" s="1683">
        <v>0</v>
      </c>
      <c r="AI384" s="1683">
        <v>0</v>
      </c>
      <c r="AJ384" s="1683">
        <v>0</v>
      </c>
      <c r="AK384" s="1683">
        <v>0</v>
      </c>
      <c r="AL384" s="1683">
        <v>0</v>
      </c>
      <c r="AM384" s="1685">
        <v>43403</v>
      </c>
      <c r="AN384" s="1683">
        <v>-600632.09</v>
      </c>
      <c r="AO384" s="1683">
        <v>-600632.09</v>
      </c>
      <c r="AP384" s="1683">
        <v>-326125.34000000003</v>
      </c>
      <c r="AQ384" s="1683">
        <v>-326125.34000000003</v>
      </c>
      <c r="AR384" s="1683">
        <v>0</v>
      </c>
      <c r="AS384" s="1683">
        <v>-274506.75</v>
      </c>
      <c r="AT384" s="1683">
        <v>0</v>
      </c>
      <c r="AU384" s="1683">
        <v>-274506.75</v>
      </c>
      <c r="AV384" s="1683">
        <v>0</v>
      </c>
      <c r="AW384" s="1683">
        <v>0</v>
      </c>
      <c r="AX384" s="1400"/>
      <c r="AY384" s="1400"/>
      <c r="AZ384" s="1400"/>
      <c r="BA384" s="1682"/>
      <c r="BB384" s="1682"/>
      <c r="BC384" s="1400"/>
      <c r="BD384" s="1400"/>
      <c r="BE384" s="1683">
        <v>-600632.09</v>
      </c>
      <c r="BF384" s="1683">
        <v>-600632.09</v>
      </c>
      <c r="BG384" s="1683">
        <v>-326125.34000000003</v>
      </c>
      <c r="BH384" s="1683">
        <v>-326125.34000000003</v>
      </c>
      <c r="BI384" s="1683">
        <v>0</v>
      </c>
      <c r="BJ384" s="1683">
        <v>-274506.75</v>
      </c>
      <c r="BK384" s="1683">
        <v>0</v>
      </c>
      <c r="BL384" s="1683">
        <v>-274506.75</v>
      </c>
      <c r="BM384" s="1683">
        <v>0</v>
      </c>
      <c r="BN384" s="1683">
        <v>0</v>
      </c>
      <c r="BO384" s="1685">
        <v>43453</v>
      </c>
      <c r="BP384" s="1683">
        <v>-600632.09</v>
      </c>
      <c r="BQ384" s="1683">
        <v>-600632.09</v>
      </c>
      <c r="BR384" s="1683">
        <v>-326125.34000000003</v>
      </c>
      <c r="BS384" s="1683">
        <v>-326125.34000000003</v>
      </c>
      <c r="BT384" s="1683">
        <v>0</v>
      </c>
      <c r="BU384" s="1683">
        <v>-274506.75</v>
      </c>
      <c r="BV384" s="1683">
        <v>0</v>
      </c>
      <c r="BW384" s="1683">
        <v>0</v>
      </c>
      <c r="BX384" s="1683">
        <v>0</v>
      </c>
      <c r="BY384" s="1683">
        <v>0</v>
      </c>
      <c r="BZ384" s="1683">
        <v>0</v>
      </c>
      <c r="CA384" s="1400"/>
      <c r="CB384" s="1682"/>
      <c r="CC384" s="1682"/>
      <c r="CD384" s="1400"/>
      <c r="CE384" s="1400"/>
      <c r="CF384" s="1683">
        <v>0</v>
      </c>
      <c r="CG384" s="1683">
        <v>0</v>
      </c>
      <c r="CH384" s="1683">
        <v>0</v>
      </c>
      <c r="CI384" s="1683">
        <v>0</v>
      </c>
      <c r="CJ384" s="1683">
        <v>0</v>
      </c>
      <c r="CK384" s="1683">
        <v>0</v>
      </c>
      <c r="CL384" s="1682"/>
      <c r="CM384" s="1683">
        <v>0</v>
      </c>
      <c r="CN384" s="1683">
        <v>0</v>
      </c>
      <c r="CO384" s="1683">
        <v>0</v>
      </c>
      <c r="CP384" s="1683">
        <v>0</v>
      </c>
      <c r="CQ384" s="1683">
        <v>0</v>
      </c>
      <c r="CR384" s="1683">
        <v>0</v>
      </c>
      <c r="CS384" s="1683">
        <v>0</v>
      </c>
      <c r="CT384" s="1683">
        <v>0</v>
      </c>
      <c r="CU384" s="1683">
        <v>0</v>
      </c>
      <c r="CV384" s="1683">
        <v>0</v>
      </c>
      <c r="CW384" s="1682"/>
      <c r="CX384" s="1400"/>
      <c r="CY384" s="1400"/>
      <c r="CZ384" s="1400"/>
      <c r="DA384" s="1400"/>
      <c r="DB384" s="1682"/>
      <c r="DC384" s="1326"/>
      <c r="DD384" s="1683">
        <v>0</v>
      </c>
      <c r="DE384" s="1400"/>
      <c r="DF384" s="1400"/>
      <c r="DG384" s="1683">
        <v>0</v>
      </c>
      <c r="DH384" s="1683">
        <v>0</v>
      </c>
    </row>
    <row r="385" spans="1:112" ht="22.5">
      <c r="A385" s="1326" t="s">
        <v>2434</v>
      </c>
      <c r="B385" s="1326" t="s">
        <v>1702</v>
      </c>
      <c r="C385" s="1326" t="s">
        <v>2564</v>
      </c>
      <c r="D385" s="1326" t="s">
        <v>2565</v>
      </c>
      <c r="E385" s="1326" t="s">
        <v>2259</v>
      </c>
      <c r="F385" s="1326" t="s">
        <v>2566</v>
      </c>
      <c r="G385" s="1326" t="s">
        <v>2556</v>
      </c>
      <c r="H385" s="1326" t="s">
        <v>2541</v>
      </c>
      <c r="I385" s="1326" t="s">
        <v>723</v>
      </c>
      <c r="J385" s="1326" t="s">
        <v>217</v>
      </c>
      <c r="K385" s="1326" t="s">
        <v>2071</v>
      </c>
      <c r="L385" s="1326" t="s">
        <v>2137</v>
      </c>
      <c r="M385" s="1400"/>
      <c r="N385" s="1400"/>
      <c r="O385" s="1400"/>
      <c r="P385" s="1400"/>
      <c r="Q385" s="1400"/>
      <c r="R385" s="1400"/>
      <c r="S385" s="1400"/>
      <c r="T385" s="1400"/>
      <c r="U385" s="1400"/>
      <c r="V385" s="1400"/>
      <c r="W385" s="1400"/>
      <c r="X385" s="1400"/>
      <c r="Y385" s="1682"/>
      <c r="Z385" s="1326"/>
      <c r="AA385" s="1683">
        <v>0</v>
      </c>
      <c r="AB385" s="1683">
        <v>0</v>
      </c>
      <c r="AC385" s="1683">
        <v>0</v>
      </c>
      <c r="AD385" s="1682"/>
      <c r="AE385" s="1326" t="s">
        <v>2171</v>
      </c>
      <c r="AF385" s="1326" t="s">
        <v>2174</v>
      </c>
      <c r="AG385" s="1410" t="s">
        <v>2172</v>
      </c>
      <c r="AH385" s="1683">
        <v>-600632.09</v>
      </c>
      <c r="AI385" s="1683">
        <v>-600632.09</v>
      </c>
      <c r="AJ385" s="1683">
        <v>0</v>
      </c>
      <c r="AK385" s="1683">
        <v>0</v>
      </c>
      <c r="AL385" s="1683">
        <v>0</v>
      </c>
      <c r="AM385" s="1682"/>
      <c r="AN385" s="1683">
        <v>0</v>
      </c>
      <c r="AO385" s="1683">
        <v>0</v>
      </c>
      <c r="AP385" s="1683">
        <v>0</v>
      </c>
      <c r="AQ385" s="1683">
        <v>0</v>
      </c>
      <c r="AR385" s="1683">
        <v>0</v>
      </c>
      <c r="AS385" s="1683">
        <v>0</v>
      </c>
      <c r="AT385" s="1683">
        <v>0</v>
      </c>
      <c r="AU385" s="1683">
        <v>0</v>
      </c>
      <c r="AV385" s="1683">
        <v>0</v>
      </c>
      <c r="AW385" s="1683">
        <v>0</v>
      </c>
      <c r="AX385" s="1400"/>
      <c r="AY385" s="1400"/>
      <c r="AZ385" s="1400"/>
      <c r="BA385" s="1682"/>
      <c r="BB385" s="1682"/>
      <c r="BC385" s="1400"/>
      <c r="BD385" s="1400"/>
      <c r="BE385" s="1683">
        <v>0</v>
      </c>
      <c r="BF385" s="1683">
        <v>0</v>
      </c>
      <c r="BG385" s="1683">
        <v>0</v>
      </c>
      <c r="BH385" s="1683">
        <v>0</v>
      </c>
      <c r="BI385" s="1683">
        <v>0</v>
      </c>
      <c r="BJ385" s="1683">
        <v>0</v>
      </c>
      <c r="BK385" s="1683">
        <v>0</v>
      </c>
      <c r="BL385" s="1683">
        <v>0</v>
      </c>
      <c r="BM385" s="1683">
        <v>0</v>
      </c>
      <c r="BN385" s="1683">
        <v>0</v>
      </c>
      <c r="BO385" s="1682"/>
      <c r="BP385" s="1683">
        <v>0</v>
      </c>
      <c r="BQ385" s="1683">
        <v>0</v>
      </c>
      <c r="BR385" s="1683">
        <v>0</v>
      </c>
      <c r="BS385" s="1683">
        <v>0</v>
      </c>
      <c r="BT385" s="1683">
        <v>0</v>
      </c>
      <c r="BU385" s="1683">
        <v>0</v>
      </c>
      <c r="BV385" s="1683">
        <v>0</v>
      </c>
      <c r="BW385" s="1683">
        <v>0</v>
      </c>
      <c r="BX385" s="1683">
        <v>0</v>
      </c>
      <c r="BY385" s="1683">
        <v>0</v>
      </c>
      <c r="BZ385" s="1683">
        <v>0</v>
      </c>
      <c r="CA385" s="1400"/>
      <c r="CB385" s="1682"/>
      <c r="CC385" s="1682"/>
      <c r="CD385" s="1400"/>
      <c r="CE385" s="1400"/>
      <c r="CF385" s="1683">
        <v>0</v>
      </c>
      <c r="CG385" s="1683">
        <v>0</v>
      </c>
      <c r="CH385" s="1683">
        <v>0</v>
      </c>
      <c r="CI385" s="1683">
        <v>0</v>
      </c>
      <c r="CJ385" s="1683">
        <v>0</v>
      </c>
      <c r="CK385" s="1683">
        <v>0</v>
      </c>
      <c r="CL385" s="1682"/>
      <c r="CM385" s="1683">
        <v>0</v>
      </c>
      <c r="CN385" s="1683">
        <v>0</v>
      </c>
      <c r="CO385" s="1683">
        <v>0</v>
      </c>
      <c r="CP385" s="1683">
        <v>0</v>
      </c>
      <c r="CQ385" s="1683">
        <v>0</v>
      </c>
      <c r="CR385" s="1683">
        <v>0</v>
      </c>
      <c r="CS385" s="1683">
        <v>0</v>
      </c>
      <c r="CT385" s="1683">
        <v>0</v>
      </c>
      <c r="CU385" s="1683">
        <v>0</v>
      </c>
      <c r="CV385" s="1683">
        <v>0</v>
      </c>
      <c r="CW385" s="1682"/>
      <c r="CX385" s="1400"/>
      <c r="CY385" s="1400"/>
      <c r="CZ385" s="1400"/>
      <c r="DA385" s="1400"/>
      <c r="DB385" s="1682"/>
      <c r="DC385" s="1326"/>
      <c r="DD385" s="1683">
        <v>0</v>
      </c>
      <c r="DE385" s="1400"/>
      <c r="DF385" s="1400"/>
      <c r="DG385" s="1683">
        <v>0</v>
      </c>
      <c r="DH385" s="1683">
        <v>0</v>
      </c>
    </row>
    <row r="386" spans="1:112" ht="22.5">
      <c r="A386" s="1326" t="s">
        <v>2436</v>
      </c>
      <c r="B386" s="1326" t="s">
        <v>1702</v>
      </c>
      <c r="C386" s="1326" t="s">
        <v>2564</v>
      </c>
      <c r="D386" s="1326" t="s">
        <v>2565</v>
      </c>
      <c r="E386" s="1326" t="s">
        <v>2259</v>
      </c>
      <c r="F386" s="1326" t="s">
        <v>2566</v>
      </c>
      <c r="G386" s="1326" t="s">
        <v>2556</v>
      </c>
      <c r="H386" s="1326" t="s">
        <v>2541</v>
      </c>
      <c r="I386" s="1326" t="s">
        <v>723</v>
      </c>
      <c r="J386" s="1326" t="s">
        <v>217</v>
      </c>
      <c r="K386" s="1326" t="s">
        <v>2071</v>
      </c>
      <c r="L386" s="1326" t="s">
        <v>2137</v>
      </c>
      <c r="M386" s="1400"/>
      <c r="N386" s="1400"/>
      <c r="O386" s="1400"/>
      <c r="P386" s="1400"/>
      <c r="Q386" s="1400"/>
      <c r="R386" s="1400"/>
      <c r="S386" s="1400"/>
      <c r="T386" s="1400"/>
      <c r="U386" s="1400"/>
      <c r="V386" s="1400"/>
      <c r="W386" s="1400"/>
      <c r="X386" s="1400"/>
      <c r="Y386" s="1685">
        <v>43139</v>
      </c>
      <c r="Z386" s="1326" t="s">
        <v>2062</v>
      </c>
      <c r="AA386" s="1683">
        <v>0</v>
      </c>
      <c r="AB386" s="1683">
        <v>0</v>
      </c>
      <c r="AC386" s="1683">
        <v>0</v>
      </c>
      <c r="AD386" s="1685">
        <v>43161</v>
      </c>
      <c r="AE386" s="1326" t="s">
        <v>2066</v>
      </c>
      <c r="AF386" s="1326" t="s">
        <v>2067</v>
      </c>
      <c r="AG386" s="1410"/>
      <c r="AH386" s="1683">
        <v>70795.850000000006</v>
      </c>
      <c r="AI386" s="1683">
        <v>70795.850000000006</v>
      </c>
      <c r="AJ386" s="1683">
        <v>38440.04</v>
      </c>
      <c r="AK386" s="1683">
        <v>38440.04</v>
      </c>
      <c r="AL386" s="1683">
        <v>0</v>
      </c>
      <c r="AM386" s="1685">
        <v>43165</v>
      </c>
      <c r="AN386" s="1683">
        <v>70795.850000000006</v>
      </c>
      <c r="AO386" s="1683">
        <v>70795.850000000006</v>
      </c>
      <c r="AP386" s="1683">
        <v>38440.04</v>
      </c>
      <c r="AQ386" s="1683">
        <v>38440.04</v>
      </c>
      <c r="AR386" s="1683">
        <v>0</v>
      </c>
      <c r="AS386" s="1683">
        <v>32355.81</v>
      </c>
      <c r="AT386" s="1683">
        <v>0</v>
      </c>
      <c r="AU386" s="1683">
        <v>32355.81</v>
      </c>
      <c r="AV386" s="1683">
        <v>0</v>
      </c>
      <c r="AW386" s="1683">
        <v>0</v>
      </c>
      <c r="AX386" s="1400"/>
      <c r="AY386" s="1400"/>
      <c r="AZ386" s="1400"/>
      <c r="BA386" s="1682"/>
      <c r="BB386" s="1682"/>
      <c r="BC386" s="1400"/>
      <c r="BD386" s="1400"/>
      <c r="BE386" s="1683">
        <v>70795.850000000006</v>
      </c>
      <c r="BF386" s="1683">
        <v>70795.850000000006</v>
      </c>
      <c r="BG386" s="1683">
        <v>38440.04</v>
      </c>
      <c r="BH386" s="1683">
        <v>38440.04</v>
      </c>
      <c r="BI386" s="1683">
        <v>0</v>
      </c>
      <c r="BJ386" s="1683">
        <v>32355.81</v>
      </c>
      <c r="BK386" s="1683">
        <v>0</v>
      </c>
      <c r="BL386" s="1683">
        <v>32355.81</v>
      </c>
      <c r="BM386" s="1683">
        <v>0</v>
      </c>
      <c r="BN386" s="1683">
        <v>0</v>
      </c>
      <c r="BO386" s="1685">
        <v>43236</v>
      </c>
      <c r="BP386" s="1683">
        <v>70795.850000000006</v>
      </c>
      <c r="BQ386" s="1683">
        <v>70795.850000000006</v>
      </c>
      <c r="BR386" s="1683">
        <v>38440.04</v>
      </c>
      <c r="BS386" s="1683">
        <v>38440.04</v>
      </c>
      <c r="BT386" s="1683">
        <v>0</v>
      </c>
      <c r="BU386" s="1683">
        <v>32355.81</v>
      </c>
      <c r="BV386" s="1683">
        <v>0</v>
      </c>
      <c r="BW386" s="1683">
        <v>32355.81</v>
      </c>
      <c r="BX386" s="1683">
        <v>0</v>
      </c>
      <c r="BY386" s="1683">
        <v>0</v>
      </c>
      <c r="BZ386" s="1683">
        <v>0</v>
      </c>
      <c r="CA386" s="1400"/>
      <c r="CB386" s="1682"/>
      <c r="CC386" s="1682"/>
      <c r="CD386" s="1400"/>
      <c r="CE386" s="1400"/>
      <c r="CF386" s="1683">
        <v>0</v>
      </c>
      <c r="CG386" s="1683">
        <v>0</v>
      </c>
      <c r="CH386" s="1683">
        <v>0</v>
      </c>
      <c r="CI386" s="1683">
        <v>0</v>
      </c>
      <c r="CJ386" s="1683">
        <v>499.11</v>
      </c>
      <c r="CK386" s="1683">
        <v>499.11</v>
      </c>
      <c r="CL386" s="1685">
        <v>43511</v>
      </c>
      <c r="CM386" s="1683">
        <v>70795.850000000006</v>
      </c>
      <c r="CN386" s="1683">
        <v>70795.850000000006</v>
      </c>
      <c r="CO386" s="1683">
        <v>38440.04</v>
      </c>
      <c r="CP386" s="1683">
        <v>38440.04</v>
      </c>
      <c r="CQ386" s="1683">
        <v>0</v>
      </c>
      <c r="CR386" s="1683">
        <v>32355.81</v>
      </c>
      <c r="CS386" s="1683">
        <v>0</v>
      </c>
      <c r="CT386" s="1683">
        <v>32355.81</v>
      </c>
      <c r="CU386" s="1683">
        <v>0</v>
      </c>
      <c r="CV386" s="1683">
        <v>0</v>
      </c>
      <c r="CW386" s="1682"/>
      <c r="CX386" s="1400"/>
      <c r="CY386" s="1400"/>
      <c r="CZ386" s="1400"/>
      <c r="DA386" s="1400"/>
      <c r="DB386" s="1682"/>
      <c r="DC386" s="1326"/>
      <c r="DD386" s="1683">
        <v>0</v>
      </c>
      <c r="DE386" s="1400"/>
      <c r="DF386" s="1400"/>
      <c r="DG386" s="1683">
        <v>0</v>
      </c>
      <c r="DH386" s="1683">
        <v>0</v>
      </c>
    </row>
    <row r="387" spans="1:112" ht="22.5">
      <c r="A387" s="1326" t="s">
        <v>2437</v>
      </c>
      <c r="B387" s="1326" t="s">
        <v>1702</v>
      </c>
      <c r="C387" s="1326" t="s">
        <v>2564</v>
      </c>
      <c r="D387" s="1326" t="s">
        <v>2565</v>
      </c>
      <c r="E387" s="1326" t="s">
        <v>2259</v>
      </c>
      <c r="F387" s="1326" t="s">
        <v>2566</v>
      </c>
      <c r="G387" s="1326" t="s">
        <v>2556</v>
      </c>
      <c r="H387" s="1326" t="s">
        <v>2541</v>
      </c>
      <c r="I387" s="1326" t="s">
        <v>723</v>
      </c>
      <c r="J387" s="1326" t="s">
        <v>217</v>
      </c>
      <c r="K387" s="1326" t="s">
        <v>2071</v>
      </c>
      <c r="L387" s="1326" t="s">
        <v>2137</v>
      </c>
      <c r="M387" s="1400"/>
      <c r="N387" s="1400"/>
      <c r="O387" s="1400"/>
      <c r="P387" s="1400"/>
      <c r="Q387" s="1400"/>
      <c r="R387" s="1400"/>
      <c r="S387" s="1400"/>
      <c r="T387" s="1400"/>
      <c r="U387" s="1400"/>
      <c r="V387" s="1400"/>
      <c r="W387" s="1400"/>
      <c r="X387" s="1400"/>
      <c r="Y387" s="1685">
        <v>43144</v>
      </c>
      <c r="Z387" s="1326" t="s">
        <v>2062</v>
      </c>
      <c r="AA387" s="1683">
        <v>0</v>
      </c>
      <c r="AB387" s="1683">
        <v>0</v>
      </c>
      <c r="AC387" s="1683">
        <v>0</v>
      </c>
      <c r="AD387" s="1685">
        <v>43166</v>
      </c>
      <c r="AE387" s="1326" t="s">
        <v>2079</v>
      </c>
      <c r="AF387" s="1326" t="s">
        <v>2064</v>
      </c>
      <c r="AG387" s="1410"/>
      <c r="AH387" s="1683">
        <v>158612.29999999999</v>
      </c>
      <c r="AI387" s="1683">
        <v>158612.29999999999</v>
      </c>
      <c r="AJ387" s="1683">
        <v>86121.75</v>
      </c>
      <c r="AK387" s="1683">
        <v>86121.75</v>
      </c>
      <c r="AL387" s="1683">
        <v>0</v>
      </c>
      <c r="AM387" s="1685">
        <v>43166</v>
      </c>
      <c r="AN387" s="1683">
        <v>158612.29999999999</v>
      </c>
      <c r="AO387" s="1683">
        <v>158612.29999999999</v>
      </c>
      <c r="AP387" s="1683">
        <v>86121.75</v>
      </c>
      <c r="AQ387" s="1683">
        <v>86121.75</v>
      </c>
      <c r="AR387" s="1683">
        <v>0</v>
      </c>
      <c r="AS387" s="1683">
        <v>72490.55</v>
      </c>
      <c r="AT387" s="1683">
        <v>0</v>
      </c>
      <c r="AU387" s="1683">
        <v>72490.55</v>
      </c>
      <c r="AV387" s="1683">
        <v>0</v>
      </c>
      <c r="AW387" s="1683">
        <v>0</v>
      </c>
      <c r="AX387" s="1400"/>
      <c r="AY387" s="1400"/>
      <c r="AZ387" s="1400"/>
      <c r="BA387" s="1682"/>
      <c r="BB387" s="1682"/>
      <c r="BC387" s="1400"/>
      <c r="BD387" s="1400"/>
      <c r="BE387" s="1683">
        <v>158612.29999999999</v>
      </c>
      <c r="BF387" s="1683">
        <v>158612.29999999999</v>
      </c>
      <c r="BG387" s="1683">
        <v>86121.75</v>
      </c>
      <c r="BH387" s="1683">
        <v>86121.75</v>
      </c>
      <c r="BI387" s="1683">
        <v>0</v>
      </c>
      <c r="BJ387" s="1683">
        <v>72490.55</v>
      </c>
      <c r="BK387" s="1683">
        <v>0</v>
      </c>
      <c r="BL387" s="1683">
        <v>72490.55</v>
      </c>
      <c r="BM387" s="1683">
        <v>0</v>
      </c>
      <c r="BN387" s="1683">
        <v>0</v>
      </c>
      <c r="BO387" s="1685">
        <v>43236</v>
      </c>
      <c r="BP387" s="1683">
        <v>158612.29999999999</v>
      </c>
      <c r="BQ387" s="1683">
        <v>158612.29999999999</v>
      </c>
      <c r="BR387" s="1683">
        <v>86121.75</v>
      </c>
      <c r="BS387" s="1683">
        <v>86121.75</v>
      </c>
      <c r="BT387" s="1683">
        <v>0</v>
      </c>
      <c r="BU387" s="1683">
        <v>72490.55</v>
      </c>
      <c r="BV387" s="1683">
        <v>0</v>
      </c>
      <c r="BW387" s="1683">
        <v>72490.55</v>
      </c>
      <c r="BX387" s="1683">
        <v>0</v>
      </c>
      <c r="BY387" s="1683">
        <v>0</v>
      </c>
      <c r="BZ387" s="1683">
        <v>0</v>
      </c>
      <c r="CA387" s="1400"/>
      <c r="CB387" s="1682"/>
      <c r="CC387" s="1682"/>
      <c r="CD387" s="1400"/>
      <c r="CE387" s="1400"/>
      <c r="CF387" s="1683">
        <v>0</v>
      </c>
      <c r="CG387" s="1683">
        <v>0</v>
      </c>
      <c r="CH387" s="1683">
        <v>0</v>
      </c>
      <c r="CI387" s="1683">
        <v>0</v>
      </c>
      <c r="CJ387" s="1683">
        <v>1118.21</v>
      </c>
      <c r="CK387" s="1683">
        <v>1118.21</v>
      </c>
      <c r="CL387" s="1685">
        <v>43511</v>
      </c>
      <c r="CM387" s="1683">
        <v>158612.29999999999</v>
      </c>
      <c r="CN387" s="1683">
        <v>158612.29999999999</v>
      </c>
      <c r="CO387" s="1683">
        <v>86121.75</v>
      </c>
      <c r="CP387" s="1683">
        <v>86121.75</v>
      </c>
      <c r="CQ387" s="1683">
        <v>0</v>
      </c>
      <c r="CR387" s="1683">
        <v>72490.55</v>
      </c>
      <c r="CS387" s="1683">
        <v>0</v>
      </c>
      <c r="CT387" s="1683">
        <v>72490.55</v>
      </c>
      <c r="CU387" s="1683">
        <v>0</v>
      </c>
      <c r="CV387" s="1683">
        <v>0</v>
      </c>
      <c r="CW387" s="1682"/>
      <c r="CX387" s="1400"/>
      <c r="CY387" s="1400"/>
      <c r="CZ387" s="1400"/>
      <c r="DA387" s="1400"/>
      <c r="DB387" s="1682"/>
      <c r="DC387" s="1326"/>
      <c r="DD387" s="1683">
        <v>0</v>
      </c>
      <c r="DE387" s="1400"/>
      <c r="DF387" s="1400"/>
      <c r="DG387" s="1683">
        <v>0</v>
      </c>
      <c r="DH387" s="1683">
        <v>0</v>
      </c>
    </row>
    <row r="388" spans="1:112" ht="22.5">
      <c r="A388" s="1326" t="s">
        <v>2438</v>
      </c>
      <c r="B388" s="1326" t="s">
        <v>1702</v>
      </c>
      <c r="C388" s="1326" t="s">
        <v>2564</v>
      </c>
      <c r="D388" s="1326" t="s">
        <v>2565</v>
      </c>
      <c r="E388" s="1326" t="s">
        <v>2259</v>
      </c>
      <c r="F388" s="1326" t="s">
        <v>2566</v>
      </c>
      <c r="G388" s="1326" t="s">
        <v>2556</v>
      </c>
      <c r="H388" s="1326" t="s">
        <v>2541</v>
      </c>
      <c r="I388" s="1326" t="s">
        <v>723</v>
      </c>
      <c r="J388" s="1326" t="s">
        <v>217</v>
      </c>
      <c r="K388" s="1326" t="s">
        <v>2071</v>
      </c>
      <c r="L388" s="1326" t="s">
        <v>2137</v>
      </c>
      <c r="M388" s="1400"/>
      <c r="N388" s="1400"/>
      <c r="O388" s="1400"/>
      <c r="P388" s="1400"/>
      <c r="Q388" s="1400"/>
      <c r="R388" s="1400"/>
      <c r="S388" s="1400"/>
      <c r="T388" s="1400"/>
      <c r="U388" s="1400"/>
      <c r="V388" s="1400"/>
      <c r="W388" s="1400"/>
      <c r="X388" s="1400"/>
      <c r="Y388" s="1685">
        <v>43173</v>
      </c>
      <c r="Z388" s="1326" t="s">
        <v>2062</v>
      </c>
      <c r="AA388" s="1683">
        <v>0</v>
      </c>
      <c r="AB388" s="1683">
        <v>0</v>
      </c>
      <c r="AC388" s="1683">
        <v>0</v>
      </c>
      <c r="AD388" s="1685">
        <v>43196</v>
      </c>
      <c r="AE388" s="1326" t="s">
        <v>2080</v>
      </c>
      <c r="AF388" s="1326" t="s">
        <v>2067</v>
      </c>
      <c r="AG388" s="1410"/>
      <c r="AH388" s="1683">
        <v>71631.69</v>
      </c>
      <c r="AI388" s="1683">
        <v>71631.69</v>
      </c>
      <c r="AJ388" s="1683">
        <v>38893.879999999997</v>
      </c>
      <c r="AK388" s="1683">
        <v>38893.879999999997</v>
      </c>
      <c r="AL388" s="1683">
        <v>0</v>
      </c>
      <c r="AM388" s="1685">
        <v>43200</v>
      </c>
      <c r="AN388" s="1683">
        <v>71631.69</v>
      </c>
      <c r="AO388" s="1683">
        <v>71631.69</v>
      </c>
      <c r="AP388" s="1683">
        <v>38893.879999999997</v>
      </c>
      <c r="AQ388" s="1683">
        <v>38893.879999999997</v>
      </c>
      <c r="AR388" s="1683">
        <v>0</v>
      </c>
      <c r="AS388" s="1683">
        <v>32737.81</v>
      </c>
      <c r="AT388" s="1683">
        <v>0</v>
      </c>
      <c r="AU388" s="1683">
        <v>32737.81</v>
      </c>
      <c r="AV388" s="1683">
        <v>0</v>
      </c>
      <c r="AW388" s="1683">
        <v>0</v>
      </c>
      <c r="AX388" s="1400"/>
      <c r="AY388" s="1400"/>
      <c r="AZ388" s="1400"/>
      <c r="BA388" s="1682"/>
      <c r="BB388" s="1682"/>
      <c r="BC388" s="1400"/>
      <c r="BD388" s="1400"/>
      <c r="BE388" s="1683">
        <v>71631.69</v>
      </c>
      <c r="BF388" s="1683">
        <v>71631.69</v>
      </c>
      <c r="BG388" s="1683">
        <v>38893.879999999997</v>
      </c>
      <c r="BH388" s="1683">
        <v>38893.879999999997</v>
      </c>
      <c r="BI388" s="1683">
        <v>0</v>
      </c>
      <c r="BJ388" s="1683">
        <v>32737.81</v>
      </c>
      <c r="BK388" s="1683">
        <v>0</v>
      </c>
      <c r="BL388" s="1683">
        <v>32737.81</v>
      </c>
      <c r="BM388" s="1683">
        <v>0</v>
      </c>
      <c r="BN388" s="1683">
        <v>0</v>
      </c>
      <c r="BO388" s="1685">
        <v>43364</v>
      </c>
      <c r="BP388" s="1683">
        <v>71631.69</v>
      </c>
      <c r="BQ388" s="1683">
        <v>71631.69</v>
      </c>
      <c r="BR388" s="1683">
        <v>38893.879999999997</v>
      </c>
      <c r="BS388" s="1683">
        <v>38893.879999999997</v>
      </c>
      <c r="BT388" s="1683">
        <v>0</v>
      </c>
      <c r="BU388" s="1683">
        <v>32737.81</v>
      </c>
      <c r="BV388" s="1683">
        <v>0</v>
      </c>
      <c r="BW388" s="1683">
        <v>0</v>
      </c>
      <c r="BX388" s="1683">
        <v>0</v>
      </c>
      <c r="BY388" s="1683">
        <v>0</v>
      </c>
      <c r="BZ388" s="1683">
        <v>0</v>
      </c>
      <c r="CA388" s="1400"/>
      <c r="CB388" s="1682"/>
      <c r="CC388" s="1682"/>
      <c r="CD388" s="1400"/>
      <c r="CE388" s="1400"/>
      <c r="CF388" s="1683">
        <v>0</v>
      </c>
      <c r="CG388" s="1683">
        <v>0</v>
      </c>
      <c r="CH388" s="1683">
        <v>0</v>
      </c>
      <c r="CI388" s="1683">
        <v>0</v>
      </c>
      <c r="CJ388" s="1683">
        <v>505</v>
      </c>
      <c r="CK388" s="1683">
        <v>505</v>
      </c>
      <c r="CL388" s="1682"/>
      <c r="CM388" s="1683">
        <v>0</v>
      </c>
      <c r="CN388" s="1683">
        <v>0</v>
      </c>
      <c r="CO388" s="1683">
        <v>0</v>
      </c>
      <c r="CP388" s="1683">
        <v>0</v>
      </c>
      <c r="CQ388" s="1683">
        <v>0</v>
      </c>
      <c r="CR388" s="1683">
        <v>0</v>
      </c>
      <c r="CS388" s="1683">
        <v>0</v>
      </c>
      <c r="CT388" s="1683">
        <v>0</v>
      </c>
      <c r="CU388" s="1683">
        <v>0</v>
      </c>
      <c r="CV388" s="1683">
        <v>0</v>
      </c>
      <c r="CW388" s="1682"/>
      <c r="CX388" s="1400"/>
      <c r="CY388" s="1400"/>
      <c r="CZ388" s="1400"/>
      <c r="DA388" s="1400"/>
      <c r="DB388" s="1682"/>
      <c r="DC388" s="1326"/>
      <c r="DD388" s="1683">
        <v>0</v>
      </c>
      <c r="DE388" s="1400"/>
      <c r="DF388" s="1400"/>
      <c r="DG388" s="1683">
        <v>0</v>
      </c>
      <c r="DH388" s="1683">
        <v>0</v>
      </c>
    </row>
    <row r="389" spans="1:112" ht="22.5">
      <c r="A389" s="1326" t="s">
        <v>2439</v>
      </c>
      <c r="B389" s="1326" t="s">
        <v>1702</v>
      </c>
      <c r="C389" s="1326" t="s">
        <v>2564</v>
      </c>
      <c r="D389" s="1326" t="s">
        <v>2565</v>
      </c>
      <c r="E389" s="1326" t="s">
        <v>2259</v>
      </c>
      <c r="F389" s="1326" t="s">
        <v>2566</v>
      </c>
      <c r="G389" s="1326" t="s">
        <v>2556</v>
      </c>
      <c r="H389" s="1326" t="s">
        <v>2541</v>
      </c>
      <c r="I389" s="1326" t="s">
        <v>723</v>
      </c>
      <c r="J389" s="1326" t="s">
        <v>217</v>
      </c>
      <c r="K389" s="1326" t="s">
        <v>2071</v>
      </c>
      <c r="L389" s="1326" t="s">
        <v>2137</v>
      </c>
      <c r="M389" s="1400"/>
      <c r="N389" s="1400"/>
      <c r="O389" s="1400"/>
      <c r="P389" s="1400"/>
      <c r="Q389" s="1400"/>
      <c r="R389" s="1400"/>
      <c r="S389" s="1400"/>
      <c r="T389" s="1400"/>
      <c r="U389" s="1400"/>
      <c r="V389" s="1400"/>
      <c r="W389" s="1400"/>
      <c r="X389" s="1400"/>
      <c r="Y389" s="1685">
        <v>43200</v>
      </c>
      <c r="Z389" s="1326" t="s">
        <v>2062</v>
      </c>
      <c r="AA389" s="1683">
        <v>0</v>
      </c>
      <c r="AB389" s="1683">
        <v>0</v>
      </c>
      <c r="AC389" s="1683">
        <v>0</v>
      </c>
      <c r="AD389" s="1685">
        <v>43215</v>
      </c>
      <c r="AE389" s="1326" t="s">
        <v>2081</v>
      </c>
      <c r="AF389" s="1326" t="s">
        <v>2067</v>
      </c>
      <c r="AG389" s="1410"/>
      <c r="AH389" s="1683">
        <v>115071.31</v>
      </c>
      <c r="AI389" s="1683">
        <v>115071.31</v>
      </c>
      <c r="AJ389" s="1683">
        <v>62480.29</v>
      </c>
      <c r="AK389" s="1683">
        <v>62480.29</v>
      </c>
      <c r="AL389" s="1683">
        <v>0</v>
      </c>
      <c r="AM389" s="1685">
        <v>43217</v>
      </c>
      <c r="AN389" s="1683">
        <v>115071.31</v>
      </c>
      <c r="AO389" s="1683">
        <v>115071.31</v>
      </c>
      <c r="AP389" s="1683">
        <v>62480.29</v>
      </c>
      <c r="AQ389" s="1683">
        <v>62480.29</v>
      </c>
      <c r="AR389" s="1683">
        <v>0</v>
      </c>
      <c r="AS389" s="1683">
        <v>52591.02</v>
      </c>
      <c r="AT389" s="1683">
        <v>0</v>
      </c>
      <c r="AU389" s="1683">
        <v>52591.02</v>
      </c>
      <c r="AV389" s="1683">
        <v>0</v>
      </c>
      <c r="AW389" s="1683">
        <v>0</v>
      </c>
      <c r="AX389" s="1400"/>
      <c r="AY389" s="1400"/>
      <c r="AZ389" s="1400"/>
      <c r="BA389" s="1682"/>
      <c r="BB389" s="1682"/>
      <c r="BC389" s="1400"/>
      <c r="BD389" s="1400"/>
      <c r="BE389" s="1683">
        <v>115071.31</v>
      </c>
      <c r="BF389" s="1683">
        <v>115071.31</v>
      </c>
      <c r="BG389" s="1683">
        <v>62480.29</v>
      </c>
      <c r="BH389" s="1683">
        <v>62480.29</v>
      </c>
      <c r="BI389" s="1683">
        <v>0</v>
      </c>
      <c r="BJ389" s="1683">
        <v>52591.02</v>
      </c>
      <c r="BK389" s="1683">
        <v>0</v>
      </c>
      <c r="BL389" s="1683">
        <v>52591.02</v>
      </c>
      <c r="BM389" s="1683">
        <v>0</v>
      </c>
      <c r="BN389" s="1683">
        <v>0</v>
      </c>
      <c r="BO389" s="1685">
        <v>43364</v>
      </c>
      <c r="BP389" s="1683">
        <v>115071.31</v>
      </c>
      <c r="BQ389" s="1683">
        <v>115071.31</v>
      </c>
      <c r="BR389" s="1683">
        <v>62480.29</v>
      </c>
      <c r="BS389" s="1683">
        <v>62480.29</v>
      </c>
      <c r="BT389" s="1683">
        <v>0</v>
      </c>
      <c r="BU389" s="1683">
        <v>52591.02</v>
      </c>
      <c r="BV389" s="1683">
        <v>0</v>
      </c>
      <c r="BW389" s="1683">
        <v>0</v>
      </c>
      <c r="BX389" s="1683">
        <v>0</v>
      </c>
      <c r="BY389" s="1683">
        <v>0</v>
      </c>
      <c r="BZ389" s="1683">
        <v>0</v>
      </c>
      <c r="CA389" s="1400"/>
      <c r="CB389" s="1682"/>
      <c r="CC389" s="1682"/>
      <c r="CD389" s="1400"/>
      <c r="CE389" s="1400"/>
      <c r="CF389" s="1683">
        <v>0</v>
      </c>
      <c r="CG389" s="1683">
        <v>0</v>
      </c>
      <c r="CH389" s="1683">
        <v>0</v>
      </c>
      <c r="CI389" s="1683">
        <v>0</v>
      </c>
      <c r="CJ389" s="1683">
        <v>811.25</v>
      </c>
      <c r="CK389" s="1683">
        <v>811.25</v>
      </c>
      <c r="CL389" s="1682"/>
      <c r="CM389" s="1683">
        <v>0</v>
      </c>
      <c r="CN389" s="1683">
        <v>0</v>
      </c>
      <c r="CO389" s="1683">
        <v>0</v>
      </c>
      <c r="CP389" s="1683">
        <v>0</v>
      </c>
      <c r="CQ389" s="1683">
        <v>0</v>
      </c>
      <c r="CR389" s="1683">
        <v>0</v>
      </c>
      <c r="CS389" s="1683">
        <v>0</v>
      </c>
      <c r="CT389" s="1683">
        <v>0</v>
      </c>
      <c r="CU389" s="1683">
        <v>0</v>
      </c>
      <c r="CV389" s="1683">
        <v>0</v>
      </c>
      <c r="CW389" s="1682"/>
      <c r="CX389" s="1400"/>
      <c r="CY389" s="1400"/>
      <c r="CZ389" s="1400"/>
      <c r="DA389" s="1400"/>
      <c r="DB389" s="1682"/>
      <c r="DC389" s="1326"/>
      <c r="DD389" s="1683">
        <v>0</v>
      </c>
      <c r="DE389" s="1400"/>
      <c r="DF389" s="1400"/>
      <c r="DG389" s="1683">
        <v>0</v>
      </c>
      <c r="DH389" s="1683">
        <v>0</v>
      </c>
    </row>
    <row r="390" spans="1:112" ht="22.5">
      <c r="A390" s="1326" t="s">
        <v>2440</v>
      </c>
      <c r="B390" s="1326" t="s">
        <v>1702</v>
      </c>
      <c r="C390" s="1326" t="s">
        <v>2564</v>
      </c>
      <c r="D390" s="1326" t="s">
        <v>2565</v>
      </c>
      <c r="E390" s="1326" t="s">
        <v>2259</v>
      </c>
      <c r="F390" s="1326" t="s">
        <v>2566</v>
      </c>
      <c r="G390" s="1326" t="s">
        <v>2556</v>
      </c>
      <c r="H390" s="1326" t="s">
        <v>2541</v>
      </c>
      <c r="I390" s="1326" t="s">
        <v>723</v>
      </c>
      <c r="J390" s="1326" t="s">
        <v>217</v>
      </c>
      <c r="K390" s="1326" t="s">
        <v>2071</v>
      </c>
      <c r="L390" s="1326" t="s">
        <v>2137</v>
      </c>
      <c r="M390" s="1400"/>
      <c r="N390" s="1400"/>
      <c r="O390" s="1400"/>
      <c r="P390" s="1400"/>
      <c r="Q390" s="1400"/>
      <c r="R390" s="1400"/>
      <c r="S390" s="1400"/>
      <c r="T390" s="1400"/>
      <c r="U390" s="1400"/>
      <c r="V390" s="1400"/>
      <c r="W390" s="1400"/>
      <c r="X390" s="1400"/>
      <c r="Y390" s="1685">
        <v>43200</v>
      </c>
      <c r="Z390" s="1326" t="s">
        <v>2062</v>
      </c>
      <c r="AA390" s="1683">
        <v>0</v>
      </c>
      <c r="AB390" s="1683">
        <v>0</v>
      </c>
      <c r="AC390" s="1683">
        <v>0</v>
      </c>
      <c r="AD390" s="1685">
        <v>43215</v>
      </c>
      <c r="AE390" s="1326" t="s">
        <v>2081</v>
      </c>
      <c r="AF390" s="1326" t="s">
        <v>2064</v>
      </c>
      <c r="AG390" s="1410"/>
      <c r="AH390" s="1683">
        <v>694.6</v>
      </c>
      <c r="AI390" s="1683">
        <v>694.6</v>
      </c>
      <c r="AJ390" s="1683">
        <v>377.15</v>
      </c>
      <c r="AK390" s="1683">
        <v>377.15</v>
      </c>
      <c r="AL390" s="1683">
        <v>0</v>
      </c>
      <c r="AM390" s="1685">
        <v>43215</v>
      </c>
      <c r="AN390" s="1683">
        <v>694.6</v>
      </c>
      <c r="AO390" s="1683">
        <v>694.6</v>
      </c>
      <c r="AP390" s="1683">
        <v>377.15</v>
      </c>
      <c r="AQ390" s="1683">
        <v>377.15</v>
      </c>
      <c r="AR390" s="1683">
        <v>0</v>
      </c>
      <c r="AS390" s="1683">
        <v>317.45</v>
      </c>
      <c r="AT390" s="1683">
        <v>0</v>
      </c>
      <c r="AU390" s="1683">
        <v>317.45</v>
      </c>
      <c r="AV390" s="1683">
        <v>0</v>
      </c>
      <c r="AW390" s="1683">
        <v>0</v>
      </c>
      <c r="AX390" s="1400"/>
      <c r="AY390" s="1400"/>
      <c r="AZ390" s="1400"/>
      <c r="BA390" s="1682"/>
      <c r="BB390" s="1682"/>
      <c r="BC390" s="1400"/>
      <c r="BD390" s="1400"/>
      <c r="BE390" s="1683">
        <v>694.6</v>
      </c>
      <c r="BF390" s="1683">
        <v>694.6</v>
      </c>
      <c r="BG390" s="1683">
        <v>377.15</v>
      </c>
      <c r="BH390" s="1683">
        <v>377.15</v>
      </c>
      <c r="BI390" s="1683">
        <v>0</v>
      </c>
      <c r="BJ390" s="1683">
        <v>317.45</v>
      </c>
      <c r="BK390" s="1683">
        <v>0</v>
      </c>
      <c r="BL390" s="1683">
        <v>317.45</v>
      </c>
      <c r="BM390" s="1683">
        <v>0</v>
      </c>
      <c r="BN390" s="1683">
        <v>0</v>
      </c>
      <c r="BO390" s="1685">
        <v>43364</v>
      </c>
      <c r="BP390" s="1683">
        <v>694.6</v>
      </c>
      <c r="BQ390" s="1683">
        <v>694.6</v>
      </c>
      <c r="BR390" s="1683">
        <v>377.15</v>
      </c>
      <c r="BS390" s="1683">
        <v>377.15</v>
      </c>
      <c r="BT390" s="1683">
        <v>0</v>
      </c>
      <c r="BU390" s="1683">
        <v>317.45</v>
      </c>
      <c r="BV390" s="1683">
        <v>0</v>
      </c>
      <c r="BW390" s="1683">
        <v>0</v>
      </c>
      <c r="BX390" s="1683">
        <v>0</v>
      </c>
      <c r="BY390" s="1683">
        <v>0</v>
      </c>
      <c r="BZ390" s="1683">
        <v>0</v>
      </c>
      <c r="CA390" s="1400"/>
      <c r="CB390" s="1682"/>
      <c r="CC390" s="1682"/>
      <c r="CD390" s="1400"/>
      <c r="CE390" s="1400"/>
      <c r="CF390" s="1683">
        <v>0</v>
      </c>
      <c r="CG390" s="1683">
        <v>0</v>
      </c>
      <c r="CH390" s="1683">
        <v>0</v>
      </c>
      <c r="CI390" s="1683">
        <v>0</v>
      </c>
      <c r="CJ390" s="1683">
        <v>4.9000000000000004</v>
      </c>
      <c r="CK390" s="1683">
        <v>4.9000000000000004</v>
      </c>
      <c r="CL390" s="1682"/>
      <c r="CM390" s="1683">
        <v>0</v>
      </c>
      <c r="CN390" s="1683">
        <v>0</v>
      </c>
      <c r="CO390" s="1683">
        <v>0</v>
      </c>
      <c r="CP390" s="1683">
        <v>0</v>
      </c>
      <c r="CQ390" s="1683">
        <v>0</v>
      </c>
      <c r="CR390" s="1683">
        <v>0</v>
      </c>
      <c r="CS390" s="1683">
        <v>0</v>
      </c>
      <c r="CT390" s="1683">
        <v>0</v>
      </c>
      <c r="CU390" s="1683">
        <v>0</v>
      </c>
      <c r="CV390" s="1683">
        <v>0</v>
      </c>
      <c r="CW390" s="1682"/>
      <c r="CX390" s="1400"/>
      <c r="CY390" s="1400"/>
      <c r="CZ390" s="1400"/>
      <c r="DA390" s="1400"/>
      <c r="DB390" s="1682"/>
      <c r="DC390" s="1326"/>
      <c r="DD390" s="1683">
        <v>0</v>
      </c>
      <c r="DE390" s="1400"/>
      <c r="DF390" s="1400"/>
      <c r="DG390" s="1683">
        <v>0</v>
      </c>
      <c r="DH390" s="1683">
        <v>0</v>
      </c>
    </row>
    <row r="391" spans="1:112" ht="22.5">
      <c r="A391" s="1326" t="s">
        <v>2441</v>
      </c>
      <c r="B391" s="1326" t="s">
        <v>1702</v>
      </c>
      <c r="C391" s="1326" t="s">
        <v>2564</v>
      </c>
      <c r="D391" s="1326" t="s">
        <v>2565</v>
      </c>
      <c r="E391" s="1326" t="s">
        <v>2259</v>
      </c>
      <c r="F391" s="1326" t="s">
        <v>2566</v>
      </c>
      <c r="G391" s="1326" t="s">
        <v>2556</v>
      </c>
      <c r="H391" s="1326" t="s">
        <v>2541</v>
      </c>
      <c r="I391" s="1326" t="s">
        <v>723</v>
      </c>
      <c r="J391" s="1326" t="s">
        <v>217</v>
      </c>
      <c r="K391" s="1326" t="s">
        <v>2071</v>
      </c>
      <c r="L391" s="1326" t="s">
        <v>2137</v>
      </c>
      <c r="M391" s="1400"/>
      <c r="N391" s="1400"/>
      <c r="O391" s="1400"/>
      <c r="P391" s="1400"/>
      <c r="Q391" s="1400"/>
      <c r="R391" s="1400"/>
      <c r="S391" s="1400"/>
      <c r="T391" s="1400"/>
      <c r="U391" s="1400"/>
      <c r="V391" s="1400"/>
      <c r="W391" s="1400"/>
      <c r="X391" s="1400"/>
      <c r="Y391" s="1685">
        <v>43229</v>
      </c>
      <c r="Z391" s="1326" t="s">
        <v>2062</v>
      </c>
      <c r="AA391" s="1683">
        <v>0</v>
      </c>
      <c r="AB391" s="1683">
        <v>0</v>
      </c>
      <c r="AC391" s="1683">
        <v>0</v>
      </c>
      <c r="AD391" s="1685">
        <v>43244</v>
      </c>
      <c r="AE391" s="1326" t="s">
        <v>2088</v>
      </c>
      <c r="AF391" s="1326" t="s">
        <v>2067</v>
      </c>
      <c r="AG391" s="1410"/>
      <c r="AH391" s="1683">
        <v>80445.289999999994</v>
      </c>
      <c r="AI391" s="1683">
        <v>80445.289999999994</v>
      </c>
      <c r="AJ391" s="1683">
        <v>43679.4</v>
      </c>
      <c r="AK391" s="1683">
        <v>43679.4</v>
      </c>
      <c r="AL391" s="1683">
        <v>0</v>
      </c>
      <c r="AM391" s="1685">
        <v>43245</v>
      </c>
      <c r="AN391" s="1683">
        <v>80445.289999999994</v>
      </c>
      <c r="AO391" s="1683">
        <v>80445.289999999994</v>
      </c>
      <c r="AP391" s="1683">
        <v>43679.4</v>
      </c>
      <c r="AQ391" s="1683">
        <v>43679.4</v>
      </c>
      <c r="AR391" s="1683">
        <v>0</v>
      </c>
      <c r="AS391" s="1683">
        <v>36765.89</v>
      </c>
      <c r="AT391" s="1683">
        <v>0</v>
      </c>
      <c r="AU391" s="1683">
        <v>36765.89</v>
      </c>
      <c r="AV391" s="1683">
        <v>0</v>
      </c>
      <c r="AW391" s="1683">
        <v>0</v>
      </c>
      <c r="AX391" s="1400"/>
      <c r="AY391" s="1400"/>
      <c r="AZ391" s="1400"/>
      <c r="BA391" s="1682"/>
      <c r="BB391" s="1682"/>
      <c r="BC391" s="1400"/>
      <c r="BD391" s="1400"/>
      <c r="BE391" s="1683">
        <v>80445.289999999994</v>
      </c>
      <c r="BF391" s="1683">
        <v>80445.289999999994</v>
      </c>
      <c r="BG391" s="1683">
        <v>43679.4</v>
      </c>
      <c r="BH391" s="1683">
        <v>43679.4</v>
      </c>
      <c r="BI391" s="1683">
        <v>0</v>
      </c>
      <c r="BJ391" s="1683">
        <v>36765.89</v>
      </c>
      <c r="BK391" s="1683">
        <v>0</v>
      </c>
      <c r="BL391" s="1683">
        <v>36765.89</v>
      </c>
      <c r="BM391" s="1683">
        <v>0</v>
      </c>
      <c r="BN391" s="1683">
        <v>0</v>
      </c>
      <c r="BO391" s="1685">
        <v>43364</v>
      </c>
      <c r="BP391" s="1683">
        <v>80445.289999999994</v>
      </c>
      <c r="BQ391" s="1683">
        <v>80445.289999999994</v>
      </c>
      <c r="BR391" s="1683">
        <v>43679.4</v>
      </c>
      <c r="BS391" s="1683">
        <v>43679.4</v>
      </c>
      <c r="BT391" s="1683">
        <v>0</v>
      </c>
      <c r="BU391" s="1683">
        <v>36765.89</v>
      </c>
      <c r="BV391" s="1683">
        <v>0</v>
      </c>
      <c r="BW391" s="1683">
        <v>0</v>
      </c>
      <c r="BX391" s="1683">
        <v>0</v>
      </c>
      <c r="BY391" s="1683">
        <v>0</v>
      </c>
      <c r="BZ391" s="1683">
        <v>0</v>
      </c>
      <c r="CA391" s="1400"/>
      <c r="CB391" s="1682"/>
      <c r="CC391" s="1682"/>
      <c r="CD391" s="1400"/>
      <c r="CE391" s="1400"/>
      <c r="CF391" s="1683">
        <v>0</v>
      </c>
      <c r="CG391" s="1683">
        <v>0</v>
      </c>
      <c r="CH391" s="1683">
        <v>0</v>
      </c>
      <c r="CI391" s="1683">
        <v>0</v>
      </c>
      <c r="CJ391" s="1683">
        <v>567.13</v>
      </c>
      <c r="CK391" s="1683">
        <v>567.13</v>
      </c>
      <c r="CL391" s="1682"/>
      <c r="CM391" s="1683">
        <v>0</v>
      </c>
      <c r="CN391" s="1683">
        <v>0</v>
      </c>
      <c r="CO391" s="1683">
        <v>0</v>
      </c>
      <c r="CP391" s="1683">
        <v>0</v>
      </c>
      <c r="CQ391" s="1683">
        <v>0</v>
      </c>
      <c r="CR391" s="1683">
        <v>0</v>
      </c>
      <c r="CS391" s="1683">
        <v>0</v>
      </c>
      <c r="CT391" s="1683">
        <v>0</v>
      </c>
      <c r="CU391" s="1683">
        <v>0</v>
      </c>
      <c r="CV391" s="1683">
        <v>0</v>
      </c>
      <c r="CW391" s="1682"/>
      <c r="CX391" s="1400"/>
      <c r="CY391" s="1400"/>
      <c r="CZ391" s="1400"/>
      <c r="DA391" s="1400"/>
      <c r="DB391" s="1682"/>
      <c r="DC391" s="1326"/>
      <c r="DD391" s="1683">
        <v>0</v>
      </c>
      <c r="DE391" s="1400"/>
      <c r="DF391" s="1400"/>
      <c r="DG391" s="1683">
        <v>0</v>
      </c>
      <c r="DH391" s="1683">
        <v>0</v>
      </c>
    </row>
    <row r="392" spans="1:112" ht="22.5">
      <c r="A392" s="1326" t="s">
        <v>2442</v>
      </c>
      <c r="B392" s="1326" t="s">
        <v>1702</v>
      </c>
      <c r="C392" s="1326" t="s">
        <v>2564</v>
      </c>
      <c r="D392" s="1326" t="s">
        <v>2565</v>
      </c>
      <c r="E392" s="1326" t="s">
        <v>2259</v>
      </c>
      <c r="F392" s="1326" t="s">
        <v>2566</v>
      </c>
      <c r="G392" s="1326" t="s">
        <v>2556</v>
      </c>
      <c r="H392" s="1326" t="s">
        <v>2541</v>
      </c>
      <c r="I392" s="1326" t="s">
        <v>723</v>
      </c>
      <c r="J392" s="1326" t="s">
        <v>217</v>
      </c>
      <c r="K392" s="1326" t="s">
        <v>2071</v>
      </c>
      <c r="L392" s="1326" t="s">
        <v>2137</v>
      </c>
      <c r="M392" s="1400"/>
      <c r="N392" s="1400"/>
      <c r="O392" s="1400"/>
      <c r="P392" s="1400"/>
      <c r="Q392" s="1400"/>
      <c r="R392" s="1400"/>
      <c r="S392" s="1400"/>
      <c r="T392" s="1400"/>
      <c r="U392" s="1400"/>
      <c r="V392" s="1400"/>
      <c r="W392" s="1400"/>
      <c r="X392" s="1400"/>
      <c r="Y392" s="1685">
        <v>43259</v>
      </c>
      <c r="Z392" s="1326" t="s">
        <v>2062</v>
      </c>
      <c r="AA392" s="1683">
        <v>0</v>
      </c>
      <c r="AB392" s="1683">
        <v>0</v>
      </c>
      <c r="AC392" s="1683">
        <v>0</v>
      </c>
      <c r="AD392" s="1685">
        <v>43294</v>
      </c>
      <c r="AE392" s="1326" t="s">
        <v>2082</v>
      </c>
      <c r="AF392" s="1326" t="s">
        <v>2067</v>
      </c>
      <c r="AG392" s="1410"/>
      <c r="AH392" s="1683">
        <v>58852.44</v>
      </c>
      <c r="AI392" s="1683">
        <v>58852.44</v>
      </c>
      <c r="AJ392" s="1683">
        <v>31955.119999999999</v>
      </c>
      <c r="AK392" s="1683">
        <v>31955.119999999999</v>
      </c>
      <c r="AL392" s="1683">
        <v>0</v>
      </c>
      <c r="AM392" s="1685">
        <v>43297</v>
      </c>
      <c r="AN392" s="1683">
        <v>58852.44</v>
      </c>
      <c r="AO392" s="1683">
        <v>58852.44</v>
      </c>
      <c r="AP392" s="1683">
        <v>31955.119999999999</v>
      </c>
      <c r="AQ392" s="1683">
        <v>31955.119999999999</v>
      </c>
      <c r="AR392" s="1683">
        <v>0</v>
      </c>
      <c r="AS392" s="1683">
        <v>26897.32</v>
      </c>
      <c r="AT392" s="1683">
        <v>0</v>
      </c>
      <c r="AU392" s="1683">
        <v>26897.32</v>
      </c>
      <c r="AV392" s="1683">
        <v>0</v>
      </c>
      <c r="AW392" s="1683">
        <v>0</v>
      </c>
      <c r="AX392" s="1400"/>
      <c r="AY392" s="1400"/>
      <c r="AZ392" s="1400"/>
      <c r="BA392" s="1682"/>
      <c r="BB392" s="1682"/>
      <c r="BC392" s="1400"/>
      <c r="BD392" s="1400"/>
      <c r="BE392" s="1683">
        <v>58852.44</v>
      </c>
      <c r="BF392" s="1683">
        <v>58852.44</v>
      </c>
      <c r="BG392" s="1683">
        <v>31955.119999999999</v>
      </c>
      <c r="BH392" s="1683">
        <v>31955.119999999999</v>
      </c>
      <c r="BI392" s="1683">
        <v>0</v>
      </c>
      <c r="BJ392" s="1683">
        <v>26897.32</v>
      </c>
      <c r="BK392" s="1683">
        <v>0</v>
      </c>
      <c r="BL392" s="1683">
        <v>26897.32</v>
      </c>
      <c r="BM392" s="1683">
        <v>0</v>
      </c>
      <c r="BN392" s="1683">
        <v>0</v>
      </c>
      <c r="BO392" s="1685">
        <v>43364</v>
      </c>
      <c r="BP392" s="1683">
        <v>58852.44</v>
      </c>
      <c r="BQ392" s="1683">
        <v>58852.44</v>
      </c>
      <c r="BR392" s="1683">
        <v>31955.119999999999</v>
      </c>
      <c r="BS392" s="1683">
        <v>31955.119999999999</v>
      </c>
      <c r="BT392" s="1683">
        <v>0</v>
      </c>
      <c r="BU392" s="1683">
        <v>26897.32</v>
      </c>
      <c r="BV392" s="1683">
        <v>0</v>
      </c>
      <c r="BW392" s="1683">
        <v>0</v>
      </c>
      <c r="BX392" s="1683">
        <v>0</v>
      </c>
      <c r="BY392" s="1683">
        <v>0</v>
      </c>
      <c r="BZ392" s="1683">
        <v>0</v>
      </c>
      <c r="CA392" s="1400"/>
      <c r="CB392" s="1682"/>
      <c r="CC392" s="1682"/>
      <c r="CD392" s="1400"/>
      <c r="CE392" s="1400"/>
      <c r="CF392" s="1683">
        <v>0</v>
      </c>
      <c r="CG392" s="1683">
        <v>0</v>
      </c>
      <c r="CH392" s="1683">
        <v>0</v>
      </c>
      <c r="CI392" s="1683">
        <v>0</v>
      </c>
      <c r="CJ392" s="1683">
        <v>414.91</v>
      </c>
      <c r="CK392" s="1683">
        <v>414.91</v>
      </c>
      <c r="CL392" s="1682"/>
      <c r="CM392" s="1683">
        <v>0</v>
      </c>
      <c r="CN392" s="1683">
        <v>0</v>
      </c>
      <c r="CO392" s="1683">
        <v>0</v>
      </c>
      <c r="CP392" s="1683">
        <v>0</v>
      </c>
      <c r="CQ392" s="1683">
        <v>0</v>
      </c>
      <c r="CR392" s="1683">
        <v>0</v>
      </c>
      <c r="CS392" s="1683">
        <v>0</v>
      </c>
      <c r="CT392" s="1683">
        <v>0</v>
      </c>
      <c r="CU392" s="1683">
        <v>0</v>
      </c>
      <c r="CV392" s="1683">
        <v>0</v>
      </c>
      <c r="CW392" s="1682"/>
      <c r="CX392" s="1400"/>
      <c r="CY392" s="1400"/>
      <c r="CZ392" s="1400"/>
      <c r="DA392" s="1400"/>
      <c r="DB392" s="1682"/>
      <c r="DC392" s="1326"/>
      <c r="DD392" s="1683">
        <v>0</v>
      </c>
      <c r="DE392" s="1400"/>
      <c r="DF392" s="1400"/>
      <c r="DG392" s="1683">
        <v>0</v>
      </c>
      <c r="DH392" s="1683">
        <v>0</v>
      </c>
    </row>
    <row r="393" spans="1:112" ht="22.5">
      <c r="A393" s="1326" t="s">
        <v>2443</v>
      </c>
      <c r="B393" s="1326" t="s">
        <v>1702</v>
      </c>
      <c r="C393" s="1326" t="s">
        <v>2564</v>
      </c>
      <c r="D393" s="1326" t="s">
        <v>2565</v>
      </c>
      <c r="E393" s="1326" t="s">
        <v>2259</v>
      </c>
      <c r="F393" s="1326" t="s">
        <v>2566</v>
      </c>
      <c r="G393" s="1326" t="s">
        <v>2556</v>
      </c>
      <c r="H393" s="1326" t="s">
        <v>2541</v>
      </c>
      <c r="I393" s="1326" t="s">
        <v>723</v>
      </c>
      <c r="J393" s="1326" t="s">
        <v>217</v>
      </c>
      <c r="K393" s="1326" t="s">
        <v>2071</v>
      </c>
      <c r="L393" s="1326" t="s">
        <v>2137</v>
      </c>
      <c r="M393" s="1400"/>
      <c r="N393" s="1400"/>
      <c r="O393" s="1400"/>
      <c r="P393" s="1400"/>
      <c r="Q393" s="1400"/>
      <c r="R393" s="1400"/>
      <c r="S393" s="1400"/>
      <c r="T393" s="1400"/>
      <c r="U393" s="1400"/>
      <c r="V393" s="1400"/>
      <c r="W393" s="1400"/>
      <c r="X393" s="1400"/>
      <c r="Y393" s="1685">
        <v>43297</v>
      </c>
      <c r="Z393" s="1326" t="s">
        <v>2062</v>
      </c>
      <c r="AA393" s="1683">
        <v>0</v>
      </c>
      <c r="AB393" s="1683">
        <v>0</v>
      </c>
      <c r="AC393" s="1683">
        <v>0</v>
      </c>
      <c r="AD393" s="1685">
        <v>43328</v>
      </c>
      <c r="AE393" s="1326" t="s">
        <v>2083</v>
      </c>
      <c r="AF393" s="1326" t="s">
        <v>2067</v>
      </c>
      <c r="AG393" s="1410"/>
      <c r="AH393" s="1683">
        <v>42127.99</v>
      </c>
      <c r="AI393" s="1683">
        <v>42127.99</v>
      </c>
      <c r="AJ393" s="1683">
        <v>22874.240000000002</v>
      </c>
      <c r="AK393" s="1683">
        <v>22874.240000000002</v>
      </c>
      <c r="AL393" s="1683">
        <v>0</v>
      </c>
      <c r="AM393" s="1685">
        <v>43329</v>
      </c>
      <c r="AN393" s="1683">
        <v>42127.99</v>
      </c>
      <c r="AO393" s="1683">
        <v>42127.99</v>
      </c>
      <c r="AP393" s="1683">
        <v>22874.240000000002</v>
      </c>
      <c r="AQ393" s="1683">
        <v>22874.240000000002</v>
      </c>
      <c r="AR393" s="1683">
        <v>0</v>
      </c>
      <c r="AS393" s="1683">
        <v>19253.75</v>
      </c>
      <c r="AT393" s="1683">
        <v>0</v>
      </c>
      <c r="AU393" s="1683">
        <v>19253.75</v>
      </c>
      <c r="AV393" s="1683">
        <v>0</v>
      </c>
      <c r="AW393" s="1683">
        <v>0</v>
      </c>
      <c r="AX393" s="1400"/>
      <c r="AY393" s="1400"/>
      <c r="AZ393" s="1400"/>
      <c r="BA393" s="1682"/>
      <c r="BB393" s="1682"/>
      <c r="BC393" s="1400"/>
      <c r="BD393" s="1400"/>
      <c r="BE393" s="1683">
        <v>42127.99</v>
      </c>
      <c r="BF393" s="1683">
        <v>42127.99</v>
      </c>
      <c r="BG393" s="1683">
        <v>22874.240000000002</v>
      </c>
      <c r="BH393" s="1683">
        <v>22874.240000000002</v>
      </c>
      <c r="BI393" s="1683">
        <v>0</v>
      </c>
      <c r="BJ393" s="1683">
        <v>19253.75</v>
      </c>
      <c r="BK393" s="1683">
        <v>0</v>
      </c>
      <c r="BL393" s="1683">
        <v>19253.75</v>
      </c>
      <c r="BM393" s="1683">
        <v>0</v>
      </c>
      <c r="BN393" s="1683">
        <v>0</v>
      </c>
      <c r="BO393" s="1685">
        <v>43403</v>
      </c>
      <c r="BP393" s="1683">
        <v>42127.99</v>
      </c>
      <c r="BQ393" s="1683">
        <v>42127.99</v>
      </c>
      <c r="BR393" s="1683">
        <v>22874.240000000002</v>
      </c>
      <c r="BS393" s="1683">
        <v>22874.240000000002</v>
      </c>
      <c r="BT393" s="1683">
        <v>0</v>
      </c>
      <c r="BU393" s="1683">
        <v>19253.75</v>
      </c>
      <c r="BV393" s="1683">
        <v>0</v>
      </c>
      <c r="BW393" s="1683">
        <v>0</v>
      </c>
      <c r="BX393" s="1683">
        <v>0</v>
      </c>
      <c r="BY393" s="1683">
        <v>0</v>
      </c>
      <c r="BZ393" s="1683">
        <v>0</v>
      </c>
      <c r="CA393" s="1400"/>
      <c r="CB393" s="1682"/>
      <c r="CC393" s="1682"/>
      <c r="CD393" s="1400"/>
      <c r="CE393" s="1400"/>
      <c r="CF393" s="1683">
        <v>0</v>
      </c>
      <c r="CG393" s="1683">
        <v>0</v>
      </c>
      <c r="CH393" s="1683">
        <v>0</v>
      </c>
      <c r="CI393" s="1683">
        <v>0</v>
      </c>
      <c r="CJ393" s="1683">
        <v>297</v>
      </c>
      <c r="CK393" s="1683">
        <v>297</v>
      </c>
      <c r="CL393" s="1682"/>
      <c r="CM393" s="1683">
        <v>0</v>
      </c>
      <c r="CN393" s="1683">
        <v>0</v>
      </c>
      <c r="CO393" s="1683">
        <v>0</v>
      </c>
      <c r="CP393" s="1683">
        <v>0</v>
      </c>
      <c r="CQ393" s="1683">
        <v>0</v>
      </c>
      <c r="CR393" s="1683">
        <v>0</v>
      </c>
      <c r="CS393" s="1683">
        <v>0</v>
      </c>
      <c r="CT393" s="1683">
        <v>0</v>
      </c>
      <c r="CU393" s="1683">
        <v>0</v>
      </c>
      <c r="CV393" s="1683">
        <v>0</v>
      </c>
      <c r="CW393" s="1682"/>
      <c r="CX393" s="1400"/>
      <c r="CY393" s="1400"/>
      <c r="CZ393" s="1400"/>
      <c r="DA393" s="1400"/>
      <c r="DB393" s="1682"/>
      <c r="DC393" s="1326"/>
      <c r="DD393" s="1683">
        <v>0</v>
      </c>
      <c r="DE393" s="1400"/>
      <c r="DF393" s="1400"/>
      <c r="DG393" s="1683">
        <v>0</v>
      </c>
      <c r="DH393" s="1683">
        <v>0</v>
      </c>
    </row>
    <row r="394" spans="1:112" ht="22.5">
      <c r="A394" s="1326" t="s">
        <v>2446</v>
      </c>
      <c r="B394" s="1326" t="s">
        <v>1702</v>
      </c>
      <c r="C394" s="1326" t="s">
        <v>2564</v>
      </c>
      <c r="D394" s="1326" t="s">
        <v>2565</v>
      </c>
      <c r="E394" s="1326" t="s">
        <v>2259</v>
      </c>
      <c r="F394" s="1326" t="s">
        <v>2566</v>
      </c>
      <c r="G394" s="1326" t="s">
        <v>2556</v>
      </c>
      <c r="H394" s="1326" t="s">
        <v>2541</v>
      </c>
      <c r="I394" s="1326" t="s">
        <v>723</v>
      </c>
      <c r="J394" s="1326" t="s">
        <v>217</v>
      </c>
      <c r="K394" s="1326" t="s">
        <v>2071</v>
      </c>
      <c r="L394" s="1326" t="s">
        <v>2137</v>
      </c>
      <c r="M394" s="1400"/>
      <c r="N394" s="1400"/>
      <c r="O394" s="1400"/>
      <c r="P394" s="1400"/>
      <c r="Q394" s="1400"/>
      <c r="R394" s="1400"/>
      <c r="S394" s="1400"/>
      <c r="T394" s="1400"/>
      <c r="U394" s="1400"/>
      <c r="V394" s="1400"/>
      <c r="W394" s="1400"/>
      <c r="X394" s="1400"/>
      <c r="Y394" s="1685">
        <v>43329</v>
      </c>
      <c r="Z394" s="1326" t="s">
        <v>2062</v>
      </c>
      <c r="AA394" s="1683">
        <v>0</v>
      </c>
      <c r="AB394" s="1683">
        <v>0</v>
      </c>
      <c r="AC394" s="1683">
        <v>0</v>
      </c>
      <c r="AD394" s="1685">
        <v>43391</v>
      </c>
      <c r="AE394" s="1326" t="s">
        <v>2084</v>
      </c>
      <c r="AF394" s="1326" t="s">
        <v>2067</v>
      </c>
      <c r="AG394" s="1410"/>
      <c r="AH394" s="1683">
        <v>2400.62</v>
      </c>
      <c r="AI394" s="1683">
        <v>2400.62</v>
      </c>
      <c r="AJ394" s="1683">
        <v>1303.47</v>
      </c>
      <c r="AK394" s="1683">
        <v>1303.47</v>
      </c>
      <c r="AL394" s="1683">
        <v>0</v>
      </c>
      <c r="AM394" s="1685">
        <v>43391</v>
      </c>
      <c r="AN394" s="1683">
        <v>2400.62</v>
      </c>
      <c r="AO394" s="1683">
        <v>2400.62</v>
      </c>
      <c r="AP394" s="1683">
        <v>1303.47</v>
      </c>
      <c r="AQ394" s="1683">
        <v>1303.47</v>
      </c>
      <c r="AR394" s="1683">
        <v>0</v>
      </c>
      <c r="AS394" s="1683">
        <v>1097.1500000000001</v>
      </c>
      <c r="AT394" s="1683">
        <v>0</v>
      </c>
      <c r="AU394" s="1683">
        <v>1097.1500000000001</v>
      </c>
      <c r="AV394" s="1683">
        <v>0</v>
      </c>
      <c r="AW394" s="1683">
        <v>0</v>
      </c>
      <c r="AX394" s="1400"/>
      <c r="AY394" s="1400"/>
      <c r="AZ394" s="1400"/>
      <c r="BA394" s="1682"/>
      <c r="BB394" s="1682"/>
      <c r="BC394" s="1400"/>
      <c r="BD394" s="1400"/>
      <c r="BE394" s="1683">
        <v>2400.62</v>
      </c>
      <c r="BF394" s="1683">
        <v>2400.62</v>
      </c>
      <c r="BG394" s="1683">
        <v>1303.47</v>
      </c>
      <c r="BH394" s="1683">
        <v>1303.47</v>
      </c>
      <c r="BI394" s="1683">
        <v>0</v>
      </c>
      <c r="BJ394" s="1683">
        <v>1097.1500000000001</v>
      </c>
      <c r="BK394" s="1683">
        <v>0</v>
      </c>
      <c r="BL394" s="1683">
        <v>1097.1500000000001</v>
      </c>
      <c r="BM394" s="1683">
        <v>0</v>
      </c>
      <c r="BN394" s="1683">
        <v>0</v>
      </c>
      <c r="BO394" s="1685">
        <v>43453</v>
      </c>
      <c r="BP394" s="1683">
        <v>2400.62</v>
      </c>
      <c r="BQ394" s="1683">
        <v>2400.62</v>
      </c>
      <c r="BR394" s="1683">
        <v>1303.47</v>
      </c>
      <c r="BS394" s="1683">
        <v>1303.47</v>
      </c>
      <c r="BT394" s="1683">
        <v>0</v>
      </c>
      <c r="BU394" s="1683">
        <v>1097.1500000000001</v>
      </c>
      <c r="BV394" s="1683">
        <v>0</v>
      </c>
      <c r="BW394" s="1683">
        <v>0</v>
      </c>
      <c r="BX394" s="1683">
        <v>0</v>
      </c>
      <c r="BY394" s="1683">
        <v>0</v>
      </c>
      <c r="BZ394" s="1683">
        <v>0</v>
      </c>
      <c r="CA394" s="1400"/>
      <c r="CB394" s="1682"/>
      <c r="CC394" s="1682"/>
      <c r="CD394" s="1400"/>
      <c r="CE394" s="1400"/>
      <c r="CF394" s="1683">
        <v>0</v>
      </c>
      <c r="CG394" s="1683">
        <v>0</v>
      </c>
      <c r="CH394" s="1683">
        <v>0</v>
      </c>
      <c r="CI394" s="1683">
        <v>0</v>
      </c>
      <c r="CJ394" s="1683">
        <v>16.920000000000002</v>
      </c>
      <c r="CK394" s="1683">
        <v>16.920000000000002</v>
      </c>
      <c r="CL394" s="1682"/>
      <c r="CM394" s="1683">
        <v>0</v>
      </c>
      <c r="CN394" s="1683">
        <v>0</v>
      </c>
      <c r="CO394" s="1683">
        <v>0</v>
      </c>
      <c r="CP394" s="1683">
        <v>0</v>
      </c>
      <c r="CQ394" s="1683">
        <v>0</v>
      </c>
      <c r="CR394" s="1683">
        <v>0</v>
      </c>
      <c r="CS394" s="1683">
        <v>0</v>
      </c>
      <c r="CT394" s="1683">
        <v>0</v>
      </c>
      <c r="CU394" s="1683">
        <v>0</v>
      </c>
      <c r="CV394" s="1683">
        <v>0</v>
      </c>
      <c r="CW394" s="1682"/>
      <c r="CX394" s="1400"/>
      <c r="CY394" s="1400"/>
      <c r="CZ394" s="1400"/>
      <c r="DA394" s="1400"/>
      <c r="DB394" s="1682"/>
      <c r="DC394" s="1326"/>
      <c r="DD394" s="1683">
        <v>0</v>
      </c>
      <c r="DE394" s="1400"/>
      <c r="DF394" s="1400"/>
      <c r="DG394" s="1683">
        <v>0</v>
      </c>
      <c r="DH394" s="1683">
        <v>0</v>
      </c>
    </row>
    <row r="395" spans="1:112" ht="22.5">
      <c r="A395" s="1326" t="s">
        <v>2447</v>
      </c>
      <c r="B395" s="1326" t="s">
        <v>1702</v>
      </c>
      <c r="C395" s="1326" t="s">
        <v>2564</v>
      </c>
      <c r="D395" s="1326" t="s">
        <v>2565</v>
      </c>
      <c r="E395" s="1326" t="s">
        <v>2259</v>
      </c>
      <c r="F395" s="1326" t="s">
        <v>2566</v>
      </c>
      <c r="G395" s="1326" t="s">
        <v>2556</v>
      </c>
      <c r="H395" s="1326" t="s">
        <v>2541</v>
      </c>
      <c r="I395" s="1326" t="s">
        <v>723</v>
      </c>
      <c r="J395" s="1326" t="s">
        <v>217</v>
      </c>
      <c r="K395" s="1326" t="s">
        <v>2071</v>
      </c>
      <c r="L395" s="1326" t="s">
        <v>2137</v>
      </c>
      <c r="M395" s="1400"/>
      <c r="N395" s="1400"/>
      <c r="O395" s="1400"/>
      <c r="P395" s="1400"/>
      <c r="Q395" s="1400"/>
      <c r="R395" s="1400"/>
      <c r="S395" s="1400"/>
      <c r="T395" s="1400"/>
      <c r="U395" s="1400"/>
      <c r="V395" s="1400"/>
      <c r="W395" s="1400"/>
      <c r="X395" s="1400"/>
      <c r="Y395" s="1685">
        <v>43403</v>
      </c>
      <c r="Z395" s="1326" t="s">
        <v>2062</v>
      </c>
      <c r="AA395" s="1683">
        <v>0</v>
      </c>
      <c r="AB395" s="1683">
        <v>0</v>
      </c>
      <c r="AC395" s="1683">
        <v>0</v>
      </c>
      <c r="AD395" s="1685">
        <v>43427</v>
      </c>
      <c r="AE395" s="1326" t="s">
        <v>2337</v>
      </c>
      <c r="AF395" s="1326" t="s">
        <v>2064</v>
      </c>
      <c r="AG395" s="1410"/>
      <c r="AH395" s="1683">
        <v>600632.09</v>
      </c>
      <c r="AI395" s="1683">
        <v>600632.09</v>
      </c>
      <c r="AJ395" s="1683">
        <v>20177.59</v>
      </c>
      <c r="AK395" s="1683">
        <v>20177.59</v>
      </c>
      <c r="AL395" s="1683">
        <v>0</v>
      </c>
      <c r="AM395" s="1685">
        <v>43427</v>
      </c>
      <c r="AN395" s="1683">
        <v>600632.09</v>
      </c>
      <c r="AO395" s="1683">
        <v>600632.09</v>
      </c>
      <c r="AP395" s="1683">
        <v>346302.93</v>
      </c>
      <c r="AQ395" s="1683">
        <v>346302.93</v>
      </c>
      <c r="AR395" s="1683">
        <v>0</v>
      </c>
      <c r="AS395" s="1683">
        <v>254329.16</v>
      </c>
      <c r="AT395" s="1683">
        <v>0</v>
      </c>
      <c r="AU395" s="1683">
        <v>254329.16</v>
      </c>
      <c r="AV395" s="1683">
        <v>0</v>
      </c>
      <c r="AW395" s="1683">
        <v>0</v>
      </c>
      <c r="AX395" s="1400"/>
      <c r="AY395" s="1400"/>
      <c r="AZ395" s="1400"/>
      <c r="BA395" s="1682"/>
      <c r="BB395" s="1682"/>
      <c r="BC395" s="1400"/>
      <c r="BD395" s="1400"/>
      <c r="BE395" s="1683">
        <v>600632.09</v>
      </c>
      <c r="BF395" s="1683">
        <v>600632.09</v>
      </c>
      <c r="BG395" s="1683">
        <v>346302.93</v>
      </c>
      <c r="BH395" s="1683">
        <v>346302.93</v>
      </c>
      <c r="BI395" s="1683">
        <v>0</v>
      </c>
      <c r="BJ395" s="1683">
        <v>254329.16</v>
      </c>
      <c r="BK395" s="1683">
        <v>0</v>
      </c>
      <c r="BL395" s="1683">
        <v>254329.16</v>
      </c>
      <c r="BM395" s="1683">
        <v>0</v>
      </c>
      <c r="BN395" s="1683">
        <v>0</v>
      </c>
      <c r="BO395" s="1685">
        <v>43453</v>
      </c>
      <c r="BP395" s="1683">
        <v>600632.09</v>
      </c>
      <c r="BQ395" s="1683">
        <v>600632.09</v>
      </c>
      <c r="BR395" s="1683">
        <v>346302.93</v>
      </c>
      <c r="BS395" s="1683">
        <v>346302.93</v>
      </c>
      <c r="BT395" s="1683">
        <v>0</v>
      </c>
      <c r="BU395" s="1683">
        <v>254329.16</v>
      </c>
      <c r="BV395" s="1683">
        <v>0</v>
      </c>
      <c r="BW395" s="1683">
        <v>0</v>
      </c>
      <c r="BX395" s="1683">
        <v>0</v>
      </c>
      <c r="BY395" s="1683">
        <v>0</v>
      </c>
      <c r="BZ395" s="1683">
        <v>0</v>
      </c>
      <c r="CA395" s="1400"/>
      <c r="CB395" s="1682"/>
      <c r="CC395" s="1682"/>
      <c r="CD395" s="1400"/>
      <c r="CE395" s="1400"/>
      <c r="CF395" s="1683">
        <v>0</v>
      </c>
      <c r="CG395" s="1683">
        <v>0</v>
      </c>
      <c r="CH395" s="1683">
        <v>0</v>
      </c>
      <c r="CI395" s="1683">
        <v>0</v>
      </c>
      <c r="CJ395" s="1683">
        <v>4234.43</v>
      </c>
      <c r="CK395" s="1683">
        <v>4234.43</v>
      </c>
      <c r="CL395" s="1682"/>
      <c r="CM395" s="1683">
        <v>0</v>
      </c>
      <c r="CN395" s="1683">
        <v>0</v>
      </c>
      <c r="CO395" s="1683">
        <v>0</v>
      </c>
      <c r="CP395" s="1683">
        <v>0</v>
      </c>
      <c r="CQ395" s="1683">
        <v>0</v>
      </c>
      <c r="CR395" s="1683">
        <v>0</v>
      </c>
      <c r="CS395" s="1683">
        <v>0</v>
      </c>
      <c r="CT395" s="1683">
        <v>0</v>
      </c>
      <c r="CU395" s="1683">
        <v>0</v>
      </c>
      <c r="CV395" s="1683">
        <v>0</v>
      </c>
      <c r="CW395" s="1682"/>
      <c r="CX395" s="1400"/>
      <c r="CY395" s="1400"/>
      <c r="CZ395" s="1400"/>
      <c r="DA395" s="1400"/>
      <c r="DB395" s="1682"/>
      <c r="DC395" s="1326"/>
      <c r="DD395" s="1683">
        <v>0</v>
      </c>
      <c r="DE395" s="1400"/>
      <c r="DF395" s="1400"/>
      <c r="DG395" s="1683">
        <v>0</v>
      </c>
      <c r="DH395" s="1683">
        <v>0</v>
      </c>
    </row>
    <row r="396" spans="1:112" ht="22.5">
      <c r="A396" s="1326" t="s">
        <v>2448</v>
      </c>
      <c r="B396" s="1326" t="s">
        <v>1702</v>
      </c>
      <c r="C396" s="1326" t="s">
        <v>2564</v>
      </c>
      <c r="D396" s="1326" t="s">
        <v>2565</v>
      </c>
      <c r="E396" s="1326" t="s">
        <v>2259</v>
      </c>
      <c r="F396" s="1326" t="s">
        <v>2566</v>
      </c>
      <c r="G396" s="1326" t="s">
        <v>2556</v>
      </c>
      <c r="H396" s="1326" t="s">
        <v>2541</v>
      </c>
      <c r="I396" s="1326" t="s">
        <v>723</v>
      </c>
      <c r="J396" s="1326" t="s">
        <v>217</v>
      </c>
      <c r="K396" s="1326" t="s">
        <v>2071</v>
      </c>
      <c r="L396" s="1326" t="s">
        <v>2137</v>
      </c>
      <c r="M396" s="1400"/>
      <c r="N396" s="1400"/>
      <c r="O396" s="1400"/>
      <c r="P396" s="1400"/>
      <c r="Q396" s="1400"/>
      <c r="R396" s="1400"/>
      <c r="S396" s="1400"/>
      <c r="T396" s="1400"/>
      <c r="U396" s="1400"/>
      <c r="V396" s="1400"/>
      <c r="W396" s="1400"/>
      <c r="X396" s="1400"/>
      <c r="Y396" s="1685">
        <v>43410</v>
      </c>
      <c r="Z396" s="1326" t="s">
        <v>2145</v>
      </c>
      <c r="AA396" s="1683">
        <v>0</v>
      </c>
      <c r="AB396" s="1683">
        <v>0</v>
      </c>
      <c r="AC396" s="1683">
        <v>0</v>
      </c>
      <c r="AD396" s="1685">
        <v>43444</v>
      </c>
      <c r="AE396" s="1326" t="s">
        <v>2339</v>
      </c>
      <c r="AF396" s="1326" t="s">
        <v>2064</v>
      </c>
      <c r="AG396" s="1410"/>
      <c r="AH396" s="1683">
        <v>100.71</v>
      </c>
      <c r="AI396" s="1683">
        <v>100.71</v>
      </c>
      <c r="AJ396" s="1683">
        <v>58.07</v>
      </c>
      <c r="AK396" s="1683">
        <v>58.07</v>
      </c>
      <c r="AL396" s="1683">
        <v>0</v>
      </c>
      <c r="AM396" s="1685">
        <v>43444</v>
      </c>
      <c r="AN396" s="1683">
        <v>100.71</v>
      </c>
      <c r="AO396" s="1683">
        <v>100.71</v>
      </c>
      <c r="AP396" s="1683">
        <v>58.07</v>
      </c>
      <c r="AQ396" s="1683">
        <v>58.07</v>
      </c>
      <c r="AR396" s="1683">
        <v>0</v>
      </c>
      <c r="AS396" s="1683">
        <v>42.64</v>
      </c>
      <c r="AT396" s="1683">
        <v>0</v>
      </c>
      <c r="AU396" s="1683">
        <v>42.64</v>
      </c>
      <c r="AV396" s="1683">
        <v>0</v>
      </c>
      <c r="AW396" s="1683">
        <v>0</v>
      </c>
      <c r="AX396" s="1400"/>
      <c r="AY396" s="1400"/>
      <c r="AZ396" s="1400"/>
      <c r="BA396" s="1682"/>
      <c r="BB396" s="1682"/>
      <c r="BC396" s="1400"/>
      <c r="BD396" s="1400"/>
      <c r="BE396" s="1683">
        <v>100.71</v>
      </c>
      <c r="BF396" s="1683">
        <v>100.71</v>
      </c>
      <c r="BG396" s="1683">
        <v>58.07</v>
      </c>
      <c r="BH396" s="1683">
        <v>58.07</v>
      </c>
      <c r="BI396" s="1683">
        <v>0</v>
      </c>
      <c r="BJ396" s="1683">
        <v>42.64</v>
      </c>
      <c r="BK396" s="1683">
        <v>0</v>
      </c>
      <c r="BL396" s="1683">
        <v>42.64</v>
      </c>
      <c r="BM396" s="1683">
        <v>0</v>
      </c>
      <c r="BN396" s="1683">
        <v>0</v>
      </c>
      <c r="BO396" s="1682"/>
      <c r="BP396" s="1683">
        <v>0</v>
      </c>
      <c r="BQ396" s="1683">
        <v>0</v>
      </c>
      <c r="BR396" s="1683">
        <v>0</v>
      </c>
      <c r="BS396" s="1683">
        <v>0</v>
      </c>
      <c r="BT396" s="1683">
        <v>0</v>
      </c>
      <c r="BU396" s="1683">
        <v>0</v>
      </c>
      <c r="BV396" s="1683">
        <v>0</v>
      </c>
      <c r="BW396" s="1683">
        <v>0</v>
      </c>
      <c r="BX396" s="1683">
        <v>0</v>
      </c>
      <c r="BY396" s="1683">
        <v>0</v>
      </c>
      <c r="BZ396" s="1683">
        <v>0</v>
      </c>
      <c r="CA396" s="1400"/>
      <c r="CB396" s="1682"/>
      <c r="CC396" s="1682"/>
      <c r="CD396" s="1400"/>
      <c r="CE396" s="1400"/>
      <c r="CF396" s="1683">
        <v>0</v>
      </c>
      <c r="CG396" s="1683">
        <v>0</v>
      </c>
      <c r="CH396" s="1683">
        <v>0</v>
      </c>
      <c r="CI396" s="1683">
        <v>0</v>
      </c>
      <c r="CJ396" s="1683">
        <v>0</v>
      </c>
      <c r="CK396" s="1683">
        <v>0</v>
      </c>
      <c r="CL396" s="1682"/>
      <c r="CM396" s="1683">
        <v>0</v>
      </c>
      <c r="CN396" s="1683">
        <v>0</v>
      </c>
      <c r="CO396" s="1683">
        <v>0</v>
      </c>
      <c r="CP396" s="1683">
        <v>0</v>
      </c>
      <c r="CQ396" s="1683">
        <v>0</v>
      </c>
      <c r="CR396" s="1683">
        <v>0</v>
      </c>
      <c r="CS396" s="1683">
        <v>0</v>
      </c>
      <c r="CT396" s="1683">
        <v>0</v>
      </c>
      <c r="CU396" s="1683">
        <v>0</v>
      </c>
      <c r="CV396" s="1683">
        <v>0</v>
      </c>
      <c r="CW396" s="1682"/>
      <c r="CX396" s="1400"/>
      <c r="CY396" s="1400"/>
      <c r="CZ396" s="1400"/>
      <c r="DA396" s="1400"/>
      <c r="DB396" s="1682"/>
      <c r="DC396" s="1326"/>
      <c r="DD396" s="1683">
        <v>0</v>
      </c>
      <c r="DE396" s="1400"/>
      <c r="DF396" s="1400"/>
      <c r="DG396" s="1683">
        <v>0</v>
      </c>
      <c r="DH396" s="1683">
        <v>0</v>
      </c>
    </row>
    <row r="397" spans="1:112">
      <c r="A397" s="1326" t="s">
        <v>2450</v>
      </c>
      <c r="B397" s="1326" t="s">
        <v>1702</v>
      </c>
      <c r="C397" s="1326" t="s">
        <v>2564</v>
      </c>
      <c r="D397" s="1326" t="s">
        <v>2567</v>
      </c>
      <c r="E397" s="1326"/>
      <c r="F397" s="1326"/>
      <c r="G397" s="1326"/>
      <c r="H397" s="1326"/>
      <c r="I397" s="1326"/>
      <c r="J397" s="1326"/>
      <c r="K397" s="1326"/>
      <c r="L397" s="1326"/>
      <c r="M397" s="1683">
        <v>2966201.12</v>
      </c>
      <c r="N397" s="1683">
        <v>0</v>
      </c>
      <c r="O397" s="1683">
        <v>2966201.12</v>
      </c>
      <c r="P397" s="1683">
        <v>2966201.12</v>
      </c>
      <c r="Q397" s="1683">
        <v>2520973.64</v>
      </c>
      <c r="R397" s="1683">
        <v>2520973.64</v>
      </c>
      <c r="S397" s="1683">
        <v>0</v>
      </c>
      <c r="T397" s="1683">
        <v>445227.48</v>
      </c>
      <c r="U397" s="1683">
        <v>0</v>
      </c>
      <c r="V397" s="1683">
        <v>445227.48</v>
      </c>
      <c r="W397" s="1683">
        <v>0</v>
      </c>
      <c r="X397" s="1683">
        <v>0</v>
      </c>
      <c r="Y397" s="1682"/>
      <c r="Z397" s="1326"/>
      <c r="AA397" s="1683">
        <v>67243.240000000005</v>
      </c>
      <c r="AB397" s="1683">
        <v>67243.240000000005</v>
      </c>
      <c r="AC397" s="1683">
        <v>0</v>
      </c>
      <c r="AD397" s="1682"/>
      <c r="AE397" s="1326"/>
      <c r="AF397" s="1326"/>
      <c r="AG397" s="1410"/>
      <c r="AH397" s="1683">
        <v>1743966.3</v>
      </c>
      <c r="AI397" s="1683">
        <v>2277686.2999999998</v>
      </c>
      <c r="AJ397" s="1683">
        <v>1948752.05</v>
      </c>
      <c r="AK397" s="1683">
        <v>1948752.05</v>
      </c>
      <c r="AL397" s="1683">
        <v>0</v>
      </c>
      <c r="AM397" s="1682"/>
      <c r="AN397" s="1683">
        <v>1743966.3</v>
      </c>
      <c r="AO397" s="1683">
        <v>1743966.3</v>
      </c>
      <c r="AP397" s="1683">
        <v>1482275.29</v>
      </c>
      <c r="AQ397" s="1683">
        <v>1482275.29</v>
      </c>
      <c r="AR397" s="1683">
        <v>0</v>
      </c>
      <c r="AS397" s="1683">
        <v>261691.01</v>
      </c>
      <c r="AT397" s="1683">
        <v>0</v>
      </c>
      <c r="AU397" s="1683">
        <v>261691.01</v>
      </c>
      <c r="AV397" s="1683">
        <v>0</v>
      </c>
      <c r="AW397" s="1683">
        <v>0</v>
      </c>
      <c r="AX397" s="1683">
        <v>0</v>
      </c>
      <c r="AY397" s="1683">
        <v>0</v>
      </c>
      <c r="AZ397" s="1683">
        <v>0</v>
      </c>
      <c r="BA397" s="1682"/>
      <c r="BB397" s="1682"/>
      <c r="BC397" s="1683">
        <v>0</v>
      </c>
      <c r="BD397" s="1683">
        <v>0</v>
      </c>
      <c r="BE397" s="1683">
        <v>1743966.3</v>
      </c>
      <c r="BF397" s="1683">
        <v>1743966.3</v>
      </c>
      <c r="BG397" s="1683">
        <v>1482275.29</v>
      </c>
      <c r="BH397" s="1683">
        <v>1482275.29</v>
      </c>
      <c r="BI397" s="1683">
        <v>0</v>
      </c>
      <c r="BJ397" s="1683">
        <v>261691.01</v>
      </c>
      <c r="BK397" s="1683">
        <v>0</v>
      </c>
      <c r="BL397" s="1683">
        <v>261691.01</v>
      </c>
      <c r="BM397" s="1683">
        <v>0</v>
      </c>
      <c r="BN397" s="1683">
        <v>0</v>
      </c>
      <c r="BO397" s="1682"/>
      <c r="BP397" s="1683">
        <v>1513309.97</v>
      </c>
      <c r="BQ397" s="1683">
        <v>1513309.97</v>
      </c>
      <c r="BR397" s="1683">
        <v>1286246.74</v>
      </c>
      <c r="BS397" s="1683">
        <v>1286246.74</v>
      </c>
      <c r="BT397" s="1683">
        <v>0</v>
      </c>
      <c r="BU397" s="1683">
        <v>227063.23</v>
      </c>
      <c r="BV397" s="1683">
        <v>0</v>
      </c>
      <c r="BW397" s="1683">
        <v>161578.23000000001</v>
      </c>
      <c r="BX397" s="1683">
        <v>0</v>
      </c>
      <c r="BY397" s="1683">
        <v>0</v>
      </c>
      <c r="BZ397" s="1683">
        <v>0</v>
      </c>
      <c r="CA397" s="1683">
        <v>0</v>
      </c>
      <c r="CB397" s="1682"/>
      <c r="CC397" s="1682"/>
      <c r="CD397" s="1683">
        <v>0</v>
      </c>
      <c r="CE397" s="1683">
        <v>0</v>
      </c>
      <c r="CF397" s="1683">
        <v>0</v>
      </c>
      <c r="CG397" s="1683">
        <v>0</v>
      </c>
      <c r="CH397" s="1683">
        <v>0</v>
      </c>
      <c r="CI397" s="1683">
        <v>0</v>
      </c>
      <c r="CJ397" s="1683">
        <v>10733.35</v>
      </c>
      <c r="CK397" s="1683">
        <v>10733.35</v>
      </c>
      <c r="CL397" s="1682"/>
      <c r="CM397" s="1683">
        <v>1076752.57</v>
      </c>
      <c r="CN397" s="1683">
        <v>1076752.57</v>
      </c>
      <c r="CO397" s="1683">
        <v>915174.34</v>
      </c>
      <c r="CP397" s="1683">
        <v>915174.34</v>
      </c>
      <c r="CQ397" s="1683">
        <v>0</v>
      </c>
      <c r="CR397" s="1683">
        <v>161578.23000000001</v>
      </c>
      <c r="CS397" s="1683">
        <v>0</v>
      </c>
      <c r="CT397" s="1683">
        <v>161578.23000000001</v>
      </c>
      <c r="CU397" s="1683">
        <v>0</v>
      </c>
      <c r="CV397" s="1683">
        <v>0</v>
      </c>
      <c r="CW397" s="1682"/>
      <c r="CX397" s="1683">
        <v>0</v>
      </c>
      <c r="CY397" s="1683">
        <v>0</v>
      </c>
      <c r="CZ397" s="1683">
        <v>1076752.57</v>
      </c>
      <c r="DA397" s="1683">
        <v>1076752.57</v>
      </c>
      <c r="DB397" s="1682"/>
      <c r="DC397" s="1326"/>
      <c r="DD397" s="1683">
        <v>0</v>
      </c>
      <c r="DE397" s="1683">
        <v>0</v>
      </c>
      <c r="DF397" s="1683">
        <v>0</v>
      </c>
      <c r="DG397" s="1683">
        <v>0</v>
      </c>
      <c r="DH397" s="1683">
        <v>0</v>
      </c>
    </row>
    <row r="398" spans="1:112">
      <c r="A398" s="1326" t="s">
        <v>2451</v>
      </c>
      <c r="B398" s="1326" t="s">
        <v>1702</v>
      </c>
      <c r="C398" s="1326" t="s">
        <v>2564</v>
      </c>
      <c r="D398" s="1326" t="s">
        <v>2567</v>
      </c>
      <c r="E398" s="1326" t="s">
        <v>2293</v>
      </c>
      <c r="F398" s="1326"/>
      <c r="G398" s="1326"/>
      <c r="H398" s="1326"/>
      <c r="I398" s="1326"/>
      <c r="J398" s="1326"/>
      <c r="K398" s="1326"/>
      <c r="L398" s="1326"/>
      <c r="M398" s="1683">
        <v>2966201.12</v>
      </c>
      <c r="N398" s="1683">
        <v>0</v>
      </c>
      <c r="O398" s="1683">
        <v>2966201.12</v>
      </c>
      <c r="P398" s="1683">
        <v>2966201.12</v>
      </c>
      <c r="Q398" s="1683">
        <v>2520973.64</v>
      </c>
      <c r="R398" s="1683">
        <v>2520973.64</v>
      </c>
      <c r="S398" s="1683">
        <v>0</v>
      </c>
      <c r="T398" s="1683">
        <v>445227.48</v>
      </c>
      <c r="U398" s="1683">
        <v>0</v>
      </c>
      <c r="V398" s="1683">
        <v>445227.48</v>
      </c>
      <c r="W398" s="1683">
        <v>0</v>
      </c>
      <c r="X398" s="1683">
        <v>0</v>
      </c>
      <c r="Y398" s="1682"/>
      <c r="Z398" s="1326"/>
      <c r="AA398" s="1683">
        <v>67243.240000000005</v>
      </c>
      <c r="AB398" s="1683">
        <v>67243.240000000005</v>
      </c>
      <c r="AC398" s="1683">
        <v>0</v>
      </c>
      <c r="AD398" s="1682"/>
      <c r="AE398" s="1326"/>
      <c r="AF398" s="1326"/>
      <c r="AG398" s="1410"/>
      <c r="AH398" s="1683">
        <v>1743966.3</v>
      </c>
      <c r="AI398" s="1683">
        <v>2277686.2999999998</v>
      </c>
      <c r="AJ398" s="1683">
        <v>1948752.05</v>
      </c>
      <c r="AK398" s="1683">
        <v>1948752.05</v>
      </c>
      <c r="AL398" s="1683">
        <v>0</v>
      </c>
      <c r="AM398" s="1682"/>
      <c r="AN398" s="1683">
        <v>1743966.3</v>
      </c>
      <c r="AO398" s="1683">
        <v>1743966.3</v>
      </c>
      <c r="AP398" s="1683">
        <v>1482275.29</v>
      </c>
      <c r="AQ398" s="1683">
        <v>1482275.29</v>
      </c>
      <c r="AR398" s="1683">
        <v>0</v>
      </c>
      <c r="AS398" s="1683">
        <v>261691.01</v>
      </c>
      <c r="AT398" s="1683">
        <v>0</v>
      </c>
      <c r="AU398" s="1683">
        <v>261691.01</v>
      </c>
      <c r="AV398" s="1683">
        <v>0</v>
      </c>
      <c r="AW398" s="1683">
        <v>0</v>
      </c>
      <c r="AX398" s="1683">
        <v>0</v>
      </c>
      <c r="AY398" s="1683">
        <v>0</v>
      </c>
      <c r="AZ398" s="1683">
        <v>0</v>
      </c>
      <c r="BA398" s="1682"/>
      <c r="BB398" s="1682"/>
      <c r="BC398" s="1683">
        <v>0</v>
      </c>
      <c r="BD398" s="1683">
        <v>0</v>
      </c>
      <c r="BE398" s="1683">
        <v>1743966.3</v>
      </c>
      <c r="BF398" s="1683">
        <v>1743966.3</v>
      </c>
      <c r="BG398" s="1683">
        <v>1482275.29</v>
      </c>
      <c r="BH398" s="1683">
        <v>1482275.29</v>
      </c>
      <c r="BI398" s="1683">
        <v>0</v>
      </c>
      <c r="BJ398" s="1683">
        <v>261691.01</v>
      </c>
      <c r="BK398" s="1683">
        <v>0</v>
      </c>
      <c r="BL398" s="1683">
        <v>261691.01</v>
      </c>
      <c r="BM398" s="1683">
        <v>0</v>
      </c>
      <c r="BN398" s="1683">
        <v>0</v>
      </c>
      <c r="BO398" s="1682"/>
      <c r="BP398" s="1683">
        <v>1513309.97</v>
      </c>
      <c r="BQ398" s="1683">
        <v>1513309.97</v>
      </c>
      <c r="BR398" s="1683">
        <v>1286246.74</v>
      </c>
      <c r="BS398" s="1683">
        <v>1286246.74</v>
      </c>
      <c r="BT398" s="1683">
        <v>0</v>
      </c>
      <c r="BU398" s="1683">
        <v>227063.23</v>
      </c>
      <c r="BV398" s="1683">
        <v>0</v>
      </c>
      <c r="BW398" s="1683">
        <v>161578.23000000001</v>
      </c>
      <c r="BX398" s="1683">
        <v>0</v>
      </c>
      <c r="BY398" s="1683">
        <v>0</v>
      </c>
      <c r="BZ398" s="1683">
        <v>0</v>
      </c>
      <c r="CA398" s="1683">
        <v>0</v>
      </c>
      <c r="CB398" s="1682"/>
      <c r="CC398" s="1682"/>
      <c r="CD398" s="1683">
        <v>0</v>
      </c>
      <c r="CE398" s="1683">
        <v>0</v>
      </c>
      <c r="CF398" s="1683">
        <v>0</v>
      </c>
      <c r="CG398" s="1683">
        <v>0</v>
      </c>
      <c r="CH398" s="1683">
        <v>0</v>
      </c>
      <c r="CI398" s="1683">
        <v>0</v>
      </c>
      <c r="CJ398" s="1683">
        <v>10733.35</v>
      </c>
      <c r="CK398" s="1683">
        <v>10733.35</v>
      </c>
      <c r="CL398" s="1682"/>
      <c r="CM398" s="1683">
        <v>1076752.57</v>
      </c>
      <c r="CN398" s="1683">
        <v>1076752.57</v>
      </c>
      <c r="CO398" s="1683">
        <v>915174.34</v>
      </c>
      <c r="CP398" s="1683">
        <v>915174.34</v>
      </c>
      <c r="CQ398" s="1683">
        <v>0</v>
      </c>
      <c r="CR398" s="1683">
        <v>161578.23000000001</v>
      </c>
      <c r="CS398" s="1683">
        <v>0</v>
      </c>
      <c r="CT398" s="1683">
        <v>161578.23000000001</v>
      </c>
      <c r="CU398" s="1683">
        <v>0</v>
      </c>
      <c r="CV398" s="1683">
        <v>0</v>
      </c>
      <c r="CW398" s="1682"/>
      <c r="CX398" s="1683">
        <v>0</v>
      </c>
      <c r="CY398" s="1683">
        <v>0</v>
      </c>
      <c r="CZ398" s="1683">
        <v>1076752.57</v>
      </c>
      <c r="DA398" s="1683">
        <v>1076752.57</v>
      </c>
      <c r="DB398" s="1682"/>
      <c r="DC398" s="1326"/>
      <c r="DD398" s="1683">
        <v>0</v>
      </c>
      <c r="DE398" s="1683">
        <v>0</v>
      </c>
      <c r="DF398" s="1683">
        <v>0</v>
      </c>
      <c r="DG398" s="1683">
        <v>0</v>
      </c>
      <c r="DH398" s="1683">
        <v>0</v>
      </c>
    </row>
    <row r="399" spans="1:112" ht="33.75">
      <c r="A399" s="1326" t="s">
        <v>2452</v>
      </c>
      <c r="B399" s="1326" t="s">
        <v>1702</v>
      </c>
      <c r="C399" s="1326" t="s">
        <v>2564</v>
      </c>
      <c r="D399" s="1326" t="s">
        <v>2567</v>
      </c>
      <c r="E399" s="1326" t="s">
        <v>2293</v>
      </c>
      <c r="F399" s="1326" t="s">
        <v>2566</v>
      </c>
      <c r="G399" s="1326" t="s">
        <v>2556</v>
      </c>
      <c r="H399" s="1326" t="s">
        <v>2541</v>
      </c>
      <c r="I399" s="1326" t="s">
        <v>724</v>
      </c>
      <c r="J399" s="1326" t="s">
        <v>277</v>
      </c>
      <c r="K399" s="1326" t="s">
        <v>2060</v>
      </c>
      <c r="L399" s="1326" t="s">
        <v>2061</v>
      </c>
      <c r="M399" s="1683">
        <v>736499</v>
      </c>
      <c r="N399" s="1683">
        <v>0</v>
      </c>
      <c r="O399" s="1683">
        <v>736499</v>
      </c>
      <c r="P399" s="1683">
        <v>736499</v>
      </c>
      <c r="Q399" s="1683">
        <v>626024</v>
      </c>
      <c r="R399" s="1683">
        <v>626024</v>
      </c>
      <c r="S399" s="1683">
        <v>0</v>
      </c>
      <c r="T399" s="1683">
        <v>110475</v>
      </c>
      <c r="U399" s="1683">
        <v>0</v>
      </c>
      <c r="V399" s="1683">
        <v>110475</v>
      </c>
      <c r="W399" s="1683">
        <v>0</v>
      </c>
      <c r="X399" s="1683">
        <v>0</v>
      </c>
      <c r="Y399" s="1682"/>
      <c r="Z399" s="1326"/>
      <c r="AA399" s="1683">
        <v>46742.09</v>
      </c>
      <c r="AB399" s="1683">
        <v>46742.09</v>
      </c>
      <c r="AC399" s="1683">
        <v>0</v>
      </c>
      <c r="AD399" s="1682"/>
      <c r="AE399" s="1326"/>
      <c r="AF399" s="1326"/>
      <c r="AG399" s="1410"/>
      <c r="AH399" s="1683">
        <v>436145.72</v>
      </c>
      <c r="AI399" s="1683">
        <v>616145.72</v>
      </c>
      <c r="AJ399" s="1683">
        <v>503981.68</v>
      </c>
      <c r="AK399" s="1683">
        <v>503981.68</v>
      </c>
      <c r="AL399" s="1683">
        <v>0</v>
      </c>
      <c r="AM399" s="1682"/>
      <c r="AN399" s="1683">
        <v>436145.72</v>
      </c>
      <c r="AO399" s="1683">
        <v>436145.72</v>
      </c>
      <c r="AP399" s="1683">
        <v>370723.77</v>
      </c>
      <c r="AQ399" s="1683">
        <v>370723.77</v>
      </c>
      <c r="AR399" s="1683">
        <v>0</v>
      </c>
      <c r="AS399" s="1683">
        <v>65421.95</v>
      </c>
      <c r="AT399" s="1683">
        <v>0</v>
      </c>
      <c r="AU399" s="1683">
        <v>65421.95</v>
      </c>
      <c r="AV399" s="1683">
        <v>0</v>
      </c>
      <c r="AW399" s="1683">
        <v>0</v>
      </c>
      <c r="AX399" s="1683">
        <v>0</v>
      </c>
      <c r="AY399" s="1683">
        <v>0</v>
      </c>
      <c r="AZ399" s="1683">
        <v>0</v>
      </c>
      <c r="BA399" s="1682"/>
      <c r="BB399" s="1682"/>
      <c r="BC399" s="1683">
        <v>0</v>
      </c>
      <c r="BD399" s="1683">
        <v>0</v>
      </c>
      <c r="BE399" s="1683">
        <v>436145.72</v>
      </c>
      <c r="BF399" s="1683">
        <v>436145.72</v>
      </c>
      <c r="BG399" s="1683">
        <v>370723.77</v>
      </c>
      <c r="BH399" s="1683">
        <v>370723.77</v>
      </c>
      <c r="BI399" s="1683">
        <v>0</v>
      </c>
      <c r="BJ399" s="1683">
        <v>65421.95</v>
      </c>
      <c r="BK399" s="1683">
        <v>0</v>
      </c>
      <c r="BL399" s="1683">
        <v>65421.95</v>
      </c>
      <c r="BM399" s="1683">
        <v>0</v>
      </c>
      <c r="BN399" s="1683">
        <v>0</v>
      </c>
      <c r="BO399" s="1682"/>
      <c r="BP399" s="1683">
        <v>401047.2</v>
      </c>
      <c r="BQ399" s="1683">
        <v>401047.2</v>
      </c>
      <c r="BR399" s="1683">
        <v>340890.04</v>
      </c>
      <c r="BS399" s="1683">
        <v>340890.04</v>
      </c>
      <c r="BT399" s="1683">
        <v>0</v>
      </c>
      <c r="BU399" s="1683">
        <v>60157.16</v>
      </c>
      <c r="BV399" s="1683">
        <v>0</v>
      </c>
      <c r="BW399" s="1683">
        <v>42838.93</v>
      </c>
      <c r="BX399" s="1683">
        <v>0</v>
      </c>
      <c r="BY399" s="1683">
        <v>0</v>
      </c>
      <c r="BZ399" s="1683">
        <v>0</v>
      </c>
      <c r="CA399" s="1683">
        <v>0</v>
      </c>
      <c r="CB399" s="1682"/>
      <c r="CC399" s="1682"/>
      <c r="CD399" s="1683">
        <v>0</v>
      </c>
      <c r="CE399" s="1683">
        <v>0</v>
      </c>
      <c r="CF399" s="1683">
        <v>0</v>
      </c>
      <c r="CG399" s="1683">
        <v>0</v>
      </c>
      <c r="CH399" s="1683">
        <v>0</v>
      </c>
      <c r="CI399" s="1683">
        <v>0</v>
      </c>
      <c r="CJ399" s="1683">
        <v>3931.45</v>
      </c>
      <c r="CK399" s="1683">
        <v>3931.45</v>
      </c>
      <c r="CL399" s="1682"/>
      <c r="CM399" s="1683">
        <v>285592.40999999997</v>
      </c>
      <c r="CN399" s="1683">
        <v>285592.40999999997</v>
      </c>
      <c r="CO399" s="1683">
        <v>242753.48</v>
      </c>
      <c r="CP399" s="1683">
        <v>242753.48</v>
      </c>
      <c r="CQ399" s="1683">
        <v>0</v>
      </c>
      <c r="CR399" s="1683">
        <v>42838.93</v>
      </c>
      <c r="CS399" s="1683">
        <v>0</v>
      </c>
      <c r="CT399" s="1683">
        <v>42838.93</v>
      </c>
      <c r="CU399" s="1683">
        <v>0</v>
      </c>
      <c r="CV399" s="1683">
        <v>0</v>
      </c>
      <c r="CW399" s="1682"/>
      <c r="CX399" s="1683">
        <v>0</v>
      </c>
      <c r="CY399" s="1683">
        <v>0</v>
      </c>
      <c r="CZ399" s="1683">
        <v>285592.40999999997</v>
      </c>
      <c r="DA399" s="1683">
        <v>285592.40999999997</v>
      </c>
      <c r="DB399" s="1682"/>
      <c r="DC399" s="1326"/>
      <c r="DD399" s="1683">
        <v>0</v>
      </c>
      <c r="DE399" s="1683">
        <v>0</v>
      </c>
      <c r="DF399" s="1683">
        <v>0</v>
      </c>
      <c r="DG399" s="1683">
        <v>0</v>
      </c>
      <c r="DH399" s="1683">
        <v>0</v>
      </c>
    </row>
    <row r="400" spans="1:112" ht="33.75">
      <c r="A400" s="1326" t="s">
        <v>2453</v>
      </c>
      <c r="B400" s="1326" t="s">
        <v>1702</v>
      </c>
      <c r="C400" s="1326" t="s">
        <v>2564</v>
      </c>
      <c r="D400" s="1326" t="s">
        <v>2567</v>
      </c>
      <c r="E400" s="1326" t="s">
        <v>2293</v>
      </c>
      <c r="F400" s="1326" t="s">
        <v>2566</v>
      </c>
      <c r="G400" s="1326" t="s">
        <v>2556</v>
      </c>
      <c r="H400" s="1326" t="s">
        <v>2541</v>
      </c>
      <c r="I400" s="1326" t="s">
        <v>724</v>
      </c>
      <c r="J400" s="1326" t="s">
        <v>277</v>
      </c>
      <c r="K400" s="1326" t="s">
        <v>2060</v>
      </c>
      <c r="L400" s="1326" t="s">
        <v>2061</v>
      </c>
      <c r="M400" s="1400"/>
      <c r="N400" s="1400"/>
      <c r="O400" s="1400"/>
      <c r="P400" s="1400"/>
      <c r="Q400" s="1400"/>
      <c r="R400" s="1400"/>
      <c r="S400" s="1400"/>
      <c r="T400" s="1400"/>
      <c r="U400" s="1400"/>
      <c r="V400" s="1400"/>
      <c r="W400" s="1400"/>
      <c r="X400" s="1400"/>
      <c r="Y400" s="1685">
        <v>42703</v>
      </c>
      <c r="Z400" s="1326" t="s">
        <v>2062</v>
      </c>
      <c r="AA400" s="1683">
        <v>0</v>
      </c>
      <c r="AB400" s="1683">
        <v>0</v>
      </c>
      <c r="AC400" s="1683">
        <v>0</v>
      </c>
      <c r="AD400" s="1685">
        <v>42726</v>
      </c>
      <c r="AE400" s="1326" t="s">
        <v>2073</v>
      </c>
      <c r="AF400" s="1326" t="s">
        <v>2064</v>
      </c>
      <c r="AG400" s="1410"/>
      <c r="AH400" s="1683">
        <v>7124.84</v>
      </c>
      <c r="AI400" s="1683">
        <v>7124.84</v>
      </c>
      <c r="AJ400" s="1683">
        <v>6056.11</v>
      </c>
      <c r="AK400" s="1683">
        <v>6056.11</v>
      </c>
      <c r="AL400" s="1683">
        <v>0</v>
      </c>
      <c r="AM400" s="1685">
        <v>42726</v>
      </c>
      <c r="AN400" s="1683">
        <v>7124.84</v>
      </c>
      <c r="AO400" s="1683">
        <v>7124.84</v>
      </c>
      <c r="AP400" s="1683">
        <v>6056.11</v>
      </c>
      <c r="AQ400" s="1683">
        <v>6056.11</v>
      </c>
      <c r="AR400" s="1683">
        <v>0</v>
      </c>
      <c r="AS400" s="1683">
        <v>1068.73</v>
      </c>
      <c r="AT400" s="1683">
        <v>0</v>
      </c>
      <c r="AU400" s="1683">
        <v>1068.73</v>
      </c>
      <c r="AV400" s="1683">
        <v>0</v>
      </c>
      <c r="AW400" s="1683">
        <v>0</v>
      </c>
      <c r="AX400" s="1400"/>
      <c r="AY400" s="1400"/>
      <c r="AZ400" s="1400"/>
      <c r="BA400" s="1682"/>
      <c r="BB400" s="1682"/>
      <c r="BC400" s="1400"/>
      <c r="BD400" s="1400"/>
      <c r="BE400" s="1683">
        <v>7124.84</v>
      </c>
      <c r="BF400" s="1683">
        <v>7124.84</v>
      </c>
      <c r="BG400" s="1683">
        <v>6056.11</v>
      </c>
      <c r="BH400" s="1683">
        <v>6056.11</v>
      </c>
      <c r="BI400" s="1683">
        <v>0</v>
      </c>
      <c r="BJ400" s="1683">
        <v>1068.73</v>
      </c>
      <c r="BK400" s="1683">
        <v>0</v>
      </c>
      <c r="BL400" s="1683">
        <v>1068.73</v>
      </c>
      <c r="BM400" s="1683">
        <v>0</v>
      </c>
      <c r="BN400" s="1683">
        <v>0</v>
      </c>
      <c r="BO400" s="1685">
        <v>42794</v>
      </c>
      <c r="BP400" s="1683">
        <v>7124.84</v>
      </c>
      <c r="BQ400" s="1683">
        <v>7124.84</v>
      </c>
      <c r="BR400" s="1683">
        <v>6056.11</v>
      </c>
      <c r="BS400" s="1683">
        <v>6056.11</v>
      </c>
      <c r="BT400" s="1683">
        <v>0</v>
      </c>
      <c r="BU400" s="1683">
        <v>1068.73</v>
      </c>
      <c r="BV400" s="1683">
        <v>0</v>
      </c>
      <c r="BW400" s="1683">
        <v>1068.73</v>
      </c>
      <c r="BX400" s="1683">
        <v>0</v>
      </c>
      <c r="BY400" s="1683">
        <v>0</v>
      </c>
      <c r="BZ400" s="1683">
        <v>0</v>
      </c>
      <c r="CA400" s="1400"/>
      <c r="CB400" s="1682"/>
      <c r="CC400" s="1682"/>
      <c r="CD400" s="1400"/>
      <c r="CE400" s="1400"/>
      <c r="CF400" s="1683">
        <v>0</v>
      </c>
      <c r="CG400" s="1683">
        <v>0</v>
      </c>
      <c r="CH400" s="1683">
        <v>0</v>
      </c>
      <c r="CI400" s="1683">
        <v>0</v>
      </c>
      <c r="CJ400" s="1683">
        <v>69.84</v>
      </c>
      <c r="CK400" s="1683">
        <v>69.84</v>
      </c>
      <c r="CL400" s="1685">
        <v>43144</v>
      </c>
      <c r="CM400" s="1683">
        <v>7124.84</v>
      </c>
      <c r="CN400" s="1683">
        <v>7124.84</v>
      </c>
      <c r="CO400" s="1683">
        <v>6056.11</v>
      </c>
      <c r="CP400" s="1683">
        <v>6056.11</v>
      </c>
      <c r="CQ400" s="1683">
        <v>0</v>
      </c>
      <c r="CR400" s="1683">
        <v>1068.73</v>
      </c>
      <c r="CS400" s="1683">
        <v>0</v>
      </c>
      <c r="CT400" s="1683">
        <v>1068.73</v>
      </c>
      <c r="CU400" s="1683">
        <v>0</v>
      </c>
      <c r="CV400" s="1683">
        <v>0</v>
      </c>
      <c r="CW400" s="1682"/>
      <c r="CX400" s="1400"/>
      <c r="CY400" s="1400"/>
      <c r="CZ400" s="1400"/>
      <c r="DA400" s="1400"/>
      <c r="DB400" s="1682"/>
      <c r="DC400" s="1326"/>
      <c r="DD400" s="1683">
        <v>0</v>
      </c>
      <c r="DE400" s="1400"/>
      <c r="DF400" s="1400"/>
      <c r="DG400" s="1683">
        <v>0</v>
      </c>
      <c r="DH400" s="1683">
        <v>0</v>
      </c>
    </row>
    <row r="401" spans="1:112" ht="33.75">
      <c r="A401" s="1326" t="s">
        <v>2455</v>
      </c>
      <c r="B401" s="1326" t="s">
        <v>1702</v>
      </c>
      <c r="C401" s="1326" t="s">
        <v>2564</v>
      </c>
      <c r="D401" s="1326" t="s">
        <v>2567</v>
      </c>
      <c r="E401" s="1326" t="s">
        <v>2293</v>
      </c>
      <c r="F401" s="1326" t="s">
        <v>2566</v>
      </c>
      <c r="G401" s="1326" t="s">
        <v>2556</v>
      </c>
      <c r="H401" s="1326" t="s">
        <v>2541</v>
      </c>
      <c r="I401" s="1326" t="s">
        <v>724</v>
      </c>
      <c r="J401" s="1326" t="s">
        <v>277</v>
      </c>
      <c r="K401" s="1326" t="s">
        <v>2060</v>
      </c>
      <c r="L401" s="1326" t="s">
        <v>2061</v>
      </c>
      <c r="M401" s="1400"/>
      <c r="N401" s="1400"/>
      <c r="O401" s="1400"/>
      <c r="P401" s="1400"/>
      <c r="Q401" s="1400"/>
      <c r="R401" s="1400"/>
      <c r="S401" s="1400"/>
      <c r="T401" s="1400"/>
      <c r="U401" s="1400"/>
      <c r="V401" s="1400"/>
      <c r="W401" s="1400"/>
      <c r="X401" s="1400"/>
      <c r="Y401" s="1685">
        <v>42734</v>
      </c>
      <c r="Z401" s="1326" t="s">
        <v>2096</v>
      </c>
      <c r="AA401" s="1683">
        <v>0</v>
      </c>
      <c r="AB401" s="1683">
        <v>0</v>
      </c>
      <c r="AC401" s="1683">
        <v>0</v>
      </c>
      <c r="AD401" s="1685">
        <v>42761</v>
      </c>
      <c r="AE401" s="1326" t="s">
        <v>2063</v>
      </c>
      <c r="AF401" s="1326" t="s">
        <v>2064</v>
      </c>
      <c r="AG401" s="1410"/>
      <c r="AH401" s="1683">
        <v>0</v>
      </c>
      <c r="AI401" s="1683">
        <v>120000</v>
      </c>
      <c r="AJ401" s="1683">
        <v>120000</v>
      </c>
      <c r="AK401" s="1683">
        <v>120000</v>
      </c>
      <c r="AL401" s="1683">
        <v>0</v>
      </c>
      <c r="AM401" s="1682"/>
      <c r="AN401" s="1683">
        <v>0</v>
      </c>
      <c r="AO401" s="1683">
        <v>0</v>
      </c>
      <c r="AP401" s="1683">
        <v>0</v>
      </c>
      <c r="AQ401" s="1683">
        <v>0</v>
      </c>
      <c r="AR401" s="1683">
        <v>0</v>
      </c>
      <c r="AS401" s="1683">
        <v>0</v>
      </c>
      <c r="AT401" s="1683">
        <v>0</v>
      </c>
      <c r="AU401" s="1683">
        <v>0</v>
      </c>
      <c r="AV401" s="1683">
        <v>0</v>
      </c>
      <c r="AW401" s="1683">
        <v>0</v>
      </c>
      <c r="AX401" s="1400"/>
      <c r="AY401" s="1400"/>
      <c r="AZ401" s="1400"/>
      <c r="BA401" s="1682"/>
      <c r="BB401" s="1682"/>
      <c r="BC401" s="1400"/>
      <c r="BD401" s="1400"/>
      <c r="BE401" s="1683">
        <v>0</v>
      </c>
      <c r="BF401" s="1683">
        <v>0</v>
      </c>
      <c r="BG401" s="1683">
        <v>0</v>
      </c>
      <c r="BH401" s="1683">
        <v>0</v>
      </c>
      <c r="BI401" s="1683">
        <v>0</v>
      </c>
      <c r="BJ401" s="1683">
        <v>0</v>
      </c>
      <c r="BK401" s="1683">
        <v>0</v>
      </c>
      <c r="BL401" s="1683">
        <v>0</v>
      </c>
      <c r="BM401" s="1683">
        <v>0</v>
      </c>
      <c r="BN401" s="1683">
        <v>0</v>
      </c>
      <c r="BO401" s="1682"/>
      <c r="BP401" s="1683">
        <v>0</v>
      </c>
      <c r="BQ401" s="1683">
        <v>0</v>
      </c>
      <c r="BR401" s="1683">
        <v>0</v>
      </c>
      <c r="BS401" s="1683">
        <v>0</v>
      </c>
      <c r="BT401" s="1683">
        <v>0</v>
      </c>
      <c r="BU401" s="1683">
        <v>0</v>
      </c>
      <c r="BV401" s="1683">
        <v>0</v>
      </c>
      <c r="BW401" s="1683">
        <v>0</v>
      </c>
      <c r="BX401" s="1683">
        <v>0</v>
      </c>
      <c r="BY401" s="1683">
        <v>0</v>
      </c>
      <c r="BZ401" s="1400"/>
      <c r="CA401" s="1400"/>
      <c r="CB401" s="1682"/>
      <c r="CC401" s="1682"/>
      <c r="CD401" s="1400"/>
      <c r="CE401" s="1400"/>
      <c r="CF401" s="1683">
        <v>0</v>
      </c>
      <c r="CG401" s="1683">
        <v>0</v>
      </c>
      <c r="CH401" s="1683">
        <v>0</v>
      </c>
      <c r="CI401" s="1683">
        <v>0</v>
      </c>
      <c r="CJ401" s="1683">
        <v>0</v>
      </c>
      <c r="CK401" s="1683">
        <v>0</v>
      </c>
      <c r="CL401" s="1682"/>
      <c r="CM401" s="1683">
        <v>0</v>
      </c>
      <c r="CN401" s="1683">
        <v>0</v>
      </c>
      <c r="CO401" s="1683">
        <v>0</v>
      </c>
      <c r="CP401" s="1683">
        <v>0</v>
      </c>
      <c r="CQ401" s="1683">
        <v>0</v>
      </c>
      <c r="CR401" s="1683">
        <v>0</v>
      </c>
      <c r="CS401" s="1683">
        <v>0</v>
      </c>
      <c r="CT401" s="1683">
        <v>0</v>
      </c>
      <c r="CU401" s="1683">
        <v>0</v>
      </c>
      <c r="CV401" s="1683">
        <v>0</v>
      </c>
      <c r="CW401" s="1682"/>
      <c r="CX401" s="1400"/>
      <c r="CY401" s="1400"/>
      <c r="CZ401" s="1400"/>
      <c r="DA401" s="1400"/>
      <c r="DB401" s="1682"/>
      <c r="DC401" s="1326"/>
      <c r="DD401" s="1683">
        <v>0</v>
      </c>
      <c r="DE401" s="1400"/>
      <c r="DF401" s="1400"/>
      <c r="DG401" s="1683">
        <v>0</v>
      </c>
      <c r="DH401" s="1683">
        <v>0</v>
      </c>
    </row>
    <row r="402" spans="1:112" ht="33.75">
      <c r="A402" s="1326" t="s">
        <v>2456</v>
      </c>
      <c r="B402" s="1326" t="s">
        <v>1702</v>
      </c>
      <c r="C402" s="1326" t="s">
        <v>2564</v>
      </c>
      <c r="D402" s="1326" t="s">
        <v>2567</v>
      </c>
      <c r="E402" s="1326" t="s">
        <v>2293</v>
      </c>
      <c r="F402" s="1326" t="s">
        <v>2566</v>
      </c>
      <c r="G402" s="1326" t="s">
        <v>2556</v>
      </c>
      <c r="H402" s="1326" t="s">
        <v>2541</v>
      </c>
      <c r="I402" s="1326" t="s">
        <v>724</v>
      </c>
      <c r="J402" s="1326" t="s">
        <v>277</v>
      </c>
      <c r="K402" s="1326" t="s">
        <v>2060</v>
      </c>
      <c r="L402" s="1326" t="s">
        <v>2061</v>
      </c>
      <c r="M402" s="1400"/>
      <c r="N402" s="1400"/>
      <c r="O402" s="1400"/>
      <c r="P402" s="1400"/>
      <c r="Q402" s="1400"/>
      <c r="R402" s="1400"/>
      <c r="S402" s="1400"/>
      <c r="T402" s="1400"/>
      <c r="U402" s="1400"/>
      <c r="V402" s="1400"/>
      <c r="W402" s="1400"/>
      <c r="X402" s="1400"/>
      <c r="Y402" s="1685">
        <v>42835</v>
      </c>
      <c r="Z402" s="1326" t="s">
        <v>2062</v>
      </c>
      <c r="AA402" s="1683">
        <v>46742.09</v>
      </c>
      <c r="AB402" s="1683">
        <v>46742.09</v>
      </c>
      <c r="AC402" s="1683">
        <v>0</v>
      </c>
      <c r="AD402" s="1685">
        <v>42853</v>
      </c>
      <c r="AE402" s="1326" t="s">
        <v>2079</v>
      </c>
      <c r="AF402" s="1326" t="s">
        <v>2064</v>
      </c>
      <c r="AG402" s="1410"/>
      <c r="AH402" s="1683">
        <v>54990.71</v>
      </c>
      <c r="AI402" s="1683">
        <v>54990.71</v>
      </c>
      <c r="AJ402" s="1683">
        <v>0</v>
      </c>
      <c r="AK402" s="1683">
        <v>0</v>
      </c>
      <c r="AL402" s="1683">
        <v>0</v>
      </c>
      <c r="AM402" s="1685">
        <v>42853</v>
      </c>
      <c r="AN402" s="1683">
        <v>54990.71</v>
      </c>
      <c r="AO402" s="1683">
        <v>54990.71</v>
      </c>
      <c r="AP402" s="1683">
        <v>46742.09</v>
      </c>
      <c r="AQ402" s="1683">
        <v>46742.09</v>
      </c>
      <c r="AR402" s="1683">
        <v>0</v>
      </c>
      <c r="AS402" s="1683">
        <v>8248.6200000000008</v>
      </c>
      <c r="AT402" s="1683">
        <v>0</v>
      </c>
      <c r="AU402" s="1683">
        <v>8248.6200000000008</v>
      </c>
      <c r="AV402" s="1683">
        <v>0</v>
      </c>
      <c r="AW402" s="1683">
        <v>0</v>
      </c>
      <c r="AX402" s="1400"/>
      <c r="AY402" s="1400"/>
      <c r="AZ402" s="1400"/>
      <c r="BA402" s="1682"/>
      <c r="BB402" s="1682"/>
      <c r="BC402" s="1400"/>
      <c r="BD402" s="1400"/>
      <c r="BE402" s="1683">
        <v>54990.71</v>
      </c>
      <c r="BF402" s="1683">
        <v>54990.71</v>
      </c>
      <c r="BG402" s="1683">
        <v>46742.09</v>
      </c>
      <c r="BH402" s="1683">
        <v>46742.09</v>
      </c>
      <c r="BI402" s="1683">
        <v>0</v>
      </c>
      <c r="BJ402" s="1683">
        <v>8248.6200000000008</v>
      </c>
      <c r="BK402" s="1683">
        <v>0</v>
      </c>
      <c r="BL402" s="1683">
        <v>8248.6200000000008</v>
      </c>
      <c r="BM402" s="1683">
        <v>0</v>
      </c>
      <c r="BN402" s="1683">
        <v>0</v>
      </c>
      <c r="BO402" s="1685">
        <v>42993</v>
      </c>
      <c r="BP402" s="1683">
        <v>54990.71</v>
      </c>
      <c r="BQ402" s="1683">
        <v>54990.71</v>
      </c>
      <c r="BR402" s="1683">
        <v>46742.09</v>
      </c>
      <c r="BS402" s="1683">
        <v>46742.09</v>
      </c>
      <c r="BT402" s="1683">
        <v>0</v>
      </c>
      <c r="BU402" s="1683">
        <v>8248.6200000000008</v>
      </c>
      <c r="BV402" s="1683">
        <v>0</v>
      </c>
      <c r="BW402" s="1683">
        <v>8248.6200000000008</v>
      </c>
      <c r="BX402" s="1683">
        <v>0</v>
      </c>
      <c r="BY402" s="1683">
        <v>0</v>
      </c>
      <c r="BZ402" s="1683">
        <v>0</v>
      </c>
      <c r="CA402" s="1400"/>
      <c r="CB402" s="1682"/>
      <c r="CC402" s="1682"/>
      <c r="CD402" s="1400"/>
      <c r="CE402" s="1400"/>
      <c r="CF402" s="1683">
        <v>0</v>
      </c>
      <c r="CG402" s="1683">
        <v>0</v>
      </c>
      <c r="CH402" s="1683">
        <v>0</v>
      </c>
      <c r="CI402" s="1683">
        <v>0</v>
      </c>
      <c r="CJ402" s="1683">
        <v>0</v>
      </c>
      <c r="CK402" s="1683">
        <v>0</v>
      </c>
      <c r="CL402" s="1685">
        <v>43511</v>
      </c>
      <c r="CM402" s="1683">
        <v>54990.71</v>
      </c>
      <c r="CN402" s="1683">
        <v>54990.71</v>
      </c>
      <c r="CO402" s="1683">
        <v>46742.09</v>
      </c>
      <c r="CP402" s="1683">
        <v>46742.09</v>
      </c>
      <c r="CQ402" s="1683">
        <v>0</v>
      </c>
      <c r="CR402" s="1683">
        <v>8248.6200000000008</v>
      </c>
      <c r="CS402" s="1683">
        <v>0</v>
      </c>
      <c r="CT402" s="1683">
        <v>8248.6200000000008</v>
      </c>
      <c r="CU402" s="1683">
        <v>0</v>
      </c>
      <c r="CV402" s="1683">
        <v>0</v>
      </c>
      <c r="CW402" s="1682"/>
      <c r="CX402" s="1400"/>
      <c r="CY402" s="1400"/>
      <c r="CZ402" s="1400"/>
      <c r="DA402" s="1400"/>
      <c r="DB402" s="1682"/>
      <c r="DC402" s="1326"/>
      <c r="DD402" s="1683">
        <v>0</v>
      </c>
      <c r="DE402" s="1400"/>
      <c r="DF402" s="1400"/>
      <c r="DG402" s="1683">
        <v>0</v>
      </c>
      <c r="DH402" s="1683">
        <v>0</v>
      </c>
    </row>
    <row r="403" spans="1:112" ht="33.75">
      <c r="A403" s="1326" t="s">
        <v>2457</v>
      </c>
      <c r="B403" s="1326" t="s">
        <v>1702</v>
      </c>
      <c r="C403" s="1326" t="s">
        <v>2564</v>
      </c>
      <c r="D403" s="1326" t="s">
        <v>2567</v>
      </c>
      <c r="E403" s="1326" t="s">
        <v>2293</v>
      </c>
      <c r="F403" s="1326" t="s">
        <v>2566</v>
      </c>
      <c r="G403" s="1326" t="s">
        <v>2556</v>
      </c>
      <c r="H403" s="1326" t="s">
        <v>2541</v>
      </c>
      <c r="I403" s="1326" t="s">
        <v>724</v>
      </c>
      <c r="J403" s="1326" t="s">
        <v>277</v>
      </c>
      <c r="K403" s="1326" t="s">
        <v>2060</v>
      </c>
      <c r="L403" s="1326" t="s">
        <v>2061</v>
      </c>
      <c r="M403" s="1400"/>
      <c r="N403" s="1400"/>
      <c r="O403" s="1400"/>
      <c r="P403" s="1400"/>
      <c r="Q403" s="1400"/>
      <c r="R403" s="1400"/>
      <c r="S403" s="1400"/>
      <c r="T403" s="1400"/>
      <c r="U403" s="1400"/>
      <c r="V403" s="1400"/>
      <c r="W403" s="1400"/>
      <c r="X403" s="1400"/>
      <c r="Y403" s="1685">
        <v>42891</v>
      </c>
      <c r="Z403" s="1326" t="s">
        <v>2096</v>
      </c>
      <c r="AA403" s="1683">
        <v>0</v>
      </c>
      <c r="AB403" s="1683">
        <v>0</v>
      </c>
      <c r="AC403" s="1683">
        <v>0</v>
      </c>
      <c r="AD403" s="1685">
        <v>42899</v>
      </c>
      <c r="AE403" s="1326" t="s">
        <v>2080</v>
      </c>
      <c r="AF403" s="1326" t="s">
        <v>2064</v>
      </c>
      <c r="AG403" s="1410"/>
      <c r="AH403" s="1683">
        <v>0</v>
      </c>
      <c r="AI403" s="1683">
        <v>60000</v>
      </c>
      <c r="AJ403" s="1683">
        <v>60000</v>
      </c>
      <c r="AK403" s="1683">
        <v>60000</v>
      </c>
      <c r="AL403" s="1683">
        <v>0</v>
      </c>
      <c r="AM403" s="1682"/>
      <c r="AN403" s="1683">
        <v>0</v>
      </c>
      <c r="AO403" s="1683">
        <v>0</v>
      </c>
      <c r="AP403" s="1683">
        <v>0</v>
      </c>
      <c r="AQ403" s="1683">
        <v>0</v>
      </c>
      <c r="AR403" s="1683">
        <v>0</v>
      </c>
      <c r="AS403" s="1683">
        <v>0</v>
      </c>
      <c r="AT403" s="1683">
        <v>0</v>
      </c>
      <c r="AU403" s="1683">
        <v>0</v>
      </c>
      <c r="AV403" s="1683">
        <v>0</v>
      </c>
      <c r="AW403" s="1683">
        <v>0</v>
      </c>
      <c r="AX403" s="1400"/>
      <c r="AY403" s="1400"/>
      <c r="AZ403" s="1400"/>
      <c r="BA403" s="1682"/>
      <c r="BB403" s="1682"/>
      <c r="BC403" s="1400"/>
      <c r="BD403" s="1400"/>
      <c r="BE403" s="1683">
        <v>0</v>
      </c>
      <c r="BF403" s="1683">
        <v>0</v>
      </c>
      <c r="BG403" s="1683">
        <v>0</v>
      </c>
      <c r="BH403" s="1683">
        <v>0</v>
      </c>
      <c r="BI403" s="1683">
        <v>0</v>
      </c>
      <c r="BJ403" s="1683">
        <v>0</v>
      </c>
      <c r="BK403" s="1683">
        <v>0</v>
      </c>
      <c r="BL403" s="1683">
        <v>0</v>
      </c>
      <c r="BM403" s="1683">
        <v>0</v>
      </c>
      <c r="BN403" s="1683">
        <v>0</v>
      </c>
      <c r="BO403" s="1682"/>
      <c r="BP403" s="1683">
        <v>0</v>
      </c>
      <c r="BQ403" s="1683">
        <v>0</v>
      </c>
      <c r="BR403" s="1683">
        <v>0</v>
      </c>
      <c r="BS403" s="1683">
        <v>0</v>
      </c>
      <c r="BT403" s="1683">
        <v>0</v>
      </c>
      <c r="BU403" s="1683">
        <v>0</v>
      </c>
      <c r="BV403" s="1683">
        <v>0</v>
      </c>
      <c r="BW403" s="1683">
        <v>0</v>
      </c>
      <c r="BX403" s="1683">
        <v>0</v>
      </c>
      <c r="BY403" s="1683">
        <v>0</v>
      </c>
      <c r="BZ403" s="1400"/>
      <c r="CA403" s="1400"/>
      <c r="CB403" s="1682"/>
      <c r="CC403" s="1682"/>
      <c r="CD403" s="1400"/>
      <c r="CE403" s="1400"/>
      <c r="CF403" s="1683">
        <v>0</v>
      </c>
      <c r="CG403" s="1683">
        <v>0</v>
      </c>
      <c r="CH403" s="1683">
        <v>0</v>
      </c>
      <c r="CI403" s="1683">
        <v>0</v>
      </c>
      <c r="CJ403" s="1683">
        <v>0</v>
      </c>
      <c r="CK403" s="1683">
        <v>0</v>
      </c>
      <c r="CL403" s="1682"/>
      <c r="CM403" s="1683">
        <v>0</v>
      </c>
      <c r="CN403" s="1683">
        <v>0</v>
      </c>
      <c r="CO403" s="1683">
        <v>0</v>
      </c>
      <c r="CP403" s="1683">
        <v>0</v>
      </c>
      <c r="CQ403" s="1683">
        <v>0</v>
      </c>
      <c r="CR403" s="1683">
        <v>0</v>
      </c>
      <c r="CS403" s="1683">
        <v>0</v>
      </c>
      <c r="CT403" s="1683">
        <v>0</v>
      </c>
      <c r="CU403" s="1683">
        <v>0</v>
      </c>
      <c r="CV403" s="1683">
        <v>0</v>
      </c>
      <c r="CW403" s="1682"/>
      <c r="CX403" s="1400"/>
      <c r="CY403" s="1400"/>
      <c r="CZ403" s="1400"/>
      <c r="DA403" s="1400"/>
      <c r="DB403" s="1682"/>
      <c r="DC403" s="1326"/>
      <c r="DD403" s="1683">
        <v>0</v>
      </c>
      <c r="DE403" s="1400"/>
      <c r="DF403" s="1400"/>
      <c r="DG403" s="1683">
        <v>0</v>
      </c>
      <c r="DH403" s="1683">
        <v>0</v>
      </c>
    </row>
    <row r="404" spans="1:112" ht="33.75">
      <c r="A404" s="1326" t="s">
        <v>2458</v>
      </c>
      <c r="B404" s="1326" t="s">
        <v>1702</v>
      </c>
      <c r="C404" s="1326" t="s">
        <v>2564</v>
      </c>
      <c r="D404" s="1326" t="s">
        <v>2567</v>
      </c>
      <c r="E404" s="1326" t="s">
        <v>2293</v>
      </c>
      <c r="F404" s="1326" t="s">
        <v>2566</v>
      </c>
      <c r="G404" s="1326" t="s">
        <v>2556</v>
      </c>
      <c r="H404" s="1326" t="s">
        <v>2541</v>
      </c>
      <c r="I404" s="1326" t="s">
        <v>724</v>
      </c>
      <c r="J404" s="1326" t="s">
        <v>277</v>
      </c>
      <c r="K404" s="1326" t="s">
        <v>2060</v>
      </c>
      <c r="L404" s="1326" t="s">
        <v>2061</v>
      </c>
      <c r="M404" s="1400"/>
      <c r="N404" s="1400"/>
      <c r="O404" s="1400"/>
      <c r="P404" s="1400"/>
      <c r="Q404" s="1400"/>
      <c r="R404" s="1400"/>
      <c r="S404" s="1400"/>
      <c r="T404" s="1400"/>
      <c r="U404" s="1400"/>
      <c r="V404" s="1400"/>
      <c r="W404" s="1400"/>
      <c r="X404" s="1400"/>
      <c r="Y404" s="1685">
        <v>42915</v>
      </c>
      <c r="Z404" s="1326" t="s">
        <v>2062</v>
      </c>
      <c r="AA404" s="1683">
        <v>0</v>
      </c>
      <c r="AB404" s="1683">
        <v>0</v>
      </c>
      <c r="AC404" s="1683">
        <v>0</v>
      </c>
      <c r="AD404" s="1685">
        <v>42949</v>
      </c>
      <c r="AE404" s="1326" t="s">
        <v>2081</v>
      </c>
      <c r="AF404" s="1326" t="s">
        <v>2064</v>
      </c>
      <c r="AG404" s="1410"/>
      <c r="AH404" s="1683">
        <v>71518.09</v>
      </c>
      <c r="AI404" s="1683">
        <v>71518.09</v>
      </c>
      <c r="AJ404" s="1683">
        <v>60790.36</v>
      </c>
      <c r="AK404" s="1683">
        <v>60790.36</v>
      </c>
      <c r="AL404" s="1683">
        <v>0</v>
      </c>
      <c r="AM404" s="1685">
        <v>42949</v>
      </c>
      <c r="AN404" s="1683">
        <v>71518.09</v>
      </c>
      <c r="AO404" s="1683">
        <v>71518.09</v>
      </c>
      <c r="AP404" s="1683">
        <v>60790.36</v>
      </c>
      <c r="AQ404" s="1683">
        <v>60790.36</v>
      </c>
      <c r="AR404" s="1683">
        <v>0</v>
      </c>
      <c r="AS404" s="1683">
        <v>10727.73</v>
      </c>
      <c r="AT404" s="1683">
        <v>0</v>
      </c>
      <c r="AU404" s="1683">
        <v>10727.73</v>
      </c>
      <c r="AV404" s="1683">
        <v>0</v>
      </c>
      <c r="AW404" s="1683">
        <v>0</v>
      </c>
      <c r="AX404" s="1400"/>
      <c r="AY404" s="1400"/>
      <c r="AZ404" s="1400"/>
      <c r="BA404" s="1682"/>
      <c r="BB404" s="1682"/>
      <c r="BC404" s="1400"/>
      <c r="BD404" s="1400"/>
      <c r="BE404" s="1683">
        <v>71518.09</v>
      </c>
      <c r="BF404" s="1683">
        <v>71518.09</v>
      </c>
      <c r="BG404" s="1683">
        <v>60790.36</v>
      </c>
      <c r="BH404" s="1683">
        <v>60790.36</v>
      </c>
      <c r="BI404" s="1683">
        <v>0</v>
      </c>
      <c r="BJ404" s="1683">
        <v>10727.73</v>
      </c>
      <c r="BK404" s="1683">
        <v>0</v>
      </c>
      <c r="BL404" s="1683">
        <v>10727.73</v>
      </c>
      <c r="BM404" s="1683">
        <v>0</v>
      </c>
      <c r="BN404" s="1683">
        <v>0</v>
      </c>
      <c r="BO404" s="1685">
        <v>43039</v>
      </c>
      <c r="BP404" s="1683">
        <v>71518.09</v>
      </c>
      <c r="BQ404" s="1683">
        <v>71518.09</v>
      </c>
      <c r="BR404" s="1683">
        <v>60790.36</v>
      </c>
      <c r="BS404" s="1683">
        <v>60790.36</v>
      </c>
      <c r="BT404" s="1683">
        <v>0</v>
      </c>
      <c r="BU404" s="1683">
        <v>10727.73</v>
      </c>
      <c r="BV404" s="1683">
        <v>0</v>
      </c>
      <c r="BW404" s="1683">
        <v>10727.73</v>
      </c>
      <c r="BX404" s="1683">
        <v>0</v>
      </c>
      <c r="BY404" s="1683">
        <v>0</v>
      </c>
      <c r="BZ404" s="1683">
        <v>0</v>
      </c>
      <c r="CA404" s="1400"/>
      <c r="CB404" s="1682"/>
      <c r="CC404" s="1682"/>
      <c r="CD404" s="1400"/>
      <c r="CE404" s="1400"/>
      <c r="CF404" s="1683">
        <v>0</v>
      </c>
      <c r="CG404" s="1683">
        <v>0</v>
      </c>
      <c r="CH404" s="1683">
        <v>0</v>
      </c>
      <c r="CI404" s="1683">
        <v>0</v>
      </c>
      <c r="CJ404" s="1683">
        <v>1240.44</v>
      </c>
      <c r="CK404" s="1683">
        <v>1240.44</v>
      </c>
      <c r="CL404" s="1685">
        <v>43511</v>
      </c>
      <c r="CM404" s="1683">
        <v>71518.09</v>
      </c>
      <c r="CN404" s="1683">
        <v>71518.09</v>
      </c>
      <c r="CO404" s="1683">
        <v>60790.36</v>
      </c>
      <c r="CP404" s="1683">
        <v>60790.36</v>
      </c>
      <c r="CQ404" s="1683">
        <v>0</v>
      </c>
      <c r="CR404" s="1683">
        <v>10727.73</v>
      </c>
      <c r="CS404" s="1683">
        <v>0</v>
      </c>
      <c r="CT404" s="1683">
        <v>10727.73</v>
      </c>
      <c r="CU404" s="1683">
        <v>0</v>
      </c>
      <c r="CV404" s="1683">
        <v>0</v>
      </c>
      <c r="CW404" s="1682"/>
      <c r="CX404" s="1400"/>
      <c r="CY404" s="1400"/>
      <c r="CZ404" s="1400"/>
      <c r="DA404" s="1400"/>
      <c r="DB404" s="1682"/>
      <c r="DC404" s="1326"/>
      <c r="DD404" s="1683">
        <v>0</v>
      </c>
      <c r="DE404" s="1400"/>
      <c r="DF404" s="1400"/>
      <c r="DG404" s="1683">
        <v>0</v>
      </c>
      <c r="DH404" s="1683">
        <v>0</v>
      </c>
    </row>
    <row r="405" spans="1:112" ht="33.75">
      <c r="A405" s="1326" t="s">
        <v>2459</v>
      </c>
      <c r="B405" s="1326" t="s">
        <v>1702</v>
      </c>
      <c r="C405" s="1326" t="s">
        <v>2564</v>
      </c>
      <c r="D405" s="1326" t="s">
        <v>2567</v>
      </c>
      <c r="E405" s="1326" t="s">
        <v>2293</v>
      </c>
      <c r="F405" s="1326" t="s">
        <v>2566</v>
      </c>
      <c r="G405" s="1326" t="s">
        <v>2556</v>
      </c>
      <c r="H405" s="1326" t="s">
        <v>2541</v>
      </c>
      <c r="I405" s="1326" t="s">
        <v>724</v>
      </c>
      <c r="J405" s="1326" t="s">
        <v>277</v>
      </c>
      <c r="K405" s="1326" t="s">
        <v>2060</v>
      </c>
      <c r="L405" s="1326" t="s">
        <v>2061</v>
      </c>
      <c r="M405" s="1400"/>
      <c r="N405" s="1400"/>
      <c r="O405" s="1400"/>
      <c r="P405" s="1400"/>
      <c r="Q405" s="1400"/>
      <c r="R405" s="1400"/>
      <c r="S405" s="1400"/>
      <c r="T405" s="1400"/>
      <c r="U405" s="1400"/>
      <c r="V405" s="1400"/>
      <c r="W405" s="1400"/>
      <c r="X405" s="1400"/>
      <c r="Y405" s="1685">
        <v>43004</v>
      </c>
      <c r="Z405" s="1326" t="s">
        <v>2062</v>
      </c>
      <c r="AA405" s="1683">
        <v>0</v>
      </c>
      <c r="AB405" s="1683">
        <v>0</v>
      </c>
      <c r="AC405" s="1683">
        <v>0</v>
      </c>
      <c r="AD405" s="1685">
        <v>43035</v>
      </c>
      <c r="AE405" s="1326" t="s">
        <v>2088</v>
      </c>
      <c r="AF405" s="1326" t="s">
        <v>2064</v>
      </c>
      <c r="AG405" s="1410"/>
      <c r="AH405" s="1683">
        <v>76585.67</v>
      </c>
      <c r="AI405" s="1683">
        <v>76585.67</v>
      </c>
      <c r="AJ405" s="1683">
        <v>65097.8</v>
      </c>
      <c r="AK405" s="1683">
        <v>65097.8</v>
      </c>
      <c r="AL405" s="1683">
        <v>0</v>
      </c>
      <c r="AM405" s="1685">
        <v>43035</v>
      </c>
      <c r="AN405" s="1683">
        <v>76585.67</v>
      </c>
      <c r="AO405" s="1683">
        <v>76585.67</v>
      </c>
      <c r="AP405" s="1683">
        <v>65097.8</v>
      </c>
      <c r="AQ405" s="1683">
        <v>65097.8</v>
      </c>
      <c r="AR405" s="1683">
        <v>0</v>
      </c>
      <c r="AS405" s="1683">
        <v>11487.87</v>
      </c>
      <c r="AT405" s="1683">
        <v>0</v>
      </c>
      <c r="AU405" s="1683">
        <v>11487.87</v>
      </c>
      <c r="AV405" s="1683">
        <v>0</v>
      </c>
      <c r="AW405" s="1683">
        <v>0</v>
      </c>
      <c r="AX405" s="1400"/>
      <c r="AY405" s="1400"/>
      <c r="AZ405" s="1400"/>
      <c r="BA405" s="1682"/>
      <c r="BB405" s="1682"/>
      <c r="BC405" s="1400"/>
      <c r="BD405" s="1400"/>
      <c r="BE405" s="1683">
        <v>76585.67</v>
      </c>
      <c r="BF405" s="1683">
        <v>76585.67</v>
      </c>
      <c r="BG405" s="1683">
        <v>65097.8</v>
      </c>
      <c r="BH405" s="1683">
        <v>65097.8</v>
      </c>
      <c r="BI405" s="1683">
        <v>0</v>
      </c>
      <c r="BJ405" s="1683">
        <v>11487.87</v>
      </c>
      <c r="BK405" s="1683">
        <v>0</v>
      </c>
      <c r="BL405" s="1683">
        <v>11487.87</v>
      </c>
      <c r="BM405" s="1683">
        <v>0</v>
      </c>
      <c r="BN405" s="1683">
        <v>0</v>
      </c>
      <c r="BO405" s="1685">
        <v>43159</v>
      </c>
      <c r="BP405" s="1683">
        <v>76585.67</v>
      </c>
      <c r="BQ405" s="1683">
        <v>76585.67</v>
      </c>
      <c r="BR405" s="1683">
        <v>65097.8</v>
      </c>
      <c r="BS405" s="1683">
        <v>65097.8</v>
      </c>
      <c r="BT405" s="1683">
        <v>0</v>
      </c>
      <c r="BU405" s="1683">
        <v>11487.87</v>
      </c>
      <c r="BV405" s="1683">
        <v>0</v>
      </c>
      <c r="BW405" s="1683">
        <v>11487.87</v>
      </c>
      <c r="BX405" s="1683">
        <v>0</v>
      </c>
      <c r="BY405" s="1683">
        <v>0</v>
      </c>
      <c r="BZ405" s="1683">
        <v>0</v>
      </c>
      <c r="CA405" s="1400"/>
      <c r="CB405" s="1682"/>
      <c r="CC405" s="1682"/>
      <c r="CD405" s="1400"/>
      <c r="CE405" s="1400"/>
      <c r="CF405" s="1683">
        <v>0</v>
      </c>
      <c r="CG405" s="1683">
        <v>0</v>
      </c>
      <c r="CH405" s="1683">
        <v>0</v>
      </c>
      <c r="CI405" s="1683">
        <v>0</v>
      </c>
      <c r="CJ405" s="1683">
        <v>750.77</v>
      </c>
      <c r="CK405" s="1683">
        <v>750.77</v>
      </c>
      <c r="CL405" s="1685">
        <v>43511</v>
      </c>
      <c r="CM405" s="1683">
        <v>76585.67</v>
      </c>
      <c r="CN405" s="1683">
        <v>76585.67</v>
      </c>
      <c r="CO405" s="1683">
        <v>65097.8</v>
      </c>
      <c r="CP405" s="1683">
        <v>65097.8</v>
      </c>
      <c r="CQ405" s="1683">
        <v>0</v>
      </c>
      <c r="CR405" s="1683">
        <v>11487.87</v>
      </c>
      <c r="CS405" s="1683">
        <v>0</v>
      </c>
      <c r="CT405" s="1683">
        <v>11487.87</v>
      </c>
      <c r="CU405" s="1683">
        <v>0</v>
      </c>
      <c r="CV405" s="1683">
        <v>0</v>
      </c>
      <c r="CW405" s="1682"/>
      <c r="CX405" s="1400"/>
      <c r="CY405" s="1400"/>
      <c r="CZ405" s="1400"/>
      <c r="DA405" s="1400"/>
      <c r="DB405" s="1682"/>
      <c r="DC405" s="1326"/>
      <c r="DD405" s="1683">
        <v>0</v>
      </c>
      <c r="DE405" s="1400"/>
      <c r="DF405" s="1400"/>
      <c r="DG405" s="1683">
        <v>0</v>
      </c>
      <c r="DH405" s="1683">
        <v>0</v>
      </c>
    </row>
    <row r="406" spans="1:112" ht="33.75">
      <c r="A406" s="1326" t="s">
        <v>2460</v>
      </c>
      <c r="B406" s="1326" t="s">
        <v>1702</v>
      </c>
      <c r="C406" s="1326" t="s">
        <v>2564</v>
      </c>
      <c r="D406" s="1326" t="s">
        <v>2567</v>
      </c>
      <c r="E406" s="1326" t="s">
        <v>2293</v>
      </c>
      <c r="F406" s="1326" t="s">
        <v>2566</v>
      </c>
      <c r="G406" s="1326" t="s">
        <v>2556</v>
      </c>
      <c r="H406" s="1326" t="s">
        <v>2541</v>
      </c>
      <c r="I406" s="1326" t="s">
        <v>724</v>
      </c>
      <c r="J406" s="1326" t="s">
        <v>277</v>
      </c>
      <c r="K406" s="1326" t="s">
        <v>2060</v>
      </c>
      <c r="L406" s="1326" t="s">
        <v>2061</v>
      </c>
      <c r="M406" s="1400"/>
      <c r="N406" s="1400"/>
      <c r="O406" s="1400"/>
      <c r="P406" s="1400"/>
      <c r="Q406" s="1400"/>
      <c r="R406" s="1400"/>
      <c r="S406" s="1400"/>
      <c r="T406" s="1400"/>
      <c r="U406" s="1400"/>
      <c r="V406" s="1400"/>
      <c r="W406" s="1400"/>
      <c r="X406" s="1400"/>
      <c r="Y406" s="1685">
        <v>43087</v>
      </c>
      <c r="Z406" s="1326" t="s">
        <v>2062</v>
      </c>
      <c r="AA406" s="1683">
        <v>0</v>
      </c>
      <c r="AB406" s="1683">
        <v>0</v>
      </c>
      <c r="AC406" s="1683">
        <v>0</v>
      </c>
      <c r="AD406" s="1685">
        <v>43123</v>
      </c>
      <c r="AE406" s="1326" t="s">
        <v>2082</v>
      </c>
      <c r="AF406" s="1326" t="s">
        <v>2064</v>
      </c>
      <c r="AG406" s="1410"/>
      <c r="AH406" s="1683">
        <v>75373.100000000006</v>
      </c>
      <c r="AI406" s="1683">
        <v>75373.100000000006</v>
      </c>
      <c r="AJ406" s="1683">
        <v>64067.12</v>
      </c>
      <c r="AK406" s="1683">
        <v>64067.12</v>
      </c>
      <c r="AL406" s="1683">
        <v>0</v>
      </c>
      <c r="AM406" s="1685">
        <v>43123</v>
      </c>
      <c r="AN406" s="1683">
        <v>75373.100000000006</v>
      </c>
      <c r="AO406" s="1683">
        <v>75373.100000000006</v>
      </c>
      <c r="AP406" s="1683">
        <v>64067.12</v>
      </c>
      <c r="AQ406" s="1683">
        <v>64067.12</v>
      </c>
      <c r="AR406" s="1683">
        <v>0</v>
      </c>
      <c r="AS406" s="1683">
        <v>11305.98</v>
      </c>
      <c r="AT406" s="1683">
        <v>0</v>
      </c>
      <c r="AU406" s="1683">
        <v>11305.98</v>
      </c>
      <c r="AV406" s="1683">
        <v>0</v>
      </c>
      <c r="AW406" s="1683">
        <v>0</v>
      </c>
      <c r="AX406" s="1400"/>
      <c r="AY406" s="1400"/>
      <c r="AZ406" s="1400"/>
      <c r="BA406" s="1682"/>
      <c r="BB406" s="1682"/>
      <c r="BC406" s="1400"/>
      <c r="BD406" s="1400"/>
      <c r="BE406" s="1683">
        <v>75373.100000000006</v>
      </c>
      <c r="BF406" s="1683">
        <v>75373.100000000006</v>
      </c>
      <c r="BG406" s="1683">
        <v>64067.12</v>
      </c>
      <c r="BH406" s="1683">
        <v>64067.12</v>
      </c>
      <c r="BI406" s="1683">
        <v>0</v>
      </c>
      <c r="BJ406" s="1683">
        <v>11305.98</v>
      </c>
      <c r="BK406" s="1683">
        <v>0</v>
      </c>
      <c r="BL406" s="1683">
        <v>11305.98</v>
      </c>
      <c r="BM406" s="1683">
        <v>0</v>
      </c>
      <c r="BN406" s="1683">
        <v>0</v>
      </c>
      <c r="BO406" s="1685">
        <v>43206</v>
      </c>
      <c r="BP406" s="1683">
        <v>75373.100000000006</v>
      </c>
      <c r="BQ406" s="1683">
        <v>75373.100000000006</v>
      </c>
      <c r="BR406" s="1683">
        <v>64067.12</v>
      </c>
      <c r="BS406" s="1683">
        <v>64067.12</v>
      </c>
      <c r="BT406" s="1683">
        <v>0</v>
      </c>
      <c r="BU406" s="1683">
        <v>11305.98</v>
      </c>
      <c r="BV406" s="1683">
        <v>0</v>
      </c>
      <c r="BW406" s="1683">
        <v>11305.98</v>
      </c>
      <c r="BX406" s="1683">
        <v>0</v>
      </c>
      <c r="BY406" s="1683">
        <v>0</v>
      </c>
      <c r="BZ406" s="1683">
        <v>0</v>
      </c>
      <c r="CA406" s="1400"/>
      <c r="CB406" s="1682"/>
      <c r="CC406" s="1682"/>
      <c r="CD406" s="1400"/>
      <c r="CE406" s="1400"/>
      <c r="CF406" s="1683">
        <v>0</v>
      </c>
      <c r="CG406" s="1683">
        <v>0</v>
      </c>
      <c r="CH406" s="1683">
        <v>0</v>
      </c>
      <c r="CI406" s="1683">
        <v>0</v>
      </c>
      <c r="CJ406" s="1683">
        <v>738.86</v>
      </c>
      <c r="CK406" s="1683">
        <v>738.86</v>
      </c>
      <c r="CL406" s="1685">
        <v>43511</v>
      </c>
      <c r="CM406" s="1683">
        <v>75373.100000000006</v>
      </c>
      <c r="CN406" s="1683">
        <v>75373.100000000006</v>
      </c>
      <c r="CO406" s="1683">
        <v>64067.12</v>
      </c>
      <c r="CP406" s="1683">
        <v>64067.12</v>
      </c>
      <c r="CQ406" s="1683">
        <v>0</v>
      </c>
      <c r="CR406" s="1683">
        <v>11305.98</v>
      </c>
      <c r="CS406" s="1683">
        <v>0</v>
      </c>
      <c r="CT406" s="1683">
        <v>11305.98</v>
      </c>
      <c r="CU406" s="1683">
        <v>0</v>
      </c>
      <c r="CV406" s="1683">
        <v>0</v>
      </c>
      <c r="CW406" s="1682"/>
      <c r="CX406" s="1400"/>
      <c r="CY406" s="1400"/>
      <c r="CZ406" s="1400"/>
      <c r="DA406" s="1400"/>
      <c r="DB406" s="1682"/>
      <c r="DC406" s="1326"/>
      <c r="DD406" s="1683">
        <v>0</v>
      </c>
      <c r="DE406" s="1400"/>
      <c r="DF406" s="1400"/>
      <c r="DG406" s="1683">
        <v>0</v>
      </c>
      <c r="DH406" s="1683">
        <v>0</v>
      </c>
    </row>
    <row r="407" spans="1:112" ht="33.75">
      <c r="A407" s="1326" t="s">
        <v>2461</v>
      </c>
      <c r="B407" s="1326" t="s">
        <v>1702</v>
      </c>
      <c r="C407" s="1326" t="s">
        <v>2564</v>
      </c>
      <c r="D407" s="1326" t="s">
        <v>2567</v>
      </c>
      <c r="E407" s="1326" t="s">
        <v>2293</v>
      </c>
      <c r="F407" s="1326" t="s">
        <v>2566</v>
      </c>
      <c r="G407" s="1326" t="s">
        <v>2556</v>
      </c>
      <c r="H407" s="1326" t="s">
        <v>2541</v>
      </c>
      <c r="I407" s="1326" t="s">
        <v>724</v>
      </c>
      <c r="J407" s="1326" t="s">
        <v>277</v>
      </c>
      <c r="K407" s="1326" t="s">
        <v>2060</v>
      </c>
      <c r="L407" s="1326" t="s">
        <v>2061</v>
      </c>
      <c r="M407" s="1400"/>
      <c r="N407" s="1400"/>
      <c r="O407" s="1400"/>
      <c r="P407" s="1400"/>
      <c r="Q407" s="1400"/>
      <c r="R407" s="1400"/>
      <c r="S407" s="1400"/>
      <c r="T407" s="1400"/>
      <c r="U407" s="1400"/>
      <c r="V407" s="1400"/>
      <c r="W407" s="1400"/>
      <c r="X407" s="1400"/>
      <c r="Y407" s="1685">
        <v>43174</v>
      </c>
      <c r="Z407" s="1326" t="s">
        <v>2062</v>
      </c>
      <c r="AA407" s="1683">
        <v>0</v>
      </c>
      <c r="AB407" s="1683">
        <v>0</v>
      </c>
      <c r="AC407" s="1683">
        <v>0</v>
      </c>
      <c r="AD407" s="1685">
        <v>43196</v>
      </c>
      <c r="AE407" s="1326" t="s">
        <v>2083</v>
      </c>
      <c r="AF407" s="1326" t="s">
        <v>2064</v>
      </c>
      <c r="AG407" s="1410"/>
      <c r="AH407" s="1683">
        <v>36937.769999999997</v>
      </c>
      <c r="AI407" s="1683">
        <v>36937.769999999997</v>
      </c>
      <c r="AJ407" s="1683">
        <v>31397.1</v>
      </c>
      <c r="AK407" s="1683">
        <v>31397.1</v>
      </c>
      <c r="AL407" s="1683">
        <v>0</v>
      </c>
      <c r="AM407" s="1685">
        <v>43196</v>
      </c>
      <c r="AN407" s="1683">
        <v>36937.769999999997</v>
      </c>
      <c r="AO407" s="1683">
        <v>36937.769999999997</v>
      </c>
      <c r="AP407" s="1683">
        <v>31397.1</v>
      </c>
      <c r="AQ407" s="1683">
        <v>31397.1</v>
      </c>
      <c r="AR407" s="1683">
        <v>0</v>
      </c>
      <c r="AS407" s="1683">
        <v>5540.67</v>
      </c>
      <c r="AT407" s="1683">
        <v>0</v>
      </c>
      <c r="AU407" s="1683">
        <v>5540.67</v>
      </c>
      <c r="AV407" s="1683">
        <v>0</v>
      </c>
      <c r="AW407" s="1683">
        <v>0</v>
      </c>
      <c r="AX407" s="1400"/>
      <c r="AY407" s="1400"/>
      <c r="AZ407" s="1400"/>
      <c r="BA407" s="1682"/>
      <c r="BB407" s="1682"/>
      <c r="BC407" s="1400"/>
      <c r="BD407" s="1400"/>
      <c r="BE407" s="1683">
        <v>36937.769999999997</v>
      </c>
      <c r="BF407" s="1683">
        <v>36937.769999999997</v>
      </c>
      <c r="BG407" s="1683">
        <v>31397.1</v>
      </c>
      <c r="BH407" s="1683">
        <v>31397.1</v>
      </c>
      <c r="BI407" s="1683">
        <v>0</v>
      </c>
      <c r="BJ407" s="1683">
        <v>5540.67</v>
      </c>
      <c r="BK407" s="1683">
        <v>0</v>
      </c>
      <c r="BL407" s="1683">
        <v>5540.67</v>
      </c>
      <c r="BM407" s="1683">
        <v>0</v>
      </c>
      <c r="BN407" s="1683">
        <v>0</v>
      </c>
      <c r="BO407" s="1685">
        <v>43364</v>
      </c>
      <c r="BP407" s="1683">
        <v>36937.769999999997</v>
      </c>
      <c r="BQ407" s="1683">
        <v>36937.769999999997</v>
      </c>
      <c r="BR407" s="1683">
        <v>31397.1</v>
      </c>
      <c r="BS407" s="1683">
        <v>31397.1</v>
      </c>
      <c r="BT407" s="1683">
        <v>0</v>
      </c>
      <c r="BU407" s="1683">
        <v>5540.67</v>
      </c>
      <c r="BV407" s="1683">
        <v>0</v>
      </c>
      <c r="BW407" s="1683">
        <v>0</v>
      </c>
      <c r="BX407" s="1683">
        <v>0</v>
      </c>
      <c r="BY407" s="1683">
        <v>0</v>
      </c>
      <c r="BZ407" s="1683">
        <v>0</v>
      </c>
      <c r="CA407" s="1400"/>
      <c r="CB407" s="1682"/>
      <c r="CC407" s="1682"/>
      <c r="CD407" s="1400"/>
      <c r="CE407" s="1400"/>
      <c r="CF407" s="1683">
        <v>0</v>
      </c>
      <c r="CG407" s="1683">
        <v>0</v>
      </c>
      <c r="CH407" s="1683">
        <v>0</v>
      </c>
      <c r="CI407" s="1683">
        <v>0</v>
      </c>
      <c r="CJ407" s="1683">
        <v>361.84</v>
      </c>
      <c r="CK407" s="1683">
        <v>361.84</v>
      </c>
      <c r="CL407" s="1682"/>
      <c r="CM407" s="1683">
        <v>0</v>
      </c>
      <c r="CN407" s="1683">
        <v>0</v>
      </c>
      <c r="CO407" s="1683">
        <v>0</v>
      </c>
      <c r="CP407" s="1683">
        <v>0</v>
      </c>
      <c r="CQ407" s="1683">
        <v>0</v>
      </c>
      <c r="CR407" s="1683">
        <v>0</v>
      </c>
      <c r="CS407" s="1683">
        <v>0</v>
      </c>
      <c r="CT407" s="1683">
        <v>0</v>
      </c>
      <c r="CU407" s="1683">
        <v>0</v>
      </c>
      <c r="CV407" s="1683">
        <v>0</v>
      </c>
      <c r="CW407" s="1682"/>
      <c r="CX407" s="1400"/>
      <c r="CY407" s="1400"/>
      <c r="CZ407" s="1400"/>
      <c r="DA407" s="1400"/>
      <c r="DB407" s="1682"/>
      <c r="DC407" s="1326"/>
      <c r="DD407" s="1683">
        <v>0</v>
      </c>
      <c r="DE407" s="1400"/>
      <c r="DF407" s="1400"/>
      <c r="DG407" s="1683">
        <v>0</v>
      </c>
      <c r="DH407" s="1683">
        <v>0</v>
      </c>
    </row>
    <row r="408" spans="1:112" ht="33.75">
      <c r="A408" s="1326" t="s">
        <v>2462</v>
      </c>
      <c r="B408" s="1326" t="s">
        <v>1702</v>
      </c>
      <c r="C408" s="1326" t="s">
        <v>2564</v>
      </c>
      <c r="D408" s="1326" t="s">
        <v>2567</v>
      </c>
      <c r="E408" s="1326" t="s">
        <v>2293</v>
      </c>
      <c r="F408" s="1326" t="s">
        <v>2566</v>
      </c>
      <c r="G408" s="1326" t="s">
        <v>2556</v>
      </c>
      <c r="H408" s="1326" t="s">
        <v>2541</v>
      </c>
      <c r="I408" s="1326" t="s">
        <v>724</v>
      </c>
      <c r="J408" s="1326" t="s">
        <v>277</v>
      </c>
      <c r="K408" s="1326" t="s">
        <v>2060</v>
      </c>
      <c r="L408" s="1326" t="s">
        <v>2061</v>
      </c>
      <c r="M408" s="1400"/>
      <c r="N408" s="1400"/>
      <c r="O408" s="1400"/>
      <c r="P408" s="1400"/>
      <c r="Q408" s="1400"/>
      <c r="R408" s="1400"/>
      <c r="S408" s="1400"/>
      <c r="T408" s="1400"/>
      <c r="U408" s="1400"/>
      <c r="V408" s="1400"/>
      <c r="W408" s="1400"/>
      <c r="X408" s="1400"/>
      <c r="Y408" s="1685">
        <v>43266</v>
      </c>
      <c r="Z408" s="1326" t="s">
        <v>2062</v>
      </c>
      <c r="AA408" s="1683">
        <v>0</v>
      </c>
      <c r="AB408" s="1683">
        <v>0</v>
      </c>
      <c r="AC408" s="1683">
        <v>0</v>
      </c>
      <c r="AD408" s="1685">
        <v>43301</v>
      </c>
      <c r="AE408" s="1326" t="s">
        <v>2304</v>
      </c>
      <c r="AF408" s="1326" t="s">
        <v>2064</v>
      </c>
      <c r="AG408" s="1410"/>
      <c r="AH408" s="1683">
        <v>36820.410000000003</v>
      </c>
      <c r="AI408" s="1683">
        <v>36820.410000000003</v>
      </c>
      <c r="AJ408" s="1683">
        <v>31297.34</v>
      </c>
      <c r="AK408" s="1683">
        <v>31297.34</v>
      </c>
      <c r="AL408" s="1683">
        <v>0</v>
      </c>
      <c r="AM408" s="1685">
        <v>43301</v>
      </c>
      <c r="AN408" s="1683">
        <v>36820.410000000003</v>
      </c>
      <c r="AO408" s="1683">
        <v>36820.410000000003</v>
      </c>
      <c r="AP408" s="1683">
        <v>31297.34</v>
      </c>
      <c r="AQ408" s="1683">
        <v>31297.34</v>
      </c>
      <c r="AR408" s="1683">
        <v>0</v>
      </c>
      <c r="AS408" s="1683">
        <v>5523.07</v>
      </c>
      <c r="AT408" s="1683">
        <v>0</v>
      </c>
      <c r="AU408" s="1683">
        <v>5523.07</v>
      </c>
      <c r="AV408" s="1683">
        <v>0</v>
      </c>
      <c r="AW408" s="1683">
        <v>0</v>
      </c>
      <c r="AX408" s="1400"/>
      <c r="AY408" s="1400"/>
      <c r="AZ408" s="1400"/>
      <c r="BA408" s="1682"/>
      <c r="BB408" s="1682"/>
      <c r="BC408" s="1400"/>
      <c r="BD408" s="1400"/>
      <c r="BE408" s="1683">
        <v>36820.410000000003</v>
      </c>
      <c r="BF408" s="1683">
        <v>36820.410000000003</v>
      </c>
      <c r="BG408" s="1683">
        <v>31297.34</v>
      </c>
      <c r="BH408" s="1683">
        <v>31297.34</v>
      </c>
      <c r="BI408" s="1683">
        <v>0</v>
      </c>
      <c r="BJ408" s="1683">
        <v>5523.07</v>
      </c>
      <c r="BK408" s="1683">
        <v>0</v>
      </c>
      <c r="BL408" s="1683">
        <v>5523.07</v>
      </c>
      <c r="BM408" s="1683">
        <v>0</v>
      </c>
      <c r="BN408" s="1683">
        <v>0</v>
      </c>
      <c r="BO408" s="1685">
        <v>43364</v>
      </c>
      <c r="BP408" s="1683">
        <v>36820.410000000003</v>
      </c>
      <c r="BQ408" s="1683">
        <v>36820.410000000003</v>
      </c>
      <c r="BR408" s="1683">
        <v>31297.34</v>
      </c>
      <c r="BS408" s="1683">
        <v>31297.34</v>
      </c>
      <c r="BT408" s="1683">
        <v>0</v>
      </c>
      <c r="BU408" s="1683">
        <v>5523.07</v>
      </c>
      <c r="BV408" s="1683">
        <v>0</v>
      </c>
      <c r="BW408" s="1683">
        <v>0</v>
      </c>
      <c r="BX408" s="1683">
        <v>0</v>
      </c>
      <c r="BY408" s="1683">
        <v>0</v>
      </c>
      <c r="BZ408" s="1683">
        <v>0</v>
      </c>
      <c r="CA408" s="1400"/>
      <c r="CB408" s="1682"/>
      <c r="CC408" s="1682"/>
      <c r="CD408" s="1400"/>
      <c r="CE408" s="1400"/>
      <c r="CF408" s="1683">
        <v>0</v>
      </c>
      <c r="CG408" s="1683">
        <v>0</v>
      </c>
      <c r="CH408" s="1683">
        <v>0</v>
      </c>
      <c r="CI408" s="1683">
        <v>0</v>
      </c>
      <c r="CJ408" s="1683">
        <v>360.95</v>
      </c>
      <c r="CK408" s="1683">
        <v>360.95</v>
      </c>
      <c r="CL408" s="1682"/>
      <c r="CM408" s="1683">
        <v>0</v>
      </c>
      <c r="CN408" s="1683">
        <v>0</v>
      </c>
      <c r="CO408" s="1683">
        <v>0</v>
      </c>
      <c r="CP408" s="1683">
        <v>0</v>
      </c>
      <c r="CQ408" s="1683">
        <v>0</v>
      </c>
      <c r="CR408" s="1683">
        <v>0</v>
      </c>
      <c r="CS408" s="1683">
        <v>0</v>
      </c>
      <c r="CT408" s="1683">
        <v>0</v>
      </c>
      <c r="CU408" s="1683">
        <v>0</v>
      </c>
      <c r="CV408" s="1683">
        <v>0</v>
      </c>
      <c r="CW408" s="1682"/>
      <c r="CX408" s="1400"/>
      <c r="CY408" s="1400"/>
      <c r="CZ408" s="1400"/>
      <c r="DA408" s="1400"/>
      <c r="DB408" s="1682"/>
      <c r="DC408" s="1326"/>
      <c r="DD408" s="1683">
        <v>0</v>
      </c>
      <c r="DE408" s="1400"/>
      <c r="DF408" s="1400"/>
      <c r="DG408" s="1683">
        <v>0</v>
      </c>
      <c r="DH408" s="1683">
        <v>0</v>
      </c>
    </row>
    <row r="409" spans="1:112" ht="33.75">
      <c r="A409" s="1326" t="s">
        <v>2463</v>
      </c>
      <c r="B409" s="1326" t="s">
        <v>1702</v>
      </c>
      <c r="C409" s="1326" t="s">
        <v>2564</v>
      </c>
      <c r="D409" s="1326" t="s">
        <v>2567</v>
      </c>
      <c r="E409" s="1326" t="s">
        <v>2293</v>
      </c>
      <c r="F409" s="1326" t="s">
        <v>2566</v>
      </c>
      <c r="G409" s="1326" t="s">
        <v>2556</v>
      </c>
      <c r="H409" s="1326" t="s">
        <v>2541</v>
      </c>
      <c r="I409" s="1326" t="s">
        <v>724</v>
      </c>
      <c r="J409" s="1326" t="s">
        <v>277</v>
      </c>
      <c r="K409" s="1326" t="s">
        <v>2060</v>
      </c>
      <c r="L409" s="1326" t="s">
        <v>2061</v>
      </c>
      <c r="M409" s="1400"/>
      <c r="N409" s="1400"/>
      <c r="O409" s="1400"/>
      <c r="P409" s="1400"/>
      <c r="Q409" s="1400"/>
      <c r="R409" s="1400"/>
      <c r="S409" s="1400"/>
      <c r="T409" s="1400"/>
      <c r="U409" s="1400"/>
      <c r="V409" s="1400"/>
      <c r="W409" s="1400"/>
      <c r="X409" s="1400"/>
      <c r="Y409" s="1685">
        <v>43355</v>
      </c>
      <c r="Z409" s="1326" t="s">
        <v>2062</v>
      </c>
      <c r="AA409" s="1683">
        <v>0</v>
      </c>
      <c r="AB409" s="1683">
        <v>0</v>
      </c>
      <c r="AC409" s="1683">
        <v>0</v>
      </c>
      <c r="AD409" s="1685">
        <v>43427</v>
      </c>
      <c r="AE409" s="1326" t="s">
        <v>2337</v>
      </c>
      <c r="AF409" s="1326" t="s">
        <v>2064</v>
      </c>
      <c r="AG409" s="1410"/>
      <c r="AH409" s="1683">
        <v>27698.83</v>
      </c>
      <c r="AI409" s="1683">
        <v>27698.83</v>
      </c>
      <c r="AJ409" s="1683">
        <v>23544.01</v>
      </c>
      <c r="AK409" s="1683">
        <v>23544.01</v>
      </c>
      <c r="AL409" s="1683">
        <v>0</v>
      </c>
      <c r="AM409" s="1685">
        <v>43427</v>
      </c>
      <c r="AN409" s="1683">
        <v>27698.83</v>
      </c>
      <c r="AO409" s="1683">
        <v>27698.83</v>
      </c>
      <c r="AP409" s="1683">
        <v>23544.01</v>
      </c>
      <c r="AQ409" s="1683">
        <v>23544.01</v>
      </c>
      <c r="AR409" s="1683">
        <v>0</v>
      </c>
      <c r="AS409" s="1683">
        <v>4154.82</v>
      </c>
      <c r="AT409" s="1683">
        <v>0</v>
      </c>
      <c r="AU409" s="1683">
        <v>4154.82</v>
      </c>
      <c r="AV409" s="1683">
        <v>0</v>
      </c>
      <c r="AW409" s="1683">
        <v>0</v>
      </c>
      <c r="AX409" s="1400"/>
      <c r="AY409" s="1400"/>
      <c r="AZ409" s="1400"/>
      <c r="BA409" s="1682"/>
      <c r="BB409" s="1682"/>
      <c r="BC409" s="1400"/>
      <c r="BD409" s="1400"/>
      <c r="BE409" s="1683">
        <v>27698.83</v>
      </c>
      <c r="BF409" s="1683">
        <v>27698.83</v>
      </c>
      <c r="BG409" s="1683">
        <v>23544.01</v>
      </c>
      <c r="BH409" s="1683">
        <v>23544.01</v>
      </c>
      <c r="BI409" s="1683">
        <v>0</v>
      </c>
      <c r="BJ409" s="1683">
        <v>4154.82</v>
      </c>
      <c r="BK409" s="1683">
        <v>0</v>
      </c>
      <c r="BL409" s="1683">
        <v>4154.82</v>
      </c>
      <c r="BM409" s="1683">
        <v>0</v>
      </c>
      <c r="BN409" s="1683">
        <v>0</v>
      </c>
      <c r="BO409" s="1685">
        <v>43453</v>
      </c>
      <c r="BP409" s="1683">
        <v>27698.83</v>
      </c>
      <c r="BQ409" s="1683">
        <v>27698.83</v>
      </c>
      <c r="BR409" s="1683">
        <v>23544.01</v>
      </c>
      <c r="BS409" s="1683">
        <v>23544.01</v>
      </c>
      <c r="BT409" s="1683">
        <v>0</v>
      </c>
      <c r="BU409" s="1683">
        <v>4154.82</v>
      </c>
      <c r="BV409" s="1683">
        <v>0</v>
      </c>
      <c r="BW409" s="1683">
        <v>0</v>
      </c>
      <c r="BX409" s="1683">
        <v>0</v>
      </c>
      <c r="BY409" s="1683">
        <v>0</v>
      </c>
      <c r="BZ409" s="1683">
        <v>0</v>
      </c>
      <c r="CA409" s="1400"/>
      <c r="CB409" s="1682"/>
      <c r="CC409" s="1682"/>
      <c r="CD409" s="1400"/>
      <c r="CE409" s="1400"/>
      <c r="CF409" s="1683">
        <v>0</v>
      </c>
      <c r="CG409" s="1683">
        <v>0</v>
      </c>
      <c r="CH409" s="1683">
        <v>0</v>
      </c>
      <c r="CI409" s="1683">
        <v>0</v>
      </c>
      <c r="CJ409" s="1683">
        <v>271.52999999999997</v>
      </c>
      <c r="CK409" s="1683">
        <v>271.52999999999997</v>
      </c>
      <c r="CL409" s="1682"/>
      <c r="CM409" s="1683">
        <v>0</v>
      </c>
      <c r="CN409" s="1683">
        <v>0</v>
      </c>
      <c r="CO409" s="1683">
        <v>0</v>
      </c>
      <c r="CP409" s="1683">
        <v>0</v>
      </c>
      <c r="CQ409" s="1683">
        <v>0</v>
      </c>
      <c r="CR409" s="1683">
        <v>0</v>
      </c>
      <c r="CS409" s="1683">
        <v>0</v>
      </c>
      <c r="CT409" s="1683">
        <v>0</v>
      </c>
      <c r="CU409" s="1683">
        <v>0</v>
      </c>
      <c r="CV409" s="1683">
        <v>0</v>
      </c>
      <c r="CW409" s="1682"/>
      <c r="CX409" s="1400"/>
      <c r="CY409" s="1400"/>
      <c r="CZ409" s="1400"/>
      <c r="DA409" s="1400"/>
      <c r="DB409" s="1682"/>
      <c r="DC409" s="1326"/>
      <c r="DD409" s="1683">
        <v>0</v>
      </c>
      <c r="DE409" s="1400"/>
      <c r="DF409" s="1400"/>
      <c r="DG409" s="1683">
        <v>0</v>
      </c>
      <c r="DH409" s="1683">
        <v>0</v>
      </c>
    </row>
    <row r="410" spans="1:112" ht="33.75">
      <c r="A410" s="1326" t="s">
        <v>2464</v>
      </c>
      <c r="B410" s="1326" t="s">
        <v>1702</v>
      </c>
      <c r="C410" s="1326" t="s">
        <v>2564</v>
      </c>
      <c r="D410" s="1326" t="s">
        <v>2567</v>
      </c>
      <c r="E410" s="1326" t="s">
        <v>2293</v>
      </c>
      <c r="F410" s="1326" t="s">
        <v>2566</v>
      </c>
      <c r="G410" s="1326" t="s">
        <v>2556</v>
      </c>
      <c r="H410" s="1326" t="s">
        <v>2541</v>
      </c>
      <c r="I410" s="1326" t="s">
        <v>724</v>
      </c>
      <c r="J410" s="1326" t="s">
        <v>277</v>
      </c>
      <c r="K410" s="1326" t="s">
        <v>2060</v>
      </c>
      <c r="L410" s="1326" t="s">
        <v>2061</v>
      </c>
      <c r="M410" s="1400"/>
      <c r="N410" s="1400"/>
      <c r="O410" s="1400"/>
      <c r="P410" s="1400"/>
      <c r="Q410" s="1400"/>
      <c r="R410" s="1400"/>
      <c r="S410" s="1400"/>
      <c r="T410" s="1400"/>
      <c r="U410" s="1400"/>
      <c r="V410" s="1400"/>
      <c r="W410" s="1400"/>
      <c r="X410" s="1400"/>
      <c r="Y410" s="1685">
        <v>43376</v>
      </c>
      <c r="Z410" s="1326" t="s">
        <v>2062</v>
      </c>
      <c r="AA410" s="1683">
        <v>0</v>
      </c>
      <c r="AB410" s="1683">
        <v>0</v>
      </c>
      <c r="AC410" s="1683">
        <v>0</v>
      </c>
      <c r="AD410" s="1685">
        <v>43427</v>
      </c>
      <c r="AE410" s="1326" t="s">
        <v>2339</v>
      </c>
      <c r="AF410" s="1326" t="s">
        <v>2064</v>
      </c>
      <c r="AG410" s="1410"/>
      <c r="AH410" s="1683">
        <v>13997.78</v>
      </c>
      <c r="AI410" s="1683">
        <v>13997.78</v>
      </c>
      <c r="AJ410" s="1683">
        <v>11898.11</v>
      </c>
      <c r="AK410" s="1683">
        <v>11898.11</v>
      </c>
      <c r="AL410" s="1683">
        <v>0</v>
      </c>
      <c r="AM410" s="1685">
        <v>43427</v>
      </c>
      <c r="AN410" s="1683">
        <v>13997.78</v>
      </c>
      <c r="AO410" s="1683">
        <v>13997.78</v>
      </c>
      <c r="AP410" s="1683">
        <v>11898.11</v>
      </c>
      <c r="AQ410" s="1683">
        <v>11898.11</v>
      </c>
      <c r="AR410" s="1683">
        <v>0</v>
      </c>
      <c r="AS410" s="1683">
        <v>2099.67</v>
      </c>
      <c r="AT410" s="1683">
        <v>0</v>
      </c>
      <c r="AU410" s="1683">
        <v>2099.67</v>
      </c>
      <c r="AV410" s="1683">
        <v>0</v>
      </c>
      <c r="AW410" s="1683">
        <v>0</v>
      </c>
      <c r="AX410" s="1400"/>
      <c r="AY410" s="1400"/>
      <c r="AZ410" s="1400"/>
      <c r="BA410" s="1682"/>
      <c r="BB410" s="1682"/>
      <c r="BC410" s="1400"/>
      <c r="BD410" s="1400"/>
      <c r="BE410" s="1683">
        <v>13997.78</v>
      </c>
      <c r="BF410" s="1683">
        <v>13997.78</v>
      </c>
      <c r="BG410" s="1683">
        <v>11898.11</v>
      </c>
      <c r="BH410" s="1683">
        <v>11898.11</v>
      </c>
      <c r="BI410" s="1683">
        <v>0</v>
      </c>
      <c r="BJ410" s="1683">
        <v>2099.67</v>
      </c>
      <c r="BK410" s="1683">
        <v>0</v>
      </c>
      <c r="BL410" s="1683">
        <v>2099.67</v>
      </c>
      <c r="BM410" s="1683">
        <v>0</v>
      </c>
      <c r="BN410" s="1683">
        <v>0</v>
      </c>
      <c r="BO410" s="1685">
        <v>43453</v>
      </c>
      <c r="BP410" s="1683">
        <v>13997.78</v>
      </c>
      <c r="BQ410" s="1683">
        <v>13997.78</v>
      </c>
      <c r="BR410" s="1683">
        <v>11898.11</v>
      </c>
      <c r="BS410" s="1683">
        <v>11898.11</v>
      </c>
      <c r="BT410" s="1683">
        <v>0</v>
      </c>
      <c r="BU410" s="1683">
        <v>2099.67</v>
      </c>
      <c r="BV410" s="1683">
        <v>0</v>
      </c>
      <c r="BW410" s="1683">
        <v>0</v>
      </c>
      <c r="BX410" s="1683">
        <v>0</v>
      </c>
      <c r="BY410" s="1683">
        <v>0</v>
      </c>
      <c r="BZ410" s="1683">
        <v>0</v>
      </c>
      <c r="CA410" s="1400"/>
      <c r="CB410" s="1682"/>
      <c r="CC410" s="1682"/>
      <c r="CD410" s="1400"/>
      <c r="CE410" s="1400"/>
      <c r="CF410" s="1683">
        <v>0</v>
      </c>
      <c r="CG410" s="1683">
        <v>0</v>
      </c>
      <c r="CH410" s="1683">
        <v>0</v>
      </c>
      <c r="CI410" s="1683">
        <v>0</v>
      </c>
      <c r="CJ410" s="1683">
        <v>137.22</v>
      </c>
      <c r="CK410" s="1683">
        <v>137.22</v>
      </c>
      <c r="CL410" s="1682"/>
      <c r="CM410" s="1683">
        <v>0</v>
      </c>
      <c r="CN410" s="1683">
        <v>0</v>
      </c>
      <c r="CO410" s="1683">
        <v>0</v>
      </c>
      <c r="CP410" s="1683">
        <v>0</v>
      </c>
      <c r="CQ410" s="1683">
        <v>0</v>
      </c>
      <c r="CR410" s="1683">
        <v>0</v>
      </c>
      <c r="CS410" s="1683">
        <v>0</v>
      </c>
      <c r="CT410" s="1683">
        <v>0</v>
      </c>
      <c r="CU410" s="1683">
        <v>0</v>
      </c>
      <c r="CV410" s="1683">
        <v>0</v>
      </c>
      <c r="CW410" s="1682"/>
      <c r="CX410" s="1400"/>
      <c r="CY410" s="1400"/>
      <c r="CZ410" s="1400"/>
      <c r="DA410" s="1400"/>
      <c r="DB410" s="1682"/>
      <c r="DC410" s="1326"/>
      <c r="DD410" s="1683">
        <v>0</v>
      </c>
      <c r="DE410" s="1400"/>
      <c r="DF410" s="1400"/>
      <c r="DG410" s="1683">
        <v>0</v>
      </c>
      <c r="DH410" s="1683">
        <v>0</v>
      </c>
    </row>
    <row r="411" spans="1:112" ht="33.75">
      <c r="A411" s="1326" t="s">
        <v>2465</v>
      </c>
      <c r="B411" s="1326" t="s">
        <v>1702</v>
      </c>
      <c r="C411" s="1326" t="s">
        <v>2564</v>
      </c>
      <c r="D411" s="1326" t="s">
        <v>2567</v>
      </c>
      <c r="E411" s="1326" t="s">
        <v>2293</v>
      </c>
      <c r="F411" s="1326" t="s">
        <v>2566</v>
      </c>
      <c r="G411" s="1326" t="s">
        <v>2556</v>
      </c>
      <c r="H411" s="1326" t="s">
        <v>2541</v>
      </c>
      <c r="I411" s="1326" t="s">
        <v>724</v>
      </c>
      <c r="J411" s="1326" t="s">
        <v>277</v>
      </c>
      <c r="K411" s="1326" t="s">
        <v>2060</v>
      </c>
      <c r="L411" s="1326" t="s">
        <v>2061</v>
      </c>
      <c r="M411" s="1400"/>
      <c r="N411" s="1400"/>
      <c r="O411" s="1400"/>
      <c r="P411" s="1400"/>
      <c r="Q411" s="1400"/>
      <c r="R411" s="1400"/>
      <c r="S411" s="1400"/>
      <c r="T411" s="1400"/>
      <c r="U411" s="1400"/>
      <c r="V411" s="1400"/>
      <c r="W411" s="1400"/>
      <c r="X411" s="1400"/>
      <c r="Y411" s="1685">
        <v>43445</v>
      </c>
      <c r="Z411" s="1326" t="s">
        <v>2062</v>
      </c>
      <c r="AA411" s="1683">
        <v>0</v>
      </c>
      <c r="AB411" s="1683">
        <v>0</v>
      </c>
      <c r="AC411" s="1683">
        <v>0</v>
      </c>
      <c r="AD411" s="1685">
        <v>43488</v>
      </c>
      <c r="AE411" s="1326" t="s">
        <v>2341</v>
      </c>
      <c r="AF411" s="1326" t="s">
        <v>2064</v>
      </c>
      <c r="AG411" s="1410"/>
      <c r="AH411" s="1683">
        <v>35098.519999999997</v>
      </c>
      <c r="AI411" s="1683">
        <v>35098.519999999997</v>
      </c>
      <c r="AJ411" s="1683">
        <v>29833.73</v>
      </c>
      <c r="AK411" s="1683">
        <v>29833.73</v>
      </c>
      <c r="AL411" s="1683">
        <v>0</v>
      </c>
      <c r="AM411" s="1685">
        <v>43488</v>
      </c>
      <c r="AN411" s="1683">
        <v>35098.519999999997</v>
      </c>
      <c r="AO411" s="1683">
        <v>35098.519999999997</v>
      </c>
      <c r="AP411" s="1683">
        <v>29833.73</v>
      </c>
      <c r="AQ411" s="1683">
        <v>29833.73</v>
      </c>
      <c r="AR411" s="1683">
        <v>0</v>
      </c>
      <c r="AS411" s="1683">
        <v>5264.79</v>
      </c>
      <c r="AT411" s="1683">
        <v>0</v>
      </c>
      <c r="AU411" s="1683">
        <v>5264.79</v>
      </c>
      <c r="AV411" s="1683">
        <v>0</v>
      </c>
      <c r="AW411" s="1683">
        <v>0</v>
      </c>
      <c r="AX411" s="1400"/>
      <c r="AY411" s="1400"/>
      <c r="AZ411" s="1400"/>
      <c r="BA411" s="1682"/>
      <c r="BB411" s="1682"/>
      <c r="BC411" s="1400"/>
      <c r="BD411" s="1400"/>
      <c r="BE411" s="1683">
        <v>35098.519999999997</v>
      </c>
      <c r="BF411" s="1683">
        <v>35098.519999999997</v>
      </c>
      <c r="BG411" s="1683">
        <v>29833.73</v>
      </c>
      <c r="BH411" s="1683">
        <v>29833.73</v>
      </c>
      <c r="BI411" s="1683">
        <v>0</v>
      </c>
      <c r="BJ411" s="1683">
        <v>5264.79</v>
      </c>
      <c r="BK411" s="1683">
        <v>0</v>
      </c>
      <c r="BL411" s="1683">
        <v>5264.79</v>
      </c>
      <c r="BM411" s="1683">
        <v>0</v>
      </c>
      <c r="BN411" s="1683">
        <v>0</v>
      </c>
      <c r="BO411" s="1682"/>
      <c r="BP411" s="1683">
        <v>0</v>
      </c>
      <c r="BQ411" s="1683">
        <v>0</v>
      </c>
      <c r="BR411" s="1683">
        <v>0</v>
      </c>
      <c r="BS411" s="1683">
        <v>0</v>
      </c>
      <c r="BT411" s="1683">
        <v>0</v>
      </c>
      <c r="BU411" s="1683">
        <v>0</v>
      </c>
      <c r="BV411" s="1683">
        <v>0</v>
      </c>
      <c r="BW411" s="1683">
        <v>0</v>
      </c>
      <c r="BX411" s="1683">
        <v>0</v>
      </c>
      <c r="BY411" s="1683">
        <v>0</v>
      </c>
      <c r="BZ411" s="1400"/>
      <c r="CA411" s="1400"/>
      <c r="CB411" s="1682"/>
      <c r="CC411" s="1682"/>
      <c r="CD411" s="1400"/>
      <c r="CE411" s="1400"/>
      <c r="CF411" s="1683">
        <v>0</v>
      </c>
      <c r="CG411" s="1683">
        <v>0</v>
      </c>
      <c r="CH411" s="1683">
        <v>0</v>
      </c>
      <c r="CI411" s="1683">
        <v>0</v>
      </c>
      <c r="CJ411" s="1683">
        <v>0</v>
      </c>
      <c r="CK411" s="1683">
        <v>0</v>
      </c>
      <c r="CL411" s="1682"/>
      <c r="CM411" s="1683">
        <v>0</v>
      </c>
      <c r="CN411" s="1683">
        <v>0</v>
      </c>
      <c r="CO411" s="1683">
        <v>0</v>
      </c>
      <c r="CP411" s="1683">
        <v>0</v>
      </c>
      <c r="CQ411" s="1683">
        <v>0</v>
      </c>
      <c r="CR411" s="1683">
        <v>0</v>
      </c>
      <c r="CS411" s="1683">
        <v>0</v>
      </c>
      <c r="CT411" s="1683">
        <v>0</v>
      </c>
      <c r="CU411" s="1683">
        <v>0</v>
      </c>
      <c r="CV411" s="1683">
        <v>0</v>
      </c>
      <c r="CW411" s="1682"/>
      <c r="CX411" s="1400"/>
      <c r="CY411" s="1400"/>
      <c r="CZ411" s="1400"/>
      <c r="DA411" s="1400"/>
      <c r="DB411" s="1682"/>
      <c r="DC411" s="1326"/>
      <c r="DD411" s="1683">
        <v>0</v>
      </c>
      <c r="DE411" s="1400"/>
      <c r="DF411" s="1400"/>
      <c r="DG411" s="1683">
        <v>0</v>
      </c>
      <c r="DH411" s="1683">
        <v>0</v>
      </c>
    </row>
    <row r="412" spans="1:112" ht="22.5">
      <c r="A412" s="1326" t="s">
        <v>2466</v>
      </c>
      <c r="B412" s="1326" t="s">
        <v>1702</v>
      </c>
      <c r="C412" s="1326" t="s">
        <v>2564</v>
      </c>
      <c r="D412" s="1326" t="s">
        <v>2567</v>
      </c>
      <c r="E412" s="1326" t="s">
        <v>2293</v>
      </c>
      <c r="F412" s="1326" t="s">
        <v>2566</v>
      </c>
      <c r="G412" s="1326" t="s">
        <v>2556</v>
      </c>
      <c r="H412" s="1326" t="s">
        <v>2541</v>
      </c>
      <c r="I412" s="1326" t="s">
        <v>725</v>
      </c>
      <c r="J412" s="1326" t="s">
        <v>219</v>
      </c>
      <c r="K412" s="1326" t="s">
        <v>2071</v>
      </c>
      <c r="L412" s="1326" t="s">
        <v>2061</v>
      </c>
      <c r="M412" s="1683">
        <v>891741.18</v>
      </c>
      <c r="N412" s="1683">
        <v>0</v>
      </c>
      <c r="O412" s="1683">
        <v>891741.18</v>
      </c>
      <c r="P412" s="1683">
        <v>891741.18</v>
      </c>
      <c r="Q412" s="1683">
        <v>757980</v>
      </c>
      <c r="R412" s="1683">
        <v>757980</v>
      </c>
      <c r="S412" s="1683">
        <v>0</v>
      </c>
      <c r="T412" s="1683">
        <v>133761.18</v>
      </c>
      <c r="U412" s="1683">
        <v>0</v>
      </c>
      <c r="V412" s="1683">
        <v>133761.18</v>
      </c>
      <c r="W412" s="1683">
        <v>0</v>
      </c>
      <c r="X412" s="1683">
        <v>0</v>
      </c>
      <c r="Y412" s="1682"/>
      <c r="Z412" s="1326"/>
      <c r="AA412" s="1683">
        <v>0</v>
      </c>
      <c r="AB412" s="1683">
        <v>0</v>
      </c>
      <c r="AC412" s="1683">
        <v>0</v>
      </c>
      <c r="AD412" s="1682"/>
      <c r="AE412" s="1326"/>
      <c r="AF412" s="1326"/>
      <c r="AG412" s="1410"/>
      <c r="AH412" s="1683">
        <v>523467.61</v>
      </c>
      <c r="AI412" s="1683">
        <v>664377.61</v>
      </c>
      <c r="AJ412" s="1683">
        <v>585857.47</v>
      </c>
      <c r="AK412" s="1683">
        <v>585857.47</v>
      </c>
      <c r="AL412" s="1683">
        <v>0</v>
      </c>
      <c r="AM412" s="1682"/>
      <c r="AN412" s="1683">
        <v>523467.61</v>
      </c>
      <c r="AO412" s="1683">
        <v>523467.61</v>
      </c>
      <c r="AP412" s="1683">
        <v>444947.47</v>
      </c>
      <c r="AQ412" s="1683">
        <v>444947.47</v>
      </c>
      <c r="AR412" s="1683">
        <v>0</v>
      </c>
      <c r="AS412" s="1683">
        <v>78520.14</v>
      </c>
      <c r="AT412" s="1683">
        <v>0</v>
      </c>
      <c r="AU412" s="1683">
        <v>78520.14</v>
      </c>
      <c r="AV412" s="1683">
        <v>0</v>
      </c>
      <c r="AW412" s="1683">
        <v>0</v>
      </c>
      <c r="AX412" s="1683">
        <v>0</v>
      </c>
      <c r="AY412" s="1683">
        <v>0</v>
      </c>
      <c r="AZ412" s="1683">
        <v>0</v>
      </c>
      <c r="BA412" s="1682"/>
      <c r="BB412" s="1682"/>
      <c r="BC412" s="1683">
        <v>0</v>
      </c>
      <c r="BD412" s="1683">
        <v>0</v>
      </c>
      <c r="BE412" s="1683">
        <v>523467.61</v>
      </c>
      <c r="BF412" s="1683">
        <v>523467.61</v>
      </c>
      <c r="BG412" s="1683">
        <v>444947.47</v>
      </c>
      <c r="BH412" s="1683">
        <v>444947.47</v>
      </c>
      <c r="BI412" s="1683">
        <v>0</v>
      </c>
      <c r="BJ412" s="1683">
        <v>78520.14</v>
      </c>
      <c r="BK412" s="1683">
        <v>0</v>
      </c>
      <c r="BL412" s="1683">
        <v>78520.14</v>
      </c>
      <c r="BM412" s="1683">
        <v>0</v>
      </c>
      <c r="BN412" s="1683">
        <v>0</v>
      </c>
      <c r="BO412" s="1682"/>
      <c r="BP412" s="1683">
        <v>523467.61</v>
      </c>
      <c r="BQ412" s="1683">
        <v>523467.61</v>
      </c>
      <c r="BR412" s="1683">
        <v>444947.47</v>
      </c>
      <c r="BS412" s="1683">
        <v>444947.47</v>
      </c>
      <c r="BT412" s="1683">
        <v>0</v>
      </c>
      <c r="BU412" s="1683">
        <v>78520.14</v>
      </c>
      <c r="BV412" s="1683">
        <v>0</v>
      </c>
      <c r="BW412" s="1683">
        <v>67604.77</v>
      </c>
      <c r="BX412" s="1683">
        <v>0</v>
      </c>
      <c r="BY412" s="1683">
        <v>0</v>
      </c>
      <c r="BZ412" s="1683">
        <v>0</v>
      </c>
      <c r="CA412" s="1683">
        <v>0</v>
      </c>
      <c r="CB412" s="1682"/>
      <c r="CC412" s="1682"/>
      <c r="CD412" s="1683">
        <v>0</v>
      </c>
      <c r="CE412" s="1683">
        <v>0</v>
      </c>
      <c r="CF412" s="1683">
        <v>0</v>
      </c>
      <c r="CG412" s="1683">
        <v>0</v>
      </c>
      <c r="CH412" s="1683">
        <v>0</v>
      </c>
      <c r="CI412" s="1683">
        <v>0</v>
      </c>
      <c r="CJ412" s="1683">
        <v>3380.56</v>
      </c>
      <c r="CK412" s="1683">
        <v>3380.56</v>
      </c>
      <c r="CL412" s="1682"/>
      <c r="CM412" s="1683">
        <v>450698.45</v>
      </c>
      <c r="CN412" s="1683">
        <v>450698.45</v>
      </c>
      <c r="CO412" s="1683">
        <v>383093.68</v>
      </c>
      <c r="CP412" s="1683">
        <v>383093.68</v>
      </c>
      <c r="CQ412" s="1683">
        <v>0</v>
      </c>
      <c r="CR412" s="1683">
        <v>67604.77</v>
      </c>
      <c r="CS412" s="1683">
        <v>0</v>
      </c>
      <c r="CT412" s="1683">
        <v>67604.77</v>
      </c>
      <c r="CU412" s="1683">
        <v>0</v>
      </c>
      <c r="CV412" s="1683">
        <v>0</v>
      </c>
      <c r="CW412" s="1682"/>
      <c r="CX412" s="1683">
        <v>0</v>
      </c>
      <c r="CY412" s="1683">
        <v>0</v>
      </c>
      <c r="CZ412" s="1683">
        <v>450698.45</v>
      </c>
      <c r="DA412" s="1683">
        <v>450698.45</v>
      </c>
      <c r="DB412" s="1682"/>
      <c r="DC412" s="1326"/>
      <c r="DD412" s="1683">
        <v>0</v>
      </c>
      <c r="DE412" s="1683">
        <v>0</v>
      </c>
      <c r="DF412" s="1683">
        <v>0</v>
      </c>
      <c r="DG412" s="1683">
        <v>0</v>
      </c>
      <c r="DH412" s="1683">
        <v>0</v>
      </c>
    </row>
    <row r="413" spans="1:112" ht="22.5">
      <c r="A413" s="1326" t="s">
        <v>2468</v>
      </c>
      <c r="B413" s="1326" t="s">
        <v>1702</v>
      </c>
      <c r="C413" s="1326" t="s">
        <v>2564</v>
      </c>
      <c r="D413" s="1326" t="s">
        <v>2567</v>
      </c>
      <c r="E413" s="1326" t="s">
        <v>2293</v>
      </c>
      <c r="F413" s="1326" t="s">
        <v>2566</v>
      </c>
      <c r="G413" s="1326" t="s">
        <v>2556</v>
      </c>
      <c r="H413" s="1326" t="s">
        <v>2541</v>
      </c>
      <c r="I413" s="1326" t="s">
        <v>725</v>
      </c>
      <c r="J413" s="1326" t="s">
        <v>219</v>
      </c>
      <c r="K413" s="1326" t="s">
        <v>2071</v>
      </c>
      <c r="L413" s="1326" t="s">
        <v>2061</v>
      </c>
      <c r="M413" s="1400"/>
      <c r="N413" s="1400"/>
      <c r="O413" s="1400"/>
      <c r="P413" s="1400"/>
      <c r="Q413" s="1400"/>
      <c r="R413" s="1400"/>
      <c r="S413" s="1400"/>
      <c r="T413" s="1400"/>
      <c r="U413" s="1400"/>
      <c r="V413" s="1400"/>
      <c r="W413" s="1400"/>
      <c r="X413" s="1400"/>
      <c r="Y413" s="1685">
        <v>42689</v>
      </c>
      <c r="Z413" s="1326" t="s">
        <v>2096</v>
      </c>
      <c r="AA413" s="1683">
        <v>0</v>
      </c>
      <c r="AB413" s="1683">
        <v>0</v>
      </c>
      <c r="AC413" s="1683">
        <v>0</v>
      </c>
      <c r="AD413" s="1685">
        <v>42692</v>
      </c>
      <c r="AE413" s="1326" t="s">
        <v>2063</v>
      </c>
      <c r="AF413" s="1326" t="s">
        <v>2064</v>
      </c>
      <c r="AG413" s="1410"/>
      <c r="AH413" s="1683">
        <v>0</v>
      </c>
      <c r="AI413" s="1683">
        <v>0</v>
      </c>
      <c r="AJ413" s="1683">
        <v>0</v>
      </c>
      <c r="AK413" s="1683">
        <v>0</v>
      </c>
      <c r="AL413" s="1683">
        <v>0</v>
      </c>
      <c r="AM413" s="1682"/>
      <c r="AN413" s="1683">
        <v>0</v>
      </c>
      <c r="AO413" s="1683">
        <v>0</v>
      </c>
      <c r="AP413" s="1683">
        <v>0</v>
      </c>
      <c r="AQ413" s="1683">
        <v>0</v>
      </c>
      <c r="AR413" s="1683">
        <v>0</v>
      </c>
      <c r="AS413" s="1683">
        <v>0</v>
      </c>
      <c r="AT413" s="1683">
        <v>0</v>
      </c>
      <c r="AU413" s="1683">
        <v>0</v>
      </c>
      <c r="AV413" s="1683">
        <v>0</v>
      </c>
      <c r="AW413" s="1683">
        <v>0</v>
      </c>
      <c r="AX413" s="1400"/>
      <c r="AY413" s="1400"/>
      <c r="AZ413" s="1400"/>
      <c r="BA413" s="1682"/>
      <c r="BB413" s="1682"/>
      <c r="BC413" s="1400"/>
      <c r="BD413" s="1400"/>
      <c r="BE413" s="1683">
        <v>0</v>
      </c>
      <c r="BF413" s="1683">
        <v>0</v>
      </c>
      <c r="BG413" s="1683">
        <v>0</v>
      </c>
      <c r="BH413" s="1683">
        <v>0</v>
      </c>
      <c r="BI413" s="1683">
        <v>0</v>
      </c>
      <c r="BJ413" s="1683">
        <v>0</v>
      </c>
      <c r="BK413" s="1683">
        <v>0</v>
      </c>
      <c r="BL413" s="1683">
        <v>0</v>
      </c>
      <c r="BM413" s="1683">
        <v>0</v>
      </c>
      <c r="BN413" s="1683">
        <v>0</v>
      </c>
      <c r="BO413" s="1682"/>
      <c r="BP413" s="1683">
        <v>0</v>
      </c>
      <c r="BQ413" s="1683">
        <v>0</v>
      </c>
      <c r="BR413" s="1683">
        <v>0</v>
      </c>
      <c r="BS413" s="1683">
        <v>0</v>
      </c>
      <c r="BT413" s="1683">
        <v>0</v>
      </c>
      <c r="BU413" s="1683">
        <v>0</v>
      </c>
      <c r="BV413" s="1683">
        <v>0</v>
      </c>
      <c r="BW413" s="1683">
        <v>0</v>
      </c>
      <c r="BX413" s="1683">
        <v>0</v>
      </c>
      <c r="BY413" s="1683">
        <v>0</v>
      </c>
      <c r="BZ413" s="1400"/>
      <c r="CA413" s="1400"/>
      <c r="CB413" s="1682"/>
      <c r="CC413" s="1682"/>
      <c r="CD413" s="1400"/>
      <c r="CE413" s="1400"/>
      <c r="CF413" s="1683">
        <v>0</v>
      </c>
      <c r="CG413" s="1683">
        <v>0</v>
      </c>
      <c r="CH413" s="1683">
        <v>0</v>
      </c>
      <c r="CI413" s="1683">
        <v>0</v>
      </c>
      <c r="CJ413" s="1683">
        <v>0</v>
      </c>
      <c r="CK413" s="1683">
        <v>0</v>
      </c>
      <c r="CL413" s="1682"/>
      <c r="CM413" s="1683">
        <v>0</v>
      </c>
      <c r="CN413" s="1683">
        <v>0</v>
      </c>
      <c r="CO413" s="1683">
        <v>0</v>
      </c>
      <c r="CP413" s="1683">
        <v>0</v>
      </c>
      <c r="CQ413" s="1683">
        <v>0</v>
      </c>
      <c r="CR413" s="1683">
        <v>0</v>
      </c>
      <c r="CS413" s="1683">
        <v>0</v>
      </c>
      <c r="CT413" s="1683">
        <v>0</v>
      </c>
      <c r="CU413" s="1683">
        <v>0</v>
      </c>
      <c r="CV413" s="1683">
        <v>0</v>
      </c>
      <c r="CW413" s="1682"/>
      <c r="CX413" s="1400"/>
      <c r="CY413" s="1400"/>
      <c r="CZ413" s="1400"/>
      <c r="DA413" s="1400"/>
      <c r="DB413" s="1682"/>
      <c r="DC413" s="1326"/>
      <c r="DD413" s="1683">
        <v>0</v>
      </c>
      <c r="DE413" s="1400"/>
      <c r="DF413" s="1400"/>
      <c r="DG413" s="1683">
        <v>0</v>
      </c>
      <c r="DH413" s="1683">
        <v>0</v>
      </c>
    </row>
    <row r="414" spans="1:112" ht="22.5">
      <c r="A414" s="1326" t="s">
        <v>2470</v>
      </c>
      <c r="B414" s="1326" t="s">
        <v>1702</v>
      </c>
      <c r="C414" s="1326" t="s">
        <v>2564</v>
      </c>
      <c r="D414" s="1326" t="s">
        <v>2567</v>
      </c>
      <c r="E414" s="1326" t="s">
        <v>2293</v>
      </c>
      <c r="F414" s="1326" t="s">
        <v>2566</v>
      </c>
      <c r="G414" s="1326" t="s">
        <v>2556</v>
      </c>
      <c r="H414" s="1326" t="s">
        <v>2541</v>
      </c>
      <c r="I414" s="1326" t="s">
        <v>725</v>
      </c>
      <c r="J414" s="1326" t="s">
        <v>219</v>
      </c>
      <c r="K414" s="1326" t="s">
        <v>2071</v>
      </c>
      <c r="L414" s="1326" t="s">
        <v>2061</v>
      </c>
      <c r="M414" s="1400"/>
      <c r="N414" s="1400"/>
      <c r="O414" s="1400"/>
      <c r="P414" s="1400"/>
      <c r="Q414" s="1400"/>
      <c r="R414" s="1400"/>
      <c r="S414" s="1400"/>
      <c r="T414" s="1400"/>
      <c r="U414" s="1400"/>
      <c r="V414" s="1400"/>
      <c r="W414" s="1400"/>
      <c r="X414" s="1400"/>
      <c r="Y414" s="1685">
        <v>42719</v>
      </c>
      <c r="Z414" s="1326" t="s">
        <v>2096</v>
      </c>
      <c r="AA414" s="1683">
        <v>0</v>
      </c>
      <c r="AB414" s="1683">
        <v>0</v>
      </c>
      <c r="AC414" s="1683">
        <v>0</v>
      </c>
      <c r="AD414" s="1685">
        <v>42731</v>
      </c>
      <c r="AE414" s="1326" t="s">
        <v>2066</v>
      </c>
      <c r="AF414" s="1326" t="s">
        <v>2064</v>
      </c>
      <c r="AG414" s="1410"/>
      <c r="AH414" s="1683">
        <v>0</v>
      </c>
      <c r="AI414" s="1683">
        <v>140910</v>
      </c>
      <c r="AJ414" s="1683">
        <v>140910</v>
      </c>
      <c r="AK414" s="1683">
        <v>140910</v>
      </c>
      <c r="AL414" s="1683">
        <v>0</v>
      </c>
      <c r="AM414" s="1682"/>
      <c r="AN414" s="1683">
        <v>0</v>
      </c>
      <c r="AO414" s="1683">
        <v>0</v>
      </c>
      <c r="AP414" s="1683">
        <v>0</v>
      </c>
      <c r="AQ414" s="1683">
        <v>0</v>
      </c>
      <c r="AR414" s="1683">
        <v>0</v>
      </c>
      <c r="AS414" s="1683">
        <v>0</v>
      </c>
      <c r="AT414" s="1683">
        <v>0</v>
      </c>
      <c r="AU414" s="1683">
        <v>0</v>
      </c>
      <c r="AV414" s="1683">
        <v>0</v>
      </c>
      <c r="AW414" s="1683">
        <v>0</v>
      </c>
      <c r="AX414" s="1400"/>
      <c r="AY414" s="1400"/>
      <c r="AZ414" s="1400"/>
      <c r="BA414" s="1682"/>
      <c r="BB414" s="1682"/>
      <c r="BC414" s="1400"/>
      <c r="BD414" s="1400"/>
      <c r="BE414" s="1683">
        <v>0</v>
      </c>
      <c r="BF414" s="1683">
        <v>0</v>
      </c>
      <c r="BG414" s="1683">
        <v>0</v>
      </c>
      <c r="BH414" s="1683">
        <v>0</v>
      </c>
      <c r="BI414" s="1683">
        <v>0</v>
      </c>
      <c r="BJ414" s="1683">
        <v>0</v>
      </c>
      <c r="BK414" s="1683">
        <v>0</v>
      </c>
      <c r="BL414" s="1683">
        <v>0</v>
      </c>
      <c r="BM414" s="1683">
        <v>0</v>
      </c>
      <c r="BN414" s="1683">
        <v>0</v>
      </c>
      <c r="BO414" s="1682"/>
      <c r="BP414" s="1683">
        <v>0</v>
      </c>
      <c r="BQ414" s="1683">
        <v>0</v>
      </c>
      <c r="BR414" s="1683">
        <v>0</v>
      </c>
      <c r="BS414" s="1683">
        <v>0</v>
      </c>
      <c r="BT414" s="1683">
        <v>0</v>
      </c>
      <c r="BU414" s="1683">
        <v>0</v>
      </c>
      <c r="BV414" s="1683">
        <v>0</v>
      </c>
      <c r="BW414" s="1683">
        <v>0</v>
      </c>
      <c r="BX414" s="1683">
        <v>0</v>
      </c>
      <c r="BY414" s="1683">
        <v>0</v>
      </c>
      <c r="BZ414" s="1400"/>
      <c r="CA414" s="1400"/>
      <c r="CB414" s="1682"/>
      <c r="CC414" s="1682"/>
      <c r="CD414" s="1400"/>
      <c r="CE414" s="1400"/>
      <c r="CF414" s="1683">
        <v>0</v>
      </c>
      <c r="CG414" s="1683">
        <v>0</v>
      </c>
      <c r="CH414" s="1683">
        <v>0</v>
      </c>
      <c r="CI414" s="1683">
        <v>0</v>
      </c>
      <c r="CJ414" s="1683">
        <v>0</v>
      </c>
      <c r="CK414" s="1683">
        <v>0</v>
      </c>
      <c r="CL414" s="1682"/>
      <c r="CM414" s="1683">
        <v>0</v>
      </c>
      <c r="CN414" s="1683">
        <v>0</v>
      </c>
      <c r="CO414" s="1683">
        <v>0</v>
      </c>
      <c r="CP414" s="1683">
        <v>0</v>
      </c>
      <c r="CQ414" s="1683">
        <v>0</v>
      </c>
      <c r="CR414" s="1683">
        <v>0</v>
      </c>
      <c r="CS414" s="1683">
        <v>0</v>
      </c>
      <c r="CT414" s="1683">
        <v>0</v>
      </c>
      <c r="CU414" s="1683">
        <v>0</v>
      </c>
      <c r="CV414" s="1683">
        <v>0</v>
      </c>
      <c r="CW414" s="1682"/>
      <c r="CX414" s="1400"/>
      <c r="CY414" s="1400"/>
      <c r="CZ414" s="1400"/>
      <c r="DA414" s="1400"/>
      <c r="DB414" s="1682"/>
      <c r="DC414" s="1326"/>
      <c r="DD414" s="1683">
        <v>0</v>
      </c>
      <c r="DE414" s="1400"/>
      <c r="DF414" s="1400"/>
      <c r="DG414" s="1683">
        <v>0</v>
      </c>
      <c r="DH414" s="1683">
        <v>0</v>
      </c>
    </row>
    <row r="415" spans="1:112" ht="22.5">
      <c r="A415" s="1326" t="s">
        <v>2471</v>
      </c>
      <c r="B415" s="1326" t="s">
        <v>1702</v>
      </c>
      <c r="C415" s="1326" t="s">
        <v>2564</v>
      </c>
      <c r="D415" s="1326" t="s">
        <v>2567</v>
      </c>
      <c r="E415" s="1326" t="s">
        <v>2293</v>
      </c>
      <c r="F415" s="1326" t="s">
        <v>2566</v>
      </c>
      <c r="G415" s="1326" t="s">
        <v>2556</v>
      </c>
      <c r="H415" s="1326" t="s">
        <v>2541</v>
      </c>
      <c r="I415" s="1326" t="s">
        <v>725</v>
      </c>
      <c r="J415" s="1326" t="s">
        <v>219</v>
      </c>
      <c r="K415" s="1326" t="s">
        <v>2071</v>
      </c>
      <c r="L415" s="1326" t="s">
        <v>2061</v>
      </c>
      <c r="M415" s="1400"/>
      <c r="N415" s="1400"/>
      <c r="O415" s="1400"/>
      <c r="P415" s="1400"/>
      <c r="Q415" s="1400"/>
      <c r="R415" s="1400"/>
      <c r="S415" s="1400"/>
      <c r="T415" s="1400"/>
      <c r="U415" s="1400"/>
      <c r="V415" s="1400"/>
      <c r="W415" s="1400"/>
      <c r="X415" s="1400"/>
      <c r="Y415" s="1685">
        <v>42780</v>
      </c>
      <c r="Z415" s="1326" t="s">
        <v>2062</v>
      </c>
      <c r="AA415" s="1683">
        <v>0</v>
      </c>
      <c r="AB415" s="1683">
        <v>0</v>
      </c>
      <c r="AC415" s="1683">
        <v>0</v>
      </c>
      <c r="AD415" s="1685">
        <v>42814</v>
      </c>
      <c r="AE415" s="1326" t="s">
        <v>2079</v>
      </c>
      <c r="AF415" s="1326" t="s">
        <v>2064</v>
      </c>
      <c r="AG415" s="1410"/>
      <c r="AH415" s="1683">
        <v>143365.22</v>
      </c>
      <c r="AI415" s="1683">
        <v>143365.22</v>
      </c>
      <c r="AJ415" s="1683">
        <v>121860.44</v>
      </c>
      <c r="AK415" s="1683">
        <v>121860.44</v>
      </c>
      <c r="AL415" s="1683">
        <v>0</v>
      </c>
      <c r="AM415" s="1685">
        <v>42814</v>
      </c>
      <c r="AN415" s="1683">
        <v>143365.22</v>
      </c>
      <c r="AO415" s="1683">
        <v>143365.22</v>
      </c>
      <c r="AP415" s="1683">
        <v>121860.44</v>
      </c>
      <c r="AQ415" s="1683">
        <v>121860.44</v>
      </c>
      <c r="AR415" s="1683">
        <v>0</v>
      </c>
      <c r="AS415" s="1683">
        <v>21504.78</v>
      </c>
      <c r="AT415" s="1683">
        <v>0</v>
      </c>
      <c r="AU415" s="1683">
        <v>21504.78</v>
      </c>
      <c r="AV415" s="1683">
        <v>0</v>
      </c>
      <c r="AW415" s="1683">
        <v>0</v>
      </c>
      <c r="AX415" s="1400"/>
      <c r="AY415" s="1400"/>
      <c r="AZ415" s="1400"/>
      <c r="BA415" s="1682"/>
      <c r="BB415" s="1682"/>
      <c r="BC415" s="1400"/>
      <c r="BD415" s="1400"/>
      <c r="BE415" s="1683">
        <v>143365.22</v>
      </c>
      <c r="BF415" s="1683">
        <v>143365.22</v>
      </c>
      <c r="BG415" s="1683">
        <v>121860.44</v>
      </c>
      <c r="BH415" s="1683">
        <v>121860.44</v>
      </c>
      <c r="BI415" s="1683">
        <v>0</v>
      </c>
      <c r="BJ415" s="1683">
        <v>21504.78</v>
      </c>
      <c r="BK415" s="1683">
        <v>0</v>
      </c>
      <c r="BL415" s="1683">
        <v>21504.78</v>
      </c>
      <c r="BM415" s="1683">
        <v>0</v>
      </c>
      <c r="BN415" s="1683">
        <v>0</v>
      </c>
      <c r="BO415" s="1685">
        <v>42866</v>
      </c>
      <c r="BP415" s="1683">
        <v>143365.22</v>
      </c>
      <c r="BQ415" s="1683">
        <v>143365.22</v>
      </c>
      <c r="BR415" s="1683">
        <v>121860.44</v>
      </c>
      <c r="BS415" s="1683">
        <v>121860.44</v>
      </c>
      <c r="BT415" s="1683">
        <v>0</v>
      </c>
      <c r="BU415" s="1683">
        <v>21504.78</v>
      </c>
      <c r="BV415" s="1683">
        <v>0</v>
      </c>
      <c r="BW415" s="1683">
        <v>21504.78</v>
      </c>
      <c r="BX415" s="1683">
        <v>0</v>
      </c>
      <c r="BY415" s="1683">
        <v>0</v>
      </c>
      <c r="BZ415" s="1683">
        <v>0</v>
      </c>
      <c r="CA415" s="1400"/>
      <c r="CB415" s="1682"/>
      <c r="CC415" s="1682"/>
      <c r="CD415" s="1400"/>
      <c r="CE415" s="1400"/>
      <c r="CF415" s="1683">
        <v>0</v>
      </c>
      <c r="CG415" s="1683">
        <v>0</v>
      </c>
      <c r="CH415" s="1683">
        <v>0</v>
      </c>
      <c r="CI415" s="1683">
        <v>0</v>
      </c>
      <c r="CJ415" s="1683">
        <v>923.17</v>
      </c>
      <c r="CK415" s="1683">
        <v>923.17</v>
      </c>
      <c r="CL415" s="1685">
        <v>43144</v>
      </c>
      <c r="CM415" s="1683">
        <v>143365.22</v>
      </c>
      <c r="CN415" s="1683">
        <v>143365.22</v>
      </c>
      <c r="CO415" s="1683">
        <v>121860.44</v>
      </c>
      <c r="CP415" s="1683">
        <v>121860.44</v>
      </c>
      <c r="CQ415" s="1683">
        <v>0</v>
      </c>
      <c r="CR415" s="1683">
        <v>21504.78</v>
      </c>
      <c r="CS415" s="1683">
        <v>0</v>
      </c>
      <c r="CT415" s="1683">
        <v>21504.78</v>
      </c>
      <c r="CU415" s="1683">
        <v>0</v>
      </c>
      <c r="CV415" s="1683">
        <v>0</v>
      </c>
      <c r="CW415" s="1682"/>
      <c r="CX415" s="1400"/>
      <c r="CY415" s="1400"/>
      <c r="CZ415" s="1400"/>
      <c r="DA415" s="1400"/>
      <c r="DB415" s="1682"/>
      <c r="DC415" s="1326"/>
      <c r="DD415" s="1683">
        <v>0</v>
      </c>
      <c r="DE415" s="1400"/>
      <c r="DF415" s="1400"/>
      <c r="DG415" s="1683">
        <v>0</v>
      </c>
      <c r="DH415" s="1683">
        <v>0</v>
      </c>
    </row>
    <row r="416" spans="1:112" ht="22.5">
      <c r="A416" s="1326" t="s">
        <v>2472</v>
      </c>
      <c r="B416" s="1326" t="s">
        <v>1702</v>
      </c>
      <c r="C416" s="1326" t="s">
        <v>2564</v>
      </c>
      <c r="D416" s="1326" t="s">
        <v>2567</v>
      </c>
      <c r="E416" s="1326" t="s">
        <v>2293</v>
      </c>
      <c r="F416" s="1326" t="s">
        <v>2566</v>
      </c>
      <c r="G416" s="1326" t="s">
        <v>2556</v>
      </c>
      <c r="H416" s="1326" t="s">
        <v>2541</v>
      </c>
      <c r="I416" s="1326" t="s">
        <v>725</v>
      </c>
      <c r="J416" s="1326" t="s">
        <v>219</v>
      </c>
      <c r="K416" s="1326" t="s">
        <v>2071</v>
      </c>
      <c r="L416" s="1326" t="s">
        <v>2061</v>
      </c>
      <c r="M416" s="1400"/>
      <c r="N416" s="1400"/>
      <c r="O416" s="1400"/>
      <c r="P416" s="1400"/>
      <c r="Q416" s="1400"/>
      <c r="R416" s="1400"/>
      <c r="S416" s="1400"/>
      <c r="T416" s="1400"/>
      <c r="U416" s="1400"/>
      <c r="V416" s="1400"/>
      <c r="W416" s="1400"/>
      <c r="X416" s="1400"/>
      <c r="Y416" s="1685">
        <v>42958</v>
      </c>
      <c r="Z416" s="1326" t="s">
        <v>2062</v>
      </c>
      <c r="AA416" s="1683">
        <v>0</v>
      </c>
      <c r="AB416" s="1683">
        <v>0</v>
      </c>
      <c r="AC416" s="1683">
        <v>0</v>
      </c>
      <c r="AD416" s="1685">
        <v>42985</v>
      </c>
      <c r="AE416" s="1326" t="s">
        <v>2081</v>
      </c>
      <c r="AF416" s="1326" t="s">
        <v>2067</v>
      </c>
      <c r="AG416" s="1410"/>
      <c r="AH416" s="1683">
        <v>118.97</v>
      </c>
      <c r="AI416" s="1683">
        <v>118.97</v>
      </c>
      <c r="AJ416" s="1683">
        <v>101.12</v>
      </c>
      <c r="AK416" s="1683">
        <v>101.12</v>
      </c>
      <c r="AL416" s="1683">
        <v>0</v>
      </c>
      <c r="AM416" s="1685">
        <v>42985</v>
      </c>
      <c r="AN416" s="1683">
        <v>118.97</v>
      </c>
      <c r="AO416" s="1683">
        <v>118.97</v>
      </c>
      <c r="AP416" s="1683">
        <v>101.12</v>
      </c>
      <c r="AQ416" s="1683">
        <v>101.12</v>
      </c>
      <c r="AR416" s="1683">
        <v>0</v>
      </c>
      <c r="AS416" s="1683">
        <v>17.850000000000001</v>
      </c>
      <c r="AT416" s="1683">
        <v>0</v>
      </c>
      <c r="AU416" s="1683">
        <v>17.850000000000001</v>
      </c>
      <c r="AV416" s="1683">
        <v>0</v>
      </c>
      <c r="AW416" s="1683">
        <v>0</v>
      </c>
      <c r="AX416" s="1400"/>
      <c r="AY416" s="1400"/>
      <c r="AZ416" s="1400"/>
      <c r="BA416" s="1682"/>
      <c r="BB416" s="1682"/>
      <c r="BC416" s="1400"/>
      <c r="BD416" s="1400"/>
      <c r="BE416" s="1683">
        <v>118.97</v>
      </c>
      <c r="BF416" s="1683">
        <v>118.97</v>
      </c>
      <c r="BG416" s="1683">
        <v>101.12</v>
      </c>
      <c r="BH416" s="1683">
        <v>101.12</v>
      </c>
      <c r="BI416" s="1683">
        <v>0</v>
      </c>
      <c r="BJ416" s="1683">
        <v>17.850000000000001</v>
      </c>
      <c r="BK416" s="1683">
        <v>0</v>
      </c>
      <c r="BL416" s="1683">
        <v>17.850000000000001</v>
      </c>
      <c r="BM416" s="1683">
        <v>0</v>
      </c>
      <c r="BN416" s="1683">
        <v>0</v>
      </c>
      <c r="BO416" s="1685">
        <v>43039</v>
      </c>
      <c r="BP416" s="1683">
        <v>118.97</v>
      </c>
      <c r="BQ416" s="1683">
        <v>118.97</v>
      </c>
      <c r="BR416" s="1683">
        <v>101.12</v>
      </c>
      <c r="BS416" s="1683">
        <v>101.12</v>
      </c>
      <c r="BT416" s="1683">
        <v>0</v>
      </c>
      <c r="BU416" s="1683">
        <v>17.850000000000001</v>
      </c>
      <c r="BV416" s="1683">
        <v>0</v>
      </c>
      <c r="BW416" s="1683">
        <v>17.850000000000001</v>
      </c>
      <c r="BX416" s="1683">
        <v>0</v>
      </c>
      <c r="BY416" s="1683">
        <v>0</v>
      </c>
      <c r="BZ416" s="1683">
        <v>0</v>
      </c>
      <c r="CA416" s="1400"/>
      <c r="CB416" s="1682"/>
      <c r="CC416" s="1682"/>
      <c r="CD416" s="1400"/>
      <c r="CE416" s="1400"/>
      <c r="CF416" s="1683">
        <v>0</v>
      </c>
      <c r="CG416" s="1683">
        <v>0</v>
      </c>
      <c r="CH416" s="1683">
        <v>0</v>
      </c>
      <c r="CI416" s="1683">
        <v>0</v>
      </c>
      <c r="CJ416" s="1683">
        <v>0.77</v>
      </c>
      <c r="CK416" s="1683">
        <v>0.77</v>
      </c>
      <c r="CL416" s="1685">
        <v>43511</v>
      </c>
      <c r="CM416" s="1683">
        <v>118.97</v>
      </c>
      <c r="CN416" s="1683">
        <v>118.97</v>
      </c>
      <c r="CO416" s="1683">
        <v>101.12</v>
      </c>
      <c r="CP416" s="1683">
        <v>101.12</v>
      </c>
      <c r="CQ416" s="1683">
        <v>0</v>
      </c>
      <c r="CR416" s="1683">
        <v>17.850000000000001</v>
      </c>
      <c r="CS416" s="1683">
        <v>0</v>
      </c>
      <c r="CT416" s="1683">
        <v>17.850000000000001</v>
      </c>
      <c r="CU416" s="1683">
        <v>0</v>
      </c>
      <c r="CV416" s="1683">
        <v>0</v>
      </c>
      <c r="CW416" s="1682"/>
      <c r="CX416" s="1400"/>
      <c r="CY416" s="1400"/>
      <c r="CZ416" s="1400"/>
      <c r="DA416" s="1400"/>
      <c r="DB416" s="1682"/>
      <c r="DC416" s="1326"/>
      <c r="DD416" s="1683">
        <v>0</v>
      </c>
      <c r="DE416" s="1400"/>
      <c r="DF416" s="1400"/>
      <c r="DG416" s="1683">
        <v>0</v>
      </c>
      <c r="DH416" s="1683">
        <v>0</v>
      </c>
    </row>
    <row r="417" spans="1:112" ht="22.5">
      <c r="A417" s="1326" t="s">
        <v>2473</v>
      </c>
      <c r="B417" s="1326" t="s">
        <v>1702</v>
      </c>
      <c r="C417" s="1326" t="s">
        <v>2564</v>
      </c>
      <c r="D417" s="1326" t="s">
        <v>2567</v>
      </c>
      <c r="E417" s="1326" t="s">
        <v>2293</v>
      </c>
      <c r="F417" s="1326" t="s">
        <v>2566</v>
      </c>
      <c r="G417" s="1326" t="s">
        <v>2556</v>
      </c>
      <c r="H417" s="1326" t="s">
        <v>2541</v>
      </c>
      <c r="I417" s="1326" t="s">
        <v>725</v>
      </c>
      <c r="J417" s="1326" t="s">
        <v>219</v>
      </c>
      <c r="K417" s="1326" t="s">
        <v>2071</v>
      </c>
      <c r="L417" s="1326" t="s">
        <v>2061</v>
      </c>
      <c r="M417" s="1400"/>
      <c r="N417" s="1400"/>
      <c r="O417" s="1400"/>
      <c r="P417" s="1400"/>
      <c r="Q417" s="1400"/>
      <c r="R417" s="1400"/>
      <c r="S417" s="1400"/>
      <c r="T417" s="1400"/>
      <c r="U417" s="1400"/>
      <c r="V417" s="1400"/>
      <c r="W417" s="1400"/>
      <c r="X417" s="1400"/>
      <c r="Y417" s="1685">
        <v>42958</v>
      </c>
      <c r="Z417" s="1326" t="s">
        <v>2062</v>
      </c>
      <c r="AA417" s="1683">
        <v>0</v>
      </c>
      <c r="AB417" s="1683">
        <v>0</v>
      </c>
      <c r="AC417" s="1683">
        <v>0</v>
      </c>
      <c r="AD417" s="1685">
        <v>42985</v>
      </c>
      <c r="AE417" s="1326" t="s">
        <v>2081</v>
      </c>
      <c r="AF417" s="1326" t="s">
        <v>2064</v>
      </c>
      <c r="AG417" s="1410"/>
      <c r="AH417" s="1683">
        <v>106254.99</v>
      </c>
      <c r="AI417" s="1683">
        <v>106254.99</v>
      </c>
      <c r="AJ417" s="1683">
        <v>90316.74</v>
      </c>
      <c r="AK417" s="1683">
        <v>90316.74</v>
      </c>
      <c r="AL417" s="1683">
        <v>0</v>
      </c>
      <c r="AM417" s="1685">
        <v>42985</v>
      </c>
      <c r="AN417" s="1683">
        <v>106254.99</v>
      </c>
      <c r="AO417" s="1683">
        <v>106254.99</v>
      </c>
      <c r="AP417" s="1683">
        <v>90316.74</v>
      </c>
      <c r="AQ417" s="1683">
        <v>90316.74</v>
      </c>
      <c r="AR417" s="1683">
        <v>0</v>
      </c>
      <c r="AS417" s="1683">
        <v>15938.25</v>
      </c>
      <c r="AT417" s="1683">
        <v>0</v>
      </c>
      <c r="AU417" s="1683">
        <v>15938.25</v>
      </c>
      <c r="AV417" s="1683">
        <v>0</v>
      </c>
      <c r="AW417" s="1683">
        <v>0</v>
      </c>
      <c r="AX417" s="1400"/>
      <c r="AY417" s="1400"/>
      <c r="AZ417" s="1400"/>
      <c r="BA417" s="1682"/>
      <c r="BB417" s="1682"/>
      <c r="BC417" s="1400"/>
      <c r="BD417" s="1400"/>
      <c r="BE417" s="1683">
        <v>106254.99</v>
      </c>
      <c r="BF417" s="1683">
        <v>106254.99</v>
      </c>
      <c r="BG417" s="1683">
        <v>90316.74</v>
      </c>
      <c r="BH417" s="1683">
        <v>90316.74</v>
      </c>
      <c r="BI417" s="1683">
        <v>0</v>
      </c>
      <c r="BJ417" s="1683">
        <v>15938.25</v>
      </c>
      <c r="BK417" s="1683">
        <v>0</v>
      </c>
      <c r="BL417" s="1683">
        <v>15938.25</v>
      </c>
      <c r="BM417" s="1683">
        <v>0</v>
      </c>
      <c r="BN417" s="1683">
        <v>0</v>
      </c>
      <c r="BO417" s="1685">
        <v>43039</v>
      </c>
      <c r="BP417" s="1683">
        <v>106254.99</v>
      </c>
      <c r="BQ417" s="1683">
        <v>106254.99</v>
      </c>
      <c r="BR417" s="1683">
        <v>90316.74</v>
      </c>
      <c r="BS417" s="1683">
        <v>90316.74</v>
      </c>
      <c r="BT417" s="1683">
        <v>0</v>
      </c>
      <c r="BU417" s="1683">
        <v>15938.25</v>
      </c>
      <c r="BV417" s="1683">
        <v>0</v>
      </c>
      <c r="BW417" s="1683">
        <v>15938.25</v>
      </c>
      <c r="BX417" s="1683">
        <v>0</v>
      </c>
      <c r="BY417" s="1683">
        <v>0</v>
      </c>
      <c r="BZ417" s="1683">
        <v>0</v>
      </c>
      <c r="CA417" s="1400"/>
      <c r="CB417" s="1682"/>
      <c r="CC417" s="1682"/>
      <c r="CD417" s="1400"/>
      <c r="CE417" s="1400"/>
      <c r="CF417" s="1683">
        <v>0</v>
      </c>
      <c r="CG417" s="1683">
        <v>0</v>
      </c>
      <c r="CH417" s="1683">
        <v>0</v>
      </c>
      <c r="CI417" s="1683">
        <v>0</v>
      </c>
      <c r="CJ417" s="1683">
        <v>684.19</v>
      </c>
      <c r="CK417" s="1683">
        <v>684.19</v>
      </c>
      <c r="CL417" s="1685">
        <v>43511</v>
      </c>
      <c r="CM417" s="1683">
        <v>106254.99</v>
      </c>
      <c r="CN417" s="1683">
        <v>106254.99</v>
      </c>
      <c r="CO417" s="1683">
        <v>90316.74</v>
      </c>
      <c r="CP417" s="1683">
        <v>90316.74</v>
      </c>
      <c r="CQ417" s="1683">
        <v>0</v>
      </c>
      <c r="CR417" s="1683">
        <v>15938.25</v>
      </c>
      <c r="CS417" s="1683">
        <v>0</v>
      </c>
      <c r="CT417" s="1683">
        <v>15938.25</v>
      </c>
      <c r="CU417" s="1683">
        <v>0</v>
      </c>
      <c r="CV417" s="1683">
        <v>0</v>
      </c>
      <c r="CW417" s="1682"/>
      <c r="CX417" s="1400"/>
      <c r="CY417" s="1400"/>
      <c r="CZ417" s="1400"/>
      <c r="DA417" s="1400"/>
      <c r="DB417" s="1682"/>
      <c r="DC417" s="1326"/>
      <c r="DD417" s="1683">
        <v>0</v>
      </c>
      <c r="DE417" s="1400"/>
      <c r="DF417" s="1400"/>
      <c r="DG417" s="1683">
        <v>0</v>
      </c>
      <c r="DH417" s="1683">
        <v>0</v>
      </c>
    </row>
    <row r="418" spans="1:112" ht="22.5">
      <c r="A418" s="1326" t="s">
        <v>2474</v>
      </c>
      <c r="B418" s="1326" t="s">
        <v>1702</v>
      </c>
      <c r="C418" s="1326" t="s">
        <v>2564</v>
      </c>
      <c r="D418" s="1326" t="s">
        <v>2567</v>
      </c>
      <c r="E418" s="1326" t="s">
        <v>2293</v>
      </c>
      <c r="F418" s="1326" t="s">
        <v>2566</v>
      </c>
      <c r="G418" s="1326" t="s">
        <v>2556</v>
      </c>
      <c r="H418" s="1326" t="s">
        <v>2541</v>
      </c>
      <c r="I418" s="1326" t="s">
        <v>725</v>
      </c>
      <c r="J418" s="1326" t="s">
        <v>219</v>
      </c>
      <c r="K418" s="1326" t="s">
        <v>2071</v>
      </c>
      <c r="L418" s="1326" t="s">
        <v>2061</v>
      </c>
      <c r="M418" s="1400"/>
      <c r="N418" s="1400"/>
      <c r="O418" s="1400"/>
      <c r="P418" s="1400"/>
      <c r="Q418" s="1400"/>
      <c r="R418" s="1400"/>
      <c r="S418" s="1400"/>
      <c r="T418" s="1400"/>
      <c r="U418" s="1400"/>
      <c r="V418" s="1400"/>
      <c r="W418" s="1400"/>
      <c r="X418" s="1400"/>
      <c r="Y418" s="1685">
        <v>43073</v>
      </c>
      <c r="Z418" s="1326" t="s">
        <v>2062</v>
      </c>
      <c r="AA418" s="1683">
        <v>0</v>
      </c>
      <c r="AB418" s="1683">
        <v>0</v>
      </c>
      <c r="AC418" s="1683">
        <v>0</v>
      </c>
      <c r="AD418" s="1685">
        <v>43091</v>
      </c>
      <c r="AE418" s="1326" t="s">
        <v>2088</v>
      </c>
      <c r="AF418" s="1326" t="s">
        <v>2064</v>
      </c>
      <c r="AG418" s="1410"/>
      <c r="AH418" s="1683">
        <v>200959.27</v>
      </c>
      <c r="AI418" s="1683">
        <v>200959.27</v>
      </c>
      <c r="AJ418" s="1683">
        <v>170815.38</v>
      </c>
      <c r="AK418" s="1683">
        <v>170815.38</v>
      </c>
      <c r="AL418" s="1683">
        <v>0</v>
      </c>
      <c r="AM418" s="1685">
        <v>43091</v>
      </c>
      <c r="AN418" s="1683">
        <v>200959.27</v>
      </c>
      <c r="AO418" s="1683">
        <v>200959.27</v>
      </c>
      <c r="AP418" s="1683">
        <v>170815.38</v>
      </c>
      <c r="AQ418" s="1683">
        <v>170815.38</v>
      </c>
      <c r="AR418" s="1683">
        <v>0</v>
      </c>
      <c r="AS418" s="1683">
        <v>30143.89</v>
      </c>
      <c r="AT418" s="1683">
        <v>0</v>
      </c>
      <c r="AU418" s="1683">
        <v>30143.89</v>
      </c>
      <c r="AV418" s="1683">
        <v>0</v>
      </c>
      <c r="AW418" s="1683">
        <v>0</v>
      </c>
      <c r="AX418" s="1400"/>
      <c r="AY418" s="1400"/>
      <c r="AZ418" s="1400"/>
      <c r="BA418" s="1682"/>
      <c r="BB418" s="1682"/>
      <c r="BC418" s="1400"/>
      <c r="BD418" s="1400"/>
      <c r="BE418" s="1683">
        <v>200959.27</v>
      </c>
      <c r="BF418" s="1683">
        <v>200959.27</v>
      </c>
      <c r="BG418" s="1683">
        <v>170815.38</v>
      </c>
      <c r="BH418" s="1683">
        <v>170815.38</v>
      </c>
      <c r="BI418" s="1683">
        <v>0</v>
      </c>
      <c r="BJ418" s="1683">
        <v>30143.89</v>
      </c>
      <c r="BK418" s="1683">
        <v>0</v>
      </c>
      <c r="BL418" s="1683">
        <v>30143.89</v>
      </c>
      <c r="BM418" s="1683">
        <v>0</v>
      </c>
      <c r="BN418" s="1683">
        <v>0</v>
      </c>
      <c r="BO418" s="1685">
        <v>43206</v>
      </c>
      <c r="BP418" s="1683">
        <v>200959.27</v>
      </c>
      <c r="BQ418" s="1683">
        <v>200959.27</v>
      </c>
      <c r="BR418" s="1683">
        <v>170815.38</v>
      </c>
      <c r="BS418" s="1683">
        <v>170815.38</v>
      </c>
      <c r="BT418" s="1683">
        <v>0</v>
      </c>
      <c r="BU418" s="1683">
        <v>30143.89</v>
      </c>
      <c r="BV418" s="1683">
        <v>0</v>
      </c>
      <c r="BW418" s="1683">
        <v>30143.89</v>
      </c>
      <c r="BX418" s="1683">
        <v>0</v>
      </c>
      <c r="BY418" s="1683">
        <v>0</v>
      </c>
      <c r="BZ418" s="1683">
        <v>0</v>
      </c>
      <c r="CA418" s="1400"/>
      <c r="CB418" s="1682"/>
      <c r="CC418" s="1682"/>
      <c r="CD418" s="1400"/>
      <c r="CE418" s="1400"/>
      <c r="CF418" s="1683">
        <v>0</v>
      </c>
      <c r="CG418" s="1683">
        <v>0</v>
      </c>
      <c r="CH418" s="1683">
        <v>0</v>
      </c>
      <c r="CI418" s="1683">
        <v>0</v>
      </c>
      <c r="CJ418" s="1683">
        <v>1302.49</v>
      </c>
      <c r="CK418" s="1683">
        <v>1302.49</v>
      </c>
      <c r="CL418" s="1685">
        <v>43511</v>
      </c>
      <c r="CM418" s="1683">
        <v>200959.27</v>
      </c>
      <c r="CN418" s="1683">
        <v>200959.27</v>
      </c>
      <c r="CO418" s="1683">
        <v>170815.38</v>
      </c>
      <c r="CP418" s="1683">
        <v>170815.38</v>
      </c>
      <c r="CQ418" s="1683">
        <v>0</v>
      </c>
      <c r="CR418" s="1683">
        <v>30143.89</v>
      </c>
      <c r="CS418" s="1683">
        <v>0</v>
      </c>
      <c r="CT418" s="1683">
        <v>30143.89</v>
      </c>
      <c r="CU418" s="1683">
        <v>0</v>
      </c>
      <c r="CV418" s="1683">
        <v>0</v>
      </c>
      <c r="CW418" s="1682"/>
      <c r="CX418" s="1400"/>
      <c r="CY418" s="1400"/>
      <c r="CZ418" s="1400"/>
      <c r="DA418" s="1400"/>
      <c r="DB418" s="1682"/>
      <c r="DC418" s="1326"/>
      <c r="DD418" s="1683">
        <v>0</v>
      </c>
      <c r="DE418" s="1400"/>
      <c r="DF418" s="1400"/>
      <c r="DG418" s="1683">
        <v>0</v>
      </c>
      <c r="DH418" s="1683">
        <v>0</v>
      </c>
    </row>
    <row r="419" spans="1:112" ht="22.5">
      <c r="A419" s="1326" t="s">
        <v>2475</v>
      </c>
      <c r="B419" s="1326" t="s">
        <v>1702</v>
      </c>
      <c r="C419" s="1326" t="s">
        <v>2564</v>
      </c>
      <c r="D419" s="1326" t="s">
        <v>2567</v>
      </c>
      <c r="E419" s="1326" t="s">
        <v>2293</v>
      </c>
      <c r="F419" s="1326" t="s">
        <v>2566</v>
      </c>
      <c r="G419" s="1326" t="s">
        <v>2556</v>
      </c>
      <c r="H419" s="1326" t="s">
        <v>2541</v>
      </c>
      <c r="I419" s="1326" t="s">
        <v>725</v>
      </c>
      <c r="J419" s="1326" t="s">
        <v>219</v>
      </c>
      <c r="K419" s="1326" t="s">
        <v>2071</v>
      </c>
      <c r="L419" s="1326" t="s">
        <v>2061</v>
      </c>
      <c r="M419" s="1400"/>
      <c r="N419" s="1400"/>
      <c r="O419" s="1400"/>
      <c r="P419" s="1400"/>
      <c r="Q419" s="1400"/>
      <c r="R419" s="1400"/>
      <c r="S419" s="1400"/>
      <c r="T419" s="1400"/>
      <c r="U419" s="1400"/>
      <c r="V419" s="1400"/>
      <c r="W419" s="1400"/>
      <c r="X419" s="1400"/>
      <c r="Y419" s="1685">
        <v>43326</v>
      </c>
      <c r="Z419" s="1326" t="s">
        <v>2062</v>
      </c>
      <c r="AA419" s="1683">
        <v>0</v>
      </c>
      <c r="AB419" s="1683">
        <v>0</v>
      </c>
      <c r="AC419" s="1683">
        <v>0</v>
      </c>
      <c r="AD419" s="1685">
        <v>43364</v>
      </c>
      <c r="AE419" s="1326" t="s">
        <v>2084</v>
      </c>
      <c r="AF419" s="1326" t="s">
        <v>2064</v>
      </c>
      <c r="AG419" s="1410"/>
      <c r="AH419" s="1683">
        <v>72769.16</v>
      </c>
      <c r="AI419" s="1683">
        <v>72769.16</v>
      </c>
      <c r="AJ419" s="1683">
        <v>61853.79</v>
      </c>
      <c r="AK419" s="1683">
        <v>61853.79</v>
      </c>
      <c r="AL419" s="1683">
        <v>0</v>
      </c>
      <c r="AM419" s="1685">
        <v>43364</v>
      </c>
      <c r="AN419" s="1683">
        <v>72769.16</v>
      </c>
      <c r="AO419" s="1683">
        <v>72769.16</v>
      </c>
      <c r="AP419" s="1683">
        <v>61853.79</v>
      </c>
      <c r="AQ419" s="1683">
        <v>61853.79</v>
      </c>
      <c r="AR419" s="1683">
        <v>0</v>
      </c>
      <c r="AS419" s="1683">
        <v>10915.37</v>
      </c>
      <c r="AT419" s="1683">
        <v>0</v>
      </c>
      <c r="AU419" s="1683">
        <v>10915.37</v>
      </c>
      <c r="AV419" s="1683">
        <v>0</v>
      </c>
      <c r="AW419" s="1683">
        <v>0</v>
      </c>
      <c r="AX419" s="1400"/>
      <c r="AY419" s="1400"/>
      <c r="AZ419" s="1400"/>
      <c r="BA419" s="1682"/>
      <c r="BB419" s="1682"/>
      <c r="BC419" s="1400"/>
      <c r="BD419" s="1400"/>
      <c r="BE419" s="1683">
        <v>72769.16</v>
      </c>
      <c r="BF419" s="1683">
        <v>72769.16</v>
      </c>
      <c r="BG419" s="1683">
        <v>61853.79</v>
      </c>
      <c r="BH419" s="1683">
        <v>61853.79</v>
      </c>
      <c r="BI419" s="1683">
        <v>0</v>
      </c>
      <c r="BJ419" s="1683">
        <v>10915.37</v>
      </c>
      <c r="BK419" s="1683">
        <v>0</v>
      </c>
      <c r="BL419" s="1683">
        <v>10915.37</v>
      </c>
      <c r="BM419" s="1683">
        <v>0</v>
      </c>
      <c r="BN419" s="1683">
        <v>0</v>
      </c>
      <c r="BO419" s="1685">
        <v>43403</v>
      </c>
      <c r="BP419" s="1683">
        <v>72769.16</v>
      </c>
      <c r="BQ419" s="1683">
        <v>72769.16</v>
      </c>
      <c r="BR419" s="1683">
        <v>61853.79</v>
      </c>
      <c r="BS419" s="1683">
        <v>61853.79</v>
      </c>
      <c r="BT419" s="1683">
        <v>0</v>
      </c>
      <c r="BU419" s="1683">
        <v>10915.37</v>
      </c>
      <c r="BV419" s="1683">
        <v>0</v>
      </c>
      <c r="BW419" s="1683">
        <v>0</v>
      </c>
      <c r="BX419" s="1683">
        <v>0</v>
      </c>
      <c r="BY419" s="1683">
        <v>0</v>
      </c>
      <c r="BZ419" s="1683">
        <v>0</v>
      </c>
      <c r="CA419" s="1400"/>
      <c r="CB419" s="1682"/>
      <c r="CC419" s="1682"/>
      <c r="CD419" s="1400"/>
      <c r="CE419" s="1400"/>
      <c r="CF419" s="1683">
        <v>0</v>
      </c>
      <c r="CG419" s="1683">
        <v>0</v>
      </c>
      <c r="CH419" s="1683">
        <v>0</v>
      </c>
      <c r="CI419" s="1683">
        <v>0</v>
      </c>
      <c r="CJ419" s="1683">
        <v>469.94</v>
      </c>
      <c r="CK419" s="1683">
        <v>469.94</v>
      </c>
      <c r="CL419" s="1682"/>
      <c r="CM419" s="1683">
        <v>0</v>
      </c>
      <c r="CN419" s="1683">
        <v>0</v>
      </c>
      <c r="CO419" s="1683">
        <v>0</v>
      </c>
      <c r="CP419" s="1683">
        <v>0</v>
      </c>
      <c r="CQ419" s="1683">
        <v>0</v>
      </c>
      <c r="CR419" s="1683">
        <v>0</v>
      </c>
      <c r="CS419" s="1683">
        <v>0</v>
      </c>
      <c r="CT419" s="1683">
        <v>0</v>
      </c>
      <c r="CU419" s="1683">
        <v>0</v>
      </c>
      <c r="CV419" s="1683">
        <v>0</v>
      </c>
      <c r="CW419" s="1682"/>
      <c r="CX419" s="1400"/>
      <c r="CY419" s="1400"/>
      <c r="CZ419" s="1400"/>
      <c r="DA419" s="1400"/>
      <c r="DB419" s="1682"/>
      <c r="DC419" s="1326"/>
      <c r="DD419" s="1683">
        <v>0</v>
      </c>
      <c r="DE419" s="1400"/>
      <c r="DF419" s="1400"/>
      <c r="DG419" s="1683">
        <v>0</v>
      </c>
      <c r="DH419" s="1683">
        <v>0</v>
      </c>
    </row>
    <row r="420" spans="1:112" ht="45">
      <c r="A420" s="1326" t="s">
        <v>2476</v>
      </c>
      <c r="B420" s="1326" t="s">
        <v>1702</v>
      </c>
      <c r="C420" s="1326" t="s">
        <v>2564</v>
      </c>
      <c r="D420" s="1326" t="s">
        <v>2567</v>
      </c>
      <c r="E420" s="1326" t="s">
        <v>2293</v>
      </c>
      <c r="F420" s="1326" t="s">
        <v>2566</v>
      </c>
      <c r="G420" s="1326" t="s">
        <v>2556</v>
      </c>
      <c r="H420" s="1326" t="s">
        <v>2541</v>
      </c>
      <c r="I420" s="1326" t="s">
        <v>726</v>
      </c>
      <c r="J420" s="1326" t="s">
        <v>237</v>
      </c>
      <c r="K420" s="1326" t="s">
        <v>2110</v>
      </c>
      <c r="L420" s="1326" t="s">
        <v>2061</v>
      </c>
      <c r="M420" s="1683">
        <v>727472.94</v>
      </c>
      <c r="N420" s="1683">
        <v>0</v>
      </c>
      <c r="O420" s="1683">
        <v>727472.94</v>
      </c>
      <c r="P420" s="1683">
        <v>727472.94</v>
      </c>
      <c r="Q420" s="1683">
        <v>618351.99</v>
      </c>
      <c r="R420" s="1683">
        <v>618351.99</v>
      </c>
      <c r="S420" s="1683">
        <v>0</v>
      </c>
      <c r="T420" s="1683">
        <v>109120.95</v>
      </c>
      <c r="U420" s="1683">
        <v>0</v>
      </c>
      <c r="V420" s="1683">
        <v>109120.95</v>
      </c>
      <c r="W420" s="1683">
        <v>0</v>
      </c>
      <c r="X420" s="1683">
        <v>0</v>
      </c>
      <c r="Y420" s="1682"/>
      <c r="Z420" s="1326"/>
      <c r="AA420" s="1683">
        <v>0</v>
      </c>
      <c r="AB420" s="1683">
        <v>0</v>
      </c>
      <c r="AC420" s="1683">
        <v>0</v>
      </c>
      <c r="AD420" s="1682"/>
      <c r="AE420" s="1326"/>
      <c r="AF420" s="1326"/>
      <c r="AG420" s="1410"/>
      <c r="AH420" s="1683">
        <v>423416.63</v>
      </c>
      <c r="AI420" s="1683">
        <v>558716.63</v>
      </c>
      <c r="AJ420" s="1683">
        <v>495204.13</v>
      </c>
      <c r="AK420" s="1683">
        <v>495204.13</v>
      </c>
      <c r="AL420" s="1683">
        <v>0</v>
      </c>
      <c r="AM420" s="1682"/>
      <c r="AN420" s="1683">
        <v>423416.63</v>
      </c>
      <c r="AO420" s="1683">
        <v>423416.63</v>
      </c>
      <c r="AP420" s="1683">
        <v>359904.13</v>
      </c>
      <c r="AQ420" s="1683">
        <v>359904.13</v>
      </c>
      <c r="AR420" s="1683">
        <v>0</v>
      </c>
      <c r="AS420" s="1683">
        <v>63512.5</v>
      </c>
      <c r="AT420" s="1683">
        <v>0</v>
      </c>
      <c r="AU420" s="1683">
        <v>63512.5</v>
      </c>
      <c r="AV420" s="1683">
        <v>0</v>
      </c>
      <c r="AW420" s="1683">
        <v>0</v>
      </c>
      <c r="AX420" s="1683">
        <v>0</v>
      </c>
      <c r="AY420" s="1683">
        <v>0</v>
      </c>
      <c r="AZ420" s="1683">
        <v>0</v>
      </c>
      <c r="BA420" s="1682"/>
      <c r="BB420" s="1682"/>
      <c r="BC420" s="1683">
        <v>0</v>
      </c>
      <c r="BD420" s="1683">
        <v>0</v>
      </c>
      <c r="BE420" s="1683">
        <v>423416.63</v>
      </c>
      <c r="BF420" s="1683">
        <v>423416.63</v>
      </c>
      <c r="BG420" s="1683">
        <v>359904.13</v>
      </c>
      <c r="BH420" s="1683">
        <v>359904.13</v>
      </c>
      <c r="BI420" s="1683">
        <v>0</v>
      </c>
      <c r="BJ420" s="1683">
        <v>63512.5</v>
      </c>
      <c r="BK420" s="1683">
        <v>0</v>
      </c>
      <c r="BL420" s="1683">
        <v>63512.5</v>
      </c>
      <c r="BM420" s="1683">
        <v>0</v>
      </c>
      <c r="BN420" s="1683">
        <v>0</v>
      </c>
      <c r="BO420" s="1682"/>
      <c r="BP420" s="1683">
        <v>274342.03000000003</v>
      </c>
      <c r="BQ420" s="1683">
        <v>274342.03000000003</v>
      </c>
      <c r="BR420" s="1683">
        <v>233190.72</v>
      </c>
      <c r="BS420" s="1683">
        <v>233190.72</v>
      </c>
      <c r="BT420" s="1683">
        <v>0</v>
      </c>
      <c r="BU420" s="1683">
        <v>41151.31</v>
      </c>
      <c r="BV420" s="1683">
        <v>0</v>
      </c>
      <c r="BW420" s="1683">
        <v>16783.27</v>
      </c>
      <c r="BX420" s="1683">
        <v>0</v>
      </c>
      <c r="BY420" s="1683">
        <v>0</v>
      </c>
      <c r="BZ420" s="1683">
        <v>0</v>
      </c>
      <c r="CA420" s="1683">
        <v>0</v>
      </c>
      <c r="CB420" s="1682"/>
      <c r="CC420" s="1682"/>
      <c r="CD420" s="1683">
        <v>0</v>
      </c>
      <c r="CE420" s="1683">
        <v>0</v>
      </c>
      <c r="CF420" s="1683">
        <v>0</v>
      </c>
      <c r="CG420" s="1683">
        <v>0</v>
      </c>
      <c r="CH420" s="1683">
        <v>0</v>
      </c>
      <c r="CI420" s="1683">
        <v>0</v>
      </c>
      <c r="CJ420" s="1683">
        <v>0</v>
      </c>
      <c r="CK420" s="1683">
        <v>0</v>
      </c>
      <c r="CL420" s="1682"/>
      <c r="CM420" s="1683">
        <v>111888.49</v>
      </c>
      <c r="CN420" s="1683">
        <v>111888.49</v>
      </c>
      <c r="CO420" s="1683">
        <v>95105.22</v>
      </c>
      <c r="CP420" s="1683">
        <v>95105.22</v>
      </c>
      <c r="CQ420" s="1683">
        <v>0</v>
      </c>
      <c r="CR420" s="1683">
        <v>16783.27</v>
      </c>
      <c r="CS420" s="1683">
        <v>0</v>
      </c>
      <c r="CT420" s="1683">
        <v>16783.27</v>
      </c>
      <c r="CU420" s="1683">
        <v>0</v>
      </c>
      <c r="CV420" s="1683">
        <v>0</v>
      </c>
      <c r="CW420" s="1682"/>
      <c r="CX420" s="1683">
        <v>0</v>
      </c>
      <c r="CY420" s="1683">
        <v>0</v>
      </c>
      <c r="CZ420" s="1683">
        <v>111888.49</v>
      </c>
      <c r="DA420" s="1683">
        <v>111888.49</v>
      </c>
      <c r="DB420" s="1682"/>
      <c r="DC420" s="1326"/>
      <c r="DD420" s="1683">
        <v>0</v>
      </c>
      <c r="DE420" s="1683">
        <v>0</v>
      </c>
      <c r="DF420" s="1683">
        <v>0</v>
      </c>
      <c r="DG420" s="1683">
        <v>0</v>
      </c>
      <c r="DH420" s="1683">
        <v>0</v>
      </c>
    </row>
    <row r="421" spans="1:112" ht="45">
      <c r="A421" s="1326" t="s">
        <v>2477</v>
      </c>
      <c r="B421" s="1326" t="s">
        <v>1702</v>
      </c>
      <c r="C421" s="1326" t="s">
        <v>2564</v>
      </c>
      <c r="D421" s="1326" t="s">
        <v>2567</v>
      </c>
      <c r="E421" s="1326" t="s">
        <v>2293</v>
      </c>
      <c r="F421" s="1326" t="s">
        <v>2566</v>
      </c>
      <c r="G421" s="1326" t="s">
        <v>2556</v>
      </c>
      <c r="H421" s="1326" t="s">
        <v>2541</v>
      </c>
      <c r="I421" s="1326" t="s">
        <v>726</v>
      </c>
      <c r="J421" s="1326" t="s">
        <v>237</v>
      </c>
      <c r="K421" s="1326" t="s">
        <v>2110</v>
      </c>
      <c r="L421" s="1326" t="s">
        <v>2061</v>
      </c>
      <c r="M421" s="1400"/>
      <c r="N421" s="1400"/>
      <c r="O421" s="1400"/>
      <c r="P421" s="1400"/>
      <c r="Q421" s="1400"/>
      <c r="R421" s="1400"/>
      <c r="S421" s="1400"/>
      <c r="T421" s="1400"/>
      <c r="U421" s="1400"/>
      <c r="V421" s="1400"/>
      <c r="W421" s="1400"/>
      <c r="X421" s="1400"/>
      <c r="Y421" s="1685">
        <v>42850</v>
      </c>
      <c r="Z421" s="1326" t="s">
        <v>2096</v>
      </c>
      <c r="AA421" s="1683">
        <v>0</v>
      </c>
      <c r="AB421" s="1683">
        <v>0</v>
      </c>
      <c r="AC421" s="1683">
        <v>0</v>
      </c>
      <c r="AD421" s="1685">
        <v>42859</v>
      </c>
      <c r="AE421" s="1326" t="s">
        <v>2079</v>
      </c>
      <c r="AF421" s="1326" t="s">
        <v>2064</v>
      </c>
      <c r="AG421" s="1410"/>
      <c r="AH421" s="1683">
        <v>0</v>
      </c>
      <c r="AI421" s="1683">
        <v>18500</v>
      </c>
      <c r="AJ421" s="1683">
        <v>18500</v>
      </c>
      <c r="AK421" s="1683">
        <v>18500</v>
      </c>
      <c r="AL421" s="1683">
        <v>0</v>
      </c>
      <c r="AM421" s="1682"/>
      <c r="AN421" s="1683">
        <v>0</v>
      </c>
      <c r="AO421" s="1683">
        <v>0</v>
      </c>
      <c r="AP421" s="1683">
        <v>0</v>
      </c>
      <c r="AQ421" s="1683">
        <v>0</v>
      </c>
      <c r="AR421" s="1683">
        <v>0</v>
      </c>
      <c r="AS421" s="1683">
        <v>0</v>
      </c>
      <c r="AT421" s="1683">
        <v>0</v>
      </c>
      <c r="AU421" s="1683">
        <v>0</v>
      </c>
      <c r="AV421" s="1683">
        <v>0</v>
      </c>
      <c r="AW421" s="1683">
        <v>0</v>
      </c>
      <c r="AX421" s="1400"/>
      <c r="AY421" s="1400"/>
      <c r="AZ421" s="1400"/>
      <c r="BA421" s="1682"/>
      <c r="BB421" s="1682"/>
      <c r="BC421" s="1400"/>
      <c r="BD421" s="1400"/>
      <c r="BE421" s="1683">
        <v>0</v>
      </c>
      <c r="BF421" s="1683">
        <v>0</v>
      </c>
      <c r="BG421" s="1683">
        <v>0</v>
      </c>
      <c r="BH421" s="1683">
        <v>0</v>
      </c>
      <c r="BI421" s="1683">
        <v>0</v>
      </c>
      <c r="BJ421" s="1683">
        <v>0</v>
      </c>
      <c r="BK421" s="1683">
        <v>0</v>
      </c>
      <c r="BL421" s="1683">
        <v>0</v>
      </c>
      <c r="BM421" s="1683">
        <v>0</v>
      </c>
      <c r="BN421" s="1683">
        <v>0</v>
      </c>
      <c r="BO421" s="1682"/>
      <c r="BP421" s="1683">
        <v>0</v>
      </c>
      <c r="BQ421" s="1683">
        <v>0</v>
      </c>
      <c r="BR421" s="1683">
        <v>0</v>
      </c>
      <c r="BS421" s="1683">
        <v>0</v>
      </c>
      <c r="BT421" s="1683">
        <v>0</v>
      </c>
      <c r="BU421" s="1683">
        <v>0</v>
      </c>
      <c r="BV421" s="1683">
        <v>0</v>
      </c>
      <c r="BW421" s="1683">
        <v>0</v>
      </c>
      <c r="BX421" s="1683">
        <v>0</v>
      </c>
      <c r="BY421" s="1683">
        <v>0</v>
      </c>
      <c r="BZ421" s="1400"/>
      <c r="CA421" s="1400"/>
      <c r="CB421" s="1682"/>
      <c r="CC421" s="1682"/>
      <c r="CD421" s="1400"/>
      <c r="CE421" s="1400"/>
      <c r="CF421" s="1683">
        <v>0</v>
      </c>
      <c r="CG421" s="1683">
        <v>0</v>
      </c>
      <c r="CH421" s="1683">
        <v>0</v>
      </c>
      <c r="CI421" s="1683">
        <v>0</v>
      </c>
      <c r="CJ421" s="1683">
        <v>0</v>
      </c>
      <c r="CK421" s="1683">
        <v>0</v>
      </c>
      <c r="CL421" s="1682"/>
      <c r="CM421" s="1683">
        <v>0</v>
      </c>
      <c r="CN421" s="1683">
        <v>0</v>
      </c>
      <c r="CO421" s="1683">
        <v>0</v>
      </c>
      <c r="CP421" s="1683">
        <v>0</v>
      </c>
      <c r="CQ421" s="1683">
        <v>0</v>
      </c>
      <c r="CR421" s="1683">
        <v>0</v>
      </c>
      <c r="CS421" s="1683">
        <v>0</v>
      </c>
      <c r="CT421" s="1683">
        <v>0</v>
      </c>
      <c r="CU421" s="1683">
        <v>0</v>
      </c>
      <c r="CV421" s="1683">
        <v>0</v>
      </c>
      <c r="CW421" s="1682"/>
      <c r="CX421" s="1400"/>
      <c r="CY421" s="1400"/>
      <c r="CZ421" s="1400"/>
      <c r="DA421" s="1400"/>
      <c r="DB421" s="1682"/>
      <c r="DC421" s="1326"/>
      <c r="DD421" s="1683">
        <v>0</v>
      </c>
      <c r="DE421" s="1400"/>
      <c r="DF421" s="1400"/>
      <c r="DG421" s="1683">
        <v>0</v>
      </c>
      <c r="DH421" s="1683">
        <v>0</v>
      </c>
    </row>
    <row r="422" spans="1:112" ht="45">
      <c r="A422" s="1326" t="s">
        <v>2478</v>
      </c>
      <c r="B422" s="1326" t="s">
        <v>1702</v>
      </c>
      <c r="C422" s="1326" t="s">
        <v>2564</v>
      </c>
      <c r="D422" s="1326" t="s">
        <v>2567</v>
      </c>
      <c r="E422" s="1326" t="s">
        <v>2293</v>
      </c>
      <c r="F422" s="1326" t="s">
        <v>2566</v>
      </c>
      <c r="G422" s="1326" t="s">
        <v>2556</v>
      </c>
      <c r="H422" s="1326" t="s">
        <v>2541</v>
      </c>
      <c r="I422" s="1326" t="s">
        <v>726</v>
      </c>
      <c r="J422" s="1326" t="s">
        <v>237</v>
      </c>
      <c r="K422" s="1326" t="s">
        <v>2110</v>
      </c>
      <c r="L422" s="1326" t="s">
        <v>2061</v>
      </c>
      <c r="M422" s="1400"/>
      <c r="N422" s="1400"/>
      <c r="O422" s="1400"/>
      <c r="P422" s="1400"/>
      <c r="Q422" s="1400"/>
      <c r="R422" s="1400"/>
      <c r="S422" s="1400"/>
      <c r="T422" s="1400"/>
      <c r="U422" s="1400"/>
      <c r="V422" s="1400"/>
      <c r="W422" s="1400"/>
      <c r="X422" s="1400"/>
      <c r="Y422" s="1685">
        <v>42926</v>
      </c>
      <c r="Z422" s="1326" t="s">
        <v>2062</v>
      </c>
      <c r="AA422" s="1683">
        <v>0</v>
      </c>
      <c r="AB422" s="1683">
        <v>0</v>
      </c>
      <c r="AC422" s="1683">
        <v>0</v>
      </c>
      <c r="AD422" s="1685">
        <v>42944</v>
      </c>
      <c r="AE422" s="1326" t="s">
        <v>2080</v>
      </c>
      <c r="AF422" s="1326" t="s">
        <v>2064</v>
      </c>
      <c r="AG422" s="1410"/>
      <c r="AH422" s="1683">
        <v>18406.560000000001</v>
      </c>
      <c r="AI422" s="1683">
        <v>18406.560000000001</v>
      </c>
      <c r="AJ422" s="1683">
        <v>15645.58</v>
      </c>
      <c r="AK422" s="1683">
        <v>15645.58</v>
      </c>
      <c r="AL422" s="1683">
        <v>0</v>
      </c>
      <c r="AM422" s="1685">
        <v>42944</v>
      </c>
      <c r="AN422" s="1683">
        <v>18406.560000000001</v>
      </c>
      <c r="AO422" s="1683">
        <v>18406.560000000001</v>
      </c>
      <c r="AP422" s="1683">
        <v>15645.58</v>
      </c>
      <c r="AQ422" s="1683">
        <v>15645.58</v>
      </c>
      <c r="AR422" s="1683">
        <v>0</v>
      </c>
      <c r="AS422" s="1683">
        <v>2760.98</v>
      </c>
      <c r="AT422" s="1683">
        <v>0</v>
      </c>
      <c r="AU422" s="1683">
        <v>2760.98</v>
      </c>
      <c r="AV422" s="1683">
        <v>0</v>
      </c>
      <c r="AW422" s="1683">
        <v>0</v>
      </c>
      <c r="AX422" s="1400"/>
      <c r="AY422" s="1400"/>
      <c r="AZ422" s="1400"/>
      <c r="BA422" s="1682"/>
      <c r="BB422" s="1682"/>
      <c r="BC422" s="1400"/>
      <c r="BD422" s="1400"/>
      <c r="BE422" s="1683">
        <v>18406.560000000001</v>
      </c>
      <c r="BF422" s="1683">
        <v>18406.560000000001</v>
      </c>
      <c r="BG422" s="1683">
        <v>15645.58</v>
      </c>
      <c r="BH422" s="1683">
        <v>15645.58</v>
      </c>
      <c r="BI422" s="1683">
        <v>0</v>
      </c>
      <c r="BJ422" s="1683">
        <v>2760.98</v>
      </c>
      <c r="BK422" s="1683">
        <v>0</v>
      </c>
      <c r="BL422" s="1683">
        <v>2760.98</v>
      </c>
      <c r="BM422" s="1683">
        <v>0</v>
      </c>
      <c r="BN422" s="1683">
        <v>0</v>
      </c>
      <c r="BO422" s="1685">
        <v>42993</v>
      </c>
      <c r="BP422" s="1683">
        <v>18406.560000000001</v>
      </c>
      <c r="BQ422" s="1683">
        <v>18406.560000000001</v>
      </c>
      <c r="BR422" s="1683">
        <v>15645.58</v>
      </c>
      <c r="BS422" s="1683">
        <v>15645.58</v>
      </c>
      <c r="BT422" s="1683">
        <v>0</v>
      </c>
      <c r="BU422" s="1683">
        <v>2760.98</v>
      </c>
      <c r="BV422" s="1683">
        <v>0</v>
      </c>
      <c r="BW422" s="1683">
        <v>2760.98</v>
      </c>
      <c r="BX422" s="1683">
        <v>0</v>
      </c>
      <c r="BY422" s="1683">
        <v>0</v>
      </c>
      <c r="BZ422" s="1683">
        <v>0</v>
      </c>
      <c r="CA422" s="1400"/>
      <c r="CB422" s="1682"/>
      <c r="CC422" s="1682"/>
      <c r="CD422" s="1400"/>
      <c r="CE422" s="1400"/>
      <c r="CF422" s="1683">
        <v>0</v>
      </c>
      <c r="CG422" s="1683">
        <v>0</v>
      </c>
      <c r="CH422" s="1683">
        <v>0</v>
      </c>
      <c r="CI422" s="1683">
        <v>0</v>
      </c>
      <c r="CJ422" s="1683">
        <v>0</v>
      </c>
      <c r="CK422" s="1683">
        <v>0</v>
      </c>
      <c r="CL422" s="1685">
        <v>43511</v>
      </c>
      <c r="CM422" s="1683">
        <v>18406.560000000001</v>
      </c>
      <c r="CN422" s="1683">
        <v>18406.560000000001</v>
      </c>
      <c r="CO422" s="1683">
        <v>15645.58</v>
      </c>
      <c r="CP422" s="1683">
        <v>15645.58</v>
      </c>
      <c r="CQ422" s="1683">
        <v>0</v>
      </c>
      <c r="CR422" s="1683">
        <v>2760.98</v>
      </c>
      <c r="CS422" s="1683">
        <v>0</v>
      </c>
      <c r="CT422" s="1683">
        <v>2760.98</v>
      </c>
      <c r="CU422" s="1683">
        <v>0</v>
      </c>
      <c r="CV422" s="1683">
        <v>0</v>
      </c>
      <c r="CW422" s="1682"/>
      <c r="CX422" s="1400"/>
      <c r="CY422" s="1400"/>
      <c r="CZ422" s="1400"/>
      <c r="DA422" s="1400"/>
      <c r="DB422" s="1682"/>
      <c r="DC422" s="1326"/>
      <c r="DD422" s="1683">
        <v>0</v>
      </c>
      <c r="DE422" s="1400"/>
      <c r="DF422" s="1400"/>
      <c r="DG422" s="1683">
        <v>0</v>
      </c>
      <c r="DH422" s="1683">
        <v>0</v>
      </c>
    </row>
    <row r="423" spans="1:112" ht="45">
      <c r="A423" s="1326" t="s">
        <v>2479</v>
      </c>
      <c r="B423" s="1326" t="s">
        <v>1702</v>
      </c>
      <c r="C423" s="1326" t="s">
        <v>2564</v>
      </c>
      <c r="D423" s="1326" t="s">
        <v>2567</v>
      </c>
      <c r="E423" s="1326" t="s">
        <v>2293</v>
      </c>
      <c r="F423" s="1326" t="s">
        <v>2566</v>
      </c>
      <c r="G423" s="1326" t="s">
        <v>2556</v>
      </c>
      <c r="H423" s="1326" t="s">
        <v>2541</v>
      </c>
      <c r="I423" s="1326" t="s">
        <v>726</v>
      </c>
      <c r="J423" s="1326" t="s">
        <v>237</v>
      </c>
      <c r="K423" s="1326" t="s">
        <v>2110</v>
      </c>
      <c r="L423" s="1326" t="s">
        <v>2061</v>
      </c>
      <c r="M423" s="1400"/>
      <c r="N423" s="1400"/>
      <c r="O423" s="1400"/>
      <c r="P423" s="1400"/>
      <c r="Q423" s="1400"/>
      <c r="R423" s="1400"/>
      <c r="S423" s="1400"/>
      <c r="T423" s="1400"/>
      <c r="U423" s="1400"/>
      <c r="V423" s="1400"/>
      <c r="W423" s="1400"/>
      <c r="X423" s="1400"/>
      <c r="Y423" s="1685">
        <v>43074</v>
      </c>
      <c r="Z423" s="1326" t="s">
        <v>2096</v>
      </c>
      <c r="AA423" s="1683">
        <v>0</v>
      </c>
      <c r="AB423" s="1683">
        <v>0</v>
      </c>
      <c r="AC423" s="1683">
        <v>0</v>
      </c>
      <c r="AD423" s="1685">
        <v>43081</v>
      </c>
      <c r="AE423" s="1326" t="s">
        <v>2088</v>
      </c>
      <c r="AF423" s="1326" t="s">
        <v>2064</v>
      </c>
      <c r="AG423" s="1410"/>
      <c r="AH423" s="1683">
        <v>0</v>
      </c>
      <c r="AI423" s="1683">
        <v>116800</v>
      </c>
      <c r="AJ423" s="1683">
        <v>116800</v>
      </c>
      <c r="AK423" s="1683">
        <v>116800</v>
      </c>
      <c r="AL423" s="1683">
        <v>0</v>
      </c>
      <c r="AM423" s="1682"/>
      <c r="AN423" s="1683">
        <v>0</v>
      </c>
      <c r="AO423" s="1683">
        <v>0</v>
      </c>
      <c r="AP423" s="1683">
        <v>0</v>
      </c>
      <c r="AQ423" s="1683">
        <v>0</v>
      </c>
      <c r="AR423" s="1683">
        <v>0</v>
      </c>
      <c r="AS423" s="1683">
        <v>0</v>
      </c>
      <c r="AT423" s="1683">
        <v>0</v>
      </c>
      <c r="AU423" s="1683">
        <v>0</v>
      </c>
      <c r="AV423" s="1683">
        <v>0</v>
      </c>
      <c r="AW423" s="1683">
        <v>0</v>
      </c>
      <c r="AX423" s="1400"/>
      <c r="AY423" s="1400"/>
      <c r="AZ423" s="1400"/>
      <c r="BA423" s="1682"/>
      <c r="BB423" s="1682"/>
      <c r="BC423" s="1400"/>
      <c r="BD423" s="1400"/>
      <c r="BE423" s="1683">
        <v>0</v>
      </c>
      <c r="BF423" s="1683">
        <v>0</v>
      </c>
      <c r="BG423" s="1683">
        <v>0</v>
      </c>
      <c r="BH423" s="1683">
        <v>0</v>
      </c>
      <c r="BI423" s="1683">
        <v>0</v>
      </c>
      <c r="BJ423" s="1683">
        <v>0</v>
      </c>
      <c r="BK423" s="1683">
        <v>0</v>
      </c>
      <c r="BL423" s="1683">
        <v>0</v>
      </c>
      <c r="BM423" s="1683">
        <v>0</v>
      </c>
      <c r="BN423" s="1683">
        <v>0</v>
      </c>
      <c r="BO423" s="1682"/>
      <c r="BP423" s="1683">
        <v>0</v>
      </c>
      <c r="BQ423" s="1683">
        <v>0</v>
      </c>
      <c r="BR423" s="1683">
        <v>0</v>
      </c>
      <c r="BS423" s="1683">
        <v>0</v>
      </c>
      <c r="BT423" s="1683">
        <v>0</v>
      </c>
      <c r="BU423" s="1683">
        <v>0</v>
      </c>
      <c r="BV423" s="1683">
        <v>0</v>
      </c>
      <c r="BW423" s="1683">
        <v>0</v>
      </c>
      <c r="BX423" s="1683">
        <v>0</v>
      </c>
      <c r="BY423" s="1683">
        <v>0</v>
      </c>
      <c r="BZ423" s="1400"/>
      <c r="CA423" s="1400"/>
      <c r="CB423" s="1682"/>
      <c r="CC423" s="1682"/>
      <c r="CD423" s="1400"/>
      <c r="CE423" s="1400"/>
      <c r="CF423" s="1683">
        <v>0</v>
      </c>
      <c r="CG423" s="1683">
        <v>0</v>
      </c>
      <c r="CH423" s="1683">
        <v>0</v>
      </c>
      <c r="CI423" s="1683">
        <v>0</v>
      </c>
      <c r="CJ423" s="1683">
        <v>0</v>
      </c>
      <c r="CK423" s="1683">
        <v>0</v>
      </c>
      <c r="CL423" s="1682"/>
      <c r="CM423" s="1683">
        <v>0</v>
      </c>
      <c r="CN423" s="1683">
        <v>0</v>
      </c>
      <c r="CO423" s="1683">
        <v>0</v>
      </c>
      <c r="CP423" s="1683">
        <v>0</v>
      </c>
      <c r="CQ423" s="1683">
        <v>0</v>
      </c>
      <c r="CR423" s="1683">
        <v>0</v>
      </c>
      <c r="CS423" s="1683">
        <v>0</v>
      </c>
      <c r="CT423" s="1683">
        <v>0</v>
      </c>
      <c r="CU423" s="1683">
        <v>0</v>
      </c>
      <c r="CV423" s="1683">
        <v>0</v>
      </c>
      <c r="CW423" s="1682"/>
      <c r="CX423" s="1400"/>
      <c r="CY423" s="1400"/>
      <c r="CZ423" s="1400"/>
      <c r="DA423" s="1400"/>
      <c r="DB423" s="1682"/>
      <c r="DC423" s="1326"/>
      <c r="DD423" s="1683">
        <v>0</v>
      </c>
      <c r="DE423" s="1400"/>
      <c r="DF423" s="1400"/>
      <c r="DG423" s="1683">
        <v>0</v>
      </c>
      <c r="DH423" s="1683">
        <v>0</v>
      </c>
    </row>
    <row r="424" spans="1:112" ht="45">
      <c r="A424" s="1326" t="s">
        <v>2480</v>
      </c>
      <c r="B424" s="1326" t="s">
        <v>1702</v>
      </c>
      <c r="C424" s="1326" t="s">
        <v>2564</v>
      </c>
      <c r="D424" s="1326" t="s">
        <v>2567</v>
      </c>
      <c r="E424" s="1326" t="s">
        <v>2293</v>
      </c>
      <c r="F424" s="1326" t="s">
        <v>2566</v>
      </c>
      <c r="G424" s="1326" t="s">
        <v>2556</v>
      </c>
      <c r="H424" s="1326" t="s">
        <v>2541</v>
      </c>
      <c r="I424" s="1326" t="s">
        <v>726</v>
      </c>
      <c r="J424" s="1326" t="s">
        <v>237</v>
      </c>
      <c r="K424" s="1326" t="s">
        <v>2110</v>
      </c>
      <c r="L424" s="1326" t="s">
        <v>2061</v>
      </c>
      <c r="M424" s="1400"/>
      <c r="N424" s="1400"/>
      <c r="O424" s="1400"/>
      <c r="P424" s="1400"/>
      <c r="Q424" s="1400"/>
      <c r="R424" s="1400"/>
      <c r="S424" s="1400"/>
      <c r="T424" s="1400"/>
      <c r="U424" s="1400"/>
      <c r="V424" s="1400"/>
      <c r="W424" s="1400"/>
      <c r="X424" s="1400"/>
      <c r="Y424" s="1685">
        <v>43118</v>
      </c>
      <c r="Z424" s="1326" t="s">
        <v>2062</v>
      </c>
      <c r="AA424" s="1683">
        <v>0</v>
      </c>
      <c r="AB424" s="1683">
        <v>0</v>
      </c>
      <c r="AC424" s="1683">
        <v>0</v>
      </c>
      <c r="AD424" s="1685">
        <v>43154</v>
      </c>
      <c r="AE424" s="1326" t="s">
        <v>2082</v>
      </c>
      <c r="AF424" s="1326" t="s">
        <v>2064</v>
      </c>
      <c r="AG424" s="1410"/>
      <c r="AH424" s="1683">
        <v>93481.93</v>
      </c>
      <c r="AI424" s="1683">
        <v>93481.93</v>
      </c>
      <c r="AJ424" s="1683">
        <v>79459.64</v>
      </c>
      <c r="AK424" s="1683">
        <v>79459.64</v>
      </c>
      <c r="AL424" s="1683">
        <v>0</v>
      </c>
      <c r="AM424" s="1685">
        <v>43154</v>
      </c>
      <c r="AN424" s="1683">
        <v>93481.93</v>
      </c>
      <c r="AO424" s="1683">
        <v>93481.93</v>
      </c>
      <c r="AP424" s="1683">
        <v>79459.64</v>
      </c>
      <c r="AQ424" s="1683">
        <v>79459.64</v>
      </c>
      <c r="AR424" s="1683">
        <v>0</v>
      </c>
      <c r="AS424" s="1683">
        <v>14022.29</v>
      </c>
      <c r="AT424" s="1683">
        <v>0</v>
      </c>
      <c r="AU424" s="1683">
        <v>14022.29</v>
      </c>
      <c r="AV424" s="1683">
        <v>0</v>
      </c>
      <c r="AW424" s="1683">
        <v>0</v>
      </c>
      <c r="AX424" s="1400"/>
      <c r="AY424" s="1400"/>
      <c r="AZ424" s="1400"/>
      <c r="BA424" s="1682"/>
      <c r="BB424" s="1682"/>
      <c r="BC424" s="1400"/>
      <c r="BD424" s="1400"/>
      <c r="BE424" s="1683">
        <v>93481.93</v>
      </c>
      <c r="BF424" s="1683">
        <v>93481.93</v>
      </c>
      <c r="BG424" s="1683">
        <v>79459.64</v>
      </c>
      <c r="BH424" s="1683">
        <v>79459.64</v>
      </c>
      <c r="BI424" s="1683">
        <v>0</v>
      </c>
      <c r="BJ424" s="1683">
        <v>14022.29</v>
      </c>
      <c r="BK424" s="1683">
        <v>0</v>
      </c>
      <c r="BL424" s="1683">
        <v>14022.29</v>
      </c>
      <c r="BM424" s="1683">
        <v>0</v>
      </c>
      <c r="BN424" s="1683">
        <v>0</v>
      </c>
      <c r="BO424" s="1685">
        <v>43236</v>
      </c>
      <c r="BP424" s="1683">
        <v>93481.93</v>
      </c>
      <c r="BQ424" s="1683">
        <v>93481.93</v>
      </c>
      <c r="BR424" s="1683">
        <v>79459.64</v>
      </c>
      <c r="BS424" s="1683">
        <v>79459.64</v>
      </c>
      <c r="BT424" s="1683">
        <v>0</v>
      </c>
      <c r="BU424" s="1683">
        <v>14022.29</v>
      </c>
      <c r="BV424" s="1683">
        <v>0</v>
      </c>
      <c r="BW424" s="1683">
        <v>14022.29</v>
      </c>
      <c r="BX424" s="1683">
        <v>0</v>
      </c>
      <c r="BY424" s="1683">
        <v>0</v>
      </c>
      <c r="BZ424" s="1683">
        <v>0</v>
      </c>
      <c r="CA424" s="1400"/>
      <c r="CB424" s="1682"/>
      <c r="CC424" s="1682"/>
      <c r="CD424" s="1400"/>
      <c r="CE424" s="1400"/>
      <c r="CF424" s="1683">
        <v>0</v>
      </c>
      <c r="CG424" s="1683">
        <v>0</v>
      </c>
      <c r="CH424" s="1683">
        <v>0</v>
      </c>
      <c r="CI424" s="1683">
        <v>0</v>
      </c>
      <c r="CJ424" s="1683">
        <v>0</v>
      </c>
      <c r="CK424" s="1683">
        <v>0</v>
      </c>
      <c r="CL424" s="1685">
        <v>43511</v>
      </c>
      <c r="CM424" s="1683">
        <v>93481.93</v>
      </c>
      <c r="CN424" s="1683">
        <v>93481.93</v>
      </c>
      <c r="CO424" s="1683">
        <v>79459.64</v>
      </c>
      <c r="CP424" s="1683">
        <v>79459.64</v>
      </c>
      <c r="CQ424" s="1683">
        <v>0</v>
      </c>
      <c r="CR424" s="1683">
        <v>14022.29</v>
      </c>
      <c r="CS424" s="1683">
        <v>0</v>
      </c>
      <c r="CT424" s="1683">
        <v>14022.29</v>
      </c>
      <c r="CU424" s="1683">
        <v>0</v>
      </c>
      <c r="CV424" s="1683">
        <v>0</v>
      </c>
      <c r="CW424" s="1682"/>
      <c r="CX424" s="1400"/>
      <c r="CY424" s="1400"/>
      <c r="CZ424" s="1400"/>
      <c r="DA424" s="1400"/>
      <c r="DB424" s="1682"/>
      <c r="DC424" s="1326"/>
      <c r="DD424" s="1683">
        <v>0</v>
      </c>
      <c r="DE424" s="1400"/>
      <c r="DF424" s="1400"/>
      <c r="DG424" s="1683">
        <v>0</v>
      </c>
      <c r="DH424" s="1683">
        <v>0</v>
      </c>
    </row>
    <row r="425" spans="1:112" ht="45">
      <c r="A425" s="1326" t="s">
        <v>2481</v>
      </c>
      <c r="B425" s="1326" t="s">
        <v>1702</v>
      </c>
      <c r="C425" s="1326" t="s">
        <v>2564</v>
      </c>
      <c r="D425" s="1326" t="s">
        <v>2567</v>
      </c>
      <c r="E425" s="1326" t="s">
        <v>2293</v>
      </c>
      <c r="F425" s="1326" t="s">
        <v>2566</v>
      </c>
      <c r="G425" s="1326" t="s">
        <v>2556</v>
      </c>
      <c r="H425" s="1326" t="s">
        <v>2541</v>
      </c>
      <c r="I425" s="1326" t="s">
        <v>726</v>
      </c>
      <c r="J425" s="1326" t="s">
        <v>237</v>
      </c>
      <c r="K425" s="1326" t="s">
        <v>2110</v>
      </c>
      <c r="L425" s="1326" t="s">
        <v>2061</v>
      </c>
      <c r="M425" s="1400"/>
      <c r="N425" s="1400"/>
      <c r="O425" s="1400"/>
      <c r="P425" s="1400"/>
      <c r="Q425" s="1400"/>
      <c r="R425" s="1400"/>
      <c r="S425" s="1400"/>
      <c r="T425" s="1400"/>
      <c r="U425" s="1400"/>
      <c r="V425" s="1400"/>
      <c r="W425" s="1400"/>
      <c r="X425" s="1400"/>
      <c r="Y425" s="1685">
        <v>43217</v>
      </c>
      <c r="Z425" s="1326" t="s">
        <v>2062</v>
      </c>
      <c r="AA425" s="1683">
        <v>0</v>
      </c>
      <c r="AB425" s="1683">
        <v>0</v>
      </c>
      <c r="AC425" s="1683">
        <v>0</v>
      </c>
      <c r="AD425" s="1685">
        <v>43245</v>
      </c>
      <c r="AE425" s="1326" t="s">
        <v>2083</v>
      </c>
      <c r="AF425" s="1326" t="s">
        <v>2064</v>
      </c>
      <c r="AG425" s="1410"/>
      <c r="AH425" s="1683">
        <v>116354.43</v>
      </c>
      <c r="AI425" s="1683">
        <v>116354.43</v>
      </c>
      <c r="AJ425" s="1683">
        <v>98901.26</v>
      </c>
      <c r="AK425" s="1683">
        <v>98901.26</v>
      </c>
      <c r="AL425" s="1683">
        <v>0</v>
      </c>
      <c r="AM425" s="1685">
        <v>43245</v>
      </c>
      <c r="AN425" s="1683">
        <v>116354.43</v>
      </c>
      <c r="AO425" s="1683">
        <v>116354.43</v>
      </c>
      <c r="AP425" s="1683">
        <v>98901.26</v>
      </c>
      <c r="AQ425" s="1683">
        <v>98901.26</v>
      </c>
      <c r="AR425" s="1683">
        <v>0</v>
      </c>
      <c r="AS425" s="1683">
        <v>17453.169999999998</v>
      </c>
      <c r="AT425" s="1683">
        <v>0</v>
      </c>
      <c r="AU425" s="1683">
        <v>17453.169999999998</v>
      </c>
      <c r="AV425" s="1683">
        <v>0</v>
      </c>
      <c r="AW425" s="1683">
        <v>0</v>
      </c>
      <c r="AX425" s="1400"/>
      <c r="AY425" s="1400"/>
      <c r="AZ425" s="1400"/>
      <c r="BA425" s="1682"/>
      <c r="BB425" s="1682"/>
      <c r="BC425" s="1400"/>
      <c r="BD425" s="1400"/>
      <c r="BE425" s="1683">
        <v>116354.43</v>
      </c>
      <c r="BF425" s="1683">
        <v>116354.43</v>
      </c>
      <c r="BG425" s="1683">
        <v>98901.26</v>
      </c>
      <c r="BH425" s="1683">
        <v>98901.26</v>
      </c>
      <c r="BI425" s="1683">
        <v>0</v>
      </c>
      <c r="BJ425" s="1683">
        <v>17453.169999999998</v>
      </c>
      <c r="BK425" s="1683">
        <v>0</v>
      </c>
      <c r="BL425" s="1683">
        <v>17453.169999999998</v>
      </c>
      <c r="BM425" s="1683">
        <v>0</v>
      </c>
      <c r="BN425" s="1683">
        <v>0</v>
      </c>
      <c r="BO425" s="1685">
        <v>43364</v>
      </c>
      <c r="BP425" s="1683">
        <v>116354.43</v>
      </c>
      <c r="BQ425" s="1683">
        <v>116354.43</v>
      </c>
      <c r="BR425" s="1683">
        <v>98901.26</v>
      </c>
      <c r="BS425" s="1683">
        <v>98901.26</v>
      </c>
      <c r="BT425" s="1683">
        <v>0</v>
      </c>
      <c r="BU425" s="1683">
        <v>17453.169999999998</v>
      </c>
      <c r="BV425" s="1683">
        <v>0</v>
      </c>
      <c r="BW425" s="1683">
        <v>0</v>
      </c>
      <c r="BX425" s="1683">
        <v>0</v>
      </c>
      <c r="BY425" s="1683">
        <v>0</v>
      </c>
      <c r="BZ425" s="1683">
        <v>0</v>
      </c>
      <c r="CA425" s="1400"/>
      <c r="CB425" s="1682"/>
      <c r="CC425" s="1682"/>
      <c r="CD425" s="1400"/>
      <c r="CE425" s="1400"/>
      <c r="CF425" s="1683">
        <v>0</v>
      </c>
      <c r="CG425" s="1683">
        <v>0</v>
      </c>
      <c r="CH425" s="1683">
        <v>0</v>
      </c>
      <c r="CI425" s="1683">
        <v>0</v>
      </c>
      <c r="CJ425" s="1683">
        <v>0</v>
      </c>
      <c r="CK425" s="1683">
        <v>0</v>
      </c>
      <c r="CL425" s="1682"/>
      <c r="CM425" s="1683">
        <v>0</v>
      </c>
      <c r="CN425" s="1683">
        <v>0</v>
      </c>
      <c r="CO425" s="1683">
        <v>0</v>
      </c>
      <c r="CP425" s="1683">
        <v>0</v>
      </c>
      <c r="CQ425" s="1683">
        <v>0</v>
      </c>
      <c r="CR425" s="1683">
        <v>0</v>
      </c>
      <c r="CS425" s="1683">
        <v>0</v>
      </c>
      <c r="CT425" s="1683">
        <v>0</v>
      </c>
      <c r="CU425" s="1683">
        <v>0</v>
      </c>
      <c r="CV425" s="1683">
        <v>0</v>
      </c>
      <c r="CW425" s="1682"/>
      <c r="CX425" s="1400"/>
      <c r="CY425" s="1400"/>
      <c r="CZ425" s="1400"/>
      <c r="DA425" s="1400"/>
      <c r="DB425" s="1682"/>
      <c r="DC425" s="1326"/>
      <c r="DD425" s="1683">
        <v>0</v>
      </c>
      <c r="DE425" s="1400"/>
      <c r="DF425" s="1400"/>
      <c r="DG425" s="1683">
        <v>0</v>
      </c>
      <c r="DH425" s="1683">
        <v>0</v>
      </c>
    </row>
    <row r="426" spans="1:112" ht="45">
      <c r="A426" s="1326" t="s">
        <v>2482</v>
      </c>
      <c r="B426" s="1326" t="s">
        <v>1702</v>
      </c>
      <c r="C426" s="1326" t="s">
        <v>2564</v>
      </c>
      <c r="D426" s="1326" t="s">
        <v>2567</v>
      </c>
      <c r="E426" s="1326" t="s">
        <v>2293</v>
      </c>
      <c r="F426" s="1326" t="s">
        <v>2566</v>
      </c>
      <c r="G426" s="1326" t="s">
        <v>2556</v>
      </c>
      <c r="H426" s="1326" t="s">
        <v>2541</v>
      </c>
      <c r="I426" s="1326" t="s">
        <v>726</v>
      </c>
      <c r="J426" s="1326" t="s">
        <v>237</v>
      </c>
      <c r="K426" s="1326" t="s">
        <v>2110</v>
      </c>
      <c r="L426" s="1326" t="s">
        <v>2061</v>
      </c>
      <c r="M426" s="1400"/>
      <c r="N426" s="1400"/>
      <c r="O426" s="1400"/>
      <c r="P426" s="1400"/>
      <c r="Q426" s="1400"/>
      <c r="R426" s="1400"/>
      <c r="S426" s="1400"/>
      <c r="T426" s="1400"/>
      <c r="U426" s="1400"/>
      <c r="V426" s="1400"/>
      <c r="W426" s="1400"/>
      <c r="X426" s="1400"/>
      <c r="Y426" s="1685">
        <v>43410</v>
      </c>
      <c r="Z426" s="1326" t="s">
        <v>2062</v>
      </c>
      <c r="AA426" s="1683">
        <v>0</v>
      </c>
      <c r="AB426" s="1683">
        <v>0</v>
      </c>
      <c r="AC426" s="1683">
        <v>0</v>
      </c>
      <c r="AD426" s="1685">
        <v>43430</v>
      </c>
      <c r="AE426" s="1326" t="s">
        <v>2304</v>
      </c>
      <c r="AF426" s="1326" t="s">
        <v>2064</v>
      </c>
      <c r="AG426" s="1410"/>
      <c r="AH426" s="1683">
        <v>46099.11</v>
      </c>
      <c r="AI426" s="1683">
        <v>46099.11</v>
      </c>
      <c r="AJ426" s="1683">
        <v>39184.239999999998</v>
      </c>
      <c r="AK426" s="1683">
        <v>39184.239999999998</v>
      </c>
      <c r="AL426" s="1683">
        <v>0</v>
      </c>
      <c r="AM426" s="1685">
        <v>43430</v>
      </c>
      <c r="AN426" s="1683">
        <v>46099.11</v>
      </c>
      <c r="AO426" s="1683">
        <v>46099.11</v>
      </c>
      <c r="AP426" s="1683">
        <v>39184.239999999998</v>
      </c>
      <c r="AQ426" s="1683">
        <v>39184.239999999998</v>
      </c>
      <c r="AR426" s="1683">
        <v>0</v>
      </c>
      <c r="AS426" s="1683">
        <v>6914.87</v>
      </c>
      <c r="AT426" s="1683">
        <v>0</v>
      </c>
      <c r="AU426" s="1683">
        <v>6914.87</v>
      </c>
      <c r="AV426" s="1683">
        <v>0</v>
      </c>
      <c r="AW426" s="1683">
        <v>0</v>
      </c>
      <c r="AX426" s="1400"/>
      <c r="AY426" s="1400"/>
      <c r="AZ426" s="1400"/>
      <c r="BA426" s="1682"/>
      <c r="BB426" s="1682"/>
      <c r="BC426" s="1400"/>
      <c r="BD426" s="1400"/>
      <c r="BE426" s="1683">
        <v>46099.11</v>
      </c>
      <c r="BF426" s="1683">
        <v>46099.11</v>
      </c>
      <c r="BG426" s="1683">
        <v>39184.239999999998</v>
      </c>
      <c r="BH426" s="1683">
        <v>39184.239999999998</v>
      </c>
      <c r="BI426" s="1683">
        <v>0</v>
      </c>
      <c r="BJ426" s="1683">
        <v>6914.87</v>
      </c>
      <c r="BK426" s="1683">
        <v>0</v>
      </c>
      <c r="BL426" s="1683">
        <v>6914.87</v>
      </c>
      <c r="BM426" s="1683">
        <v>0</v>
      </c>
      <c r="BN426" s="1683">
        <v>0</v>
      </c>
      <c r="BO426" s="1685">
        <v>43453</v>
      </c>
      <c r="BP426" s="1683">
        <v>46099.11</v>
      </c>
      <c r="BQ426" s="1683">
        <v>46099.11</v>
      </c>
      <c r="BR426" s="1683">
        <v>39184.239999999998</v>
      </c>
      <c r="BS426" s="1683">
        <v>39184.239999999998</v>
      </c>
      <c r="BT426" s="1683">
        <v>0</v>
      </c>
      <c r="BU426" s="1683">
        <v>6914.87</v>
      </c>
      <c r="BV426" s="1683">
        <v>0</v>
      </c>
      <c r="BW426" s="1683">
        <v>0</v>
      </c>
      <c r="BX426" s="1683">
        <v>0</v>
      </c>
      <c r="BY426" s="1683">
        <v>0</v>
      </c>
      <c r="BZ426" s="1683">
        <v>0</v>
      </c>
      <c r="CA426" s="1400"/>
      <c r="CB426" s="1682"/>
      <c r="CC426" s="1682"/>
      <c r="CD426" s="1400"/>
      <c r="CE426" s="1400"/>
      <c r="CF426" s="1683">
        <v>0</v>
      </c>
      <c r="CG426" s="1683">
        <v>0</v>
      </c>
      <c r="CH426" s="1683">
        <v>0</v>
      </c>
      <c r="CI426" s="1683">
        <v>0</v>
      </c>
      <c r="CJ426" s="1683">
        <v>0</v>
      </c>
      <c r="CK426" s="1683">
        <v>0</v>
      </c>
      <c r="CL426" s="1682"/>
      <c r="CM426" s="1683">
        <v>0</v>
      </c>
      <c r="CN426" s="1683">
        <v>0</v>
      </c>
      <c r="CO426" s="1683">
        <v>0</v>
      </c>
      <c r="CP426" s="1683">
        <v>0</v>
      </c>
      <c r="CQ426" s="1683">
        <v>0</v>
      </c>
      <c r="CR426" s="1683">
        <v>0</v>
      </c>
      <c r="CS426" s="1683">
        <v>0</v>
      </c>
      <c r="CT426" s="1683">
        <v>0</v>
      </c>
      <c r="CU426" s="1683">
        <v>0</v>
      </c>
      <c r="CV426" s="1683">
        <v>0</v>
      </c>
      <c r="CW426" s="1682"/>
      <c r="CX426" s="1400"/>
      <c r="CY426" s="1400"/>
      <c r="CZ426" s="1400"/>
      <c r="DA426" s="1400"/>
      <c r="DB426" s="1682"/>
      <c r="DC426" s="1326"/>
      <c r="DD426" s="1683">
        <v>0</v>
      </c>
      <c r="DE426" s="1400"/>
      <c r="DF426" s="1400"/>
      <c r="DG426" s="1683">
        <v>0</v>
      </c>
      <c r="DH426" s="1683">
        <v>0</v>
      </c>
    </row>
    <row r="427" spans="1:112" ht="45">
      <c r="A427" s="1326" t="s">
        <v>2483</v>
      </c>
      <c r="B427" s="1326" t="s">
        <v>1702</v>
      </c>
      <c r="C427" s="1326" t="s">
        <v>2564</v>
      </c>
      <c r="D427" s="1326" t="s">
        <v>2567</v>
      </c>
      <c r="E427" s="1326" t="s">
        <v>2293</v>
      </c>
      <c r="F427" s="1326" t="s">
        <v>2566</v>
      </c>
      <c r="G427" s="1326" t="s">
        <v>2556</v>
      </c>
      <c r="H427" s="1326" t="s">
        <v>2541</v>
      </c>
      <c r="I427" s="1326" t="s">
        <v>726</v>
      </c>
      <c r="J427" s="1326" t="s">
        <v>237</v>
      </c>
      <c r="K427" s="1326" t="s">
        <v>2110</v>
      </c>
      <c r="L427" s="1326" t="s">
        <v>2061</v>
      </c>
      <c r="M427" s="1400"/>
      <c r="N427" s="1400"/>
      <c r="O427" s="1400"/>
      <c r="P427" s="1400"/>
      <c r="Q427" s="1400"/>
      <c r="R427" s="1400"/>
      <c r="S427" s="1400"/>
      <c r="T427" s="1400"/>
      <c r="U427" s="1400"/>
      <c r="V427" s="1400"/>
      <c r="W427" s="1400"/>
      <c r="X427" s="1400"/>
      <c r="Y427" s="1685">
        <v>43451</v>
      </c>
      <c r="Z427" s="1326" t="s">
        <v>2062</v>
      </c>
      <c r="AA427" s="1683">
        <v>0</v>
      </c>
      <c r="AB427" s="1683">
        <v>0</v>
      </c>
      <c r="AC427" s="1683">
        <v>0</v>
      </c>
      <c r="AD427" s="1685">
        <v>43488</v>
      </c>
      <c r="AE427" s="1326" t="s">
        <v>2337</v>
      </c>
      <c r="AF427" s="1326" t="s">
        <v>2064</v>
      </c>
      <c r="AG427" s="1410"/>
      <c r="AH427" s="1683">
        <v>52265.16</v>
      </c>
      <c r="AI427" s="1683">
        <v>52265.16</v>
      </c>
      <c r="AJ427" s="1683">
        <v>44425.39</v>
      </c>
      <c r="AK427" s="1683">
        <v>44425.39</v>
      </c>
      <c r="AL427" s="1683">
        <v>0</v>
      </c>
      <c r="AM427" s="1685">
        <v>43488</v>
      </c>
      <c r="AN427" s="1683">
        <v>52265.16</v>
      </c>
      <c r="AO427" s="1683">
        <v>52265.16</v>
      </c>
      <c r="AP427" s="1683">
        <v>44425.39</v>
      </c>
      <c r="AQ427" s="1683">
        <v>44425.39</v>
      </c>
      <c r="AR427" s="1683">
        <v>0</v>
      </c>
      <c r="AS427" s="1683">
        <v>7839.77</v>
      </c>
      <c r="AT427" s="1683">
        <v>0</v>
      </c>
      <c r="AU427" s="1683">
        <v>7839.77</v>
      </c>
      <c r="AV427" s="1683">
        <v>0</v>
      </c>
      <c r="AW427" s="1683">
        <v>0</v>
      </c>
      <c r="AX427" s="1400"/>
      <c r="AY427" s="1400"/>
      <c r="AZ427" s="1400"/>
      <c r="BA427" s="1682"/>
      <c r="BB427" s="1682"/>
      <c r="BC427" s="1400"/>
      <c r="BD427" s="1400"/>
      <c r="BE427" s="1683">
        <v>52265.16</v>
      </c>
      <c r="BF427" s="1683">
        <v>52265.16</v>
      </c>
      <c r="BG427" s="1683">
        <v>44425.39</v>
      </c>
      <c r="BH427" s="1683">
        <v>44425.39</v>
      </c>
      <c r="BI427" s="1683">
        <v>0</v>
      </c>
      <c r="BJ427" s="1683">
        <v>7839.77</v>
      </c>
      <c r="BK427" s="1683">
        <v>0</v>
      </c>
      <c r="BL427" s="1683">
        <v>7839.77</v>
      </c>
      <c r="BM427" s="1683">
        <v>0</v>
      </c>
      <c r="BN427" s="1683">
        <v>0</v>
      </c>
      <c r="BO427" s="1682"/>
      <c r="BP427" s="1683">
        <v>0</v>
      </c>
      <c r="BQ427" s="1683">
        <v>0</v>
      </c>
      <c r="BR427" s="1683">
        <v>0</v>
      </c>
      <c r="BS427" s="1683">
        <v>0</v>
      </c>
      <c r="BT427" s="1683">
        <v>0</v>
      </c>
      <c r="BU427" s="1683">
        <v>0</v>
      </c>
      <c r="BV427" s="1683">
        <v>0</v>
      </c>
      <c r="BW427" s="1683">
        <v>0</v>
      </c>
      <c r="BX427" s="1683">
        <v>0</v>
      </c>
      <c r="BY427" s="1683">
        <v>0</v>
      </c>
      <c r="BZ427" s="1400"/>
      <c r="CA427" s="1400"/>
      <c r="CB427" s="1682"/>
      <c r="CC427" s="1682"/>
      <c r="CD427" s="1400"/>
      <c r="CE427" s="1400"/>
      <c r="CF427" s="1683">
        <v>0</v>
      </c>
      <c r="CG427" s="1683">
        <v>0</v>
      </c>
      <c r="CH427" s="1683">
        <v>0</v>
      </c>
      <c r="CI427" s="1683">
        <v>0</v>
      </c>
      <c r="CJ427" s="1683">
        <v>0</v>
      </c>
      <c r="CK427" s="1683">
        <v>0</v>
      </c>
      <c r="CL427" s="1682"/>
      <c r="CM427" s="1683">
        <v>0</v>
      </c>
      <c r="CN427" s="1683">
        <v>0</v>
      </c>
      <c r="CO427" s="1683">
        <v>0</v>
      </c>
      <c r="CP427" s="1683">
        <v>0</v>
      </c>
      <c r="CQ427" s="1683">
        <v>0</v>
      </c>
      <c r="CR427" s="1683">
        <v>0</v>
      </c>
      <c r="CS427" s="1683">
        <v>0</v>
      </c>
      <c r="CT427" s="1683">
        <v>0</v>
      </c>
      <c r="CU427" s="1683">
        <v>0</v>
      </c>
      <c r="CV427" s="1683">
        <v>0</v>
      </c>
      <c r="CW427" s="1682"/>
      <c r="CX427" s="1400"/>
      <c r="CY427" s="1400"/>
      <c r="CZ427" s="1400"/>
      <c r="DA427" s="1400"/>
      <c r="DB427" s="1682"/>
      <c r="DC427" s="1326"/>
      <c r="DD427" s="1683">
        <v>0</v>
      </c>
      <c r="DE427" s="1400"/>
      <c r="DF427" s="1400"/>
      <c r="DG427" s="1683">
        <v>0</v>
      </c>
      <c r="DH427" s="1683">
        <v>0</v>
      </c>
    </row>
    <row r="428" spans="1:112" ht="45">
      <c r="A428" s="1326" t="s">
        <v>2485</v>
      </c>
      <c r="B428" s="1326" t="s">
        <v>1702</v>
      </c>
      <c r="C428" s="1326" t="s">
        <v>2564</v>
      </c>
      <c r="D428" s="1326" t="s">
        <v>2567</v>
      </c>
      <c r="E428" s="1326" t="s">
        <v>2293</v>
      </c>
      <c r="F428" s="1326" t="s">
        <v>2566</v>
      </c>
      <c r="G428" s="1326" t="s">
        <v>2556</v>
      </c>
      <c r="H428" s="1326" t="s">
        <v>2541</v>
      </c>
      <c r="I428" s="1326" t="s">
        <v>726</v>
      </c>
      <c r="J428" s="1326" t="s">
        <v>237</v>
      </c>
      <c r="K428" s="1326" t="s">
        <v>2110</v>
      </c>
      <c r="L428" s="1326" t="s">
        <v>2061</v>
      </c>
      <c r="M428" s="1400"/>
      <c r="N428" s="1400"/>
      <c r="O428" s="1400"/>
      <c r="P428" s="1400"/>
      <c r="Q428" s="1400"/>
      <c r="R428" s="1400"/>
      <c r="S428" s="1400"/>
      <c r="T428" s="1400"/>
      <c r="U428" s="1400"/>
      <c r="V428" s="1400"/>
      <c r="W428" s="1400"/>
      <c r="X428" s="1400"/>
      <c r="Y428" s="1685">
        <v>43494</v>
      </c>
      <c r="Z428" s="1326" t="s">
        <v>2062</v>
      </c>
      <c r="AA428" s="1683">
        <v>0</v>
      </c>
      <c r="AB428" s="1683">
        <v>0</v>
      </c>
      <c r="AC428" s="1683">
        <v>0</v>
      </c>
      <c r="AD428" s="1685">
        <v>43525</v>
      </c>
      <c r="AE428" s="1326" t="s">
        <v>2339</v>
      </c>
      <c r="AF428" s="1326" t="s">
        <v>2064</v>
      </c>
      <c r="AG428" s="1410"/>
      <c r="AH428" s="1683">
        <v>96809.44</v>
      </c>
      <c r="AI428" s="1683">
        <v>96809.44</v>
      </c>
      <c r="AJ428" s="1683">
        <v>82288.02</v>
      </c>
      <c r="AK428" s="1683">
        <v>82288.02</v>
      </c>
      <c r="AL428" s="1683">
        <v>0</v>
      </c>
      <c r="AM428" s="1685">
        <v>43525</v>
      </c>
      <c r="AN428" s="1683">
        <v>96809.44</v>
      </c>
      <c r="AO428" s="1683">
        <v>96809.44</v>
      </c>
      <c r="AP428" s="1683">
        <v>82288.02</v>
      </c>
      <c r="AQ428" s="1683">
        <v>82288.02</v>
      </c>
      <c r="AR428" s="1683">
        <v>0</v>
      </c>
      <c r="AS428" s="1683">
        <v>14521.42</v>
      </c>
      <c r="AT428" s="1683">
        <v>0</v>
      </c>
      <c r="AU428" s="1683">
        <v>14521.42</v>
      </c>
      <c r="AV428" s="1683">
        <v>0</v>
      </c>
      <c r="AW428" s="1683">
        <v>0</v>
      </c>
      <c r="AX428" s="1400"/>
      <c r="AY428" s="1400"/>
      <c r="AZ428" s="1400"/>
      <c r="BA428" s="1682"/>
      <c r="BB428" s="1682"/>
      <c r="BC428" s="1400"/>
      <c r="BD428" s="1400"/>
      <c r="BE428" s="1683">
        <v>96809.44</v>
      </c>
      <c r="BF428" s="1683">
        <v>96809.44</v>
      </c>
      <c r="BG428" s="1683">
        <v>82288.02</v>
      </c>
      <c r="BH428" s="1683">
        <v>82288.02</v>
      </c>
      <c r="BI428" s="1683">
        <v>0</v>
      </c>
      <c r="BJ428" s="1683">
        <v>14521.42</v>
      </c>
      <c r="BK428" s="1683">
        <v>0</v>
      </c>
      <c r="BL428" s="1683">
        <v>14521.42</v>
      </c>
      <c r="BM428" s="1683">
        <v>0</v>
      </c>
      <c r="BN428" s="1683">
        <v>0</v>
      </c>
      <c r="BO428" s="1682"/>
      <c r="BP428" s="1683">
        <v>0</v>
      </c>
      <c r="BQ428" s="1683">
        <v>0</v>
      </c>
      <c r="BR428" s="1683">
        <v>0</v>
      </c>
      <c r="BS428" s="1683">
        <v>0</v>
      </c>
      <c r="BT428" s="1683">
        <v>0</v>
      </c>
      <c r="BU428" s="1683">
        <v>0</v>
      </c>
      <c r="BV428" s="1683">
        <v>0</v>
      </c>
      <c r="BW428" s="1683">
        <v>0</v>
      </c>
      <c r="BX428" s="1683">
        <v>0</v>
      </c>
      <c r="BY428" s="1683">
        <v>0</v>
      </c>
      <c r="BZ428" s="1400"/>
      <c r="CA428" s="1400"/>
      <c r="CB428" s="1682"/>
      <c r="CC428" s="1682"/>
      <c r="CD428" s="1400"/>
      <c r="CE428" s="1400"/>
      <c r="CF428" s="1683">
        <v>0</v>
      </c>
      <c r="CG428" s="1683">
        <v>0</v>
      </c>
      <c r="CH428" s="1683">
        <v>0</v>
      </c>
      <c r="CI428" s="1683">
        <v>0</v>
      </c>
      <c r="CJ428" s="1683">
        <v>0</v>
      </c>
      <c r="CK428" s="1683">
        <v>0</v>
      </c>
      <c r="CL428" s="1682"/>
      <c r="CM428" s="1683">
        <v>0</v>
      </c>
      <c r="CN428" s="1683">
        <v>0</v>
      </c>
      <c r="CO428" s="1683">
        <v>0</v>
      </c>
      <c r="CP428" s="1683">
        <v>0</v>
      </c>
      <c r="CQ428" s="1683">
        <v>0</v>
      </c>
      <c r="CR428" s="1683">
        <v>0</v>
      </c>
      <c r="CS428" s="1683">
        <v>0</v>
      </c>
      <c r="CT428" s="1683">
        <v>0</v>
      </c>
      <c r="CU428" s="1683">
        <v>0</v>
      </c>
      <c r="CV428" s="1683">
        <v>0</v>
      </c>
      <c r="CW428" s="1682"/>
      <c r="CX428" s="1400"/>
      <c r="CY428" s="1400"/>
      <c r="CZ428" s="1400"/>
      <c r="DA428" s="1400"/>
      <c r="DB428" s="1682"/>
      <c r="DC428" s="1326"/>
      <c r="DD428" s="1683">
        <v>0</v>
      </c>
      <c r="DE428" s="1400"/>
      <c r="DF428" s="1400"/>
      <c r="DG428" s="1683">
        <v>0</v>
      </c>
      <c r="DH428" s="1683">
        <v>0</v>
      </c>
    </row>
    <row r="429" spans="1:112" ht="33.75">
      <c r="A429" s="1326" t="s">
        <v>2486</v>
      </c>
      <c r="B429" s="1326" t="s">
        <v>1702</v>
      </c>
      <c r="C429" s="1326" t="s">
        <v>2564</v>
      </c>
      <c r="D429" s="1326" t="s">
        <v>2567</v>
      </c>
      <c r="E429" s="1326" t="s">
        <v>2293</v>
      </c>
      <c r="F429" s="1326" t="s">
        <v>2566</v>
      </c>
      <c r="G429" s="1326" t="s">
        <v>2556</v>
      </c>
      <c r="H429" s="1326" t="s">
        <v>2541</v>
      </c>
      <c r="I429" s="1326" t="s">
        <v>727</v>
      </c>
      <c r="J429" s="1326" t="s">
        <v>281</v>
      </c>
      <c r="K429" s="1326" t="s">
        <v>2069</v>
      </c>
      <c r="L429" s="1326" t="s">
        <v>2061</v>
      </c>
      <c r="M429" s="1683">
        <v>368599</v>
      </c>
      <c r="N429" s="1683">
        <v>0</v>
      </c>
      <c r="O429" s="1683">
        <v>368599</v>
      </c>
      <c r="P429" s="1683">
        <v>368599</v>
      </c>
      <c r="Q429" s="1683">
        <v>313012</v>
      </c>
      <c r="R429" s="1683">
        <v>313012</v>
      </c>
      <c r="S429" s="1683">
        <v>0</v>
      </c>
      <c r="T429" s="1683">
        <v>55587</v>
      </c>
      <c r="U429" s="1683">
        <v>0</v>
      </c>
      <c r="V429" s="1683">
        <v>55587</v>
      </c>
      <c r="W429" s="1683">
        <v>0</v>
      </c>
      <c r="X429" s="1683">
        <v>0</v>
      </c>
      <c r="Y429" s="1682"/>
      <c r="Z429" s="1326"/>
      <c r="AA429" s="1683">
        <v>20501.150000000001</v>
      </c>
      <c r="AB429" s="1683">
        <v>20501.150000000001</v>
      </c>
      <c r="AC429" s="1683">
        <v>0</v>
      </c>
      <c r="AD429" s="1682"/>
      <c r="AE429" s="1326"/>
      <c r="AF429" s="1326"/>
      <c r="AG429" s="1410"/>
      <c r="AH429" s="1683">
        <v>119047.34</v>
      </c>
      <c r="AI429" s="1683">
        <v>196557.34</v>
      </c>
      <c r="AJ429" s="1683">
        <v>158103.12</v>
      </c>
      <c r="AK429" s="1683">
        <v>158103.12</v>
      </c>
      <c r="AL429" s="1683">
        <v>0</v>
      </c>
      <c r="AM429" s="1682"/>
      <c r="AN429" s="1683">
        <v>119047.34</v>
      </c>
      <c r="AO429" s="1683">
        <v>119047.34</v>
      </c>
      <c r="AP429" s="1683">
        <v>101094.27</v>
      </c>
      <c r="AQ429" s="1683">
        <v>101094.27</v>
      </c>
      <c r="AR429" s="1683">
        <v>0</v>
      </c>
      <c r="AS429" s="1683">
        <v>17953.07</v>
      </c>
      <c r="AT429" s="1683">
        <v>0</v>
      </c>
      <c r="AU429" s="1683">
        <v>17953.07</v>
      </c>
      <c r="AV429" s="1683">
        <v>0</v>
      </c>
      <c r="AW429" s="1683">
        <v>0</v>
      </c>
      <c r="AX429" s="1683">
        <v>0</v>
      </c>
      <c r="AY429" s="1683">
        <v>0</v>
      </c>
      <c r="AZ429" s="1683">
        <v>0</v>
      </c>
      <c r="BA429" s="1682"/>
      <c r="BB429" s="1682"/>
      <c r="BC429" s="1683">
        <v>0</v>
      </c>
      <c r="BD429" s="1683">
        <v>0</v>
      </c>
      <c r="BE429" s="1683">
        <v>119047.34</v>
      </c>
      <c r="BF429" s="1683">
        <v>119047.34</v>
      </c>
      <c r="BG429" s="1683">
        <v>101094.27</v>
      </c>
      <c r="BH429" s="1683">
        <v>101094.27</v>
      </c>
      <c r="BI429" s="1683">
        <v>0</v>
      </c>
      <c r="BJ429" s="1683">
        <v>17953.07</v>
      </c>
      <c r="BK429" s="1683">
        <v>0</v>
      </c>
      <c r="BL429" s="1683">
        <v>17953.07</v>
      </c>
      <c r="BM429" s="1683">
        <v>0</v>
      </c>
      <c r="BN429" s="1683">
        <v>0</v>
      </c>
      <c r="BO429" s="1682"/>
      <c r="BP429" s="1683">
        <v>82672.350000000006</v>
      </c>
      <c r="BQ429" s="1683">
        <v>82672.350000000006</v>
      </c>
      <c r="BR429" s="1683">
        <v>70204.850000000006</v>
      </c>
      <c r="BS429" s="1683">
        <v>70204.850000000006</v>
      </c>
      <c r="BT429" s="1683">
        <v>0</v>
      </c>
      <c r="BU429" s="1683">
        <v>12467.5</v>
      </c>
      <c r="BV429" s="1683">
        <v>0</v>
      </c>
      <c r="BW429" s="1683">
        <v>12211.99</v>
      </c>
      <c r="BX429" s="1683">
        <v>0</v>
      </c>
      <c r="BY429" s="1683">
        <v>0</v>
      </c>
      <c r="BZ429" s="1683">
        <v>0</v>
      </c>
      <c r="CA429" s="1683">
        <v>0</v>
      </c>
      <c r="CB429" s="1682"/>
      <c r="CC429" s="1682"/>
      <c r="CD429" s="1683">
        <v>0</v>
      </c>
      <c r="CE429" s="1683">
        <v>0</v>
      </c>
      <c r="CF429" s="1683">
        <v>0</v>
      </c>
      <c r="CG429" s="1683">
        <v>0</v>
      </c>
      <c r="CH429" s="1683">
        <v>0</v>
      </c>
      <c r="CI429" s="1683">
        <v>0</v>
      </c>
      <c r="CJ429" s="1683">
        <v>899.5</v>
      </c>
      <c r="CK429" s="1683">
        <v>899.5</v>
      </c>
      <c r="CL429" s="1682"/>
      <c r="CM429" s="1683">
        <v>80978.070000000007</v>
      </c>
      <c r="CN429" s="1683">
        <v>80978.070000000007</v>
      </c>
      <c r="CO429" s="1683">
        <v>68766.080000000002</v>
      </c>
      <c r="CP429" s="1683">
        <v>68766.080000000002</v>
      </c>
      <c r="CQ429" s="1683">
        <v>0</v>
      </c>
      <c r="CR429" s="1683">
        <v>12211.99</v>
      </c>
      <c r="CS429" s="1683">
        <v>0</v>
      </c>
      <c r="CT429" s="1683">
        <v>12211.99</v>
      </c>
      <c r="CU429" s="1683">
        <v>0</v>
      </c>
      <c r="CV429" s="1683">
        <v>0</v>
      </c>
      <c r="CW429" s="1682"/>
      <c r="CX429" s="1683">
        <v>0</v>
      </c>
      <c r="CY429" s="1683">
        <v>0</v>
      </c>
      <c r="CZ429" s="1683">
        <v>80978.070000000007</v>
      </c>
      <c r="DA429" s="1683">
        <v>80978.070000000007</v>
      </c>
      <c r="DB429" s="1682"/>
      <c r="DC429" s="1326"/>
      <c r="DD429" s="1683">
        <v>0</v>
      </c>
      <c r="DE429" s="1683">
        <v>0</v>
      </c>
      <c r="DF429" s="1683">
        <v>0</v>
      </c>
      <c r="DG429" s="1683">
        <v>0</v>
      </c>
      <c r="DH429" s="1683">
        <v>0</v>
      </c>
    </row>
    <row r="430" spans="1:112" ht="33.75">
      <c r="A430" s="1326" t="s">
        <v>2487</v>
      </c>
      <c r="B430" s="1326" t="s">
        <v>1702</v>
      </c>
      <c r="C430" s="1326" t="s">
        <v>2564</v>
      </c>
      <c r="D430" s="1326" t="s">
        <v>2567</v>
      </c>
      <c r="E430" s="1326" t="s">
        <v>2293</v>
      </c>
      <c r="F430" s="1326" t="s">
        <v>2566</v>
      </c>
      <c r="G430" s="1326" t="s">
        <v>2556</v>
      </c>
      <c r="H430" s="1326" t="s">
        <v>2541</v>
      </c>
      <c r="I430" s="1326" t="s">
        <v>727</v>
      </c>
      <c r="J430" s="1326" t="s">
        <v>281</v>
      </c>
      <c r="K430" s="1326" t="s">
        <v>2069</v>
      </c>
      <c r="L430" s="1326" t="s">
        <v>2061</v>
      </c>
      <c r="M430" s="1400"/>
      <c r="N430" s="1400"/>
      <c r="O430" s="1400"/>
      <c r="P430" s="1400"/>
      <c r="Q430" s="1400"/>
      <c r="R430" s="1400"/>
      <c r="S430" s="1400"/>
      <c r="T430" s="1400"/>
      <c r="U430" s="1400"/>
      <c r="V430" s="1400"/>
      <c r="W430" s="1400"/>
      <c r="X430" s="1400"/>
      <c r="Y430" s="1685">
        <v>42689</v>
      </c>
      <c r="Z430" s="1326" t="s">
        <v>2062</v>
      </c>
      <c r="AA430" s="1683">
        <v>0</v>
      </c>
      <c r="AB430" s="1683">
        <v>0</v>
      </c>
      <c r="AC430" s="1683">
        <v>0</v>
      </c>
      <c r="AD430" s="1685">
        <v>42703</v>
      </c>
      <c r="AE430" s="1326" t="s">
        <v>2073</v>
      </c>
      <c r="AF430" s="1326" t="s">
        <v>2064</v>
      </c>
      <c r="AG430" s="1410"/>
      <c r="AH430" s="1683">
        <v>4869</v>
      </c>
      <c r="AI430" s="1683">
        <v>4869</v>
      </c>
      <c r="AJ430" s="1683">
        <v>4134.72</v>
      </c>
      <c r="AK430" s="1683">
        <v>4134.72</v>
      </c>
      <c r="AL430" s="1683">
        <v>0</v>
      </c>
      <c r="AM430" s="1685">
        <v>42703</v>
      </c>
      <c r="AN430" s="1683">
        <v>4869</v>
      </c>
      <c r="AO430" s="1683">
        <v>4869</v>
      </c>
      <c r="AP430" s="1683">
        <v>4134.72</v>
      </c>
      <c r="AQ430" s="1683">
        <v>4134.72</v>
      </c>
      <c r="AR430" s="1683">
        <v>0</v>
      </c>
      <c r="AS430" s="1683">
        <v>734.28</v>
      </c>
      <c r="AT430" s="1683">
        <v>0</v>
      </c>
      <c r="AU430" s="1683">
        <v>734.28</v>
      </c>
      <c r="AV430" s="1683">
        <v>0</v>
      </c>
      <c r="AW430" s="1683">
        <v>0</v>
      </c>
      <c r="AX430" s="1400"/>
      <c r="AY430" s="1400"/>
      <c r="AZ430" s="1400"/>
      <c r="BA430" s="1682"/>
      <c r="BB430" s="1682"/>
      <c r="BC430" s="1400"/>
      <c r="BD430" s="1400"/>
      <c r="BE430" s="1683">
        <v>4869</v>
      </c>
      <c r="BF430" s="1683">
        <v>4869</v>
      </c>
      <c r="BG430" s="1683">
        <v>4134.72</v>
      </c>
      <c r="BH430" s="1683">
        <v>4134.72</v>
      </c>
      <c r="BI430" s="1683">
        <v>0</v>
      </c>
      <c r="BJ430" s="1683">
        <v>734.28</v>
      </c>
      <c r="BK430" s="1683">
        <v>0</v>
      </c>
      <c r="BL430" s="1683">
        <v>734.28</v>
      </c>
      <c r="BM430" s="1683">
        <v>0</v>
      </c>
      <c r="BN430" s="1683">
        <v>0</v>
      </c>
      <c r="BO430" s="1685">
        <v>42755</v>
      </c>
      <c r="BP430" s="1683">
        <v>4869</v>
      </c>
      <c r="BQ430" s="1683">
        <v>4869</v>
      </c>
      <c r="BR430" s="1683">
        <v>4134.72</v>
      </c>
      <c r="BS430" s="1683">
        <v>4134.72</v>
      </c>
      <c r="BT430" s="1683">
        <v>0</v>
      </c>
      <c r="BU430" s="1683">
        <v>734.28</v>
      </c>
      <c r="BV430" s="1683">
        <v>0</v>
      </c>
      <c r="BW430" s="1683">
        <v>734.28</v>
      </c>
      <c r="BX430" s="1683">
        <v>0</v>
      </c>
      <c r="BY430" s="1683">
        <v>0</v>
      </c>
      <c r="BZ430" s="1683">
        <v>0</v>
      </c>
      <c r="CA430" s="1400"/>
      <c r="CB430" s="1682"/>
      <c r="CC430" s="1682"/>
      <c r="CD430" s="1400"/>
      <c r="CE430" s="1400"/>
      <c r="CF430" s="1683">
        <v>0</v>
      </c>
      <c r="CG430" s="1683">
        <v>0</v>
      </c>
      <c r="CH430" s="1683">
        <v>0</v>
      </c>
      <c r="CI430" s="1683">
        <v>0</v>
      </c>
      <c r="CJ430" s="1683">
        <v>0</v>
      </c>
      <c r="CK430" s="1683">
        <v>0</v>
      </c>
      <c r="CL430" s="1685">
        <v>43144</v>
      </c>
      <c r="CM430" s="1683">
        <v>4869</v>
      </c>
      <c r="CN430" s="1683">
        <v>4869</v>
      </c>
      <c r="CO430" s="1683">
        <v>4134.72</v>
      </c>
      <c r="CP430" s="1683">
        <v>4134.72</v>
      </c>
      <c r="CQ430" s="1683">
        <v>0</v>
      </c>
      <c r="CR430" s="1683">
        <v>734.28</v>
      </c>
      <c r="CS430" s="1683">
        <v>0</v>
      </c>
      <c r="CT430" s="1683">
        <v>734.28</v>
      </c>
      <c r="CU430" s="1683">
        <v>0</v>
      </c>
      <c r="CV430" s="1683">
        <v>0</v>
      </c>
      <c r="CW430" s="1682"/>
      <c r="CX430" s="1400"/>
      <c r="CY430" s="1400"/>
      <c r="CZ430" s="1400"/>
      <c r="DA430" s="1400"/>
      <c r="DB430" s="1682"/>
      <c r="DC430" s="1326"/>
      <c r="DD430" s="1683">
        <v>0</v>
      </c>
      <c r="DE430" s="1400"/>
      <c r="DF430" s="1400"/>
      <c r="DG430" s="1683">
        <v>0</v>
      </c>
      <c r="DH430" s="1683">
        <v>0</v>
      </c>
    </row>
    <row r="431" spans="1:112" ht="33.75">
      <c r="A431" s="1326" t="s">
        <v>2488</v>
      </c>
      <c r="B431" s="1326" t="s">
        <v>1702</v>
      </c>
      <c r="C431" s="1326" t="s">
        <v>2564</v>
      </c>
      <c r="D431" s="1326" t="s">
        <v>2567</v>
      </c>
      <c r="E431" s="1326" t="s">
        <v>2293</v>
      </c>
      <c r="F431" s="1326" t="s">
        <v>2566</v>
      </c>
      <c r="G431" s="1326" t="s">
        <v>2556</v>
      </c>
      <c r="H431" s="1326" t="s">
        <v>2541</v>
      </c>
      <c r="I431" s="1326" t="s">
        <v>727</v>
      </c>
      <c r="J431" s="1326" t="s">
        <v>281</v>
      </c>
      <c r="K431" s="1326" t="s">
        <v>2069</v>
      </c>
      <c r="L431" s="1326" t="s">
        <v>2061</v>
      </c>
      <c r="M431" s="1400"/>
      <c r="N431" s="1400"/>
      <c r="O431" s="1400"/>
      <c r="P431" s="1400"/>
      <c r="Q431" s="1400"/>
      <c r="R431" s="1400"/>
      <c r="S431" s="1400"/>
      <c r="T431" s="1400"/>
      <c r="U431" s="1400"/>
      <c r="V431" s="1400"/>
      <c r="W431" s="1400"/>
      <c r="X431" s="1400"/>
      <c r="Y431" s="1685">
        <v>42865</v>
      </c>
      <c r="Z431" s="1326" t="s">
        <v>2062</v>
      </c>
      <c r="AA431" s="1683">
        <v>0</v>
      </c>
      <c r="AB431" s="1683">
        <v>0</v>
      </c>
      <c r="AC431" s="1683">
        <v>0</v>
      </c>
      <c r="AD431" s="1685">
        <v>42873</v>
      </c>
      <c r="AE431" s="1326" t="s">
        <v>2066</v>
      </c>
      <c r="AF431" s="1326" t="s">
        <v>2064</v>
      </c>
      <c r="AG431" s="1410"/>
      <c r="AH431" s="1683">
        <v>53.56</v>
      </c>
      <c r="AI431" s="1683">
        <v>53.56</v>
      </c>
      <c r="AJ431" s="1683">
        <v>45.49</v>
      </c>
      <c r="AK431" s="1683">
        <v>45.49</v>
      </c>
      <c r="AL431" s="1683">
        <v>0</v>
      </c>
      <c r="AM431" s="1685">
        <v>42873</v>
      </c>
      <c r="AN431" s="1683">
        <v>53.56</v>
      </c>
      <c r="AO431" s="1683">
        <v>53.56</v>
      </c>
      <c r="AP431" s="1683">
        <v>45.49</v>
      </c>
      <c r="AQ431" s="1683">
        <v>45.49</v>
      </c>
      <c r="AR431" s="1683">
        <v>0</v>
      </c>
      <c r="AS431" s="1683">
        <v>8.07</v>
      </c>
      <c r="AT431" s="1683">
        <v>0</v>
      </c>
      <c r="AU431" s="1683">
        <v>8.07</v>
      </c>
      <c r="AV431" s="1683">
        <v>0</v>
      </c>
      <c r="AW431" s="1683">
        <v>0</v>
      </c>
      <c r="AX431" s="1400"/>
      <c r="AY431" s="1400"/>
      <c r="AZ431" s="1400"/>
      <c r="BA431" s="1682"/>
      <c r="BB431" s="1682"/>
      <c r="BC431" s="1400"/>
      <c r="BD431" s="1400"/>
      <c r="BE431" s="1683">
        <v>53.56</v>
      </c>
      <c r="BF431" s="1683">
        <v>53.56</v>
      </c>
      <c r="BG431" s="1683">
        <v>45.49</v>
      </c>
      <c r="BH431" s="1683">
        <v>45.49</v>
      </c>
      <c r="BI431" s="1683">
        <v>0</v>
      </c>
      <c r="BJ431" s="1683">
        <v>8.07</v>
      </c>
      <c r="BK431" s="1683">
        <v>0</v>
      </c>
      <c r="BL431" s="1683">
        <v>8.07</v>
      </c>
      <c r="BM431" s="1683">
        <v>0</v>
      </c>
      <c r="BN431" s="1683">
        <v>0</v>
      </c>
      <c r="BO431" s="1685">
        <v>43039</v>
      </c>
      <c r="BP431" s="1683">
        <v>53.56</v>
      </c>
      <c r="BQ431" s="1683">
        <v>53.56</v>
      </c>
      <c r="BR431" s="1683">
        <v>45.49</v>
      </c>
      <c r="BS431" s="1683">
        <v>45.49</v>
      </c>
      <c r="BT431" s="1683">
        <v>0</v>
      </c>
      <c r="BU431" s="1683">
        <v>8.07</v>
      </c>
      <c r="BV431" s="1683">
        <v>0</v>
      </c>
      <c r="BW431" s="1683">
        <v>8.07</v>
      </c>
      <c r="BX431" s="1683">
        <v>0</v>
      </c>
      <c r="BY431" s="1683">
        <v>0</v>
      </c>
      <c r="BZ431" s="1683">
        <v>0</v>
      </c>
      <c r="CA431" s="1400"/>
      <c r="CB431" s="1682"/>
      <c r="CC431" s="1682"/>
      <c r="CD431" s="1400"/>
      <c r="CE431" s="1400"/>
      <c r="CF431" s="1683">
        <v>0</v>
      </c>
      <c r="CG431" s="1683">
        <v>0</v>
      </c>
      <c r="CH431" s="1683">
        <v>0</v>
      </c>
      <c r="CI431" s="1683">
        <v>0</v>
      </c>
      <c r="CJ431" s="1683">
        <v>53.56</v>
      </c>
      <c r="CK431" s="1683">
        <v>53.56</v>
      </c>
      <c r="CL431" s="1685">
        <v>43511</v>
      </c>
      <c r="CM431" s="1683">
        <v>53.56</v>
      </c>
      <c r="CN431" s="1683">
        <v>53.56</v>
      </c>
      <c r="CO431" s="1683">
        <v>45.49</v>
      </c>
      <c r="CP431" s="1683">
        <v>45.49</v>
      </c>
      <c r="CQ431" s="1683">
        <v>0</v>
      </c>
      <c r="CR431" s="1683">
        <v>8.07</v>
      </c>
      <c r="CS431" s="1683">
        <v>0</v>
      </c>
      <c r="CT431" s="1683">
        <v>8.07</v>
      </c>
      <c r="CU431" s="1683">
        <v>0</v>
      </c>
      <c r="CV431" s="1683">
        <v>0</v>
      </c>
      <c r="CW431" s="1682"/>
      <c r="CX431" s="1400"/>
      <c r="CY431" s="1400"/>
      <c r="CZ431" s="1400"/>
      <c r="DA431" s="1400"/>
      <c r="DB431" s="1682"/>
      <c r="DC431" s="1326"/>
      <c r="DD431" s="1683">
        <v>0</v>
      </c>
      <c r="DE431" s="1400"/>
      <c r="DF431" s="1400"/>
      <c r="DG431" s="1683">
        <v>0</v>
      </c>
      <c r="DH431" s="1683">
        <v>0</v>
      </c>
    </row>
    <row r="432" spans="1:112" ht="33.75">
      <c r="A432" s="1326" t="s">
        <v>2490</v>
      </c>
      <c r="B432" s="1326" t="s">
        <v>1702</v>
      </c>
      <c r="C432" s="1326" t="s">
        <v>2564</v>
      </c>
      <c r="D432" s="1326" t="s">
        <v>2567</v>
      </c>
      <c r="E432" s="1326" t="s">
        <v>2293</v>
      </c>
      <c r="F432" s="1326" t="s">
        <v>2566</v>
      </c>
      <c r="G432" s="1326" t="s">
        <v>2556</v>
      </c>
      <c r="H432" s="1326" t="s">
        <v>2541</v>
      </c>
      <c r="I432" s="1326" t="s">
        <v>727</v>
      </c>
      <c r="J432" s="1326" t="s">
        <v>281</v>
      </c>
      <c r="K432" s="1326" t="s">
        <v>2069</v>
      </c>
      <c r="L432" s="1326" t="s">
        <v>2061</v>
      </c>
      <c r="M432" s="1400"/>
      <c r="N432" s="1400"/>
      <c r="O432" s="1400"/>
      <c r="P432" s="1400"/>
      <c r="Q432" s="1400"/>
      <c r="R432" s="1400"/>
      <c r="S432" s="1400"/>
      <c r="T432" s="1400"/>
      <c r="U432" s="1400"/>
      <c r="V432" s="1400"/>
      <c r="W432" s="1400"/>
      <c r="X432" s="1400"/>
      <c r="Y432" s="1685">
        <v>42919</v>
      </c>
      <c r="Z432" s="1326" t="s">
        <v>2096</v>
      </c>
      <c r="AA432" s="1683">
        <v>0</v>
      </c>
      <c r="AB432" s="1683">
        <v>0</v>
      </c>
      <c r="AC432" s="1683">
        <v>0</v>
      </c>
      <c r="AD432" s="1685">
        <v>42926</v>
      </c>
      <c r="AE432" s="1326" t="s">
        <v>2079</v>
      </c>
      <c r="AF432" s="1326" t="s">
        <v>2064</v>
      </c>
      <c r="AG432" s="1410"/>
      <c r="AH432" s="1683">
        <v>0</v>
      </c>
      <c r="AI432" s="1683">
        <v>0</v>
      </c>
      <c r="AJ432" s="1683">
        <v>0</v>
      </c>
      <c r="AK432" s="1683">
        <v>0</v>
      </c>
      <c r="AL432" s="1683">
        <v>0</v>
      </c>
      <c r="AM432" s="1682"/>
      <c r="AN432" s="1683">
        <v>0</v>
      </c>
      <c r="AO432" s="1683">
        <v>0</v>
      </c>
      <c r="AP432" s="1683">
        <v>0</v>
      </c>
      <c r="AQ432" s="1683">
        <v>0</v>
      </c>
      <c r="AR432" s="1683">
        <v>0</v>
      </c>
      <c r="AS432" s="1683">
        <v>0</v>
      </c>
      <c r="AT432" s="1683">
        <v>0</v>
      </c>
      <c r="AU432" s="1683">
        <v>0</v>
      </c>
      <c r="AV432" s="1683">
        <v>0</v>
      </c>
      <c r="AW432" s="1683">
        <v>0</v>
      </c>
      <c r="AX432" s="1400"/>
      <c r="AY432" s="1400"/>
      <c r="AZ432" s="1400"/>
      <c r="BA432" s="1682"/>
      <c r="BB432" s="1682"/>
      <c r="BC432" s="1400"/>
      <c r="BD432" s="1400"/>
      <c r="BE432" s="1683">
        <v>0</v>
      </c>
      <c r="BF432" s="1683">
        <v>0</v>
      </c>
      <c r="BG432" s="1683">
        <v>0</v>
      </c>
      <c r="BH432" s="1683">
        <v>0</v>
      </c>
      <c r="BI432" s="1683">
        <v>0</v>
      </c>
      <c r="BJ432" s="1683">
        <v>0</v>
      </c>
      <c r="BK432" s="1683">
        <v>0</v>
      </c>
      <c r="BL432" s="1683">
        <v>0</v>
      </c>
      <c r="BM432" s="1683">
        <v>0</v>
      </c>
      <c r="BN432" s="1683">
        <v>0</v>
      </c>
      <c r="BO432" s="1682"/>
      <c r="BP432" s="1683">
        <v>0</v>
      </c>
      <c r="BQ432" s="1683">
        <v>0</v>
      </c>
      <c r="BR432" s="1683">
        <v>0</v>
      </c>
      <c r="BS432" s="1683">
        <v>0</v>
      </c>
      <c r="BT432" s="1683">
        <v>0</v>
      </c>
      <c r="BU432" s="1683">
        <v>0</v>
      </c>
      <c r="BV432" s="1683">
        <v>0</v>
      </c>
      <c r="BW432" s="1683">
        <v>0</v>
      </c>
      <c r="BX432" s="1683">
        <v>0</v>
      </c>
      <c r="BY432" s="1683">
        <v>0</v>
      </c>
      <c r="BZ432" s="1400"/>
      <c r="CA432" s="1400"/>
      <c r="CB432" s="1682"/>
      <c r="CC432" s="1682"/>
      <c r="CD432" s="1400"/>
      <c r="CE432" s="1400"/>
      <c r="CF432" s="1683">
        <v>0</v>
      </c>
      <c r="CG432" s="1683">
        <v>0</v>
      </c>
      <c r="CH432" s="1683">
        <v>0</v>
      </c>
      <c r="CI432" s="1683">
        <v>0</v>
      </c>
      <c r="CJ432" s="1683">
        <v>0</v>
      </c>
      <c r="CK432" s="1683">
        <v>0</v>
      </c>
      <c r="CL432" s="1682"/>
      <c r="CM432" s="1683">
        <v>0</v>
      </c>
      <c r="CN432" s="1683">
        <v>0</v>
      </c>
      <c r="CO432" s="1683">
        <v>0</v>
      </c>
      <c r="CP432" s="1683">
        <v>0</v>
      </c>
      <c r="CQ432" s="1683">
        <v>0</v>
      </c>
      <c r="CR432" s="1683">
        <v>0</v>
      </c>
      <c r="CS432" s="1683">
        <v>0</v>
      </c>
      <c r="CT432" s="1683">
        <v>0</v>
      </c>
      <c r="CU432" s="1683">
        <v>0</v>
      </c>
      <c r="CV432" s="1683">
        <v>0</v>
      </c>
      <c r="CW432" s="1682"/>
      <c r="CX432" s="1400"/>
      <c r="CY432" s="1400"/>
      <c r="CZ432" s="1400"/>
      <c r="DA432" s="1400"/>
      <c r="DB432" s="1682"/>
      <c r="DC432" s="1326"/>
      <c r="DD432" s="1683">
        <v>0</v>
      </c>
      <c r="DE432" s="1400"/>
      <c r="DF432" s="1400"/>
      <c r="DG432" s="1683">
        <v>0</v>
      </c>
      <c r="DH432" s="1683">
        <v>0</v>
      </c>
    </row>
    <row r="433" spans="1:112" ht="33.75">
      <c r="A433" s="1326" t="s">
        <v>2491</v>
      </c>
      <c r="B433" s="1326" t="s">
        <v>1702</v>
      </c>
      <c r="C433" s="1326" t="s">
        <v>2564</v>
      </c>
      <c r="D433" s="1326" t="s">
        <v>2567</v>
      </c>
      <c r="E433" s="1326" t="s">
        <v>2293</v>
      </c>
      <c r="F433" s="1326" t="s">
        <v>2566</v>
      </c>
      <c r="G433" s="1326" t="s">
        <v>2556</v>
      </c>
      <c r="H433" s="1326" t="s">
        <v>2541</v>
      </c>
      <c r="I433" s="1326" t="s">
        <v>727</v>
      </c>
      <c r="J433" s="1326" t="s">
        <v>281</v>
      </c>
      <c r="K433" s="1326" t="s">
        <v>2069</v>
      </c>
      <c r="L433" s="1326" t="s">
        <v>2061</v>
      </c>
      <c r="M433" s="1400"/>
      <c r="N433" s="1400"/>
      <c r="O433" s="1400"/>
      <c r="P433" s="1400"/>
      <c r="Q433" s="1400"/>
      <c r="R433" s="1400"/>
      <c r="S433" s="1400"/>
      <c r="T433" s="1400"/>
      <c r="U433" s="1400"/>
      <c r="V433" s="1400"/>
      <c r="W433" s="1400"/>
      <c r="X433" s="1400"/>
      <c r="Y433" s="1685">
        <v>42954</v>
      </c>
      <c r="Z433" s="1326" t="s">
        <v>2062</v>
      </c>
      <c r="AA433" s="1683">
        <v>0</v>
      </c>
      <c r="AB433" s="1683">
        <v>0</v>
      </c>
      <c r="AC433" s="1683">
        <v>0</v>
      </c>
      <c r="AD433" s="1685">
        <v>42971</v>
      </c>
      <c r="AE433" s="1326" t="s">
        <v>2080</v>
      </c>
      <c r="AF433" s="1326" t="s">
        <v>2067</v>
      </c>
      <c r="AG433" s="1410"/>
      <c r="AH433" s="1683">
        <v>500</v>
      </c>
      <c r="AI433" s="1683">
        <v>500</v>
      </c>
      <c r="AJ433" s="1683">
        <v>424.59</v>
      </c>
      <c r="AK433" s="1683">
        <v>424.59</v>
      </c>
      <c r="AL433" s="1683">
        <v>0</v>
      </c>
      <c r="AM433" s="1685">
        <v>42976</v>
      </c>
      <c r="AN433" s="1683">
        <v>500</v>
      </c>
      <c r="AO433" s="1683">
        <v>500</v>
      </c>
      <c r="AP433" s="1683">
        <v>424.59</v>
      </c>
      <c r="AQ433" s="1683">
        <v>424.59</v>
      </c>
      <c r="AR433" s="1683">
        <v>0</v>
      </c>
      <c r="AS433" s="1683">
        <v>75.41</v>
      </c>
      <c r="AT433" s="1683">
        <v>0</v>
      </c>
      <c r="AU433" s="1683">
        <v>75.41</v>
      </c>
      <c r="AV433" s="1683">
        <v>0</v>
      </c>
      <c r="AW433" s="1683">
        <v>0</v>
      </c>
      <c r="AX433" s="1400"/>
      <c r="AY433" s="1400"/>
      <c r="AZ433" s="1400"/>
      <c r="BA433" s="1682"/>
      <c r="BB433" s="1682"/>
      <c r="BC433" s="1400"/>
      <c r="BD433" s="1400"/>
      <c r="BE433" s="1683">
        <v>500</v>
      </c>
      <c r="BF433" s="1683">
        <v>500</v>
      </c>
      <c r="BG433" s="1683">
        <v>424.59</v>
      </c>
      <c r="BH433" s="1683">
        <v>424.59</v>
      </c>
      <c r="BI433" s="1683">
        <v>0</v>
      </c>
      <c r="BJ433" s="1683">
        <v>75.41</v>
      </c>
      <c r="BK433" s="1683">
        <v>0</v>
      </c>
      <c r="BL433" s="1683">
        <v>75.41</v>
      </c>
      <c r="BM433" s="1683">
        <v>0</v>
      </c>
      <c r="BN433" s="1683">
        <v>0</v>
      </c>
      <c r="BO433" s="1685">
        <v>43039</v>
      </c>
      <c r="BP433" s="1683">
        <v>500</v>
      </c>
      <c r="BQ433" s="1683">
        <v>500</v>
      </c>
      <c r="BR433" s="1683">
        <v>424.59</v>
      </c>
      <c r="BS433" s="1683">
        <v>424.59</v>
      </c>
      <c r="BT433" s="1683">
        <v>0</v>
      </c>
      <c r="BU433" s="1683">
        <v>75.41</v>
      </c>
      <c r="BV433" s="1683">
        <v>0</v>
      </c>
      <c r="BW433" s="1683">
        <v>75.41</v>
      </c>
      <c r="BX433" s="1683">
        <v>0</v>
      </c>
      <c r="BY433" s="1683">
        <v>0</v>
      </c>
      <c r="BZ433" s="1683">
        <v>0</v>
      </c>
      <c r="CA433" s="1400"/>
      <c r="CB433" s="1682"/>
      <c r="CC433" s="1682"/>
      <c r="CD433" s="1400"/>
      <c r="CE433" s="1400"/>
      <c r="CF433" s="1683">
        <v>0</v>
      </c>
      <c r="CG433" s="1683">
        <v>0</v>
      </c>
      <c r="CH433" s="1683">
        <v>0</v>
      </c>
      <c r="CI433" s="1683">
        <v>0</v>
      </c>
      <c r="CJ433" s="1683">
        <v>0</v>
      </c>
      <c r="CK433" s="1683">
        <v>0</v>
      </c>
      <c r="CL433" s="1685">
        <v>43511</v>
      </c>
      <c r="CM433" s="1683">
        <v>500</v>
      </c>
      <c r="CN433" s="1683">
        <v>500</v>
      </c>
      <c r="CO433" s="1683">
        <v>424.59</v>
      </c>
      <c r="CP433" s="1683">
        <v>424.59</v>
      </c>
      <c r="CQ433" s="1683">
        <v>0</v>
      </c>
      <c r="CR433" s="1683">
        <v>75.41</v>
      </c>
      <c r="CS433" s="1683">
        <v>0</v>
      </c>
      <c r="CT433" s="1683">
        <v>75.41</v>
      </c>
      <c r="CU433" s="1683">
        <v>0</v>
      </c>
      <c r="CV433" s="1683">
        <v>0</v>
      </c>
      <c r="CW433" s="1682"/>
      <c r="CX433" s="1400"/>
      <c r="CY433" s="1400"/>
      <c r="CZ433" s="1400"/>
      <c r="DA433" s="1400"/>
      <c r="DB433" s="1682"/>
      <c r="DC433" s="1326"/>
      <c r="DD433" s="1683">
        <v>0</v>
      </c>
      <c r="DE433" s="1400"/>
      <c r="DF433" s="1400"/>
      <c r="DG433" s="1683">
        <v>0</v>
      </c>
      <c r="DH433" s="1683">
        <v>0</v>
      </c>
    </row>
    <row r="434" spans="1:112" ht="33.75">
      <c r="A434" s="1326" t="s">
        <v>2492</v>
      </c>
      <c r="B434" s="1326" t="s">
        <v>1702</v>
      </c>
      <c r="C434" s="1326" t="s">
        <v>2564</v>
      </c>
      <c r="D434" s="1326" t="s">
        <v>2567</v>
      </c>
      <c r="E434" s="1326" t="s">
        <v>2293</v>
      </c>
      <c r="F434" s="1326" t="s">
        <v>2566</v>
      </c>
      <c r="G434" s="1326" t="s">
        <v>2556</v>
      </c>
      <c r="H434" s="1326" t="s">
        <v>2541</v>
      </c>
      <c r="I434" s="1326" t="s">
        <v>727</v>
      </c>
      <c r="J434" s="1326" t="s">
        <v>281</v>
      </c>
      <c r="K434" s="1326" t="s">
        <v>2069</v>
      </c>
      <c r="L434" s="1326" t="s">
        <v>2061</v>
      </c>
      <c r="M434" s="1400"/>
      <c r="N434" s="1400"/>
      <c r="O434" s="1400"/>
      <c r="P434" s="1400"/>
      <c r="Q434" s="1400"/>
      <c r="R434" s="1400"/>
      <c r="S434" s="1400"/>
      <c r="T434" s="1400"/>
      <c r="U434" s="1400"/>
      <c r="V434" s="1400"/>
      <c r="W434" s="1400"/>
      <c r="X434" s="1400"/>
      <c r="Y434" s="1685">
        <v>42991</v>
      </c>
      <c r="Z434" s="1326" t="s">
        <v>2096</v>
      </c>
      <c r="AA434" s="1683">
        <v>0</v>
      </c>
      <c r="AB434" s="1683">
        <v>0</v>
      </c>
      <c r="AC434" s="1683">
        <v>0</v>
      </c>
      <c r="AD434" s="1685">
        <v>42999</v>
      </c>
      <c r="AE434" s="1326" t="s">
        <v>2081</v>
      </c>
      <c r="AF434" s="1326" t="s">
        <v>2064</v>
      </c>
      <c r="AG434" s="1410"/>
      <c r="AH434" s="1683">
        <v>0</v>
      </c>
      <c r="AI434" s="1683">
        <v>77510</v>
      </c>
      <c r="AJ434" s="1683">
        <v>77510</v>
      </c>
      <c r="AK434" s="1683">
        <v>77510</v>
      </c>
      <c r="AL434" s="1683">
        <v>0</v>
      </c>
      <c r="AM434" s="1682"/>
      <c r="AN434" s="1683">
        <v>0</v>
      </c>
      <c r="AO434" s="1683">
        <v>0</v>
      </c>
      <c r="AP434" s="1683">
        <v>0</v>
      </c>
      <c r="AQ434" s="1683">
        <v>0</v>
      </c>
      <c r="AR434" s="1683">
        <v>0</v>
      </c>
      <c r="AS434" s="1683">
        <v>0</v>
      </c>
      <c r="AT434" s="1683">
        <v>0</v>
      </c>
      <c r="AU434" s="1683">
        <v>0</v>
      </c>
      <c r="AV434" s="1683">
        <v>0</v>
      </c>
      <c r="AW434" s="1683">
        <v>0</v>
      </c>
      <c r="AX434" s="1400"/>
      <c r="AY434" s="1400"/>
      <c r="AZ434" s="1400"/>
      <c r="BA434" s="1682"/>
      <c r="BB434" s="1682"/>
      <c r="BC434" s="1400"/>
      <c r="BD434" s="1400"/>
      <c r="BE434" s="1683">
        <v>0</v>
      </c>
      <c r="BF434" s="1683">
        <v>0</v>
      </c>
      <c r="BG434" s="1683">
        <v>0</v>
      </c>
      <c r="BH434" s="1683">
        <v>0</v>
      </c>
      <c r="BI434" s="1683">
        <v>0</v>
      </c>
      <c r="BJ434" s="1683">
        <v>0</v>
      </c>
      <c r="BK434" s="1683">
        <v>0</v>
      </c>
      <c r="BL434" s="1683">
        <v>0</v>
      </c>
      <c r="BM434" s="1683">
        <v>0</v>
      </c>
      <c r="BN434" s="1683">
        <v>0</v>
      </c>
      <c r="BO434" s="1682"/>
      <c r="BP434" s="1683">
        <v>0</v>
      </c>
      <c r="BQ434" s="1683">
        <v>0</v>
      </c>
      <c r="BR434" s="1683">
        <v>0</v>
      </c>
      <c r="BS434" s="1683">
        <v>0</v>
      </c>
      <c r="BT434" s="1683">
        <v>0</v>
      </c>
      <c r="BU434" s="1683">
        <v>0</v>
      </c>
      <c r="BV434" s="1683">
        <v>0</v>
      </c>
      <c r="BW434" s="1683">
        <v>0</v>
      </c>
      <c r="BX434" s="1683">
        <v>0</v>
      </c>
      <c r="BY434" s="1683">
        <v>0</v>
      </c>
      <c r="BZ434" s="1400"/>
      <c r="CA434" s="1400"/>
      <c r="CB434" s="1682"/>
      <c r="CC434" s="1682"/>
      <c r="CD434" s="1400"/>
      <c r="CE434" s="1400"/>
      <c r="CF434" s="1683">
        <v>0</v>
      </c>
      <c r="CG434" s="1683">
        <v>0</v>
      </c>
      <c r="CH434" s="1683">
        <v>0</v>
      </c>
      <c r="CI434" s="1683">
        <v>0</v>
      </c>
      <c r="CJ434" s="1683">
        <v>0</v>
      </c>
      <c r="CK434" s="1683">
        <v>0</v>
      </c>
      <c r="CL434" s="1682"/>
      <c r="CM434" s="1683">
        <v>0</v>
      </c>
      <c r="CN434" s="1683">
        <v>0</v>
      </c>
      <c r="CO434" s="1683">
        <v>0</v>
      </c>
      <c r="CP434" s="1683">
        <v>0</v>
      </c>
      <c r="CQ434" s="1683">
        <v>0</v>
      </c>
      <c r="CR434" s="1683">
        <v>0</v>
      </c>
      <c r="CS434" s="1683">
        <v>0</v>
      </c>
      <c r="CT434" s="1683">
        <v>0</v>
      </c>
      <c r="CU434" s="1683">
        <v>0</v>
      </c>
      <c r="CV434" s="1683">
        <v>0</v>
      </c>
      <c r="CW434" s="1682"/>
      <c r="CX434" s="1400"/>
      <c r="CY434" s="1400"/>
      <c r="CZ434" s="1400"/>
      <c r="DA434" s="1400"/>
      <c r="DB434" s="1682"/>
      <c r="DC434" s="1326"/>
      <c r="DD434" s="1683">
        <v>0</v>
      </c>
      <c r="DE434" s="1400"/>
      <c r="DF434" s="1400"/>
      <c r="DG434" s="1683">
        <v>0</v>
      </c>
      <c r="DH434" s="1683">
        <v>0</v>
      </c>
    </row>
    <row r="435" spans="1:112" ht="33.75">
      <c r="A435" s="1326" t="s">
        <v>2493</v>
      </c>
      <c r="B435" s="1326" t="s">
        <v>1702</v>
      </c>
      <c r="C435" s="1326" t="s">
        <v>2564</v>
      </c>
      <c r="D435" s="1326" t="s">
        <v>2567</v>
      </c>
      <c r="E435" s="1326" t="s">
        <v>2293</v>
      </c>
      <c r="F435" s="1326" t="s">
        <v>2566</v>
      </c>
      <c r="G435" s="1326" t="s">
        <v>2556</v>
      </c>
      <c r="H435" s="1326" t="s">
        <v>2541</v>
      </c>
      <c r="I435" s="1326" t="s">
        <v>727</v>
      </c>
      <c r="J435" s="1326" t="s">
        <v>281</v>
      </c>
      <c r="K435" s="1326" t="s">
        <v>2069</v>
      </c>
      <c r="L435" s="1326" t="s">
        <v>2061</v>
      </c>
      <c r="M435" s="1400"/>
      <c r="N435" s="1400"/>
      <c r="O435" s="1400"/>
      <c r="P435" s="1400"/>
      <c r="Q435" s="1400"/>
      <c r="R435" s="1400"/>
      <c r="S435" s="1400"/>
      <c r="T435" s="1400"/>
      <c r="U435" s="1400"/>
      <c r="V435" s="1400"/>
      <c r="W435" s="1400"/>
      <c r="X435" s="1400"/>
      <c r="Y435" s="1685">
        <v>43042</v>
      </c>
      <c r="Z435" s="1326" t="s">
        <v>2062</v>
      </c>
      <c r="AA435" s="1683">
        <v>0</v>
      </c>
      <c r="AB435" s="1683">
        <v>0</v>
      </c>
      <c r="AC435" s="1683">
        <v>0</v>
      </c>
      <c r="AD435" s="1685">
        <v>43070</v>
      </c>
      <c r="AE435" s="1326" t="s">
        <v>2088</v>
      </c>
      <c r="AF435" s="1326" t="s">
        <v>2067</v>
      </c>
      <c r="AG435" s="1410"/>
      <c r="AH435" s="1683">
        <v>773.43</v>
      </c>
      <c r="AI435" s="1683">
        <v>773.43</v>
      </c>
      <c r="AJ435" s="1683">
        <v>656.8</v>
      </c>
      <c r="AK435" s="1683">
        <v>656.8</v>
      </c>
      <c r="AL435" s="1683">
        <v>0</v>
      </c>
      <c r="AM435" s="1685">
        <v>43074</v>
      </c>
      <c r="AN435" s="1683">
        <v>773.43</v>
      </c>
      <c r="AO435" s="1683">
        <v>773.43</v>
      </c>
      <c r="AP435" s="1683">
        <v>656.8</v>
      </c>
      <c r="AQ435" s="1683">
        <v>656.8</v>
      </c>
      <c r="AR435" s="1683">
        <v>0</v>
      </c>
      <c r="AS435" s="1683">
        <v>116.63</v>
      </c>
      <c r="AT435" s="1683">
        <v>0</v>
      </c>
      <c r="AU435" s="1683">
        <v>116.63</v>
      </c>
      <c r="AV435" s="1683">
        <v>0</v>
      </c>
      <c r="AW435" s="1683">
        <v>0</v>
      </c>
      <c r="AX435" s="1400"/>
      <c r="AY435" s="1400"/>
      <c r="AZ435" s="1400"/>
      <c r="BA435" s="1682"/>
      <c r="BB435" s="1682"/>
      <c r="BC435" s="1400"/>
      <c r="BD435" s="1400"/>
      <c r="BE435" s="1683">
        <v>773.43</v>
      </c>
      <c r="BF435" s="1683">
        <v>773.43</v>
      </c>
      <c r="BG435" s="1683">
        <v>656.8</v>
      </c>
      <c r="BH435" s="1683">
        <v>656.8</v>
      </c>
      <c r="BI435" s="1683">
        <v>0</v>
      </c>
      <c r="BJ435" s="1683">
        <v>116.63</v>
      </c>
      <c r="BK435" s="1683">
        <v>0</v>
      </c>
      <c r="BL435" s="1683">
        <v>116.63</v>
      </c>
      <c r="BM435" s="1683">
        <v>0</v>
      </c>
      <c r="BN435" s="1683">
        <v>0</v>
      </c>
      <c r="BO435" s="1685">
        <v>43206</v>
      </c>
      <c r="BP435" s="1683">
        <v>773.43</v>
      </c>
      <c r="BQ435" s="1683">
        <v>773.43</v>
      </c>
      <c r="BR435" s="1683">
        <v>656.8</v>
      </c>
      <c r="BS435" s="1683">
        <v>656.8</v>
      </c>
      <c r="BT435" s="1683">
        <v>0</v>
      </c>
      <c r="BU435" s="1683">
        <v>116.63</v>
      </c>
      <c r="BV435" s="1683">
        <v>0</v>
      </c>
      <c r="BW435" s="1683">
        <v>116.63</v>
      </c>
      <c r="BX435" s="1683">
        <v>0</v>
      </c>
      <c r="BY435" s="1683">
        <v>0</v>
      </c>
      <c r="BZ435" s="1683">
        <v>0</v>
      </c>
      <c r="CA435" s="1400"/>
      <c r="CB435" s="1682"/>
      <c r="CC435" s="1682"/>
      <c r="CD435" s="1400"/>
      <c r="CE435" s="1400"/>
      <c r="CF435" s="1683">
        <v>0</v>
      </c>
      <c r="CG435" s="1683">
        <v>0</v>
      </c>
      <c r="CH435" s="1683">
        <v>0</v>
      </c>
      <c r="CI435" s="1683">
        <v>0</v>
      </c>
      <c r="CJ435" s="1683">
        <v>0</v>
      </c>
      <c r="CK435" s="1683">
        <v>0</v>
      </c>
      <c r="CL435" s="1685">
        <v>43511</v>
      </c>
      <c r="CM435" s="1683">
        <v>773.43</v>
      </c>
      <c r="CN435" s="1683">
        <v>773.43</v>
      </c>
      <c r="CO435" s="1683">
        <v>656.8</v>
      </c>
      <c r="CP435" s="1683">
        <v>656.8</v>
      </c>
      <c r="CQ435" s="1683">
        <v>0</v>
      </c>
      <c r="CR435" s="1683">
        <v>116.63</v>
      </c>
      <c r="CS435" s="1683">
        <v>0</v>
      </c>
      <c r="CT435" s="1683">
        <v>116.63</v>
      </c>
      <c r="CU435" s="1683">
        <v>0</v>
      </c>
      <c r="CV435" s="1683">
        <v>0</v>
      </c>
      <c r="CW435" s="1682"/>
      <c r="CX435" s="1400"/>
      <c r="CY435" s="1400"/>
      <c r="CZ435" s="1400"/>
      <c r="DA435" s="1400"/>
      <c r="DB435" s="1682"/>
      <c r="DC435" s="1326"/>
      <c r="DD435" s="1683">
        <v>0</v>
      </c>
      <c r="DE435" s="1400"/>
      <c r="DF435" s="1400"/>
      <c r="DG435" s="1683">
        <v>0</v>
      </c>
      <c r="DH435" s="1683">
        <v>0</v>
      </c>
    </row>
    <row r="436" spans="1:112" ht="33.75">
      <c r="A436" s="1326" t="s">
        <v>2494</v>
      </c>
      <c r="B436" s="1326" t="s">
        <v>1702</v>
      </c>
      <c r="C436" s="1326" t="s">
        <v>2564</v>
      </c>
      <c r="D436" s="1326" t="s">
        <v>2567</v>
      </c>
      <c r="E436" s="1326" t="s">
        <v>2293</v>
      </c>
      <c r="F436" s="1326" t="s">
        <v>2566</v>
      </c>
      <c r="G436" s="1326" t="s">
        <v>2556</v>
      </c>
      <c r="H436" s="1326" t="s">
        <v>2541</v>
      </c>
      <c r="I436" s="1326" t="s">
        <v>727</v>
      </c>
      <c r="J436" s="1326" t="s">
        <v>281</v>
      </c>
      <c r="K436" s="1326" t="s">
        <v>2069</v>
      </c>
      <c r="L436" s="1326" t="s">
        <v>2061</v>
      </c>
      <c r="M436" s="1400"/>
      <c r="N436" s="1400"/>
      <c r="O436" s="1400"/>
      <c r="P436" s="1400"/>
      <c r="Q436" s="1400"/>
      <c r="R436" s="1400"/>
      <c r="S436" s="1400"/>
      <c r="T436" s="1400"/>
      <c r="U436" s="1400"/>
      <c r="V436" s="1400"/>
      <c r="W436" s="1400"/>
      <c r="X436" s="1400"/>
      <c r="Y436" s="1685">
        <v>43042</v>
      </c>
      <c r="Z436" s="1326" t="s">
        <v>2062</v>
      </c>
      <c r="AA436" s="1683">
        <v>0</v>
      </c>
      <c r="AB436" s="1683">
        <v>0</v>
      </c>
      <c r="AC436" s="1683">
        <v>0</v>
      </c>
      <c r="AD436" s="1685">
        <v>43070</v>
      </c>
      <c r="AE436" s="1326" t="s">
        <v>2088</v>
      </c>
      <c r="AF436" s="1326" t="s">
        <v>2064</v>
      </c>
      <c r="AG436" s="1410"/>
      <c r="AH436" s="1683">
        <v>65420.21</v>
      </c>
      <c r="AI436" s="1683">
        <v>65420.21</v>
      </c>
      <c r="AJ436" s="1683">
        <v>55554.44</v>
      </c>
      <c r="AK436" s="1683">
        <v>55554.44</v>
      </c>
      <c r="AL436" s="1683">
        <v>0</v>
      </c>
      <c r="AM436" s="1685">
        <v>43070</v>
      </c>
      <c r="AN436" s="1683">
        <v>65420.21</v>
      </c>
      <c r="AO436" s="1683">
        <v>65420.21</v>
      </c>
      <c r="AP436" s="1683">
        <v>55554.44</v>
      </c>
      <c r="AQ436" s="1683">
        <v>55554.44</v>
      </c>
      <c r="AR436" s="1683">
        <v>0</v>
      </c>
      <c r="AS436" s="1683">
        <v>9865.77</v>
      </c>
      <c r="AT436" s="1683">
        <v>0</v>
      </c>
      <c r="AU436" s="1683">
        <v>9865.77</v>
      </c>
      <c r="AV436" s="1683">
        <v>0</v>
      </c>
      <c r="AW436" s="1683">
        <v>0</v>
      </c>
      <c r="AX436" s="1400"/>
      <c r="AY436" s="1400"/>
      <c r="AZ436" s="1400"/>
      <c r="BA436" s="1682"/>
      <c r="BB436" s="1682"/>
      <c r="BC436" s="1400"/>
      <c r="BD436" s="1400"/>
      <c r="BE436" s="1683">
        <v>65420.21</v>
      </c>
      <c r="BF436" s="1683">
        <v>65420.21</v>
      </c>
      <c r="BG436" s="1683">
        <v>55554.44</v>
      </c>
      <c r="BH436" s="1683">
        <v>55554.44</v>
      </c>
      <c r="BI436" s="1683">
        <v>0</v>
      </c>
      <c r="BJ436" s="1683">
        <v>9865.77</v>
      </c>
      <c r="BK436" s="1683">
        <v>0</v>
      </c>
      <c r="BL436" s="1683">
        <v>9865.77</v>
      </c>
      <c r="BM436" s="1683">
        <v>0</v>
      </c>
      <c r="BN436" s="1683">
        <v>0</v>
      </c>
      <c r="BO436" s="1685">
        <v>43206</v>
      </c>
      <c r="BP436" s="1683">
        <v>65420.21</v>
      </c>
      <c r="BQ436" s="1683">
        <v>65420.21</v>
      </c>
      <c r="BR436" s="1683">
        <v>55554.44</v>
      </c>
      <c r="BS436" s="1683">
        <v>55554.44</v>
      </c>
      <c r="BT436" s="1683">
        <v>0</v>
      </c>
      <c r="BU436" s="1683">
        <v>9865.77</v>
      </c>
      <c r="BV436" s="1683">
        <v>0</v>
      </c>
      <c r="BW436" s="1683">
        <v>9865.77</v>
      </c>
      <c r="BX436" s="1683">
        <v>0</v>
      </c>
      <c r="BY436" s="1683">
        <v>0</v>
      </c>
      <c r="BZ436" s="1683">
        <v>0</v>
      </c>
      <c r="CA436" s="1400"/>
      <c r="CB436" s="1682"/>
      <c r="CC436" s="1682"/>
      <c r="CD436" s="1400"/>
      <c r="CE436" s="1400"/>
      <c r="CF436" s="1683">
        <v>0</v>
      </c>
      <c r="CG436" s="1683">
        <v>0</v>
      </c>
      <c r="CH436" s="1683">
        <v>0</v>
      </c>
      <c r="CI436" s="1683">
        <v>0</v>
      </c>
      <c r="CJ436" s="1683">
        <v>720.21</v>
      </c>
      <c r="CK436" s="1683">
        <v>720.21</v>
      </c>
      <c r="CL436" s="1685">
        <v>43511</v>
      </c>
      <c r="CM436" s="1683">
        <v>65420.21</v>
      </c>
      <c r="CN436" s="1683">
        <v>65420.21</v>
      </c>
      <c r="CO436" s="1683">
        <v>55554.44</v>
      </c>
      <c r="CP436" s="1683">
        <v>55554.44</v>
      </c>
      <c r="CQ436" s="1683">
        <v>0</v>
      </c>
      <c r="CR436" s="1683">
        <v>9865.77</v>
      </c>
      <c r="CS436" s="1683">
        <v>0</v>
      </c>
      <c r="CT436" s="1683">
        <v>9865.77</v>
      </c>
      <c r="CU436" s="1683">
        <v>0</v>
      </c>
      <c r="CV436" s="1683">
        <v>0</v>
      </c>
      <c r="CW436" s="1682"/>
      <c r="CX436" s="1400"/>
      <c r="CY436" s="1400"/>
      <c r="CZ436" s="1400"/>
      <c r="DA436" s="1400"/>
      <c r="DB436" s="1682"/>
      <c r="DC436" s="1326"/>
      <c r="DD436" s="1683">
        <v>0</v>
      </c>
      <c r="DE436" s="1400"/>
      <c r="DF436" s="1400"/>
      <c r="DG436" s="1683">
        <v>0</v>
      </c>
      <c r="DH436" s="1683">
        <v>0</v>
      </c>
    </row>
    <row r="437" spans="1:112" ht="33.75">
      <c r="A437" s="1326" t="s">
        <v>2495</v>
      </c>
      <c r="B437" s="1326" t="s">
        <v>1702</v>
      </c>
      <c r="C437" s="1326" t="s">
        <v>2564</v>
      </c>
      <c r="D437" s="1326" t="s">
        <v>2567</v>
      </c>
      <c r="E437" s="1326" t="s">
        <v>2293</v>
      </c>
      <c r="F437" s="1326" t="s">
        <v>2566</v>
      </c>
      <c r="G437" s="1326" t="s">
        <v>2556</v>
      </c>
      <c r="H437" s="1326" t="s">
        <v>2541</v>
      </c>
      <c r="I437" s="1326" t="s">
        <v>727</v>
      </c>
      <c r="J437" s="1326" t="s">
        <v>281</v>
      </c>
      <c r="K437" s="1326" t="s">
        <v>2069</v>
      </c>
      <c r="L437" s="1326" t="s">
        <v>2061</v>
      </c>
      <c r="M437" s="1400"/>
      <c r="N437" s="1400"/>
      <c r="O437" s="1400"/>
      <c r="P437" s="1400"/>
      <c r="Q437" s="1400"/>
      <c r="R437" s="1400"/>
      <c r="S437" s="1400"/>
      <c r="T437" s="1400"/>
      <c r="U437" s="1400"/>
      <c r="V437" s="1400"/>
      <c r="W437" s="1400"/>
      <c r="X437" s="1400"/>
      <c r="Y437" s="1685">
        <v>43129</v>
      </c>
      <c r="Z437" s="1326" t="s">
        <v>2062</v>
      </c>
      <c r="AA437" s="1683">
        <v>0</v>
      </c>
      <c r="AB437" s="1683">
        <v>0</v>
      </c>
      <c r="AC437" s="1683">
        <v>0</v>
      </c>
      <c r="AD437" s="1685">
        <v>43146</v>
      </c>
      <c r="AE437" s="1326" t="s">
        <v>2082</v>
      </c>
      <c r="AF437" s="1326" t="s">
        <v>2067</v>
      </c>
      <c r="AG437" s="1410"/>
      <c r="AH437" s="1683">
        <v>196.03</v>
      </c>
      <c r="AI437" s="1683">
        <v>196.03</v>
      </c>
      <c r="AJ437" s="1683">
        <v>166.46</v>
      </c>
      <c r="AK437" s="1683">
        <v>166.46</v>
      </c>
      <c r="AL437" s="1683">
        <v>0</v>
      </c>
      <c r="AM437" s="1685">
        <v>43157</v>
      </c>
      <c r="AN437" s="1683">
        <v>196.03</v>
      </c>
      <c r="AO437" s="1683">
        <v>196.03</v>
      </c>
      <c r="AP437" s="1683">
        <v>166.46</v>
      </c>
      <c r="AQ437" s="1683">
        <v>166.46</v>
      </c>
      <c r="AR437" s="1683">
        <v>0</v>
      </c>
      <c r="AS437" s="1683">
        <v>29.57</v>
      </c>
      <c r="AT437" s="1683">
        <v>0</v>
      </c>
      <c r="AU437" s="1683">
        <v>29.57</v>
      </c>
      <c r="AV437" s="1683">
        <v>0</v>
      </c>
      <c r="AW437" s="1683">
        <v>0</v>
      </c>
      <c r="AX437" s="1400"/>
      <c r="AY437" s="1400"/>
      <c r="AZ437" s="1400"/>
      <c r="BA437" s="1682"/>
      <c r="BB437" s="1682"/>
      <c r="BC437" s="1400"/>
      <c r="BD437" s="1400"/>
      <c r="BE437" s="1683">
        <v>196.03</v>
      </c>
      <c r="BF437" s="1683">
        <v>196.03</v>
      </c>
      <c r="BG437" s="1683">
        <v>166.46</v>
      </c>
      <c r="BH437" s="1683">
        <v>166.46</v>
      </c>
      <c r="BI437" s="1683">
        <v>0</v>
      </c>
      <c r="BJ437" s="1683">
        <v>29.57</v>
      </c>
      <c r="BK437" s="1683">
        <v>0</v>
      </c>
      <c r="BL437" s="1683">
        <v>29.57</v>
      </c>
      <c r="BM437" s="1683">
        <v>0</v>
      </c>
      <c r="BN437" s="1683">
        <v>0</v>
      </c>
      <c r="BO437" s="1685">
        <v>43236</v>
      </c>
      <c r="BP437" s="1683">
        <v>196.03</v>
      </c>
      <c r="BQ437" s="1683">
        <v>196.03</v>
      </c>
      <c r="BR437" s="1683">
        <v>166.46</v>
      </c>
      <c r="BS437" s="1683">
        <v>166.46</v>
      </c>
      <c r="BT437" s="1683">
        <v>0</v>
      </c>
      <c r="BU437" s="1683">
        <v>29.57</v>
      </c>
      <c r="BV437" s="1683">
        <v>0</v>
      </c>
      <c r="BW437" s="1683">
        <v>29.57</v>
      </c>
      <c r="BX437" s="1683">
        <v>0</v>
      </c>
      <c r="BY437" s="1683">
        <v>0</v>
      </c>
      <c r="BZ437" s="1683">
        <v>0</v>
      </c>
      <c r="CA437" s="1400"/>
      <c r="CB437" s="1682"/>
      <c r="CC437" s="1682"/>
      <c r="CD437" s="1400"/>
      <c r="CE437" s="1400"/>
      <c r="CF437" s="1683">
        <v>0</v>
      </c>
      <c r="CG437" s="1683">
        <v>0</v>
      </c>
      <c r="CH437" s="1683">
        <v>0</v>
      </c>
      <c r="CI437" s="1683">
        <v>0</v>
      </c>
      <c r="CJ437" s="1683">
        <v>0</v>
      </c>
      <c r="CK437" s="1683">
        <v>0</v>
      </c>
      <c r="CL437" s="1685">
        <v>43511</v>
      </c>
      <c r="CM437" s="1683">
        <v>196.03</v>
      </c>
      <c r="CN437" s="1683">
        <v>196.03</v>
      </c>
      <c r="CO437" s="1683">
        <v>166.46</v>
      </c>
      <c r="CP437" s="1683">
        <v>166.46</v>
      </c>
      <c r="CQ437" s="1683">
        <v>0</v>
      </c>
      <c r="CR437" s="1683">
        <v>29.57</v>
      </c>
      <c r="CS437" s="1683">
        <v>0</v>
      </c>
      <c r="CT437" s="1683">
        <v>29.57</v>
      </c>
      <c r="CU437" s="1683">
        <v>0</v>
      </c>
      <c r="CV437" s="1683">
        <v>0</v>
      </c>
      <c r="CW437" s="1682"/>
      <c r="CX437" s="1400"/>
      <c r="CY437" s="1400"/>
      <c r="CZ437" s="1400"/>
      <c r="DA437" s="1400"/>
      <c r="DB437" s="1682"/>
      <c r="DC437" s="1326"/>
      <c r="DD437" s="1683">
        <v>0</v>
      </c>
      <c r="DE437" s="1400"/>
      <c r="DF437" s="1400"/>
      <c r="DG437" s="1683">
        <v>0</v>
      </c>
      <c r="DH437" s="1683">
        <v>0</v>
      </c>
    </row>
    <row r="438" spans="1:112" ht="33.75">
      <c r="A438" s="1326" t="s">
        <v>2496</v>
      </c>
      <c r="B438" s="1326" t="s">
        <v>1702</v>
      </c>
      <c r="C438" s="1326" t="s">
        <v>2564</v>
      </c>
      <c r="D438" s="1326" t="s">
        <v>2567</v>
      </c>
      <c r="E438" s="1326" t="s">
        <v>2293</v>
      </c>
      <c r="F438" s="1326" t="s">
        <v>2566</v>
      </c>
      <c r="G438" s="1326" t="s">
        <v>2556</v>
      </c>
      <c r="H438" s="1326" t="s">
        <v>2541</v>
      </c>
      <c r="I438" s="1326" t="s">
        <v>727</v>
      </c>
      <c r="J438" s="1326" t="s">
        <v>281</v>
      </c>
      <c r="K438" s="1326" t="s">
        <v>2069</v>
      </c>
      <c r="L438" s="1326" t="s">
        <v>2061</v>
      </c>
      <c r="M438" s="1400"/>
      <c r="N438" s="1400"/>
      <c r="O438" s="1400"/>
      <c r="P438" s="1400"/>
      <c r="Q438" s="1400"/>
      <c r="R438" s="1400"/>
      <c r="S438" s="1400"/>
      <c r="T438" s="1400"/>
      <c r="U438" s="1400"/>
      <c r="V438" s="1400"/>
      <c r="W438" s="1400"/>
      <c r="X438" s="1400"/>
      <c r="Y438" s="1685">
        <v>43129</v>
      </c>
      <c r="Z438" s="1326" t="s">
        <v>2062</v>
      </c>
      <c r="AA438" s="1683">
        <v>0</v>
      </c>
      <c r="AB438" s="1683">
        <v>0</v>
      </c>
      <c r="AC438" s="1683">
        <v>0</v>
      </c>
      <c r="AD438" s="1685">
        <v>43146</v>
      </c>
      <c r="AE438" s="1326" t="s">
        <v>2082</v>
      </c>
      <c r="AF438" s="1326" t="s">
        <v>2064</v>
      </c>
      <c r="AG438" s="1410"/>
      <c r="AH438" s="1683">
        <v>9165.84</v>
      </c>
      <c r="AI438" s="1683">
        <v>9165.84</v>
      </c>
      <c r="AJ438" s="1683">
        <v>7783.58</v>
      </c>
      <c r="AK438" s="1683">
        <v>7783.58</v>
      </c>
      <c r="AL438" s="1683">
        <v>0</v>
      </c>
      <c r="AM438" s="1685">
        <v>43146</v>
      </c>
      <c r="AN438" s="1683">
        <v>9165.84</v>
      </c>
      <c r="AO438" s="1683">
        <v>9165.84</v>
      </c>
      <c r="AP438" s="1683">
        <v>7783.58</v>
      </c>
      <c r="AQ438" s="1683">
        <v>7783.58</v>
      </c>
      <c r="AR438" s="1683">
        <v>0</v>
      </c>
      <c r="AS438" s="1683">
        <v>1382.26</v>
      </c>
      <c r="AT438" s="1683">
        <v>0</v>
      </c>
      <c r="AU438" s="1683">
        <v>1382.26</v>
      </c>
      <c r="AV438" s="1683">
        <v>0</v>
      </c>
      <c r="AW438" s="1683">
        <v>0</v>
      </c>
      <c r="AX438" s="1400"/>
      <c r="AY438" s="1400"/>
      <c r="AZ438" s="1400"/>
      <c r="BA438" s="1682"/>
      <c r="BB438" s="1682"/>
      <c r="BC438" s="1400"/>
      <c r="BD438" s="1400"/>
      <c r="BE438" s="1683">
        <v>9165.84</v>
      </c>
      <c r="BF438" s="1683">
        <v>9165.84</v>
      </c>
      <c r="BG438" s="1683">
        <v>7783.58</v>
      </c>
      <c r="BH438" s="1683">
        <v>7783.58</v>
      </c>
      <c r="BI438" s="1683">
        <v>0</v>
      </c>
      <c r="BJ438" s="1683">
        <v>1382.26</v>
      </c>
      <c r="BK438" s="1683">
        <v>0</v>
      </c>
      <c r="BL438" s="1683">
        <v>1382.26</v>
      </c>
      <c r="BM438" s="1683">
        <v>0</v>
      </c>
      <c r="BN438" s="1683">
        <v>0</v>
      </c>
      <c r="BO438" s="1685">
        <v>43236</v>
      </c>
      <c r="BP438" s="1683">
        <v>9165.84</v>
      </c>
      <c r="BQ438" s="1683">
        <v>9165.84</v>
      </c>
      <c r="BR438" s="1683">
        <v>7783.58</v>
      </c>
      <c r="BS438" s="1683">
        <v>7783.58</v>
      </c>
      <c r="BT438" s="1683">
        <v>0</v>
      </c>
      <c r="BU438" s="1683">
        <v>1382.26</v>
      </c>
      <c r="BV438" s="1683">
        <v>0</v>
      </c>
      <c r="BW438" s="1683">
        <v>1382.26</v>
      </c>
      <c r="BX438" s="1683">
        <v>0</v>
      </c>
      <c r="BY438" s="1683">
        <v>0</v>
      </c>
      <c r="BZ438" s="1683">
        <v>0</v>
      </c>
      <c r="CA438" s="1400"/>
      <c r="CB438" s="1682"/>
      <c r="CC438" s="1682"/>
      <c r="CD438" s="1400"/>
      <c r="CE438" s="1400"/>
      <c r="CF438" s="1683">
        <v>0</v>
      </c>
      <c r="CG438" s="1683">
        <v>0</v>
      </c>
      <c r="CH438" s="1683">
        <v>0</v>
      </c>
      <c r="CI438" s="1683">
        <v>0</v>
      </c>
      <c r="CJ438" s="1683">
        <v>107.3</v>
      </c>
      <c r="CK438" s="1683">
        <v>107.3</v>
      </c>
      <c r="CL438" s="1685">
        <v>43511</v>
      </c>
      <c r="CM438" s="1683">
        <v>9165.84</v>
      </c>
      <c r="CN438" s="1683">
        <v>9165.84</v>
      </c>
      <c r="CO438" s="1683">
        <v>7783.58</v>
      </c>
      <c r="CP438" s="1683">
        <v>7783.58</v>
      </c>
      <c r="CQ438" s="1683">
        <v>0</v>
      </c>
      <c r="CR438" s="1683">
        <v>1382.26</v>
      </c>
      <c r="CS438" s="1683">
        <v>0</v>
      </c>
      <c r="CT438" s="1683">
        <v>1382.26</v>
      </c>
      <c r="CU438" s="1683">
        <v>0</v>
      </c>
      <c r="CV438" s="1683">
        <v>0</v>
      </c>
      <c r="CW438" s="1682"/>
      <c r="CX438" s="1400"/>
      <c r="CY438" s="1400"/>
      <c r="CZ438" s="1400"/>
      <c r="DA438" s="1400"/>
      <c r="DB438" s="1682"/>
      <c r="DC438" s="1326"/>
      <c r="DD438" s="1683">
        <v>0</v>
      </c>
      <c r="DE438" s="1400"/>
      <c r="DF438" s="1400"/>
      <c r="DG438" s="1683">
        <v>0</v>
      </c>
      <c r="DH438" s="1683">
        <v>0</v>
      </c>
    </row>
    <row r="439" spans="1:112" ht="33.75">
      <c r="A439" s="1326" t="s">
        <v>2497</v>
      </c>
      <c r="B439" s="1326" t="s">
        <v>1702</v>
      </c>
      <c r="C439" s="1326" t="s">
        <v>2564</v>
      </c>
      <c r="D439" s="1326" t="s">
        <v>2567</v>
      </c>
      <c r="E439" s="1326" t="s">
        <v>2293</v>
      </c>
      <c r="F439" s="1326" t="s">
        <v>2566</v>
      </c>
      <c r="G439" s="1326" t="s">
        <v>2556</v>
      </c>
      <c r="H439" s="1326" t="s">
        <v>2541</v>
      </c>
      <c r="I439" s="1326" t="s">
        <v>727</v>
      </c>
      <c r="J439" s="1326" t="s">
        <v>281</v>
      </c>
      <c r="K439" s="1326" t="s">
        <v>2069</v>
      </c>
      <c r="L439" s="1326" t="s">
        <v>2061</v>
      </c>
      <c r="M439" s="1400"/>
      <c r="N439" s="1400"/>
      <c r="O439" s="1400"/>
      <c r="P439" s="1400"/>
      <c r="Q439" s="1400"/>
      <c r="R439" s="1400"/>
      <c r="S439" s="1400"/>
      <c r="T439" s="1400"/>
      <c r="U439" s="1400"/>
      <c r="V439" s="1400"/>
      <c r="W439" s="1400"/>
      <c r="X439" s="1400"/>
      <c r="Y439" s="1685">
        <v>43305</v>
      </c>
      <c r="Z439" s="1326" t="s">
        <v>2062</v>
      </c>
      <c r="AA439" s="1683">
        <v>0</v>
      </c>
      <c r="AB439" s="1683">
        <v>0</v>
      </c>
      <c r="AC439" s="1683">
        <v>0</v>
      </c>
      <c r="AD439" s="1685">
        <v>43321</v>
      </c>
      <c r="AE439" s="1326" t="s">
        <v>2084</v>
      </c>
      <c r="AF439" s="1326" t="s">
        <v>2067</v>
      </c>
      <c r="AG439" s="1410"/>
      <c r="AH439" s="1683">
        <v>1675.85</v>
      </c>
      <c r="AI439" s="1683">
        <v>1675.85</v>
      </c>
      <c r="AJ439" s="1683">
        <v>1423.12</v>
      </c>
      <c r="AK439" s="1683">
        <v>1423.12</v>
      </c>
      <c r="AL439" s="1683">
        <v>0</v>
      </c>
      <c r="AM439" s="1685">
        <v>43322</v>
      </c>
      <c r="AN439" s="1683">
        <v>1675.85</v>
      </c>
      <c r="AO439" s="1683">
        <v>1675.85</v>
      </c>
      <c r="AP439" s="1683">
        <v>1423.12</v>
      </c>
      <c r="AQ439" s="1683">
        <v>1423.12</v>
      </c>
      <c r="AR439" s="1683">
        <v>0</v>
      </c>
      <c r="AS439" s="1683">
        <v>252.73</v>
      </c>
      <c r="AT439" s="1683">
        <v>0</v>
      </c>
      <c r="AU439" s="1683">
        <v>252.73</v>
      </c>
      <c r="AV439" s="1683">
        <v>0</v>
      </c>
      <c r="AW439" s="1683">
        <v>0</v>
      </c>
      <c r="AX439" s="1400"/>
      <c r="AY439" s="1400"/>
      <c r="AZ439" s="1400"/>
      <c r="BA439" s="1682"/>
      <c r="BB439" s="1682"/>
      <c r="BC439" s="1400"/>
      <c r="BD439" s="1400"/>
      <c r="BE439" s="1683">
        <v>1675.85</v>
      </c>
      <c r="BF439" s="1683">
        <v>1675.85</v>
      </c>
      <c r="BG439" s="1683">
        <v>1423.12</v>
      </c>
      <c r="BH439" s="1683">
        <v>1423.12</v>
      </c>
      <c r="BI439" s="1683">
        <v>0</v>
      </c>
      <c r="BJ439" s="1683">
        <v>252.73</v>
      </c>
      <c r="BK439" s="1683">
        <v>0</v>
      </c>
      <c r="BL439" s="1683">
        <v>252.73</v>
      </c>
      <c r="BM439" s="1683">
        <v>0</v>
      </c>
      <c r="BN439" s="1683">
        <v>0</v>
      </c>
      <c r="BO439" s="1685">
        <v>43403</v>
      </c>
      <c r="BP439" s="1683">
        <v>1675.85</v>
      </c>
      <c r="BQ439" s="1683">
        <v>1675.85</v>
      </c>
      <c r="BR439" s="1683">
        <v>1423.12</v>
      </c>
      <c r="BS439" s="1683">
        <v>1423.12</v>
      </c>
      <c r="BT439" s="1683">
        <v>0</v>
      </c>
      <c r="BU439" s="1683">
        <v>252.73</v>
      </c>
      <c r="BV439" s="1683">
        <v>0</v>
      </c>
      <c r="BW439" s="1683">
        <v>0</v>
      </c>
      <c r="BX439" s="1683">
        <v>0</v>
      </c>
      <c r="BY439" s="1683">
        <v>0</v>
      </c>
      <c r="BZ439" s="1683">
        <v>0</v>
      </c>
      <c r="CA439" s="1400"/>
      <c r="CB439" s="1682"/>
      <c r="CC439" s="1682"/>
      <c r="CD439" s="1400"/>
      <c r="CE439" s="1400"/>
      <c r="CF439" s="1683">
        <v>0</v>
      </c>
      <c r="CG439" s="1683">
        <v>0</v>
      </c>
      <c r="CH439" s="1683">
        <v>0</v>
      </c>
      <c r="CI439" s="1683">
        <v>0</v>
      </c>
      <c r="CJ439" s="1683">
        <v>0</v>
      </c>
      <c r="CK439" s="1683">
        <v>0</v>
      </c>
      <c r="CL439" s="1682"/>
      <c r="CM439" s="1683">
        <v>0</v>
      </c>
      <c r="CN439" s="1683">
        <v>0</v>
      </c>
      <c r="CO439" s="1683">
        <v>0</v>
      </c>
      <c r="CP439" s="1683">
        <v>0</v>
      </c>
      <c r="CQ439" s="1683">
        <v>0</v>
      </c>
      <c r="CR439" s="1683">
        <v>0</v>
      </c>
      <c r="CS439" s="1683">
        <v>0</v>
      </c>
      <c r="CT439" s="1683">
        <v>0</v>
      </c>
      <c r="CU439" s="1683">
        <v>0</v>
      </c>
      <c r="CV439" s="1683">
        <v>0</v>
      </c>
      <c r="CW439" s="1682"/>
      <c r="CX439" s="1400"/>
      <c r="CY439" s="1400"/>
      <c r="CZ439" s="1400"/>
      <c r="DA439" s="1400"/>
      <c r="DB439" s="1682"/>
      <c r="DC439" s="1326"/>
      <c r="DD439" s="1683">
        <v>0</v>
      </c>
      <c r="DE439" s="1400"/>
      <c r="DF439" s="1400"/>
      <c r="DG439" s="1683">
        <v>0</v>
      </c>
      <c r="DH439" s="1683">
        <v>0</v>
      </c>
    </row>
    <row r="440" spans="1:112" ht="33.75">
      <c r="A440" s="1326" t="s">
        <v>2498</v>
      </c>
      <c r="B440" s="1326" t="s">
        <v>1702</v>
      </c>
      <c r="C440" s="1326" t="s">
        <v>2564</v>
      </c>
      <c r="D440" s="1326" t="s">
        <v>2567</v>
      </c>
      <c r="E440" s="1326" t="s">
        <v>2293</v>
      </c>
      <c r="F440" s="1326" t="s">
        <v>2566</v>
      </c>
      <c r="G440" s="1326" t="s">
        <v>2556</v>
      </c>
      <c r="H440" s="1326" t="s">
        <v>2541</v>
      </c>
      <c r="I440" s="1326" t="s">
        <v>727</v>
      </c>
      <c r="J440" s="1326" t="s">
        <v>281</v>
      </c>
      <c r="K440" s="1326" t="s">
        <v>2069</v>
      </c>
      <c r="L440" s="1326" t="s">
        <v>2061</v>
      </c>
      <c r="M440" s="1400"/>
      <c r="N440" s="1400"/>
      <c r="O440" s="1400"/>
      <c r="P440" s="1400"/>
      <c r="Q440" s="1400"/>
      <c r="R440" s="1400"/>
      <c r="S440" s="1400"/>
      <c r="T440" s="1400"/>
      <c r="U440" s="1400"/>
      <c r="V440" s="1400"/>
      <c r="W440" s="1400"/>
      <c r="X440" s="1400"/>
      <c r="Y440" s="1685">
        <v>43305</v>
      </c>
      <c r="Z440" s="1326" t="s">
        <v>2062</v>
      </c>
      <c r="AA440" s="1683">
        <v>0</v>
      </c>
      <c r="AB440" s="1683">
        <v>0</v>
      </c>
      <c r="AC440" s="1683">
        <v>0</v>
      </c>
      <c r="AD440" s="1685">
        <v>43321</v>
      </c>
      <c r="AE440" s="1326" t="s">
        <v>2084</v>
      </c>
      <c r="AF440" s="1326" t="s">
        <v>2064</v>
      </c>
      <c r="AG440" s="1410"/>
      <c r="AH440" s="1683">
        <v>18.43</v>
      </c>
      <c r="AI440" s="1683">
        <v>18.43</v>
      </c>
      <c r="AJ440" s="1683">
        <v>15.65</v>
      </c>
      <c r="AK440" s="1683">
        <v>15.65</v>
      </c>
      <c r="AL440" s="1683">
        <v>0</v>
      </c>
      <c r="AM440" s="1685">
        <v>43321</v>
      </c>
      <c r="AN440" s="1683">
        <v>18.43</v>
      </c>
      <c r="AO440" s="1683">
        <v>18.43</v>
      </c>
      <c r="AP440" s="1683">
        <v>15.65</v>
      </c>
      <c r="AQ440" s="1683">
        <v>15.65</v>
      </c>
      <c r="AR440" s="1683">
        <v>0</v>
      </c>
      <c r="AS440" s="1683">
        <v>2.78</v>
      </c>
      <c r="AT440" s="1683">
        <v>0</v>
      </c>
      <c r="AU440" s="1683">
        <v>2.78</v>
      </c>
      <c r="AV440" s="1683">
        <v>0</v>
      </c>
      <c r="AW440" s="1683">
        <v>0</v>
      </c>
      <c r="AX440" s="1400"/>
      <c r="AY440" s="1400"/>
      <c r="AZ440" s="1400"/>
      <c r="BA440" s="1682"/>
      <c r="BB440" s="1682"/>
      <c r="BC440" s="1400"/>
      <c r="BD440" s="1400"/>
      <c r="BE440" s="1683">
        <v>18.43</v>
      </c>
      <c r="BF440" s="1683">
        <v>18.43</v>
      </c>
      <c r="BG440" s="1683">
        <v>15.65</v>
      </c>
      <c r="BH440" s="1683">
        <v>15.65</v>
      </c>
      <c r="BI440" s="1683">
        <v>0</v>
      </c>
      <c r="BJ440" s="1683">
        <v>2.78</v>
      </c>
      <c r="BK440" s="1683">
        <v>0</v>
      </c>
      <c r="BL440" s="1683">
        <v>2.78</v>
      </c>
      <c r="BM440" s="1683">
        <v>0</v>
      </c>
      <c r="BN440" s="1683">
        <v>0</v>
      </c>
      <c r="BO440" s="1685">
        <v>43403</v>
      </c>
      <c r="BP440" s="1683">
        <v>18.43</v>
      </c>
      <c r="BQ440" s="1683">
        <v>18.43</v>
      </c>
      <c r="BR440" s="1683">
        <v>15.65</v>
      </c>
      <c r="BS440" s="1683">
        <v>15.65</v>
      </c>
      <c r="BT440" s="1683">
        <v>0</v>
      </c>
      <c r="BU440" s="1683">
        <v>2.78</v>
      </c>
      <c r="BV440" s="1683">
        <v>0</v>
      </c>
      <c r="BW440" s="1683">
        <v>0</v>
      </c>
      <c r="BX440" s="1683">
        <v>0</v>
      </c>
      <c r="BY440" s="1683">
        <v>0</v>
      </c>
      <c r="BZ440" s="1683">
        <v>0</v>
      </c>
      <c r="CA440" s="1400"/>
      <c r="CB440" s="1682"/>
      <c r="CC440" s="1682"/>
      <c r="CD440" s="1400"/>
      <c r="CE440" s="1400"/>
      <c r="CF440" s="1683">
        <v>0</v>
      </c>
      <c r="CG440" s="1683">
        <v>0</v>
      </c>
      <c r="CH440" s="1683">
        <v>0</v>
      </c>
      <c r="CI440" s="1683">
        <v>0</v>
      </c>
      <c r="CJ440" s="1683">
        <v>18.43</v>
      </c>
      <c r="CK440" s="1683">
        <v>18.43</v>
      </c>
      <c r="CL440" s="1682"/>
      <c r="CM440" s="1683">
        <v>0</v>
      </c>
      <c r="CN440" s="1683">
        <v>0</v>
      </c>
      <c r="CO440" s="1683">
        <v>0</v>
      </c>
      <c r="CP440" s="1683">
        <v>0</v>
      </c>
      <c r="CQ440" s="1683">
        <v>0</v>
      </c>
      <c r="CR440" s="1683">
        <v>0</v>
      </c>
      <c r="CS440" s="1683">
        <v>0</v>
      </c>
      <c r="CT440" s="1683">
        <v>0</v>
      </c>
      <c r="CU440" s="1683">
        <v>0</v>
      </c>
      <c r="CV440" s="1683">
        <v>0</v>
      </c>
      <c r="CW440" s="1682"/>
      <c r="CX440" s="1400"/>
      <c r="CY440" s="1400"/>
      <c r="CZ440" s="1400"/>
      <c r="DA440" s="1400"/>
      <c r="DB440" s="1682"/>
      <c r="DC440" s="1326"/>
      <c r="DD440" s="1683">
        <v>0</v>
      </c>
      <c r="DE440" s="1400"/>
      <c r="DF440" s="1400"/>
      <c r="DG440" s="1683">
        <v>0</v>
      </c>
      <c r="DH440" s="1683">
        <v>0</v>
      </c>
    </row>
    <row r="441" spans="1:112" ht="33.75">
      <c r="A441" s="1326" t="s">
        <v>2499</v>
      </c>
      <c r="B441" s="1326" t="s">
        <v>1702</v>
      </c>
      <c r="C441" s="1326" t="s">
        <v>2564</v>
      </c>
      <c r="D441" s="1326" t="s">
        <v>2567</v>
      </c>
      <c r="E441" s="1326" t="s">
        <v>2293</v>
      </c>
      <c r="F441" s="1326" t="s">
        <v>2566</v>
      </c>
      <c r="G441" s="1326" t="s">
        <v>2556</v>
      </c>
      <c r="H441" s="1326" t="s">
        <v>2541</v>
      </c>
      <c r="I441" s="1326" t="s">
        <v>727</v>
      </c>
      <c r="J441" s="1326" t="s">
        <v>281</v>
      </c>
      <c r="K441" s="1326" t="s">
        <v>2069</v>
      </c>
      <c r="L441" s="1326" t="s">
        <v>2061</v>
      </c>
      <c r="M441" s="1400"/>
      <c r="N441" s="1400"/>
      <c r="O441" s="1400"/>
      <c r="P441" s="1400"/>
      <c r="Q441" s="1400"/>
      <c r="R441" s="1400"/>
      <c r="S441" s="1400"/>
      <c r="T441" s="1400"/>
      <c r="U441" s="1400"/>
      <c r="V441" s="1400"/>
      <c r="W441" s="1400"/>
      <c r="X441" s="1400"/>
      <c r="Y441" s="1685">
        <v>43434</v>
      </c>
      <c r="Z441" s="1326" t="s">
        <v>2062</v>
      </c>
      <c r="AA441" s="1683">
        <v>0</v>
      </c>
      <c r="AB441" s="1683">
        <v>0</v>
      </c>
      <c r="AC441" s="1683">
        <v>0</v>
      </c>
      <c r="AD441" s="1685">
        <v>43452</v>
      </c>
      <c r="AE441" s="1326" t="s">
        <v>2337</v>
      </c>
      <c r="AF441" s="1326" t="s">
        <v>2064</v>
      </c>
      <c r="AG441" s="1410"/>
      <c r="AH441" s="1683">
        <v>12233.1</v>
      </c>
      <c r="AI441" s="1683">
        <v>12233.1</v>
      </c>
      <c r="AJ441" s="1683">
        <v>10388.27</v>
      </c>
      <c r="AK441" s="1683">
        <v>10388.27</v>
      </c>
      <c r="AL441" s="1683">
        <v>0</v>
      </c>
      <c r="AM441" s="1685">
        <v>43452</v>
      </c>
      <c r="AN441" s="1683">
        <v>12233.1</v>
      </c>
      <c r="AO441" s="1683">
        <v>12233.1</v>
      </c>
      <c r="AP441" s="1683">
        <v>10388.27</v>
      </c>
      <c r="AQ441" s="1683">
        <v>10388.27</v>
      </c>
      <c r="AR441" s="1683">
        <v>0</v>
      </c>
      <c r="AS441" s="1683">
        <v>1844.83</v>
      </c>
      <c r="AT441" s="1683">
        <v>0</v>
      </c>
      <c r="AU441" s="1683">
        <v>1844.83</v>
      </c>
      <c r="AV441" s="1683">
        <v>0</v>
      </c>
      <c r="AW441" s="1683">
        <v>0</v>
      </c>
      <c r="AX441" s="1400"/>
      <c r="AY441" s="1400"/>
      <c r="AZ441" s="1400"/>
      <c r="BA441" s="1682"/>
      <c r="BB441" s="1682"/>
      <c r="BC441" s="1400"/>
      <c r="BD441" s="1400"/>
      <c r="BE441" s="1683">
        <v>12233.1</v>
      </c>
      <c r="BF441" s="1683">
        <v>12233.1</v>
      </c>
      <c r="BG441" s="1683">
        <v>10388.27</v>
      </c>
      <c r="BH441" s="1683">
        <v>10388.27</v>
      </c>
      <c r="BI441" s="1683">
        <v>0</v>
      </c>
      <c r="BJ441" s="1683">
        <v>1844.83</v>
      </c>
      <c r="BK441" s="1683">
        <v>0</v>
      </c>
      <c r="BL441" s="1683">
        <v>1844.83</v>
      </c>
      <c r="BM441" s="1683">
        <v>0</v>
      </c>
      <c r="BN441" s="1683">
        <v>0</v>
      </c>
      <c r="BO441" s="1682"/>
      <c r="BP441" s="1683">
        <v>0</v>
      </c>
      <c r="BQ441" s="1683">
        <v>0</v>
      </c>
      <c r="BR441" s="1683">
        <v>0</v>
      </c>
      <c r="BS441" s="1683">
        <v>0</v>
      </c>
      <c r="BT441" s="1683">
        <v>0</v>
      </c>
      <c r="BU441" s="1683">
        <v>0</v>
      </c>
      <c r="BV441" s="1683">
        <v>0</v>
      </c>
      <c r="BW441" s="1683">
        <v>0</v>
      </c>
      <c r="BX441" s="1683">
        <v>0</v>
      </c>
      <c r="BY441" s="1683">
        <v>0</v>
      </c>
      <c r="BZ441" s="1683">
        <v>0</v>
      </c>
      <c r="CA441" s="1400"/>
      <c r="CB441" s="1682"/>
      <c r="CC441" s="1682"/>
      <c r="CD441" s="1400"/>
      <c r="CE441" s="1400"/>
      <c r="CF441" s="1683">
        <v>0</v>
      </c>
      <c r="CG441" s="1683">
        <v>0</v>
      </c>
      <c r="CH441" s="1683">
        <v>0</v>
      </c>
      <c r="CI441" s="1683">
        <v>0</v>
      </c>
      <c r="CJ441" s="1683">
        <v>0</v>
      </c>
      <c r="CK441" s="1683">
        <v>0</v>
      </c>
      <c r="CL441" s="1682"/>
      <c r="CM441" s="1683">
        <v>0</v>
      </c>
      <c r="CN441" s="1683">
        <v>0</v>
      </c>
      <c r="CO441" s="1683">
        <v>0</v>
      </c>
      <c r="CP441" s="1683">
        <v>0</v>
      </c>
      <c r="CQ441" s="1683">
        <v>0</v>
      </c>
      <c r="CR441" s="1683">
        <v>0</v>
      </c>
      <c r="CS441" s="1683">
        <v>0</v>
      </c>
      <c r="CT441" s="1683">
        <v>0</v>
      </c>
      <c r="CU441" s="1683">
        <v>0</v>
      </c>
      <c r="CV441" s="1683">
        <v>0</v>
      </c>
      <c r="CW441" s="1682"/>
      <c r="CX441" s="1400"/>
      <c r="CY441" s="1400"/>
      <c r="CZ441" s="1400"/>
      <c r="DA441" s="1400"/>
      <c r="DB441" s="1682"/>
      <c r="DC441" s="1326"/>
      <c r="DD441" s="1683">
        <v>0</v>
      </c>
      <c r="DE441" s="1400"/>
      <c r="DF441" s="1400"/>
      <c r="DG441" s="1683">
        <v>0</v>
      </c>
      <c r="DH441" s="1683">
        <v>0</v>
      </c>
    </row>
    <row r="442" spans="1:112" ht="33.75">
      <c r="A442" s="1326" t="s">
        <v>2500</v>
      </c>
      <c r="B442" s="1326" t="s">
        <v>1702</v>
      </c>
      <c r="C442" s="1326" t="s">
        <v>2564</v>
      </c>
      <c r="D442" s="1326" t="s">
        <v>2567</v>
      </c>
      <c r="E442" s="1326" t="s">
        <v>2293</v>
      </c>
      <c r="F442" s="1326" t="s">
        <v>2566</v>
      </c>
      <c r="G442" s="1326" t="s">
        <v>2556</v>
      </c>
      <c r="H442" s="1326" t="s">
        <v>2541</v>
      </c>
      <c r="I442" s="1326" t="s">
        <v>727</v>
      </c>
      <c r="J442" s="1326" t="s">
        <v>281</v>
      </c>
      <c r="K442" s="1326" t="s">
        <v>2069</v>
      </c>
      <c r="L442" s="1326" t="s">
        <v>2061</v>
      </c>
      <c r="M442" s="1400"/>
      <c r="N442" s="1400"/>
      <c r="O442" s="1400"/>
      <c r="P442" s="1400"/>
      <c r="Q442" s="1400"/>
      <c r="R442" s="1400"/>
      <c r="S442" s="1400"/>
      <c r="T442" s="1400"/>
      <c r="U442" s="1400"/>
      <c r="V442" s="1400"/>
      <c r="W442" s="1400"/>
      <c r="X442" s="1400"/>
      <c r="Y442" s="1685">
        <v>43479</v>
      </c>
      <c r="Z442" s="1326" t="s">
        <v>2062</v>
      </c>
      <c r="AA442" s="1683">
        <v>20501.150000000001</v>
      </c>
      <c r="AB442" s="1683">
        <v>20501.150000000001</v>
      </c>
      <c r="AC442" s="1683">
        <v>0</v>
      </c>
      <c r="AD442" s="1685">
        <v>43496</v>
      </c>
      <c r="AE442" s="1326" t="s">
        <v>2339</v>
      </c>
      <c r="AF442" s="1326" t="s">
        <v>2067</v>
      </c>
      <c r="AG442" s="1410"/>
      <c r="AH442" s="1683">
        <v>24141.89</v>
      </c>
      <c r="AI442" s="1683">
        <v>24141.89</v>
      </c>
      <c r="AJ442" s="1683">
        <v>0</v>
      </c>
      <c r="AK442" s="1683">
        <v>0</v>
      </c>
      <c r="AL442" s="1683">
        <v>0</v>
      </c>
      <c r="AM442" s="1685">
        <v>43504</v>
      </c>
      <c r="AN442" s="1683">
        <v>24141.89</v>
      </c>
      <c r="AO442" s="1683">
        <v>24141.89</v>
      </c>
      <c r="AP442" s="1683">
        <v>20501.150000000001</v>
      </c>
      <c r="AQ442" s="1683">
        <v>20501.150000000001</v>
      </c>
      <c r="AR442" s="1683">
        <v>0</v>
      </c>
      <c r="AS442" s="1683">
        <v>3640.74</v>
      </c>
      <c r="AT442" s="1683">
        <v>0</v>
      </c>
      <c r="AU442" s="1683">
        <v>3640.74</v>
      </c>
      <c r="AV442" s="1683">
        <v>0</v>
      </c>
      <c r="AW442" s="1683">
        <v>0</v>
      </c>
      <c r="AX442" s="1400"/>
      <c r="AY442" s="1400"/>
      <c r="AZ442" s="1400"/>
      <c r="BA442" s="1682"/>
      <c r="BB442" s="1682"/>
      <c r="BC442" s="1400"/>
      <c r="BD442" s="1400"/>
      <c r="BE442" s="1683">
        <v>24141.89</v>
      </c>
      <c r="BF442" s="1683">
        <v>24141.89</v>
      </c>
      <c r="BG442" s="1683">
        <v>20501.150000000001</v>
      </c>
      <c r="BH442" s="1683">
        <v>20501.150000000001</v>
      </c>
      <c r="BI442" s="1683">
        <v>0</v>
      </c>
      <c r="BJ442" s="1683">
        <v>3640.74</v>
      </c>
      <c r="BK442" s="1683">
        <v>0</v>
      </c>
      <c r="BL442" s="1683">
        <v>3640.74</v>
      </c>
      <c r="BM442" s="1683">
        <v>0</v>
      </c>
      <c r="BN442" s="1683">
        <v>0</v>
      </c>
      <c r="BO442" s="1682"/>
      <c r="BP442" s="1683">
        <v>0</v>
      </c>
      <c r="BQ442" s="1683">
        <v>0</v>
      </c>
      <c r="BR442" s="1683">
        <v>0</v>
      </c>
      <c r="BS442" s="1683">
        <v>0</v>
      </c>
      <c r="BT442" s="1683">
        <v>0</v>
      </c>
      <c r="BU442" s="1683">
        <v>0</v>
      </c>
      <c r="BV442" s="1683">
        <v>0</v>
      </c>
      <c r="BW442" s="1683">
        <v>0</v>
      </c>
      <c r="BX442" s="1683">
        <v>0</v>
      </c>
      <c r="BY442" s="1683">
        <v>0</v>
      </c>
      <c r="BZ442" s="1400"/>
      <c r="CA442" s="1400"/>
      <c r="CB442" s="1682"/>
      <c r="CC442" s="1682"/>
      <c r="CD442" s="1400"/>
      <c r="CE442" s="1400"/>
      <c r="CF442" s="1683">
        <v>0</v>
      </c>
      <c r="CG442" s="1683">
        <v>0</v>
      </c>
      <c r="CH442" s="1683">
        <v>0</v>
      </c>
      <c r="CI442" s="1683">
        <v>0</v>
      </c>
      <c r="CJ442" s="1683">
        <v>0</v>
      </c>
      <c r="CK442" s="1683">
        <v>0</v>
      </c>
      <c r="CL442" s="1682"/>
      <c r="CM442" s="1683">
        <v>0</v>
      </c>
      <c r="CN442" s="1683">
        <v>0</v>
      </c>
      <c r="CO442" s="1683">
        <v>0</v>
      </c>
      <c r="CP442" s="1683">
        <v>0</v>
      </c>
      <c r="CQ442" s="1683">
        <v>0</v>
      </c>
      <c r="CR442" s="1683">
        <v>0</v>
      </c>
      <c r="CS442" s="1683">
        <v>0</v>
      </c>
      <c r="CT442" s="1683">
        <v>0</v>
      </c>
      <c r="CU442" s="1683">
        <v>0</v>
      </c>
      <c r="CV442" s="1683">
        <v>0</v>
      </c>
      <c r="CW442" s="1682"/>
      <c r="CX442" s="1400"/>
      <c r="CY442" s="1400"/>
      <c r="CZ442" s="1400"/>
      <c r="DA442" s="1400"/>
      <c r="DB442" s="1682"/>
      <c r="DC442" s="1326"/>
      <c r="DD442" s="1683">
        <v>0</v>
      </c>
      <c r="DE442" s="1400"/>
      <c r="DF442" s="1400"/>
      <c r="DG442" s="1683">
        <v>0</v>
      </c>
      <c r="DH442" s="1683">
        <v>0</v>
      </c>
    </row>
    <row r="443" spans="1:112" ht="56.25">
      <c r="A443" s="1326" t="s">
        <v>2059</v>
      </c>
      <c r="B443" s="1326" t="s">
        <v>1702</v>
      </c>
      <c r="C443" s="1326" t="s">
        <v>2564</v>
      </c>
      <c r="D443" s="1326" t="s">
        <v>2567</v>
      </c>
      <c r="E443" s="1326" t="s">
        <v>2293</v>
      </c>
      <c r="F443" s="1326" t="s">
        <v>2566</v>
      </c>
      <c r="G443" s="1326" t="s">
        <v>2556</v>
      </c>
      <c r="H443" s="1326" t="s">
        <v>2541</v>
      </c>
      <c r="I443" s="1326" t="s">
        <v>728</v>
      </c>
      <c r="J443" s="1326" t="s">
        <v>188</v>
      </c>
      <c r="K443" s="1326" t="s">
        <v>2077</v>
      </c>
      <c r="L443" s="1326" t="s">
        <v>2137</v>
      </c>
      <c r="M443" s="1683">
        <v>241889</v>
      </c>
      <c r="N443" s="1683">
        <v>0</v>
      </c>
      <c r="O443" s="1683">
        <v>241889</v>
      </c>
      <c r="P443" s="1683">
        <v>241889</v>
      </c>
      <c r="Q443" s="1683">
        <v>205605.65</v>
      </c>
      <c r="R443" s="1683">
        <v>205605.65</v>
      </c>
      <c r="S443" s="1683">
        <v>0</v>
      </c>
      <c r="T443" s="1683">
        <v>36283.35</v>
      </c>
      <c r="U443" s="1683">
        <v>0</v>
      </c>
      <c r="V443" s="1683">
        <v>36283.35</v>
      </c>
      <c r="W443" s="1683">
        <v>0</v>
      </c>
      <c r="X443" s="1683">
        <v>0</v>
      </c>
      <c r="Y443" s="1682"/>
      <c r="Z443" s="1326"/>
      <c r="AA443" s="1683">
        <v>0</v>
      </c>
      <c r="AB443" s="1683">
        <v>0</v>
      </c>
      <c r="AC443" s="1683">
        <v>0</v>
      </c>
      <c r="AD443" s="1682"/>
      <c r="AE443" s="1326"/>
      <c r="AF443" s="1326"/>
      <c r="AG443" s="1410"/>
      <c r="AH443" s="1683">
        <v>241889</v>
      </c>
      <c r="AI443" s="1683">
        <v>241889</v>
      </c>
      <c r="AJ443" s="1683">
        <v>205605.65</v>
      </c>
      <c r="AK443" s="1683">
        <v>205605.65</v>
      </c>
      <c r="AL443" s="1683">
        <v>0</v>
      </c>
      <c r="AM443" s="1682"/>
      <c r="AN443" s="1683">
        <v>241889</v>
      </c>
      <c r="AO443" s="1683">
        <v>241889</v>
      </c>
      <c r="AP443" s="1683">
        <v>205605.65</v>
      </c>
      <c r="AQ443" s="1683">
        <v>205605.65</v>
      </c>
      <c r="AR443" s="1683">
        <v>0</v>
      </c>
      <c r="AS443" s="1683">
        <v>36283.35</v>
      </c>
      <c r="AT443" s="1683">
        <v>0</v>
      </c>
      <c r="AU443" s="1683">
        <v>36283.35</v>
      </c>
      <c r="AV443" s="1683">
        <v>0</v>
      </c>
      <c r="AW443" s="1683">
        <v>0</v>
      </c>
      <c r="AX443" s="1683">
        <v>0</v>
      </c>
      <c r="AY443" s="1683">
        <v>0</v>
      </c>
      <c r="AZ443" s="1683">
        <v>0</v>
      </c>
      <c r="BA443" s="1682"/>
      <c r="BB443" s="1682"/>
      <c r="BC443" s="1683">
        <v>0</v>
      </c>
      <c r="BD443" s="1683">
        <v>0</v>
      </c>
      <c r="BE443" s="1683">
        <v>241889</v>
      </c>
      <c r="BF443" s="1683">
        <v>241889</v>
      </c>
      <c r="BG443" s="1683">
        <v>205605.65</v>
      </c>
      <c r="BH443" s="1683">
        <v>205605.65</v>
      </c>
      <c r="BI443" s="1683">
        <v>0</v>
      </c>
      <c r="BJ443" s="1683">
        <v>36283.35</v>
      </c>
      <c r="BK443" s="1683">
        <v>0</v>
      </c>
      <c r="BL443" s="1683">
        <v>36283.35</v>
      </c>
      <c r="BM443" s="1683">
        <v>0</v>
      </c>
      <c r="BN443" s="1683">
        <v>0</v>
      </c>
      <c r="BO443" s="1682"/>
      <c r="BP443" s="1683">
        <v>231780.78</v>
      </c>
      <c r="BQ443" s="1683">
        <v>231780.78</v>
      </c>
      <c r="BR443" s="1683">
        <v>197013.66</v>
      </c>
      <c r="BS443" s="1683">
        <v>197013.66</v>
      </c>
      <c r="BT443" s="1683">
        <v>0</v>
      </c>
      <c r="BU443" s="1683">
        <v>34767.120000000003</v>
      </c>
      <c r="BV443" s="1683">
        <v>0</v>
      </c>
      <c r="BW443" s="1683">
        <v>22139.27</v>
      </c>
      <c r="BX443" s="1683">
        <v>0</v>
      </c>
      <c r="BY443" s="1683">
        <v>0</v>
      </c>
      <c r="BZ443" s="1683">
        <v>0</v>
      </c>
      <c r="CA443" s="1683">
        <v>0</v>
      </c>
      <c r="CB443" s="1682"/>
      <c r="CC443" s="1682"/>
      <c r="CD443" s="1683">
        <v>0</v>
      </c>
      <c r="CE443" s="1683">
        <v>0</v>
      </c>
      <c r="CF443" s="1683">
        <v>0</v>
      </c>
      <c r="CG443" s="1683">
        <v>0</v>
      </c>
      <c r="CH443" s="1683">
        <v>0</v>
      </c>
      <c r="CI443" s="1683">
        <v>0</v>
      </c>
      <c r="CJ443" s="1683">
        <v>2521.84</v>
      </c>
      <c r="CK443" s="1683">
        <v>2521.84</v>
      </c>
      <c r="CL443" s="1682"/>
      <c r="CM443" s="1683">
        <v>147595.15</v>
      </c>
      <c r="CN443" s="1683">
        <v>147595.15</v>
      </c>
      <c r="CO443" s="1683">
        <v>125455.88</v>
      </c>
      <c r="CP443" s="1683">
        <v>125455.88</v>
      </c>
      <c r="CQ443" s="1683">
        <v>0</v>
      </c>
      <c r="CR443" s="1683">
        <v>22139.27</v>
      </c>
      <c r="CS443" s="1683">
        <v>0</v>
      </c>
      <c r="CT443" s="1683">
        <v>22139.27</v>
      </c>
      <c r="CU443" s="1683">
        <v>0</v>
      </c>
      <c r="CV443" s="1683">
        <v>0</v>
      </c>
      <c r="CW443" s="1682"/>
      <c r="CX443" s="1683">
        <v>0</v>
      </c>
      <c r="CY443" s="1683">
        <v>0</v>
      </c>
      <c r="CZ443" s="1683">
        <v>147595.15</v>
      </c>
      <c r="DA443" s="1683">
        <v>147595.15</v>
      </c>
      <c r="DB443" s="1682"/>
      <c r="DC443" s="1326"/>
      <c r="DD443" s="1683">
        <v>0</v>
      </c>
      <c r="DE443" s="1683">
        <v>0</v>
      </c>
      <c r="DF443" s="1683">
        <v>0</v>
      </c>
      <c r="DG443" s="1683">
        <v>0</v>
      </c>
      <c r="DH443" s="1683">
        <v>0</v>
      </c>
    </row>
    <row r="444" spans="1:112" ht="56.25">
      <c r="A444" s="1326" t="s">
        <v>2065</v>
      </c>
      <c r="B444" s="1326" t="s">
        <v>1702</v>
      </c>
      <c r="C444" s="1326" t="s">
        <v>2564</v>
      </c>
      <c r="D444" s="1326" t="s">
        <v>2567</v>
      </c>
      <c r="E444" s="1326" t="s">
        <v>2293</v>
      </c>
      <c r="F444" s="1326" t="s">
        <v>2566</v>
      </c>
      <c r="G444" s="1326" t="s">
        <v>2556</v>
      </c>
      <c r="H444" s="1326" t="s">
        <v>2541</v>
      </c>
      <c r="I444" s="1326" t="s">
        <v>728</v>
      </c>
      <c r="J444" s="1326" t="s">
        <v>188</v>
      </c>
      <c r="K444" s="1326" t="s">
        <v>2077</v>
      </c>
      <c r="L444" s="1326" t="s">
        <v>2137</v>
      </c>
      <c r="M444" s="1400"/>
      <c r="N444" s="1400"/>
      <c r="O444" s="1400"/>
      <c r="P444" s="1400"/>
      <c r="Q444" s="1400"/>
      <c r="R444" s="1400"/>
      <c r="S444" s="1400"/>
      <c r="T444" s="1400"/>
      <c r="U444" s="1400"/>
      <c r="V444" s="1400"/>
      <c r="W444" s="1400"/>
      <c r="X444" s="1400"/>
      <c r="Y444" s="1685">
        <v>43028</v>
      </c>
      <c r="Z444" s="1326" t="s">
        <v>2062</v>
      </c>
      <c r="AA444" s="1683">
        <v>0</v>
      </c>
      <c r="AB444" s="1683">
        <v>0</v>
      </c>
      <c r="AC444" s="1683">
        <v>0</v>
      </c>
      <c r="AD444" s="1685">
        <v>43054</v>
      </c>
      <c r="AE444" s="1326" t="s">
        <v>2082</v>
      </c>
      <c r="AF444" s="1326" t="s">
        <v>2067</v>
      </c>
      <c r="AG444" s="1410"/>
      <c r="AH444" s="1683">
        <v>18541.45</v>
      </c>
      <c r="AI444" s="1683">
        <v>18541.45</v>
      </c>
      <c r="AJ444" s="1683">
        <v>15760.23</v>
      </c>
      <c r="AK444" s="1683">
        <v>15760.23</v>
      </c>
      <c r="AL444" s="1683">
        <v>0</v>
      </c>
      <c r="AM444" s="1685">
        <v>43055</v>
      </c>
      <c r="AN444" s="1683">
        <v>18541.45</v>
      </c>
      <c r="AO444" s="1683">
        <v>18541.45</v>
      </c>
      <c r="AP444" s="1683">
        <v>15760.23</v>
      </c>
      <c r="AQ444" s="1683">
        <v>15760.23</v>
      </c>
      <c r="AR444" s="1683">
        <v>0</v>
      </c>
      <c r="AS444" s="1683">
        <v>2781.22</v>
      </c>
      <c r="AT444" s="1683">
        <v>0</v>
      </c>
      <c r="AU444" s="1683">
        <v>2781.22</v>
      </c>
      <c r="AV444" s="1683">
        <v>0</v>
      </c>
      <c r="AW444" s="1683">
        <v>0</v>
      </c>
      <c r="AX444" s="1400"/>
      <c r="AY444" s="1400"/>
      <c r="AZ444" s="1400"/>
      <c r="BA444" s="1682"/>
      <c r="BB444" s="1682"/>
      <c r="BC444" s="1400"/>
      <c r="BD444" s="1400"/>
      <c r="BE444" s="1683">
        <v>18541.45</v>
      </c>
      <c r="BF444" s="1683">
        <v>18541.45</v>
      </c>
      <c r="BG444" s="1683">
        <v>15760.23</v>
      </c>
      <c r="BH444" s="1683">
        <v>15760.23</v>
      </c>
      <c r="BI444" s="1683">
        <v>0</v>
      </c>
      <c r="BJ444" s="1683">
        <v>2781.22</v>
      </c>
      <c r="BK444" s="1683">
        <v>0</v>
      </c>
      <c r="BL444" s="1683">
        <v>2781.22</v>
      </c>
      <c r="BM444" s="1683">
        <v>0</v>
      </c>
      <c r="BN444" s="1683">
        <v>0</v>
      </c>
      <c r="BO444" s="1685">
        <v>43159</v>
      </c>
      <c r="BP444" s="1683">
        <v>18541.45</v>
      </c>
      <c r="BQ444" s="1683">
        <v>18541.45</v>
      </c>
      <c r="BR444" s="1683">
        <v>15760.23</v>
      </c>
      <c r="BS444" s="1683">
        <v>15760.23</v>
      </c>
      <c r="BT444" s="1683">
        <v>0</v>
      </c>
      <c r="BU444" s="1683">
        <v>2781.22</v>
      </c>
      <c r="BV444" s="1683">
        <v>0</v>
      </c>
      <c r="BW444" s="1683">
        <v>2781.22</v>
      </c>
      <c r="BX444" s="1683">
        <v>0</v>
      </c>
      <c r="BY444" s="1683">
        <v>0</v>
      </c>
      <c r="BZ444" s="1683">
        <v>0</v>
      </c>
      <c r="CA444" s="1400"/>
      <c r="CB444" s="1682"/>
      <c r="CC444" s="1682"/>
      <c r="CD444" s="1400"/>
      <c r="CE444" s="1400"/>
      <c r="CF444" s="1683">
        <v>0</v>
      </c>
      <c r="CG444" s="1683">
        <v>0</v>
      </c>
      <c r="CH444" s="1683">
        <v>0</v>
      </c>
      <c r="CI444" s="1683">
        <v>0</v>
      </c>
      <c r="CJ444" s="1683">
        <v>201.74</v>
      </c>
      <c r="CK444" s="1683">
        <v>201.74</v>
      </c>
      <c r="CL444" s="1685">
        <v>43511</v>
      </c>
      <c r="CM444" s="1683">
        <v>18541.45</v>
      </c>
      <c r="CN444" s="1683">
        <v>18541.45</v>
      </c>
      <c r="CO444" s="1683">
        <v>15760.23</v>
      </c>
      <c r="CP444" s="1683">
        <v>15760.23</v>
      </c>
      <c r="CQ444" s="1683">
        <v>0</v>
      </c>
      <c r="CR444" s="1683">
        <v>2781.22</v>
      </c>
      <c r="CS444" s="1683">
        <v>0</v>
      </c>
      <c r="CT444" s="1683">
        <v>2781.22</v>
      </c>
      <c r="CU444" s="1683">
        <v>0</v>
      </c>
      <c r="CV444" s="1683">
        <v>0</v>
      </c>
      <c r="CW444" s="1682"/>
      <c r="CX444" s="1400"/>
      <c r="CY444" s="1400"/>
      <c r="CZ444" s="1400"/>
      <c r="DA444" s="1400"/>
      <c r="DB444" s="1682"/>
      <c r="DC444" s="1326"/>
      <c r="DD444" s="1683">
        <v>0</v>
      </c>
      <c r="DE444" s="1400"/>
      <c r="DF444" s="1400"/>
      <c r="DG444" s="1683">
        <v>0</v>
      </c>
      <c r="DH444" s="1683">
        <v>0</v>
      </c>
    </row>
    <row r="445" spans="1:112" ht="56.25">
      <c r="A445" s="1326" t="s">
        <v>2501</v>
      </c>
      <c r="B445" s="1326" t="s">
        <v>1702</v>
      </c>
      <c r="C445" s="1326" t="s">
        <v>2564</v>
      </c>
      <c r="D445" s="1326" t="s">
        <v>2567</v>
      </c>
      <c r="E445" s="1326" t="s">
        <v>2293</v>
      </c>
      <c r="F445" s="1326" t="s">
        <v>2566</v>
      </c>
      <c r="G445" s="1326" t="s">
        <v>2556</v>
      </c>
      <c r="H445" s="1326" t="s">
        <v>2541</v>
      </c>
      <c r="I445" s="1326" t="s">
        <v>728</v>
      </c>
      <c r="J445" s="1326" t="s">
        <v>188</v>
      </c>
      <c r="K445" s="1326" t="s">
        <v>2077</v>
      </c>
      <c r="L445" s="1326" t="s">
        <v>2137</v>
      </c>
      <c r="M445" s="1400"/>
      <c r="N445" s="1400"/>
      <c r="O445" s="1400"/>
      <c r="P445" s="1400"/>
      <c r="Q445" s="1400"/>
      <c r="R445" s="1400"/>
      <c r="S445" s="1400"/>
      <c r="T445" s="1400"/>
      <c r="U445" s="1400"/>
      <c r="V445" s="1400"/>
      <c r="W445" s="1400"/>
      <c r="X445" s="1400"/>
      <c r="Y445" s="1685">
        <v>43055</v>
      </c>
      <c r="Z445" s="1326" t="s">
        <v>2062</v>
      </c>
      <c r="AA445" s="1683">
        <v>0</v>
      </c>
      <c r="AB445" s="1683">
        <v>0</v>
      </c>
      <c r="AC445" s="1683">
        <v>0</v>
      </c>
      <c r="AD445" s="1685">
        <v>43077</v>
      </c>
      <c r="AE445" s="1326" t="s">
        <v>2083</v>
      </c>
      <c r="AF445" s="1326" t="s">
        <v>2067</v>
      </c>
      <c r="AG445" s="1410"/>
      <c r="AH445" s="1683">
        <v>45263.839999999997</v>
      </c>
      <c r="AI445" s="1683">
        <v>45263.839999999997</v>
      </c>
      <c r="AJ445" s="1683">
        <v>38474.269999999997</v>
      </c>
      <c r="AK445" s="1683">
        <v>38474.269999999997</v>
      </c>
      <c r="AL445" s="1683">
        <v>0</v>
      </c>
      <c r="AM445" s="1685">
        <v>43081</v>
      </c>
      <c r="AN445" s="1683">
        <v>45263.839999999997</v>
      </c>
      <c r="AO445" s="1683">
        <v>45263.839999999997</v>
      </c>
      <c r="AP445" s="1683">
        <v>38474.269999999997</v>
      </c>
      <c r="AQ445" s="1683">
        <v>38474.269999999997</v>
      </c>
      <c r="AR445" s="1683">
        <v>0</v>
      </c>
      <c r="AS445" s="1683">
        <v>6789.57</v>
      </c>
      <c r="AT445" s="1683">
        <v>0</v>
      </c>
      <c r="AU445" s="1683">
        <v>6789.57</v>
      </c>
      <c r="AV445" s="1683">
        <v>0</v>
      </c>
      <c r="AW445" s="1683">
        <v>0</v>
      </c>
      <c r="AX445" s="1400"/>
      <c r="AY445" s="1400"/>
      <c r="AZ445" s="1400"/>
      <c r="BA445" s="1682"/>
      <c r="BB445" s="1682"/>
      <c r="BC445" s="1400"/>
      <c r="BD445" s="1400"/>
      <c r="BE445" s="1683">
        <v>45263.839999999997</v>
      </c>
      <c r="BF445" s="1683">
        <v>45263.839999999997</v>
      </c>
      <c r="BG445" s="1683">
        <v>38474.269999999997</v>
      </c>
      <c r="BH445" s="1683">
        <v>38474.269999999997</v>
      </c>
      <c r="BI445" s="1683">
        <v>0</v>
      </c>
      <c r="BJ445" s="1683">
        <v>6789.57</v>
      </c>
      <c r="BK445" s="1683">
        <v>0</v>
      </c>
      <c r="BL445" s="1683">
        <v>6789.57</v>
      </c>
      <c r="BM445" s="1683">
        <v>0</v>
      </c>
      <c r="BN445" s="1683">
        <v>0</v>
      </c>
      <c r="BO445" s="1685">
        <v>43206</v>
      </c>
      <c r="BP445" s="1683">
        <v>45263.839999999997</v>
      </c>
      <c r="BQ445" s="1683">
        <v>45263.839999999997</v>
      </c>
      <c r="BR445" s="1683">
        <v>38474.269999999997</v>
      </c>
      <c r="BS445" s="1683">
        <v>38474.269999999997</v>
      </c>
      <c r="BT445" s="1683">
        <v>0</v>
      </c>
      <c r="BU445" s="1683">
        <v>6789.57</v>
      </c>
      <c r="BV445" s="1683">
        <v>0</v>
      </c>
      <c r="BW445" s="1683">
        <v>6789.57</v>
      </c>
      <c r="BX445" s="1683">
        <v>0</v>
      </c>
      <c r="BY445" s="1683">
        <v>0</v>
      </c>
      <c r="BZ445" s="1683">
        <v>0</v>
      </c>
      <c r="CA445" s="1400"/>
      <c r="CB445" s="1682"/>
      <c r="CC445" s="1682"/>
      <c r="CD445" s="1400"/>
      <c r="CE445" s="1400"/>
      <c r="CF445" s="1683">
        <v>0</v>
      </c>
      <c r="CG445" s="1683">
        <v>0</v>
      </c>
      <c r="CH445" s="1683">
        <v>0</v>
      </c>
      <c r="CI445" s="1683">
        <v>0</v>
      </c>
      <c r="CJ445" s="1683">
        <v>492.48</v>
      </c>
      <c r="CK445" s="1683">
        <v>492.48</v>
      </c>
      <c r="CL445" s="1685">
        <v>43511</v>
      </c>
      <c r="CM445" s="1683">
        <v>45263.839999999997</v>
      </c>
      <c r="CN445" s="1683">
        <v>45263.839999999997</v>
      </c>
      <c r="CO445" s="1683">
        <v>38474.269999999997</v>
      </c>
      <c r="CP445" s="1683">
        <v>38474.269999999997</v>
      </c>
      <c r="CQ445" s="1683">
        <v>0</v>
      </c>
      <c r="CR445" s="1683">
        <v>6789.57</v>
      </c>
      <c r="CS445" s="1683">
        <v>0</v>
      </c>
      <c r="CT445" s="1683">
        <v>6789.57</v>
      </c>
      <c r="CU445" s="1683">
        <v>0</v>
      </c>
      <c r="CV445" s="1683">
        <v>0</v>
      </c>
      <c r="CW445" s="1682"/>
      <c r="CX445" s="1400"/>
      <c r="CY445" s="1400"/>
      <c r="CZ445" s="1400"/>
      <c r="DA445" s="1400"/>
      <c r="DB445" s="1682"/>
      <c r="DC445" s="1326"/>
      <c r="DD445" s="1683">
        <v>0</v>
      </c>
      <c r="DE445" s="1400"/>
      <c r="DF445" s="1400"/>
      <c r="DG445" s="1683">
        <v>0</v>
      </c>
      <c r="DH445" s="1683">
        <v>0</v>
      </c>
    </row>
    <row r="446" spans="1:112" ht="56.25">
      <c r="A446" s="1326" t="s">
        <v>2502</v>
      </c>
      <c r="B446" s="1326" t="s">
        <v>1702</v>
      </c>
      <c r="C446" s="1326" t="s">
        <v>2564</v>
      </c>
      <c r="D446" s="1326" t="s">
        <v>2567</v>
      </c>
      <c r="E446" s="1326" t="s">
        <v>2293</v>
      </c>
      <c r="F446" s="1326" t="s">
        <v>2566</v>
      </c>
      <c r="G446" s="1326" t="s">
        <v>2556</v>
      </c>
      <c r="H446" s="1326" t="s">
        <v>2541</v>
      </c>
      <c r="I446" s="1326" t="s">
        <v>728</v>
      </c>
      <c r="J446" s="1326" t="s">
        <v>188</v>
      </c>
      <c r="K446" s="1326" t="s">
        <v>2077</v>
      </c>
      <c r="L446" s="1326" t="s">
        <v>2137</v>
      </c>
      <c r="M446" s="1400"/>
      <c r="N446" s="1400"/>
      <c r="O446" s="1400"/>
      <c r="P446" s="1400"/>
      <c r="Q446" s="1400"/>
      <c r="R446" s="1400"/>
      <c r="S446" s="1400"/>
      <c r="T446" s="1400"/>
      <c r="U446" s="1400"/>
      <c r="V446" s="1400"/>
      <c r="W446" s="1400"/>
      <c r="X446" s="1400"/>
      <c r="Y446" s="1685">
        <v>43075</v>
      </c>
      <c r="Z446" s="1326" t="s">
        <v>2062</v>
      </c>
      <c r="AA446" s="1683">
        <v>0</v>
      </c>
      <c r="AB446" s="1683">
        <v>0</v>
      </c>
      <c r="AC446" s="1683">
        <v>0</v>
      </c>
      <c r="AD446" s="1685">
        <v>43096</v>
      </c>
      <c r="AE446" s="1326" t="s">
        <v>2084</v>
      </c>
      <c r="AF446" s="1326" t="s">
        <v>2067</v>
      </c>
      <c r="AG446" s="1410"/>
      <c r="AH446" s="1683">
        <v>23268.560000000001</v>
      </c>
      <c r="AI446" s="1683">
        <v>23268.560000000001</v>
      </c>
      <c r="AJ446" s="1683">
        <v>19778.27</v>
      </c>
      <c r="AK446" s="1683">
        <v>19778.27</v>
      </c>
      <c r="AL446" s="1683">
        <v>0</v>
      </c>
      <c r="AM446" s="1685">
        <v>43097</v>
      </c>
      <c r="AN446" s="1683">
        <v>23268.560000000001</v>
      </c>
      <c r="AO446" s="1683">
        <v>23268.560000000001</v>
      </c>
      <c r="AP446" s="1683">
        <v>19778.27</v>
      </c>
      <c r="AQ446" s="1683">
        <v>19778.27</v>
      </c>
      <c r="AR446" s="1683">
        <v>0</v>
      </c>
      <c r="AS446" s="1683">
        <v>3490.29</v>
      </c>
      <c r="AT446" s="1683">
        <v>0</v>
      </c>
      <c r="AU446" s="1683">
        <v>3490.29</v>
      </c>
      <c r="AV446" s="1683">
        <v>0</v>
      </c>
      <c r="AW446" s="1683">
        <v>0</v>
      </c>
      <c r="AX446" s="1400"/>
      <c r="AY446" s="1400"/>
      <c r="AZ446" s="1400"/>
      <c r="BA446" s="1682"/>
      <c r="BB446" s="1682"/>
      <c r="BC446" s="1400"/>
      <c r="BD446" s="1400"/>
      <c r="BE446" s="1683">
        <v>23268.560000000001</v>
      </c>
      <c r="BF446" s="1683">
        <v>23268.560000000001</v>
      </c>
      <c r="BG446" s="1683">
        <v>19778.27</v>
      </c>
      <c r="BH446" s="1683">
        <v>19778.27</v>
      </c>
      <c r="BI446" s="1683">
        <v>0</v>
      </c>
      <c r="BJ446" s="1683">
        <v>3490.29</v>
      </c>
      <c r="BK446" s="1683">
        <v>0</v>
      </c>
      <c r="BL446" s="1683">
        <v>3490.29</v>
      </c>
      <c r="BM446" s="1683">
        <v>0</v>
      </c>
      <c r="BN446" s="1683">
        <v>0</v>
      </c>
      <c r="BO446" s="1685">
        <v>43206</v>
      </c>
      <c r="BP446" s="1683">
        <v>23268.560000000001</v>
      </c>
      <c r="BQ446" s="1683">
        <v>23268.560000000001</v>
      </c>
      <c r="BR446" s="1683">
        <v>19778.27</v>
      </c>
      <c r="BS446" s="1683">
        <v>19778.27</v>
      </c>
      <c r="BT446" s="1683">
        <v>0</v>
      </c>
      <c r="BU446" s="1683">
        <v>3490.29</v>
      </c>
      <c r="BV446" s="1683">
        <v>0</v>
      </c>
      <c r="BW446" s="1683">
        <v>3490.29</v>
      </c>
      <c r="BX446" s="1683">
        <v>0</v>
      </c>
      <c r="BY446" s="1683">
        <v>0</v>
      </c>
      <c r="BZ446" s="1683">
        <v>0</v>
      </c>
      <c r="CA446" s="1400"/>
      <c r="CB446" s="1682"/>
      <c r="CC446" s="1682"/>
      <c r="CD446" s="1400"/>
      <c r="CE446" s="1400"/>
      <c r="CF446" s="1683">
        <v>0</v>
      </c>
      <c r="CG446" s="1683">
        <v>0</v>
      </c>
      <c r="CH446" s="1683">
        <v>0</v>
      </c>
      <c r="CI446" s="1683">
        <v>0</v>
      </c>
      <c r="CJ446" s="1683">
        <v>253.17</v>
      </c>
      <c r="CK446" s="1683">
        <v>253.17</v>
      </c>
      <c r="CL446" s="1685">
        <v>43511</v>
      </c>
      <c r="CM446" s="1683">
        <v>23268.560000000001</v>
      </c>
      <c r="CN446" s="1683">
        <v>23268.560000000001</v>
      </c>
      <c r="CO446" s="1683">
        <v>19778.27</v>
      </c>
      <c r="CP446" s="1683">
        <v>19778.27</v>
      </c>
      <c r="CQ446" s="1683">
        <v>0</v>
      </c>
      <c r="CR446" s="1683">
        <v>3490.29</v>
      </c>
      <c r="CS446" s="1683">
        <v>0</v>
      </c>
      <c r="CT446" s="1683">
        <v>3490.29</v>
      </c>
      <c r="CU446" s="1683">
        <v>0</v>
      </c>
      <c r="CV446" s="1683">
        <v>0</v>
      </c>
      <c r="CW446" s="1682"/>
      <c r="CX446" s="1400"/>
      <c r="CY446" s="1400"/>
      <c r="CZ446" s="1400"/>
      <c r="DA446" s="1400"/>
      <c r="DB446" s="1682"/>
      <c r="DC446" s="1326"/>
      <c r="DD446" s="1683">
        <v>0</v>
      </c>
      <c r="DE446" s="1400"/>
      <c r="DF446" s="1400"/>
      <c r="DG446" s="1683">
        <v>0</v>
      </c>
      <c r="DH446" s="1683">
        <v>0</v>
      </c>
    </row>
    <row r="447" spans="1:112" ht="56.25">
      <c r="A447" s="1326" t="s">
        <v>2503</v>
      </c>
      <c r="B447" s="1326" t="s">
        <v>1702</v>
      </c>
      <c r="C447" s="1326" t="s">
        <v>2564</v>
      </c>
      <c r="D447" s="1326" t="s">
        <v>2567</v>
      </c>
      <c r="E447" s="1326" t="s">
        <v>2293</v>
      </c>
      <c r="F447" s="1326" t="s">
        <v>2566</v>
      </c>
      <c r="G447" s="1326" t="s">
        <v>2556</v>
      </c>
      <c r="H447" s="1326" t="s">
        <v>2541</v>
      </c>
      <c r="I447" s="1326" t="s">
        <v>728</v>
      </c>
      <c r="J447" s="1326" t="s">
        <v>188</v>
      </c>
      <c r="K447" s="1326" t="s">
        <v>2077</v>
      </c>
      <c r="L447" s="1326" t="s">
        <v>2137</v>
      </c>
      <c r="M447" s="1400"/>
      <c r="N447" s="1400"/>
      <c r="O447" s="1400"/>
      <c r="P447" s="1400"/>
      <c r="Q447" s="1400"/>
      <c r="R447" s="1400"/>
      <c r="S447" s="1400"/>
      <c r="T447" s="1400"/>
      <c r="U447" s="1400"/>
      <c r="V447" s="1400"/>
      <c r="W447" s="1400"/>
      <c r="X447" s="1400"/>
      <c r="Y447" s="1685">
        <v>43110</v>
      </c>
      <c r="Z447" s="1326" t="s">
        <v>2062</v>
      </c>
      <c r="AA447" s="1683">
        <v>0</v>
      </c>
      <c r="AB447" s="1683">
        <v>0</v>
      </c>
      <c r="AC447" s="1683">
        <v>0</v>
      </c>
      <c r="AD447" s="1685">
        <v>43125</v>
      </c>
      <c r="AE447" s="1326" t="s">
        <v>2304</v>
      </c>
      <c r="AF447" s="1326" t="s">
        <v>2067</v>
      </c>
      <c r="AG447" s="1410"/>
      <c r="AH447" s="1683">
        <v>17713.86</v>
      </c>
      <c r="AI447" s="1683">
        <v>17713.86</v>
      </c>
      <c r="AJ447" s="1683">
        <v>15056.78</v>
      </c>
      <c r="AK447" s="1683">
        <v>15056.78</v>
      </c>
      <c r="AL447" s="1683">
        <v>0</v>
      </c>
      <c r="AM447" s="1685">
        <v>43132</v>
      </c>
      <c r="AN447" s="1683">
        <v>17713.86</v>
      </c>
      <c r="AO447" s="1683">
        <v>17713.86</v>
      </c>
      <c r="AP447" s="1683">
        <v>15056.78</v>
      </c>
      <c r="AQ447" s="1683">
        <v>15056.78</v>
      </c>
      <c r="AR447" s="1683">
        <v>0</v>
      </c>
      <c r="AS447" s="1683">
        <v>2657.08</v>
      </c>
      <c r="AT447" s="1683">
        <v>0</v>
      </c>
      <c r="AU447" s="1683">
        <v>2657.08</v>
      </c>
      <c r="AV447" s="1683">
        <v>0</v>
      </c>
      <c r="AW447" s="1683">
        <v>0</v>
      </c>
      <c r="AX447" s="1400"/>
      <c r="AY447" s="1400"/>
      <c r="AZ447" s="1400"/>
      <c r="BA447" s="1682"/>
      <c r="BB447" s="1682"/>
      <c r="BC447" s="1400"/>
      <c r="BD447" s="1400"/>
      <c r="BE447" s="1683">
        <v>17713.86</v>
      </c>
      <c r="BF447" s="1683">
        <v>17713.86</v>
      </c>
      <c r="BG447" s="1683">
        <v>15056.78</v>
      </c>
      <c r="BH447" s="1683">
        <v>15056.78</v>
      </c>
      <c r="BI447" s="1683">
        <v>0</v>
      </c>
      <c r="BJ447" s="1683">
        <v>2657.08</v>
      </c>
      <c r="BK447" s="1683">
        <v>0</v>
      </c>
      <c r="BL447" s="1683">
        <v>2657.08</v>
      </c>
      <c r="BM447" s="1683">
        <v>0</v>
      </c>
      <c r="BN447" s="1683">
        <v>0</v>
      </c>
      <c r="BO447" s="1685">
        <v>43236</v>
      </c>
      <c r="BP447" s="1683">
        <v>17713.86</v>
      </c>
      <c r="BQ447" s="1683">
        <v>17713.86</v>
      </c>
      <c r="BR447" s="1683">
        <v>15056.78</v>
      </c>
      <c r="BS447" s="1683">
        <v>15056.78</v>
      </c>
      <c r="BT447" s="1683">
        <v>0</v>
      </c>
      <c r="BU447" s="1683">
        <v>2657.08</v>
      </c>
      <c r="BV447" s="1683">
        <v>0</v>
      </c>
      <c r="BW447" s="1683">
        <v>2657.08</v>
      </c>
      <c r="BX447" s="1683">
        <v>0</v>
      </c>
      <c r="BY447" s="1683">
        <v>0</v>
      </c>
      <c r="BZ447" s="1683">
        <v>0</v>
      </c>
      <c r="CA447" s="1400"/>
      <c r="CB447" s="1682"/>
      <c r="CC447" s="1682"/>
      <c r="CD447" s="1400"/>
      <c r="CE447" s="1400"/>
      <c r="CF447" s="1683">
        <v>0</v>
      </c>
      <c r="CG447" s="1683">
        <v>0</v>
      </c>
      <c r="CH447" s="1683">
        <v>0</v>
      </c>
      <c r="CI447" s="1683">
        <v>0</v>
      </c>
      <c r="CJ447" s="1683">
        <v>192.73</v>
      </c>
      <c r="CK447" s="1683">
        <v>192.73</v>
      </c>
      <c r="CL447" s="1685">
        <v>43511</v>
      </c>
      <c r="CM447" s="1683">
        <v>17713.86</v>
      </c>
      <c r="CN447" s="1683">
        <v>17713.86</v>
      </c>
      <c r="CO447" s="1683">
        <v>15056.78</v>
      </c>
      <c r="CP447" s="1683">
        <v>15056.78</v>
      </c>
      <c r="CQ447" s="1683">
        <v>0</v>
      </c>
      <c r="CR447" s="1683">
        <v>2657.08</v>
      </c>
      <c r="CS447" s="1683">
        <v>0</v>
      </c>
      <c r="CT447" s="1683">
        <v>2657.08</v>
      </c>
      <c r="CU447" s="1683">
        <v>0</v>
      </c>
      <c r="CV447" s="1683">
        <v>0</v>
      </c>
      <c r="CW447" s="1682"/>
      <c r="CX447" s="1400"/>
      <c r="CY447" s="1400"/>
      <c r="CZ447" s="1400"/>
      <c r="DA447" s="1400"/>
      <c r="DB447" s="1682"/>
      <c r="DC447" s="1326"/>
      <c r="DD447" s="1683">
        <v>0</v>
      </c>
      <c r="DE447" s="1400"/>
      <c r="DF447" s="1400"/>
      <c r="DG447" s="1683">
        <v>0</v>
      </c>
      <c r="DH447" s="1683">
        <v>0</v>
      </c>
    </row>
    <row r="448" spans="1:112" ht="56.25">
      <c r="A448" s="1326" t="s">
        <v>2504</v>
      </c>
      <c r="B448" s="1326" t="s">
        <v>1702</v>
      </c>
      <c r="C448" s="1326" t="s">
        <v>2564</v>
      </c>
      <c r="D448" s="1326" t="s">
        <v>2567</v>
      </c>
      <c r="E448" s="1326" t="s">
        <v>2293</v>
      </c>
      <c r="F448" s="1326" t="s">
        <v>2566</v>
      </c>
      <c r="G448" s="1326" t="s">
        <v>2556</v>
      </c>
      <c r="H448" s="1326" t="s">
        <v>2541</v>
      </c>
      <c r="I448" s="1326" t="s">
        <v>728</v>
      </c>
      <c r="J448" s="1326" t="s">
        <v>188</v>
      </c>
      <c r="K448" s="1326" t="s">
        <v>2077</v>
      </c>
      <c r="L448" s="1326" t="s">
        <v>2137</v>
      </c>
      <c r="M448" s="1400"/>
      <c r="N448" s="1400"/>
      <c r="O448" s="1400"/>
      <c r="P448" s="1400"/>
      <c r="Q448" s="1400"/>
      <c r="R448" s="1400"/>
      <c r="S448" s="1400"/>
      <c r="T448" s="1400"/>
      <c r="U448" s="1400"/>
      <c r="V448" s="1400"/>
      <c r="W448" s="1400"/>
      <c r="X448" s="1400"/>
      <c r="Y448" s="1685">
        <v>43143</v>
      </c>
      <c r="Z448" s="1326" t="s">
        <v>2062</v>
      </c>
      <c r="AA448" s="1683">
        <v>0</v>
      </c>
      <c r="AB448" s="1683">
        <v>0</v>
      </c>
      <c r="AC448" s="1683">
        <v>0</v>
      </c>
      <c r="AD448" s="1685">
        <v>43165</v>
      </c>
      <c r="AE448" s="1326" t="s">
        <v>2337</v>
      </c>
      <c r="AF448" s="1326" t="s">
        <v>2067</v>
      </c>
      <c r="AG448" s="1410"/>
      <c r="AH448" s="1683">
        <v>42807.44</v>
      </c>
      <c r="AI448" s="1683">
        <v>42807.44</v>
      </c>
      <c r="AJ448" s="1683">
        <v>36386.33</v>
      </c>
      <c r="AK448" s="1683">
        <v>36386.33</v>
      </c>
      <c r="AL448" s="1683">
        <v>0</v>
      </c>
      <c r="AM448" s="1685">
        <v>43167</v>
      </c>
      <c r="AN448" s="1683">
        <v>42807.44</v>
      </c>
      <c r="AO448" s="1683">
        <v>42807.44</v>
      </c>
      <c r="AP448" s="1683">
        <v>36386.33</v>
      </c>
      <c r="AQ448" s="1683">
        <v>36386.33</v>
      </c>
      <c r="AR448" s="1683">
        <v>0</v>
      </c>
      <c r="AS448" s="1683">
        <v>6421.11</v>
      </c>
      <c r="AT448" s="1683">
        <v>0</v>
      </c>
      <c r="AU448" s="1683">
        <v>6421.11</v>
      </c>
      <c r="AV448" s="1683">
        <v>0</v>
      </c>
      <c r="AW448" s="1683">
        <v>0</v>
      </c>
      <c r="AX448" s="1400"/>
      <c r="AY448" s="1400"/>
      <c r="AZ448" s="1400"/>
      <c r="BA448" s="1682"/>
      <c r="BB448" s="1682"/>
      <c r="BC448" s="1400"/>
      <c r="BD448" s="1400"/>
      <c r="BE448" s="1683">
        <v>42807.44</v>
      </c>
      <c r="BF448" s="1683">
        <v>42807.44</v>
      </c>
      <c r="BG448" s="1683">
        <v>36386.33</v>
      </c>
      <c r="BH448" s="1683">
        <v>36386.33</v>
      </c>
      <c r="BI448" s="1683">
        <v>0</v>
      </c>
      <c r="BJ448" s="1683">
        <v>6421.11</v>
      </c>
      <c r="BK448" s="1683">
        <v>0</v>
      </c>
      <c r="BL448" s="1683">
        <v>6421.11</v>
      </c>
      <c r="BM448" s="1683">
        <v>0</v>
      </c>
      <c r="BN448" s="1683">
        <v>0</v>
      </c>
      <c r="BO448" s="1685">
        <v>43236</v>
      </c>
      <c r="BP448" s="1683">
        <v>42807.44</v>
      </c>
      <c r="BQ448" s="1683">
        <v>42807.44</v>
      </c>
      <c r="BR448" s="1683">
        <v>36386.33</v>
      </c>
      <c r="BS448" s="1683">
        <v>36386.33</v>
      </c>
      <c r="BT448" s="1683">
        <v>0</v>
      </c>
      <c r="BU448" s="1683">
        <v>6421.11</v>
      </c>
      <c r="BV448" s="1683">
        <v>0</v>
      </c>
      <c r="BW448" s="1683">
        <v>6421.11</v>
      </c>
      <c r="BX448" s="1683">
        <v>0</v>
      </c>
      <c r="BY448" s="1683">
        <v>0</v>
      </c>
      <c r="BZ448" s="1683">
        <v>0</v>
      </c>
      <c r="CA448" s="1400"/>
      <c r="CB448" s="1682"/>
      <c r="CC448" s="1682"/>
      <c r="CD448" s="1400"/>
      <c r="CE448" s="1400"/>
      <c r="CF448" s="1683">
        <v>0</v>
      </c>
      <c r="CG448" s="1683">
        <v>0</v>
      </c>
      <c r="CH448" s="1683">
        <v>0</v>
      </c>
      <c r="CI448" s="1683">
        <v>0</v>
      </c>
      <c r="CJ448" s="1683">
        <v>465.76</v>
      </c>
      <c r="CK448" s="1683">
        <v>465.76</v>
      </c>
      <c r="CL448" s="1685">
        <v>43511</v>
      </c>
      <c r="CM448" s="1683">
        <v>42807.44</v>
      </c>
      <c r="CN448" s="1683">
        <v>42807.44</v>
      </c>
      <c r="CO448" s="1683">
        <v>36386.33</v>
      </c>
      <c r="CP448" s="1683">
        <v>36386.33</v>
      </c>
      <c r="CQ448" s="1683">
        <v>0</v>
      </c>
      <c r="CR448" s="1683">
        <v>6421.11</v>
      </c>
      <c r="CS448" s="1683">
        <v>0</v>
      </c>
      <c r="CT448" s="1683">
        <v>6421.11</v>
      </c>
      <c r="CU448" s="1683">
        <v>0</v>
      </c>
      <c r="CV448" s="1683">
        <v>0</v>
      </c>
      <c r="CW448" s="1682"/>
      <c r="CX448" s="1400"/>
      <c r="CY448" s="1400"/>
      <c r="CZ448" s="1400"/>
      <c r="DA448" s="1400"/>
      <c r="DB448" s="1682"/>
      <c r="DC448" s="1326"/>
      <c r="DD448" s="1683">
        <v>0</v>
      </c>
      <c r="DE448" s="1400"/>
      <c r="DF448" s="1400"/>
      <c r="DG448" s="1683">
        <v>0</v>
      </c>
      <c r="DH448" s="1683">
        <v>0</v>
      </c>
    </row>
    <row r="449" spans="1:112" ht="56.25">
      <c r="A449" s="1326" t="s">
        <v>2505</v>
      </c>
      <c r="B449" s="1326" t="s">
        <v>1702</v>
      </c>
      <c r="C449" s="1326" t="s">
        <v>2564</v>
      </c>
      <c r="D449" s="1326" t="s">
        <v>2567</v>
      </c>
      <c r="E449" s="1326" t="s">
        <v>2293</v>
      </c>
      <c r="F449" s="1326" t="s">
        <v>2566</v>
      </c>
      <c r="G449" s="1326" t="s">
        <v>2556</v>
      </c>
      <c r="H449" s="1326" t="s">
        <v>2541</v>
      </c>
      <c r="I449" s="1326" t="s">
        <v>728</v>
      </c>
      <c r="J449" s="1326" t="s">
        <v>188</v>
      </c>
      <c r="K449" s="1326" t="s">
        <v>2077</v>
      </c>
      <c r="L449" s="1326" t="s">
        <v>2137</v>
      </c>
      <c r="M449" s="1400"/>
      <c r="N449" s="1400"/>
      <c r="O449" s="1400"/>
      <c r="P449" s="1400"/>
      <c r="Q449" s="1400"/>
      <c r="R449" s="1400"/>
      <c r="S449" s="1400"/>
      <c r="T449" s="1400"/>
      <c r="U449" s="1400"/>
      <c r="V449" s="1400"/>
      <c r="W449" s="1400"/>
      <c r="X449" s="1400"/>
      <c r="Y449" s="1685">
        <v>43173</v>
      </c>
      <c r="Z449" s="1326" t="s">
        <v>2062</v>
      </c>
      <c r="AA449" s="1683">
        <v>0</v>
      </c>
      <c r="AB449" s="1683">
        <v>0</v>
      </c>
      <c r="AC449" s="1683">
        <v>0</v>
      </c>
      <c r="AD449" s="1685">
        <v>43188</v>
      </c>
      <c r="AE449" s="1326" t="s">
        <v>2339</v>
      </c>
      <c r="AF449" s="1326" t="s">
        <v>2067</v>
      </c>
      <c r="AG449" s="1410"/>
      <c r="AH449" s="1683">
        <v>51266.97</v>
      </c>
      <c r="AI449" s="1683">
        <v>51266.97</v>
      </c>
      <c r="AJ449" s="1683">
        <v>43576.92</v>
      </c>
      <c r="AK449" s="1683">
        <v>43576.92</v>
      </c>
      <c r="AL449" s="1683">
        <v>0</v>
      </c>
      <c r="AM449" s="1685">
        <v>43193</v>
      </c>
      <c r="AN449" s="1683">
        <v>51266.97</v>
      </c>
      <c r="AO449" s="1683">
        <v>51266.97</v>
      </c>
      <c r="AP449" s="1683">
        <v>43576.92</v>
      </c>
      <c r="AQ449" s="1683">
        <v>43576.92</v>
      </c>
      <c r="AR449" s="1683">
        <v>0</v>
      </c>
      <c r="AS449" s="1683">
        <v>7690.05</v>
      </c>
      <c r="AT449" s="1683">
        <v>0</v>
      </c>
      <c r="AU449" s="1683">
        <v>7690.05</v>
      </c>
      <c r="AV449" s="1683">
        <v>0</v>
      </c>
      <c r="AW449" s="1683">
        <v>0</v>
      </c>
      <c r="AX449" s="1400"/>
      <c r="AY449" s="1400"/>
      <c r="AZ449" s="1400"/>
      <c r="BA449" s="1682"/>
      <c r="BB449" s="1682"/>
      <c r="BC449" s="1400"/>
      <c r="BD449" s="1400"/>
      <c r="BE449" s="1683">
        <v>51266.97</v>
      </c>
      <c r="BF449" s="1683">
        <v>51266.97</v>
      </c>
      <c r="BG449" s="1683">
        <v>43576.92</v>
      </c>
      <c r="BH449" s="1683">
        <v>43576.92</v>
      </c>
      <c r="BI449" s="1683">
        <v>0</v>
      </c>
      <c r="BJ449" s="1683">
        <v>7690.05</v>
      </c>
      <c r="BK449" s="1683">
        <v>0</v>
      </c>
      <c r="BL449" s="1683">
        <v>7690.05</v>
      </c>
      <c r="BM449" s="1683">
        <v>0</v>
      </c>
      <c r="BN449" s="1683">
        <v>0</v>
      </c>
      <c r="BO449" s="1685">
        <v>43364</v>
      </c>
      <c r="BP449" s="1683">
        <v>51266.97</v>
      </c>
      <c r="BQ449" s="1683">
        <v>51266.97</v>
      </c>
      <c r="BR449" s="1683">
        <v>43576.92</v>
      </c>
      <c r="BS449" s="1683">
        <v>43576.92</v>
      </c>
      <c r="BT449" s="1683">
        <v>0</v>
      </c>
      <c r="BU449" s="1683">
        <v>7690.05</v>
      </c>
      <c r="BV449" s="1683">
        <v>0</v>
      </c>
      <c r="BW449" s="1683">
        <v>0</v>
      </c>
      <c r="BX449" s="1683">
        <v>0</v>
      </c>
      <c r="BY449" s="1683">
        <v>0</v>
      </c>
      <c r="BZ449" s="1683">
        <v>0</v>
      </c>
      <c r="CA449" s="1400"/>
      <c r="CB449" s="1682"/>
      <c r="CC449" s="1682"/>
      <c r="CD449" s="1400"/>
      <c r="CE449" s="1400"/>
      <c r="CF449" s="1683">
        <v>0</v>
      </c>
      <c r="CG449" s="1683">
        <v>0</v>
      </c>
      <c r="CH449" s="1683">
        <v>0</v>
      </c>
      <c r="CI449" s="1683">
        <v>0</v>
      </c>
      <c r="CJ449" s="1683">
        <v>557.79999999999995</v>
      </c>
      <c r="CK449" s="1683">
        <v>557.79999999999995</v>
      </c>
      <c r="CL449" s="1682"/>
      <c r="CM449" s="1683">
        <v>0</v>
      </c>
      <c r="CN449" s="1683">
        <v>0</v>
      </c>
      <c r="CO449" s="1683">
        <v>0</v>
      </c>
      <c r="CP449" s="1683">
        <v>0</v>
      </c>
      <c r="CQ449" s="1683">
        <v>0</v>
      </c>
      <c r="CR449" s="1683">
        <v>0</v>
      </c>
      <c r="CS449" s="1683">
        <v>0</v>
      </c>
      <c r="CT449" s="1683">
        <v>0</v>
      </c>
      <c r="CU449" s="1683">
        <v>0</v>
      </c>
      <c r="CV449" s="1683">
        <v>0</v>
      </c>
      <c r="CW449" s="1682"/>
      <c r="CX449" s="1400"/>
      <c r="CY449" s="1400"/>
      <c r="CZ449" s="1400"/>
      <c r="DA449" s="1400"/>
      <c r="DB449" s="1682"/>
      <c r="DC449" s="1326"/>
      <c r="DD449" s="1683">
        <v>0</v>
      </c>
      <c r="DE449" s="1400"/>
      <c r="DF449" s="1400"/>
      <c r="DG449" s="1683">
        <v>0</v>
      </c>
      <c r="DH449" s="1683">
        <v>0</v>
      </c>
    </row>
    <row r="450" spans="1:112" ht="56.25">
      <c r="A450" s="1326" t="s">
        <v>2068</v>
      </c>
      <c r="B450" s="1326" t="s">
        <v>1702</v>
      </c>
      <c r="C450" s="1326" t="s">
        <v>2564</v>
      </c>
      <c r="D450" s="1326" t="s">
        <v>2567</v>
      </c>
      <c r="E450" s="1326" t="s">
        <v>2293</v>
      </c>
      <c r="F450" s="1326" t="s">
        <v>2566</v>
      </c>
      <c r="G450" s="1326" t="s">
        <v>2556</v>
      </c>
      <c r="H450" s="1326" t="s">
        <v>2541</v>
      </c>
      <c r="I450" s="1326" t="s">
        <v>728</v>
      </c>
      <c r="J450" s="1326" t="s">
        <v>188</v>
      </c>
      <c r="K450" s="1326" t="s">
        <v>2077</v>
      </c>
      <c r="L450" s="1326" t="s">
        <v>2137</v>
      </c>
      <c r="M450" s="1400"/>
      <c r="N450" s="1400"/>
      <c r="O450" s="1400"/>
      <c r="P450" s="1400"/>
      <c r="Q450" s="1400"/>
      <c r="R450" s="1400"/>
      <c r="S450" s="1400"/>
      <c r="T450" s="1400"/>
      <c r="U450" s="1400"/>
      <c r="V450" s="1400"/>
      <c r="W450" s="1400"/>
      <c r="X450" s="1400"/>
      <c r="Y450" s="1685">
        <v>43215</v>
      </c>
      <c r="Z450" s="1326" t="s">
        <v>2062</v>
      </c>
      <c r="AA450" s="1683">
        <v>0</v>
      </c>
      <c r="AB450" s="1683">
        <v>0</v>
      </c>
      <c r="AC450" s="1683">
        <v>0</v>
      </c>
      <c r="AD450" s="1685">
        <v>43231</v>
      </c>
      <c r="AE450" s="1326" t="s">
        <v>2341</v>
      </c>
      <c r="AF450" s="1326" t="s">
        <v>2064</v>
      </c>
      <c r="AG450" s="1410"/>
      <c r="AH450" s="1683">
        <v>1753.07</v>
      </c>
      <c r="AI450" s="1683">
        <v>1753.07</v>
      </c>
      <c r="AJ450" s="1683">
        <v>1490.11</v>
      </c>
      <c r="AK450" s="1683">
        <v>1490.11</v>
      </c>
      <c r="AL450" s="1683">
        <v>0</v>
      </c>
      <c r="AM450" s="1685">
        <v>43231</v>
      </c>
      <c r="AN450" s="1683">
        <v>1753.07</v>
      </c>
      <c r="AO450" s="1683">
        <v>1753.07</v>
      </c>
      <c r="AP450" s="1683">
        <v>1490.11</v>
      </c>
      <c r="AQ450" s="1683">
        <v>1490.11</v>
      </c>
      <c r="AR450" s="1683">
        <v>0</v>
      </c>
      <c r="AS450" s="1683">
        <v>262.95999999999998</v>
      </c>
      <c r="AT450" s="1683">
        <v>0</v>
      </c>
      <c r="AU450" s="1683">
        <v>262.95999999999998</v>
      </c>
      <c r="AV450" s="1683">
        <v>0</v>
      </c>
      <c r="AW450" s="1683">
        <v>0</v>
      </c>
      <c r="AX450" s="1400"/>
      <c r="AY450" s="1400"/>
      <c r="AZ450" s="1400"/>
      <c r="BA450" s="1682"/>
      <c r="BB450" s="1682"/>
      <c r="BC450" s="1400"/>
      <c r="BD450" s="1400"/>
      <c r="BE450" s="1683">
        <v>1753.07</v>
      </c>
      <c r="BF450" s="1683">
        <v>1753.07</v>
      </c>
      <c r="BG450" s="1683">
        <v>1490.11</v>
      </c>
      <c r="BH450" s="1683">
        <v>1490.11</v>
      </c>
      <c r="BI450" s="1683">
        <v>0</v>
      </c>
      <c r="BJ450" s="1683">
        <v>262.95999999999998</v>
      </c>
      <c r="BK450" s="1683">
        <v>0</v>
      </c>
      <c r="BL450" s="1683">
        <v>262.95999999999998</v>
      </c>
      <c r="BM450" s="1683">
        <v>0</v>
      </c>
      <c r="BN450" s="1683">
        <v>0</v>
      </c>
      <c r="BO450" s="1685">
        <v>43364</v>
      </c>
      <c r="BP450" s="1683">
        <v>1753.07</v>
      </c>
      <c r="BQ450" s="1683">
        <v>1753.07</v>
      </c>
      <c r="BR450" s="1683">
        <v>1490.11</v>
      </c>
      <c r="BS450" s="1683">
        <v>1490.11</v>
      </c>
      <c r="BT450" s="1683">
        <v>0</v>
      </c>
      <c r="BU450" s="1683">
        <v>262.95999999999998</v>
      </c>
      <c r="BV450" s="1683">
        <v>0</v>
      </c>
      <c r="BW450" s="1683">
        <v>0</v>
      </c>
      <c r="BX450" s="1683">
        <v>0</v>
      </c>
      <c r="BY450" s="1683">
        <v>0</v>
      </c>
      <c r="BZ450" s="1683">
        <v>0</v>
      </c>
      <c r="CA450" s="1400"/>
      <c r="CB450" s="1682"/>
      <c r="CC450" s="1682"/>
      <c r="CD450" s="1400"/>
      <c r="CE450" s="1400"/>
      <c r="CF450" s="1683">
        <v>0</v>
      </c>
      <c r="CG450" s="1683">
        <v>0</v>
      </c>
      <c r="CH450" s="1683">
        <v>0</v>
      </c>
      <c r="CI450" s="1683">
        <v>0</v>
      </c>
      <c r="CJ450" s="1683">
        <v>19.07</v>
      </c>
      <c r="CK450" s="1683">
        <v>19.07</v>
      </c>
      <c r="CL450" s="1682"/>
      <c r="CM450" s="1683">
        <v>0</v>
      </c>
      <c r="CN450" s="1683">
        <v>0</v>
      </c>
      <c r="CO450" s="1683">
        <v>0</v>
      </c>
      <c r="CP450" s="1683">
        <v>0</v>
      </c>
      <c r="CQ450" s="1683">
        <v>0</v>
      </c>
      <c r="CR450" s="1683">
        <v>0</v>
      </c>
      <c r="CS450" s="1683">
        <v>0</v>
      </c>
      <c r="CT450" s="1683">
        <v>0</v>
      </c>
      <c r="CU450" s="1683">
        <v>0</v>
      </c>
      <c r="CV450" s="1683">
        <v>0</v>
      </c>
      <c r="CW450" s="1682"/>
      <c r="CX450" s="1400"/>
      <c r="CY450" s="1400"/>
      <c r="CZ450" s="1400"/>
      <c r="DA450" s="1400"/>
      <c r="DB450" s="1682"/>
      <c r="DC450" s="1326"/>
      <c r="DD450" s="1683">
        <v>0</v>
      </c>
      <c r="DE450" s="1400"/>
      <c r="DF450" s="1400"/>
      <c r="DG450" s="1683">
        <v>0</v>
      </c>
      <c r="DH450" s="1683">
        <v>0</v>
      </c>
    </row>
    <row r="451" spans="1:112" ht="56.25">
      <c r="A451" s="1326" t="s">
        <v>2070</v>
      </c>
      <c r="B451" s="1326" t="s">
        <v>1702</v>
      </c>
      <c r="C451" s="1326" t="s">
        <v>2564</v>
      </c>
      <c r="D451" s="1326" t="s">
        <v>2567</v>
      </c>
      <c r="E451" s="1326" t="s">
        <v>2293</v>
      </c>
      <c r="F451" s="1326" t="s">
        <v>2566</v>
      </c>
      <c r="G451" s="1326" t="s">
        <v>2556</v>
      </c>
      <c r="H451" s="1326" t="s">
        <v>2541</v>
      </c>
      <c r="I451" s="1326" t="s">
        <v>728</v>
      </c>
      <c r="J451" s="1326" t="s">
        <v>188</v>
      </c>
      <c r="K451" s="1326" t="s">
        <v>2077</v>
      </c>
      <c r="L451" s="1326" t="s">
        <v>2137</v>
      </c>
      <c r="M451" s="1400"/>
      <c r="N451" s="1400"/>
      <c r="O451" s="1400"/>
      <c r="P451" s="1400"/>
      <c r="Q451" s="1400"/>
      <c r="R451" s="1400"/>
      <c r="S451" s="1400"/>
      <c r="T451" s="1400"/>
      <c r="U451" s="1400"/>
      <c r="V451" s="1400"/>
      <c r="W451" s="1400"/>
      <c r="X451" s="1400"/>
      <c r="Y451" s="1685">
        <v>43298</v>
      </c>
      <c r="Z451" s="1326" t="s">
        <v>2062</v>
      </c>
      <c r="AA451" s="1683">
        <v>0</v>
      </c>
      <c r="AB451" s="1683">
        <v>0</v>
      </c>
      <c r="AC451" s="1683">
        <v>0</v>
      </c>
      <c r="AD451" s="1685">
        <v>43313</v>
      </c>
      <c r="AE451" s="1326" t="s">
        <v>2343</v>
      </c>
      <c r="AF451" s="1326" t="s">
        <v>2064</v>
      </c>
      <c r="AG451" s="1410"/>
      <c r="AH451" s="1683">
        <v>31165.59</v>
      </c>
      <c r="AI451" s="1683">
        <v>31165.59</v>
      </c>
      <c r="AJ451" s="1683">
        <v>26490.75</v>
      </c>
      <c r="AK451" s="1683">
        <v>26490.75</v>
      </c>
      <c r="AL451" s="1683">
        <v>0</v>
      </c>
      <c r="AM451" s="1685">
        <v>43313</v>
      </c>
      <c r="AN451" s="1683">
        <v>31165.59</v>
      </c>
      <c r="AO451" s="1683">
        <v>31165.59</v>
      </c>
      <c r="AP451" s="1683">
        <v>26490.75</v>
      </c>
      <c r="AQ451" s="1683">
        <v>26490.75</v>
      </c>
      <c r="AR451" s="1683">
        <v>0</v>
      </c>
      <c r="AS451" s="1683">
        <v>4674.84</v>
      </c>
      <c r="AT451" s="1683">
        <v>0</v>
      </c>
      <c r="AU451" s="1683">
        <v>4674.84</v>
      </c>
      <c r="AV451" s="1683">
        <v>0</v>
      </c>
      <c r="AW451" s="1683">
        <v>0</v>
      </c>
      <c r="AX451" s="1400"/>
      <c r="AY451" s="1400"/>
      <c r="AZ451" s="1400"/>
      <c r="BA451" s="1682"/>
      <c r="BB451" s="1682"/>
      <c r="BC451" s="1400"/>
      <c r="BD451" s="1400"/>
      <c r="BE451" s="1683">
        <v>31165.59</v>
      </c>
      <c r="BF451" s="1683">
        <v>31165.59</v>
      </c>
      <c r="BG451" s="1683">
        <v>26490.75</v>
      </c>
      <c r="BH451" s="1683">
        <v>26490.75</v>
      </c>
      <c r="BI451" s="1683">
        <v>0</v>
      </c>
      <c r="BJ451" s="1683">
        <v>4674.84</v>
      </c>
      <c r="BK451" s="1683">
        <v>0</v>
      </c>
      <c r="BL451" s="1683">
        <v>4674.84</v>
      </c>
      <c r="BM451" s="1683">
        <v>0</v>
      </c>
      <c r="BN451" s="1683">
        <v>0</v>
      </c>
      <c r="BO451" s="1685">
        <v>43403</v>
      </c>
      <c r="BP451" s="1683">
        <v>31165.59</v>
      </c>
      <c r="BQ451" s="1683">
        <v>31165.59</v>
      </c>
      <c r="BR451" s="1683">
        <v>26490.75</v>
      </c>
      <c r="BS451" s="1683">
        <v>26490.75</v>
      </c>
      <c r="BT451" s="1683">
        <v>0</v>
      </c>
      <c r="BU451" s="1683">
        <v>4674.84</v>
      </c>
      <c r="BV451" s="1683">
        <v>0</v>
      </c>
      <c r="BW451" s="1683">
        <v>0</v>
      </c>
      <c r="BX451" s="1683">
        <v>0</v>
      </c>
      <c r="BY451" s="1683">
        <v>0</v>
      </c>
      <c r="BZ451" s="1683">
        <v>0</v>
      </c>
      <c r="CA451" s="1400"/>
      <c r="CB451" s="1682"/>
      <c r="CC451" s="1682"/>
      <c r="CD451" s="1400"/>
      <c r="CE451" s="1400"/>
      <c r="CF451" s="1683">
        <v>0</v>
      </c>
      <c r="CG451" s="1683">
        <v>0</v>
      </c>
      <c r="CH451" s="1683">
        <v>0</v>
      </c>
      <c r="CI451" s="1683">
        <v>0</v>
      </c>
      <c r="CJ451" s="1683">
        <v>339.09</v>
      </c>
      <c r="CK451" s="1683">
        <v>339.09</v>
      </c>
      <c r="CL451" s="1682"/>
      <c r="CM451" s="1683">
        <v>0</v>
      </c>
      <c r="CN451" s="1683">
        <v>0</v>
      </c>
      <c r="CO451" s="1683">
        <v>0</v>
      </c>
      <c r="CP451" s="1683">
        <v>0</v>
      </c>
      <c r="CQ451" s="1683">
        <v>0</v>
      </c>
      <c r="CR451" s="1683">
        <v>0</v>
      </c>
      <c r="CS451" s="1683">
        <v>0</v>
      </c>
      <c r="CT451" s="1683">
        <v>0</v>
      </c>
      <c r="CU451" s="1683">
        <v>0</v>
      </c>
      <c r="CV451" s="1683">
        <v>0</v>
      </c>
      <c r="CW451" s="1682"/>
      <c r="CX451" s="1400"/>
      <c r="CY451" s="1400"/>
      <c r="CZ451" s="1400"/>
      <c r="DA451" s="1400"/>
      <c r="DB451" s="1682"/>
      <c r="DC451" s="1326"/>
      <c r="DD451" s="1683">
        <v>0</v>
      </c>
      <c r="DE451" s="1400"/>
      <c r="DF451" s="1400"/>
      <c r="DG451" s="1683">
        <v>0</v>
      </c>
      <c r="DH451" s="1683">
        <v>0</v>
      </c>
    </row>
    <row r="452" spans="1:112" ht="56.25">
      <c r="A452" s="1326" t="s">
        <v>2506</v>
      </c>
      <c r="B452" s="1326" t="s">
        <v>1702</v>
      </c>
      <c r="C452" s="1326" t="s">
        <v>2564</v>
      </c>
      <c r="D452" s="1326" t="s">
        <v>2567</v>
      </c>
      <c r="E452" s="1326" t="s">
        <v>2293</v>
      </c>
      <c r="F452" s="1326" t="s">
        <v>2566</v>
      </c>
      <c r="G452" s="1326" t="s">
        <v>2556</v>
      </c>
      <c r="H452" s="1326" t="s">
        <v>2541</v>
      </c>
      <c r="I452" s="1326" t="s">
        <v>728</v>
      </c>
      <c r="J452" s="1326" t="s">
        <v>188</v>
      </c>
      <c r="K452" s="1326" t="s">
        <v>2077</v>
      </c>
      <c r="L452" s="1326" t="s">
        <v>2137</v>
      </c>
      <c r="M452" s="1400"/>
      <c r="N452" s="1400"/>
      <c r="O452" s="1400"/>
      <c r="P452" s="1400"/>
      <c r="Q452" s="1400"/>
      <c r="R452" s="1400"/>
      <c r="S452" s="1400"/>
      <c r="T452" s="1400"/>
      <c r="U452" s="1400"/>
      <c r="V452" s="1400"/>
      <c r="W452" s="1400"/>
      <c r="X452" s="1400"/>
      <c r="Y452" s="1685">
        <v>43374</v>
      </c>
      <c r="Z452" s="1326" t="s">
        <v>2145</v>
      </c>
      <c r="AA452" s="1683">
        <v>0</v>
      </c>
      <c r="AB452" s="1683">
        <v>0</v>
      </c>
      <c r="AC452" s="1683">
        <v>0</v>
      </c>
      <c r="AD452" s="1685">
        <v>43488</v>
      </c>
      <c r="AE452" s="1326" t="s">
        <v>4288</v>
      </c>
      <c r="AF452" s="1326" t="s">
        <v>2064</v>
      </c>
      <c r="AG452" s="1410"/>
      <c r="AH452" s="1683">
        <v>10108.219999999999</v>
      </c>
      <c r="AI452" s="1683">
        <v>10108.219999999999</v>
      </c>
      <c r="AJ452" s="1683">
        <v>8591.99</v>
      </c>
      <c r="AK452" s="1683">
        <v>8591.99</v>
      </c>
      <c r="AL452" s="1683">
        <v>0</v>
      </c>
      <c r="AM452" s="1685">
        <v>43488</v>
      </c>
      <c r="AN452" s="1683">
        <v>10108.219999999999</v>
      </c>
      <c r="AO452" s="1683">
        <v>10108.219999999999</v>
      </c>
      <c r="AP452" s="1683">
        <v>8591.99</v>
      </c>
      <c r="AQ452" s="1683">
        <v>8591.99</v>
      </c>
      <c r="AR452" s="1683">
        <v>0</v>
      </c>
      <c r="AS452" s="1683">
        <v>1516.23</v>
      </c>
      <c r="AT452" s="1683">
        <v>0</v>
      </c>
      <c r="AU452" s="1683">
        <v>1516.23</v>
      </c>
      <c r="AV452" s="1683">
        <v>0</v>
      </c>
      <c r="AW452" s="1683">
        <v>0</v>
      </c>
      <c r="AX452" s="1400"/>
      <c r="AY452" s="1400"/>
      <c r="AZ452" s="1400"/>
      <c r="BA452" s="1682"/>
      <c r="BB452" s="1682"/>
      <c r="BC452" s="1400"/>
      <c r="BD452" s="1400"/>
      <c r="BE452" s="1683">
        <v>10108.219999999999</v>
      </c>
      <c r="BF452" s="1683">
        <v>10108.219999999999</v>
      </c>
      <c r="BG452" s="1683">
        <v>8591.99</v>
      </c>
      <c r="BH452" s="1683">
        <v>8591.99</v>
      </c>
      <c r="BI452" s="1683">
        <v>0</v>
      </c>
      <c r="BJ452" s="1683">
        <v>1516.23</v>
      </c>
      <c r="BK452" s="1683">
        <v>0</v>
      </c>
      <c r="BL452" s="1683">
        <v>1516.23</v>
      </c>
      <c r="BM452" s="1683">
        <v>0</v>
      </c>
      <c r="BN452" s="1683">
        <v>0</v>
      </c>
      <c r="BO452" s="1682"/>
      <c r="BP452" s="1683">
        <v>0</v>
      </c>
      <c r="BQ452" s="1683">
        <v>0</v>
      </c>
      <c r="BR452" s="1683">
        <v>0</v>
      </c>
      <c r="BS452" s="1683">
        <v>0</v>
      </c>
      <c r="BT452" s="1683">
        <v>0</v>
      </c>
      <c r="BU452" s="1683">
        <v>0</v>
      </c>
      <c r="BV452" s="1683">
        <v>0</v>
      </c>
      <c r="BW452" s="1683">
        <v>0</v>
      </c>
      <c r="BX452" s="1683">
        <v>0</v>
      </c>
      <c r="BY452" s="1683">
        <v>0</v>
      </c>
      <c r="BZ452" s="1400"/>
      <c r="CA452" s="1400"/>
      <c r="CB452" s="1682"/>
      <c r="CC452" s="1682"/>
      <c r="CD452" s="1400"/>
      <c r="CE452" s="1400"/>
      <c r="CF452" s="1683">
        <v>0</v>
      </c>
      <c r="CG452" s="1683">
        <v>0</v>
      </c>
      <c r="CH452" s="1683">
        <v>0</v>
      </c>
      <c r="CI452" s="1683">
        <v>0</v>
      </c>
      <c r="CJ452" s="1683">
        <v>0</v>
      </c>
      <c r="CK452" s="1683">
        <v>0</v>
      </c>
      <c r="CL452" s="1682"/>
      <c r="CM452" s="1683">
        <v>0</v>
      </c>
      <c r="CN452" s="1683">
        <v>0</v>
      </c>
      <c r="CO452" s="1683">
        <v>0</v>
      </c>
      <c r="CP452" s="1683">
        <v>0</v>
      </c>
      <c r="CQ452" s="1683">
        <v>0</v>
      </c>
      <c r="CR452" s="1683">
        <v>0</v>
      </c>
      <c r="CS452" s="1683">
        <v>0</v>
      </c>
      <c r="CT452" s="1683">
        <v>0</v>
      </c>
      <c r="CU452" s="1683">
        <v>0</v>
      </c>
      <c r="CV452" s="1683">
        <v>0</v>
      </c>
      <c r="CW452" s="1682"/>
      <c r="CX452" s="1400"/>
      <c r="CY452" s="1400"/>
      <c r="CZ452" s="1400"/>
      <c r="DA452" s="1400"/>
      <c r="DB452" s="1682"/>
      <c r="DC452" s="1326"/>
      <c r="DD452" s="1683">
        <v>0</v>
      </c>
      <c r="DE452" s="1400"/>
      <c r="DF452" s="1400"/>
      <c r="DG452" s="1683">
        <v>0</v>
      </c>
      <c r="DH452" s="1683">
        <v>0</v>
      </c>
    </row>
    <row r="453" spans="1:112">
      <c r="A453" s="1326" t="s">
        <v>2507</v>
      </c>
      <c r="B453" s="1326" t="s">
        <v>1702</v>
      </c>
      <c r="C453" s="1326" t="s">
        <v>2564</v>
      </c>
      <c r="D453" s="1326" t="s">
        <v>4179</v>
      </c>
      <c r="E453" s="1326"/>
      <c r="F453" s="1326"/>
      <c r="G453" s="1326"/>
      <c r="H453" s="1326"/>
      <c r="I453" s="1326"/>
      <c r="J453" s="1326"/>
      <c r="K453" s="1326"/>
      <c r="L453" s="1326"/>
      <c r="M453" s="1683">
        <v>67403.81</v>
      </c>
      <c r="N453" s="1683">
        <v>0</v>
      </c>
      <c r="O453" s="1683">
        <v>67403.81</v>
      </c>
      <c r="P453" s="1683">
        <v>56239.05</v>
      </c>
      <c r="Q453" s="1683">
        <v>56239.05</v>
      </c>
      <c r="R453" s="1683">
        <v>52716.959999999999</v>
      </c>
      <c r="S453" s="1683">
        <v>3522.09</v>
      </c>
      <c r="T453" s="1683">
        <v>11164.76</v>
      </c>
      <c r="U453" s="1683">
        <v>0</v>
      </c>
      <c r="V453" s="1683">
        <v>0</v>
      </c>
      <c r="W453" s="1683">
        <v>0</v>
      </c>
      <c r="X453" s="1683">
        <v>11164.76</v>
      </c>
      <c r="Y453" s="1682"/>
      <c r="Z453" s="1326"/>
      <c r="AA453" s="1683">
        <v>0</v>
      </c>
      <c r="AB453" s="1683">
        <v>0</v>
      </c>
      <c r="AC453" s="1683">
        <v>0</v>
      </c>
      <c r="AD453" s="1682"/>
      <c r="AE453" s="1326"/>
      <c r="AF453" s="1326"/>
      <c r="AG453" s="1410"/>
      <c r="AH453" s="1683">
        <v>43260</v>
      </c>
      <c r="AI453" s="1683">
        <v>35904.28</v>
      </c>
      <c r="AJ453" s="1683">
        <v>35904.28</v>
      </c>
      <c r="AK453" s="1683">
        <v>33691.5</v>
      </c>
      <c r="AL453" s="1683">
        <v>2212.7800000000002</v>
      </c>
      <c r="AM453" s="1682"/>
      <c r="AN453" s="1683">
        <v>43260</v>
      </c>
      <c r="AO453" s="1683">
        <v>35904.28</v>
      </c>
      <c r="AP453" s="1683">
        <v>35904.28</v>
      </c>
      <c r="AQ453" s="1683">
        <v>33691.5</v>
      </c>
      <c r="AR453" s="1683">
        <v>2212.7800000000002</v>
      </c>
      <c r="AS453" s="1683">
        <v>7355.72</v>
      </c>
      <c r="AT453" s="1683">
        <v>0</v>
      </c>
      <c r="AU453" s="1683">
        <v>0</v>
      </c>
      <c r="AV453" s="1683">
        <v>0</v>
      </c>
      <c r="AW453" s="1683">
        <v>7355.72</v>
      </c>
      <c r="AX453" s="1683">
        <v>0</v>
      </c>
      <c r="AY453" s="1683">
        <v>0</v>
      </c>
      <c r="AZ453" s="1683">
        <v>0</v>
      </c>
      <c r="BA453" s="1682"/>
      <c r="BB453" s="1682"/>
      <c r="BC453" s="1683">
        <v>0</v>
      </c>
      <c r="BD453" s="1683">
        <v>0</v>
      </c>
      <c r="BE453" s="1683">
        <v>43260</v>
      </c>
      <c r="BF453" s="1683">
        <v>35904.28</v>
      </c>
      <c r="BG453" s="1683">
        <v>35904.28</v>
      </c>
      <c r="BH453" s="1683">
        <v>33691.5</v>
      </c>
      <c r="BI453" s="1683">
        <v>2212.7800000000002</v>
      </c>
      <c r="BJ453" s="1683">
        <v>7355.72</v>
      </c>
      <c r="BK453" s="1683">
        <v>0</v>
      </c>
      <c r="BL453" s="1683">
        <v>0</v>
      </c>
      <c r="BM453" s="1683">
        <v>0</v>
      </c>
      <c r="BN453" s="1683">
        <v>7355.72</v>
      </c>
      <c r="BO453" s="1682"/>
      <c r="BP453" s="1683">
        <v>0</v>
      </c>
      <c r="BQ453" s="1683">
        <v>0</v>
      </c>
      <c r="BR453" s="1683">
        <v>0</v>
      </c>
      <c r="BS453" s="1683">
        <v>0</v>
      </c>
      <c r="BT453" s="1683">
        <v>0</v>
      </c>
      <c r="BU453" s="1683">
        <v>0</v>
      </c>
      <c r="BV453" s="1683">
        <v>0</v>
      </c>
      <c r="BW453" s="1683">
        <v>0</v>
      </c>
      <c r="BX453" s="1683">
        <v>0</v>
      </c>
      <c r="BY453" s="1683">
        <v>0</v>
      </c>
      <c r="BZ453" s="1400"/>
      <c r="CA453" s="1683">
        <v>0</v>
      </c>
      <c r="CB453" s="1682"/>
      <c r="CC453" s="1682"/>
      <c r="CD453" s="1683">
        <v>0</v>
      </c>
      <c r="CE453" s="1683">
        <v>0</v>
      </c>
      <c r="CF453" s="1683">
        <v>0</v>
      </c>
      <c r="CG453" s="1683">
        <v>0</v>
      </c>
      <c r="CH453" s="1683">
        <v>0</v>
      </c>
      <c r="CI453" s="1683">
        <v>0</v>
      </c>
      <c r="CJ453" s="1683">
        <v>0</v>
      </c>
      <c r="CK453" s="1683">
        <v>0</v>
      </c>
      <c r="CL453" s="1682"/>
      <c r="CM453" s="1683">
        <v>0</v>
      </c>
      <c r="CN453" s="1683">
        <v>0</v>
      </c>
      <c r="CO453" s="1683">
        <v>0</v>
      </c>
      <c r="CP453" s="1683">
        <v>0</v>
      </c>
      <c r="CQ453" s="1683">
        <v>0</v>
      </c>
      <c r="CR453" s="1683">
        <v>0</v>
      </c>
      <c r="CS453" s="1683">
        <v>0</v>
      </c>
      <c r="CT453" s="1683">
        <v>0</v>
      </c>
      <c r="CU453" s="1683">
        <v>0</v>
      </c>
      <c r="CV453" s="1683">
        <v>0</v>
      </c>
      <c r="CW453" s="1682"/>
      <c r="CX453" s="1683">
        <v>0</v>
      </c>
      <c r="CY453" s="1683">
        <v>0</v>
      </c>
      <c r="CZ453" s="1683">
        <v>0</v>
      </c>
      <c r="DA453" s="1683">
        <v>0</v>
      </c>
      <c r="DB453" s="1682"/>
      <c r="DC453" s="1326"/>
      <c r="DD453" s="1683">
        <v>0</v>
      </c>
      <c r="DE453" s="1683">
        <v>0</v>
      </c>
      <c r="DF453" s="1683">
        <v>0</v>
      </c>
      <c r="DG453" s="1683">
        <v>0</v>
      </c>
      <c r="DH453" s="1683">
        <v>0</v>
      </c>
    </row>
    <row r="454" spans="1:112">
      <c r="A454" s="1326" t="s">
        <v>2508</v>
      </c>
      <c r="B454" s="1326" t="s">
        <v>1702</v>
      </c>
      <c r="C454" s="1326" t="s">
        <v>2564</v>
      </c>
      <c r="D454" s="1326" t="s">
        <v>4179</v>
      </c>
      <c r="E454" s="1326" t="s">
        <v>153</v>
      </c>
      <c r="F454" s="1326"/>
      <c r="G454" s="1326"/>
      <c r="H454" s="1326"/>
      <c r="I454" s="1326"/>
      <c r="J454" s="1326"/>
      <c r="K454" s="1326"/>
      <c r="L454" s="1326"/>
      <c r="M454" s="1683">
        <v>67403.81</v>
      </c>
      <c r="N454" s="1683">
        <v>0</v>
      </c>
      <c r="O454" s="1683">
        <v>67403.81</v>
      </c>
      <c r="P454" s="1683">
        <v>56239.05</v>
      </c>
      <c r="Q454" s="1683">
        <v>56239.05</v>
      </c>
      <c r="R454" s="1683">
        <v>52716.959999999999</v>
      </c>
      <c r="S454" s="1683">
        <v>3522.09</v>
      </c>
      <c r="T454" s="1683">
        <v>11164.76</v>
      </c>
      <c r="U454" s="1683">
        <v>0</v>
      </c>
      <c r="V454" s="1683">
        <v>0</v>
      </c>
      <c r="W454" s="1683">
        <v>0</v>
      </c>
      <c r="X454" s="1683">
        <v>11164.76</v>
      </c>
      <c r="Y454" s="1682"/>
      <c r="Z454" s="1326"/>
      <c r="AA454" s="1683">
        <v>0</v>
      </c>
      <c r="AB454" s="1683">
        <v>0</v>
      </c>
      <c r="AC454" s="1683">
        <v>0</v>
      </c>
      <c r="AD454" s="1682"/>
      <c r="AE454" s="1326"/>
      <c r="AF454" s="1326"/>
      <c r="AG454" s="1410"/>
      <c r="AH454" s="1683">
        <v>43260</v>
      </c>
      <c r="AI454" s="1683">
        <v>35904.28</v>
      </c>
      <c r="AJ454" s="1683">
        <v>35904.28</v>
      </c>
      <c r="AK454" s="1683">
        <v>33691.5</v>
      </c>
      <c r="AL454" s="1683">
        <v>2212.7800000000002</v>
      </c>
      <c r="AM454" s="1682"/>
      <c r="AN454" s="1683">
        <v>43260</v>
      </c>
      <c r="AO454" s="1683">
        <v>35904.28</v>
      </c>
      <c r="AP454" s="1683">
        <v>35904.28</v>
      </c>
      <c r="AQ454" s="1683">
        <v>33691.5</v>
      </c>
      <c r="AR454" s="1683">
        <v>2212.7800000000002</v>
      </c>
      <c r="AS454" s="1683">
        <v>7355.72</v>
      </c>
      <c r="AT454" s="1683">
        <v>0</v>
      </c>
      <c r="AU454" s="1683">
        <v>0</v>
      </c>
      <c r="AV454" s="1683">
        <v>0</v>
      </c>
      <c r="AW454" s="1683">
        <v>7355.72</v>
      </c>
      <c r="AX454" s="1683">
        <v>0</v>
      </c>
      <c r="AY454" s="1683">
        <v>0</v>
      </c>
      <c r="AZ454" s="1683">
        <v>0</v>
      </c>
      <c r="BA454" s="1682"/>
      <c r="BB454" s="1682"/>
      <c r="BC454" s="1683">
        <v>0</v>
      </c>
      <c r="BD454" s="1683">
        <v>0</v>
      </c>
      <c r="BE454" s="1683">
        <v>43260</v>
      </c>
      <c r="BF454" s="1683">
        <v>35904.28</v>
      </c>
      <c r="BG454" s="1683">
        <v>35904.28</v>
      </c>
      <c r="BH454" s="1683">
        <v>33691.5</v>
      </c>
      <c r="BI454" s="1683">
        <v>2212.7800000000002</v>
      </c>
      <c r="BJ454" s="1683">
        <v>7355.72</v>
      </c>
      <c r="BK454" s="1683">
        <v>0</v>
      </c>
      <c r="BL454" s="1683">
        <v>0</v>
      </c>
      <c r="BM454" s="1683">
        <v>0</v>
      </c>
      <c r="BN454" s="1683">
        <v>7355.72</v>
      </c>
      <c r="BO454" s="1682"/>
      <c r="BP454" s="1683">
        <v>0</v>
      </c>
      <c r="BQ454" s="1683">
        <v>0</v>
      </c>
      <c r="BR454" s="1683">
        <v>0</v>
      </c>
      <c r="BS454" s="1683">
        <v>0</v>
      </c>
      <c r="BT454" s="1683">
        <v>0</v>
      </c>
      <c r="BU454" s="1683">
        <v>0</v>
      </c>
      <c r="BV454" s="1683">
        <v>0</v>
      </c>
      <c r="BW454" s="1683">
        <v>0</v>
      </c>
      <c r="BX454" s="1683">
        <v>0</v>
      </c>
      <c r="BY454" s="1683">
        <v>0</v>
      </c>
      <c r="BZ454" s="1400"/>
      <c r="CA454" s="1683">
        <v>0</v>
      </c>
      <c r="CB454" s="1682"/>
      <c r="CC454" s="1682"/>
      <c r="CD454" s="1683">
        <v>0</v>
      </c>
      <c r="CE454" s="1683">
        <v>0</v>
      </c>
      <c r="CF454" s="1683">
        <v>0</v>
      </c>
      <c r="CG454" s="1683">
        <v>0</v>
      </c>
      <c r="CH454" s="1683">
        <v>0</v>
      </c>
      <c r="CI454" s="1683">
        <v>0</v>
      </c>
      <c r="CJ454" s="1683">
        <v>0</v>
      </c>
      <c r="CK454" s="1683">
        <v>0</v>
      </c>
      <c r="CL454" s="1682"/>
      <c r="CM454" s="1683">
        <v>0</v>
      </c>
      <c r="CN454" s="1683">
        <v>0</v>
      </c>
      <c r="CO454" s="1683">
        <v>0</v>
      </c>
      <c r="CP454" s="1683">
        <v>0</v>
      </c>
      <c r="CQ454" s="1683">
        <v>0</v>
      </c>
      <c r="CR454" s="1683">
        <v>0</v>
      </c>
      <c r="CS454" s="1683">
        <v>0</v>
      </c>
      <c r="CT454" s="1683">
        <v>0</v>
      </c>
      <c r="CU454" s="1683">
        <v>0</v>
      </c>
      <c r="CV454" s="1683">
        <v>0</v>
      </c>
      <c r="CW454" s="1682"/>
      <c r="CX454" s="1683">
        <v>0</v>
      </c>
      <c r="CY454" s="1683">
        <v>0</v>
      </c>
      <c r="CZ454" s="1683">
        <v>0</v>
      </c>
      <c r="DA454" s="1683">
        <v>0</v>
      </c>
      <c r="DB454" s="1682"/>
      <c r="DC454" s="1326"/>
      <c r="DD454" s="1683">
        <v>0</v>
      </c>
      <c r="DE454" s="1683">
        <v>0</v>
      </c>
      <c r="DF454" s="1683">
        <v>0</v>
      </c>
      <c r="DG454" s="1683">
        <v>0</v>
      </c>
      <c r="DH454" s="1683">
        <v>0</v>
      </c>
    </row>
    <row r="455" spans="1:112" ht="45">
      <c r="A455" s="1326" t="s">
        <v>2509</v>
      </c>
      <c r="B455" s="1326" t="s">
        <v>1702</v>
      </c>
      <c r="C455" s="1326" t="s">
        <v>2564</v>
      </c>
      <c r="D455" s="1326" t="s">
        <v>4179</v>
      </c>
      <c r="E455" s="1326" t="s">
        <v>153</v>
      </c>
      <c r="F455" s="1326" t="s">
        <v>2575</v>
      </c>
      <c r="G455" s="1326" t="s">
        <v>2556</v>
      </c>
      <c r="H455" s="1326" t="s">
        <v>2541</v>
      </c>
      <c r="I455" s="1326" t="s">
        <v>3448</v>
      </c>
      <c r="J455" s="1326" t="s">
        <v>1420</v>
      </c>
      <c r="K455" s="1326" t="s">
        <v>4401</v>
      </c>
      <c r="L455" s="1326" t="s">
        <v>2061</v>
      </c>
      <c r="M455" s="1683">
        <v>43413.03</v>
      </c>
      <c r="N455" s="1683">
        <v>0</v>
      </c>
      <c r="O455" s="1683">
        <v>43413.03</v>
      </c>
      <c r="P455" s="1683">
        <v>40157.050000000003</v>
      </c>
      <c r="Q455" s="1683">
        <v>40157.050000000003</v>
      </c>
      <c r="R455" s="1683">
        <v>36901.08</v>
      </c>
      <c r="S455" s="1683">
        <v>3255.97</v>
      </c>
      <c r="T455" s="1683">
        <v>3255.98</v>
      </c>
      <c r="U455" s="1683">
        <v>0</v>
      </c>
      <c r="V455" s="1683">
        <v>0</v>
      </c>
      <c r="W455" s="1683">
        <v>0</v>
      </c>
      <c r="X455" s="1683">
        <v>3255.98</v>
      </c>
      <c r="Y455" s="1682"/>
      <c r="Z455" s="1326"/>
      <c r="AA455" s="1683">
        <v>0</v>
      </c>
      <c r="AB455" s="1683">
        <v>0</v>
      </c>
      <c r="AC455" s="1683">
        <v>0</v>
      </c>
      <c r="AD455" s="1682"/>
      <c r="AE455" s="1326"/>
      <c r="AF455" s="1326"/>
      <c r="AG455" s="1410"/>
      <c r="AH455" s="1683">
        <v>27116</v>
      </c>
      <c r="AI455" s="1683">
        <v>25082.3</v>
      </c>
      <c r="AJ455" s="1683">
        <v>25082.3</v>
      </c>
      <c r="AK455" s="1683">
        <v>23048.6</v>
      </c>
      <c r="AL455" s="1683">
        <v>2033.7</v>
      </c>
      <c r="AM455" s="1682"/>
      <c r="AN455" s="1683">
        <v>27116</v>
      </c>
      <c r="AO455" s="1683">
        <v>25082.3</v>
      </c>
      <c r="AP455" s="1683">
        <v>25082.3</v>
      </c>
      <c r="AQ455" s="1683">
        <v>23048.6</v>
      </c>
      <c r="AR455" s="1683">
        <v>2033.7</v>
      </c>
      <c r="AS455" s="1683">
        <v>2033.7</v>
      </c>
      <c r="AT455" s="1683">
        <v>0</v>
      </c>
      <c r="AU455" s="1683">
        <v>0</v>
      </c>
      <c r="AV455" s="1683">
        <v>0</v>
      </c>
      <c r="AW455" s="1683">
        <v>2033.7</v>
      </c>
      <c r="AX455" s="1683">
        <v>0</v>
      </c>
      <c r="AY455" s="1683">
        <v>0</v>
      </c>
      <c r="AZ455" s="1683">
        <v>0</v>
      </c>
      <c r="BA455" s="1682"/>
      <c r="BB455" s="1682"/>
      <c r="BC455" s="1683">
        <v>0</v>
      </c>
      <c r="BD455" s="1683">
        <v>0</v>
      </c>
      <c r="BE455" s="1683">
        <v>27116</v>
      </c>
      <c r="BF455" s="1683">
        <v>25082.3</v>
      </c>
      <c r="BG455" s="1683">
        <v>25082.3</v>
      </c>
      <c r="BH455" s="1683">
        <v>23048.6</v>
      </c>
      <c r="BI455" s="1683">
        <v>2033.7</v>
      </c>
      <c r="BJ455" s="1683">
        <v>2033.7</v>
      </c>
      <c r="BK455" s="1683">
        <v>0</v>
      </c>
      <c r="BL455" s="1683">
        <v>0</v>
      </c>
      <c r="BM455" s="1683">
        <v>0</v>
      </c>
      <c r="BN455" s="1683">
        <v>2033.7</v>
      </c>
      <c r="BO455" s="1682"/>
      <c r="BP455" s="1683">
        <v>0</v>
      </c>
      <c r="BQ455" s="1683">
        <v>0</v>
      </c>
      <c r="BR455" s="1683">
        <v>0</v>
      </c>
      <c r="BS455" s="1683">
        <v>0</v>
      </c>
      <c r="BT455" s="1683">
        <v>0</v>
      </c>
      <c r="BU455" s="1683">
        <v>0</v>
      </c>
      <c r="BV455" s="1683">
        <v>0</v>
      </c>
      <c r="BW455" s="1683">
        <v>0</v>
      </c>
      <c r="BX455" s="1683">
        <v>0</v>
      </c>
      <c r="BY455" s="1683">
        <v>0</v>
      </c>
      <c r="BZ455" s="1400"/>
      <c r="CA455" s="1683">
        <v>0</v>
      </c>
      <c r="CB455" s="1682"/>
      <c r="CC455" s="1682"/>
      <c r="CD455" s="1683">
        <v>0</v>
      </c>
      <c r="CE455" s="1683">
        <v>0</v>
      </c>
      <c r="CF455" s="1683">
        <v>0</v>
      </c>
      <c r="CG455" s="1683">
        <v>0</v>
      </c>
      <c r="CH455" s="1683">
        <v>0</v>
      </c>
      <c r="CI455" s="1683">
        <v>0</v>
      </c>
      <c r="CJ455" s="1683">
        <v>0</v>
      </c>
      <c r="CK455" s="1683">
        <v>0</v>
      </c>
      <c r="CL455" s="1682"/>
      <c r="CM455" s="1683">
        <v>0</v>
      </c>
      <c r="CN455" s="1683">
        <v>0</v>
      </c>
      <c r="CO455" s="1683">
        <v>0</v>
      </c>
      <c r="CP455" s="1683">
        <v>0</v>
      </c>
      <c r="CQ455" s="1683">
        <v>0</v>
      </c>
      <c r="CR455" s="1683">
        <v>0</v>
      </c>
      <c r="CS455" s="1683">
        <v>0</v>
      </c>
      <c r="CT455" s="1683">
        <v>0</v>
      </c>
      <c r="CU455" s="1683">
        <v>0</v>
      </c>
      <c r="CV455" s="1683">
        <v>0</v>
      </c>
      <c r="CW455" s="1682"/>
      <c r="CX455" s="1683">
        <v>0</v>
      </c>
      <c r="CY455" s="1683">
        <v>0</v>
      </c>
      <c r="CZ455" s="1683">
        <v>0</v>
      </c>
      <c r="DA455" s="1683">
        <v>0</v>
      </c>
      <c r="DB455" s="1682"/>
      <c r="DC455" s="1326"/>
      <c r="DD455" s="1683">
        <v>0</v>
      </c>
      <c r="DE455" s="1683">
        <v>0</v>
      </c>
      <c r="DF455" s="1683">
        <v>0</v>
      </c>
      <c r="DG455" s="1683">
        <v>0</v>
      </c>
      <c r="DH455" s="1683">
        <v>0</v>
      </c>
    </row>
    <row r="456" spans="1:112" ht="45">
      <c r="A456" s="1326" t="s">
        <v>2510</v>
      </c>
      <c r="B456" s="1326" t="s">
        <v>1702</v>
      </c>
      <c r="C456" s="1326" t="s">
        <v>2564</v>
      </c>
      <c r="D456" s="1326" t="s">
        <v>4179</v>
      </c>
      <c r="E456" s="1326" t="s">
        <v>153</v>
      </c>
      <c r="F456" s="1326" t="s">
        <v>2575</v>
      </c>
      <c r="G456" s="1326" t="s">
        <v>2556</v>
      </c>
      <c r="H456" s="1326" t="s">
        <v>2541</v>
      </c>
      <c r="I456" s="1326" t="s">
        <v>3448</v>
      </c>
      <c r="J456" s="1326" t="s">
        <v>1420</v>
      </c>
      <c r="K456" s="1326" t="s">
        <v>4401</v>
      </c>
      <c r="L456" s="1326" t="s">
        <v>2061</v>
      </c>
      <c r="M456" s="1400"/>
      <c r="N456" s="1400"/>
      <c r="O456" s="1400"/>
      <c r="P456" s="1400"/>
      <c r="Q456" s="1400"/>
      <c r="R456" s="1400"/>
      <c r="S456" s="1400"/>
      <c r="T456" s="1400"/>
      <c r="U456" s="1400"/>
      <c r="V456" s="1400"/>
      <c r="W456" s="1400"/>
      <c r="X456" s="1400"/>
      <c r="Y456" s="1685">
        <v>43515</v>
      </c>
      <c r="Z456" s="1326" t="s">
        <v>2062</v>
      </c>
      <c r="AA456" s="1683">
        <v>0</v>
      </c>
      <c r="AB456" s="1683">
        <v>0</v>
      </c>
      <c r="AC456" s="1683">
        <v>0</v>
      </c>
      <c r="AD456" s="1685">
        <v>43543</v>
      </c>
      <c r="AE456" s="1326" t="s">
        <v>2073</v>
      </c>
      <c r="AF456" s="1326" t="s">
        <v>2064</v>
      </c>
      <c r="AG456" s="1410"/>
      <c r="AH456" s="1683">
        <v>27116</v>
      </c>
      <c r="AI456" s="1683">
        <v>25082.3</v>
      </c>
      <c r="AJ456" s="1683">
        <v>25082.3</v>
      </c>
      <c r="AK456" s="1683">
        <v>23048.6</v>
      </c>
      <c r="AL456" s="1683">
        <v>2033.7</v>
      </c>
      <c r="AM456" s="1685">
        <v>43543</v>
      </c>
      <c r="AN456" s="1683">
        <v>27116</v>
      </c>
      <c r="AO456" s="1683">
        <v>25082.3</v>
      </c>
      <c r="AP456" s="1683">
        <v>25082.3</v>
      </c>
      <c r="AQ456" s="1683">
        <v>23048.6</v>
      </c>
      <c r="AR456" s="1683">
        <v>2033.7</v>
      </c>
      <c r="AS456" s="1683">
        <v>2033.7</v>
      </c>
      <c r="AT456" s="1683">
        <v>0</v>
      </c>
      <c r="AU456" s="1683">
        <v>0</v>
      </c>
      <c r="AV456" s="1683">
        <v>0</v>
      </c>
      <c r="AW456" s="1683">
        <v>2033.7</v>
      </c>
      <c r="AX456" s="1400"/>
      <c r="AY456" s="1400"/>
      <c r="AZ456" s="1400"/>
      <c r="BA456" s="1682"/>
      <c r="BB456" s="1682"/>
      <c r="BC456" s="1400"/>
      <c r="BD456" s="1400"/>
      <c r="BE456" s="1683">
        <v>27116</v>
      </c>
      <c r="BF456" s="1683">
        <v>25082.3</v>
      </c>
      <c r="BG456" s="1683">
        <v>25082.3</v>
      </c>
      <c r="BH456" s="1683">
        <v>23048.6</v>
      </c>
      <c r="BI456" s="1683">
        <v>2033.7</v>
      </c>
      <c r="BJ456" s="1683">
        <v>2033.7</v>
      </c>
      <c r="BK456" s="1683">
        <v>0</v>
      </c>
      <c r="BL456" s="1683">
        <v>0</v>
      </c>
      <c r="BM456" s="1683">
        <v>0</v>
      </c>
      <c r="BN456" s="1683">
        <v>2033.7</v>
      </c>
      <c r="BO456" s="1682"/>
      <c r="BP456" s="1683">
        <v>0</v>
      </c>
      <c r="BQ456" s="1683">
        <v>0</v>
      </c>
      <c r="BR456" s="1683">
        <v>0</v>
      </c>
      <c r="BS456" s="1683">
        <v>0</v>
      </c>
      <c r="BT456" s="1683">
        <v>0</v>
      </c>
      <c r="BU456" s="1683">
        <v>0</v>
      </c>
      <c r="BV456" s="1683">
        <v>0</v>
      </c>
      <c r="BW456" s="1683">
        <v>0</v>
      </c>
      <c r="BX456" s="1683">
        <v>0</v>
      </c>
      <c r="BY456" s="1683">
        <v>0</v>
      </c>
      <c r="BZ456" s="1400"/>
      <c r="CA456" s="1400"/>
      <c r="CB456" s="1682"/>
      <c r="CC456" s="1682"/>
      <c r="CD456" s="1400"/>
      <c r="CE456" s="1400"/>
      <c r="CF456" s="1683">
        <v>0</v>
      </c>
      <c r="CG456" s="1683">
        <v>0</v>
      </c>
      <c r="CH456" s="1683">
        <v>0</v>
      </c>
      <c r="CI456" s="1683">
        <v>0</v>
      </c>
      <c r="CJ456" s="1683">
        <v>0</v>
      </c>
      <c r="CK456" s="1683">
        <v>0</v>
      </c>
      <c r="CL456" s="1682"/>
      <c r="CM456" s="1683">
        <v>0</v>
      </c>
      <c r="CN456" s="1683">
        <v>0</v>
      </c>
      <c r="CO456" s="1683">
        <v>0</v>
      </c>
      <c r="CP456" s="1683">
        <v>0</v>
      </c>
      <c r="CQ456" s="1683">
        <v>0</v>
      </c>
      <c r="CR456" s="1683">
        <v>0</v>
      </c>
      <c r="CS456" s="1683">
        <v>0</v>
      </c>
      <c r="CT456" s="1683">
        <v>0</v>
      </c>
      <c r="CU456" s="1683">
        <v>0</v>
      </c>
      <c r="CV456" s="1683">
        <v>0</v>
      </c>
      <c r="CW456" s="1682"/>
      <c r="CX456" s="1400"/>
      <c r="CY456" s="1400"/>
      <c r="CZ456" s="1400"/>
      <c r="DA456" s="1400"/>
      <c r="DB456" s="1682"/>
      <c r="DC456" s="1326"/>
      <c r="DD456" s="1683">
        <v>0</v>
      </c>
      <c r="DE456" s="1400"/>
      <c r="DF456" s="1400"/>
      <c r="DG456" s="1683">
        <v>0</v>
      </c>
      <c r="DH456" s="1683">
        <v>0</v>
      </c>
    </row>
    <row r="457" spans="1:112" ht="33.75">
      <c r="A457" s="1326" t="s">
        <v>2511</v>
      </c>
      <c r="B457" s="1326" t="s">
        <v>1702</v>
      </c>
      <c r="C457" s="1326" t="s">
        <v>2564</v>
      </c>
      <c r="D457" s="1326" t="s">
        <v>4179</v>
      </c>
      <c r="E457" s="1326" t="s">
        <v>153</v>
      </c>
      <c r="F457" s="1326" t="s">
        <v>2575</v>
      </c>
      <c r="G457" s="1326" t="s">
        <v>2556</v>
      </c>
      <c r="H457" s="1326" t="s">
        <v>2541</v>
      </c>
      <c r="I457" s="1326" t="s">
        <v>3801</v>
      </c>
      <c r="J457" s="1326" t="s">
        <v>3811</v>
      </c>
      <c r="K457" s="1326" t="s">
        <v>4402</v>
      </c>
      <c r="L457" s="1326" t="s">
        <v>2061</v>
      </c>
      <c r="M457" s="1683">
        <v>23990.78</v>
      </c>
      <c r="N457" s="1683">
        <v>0</v>
      </c>
      <c r="O457" s="1683">
        <v>23990.78</v>
      </c>
      <c r="P457" s="1683">
        <v>16082</v>
      </c>
      <c r="Q457" s="1683">
        <v>16082</v>
      </c>
      <c r="R457" s="1683">
        <v>15815.88</v>
      </c>
      <c r="S457" s="1683">
        <v>266.12</v>
      </c>
      <c r="T457" s="1683">
        <v>7908.78</v>
      </c>
      <c r="U457" s="1683">
        <v>0</v>
      </c>
      <c r="V457" s="1683">
        <v>0</v>
      </c>
      <c r="W457" s="1683">
        <v>0</v>
      </c>
      <c r="X457" s="1683">
        <v>7908.78</v>
      </c>
      <c r="Y457" s="1682"/>
      <c r="Z457" s="1326"/>
      <c r="AA457" s="1683">
        <v>0</v>
      </c>
      <c r="AB457" s="1683">
        <v>0</v>
      </c>
      <c r="AC457" s="1683">
        <v>0</v>
      </c>
      <c r="AD457" s="1682"/>
      <c r="AE457" s="1326"/>
      <c r="AF457" s="1326"/>
      <c r="AG457" s="1410"/>
      <c r="AH457" s="1683">
        <v>16144</v>
      </c>
      <c r="AI457" s="1683">
        <v>10821.98</v>
      </c>
      <c r="AJ457" s="1683">
        <v>10821.98</v>
      </c>
      <c r="AK457" s="1683">
        <v>10642.9</v>
      </c>
      <c r="AL457" s="1683">
        <v>179.08</v>
      </c>
      <c r="AM457" s="1682"/>
      <c r="AN457" s="1683">
        <v>16144</v>
      </c>
      <c r="AO457" s="1683">
        <v>10821.98</v>
      </c>
      <c r="AP457" s="1683">
        <v>10821.98</v>
      </c>
      <c r="AQ457" s="1683">
        <v>10642.9</v>
      </c>
      <c r="AR457" s="1683">
        <v>179.08</v>
      </c>
      <c r="AS457" s="1683">
        <v>5322.02</v>
      </c>
      <c r="AT457" s="1683">
        <v>0</v>
      </c>
      <c r="AU457" s="1683">
        <v>0</v>
      </c>
      <c r="AV457" s="1683">
        <v>0</v>
      </c>
      <c r="AW457" s="1683">
        <v>5322.02</v>
      </c>
      <c r="AX457" s="1683">
        <v>0</v>
      </c>
      <c r="AY457" s="1683">
        <v>0</v>
      </c>
      <c r="AZ457" s="1683">
        <v>0</v>
      </c>
      <c r="BA457" s="1682"/>
      <c r="BB457" s="1682"/>
      <c r="BC457" s="1683">
        <v>0</v>
      </c>
      <c r="BD457" s="1683">
        <v>0</v>
      </c>
      <c r="BE457" s="1683">
        <v>16144</v>
      </c>
      <c r="BF457" s="1683">
        <v>10821.98</v>
      </c>
      <c r="BG457" s="1683">
        <v>10821.98</v>
      </c>
      <c r="BH457" s="1683">
        <v>10642.9</v>
      </c>
      <c r="BI457" s="1683">
        <v>179.08</v>
      </c>
      <c r="BJ457" s="1683">
        <v>5322.02</v>
      </c>
      <c r="BK457" s="1683">
        <v>0</v>
      </c>
      <c r="BL457" s="1683">
        <v>0</v>
      </c>
      <c r="BM457" s="1683">
        <v>0</v>
      </c>
      <c r="BN457" s="1683">
        <v>5322.02</v>
      </c>
      <c r="BO457" s="1682"/>
      <c r="BP457" s="1683">
        <v>0</v>
      </c>
      <c r="BQ457" s="1683">
        <v>0</v>
      </c>
      <c r="BR457" s="1683">
        <v>0</v>
      </c>
      <c r="BS457" s="1683">
        <v>0</v>
      </c>
      <c r="BT457" s="1683">
        <v>0</v>
      </c>
      <c r="BU457" s="1683">
        <v>0</v>
      </c>
      <c r="BV457" s="1683">
        <v>0</v>
      </c>
      <c r="BW457" s="1683">
        <v>0</v>
      </c>
      <c r="BX457" s="1683">
        <v>0</v>
      </c>
      <c r="BY457" s="1683">
        <v>0</v>
      </c>
      <c r="BZ457" s="1400"/>
      <c r="CA457" s="1683">
        <v>0</v>
      </c>
      <c r="CB457" s="1682"/>
      <c r="CC457" s="1682"/>
      <c r="CD457" s="1683">
        <v>0</v>
      </c>
      <c r="CE457" s="1683">
        <v>0</v>
      </c>
      <c r="CF457" s="1683">
        <v>0</v>
      </c>
      <c r="CG457" s="1683">
        <v>0</v>
      </c>
      <c r="CH457" s="1683">
        <v>0</v>
      </c>
      <c r="CI457" s="1683">
        <v>0</v>
      </c>
      <c r="CJ457" s="1683">
        <v>0</v>
      </c>
      <c r="CK457" s="1683">
        <v>0</v>
      </c>
      <c r="CL457" s="1682"/>
      <c r="CM457" s="1683">
        <v>0</v>
      </c>
      <c r="CN457" s="1683">
        <v>0</v>
      </c>
      <c r="CO457" s="1683">
        <v>0</v>
      </c>
      <c r="CP457" s="1683">
        <v>0</v>
      </c>
      <c r="CQ457" s="1683">
        <v>0</v>
      </c>
      <c r="CR457" s="1683">
        <v>0</v>
      </c>
      <c r="CS457" s="1683">
        <v>0</v>
      </c>
      <c r="CT457" s="1683">
        <v>0</v>
      </c>
      <c r="CU457" s="1683">
        <v>0</v>
      </c>
      <c r="CV457" s="1683">
        <v>0</v>
      </c>
      <c r="CW457" s="1682"/>
      <c r="CX457" s="1683">
        <v>0</v>
      </c>
      <c r="CY457" s="1683">
        <v>0</v>
      </c>
      <c r="CZ457" s="1683">
        <v>0</v>
      </c>
      <c r="DA457" s="1683">
        <v>0</v>
      </c>
      <c r="DB457" s="1682"/>
      <c r="DC457" s="1326"/>
      <c r="DD457" s="1683">
        <v>0</v>
      </c>
      <c r="DE457" s="1683">
        <v>0</v>
      </c>
      <c r="DF457" s="1683">
        <v>0</v>
      </c>
      <c r="DG457" s="1683">
        <v>0</v>
      </c>
      <c r="DH457" s="1683">
        <v>0</v>
      </c>
    </row>
    <row r="458" spans="1:112" ht="33.75">
      <c r="A458" s="1326" t="s">
        <v>2585</v>
      </c>
      <c r="B458" s="1326" t="s">
        <v>1702</v>
      </c>
      <c r="C458" s="1326" t="s">
        <v>2564</v>
      </c>
      <c r="D458" s="1326" t="s">
        <v>4179</v>
      </c>
      <c r="E458" s="1326" t="s">
        <v>153</v>
      </c>
      <c r="F458" s="1326" t="s">
        <v>2575</v>
      </c>
      <c r="G458" s="1326" t="s">
        <v>2556</v>
      </c>
      <c r="H458" s="1326" t="s">
        <v>2541</v>
      </c>
      <c r="I458" s="1326" t="s">
        <v>3801</v>
      </c>
      <c r="J458" s="1326" t="s">
        <v>3811</v>
      </c>
      <c r="K458" s="1326" t="s">
        <v>4402</v>
      </c>
      <c r="L458" s="1326" t="s">
        <v>2061</v>
      </c>
      <c r="M458" s="1400"/>
      <c r="N458" s="1400"/>
      <c r="O458" s="1400"/>
      <c r="P458" s="1400"/>
      <c r="Q458" s="1400"/>
      <c r="R458" s="1400"/>
      <c r="S458" s="1400"/>
      <c r="T458" s="1400"/>
      <c r="U458" s="1400"/>
      <c r="V458" s="1400"/>
      <c r="W458" s="1400"/>
      <c r="X458" s="1400"/>
      <c r="Y458" s="1685">
        <v>43516</v>
      </c>
      <c r="Z458" s="1326" t="s">
        <v>2062</v>
      </c>
      <c r="AA458" s="1683">
        <v>0</v>
      </c>
      <c r="AB458" s="1683">
        <v>0</v>
      </c>
      <c r="AC458" s="1683">
        <v>0</v>
      </c>
      <c r="AD458" s="1685">
        <v>43546</v>
      </c>
      <c r="AE458" s="1326" t="s">
        <v>2073</v>
      </c>
      <c r="AF458" s="1326" t="s">
        <v>2064</v>
      </c>
      <c r="AG458" s="1410"/>
      <c r="AH458" s="1683">
        <v>16144</v>
      </c>
      <c r="AI458" s="1683">
        <v>10821.98</v>
      </c>
      <c r="AJ458" s="1683">
        <v>10821.98</v>
      </c>
      <c r="AK458" s="1683">
        <v>10642.9</v>
      </c>
      <c r="AL458" s="1683">
        <v>179.08</v>
      </c>
      <c r="AM458" s="1685">
        <v>43546</v>
      </c>
      <c r="AN458" s="1683">
        <v>16144</v>
      </c>
      <c r="AO458" s="1683">
        <v>10821.98</v>
      </c>
      <c r="AP458" s="1683">
        <v>10821.98</v>
      </c>
      <c r="AQ458" s="1683">
        <v>10642.9</v>
      </c>
      <c r="AR458" s="1683">
        <v>179.08</v>
      </c>
      <c r="AS458" s="1683">
        <v>5322.02</v>
      </c>
      <c r="AT458" s="1683">
        <v>0</v>
      </c>
      <c r="AU458" s="1683">
        <v>0</v>
      </c>
      <c r="AV458" s="1683">
        <v>0</v>
      </c>
      <c r="AW458" s="1683">
        <v>5322.02</v>
      </c>
      <c r="AX458" s="1400"/>
      <c r="AY458" s="1400"/>
      <c r="AZ458" s="1400"/>
      <c r="BA458" s="1682"/>
      <c r="BB458" s="1682"/>
      <c r="BC458" s="1400"/>
      <c r="BD458" s="1400"/>
      <c r="BE458" s="1683">
        <v>16144</v>
      </c>
      <c r="BF458" s="1683">
        <v>10821.98</v>
      </c>
      <c r="BG458" s="1683">
        <v>10821.98</v>
      </c>
      <c r="BH458" s="1683">
        <v>10642.9</v>
      </c>
      <c r="BI458" s="1683">
        <v>179.08</v>
      </c>
      <c r="BJ458" s="1683">
        <v>5322.02</v>
      </c>
      <c r="BK458" s="1683">
        <v>0</v>
      </c>
      <c r="BL458" s="1683">
        <v>0</v>
      </c>
      <c r="BM458" s="1683">
        <v>0</v>
      </c>
      <c r="BN458" s="1683">
        <v>5322.02</v>
      </c>
      <c r="BO458" s="1682"/>
      <c r="BP458" s="1683">
        <v>0</v>
      </c>
      <c r="BQ458" s="1683">
        <v>0</v>
      </c>
      <c r="BR458" s="1683">
        <v>0</v>
      </c>
      <c r="BS458" s="1683">
        <v>0</v>
      </c>
      <c r="BT458" s="1683">
        <v>0</v>
      </c>
      <c r="BU458" s="1683">
        <v>0</v>
      </c>
      <c r="BV458" s="1683">
        <v>0</v>
      </c>
      <c r="BW458" s="1683">
        <v>0</v>
      </c>
      <c r="BX458" s="1683">
        <v>0</v>
      </c>
      <c r="BY458" s="1683">
        <v>0</v>
      </c>
      <c r="BZ458" s="1400"/>
      <c r="CA458" s="1400"/>
      <c r="CB458" s="1682"/>
      <c r="CC458" s="1682"/>
      <c r="CD458" s="1400"/>
      <c r="CE458" s="1400"/>
      <c r="CF458" s="1683">
        <v>0</v>
      </c>
      <c r="CG458" s="1683">
        <v>0</v>
      </c>
      <c r="CH458" s="1683">
        <v>0</v>
      </c>
      <c r="CI458" s="1683">
        <v>0</v>
      </c>
      <c r="CJ458" s="1683">
        <v>0</v>
      </c>
      <c r="CK458" s="1683">
        <v>0</v>
      </c>
      <c r="CL458" s="1682"/>
      <c r="CM458" s="1683">
        <v>0</v>
      </c>
      <c r="CN458" s="1683">
        <v>0</v>
      </c>
      <c r="CO458" s="1683">
        <v>0</v>
      </c>
      <c r="CP458" s="1683">
        <v>0</v>
      </c>
      <c r="CQ458" s="1683">
        <v>0</v>
      </c>
      <c r="CR458" s="1683">
        <v>0</v>
      </c>
      <c r="CS458" s="1683">
        <v>0</v>
      </c>
      <c r="CT458" s="1683">
        <v>0</v>
      </c>
      <c r="CU458" s="1683">
        <v>0</v>
      </c>
      <c r="CV458" s="1683">
        <v>0</v>
      </c>
      <c r="CW458" s="1682"/>
      <c r="CX458" s="1400"/>
      <c r="CY458" s="1400"/>
      <c r="CZ458" s="1400"/>
      <c r="DA458" s="1400"/>
      <c r="DB458" s="1682"/>
      <c r="DC458" s="1326"/>
      <c r="DD458" s="1683">
        <v>0</v>
      </c>
      <c r="DE458" s="1400"/>
      <c r="DF458" s="1400"/>
      <c r="DG458" s="1683">
        <v>0</v>
      </c>
      <c r="DH458" s="1683">
        <v>0</v>
      </c>
    </row>
    <row r="459" spans="1:112">
      <c r="A459" s="1326" t="s">
        <v>2586</v>
      </c>
      <c r="B459" s="1326" t="s">
        <v>1702</v>
      </c>
      <c r="C459" s="1326" t="s">
        <v>2568</v>
      </c>
      <c r="D459" s="1326"/>
      <c r="E459" s="1326"/>
      <c r="F459" s="1326"/>
      <c r="G459" s="1326"/>
      <c r="H459" s="1326"/>
      <c r="I459" s="1326"/>
      <c r="J459" s="1326"/>
      <c r="K459" s="1326"/>
      <c r="L459" s="1326"/>
      <c r="M459" s="1683">
        <v>2673858.7999999998</v>
      </c>
      <c r="N459" s="1683">
        <v>0</v>
      </c>
      <c r="O459" s="1683">
        <v>2673858.7999999998</v>
      </c>
      <c r="P459" s="1683">
        <v>2673858.7999999998</v>
      </c>
      <c r="Q459" s="1683">
        <v>2099755.38</v>
      </c>
      <c r="R459" s="1683">
        <v>1929504.64</v>
      </c>
      <c r="S459" s="1683">
        <v>170250.74</v>
      </c>
      <c r="T459" s="1683">
        <v>574103.42000000004</v>
      </c>
      <c r="U459" s="1683">
        <v>0</v>
      </c>
      <c r="V459" s="1683">
        <v>574103.42000000004</v>
      </c>
      <c r="W459" s="1683">
        <v>0</v>
      </c>
      <c r="X459" s="1683">
        <v>0</v>
      </c>
      <c r="Y459" s="1682"/>
      <c r="Z459" s="1326"/>
      <c r="AA459" s="1683">
        <v>0</v>
      </c>
      <c r="AB459" s="1683">
        <v>0</v>
      </c>
      <c r="AC459" s="1683">
        <v>0</v>
      </c>
      <c r="AD459" s="1682"/>
      <c r="AE459" s="1326"/>
      <c r="AF459" s="1326"/>
      <c r="AG459" s="1410"/>
      <c r="AH459" s="1683">
        <v>858052.12</v>
      </c>
      <c r="AI459" s="1683">
        <v>927852.12</v>
      </c>
      <c r="AJ459" s="1683">
        <v>730325.46</v>
      </c>
      <c r="AK459" s="1683">
        <v>671109.87</v>
      </c>
      <c r="AL459" s="1683">
        <v>59215.59</v>
      </c>
      <c r="AM459" s="1682"/>
      <c r="AN459" s="1683">
        <v>858052.12</v>
      </c>
      <c r="AO459" s="1683">
        <v>858052.12</v>
      </c>
      <c r="AP459" s="1683">
        <v>660525.46</v>
      </c>
      <c r="AQ459" s="1683">
        <v>606969.32999999996</v>
      </c>
      <c r="AR459" s="1683">
        <v>53556.13</v>
      </c>
      <c r="AS459" s="1683">
        <v>197526.66</v>
      </c>
      <c r="AT459" s="1683">
        <v>0</v>
      </c>
      <c r="AU459" s="1683">
        <v>197526.66</v>
      </c>
      <c r="AV459" s="1683">
        <v>0</v>
      </c>
      <c r="AW459" s="1683">
        <v>0</v>
      </c>
      <c r="AX459" s="1683">
        <v>0</v>
      </c>
      <c r="AY459" s="1683">
        <v>0</v>
      </c>
      <c r="AZ459" s="1683">
        <v>0</v>
      </c>
      <c r="BA459" s="1682"/>
      <c r="BB459" s="1682"/>
      <c r="BC459" s="1683">
        <v>0</v>
      </c>
      <c r="BD459" s="1683">
        <v>0</v>
      </c>
      <c r="BE459" s="1683">
        <v>858052.12</v>
      </c>
      <c r="BF459" s="1683">
        <v>858052.12</v>
      </c>
      <c r="BG459" s="1683">
        <v>660525.46</v>
      </c>
      <c r="BH459" s="1683">
        <v>606969.32999999996</v>
      </c>
      <c r="BI459" s="1683">
        <v>53556.13</v>
      </c>
      <c r="BJ459" s="1683">
        <v>197526.66</v>
      </c>
      <c r="BK459" s="1683">
        <v>0</v>
      </c>
      <c r="BL459" s="1683">
        <v>197526.66</v>
      </c>
      <c r="BM459" s="1683">
        <v>0</v>
      </c>
      <c r="BN459" s="1683">
        <v>0</v>
      </c>
      <c r="BO459" s="1682"/>
      <c r="BP459" s="1683">
        <v>800766.11</v>
      </c>
      <c r="BQ459" s="1683">
        <v>800766.11</v>
      </c>
      <c r="BR459" s="1683">
        <v>607535.9</v>
      </c>
      <c r="BS459" s="1683">
        <v>558276.22</v>
      </c>
      <c r="BT459" s="1683">
        <v>49259.68</v>
      </c>
      <c r="BU459" s="1683">
        <v>193230.21</v>
      </c>
      <c r="BV459" s="1683">
        <v>0</v>
      </c>
      <c r="BW459" s="1683">
        <v>0</v>
      </c>
      <c r="BX459" s="1683">
        <v>0</v>
      </c>
      <c r="BY459" s="1683">
        <v>0</v>
      </c>
      <c r="BZ459" s="1683">
        <v>0</v>
      </c>
      <c r="CA459" s="1683">
        <v>0</v>
      </c>
      <c r="CB459" s="1682"/>
      <c r="CC459" s="1682"/>
      <c r="CD459" s="1683">
        <v>0</v>
      </c>
      <c r="CE459" s="1683">
        <v>0</v>
      </c>
      <c r="CF459" s="1683">
        <v>0</v>
      </c>
      <c r="CG459" s="1683">
        <v>0</v>
      </c>
      <c r="CH459" s="1683">
        <v>0</v>
      </c>
      <c r="CI459" s="1683">
        <v>0</v>
      </c>
      <c r="CJ459" s="1683">
        <v>874.33</v>
      </c>
      <c r="CK459" s="1683">
        <v>874.33</v>
      </c>
      <c r="CL459" s="1682"/>
      <c r="CM459" s="1683">
        <v>0</v>
      </c>
      <c r="CN459" s="1683">
        <v>0</v>
      </c>
      <c r="CO459" s="1683">
        <v>0</v>
      </c>
      <c r="CP459" s="1683">
        <v>0</v>
      </c>
      <c r="CQ459" s="1683">
        <v>0</v>
      </c>
      <c r="CR459" s="1683">
        <v>0</v>
      </c>
      <c r="CS459" s="1683">
        <v>0</v>
      </c>
      <c r="CT459" s="1683">
        <v>0</v>
      </c>
      <c r="CU459" s="1683">
        <v>0</v>
      </c>
      <c r="CV459" s="1683">
        <v>0</v>
      </c>
      <c r="CW459" s="1682"/>
      <c r="CX459" s="1683">
        <v>0</v>
      </c>
      <c r="CY459" s="1683">
        <v>0</v>
      </c>
      <c r="CZ459" s="1683">
        <v>0</v>
      </c>
      <c r="DA459" s="1683">
        <v>0</v>
      </c>
      <c r="DB459" s="1682"/>
      <c r="DC459" s="1326"/>
      <c r="DD459" s="1683">
        <v>0</v>
      </c>
      <c r="DE459" s="1683">
        <v>0</v>
      </c>
      <c r="DF459" s="1683">
        <v>0</v>
      </c>
      <c r="DG459" s="1683">
        <v>0</v>
      </c>
      <c r="DH459" s="1683">
        <v>0</v>
      </c>
    </row>
    <row r="460" spans="1:112">
      <c r="A460" s="1326" t="s">
        <v>2587</v>
      </c>
      <c r="B460" s="1326" t="s">
        <v>1702</v>
      </c>
      <c r="C460" s="1326" t="s">
        <v>2568</v>
      </c>
      <c r="D460" s="1326" t="s">
        <v>2569</v>
      </c>
      <c r="E460" s="1326"/>
      <c r="F460" s="1326"/>
      <c r="G460" s="1326"/>
      <c r="H460" s="1326"/>
      <c r="I460" s="1326"/>
      <c r="J460" s="1326"/>
      <c r="K460" s="1326"/>
      <c r="L460" s="1326"/>
      <c r="M460" s="1683">
        <v>2673858.7999999998</v>
      </c>
      <c r="N460" s="1683">
        <v>0</v>
      </c>
      <c r="O460" s="1683">
        <v>2673858.7999999998</v>
      </c>
      <c r="P460" s="1683">
        <v>2673858.7999999998</v>
      </c>
      <c r="Q460" s="1683">
        <v>2099755.38</v>
      </c>
      <c r="R460" s="1683">
        <v>1929504.64</v>
      </c>
      <c r="S460" s="1683">
        <v>170250.74</v>
      </c>
      <c r="T460" s="1683">
        <v>574103.42000000004</v>
      </c>
      <c r="U460" s="1683">
        <v>0</v>
      </c>
      <c r="V460" s="1683">
        <v>574103.42000000004</v>
      </c>
      <c r="W460" s="1683">
        <v>0</v>
      </c>
      <c r="X460" s="1683">
        <v>0</v>
      </c>
      <c r="Y460" s="1682"/>
      <c r="Z460" s="1326"/>
      <c r="AA460" s="1683">
        <v>0</v>
      </c>
      <c r="AB460" s="1683">
        <v>0</v>
      </c>
      <c r="AC460" s="1683">
        <v>0</v>
      </c>
      <c r="AD460" s="1682"/>
      <c r="AE460" s="1326"/>
      <c r="AF460" s="1326"/>
      <c r="AG460" s="1410"/>
      <c r="AH460" s="1683">
        <v>858052.12</v>
      </c>
      <c r="AI460" s="1683">
        <v>927852.12</v>
      </c>
      <c r="AJ460" s="1683">
        <v>730325.46</v>
      </c>
      <c r="AK460" s="1683">
        <v>671109.87</v>
      </c>
      <c r="AL460" s="1683">
        <v>59215.59</v>
      </c>
      <c r="AM460" s="1682"/>
      <c r="AN460" s="1683">
        <v>858052.12</v>
      </c>
      <c r="AO460" s="1683">
        <v>858052.12</v>
      </c>
      <c r="AP460" s="1683">
        <v>660525.46</v>
      </c>
      <c r="AQ460" s="1683">
        <v>606969.32999999996</v>
      </c>
      <c r="AR460" s="1683">
        <v>53556.13</v>
      </c>
      <c r="AS460" s="1683">
        <v>197526.66</v>
      </c>
      <c r="AT460" s="1683">
        <v>0</v>
      </c>
      <c r="AU460" s="1683">
        <v>197526.66</v>
      </c>
      <c r="AV460" s="1683">
        <v>0</v>
      </c>
      <c r="AW460" s="1683">
        <v>0</v>
      </c>
      <c r="AX460" s="1683">
        <v>0</v>
      </c>
      <c r="AY460" s="1683">
        <v>0</v>
      </c>
      <c r="AZ460" s="1683">
        <v>0</v>
      </c>
      <c r="BA460" s="1682"/>
      <c r="BB460" s="1682"/>
      <c r="BC460" s="1683">
        <v>0</v>
      </c>
      <c r="BD460" s="1683">
        <v>0</v>
      </c>
      <c r="BE460" s="1683">
        <v>858052.12</v>
      </c>
      <c r="BF460" s="1683">
        <v>858052.12</v>
      </c>
      <c r="BG460" s="1683">
        <v>660525.46</v>
      </c>
      <c r="BH460" s="1683">
        <v>606969.32999999996</v>
      </c>
      <c r="BI460" s="1683">
        <v>53556.13</v>
      </c>
      <c r="BJ460" s="1683">
        <v>197526.66</v>
      </c>
      <c r="BK460" s="1683">
        <v>0</v>
      </c>
      <c r="BL460" s="1683">
        <v>197526.66</v>
      </c>
      <c r="BM460" s="1683">
        <v>0</v>
      </c>
      <c r="BN460" s="1683">
        <v>0</v>
      </c>
      <c r="BO460" s="1682"/>
      <c r="BP460" s="1683">
        <v>800766.11</v>
      </c>
      <c r="BQ460" s="1683">
        <v>800766.11</v>
      </c>
      <c r="BR460" s="1683">
        <v>607535.9</v>
      </c>
      <c r="BS460" s="1683">
        <v>558276.22</v>
      </c>
      <c r="BT460" s="1683">
        <v>49259.68</v>
      </c>
      <c r="BU460" s="1683">
        <v>193230.21</v>
      </c>
      <c r="BV460" s="1683">
        <v>0</v>
      </c>
      <c r="BW460" s="1683">
        <v>0</v>
      </c>
      <c r="BX460" s="1683">
        <v>0</v>
      </c>
      <c r="BY460" s="1683">
        <v>0</v>
      </c>
      <c r="BZ460" s="1683">
        <v>0</v>
      </c>
      <c r="CA460" s="1683">
        <v>0</v>
      </c>
      <c r="CB460" s="1682"/>
      <c r="CC460" s="1682"/>
      <c r="CD460" s="1683">
        <v>0</v>
      </c>
      <c r="CE460" s="1683">
        <v>0</v>
      </c>
      <c r="CF460" s="1683">
        <v>0</v>
      </c>
      <c r="CG460" s="1683">
        <v>0</v>
      </c>
      <c r="CH460" s="1683">
        <v>0</v>
      </c>
      <c r="CI460" s="1683">
        <v>0</v>
      </c>
      <c r="CJ460" s="1683">
        <v>874.33</v>
      </c>
      <c r="CK460" s="1683">
        <v>874.33</v>
      </c>
      <c r="CL460" s="1682"/>
      <c r="CM460" s="1683">
        <v>0</v>
      </c>
      <c r="CN460" s="1683">
        <v>0</v>
      </c>
      <c r="CO460" s="1683">
        <v>0</v>
      </c>
      <c r="CP460" s="1683">
        <v>0</v>
      </c>
      <c r="CQ460" s="1683">
        <v>0</v>
      </c>
      <c r="CR460" s="1683">
        <v>0</v>
      </c>
      <c r="CS460" s="1683">
        <v>0</v>
      </c>
      <c r="CT460" s="1683">
        <v>0</v>
      </c>
      <c r="CU460" s="1683">
        <v>0</v>
      </c>
      <c r="CV460" s="1683">
        <v>0</v>
      </c>
      <c r="CW460" s="1682"/>
      <c r="CX460" s="1683">
        <v>0</v>
      </c>
      <c r="CY460" s="1683">
        <v>0</v>
      </c>
      <c r="CZ460" s="1683">
        <v>0</v>
      </c>
      <c r="DA460" s="1683">
        <v>0</v>
      </c>
      <c r="DB460" s="1682"/>
      <c r="DC460" s="1326"/>
      <c r="DD460" s="1683">
        <v>0</v>
      </c>
      <c r="DE460" s="1683">
        <v>0</v>
      </c>
      <c r="DF460" s="1683">
        <v>0</v>
      </c>
      <c r="DG460" s="1683">
        <v>0</v>
      </c>
      <c r="DH460" s="1683">
        <v>0</v>
      </c>
    </row>
    <row r="461" spans="1:112">
      <c r="A461" s="1326" t="s">
        <v>3554</v>
      </c>
      <c r="B461" s="1326" t="s">
        <v>1702</v>
      </c>
      <c r="C461" s="1326" t="s">
        <v>2568</v>
      </c>
      <c r="D461" s="1326" t="s">
        <v>2569</v>
      </c>
      <c r="E461" s="1326" t="s">
        <v>2347</v>
      </c>
      <c r="F461" s="1326"/>
      <c r="G461" s="1326"/>
      <c r="H461" s="1326"/>
      <c r="I461" s="1326"/>
      <c r="J461" s="1326"/>
      <c r="K461" s="1326"/>
      <c r="L461" s="1326"/>
      <c r="M461" s="1683">
        <v>2673858.7999999998</v>
      </c>
      <c r="N461" s="1683">
        <v>0</v>
      </c>
      <c r="O461" s="1683">
        <v>2673858.7999999998</v>
      </c>
      <c r="P461" s="1683">
        <v>2673858.7999999998</v>
      </c>
      <c r="Q461" s="1683">
        <v>2099755.38</v>
      </c>
      <c r="R461" s="1683">
        <v>1929504.64</v>
      </c>
      <c r="S461" s="1683">
        <v>170250.74</v>
      </c>
      <c r="T461" s="1683">
        <v>574103.42000000004</v>
      </c>
      <c r="U461" s="1683">
        <v>0</v>
      </c>
      <c r="V461" s="1683">
        <v>574103.42000000004</v>
      </c>
      <c r="W461" s="1683">
        <v>0</v>
      </c>
      <c r="X461" s="1683">
        <v>0</v>
      </c>
      <c r="Y461" s="1682"/>
      <c r="Z461" s="1326"/>
      <c r="AA461" s="1683">
        <v>0</v>
      </c>
      <c r="AB461" s="1683">
        <v>0</v>
      </c>
      <c r="AC461" s="1683">
        <v>0</v>
      </c>
      <c r="AD461" s="1682"/>
      <c r="AE461" s="1326"/>
      <c r="AF461" s="1326"/>
      <c r="AG461" s="1410"/>
      <c r="AH461" s="1683">
        <v>858052.12</v>
      </c>
      <c r="AI461" s="1683">
        <v>927852.12</v>
      </c>
      <c r="AJ461" s="1683">
        <v>730325.46</v>
      </c>
      <c r="AK461" s="1683">
        <v>671109.87</v>
      </c>
      <c r="AL461" s="1683">
        <v>59215.59</v>
      </c>
      <c r="AM461" s="1682"/>
      <c r="AN461" s="1683">
        <v>858052.12</v>
      </c>
      <c r="AO461" s="1683">
        <v>858052.12</v>
      </c>
      <c r="AP461" s="1683">
        <v>660525.46</v>
      </c>
      <c r="AQ461" s="1683">
        <v>606969.32999999996</v>
      </c>
      <c r="AR461" s="1683">
        <v>53556.13</v>
      </c>
      <c r="AS461" s="1683">
        <v>197526.66</v>
      </c>
      <c r="AT461" s="1683">
        <v>0</v>
      </c>
      <c r="AU461" s="1683">
        <v>197526.66</v>
      </c>
      <c r="AV461" s="1683">
        <v>0</v>
      </c>
      <c r="AW461" s="1683">
        <v>0</v>
      </c>
      <c r="AX461" s="1683">
        <v>0</v>
      </c>
      <c r="AY461" s="1683">
        <v>0</v>
      </c>
      <c r="AZ461" s="1683">
        <v>0</v>
      </c>
      <c r="BA461" s="1682"/>
      <c r="BB461" s="1682"/>
      <c r="BC461" s="1683">
        <v>0</v>
      </c>
      <c r="BD461" s="1683">
        <v>0</v>
      </c>
      <c r="BE461" s="1683">
        <v>858052.12</v>
      </c>
      <c r="BF461" s="1683">
        <v>858052.12</v>
      </c>
      <c r="BG461" s="1683">
        <v>660525.46</v>
      </c>
      <c r="BH461" s="1683">
        <v>606969.32999999996</v>
      </c>
      <c r="BI461" s="1683">
        <v>53556.13</v>
      </c>
      <c r="BJ461" s="1683">
        <v>197526.66</v>
      </c>
      <c r="BK461" s="1683">
        <v>0</v>
      </c>
      <c r="BL461" s="1683">
        <v>197526.66</v>
      </c>
      <c r="BM461" s="1683">
        <v>0</v>
      </c>
      <c r="BN461" s="1683">
        <v>0</v>
      </c>
      <c r="BO461" s="1682"/>
      <c r="BP461" s="1683">
        <v>800766.11</v>
      </c>
      <c r="BQ461" s="1683">
        <v>800766.11</v>
      </c>
      <c r="BR461" s="1683">
        <v>607535.9</v>
      </c>
      <c r="BS461" s="1683">
        <v>558276.22</v>
      </c>
      <c r="BT461" s="1683">
        <v>49259.68</v>
      </c>
      <c r="BU461" s="1683">
        <v>193230.21</v>
      </c>
      <c r="BV461" s="1683">
        <v>0</v>
      </c>
      <c r="BW461" s="1683">
        <v>0</v>
      </c>
      <c r="BX461" s="1683">
        <v>0</v>
      </c>
      <c r="BY461" s="1683">
        <v>0</v>
      </c>
      <c r="BZ461" s="1683">
        <v>0</v>
      </c>
      <c r="CA461" s="1683">
        <v>0</v>
      </c>
      <c r="CB461" s="1682"/>
      <c r="CC461" s="1682"/>
      <c r="CD461" s="1683">
        <v>0</v>
      </c>
      <c r="CE461" s="1683">
        <v>0</v>
      </c>
      <c r="CF461" s="1683">
        <v>0</v>
      </c>
      <c r="CG461" s="1683">
        <v>0</v>
      </c>
      <c r="CH461" s="1683">
        <v>0</v>
      </c>
      <c r="CI461" s="1683">
        <v>0</v>
      </c>
      <c r="CJ461" s="1683">
        <v>874.33</v>
      </c>
      <c r="CK461" s="1683">
        <v>874.33</v>
      </c>
      <c r="CL461" s="1682"/>
      <c r="CM461" s="1683">
        <v>0</v>
      </c>
      <c r="CN461" s="1683">
        <v>0</v>
      </c>
      <c r="CO461" s="1683">
        <v>0</v>
      </c>
      <c r="CP461" s="1683">
        <v>0</v>
      </c>
      <c r="CQ461" s="1683">
        <v>0</v>
      </c>
      <c r="CR461" s="1683">
        <v>0</v>
      </c>
      <c r="CS461" s="1683">
        <v>0</v>
      </c>
      <c r="CT461" s="1683">
        <v>0</v>
      </c>
      <c r="CU461" s="1683">
        <v>0</v>
      </c>
      <c r="CV461" s="1683">
        <v>0</v>
      </c>
      <c r="CW461" s="1682"/>
      <c r="CX461" s="1683">
        <v>0</v>
      </c>
      <c r="CY461" s="1683">
        <v>0</v>
      </c>
      <c r="CZ461" s="1683">
        <v>0</v>
      </c>
      <c r="DA461" s="1683">
        <v>0</v>
      </c>
      <c r="DB461" s="1682"/>
      <c r="DC461" s="1326"/>
      <c r="DD461" s="1683">
        <v>0</v>
      </c>
      <c r="DE461" s="1683">
        <v>0</v>
      </c>
      <c r="DF461" s="1683">
        <v>0</v>
      </c>
      <c r="DG461" s="1683">
        <v>0</v>
      </c>
      <c r="DH461" s="1683">
        <v>0</v>
      </c>
    </row>
    <row r="462" spans="1:112" ht="78.75">
      <c r="A462" s="1326" t="s">
        <v>3555</v>
      </c>
      <c r="B462" s="1326" t="s">
        <v>1702</v>
      </c>
      <c r="C462" s="1326" t="s">
        <v>2568</v>
      </c>
      <c r="D462" s="1326" t="s">
        <v>2569</v>
      </c>
      <c r="E462" s="1326" t="s">
        <v>2347</v>
      </c>
      <c r="F462" s="1326" t="s">
        <v>2563</v>
      </c>
      <c r="G462" s="1326" t="s">
        <v>2556</v>
      </c>
      <c r="H462" s="1326" t="s">
        <v>2541</v>
      </c>
      <c r="I462" s="1326" t="s">
        <v>1207</v>
      </c>
      <c r="J462" s="1326" t="s">
        <v>125</v>
      </c>
      <c r="K462" s="1326" t="s">
        <v>2060</v>
      </c>
      <c r="L462" s="1326" t="s">
        <v>2061</v>
      </c>
      <c r="M462" s="1683">
        <v>605024.19999999995</v>
      </c>
      <c r="N462" s="1683">
        <v>0</v>
      </c>
      <c r="O462" s="1683">
        <v>605024.19999999995</v>
      </c>
      <c r="P462" s="1683">
        <v>605024.19999999995</v>
      </c>
      <c r="Q462" s="1683">
        <v>559647.38</v>
      </c>
      <c r="R462" s="1683">
        <v>514270.57</v>
      </c>
      <c r="S462" s="1683">
        <v>45376.81</v>
      </c>
      <c r="T462" s="1683">
        <v>45376.82</v>
      </c>
      <c r="U462" s="1683">
        <v>0</v>
      </c>
      <c r="V462" s="1683">
        <v>45376.82</v>
      </c>
      <c r="W462" s="1683">
        <v>0</v>
      </c>
      <c r="X462" s="1683">
        <v>0</v>
      </c>
      <c r="Y462" s="1682"/>
      <c r="Z462" s="1326"/>
      <c r="AA462" s="1683">
        <v>0</v>
      </c>
      <c r="AB462" s="1683">
        <v>0</v>
      </c>
      <c r="AC462" s="1683">
        <v>0</v>
      </c>
      <c r="AD462" s="1682"/>
      <c r="AE462" s="1326"/>
      <c r="AF462" s="1326"/>
      <c r="AG462" s="1410"/>
      <c r="AH462" s="1683">
        <v>141032.32000000001</v>
      </c>
      <c r="AI462" s="1683">
        <v>163032.32000000001</v>
      </c>
      <c r="AJ462" s="1683">
        <v>152454.89000000001</v>
      </c>
      <c r="AK462" s="1683">
        <v>140093.69</v>
      </c>
      <c r="AL462" s="1683">
        <v>12361.2</v>
      </c>
      <c r="AM462" s="1682"/>
      <c r="AN462" s="1683">
        <v>141032.32000000001</v>
      </c>
      <c r="AO462" s="1683">
        <v>141032.32000000001</v>
      </c>
      <c r="AP462" s="1683">
        <v>130454.89</v>
      </c>
      <c r="AQ462" s="1683">
        <v>119877.47</v>
      </c>
      <c r="AR462" s="1683">
        <v>10577.42</v>
      </c>
      <c r="AS462" s="1683">
        <v>10577.43</v>
      </c>
      <c r="AT462" s="1683">
        <v>0</v>
      </c>
      <c r="AU462" s="1683">
        <v>10577.43</v>
      </c>
      <c r="AV462" s="1683">
        <v>0</v>
      </c>
      <c r="AW462" s="1683">
        <v>0</v>
      </c>
      <c r="AX462" s="1683">
        <v>0</v>
      </c>
      <c r="AY462" s="1683">
        <v>0</v>
      </c>
      <c r="AZ462" s="1683">
        <v>0</v>
      </c>
      <c r="BA462" s="1682"/>
      <c r="BB462" s="1682"/>
      <c r="BC462" s="1683">
        <v>0</v>
      </c>
      <c r="BD462" s="1683">
        <v>0</v>
      </c>
      <c r="BE462" s="1683">
        <v>141032.32000000001</v>
      </c>
      <c r="BF462" s="1683">
        <v>141032.32000000001</v>
      </c>
      <c r="BG462" s="1683">
        <v>130454.89</v>
      </c>
      <c r="BH462" s="1683">
        <v>119877.47</v>
      </c>
      <c r="BI462" s="1683">
        <v>10577.42</v>
      </c>
      <c r="BJ462" s="1683">
        <v>10577.43</v>
      </c>
      <c r="BK462" s="1683">
        <v>0</v>
      </c>
      <c r="BL462" s="1683">
        <v>10577.43</v>
      </c>
      <c r="BM462" s="1683">
        <v>0</v>
      </c>
      <c r="BN462" s="1683">
        <v>0</v>
      </c>
      <c r="BO462" s="1682"/>
      <c r="BP462" s="1683">
        <v>83746.31</v>
      </c>
      <c r="BQ462" s="1683">
        <v>83746.31</v>
      </c>
      <c r="BR462" s="1683">
        <v>77465.33</v>
      </c>
      <c r="BS462" s="1683">
        <v>71184.36</v>
      </c>
      <c r="BT462" s="1683">
        <v>6280.97</v>
      </c>
      <c r="BU462" s="1683">
        <v>6280.98</v>
      </c>
      <c r="BV462" s="1683">
        <v>0</v>
      </c>
      <c r="BW462" s="1683">
        <v>0</v>
      </c>
      <c r="BX462" s="1683">
        <v>0</v>
      </c>
      <c r="BY462" s="1683">
        <v>0</v>
      </c>
      <c r="BZ462" s="1683">
        <v>0</v>
      </c>
      <c r="CA462" s="1683">
        <v>0</v>
      </c>
      <c r="CB462" s="1682"/>
      <c r="CC462" s="1682"/>
      <c r="CD462" s="1683">
        <v>0</v>
      </c>
      <c r="CE462" s="1683">
        <v>0</v>
      </c>
      <c r="CF462" s="1683">
        <v>0</v>
      </c>
      <c r="CG462" s="1683">
        <v>0</v>
      </c>
      <c r="CH462" s="1683">
        <v>0</v>
      </c>
      <c r="CI462" s="1683">
        <v>0</v>
      </c>
      <c r="CJ462" s="1683">
        <v>837.37</v>
      </c>
      <c r="CK462" s="1683">
        <v>837.37</v>
      </c>
      <c r="CL462" s="1682"/>
      <c r="CM462" s="1683">
        <v>0</v>
      </c>
      <c r="CN462" s="1683">
        <v>0</v>
      </c>
      <c r="CO462" s="1683">
        <v>0</v>
      </c>
      <c r="CP462" s="1683">
        <v>0</v>
      </c>
      <c r="CQ462" s="1683">
        <v>0</v>
      </c>
      <c r="CR462" s="1683">
        <v>0</v>
      </c>
      <c r="CS462" s="1683">
        <v>0</v>
      </c>
      <c r="CT462" s="1683">
        <v>0</v>
      </c>
      <c r="CU462" s="1683">
        <v>0</v>
      </c>
      <c r="CV462" s="1683">
        <v>0</v>
      </c>
      <c r="CW462" s="1682"/>
      <c r="CX462" s="1683">
        <v>0</v>
      </c>
      <c r="CY462" s="1683">
        <v>0</v>
      </c>
      <c r="CZ462" s="1683">
        <v>0</v>
      </c>
      <c r="DA462" s="1683">
        <v>0</v>
      </c>
      <c r="DB462" s="1682"/>
      <c r="DC462" s="1326"/>
      <c r="DD462" s="1683">
        <v>0</v>
      </c>
      <c r="DE462" s="1683">
        <v>0</v>
      </c>
      <c r="DF462" s="1683">
        <v>0</v>
      </c>
      <c r="DG462" s="1683">
        <v>0</v>
      </c>
      <c r="DH462" s="1683">
        <v>0</v>
      </c>
    </row>
    <row r="463" spans="1:112" ht="78.75">
      <c r="A463" s="1326" t="s">
        <v>3556</v>
      </c>
      <c r="B463" s="1326" t="s">
        <v>1702</v>
      </c>
      <c r="C463" s="1326" t="s">
        <v>2568</v>
      </c>
      <c r="D463" s="1326" t="s">
        <v>2569</v>
      </c>
      <c r="E463" s="1326" t="s">
        <v>2347</v>
      </c>
      <c r="F463" s="1326" t="s">
        <v>2563</v>
      </c>
      <c r="G463" s="1326" t="s">
        <v>2556</v>
      </c>
      <c r="H463" s="1326" t="s">
        <v>2541</v>
      </c>
      <c r="I463" s="1326" t="s">
        <v>1207</v>
      </c>
      <c r="J463" s="1326" t="s">
        <v>125</v>
      </c>
      <c r="K463" s="1326" t="s">
        <v>2060</v>
      </c>
      <c r="L463" s="1326" t="s">
        <v>2061</v>
      </c>
      <c r="M463" s="1400"/>
      <c r="N463" s="1400"/>
      <c r="O463" s="1400"/>
      <c r="P463" s="1400"/>
      <c r="Q463" s="1400"/>
      <c r="R463" s="1400"/>
      <c r="S463" s="1400"/>
      <c r="T463" s="1400"/>
      <c r="U463" s="1400"/>
      <c r="V463" s="1400"/>
      <c r="W463" s="1400"/>
      <c r="X463" s="1400"/>
      <c r="Y463" s="1685">
        <v>43150</v>
      </c>
      <c r="Z463" s="1326" t="s">
        <v>2096</v>
      </c>
      <c r="AA463" s="1683">
        <v>0</v>
      </c>
      <c r="AB463" s="1683">
        <v>0</v>
      </c>
      <c r="AC463" s="1683">
        <v>0</v>
      </c>
      <c r="AD463" s="1685">
        <v>43159</v>
      </c>
      <c r="AE463" s="1326" t="s">
        <v>2073</v>
      </c>
      <c r="AF463" s="1326" t="s">
        <v>2064</v>
      </c>
      <c r="AG463" s="1410"/>
      <c r="AH463" s="1683">
        <v>0</v>
      </c>
      <c r="AI463" s="1683">
        <v>2000</v>
      </c>
      <c r="AJ463" s="1683">
        <v>2000</v>
      </c>
      <c r="AK463" s="1683">
        <v>1837.84</v>
      </c>
      <c r="AL463" s="1683">
        <v>162.16</v>
      </c>
      <c r="AM463" s="1682"/>
      <c r="AN463" s="1683">
        <v>0</v>
      </c>
      <c r="AO463" s="1683">
        <v>0</v>
      </c>
      <c r="AP463" s="1683">
        <v>0</v>
      </c>
      <c r="AQ463" s="1683">
        <v>0</v>
      </c>
      <c r="AR463" s="1683">
        <v>0</v>
      </c>
      <c r="AS463" s="1683">
        <v>0</v>
      </c>
      <c r="AT463" s="1683">
        <v>0</v>
      </c>
      <c r="AU463" s="1683">
        <v>0</v>
      </c>
      <c r="AV463" s="1683">
        <v>0</v>
      </c>
      <c r="AW463" s="1683">
        <v>0</v>
      </c>
      <c r="AX463" s="1400"/>
      <c r="AY463" s="1400"/>
      <c r="AZ463" s="1400"/>
      <c r="BA463" s="1682"/>
      <c r="BB463" s="1682"/>
      <c r="BC463" s="1400"/>
      <c r="BD463" s="1400"/>
      <c r="BE463" s="1683">
        <v>0</v>
      </c>
      <c r="BF463" s="1683">
        <v>0</v>
      </c>
      <c r="BG463" s="1683">
        <v>0</v>
      </c>
      <c r="BH463" s="1683">
        <v>0</v>
      </c>
      <c r="BI463" s="1683">
        <v>0</v>
      </c>
      <c r="BJ463" s="1683">
        <v>0</v>
      </c>
      <c r="BK463" s="1683">
        <v>0</v>
      </c>
      <c r="BL463" s="1683">
        <v>0</v>
      </c>
      <c r="BM463" s="1683">
        <v>0</v>
      </c>
      <c r="BN463" s="1683">
        <v>0</v>
      </c>
      <c r="BO463" s="1682"/>
      <c r="BP463" s="1683">
        <v>0</v>
      </c>
      <c r="BQ463" s="1683">
        <v>0</v>
      </c>
      <c r="BR463" s="1683">
        <v>0</v>
      </c>
      <c r="BS463" s="1683">
        <v>0</v>
      </c>
      <c r="BT463" s="1683">
        <v>0</v>
      </c>
      <c r="BU463" s="1683">
        <v>0</v>
      </c>
      <c r="BV463" s="1683">
        <v>0</v>
      </c>
      <c r="BW463" s="1683">
        <v>0</v>
      </c>
      <c r="BX463" s="1683">
        <v>0</v>
      </c>
      <c r="BY463" s="1683">
        <v>0</v>
      </c>
      <c r="BZ463" s="1400"/>
      <c r="CA463" s="1400"/>
      <c r="CB463" s="1682"/>
      <c r="CC463" s="1682"/>
      <c r="CD463" s="1400"/>
      <c r="CE463" s="1400"/>
      <c r="CF463" s="1683">
        <v>0</v>
      </c>
      <c r="CG463" s="1683">
        <v>0</v>
      </c>
      <c r="CH463" s="1683">
        <v>0</v>
      </c>
      <c r="CI463" s="1683">
        <v>0</v>
      </c>
      <c r="CJ463" s="1683">
        <v>0</v>
      </c>
      <c r="CK463" s="1683">
        <v>0</v>
      </c>
      <c r="CL463" s="1682"/>
      <c r="CM463" s="1683">
        <v>0</v>
      </c>
      <c r="CN463" s="1683">
        <v>0</v>
      </c>
      <c r="CO463" s="1683">
        <v>0</v>
      </c>
      <c r="CP463" s="1683">
        <v>0</v>
      </c>
      <c r="CQ463" s="1683">
        <v>0</v>
      </c>
      <c r="CR463" s="1683">
        <v>0</v>
      </c>
      <c r="CS463" s="1683">
        <v>0</v>
      </c>
      <c r="CT463" s="1683">
        <v>0</v>
      </c>
      <c r="CU463" s="1683">
        <v>0</v>
      </c>
      <c r="CV463" s="1683">
        <v>0</v>
      </c>
      <c r="CW463" s="1682"/>
      <c r="CX463" s="1400"/>
      <c r="CY463" s="1400"/>
      <c r="CZ463" s="1400"/>
      <c r="DA463" s="1400"/>
      <c r="DB463" s="1682"/>
      <c r="DC463" s="1326"/>
      <c r="DD463" s="1683">
        <v>0</v>
      </c>
      <c r="DE463" s="1400"/>
      <c r="DF463" s="1400"/>
      <c r="DG463" s="1683">
        <v>0</v>
      </c>
      <c r="DH463" s="1683">
        <v>0</v>
      </c>
    </row>
    <row r="464" spans="1:112" ht="78.75">
      <c r="A464" s="1326" t="s">
        <v>3557</v>
      </c>
      <c r="B464" s="1326" t="s">
        <v>1702</v>
      </c>
      <c r="C464" s="1326" t="s">
        <v>2568</v>
      </c>
      <c r="D464" s="1326" t="s">
        <v>2569</v>
      </c>
      <c r="E464" s="1326" t="s">
        <v>2347</v>
      </c>
      <c r="F464" s="1326" t="s">
        <v>2563</v>
      </c>
      <c r="G464" s="1326" t="s">
        <v>2556</v>
      </c>
      <c r="H464" s="1326" t="s">
        <v>2541</v>
      </c>
      <c r="I464" s="1326" t="s">
        <v>1207</v>
      </c>
      <c r="J464" s="1326" t="s">
        <v>125</v>
      </c>
      <c r="K464" s="1326" t="s">
        <v>2060</v>
      </c>
      <c r="L464" s="1326" t="s">
        <v>2061</v>
      </c>
      <c r="M464" s="1400"/>
      <c r="N464" s="1400"/>
      <c r="O464" s="1400"/>
      <c r="P464" s="1400"/>
      <c r="Q464" s="1400"/>
      <c r="R464" s="1400"/>
      <c r="S464" s="1400"/>
      <c r="T464" s="1400"/>
      <c r="U464" s="1400"/>
      <c r="V464" s="1400"/>
      <c r="W464" s="1400"/>
      <c r="X464" s="1400"/>
      <c r="Y464" s="1685">
        <v>43234</v>
      </c>
      <c r="Z464" s="1326" t="s">
        <v>2062</v>
      </c>
      <c r="AA464" s="1683">
        <v>0</v>
      </c>
      <c r="AB464" s="1683">
        <v>0</v>
      </c>
      <c r="AC464" s="1683">
        <v>0</v>
      </c>
      <c r="AD464" s="1685">
        <v>43270</v>
      </c>
      <c r="AE464" s="1326" t="s">
        <v>2063</v>
      </c>
      <c r="AF464" s="1326" t="s">
        <v>2064</v>
      </c>
      <c r="AG464" s="1410"/>
      <c r="AH464" s="1683">
        <v>33216.080000000002</v>
      </c>
      <c r="AI464" s="1683">
        <v>33216.080000000002</v>
      </c>
      <c r="AJ464" s="1683">
        <v>30724.880000000001</v>
      </c>
      <c r="AK464" s="1683">
        <v>28233.67</v>
      </c>
      <c r="AL464" s="1683">
        <v>2491.21</v>
      </c>
      <c r="AM464" s="1685">
        <v>43270</v>
      </c>
      <c r="AN464" s="1683">
        <v>33216.080000000002</v>
      </c>
      <c r="AO464" s="1683">
        <v>33216.080000000002</v>
      </c>
      <c r="AP464" s="1683">
        <v>30724.880000000001</v>
      </c>
      <c r="AQ464" s="1683">
        <v>28233.67</v>
      </c>
      <c r="AR464" s="1683">
        <v>2491.21</v>
      </c>
      <c r="AS464" s="1683">
        <v>2491.1999999999998</v>
      </c>
      <c r="AT464" s="1683">
        <v>0</v>
      </c>
      <c r="AU464" s="1683">
        <v>2491.1999999999998</v>
      </c>
      <c r="AV464" s="1683">
        <v>0</v>
      </c>
      <c r="AW464" s="1683">
        <v>0</v>
      </c>
      <c r="AX464" s="1400"/>
      <c r="AY464" s="1400"/>
      <c r="AZ464" s="1400"/>
      <c r="BA464" s="1682"/>
      <c r="BB464" s="1682"/>
      <c r="BC464" s="1400"/>
      <c r="BD464" s="1400"/>
      <c r="BE464" s="1683">
        <v>33216.080000000002</v>
      </c>
      <c r="BF464" s="1683">
        <v>33216.080000000002</v>
      </c>
      <c r="BG464" s="1683">
        <v>30724.880000000001</v>
      </c>
      <c r="BH464" s="1683">
        <v>28233.67</v>
      </c>
      <c r="BI464" s="1683">
        <v>2491.21</v>
      </c>
      <c r="BJ464" s="1683">
        <v>2491.1999999999998</v>
      </c>
      <c r="BK464" s="1683">
        <v>0</v>
      </c>
      <c r="BL464" s="1683">
        <v>2491.1999999999998</v>
      </c>
      <c r="BM464" s="1683">
        <v>0</v>
      </c>
      <c r="BN464" s="1683">
        <v>0</v>
      </c>
      <c r="BO464" s="1685">
        <v>43364</v>
      </c>
      <c r="BP464" s="1683">
        <v>33216.080000000002</v>
      </c>
      <c r="BQ464" s="1683">
        <v>33216.080000000002</v>
      </c>
      <c r="BR464" s="1683">
        <v>30724.880000000001</v>
      </c>
      <c r="BS464" s="1683">
        <v>28233.67</v>
      </c>
      <c r="BT464" s="1683">
        <v>2491.21</v>
      </c>
      <c r="BU464" s="1683">
        <v>2491.1999999999998</v>
      </c>
      <c r="BV464" s="1683">
        <v>0</v>
      </c>
      <c r="BW464" s="1683">
        <v>0</v>
      </c>
      <c r="BX464" s="1683">
        <v>0</v>
      </c>
      <c r="BY464" s="1683">
        <v>0</v>
      </c>
      <c r="BZ464" s="1683">
        <v>0</v>
      </c>
      <c r="CA464" s="1400"/>
      <c r="CB464" s="1682"/>
      <c r="CC464" s="1682"/>
      <c r="CD464" s="1400"/>
      <c r="CE464" s="1400"/>
      <c r="CF464" s="1683">
        <v>0</v>
      </c>
      <c r="CG464" s="1683">
        <v>0</v>
      </c>
      <c r="CH464" s="1683">
        <v>0</v>
      </c>
      <c r="CI464" s="1683">
        <v>0</v>
      </c>
      <c r="CJ464" s="1683">
        <v>332.12</v>
      </c>
      <c r="CK464" s="1683">
        <v>332.12</v>
      </c>
      <c r="CL464" s="1682"/>
      <c r="CM464" s="1683">
        <v>0</v>
      </c>
      <c r="CN464" s="1683">
        <v>0</v>
      </c>
      <c r="CO464" s="1683">
        <v>0</v>
      </c>
      <c r="CP464" s="1683">
        <v>0</v>
      </c>
      <c r="CQ464" s="1683">
        <v>0</v>
      </c>
      <c r="CR464" s="1683">
        <v>0</v>
      </c>
      <c r="CS464" s="1683">
        <v>0</v>
      </c>
      <c r="CT464" s="1683">
        <v>0</v>
      </c>
      <c r="CU464" s="1683">
        <v>0</v>
      </c>
      <c r="CV464" s="1683">
        <v>0</v>
      </c>
      <c r="CW464" s="1682"/>
      <c r="CX464" s="1400"/>
      <c r="CY464" s="1400"/>
      <c r="CZ464" s="1400"/>
      <c r="DA464" s="1400"/>
      <c r="DB464" s="1682"/>
      <c r="DC464" s="1326"/>
      <c r="DD464" s="1683">
        <v>0</v>
      </c>
      <c r="DE464" s="1400"/>
      <c r="DF464" s="1400"/>
      <c r="DG464" s="1683">
        <v>0</v>
      </c>
      <c r="DH464" s="1683">
        <v>0</v>
      </c>
    </row>
    <row r="465" spans="1:112" ht="78.75">
      <c r="A465" s="1326" t="s">
        <v>3558</v>
      </c>
      <c r="B465" s="1326" t="s">
        <v>1702</v>
      </c>
      <c r="C465" s="1326" t="s">
        <v>2568</v>
      </c>
      <c r="D465" s="1326" t="s">
        <v>2569</v>
      </c>
      <c r="E465" s="1326" t="s">
        <v>2347</v>
      </c>
      <c r="F465" s="1326" t="s">
        <v>2563</v>
      </c>
      <c r="G465" s="1326" t="s">
        <v>2556</v>
      </c>
      <c r="H465" s="1326" t="s">
        <v>2541</v>
      </c>
      <c r="I465" s="1326" t="s">
        <v>1207</v>
      </c>
      <c r="J465" s="1326" t="s">
        <v>125</v>
      </c>
      <c r="K465" s="1326" t="s">
        <v>2060</v>
      </c>
      <c r="L465" s="1326" t="s">
        <v>2061</v>
      </c>
      <c r="M465" s="1400"/>
      <c r="N465" s="1400"/>
      <c r="O465" s="1400"/>
      <c r="P465" s="1400"/>
      <c r="Q465" s="1400"/>
      <c r="R465" s="1400"/>
      <c r="S465" s="1400"/>
      <c r="T465" s="1400"/>
      <c r="U465" s="1400"/>
      <c r="V465" s="1400"/>
      <c r="W465" s="1400"/>
      <c r="X465" s="1400"/>
      <c r="Y465" s="1685">
        <v>43321</v>
      </c>
      <c r="Z465" s="1326" t="s">
        <v>2062</v>
      </c>
      <c r="AA465" s="1683">
        <v>0</v>
      </c>
      <c r="AB465" s="1683">
        <v>0</v>
      </c>
      <c r="AC465" s="1683">
        <v>0</v>
      </c>
      <c r="AD465" s="1685">
        <v>43354</v>
      </c>
      <c r="AE465" s="1326" t="s">
        <v>2066</v>
      </c>
      <c r="AF465" s="1326" t="s">
        <v>2067</v>
      </c>
      <c r="AG465" s="1410"/>
      <c r="AH465" s="1683">
        <v>15006.67</v>
      </c>
      <c r="AI465" s="1683">
        <v>15006.67</v>
      </c>
      <c r="AJ465" s="1683">
        <v>13881.17</v>
      </c>
      <c r="AK465" s="1683">
        <v>12755.67</v>
      </c>
      <c r="AL465" s="1683">
        <v>1125.5</v>
      </c>
      <c r="AM465" s="1685">
        <v>43355</v>
      </c>
      <c r="AN465" s="1683">
        <v>15006.67</v>
      </c>
      <c r="AO465" s="1683">
        <v>15006.67</v>
      </c>
      <c r="AP465" s="1683">
        <v>13881.17</v>
      </c>
      <c r="AQ465" s="1683">
        <v>12755.67</v>
      </c>
      <c r="AR465" s="1683">
        <v>1125.5</v>
      </c>
      <c r="AS465" s="1683">
        <v>1125.5</v>
      </c>
      <c r="AT465" s="1683">
        <v>0</v>
      </c>
      <c r="AU465" s="1683">
        <v>1125.5</v>
      </c>
      <c r="AV465" s="1683">
        <v>0</v>
      </c>
      <c r="AW465" s="1683">
        <v>0</v>
      </c>
      <c r="AX465" s="1400"/>
      <c r="AY465" s="1400"/>
      <c r="AZ465" s="1400"/>
      <c r="BA465" s="1682"/>
      <c r="BB465" s="1682"/>
      <c r="BC465" s="1400"/>
      <c r="BD465" s="1400"/>
      <c r="BE465" s="1683">
        <v>15006.67</v>
      </c>
      <c r="BF465" s="1683">
        <v>15006.67</v>
      </c>
      <c r="BG465" s="1683">
        <v>13881.17</v>
      </c>
      <c r="BH465" s="1683">
        <v>12755.67</v>
      </c>
      <c r="BI465" s="1683">
        <v>1125.5</v>
      </c>
      <c r="BJ465" s="1683">
        <v>1125.5</v>
      </c>
      <c r="BK465" s="1683">
        <v>0</v>
      </c>
      <c r="BL465" s="1683">
        <v>1125.5</v>
      </c>
      <c r="BM465" s="1683">
        <v>0</v>
      </c>
      <c r="BN465" s="1683">
        <v>0</v>
      </c>
      <c r="BO465" s="1685">
        <v>43403</v>
      </c>
      <c r="BP465" s="1683">
        <v>15006.67</v>
      </c>
      <c r="BQ465" s="1683">
        <v>15006.67</v>
      </c>
      <c r="BR465" s="1683">
        <v>13881.17</v>
      </c>
      <c r="BS465" s="1683">
        <v>12755.67</v>
      </c>
      <c r="BT465" s="1683">
        <v>1125.5</v>
      </c>
      <c r="BU465" s="1683">
        <v>1125.5</v>
      </c>
      <c r="BV465" s="1683">
        <v>0</v>
      </c>
      <c r="BW465" s="1683">
        <v>0</v>
      </c>
      <c r="BX465" s="1683">
        <v>0</v>
      </c>
      <c r="BY465" s="1683">
        <v>0</v>
      </c>
      <c r="BZ465" s="1683">
        <v>0</v>
      </c>
      <c r="CA465" s="1400"/>
      <c r="CB465" s="1682"/>
      <c r="CC465" s="1682"/>
      <c r="CD465" s="1400"/>
      <c r="CE465" s="1400"/>
      <c r="CF465" s="1683">
        <v>0</v>
      </c>
      <c r="CG465" s="1683">
        <v>0</v>
      </c>
      <c r="CH465" s="1683">
        <v>0</v>
      </c>
      <c r="CI465" s="1683">
        <v>0</v>
      </c>
      <c r="CJ465" s="1683">
        <v>150.05000000000001</v>
      </c>
      <c r="CK465" s="1683">
        <v>150.05000000000001</v>
      </c>
      <c r="CL465" s="1682"/>
      <c r="CM465" s="1683">
        <v>0</v>
      </c>
      <c r="CN465" s="1683">
        <v>0</v>
      </c>
      <c r="CO465" s="1683">
        <v>0</v>
      </c>
      <c r="CP465" s="1683">
        <v>0</v>
      </c>
      <c r="CQ465" s="1683">
        <v>0</v>
      </c>
      <c r="CR465" s="1683">
        <v>0</v>
      </c>
      <c r="CS465" s="1683">
        <v>0</v>
      </c>
      <c r="CT465" s="1683">
        <v>0</v>
      </c>
      <c r="CU465" s="1683">
        <v>0</v>
      </c>
      <c r="CV465" s="1683">
        <v>0</v>
      </c>
      <c r="CW465" s="1682"/>
      <c r="CX465" s="1400"/>
      <c r="CY465" s="1400"/>
      <c r="CZ465" s="1400"/>
      <c r="DA465" s="1400"/>
      <c r="DB465" s="1682"/>
      <c r="DC465" s="1326"/>
      <c r="DD465" s="1683">
        <v>0</v>
      </c>
      <c r="DE465" s="1400"/>
      <c r="DF465" s="1400"/>
      <c r="DG465" s="1683">
        <v>0</v>
      </c>
      <c r="DH465" s="1683">
        <v>0</v>
      </c>
    </row>
    <row r="466" spans="1:112" ht="78.75">
      <c r="A466" s="1326" t="s">
        <v>3559</v>
      </c>
      <c r="B466" s="1326" t="s">
        <v>1702</v>
      </c>
      <c r="C466" s="1326" t="s">
        <v>2568</v>
      </c>
      <c r="D466" s="1326" t="s">
        <v>2569</v>
      </c>
      <c r="E466" s="1326" t="s">
        <v>2347</v>
      </c>
      <c r="F466" s="1326" t="s">
        <v>2563</v>
      </c>
      <c r="G466" s="1326" t="s">
        <v>2556</v>
      </c>
      <c r="H466" s="1326" t="s">
        <v>2541</v>
      </c>
      <c r="I466" s="1326" t="s">
        <v>1207</v>
      </c>
      <c r="J466" s="1326" t="s">
        <v>125</v>
      </c>
      <c r="K466" s="1326" t="s">
        <v>2060</v>
      </c>
      <c r="L466" s="1326" t="s">
        <v>2061</v>
      </c>
      <c r="M466" s="1400"/>
      <c r="N466" s="1400"/>
      <c r="O466" s="1400"/>
      <c r="P466" s="1400"/>
      <c r="Q466" s="1400"/>
      <c r="R466" s="1400"/>
      <c r="S466" s="1400"/>
      <c r="T466" s="1400"/>
      <c r="U466" s="1400"/>
      <c r="V466" s="1400"/>
      <c r="W466" s="1400"/>
      <c r="X466" s="1400"/>
      <c r="Y466" s="1685">
        <v>43321</v>
      </c>
      <c r="Z466" s="1326" t="s">
        <v>2062</v>
      </c>
      <c r="AA466" s="1683">
        <v>0</v>
      </c>
      <c r="AB466" s="1683">
        <v>0</v>
      </c>
      <c r="AC466" s="1683">
        <v>0</v>
      </c>
      <c r="AD466" s="1685">
        <v>43354</v>
      </c>
      <c r="AE466" s="1326" t="s">
        <v>2066</v>
      </c>
      <c r="AF466" s="1326" t="s">
        <v>2064</v>
      </c>
      <c r="AG466" s="1410"/>
      <c r="AH466" s="1683">
        <v>5734.95</v>
      </c>
      <c r="AI466" s="1683">
        <v>5734.95</v>
      </c>
      <c r="AJ466" s="1683">
        <v>5304.83</v>
      </c>
      <c r="AK466" s="1683">
        <v>4874.71</v>
      </c>
      <c r="AL466" s="1683">
        <v>430.12</v>
      </c>
      <c r="AM466" s="1685">
        <v>43354</v>
      </c>
      <c r="AN466" s="1683">
        <v>5734.95</v>
      </c>
      <c r="AO466" s="1683">
        <v>5734.95</v>
      </c>
      <c r="AP466" s="1683">
        <v>5304.83</v>
      </c>
      <c r="AQ466" s="1683">
        <v>4874.71</v>
      </c>
      <c r="AR466" s="1683">
        <v>430.12</v>
      </c>
      <c r="AS466" s="1683">
        <v>430.12</v>
      </c>
      <c r="AT466" s="1683">
        <v>0</v>
      </c>
      <c r="AU466" s="1683">
        <v>430.12</v>
      </c>
      <c r="AV466" s="1683">
        <v>0</v>
      </c>
      <c r="AW466" s="1683">
        <v>0</v>
      </c>
      <c r="AX466" s="1400"/>
      <c r="AY466" s="1400"/>
      <c r="AZ466" s="1400"/>
      <c r="BA466" s="1682"/>
      <c r="BB466" s="1682"/>
      <c r="BC466" s="1400"/>
      <c r="BD466" s="1400"/>
      <c r="BE466" s="1683">
        <v>5734.95</v>
      </c>
      <c r="BF466" s="1683">
        <v>5734.95</v>
      </c>
      <c r="BG466" s="1683">
        <v>5304.83</v>
      </c>
      <c r="BH466" s="1683">
        <v>4874.71</v>
      </c>
      <c r="BI466" s="1683">
        <v>430.12</v>
      </c>
      <c r="BJ466" s="1683">
        <v>430.12</v>
      </c>
      <c r="BK466" s="1683">
        <v>0</v>
      </c>
      <c r="BL466" s="1683">
        <v>430.12</v>
      </c>
      <c r="BM466" s="1683">
        <v>0</v>
      </c>
      <c r="BN466" s="1683">
        <v>0</v>
      </c>
      <c r="BO466" s="1685">
        <v>43403</v>
      </c>
      <c r="BP466" s="1683">
        <v>5734.95</v>
      </c>
      <c r="BQ466" s="1683">
        <v>5734.95</v>
      </c>
      <c r="BR466" s="1683">
        <v>5304.83</v>
      </c>
      <c r="BS466" s="1683">
        <v>4874.71</v>
      </c>
      <c r="BT466" s="1683">
        <v>430.12</v>
      </c>
      <c r="BU466" s="1683">
        <v>430.12</v>
      </c>
      <c r="BV466" s="1683">
        <v>0</v>
      </c>
      <c r="BW466" s="1683">
        <v>0</v>
      </c>
      <c r="BX466" s="1683">
        <v>0</v>
      </c>
      <c r="BY466" s="1683">
        <v>0</v>
      </c>
      <c r="BZ466" s="1683">
        <v>0</v>
      </c>
      <c r="CA466" s="1400"/>
      <c r="CB466" s="1682"/>
      <c r="CC466" s="1682"/>
      <c r="CD466" s="1400"/>
      <c r="CE466" s="1400"/>
      <c r="CF466" s="1683">
        <v>0</v>
      </c>
      <c r="CG466" s="1683">
        <v>0</v>
      </c>
      <c r="CH466" s="1683">
        <v>0</v>
      </c>
      <c r="CI466" s="1683">
        <v>0</v>
      </c>
      <c r="CJ466" s="1683">
        <v>57.34</v>
      </c>
      <c r="CK466" s="1683">
        <v>57.34</v>
      </c>
      <c r="CL466" s="1682"/>
      <c r="CM466" s="1683">
        <v>0</v>
      </c>
      <c r="CN466" s="1683">
        <v>0</v>
      </c>
      <c r="CO466" s="1683">
        <v>0</v>
      </c>
      <c r="CP466" s="1683">
        <v>0</v>
      </c>
      <c r="CQ466" s="1683">
        <v>0</v>
      </c>
      <c r="CR466" s="1683">
        <v>0</v>
      </c>
      <c r="CS466" s="1683">
        <v>0</v>
      </c>
      <c r="CT466" s="1683">
        <v>0</v>
      </c>
      <c r="CU466" s="1683">
        <v>0</v>
      </c>
      <c r="CV466" s="1683">
        <v>0</v>
      </c>
      <c r="CW466" s="1682"/>
      <c r="CX466" s="1400"/>
      <c r="CY466" s="1400"/>
      <c r="CZ466" s="1400"/>
      <c r="DA466" s="1400"/>
      <c r="DB466" s="1682"/>
      <c r="DC466" s="1326"/>
      <c r="DD466" s="1683">
        <v>0</v>
      </c>
      <c r="DE466" s="1400"/>
      <c r="DF466" s="1400"/>
      <c r="DG466" s="1683">
        <v>0</v>
      </c>
      <c r="DH466" s="1683">
        <v>0</v>
      </c>
    </row>
    <row r="467" spans="1:112" ht="78.75">
      <c r="A467" s="1326" t="s">
        <v>3560</v>
      </c>
      <c r="B467" s="1326" t="s">
        <v>1702</v>
      </c>
      <c r="C467" s="1326" t="s">
        <v>2568</v>
      </c>
      <c r="D467" s="1326" t="s">
        <v>2569</v>
      </c>
      <c r="E467" s="1326" t="s">
        <v>2347</v>
      </c>
      <c r="F467" s="1326" t="s">
        <v>2563</v>
      </c>
      <c r="G467" s="1326" t="s">
        <v>2556</v>
      </c>
      <c r="H467" s="1326" t="s">
        <v>2541</v>
      </c>
      <c r="I467" s="1326" t="s">
        <v>1207</v>
      </c>
      <c r="J467" s="1326" t="s">
        <v>125</v>
      </c>
      <c r="K467" s="1326" t="s">
        <v>2060</v>
      </c>
      <c r="L467" s="1326" t="s">
        <v>2061</v>
      </c>
      <c r="M467" s="1400"/>
      <c r="N467" s="1400"/>
      <c r="O467" s="1400"/>
      <c r="P467" s="1400"/>
      <c r="Q467" s="1400"/>
      <c r="R467" s="1400"/>
      <c r="S467" s="1400"/>
      <c r="T467" s="1400"/>
      <c r="U467" s="1400"/>
      <c r="V467" s="1400"/>
      <c r="W467" s="1400"/>
      <c r="X467" s="1400"/>
      <c r="Y467" s="1685">
        <v>43410</v>
      </c>
      <c r="Z467" s="1326" t="s">
        <v>2062</v>
      </c>
      <c r="AA467" s="1683">
        <v>0</v>
      </c>
      <c r="AB467" s="1683">
        <v>0</v>
      </c>
      <c r="AC467" s="1683">
        <v>0</v>
      </c>
      <c r="AD467" s="1685">
        <v>43434</v>
      </c>
      <c r="AE467" s="1326" t="s">
        <v>2079</v>
      </c>
      <c r="AF467" s="1326" t="s">
        <v>2064</v>
      </c>
      <c r="AG467" s="1410"/>
      <c r="AH467" s="1683">
        <v>29788.61</v>
      </c>
      <c r="AI467" s="1683">
        <v>29788.61</v>
      </c>
      <c r="AJ467" s="1683">
        <v>27554.45</v>
      </c>
      <c r="AK467" s="1683">
        <v>25320.31</v>
      </c>
      <c r="AL467" s="1683">
        <v>2234.14</v>
      </c>
      <c r="AM467" s="1685">
        <v>43434</v>
      </c>
      <c r="AN467" s="1683">
        <v>29788.61</v>
      </c>
      <c r="AO467" s="1683">
        <v>29788.61</v>
      </c>
      <c r="AP467" s="1683">
        <v>27554.45</v>
      </c>
      <c r="AQ467" s="1683">
        <v>25320.31</v>
      </c>
      <c r="AR467" s="1683">
        <v>2234.14</v>
      </c>
      <c r="AS467" s="1683">
        <v>2234.16</v>
      </c>
      <c r="AT467" s="1683">
        <v>0</v>
      </c>
      <c r="AU467" s="1683">
        <v>2234.16</v>
      </c>
      <c r="AV467" s="1683">
        <v>0</v>
      </c>
      <c r="AW467" s="1683">
        <v>0</v>
      </c>
      <c r="AX467" s="1400"/>
      <c r="AY467" s="1400"/>
      <c r="AZ467" s="1400"/>
      <c r="BA467" s="1682"/>
      <c r="BB467" s="1682"/>
      <c r="BC467" s="1400"/>
      <c r="BD467" s="1400"/>
      <c r="BE467" s="1683">
        <v>29788.61</v>
      </c>
      <c r="BF467" s="1683">
        <v>29788.61</v>
      </c>
      <c r="BG467" s="1683">
        <v>27554.45</v>
      </c>
      <c r="BH467" s="1683">
        <v>25320.31</v>
      </c>
      <c r="BI467" s="1683">
        <v>2234.14</v>
      </c>
      <c r="BJ467" s="1683">
        <v>2234.16</v>
      </c>
      <c r="BK467" s="1683">
        <v>0</v>
      </c>
      <c r="BL467" s="1683">
        <v>2234.16</v>
      </c>
      <c r="BM467" s="1683">
        <v>0</v>
      </c>
      <c r="BN467" s="1683">
        <v>0</v>
      </c>
      <c r="BO467" s="1685">
        <v>43453</v>
      </c>
      <c r="BP467" s="1683">
        <v>29788.61</v>
      </c>
      <c r="BQ467" s="1683">
        <v>29788.61</v>
      </c>
      <c r="BR467" s="1683">
        <v>27554.45</v>
      </c>
      <c r="BS467" s="1683">
        <v>25320.31</v>
      </c>
      <c r="BT467" s="1683">
        <v>2234.14</v>
      </c>
      <c r="BU467" s="1683">
        <v>2234.16</v>
      </c>
      <c r="BV467" s="1683">
        <v>0</v>
      </c>
      <c r="BW467" s="1683">
        <v>0</v>
      </c>
      <c r="BX467" s="1683">
        <v>0</v>
      </c>
      <c r="BY467" s="1683">
        <v>0</v>
      </c>
      <c r="BZ467" s="1683">
        <v>0</v>
      </c>
      <c r="CA467" s="1400"/>
      <c r="CB467" s="1682"/>
      <c r="CC467" s="1682"/>
      <c r="CD467" s="1400"/>
      <c r="CE467" s="1400"/>
      <c r="CF467" s="1683">
        <v>0</v>
      </c>
      <c r="CG467" s="1683">
        <v>0</v>
      </c>
      <c r="CH467" s="1683">
        <v>0</v>
      </c>
      <c r="CI467" s="1683">
        <v>0</v>
      </c>
      <c r="CJ467" s="1683">
        <v>297.86</v>
      </c>
      <c r="CK467" s="1683">
        <v>297.86</v>
      </c>
      <c r="CL467" s="1682"/>
      <c r="CM467" s="1683">
        <v>0</v>
      </c>
      <c r="CN467" s="1683">
        <v>0</v>
      </c>
      <c r="CO467" s="1683">
        <v>0</v>
      </c>
      <c r="CP467" s="1683">
        <v>0</v>
      </c>
      <c r="CQ467" s="1683">
        <v>0</v>
      </c>
      <c r="CR467" s="1683">
        <v>0</v>
      </c>
      <c r="CS467" s="1683">
        <v>0</v>
      </c>
      <c r="CT467" s="1683">
        <v>0</v>
      </c>
      <c r="CU467" s="1683">
        <v>0</v>
      </c>
      <c r="CV467" s="1683">
        <v>0</v>
      </c>
      <c r="CW467" s="1682"/>
      <c r="CX467" s="1400"/>
      <c r="CY467" s="1400"/>
      <c r="CZ467" s="1400"/>
      <c r="DA467" s="1400"/>
      <c r="DB467" s="1682"/>
      <c r="DC467" s="1326"/>
      <c r="DD467" s="1683">
        <v>0</v>
      </c>
      <c r="DE467" s="1400"/>
      <c r="DF467" s="1400"/>
      <c r="DG467" s="1683">
        <v>0</v>
      </c>
      <c r="DH467" s="1683">
        <v>0</v>
      </c>
    </row>
    <row r="468" spans="1:112" ht="78.75">
      <c r="A468" s="1326" t="s">
        <v>3561</v>
      </c>
      <c r="B468" s="1326" t="s">
        <v>1702</v>
      </c>
      <c r="C468" s="1326" t="s">
        <v>2568</v>
      </c>
      <c r="D468" s="1326" t="s">
        <v>2569</v>
      </c>
      <c r="E468" s="1326" t="s">
        <v>2347</v>
      </c>
      <c r="F468" s="1326" t="s">
        <v>2563</v>
      </c>
      <c r="G468" s="1326" t="s">
        <v>2556</v>
      </c>
      <c r="H468" s="1326" t="s">
        <v>2541</v>
      </c>
      <c r="I468" s="1326" t="s">
        <v>1207</v>
      </c>
      <c r="J468" s="1326" t="s">
        <v>125</v>
      </c>
      <c r="K468" s="1326" t="s">
        <v>2060</v>
      </c>
      <c r="L468" s="1326" t="s">
        <v>2061</v>
      </c>
      <c r="M468" s="1400"/>
      <c r="N468" s="1400"/>
      <c r="O468" s="1400"/>
      <c r="P468" s="1400"/>
      <c r="Q468" s="1400"/>
      <c r="R468" s="1400"/>
      <c r="S468" s="1400"/>
      <c r="T468" s="1400"/>
      <c r="U468" s="1400"/>
      <c r="V468" s="1400"/>
      <c r="W468" s="1400"/>
      <c r="X468" s="1400"/>
      <c r="Y468" s="1685">
        <v>43448</v>
      </c>
      <c r="Z468" s="1326" t="s">
        <v>2096</v>
      </c>
      <c r="AA468" s="1683">
        <v>0</v>
      </c>
      <c r="AB468" s="1683">
        <v>0</v>
      </c>
      <c r="AC468" s="1683">
        <v>0</v>
      </c>
      <c r="AD468" s="1685">
        <v>43455</v>
      </c>
      <c r="AE468" s="1326" t="s">
        <v>2080</v>
      </c>
      <c r="AF468" s="1326" t="s">
        <v>2064</v>
      </c>
      <c r="AG468" s="1410"/>
      <c r="AH468" s="1683">
        <v>0</v>
      </c>
      <c r="AI468" s="1683">
        <v>20000</v>
      </c>
      <c r="AJ468" s="1683">
        <v>20000</v>
      </c>
      <c r="AK468" s="1683">
        <v>18378.38</v>
      </c>
      <c r="AL468" s="1683">
        <v>1621.62</v>
      </c>
      <c r="AM468" s="1682"/>
      <c r="AN468" s="1683">
        <v>0</v>
      </c>
      <c r="AO468" s="1683">
        <v>0</v>
      </c>
      <c r="AP468" s="1683">
        <v>0</v>
      </c>
      <c r="AQ468" s="1683">
        <v>0</v>
      </c>
      <c r="AR468" s="1683">
        <v>0</v>
      </c>
      <c r="AS468" s="1683">
        <v>0</v>
      </c>
      <c r="AT468" s="1683">
        <v>0</v>
      </c>
      <c r="AU468" s="1683">
        <v>0</v>
      </c>
      <c r="AV468" s="1683">
        <v>0</v>
      </c>
      <c r="AW468" s="1683">
        <v>0</v>
      </c>
      <c r="AX468" s="1400"/>
      <c r="AY468" s="1400"/>
      <c r="AZ468" s="1400"/>
      <c r="BA468" s="1682"/>
      <c r="BB468" s="1682"/>
      <c r="BC468" s="1400"/>
      <c r="BD468" s="1400"/>
      <c r="BE468" s="1683">
        <v>0</v>
      </c>
      <c r="BF468" s="1683">
        <v>0</v>
      </c>
      <c r="BG468" s="1683">
        <v>0</v>
      </c>
      <c r="BH468" s="1683">
        <v>0</v>
      </c>
      <c r="BI468" s="1683">
        <v>0</v>
      </c>
      <c r="BJ468" s="1683">
        <v>0</v>
      </c>
      <c r="BK468" s="1683">
        <v>0</v>
      </c>
      <c r="BL468" s="1683">
        <v>0</v>
      </c>
      <c r="BM468" s="1683">
        <v>0</v>
      </c>
      <c r="BN468" s="1683">
        <v>0</v>
      </c>
      <c r="BO468" s="1682"/>
      <c r="BP468" s="1683">
        <v>0</v>
      </c>
      <c r="BQ468" s="1683">
        <v>0</v>
      </c>
      <c r="BR468" s="1683">
        <v>0</v>
      </c>
      <c r="BS468" s="1683">
        <v>0</v>
      </c>
      <c r="BT468" s="1683">
        <v>0</v>
      </c>
      <c r="BU468" s="1683">
        <v>0</v>
      </c>
      <c r="BV468" s="1683">
        <v>0</v>
      </c>
      <c r="BW468" s="1683">
        <v>0</v>
      </c>
      <c r="BX468" s="1683">
        <v>0</v>
      </c>
      <c r="BY468" s="1683">
        <v>0</v>
      </c>
      <c r="BZ468" s="1400"/>
      <c r="CA468" s="1400"/>
      <c r="CB468" s="1682"/>
      <c r="CC468" s="1682"/>
      <c r="CD468" s="1400"/>
      <c r="CE468" s="1400"/>
      <c r="CF468" s="1683">
        <v>0</v>
      </c>
      <c r="CG468" s="1683">
        <v>0</v>
      </c>
      <c r="CH468" s="1683">
        <v>0</v>
      </c>
      <c r="CI468" s="1683">
        <v>0</v>
      </c>
      <c r="CJ468" s="1683">
        <v>0</v>
      </c>
      <c r="CK468" s="1683">
        <v>0</v>
      </c>
      <c r="CL468" s="1682"/>
      <c r="CM468" s="1683">
        <v>0</v>
      </c>
      <c r="CN468" s="1683">
        <v>0</v>
      </c>
      <c r="CO468" s="1683">
        <v>0</v>
      </c>
      <c r="CP468" s="1683">
        <v>0</v>
      </c>
      <c r="CQ468" s="1683">
        <v>0</v>
      </c>
      <c r="CR468" s="1683">
        <v>0</v>
      </c>
      <c r="CS468" s="1683">
        <v>0</v>
      </c>
      <c r="CT468" s="1683">
        <v>0</v>
      </c>
      <c r="CU468" s="1683">
        <v>0</v>
      </c>
      <c r="CV468" s="1683">
        <v>0</v>
      </c>
      <c r="CW468" s="1682"/>
      <c r="CX468" s="1400"/>
      <c r="CY468" s="1400"/>
      <c r="CZ468" s="1400"/>
      <c r="DA468" s="1400"/>
      <c r="DB468" s="1682"/>
      <c r="DC468" s="1326"/>
      <c r="DD468" s="1683">
        <v>0</v>
      </c>
      <c r="DE468" s="1400"/>
      <c r="DF468" s="1400"/>
      <c r="DG468" s="1683">
        <v>0</v>
      </c>
      <c r="DH468" s="1683">
        <v>0</v>
      </c>
    </row>
    <row r="469" spans="1:112" ht="78.75">
      <c r="A469" s="1326" t="s">
        <v>3562</v>
      </c>
      <c r="B469" s="1326" t="s">
        <v>1702</v>
      </c>
      <c r="C469" s="1326" t="s">
        <v>2568</v>
      </c>
      <c r="D469" s="1326" t="s">
        <v>2569</v>
      </c>
      <c r="E469" s="1326" t="s">
        <v>2347</v>
      </c>
      <c r="F469" s="1326" t="s">
        <v>2563</v>
      </c>
      <c r="G469" s="1326" t="s">
        <v>2556</v>
      </c>
      <c r="H469" s="1326" t="s">
        <v>2541</v>
      </c>
      <c r="I469" s="1326" t="s">
        <v>1207</v>
      </c>
      <c r="J469" s="1326" t="s">
        <v>125</v>
      </c>
      <c r="K469" s="1326" t="s">
        <v>2060</v>
      </c>
      <c r="L469" s="1326" t="s">
        <v>2061</v>
      </c>
      <c r="M469" s="1400"/>
      <c r="N469" s="1400"/>
      <c r="O469" s="1400"/>
      <c r="P469" s="1400"/>
      <c r="Q469" s="1400"/>
      <c r="R469" s="1400"/>
      <c r="S469" s="1400"/>
      <c r="T469" s="1400"/>
      <c r="U469" s="1400"/>
      <c r="V469" s="1400"/>
      <c r="W469" s="1400"/>
      <c r="X469" s="1400"/>
      <c r="Y469" s="1685">
        <v>43497</v>
      </c>
      <c r="Z469" s="1326" t="s">
        <v>2062</v>
      </c>
      <c r="AA469" s="1683">
        <v>0</v>
      </c>
      <c r="AB469" s="1683">
        <v>0</v>
      </c>
      <c r="AC469" s="1683">
        <v>0</v>
      </c>
      <c r="AD469" s="1685">
        <v>43530</v>
      </c>
      <c r="AE469" s="1326" t="s">
        <v>2081</v>
      </c>
      <c r="AF469" s="1326" t="s">
        <v>2064</v>
      </c>
      <c r="AG469" s="1410"/>
      <c r="AH469" s="1683">
        <v>57286.01</v>
      </c>
      <c r="AI469" s="1683">
        <v>57286.01</v>
      </c>
      <c r="AJ469" s="1683">
        <v>52989.56</v>
      </c>
      <c r="AK469" s="1683">
        <v>48693.11</v>
      </c>
      <c r="AL469" s="1683">
        <v>4296.45</v>
      </c>
      <c r="AM469" s="1685">
        <v>43530</v>
      </c>
      <c r="AN469" s="1683">
        <v>57286.01</v>
      </c>
      <c r="AO469" s="1683">
        <v>57286.01</v>
      </c>
      <c r="AP469" s="1683">
        <v>52989.56</v>
      </c>
      <c r="AQ469" s="1683">
        <v>48693.11</v>
      </c>
      <c r="AR469" s="1683">
        <v>4296.45</v>
      </c>
      <c r="AS469" s="1683">
        <v>4296.45</v>
      </c>
      <c r="AT469" s="1683">
        <v>0</v>
      </c>
      <c r="AU469" s="1683">
        <v>4296.45</v>
      </c>
      <c r="AV469" s="1683">
        <v>0</v>
      </c>
      <c r="AW469" s="1683">
        <v>0</v>
      </c>
      <c r="AX469" s="1400"/>
      <c r="AY469" s="1400"/>
      <c r="AZ469" s="1400"/>
      <c r="BA469" s="1682"/>
      <c r="BB469" s="1682"/>
      <c r="BC469" s="1400"/>
      <c r="BD469" s="1400"/>
      <c r="BE469" s="1683">
        <v>57286.01</v>
      </c>
      <c r="BF469" s="1683">
        <v>57286.01</v>
      </c>
      <c r="BG469" s="1683">
        <v>52989.56</v>
      </c>
      <c r="BH469" s="1683">
        <v>48693.11</v>
      </c>
      <c r="BI469" s="1683">
        <v>4296.45</v>
      </c>
      <c r="BJ469" s="1683">
        <v>4296.45</v>
      </c>
      <c r="BK469" s="1683">
        <v>0</v>
      </c>
      <c r="BL469" s="1683">
        <v>4296.45</v>
      </c>
      <c r="BM469" s="1683">
        <v>0</v>
      </c>
      <c r="BN469" s="1683">
        <v>0</v>
      </c>
      <c r="BO469" s="1682"/>
      <c r="BP469" s="1683">
        <v>0</v>
      </c>
      <c r="BQ469" s="1683">
        <v>0</v>
      </c>
      <c r="BR469" s="1683">
        <v>0</v>
      </c>
      <c r="BS469" s="1683">
        <v>0</v>
      </c>
      <c r="BT469" s="1683">
        <v>0</v>
      </c>
      <c r="BU469" s="1683">
        <v>0</v>
      </c>
      <c r="BV469" s="1683">
        <v>0</v>
      </c>
      <c r="BW469" s="1683">
        <v>0</v>
      </c>
      <c r="BX469" s="1683">
        <v>0</v>
      </c>
      <c r="BY469" s="1683">
        <v>0</v>
      </c>
      <c r="BZ469" s="1400"/>
      <c r="CA469" s="1400"/>
      <c r="CB469" s="1682"/>
      <c r="CC469" s="1682"/>
      <c r="CD469" s="1400"/>
      <c r="CE469" s="1400"/>
      <c r="CF469" s="1683">
        <v>0</v>
      </c>
      <c r="CG469" s="1683">
        <v>0</v>
      </c>
      <c r="CH469" s="1683">
        <v>0</v>
      </c>
      <c r="CI469" s="1683">
        <v>0</v>
      </c>
      <c r="CJ469" s="1683">
        <v>0</v>
      </c>
      <c r="CK469" s="1683">
        <v>0</v>
      </c>
      <c r="CL469" s="1682"/>
      <c r="CM469" s="1683">
        <v>0</v>
      </c>
      <c r="CN469" s="1683">
        <v>0</v>
      </c>
      <c r="CO469" s="1683">
        <v>0</v>
      </c>
      <c r="CP469" s="1683">
        <v>0</v>
      </c>
      <c r="CQ469" s="1683">
        <v>0</v>
      </c>
      <c r="CR469" s="1683">
        <v>0</v>
      </c>
      <c r="CS469" s="1683">
        <v>0</v>
      </c>
      <c r="CT469" s="1683">
        <v>0</v>
      </c>
      <c r="CU469" s="1683">
        <v>0</v>
      </c>
      <c r="CV469" s="1683">
        <v>0</v>
      </c>
      <c r="CW469" s="1682"/>
      <c r="CX469" s="1400"/>
      <c r="CY469" s="1400"/>
      <c r="CZ469" s="1400"/>
      <c r="DA469" s="1400"/>
      <c r="DB469" s="1682"/>
      <c r="DC469" s="1326"/>
      <c r="DD469" s="1683">
        <v>0</v>
      </c>
      <c r="DE469" s="1400"/>
      <c r="DF469" s="1400"/>
      <c r="DG469" s="1683">
        <v>0</v>
      </c>
      <c r="DH469" s="1683">
        <v>0</v>
      </c>
    </row>
    <row r="470" spans="1:112" ht="78.75">
      <c r="A470" s="1326" t="s">
        <v>3563</v>
      </c>
      <c r="B470" s="1326" t="s">
        <v>1702</v>
      </c>
      <c r="C470" s="1326" t="s">
        <v>2568</v>
      </c>
      <c r="D470" s="1326" t="s">
        <v>2569</v>
      </c>
      <c r="E470" s="1326" t="s">
        <v>2347</v>
      </c>
      <c r="F470" s="1326" t="s">
        <v>2563</v>
      </c>
      <c r="G470" s="1326" t="s">
        <v>2556</v>
      </c>
      <c r="H470" s="1326" t="s">
        <v>2541</v>
      </c>
      <c r="I470" s="1326" t="s">
        <v>1598</v>
      </c>
      <c r="J470" s="1326" t="s">
        <v>124</v>
      </c>
      <c r="K470" s="1326" t="s">
        <v>2060</v>
      </c>
      <c r="L470" s="1326" t="s">
        <v>2061</v>
      </c>
      <c r="M470" s="1683">
        <v>815537.61</v>
      </c>
      <c r="N470" s="1683">
        <v>0</v>
      </c>
      <c r="O470" s="1683">
        <v>815537.61</v>
      </c>
      <c r="P470" s="1683">
        <v>815537.61</v>
      </c>
      <c r="Q470" s="1683">
        <v>530342</v>
      </c>
      <c r="R470" s="1683">
        <v>487341</v>
      </c>
      <c r="S470" s="1683">
        <v>43001</v>
      </c>
      <c r="T470" s="1683">
        <v>285195.61</v>
      </c>
      <c r="U470" s="1683">
        <v>0</v>
      </c>
      <c r="V470" s="1683">
        <v>285195.61</v>
      </c>
      <c r="W470" s="1683">
        <v>0</v>
      </c>
      <c r="X470" s="1683">
        <v>0</v>
      </c>
      <c r="Y470" s="1682"/>
      <c r="Z470" s="1326"/>
      <c r="AA470" s="1683">
        <v>0</v>
      </c>
      <c r="AB470" s="1683">
        <v>0</v>
      </c>
      <c r="AC470" s="1683">
        <v>0</v>
      </c>
      <c r="AD470" s="1682"/>
      <c r="AE470" s="1326"/>
      <c r="AF470" s="1326"/>
      <c r="AG470" s="1410"/>
      <c r="AH470" s="1683">
        <v>4526.96</v>
      </c>
      <c r="AI470" s="1683">
        <v>4526.96</v>
      </c>
      <c r="AJ470" s="1683">
        <v>2943.87</v>
      </c>
      <c r="AK470" s="1683">
        <v>2705.17</v>
      </c>
      <c r="AL470" s="1683">
        <v>238.7</v>
      </c>
      <c r="AM470" s="1682"/>
      <c r="AN470" s="1683">
        <v>4526.96</v>
      </c>
      <c r="AO470" s="1683">
        <v>4526.96</v>
      </c>
      <c r="AP470" s="1683">
        <v>2943.87</v>
      </c>
      <c r="AQ470" s="1683">
        <v>2705.17</v>
      </c>
      <c r="AR470" s="1683">
        <v>238.7</v>
      </c>
      <c r="AS470" s="1683">
        <v>1583.09</v>
      </c>
      <c r="AT470" s="1683">
        <v>0</v>
      </c>
      <c r="AU470" s="1683">
        <v>1583.09</v>
      </c>
      <c r="AV470" s="1683">
        <v>0</v>
      </c>
      <c r="AW470" s="1683">
        <v>0</v>
      </c>
      <c r="AX470" s="1683">
        <v>0</v>
      </c>
      <c r="AY470" s="1683">
        <v>0</v>
      </c>
      <c r="AZ470" s="1683">
        <v>0</v>
      </c>
      <c r="BA470" s="1682"/>
      <c r="BB470" s="1682"/>
      <c r="BC470" s="1683">
        <v>0</v>
      </c>
      <c r="BD470" s="1683">
        <v>0</v>
      </c>
      <c r="BE470" s="1683">
        <v>4526.96</v>
      </c>
      <c r="BF470" s="1683">
        <v>4526.96</v>
      </c>
      <c r="BG470" s="1683">
        <v>2943.87</v>
      </c>
      <c r="BH470" s="1683">
        <v>2705.17</v>
      </c>
      <c r="BI470" s="1683">
        <v>238.7</v>
      </c>
      <c r="BJ470" s="1683">
        <v>1583.09</v>
      </c>
      <c r="BK470" s="1683">
        <v>0</v>
      </c>
      <c r="BL470" s="1683">
        <v>1583.09</v>
      </c>
      <c r="BM470" s="1683">
        <v>0</v>
      </c>
      <c r="BN470" s="1683">
        <v>0</v>
      </c>
      <c r="BO470" s="1682"/>
      <c r="BP470" s="1683">
        <v>4526.96</v>
      </c>
      <c r="BQ470" s="1683">
        <v>4526.96</v>
      </c>
      <c r="BR470" s="1683">
        <v>2943.87</v>
      </c>
      <c r="BS470" s="1683">
        <v>2705.17</v>
      </c>
      <c r="BT470" s="1683">
        <v>238.7</v>
      </c>
      <c r="BU470" s="1683">
        <v>1583.09</v>
      </c>
      <c r="BV470" s="1683">
        <v>0</v>
      </c>
      <c r="BW470" s="1683">
        <v>0</v>
      </c>
      <c r="BX470" s="1683">
        <v>0</v>
      </c>
      <c r="BY470" s="1683">
        <v>0</v>
      </c>
      <c r="BZ470" s="1683">
        <v>0</v>
      </c>
      <c r="CA470" s="1683">
        <v>0</v>
      </c>
      <c r="CB470" s="1682"/>
      <c r="CC470" s="1682"/>
      <c r="CD470" s="1683">
        <v>0</v>
      </c>
      <c r="CE470" s="1683">
        <v>0</v>
      </c>
      <c r="CF470" s="1683">
        <v>0</v>
      </c>
      <c r="CG470" s="1683">
        <v>0</v>
      </c>
      <c r="CH470" s="1683">
        <v>0</v>
      </c>
      <c r="CI470" s="1683">
        <v>0</v>
      </c>
      <c r="CJ470" s="1683">
        <v>36.96</v>
      </c>
      <c r="CK470" s="1683">
        <v>36.96</v>
      </c>
      <c r="CL470" s="1682"/>
      <c r="CM470" s="1683">
        <v>0</v>
      </c>
      <c r="CN470" s="1683">
        <v>0</v>
      </c>
      <c r="CO470" s="1683">
        <v>0</v>
      </c>
      <c r="CP470" s="1683">
        <v>0</v>
      </c>
      <c r="CQ470" s="1683">
        <v>0</v>
      </c>
      <c r="CR470" s="1683">
        <v>0</v>
      </c>
      <c r="CS470" s="1683">
        <v>0</v>
      </c>
      <c r="CT470" s="1683">
        <v>0</v>
      </c>
      <c r="CU470" s="1683">
        <v>0</v>
      </c>
      <c r="CV470" s="1683">
        <v>0</v>
      </c>
      <c r="CW470" s="1682"/>
      <c r="CX470" s="1683">
        <v>0</v>
      </c>
      <c r="CY470" s="1683">
        <v>0</v>
      </c>
      <c r="CZ470" s="1683">
        <v>0</v>
      </c>
      <c r="DA470" s="1683">
        <v>0</v>
      </c>
      <c r="DB470" s="1682"/>
      <c r="DC470" s="1326"/>
      <c r="DD470" s="1683">
        <v>0</v>
      </c>
      <c r="DE470" s="1683">
        <v>0</v>
      </c>
      <c r="DF470" s="1683">
        <v>0</v>
      </c>
      <c r="DG470" s="1683">
        <v>0</v>
      </c>
      <c r="DH470" s="1683">
        <v>0</v>
      </c>
    </row>
    <row r="471" spans="1:112" ht="78.75">
      <c r="A471" s="1326" t="s">
        <v>3564</v>
      </c>
      <c r="B471" s="1326" t="s">
        <v>1702</v>
      </c>
      <c r="C471" s="1326" t="s">
        <v>2568</v>
      </c>
      <c r="D471" s="1326" t="s">
        <v>2569</v>
      </c>
      <c r="E471" s="1326" t="s">
        <v>2347</v>
      </c>
      <c r="F471" s="1326" t="s">
        <v>2563</v>
      </c>
      <c r="G471" s="1326" t="s">
        <v>2556</v>
      </c>
      <c r="H471" s="1326" t="s">
        <v>2541</v>
      </c>
      <c r="I471" s="1326" t="s">
        <v>1598</v>
      </c>
      <c r="J471" s="1326" t="s">
        <v>124</v>
      </c>
      <c r="K471" s="1326" t="s">
        <v>2060</v>
      </c>
      <c r="L471" s="1326" t="s">
        <v>2061</v>
      </c>
      <c r="M471" s="1400"/>
      <c r="N471" s="1400"/>
      <c r="O471" s="1400"/>
      <c r="P471" s="1400"/>
      <c r="Q471" s="1400"/>
      <c r="R471" s="1400"/>
      <c r="S471" s="1400"/>
      <c r="T471" s="1400"/>
      <c r="U471" s="1400"/>
      <c r="V471" s="1400"/>
      <c r="W471" s="1400"/>
      <c r="X471" s="1400"/>
      <c r="Y471" s="1685">
        <v>43376</v>
      </c>
      <c r="Z471" s="1326" t="s">
        <v>2062</v>
      </c>
      <c r="AA471" s="1683">
        <v>0</v>
      </c>
      <c r="AB471" s="1683">
        <v>0</v>
      </c>
      <c r="AC471" s="1683">
        <v>0</v>
      </c>
      <c r="AD471" s="1685">
        <v>43402</v>
      </c>
      <c r="AE471" s="1326" t="s">
        <v>2073</v>
      </c>
      <c r="AF471" s="1326" t="s">
        <v>2064</v>
      </c>
      <c r="AG471" s="1410"/>
      <c r="AH471" s="1683">
        <v>4526.96</v>
      </c>
      <c r="AI471" s="1683">
        <v>4526.96</v>
      </c>
      <c r="AJ471" s="1683">
        <v>2943.87</v>
      </c>
      <c r="AK471" s="1683">
        <v>2705.17</v>
      </c>
      <c r="AL471" s="1683">
        <v>238.7</v>
      </c>
      <c r="AM471" s="1685">
        <v>43402</v>
      </c>
      <c r="AN471" s="1683">
        <v>4526.96</v>
      </c>
      <c r="AO471" s="1683">
        <v>4526.96</v>
      </c>
      <c r="AP471" s="1683">
        <v>2943.87</v>
      </c>
      <c r="AQ471" s="1683">
        <v>2705.17</v>
      </c>
      <c r="AR471" s="1683">
        <v>238.7</v>
      </c>
      <c r="AS471" s="1683">
        <v>1583.09</v>
      </c>
      <c r="AT471" s="1683">
        <v>0</v>
      </c>
      <c r="AU471" s="1683">
        <v>1583.09</v>
      </c>
      <c r="AV471" s="1683">
        <v>0</v>
      </c>
      <c r="AW471" s="1683">
        <v>0</v>
      </c>
      <c r="AX471" s="1400"/>
      <c r="AY471" s="1400"/>
      <c r="AZ471" s="1400"/>
      <c r="BA471" s="1682"/>
      <c r="BB471" s="1682"/>
      <c r="BC471" s="1400"/>
      <c r="BD471" s="1400"/>
      <c r="BE471" s="1683">
        <v>4526.96</v>
      </c>
      <c r="BF471" s="1683">
        <v>4526.96</v>
      </c>
      <c r="BG471" s="1683">
        <v>2943.87</v>
      </c>
      <c r="BH471" s="1683">
        <v>2705.17</v>
      </c>
      <c r="BI471" s="1683">
        <v>238.7</v>
      </c>
      <c r="BJ471" s="1683">
        <v>1583.09</v>
      </c>
      <c r="BK471" s="1683">
        <v>0</v>
      </c>
      <c r="BL471" s="1683">
        <v>1583.09</v>
      </c>
      <c r="BM471" s="1683">
        <v>0</v>
      </c>
      <c r="BN471" s="1683">
        <v>0</v>
      </c>
      <c r="BO471" s="1685">
        <v>43453</v>
      </c>
      <c r="BP471" s="1683">
        <v>4526.96</v>
      </c>
      <c r="BQ471" s="1683">
        <v>4526.96</v>
      </c>
      <c r="BR471" s="1683">
        <v>2943.87</v>
      </c>
      <c r="BS471" s="1683">
        <v>2705.17</v>
      </c>
      <c r="BT471" s="1683">
        <v>238.7</v>
      </c>
      <c r="BU471" s="1683">
        <v>1583.09</v>
      </c>
      <c r="BV471" s="1683">
        <v>0</v>
      </c>
      <c r="BW471" s="1683">
        <v>0</v>
      </c>
      <c r="BX471" s="1683">
        <v>0</v>
      </c>
      <c r="BY471" s="1683">
        <v>0</v>
      </c>
      <c r="BZ471" s="1683">
        <v>0</v>
      </c>
      <c r="CA471" s="1400"/>
      <c r="CB471" s="1682"/>
      <c r="CC471" s="1682"/>
      <c r="CD471" s="1400"/>
      <c r="CE471" s="1400"/>
      <c r="CF471" s="1683">
        <v>0</v>
      </c>
      <c r="CG471" s="1683">
        <v>0</v>
      </c>
      <c r="CH471" s="1683">
        <v>0</v>
      </c>
      <c r="CI471" s="1683">
        <v>0</v>
      </c>
      <c r="CJ471" s="1683">
        <v>36.96</v>
      </c>
      <c r="CK471" s="1683">
        <v>36.96</v>
      </c>
      <c r="CL471" s="1682"/>
      <c r="CM471" s="1683">
        <v>0</v>
      </c>
      <c r="CN471" s="1683">
        <v>0</v>
      </c>
      <c r="CO471" s="1683">
        <v>0</v>
      </c>
      <c r="CP471" s="1683">
        <v>0</v>
      </c>
      <c r="CQ471" s="1683">
        <v>0</v>
      </c>
      <c r="CR471" s="1683">
        <v>0</v>
      </c>
      <c r="CS471" s="1683">
        <v>0</v>
      </c>
      <c r="CT471" s="1683">
        <v>0</v>
      </c>
      <c r="CU471" s="1683">
        <v>0</v>
      </c>
      <c r="CV471" s="1683">
        <v>0</v>
      </c>
      <c r="CW471" s="1682"/>
      <c r="CX471" s="1400"/>
      <c r="CY471" s="1400"/>
      <c r="CZ471" s="1400"/>
      <c r="DA471" s="1400"/>
      <c r="DB471" s="1682"/>
      <c r="DC471" s="1326"/>
      <c r="DD471" s="1683">
        <v>0</v>
      </c>
      <c r="DE471" s="1400"/>
      <c r="DF471" s="1400"/>
      <c r="DG471" s="1683">
        <v>0</v>
      </c>
      <c r="DH471" s="1683">
        <v>0</v>
      </c>
    </row>
    <row r="472" spans="1:112" ht="45">
      <c r="A472" s="1326" t="s">
        <v>3565</v>
      </c>
      <c r="B472" s="1326" t="s">
        <v>1702</v>
      </c>
      <c r="C472" s="1326" t="s">
        <v>2568</v>
      </c>
      <c r="D472" s="1326" t="s">
        <v>2569</v>
      </c>
      <c r="E472" s="1326" t="s">
        <v>2347</v>
      </c>
      <c r="F472" s="1326" t="s">
        <v>2563</v>
      </c>
      <c r="G472" s="1326" t="s">
        <v>2556</v>
      </c>
      <c r="H472" s="1326" t="s">
        <v>2541</v>
      </c>
      <c r="I472" s="1326" t="s">
        <v>1599</v>
      </c>
      <c r="J472" s="1326" t="s">
        <v>384</v>
      </c>
      <c r="K472" s="1326" t="s">
        <v>2110</v>
      </c>
      <c r="L472" s="1326" t="s">
        <v>2061</v>
      </c>
      <c r="M472" s="1683">
        <v>579418.99</v>
      </c>
      <c r="N472" s="1683">
        <v>0</v>
      </c>
      <c r="O472" s="1683">
        <v>579418.99</v>
      </c>
      <c r="P472" s="1683">
        <v>579418.99</v>
      </c>
      <c r="Q472" s="1683">
        <v>386429</v>
      </c>
      <c r="R472" s="1683">
        <v>355096.91</v>
      </c>
      <c r="S472" s="1683">
        <v>31332.09</v>
      </c>
      <c r="T472" s="1683">
        <v>192989.99</v>
      </c>
      <c r="U472" s="1683">
        <v>0</v>
      </c>
      <c r="V472" s="1683">
        <v>192989.99</v>
      </c>
      <c r="W472" s="1683">
        <v>0</v>
      </c>
      <c r="X472" s="1683">
        <v>0</v>
      </c>
      <c r="Y472" s="1682"/>
      <c r="Z472" s="1326"/>
      <c r="AA472" s="1683">
        <v>0</v>
      </c>
      <c r="AB472" s="1683">
        <v>0</v>
      </c>
      <c r="AC472" s="1683">
        <v>0</v>
      </c>
      <c r="AD472" s="1682"/>
      <c r="AE472" s="1326"/>
      <c r="AF472" s="1326"/>
      <c r="AG472" s="1410"/>
      <c r="AH472" s="1683">
        <v>511204.57</v>
      </c>
      <c r="AI472" s="1683">
        <v>511204.57</v>
      </c>
      <c r="AJ472" s="1683">
        <v>340935.09</v>
      </c>
      <c r="AK472" s="1683">
        <v>313291.7</v>
      </c>
      <c r="AL472" s="1683">
        <v>27643.39</v>
      </c>
      <c r="AM472" s="1682"/>
      <c r="AN472" s="1683">
        <v>511204.57</v>
      </c>
      <c r="AO472" s="1683">
        <v>511204.57</v>
      </c>
      <c r="AP472" s="1683">
        <v>340935.09</v>
      </c>
      <c r="AQ472" s="1683">
        <v>313291.7</v>
      </c>
      <c r="AR472" s="1683">
        <v>27643.39</v>
      </c>
      <c r="AS472" s="1683">
        <v>170269.48</v>
      </c>
      <c r="AT472" s="1683">
        <v>0</v>
      </c>
      <c r="AU472" s="1683">
        <v>170269.48</v>
      </c>
      <c r="AV472" s="1683">
        <v>0</v>
      </c>
      <c r="AW472" s="1683">
        <v>0</v>
      </c>
      <c r="AX472" s="1683">
        <v>0</v>
      </c>
      <c r="AY472" s="1683">
        <v>0</v>
      </c>
      <c r="AZ472" s="1683">
        <v>0</v>
      </c>
      <c r="BA472" s="1682"/>
      <c r="BB472" s="1682"/>
      <c r="BC472" s="1683">
        <v>0</v>
      </c>
      <c r="BD472" s="1683">
        <v>0</v>
      </c>
      <c r="BE472" s="1683">
        <v>511204.57</v>
      </c>
      <c r="BF472" s="1683">
        <v>511204.57</v>
      </c>
      <c r="BG472" s="1683">
        <v>340935.09</v>
      </c>
      <c r="BH472" s="1683">
        <v>313291.7</v>
      </c>
      <c r="BI472" s="1683">
        <v>27643.39</v>
      </c>
      <c r="BJ472" s="1683">
        <v>170269.48</v>
      </c>
      <c r="BK472" s="1683">
        <v>0</v>
      </c>
      <c r="BL472" s="1683">
        <v>170269.48</v>
      </c>
      <c r="BM472" s="1683">
        <v>0</v>
      </c>
      <c r="BN472" s="1683">
        <v>0</v>
      </c>
      <c r="BO472" s="1682"/>
      <c r="BP472" s="1683">
        <v>511204.57</v>
      </c>
      <c r="BQ472" s="1683">
        <v>511204.57</v>
      </c>
      <c r="BR472" s="1683">
        <v>340935.09</v>
      </c>
      <c r="BS472" s="1683">
        <v>313291.7</v>
      </c>
      <c r="BT472" s="1683">
        <v>27643.39</v>
      </c>
      <c r="BU472" s="1683">
        <v>170269.48</v>
      </c>
      <c r="BV472" s="1683">
        <v>0</v>
      </c>
      <c r="BW472" s="1683">
        <v>0</v>
      </c>
      <c r="BX472" s="1683">
        <v>0</v>
      </c>
      <c r="BY472" s="1683">
        <v>0</v>
      </c>
      <c r="BZ472" s="1683">
        <v>0</v>
      </c>
      <c r="CA472" s="1683">
        <v>0</v>
      </c>
      <c r="CB472" s="1682"/>
      <c r="CC472" s="1682"/>
      <c r="CD472" s="1683">
        <v>0</v>
      </c>
      <c r="CE472" s="1683">
        <v>0</v>
      </c>
      <c r="CF472" s="1683">
        <v>0</v>
      </c>
      <c r="CG472" s="1683">
        <v>0</v>
      </c>
      <c r="CH472" s="1683">
        <v>0</v>
      </c>
      <c r="CI472" s="1683">
        <v>0</v>
      </c>
      <c r="CJ472" s="1683">
        <v>0</v>
      </c>
      <c r="CK472" s="1683">
        <v>0</v>
      </c>
      <c r="CL472" s="1682"/>
      <c r="CM472" s="1683">
        <v>0</v>
      </c>
      <c r="CN472" s="1683">
        <v>0</v>
      </c>
      <c r="CO472" s="1683">
        <v>0</v>
      </c>
      <c r="CP472" s="1683">
        <v>0</v>
      </c>
      <c r="CQ472" s="1683">
        <v>0</v>
      </c>
      <c r="CR472" s="1683">
        <v>0</v>
      </c>
      <c r="CS472" s="1683">
        <v>0</v>
      </c>
      <c r="CT472" s="1683">
        <v>0</v>
      </c>
      <c r="CU472" s="1683">
        <v>0</v>
      </c>
      <c r="CV472" s="1683">
        <v>0</v>
      </c>
      <c r="CW472" s="1682"/>
      <c r="CX472" s="1683">
        <v>0</v>
      </c>
      <c r="CY472" s="1683">
        <v>0</v>
      </c>
      <c r="CZ472" s="1683">
        <v>0</v>
      </c>
      <c r="DA472" s="1683">
        <v>0</v>
      </c>
      <c r="DB472" s="1682"/>
      <c r="DC472" s="1326"/>
      <c r="DD472" s="1683">
        <v>0</v>
      </c>
      <c r="DE472" s="1683">
        <v>0</v>
      </c>
      <c r="DF472" s="1683">
        <v>0</v>
      </c>
      <c r="DG472" s="1683">
        <v>0</v>
      </c>
      <c r="DH472" s="1683">
        <v>0</v>
      </c>
    </row>
    <row r="473" spans="1:112" ht="45">
      <c r="A473" s="1326" t="s">
        <v>3566</v>
      </c>
      <c r="B473" s="1326" t="s">
        <v>1702</v>
      </c>
      <c r="C473" s="1326" t="s">
        <v>2568</v>
      </c>
      <c r="D473" s="1326" t="s">
        <v>2569</v>
      </c>
      <c r="E473" s="1326" t="s">
        <v>2347</v>
      </c>
      <c r="F473" s="1326" t="s">
        <v>2563</v>
      </c>
      <c r="G473" s="1326" t="s">
        <v>2556</v>
      </c>
      <c r="H473" s="1326" t="s">
        <v>2541</v>
      </c>
      <c r="I473" s="1326" t="s">
        <v>1599</v>
      </c>
      <c r="J473" s="1326" t="s">
        <v>384</v>
      </c>
      <c r="K473" s="1326" t="s">
        <v>2110</v>
      </c>
      <c r="L473" s="1326" t="s">
        <v>2061</v>
      </c>
      <c r="M473" s="1400"/>
      <c r="N473" s="1400"/>
      <c r="O473" s="1400"/>
      <c r="P473" s="1400"/>
      <c r="Q473" s="1400"/>
      <c r="R473" s="1400"/>
      <c r="S473" s="1400"/>
      <c r="T473" s="1400"/>
      <c r="U473" s="1400"/>
      <c r="V473" s="1400"/>
      <c r="W473" s="1400"/>
      <c r="X473" s="1400"/>
      <c r="Y473" s="1685">
        <v>43403</v>
      </c>
      <c r="Z473" s="1326" t="s">
        <v>2062</v>
      </c>
      <c r="AA473" s="1683">
        <v>0</v>
      </c>
      <c r="AB473" s="1683">
        <v>0</v>
      </c>
      <c r="AC473" s="1683">
        <v>0</v>
      </c>
      <c r="AD473" s="1685">
        <v>43431</v>
      </c>
      <c r="AE473" s="1326" t="s">
        <v>2073</v>
      </c>
      <c r="AF473" s="1326" t="s">
        <v>2067</v>
      </c>
      <c r="AG473" s="1410"/>
      <c r="AH473" s="1683">
        <v>269696.09000000003</v>
      </c>
      <c r="AI473" s="1683">
        <v>269696.09000000003</v>
      </c>
      <c r="AJ473" s="1683">
        <v>179867.06</v>
      </c>
      <c r="AK473" s="1683">
        <v>165283.24</v>
      </c>
      <c r="AL473" s="1683">
        <v>14583.82</v>
      </c>
      <c r="AM473" s="1685">
        <v>43433</v>
      </c>
      <c r="AN473" s="1683">
        <v>269696.09000000003</v>
      </c>
      <c r="AO473" s="1683">
        <v>269696.09000000003</v>
      </c>
      <c r="AP473" s="1683">
        <v>179867.06</v>
      </c>
      <c r="AQ473" s="1683">
        <v>165283.24</v>
      </c>
      <c r="AR473" s="1683">
        <v>14583.82</v>
      </c>
      <c r="AS473" s="1683">
        <v>89829.03</v>
      </c>
      <c r="AT473" s="1683">
        <v>0</v>
      </c>
      <c r="AU473" s="1683">
        <v>89829.03</v>
      </c>
      <c r="AV473" s="1683">
        <v>0</v>
      </c>
      <c r="AW473" s="1683">
        <v>0</v>
      </c>
      <c r="AX473" s="1400"/>
      <c r="AY473" s="1400"/>
      <c r="AZ473" s="1400"/>
      <c r="BA473" s="1682"/>
      <c r="BB473" s="1682"/>
      <c r="BC473" s="1400"/>
      <c r="BD473" s="1400"/>
      <c r="BE473" s="1683">
        <v>269696.09000000003</v>
      </c>
      <c r="BF473" s="1683">
        <v>269696.09000000003</v>
      </c>
      <c r="BG473" s="1683">
        <v>179867.06</v>
      </c>
      <c r="BH473" s="1683">
        <v>165283.24</v>
      </c>
      <c r="BI473" s="1683">
        <v>14583.82</v>
      </c>
      <c r="BJ473" s="1683">
        <v>89829.03</v>
      </c>
      <c r="BK473" s="1683">
        <v>0</v>
      </c>
      <c r="BL473" s="1683">
        <v>89829.03</v>
      </c>
      <c r="BM473" s="1683">
        <v>0</v>
      </c>
      <c r="BN473" s="1683">
        <v>0</v>
      </c>
      <c r="BO473" s="1685">
        <v>43453</v>
      </c>
      <c r="BP473" s="1683">
        <v>269696.09000000003</v>
      </c>
      <c r="BQ473" s="1683">
        <v>269696.09000000003</v>
      </c>
      <c r="BR473" s="1683">
        <v>179867.06</v>
      </c>
      <c r="BS473" s="1683">
        <v>165283.24</v>
      </c>
      <c r="BT473" s="1683">
        <v>14583.82</v>
      </c>
      <c r="BU473" s="1683">
        <v>89829.03</v>
      </c>
      <c r="BV473" s="1683">
        <v>0</v>
      </c>
      <c r="BW473" s="1683">
        <v>0</v>
      </c>
      <c r="BX473" s="1683">
        <v>0</v>
      </c>
      <c r="BY473" s="1683">
        <v>0</v>
      </c>
      <c r="BZ473" s="1683">
        <v>0</v>
      </c>
      <c r="CA473" s="1400"/>
      <c r="CB473" s="1682"/>
      <c r="CC473" s="1682"/>
      <c r="CD473" s="1400"/>
      <c r="CE473" s="1400"/>
      <c r="CF473" s="1683">
        <v>0</v>
      </c>
      <c r="CG473" s="1683">
        <v>0</v>
      </c>
      <c r="CH473" s="1683">
        <v>0</v>
      </c>
      <c r="CI473" s="1683">
        <v>0</v>
      </c>
      <c r="CJ473" s="1683">
        <v>0</v>
      </c>
      <c r="CK473" s="1683">
        <v>0</v>
      </c>
      <c r="CL473" s="1682"/>
      <c r="CM473" s="1683">
        <v>0</v>
      </c>
      <c r="CN473" s="1683">
        <v>0</v>
      </c>
      <c r="CO473" s="1683">
        <v>0</v>
      </c>
      <c r="CP473" s="1683">
        <v>0</v>
      </c>
      <c r="CQ473" s="1683">
        <v>0</v>
      </c>
      <c r="CR473" s="1683">
        <v>0</v>
      </c>
      <c r="CS473" s="1683">
        <v>0</v>
      </c>
      <c r="CT473" s="1683">
        <v>0</v>
      </c>
      <c r="CU473" s="1683">
        <v>0</v>
      </c>
      <c r="CV473" s="1683">
        <v>0</v>
      </c>
      <c r="CW473" s="1682"/>
      <c r="CX473" s="1400"/>
      <c r="CY473" s="1400"/>
      <c r="CZ473" s="1400"/>
      <c r="DA473" s="1400"/>
      <c r="DB473" s="1682"/>
      <c r="DC473" s="1326"/>
      <c r="DD473" s="1683">
        <v>0</v>
      </c>
      <c r="DE473" s="1400"/>
      <c r="DF473" s="1400"/>
      <c r="DG473" s="1683">
        <v>0</v>
      </c>
      <c r="DH473" s="1683">
        <v>0</v>
      </c>
    </row>
    <row r="474" spans="1:112" ht="45">
      <c r="A474" s="1326" t="s">
        <v>3567</v>
      </c>
      <c r="B474" s="1326" t="s">
        <v>1702</v>
      </c>
      <c r="C474" s="1326" t="s">
        <v>2568</v>
      </c>
      <c r="D474" s="1326" t="s">
        <v>2569</v>
      </c>
      <c r="E474" s="1326" t="s">
        <v>2347</v>
      </c>
      <c r="F474" s="1326" t="s">
        <v>2563</v>
      </c>
      <c r="G474" s="1326" t="s">
        <v>2556</v>
      </c>
      <c r="H474" s="1326" t="s">
        <v>2541</v>
      </c>
      <c r="I474" s="1326" t="s">
        <v>1599</v>
      </c>
      <c r="J474" s="1326" t="s">
        <v>384</v>
      </c>
      <c r="K474" s="1326" t="s">
        <v>2110</v>
      </c>
      <c r="L474" s="1326" t="s">
        <v>2061</v>
      </c>
      <c r="M474" s="1400"/>
      <c r="N474" s="1400"/>
      <c r="O474" s="1400"/>
      <c r="P474" s="1400"/>
      <c r="Q474" s="1400"/>
      <c r="R474" s="1400"/>
      <c r="S474" s="1400"/>
      <c r="T474" s="1400"/>
      <c r="U474" s="1400"/>
      <c r="V474" s="1400"/>
      <c r="W474" s="1400"/>
      <c r="X474" s="1400"/>
      <c r="Y474" s="1685">
        <v>43403</v>
      </c>
      <c r="Z474" s="1326" t="s">
        <v>2062</v>
      </c>
      <c r="AA474" s="1683">
        <v>0</v>
      </c>
      <c r="AB474" s="1683">
        <v>0</v>
      </c>
      <c r="AC474" s="1683">
        <v>0</v>
      </c>
      <c r="AD474" s="1685">
        <v>43431</v>
      </c>
      <c r="AE474" s="1326" t="s">
        <v>2073</v>
      </c>
      <c r="AF474" s="1326" t="s">
        <v>2064</v>
      </c>
      <c r="AG474" s="1410"/>
      <c r="AH474" s="1683">
        <v>241508.48000000001</v>
      </c>
      <c r="AI474" s="1683">
        <v>241508.48000000001</v>
      </c>
      <c r="AJ474" s="1683">
        <v>161068.03</v>
      </c>
      <c r="AK474" s="1683">
        <v>148008.46</v>
      </c>
      <c r="AL474" s="1683">
        <v>13059.57</v>
      </c>
      <c r="AM474" s="1685">
        <v>43431</v>
      </c>
      <c r="AN474" s="1683">
        <v>241508.48000000001</v>
      </c>
      <c r="AO474" s="1683">
        <v>241508.48000000001</v>
      </c>
      <c r="AP474" s="1683">
        <v>161068.03</v>
      </c>
      <c r="AQ474" s="1683">
        <v>148008.46</v>
      </c>
      <c r="AR474" s="1683">
        <v>13059.57</v>
      </c>
      <c r="AS474" s="1683">
        <v>80440.45</v>
      </c>
      <c r="AT474" s="1683">
        <v>0</v>
      </c>
      <c r="AU474" s="1683">
        <v>80440.45</v>
      </c>
      <c r="AV474" s="1683">
        <v>0</v>
      </c>
      <c r="AW474" s="1683">
        <v>0</v>
      </c>
      <c r="AX474" s="1400"/>
      <c r="AY474" s="1400"/>
      <c r="AZ474" s="1400"/>
      <c r="BA474" s="1682"/>
      <c r="BB474" s="1682"/>
      <c r="BC474" s="1400"/>
      <c r="BD474" s="1400"/>
      <c r="BE474" s="1683">
        <v>241508.48000000001</v>
      </c>
      <c r="BF474" s="1683">
        <v>241508.48000000001</v>
      </c>
      <c r="BG474" s="1683">
        <v>161068.03</v>
      </c>
      <c r="BH474" s="1683">
        <v>148008.46</v>
      </c>
      <c r="BI474" s="1683">
        <v>13059.57</v>
      </c>
      <c r="BJ474" s="1683">
        <v>80440.45</v>
      </c>
      <c r="BK474" s="1683">
        <v>0</v>
      </c>
      <c r="BL474" s="1683">
        <v>80440.45</v>
      </c>
      <c r="BM474" s="1683">
        <v>0</v>
      </c>
      <c r="BN474" s="1683">
        <v>0</v>
      </c>
      <c r="BO474" s="1685">
        <v>43453</v>
      </c>
      <c r="BP474" s="1683">
        <v>241508.48000000001</v>
      </c>
      <c r="BQ474" s="1683">
        <v>241508.48000000001</v>
      </c>
      <c r="BR474" s="1683">
        <v>161068.03</v>
      </c>
      <c r="BS474" s="1683">
        <v>148008.46</v>
      </c>
      <c r="BT474" s="1683">
        <v>13059.57</v>
      </c>
      <c r="BU474" s="1683">
        <v>80440.45</v>
      </c>
      <c r="BV474" s="1683">
        <v>0</v>
      </c>
      <c r="BW474" s="1683">
        <v>0</v>
      </c>
      <c r="BX474" s="1683">
        <v>0</v>
      </c>
      <c r="BY474" s="1683">
        <v>0</v>
      </c>
      <c r="BZ474" s="1683">
        <v>0</v>
      </c>
      <c r="CA474" s="1400"/>
      <c r="CB474" s="1682"/>
      <c r="CC474" s="1682"/>
      <c r="CD474" s="1400"/>
      <c r="CE474" s="1400"/>
      <c r="CF474" s="1683">
        <v>0</v>
      </c>
      <c r="CG474" s="1683">
        <v>0</v>
      </c>
      <c r="CH474" s="1683">
        <v>0</v>
      </c>
      <c r="CI474" s="1683">
        <v>0</v>
      </c>
      <c r="CJ474" s="1683">
        <v>0</v>
      </c>
      <c r="CK474" s="1683">
        <v>0</v>
      </c>
      <c r="CL474" s="1682"/>
      <c r="CM474" s="1683">
        <v>0</v>
      </c>
      <c r="CN474" s="1683">
        <v>0</v>
      </c>
      <c r="CO474" s="1683">
        <v>0</v>
      </c>
      <c r="CP474" s="1683">
        <v>0</v>
      </c>
      <c r="CQ474" s="1683">
        <v>0</v>
      </c>
      <c r="CR474" s="1683">
        <v>0</v>
      </c>
      <c r="CS474" s="1683">
        <v>0</v>
      </c>
      <c r="CT474" s="1683">
        <v>0</v>
      </c>
      <c r="CU474" s="1683">
        <v>0</v>
      </c>
      <c r="CV474" s="1683">
        <v>0</v>
      </c>
      <c r="CW474" s="1682"/>
      <c r="CX474" s="1400"/>
      <c r="CY474" s="1400"/>
      <c r="CZ474" s="1400"/>
      <c r="DA474" s="1400"/>
      <c r="DB474" s="1682"/>
      <c r="DC474" s="1326"/>
      <c r="DD474" s="1683">
        <v>0</v>
      </c>
      <c r="DE474" s="1400"/>
      <c r="DF474" s="1400"/>
      <c r="DG474" s="1683">
        <v>0</v>
      </c>
      <c r="DH474" s="1683">
        <v>0</v>
      </c>
    </row>
    <row r="475" spans="1:112" ht="45">
      <c r="A475" s="1326" t="s">
        <v>3568</v>
      </c>
      <c r="B475" s="1326" t="s">
        <v>1702</v>
      </c>
      <c r="C475" s="1326" t="s">
        <v>2568</v>
      </c>
      <c r="D475" s="1326" t="s">
        <v>2569</v>
      </c>
      <c r="E475" s="1326" t="s">
        <v>2347</v>
      </c>
      <c r="F475" s="1326" t="s">
        <v>2563</v>
      </c>
      <c r="G475" s="1326" t="s">
        <v>2556</v>
      </c>
      <c r="H475" s="1326" t="s">
        <v>2541</v>
      </c>
      <c r="I475" s="1326" t="s">
        <v>1600</v>
      </c>
      <c r="J475" s="1326" t="s">
        <v>385</v>
      </c>
      <c r="K475" s="1326" t="s">
        <v>2110</v>
      </c>
      <c r="L475" s="1326" t="s">
        <v>2061</v>
      </c>
      <c r="M475" s="1683">
        <v>673878</v>
      </c>
      <c r="N475" s="1683">
        <v>0</v>
      </c>
      <c r="O475" s="1683">
        <v>673878</v>
      </c>
      <c r="P475" s="1683">
        <v>673878</v>
      </c>
      <c r="Q475" s="1683">
        <v>623337</v>
      </c>
      <c r="R475" s="1683">
        <v>572796.16000000003</v>
      </c>
      <c r="S475" s="1683">
        <v>50540.84</v>
      </c>
      <c r="T475" s="1683">
        <v>50541</v>
      </c>
      <c r="U475" s="1683">
        <v>0</v>
      </c>
      <c r="V475" s="1683">
        <v>50541</v>
      </c>
      <c r="W475" s="1683">
        <v>0</v>
      </c>
      <c r="X475" s="1683">
        <v>0</v>
      </c>
      <c r="Y475" s="1682"/>
      <c r="Z475" s="1326"/>
      <c r="AA475" s="1683">
        <v>0</v>
      </c>
      <c r="AB475" s="1683">
        <v>0</v>
      </c>
      <c r="AC475" s="1683">
        <v>0</v>
      </c>
      <c r="AD475" s="1682"/>
      <c r="AE475" s="1326"/>
      <c r="AF475" s="1326"/>
      <c r="AG475" s="1410"/>
      <c r="AH475" s="1683">
        <v>201288.27</v>
      </c>
      <c r="AI475" s="1683">
        <v>249088.27</v>
      </c>
      <c r="AJ475" s="1683">
        <v>233991.61</v>
      </c>
      <c r="AK475" s="1683">
        <v>215019.31</v>
      </c>
      <c r="AL475" s="1683">
        <v>18972.3</v>
      </c>
      <c r="AM475" s="1682"/>
      <c r="AN475" s="1683">
        <v>201288.27</v>
      </c>
      <c r="AO475" s="1683">
        <v>201288.27</v>
      </c>
      <c r="AP475" s="1683">
        <v>186191.61</v>
      </c>
      <c r="AQ475" s="1683">
        <v>171094.99</v>
      </c>
      <c r="AR475" s="1683">
        <v>15096.62</v>
      </c>
      <c r="AS475" s="1683">
        <v>15096.66</v>
      </c>
      <c r="AT475" s="1683">
        <v>0</v>
      </c>
      <c r="AU475" s="1683">
        <v>15096.66</v>
      </c>
      <c r="AV475" s="1683">
        <v>0</v>
      </c>
      <c r="AW475" s="1683">
        <v>0</v>
      </c>
      <c r="AX475" s="1683">
        <v>0</v>
      </c>
      <c r="AY475" s="1683">
        <v>0</v>
      </c>
      <c r="AZ475" s="1683">
        <v>0</v>
      </c>
      <c r="BA475" s="1682"/>
      <c r="BB475" s="1682"/>
      <c r="BC475" s="1683">
        <v>0</v>
      </c>
      <c r="BD475" s="1683">
        <v>0</v>
      </c>
      <c r="BE475" s="1683">
        <v>201288.27</v>
      </c>
      <c r="BF475" s="1683">
        <v>201288.27</v>
      </c>
      <c r="BG475" s="1683">
        <v>186191.61</v>
      </c>
      <c r="BH475" s="1683">
        <v>171094.99</v>
      </c>
      <c r="BI475" s="1683">
        <v>15096.62</v>
      </c>
      <c r="BJ475" s="1683">
        <v>15096.66</v>
      </c>
      <c r="BK475" s="1683">
        <v>0</v>
      </c>
      <c r="BL475" s="1683">
        <v>15096.66</v>
      </c>
      <c r="BM475" s="1683">
        <v>0</v>
      </c>
      <c r="BN475" s="1683">
        <v>0</v>
      </c>
      <c r="BO475" s="1682"/>
      <c r="BP475" s="1683">
        <v>201288.27</v>
      </c>
      <c r="BQ475" s="1683">
        <v>201288.27</v>
      </c>
      <c r="BR475" s="1683">
        <v>186191.61</v>
      </c>
      <c r="BS475" s="1683">
        <v>171094.99</v>
      </c>
      <c r="BT475" s="1683">
        <v>15096.62</v>
      </c>
      <c r="BU475" s="1683">
        <v>15096.66</v>
      </c>
      <c r="BV475" s="1683">
        <v>0</v>
      </c>
      <c r="BW475" s="1683">
        <v>0</v>
      </c>
      <c r="BX475" s="1683">
        <v>0</v>
      </c>
      <c r="BY475" s="1683">
        <v>0</v>
      </c>
      <c r="BZ475" s="1683">
        <v>0</v>
      </c>
      <c r="CA475" s="1683">
        <v>0</v>
      </c>
      <c r="CB475" s="1682"/>
      <c r="CC475" s="1682"/>
      <c r="CD475" s="1683">
        <v>0</v>
      </c>
      <c r="CE475" s="1683">
        <v>0</v>
      </c>
      <c r="CF475" s="1683">
        <v>0</v>
      </c>
      <c r="CG475" s="1683">
        <v>0</v>
      </c>
      <c r="CH475" s="1683">
        <v>0</v>
      </c>
      <c r="CI475" s="1683">
        <v>0</v>
      </c>
      <c r="CJ475" s="1683">
        <v>0</v>
      </c>
      <c r="CK475" s="1683">
        <v>0</v>
      </c>
      <c r="CL475" s="1682"/>
      <c r="CM475" s="1683">
        <v>0</v>
      </c>
      <c r="CN475" s="1683">
        <v>0</v>
      </c>
      <c r="CO475" s="1683">
        <v>0</v>
      </c>
      <c r="CP475" s="1683">
        <v>0</v>
      </c>
      <c r="CQ475" s="1683">
        <v>0</v>
      </c>
      <c r="CR475" s="1683">
        <v>0</v>
      </c>
      <c r="CS475" s="1683">
        <v>0</v>
      </c>
      <c r="CT475" s="1683">
        <v>0</v>
      </c>
      <c r="CU475" s="1683">
        <v>0</v>
      </c>
      <c r="CV475" s="1683">
        <v>0</v>
      </c>
      <c r="CW475" s="1682"/>
      <c r="CX475" s="1683">
        <v>0</v>
      </c>
      <c r="CY475" s="1683">
        <v>0</v>
      </c>
      <c r="CZ475" s="1683">
        <v>0</v>
      </c>
      <c r="DA475" s="1683">
        <v>0</v>
      </c>
      <c r="DB475" s="1682"/>
      <c r="DC475" s="1326"/>
      <c r="DD475" s="1683">
        <v>0</v>
      </c>
      <c r="DE475" s="1683">
        <v>0</v>
      </c>
      <c r="DF475" s="1683">
        <v>0</v>
      </c>
      <c r="DG475" s="1683">
        <v>0</v>
      </c>
      <c r="DH475" s="1683">
        <v>0</v>
      </c>
    </row>
    <row r="476" spans="1:112" ht="45">
      <c r="A476" s="1326" t="s">
        <v>3569</v>
      </c>
      <c r="B476" s="1326" t="s">
        <v>1702</v>
      </c>
      <c r="C476" s="1326" t="s">
        <v>2568</v>
      </c>
      <c r="D476" s="1326" t="s">
        <v>2569</v>
      </c>
      <c r="E476" s="1326" t="s">
        <v>2347</v>
      </c>
      <c r="F476" s="1326" t="s">
        <v>2563</v>
      </c>
      <c r="G476" s="1326" t="s">
        <v>2556</v>
      </c>
      <c r="H476" s="1326" t="s">
        <v>2541</v>
      </c>
      <c r="I476" s="1326" t="s">
        <v>1600</v>
      </c>
      <c r="J476" s="1326" t="s">
        <v>385</v>
      </c>
      <c r="K476" s="1326" t="s">
        <v>2110</v>
      </c>
      <c r="L476" s="1326" t="s">
        <v>2061</v>
      </c>
      <c r="M476" s="1400"/>
      <c r="N476" s="1400"/>
      <c r="O476" s="1400"/>
      <c r="P476" s="1400"/>
      <c r="Q476" s="1400"/>
      <c r="R476" s="1400"/>
      <c r="S476" s="1400"/>
      <c r="T476" s="1400"/>
      <c r="U476" s="1400"/>
      <c r="V476" s="1400"/>
      <c r="W476" s="1400"/>
      <c r="X476" s="1400"/>
      <c r="Y476" s="1685">
        <v>43411</v>
      </c>
      <c r="Z476" s="1326" t="s">
        <v>2062</v>
      </c>
      <c r="AA476" s="1683">
        <v>0</v>
      </c>
      <c r="AB476" s="1683">
        <v>0</v>
      </c>
      <c r="AC476" s="1683">
        <v>0</v>
      </c>
      <c r="AD476" s="1685">
        <v>43434</v>
      </c>
      <c r="AE476" s="1326" t="s">
        <v>2073</v>
      </c>
      <c r="AF476" s="1326" t="s">
        <v>2067</v>
      </c>
      <c r="AG476" s="1410"/>
      <c r="AH476" s="1683">
        <v>85535.91</v>
      </c>
      <c r="AI476" s="1683">
        <v>85535.91</v>
      </c>
      <c r="AJ476" s="1683">
        <v>79120.7</v>
      </c>
      <c r="AK476" s="1683">
        <v>72705.509999999995</v>
      </c>
      <c r="AL476" s="1683">
        <v>6415.19</v>
      </c>
      <c r="AM476" s="1685">
        <v>43434</v>
      </c>
      <c r="AN476" s="1683">
        <v>85535.91</v>
      </c>
      <c r="AO476" s="1683">
        <v>85535.91</v>
      </c>
      <c r="AP476" s="1683">
        <v>79120.7</v>
      </c>
      <c r="AQ476" s="1683">
        <v>72705.509999999995</v>
      </c>
      <c r="AR476" s="1683">
        <v>6415.19</v>
      </c>
      <c r="AS476" s="1683">
        <v>6415.21</v>
      </c>
      <c r="AT476" s="1683">
        <v>0</v>
      </c>
      <c r="AU476" s="1683">
        <v>6415.21</v>
      </c>
      <c r="AV476" s="1683">
        <v>0</v>
      </c>
      <c r="AW476" s="1683">
        <v>0</v>
      </c>
      <c r="AX476" s="1400"/>
      <c r="AY476" s="1400"/>
      <c r="AZ476" s="1400"/>
      <c r="BA476" s="1682"/>
      <c r="BB476" s="1682"/>
      <c r="BC476" s="1400"/>
      <c r="BD476" s="1400"/>
      <c r="BE476" s="1683">
        <v>85535.91</v>
      </c>
      <c r="BF476" s="1683">
        <v>85535.91</v>
      </c>
      <c r="BG476" s="1683">
        <v>79120.7</v>
      </c>
      <c r="BH476" s="1683">
        <v>72705.509999999995</v>
      </c>
      <c r="BI476" s="1683">
        <v>6415.19</v>
      </c>
      <c r="BJ476" s="1683">
        <v>6415.21</v>
      </c>
      <c r="BK476" s="1683">
        <v>0</v>
      </c>
      <c r="BL476" s="1683">
        <v>6415.21</v>
      </c>
      <c r="BM476" s="1683">
        <v>0</v>
      </c>
      <c r="BN476" s="1683">
        <v>0</v>
      </c>
      <c r="BO476" s="1685">
        <v>43453</v>
      </c>
      <c r="BP476" s="1683">
        <v>85535.91</v>
      </c>
      <c r="BQ476" s="1683">
        <v>85535.91</v>
      </c>
      <c r="BR476" s="1683">
        <v>79120.7</v>
      </c>
      <c r="BS476" s="1683">
        <v>72705.509999999995</v>
      </c>
      <c r="BT476" s="1683">
        <v>6415.19</v>
      </c>
      <c r="BU476" s="1683">
        <v>6415.21</v>
      </c>
      <c r="BV476" s="1683">
        <v>0</v>
      </c>
      <c r="BW476" s="1683">
        <v>0</v>
      </c>
      <c r="BX476" s="1683">
        <v>0</v>
      </c>
      <c r="BY476" s="1683">
        <v>0</v>
      </c>
      <c r="BZ476" s="1683">
        <v>0</v>
      </c>
      <c r="CA476" s="1400"/>
      <c r="CB476" s="1682"/>
      <c r="CC476" s="1682"/>
      <c r="CD476" s="1400"/>
      <c r="CE476" s="1400"/>
      <c r="CF476" s="1683">
        <v>0</v>
      </c>
      <c r="CG476" s="1683">
        <v>0</v>
      </c>
      <c r="CH476" s="1683">
        <v>0</v>
      </c>
      <c r="CI476" s="1683">
        <v>0</v>
      </c>
      <c r="CJ476" s="1683">
        <v>0</v>
      </c>
      <c r="CK476" s="1683">
        <v>0</v>
      </c>
      <c r="CL476" s="1682"/>
      <c r="CM476" s="1683">
        <v>0</v>
      </c>
      <c r="CN476" s="1683">
        <v>0</v>
      </c>
      <c r="CO476" s="1683">
        <v>0</v>
      </c>
      <c r="CP476" s="1683">
        <v>0</v>
      </c>
      <c r="CQ476" s="1683">
        <v>0</v>
      </c>
      <c r="CR476" s="1683">
        <v>0</v>
      </c>
      <c r="CS476" s="1683">
        <v>0</v>
      </c>
      <c r="CT476" s="1683">
        <v>0</v>
      </c>
      <c r="CU476" s="1683">
        <v>0</v>
      </c>
      <c r="CV476" s="1683">
        <v>0</v>
      </c>
      <c r="CW476" s="1682"/>
      <c r="CX476" s="1400"/>
      <c r="CY476" s="1400"/>
      <c r="CZ476" s="1400"/>
      <c r="DA476" s="1400"/>
      <c r="DB476" s="1682"/>
      <c r="DC476" s="1326"/>
      <c r="DD476" s="1683">
        <v>0</v>
      </c>
      <c r="DE476" s="1400"/>
      <c r="DF476" s="1400"/>
      <c r="DG476" s="1683">
        <v>0</v>
      </c>
      <c r="DH476" s="1683">
        <v>0</v>
      </c>
    </row>
    <row r="477" spans="1:112" ht="45">
      <c r="A477" s="1326" t="s">
        <v>3570</v>
      </c>
      <c r="B477" s="1326" t="s">
        <v>1702</v>
      </c>
      <c r="C477" s="1326" t="s">
        <v>2568</v>
      </c>
      <c r="D477" s="1326" t="s">
        <v>2569</v>
      </c>
      <c r="E477" s="1326" t="s">
        <v>2347</v>
      </c>
      <c r="F477" s="1326" t="s">
        <v>2563</v>
      </c>
      <c r="G477" s="1326" t="s">
        <v>2556</v>
      </c>
      <c r="H477" s="1326" t="s">
        <v>2541</v>
      </c>
      <c r="I477" s="1326" t="s">
        <v>1600</v>
      </c>
      <c r="J477" s="1326" t="s">
        <v>385</v>
      </c>
      <c r="K477" s="1326" t="s">
        <v>2110</v>
      </c>
      <c r="L477" s="1326" t="s">
        <v>2061</v>
      </c>
      <c r="M477" s="1400"/>
      <c r="N477" s="1400"/>
      <c r="O477" s="1400"/>
      <c r="P477" s="1400"/>
      <c r="Q477" s="1400"/>
      <c r="R477" s="1400"/>
      <c r="S477" s="1400"/>
      <c r="T477" s="1400"/>
      <c r="U477" s="1400"/>
      <c r="V477" s="1400"/>
      <c r="W477" s="1400"/>
      <c r="X477" s="1400"/>
      <c r="Y477" s="1685">
        <v>43411</v>
      </c>
      <c r="Z477" s="1326" t="s">
        <v>2062</v>
      </c>
      <c r="AA477" s="1683">
        <v>0</v>
      </c>
      <c r="AB477" s="1683">
        <v>0</v>
      </c>
      <c r="AC477" s="1683">
        <v>0</v>
      </c>
      <c r="AD477" s="1685">
        <v>43434</v>
      </c>
      <c r="AE477" s="1326" t="s">
        <v>2073</v>
      </c>
      <c r="AF477" s="1326" t="s">
        <v>2064</v>
      </c>
      <c r="AG477" s="1410"/>
      <c r="AH477" s="1683">
        <v>115752.36</v>
      </c>
      <c r="AI477" s="1683">
        <v>115752.36</v>
      </c>
      <c r="AJ477" s="1683">
        <v>107070.91</v>
      </c>
      <c r="AK477" s="1683">
        <v>98389.48</v>
      </c>
      <c r="AL477" s="1683">
        <v>8681.43</v>
      </c>
      <c r="AM477" s="1685">
        <v>43434</v>
      </c>
      <c r="AN477" s="1683">
        <v>115752.36</v>
      </c>
      <c r="AO477" s="1683">
        <v>115752.36</v>
      </c>
      <c r="AP477" s="1683">
        <v>107070.91</v>
      </c>
      <c r="AQ477" s="1683">
        <v>98389.48</v>
      </c>
      <c r="AR477" s="1683">
        <v>8681.43</v>
      </c>
      <c r="AS477" s="1683">
        <v>8681.4500000000007</v>
      </c>
      <c r="AT477" s="1683">
        <v>0</v>
      </c>
      <c r="AU477" s="1683">
        <v>8681.4500000000007</v>
      </c>
      <c r="AV477" s="1683">
        <v>0</v>
      </c>
      <c r="AW477" s="1683">
        <v>0</v>
      </c>
      <c r="AX477" s="1400"/>
      <c r="AY477" s="1400"/>
      <c r="AZ477" s="1400"/>
      <c r="BA477" s="1682"/>
      <c r="BB477" s="1682"/>
      <c r="BC477" s="1400"/>
      <c r="BD477" s="1400"/>
      <c r="BE477" s="1683">
        <v>115752.36</v>
      </c>
      <c r="BF477" s="1683">
        <v>115752.36</v>
      </c>
      <c r="BG477" s="1683">
        <v>107070.91</v>
      </c>
      <c r="BH477" s="1683">
        <v>98389.48</v>
      </c>
      <c r="BI477" s="1683">
        <v>8681.43</v>
      </c>
      <c r="BJ477" s="1683">
        <v>8681.4500000000007</v>
      </c>
      <c r="BK477" s="1683">
        <v>0</v>
      </c>
      <c r="BL477" s="1683">
        <v>8681.4500000000007</v>
      </c>
      <c r="BM477" s="1683">
        <v>0</v>
      </c>
      <c r="BN477" s="1683">
        <v>0</v>
      </c>
      <c r="BO477" s="1685">
        <v>43453</v>
      </c>
      <c r="BP477" s="1683">
        <v>115752.36</v>
      </c>
      <c r="BQ477" s="1683">
        <v>115752.36</v>
      </c>
      <c r="BR477" s="1683">
        <v>107070.91</v>
      </c>
      <c r="BS477" s="1683">
        <v>98389.48</v>
      </c>
      <c r="BT477" s="1683">
        <v>8681.43</v>
      </c>
      <c r="BU477" s="1683">
        <v>8681.4500000000007</v>
      </c>
      <c r="BV477" s="1683">
        <v>0</v>
      </c>
      <c r="BW477" s="1683">
        <v>0</v>
      </c>
      <c r="BX477" s="1683">
        <v>0</v>
      </c>
      <c r="BY477" s="1683">
        <v>0</v>
      </c>
      <c r="BZ477" s="1683">
        <v>0</v>
      </c>
      <c r="CA477" s="1400"/>
      <c r="CB477" s="1682"/>
      <c r="CC477" s="1682"/>
      <c r="CD477" s="1400"/>
      <c r="CE477" s="1400"/>
      <c r="CF477" s="1683">
        <v>0</v>
      </c>
      <c r="CG477" s="1683">
        <v>0</v>
      </c>
      <c r="CH477" s="1683">
        <v>0</v>
      </c>
      <c r="CI477" s="1683">
        <v>0</v>
      </c>
      <c r="CJ477" s="1683">
        <v>0</v>
      </c>
      <c r="CK477" s="1683">
        <v>0</v>
      </c>
      <c r="CL477" s="1682"/>
      <c r="CM477" s="1683">
        <v>0</v>
      </c>
      <c r="CN477" s="1683">
        <v>0</v>
      </c>
      <c r="CO477" s="1683">
        <v>0</v>
      </c>
      <c r="CP477" s="1683">
        <v>0</v>
      </c>
      <c r="CQ477" s="1683">
        <v>0</v>
      </c>
      <c r="CR477" s="1683">
        <v>0</v>
      </c>
      <c r="CS477" s="1683">
        <v>0</v>
      </c>
      <c r="CT477" s="1683">
        <v>0</v>
      </c>
      <c r="CU477" s="1683">
        <v>0</v>
      </c>
      <c r="CV477" s="1683">
        <v>0</v>
      </c>
      <c r="CW477" s="1682"/>
      <c r="CX477" s="1400"/>
      <c r="CY477" s="1400"/>
      <c r="CZ477" s="1400"/>
      <c r="DA477" s="1400"/>
      <c r="DB477" s="1682"/>
      <c r="DC477" s="1326"/>
      <c r="DD477" s="1683">
        <v>0</v>
      </c>
      <c r="DE477" s="1400"/>
      <c r="DF477" s="1400"/>
      <c r="DG477" s="1683">
        <v>0</v>
      </c>
      <c r="DH477" s="1683">
        <v>0</v>
      </c>
    </row>
    <row r="478" spans="1:112" ht="45">
      <c r="A478" s="1326" t="s">
        <v>3571</v>
      </c>
      <c r="B478" s="1326" t="s">
        <v>1702</v>
      </c>
      <c r="C478" s="1326" t="s">
        <v>2568</v>
      </c>
      <c r="D478" s="1326" t="s">
        <v>2569</v>
      </c>
      <c r="E478" s="1326" t="s">
        <v>2347</v>
      </c>
      <c r="F478" s="1326" t="s">
        <v>2563</v>
      </c>
      <c r="G478" s="1326" t="s">
        <v>2556</v>
      </c>
      <c r="H478" s="1326" t="s">
        <v>2541</v>
      </c>
      <c r="I478" s="1326" t="s">
        <v>1600</v>
      </c>
      <c r="J478" s="1326" t="s">
        <v>385</v>
      </c>
      <c r="K478" s="1326" t="s">
        <v>2110</v>
      </c>
      <c r="L478" s="1326" t="s">
        <v>2061</v>
      </c>
      <c r="M478" s="1400"/>
      <c r="N478" s="1400"/>
      <c r="O478" s="1400"/>
      <c r="P478" s="1400"/>
      <c r="Q478" s="1400"/>
      <c r="R478" s="1400"/>
      <c r="S478" s="1400"/>
      <c r="T478" s="1400"/>
      <c r="U478" s="1400"/>
      <c r="V478" s="1400"/>
      <c r="W478" s="1400"/>
      <c r="X478" s="1400"/>
      <c r="Y478" s="1685">
        <v>43413</v>
      </c>
      <c r="Z478" s="1326" t="s">
        <v>2096</v>
      </c>
      <c r="AA478" s="1683">
        <v>0</v>
      </c>
      <c r="AB478" s="1683">
        <v>0</v>
      </c>
      <c r="AC478" s="1683">
        <v>0</v>
      </c>
      <c r="AD478" s="1685">
        <v>43419</v>
      </c>
      <c r="AE478" s="1326" t="s">
        <v>2063</v>
      </c>
      <c r="AF478" s="1326" t="s">
        <v>2064</v>
      </c>
      <c r="AG478" s="1410"/>
      <c r="AH478" s="1683">
        <v>0</v>
      </c>
      <c r="AI478" s="1683">
        <v>47800</v>
      </c>
      <c r="AJ478" s="1683">
        <v>47800</v>
      </c>
      <c r="AK478" s="1683">
        <v>43924.32</v>
      </c>
      <c r="AL478" s="1683">
        <v>3875.68</v>
      </c>
      <c r="AM478" s="1682"/>
      <c r="AN478" s="1683">
        <v>0</v>
      </c>
      <c r="AO478" s="1683">
        <v>0</v>
      </c>
      <c r="AP478" s="1683">
        <v>0</v>
      </c>
      <c r="AQ478" s="1683">
        <v>0</v>
      </c>
      <c r="AR478" s="1683">
        <v>0</v>
      </c>
      <c r="AS478" s="1683">
        <v>0</v>
      </c>
      <c r="AT478" s="1683">
        <v>0</v>
      </c>
      <c r="AU478" s="1683">
        <v>0</v>
      </c>
      <c r="AV478" s="1683">
        <v>0</v>
      </c>
      <c r="AW478" s="1683">
        <v>0</v>
      </c>
      <c r="AX478" s="1400"/>
      <c r="AY478" s="1400"/>
      <c r="AZ478" s="1400"/>
      <c r="BA478" s="1682"/>
      <c r="BB478" s="1682"/>
      <c r="BC478" s="1400"/>
      <c r="BD478" s="1400"/>
      <c r="BE478" s="1683">
        <v>0</v>
      </c>
      <c r="BF478" s="1683">
        <v>0</v>
      </c>
      <c r="BG478" s="1683">
        <v>0</v>
      </c>
      <c r="BH478" s="1683">
        <v>0</v>
      </c>
      <c r="BI478" s="1683">
        <v>0</v>
      </c>
      <c r="BJ478" s="1683">
        <v>0</v>
      </c>
      <c r="BK478" s="1683">
        <v>0</v>
      </c>
      <c r="BL478" s="1683">
        <v>0</v>
      </c>
      <c r="BM478" s="1683">
        <v>0</v>
      </c>
      <c r="BN478" s="1683">
        <v>0</v>
      </c>
      <c r="BO478" s="1682"/>
      <c r="BP478" s="1683">
        <v>0</v>
      </c>
      <c r="BQ478" s="1683">
        <v>0</v>
      </c>
      <c r="BR478" s="1683">
        <v>0</v>
      </c>
      <c r="BS478" s="1683">
        <v>0</v>
      </c>
      <c r="BT478" s="1683">
        <v>0</v>
      </c>
      <c r="BU478" s="1683">
        <v>0</v>
      </c>
      <c r="BV478" s="1683">
        <v>0</v>
      </c>
      <c r="BW478" s="1683">
        <v>0</v>
      </c>
      <c r="BX478" s="1683">
        <v>0</v>
      </c>
      <c r="BY478" s="1683">
        <v>0</v>
      </c>
      <c r="BZ478" s="1400"/>
      <c r="CA478" s="1400"/>
      <c r="CB478" s="1682"/>
      <c r="CC478" s="1682"/>
      <c r="CD478" s="1400"/>
      <c r="CE478" s="1400"/>
      <c r="CF478" s="1683">
        <v>0</v>
      </c>
      <c r="CG478" s="1683">
        <v>0</v>
      </c>
      <c r="CH478" s="1683">
        <v>0</v>
      </c>
      <c r="CI478" s="1683">
        <v>0</v>
      </c>
      <c r="CJ478" s="1683">
        <v>0</v>
      </c>
      <c r="CK478" s="1683">
        <v>0</v>
      </c>
      <c r="CL478" s="1682"/>
      <c r="CM478" s="1683">
        <v>0</v>
      </c>
      <c r="CN478" s="1683">
        <v>0</v>
      </c>
      <c r="CO478" s="1683">
        <v>0</v>
      </c>
      <c r="CP478" s="1683">
        <v>0</v>
      </c>
      <c r="CQ478" s="1683">
        <v>0</v>
      </c>
      <c r="CR478" s="1683">
        <v>0</v>
      </c>
      <c r="CS478" s="1683">
        <v>0</v>
      </c>
      <c r="CT478" s="1683">
        <v>0</v>
      </c>
      <c r="CU478" s="1683">
        <v>0</v>
      </c>
      <c r="CV478" s="1683">
        <v>0</v>
      </c>
      <c r="CW478" s="1682"/>
      <c r="CX478" s="1400"/>
      <c r="CY478" s="1400"/>
      <c r="CZ478" s="1400"/>
      <c r="DA478" s="1400"/>
      <c r="DB478" s="1682"/>
      <c r="DC478" s="1326"/>
      <c r="DD478" s="1683">
        <v>0</v>
      </c>
      <c r="DE478" s="1400"/>
      <c r="DF478" s="1400"/>
      <c r="DG478" s="1683">
        <v>0</v>
      </c>
      <c r="DH478" s="1683">
        <v>0</v>
      </c>
    </row>
    <row r="479" spans="1:112">
      <c r="A479" s="1326" t="s">
        <v>3572</v>
      </c>
      <c r="B479" s="1326" t="s">
        <v>1702</v>
      </c>
      <c r="C479" s="1326" t="s">
        <v>2570</v>
      </c>
      <c r="D479" s="1326"/>
      <c r="E479" s="1326"/>
      <c r="F479" s="1326"/>
      <c r="G479" s="1326"/>
      <c r="H479" s="1326"/>
      <c r="I479" s="1326"/>
      <c r="J479" s="1326"/>
      <c r="K479" s="1326"/>
      <c r="L479" s="1326"/>
      <c r="M479" s="1683">
        <v>3011284.3</v>
      </c>
      <c r="N479" s="1683">
        <v>0</v>
      </c>
      <c r="O479" s="1683">
        <v>3011284.3</v>
      </c>
      <c r="P479" s="1683">
        <v>3011284.3</v>
      </c>
      <c r="Q479" s="1683">
        <v>2931764.19</v>
      </c>
      <c r="R479" s="1683">
        <v>2351584.13</v>
      </c>
      <c r="S479" s="1683">
        <v>580180.06000000006</v>
      </c>
      <c r="T479" s="1683">
        <v>79520.11</v>
      </c>
      <c r="U479" s="1683">
        <v>0</v>
      </c>
      <c r="V479" s="1683">
        <v>78220.160000000003</v>
      </c>
      <c r="W479" s="1683">
        <v>1299.95</v>
      </c>
      <c r="X479" s="1683">
        <v>0</v>
      </c>
      <c r="Y479" s="1682"/>
      <c r="Z479" s="1326"/>
      <c r="AA479" s="1683">
        <v>0</v>
      </c>
      <c r="AB479" s="1683">
        <v>0</v>
      </c>
      <c r="AC479" s="1683">
        <v>0</v>
      </c>
      <c r="AD479" s="1682"/>
      <c r="AE479" s="1326"/>
      <c r="AF479" s="1326"/>
      <c r="AG479" s="1410"/>
      <c r="AH479" s="1683">
        <v>602549.75</v>
      </c>
      <c r="AI479" s="1683">
        <v>1064503.29</v>
      </c>
      <c r="AJ479" s="1683">
        <v>1052673.81</v>
      </c>
      <c r="AK479" s="1683">
        <v>855021.26</v>
      </c>
      <c r="AL479" s="1683">
        <v>197652.55</v>
      </c>
      <c r="AM479" s="1682"/>
      <c r="AN479" s="1683">
        <v>602549.75</v>
      </c>
      <c r="AO479" s="1683">
        <v>602549.75</v>
      </c>
      <c r="AP479" s="1683">
        <v>590720.27</v>
      </c>
      <c r="AQ479" s="1683">
        <v>472882.91</v>
      </c>
      <c r="AR479" s="1683">
        <v>117837.36</v>
      </c>
      <c r="AS479" s="1683">
        <v>11829.48</v>
      </c>
      <c r="AT479" s="1683">
        <v>0</v>
      </c>
      <c r="AU479" s="1683">
        <v>11782.76</v>
      </c>
      <c r="AV479" s="1683">
        <v>46.72</v>
      </c>
      <c r="AW479" s="1683">
        <v>0</v>
      </c>
      <c r="AX479" s="1683">
        <v>0</v>
      </c>
      <c r="AY479" s="1683">
        <v>0</v>
      </c>
      <c r="AZ479" s="1683">
        <v>0</v>
      </c>
      <c r="BA479" s="1682"/>
      <c r="BB479" s="1682"/>
      <c r="BC479" s="1683">
        <v>0</v>
      </c>
      <c r="BD479" s="1683">
        <v>0</v>
      </c>
      <c r="BE479" s="1683">
        <v>602549.75</v>
      </c>
      <c r="BF479" s="1683">
        <v>602549.75</v>
      </c>
      <c r="BG479" s="1683">
        <v>590720.27</v>
      </c>
      <c r="BH479" s="1683">
        <v>472882.91</v>
      </c>
      <c r="BI479" s="1683">
        <v>117837.36</v>
      </c>
      <c r="BJ479" s="1683">
        <v>11829.48</v>
      </c>
      <c r="BK479" s="1683">
        <v>0</v>
      </c>
      <c r="BL479" s="1683">
        <v>11782.76</v>
      </c>
      <c r="BM479" s="1683">
        <v>46.72</v>
      </c>
      <c r="BN479" s="1683">
        <v>0</v>
      </c>
      <c r="BO479" s="1682"/>
      <c r="BP479" s="1683">
        <v>358708</v>
      </c>
      <c r="BQ479" s="1683">
        <v>358708</v>
      </c>
      <c r="BR479" s="1683">
        <v>353516.83</v>
      </c>
      <c r="BS479" s="1683">
        <v>278304.63</v>
      </c>
      <c r="BT479" s="1683">
        <v>75212.2</v>
      </c>
      <c r="BU479" s="1683">
        <v>5191.17</v>
      </c>
      <c r="BV479" s="1683">
        <v>0</v>
      </c>
      <c r="BW479" s="1683">
        <v>0</v>
      </c>
      <c r="BX479" s="1683">
        <v>0</v>
      </c>
      <c r="BY479" s="1683">
        <v>0</v>
      </c>
      <c r="BZ479" s="1683">
        <v>0</v>
      </c>
      <c r="CA479" s="1683">
        <v>0</v>
      </c>
      <c r="CB479" s="1682"/>
      <c r="CC479" s="1682"/>
      <c r="CD479" s="1683">
        <v>0</v>
      </c>
      <c r="CE479" s="1683">
        <v>0</v>
      </c>
      <c r="CF479" s="1683">
        <v>15633</v>
      </c>
      <c r="CG479" s="1683">
        <v>15633</v>
      </c>
      <c r="CH479" s="1683">
        <v>0</v>
      </c>
      <c r="CI479" s="1683">
        <v>0</v>
      </c>
      <c r="CJ479" s="1683">
        <v>109061.82</v>
      </c>
      <c r="CK479" s="1683">
        <v>109061.82</v>
      </c>
      <c r="CL479" s="1682"/>
      <c r="CM479" s="1683">
        <v>21473.71</v>
      </c>
      <c r="CN479" s="1683">
        <v>21473.71</v>
      </c>
      <c r="CO479" s="1683">
        <v>21473.71</v>
      </c>
      <c r="CP479" s="1683">
        <v>16506.259999999998</v>
      </c>
      <c r="CQ479" s="1683">
        <v>4967.45</v>
      </c>
      <c r="CR479" s="1683">
        <v>0</v>
      </c>
      <c r="CS479" s="1683">
        <v>0</v>
      </c>
      <c r="CT479" s="1683">
        <v>0</v>
      </c>
      <c r="CU479" s="1683">
        <v>0</v>
      </c>
      <c r="CV479" s="1683">
        <v>0</v>
      </c>
      <c r="CW479" s="1682"/>
      <c r="CX479" s="1683">
        <v>0</v>
      </c>
      <c r="CY479" s="1683">
        <v>0</v>
      </c>
      <c r="CZ479" s="1683">
        <v>21473.71</v>
      </c>
      <c r="DA479" s="1683">
        <v>21473.71</v>
      </c>
      <c r="DB479" s="1682"/>
      <c r="DC479" s="1326"/>
      <c r="DD479" s="1683">
        <v>8437.2000000000007</v>
      </c>
      <c r="DE479" s="1683">
        <v>0</v>
      </c>
      <c r="DF479" s="1683">
        <v>0</v>
      </c>
      <c r="DG479" s="1683">
        <v>0</v>
      </c>
      <c r="DH479" s="1683">
        <v>0</v>
      </c>
    </row>
    <row r="480" spans="1:112">
      <c r="A480" s="1326" t="s">
        <v>3573</v>
      </c>
      <c r="B480" s="1326" t="s">
        <v>1702</v>
      </c>
      <c r="C480" s="1326" t="s">
        <v>2570</v>
      </c>
      <c r="D480" s="1326" t="s">
        <v>2571</v>
      </c>
      <c r="E480" s="1326"/>
      <c r="F480" s="1326"/>
      <c r="G480" s="1326"/>
      <c r="H480" s="1326"/>
      <c r="I480" s="1326"/>
      <c r="J480" s="1326"/>
      <c r="K480" s="1326"/>
      <c r="L480" s="1326"/>
      <c r="M480" s="1683">
        <v>1951086.58</v>
      </c>
      <c r="N480" s="1683">
        <v>0</v>
      </c>
      <c r="O480" s="1683">
        <v>1951086.58</v>
      </c>
      <c r="P480" s="1683">
        <v>1951086.58</v>
      </c>
      <c r="Q480" s="1683">
        <v>1951086.58</v>
      </c>
      <c r="R480" s="1683">
        <v>1451086.58</v>
      </c>
      <c r="S480" s="1683">
        <v>500000</v>
      </c>
      <c r="T480" s="1683">
        <v>0</v>
      </c>
      <c r="U480" s="1683">
        <v>0</v>
      </c>
      <c r="V480" s="1683">
        <v>0</v>
      </c>
      <c r="W480" s="1683">
        <v>0</v>
      </c>
      <c r="X480" s="1683">
        <v>0</v>
      </c>
      <c r="Y480" s="1682"/>
      <c r="Z480" s="1326"/>
      <c r="AA480" s="1683">
        <v>0</v>
      </c>
      <c r="AB480" s="1683">
        <v>0</v>
      </c>
      <c r="AC480" s="1683">
        <v>0</v>
      </c>
      <c r="AD480" s="1682"/>
      <c r="AE480" s="1326"/>
      <c r="AF480" s="1326"/>
      <c r="AG480" s="1410"/>
      <c r="AH480" s="1683">
        <v>444823.9</v>
      </c>
      <c r="AI480" s="1683">
        <v>684323.9</v>
      </c>
      <c r="AJ480" s="1683">
        <v>684323.9</v>
      </c>
      <c r="AK480" s="1683">
        <v>516606.37</v>
      </c>
      <c r="AL480" s="1683">
        <v>167717.53</v>
      </c>
      <c r="AM480" s="1682"/>
      <c r="AN480" s="1683">
        <v>444823.9</v>
      </c>
      <c r="AO480" s="1683">
        <v>444823.9</v>
      </c>
      <c r="AP480" s="1683">
        <v>444823.9</v>
      </c>
      <c r="AQ480" s="1683">
        <v>338815.94</v>
      </c>
      <c r="AR480" s="1683">
        <v>106007.96</v>
      </c>
      <c r="AS480" s="1683">
        <v>0</v>
      </c>
      <c r="AT480" s="1683">
        <v>0</v>
      </c>
      <c r="AU480" s="1683">
        <v>0</v>
      </c>
      <c r="AV480" s="1683">
        <v>0</v>
      </c>
      <c r="AW480" s="1683">
        <v>0</v>
      </c>
      <c r="AX480" s="1683">
        <v>0</v>
      </c>
      <c r="AY480" s="1683">
        <v>0</v>
      </c>
      <c r="AZ480" s="1683">
        <v>0</v>
      </c>
      <c r="BA480" s="1682"/>
      <c r="BB480" s="1682"/>
      <c r="BC480" s="1683">
        <v>0</v>
      </c>
      <c r="BD480" s="1683">
        <v>0</v>
      </c>
      <c r="BE480" s="1683">
        <v>444823.9</v>
      </c>
      <c r="BF480" s="1683">
        <v>444823.9</v>
      </c>
      <c r="BG480" s="1683">
        <v>444823.9</v>
      </c>
      <c r="BH480" s="1683">
        <v>338815.94</v>
      </c>
      <c r="BI480" s="1683">
        <v>106007.96</v>
      </c>
      <c r="BJ480" s="1683">
        <v>0</v>
      </c>
      <c r="BK480" s="1683">
        <v>0</v>
      </c>
      <c r="BL480" s="1683">
        <v>0</v>
      </c>
      <c r="BM480" s="1683">
        <v>0</v>
      </c>
      <c r="BN480" s="1683">
        <v>0</v>
      </c>
      <c r="BO480" s="1682"/>
      <c r="BP480" s="1683">
        <v>289492.58</v>
      </c>
      <c r="BQ480" s="1683">
        <v>289492.58</v>
      </c>
      <c r="BR480" s="1683">
        <v>289492.58</v>
      </c>
      <c r="BS480" s="1683">
        <v>219471.53</v>
      </c>
      <c r="BT480" s="1683">
        <v>70021.05</v>
      </c>
      <c r="BU480" s="1683">
        <v>0</v>
      </c>
      <c r="BV480" s="1683">
        <v>0</v>
      </c>
      <c r="BW480" s="1683">
        <v>0</v>
      </c>
      <c r="BX480" s="1683">
        <v>0</v>
      </c>
      <c r="BY480" s="1683">
        <v>0</v>
      </c>
      <c r="BZ480" s="1683">
        <v>0</v>
      </c>
      <c r="CA480" s="1683">
        <v>0</v>
      </c>
      <c r="CB480" s="1682"/>
      <c r="CC480" s="1682"/>
      <c r="CD480" s="1683">
        <v>0</v>
      </c>
      <c r="CE480" s="1683">
        <v>0</v>
      </c>
      <c r="CF480" s="1683">
        <v>14444.84</v>
      </c>
      <c r="CG480" s="1683">
        <v>14444.84</v>
      </c>
      <c r="CH480" s="1683">
        <v>0</v>
      </c>
      <c r="CI480" s="1683">
        <v>0</v>
      </c>
      <c r="CJ480" s="1683">
        <v>97971.27</v>
      </c>
      <c r="CK480" s="1683">
        <v>97971.27</v>
      </c>
      <c r="CL480" s="1682"/>
      <c r="CM480" s="1683">
        <v>21473.71</v>
      </c>
      <c r="CN480" s="1683">
        <v>21473.71</v>
      </c>
      <c r="CO480" s="1683">
        <v>21473.71</v>
      </c>
      <c r="CP480" s="1683">
        <v>16506.259999999998</v>
      </c>
      <c r="CQ480" s="1683">
        <v>4967.45</v>
      </c>
      <c r="CR480" s="1683">
        <v>0</v>
      </c>
      <c r="CS480" s="1683">
        <v>0</v>
      </c>
      <c r="CT480" s="1683">
        <v>0</v>
      </c>
      <c r="CU480" s="1683">
        <v>0</v>
      </c>
      <c r="CV480" s="1683">
        <v>0</v>
      </c>
      <c r="CW480" s="1682"/>
      <c r="CX480" s="1683">
        <v>0</v>
      </c>
      <c r="CY480" s="1683">
        <v>0</v>
      </c>
      <c r="CZ480" s="1683">
        <v>21473.71</v>
      </c>
      <c r="DA480" s="1683">
        <v>21473.71</v>
      </c>
      <c r="DB480" s="1682"/>
      <c r="DC480" s="1326"/>
      <c r="DD480" s="1683">
        <v>0</v>
      </c>
      <c r="DE480" s="1683">
        <v>0</v>
      </c>
      <c r="DF480" s="1683">
        <v>0</v>
      </c>
      <c r="DG480" s="1683">
        <v>0</v>
      </c>
      <c r="DH480" s="1683">
        <v>0</v>
      </c>
    </row>
    <row r="481" spans="1:112">
      <c r="A481" s="1326" t="s">
        <v>3574</v>
      </c>
      <c r="B481" s="1326" t="s">
        <v>1702</v>
      </c>
      <c r="C481" s="1326" t="s">
        <v>2570</v>
      </c>
      <c r="D481" s="1326" t="s">
        <v>2571</v>
      </c>
      <c r="E481" s="1326" t="s">
        <v>2356</v>
      </c>
      <c r="F481" s="1326"/>
      <c r="G481" s="1326"/>
      <c r="H481" s="1326"/>
      <c r="I481" s="1326"/>
      <c r="J481" s="1326"/>
      <c r="K481" s="1326"/>
      <c r="L481" s="1326"/>
      <c r="M481" s="1683">
        <v>1951086.58</v>
      </c>
      <c r="N481" s="1683">
        <v>0</v>
      </c>
      <c r="O481" s="1683">
        <v>1951086.58</v>
      </c>
      <c r="P481" s="1683">
        <v>1951086.58</v>
      </c>
      <c r="Q481" s="1683">
        <v>1951086.58</v>
      </c>
      <c r="R481" s="1683">
        <v>1451086.58</v>
      </c>
      <c r="S481" s="1683">
        <v>500000</v>
      </c>
      <c r="T481" s="1683">
        <v>0</v>
      </c>
      <c r="U481" s="1683">
        <v>0</v>
      </c>
      <c r="V481" s="1683">
        <v>0</v>
      </c>
      <c r="W481" s="1683">
        <v>0</v>
      </c>
      <c r="X481" s="1683">
        <v>0</v>
      </c>
      <c r="Y481" s="1682"/>
      <c r="Z481" s="1326"/>
      <c r="AA481" s="1683">
        <v>0</v>
      </c>
      <c r="AB481" s="1683">
        <v>0</v>
      </c>
      <c r="AC481" s="1683">
        <v>0</v>
      </c>
      <c r="AD481" s="1682"/>
      <c r="AE481" s="1326"/>
      <c r="AF481" s="1326"/>
      <c r="AG481" s="1410"/>
      <c r="AH481" s="1683">
        <v>444823.9</v>
      </c>
      <c r="AI481" s="1683">
        <v>684323.9</v>
      </c>
      <c r="AJ481" s="1683">
        <v>684323.9</v>
      </c>
      <c r="AK481" s="1683">
        <v>516606.37</v>
      </c>
      <c r="AL481" s="1683">
        <v>167717.53</v>
      </c>
      <c r="AM481" s="1682"/>
      <c r="AN481" s="1683">
        <v>444823.9</v>
      </c>
      <c r="AO481" s="1683">
        <v>444823.9</v>
      </c>
      <c r="AP481" s="1683">
        <v>444823.9</v>
      </c>
      <c r="AQ481" s="1683">
        <v>338815.94</v>
      </c>
      <c r="AR481" s="1683">
        <v>106007.96</v>
      </c>
      <c r="AS481" s="1683">
        <v>0</v>
      </c>
      <c r="AT481" s="1683">
        <v>0</v>
      </c>
      <c r="AU481" s="1683">
        <v>0</v>
      </c>
      <c r="AV481" s="1683">
        <v>0</v>
      </c>
      <c r="AW481" s="1683">
        <v>0</v>
      </c>
      <c r="AX481" s="1683">
        <v>0</v>
      </c>
      <c r="AY481" s="1683">
        <v>0</v>
      </c>
      <c r="AZ481" s="1683">
        <v>0</v>
      </c>
      <c r="BA481" s="1682"/>
      <c r="BB481" s="1682"/>
      <c r="BC481" s="1683">
        <v>0</v>
      </c>
      <c r="BD481" s="1683">
        <v>0</v>
      </c>
      <c r="BE481" s="1683">
        <v>444823.9</v>
      </c>
      <c r="BF481" s="1683">
        <v>444823.9</v>
      </c>
      <c r="BG481" s="1683">
        <v>444823.9</v>
      </c>
      <c r="BH481" s="1683">
        <v>338815.94</v>
      </c>
      <c r="BI481" s="1683">
        <v>106007.96</v>
      </c>
      <c r="BJ481" s="1683">
        <v>0</v>
      </c>
      <c r="BK481" s="1683">
        <v>0</v>
      </c>
      <c r="BL481" s="1683">
        <v>0</v>
      </c>
      <c r="BM481" s="1683">
        <v>0</v>
      </c>
      <c r="BN481" s="1683">
        <v>0</v>
      </c>
      <c r="BO481" s="1682"/>
      <c r="BP481" s="1683">
        <v>289492.58</v>
      </c>
      <c r="BQ481" s="1683">
        <v>289492.58</v>
      </c>
      <c r="BR481" s="1683">
        <v>289492.58</v>
      </c>
      <c r="BS481" s="1683">
        <v>219471.53</v>
      </c>
      <c r="BT481" s="1683">
        <v>70021.05</v>
      </c>
      <c r="BU481" s="1683">
        <v>0</v>
      </c>
      <c r="BV481" s="1683">
        <v>0</v>
      </c>
      <c r="BW481" s="1683">
        <v>0</v>
      </c>
      <c r="BX481" s="1683">
        <v>0</v>
      </c>
      <c r="BY481" s="1683">
        <v>0</v>
      </c>
      <c r="BZ481" s="1683">
        <v>0</v>
      </c>
      <c r="CA481" s="1683">
        <v>0</v>
      </c>
      <c r="CB481" s="1682"/>
      <c r="CC481" s="1682"/>
      <c r="CD481" s="1683">
        <v>0</v>
      </c>
      <c r="CE481" s="1683">
        <v>0</v>
      </c>
      <c r="CF481" s="1683">
        <v>14444.84</v>
      </c>
      <c r="CG481" s="1683">
        <v>14444.84</v>
      </c>
      <c r="CH481" s="1683">
        <v>0</v>
      </c>
      <c r="CI481" s="1683">
        <v>0</v>
      </c>
      <c r="CJ481" s="1683">
        <v>97971.27</v>
      </c>
      <c r="CK481" s="1683">
        <v>97971.27</v>
      </c>
      <c r="CL481" s="1682"/>
      <c r="CM481" s="1683">
        <v>21473.71</v>
      </c>
      <c r="CN481" s="1683">
        <v>21473.71</v>
      </c>
      <c r="CO481" s="1683">
        <v>21473.71</v>
      </c>
      <c r="CP481" s="1683">
        <v>16506.259999999998</v>
      </c>
      <c r="CQ481" s="1683">
        <v>4967.45</v>
      </c>
      <c r="CR481" s="1683">
        <v>0</v>
      </c>
      <c r="CS481" s="1683">
        <v>0</v>
      </c>
      <c r="CT481" s="1683">
        <v>0</v>
      </c>
      <c r="CU481" s="1683">
        <v>0</v>
      </c>
      <c r="CV481" s="1683">
        <v>0</v>
      </c>
      <c r="CW481" s="1682"/>
      <c r="CX481" s="1683">
        <v>0</v>
      </c>
      <c r="CY481" s="1683">
        <v>0</v>
      </c>
      <c r="CZ481" s="1683">
        <v>21473.71</v>
      </c>
      <c r="DA481" s="1683">
        <v>21473.71</v>
      </c>
      <c r="DB481" s="1682"/>
      <c r="DC481" s="1326"/>
      <c r="DD481" s="1683">
        <v>0</v>
      </c>
      <c r="DE481" s="1683">
        <v>0</v>
      </c>
      <c r="DF481" s="1683">
        <v>0</v>
      </c>
      <c r="DG481" s="1683">
        <v>0</v>
      </c>
      <c r="DH481" s="1683">
        <v>0</v>
      </c>
    </row>
    <row r="482" spans="1:112" ht="45">
      <c r="A482" s="1326" t="s">
        <v>3575</v>
      </c>
      <c r="B482" s="1326" t="s">
        <v>1702</v>
      </c>
      <c r="C482" s="1326" t="s">
        <v>2570</v>
      </c>
      <c r="D482" s="1326" t="s">
        <v>2571</v>
      </c>
      <c r="E482" s="1326" t="s">
        <v>2356</v>
      </c>
      <c r="F482" s="1326" t="s">
        <v>2566</v>
      </c>
      <c r="G482" s="1326" t="s">
        <v>2572</v>
      </c>
      <c r="H482" s="1326" t="s">
        <v>2573</v>
      </c>
      <c r="I482" s="1326" t="s">
        <v>2358</v>
      </c>
      <c r="J482" s="1326" t="s">
        <v>2359</v>
      </c>
      <c r="K482" s="1326" t="s">
        <v>2360</v>
      </c>
      <c r="L482" s="1326" t="s">
        <v>2061</v>
      </c>
      <c r="M482" s="1683">
        <v>136133.06</v>
      </c>
      <c r="N482" s="1683">
        <v>0</v>
      </c>
      <c r="O482" s="1683">
        <v>136133.06</v>
      </c>
      <c r="P482" s="1683">
        <v>136133.06</v>
      </c>
      <c r="Q482" s="1683">
        <v>136133.06</v>
      </c>
      <c r="R482" s="1683">
        <v>136133.06</v>
      </c>
      <c r="S482" s="1683">
        <v>0</v>
      </c>
      <c r="T482" s="1683">
        <v>0</v>
      </c>
      <c r="U482" s="1683">
        <v>0</v>
      </c>
      <c r="V482" s="1683">
        <v>0</v>
      </c>
      <c r="W482" s="1683">
        <v>0</v>
      </c>
      <c r="X482" s="1683">
        <v>0</v>
      </c>
      <c r="Y482" s="1682"/>
      <c r="Z482" s="1326"/>
      <c r="AA482" s="1683">
        <v>0</v>
      </c>
      <c r="AB482" s="1683">
        <v>0</v>
      </c>
      <c r="AC482" s="1683">
        <v>0</v>
      </c>
      <c r="AD482" s="1682"/>
      <c r="AE482" s="1326"/>
      <c r="AF482" s="1326"/>
      <c r="AG482" s="1410"/>
      <c r="AH482" s="1683">
        <v>60024.85</v>
      </c>
      <c r="AI482" s="1683">
        <v>75524.850000000006</v>
      </c>
      <c r="AJ482" s="1683">
        <v>75524.850000000006</v>
      </c>
      <c r="AK482" s="1683">
        <v>75524.850000000006</v>
      </c>
      <c r="AL482" s="1683">
        <v>0</v>
      </c>
      <c r="AM482" s="1682"/>
      <c r="AN482" s="1683">
        <v>60024.85</v>
      </c>
      <c r="AO482" s="1683">
        <v>60024.85</v>
      </c>
      <c r="AP482" s="1683">
        <v>60024.85</v>
      </c>
      <c r="AQ482" s="1683">
        <v>60024.85</v>
      </c>
      <c r="AR482" s="1683">
        <v>0</v>
      </c>
      <c r="AS482" s="1683">
        <v>0</v>
      </c>
      <c r="AT482" s="1683">
        <v>0</v>
      </c>
      <c r="AU482" s="1683">
        <v>0</v>
      </c>
      <c r="AV482" s="1683">
        <v>0</v>
      </c>
      <c r="AW482" s="1683">
        <v>0</v>
      </c>
      <c r="AX482" s="1683">
        <v>0</v>
      </c>
      <c r="AY482" s="1683">
        <v>0</v>
      </c>
      <c r="AZ482" s="1683">
        <v>0</v>
      </c>
      <c r="BA482" s="1682"/>
      <c r="BB482" s="1682"/>
      <c r="BC482" s="1683">
        <v>0</v>
      </c>
      <c r="BD482" s="1683">
        <v>0</v>
      </c>
      <c r="BE482" s="1683">
        <v>60024.85</v>
      </c>
      <c r="BF482" s="1683">
        <v>60024.85</v>
      </c>
      <c r="BG482" s="1683">
        <v>60024.85</v>
      </c>
      <c r="BH482" s="1683">
        <v>60024.85</v>
      </c>
      <c r="BI482" s="1683">
        <v>0</v>
      </c>
      <c r="BJ482" s="1683">
        <v>0</v>
      </c>
      <c r="BK482" s="1683">
        <v>0</v>
      </c>
      <c r="BL482" s="1683">
        <v>0</v>
      </c>
      <c r="BM482" s="1683">
        <v>0</v>
      </c>
      <c r="BN482" s="1683">
        <v>0</v>
      </c>
      <c r="BO482" s="1682"/>
      <c r="BP482" s="1683">
        <v>35322.69</v>
      </c>
      <c r="BQ482" s="1683">
        <v>35322.69</v>
      </c>
      <c r="BR482" s="1683">
        <v>35322.69</v>
      </c>
      <c r="BS482" s="1683">
        <v>35322.69</v>
      </c>
      <c r="BT482" s="1683">
        <v>0</v>
      </c>
      <c r="BU482" s="1683">
        <v>0</v>
      </c>
      <c r="BV482" s="1683">
        <v>0</v>
      </c>
      <c r="BW482" s="1683">
        <v>0</v>
      </c>
      <c r="BX482" s="1683">
        <v>0</v>
      </c>
      <c r="BY482" s="1683">
        <v>0</v>
      </c>
      <c r="BZ482" s="1683">
        <v>0</v>
      </c>
      <c r="CA482" s="1683">
        <v>0</v>
      </c>
      <c r="CB482" s="1682"/>
      <c r="CC482" s="1682"/>
      <c r="CD482" s="1683">
        <v>0</v>
      </c>
      <c r="CE482" s="1683">
        <v>0</v>
      </c>
      <c r="CF482" s="1683">
        <v>10472.34</v>
      </c>
      <c r="CG482" s="1683">
        <v>10472.34</v>
      </c>
      <c r="CH482" s="1683">
        <v>0</v>
      </c>
      <c r="CI482" s="1683">
        <v>0</v>
      </c>
      <c r="CJ482" s="1683">
        <v>11263.4</v>
      </c>
      <c r="CK482" s="1683">
        <v>11263.4</v>
      </c>
      <c r="CL482" s="1682"/>
      <c r="CM482" s="1683">
        <v>3442.31</v>
      </c>
      <c r="CN482" s="1683">
        <v>3442.31</v>
      </c>
      <c r="CO482" s="1683">
        <v>3442.31</v>
      </c>
      <c r="CP482" s="1683">
        <v>3442.31</v>
      </c>
      <c r="CQ482" s="1683">
        <v>0</v>
      </c>
      <c r="CR482" s="1683">
        <v>0</v>
      </c>
      <c r="CS482" s="1683">
        <v>0</v>
      </c>
      <c r="CT482" s="1683">
        <v>0</v>
      </c>
      <c r="CU482" s="1683">
        <v>0</v>
      </c>
      <c r="CV482" s="1683">
        <v>0</v>
      </c>
      <c r="CW482" s="1682"/>
      <c r="CX482" s="1683">
        <v>0</v>
      </c>
      <c r="CY482" s="1683">
        <v>0</v>
      </c>
      <c r="CZ482" s="1683">
        <v>3442.31</v>
      </c>
      <c r="DA482" s="1683">
        <v>3442.31</v>
      </c>
      <c r="DB482" s="1682"/>
      <c r="DC482" s="1326"/>
      <c r="DD482" s="1683">
        <v>0</v>
      </c>
      <c r="DE482" s="1683">
        <v>0</v>
      </c>
      <c r="DF482" s="1683">
        <v>0</v>
      </c>
      <c r="DG482" s="1683">
        <v>0</v>
      </c>
      <c r="DH482" s="1683">
        <v>0</v>
      </c>
    </row>
    <row r="483" spans="1:112" ht="45">
      <c r="A483" s="1326" t="s">
        <v>3576</v>
      </c>
      <c r="B483" s="1326" t="s">
        <v>1702</v>
      </c>
      <c r="C483" s="1326" t="s">
        <v>2570</v>
      </c>
      <c r="D483" s="1326" t="s">
        <v>2571</v>
      </c>
      <c r="E483" s="1326" t="s">
        <v>2356</v>
      </c>
      <c r="F483" s="1326" t="s">
        <v>2566</v>
      </c>
      <c r="G483" s="1326" t="s">
        <v>2572</v>
      </c>
      <c r="H483" s="1326" t="s">
        <v>2573</v>
      </c>
      <c r="I483" s="1326" t="s">
        <v>2358</v>
      </c>
      <c r="J483" s="1326" t="s">
        <v>2359</v>
      </c>
      <c r="K483" s="1326" t="s">
        <v>2360</v>
      </c>
      <c r="L483" s="1326" t="s">
        <v>2061</v>
      </c>
      <c r="M483" s="1400"/>
      <c r="N483" s="1400"/>
      <c r="O483" s="1400"/>
      <c r="P483" s="1400"/>
      <c r="Q483" s="1400"/>
      <c r="R483" s="1400"/>
      <c r="S483" s="1400"/>
      <c r="T483" s="1400"/>
      <c r="U483" s="1400"/>
      <c r="V483" s="1400"/>
      <c r="W483" s="1400"/>
      <c r="X483" s="1400"/>
      <c r="Y483" s="1685">
        <v>43041</v>
      </c>
      <c r="Z483" s="1326" t="s">
        <v>2096</v>
      </c>
      <c r="AA483" s="1683">
        <v>0</v>
      </c>
      <c r="AB483" s="1683">
        <v>0</v>
      </c>
      <c r="AC483" s="1683">
        <v>0</v>
      </c>
      <c r="AD483" s="1685">
        <v>43052</v>
      </c>
      <c r="AE483" s="1326" t="s">
        <v>2073</v>
      </c>
      <c r="AF483" s="1326" t="s">
        <v>2064</v>
      </c>
      <c r="AG483" s="1410"/>
      <c r="AH483" s="1683">
        <v>0</v>
      </c>
      <c r="AI483" s="1683">
        <v>7000</v>
      </c>
      <c r="AJ483" s="1683">
        <v>7000</v>
      </c>
      <c r="AK483" s="1683">
        <v>7000</v>
      </c>
      <c r="AL483" s="1683">
        <v>0</v>
      </c>
      <c r="AM483" s="1682"/>
      <c r="AN483" s="1683">
        <v>0</v>
      </c>
      <c r="AO483" s="1683">
        <v>0</v>
      </c>
      <c r="AP483" s="1683">
        <v>0</v>
      </c>
      <c r="AQ483" s="1683">
        <v>0</v>
      </c>
      <c r="AR483" s="1683">
        <v>0</v>
      </c>
      <c r="AS483" s="1683">
        <v>0</v>
      </c>
      <c r="AT483" s="1683">
        <v>0</v>
      </c>
      <c r="AU483" s="1683">
        <v>0</v>
      </c>
      <c r="AV483" s="1683">
        <v>0</v>
      </c>
      <c r="AW483" s="1683">
        <v>0</v>
      </c>
      <c r="AX483" s="1400"/>
      <c r="AY483" s="1400"/>
      <c r="AZ483" s="1400"/>
      <c r="BA483" s="1682"/>
      <c r="BB483" s="1682"/>
      <c r="BC483" s="1400"/>
      <c r="BD483" s="1400"/>
      <c r="BE483" s="1683">
        <v>0</v>
      </c>
      <c r="BF483" s="1683">
        <v>0</v>
      </c>
      <c r="BG483" s="1683">
        <v>0</v>
      </c>
      <c r="BH483" s="1683">
        <v>0</v>
      </c>
      <c r="BI483" s="1683">
        <v>0</v>
      </c>
      <c r="BJ483" s="1683">
        <v>0</v>
      </c>
      <c r="BK483" s="1683">
        <v>0</v>
      </c>
      <c r="BL483" s="1683">
        <v>0</v>
      </c>
      <c r="BM483" s="1683">
        <v>0</v>
      </c>
      <c r="BN483" s="1683">
        <v>0</v>
      </c>
      <c r="BO483" s="1682"/>
      <c r="BP483" s="1683">
        <v>0</v>
      </c>
      <c r="BQ483" s="1683">
        <v>0</v>
      </c>
      <c r="BR483" s="1683">
        <v>0</v>
      </c>
      <c r="BS483" s="1683">
        <v>0</v>
      </c>
      <c r="BT483" s="1683">
        <v>0</v>
      </c>
      <c r="BU483" s="1683">
        <v>0</v>
      </c>
      <c r="BV483" s="1683">
        <v>0</v>
      </c>
      <c r="BW483" s="1683">
        <v>0</v>
      </c>
      <c r="BX483" s="1683">
        <v>0</v>
      </c>
      <c r="BY483" s="1683">
        <v>0</v>
      </c>
      <c r="BZ483" s="1400"/>
      <c r="CA483" s="1400"/>
      <c r="CB483" s="1682"/>
      <c r="CC483" s="1682"/>
      <c r="CD483" s="1400"/>
      <c r="CE483" s="1400"/>
      <c r="CF483" s="1683">
        <v>0</v>
      </c>
      <c r="CG483" s="1683">
        <v>0</v>
      </c>
      <c r="CH483" s="1683">
        <v>0</v>
      </c>
      <c r="CI483" s="1683">
        <v>0</v>
      </c>
      <c r="CJ483" s="1683">
        <v>0</v>
      </c>
      <c r="CK483" s="1683">
        <v>0</v>
      </c>
      <c r="CL483" s="1682"/>
      <c r="CM483" s="1683">
        <v>0</v>
      </c>
      <c r="CN483" s="1683">
        <v>0</v>
      </c>
      <c r="CO483" s="1683">
        <v>0</v>
      </c>
      <c r="CP483" s="1683">
        <v>0</v>
      </c>
      <c r="CQ483" s="1683">
        <v>0</v>
      </c>
      <c r="CR483" s="1683">
        <v>0</v>
      </c>
      <c r="CS483" s="1683">
        <v>0</v>
      </c>
      <c r="CT483" s="1683">
        <v>0</v>
      </c>
      <c r="CU483" s="1683">
        <v>0</v>
      </c>
      <c r="CV483" s="1683">
        <v>0</v>
      </c>
      <c r="CW483" s="1682"/>
      <c r="CX483" s="1400"/>
      <c r="CY483" s="1400"/>
      <c r="CZ483" s="1400"/>
      <c r="DA483" s="1400"/>
      <c r="DB483" s="1682"/>
      <c r="DC483" s="1326"/>
      <c r="DD483" s="1683">
        <v>0</v>
      </c>
      <c r="DE483" s="1400"/>
      <c r="DF483" s="1400"/>
      <c r="DG483" s="1683">
        <v>0</v>
      </c>
      <c r="DH483" s="1683">
        <v>0</v>
      </c>
    </row>
    <row r="484" spans="1:112" ht="45">
      <c r="A484" s="1326" t="s">
        <v>3577</v>
      </c>
      <c r="B484" s="1326" t="s">
        <v>1702</v>
      </c>
      <c r="C484" s="1326" t="s">
        <v>2570</v>
      </c>
      <c r="D484" s="1326" t="s">
        <v>2571</v>
      </c>
      <c r="E484" s="1326" t="s">
        <v>2356</v>
      </c>
      <c r="F484" s="1326" t="s">
        <v>2566</v>
      </c>
      <c r="G484" s="1326" t="s">
        <v>2572</v>
      </c>
      <c r="H484" s="1326" t="s">
        <v>2573</v>
      </c>
      <c r="I484" s="1326" t="s">
        <v>2358</v>
      </c>
      <c r="J484" s="1326" t="s">
        <v>2359</v>
      </c>
      <c r="K484" s="1326" t="s">
        <v>2360</v>
      </c>
      <c r="L484" s="1326" t="s">
        <v>2061</v>
      </c>
      <c r="M484" s="1400"/>
      <c r="N484" s="1400"/>
      <c r="O484" s="1400"/>
      <c r="P484" s="1400"/>
      <c r="Q484" s="1400"/>
      <c r="R484" s="1400"/>
      <c r="S484" s="1400"/>
      <c r="T484" s="1400"/>
      <c r="U484" s="1400"/>
      <c r="V484" s="1400"/>
      <c r="W484" s="1400"/>
      <c r="X484" s="1400"/>
      <c r="Y484" s="1685">
        <v>43090</v>
      </c>
      <c r="Z484" s="1326" t="s">
        <v>2062</v>
      </c>
      <c r="AA484" s="1683">
        <v>0</v>
      </c>
      <c r="AB484" s="1683">
        <v>0</v>
      </c>
      <c r="AC484" s="1683">
        <v>0</v>
      </c>
      <c r="AD484" s="1685">
        <v>43125</v>
      </c>
      <c r="AE484" s="1326" t="s">
        <v>2063</v>
      </c>
      <c r="AF484" s="1326" t="s">
        <v>2064</v>
      </c>
      <c r="AG484" s="1410"/>
      <c r="AH484" s="1683">
        <v>3442.31</v>
      </c>
      <c r="AI484" s="1683">
        <v>3442.31</v>
      </c>
      <c r="AJ484" s="1683">
        <v>3442.31</v>
      </c>
      <c r="AK484" s="1683">
        <v>3442.31</v>
      </c>
      <c r="AL484" s="1683">
        <v>0</v>
      </c>
      <c r="AM484" s="1685">
        <v>43125</v>
      </c>
      <c r="AN484" s="1683">
        <v>3442.31</v>
      </c>
      <c r="AO484" s="1683">
        <v>3442.31</v>
      </c>
      <c r="AP484" s="1683">
        <v>3442.31</v>
      </c>
      <c r="AQ484" s="1683">
        <v>3442.31</v>
      </c>
      <c r="AR484" s="1683">
        <v>0</v>
      </c>
      <c r="AS484" s="1683">
        <v>0</v>
      </c>
      <c r="AT484" s="1683">
        <v>0</v>
      </c>
      <c r="AU484" s="1683">
        <v>0</v>
      </c>
      <c r="AV484" s="1683">
        <v>0</v>
      </c>
      <c r="AW484" s="1683">
        <v>0</v>
      </c>
      <c r="AX484" s="1400"/>
      <c r="AY484" s="1400"/>
      <c r="AZ484" s="1400"/>
      <c r="BA484" s="1682"/>
      <c r="BB484" s="1682"/>
      <c r="BC484" s="1400"/>
      <c r="BD484" s="1400"/>
      <c r="BE484" s="1683">
        <v>3442.31</v>
      </c>
      <c r="BF484" s="1683">
        <v>3442.31</v>
      </c>
      <c r="BG484" s="1683">
        <v>3442.31</v>
      </c>
      <c r="BH484" s="1683">
        <v>3442.31</v>
      </c>
      <c r="BI484" s="1683">
        <v>0</v>
      </c>
      <c r="BJ484" s="1683">
        <v>0</v>
      </c>
      <c r="BK484" s="1683">
        <v>0</v>
      </c>
      <c r="BL484" s="1683">
        <v>0</v>
      </c>
      <c r="BM484" s="1683">
        <v>0</v>
      </c>
      <c r="BN484" s="1683">
        <v>0</v>
      </c>
      <c r="BO484" s="1685">
        <v>43208</v>
      </c>
      <c r="BP484" s="1683">
        <v>3442.31</v>
      </c>
      <c r="BQ484" s="1683">
        <v>3442.31</v>
      </c>
      <c r="BR484" s="1683">
        <v>3442.31</v>
      </c>
      <c r="BS484" s="1683">
        <v>3442.31</v>
      </c>
      <c r="BT484" s="1683">
        <v>0</v>
      </c>
      <c r="BU484" s="1683">
        <v>0</v>
      </c>
      <c r="BV484" s="1683">
        <v>0</v>
      </c>
      <c r="BW484" s="1683">
        <v>0</v>
      </c>
      <c r="BX484" s="1683">
        <v>0</v>
      </c>
      <c r="BY484" s="1683">
        <v>0</v>
      </c>
      <c r="BZ484" s="1683">
        <v>0</v>
      </c>
      <c r="CA484" s="1400"/>
      <c r="CB484" s="1682"/>
      <c r="CC484" s="1682"/>
      <c r="CD484" s="1400"/>
      <c r="CE484" s="1400"/>
      <c r="CF484" s="1683">
        <v>1252.3599999999999</v>
      </c>
      <c r="CG484" s="1683">
        <v>1252.3599999999999</v>
      </c>
      <c r="CH484" s="1683">
        <v>0</v>
      </c>
      <c r="CI484" s="1683">
        <v>0</v>
      </c>
      <c r="CJ484" s="1683">
        <v>1079.26</v>
      </c>
      <c r="CK484" s="1683">
        <v>1079.26</v>
      </c>
      <c r="CL484" s="1685">
        <v>43511</v>
      </c>
      <c r="CM484" s="1683">
        <v>3442.31</v>
      </c>
      <c r="CN484" s="1683">
        <v>3442.31</v>
      </c>
      <c r="CO484" s="1683">
        <v>3442.31</v>
      </c>
      <c r="CP484" s="1683">
        <v>3442.31</v>
      </c>
      <c r="CQ484" s="1683">
        <v>0</v>
      </c>
      <c r="CR484" s="1683">
        <v>0</v>
      </c>
      <c r="CS484" s="1683">
        <v>0</v>
      </c>
      <c r="CT484" s="1683">
        <v>0</v>
      </c>
      <c r="CU484" s="1683">
        <v>0</v>
      </c>
      <c r="CV484" s="1683">
        <v>0</v>
      </c>
      <c r="CW484" s="1682"/>
      <c r="CX484" s="1400"/>
      <c r="CY484" s="1400"/>
      <c r="CZ484" s="1400"/>
      <c r="DA484" s="1400"/>
      <c r="DB484" s="1682"/>
      <c r="DC484" s="1326"/>
      <c r="DD484" s="1683">
        <v>0</v>
      </c>
      <c r="DE484" s="1400"/>
      <c r="DF484" s="1400"/>
      <c r="DG484" s="1683">
        <v>0</v>
      </c>
      <c r="DH484" s="1683">
        <v>0</v>
      </c>
    </row>
    <row r="485" spans="1:112" ht="45">
      <c r="A485" s="1326" t="s">
        <v>3578</v>
      </c>
      <c r="B485" s="1326" t="s">
        <v>1702</v>
      </c>
      <c r="C485" s="1326" t="s">
        <v>2570</v>
      </c>
      <c r="D485" s="1326" t="s">
        <v>2571</v>
      </c>
      <c r="E485" s="1326" t="s">
        <v>2356</v>
      </c>
      <c r="F485" s="1326" t="s">
        <v>2566</v>
      </c>
      <c r="G485" s="1326" t="s">
        <v>2572</v>
      </c>
      <c r="H485" s="1326" t="s">
        <v>2573</v>
      </c>
      <c r="I485" s="1326" t="s">
        <v>2358</v>
      </c>
      <c r="J485" s="1326" t="s">
        <v>2359</v>
      </c>
      <c r="K485" s="1326" t="s">
        <v>2360</v>
      </c>
      <c r="L485" s="1326" t="s">
        <v>2061</v>
      </c>
      <c r="M485" s="1400"/>
      <c r="N485" s="1400"/>
      <c r="O485" s="1400"/>
      <c r="P485" s="1400"/>
      <c r="Q485" s="1400"/>
      <c r="R485" s="1400"/>
      <c r="S485" s="1400"/>
      <c r="T485" s="1400"/>
      <c r="U485" s="1400"/>
      <c r="V485" s="1400"/>
      <c r="W485" s="1400"/>
      <c r="X485" s="1400"/>
      <c r="Y485" s="1685">
        <v>43166</v>
      </c>
      <c r="Z485" s="1326" t="s">
        <v>2096</v>
      </c>
      <c r="AA485" s="1683">
        <v>0</v>
      </c>
      <c r="AB485" s="1683">
        <v>0</v>
      </c>
      <c r="AC485" s="1683">
        <v>0</v>
      </c>
      <c r="AD485" s="1685">
        <v>43179</v>
      </c>
      <c r="AE485" s="1326" t="s">
        <v>2066</v>
      </c>
      <c r="AF485" s="1326" t="s">
        <v>2064</v>
      </c>
      <c r="AG485" s="1410"/>
      <c r="AH485" s="1683">
        <v>0</v>
      </c>
      <c r="AI485" s="1683">
        <v>8500</v>
      </c>
      <c r="AJ485" s="1683">
        <v>8500</v>
      </c>
      <c r="AK485" s="1683">
        <v>8500</v>
      </c>
      <c r="AL485" s="1683">
        <v>0</v>
      </c>
      <c r="AM485" s="1682"/>
      <c r="AN485" s="1683">
        <v>0</v>
      </c>
      <c r="AO485" s="1683">
        <v>0</v>
      </c>
      <c r="AP485" s="1683">
        <v>0</v>
      </c>
      <c r="AQ485" s="1683">
        <v>0</v>
      </c>
      <c r="AR485" s="1683">
        <v>0</v>
      </c>
      <c r="AS485" s="1683">
        <v>0</v>
      </c>
      <c r="AT485" s="1683">
        <v>0</v>
      </c>
      <c r="AU485" s="1683">
        <v>0</v>
      </c>
      <c r="AV485" s="1683">
        <v>0</v>
      </c>
      <c r="AW485" s="1683">
        <v>0</v>
      </c>
      <c r="AX485" s="1400"/>
      <c r="AY485" s="1400"/>
      <c r="AZ485" s="1400"/>
      <c r="BA485" s="1682"/>
      <c r="BB485" s="1682"/>
      <c r="BC485" s="1400"/>
      <c r="BD485" s="1400"/>
      <c r="BE485" s="1683">
        <v>0</v>
      </c>
      <c r="BF485" s="1683">
        <v>0</v>
      </c>
      <c r="BG485" s="1683">
        <v>0</v>
      </c>
      <c r="BH485" s="1683">
        <v>0</v>
      </c>
      <c r="BI485" s="1683">
        <v>0</v>
      </c>
      <c r="BJ485" s="1683">
        <v>0</v>
      </c>
      <c r="BK485" s="1683">
        <v>0</v>
      </c>
      <c r="BL485" s="1683">
        <v>0</v>
      </c>
      <c r="BM485" s="1683">
        <v>0</v>
      </c>
      <c r="BN485" s="1683">
        <v>0</v>
      </c>
      <c r="BO485" s="1682"/>
      <c r="BP485" s="1683">
        <v>0</v>
      </c>
      <c r="BQ485" s="1683">
        <v>0</v>
      </c>
      <c r="BR485" s="1683">
        <v>0</v>
      </c>
      <c r="BS485" s="1683">
        <v>0</v>
      </c>
      <c r="BT485" s="1683">
        <v>0</v>
      </c>
      <c r="BU485" s="1683">
        <v>0</v>
      </c>
      <c r="BV485" s="1683">
        <v>0</v>
      </c>
      <c r="BW485" s="1683">
        <v>0</v>
      </c>
      <c r="BX485" s="1683">
        <v>0</v>
      </c>
      <c r="BY485" s="1683">
        <v>0</v>
      </c>
      <c r="BZ485" s="1400"/>
      <c r="CA485" s="1400"/>
      <c r="CB485" s="1682"/>
      <c r="CC485" s="1682"/>
      <c r="CD485" s="1400"/>
      <c r="CE485" s="1400"/>
      <c r="CF485" s="1683">
        <v>0</v>
      </c>
      <c r="CG485" s="1683">
        <v>0</v>
      </c>
      <c r="CH485" s="1683">
        <v>0</v>
      </c>
      <c r="CI485" s="1683">
        <v>0</v>
      </c>
      <c r="CJ485" s="1683">
        <v>0</v>
      </c>
      <c r="CK485" s="1683">
        <v>0</v>
      </c>
      <c r="CL485" s="1682"/>
      <c r="CM485" s="1683">
        <v>0</v>
      </c>
      <c r="CN485" s="1683">
        <v>0</v>
      </c>
      <c r="CO485" s="1683">
        <v>0</v>
      </c>
      <c r="CP485" s="1683">
        <v>0</v>
      </c>
      <c r="CQ485" s="1683">
        <v>0</v>
      </c>
      <c r="CR485" s="1683">
        <v>0</v>
      </c>
      <c r="CS485" s="1683">
        <v>0</v>
      </c>
      <c r="CT485" s="1683">
        <v>0</v>
      </c>
      <c r="CU485" s="1683">
        <v>0</v>
      </c>
      <c r="CV485" s="1683">
        <v>0</v>
      </c>
      <c r="CW485" s="1682"/>
      <c r="CX485" s="1400"/>
      <c r="CY485" s="1400"/>
      <c r="CZ485" s="1400"/>
      <c r="DA485" s="1400"/>
      <c r="DB485" s="1682"/>
      <c r="DC485" s="1326"/>
      <c r="DD485" s="1683">
        <v>0</v>
      </c>
      <c r="DE485" s="1400"/>
      <c r="DF485" s="1400"/>
      <c r="DG485" s="1683">
        <v>0</v>
      </c>
      <c r="DH485" s="1683">
        <v>0</v>
      </c>
    </row>
    <row r="486" spans="1:112" ht="45">
      <c r="A486" s="1326" t="s">
        <v>3579</v>
      </c>
      <c r="B486" s="1326" t="s">
        <v>1702</v>
      </c>
      <c r="C486" s="1326" t="s">
        <v>2570</v>
      </c>
      <c r="D486" s="1326" t="s">
        <v>2571</v>
      </c>
      <c r="E486" s="1326" t="s">
        <v>2356</v>
      </c>
      <c r="F486" s="1326" t="s">
        <v>2566</v>
      </c>
      <c r="G486" s="1326" t="s">
        <v>2572</v>
      </c>
      <c r="H486" s="1326" t="s">
        <v>2573</v>
      </c>
      <c r="I486" s="1326" t="s">
        <v>2358</v>
      </c>
      <c r="J486" s="1326" t="s">
        <v>2359</v>
      </c>
      <c r="K486" s="1326" t="s">
        <v>2360</v>
      </c>
      <c r="L486" s="1326" t="s">
        <v>2061</v>
      </c>
      <c r="M486" s="1400"/>
      <c r="N486" s="1400"/>
      <c r="O486" s="1400"/>
      <c r="P486" s="1400"/>
      <c r="Q486" s="1400"/>
      <c r="R486" s="1400"/>
      <c r="S486" s="1400"/>
      <c r="T486" s="1400"/>
      <c r="U486" s="1400"/>
      <c r="V486" s="1400"/>
      <c r="W486" s="1400"/>
      <c r="X486" s="1400"/>
      <c r="Y486" s="1685">
        <v>43187</v>
      </c>
      <c r="Z486" s="1326" t="s">
        <v>2062</v>
      </c>
      <c r="AA486" s="1683">
        <v>0</v>
      </c>
      <c r="AB486" s="1683">
        <v>0</v>
      </c>
      <c r="AC486" s="1683">
        <v>0</v>
      </c>
      <c r="AD486" s="1685">
        <v>43209</v>
      </c>
      <c r="AE486" s="1326" t="s">
        <v>2079</v>
      </c>
      <c r="AF486" s="1326" t="s">
        <v>2064</v>
      </c>
      <c r="AG486" s="1410"/>
      <c r="AH486" s="1683">
        <v>8621.66</v>
      </c>
      <c r="AI486" s="1683">
        <v>8621.66</v>
      </c>
      <c r="AJ486" s="1683">
        <v>8621.66</v>
      </c>
      <c r="AK486" s="1683">
        <v>8621.66</v>
      </c>
      <c r="AL486" s="1683">
        <v>0</v>
      </c>
      <c r="AM486" s="1685">
        <v>43209</v>
      </c>
      <c r="AN486" s="1683">
        <v>8621.66</v>
      </c>
      <c r="AO486" s="1683">
        <v>8621.66</v>
      </c>
      <c r="AP486" s="1683">
        <v>8621.66</v>
      </c>
      <c r="AQ486" s="1683">
        <v>8621.66</v>
      </c>
      <c r="AR486" s="1683">
        <v>0</v>
      </c>
      <c r="AS486" s="1683">
        <v>0</v>
      </c>
      <c r="AT486" s="1683">
        <v>0</v>
      </c>
      <c r="AU486" s="1683">
        <v>0</v>
      </c>
      <c r="AV486" s="1683">
        <v>0</v>
      </c>
      <c r="AW486" s="1683">
        <v>0</v>
      </c>
      <c r="AX486" s="1400"/>
      <c r="AY486" s="1400"/>
      <c r="AZ486" s="1400"/>
      <c r="BA486" s="1682"/>
      <c r="BB486" s="1682"/>
      <c r="BC486" s="1400"/>
      <c r="BD486" s="1400"/>
      <c r="BE486" s="1683">
        <v>8621.66</v>
      </c>
      <c r="BF486" s="1683">
        <v>8621.66</v>
      </c>
      <c r="BG486" s="1683">
        <v>8621.66</v>
      </c>
      <c r="BH486" s="1683">
        <v>8621.66</v>
      </c>
      <c r="BI486" s="1683">
        <v>0</v>
      </c>
      <c r="BJ486" s="1683">
        <v>0</v>
      </c>
      <c r="BK486" s="1683">
        <v>0</v>
      </c>
      <c r="BL486" s="1683">
        <v>0</v>
      </c>
      <c r="BM486" s="1683">
        <v>0</v>
      </c>
      <c r="BN486" s="1683">
        <v>0</v>
      </c>
      <c r="BO486" s="1685">
        <v>43364</v>
      </c>
      <c r="BP486" s="1683">
        <v>8621.66</v>
      </c>
      <c r="BQ486" s="1683">
        <v>8621.66</v>
      </c>
      <c r="BR486" s="1683">
        <v>8621.66</v>
      </c>
      <c r="BS486" s="1683">
        <v>8621.66</v>
      </c>
      <c r="BT486" s="1683">
        <v>0</v>
      </c>
      <c r="BU486" s="1683">
        <v>0</v>
      </c>
      <c r="BV486" s="1683">
        <v>0</v>
      </c>
      <c r="BW486" s="1683">
        <v>0</v>
      </c>
      <c r="BX486" s="1683">
        <v>0</v>
      </c>
      <c r="BY486" s="1683">
        <v>0</v>
      </c>
      <c r="BZ486" s="1683">
        <v>0</v>
      </c>
      <c r="CA486" s="1400"/>
      <c r="CB486" s="1682"/>
      <c r="CC486" s="1682"/>
      <c r="CD486" s="1400"/>
      <c r="CE486" s="1400"/>
      <c r="CF486" s="1683">
        <v>3180.16</v>
      </c>
      <c r="CG486" s="1683">
        <v>3180.16</v>
      </c>
      <c r="CH486" s="1683">
        <v>0</v>
      </c>
      <c r="CI486" s="1683">
        <v>0</v>
      </c>
      <c r="CJ486" s="1683">
        <v>2699.68</v>
      </c>
      <c r="CK486" s="1683">
        <v>2699.68</v>
      </c>
      <c r="CL486" s="1682"/>
      <c r="CM486" s="1683">
        <v>0</v>
      </c>
      <c r="CN486" s="1683">
        <v>0</v>
      </c>
      <c r="CO486" s="1683">
        <v>0</v>
      </c>
      <c r="CP486" s="1683">
        <v>0</v>
      </c>
      <c r="CQ486" s="1683">
        <v>0</v>
      </c>
      <c r="CR486" s="1683">
        <v>0</v>
      </c>
      <c r="CS486" s="1683">
        <v>0</v>
      </c>
      <c r="CT486" s="1683">
        <v>0</v>
      </c>
      <c r="CU486" s="1683">
        <v>0</v>
      </c>
      <c r="CV486" s="1683">
        <v>0</v>
      </c>
      <c r="CW486" s="1682"/>
      <c r="CX486" s="1400"/>
      <c r="CY486" s="1400"/>
      <c r="CZ486" s="1400"/>
      <c r="DA486" s="1400"/>
      <c r="DB486" s="1682"/>
      <c r="DC486" s="1326"/>
      <c r="DD486" s="1683">
        <v>0</v>
      </c>
      <c r="DE486" s="1400"/>
      <c r="DF486" s="1400"/>
      <c r="DG486" s="1683">
        <v>0</v>
      </c>
      <c r="DH486" s="1683">
        <v>0</v>
      </c>
    </row>
    <row r="487" spans="1:112" ht="45">
      <c r="A487" s="1326" t="s">
        <v>3580</v>
      </c>
      <c r="B487" s="1326" t="s">
        <v>1702</v>
      </c>
      <c r="C487" s="1326" t="s">
        <v>2570</v>
      </c>
      <c r="D487" s="1326" t="s">
        <v>2571</v>
      </c>
      <c r="E487" s="1326" t="s">
        <v>2356</v>
      </c>
      <c r="F487" s="1326" t="s">
        <v>2566</v>
      </c>
      <c r="G487" s="1326" t="s">
        <v>2572</v>
      </c>
      <c r="H487" s="1326" t="s">
        <v>2573</v>
      </c>
      <c r="I487" s="1326" t="s">
        <v>2358</v>
      </c>
      <c r="J487" s="1326" t="s">
        <v>2359</v>
      </c>
      <c r="K487" s="1326" t="s">
        <v>2360</v>
      </c>
      <c r="L487" s="1326" t="s">
        <v>2061</v>
      </c>
      <c r="M487" s="1400"/>
      <c r="N487" s="1400"/>
      <c r="O487" s="1400"/>
      <c r="P487" s="1400"/>
      <c r="Q487" s="1400"/>
      <c r="R487" s="1400"/>
      <c r="S487" s="1400"/>
      <c r="T487" s="1400"/>
      <c r="U487" s="1400"/>
      <c r="V487" s="1400"/>
      <c r="W487" s="1400"/>
      <c r="X487" s="1400"/>
      <c r="Y487" s="1685">
        <v>43276</v>
      </c>
      <c r="Z487" s="1326" t="s">
        <v>2062</v>
      </c>
      <c r="AA487" s="1683">
        <v>0</v>
      </c>
      <c r="AB487" s="1683">
        <v>0</v>
      </c>
      <c r="AC487" s="1683">
        <v>0</v>
      </c>
      <c r="AD487" s="1685">
        <v>43307</v>
      </c>
      <c r="AE487" s="1326" t="s">
        <v>2080</v>
      </c>
      <c r="AF487" s="1326" t="s">
        <v>2064</v>
      </c>
      <c r="AG487" s="1410"/>
      <c r="AH487" s="1683">
        <v>13120.62</v>
      </c>
      <c r="AI487" s="1683">
        <v>13120.62</v>
      </c>
      <c r="AJ487" s="1683">
        <v>13120.62</v>
      </c>
      <c r="AK487" s="1683">
        <v>13120.62</v>
      </c>
      <c r="AL487" s="1683">
        <v>0</v>
      </c>
      <c r="AM487" s="1685">
        <v>43307</v>
      </c>
      <c r="AN487" s="1683">
        <v>13120.62</v>
      </c>
      <c r="AO487" s="1683">
        <v>13120.62</v>
      </c>
      <c r="AP487" s="1683">
        <v>13120.62</v>
      </c>
      <c r="AQ487" s="1683">
        <v>13120.62</v>
      </c>
      <c r="AR487" s="1683">
        <v>0</v>
      </c>
      <c r="AS487" s="1683">
        <v>0</v>
      </c>
      <c r="AT487" s="1683">
        <v>0</v>
      </c>
      <c r="AU487" s="1683">
        <v>0</v>
      </c>
      <c r="AV487" s="1683">
        <v>0</v>
      </c>
      <c r="AW487" s="1683">
        <v>0</v>
      </c>
      <c r="AX487" s="1400"/>
      <c r="AY487" s="1400"/>
      <c r="AZ487" s="1400"/>
      <c r="BA487" s="1682"/>
      <c r="BB487" s="1682"/>
      <c r="BC487" s="1400"/>
      <c r="BD487" s="1400"/>
      <c r="BE487" s="1683">
        <v>13120.62</v>
      </c>
      <c r="BF487" s="1683">
        <v>13120.62</v>
      </c>
      <c r="BG487" s="1683">
        <v>13120.62</v>
      </c>
      <c r="BH487" s="1683">
        <v>13120.62</v>
      </c>
      <c r="BI487" s="1683">
        <v>0</v>
      </c>
      <c r="BJ487" s="1683">
        <v>0</v>
      </c>
      <c r="BK487" s="1683">
        <v>0</v>
      </c>
      <c r="BL487" s="1683">
        <v>0</v>
      </c>
      <c r="BM487" s="1683">
        <v>0</v>
      </c>
      <c r="BN487" s="1683">
        <v>0</v>
      </c>
      <c r="BO487" s="1685">
        <v>43364</v>
      </c>
      <c r="BP487" s="1683">
        <v>13120.62</v>
      </c>
      <c r="BQ487" s="1683">
        <v>13120.62</v>
      </c>
      <c r="BR487" s="1683">
        <v>13120.62</v>
      </c>
      <c r="BS487" s="1683">
        <v>13120.62</v>
      </c>
      <c r="BT487" s="1683">
        <v>0</v>
      </c>
      <c r="BU487" s="1683">
        <v>0</v>
      </c>
      <c r="BV487" s="1683">
        <v>0</v>
      </c>
      <c r="BW487" s="1683">
        <v>0</v>
      </c>
      <c r="BX487" s="1683">
        <v>0</v>
      </c>
      <c r="BY487" s="1683">
        <v>0</v>
      </c>
      <c r="BZ487" s="1683">
        <v>0</v>
      </c>
      <c r="CA487" s="1400"/>
      <c r="CB487" s="1682"/>
      <c r="CC487" s="1682"/>
      <c r="CD487" s="1400"/>
      <c r="CE487" s="1400"/>
      <c r="CF487" s="1683">
        <v>3899.53</v>
      </c>
      <c r="CG487" s="1683">
        <v>3899.53</v>
      </c>
      <c r="CH487" s="1683">
        <v>0</v>
      </c>
      <c r="CI487" s="1683">
        <v>0</v>
      </c>
      <c r="CJ487" s="1683">
        <v>4183.03</v>
      </c>
      <c r="CK487" s="1683">
        <v>4183.03</v>
      </c>
      <c r="CL487" s="1682"/>
      <c r="CM487" s="1683">
        <v>0</v>
      </c>
      <c r="CN487" s="1683">
        <v>0</v>
      </c>
      <c r="CO487" s="1683">
        <v>0</v>
      </c>
      <c r="CP487" s="1683">
        <v>0</v>
      </c>
      <c r="CQ487" s="1683">
        <v>0</v>
      </c>
      <c r="CR487" s="1683">
        <v>0</v>
      </c>
      <c r="CS487" s="1683">
        <v>0</v>
      </c>
      <c r="CT487" s="1683">
        <v>0</v>
      </c>
      <c r="CU487" s="1683">
        <v>0</v>
      </c>
      <c r="CV487" s="1683">
        <v>0</v>
      </c>
      <c r="CW487" s="1682"/>
      <c r="CX487" s="1400"/>
      <c r="CY487" s="1400"/>
      <c r="CZ487" s="1400"/>
      <c r="DA487" s="1400"/>
      <c r="DB487" s="1682"/>
      <c r="DC487" s="1326"/>
      <c r="DD487" s="1683">
        <v>0</v>
      </c>
      <c r="DE487" s="1400"/>
      <c r="DF487" s="1400"/>
      <c r="DG487" s="1683">
        <v>0</v>
      </c>
      <c r="DH487" s="1683">
        <v>0</v>
      </c>
    </row>
    <row r="488" spans="1:112" ht="45">
      <c r="A488" s="1326" t="s">
        <v>3581</v>
      </c>
      <c r="B488" s="1326" t="s">
        <v>1702</v>
      </c>
      <c r="C488" s="1326" t="s">
        <v>2570</v>
      </c>
      <c r="D488" s="1326" t="s">
        <v>2571</v>
      </c>
      <c r="E488" s="1326" t="s">
        <v>2356</v>
      </c>
      <c r="F488" s="1326" t="s">
        <v>2566</v>
      </c>
      <c r="G488" s="1326" t="s">
        <v>2572</v>
      </c>
      <c r="H488" s="1326" t="s">
        <v>2573</v>
      </c>
      <c r="I488" s="1326" t="s">
        <v>2358</v>
      </c>
      <c r="J488" s="1326" t="s">
        <v>2359</v>
      </c>
      <c r="K488" s="1326" t="s">
        <v>2360</v>
      </c>
      <c r="L488" s="1326" t="s">
        <v>2061</v>
      </c>
      <c r="M488" s="1400"/>
      <c r="N488" s="1400"/>
      <c r="O488" s="1400"/>
      <c r="P488" s="1400"/>
      <c r="Q488" s="1400"/>
      <c r="R488" s="1400"/>
      <c r="S488" s="1400"/>
      <c r="T488" s="1400"/>
      <c r="U488" s="1400"/>
      <c r="V488" s="1400"/>
      <c r="W488" s="1400"/>
      <c r="X488" s="1400"/>
      <c r="Y488" s="1685">
        <v>43339</v>
      </c>
      <c r="Z488" s="1326" t="s">
        <v>2062</v>
      </c>
      <c r="AA488" s="1683">
        <v>0</v>
      </c>
      <c r="AB488" s="1683">
        <v>0</v>
      </c>
      <c r="AC488" s="1683">
        <v>0</v>
      </c>
      <c r="AD488" s="1685">
        <v>43374</v>
      </c>
      <c r="AE488" s="1326" t="s">
        <v>2081</v>
      </c>
      <c r="AF488" s="1326" t="s">
        <v>2064</v>
      </c>
      <c r="AG488" s="1410"/>
      <c r="AH488" s="1683">
        <v>10138.1</v>
      </c>
      <c r="AI488" s="1683">
        <v>10138.1</v>
      </c>
      <c r="AJ488" s="1683">
        <v>10138.1</v>
      </c>
      <c r="AK488" s="1683">
        <v>10138.1</v>
      </c>
      <c r="AL488" s="1683">
        <v>0</v>
      </c>
      <c r="AM488" s="1685">
        <v>43374</v>
      </c>
      <c r="AN488" s="1683">
        <v>10138.1</v>
      </c>
      <c r="AO488" s="1683">
        <v>10138.1</v>
      </c>
      <c r="AP488" s="1683">
        <v>10138.1</v>
      </c>
      <c r="AQ488" s="1683">
        <v>10138.1</v>
      </c>
      <c r="AR488" s="1683">
        <v>0</v>
      </c>
      <c r="AS488" s="1683">
        <v>0</v>
      </c>
      <c r="AT488" s="1683">
        <v>0</v>
      </c>
      <c r="AU488" s="1683">
        <v>0</v>
      </c>
      <c r="AV488" s="1683">
        <v>0</v>
      </c>
      <c r="AW488" s="1683">
        <v>0</v>
      </c>
      <c r="AX488" s="1400"/>
      <c r="AY488" s="1400"/>
      <c r="AZ488" s="1400"/>
      <c r="BA488" s="1682"/>
      <c r="BB488" s="1682"/>
      <c r="BC488" s="1400"/>
      <c r="BD488" s="1400"/>
      <c r="BE488" s="1683">
        <v>10138.1</v>
      </c>
      <c r="BF488" s="1683">
        <v>10138.1</v>
      </c>
      <c r="BG488" s="1683">
        <v>10138.1</v>
      </c>
      <c r="BH488" s="1683">
        <v>10138.1</v>
      </c>
      <c r="BI488" s="1683">
        <v>0</v>
      </c>
      <c r="BJ488" s="1683">
        <v>0</v>
      </c>
      <c r="BK488" s="1683">
        <v>0</v>
      </c>
      <c r="BL488" s="1683">
        <v>0</v>
      </c>
      <c r="BM488" s="1683">
        <v>0</v>
      </c>
      <c r="BN488" s="1683">
        <v>0</v>
      </c>
      <c r="BO488" s="1685">
        <v>43462</v>
      </c>
      <c r="BP488" s="1683">
        <v>10138.1</v>
      </c>
      <c r="BQ488" s="1683">
        <v>10138.1</v>
      </c>
      <c r="BR488" s="1683">
        <v>10138.1</v>
      </c>
      <c r="BS488" s="1683">
        <v>10138.1</v>
      </c>
      <c r="BT488" s="1683">
        <v>0</v>
      </c>
      <c r="BU488" s="1683">
        <v>0</v>
      </c>
      <c r="BV488" s="1683">
        <v>0</v>
      </c>
      <c r="BW488" s="1683">
        <v>0</v>
      </c>
      <c r="BX488" s="1683">
        <v>0</v>
      </c>
      <c r="BY488" s="1683">
        <v>0</v>
      </c>
      <c r="BZ488" s="1683">
        <v>0</v>
      </c>
      <c r="CA488" s="1400"/>
      <c r="CB488" s="1682"/>
      <c r="CC488" s="1682"/>
      <c r="CD488" s="1400"/>
      <c r="CE488" s="1400"/>
      <c r="CF488" s="1683">
        <v>2140.29</v>
      </c>
      <c r="CG488" s="1683">
        <v>2140.29</v>
      </c>
      <c r="CH488" s="1683">
        <v>0</v>
      </c>
      <c r="CI488" s="1683">
        <v>0</v>
      </c>
      <c r="CJ488" s="1683">
        <v>3301.43</v>
      </c>
      <c r="CK488" s="1683">
        <v>3301.43</v>
      </c>
      <c r="CL488" s="1682"/>
      <c r="CM488" s="1683">
        <v>0</v>
      </c>
      <c r="CN488" s="1683">
        <v>0</v>
      </c>
      <c r="CO488" s="1683">
        <v>0</v>
      </c>
      <c r="CP488" s="1683">
        <v>0</v>
      </c>
      <c r="CQ488" s="1683">
        <v>0</v>
      </c>
      <c r="CR488" s="1683">
        <v>0</v>
      </c>
      <c r="CS488" s="1683">
        <v>0</v>
      </c>
      <c r="CT488" s="1683">
        <v>0</v>
      </c>
      <c r="CU488" s="1683">
        <v>0</v>
      </c>
      <c r="CV488" s="1683">
        <v>0</v>
      </c>
      <c r="CW488" s="1682"/>
      <c r="CX488" s="1400"/>
      <c r="CY488" s="1400"/>
      <c r="CZ488" s="1400"/>
      <c r="DA488" s="1400"/>
      <c r="DB488" s="1682"/>
      <c r="DC488" s="1326"/>
      <c r="DD488" s="1683">
        <v>0</v>
      </c>
      <c r="DE488" s="1400"/>
      <c r="DF488" s="1400"/>
      <c r="DG488" s="1683">
        <v>0</v>
      </c>
      <c r="DH488" s="1683">
        <v>0</v>
      </c>
    </row>
    <row r="489" spans="1:112" ht="45">
      <c r="A489" s="1326" t="s">
        <v>3582</v>
      </c>
      <c r="B489" s="1326" t="s">
        <v>1702</v>
      </c>
      <c r="C489" s="1326" t="s">
        <v>2570</v>
      </c>
      <c r="D489" s="1326" t="s">
        <v>2571</v>
      </c>
      <c r="E489" s="1326" t="s">
        <v>2356</v>
      </c>
      <c r="F489" s="1326" t="s">
        <v>2566</v>
      </c>
      <c r="G489" s="1326" t="s">
        <v>2572</v>
      </c>
      <c r="H489" s="1326" t="s">
        <v>2573</v>
      </c>
      <c r="I489" s="1326" t="s">
        <v>2358</v>
      </c>
      <c r="J489" s="1326" t="s">
        <v>2359</v>
      </c>
      <c r="K489" s="1326" t="s">
        <v>2360</v>
      </c>
      <c r="L489" s="1326" t="s">
        <v>2061</v>
      </c>
      <c r="M489" s="1400"/>
      <c r="N489" s="1400"/>
      <c r="O489" s="1400"/>
      <c r="P489" s="1400"/>
      <c r="Q489" s="1400"/>
      <c r="R489" s="1400"/>
      <c r="S489" s="1400"/>
      <c r="T489" s="1400"/>
      <c r="U489" s="1400"/>
      <c r="V489" s="1400"/>
      <c r="W489" s="1400"/>
      <c r="X489" s="1400"/>
      <c r="Y489" s="1685">
        <v>43430</v>
      </c>
      <c r="Z489" s="1326" t="s">
        <v>2062</v>
      </c>
      <c r="AA489" s="1683">
        <v>0</v>
      </c>
      <c r="AB489" s="1683">
        <v>0</v>
      </c>
      <c r="AC489" s="1683">
        <v>0</v>
      </c>
      <c r="AD489" s="1685">
        <v>43462</v>
      </c>
      <c r="AE489" s="1326" t="s">
        <v>2088</v>
      </c>
      <c r="AF489" s="1326" t="s">
        <v>2064</v>
      </c>
      <c r="AG489" s="1410"/>
      <c r="AH489" s="1683">
        <v>13732.95</v>
      </c>
      <c r="AI489" s="1683">
        <v>13732.95</v>
      </c>
      <c r="AJ489" s="1683">
        <v>13732.95</v>
      </c>
      <c r="AK489" s="1683">
        <v>13732.95</v>
      </c>
      <c r="AL489" s="1683">
        <v>0</v>
      </c>
      <c r="AM489" s="1685">
        <v>43462</v>
      </c>
      <c r="AN489" s="1683">
        <v>13732.95</v>
      </c>
      <c r="AO489" s="1683">
        <v>13732.95</v>
      </c>
      <c r="AP489" s="1683">
        <v>13732.95</v>
      </c>
      <c r="AQ489" s="1683">
        <v>13732.95</v>
      </c>
      <c r="AR489" s="1683">
        <v>0</v>
      </c>
      <c r="AS489" s="1683">
        <v>0</v>
      </c>
      <c r="AT489" s="1683">
        <v>0</v>
      </c>
      <c r="AU489" s="1683">
        <v>0</v>
      </c>
      <c r="AV489" s="1683">
        <v>0</v>
      </c>
      <c r="AW489" s="1683">
        <v>0</v>
      </c>
      <c r="AX489" s="1400"/>
      <c r="AY489" s="1400"/>
      <c r="AZ489" s="1400"/>
      <c r="BA489" s="1682"/>
      <c r="BB489" s="1682"/>
      <c r="BC489" s="1400"/>
      <c r="BD489" s="1400"/>
      <c r="BE489" s="1683">
        <v>13732.95</v>
      </c>
      <c r="BF489" s="1683">
        <v>13732.95</v>
      </c>
      <c r="BG489" s="1683">
        <v>13732.95</v>
      </c>
      <c r="BH489" s="1683">
        <v>13732.95</v>
      </c>
      <c r="BI489" s="1683">
        <v>0</v>
      </c>
      <c r="BJ489" s="1683">
        <v>0</v>
      </c>
      <c r="BK489" s="1683">
        <v>0</v>
      </c>
      <c r="BL489" s="1683">
        <v>0</v>
      </c>
      <c r="BM489" s="1683">
        <v>0</v>
      </c>
      <c r="BN489" s="1683">
        <v>0</v>
      </c>
      <c r="BO489" s="1682"/>
      <c r="BP489" s="1683">
        <v>0</v>
      </c>
      <c r="BQ489" s="1683">
        <v>0</v>
      </c>
      <c r="BR489" s="1683">
        <v>0</v>
      </c>
      <c r="BS489" s="1683">
        <v>0</v>
      </c>
      <c r="BT489" s="1683">
        <v>0</v>
      </c>
      <c r="BU489" s="1683">
        <v>0</v>
      </c>
      <c r="BV489" s="1683">
        <v>0</v>
      </c>
      <c r="BW489" s="1683">
        <v>0</v>
      </c>
      <c r="BX489" s="1683">
        <v>0</v>
      </c>
      <c r="BY489" s="1683">
        <v>0</v>
      </c>
      <c r="BZ489" s="1683">
        <v>0</v>
      </c>
      <c r="CA489" s="1400"/>
      <c r="CB489" s="1682"/>
      <c r="CC489" s="1682"/>
      <c r="CD489" s="1400"/>
      <c r="CE489" s="1400"/>
      <c r="CF489" s="1683">
        <v>0</v>
      </c>
      <c r="CG489" s="1683">
        <v>0</v>
      </c>
      <c r="CH489" s="1683">
        <v>0</v>
      </c>
      <c r="CI489" s="1683">
        <v>0</v>
      </c>
      <c r="CJ489" s="1683">
        <v>0</v>
      </c>
      <c r="CK489" s="1683">
        <v>0</v>
      </c>
      <c r="CL489" s="1682"/>
      <c r="CM489" s="1683">
        <v>0</v>
      </c>
      <c r="CN489" s="1683">
        <v>0</v>
      </c>
      <c r="CO489" s="1683">
        <v>0</v>
      </c>
      <c r="CP489" s="1683">
        <v>0</v>
      </c>
      <c r="CQ489" s="1683">
        <v>0</v>
      </c>
      <c r="CR489" s="1683">
        <v>0</v>
      </c>
      <c r="CS489" s="1683">
        <v>0</v>
      </c>
      <c r="CT489" s="1683">
        <v>0</v>
      </c>
      <c r="CU489" s="1683">
        <v>0</v>
      </c>
      <c r="CV489" s="1683">
        <v>0</v>
      </c>
      <c r="CW489" s="1682"/>
      <c r="CX489" s="1400"/>
      <c r="CY489" s="1400"/>
      <c r="CZ489" s="1400"/>
      <c r="DA489" s="1400"/>
      <c r="DB489" s="1682"/>
      <c r="DC489" s="1326"/>
      <c r="DD489" s="1683">
        <v>0</v>
      </c>
      <c r="DE489" s="1400"/>
      <c r="DF489" s="1400"/>
      <c r="DG489" s="1683">
        <v>0</v>
      </c>
      <c r="DH489" s="1683">
        <v>0</v>
      </c>
    </row>
    <row r="490" spans="1:112" ht="45">
      <c r="A490" s="1326" t="s">
        <v>3583</v>
      </c>
      <c r="B490" s="1326" t="s">
        <v>1702</v>
      </c>
      <c r="C490" s="1326" t="s">
        <v>2570</v>
      </c>
      <c r="D490" s="1326" t="s">
        <v>2571</v>
      </c>
      <c r="E490" s="1326" t="s">
        <v>2356</v>
      </c>
      <c r="F490" s="1326" t="s">
        <v>2566</v>
      </c>
      <c r="G490" s="1326" t="s">
        <v>2572</v>
      </c>
      <c r="H490" s="1326" t="s">
        <v>2573</v>
      </c>
      <c r="I490" s="1326" t="s">
        <v>2358</v>
      </c>
      <c r="J490" s="1326" t="s">
        <v>2359</v>
      </c>
      <c r="K490" s="1326" t="s">
        <v>2360</v>
      </c>
      <c r="L490" s="1326" t="s">
        <v>2061</v>
      </c>
      <c r="M490" s="1400"/>
      <c r="N490" s="1400"/>
      <c r="O490" s="1400"/>
      <c r="P490" s="1400"/>
      <c r="Q490" s="1400"/>
      <c r="R490" s="1400"/>
      <c r="S490" s="1400"/>
      <c r="T490" s="1400"/>
      <c r="U490" s="1400"/>
      <c r="V490" s="1400"/>
      <c r="W490" s="1400"/>
      <c r="X490" s="1400"/>
      <c r="Y490" s="1685">
        <v>43521</v>
      </c>
      <c r="Z490" s="1326" t="s">
        <v>2062</v>
      </c>
      <c r="AA490" s="1683">
        <v>0</v>
      </c>
      <c r="AB490" s="1683">
        <v>0</v>
      </c>
      <c r="AC490" s="1683">
        <v>0</v>
      </c>
      <c r="AD490" s="1685">
        <v>43545</v>
      </c>
      <c r="AE490" s="1326" t="s">
        <v>2082</v>
      </c>
      <c r="AF490" s="1326" t="s">
        <v>2064</v>
      </c>
      <c r="AG490" s="1410"/>
      <c r="AH490" s="1683">
        <v>10969.21</v>
      </c>
      <c r="AI490" s="1683">
        <v>10969.21</v>
      </c>
      <c r="AJ490" s="1683">
        <v>10969.21</v>
      </c>
      <c r="AK490" s="1683">
        <v>10969.21</v>
      </c>
      <c r="AL490" s="1683">
        <v>0</v>
      </c>
      <c r="AM490" s="1685">
        <v>43545</v>
      </c>
      <c r="AN490" s="1683">
        <v>10969.21</v>
      </c>
      <c r="AO490" s="1683">
        <v>10969.21</v>
      </c>
      <c r="AP490" s="1683">
        <v>10969.21</v>
      </c>
      <c r="AQ490" s="1683">
        <v>10969.21</v>
      </c>
      <c r="AR490" s="1683">
        <v>0</v>
      </c>
      <c r="AS490" s="1683">
        <v>0</v>
      </c>
      <c r="AT490" s="1683">
        <v>0</v>
      </c>
      <c r="AU490" s="1683">
        <v>0</v>
      </c>
      <c r="AV490" s="1683">
        <v>0</v>
      </c>
      <c r="AW490" s="1683">
        <v>0</v>
      </c>
      <c r="AX490" s="1400"/>
      <c r="AY490" s="1400"/>
      <c r="AZ490" s="1400"/>
      <c r="BA490" s="1682"/>
      <c r="BB490" s="1682"/>
      <c r="BC490" s="1400"/>
      <c r="BD490" s="1400"/>
      <c r="BE490" s="1683">
        <v>10969.21</v>
      </c>
      <c r="BF490" s="1683">
        <v>10969.21</v>
      </c>
      <c r="BG490" s="1683">
        <v>10969.21</v>
      </c>
      <c r="BH490" s="1683">
        <v>10969.21</v>
      </c>
      <c r="BI490" s="1683">
        <v>0</v>
      </c>
      <c r="BJ490" s="1683">
        <v>0</v>
      </c>
      <c r="BK490" s="1683">
        <v>0</v>
      </c>
      <c r="BL490" s="1683">
        <v>0</v>
      </c>
      <c r="BM490" s="1683">
        <v>0</v>
      </c>
      <c r="BN490" s="1683">
        <v>0</v>
      </c>
      <c r="BO490" s="1682"/>
      <c r="BP490" s="1683">
        <v>0</v>
      </c>
      <c r="BQ490" s="1683">
        <v>0</v>
      </c>
      <c r="BR490" s="1683">
        <v>0</v>
      </c>
      <c r="BS490" s="1683">
        <v>0</v>
      </c>
      <c r="BT490" s="1683">
        <v>0</v>
      </c>
      <c r="BU490" s="1683">
        <v>0</v>
      </c>
      <c r="BV490" s="1683">
        <v>0</v>
      </c>
      <c r="BW490" s="1683">
        <v>0</v>
      </c>
      <c r="BX490" s="1683">
        <v>0</v>
      </c>
      <c r="BY490" s="1683">
        <v>0</v>
      </c>
      <c r="BZ490" s="1400"/>
      <c r="CA490" s="1400"/>
      <c r="CB490" s="1682"/>
      <c r="CC490" s="1682"/>
      <c r="CD490" s="1400"/>
      <c r="CE490" s="1400"/>
      <c r="CF490" s="1683">
        <v>0</v>
      </c>
      <c r="CG490" s="1683">
        <v>0</v>
      </c>
      <c r="CH490" s="1683">
        <v>0</v>
      </c>
      <c r="CI490" s="1683">
        <v>0</v>
      </c>
      <c r="CJ490" s="1683">
        <v>0</v>
      </c>
      <c r="CK490" s="1683">
        <v>0</v>
      </c>
      <c r="CL490" s="1682"/>
      <c r="CM490" s="1683">
        <v>0</v>
      </c>
      <c r="CN490" s="1683">
        <v>0</v>
      </c>
      <c r="CO490" s="1683">
        <v>0</v>
      </c>
      <c r="CP490" s="1683">
        <v>0</v>
      </c>
      <c r="CQ490" s="1683">
        <v>0</v>
      </c>
      <c r="CR490" s="1683">
        <v>0</v>
      </c>
      <c r="CS490" s="1683">
        <v>0</v>
      </c>
      <c r="CT490" s="1683">
        <v>0</v>
      </c>
      <c r="CU490" s="1683">
        <v>0</v>
      </c>
      <c r="CV490" s="1683">
        <v>0</v>
      </c>
      <c r="CW490" s="1682"/>
      <c r="CX490" s="1400"/>
      <c r="CY490" s="1400"/>
      <c r="CZ490" s="1400"/>
      <c r="DA490" s="1400"/>
      <c r="DB490" s="1682"/>
      <c r="DC490" s="1326"/>
      <c r="DD490" s="1683">
        <v>0</v>
      </c>
      <c r="DE490" s="1400"/>
      <c r="DF490" s="1400"/>
      <c r="DG490" s="1683">
        <v>0</v>
      </c>
      <c r="DH490" s="1683">
        <v>0</v>
      </c>
    </row>
    <row r="491" spans="1:112" ht="33.75">
      <c r="A491" s="1326" t="s">
        <v>3584</v>
      </c>
      <c r="B491" s="1326" t="s">
        <v>1702</v>
      </c>
      <c r="C491" s="1326" t="s">
        <v>2570</v>
      </c>
      <c r="D491" s="1326" t="s">
        <v>2571</v>
      </c>
      <c r="E491" s="1326" t="s">
        <v>2356</v>
      </c>
      <c r="F491" s="1326" t="s">
        <v>2566</v>
      </c>
      <c r="G491" s="1326" t="s">
        <v>2572</v>
      </c>
      <c r="H491" s="1326" t="s">
        <v>2573</v>
      </c>
      <c r="I491" s="1326" t="s">
        <v>2368</v>
      </c>
      <c r="J491" s="1326" t="s">
        <v>2369</v>
      </c>
      <c r="K491" s="1326" t="s">
        <v>2370</v>
      </c>
      <c r="L491" s="1326" t="s">
        <v>2061</v>
      </c>
      <c r="M491" s="1683">
        <v>1814953.52</v>
      </c>
      <c r="N491" s="1683">
        <v>0</v>
      </c>
      <c r="O491" s="1683">
        <v>1814953.52</v>
      </c>
      <c r="P491" s="1683">
        <v>1814953.52</v>
      </c>
      <c r="Q491" s="1683">
        <v>1814953.52</v>
      </c>
      <c r="R491" s="1683">
        <v>1314953.52</v>
      </c>
      <c r="S491" s="1683">
        <v>500000</v>
      </c>
      <c r="T491" s="1683">
        <v>0</v>
      </c>
      <c r="U491" s="1683">
        <v>0</v>
      </c>
      <c r="V491" s="1683">
        <v>0</v>
      </c>
      <c r="W491" s="1683">
        <v>0</v>
      </c>
      <c r="X491" s="1683">
        <v>0</v>
      </c>
      <c r="Y491" s="1682"/>
      <c r="Z491" s="1326"/>
      <c r="AA491" s="1683">
        <v>0</v>
      </c>
      <c r="AB491" s="1683">
        <v>0</v>
      </c>
      <c r="AC491" s="1683">
        <v>0</v>
      </c>
      <c r="AD491" s="1682"/>
      <c r="AE491" s="1326"/>
      <c r="AF491" s="1326"/>
      <c r="AG491" s="1410"/>
      <c r="AH491" s="1683">
        <v>384799.05</v>
      </c>
      <c r="AI491" s="1683">
        <v>608799.05000000005</v>
      </c>
      <c r="AJ491" s="1683">
        <v>608799.05000000005</v>
      </c>
      <c r="AK491" s="1683">
        <v>441081.52</v>
      </c>
      <c r="AL491" s="1683">
        <v>167717.53</v>
      </c>
      <c r="AM491" s="1682"/>
      <c r="AN491" s="1683">
        <v>384799.05</v>
      </c>
      <c r="AO491" s="1683">
        <v>384799.05</v>
      </c>
      <c r="AP491" s="1683">
        <v>384799.05</v>
      </c>
      <c r="AQ491" s="1683">
        <v>278791.09000000003</v>
      </c>
      <c r="AR491" s="1683">
        <v>106007.96</v>
      </c>
      <c r="AS491" s="1683">
        <v>0</v>
      </c>
      <c r="AT491" s="1683">
        <v>0</v>
      </c>
      <c r="AU491" s="1683">
        <v>0</v>
      </c>
      <c r="AV491" s="1683">
        <v>0</v>
      </c>
      <c r="AW491" s="1683">
        <v>0</v>
      </c>
      <c r="AX491" s="1683">
        <v>0</v>
      </c>
      <c r="AY491" s="1683">
        <v>0</v>
      </c>
      <c r="AZ491" s="1683">
        <v>0</v>
      </c>
      <c r="BA491" s="1682"/>
      <c r="BB491" s="1682"/>
      <c r="BC491" s="1683">
        <v>0</v>
      </c>
      <c r="BD491" s="1683">
        <v>0</v>
      </c>
      <c r="BE491" s="1683">
        <v>384799.05</v>
      </c>
      <c r="BF491" s="1683">
        <v>384799.05</v>
      </c>
      <c r="BG491" s="1683">
        <v>384799.05</v>
      </c>
      <c r="BH491" s="1683">
        <v>278791.09000000003</v>
      </c>
      <c r="BI491" s="1683">
        <v>106007.96</v>
      </c>
      <c r="BJ491" s="1683">
        <v>0</v>
      </c>
      <c r="BK491" s="1683">
        <v>0</v>
      </c>
      <c r="BL491" s="1683">
        <v>0</v>
      </c>
      <c r="BM491" s="1683">
        <v>0</v>
      </c>
      <c r="BN491" s="1683">
        <v>0</v>
      </c>
      <c r="BO491" s="1682"/>
      <c r="BP491" s="1683">
        <v>254169.89</v>
      </c>
      <c r="BQ491" s="1683">
        <v>254169.89</v>
      </c>
      <c r="BR491" s="1683">
        <v>254169.89</v>
      </c>
      <c r="BS491" s="1683">
        <v>184148.84</v>
      </c>
      <c r="BT491" s="1683">
        <v>70021.05</v>
      </c>
      <c r="BU491" s="1683">
        <v>0</v>
      </c>
      <c r="BV491" s="1683">
        <v>0</v>
      </c>
      <c r="BW491" s="1683">
        <v>0</v>
      </c>
      <c r="BX491" s="1683">
        <v>0</v>
      </c>
      <c r="BY491" s="1683">
        <v>0</v>
      </c>
      <c r="BZ491" s="1683">
        <v>0</v>
      </c>
      <c r="CA491" s="1683">
        <v>0</v>
      </c>
      <c r="CB491" s="1682"/>
      <c r="CC491" s="1682"/>
      <c r="CD491" s="1683">
        <v>0</v>
      </c>
      <c r="CE491" s="1683">
        <v>0</v>
      </c>
      <c r="CF491" s="1683">
        <v>3972.5</v>
      </c>
      <c r="CG491" s="1683">
        <v>3972.5</v>
      </c>
      <c r="CH491" s="1683">
        <v>0</v>
      </c>
      <c r="CI491" s="1683">
        <v>0</v>
      </c>
      <c r="CJ491" s="1683">
        <v>86707.87</v>
      </c>
      <c r="CK491" s="1683">
        <v>86707.87</v>
      </c>
      <c r="CL491" s="1682"/>
      <c r="CM491" s="1683">
        <v>18031.400000000001</v>
      </c>
      <c r="CN491" s="1683">
        <v>18031.400000000001</v>
      </c>
      <c r="CO491" s="1683">
        <v>18031.400000000001</v>
      </c>
      <c r="CP491" s="1683">
        <v>13063.95</v>
      </c>
      <c r="CQ491" s="1683">
        <v>4967.45</v>
      </c>
      <c r="CR491" s="1683">
        <v>0</v>
      </c>
      <c r="CS491" s="1683">
        <v>0</v>
      </c>
      <c r="CT491" s="1683">
        <v>0</v>
      </c>
      <c r="CU491" s="1683">
        <v>0</v>
      </c>
      <c r="CV491" s="1683">
        <v>0</v>
      </c>
      <c r="CW491" s="1682"/>
      <c r="CX491" s="1683">
        <v>0</v>
      </c>
      <c r="CY491" s="1683">
        <v>0</v>
      </c>
      <c r="CZ491" s="1683">
        <v>18031.400000000001</v>
      </c>
      <c r="DA491" s="1683">
        <v>18031.400000000001</v>
      </c>
      <c r="DB491" s="1682"/>
      <c r="DC491" s="1326"/>
      <c r="DD491" s="1683">
        <v>0</v>
      </c>
      <c r="DE491" s="1683">
        <v>0</v>
      </c>
      <c r="DF491" s="1683">
        <v>0</v>
      </c>
      <c r="DG491" s="1683">
        <v>0</v>
      </c>
      <c r="DH491" s="1683">
        <v>0</v>
      </c>
    </row>
    <row r="492" spans="1:112" ht="33.75">
      <c r="A492" s="1326" t="s">
        <v>3585</v>
      </c>
      <c r="B492" s="1326" t="s">
        <v>1702</v>
      </c>
      <c r="C492" s="1326" t="s">
        <v>2570</v>
      </c>
      <c r="D492" s="1326" t="s">
        <v>2571</v>
      </c>
      <c r="E492" s="1326" t="s">
        <v>2356</v>
      </c>
      <c r="F492" s="1326" t="s">
        <v>2566</v>
      </c>
      <c r="G492" s="1326" t="s">
        <v>2572</v>
      </c>
      <c r="H492" s="1326" t="s">
        <v>2573</v>
      </c>
      <c r="I492" s="1326" t="s">
        <v>2368</v>
      </c>
      <c r="J492" s="1326" t="s">
        <v>2369</v>
      </c>
      <c r="K492" s="1326" t="s">
        <v>2370</v>
      </c>
      <c r="L492" s="1326" t="s">
        <v>2061</v>
      </c>
      <c r="M492" s="1400"/>
      <c r="N492" s="1400"/>
      <c r="O492" s="1400"/>
      <c r="P492" s="1400"/>
      <c r="Q492" s="1400"/>
      <c r="R492" s="1400"/>
      <c r="S492" s="1400"/>
      <c r="T492" s="1400"/>
      <c r="U492" s="1400"/>
      <c r="V492" s="1400"/>
      <c r="W492" s="1400"/>
      <c r="X492" s="1400"/>
      <c r="Y492" s="1685">
        <v>43035</v>
      </c>
      <c r="Z492" s="1326" t="s">
        <v>2096</v>
      </c>
      <c r="AA492" s="1683">
        <v>0</v>
      </c>
      <c r="AB492" s="1683">
        <v>0</v>
      </c>
      <c r="AC492" s="1683">
        <v>0</v>
      </c>
      <c r="AD492" s="1685">
        <v>43046</v>
      </c>
      <c r="AE492" s="1326" t="s">
        <v>2073</v>
      </c>
      <c r="AF492" s="1326" t="s">
        <v>2064</v>
      </c>
      <c r="AG492" s="1410"/>
      <c r="AH492" s="1683">
        <v>0</v>
      </c>
      <c r="AI492" s="1683">
        <v>133000</v>
      </c>
      <c r="AJ492" s="1683">
        <v>133000</v>
      </c>
      <c r="AK492" s="1683">
        <v>96359.94</v>
      </c>
      <c r="AL492" s="1683">
        <v>36640.06</v>
      </c>
      <c r="AM492" s="1682"/>
      <c r="AN492" s="1683">
        <v>0</v>
      </c>
      <c r="AO492" s="1683">
        <v>0</v>
      </c>
      <c r="AP492" s="1683">
        <v>0</v>
      </c>
      <c r="AQ492" s="1683">
        <v>0</v>
      </c>
      <c r="AR492" s="1683">
        <v>0</v>
      </c>
      <c r="AS492" s="1683">
        <v>0</v>
      </c>
      <c r="AT492" s="1683">
        <v>0</v>
      </c>
      <c r="AU492" s="1683">
        <v>0</v>
      </c>
      <c r="AV492" s="1683">
        <v>0</v>
      </c>
      <c r="AW492" s="1683">
        <v>0</v>
      </c>
      <c r="AX492" s="1400"/>
      <c r="AY492" s="1400"/>
      <c r="AZ492" s="1400"/>
      <c r="BA492" s="1682"/>
      <c r="BB492" s="1682"/>
      <c r="BC492" s="1400"/>
      <c r="BD492" s="1400"/>
      <c r="BE492" s="1683">
        <v>0</v>
      </c>
      <c r="BF492" s="1683">
        <v>0</v>
      </c>
      <c r="BG492" s="1683">
        <v>0</v>
      </c>
      <c r="BH492" s="1683">
        <v>0</v>
      </c>
      <c r="BI492" s="1683">
        <v>0</v>
      </c>
      <c r="BJ492" s="1683">
        <v>0</v>
      </c>
      <c r="BK492" s="1683">
        <v>0</v>
      </c>
      <c r="BL492" s="1683">
        <v>0</v>
      </c>
      <c r="BM492" s="1683">
        <v>0</v>
      </c>
      <c r="BN492" s="1683">
        <v>0</v>
      </c>
      <c r="BO492" s="1682"/>
      <c r="BP492" s="1683">
        <v>0</v>
      </c>
      <c r="BQ492" s="1683">
        <v>0</v>
      </c>
      <c r="BR492" s="1683">
        <v>0</v>
      </c>
      <c r="BS492" s="1683">
        <v>0</v>
      </c>
      <c r="BT492" s="1683">
        <v>0</v>
      </c>
      <c r="BU492" s="1683">
        <v>0</v>
      </c>
      <c r="BV492" s="1683">
        <v>0</v>
      </c>
      <c r="BW492" s="1683">
        <v>0</v>
      </c>
      <c r="BX492" s="1683">
        <v>0</v>
      </c>
      <c r="BY492" s="1683">
        <v>0</v>
      </c>
      <c r="BZ492" s="1400"/>
      <c r="CA492" s="1400"/>
      <c r="CB492" s="1682"/>
      <c r="CC492" s="1682"/>
      <c r="CD492" s="1400"/>
      <c r="CE492" s="1400"/>
      <c r="CF492" s="1683">
        <v>0</v>
      </c>
      <c r="CG492" s="1683">
        <v>0</v>
      </c>
      <c r="CH492" s="1683">
        <v>0</v>
      </c>
      <c r="CI492" s="1683">
        <v>0</v>
      </c>
      <c r="CJ492" s="1683">
        <v>0</v>
      </c>
      <c r="CK492" s="1683">
        <v>0</v>
      </c>
      <c r="CL492" s="1682"/>
      <c r="CM492" s="1683">
        <v>0</v>
      </c>
      <c r="CN492" s="1683">
        <v>0</v>
      </c>
      <c r="CO492" s="1683">
        <v>0</v>
      </c>
      <c r="CP492" s="1683">
        <v>0</v>
      </c>
      <c r="CQ492" s="1683">
        <v>0</v>
      </c>
      <c r="CR492" s="1683">
        <v>0</v>
      </c>
      <c r="CS492" s="1683">
        <v>0</v>
      </c>
      <c r="CT492" s="1683">
        <v>0</v>
      </c>
      <c r="CU492" s="1683">
        <v>0</v>
      </c>
      <c r="CV492" s="1683">
        <v>0</v>
      </c>
      <c r="CW492" s="1682"/>
      <c r="CX492" s="1400"/>
      <c r="CY492" s="1400"/>
      <c r="CZ492" s="1400"/>
      <c r="DA492" s="1400"/>
      <c r="DB492" s="1682"/>
      <c r="DC492" s="1326"/>
      <c r="DD492" s="1683">
        <v>0</v>
      </c>
      <c r="DE492" s="1400"/>
      <c r="DF492" s="1400"/>
      <c r="DG492" s="1683">
        <v>0</v>
      </c>
      <c r="DH492" s="1683">
        <v>0</v>
      </c>
    </row>
    <row r="493" spans="1:112" ht="33.75">
      <c r="A493" s="1326" t="s">
        <v>3586</v>
      </c>
      <c r="B493" s="1326" t="s">
        <v>1702</v>
      </c>
      <c r="C493" s="1326" t="s">
        <v>2570</v>
      </c>
      <c r="D493" s="1326" t="s">
        <v>2571</v>
      </c>
      <c r="E493" s="1326" t="s">
        <v>2356</v>
      </c>
      <c r="F493" s="1326" t="s">
        <v>2566</v>
      </c>
      <c r="G493" s="1326" t="s">
        <v>2572</v>
      </c>
      <c r="H493" s="1326" t="s">
        <v>2573</v>
      </c>
      <c r="I493" s="1326" t="s">
        <v>2368</v>
      </c>
      <c r="J493" s="1326" t="s">
        <v>2369</v>
      </c>
      <c r="K493" s="1326" t="s">
        <v>2370</v>
      </c>
      <c r="L493" s="1326" t="s">
        <v>2061</v>
      </c>
      <c r="M493" s="1400"/>
      <c r="N493" s="1400"/>
      <c r="O493" s="1400"/>
      <c r="P493" s="1400"/>
      <c r="Q493" s="1400"/>
      <c r="R493" s="1400"/>
      <c r="S493" s="1400"/>
      <c r="T493" s="1400"/>
      <c r="U493" s="1400"/>
      <c r="V493" s="1400"/>
      <c r="W493" s="1400"/>
      <c r="X493" s="1400"/>
      <c r="Y493" s="1685">
        <v>43129</v>
      </c>
      <c r="Z493" s="1326" t="s">
        <v>2062</v>
      </c>
      <c r="AA493" s="1683">
        <v>0</v>
      </c>
      <c r="AB493" s="1683">
        <v>0</v>
      </c>
      <c r="AC493" s="1683">
        <v>0</v>
      </c>
      <c r="AD493" s="1685">
        <v>43153</v>
      </c>
      <c r="AE493" s="1326" t="s">
        <v>2063</v>
      </c>
      <c r="AF493" s="1326" t="s">
        <v>2064</v>
      </c>
      <c r="AG493" s="1410"/>
      <c r="AH493" s="1683">
        <v>18031.400000000001</v>
      </c>
      <c r="AI493" s="1683">
        <v>18031.400000000001</v>
      </c>
      <c r="AJ493" s="1683">
        <v>18031.400000000001</v>
      </c>
      <c r="AK493" s="1683">
        <v>13063.95</v>
      </c>
      <c r="AL493" s="1683">
        <v>4967.45</v>
      </c>
      <c r="AM493" s="1685">
        <v>43153</v>
      </c>
      <c r="AN493" s="1683">
        <v>18031.400000000001</v>
      </c>
      <c r="AO493" s="1683">
        <v>18031.400000000001</v>
      </c>
      <c r="AP493" s="1683">
        <v>18031.400000000001</v>
      </c>
      <c r="AQ493" s="1683">
        <v>13063.95</v>
      </c>
      <c r="AR493" s="1683">
        <v>4967.45</v>
      </c>
      <c r="AS493" s="1683">
        <v>0</v>
      </c>
      <c r="AT493" s="1683">
        <v>0</v>
      </c>
      <c r="AU493" s="1683">
        <v>0</v>
      </c>
      <c r="AV493" s="1683">
        <v>0</v>
      </c>
      <c r="AW493" s="1683">
        <v>0</v>
      </c>
      <c r="AX493" s="1400"/>
      <c r="AY493" s="1400"/>
      <c r="AZ493" s="1400"/>
      <c r="BA493" s="1682"/>
      <c r="BB493" s="1682"/>
      <c r="BC493" s="1400"/>
      <c r="BD493" s="1400"/>
      <c r="BE493" s="1683">
        <v>18031.400000000001</v>
      </c>
      <c r="BF493" s="1683">
        <v>18031.400000000001</v>
      </c>
      <c r="BG493" s="1683">
        <v>18031.400000000001</v>
      </c>
      <c r="BH493" s="1683">
        <v>13063.95</v>
      </c>
      <c r="BI493" s="1683">
        <v>4967.45</v>
      </c>
      <c r="BJ493" s="1683">
        <v>0</v>
      </c>
      <c r="BK493" s="1683">
        <v>0</v>
      </c>
      <c r="BL493" s="1683">
        <v>0</v>
      </c>
      <c r="BM493" s="1683">
        <v>0</v>
      </c>
      <c r="BN493" s="1683">
        <v>0</v>
      </c>
      <c r="BO493" s="1685">
        <v>43241</v>
      </c>
      <c r="BP493" s="1683">
        <v>18031.400000000001</v>
      </c>
      <c r="BQ493" s="1683">
        <v>18031.400000000001</v>
      </c>
      <c r="BR493" s="1683">
        <v>18031.400000000001</v>
      </c>
      <c r="BS493" s="1683">
        <v>13063.95</v>
      </c>
      <c r="BT493" s="1683">
        <v>4967.45</v>
      </c>
      <c r="BU493" s="1683">
        <v>0</v>
      </c>
      <c r="BV493" s="1683">
        <v>0</v>
      </c>
      <c r="BW493" s="1683">
        <v>0</v>
      </c>
      <c r="BX493" s="1683">
        <v>0</v>
      </c>
      <c r="BY493" s="1683">
        <v>0</v>
      </c>
      <c r="BZ493" s="1683">
        <v>0</v>
      </c>
      <c r="CA493" s="1400"/>
      <c r="CB493" s="1682"/>
      <c r="CC493" s="1682"/>
      <c r="CD493" s="1400"/>
      <c r="CE493" s="1400"/>
      <c r="CF493" s="1683">
        <v>42.6</v>
      </c>
      <c r="CG493" s="1683">
        <v>42.6</v>
      </c>
      <c r="CH493" s="1683">
        <v>0</v>
      </c>
      <c r="CI493" s="1683">
        <v>0</v>
      </c>
      <c r="CJ493" s="1683">
        <v>6170.55</v>
      </c>
      <c r="CK493" s="1683">
        <v>6170.55</v>
      </c>
      <c r="CL493" s="1685">
        <v>43511</v>
      </c>
      <c r="CM493" s="1683">
        <v>18031.400000000001</v>
      </c>
      <c r="CN493" s="1683">
        <v>18031.400000000001</v>
      </c>
      <c r="CO493" s="1683">
        <v>18031.400000000001</v>
      </c>
      <c r="CP493" s="1683">
        <v>13063.95</v>
      </c>
      <c r="CQ493" s="1683">
        <v>4967.45</v>
      </c>
      <c r="CR493" s="1683">
        <v>0</v>
      </c>
      <c r="CS493" s="1683">
        <v>0</v>
      </c>
      <c r="CT493" s="1683">
        <v>0</v>
      </c>
      <c r="CU493" s="1683">
        <v>0</v>
      </c>
      <c r="CV493" s="1683">
        <v>0</v>
      </c>
      <c r="CW493" s="1682"/>
      <c r="CX493" s="1400"/>
      <c r="CY493" s="1400"/>
      <c r="CZ493" s="1400"/>
      <c r="DA493" s="1400"/>
      <c r="DB493" s="1682"/>
      <c r="DC493" s="1326"/>
      <c r="DD493" s="1683">
        <v>0</v>
      </c>
      <c r="DE493" s="1400"/>
      <c r="DF493" s="1400"/>
      <c r="DG493" s="1683">
        <v>0</v>
      </c>
      <c r="DH493" s="1683">
        <v>0</v>
      </c>
    </row>
    <row r="494" spans="1:112" ht="33.75">
      <c r="A494" s="1326" t="s">
        <v>3587</v>
      </c>
      <c r="B494" s="1326" t="s">
        <v>1702</v>
      </c>
      <c r="C494" s="1326" t="s">
        <v>2570</v>
      </c>
      <c r="D494" s="1326" t="s">
        <v>2571</v>
      </c>
      <c r="E494" s="1326" t="s">
        <v>2356</v>
      </c>
      <c r="F494" s="1326" t="s">
        <v>2566</v>
      </c>
      <c r="G494" s="1326" t="s">
        <v>2572</v>
      </c>
      <c r="H494" s="1326" t="s">
        <v>2573</v>
      </c>
      <c r="I494" s="1326" t="s">
        <v>2368</v>
      </c>
      <c r="J494" s="1326" t="s">
        <v>2369</v>
      </c>
      <c r="K494" s="1326" t="s">
        <v>2370</v>
      </c>
      <c r="L494" s="1326" t="s">
        <v>2061</v>
      </c>
      <c r="M494" s="1400"/>
      <c r="N494" s="1400"/>
      <c r="O494" s="1400"/>
      <c r="P494" s="1400"/>
      <c r="Q494" s="1400"/>
      <c r="R494" s="1400"/>
      <c r="S494" s="1400"/>
      <c r="T494" s="1400"/>
      <c r="U494" s="1400"/>
      <c r="V494" s="1400"/>
      <c r="W494" s="1400"/>
      <c r="X494" s="1400"/>
      <c r="Y494" s="1685">
        <v>43186</v>
      </c>
      <c r="Z494" s="1326" t="s">
        <v>2062</v>
      </c>
      <c r="AA494" s="1683">
        <v>0</v>
      </c>
      <c r="AB494" s="1683">
        <v>0</v>
      </c>
      <c r="AC494" s="1683">
        <v>0</v>
      </c>
      <c r="AD494" s="1685">
        <v>43213</v>
      </c>
      <c r="AE494" s="1326" t="s">
        <v>2066</v>
      </c>
      <c r="AF494" s="1326" t="s">
        <v>2064</v>
      </c>
      <c r="AG494" s="1410"/>
      <c r="AH494" s="1683">
        <v>40581.24</v>
      </c>
      <c r="AI494" s="1683">
        <v>40581.24</v>
      </c>
      <c r="AJ494" s="1683">
        <v>40581.24</v>
      </c>
      <c r="AK494" s="1683">
        <v>29401.56</v>
      </c>
      <c r="AL494" s="1683">
        <v>11179.68</v>
      </c>
      <c r="AM494" s="1685">
        <v>43213</v>
      </c>
      <c r="AN494" s="1683">
        <v>40581.24</v>
      </c>
      <c r="AO494" s="1683">
        <v>40581.24</v>
      </c>
      <c r="AP494" s="1683">
        <v>40581.24</v>
      </c>
      <c r="AQ494" s="1683">
        <v>29401.56</v>
      </c>
      <c r="AR494" s="1683">
        <v>11179.68</v>
      </c>
      <c r="AS494" s="1683">
        <v>0</v>
      </c>
      <c r="AT494" s="1683">
        <v>0</v>
      </c>
      <c r="AU494" s="1683">
        <v>0</v>
      </c>
      <c r="AV494" s="1683">
        <v>0</v>
      </c>
      <c r="AW494" s="1683">
        <v>0</v>
      </c>
      <c r="AX494" s="1400"/>
      <c r="AY494" s="1400"/>
      <c r="AZ494" s="1400"/>
      <c r="BA494" s="1682"/>
      <c r="BB494" s="1682"/>
      <c r="BC494" s="1400"/>
      <c r="BD494" s="1400"/>
      <c r="BE494" s="1683">
        <v>40581.24</v>
      </c>
      <c r="BF494" s="1683">
        <v>40581.24</v>
      </c>
      <c r="BG494" s="1683">
        <v>40581.24</v>
      </c>
      <c r="BH494" s="1683">
        <v>29401.56</v>
      </c>
      <c r="BI494" s="1683">
        <v>11179.68</v>
      </c>
      <c r="BJ494" s="1683">
        <v>0</v>
      </c>
      <c r="BK494" s="1683">
        <v>0</v>
      </c>
      <c r="BL494" s="1683">
        <v>0</v>
      </c>
      <c r="BM494" s="1683">
        <v>0</v>
      </c>
      <c r="BN494" s="1683">
        <v>0</v>
      </c>
      <c r="BO494" s="1685">
        <v>43364</v>
      </c>
      <c r="BP494" s="1683">
        <v>40581.24</v>
      </c>
      <c r="BQ494" s="1683">
        <v>40581.24</v>
      </c>
      <c r="BR494" s="1683">
        <v>40581.24</v>
      </c>
      <c r="BS494" s="1683">
        <v>29401.56</v>
      </c>
      <c r="BT494" s="1683">
        <v>11179.68</v>
      </c>
      <c r="BU494" s="1683">
        <v>0</v>
      </c>
      <c r="BV494" s="1683">
        <v>0</v>
      </c>
      <c r="BW494" s="1683">
        <v>0</v>
      </c>
      <c r="BX494" s="1683">
        <v>0</v>
      </c>
      <c r="BY494" s="1683">
        <v>0</v>
      </c>
      <c r="BZ494" s="1683">
        <v>0</v>
      </c>
      <c r="CA494" s="1400"/>
      <c r="CB494" s="1682"/>
      <c r="CC494" s="1682"/>
      <c r="CD494" s="1400"/>
      <c r="CE494" s="1400"/>
      <c r="CF494" s="1683">
        <v>628.22</v>
      </c>
      <c r="CG494" s="1683">
        <v>628.22</v>
      </c>
      <c r="CH494" s="1683">
        <v>0</v>
      </c>
      <c r="CI494" s="1683">
        <v>0</v>
      </c>
      <c r="CJ494" s="1683">
        <v>13846.9</v>
      </c>
      <c r="CK494" s="1683">
        <v>13846.9</v>
      </c>
      <c r="CL494" s="1682"/>
      <c r="CM494" s="1683">
        <v>0</v>
      </c>
      <c r="CN494" s="1683">
        <v>0</v>
      </c>
      <c r="CO494" s="1683">
        <v>0</v>
      </c>
      <c r="CP494" s="1683">
        <v>0</v>
      </c>
      <c r="CQ494" s="1683">
        <v>0</v>
      </c>
      <c r="CR494" s="1683">
        <v>0</v>
      </c>
      <c r="CS494" s="1683">
        <v>0</v>
      </c>
      <c r="CT494" s="1683">
        <v>0</v>
      </c>
      <c r="CU494" s="1683">
        <v>0</v>
      </c>
      <c r="CV494" s="1683">
        <v>0</v>
      </c>
      <c r="CW494" s="1682"/>
      <c r="CX494" s="1400"/>
      <c r="CY494" s="1400"/>
      <c r="CZ494" s="1400"/>
      <c r="DA494" s="1400"/>
      <c r="DB494" s="1682"/>
      <c r="DC494" s="1326"/>
      <c r="DD494" s="1683">
        <v>0</v>
      </c>
      <c r="DE494" s="1400"/>
      <c r="DF494" s="1400"/>
      <c r="DG494" s="1683">
        <v>0</v>
      </c>
      <c r="DH494" s="1683">
        <v>0</v>
      </c>
    </row>
    <row r="495" spans="1:112" ht="33.75">
      <c r="A495" s="1326" t="s">
        <v>3588</v>
      </c>
      <c r="B495" s="1326" t="s">
        <v>1702</v>
      </c>
      <c r="C495" s="1326" t="s">
        <v>2570</v>
      </c>
      <c r="D495" s="1326" t="s">
        <v>2571</v>
      </c>
      <c r="E495" s="1326" t="s">
        <v>2356</v>
      </c>
      <c r="F495" s="1326" t="s">
        <v>2566</v>
      </c>
      <c r="G495" s="1326" t="s">
        <v>2572</v>
      </c>
      <c r="H495" s="1326" t="s">
        <v>2573</v>
      </c>
      <c r="I495" s="1326" t="s">
        <v>2368</v>
      </c>
      <c r="J495" s="1326" t="s">
        <v>2369</v>
      </c>
      <c r="K495" s="1326" t="s">
        <v>2370</v>
      </c>
      <c r="L495" s="1326" t="s">
        <v>2061</v>
      </c>
      <c r="M495" s="1400"/>
      <c r="N495" s="1400"/>
      <c r="O495" s="1400"/>
      <c r="P495" s="1400"/>
      <c r="Q495" s="1400"/>
      <c r="R495" s="1400"/>
      <c r="S495" s="1400"/>
      <c r="T495" s="1400"/>
      <c r="U495" s="1400"/>
      <c r="V495" s="1400"/>
      <c r="W495" s="1400"/>
      <c r="X495" s="1400"/>
      <c r="Y495" s="1685">
        <v>43266</v>
      </c>
      <c r="Z495" s="1326" t="s">
        <v>2062</v>
      </c>
      <c r="AA495" s="1683">
        <v>0</v>
      </c>
      <c r="AB495" s="1683">
        <v>0</v>
      </c>
      <c r="AC495" s="1683">
        <v>0</v>
      </c>
      <c r="AD495" s="1685">
        <v>43300</v>
      </c>
      <c r="AE495" s="1326" t="s">
        <v>2079</v>
      </c>
      <c r="AF495" s="1326" t="s">
        <v>2064</v>
      </c>
      <c r="AG495" s="1410"/>
      <c r="AH495" s="1683">
        <v>117686.13</v>
      </c>
      <c r="AI495" s="1683">
        <v>117686.13</v>
      </c>
      <c r="AJ495" s="1683">
        <v>117686.13</v>
      </c>
      <c r="AK495" s="1683">
        <v>85264.86</v>
      </c>
      <c r="AL495" s="1683">
        <v>32421.27</v>
      </c>
      <c r="AM495" s="1685">
        <v>43300</v>
      </c>
      <c r="AN495" s="1683">
        <v>117686.13</v>
      </c>
      <c r="AO495" s="1683">
        <v>117686.13</v>
      </c>
      <c r="AP495" s="1683">
        <v>117686.13</v>
      </c>
      <c r="AQ495" s="1683">
        <v>85264.86</v>
      </c>
      <c r="AR495" s="1683">
        <v>32421.27</v>
      </c>
      <c r="AS495" s="1683">
        <v>0</v>
      </c>
      <c r="AT495" s="1683">
        <v>0</v>
      </c>
      <c r="AU495" s="1683">
        <v>0</v>
      </c>
      <c r="AV495" s="1683">
        <v>0</v>
      </c>
      <c r="AW495" s="1683">
        <v>0</v>
      </c>
      <c r="AX495" s="1400"/>
      <c r="AY495" s="1400"/>
      <c r="AZ495" s="1400"/>
      <c r="BA495" s="1682"/>
      <c r="BB495" s="1682"/>
      <c r="BC495" s="1400"/>
      <c r="BD495" s="1400"/>
      <c r="BE495" s="1683">
        <v>117686.13</v>
      </c>
      <c r="BF495" s="1683">
        <v>117686.13</v>
      </c>
      <c r="BG495" s="1683">
        <v>117686.13</v>
      </c>
      <c r="BH495" s="1683">
        <v>85264.86</v>
      </c>
      <c r="BI495" s="1683">
        <v>32421.27</v>
      </c>
      <c r="BJ495" s="1683">
        <v>0</v>
      </c>
      <c r="BK495" s="1683">
        <v>0</v>
      </c>
      <c r="BL495" s="1683">
        <v>0</v>
      </c>
      <c r="BM495" s="1683">
        <v>0</v>
      </c>
      <c r="BN495" s="1683">
        <v>0</v>
      </c>
      <c r="BO495" s="1685">
        <v>43364</v>
      </c>
      <c r="BP495" s="1683">
        <v>117686.13</v>
      </c>
      <c r="BQ495" s="1683">
        <v>117686.13</v>
      </c>
      <c r="BR495" s="1683">
        <v>117686.13</v>
      </c>
      <c r="BS495" s="1683">
        <v>85264.86</v>
      </c>
      <c r="BT495" s="1683">
        <v>32421.27</v>
      </c>
      <c r="BU495" s="1683">
        <v>0</v>
      </c>
      <c r="BV495" s="1683">
        <v>0</v>
      </c>
      <c r="BW495" s="1683">
        <v>0</v>
      </c>
      <c r="BX495" s="1683">
        <v>0</v>
      </c>
      <c r="BY495" s="1683">
        <v>0</v>
      </c>
      <c r="BZ495" s="1683">
        <v>0</v>
      </c>
      <c r="CA495" s="1400"/>
      <c r="CB495" s="1682"/>
      <c r="CC495" s="1682"/>
      <c r="CD495" s="1400"/>
      <c r="CE495" s="1400"/>
      <c r="CF495" s="1683">
        <v>1482.36</v>
      </c>
      <c r="CG495" s="1683">
        <v>1482.36</v>
      </c>
      <c r="CH495" s="1683">
        <v>0</v>
      </c>
      <c r="CI495" s="1683">
        <v>0</v>
      </c>
      <c r="CJ495" s="1683">
        <v>40177.980000000003</v>
      </c>
      <c r="CK495" s="1683">
        <v>40177.980000000003</v>
      </c>
      <c r="CL495" s="1682"/>
      <c r="CM495" s="1683">
        <v>0</v>
      </c>
      <c r="CN495" s="1683">
        <v>0</v>
      </c>
      <c r="CO495" s="1683">
        <v>0</v>
      </c>
      <c r="CP495" s="1683">
        <v>0</v>
      </c>
      <c r="CQ495" s="1683">
        <v>0</v>
      </c>
      <c r="CR495" s="1683">
        <v>0</v>
      </c>
      <c r="CS495" s="1683">
        <v>0</v>
      </c>
      <c r="CT495" s="1683">
        <v>0</v>
      </c>
      <c r="CU495" s="1683">
        <v>0</v>
      </c>
      <c r="CV495" s="1683">
        <v>0</v>
      </c>
      <c r="CW495" s="1682"/>
      <c r="CX495" s="1400"/>
      <c r="CY495" s="1400"/>
      <c r="CZ495" s="1400"/>
      <c r="DA495" s="1400"/>
      <c r="DB495" s="1682"/>
      <c r="DC495" s="1326"/>
      <c r="DD495" s="1683">
        <v>0</v>
      </c>
      <c r="DE495" s="1400"/>
      <c r="DF495" s="1400"/>
      <c r="DG495" s="1683">
        <v>0</v>
      </c>
      <c r="DH495" s="1683">
        <v>0</v>
      </c>
    </row>
    <row r="496" spans="1:112" ht="33.75">
      <c r="A496" s="1326" t="s">
        <v>3589</v>
      </c>
      <c r="B496" s="1326" t="s">
        <v>1702</v>
      </c>
      <c r="C496" s="1326" t="s">
        <v>2570</v>
      </c>
      <c r="D496" s="1326" t="s">
        <v>2571</v>
      </c>
      <c r="E496" s="1326" t="s">
        <v>2356</v>
      </c>
      <c r="F496" s="1326" t="s">
        <v>2566</v>
      </c>
      <c r="G496" s="1326" t="s">
        <v>2572</v>
      </c>
      <c r="H496" s="1326" t="s">
        <v>2573</v>
      </c>
      <c r="I496" s="1326" t="s">
        <v>2368</v>
      </c>
      <c r="J496" s="1326" t="s">
        <v>2369</v>
      </c>
      <c r="K496" s="1326" t="s">
        <v>2370</v>
      </c>
      <c r="L496" s="1326" t="s">
        <v>2061</v>
      </c>
      <c r="M496" s="1400"/>
      <c r="N496" s="1400"/>
      <c r="O496" s="1400"/>
      <c r="P496" s="1400"/>
      <c r="Q496" s="1400"/>
      <c r="R496" s="1400"/>
      <c r="S496" s="1400"/>
      <c r="T496" s="1400"/>
      <c r="U496" s="1400"/>
      <c r="V496" s="1400"/>
      <c r="W496" s="1400"/>
      <c r="X496" s="1400"/>
      <c r="Y496" s="1685">
        <v>43271</v>
      </c>
      <c r="Z496" s="1326" t="s">
        <v>2096</v>
      </c>
      <c r="AA496" s="1683">
        <v>0</v>
      </c>
      <c r="AB496" s="1683">
        <v>0</v>
      </c>
      <c r="AC496" s="1683">
        <v>0</v>
      </c>
      <c r="AD496" s="1685">
        <v>43286</v>
      </c>
      <c r="AE496" s="1326" t="s">
        <v>2080</v>
      </c>
      <c r="AF496" s="1326" t="s">
        <v>2064</v>
      </c>
      <c r="AG496" s="1410"/>
      <c r="AH496" s="1683">
        <v>0</v>
      </c>
      <c r="AI496" s="1683">
        <v>91000</v>
      </c>
      <c r="AJ496" s="1683">
        <v>91000</v>
      </c>
      <c r="AK496" s="1683">
        <v>65930.490000000005</v>
      </c>
      <c r="AL496" s="1683">
        <v>25069.51</v>
      </c>
      <c r="AM496" s="1682"/>
      <c r="AN496" s="1683">
        <v>0</v>
      </c>
      <c r="AO496" s="1683">
        <v>0</v>
      </c>
      <c r="AP496" s="1683">
        <v>0</v>
      </c>
      <c r="AQ496" s="1683">
        <v>0</v>
      </c>
      <c r="AR496" s="1683">
        <v>0</v>
      </c>
      <c r="AS496" s="1683">
        <v>0</v>
      </c>
      <c r="AT496" s="1683">
        <v>0</v>
      </c>
      <c r="AU496" s="1683">
        <v>0</v>
      </c>
      <c r="AV496" s="1683">
        <v>0</v>
      </c>
      <c r="AW496" s="1683">
        <v>0</v>
      </c>
      <c r="AX496" s="1400"/>
      <c r="AY496" s="1400"/>
      <c r="AZ496" s="1400"/>
      <c r="BA496" s="1682"/>
      <c r="BB496" s="1682"/>
      <c r="BC496" s="1400"/>
      <c r="BD496" s="1400"/>
      <c r="BE496" s="1683">
        <v>0</v>
      </c>
      <c r="BF496" s="1683">
        <v>0</v>
      </c>
      <c r="BG496" s="1683">
        <v>0</v>
      </c>
      <c r="BH496" s="1683">
        <v>0</v>
      </c>
      <c r="BI496" s="1683">
        <v>0</v>
      </c>
      <c r="BJ496" s="1683">
        <v>0</v>
      </c>
      <c r="BK496" s="1683">
        <v>0</v>
      </c>
      <c r="BL496" s="1683">
        <v>0</v>
      </c>
      <c r="BM496" s="1683">
        <v>0</v>
      </c>
      <c r="BN496" s="1683">
        <v>0</v>
      </c>
      <c r="BO496" s="1682"/>
      <c r="BP496" s="1683">
        <v>0</v>
      </c>
      <c r="BQ496" s="1683">
        <v>0</v>
      </c>
      <c r="BR496" s="1683">
        <v>0</v>
      </c>
      <c r="BS496" s="1683">
        <v>0</v>
      </c>
      <c r="BT496" s="1683">
        <v>0</v>
      </c>
      <c r="BU496" s="1683">
        <v>0</v>
      </c>
      <c r="BV496" s="1683">
        <v>0</v>
      </c>
      <c r="BW496" s="1683">
        <v>0</v>
      </c>
      <c r="BX496" s="1683">
        <v>0</v>
      </c>
      <c r="BY496" s="1683">
        <v>0</v>
      </c>
      <c r="BZ496" s="1400"/>
      <c r="CA496" s="1400"/>
      <c r="CB496" s="1682"/>
      <c r="CC496" s="1682"/>
      <c r="CD496" s="1400"/>
      <c r="CE496" s="1400"/>
      <c r="CF496" s="1683">
        <v>0</v>
      </c>
      <c r="CG496" s="1683">
        <v>0</v>
      </c>
      <c r="CH496" s="1683">
        <v>0</v>
      </c>
      <c r="CI496" s="1683">
        <v>0</v>
      </c>
      <c r="CJ496" s="1683">
        <v>0</v>
      </c>
      <c r="CK496" s="1683">
        <v>0</v>
      </c>
      <c r="CL496" s="1682"/>
      <c r="CM496" s="1683">
        <v>0</v>
      </c>
      <c r="CN496" s="1683">
        <v>0</v>
      </c>
      <c r="CO496" s="1683">
        <v>0</v>
      </c>
      <c r="CP496" s="1683">
        <v>0</v>
      </c>
      <c r="CQ496" s="1683">
        <v>0</v>
      </c>
      <c r="CR496" s="1683">
        <v>0</v>
      </c>
      <c r="CS496" s="1683">
        <v>0</v>
      </c>
      <c r="CT496" s="1683">
        <v>0</v>
      </c>
      <c r="CU496" s="1683">
        <v>0</v>
      </c>
      <c r="CV496" s="1683">
        <v>0</v>
      </c>
      <c r="CW496" s="1682"/>
      <c r="CX496" s="1400"/>
      <c r="CY496" s="1400"/>
      <c r="CZ496" s="1400"/>
      <c r="DA496" s="1400"/>
      <c r="DB496" s="1682"/>
      <c r="DC496" s="1326"/>
      <c r="DD496" s="1683">
        <v>0</v>
      </c>
      <c r="DE496" s="1400"/>
      <c r="DF496" s="1400"/>
      <c r="DG496" s="1683">
        <v>0</v>
      </c>
      <c r="DH496" s="1683">
        <v>0</v>
      </c>
    </row>
    <row r="497" spans="1:112" ht="33.75">
      <c r="A497" s="1326" t="s">
        <v>3590</v>
      </c>
      <c r="B497" s="1326" t="s">
        <v>1702</v>
      </c>
      <c r="C497" s="1326" t="s">
        <v>2570</v>
      </c>
      <c r="D497" s="1326" t="s">
        <v>2571</v>
      </c>
      <c r="E497" s="1326" t="s">
        <v>2356</v>
      </c>
      <c r="F497" s="1326" t="s">
        <v>2566</v>
      </c>
      <c r="G497" s="1326" t="s">
        <v>2572</v>
      </c>
      <c r="H497" s="1326" t="s">
        <v>2573</v>
      </c>
      <c r="I497" s="1326" t="s">
        <v>2368</v>
      </c>
      <c r="J497" s="1326" t="s">
        <v>2369</v>
      </c>
      <c r="K497" s="1326" t="s">
        <v>2370</v>
      </c>
      <c r="L497" s="1326" t="s">
        <v>2061</v>
      </c>
      <c r="M497" s="1400"/>
      <c r="N497" s="1400"/>
      <c r="O497" s="1400"/>
      <c r="P497" s="1400"/>
      <c r="Q497" s="1400"/>
      <c r="R497" s="1400"/>
      <c r="S497" s="1400"/>
      <c r="T497" s="1400"/>
      <c r="U497" s="1400"/>
      <c r="V497" s="1400"/>
      <c r="W497" s="1400"/>
      <c r="X497" s="1400"/>
      <c r="Y497" s="1685">
        <v>43357</v>
      </c>
      <c r="Z497" s="1326" t="s">
        <v>2062</v>
      </c>
      <c r="AA497" s="1683">
        <v>0</v>
      </c>
      <c r="AB497" s="1683">
        <v>0</v>
      </c>
      <c r="AC497" s="1683">
        <v>0</v>
      </c>
      <c r="AD497" s="1685">
        <v>43371</v>
      </c>
      <c r="AE497" s="1326" t="s">
        <v>2081</v>
      </c>
      <c r="AF497" s="1326" t="s">
        <v>2064</v>
      </c>
      <c r="AG497" s="1410"/>
      <c r="AH497" s="1683">
        <v>77871.12</v>
      </c>
      <c r="AI497" s="1683">
        <v>77871.12</v>
      </c>
      <c r="AJ497" s="1683">
        <v>77871.12</v>
      </c>
      <c r="AK497" s="1683">
        <v>56418.47</v>
      </c>
      <c r="AL497" s="1683">
        <v>21452.65</v>
      </c>
      <c r="AM497" s="1685">
        <v>43371</v>
      </c>
      <c r="AN497" s="1683">
        <v>77871.12</v>
      </c>
      <c r="AO497" s="1683">
        <v>77871.12</v>
      </c>
      <c r="AP497" s="1683">
        <v>77871.12</v>
      </c>
      <c r="AQ497" s="1683">
        <v>56418.47</v>
      </c>
      <c r="AR497" s="1683">
        <v>21452.65</v>
      </c>
      <c r="AS497" s="1683">
        <v>0</v>
      </c>
      <c r="AT497" s="1683">
        <v>0</v>
      </c>
      <c r="AU497" s="1683">
        <v>0</v>
      </c>
      <c r="AV497" s="1683">
        <v>0</v>
      </c>
      <c r="AW497" s="1683">
        <v>0</v>
      </c>
      <c r="AX497" s="1400"/>
      <c r="AY497" s="1400"/>
      <c r="AZ497" s="1400"/>
      <c r="BA497" s="1682"/>
      <c r="BB497" s="1682"/>
      <c r="BC497" s="1400"/>
      <c r="BD497" s="1400"/>
      <c r="BE497" s="1683">
        <v>77871.12</v>
      </c>
      <c r="BF497" s="1683">
        <v>77871.12</v>
      </c>
      <c r="BG497" s="1683">
        <v>77871.12</v>
      </c>
      <c r="BH497" s="1683">
        <v>56418.47</v>
      </c>
      <c r="BI497" s="1683">
        <v>21452.65</v>
      </c>
      <c r="BJ497" s="1683">
        <v>0</v>
      </c>
      <c r="BK497" s="1683">
        <v>0</v>
      </c>
      <c r="BL497" s="1683">
        <v>0</v>
      </c>
      <c r="BM497" s="1683">
        <v>0</v>
      </c>
      <c r="BN497" s="1683">
        <v>0</v>
      </c>
      <c r="BO497" s="1685">
        <v>43404</v>
      </c>
      <c r="BP497" s="1683">
        <v>77871.12</v>
      </c>
      <c r="BQ497" s="1683">
        <v>77871.12</v>
      </c>
      <c r="BR497" s="1683">
        <v>77871.12</v>
      </c>
      <c r="BS497" s="1683">
        <v>56418.47</v>
      </c>
      <c r="BT497" s="1683">
        <v>21452.65</v>
      </c>
      <c r="BU497" s="1683">
        <v>0</v>
      </c>
      <c r="BV497" s="1683">
        <v>0</v>
      </c>
      <c r="BW497" s="1683">
        <v>0</v>
      </c>
      <c r="BX497" s="1683">
        <v>0</v>
      </c>
      <c r="BY497" s="1683">
        <v>0</v>
      </c>
      <c r="BZ497" s="1683">
        <v>0</v>
      </c>
      <c r="CA497" s="1400"/>
      <c r="CB497" s="1682"/>
      <c r="CC497" s="1682"/>
      <c r="CD497" s="1400"/>
      <c r="CE497" s="1400"/>
      <c r="CF497" s="1683">
        <v>1819.32</v>
      </c>
      <c r="CG497" s="1683">
        <v>1819.32</v>
      </c>
      <c r="CH497" s="1683">
        <v>0</v>
      </c>
      <c r="CI497" s="1683">
        <v>0</v>
      </c>
      <c r="CJ497" s="1683">
        <v>26512.44</v>
      </c>
      <c r="CK497" s="1683">
        <v>26512.44</v>
      </c>
      <c r="CL497" s="1682"/>
      <c r="CM497" s="1683">
        <v>0</v>
      </c>
      <c r="CN497" s="1683">
        <v>0</v>
      </c>
      <c r="CO497" s="1683">
        <v>0</v>
      </c>
      <c r="CP497" s="1683">
        <v>0</v>
      </c>
      <c r="CQ497" s="1683">
        <v>0</v>
      </c>
      <c r="CR497" s="1683">
        <v>0</v>
      </c>
      <c r="CS497" s="1683">
        <v>0</v>
      </c>
      <c r="CT497" s="1683">
        <v>0</v>
      </c>
      <c r="CU497" s="1683">
        <v>0</v>
      </c>
      <c r="CV497" s="1683">
        <v>0</v>
      </c>
      <c r="CW497" s="1682"/>
      <c r="CX497" s="1400"/>
      <c r="CY497" s="1400"/>
      <c r="CZ497" s="1400"/>
      <c r="DA497" s="1400"/>
      <c r="DB497" s="1682"/>
      <c r="DC497" s="1326"/>
      <c r="DD497" s="1683">
        <v>0</v>
      </c>
      <c r="DE497" s="1400"/>
      <c r="DF497" s="1400"/>
      <c r="DG497" s="1683">
        <v>0</v>
      </c>
      <c r="DH497" s="1683">
        <v>0</v>
      </c>
    </row>
    <row r="498" spans="1:112" ht="33.75">
      <c r="A498" s="1326" t="s">
        <v>3591</v>
      </c>
      <c r="B498" s="1326" t="s">
        <v>1702</v>
      </c>
      <c r="C498" s="1326" t="s">
        <v>2570</v>
      </c>
      <c r="D498" s="1326" t="s">
        <v>2571</v>
      </c>
      <c r="E498" s="1326" t="s">
        <v>2356</v>
      </c>
      <c r="F498" s="1326" t="s">
        <v>2566</v>
      </c>
      <c r="G498" s="1326" t="s">
        <v>2572</v>
      </c>
      <c r="H498" s="1326" t="s">
        <v>2573</v>
      </c>
      <c r="I498" s="1326" t="s">
        <v>2368</v>
      </c>
      <c r="J498" s="1326" t="s">
        <v>2369</v>
      </c>
      <c r="K498" s="1326" t="s">
        <v>2370</v>
      </c>
      <c r="L498" s="1326" t="s">
        <v>2061</v>
      </c>
      <c r="M498" s="1400"/>
      <c r="N498" s="1400"/>
      <c r="O498" s="1400"/>
      <c r="P498" s="1400"/>
      <c r="Q498" s="1400"/>
      <c r="R498" s="1400"/>
      <c r="S498" s="1400"/>
      <c r="T498" s="1400"/>
      <c r="U498" s="1400"/>
      <c r="V498" s="1400"/>
      <c r="W498" s="1400"/>
      <c r="X498" s="1400"/>
      <c r="Y498" s="1685">
        <v>43446</v>
      </c>
      <c r="Z498" s="1326" t="s">
        <v>2062</v>
      </c>
      <c r="AA498" s="1683">
        <v>0</v>
      </c>
      <c r="AB498" s="1683">
        <v>0</v>
      </c>
      <c r="AC498" s="1683">
        <v>0</v>
      </c>
      <c r="AD498" s="1685">
        <v>43480</v>
      </c>
      <c r="AE498" s="1326" t="s">
        <v>2088</v>
      </c>
      <c r="AF498" s="1326" t="s">
        <v>2064</v>
      </c>
      <c r="AG498" s="1410"/>
      <c r="AH498" s="1683">
        <v>130629.16</v>
      </c>
      <c r="AI498" s="1683">
        <v>130629.16</v>
      </c>
      <c r="AJ498" s="1683">
        <v>130629.16</v>
      </c>
      <c r="AK498" s="1683">
        <v>94642.25</v>
      </c>
      <c r="AL498" s="1683">
        <v>35986.910000000003</v>
      </c>
      <c r="AM498" s="1685">
        <v>43480</v>
      </c>
      <c r="AN498" s="1683">
        <v>130629.16</v>
      </c>
      <c r="AO498" s="1683">
        <v>130629.16</v>
      </c>
      <c r="AP498" s="1683">
        <v>130629.16</v>
      </c>
      <c r="AQ498" s="1683">
        <v>94642.25</v>
      </c>
      <c r="AR498" s="1683">
        <v>35986.910000000003</v>
      </c>
      <c r="AS498" s="1683">
        <v>0</v>
      </c>
      <c r="AT498" s="1683">
        <v>0</v>
      </c>
      <c r="AU498" s="1683">
        <v>0</v>
      </c>
      <c r="AV498" s="1683">
        <v>0</v>
      </c>
      <c r="AW498" s="1683">
        <v>0</v>
      </c>
      <c r="AX498" s="1400"/>
      <c r="AY498" s="1400"/>
      <c r="AZ498" s="1400"/>
      <c r="BA498" s="1682"/>
      <c r="BB498" s="1682"/>
      <c r="BC498" s="1400"/>
      <c r="BD498" s="1400"/>
      <c r="BE498" s="1683">
        <v>130629.16</v>
      </c>
      <c r="BF498" s="1683">
        <v>130629.16</v>
      </c>
      <c r="BG498" s="1683">
        <v>130629.16</v>
      </c>
      <c r="BH498" s="1683">
        <v>94642.25</v>
      </c>
      <c r="BI498" s="1683">
        <v>35986.910000000003</v>
      </c>
      <c r="BJ498" s="1683">
        <v>0</v>
      </c>
      <c r="BK498" s="1683">
        <v>0</v>
      </c>
      <c r="BL498" s="1683">
        <v>0</v>
      </c>
      <c r="BM498" s="1683">
        <v>0</v>
      </c>
      <c r="BN498" s="1683">
        <v>0</v>
      </c>
      <c r="BO498" s="1682"/>
      <c r="BP498" s="1683">
        <v>0</v>
      </c>
      <c r="BQ498" s="1683">
        <v>0</v>
      </c>
      <c r="BR498" s="1683">
        <v>0</v>
      </c>
      <c r="BS498" s="1683">
        <v>0</v>
      </c>
      <c r="BT498" s="1683">
        <v>0</v>
      </c>
      <c r="BU498" s="1683">
        <v>0</v>
      </c>
      <c r="BV498" s="1683">
        <v>0</v>
      </c>
      <c r="BW498" s="1683">
        <v>0</v>
      </c>
      <c r="BX498" s="1683">
        <v>0</v>
      </c>
      <c r="BY498" s="1683">
        <v>0</v>
      </c>
      <c r="BZ498" s="1400"/>
      <c r="CA498" s="1400"/>
      <c r="CB498" s="1682"/>
      <c r="CC498" s="1682"/>
      <c r="CD498" s="1400"/>
      <c r="CE498" s="1400"/>
      <c r="CF498" s="1683">
        <v>0</v>
      </c>
      <c r="CG498" s="1683">
        <v>0</v>
      </c>
      <c r="CH498" s="1683">
        <v>0</v>
      </c>
      <c r="CI498" s="1683">
        <v>0</v>
      </c>
      <c r="CJ498" s="1683">
        <v>0</v>
      </c>
      <c r="CK498" s="1683">
        <v>0</v>
      </c>
      <c r="CL498" s="1682"/>
      <c r="CM498" s="1683">
        <v>0</v>
      </c>
      <c r="CN498" s="1683">
        <v>0</v>
      </c>
      <c r="CO498" s="1683">
        <v>0</v>
      </c>
      <c r="CP498" s="1683">
        <v>0</v>
      </c>
      <c r="CQ498" s="1683">
        <v>0</v>
      </c>
      <c r="CR498" s="1683">
        <v>0</v>
      </c>
      <c r="CS498" s="1683">
        <v>0</v>
      </c>
      <c r="CT498" s="1683">
        <v>0</v>
      </c>
      <c r="CU498" s="1683">
        <v>0</v>
      </c>
      <c r="CV498" s="1683">
        <v>0</v>
      </c>
      <c r="CW498" s="1682"/>
      <c r="CX498" s="1400"/>
      <c r="CY498" s="1400"/>
      <c r="CZ498" s="1400"/>
      <c r="DA498" s="1400"/>
      <c r="DB498" s="1682"/>
      <c r="DC498" s="1326"/>
      <c r="DD498" s="1683">
        <v>0</v>
      </c>
      <c r="DE498" s="1400"/>
      <c r="DF498" s="1400"/>
      <c r="DG498" s="1683">
        <v>0</v>
      </c>
      <c r="DH498" s="1683">
        <v>0</v>
      </c>
    </row>
    <row r="499" spans="1:112">
      <c r="A499" s="1326" t="s">
        <v>3592</v>
      </c>
      <c r="B499" s="1326" t="s">
        <v>1702</v>
      </c>
      <c r="C499" s="1326" t="s">
        <v>2570</v>
      </c>
      <c r="D499" s="1326" t="s">
        <v>2574</v>
      </c>
      <c r="E499" s="1326"/>
      <c r="F499" s="1326"/>
      <c r="G499" s="1326"/>
      <c r="H499" s="1326"/>
      <c r="I499" s="1326"/>
      <c r="J499" s="1326"/>
      <c r="K499" s="1326"/>
      <c r="L499" s="1326"/>
      <c r="M499" s="1683">
        <v>1060197.72</v>
      </c>
      <c r="N499" s="1683">
        <v>0</v>
      </c>
      <c r="O499" s="1683">
        <v>1060197.72</v>
      </c>
      <c r="P499" s="1683">
        <v>1060197.72</v>
      </c>
      <c r="Q499" s="1683">
        <v>980677.61</v>
      </c>
      <c r="R499" s="1683">
        <v>900497.55</v>
      </c>
      <c r="S499" s="1683">
        <v>80180.06</v>
      </c>
      <c r="T499" s="1683">
        <v>79520.11</v>
      </c>
      <c r="U499" s="1683">
        <v>0</v>
      </c>
      <c r="V499" s="1683">
        <v>78220.160000000003</v>
      </c>
      <c r="W499" s="1683">
        <v>1299.95</v>
      </c>
      <c r="X499" s="1683">
        <v>0</v>
      </c>
      <c r="Y499" s="1682"/>
      <c r="Z499" s="1326"/>
      <c r="AA499" s="1683">
        <v>0</v>
      </c>
      <c r="AB499" s="1683">
        <v>0</v>
      </c>
      <c r="AC499" s="1683">
        <v>0</v>
      </c>
      <c r="AD499" s="1682"/>
      <c r="AE499" s="1326"/>
      <c r="AF499" s="1326"/>
      <c r="AG499" s="1410"/>
      <c r="AH499" s="1683">
        <v>157725.85</v>
      </c>
      <c r="AI499" s="1683">
        <v>380179.39</v>
      </c>
      <c r="AJ499" s="1683">
        <v>368349.91</v>
      </c>
      <c r="AK499" s="1683">
        <v>338414.89</v>
      </c>
      <c r="AL499" s="1683">
        <v>29935.02</v>
      </c>
      <c r="AM499" s="1682"/>
      <c r="AN499" s="1683">
        <v>157725.85</v>
      </c>
      <c r="AO499" s="1683">
        <v>157725.85</v>
      </c>
      <c r="AP499" s="1683">
        <v>145896.37</v>
      </c>
      <c r="AQ499" s="1683">
        <v>134066.97</v>
      </c>
      <c r="AR499" s="1683">
        <v>11829.4</v>
      </c>
      <c r="AS499" s="1683">
        <v>11829.48</v>
      </c>
      <c r="AT499" s="1683">
        <v>0</v>
      </c>
      <c r="AU499" s="1683">
        <v>11782.76</v>
      </c>
      <c r="AV499" s="1683">
        <v>46.72</v>
      </c>
      <c r="AW499" s="1683">
        <v>0</v>
      </c>
      <c r="AX499" s="1683">
        <v>0</v>
      </c>
      <c r="AY499" s="1683">
        <v>0</v>
      </c>
      <c r="AZ499" s="1683">
        <v>0</v>
      </c>
      <c r="BA499" s="1682"/>
      <c r="BB499" s="1682"/>
      <c r="BC499" s="1683">
        <v>0</v>
      </c>
      <c r="BD499" s="1683">
        <v>0</v>
      </c>
      <c r="BE499" s="1683">
        <v>157725.85</v>
      </c>
      <c r="BF499" s="1683">
        <v>157725.85</v>
      </c>
      <c r="BG499" s="1683">
        <v>145896.37</v>
      </c>
      <c r="BH499" s="1683">
        <v>134066.97</v>
      </c>
      <c r="BI499" s="1683">
        <v>11829.4</v>
      </c>
      <c r="BJ499" s="1683">
        <v>11829.48</v>
      </c>
      <c r="BK499" s="1683">
        <v>0</v>
      </c>
      <c r="BL499" s="1683">
        <v>11782.76</v>
      </c>
      <c r="BM499" s="1683">
        <v>46.72</v>
      </c>
      <c r="BN499" s="1683">
        <v>0</v>
      </c>
      <c r="BO499" s="1682"/>
      <c r="BP499" s="1683">
        <v>69215.42</v>
      </c>
      <c r="BQ499" s="1683">
        <v>69215.42</v>
      </c>
      <c r="BR499" s="1683">
        <v>64024.25</v>
      </c>
      <c r="BS499" s="1683">
        <v>58833.1</v>
      </c>
      <c r="BT499" s="1683">
        <v>5191.1499999999996</v>
      </c>
      <c r="BU499" s="1683">
        <v>5191.17</v>
      </c>
      <c r="BV499" s="1683">
        <v>0</v>
      </c>
      <c r="BW499" s="1683">
        <v>0</v>
      </c>
      <c r="BX499" s="1683">
        <v>0</v>
      </c>
      <c r="BY499" s="1683">
        <v>0</v>
      </c>
      <c r="BZ499" s="1683">
        <v>0</v>
      </c>
      <c r="CA499" s="1683">
        <v>0</v>
      </c>
      <c r="CB499" s="1682"/>
      <c r="CC499" s="1682"/>
      <c r="CD499" s="1683">
        <v>0</v>
      </c>
      <c r="CE499" s="1683">
        <v>0</v>
      </c>
      <c r="CF499" s="1683">
        <v>1188.1600000000001</v>
      </c>
      <c r="CG499" s="1683">
        <v>1188.1600000000001</v>
      </c>
      <c r="CH499" s="1683">
        <v>0</v>
      </c>
      <c r="CI499" s="1683">
        <v>0</v>
      </c>
      <c r="CJ499" s="1683">
        <v>11090.55</v>
      </c>
      <c r="CK499" s="1683">
        <v>11090.55</v>
      </c>
      <c r="CL499" s="1682"/>
      <c r="CM499" s="1683">
        <v>0</v>
      </c>
      <c r="CN499" s="1683">
        <v>0</v>
      </c>
      <c r="CO499" s="1683">
        <v>0</v>
      </c>
      <c r="CP499" s="1683">
        <v>0</v>
      </c>
      <c r="CQ499" s="1683">
        <v>0</v>
      </c>
      <c r="CR499" s="1683">
        <v>0</v>
      </c>
      <c r="CS499" s="1683">
        <v>0</v>
      </c>
      <c r="CT499" s="1683">
        <v>0</v>
      </c>
      <c r="CU499" s="1683">
        <v>0</v>
      </c>
      <c r="CV499" s="1683">
        <v>0</v>
      </c>
      <c r="CW499" s="1682"/>
      <c r="CX499" s="1683">
        <v>0</v>
      </c>
      <c r="CY499" s="1683">
        <v>0</v>
      </c>
      <c r="CZ499" s="1683">
        <v>0</v>
      </c>
      <c r="DA499" s="1683">
        <v>0</v>
      </c>
      <c r="DB499" s="1682"/>
      <c r="DC499" s="1326"/>
      <c r="DD499" s="1683">
        <v>8437.2000000000007</v>
      </c>
      <c r="DE499" s="1683">
        <v>0</v>
      </c>
      <c r="DF499" s="1683">
        <v>0</v>
      </c>
      <c r="DG499" s="1683">
        <v>0</v>
      </c>
      <c r="DH499" s="1683">
        <v>0</v>
      </c>
    </row>
    <row r="500" spans="1:112">
      <c r="A500" s="1326" t="s">
        <v>3593</v>
      </c>
      <c r="B500" s="1326" t="s">
        <v>1702</v>
      </c>
      <c r="C500" s="1326" t="s">
        <v>2570</v>
      </c>
      <c r="D500" s="1326" t="s">
        <v>2574</v>
      </c>
      <c r="E500" s="1326" t="s">
        <v>1176</v>
      </c>
      <c r="F500" s="1326"/>
      <c r="G500" s="1326"/>
      <c r="H500" s="1326"/>
      <c r="I500" s="1326"/>
      <c r="J500" s="1326"/>
      <c r="K500" s="1326"/>
      <c r="L500" s="1326"/>
      <c r="M500" s="1683">
        <v>994984.54</v>
      </c>
      <c r="N500" s="1683">
        <v>0</v>
      </c>
      <c r="O500" s="1683">
        <v>994984.54</v>
      </c>
      <c r="P500" s="1683">
        <v>994984.54</v>
      </c>
      <c r="Q500" s="1683">
        <v>920360.47</v>
      </c>
      <c r="R500" s="1683">
        <v>845736.85</v>
      </c>
      <c r="S500" s="1683">
        <v>74623.62</v>
      </c>
      <c r="T500" s="1683">
        <v>74624.070000000007</v>
      </c>
      <c r="U500" s="1683">
        <v>0</v>
      </c>
      <c r="V500" s="1683">
        <v>74624.070000000007</v>
      </c>
      <c r="W500" s="1683">
        <v>0</v>
      </c>
      <c r="X500" s="1683">
        <v>0</v>
      </c>
      <c r="Y500" s="1682"/>
      <c r="Z500" s="1326"/>
      <c r="AA500" s="1683">
        <v>0</v>
      </c>
      <c r="AB500" s="1683">
        <v>0</v>
      </c>
      <c r="AC500" s="1683">
        <v>0</v>
      </c>
      <c r="AD500" s="1682"/>
      <c r="AE500" s="1326"/>
      <c r="AF500" s="1326"/>
      <c r="AG500" s="1410"/>
      <c r="AH500" s="1683">
        <v>155835.14000000001</v>
      </c>
      <c r="AI500" s="1683">
        <v>370788.68</v>
      </c>
      <c r="AJ500" s="1683">
        <v>359101.01</v>
      </c>
      <c r="AK500" s="1683">
        <v>329984.78000000003</v>
      </c>
      <c r="AL500" s="1683">
        <v>29116.23</v>
      </c>
      <c r="AM500" s="1682"/>
      <c r="AN500" s="1683">
        <v>155835.14000000001</v>
      </c>
      <c r="AO500" s="1683">
        <v>155835.14000000001</v>
      </c>
      <c r="AP500" s="1683">
        <v>144147.47</v>
      </c>
      <c r="AQ500" s="1683">
        <v>132459.85999999999</v>
      </c>
      <c r="AR500" s="1683">
        <v>11687.61</v>
      </c>
      <c r="AS500" s="1683">
        <v>11687.67</v>
      </c>
      <c r="AT500" s="1683">
        <v>0</v>
      </c>
      <c r="AU500" s="1683">
        <v>11687.67</v>
      </c>
      <c r="AV500" s="1683">
        <v>0</v>
      </c>
      <c r="AW500" s="1683">
        <v>0</v>
      </c>
      <c r="AX500" s="1683">
        <v>0</v>
      </c>
      <c r="AY500" s="1683">
        <v>0</v>
      </c>
      <c r="AZ500" s="1683">
        <v>0</v>
      </c>
      <c r="BA500" s="1682"/>
      <c r="BB500" s="1682"/>
      <c r="BC500" s="1683">
        <v>0</v>
      </c>
      <c r="BD500" s="1683">
        <v>0</v>
      </c>
      <c r="BE500" s="1683">
        <v>155835.14000000001</v>
      </c>
      <c r="BF500" s="1683">
        <v>155835.14000000001</v>
      </c>
      <c r="BG500" s="1683">
        <v>144147.47</v>
      </c>
      <c r="BH500" s="1683">
        <v>132459.85999999999</v>
      </c>
      <c r="BI500" s="1683">
        <v>11687.61</v>
      </c>
      <c r="BJ500" s="1683">
        <v>11687.67</v>
      </c>
      <c r="BK500" s="1683">
        <v>0</v>
      </c>
      <c r="BL500" s="1683">
        <v>11687.67</v>
      </c>
      <c r="BM500" s="1683">
        <v>0</v>
      </c>
      <c r="BN500" s="1683">
        <v>0</v>
      </c>
      <c r="BO500" s="1682"/>
      <c r="BP500" s="1683">
        <v>69215.42</v>
      </c>
      <c r="BQ500" s="1683">
        <v>69215.42</v>
      </c>
      <c r="BR500" s="1683">
        <v>64024.25</v>
      </c>
      <c r="BS500" s="1683">
        <v>58833.1</v>
      </c>
      <c r="BT500" s="1683">
        <v>5191.1499999999996</v>
      </c>
      <c r="BU500" s="1683">
        <v>5191.17</v>
      </c>
      <c r="BV500" s="1683">
        <v>0</v>
      </c>
      <c r="BW500" s="1683">
        <v>0</v>
      </c>
      <c r="BX500" s="1683">
        <v>0</v>
      </c>
      <c r="BY500" s="1683">
        <v>0</v>
      </c>
      <c r="BZ500" s="1683">
        <v>0</v>
      </c>
      <c r="CA500" s="1683">
        <v>0</v>
      </c>
      <c r="CB500" s="1682"/>
      <c r="CC500" s="1682"/>
      <c r="CD500" s="1683">
        <v>0</v>
      </c>
      <c r="CE500" s="1683">
        <v>0</v>
      </c>
      <c r="CF500" s="1683">
        <v>1188.1600000000001</v>
      </c>
      <c r="CG500" s="1683">
        <v>1188.1600000000001</v>
      </c>
      <c r="CH500" s="1683">
        <v>0</v>
      </c>
      <c r="CI500" s="1683">
        <v>0</v>
      </c>
      <c r="CJ500" s="1683">
        <v>11090.55</v>
      </c>
      <c r="CK500" s="1683">
        <v>11090.55</v>
      </c>
      <c r="CL500" s="1682"/>
      <c r="CM500" s="1683">
        <v>0</v>
      </c>
      <c r="CN500" s="1683">
        <v>0</v>
      </c>
      <c r="CO500" s="1683">
        <v>0</v>
      </c>
      <c r="CP500" s="1683">
        <v>0</v>
      </c>
      <c r="CQ500" s="1683">
        <v>0</v>
      </c>
      <c r="CR500" s="1683">
        <v>0</v>
      </c>
      <c r="CS500" s="1683">
        <v>0</v>
      </c>
      <c r="CT500" s="1683">
        <v>0</v>
      </c>
      <c r="CU500" s="1683">
        <v>0</v>
      </c>
      <c r="CV500" s="1683">
        <v>0</v>
      </c>
      <c r="CW500" s="1682"/>
      <c r="CX500" s="1683">
        <v>0</v>
      </c>
      <c r="CY500" s="1683">
        <v>0</v>
      </c>
      <c r="CZ500" s="1683">
        <v>0</v>
      </c>
      <c r="DA500" s="1683">
        <v>0</v>
      </c>
      <c r="DB500" s="1682"/>
      <c r="DC500" s="1326"/>
      <c r="DD500" s="1683">
        <v>8437.2000000000007</v>
      </c>
      <c r="DE500" s="1683">
        <v>0</v>
      </c>
      <c r="DF500" s="1683">
        <v>0</v>
      </c>
      <c r="DG500" s="1683">
        <v>0</v>
      </c>
      <c r="DH500" s="1683">
        <v>0</v>
      </c>
    </row>
    <row r="501" spans="1:112" ht="33.75">
      <c r="A501" s="1326" t="s">
        <v>3594</v>
      </c>
      <c r="B501" s="1326" t="s">
        <v>1702</v>
      </c>
      <c r="C501" s="1326" t="s">
        <v>2570</v>
      </c>
      <c r="D501" s="1326" t="s">
        <v>2574</v>
      </c>
      <c r="E501" s="1326" t="s">
        <v>1176</v>
      </c>
      <c r="F501" s="1326" t="s">
        <v>2575</v>
      </c>
      <c r="G501" s="1326" t="s">
        <v>2572</v>
      </c>
      <c r="H501" s="1326" t="s">
        <v>2573</v>
      </c>
      <c r="I501" s="1326" t="s">
        <v>1601</v>
      </c>
      <c r="J501" s="1326" t="s">
        <v>2380</v>
      </c>
      <c r="K501" s="1326" t="s">
        <v>2071</v>
      </c>
      <c r="L501" s="1326" t="s">
        <v>2061</v>
      </c>
      <c r="M501" s="1683">
        <v>198996</v>
      </c>
      <c r="N501" s="1683">
        <v>0</v>
      </c>
      <c r="O501" s="1683">
        <v>198996</v>
      </c>
      <c r="P501" s="1683">
        <v>198996</v>
      </c>
      <c r="Q501" s="1683">
        <v>184071.3</v>
      </c>
      <c r="R501" s="1683">
        <v>169146.6</v>
      </c>
      <c r="S501" s="1683">
        <v>14924.7</v>
      </c>
      <c r="T501" s="1683">
        <v>14924.7</v>
      </c>
      <c r="U501" s="1683">
        <v>0</v>
      </c>
      <c r="V501" s="1683">
        <v>14924.7</v>
      </c>
      <c r="W501" s="1683">
        <v>0</v>
      </c>
      <c r="X501" s="1683">
        <v>0</v>
      </c>
      <c r="Y501" s="1682"/>
      <c r="Z501" s="1326"/>
      <c r="AA501" s="1683">
        <v>0</v>
      </c>
      <c r="AB501" s="1683">
        <v>0</v>
      </c>
      <c r="AC501" s="1683">
        <v>0</v>
      </c>
      <c r="AD501" s="1682"/>
      <c r="AE501" s="1326"/>
      <c r="AF501" s="1326"/>
      <c r="AG501" s="1410"/>
      <c r="AH501" s="1683">
        <v>8547.99</v>
      </c>
      <c r="AI501" s="1683">
        <v>54037.99</v>
      </c>
      <c r="AJ501" s="1683">
        <v>53396.89</v>
      </c>
      <c r="AK501" s="1683">
        <v>49067.41</v>
      </c>
      <c r="AL501" s="1683">
        <v>4329.4799999999996</v>
      </c>
      <c r="AM501" s="1682"/>
      <c r="AN501" s="1683">
        <v>8547.99</v>
      </c>
      <c r="AO501" s="1683">
        <v>8547.99</v>
      </c>
      <c r="AP501" s="1683">
        <v>7906.89</v>
      </c>
      <c r="AQ501" s="1683">
        <v>7265.79</v>
      </c>
      <c r="AR501" s="1683">
        <v>641.1</v>
      </c>
      <c r="AS501" s="1683">
        <v>641.1</v>
      </c>
      <c r="AT501" s="1683">
        <v>0</v>
      </c>
      <c r="AU501" s="1683">
        <v>641.1</v>
      </c>
      <c r="AV501" s="1683">
        <v>0</v>
      </c>
      <c r="AW501" s="1683">
        <v>0</v>
      </c>
      <c r="AX501" s="1683">
        <v>0</v>
      </c>
      <c r="AY501" s="1683">
        <v>0</v>
      </c>
      <c r="AZ501" s="1683">
        <v>0</v>
      </c>
      <c r="BA501" s="1682"/>
      <c r="BB501" s="1682"/>
      <c r="BC501" s="1683">
        <v>0</v>
      </c>
      <c r="BD501" s="1683">
        <v>0</v>
      </c>
      <c r="BE501" s="1683">
        <v>8547.99</v>
      </c>
      <c r="BF501" s="1683">
        <v>8547.99</v>
      </c>
      <c r="BG501" s="1683">
        <v>7906.89</v>
      </c>
      <c r="BH501" s="1683">
        <v>7265.79</v>
      </c>
      <c r="BI501" s="1683">
        <v>641.1</v>
      </c>
      <c r="BJ501" s="1683">
        <v>641.1</v>
      </c>
      <c r="BK501" s="1683">
        <v>0</v>
      </c>
      <c r="BL501" s="1683">
        <v>641.1</v>
      </c>
      <c r="BM501" s="1683">
        <v>0</v>
      </c>
      <c r="BN501" s="1683">
        <v>0</v>
      </c>
      <c r="BO501" s="1682"/>
      <c r="BP501" s="1683">
        <v>1290.56</v>
      </c>
      <c r="BQ501" s="1683">
        <v>1290.56</v>
      </c>
      <c r="BR501" s="1683">
        <v>1193.77</v>
      </c>
      <c r="BS501" s="1683">
        <v>1096.98</v>
      </c>
      <c r="BT501" s="1683">
        <v>96.79</v>
      </c>
      <c r="BU501" s="1683">
        <v>96.79</v>
      </c>
      <c r="BV501" s="1683">
        <v>0</v>
      </c>
      <c r="BW501" s="1683">
        <v>0</v>
      </c>
      <c r="BX501" s="1683">
        <v>0</v>
      </c>
      <c r="BY501" s="1683">
        <v>0</v>
      </c>
      <c r="BZ501" s="1683">
        <v>0</v>
      </c>
      <c r="CA501" s="1683">
        <v>0</v>
      </c>
      <c r="CB501" s="1682"/>
      <c r="CC501" s="1682"/>
      <c r="CD501" s="1683">
        <v>0</v>
      </c>
      <c r="CE501" s="1683">
        <v>0</v>
      </c>
      <c r="CF501" s="1683">
        <v>0</v>
      </c>
      <c r="CG501" s="1683">
        <v>0</v>
      </c>
      <c r="CH501" s="1683">
        <v>0</v>
      </c>
      <c r="CI501" s="1683">
        <v>0</v>
      </c>
      <c r="CJ501" s="1683">
        <v>292.11</v>
      </c>
      <c r="CK501" s="1683">
        <v>292.11</v>
      </c>
      <c r="CL501" s="1682"/>
      <c r="CM501" s="1683">
        <v>0</v>
      </c>
      <c r="CN501" s="1683">
        <v>0</v>
      </c>
      <c r="CO501" s="1683">
        <v>0</v>
      </c>
      <c r="CP501" s="1683">
        <v>0</v>
      </c>
      <c r="CQ501" s="1683">
        <v>0</v>
      </c>
      <c r="CR501" s="1683">
        <v>0</v>
      </c>
      <c r="CS501" s="1683">
        <v>0</v>
      </c>
      <c r="CT501" s="1683">
        <v>0</v>
      </c>
      <c r="CU501" s="1683">
        <v>0</v>
      </c>
      <c r="CV501" s="1683">
        <v>0</v>
      </c>
      <c r="CW501" s="1682"/>
      <c r="CX501" s="1683">
        <v>0</v>
      </c>
      <c r="CY501" s="1683">
        <v>0</v>
      </c>
      <c r="CZ501" s="1683">
        <v>0</v>
      </c>
      <c r="DA501" s="1683">
        <v>0</v>
      </c>
      <c r="DB501" s="1682"/>
      <c r="DC501" s="1326"/>
      <c r="DD501" s="1683">
        <v>0</v>
      </c>
      <c r="DE501" s="1683">
        <v>0</v>
      </c>
      <c r="DF501" s="1683">
        <v>0</v>
      </c>
      <c r="DG501" s="1683">
        <v>0</v>
      </c>
      <c r="DH501" s="1683">
        <v>0</v>
      </c>
    </row>
    <row r="502" spans="1:112" ht="33.75">
      <c r="A502" s="1326" t="s">
        <v>3595</v>
      </c>
      <c r="B502" s="1326" t="s">
        <v>1702</v>
      </c>
      <c r="C502" s="1326" t="s">
        <v>2570</v>
      </c>
      <c r="D502" s="1326" t="s">
        <v>2574</v>
      </c>
      <c r="E502" s="1326" t="s">
        <v>1176</v>
      </c>
      <c r="F502" s="1326" t="s">
        <v>2575</v>
      </c>
      <c r="G502" s="1326" t="s">
        <v>2572</v>
      </c>
      <c r="H502" s="1326" t="s">
        <v>2573</v>
      </c>
      <c r="I502" s="1326" t="s">
        <v>1601</v>
      </c>
      <c r="J502" s="1326" t="s">
        <v>2380</v>
      </c>
      <c r="K502" s="1326" t="s">
        <v>2071</v>
      </c>
      <c r="L502" s="1326" t="s">
        <v>2061</v>
      </c>
      <c r="M502" s="1400"/>
      <c r="N502" s="1400"/>
      <c r="O502" s="1400"/>
      <c r="P502" s="1400"/>
      <c r="Q502" s="1400"/>
      <c r="R502" s="1400"/>
      <c r="S502" s="1400"/>
      <c r="T502" s="1400"/>
      <c r="U502" s="1400"/>
      <c r="V502" s="1400"/>
      <c r="W502" s="1400"/>
      <c r="X502" s="1400"/>
      <c r="Y502" s="1685">
        <v>43363</v>
      </c>
      <c r="Z502" s="1326" t="s">
        <v>2096</v>
      </c>
      <c r="AA502" s="1683">
        <v>0</v>
      </c>
      <c r="AB502" s="1683">
        <v>0</v>
      </c>
      <c r="AC502" s="1683">
        <v>0</v>
      </c>
      <c r="AD502" s="1685">
        <v>43378</v>
      </c>
      <c r="AE502" s="1326" t="s">
        <v>2063</v>
      </c>
      <c r="AF502" s="1326" t="s">
        <v>2064</v>
      </c>
      <c r="AG502" s="1410"/>
      <c r="AH502" s="1683">
        <v>0</v>
      </c>
      <c r="AI502" s="1683">
        <v>45490</v>
      </c>
      <c r="AJ502" s="1683">
        <v>45490</v>
      </c>
      <c r="AK502" s="1683">
        <v>41801.620000000003</v>
      </c>
      <c r="AL502" s="1683">
        <v>3688.38</v>
      </c>
      <c r="AM502" s="1682"/>
      <c r="AN502" s="1683">
        <v>0</v>
      </c>
      <c r="AO502" s="1683">
        <v>0</v>
      </c>
      <c r="AP502" s="1683">
        <v>0</v>
      </c>
      <c r="AQ502" s="1683">
        <v>0</v>
      </c>
      <c r="AR502" s="1683">
        <v>0</v>
      </c>
      <c r="AS502" s="1683">
        <v>0</v>
      </c>
      <c r="AT502" s="1683">
        <v>0</v>
      </c>
      <c r="AU502" s="1683">
        <v>0</v>
      </c>
      <c r="AV502" s="1683">
        <v>0</v>
      </c>
      <c r="AW502" s="1683">
        <v>0</v>
      </c>
      <c r="AX502" s="1400"/>
      <c r="AY502" s="1400"/>
      <c r="AZ502" s="1400"/>
      <c r="BA502" s="1682"/>
      <c r="BB502" s="1682"/>
      <c r="BC502" s="1400"/>
      <c r="BD502" s="1400"/>
      <c r="BE502" s="1683">
        <v>0</v>
      </c>
      <c r="BF502" s="1683">
        <v>0</v>
      </c>
      <c r="BG502" s="1683">
        <v>0</v>
      </c>
      <c r="BH502" s="1683">
        <v>0</v>
      </c>
      <c r="BI502" s="1683">
        <v>0</v>
      </c>
      <c r="BJ502" s="1683">
        <v>0</v>
      </c>
      <c r="BK502" s="1683">
        <v>0</v>
      </c>
      <c r="BL502" s="1683">
        <v>0</v>
      </c>
      <c r="BM502" s="1683">
        <v>0</v>
      </c>
      <c r="BN502" s="1683">
        <v>0</v>
      </c>
      <c r="BO502" s="1682"/>
      <c r="BP502" s="1683">
        <v>0</v>
      </c>
      <c r="BQ502" s="1683">
        <v>0</v>
      </c>
      <c r="BR502" s="1683">
        <v>0</v>
      </c>
      <c r="BS502" s="1683">
        <v>0</v>
      </c>
      <c r="BT502" s="1683">
        <v>0</v>
      </c>
      <c r="BU502" s="1683">
        <v>0</v>
      </c>
      <c r="BV502" s="1683">
        <v>0</v>
      </c>
      <c r="BW502" s="1683">
        <v>0</v>
      </c>
      <c r="BX502" s="1683">
        <v>0</v>
      </c>
      <c r="BY502" s="1683">
        <v>0</v>
      </c>
      <c r="BZ502" s="1400"/>
      <c r="CA502" s="1400"/>
      <c r="CB502" s="1682"/>
      <c r="CC502" s="1682"/>
      <c r="CD502" s="1400"/>
      <c r="CE502" s="1400"/>
      <c r="CF502" s="1683">
        <v>0</v>
      </c>
      <c r="CG502" s="1683">
        <v>0</v>
      </c>
      <c r="CH502" s="1683">
        <v>0</v>
      </c>
      <c r="CI502" s="1683">
        <v>0</v>
      </c>
      <c r="CJ502" s="1683">
        <v>0</v>
      </c>
      <c r="CK502" s="1683">
        <v>0</v>
      </c>
      <c r="CL502" s="1682"/>
      <c r="CM502" s="1683">
        <v>0</v>
      </c>
      <c r="CN502" s="1683">
        <v>0</v>
      </c>
      <c r="CO502" s="1683">
        <v>0</v>
      </c>
      <c r="CP502" s="1683">
        <v>0</v>
      </c>
      <c r="CQ502" s="1683">
        <v>0</v>
      </c>
      <c r="CR502" s="1683">
        <v>0</v>
      </c>
      <c r="CS502" s="1683">
        <v>0</v>
      </c>
      <c r="CT502" s="1683">
        <v>0</v>
      </c>
      <c r="CU502" s="1683">
        <v>0</v>
      </c>
      <c r="CV502" s="1683">
        <v>0</v>
      </c>
      <c r="CW502" s="1682"/>
      <c r="CX502" s="1400"/>
      <c r="CY502" s="1400"/>
      <c r="CZ502" s="1400"/>
      <c r="DA502" s="1400"/>
      <c r="DB502" s="1682"/>
      <c r="DC502" s="1326"/>
      <c r="DD502" s="1683">
        <v>0</v>
      </c>
      <c r="DE502" s="1400"/>
      <c r="DF502" s="1400"/>
      <c r="DG502" s="1683">
        <v>0</v>
      </c>
      <c r="DH502" s="1683">
        <v>0</v>
      </c>
    </row>
    <row r="503" spans="1:112" ht="33.75">
      <c r="A503" s="1326" t="s">
        <v>3596</v>
      </c>
      <c r="B503" s="1326" t="s">
        <v>1702</v>
      </c>
      <c r="C503" s="1326" t="s">
        <v>2570</v>
      </c>
      <c r="D503" s="1326" t="s">
        <v>2574</v>
      </c>
      <c r="E503" s="1326" t="s">
        <v>1176</v>
      </c>
      <c r="F503" s="1326" t="s">
        <v>2575</v>
      </c>
      <c r="G503" s="1326" t="s">
        <v>2572</v>
      </c>
      <c r="H503" s="1326" t="s">
        <v>2573</v>
      </c>
      <c r="I503" s="1326" t="s">
        <v>1601</v>
      </c>
      <c r="J503" s="1326" t="s">
        <v>2380</v>
      </c>
      <c r="K503" s="1326" t="s">
        <v>2071</v>
      </c>
      <c r="L503" s="1326" t="s">
        <v>2061</v>
      </c>
      <c r="M503" s="1400"/>
      <c r="N503" s="1400"/>
      <c r="O503" s="1400"/>
      <c r="P503" s="1400"/>
      <c r="Q503" s="1400"/>
      <c r="R503" s="1400"/>
      <c r="S503" s="1400"/>
      <c r="T503" s="1400"/>
      <c r="U503" s="1400"/>
      <c r="V503" s="1400"/>
      <c r="W503" s="1400"/>
      <c r="X503" s="1400"/>
      <c r="Y503" s="1685">
        <v>43395</v>
      </c>
      <c r="Z503" s="1326" t="s">
        <v>2062</v>
      </c>
      <c r="AA503" s="1683">
        <v>0</v>
      </c>
      <c r="AB503" s="1683">
        <v>0</v>
      </c>
      <c r="AC503" s="1683">
        <v>0</v>
      </c>
      <c r="AD503" s="1685">
        <v>43424</v>
      </c>
      <c r="AE503" s="1326" t="s">
        <v>2066</v>
      </c>
      <c r="AF503" s="1326" t="s">
        <v>2064</v>
      </c>
      <c r="AG503" s="1410"/>
      <c r="AH503" s="1683">
        <v>1290.56</v>
      </c>
      <c r="AI503" s="1683">
        <v>1290.56</v>
      </c>
      <c r="AJ503" s="1683">
        <v>1193.77</v>
      </c>
      <c r="AK503" s="1683">
        <v>1096.98</v>
      </c>
      <c r="AL503" s="1683">
        <v>96.79</v>
      </c>
      <c r="AM503" s="1685">
        <v>43424</v>
      </c>
      <c r="AN503" s="1683">
        <v>1290.56</v>
      </c>
      <c r="AO503" s="1683">
        <v>1290.56</v>
      </c>
      <c r="AP503" s="1683">
        <v>1193.77</v>
      </c>
      <c r="AQ503" s="1683">
        <v>1096.98</v>
      </c>
      <c r="AR503" s="1683">
        <v>96.79</v>
      </c>
      <c r="AS503" s="1683">
        <v>96.79</v>
      </c>
      <c r="AT503" s="1683">
        <v>0</v>
      </c>
      <c r="AU503" s="1683">
        <v>96.79</v>
      </c>
      <c r="AV503" s="1683">
        <v>0</v>
      </c>
      <c r="AW503" s="1683">
        <v>0</v>
      </c>
      <c r="AX503" s="1400"/>
      <c r="AY503" s="1400"/>
      <c r="AZ503" s="1400"/>
      <c r="BA503" s="1682"/>
      <c r="BB503" s="1682"/>
      <c r="BC503" s="1400"/>
      <c r="BD503" s="1400"/>
      <c r="BE503" s="1683">
        <v>1290.56</v>
      </c>
      <c r="BF503" s="1683">
        <v>1290.56</v>
      </c>
      <c r="BG503" s="1683">
        <v>1193.77</v>
      </c>
      <c r="BH503" s="1683">
        <v>1096.98</v>
      </c>
      <c r="BI503" s="1683">
        <v>96.79</v>
      </c>
      <c r="BJ503" s="1683">
        <v>96.79</v>
      </c>
      <c r="BK503" s="1683">
        <v>0</v>
      </c>
      <c r="BL503" s="1683">
        <v>96.79</v>
      </c>
      <c r="BM503" s="1683">
        <v>0</v>
      </c>
      <c r="BN503" s="1683">
        <v>0</v>
      </c>
      <c r="BO503" s="1685">
        <v>43462</v>
      </c>
      <c r="BP503" s="1683">
        <v>1290.56</v>
      </c>
      <c r="BQ503" s="1683">
        <v>1290.56</v>
      </c>
      <c r="BR503" s="1683">
        <v>1193.77</v>
      </c>
      <c r="BS503" s="1683">
        <v>1096.98</v>
      </c>
      <c r="BT503" s="1683">
        <v>96.79</v>
      </c>
      <c r="BU503" s="1683">
        <v>96.79</v>
      </c>
      <c r="BV503" s="1683">
        <v>0</v>
      </c>
      <c r="BW503" s="1683">
        <v>0</v>
      </c>
      <c r="BX503" s="1683">
        <v>0</v>
      </c>
      <c r="BY503" s="1683">
        <v>0</v>
      </c>
      <c r="BZ503" s="1683">
        <v>0</v>
      </c>
      <c r="CA503" s="1400"/>
      <c r="CB503" s="1682"/>
      <c r="CC503" s="1682"/>
      <c r="CD503" s="1400"/>
      <c r="CE503" s="1400"/>
      <c r="CF503" s="1683">
        <v>0</v>
      </c>
      <c r="CG503" s="1683">
        <v>0</v>
      </c>
      <c r="CH503" s="1683">
        <v>0</v>
      </c>
      <c r="CI503" s="1683">
        <v>0</v>
      </c>
      <c r="CJ503" s="1683">
        <v>292.11</v>
      </c>
      <c r="CK503" s="1683">
        <v>292.11</v>
      </c>
      <c r="CL503" s="1682"/>
      <c r="CM503" s="1683">
        <v>0</v>
      </c>
      <c r="CN503" s="1683">
        <v>0</v>
      </c>
      <c r="CO503" s="1683">
        <v>0</v>
      </c>
      <c r="CP503" s="1683">
        <v>0</v>
      </c>
      <c r="CQ503" s="1683">
        <v>0</v>
      </c>
      <c r="CR503" s="1683">
        <v>0</v>
      </c>
      <c r="CS503" s="1683">
        <v>0</v>
      </c>
      <c r="CT503" s="1683">
        <v>0</v>
      </c>
      <c r="CU503" s="1683">
        <v>0</v>
      </c>
      <c r="CV503" s="1683">
        <v>0</v>
      </c>
      <c r="CW503" s="1682"/>
      <c r="CX503" s="1400"/>
      <c r="CY503" s="1400"/>
      <c r="CZ503" s="1400"/>
      <c r="DA503" s="1400"/>
      <c r="DB503" s="1682"/>
      <c r="DC503" s="1326"/>
      <c r="DD503" s="1683">
        <v>0</v>
      </c>
      <c r="DE503" s="1400"/>
      <c r="DF503" s="1400"/>
      <c r="DG503" s="1683">
        <v>0</v>
      </c>
      <c r="DH503" s="1683">
        <v>0</v>
      </c>
    </row>
    <row r="504" spans="1:112" ht="33.75">
      <c r="A504" s="1326" t="s">
        <v>3597</v>
      </c>
      <c r="B504" s="1326" t="s">
        <v>1702</v>
      </c>
      <c r="C504" s="1326" t="s">
        <v>2570</v>
      </c>
      <c r="D504" s="1326" t="s">
        <v>2574</v>
      </c>
      <c r="E504" s="1326" t="s">
        <v>1176</v>
      </c>
      <c r="F504" s="1326" t="s">
        <v>2575</v>
      </c>
      <c r="G504" s="1326" t="s">
        <v>2572</v>
      </c>
      <c r="H504" s="1326" t="s">
        <v>2573</v>
      </c>
      <c r="I504" s="1326" t="s">
        <v>1601</v>
      </c>
      <c r="J504" s="1326" t="s">
        <v>2380</v>
      </c>
      <c r="K504" s="1326" t="s">
        <v>2071</v>
      </c>
      <c r="L504" s="1326" t="s">
        <v>2061</v>
      </c>
      <c r="M504" s="1400"/>
      <c r="N504" s="1400"/>
      <c r="O504" s="1400"/>
      <c r="P504" s="1400"/>
      <c r="Q504" s="1400"/>
      <c r="R504" s="1400"/>
      <c r="S504" s="1400"/>
      <c r="T504" s="1400"/>
      <c r="U504" s="1400"/>
      <c r="V504" s="1400"/>
      <c r="W504" s="1400"/>
      <c r="X504" s="1400"/>
      <c r="Y504" s="1685">
        <v>43473</v>
      </c>
      <c r="Z504" s="1326" t="s">
        <v>2062</v>
      </c>
      <c r="AA504" s="1683">
        <v>0</v>
      </c>
      <c r="AB504" s="1683">
        <v>0</v>
      </c>
      <c r="AC504" s="1683">
        <v>0</v>
      </c>
      <c r="AD504" s="1685">
        <v>43509</v>
      </c>
      <c r="AE504" s="1326" t="s">
        <v>2079</v>
      </c>
      <c r="AF504" s="1326" t="s">
        <v>2064</v>
      </c>
      <c r="AG504" s="1410"/>
      <c r="AH504" s="1683">
        <v>7257.43</v>
      </c>
      <c r="AI504" s="1683">
        <v>7257.43</v>
      </c>
      <c r="AJ504" s="1683">
        <v>6713.12</v>
      </c>
      <c r="AK504" s="1683">
        <v>6168.81</v>
      </c>
      <c r="AL504" s="1683">
        <v>544.30999999999995</v>
      </c>
      <c r="AM504" s="1685">
        <v>43509</v>
      </c>
      <c r="AN504" s="1683">
        <v>7257.43</v>
      </c>
      <c r="AO504" s="1683">
        <v>7257.43</v>
      </c>
      <c r="AP504" s="1683">
        <v>6713.12</v>
      </c>
      <c r="AQ504" s="1683">
        <v>6168.81</v>
      </c>
      <c r="AR504" s="1683">
        <v>544.30999999999995</v>
      </c>
      <c r="AS504" s="1683">
        <v>544.30999999999995</v>
      </c>
      <c r="AT504" s="1683">
        <v>0</v>
      </c>
      <c r="AU504" s="1683">
        <v>544.30999999999995</v>
      </c>
      <c r="AV504" s="1683">
        <v>0</v>
      </c>
      <c r="AW504" s="1683">
        <v>0</v>
      </c>
      <c r="AX504" s="1400"/>
      <c r="AY504" s="1400"/>
      <c r="AZ504" s="1400"/>
      <c r="BA504" s="1682"/>
      <c r="BB504" s="1682"/>
      <c r="BC504" s="1400"/>
      <c r="BD504" s="1400"/>
      <c r="BE504" s="1683">
        <v>7257.43</v>
      </c>
      <c r="BF504" s="1683">
        <v>7257.43</v>
      </c>
      <c r="BG504" s="1683">
        <v>6713.12</v>
      </c>
      <c r="BH504" s="1683">
        <v>6168.81</v>
      </c>
      <c r="BI504" s="1683">
        <v>544.30999999999995</v>
      </c>
      <c r="BJ504" s="1683">
        <v>544.30999999999995</v>
      </c>
      <c r="BK504" s="1683">
        <v>0</v>
      </c>
      <c r="BL504" s="1683">
        <v>544.30999999999995</v>
      </c>
      <c r="BM504" s="1683">
        <v>0</v>
      </c>
      <c r="BN504" s="1683">
        <v>0</v>
      </c>
      <c r="BO504" s="1682"/>
      <c r="BP504" s="1683">
        <v>0</v>
      </c>
      <c r="BQ504" s="1683">
        <v>0</v>
      </c>
      <c r="BR504" s="1683">
        <v>0</v>
      </c>
      <c r="BS504" s="1683">
        <v>0</v>
      </c>
      <c r="BT504" s="1683">
        <v>0</v>
      </c>
      <c r="BU504" s="1683">
        <v>0</v>
      </c>
      <c r="BV504" s="1683">
        <v>0</v>
      </c>
      <c r="BW504" s="1683">
        <v>0</v>
      </c>
      <c r="BX504" s="1683">
        <v>0</v>
      </c>
      <c r="BY504" s="1683">
        <v>0</v>
      </c>
      <c r="BZ504" s="1400"/>
      <c r="CA504" s="1400"/>
      <c r="CB504" s="1682"/>
      <c r="CC504" s="1682"/>
      <c r="CD504" s="1400"/>
      <c r="CE504" s="1400"/>
      <c r="CF504" s="1683">
        <v>0</v>
      </c>
      <c r="CG504" s="1683">
        <v>0</v>
      </c>
      <c r="CH504" s="1683">
        <v>0</v>
      </c>
      <c r="CI504" s="1683">
        <v>0</v>
      </c>
      <c r="CJ504" s="1683">
        <v>0</v>
      </c>
      <c r="CK504" s="1683">
        <v>0</v>
      </c>
      <c r="CL504" s="1682"/>
      <c r="CM504" s="1683">
        <v>0</v>
      </c>
      <c r="CN504" s="1683">
        <v>0</v>
      </c>
      <c r="CO504" s="1683">
        <v>0</v>
      </c>
      <c r="CP504" s="1683">
        <v>0</v>
      </c>
      <c r="CQ504" s="1683">
        <v>0</v>
      </c>
      <c r="CR504" s="1683">
        <v>0</v>
      </c>
      <c r="CS504" s="1683">
        <v>0</v>
      </c>
      <c r="CT504" s="1683">
        <v>0</v>
      </c>
      <c r="CU504" s="1683">
        <v>0</v>
      </c>
      <c r="CV504" s="1683">
        <v>0</v>
      </c>
      <c r="CW504" s="1682"/>
      <c r="CX504" s="1400"/>
      <c r="CY504" s="1400"/>
      <c r="CZ504" s="1400"/>
      <c r="DA504" s="1400"/>
      <c r="DB504" s="1682"/>
      <c r="DC504" s="1326"/>
      <c r="DD504" s="1683">
        <v>0</v>
      </c>
      <c r="DE504" s="1400"/>
      <c r="DF504" s="1400"/>
      <c r="DG504" s="1683">
        <v>0</v>
      </c>
      <c r="DH504" s="1683">
        <v>0</v>
      </c>
    </row>
    <row r="505" spans="1:112" ht="33.75">
      <c r="A505" s="1326" t="s">
        <v>3598</v>
      </c>
      <c r="B505" s="1326" t="s">
        <v>1702</v>
      </c>
      <c r="C505" s="1326" t="s">
        <v>2570</v>
      </c>
      <c r="D505" s="1326" t="s">
        <v>2574</v>
      </c>
      <c r="E505" s="1326" t="s">
        <v>1176</v>
      </c>
      <c r="F505" s="1326" t="s">
        <v>2575</v>
      </c>
      <c r="G505" s="1326" t="s">
        <v>2572</v>
      </c>
      <c r="H505" s="1326" t="s">
        <v>2573</v>
      </c>
      <c r="I505" s="1326" t="s">
        <v>1602</v>
      </c>
      <c r="J505" s="1326" t="s">
        <v>1195</v>
      </c>
      <c r="K505" s="1326" t="s">
        <v>2383</v>
      </c>
      <c r="L505" s="1326" t="s">
        <v>2061</v>
      </c>
      <c r="M505" s="1683">
        <v>198997.18</v>
      </c>
      <c r="N505" s="1683">
        <v>0</v>
      </c>
      <c r="O505" s="1683">
        <v>198997.18</v>
      </c>
      <c r="P505" s="1683">
        <v>198997.18</v>
      </c>
      <c r="Q505" s="1683">
        <v>184072.39</v>
      </c>
      <c r="R505" s="1683">
        <v>169147.6</v>
      </c>
      <c r="S505" s="1683">
        <v>14924.79</v>
      </c>
      <c r="T505" s="1683">
        <v>14924.79</v>
      </c>
      <c r="U505" s="1683">
        <v>0</v>
      </c>
      <c r="V505" s="1683">
        <v>14924.79</v>
      </c>
      <c r="W505" s="1683">
        <v>0</v>
      </c>
      <c r="X505" s="1683">
        <v>0</v>
      </c>
      <c r="Y505" s="1682"/>
      <c r="Z505" s="1326"/>
      <c r="AA505" s="1683">
        <v>0</v>
      </c>
      <c r="AB505" s="1683">
        <v>0</v>
      </c>
      <c r="AC505" s="1683">
        <v>0</v>
      </c>
      <c r="AD505" s="1682"/>
      <c r="AE505" s="1326"/>
      <c r="AF505" s="1326"/>
      <c r="AG505" s="1410"/>
      <c r="AH505" s="1683">
        <v>25452.880000000001</v>
      </c>
      <c r="AI505" s="1683">
        <v>80674.600000000006</v>
      </c>
      <c r="AJ505" s="1683">
        <v>78765.64</v>
      </c>
      <c r="AK505" s="1683">
        <v>72379.23</v>
      </c>
      <c r="AL505" s="1683">
        <v>6386.41</v>
      </c>
      <c r="AM505" s="1682"/>
      <c r="AN505" s="1683">
        <v>25452.880000000001</v>
      </c>
      <c r="AO505" s="1683">
        <v>25452.880000000001</v>
      </c>
      <c r="AP505" s="1683">
        <v>23543.919999999998</v>
      </c>
      <c r="AQ505" s="1683">
        <v>21634.95</v>
      </c>
      <c r="AR505" s="1683">
        <v>1908.97</v>
      </c>
      <c r="AS505" s="1683">
        <v>1908.96</v>
      </c>
      <c r="AT505" s="1683">
        <v>0</v>
      </c>
      <c r="AU505" s="1683">
        <v>1908.96</v>
      </c>
      <c r="AV505" s="1683">
        <v>0</v>
      </c>
      <c r="AW505" s="1683">
        <v>0</v>
      </c>
      <c r="AX505" s="1683">
        <v>0</v>
      </c>
      <c r="AY505" s="1683">
        <v>0</v>
      </c>
      <c r="AZ505" s="1683">
        <v>0</v>
      </c>
      <c r="BA505" s="1682"/>
      <c r="BB505" s="1682"/>
      <c r="BC505" s="1683">
        <v>0</v>
      </c>
      <c r="BD505" s="1683">
        <v>0</v>
      </c>
      <c r="BE505" s="1683">
        <v>25452.880000000001</v>
      </c>
      <c r="BF505" s="1683">
        <v>25452.880000000001</v>
      </c>
      <c r="BG505" s="1683">
        <v>23543.919999999998</v>
      </c>
      <c r="BH505" s="1683">
        <v>21634.95</v>
      </c>
      <c r="BI505" s="1683">
        <v>1908.97</v>
      </c>
      <c r="BJ505" s="1683">
        <v>1908.96</v>
      </c>
      <c r="BK505" s="1683">
        <v>0</v>
      </c>
      <c r="BL505" s="1683">
        <v>1908.96</v>
      </c>
      <c r="BM505" s="1683">
        <v>0</v>
      </c>
      <c r="BN505" s="1683">
        <v>0</v>
      </c>
      <c r="BO505" s="1682"/>
      <c r="BP505" s="1683">
        <v>1169.72</v>
      </c>
      <c r="BQ505" s="1683">
        <v>1169.72</v>
      </c>
      <c r="BR505" s="1683">
        <v>1081.99</v>
      </c>
      <c r="BS505" s="1683">
        <v>994.26</v>
      </c>
      <c r="BT505" s="1683">
        <v>87.73</v>
      </c>
      <c r="BU505" s="1683">
        <v>87.73</v>
      </c>
      <c r="BV505" s="1683">
        <v>0</v>
      </c>
      <c r="BW505" s="1683">
        <v>0</v>
      </c>
      <c r="BX505" s="1683">
        <v>0</v>
      </c>
      <c r="BY505" s="1683">
        <v>0</v>
      </c>
      <c r="BZ505" s="1683">
        <v>0</v>
      </c>
      <c r="CA505" s="1683">
        <v>0</v>
      </c>
      <c r="CB505" s="1682"/>
      <c r="CC505" s="1682"/>
      <c r="CD505" s="1683">
        <v>0</v>
      </c>
      <c r="CE505" s="1683">
        <v>0</v>
      </c>
      <c r="CF505" s="1683">
        <v>0</v>
      </c>
      <c r="CG505" s="1683">
        <v>0</v>
      </c>
      <c r="CH505" s="1683">
        <v>0</v>
      </c>
      <c r="CI505" s="1683">
        <v>0</v>
      </c>
      <c r="CJ505" s="1683">
        <v>186.76</v>
      </c>
      <c r="CK505" s="1683">
        <v>186.76</v>
      </c>
      <c r="CL505" s="1682"/>
      <c r="CM505" s="1683">
        <v>0</v>
      </c>
      <c r="CN505" s="1683">
        <v>0</v>
      </c>
      <c r="CO505" s="1683">
        <v>0</v>
      </c>
      <c r="CP505" s="1683">
        <v>0</v>
      </c>
      <c r="CQ505" s="1683">
        <v>0</v>
      </c>
      <c r="CR505" s="1683">
        <v>0</v>
      </c>
      <c r="CS505" s="1683">
        <v>0</v>
      </c>
      <c r="CT505" s="1683">
        <v>0</v>
      </c>
      <c r="CU505" s="1683">
        <v>0</v>
      </c>
      <c r="CV505" s="1683">
        <v>0</v>
      </c>
      <c r="CW505" s="1682"/>
      <c r="CX505" s="1683">
        <v>0</v>
      </c>
      <c r="CY505" s="1683">
        <v>0</v>
      </c>
      <c r="CZ505" s="1683">
        <v>0</v>
      </c>
      <c r="DA505" s="1683">
        <v>0</v>
      </c>
      <c r="DB505" s="1682"/>
      <c r="DC505" s="1326"/>
      <c r="DD505" s="1683">
        <v>0</v>
      </c>
      <c r="DE505" s="1683">
        <v>0</v>
      </c>
      <c r="DF505" s="1683">
        <v>0</v>
      </c>
      <c r="DG505" s="1683">
        <v>0</v>
      </c>
      <c r="DH505" s="1683">
        <v>0</v>
      </c>
    </row>
    <row r="506" spans="1:112" ht="33.75">
      <c r="A506" s="1326" t="s">
        <v>3599</v>
      </c>
      <c r="B506" s="1326" t="s">
        <v>1702</v>
      </c>
      <c r="C506" s="1326" t="s">
        <v>2570</v>
      </c>
      <c r="D506" s="1326" t="s">
        <v>2574</v>
      </c>
      <c r="E506" s="1326" t="s">
        <v>1176</v>
      </c>
      <c r="F506" s="1326" t="s">
        <v>2575</v>
      </c>
      <c r="G506" s="1326" t="s">
        <v>2572</v>
      </c>
      <c r="H506" s="1326" t="s">
        <v>2573</v>
      </c>
      <c r="I506" s="1326" t="s">
        <v>1602</v>
      </c>
      <c r="J506" s="1326" t="s">
        <v>1195</v>
      </c>
      <c r="K506" s="1326" t="s">
        <v>2383</v>
      </c>
      <c r="L506" s="1326" t="s">
        <v>2061</v>
      </c>
      <c r="M506" s="1400"/>
      <c r="N506" s="1400"/>
      <c r="O506" s="1400"/>
      <c r="P506" s="1400"/>
      <c r="Q506" s="1400"/>
      <c r="R506" s="1400"/>
      <c r="S506" s="1400"/>
      <c r="T506" s="1400"/>
      <c r="U506" s="1400"/>
      <c r="V506" s="1400"/>
      <c r="W506" s="1400"/>
      <c r="X506" s="1400"/>
      <c r="Y506" s="1685">
        <v>43336</v>
      </c>
      <c r="Z506" s="1326" t="s">
        <v>2096</v>
      </c>
      <c r="AA506" s="1683">
        <v>0</v>
      </c>
      <c r="AB506" s="1683">
        <v>0</v>
      </c>
      <c r="AC506" s="1683">
        <v>0</v>
      </c>
      <c r="AD506" s="1685">
        <v>43357</v>
      </c>
      <c r="AE506" s="1326" t="s">
        <v>2073</v>
      </c>
      <c r="AF506" s="1326" t="s">
        <v>2064</v>
      </c>
      <c r="AG506" s="1410"/>
      <c r="AH506" s="1683">
        <v>0</v>
      </c>
      <c r="AI506" s="1683">
        <v>55221.72</v>
      </c>
      <c r="AJ506" s="1683">
        <v>55221.72</v>
      </c>
      <c r="AK506" s="1683">
        <v>50744.28</v>
      </c>
      <c r="AL506" s="1683">
        <v>4477.4399999999996</v>
      </c>
      <c r="AM506" s="1682"/>
      <c r="AN506" s="1683">
        <v>0</v>
      </c>
      <c r="AO506" s="1683">
        <v>0</v>
      </c>
      <c r="AP506" s="1683">
        <v>0</v>
      </c>
      <c r="AQ506" s="1683">
        <v>0</v>
      </c>
      <c r="AR506" s="1683">
        <v>0</v>
      </c>
      <c r="AS506" s="1683">
        <v>0</v>
      </c>
      <c r="AT506" s="1683">
        <v>0</v>
      </c>
      <c r="AU506" s="1683">
        <v>0</v>
      </c>
      <c r="AV506" s="1683">
        <v>0</v>
      </c>
      <c r="AW506" s="1683">
        <v>0</v>
      </c>
      <c r="AX506" s="1400"/>
      <c r="AY506" s="1400"/>
      <c r="AZ506" s="1400"/>
      <c r="BA506" s="1682"/>
      <c r="BB506" s="1682"/>
      <c r="BC506" s="1400"/>
      <c r="BD506" s="1400"/>
      <c r="BE506" s="1683">
        <v>0</v>
      </c>
      <c r="BF506" s="1683">
        <v>0</v>
      </c>
      <c r="BG506" s="1683">
        <v>0</v>
      </c>
      <c r="BH506" s="1683">
        <v>0</v>
      </c>
      <c r="BI506" s="1683">
        <v>0</v>
      </c>
      <c r="BJ506" s="1683">
        <v>0</v>
      </c>
      <c r="BK506" s="1683">
        <v>0</v>
      </c>
      <c r="BL506" s="1683">
        <v>0</v>
      </c>
      <c r="BM506" s="1683">
        <v>0</v>
      </c>
      <c r="BN506" s="1683">
        <v>0</v>
      </c>
      <c r="BO506" s="1682"/>
      <c r="BP506" s="1683">
        <v>0</v>
      </c>
      <c r="BQ506" s="1683">
        <v>0</v>
      </c>
      <c r="BR506" s="1683">
        <v>0</v>
      </c>
      <c r="BS506" s="1683">
        <v>0</v>
      </c>
      <c r="BT506" s="1683">
        <v>0</v>
      </c>
      <c r="BU506" s="1683">
        <v>0</v>
      </c>
      <c r="BV506" s="1683">
        <v>0</v>
      </c>
      <c r="BW506" s="1683">
        <v>0</v>
      </c>
      <c r="BX506" s="1683">
        <v>0</v>
      </c>
      <c r="BY506" s="1683">
        <v>0</v>
      </c>
      <c r="BZ506" s="1400"/>
      <c r="CA506" s="1400"/>
      <c r="CB506" s="1682"/>
      <c r="CC506" s="1682"/>
      <c r="CD506" s="1400"/>
      <c r="CE506" s="1400"/>
      <c r="CF506" s="1683">
        <v>0</v>
      </c>
      <c r="CG506" s="1683">
        <v>0</v>
      </c>
      <c r="CH506" s="1683">
        <v>0</v>
      </c>
      <c r="CI506" s="1683">
        <v>0</v>
      </c>
      <c r="CJ506" s="1683">
        <v>0</v>
      </c>
      <c r="CK506" s="1683">
        <v>0</v>
      </c>
      <c r="CL506" s="1682"/>
      <c r="CM506" s="1683">
        <v>0</v>
      </c>
      <c r="CN506" s="1683">
        <v>0</v>
      </c>
      <c r="CO506" s="1683">
        <v>0</v>
      </c>
      <c r="CP506" s="1683">
        <v>0</v>
      </c>
      <c r="CQ506" s="1683">
        <v>0</v>
      </c>
      <c r="CR506" s="1683">
        <v>0</v>
      </c>
      <c r="CS506" s="1683">
        <v>0</v>
      </c>
      <c r="CT506" s="1683">
        <v>0</v>
      </c>
      <c r="CU506" s="1683">
        <v>0</v>
      </c>
      <c r="CV506" s="1683">
        <v>0</v>
      </c>
      <c r="CW506" s="1682"/>
      <c r="CX506" s="1400"/>
      <c r="CY506" s="1400"/>
      <c r="CZ506" s="1400"/>
      <c r="DA506" s="1400"/>
      <c r="DB506" s="1682"/>
      <c r="DC506" s="1326"/>
      <c r="DD506" s="1683">
        <v>0</v>
      </c>
      <c r="DE506" s="1400"/>
      <c r="DF506" s="1400"/>
      <c r="DG506" s="1683">
        <v>0</v>
      </c>
      <c r="DH506" s="1683">
        <v>0</v>
      </c>
    </row>
    <row r="507" spans="1:112" ht="33.75">
      <c r="A507" s="1326" t="s">
        <v>3600</v>
      </c>
      <c r="B507" s="1326" t="s">
        <v>1702</v>
      </c>
      <c r="C507" s="1326" t="s">
        <v>2570</v>
      </c>
      <c r="D507" s="1326" t="s">
        <v>2574</v>
      </c>
      <c r="E507" s="1326" t="s">
        <v>1176</v>
      </c>
      <c r="F507" s="1326" t="s">
        <v>2575</v>
      </c>
      <c r="G507" s="1326" t="s">
        <v>2572</v>
      </c>
      <c r="H507" s="1326" t="s">
        <v>2573</v>
      </c>
      <c r="I507" s="1326" t="s">
        <v>1602</v>
      </c>
      <c r="J507" s="1326" t="s">
        <v>1195</v>
      </c>
      <c r="K507" s="1326" t="s">
        <v>2383</v>
      </c>
      <c r="L507" s="1326" t="s">
        <v>2061</v>
      </c>
      <c r="M507" s="1400"/>
      <c r="N507" s="1400"/>
      <c r="O507" s="1400"/>
      <c r="P507" s="1400"/>
      <c r="Q507" s="1400"/>
      <c r="R507" s="1400"/>
      <c r="S507" s="1400"/>
      <c r="T507" s="1400"/>
      <c r="U507" s="1400"/>
      <c r="V507" s="1400"/>
      <c r="W507" s="1400"/>
      <c r="X507" s="1400"/>
      <c r="Y507" s="1685">
        <v>43371</v>
      </c>
      <c r="Z507" s="1326" t="s">
        <v>2062</v>
      </c>
      <c r="AA507" s="1683">
        <v>0</v>
      </c>
      <c r="AB507" s="1683">
        <v>0</v>
      </c>
      <c r="AC507" s="1683">
        <v>0</v>
      </c>
      <c r="AD507" s="1685">
        <v>43404</v>
      </c>
      <c r="AE507" s="1326" t="s">
        <v>2063</v>
      </c>
      <c r="AF507" s="1326" t="s">
        <v>2064</v>
      </c>
      <c r="AG507" s="1410"/>
      <c r="AH507" s="1683">
        <v>1169.72</v>
      </c>
      <c r="AI507" s="1683">
        <v>1169.72</v>
      </c>
      <c r="AJ507" s="1683">
        <v>1081.99</v>
      </c>
      <c r="AK507" s="1683">
        <v>994.26</v>
      </c>
      <c r="AL507" s="1683">
        <v>87.73</v>
      </c>
      <c r="AM507" s="1685">
        <v>43404</v>
      </c>
      <c r="AN507" s="1683">
        <v>1169.72</v>
      </c>
      <c r="AO507" s="1683">
        <v>1169.72</v>
      </c>
      <c r="AP507" s="1683">
        <v>1081.99</v>
      </c>
      <c r="AQ507" s="1683">
        <v>994.26</v>
      </c>
      <c r="AR507" s="1683">
        <v>87.73</v>
      </c>
      <c r="AS507" s="1683">
        <v>87.73</v>
      </c>
      <c r="AT507" s="1683">
        <v>0</v>
      </c>
      <c r="AU507" s="1683">
        <v>87.73</v>
      </c>
      <c r="AV507" s="1683">
        <v>0</v>
      </c>
      <c r="AW507" s="1683">
        <v>0</v>
      </c>
      <c r="AX507" s="1400"/>
      <c r="AY507" s="1400"/>
      <c r="AZ507" s="1400"/>
      <c r="BA507" s="1682"/>
      <c r="BB507" s="1682"/>
      <c r="BC507" s="1400"/>
      <c r="BD507" s="1400"/>
      <c r="BE507" s="1683">
        <v>1169.72</v>
      </c>
      <c r="BF507" s="1683">
        <v>1169.72</v>
      </c>
      <c r="BG507" s="1683">
        <v>1081.99</v>
      </c>
      <c r="BH507" s="1683">
        <v>994.26</v>
      </c>
      <c r="BI507" s="1683">
        <v>87.73</v>
      </c>
      <c r="BJ507" s="1683">
        <v>87.73</v>
      </c>
      <c r="BK507" s="1683">
        <v>0</v>
      </c>
      <c r="BL507" s="1683">
        <v>87.73</v>
      </c>
      <c r="BM507" s="1683">
        <v>0</v>
      </c>
      <c r="BN507" s="1683">
        <v>0</v>
      </c>
      <c r="BO507" s="1685">
        <v>43462</v>
      </c>
      <c r="BP507" s="1683">
        <v>1169.72</v>
      </c>
      <c r="BQ507" s="1683">
        <v>1169.72</v>
      </c>
      <c r="BR507" s="1683">
        <v>1081.99</v>
      </c>
      <c r="BS507" s="1683">
        <v>994.26</v>
      </c>
      <c r="BT507" s="1683">
        <v>87.73</v>
      </c>
      <c r="BU507" s="1683">
        <v>87.73</v>
      </c>
      <c r="BV507" s="1683">
        <v>0</v>
      </c>
      <c r="BW507" s="1683">
        <v>0</v>
      </c>
      <c r="BX507" s="1683">
        <v>0</v>
      </c>
      <c r="BY507" s="1683">
        <v>0</v>
      </c>
      <c r="BZ507" s="1683">
        <v>0</v>
      </c>
      <c r="CA507" s="1400"/>
      <c r="CB507" s="1682"/>
      <c r="CC507" s="1682"/>
      <c r="CD507" s="1400"/>
      <c r="CE507" s="1400"/>
      <c r="CF507" s="1683">
        <v>0</v>
      </c>
      <c r="CG507" s="1683">
        <v>0</v>
      </c>
      <c r="CH507" s="1683">
        <v>0</v>
      </c>
      <c r="CI507" s="1683">
        <v>0</v>
      </c>
      <c r="CJ507" s="1683">
        <v>186.76</v>
      </c>
      <c r="CK507" s="1683">
        <v>186.76</v>
      </c>
      <c r="CL507" s="1682"/>
      <c r="CM507" s="1683">
        <v>0</v>
      </c>
      <c r="CN507" s="1683">
        <v>0</v>
      </c>
      <c r="CO507" s="1683">
        <v>0</v>
      </c>
      <c r="CP507" s="1683">
        <v>0</v>
      </c>
      <c r="CQ507" s="1683">
        <v>0</v>
      </c>
      <c r="CR507" s="1683">
        <v>0</v>
      </c>
      <c r="CS507" s="1683">
        <v>0</v>
      </c>
      <c r="CT507" s="1683">
        <v>0</v>
      </c>
      <c r="CU507" s="1683">
        <v>0</v>
      </c>
      <c r="CV507" s="1683">
        <v>0</v>
      </c>
      <c r="CW507" s="1682"/>
      <c r="CX507" s="1400"/>
      <c r="CY507" s="1400"/>
      <c r="CZ507" s="1400"/>
      <c r="DA507" s="1400"/>
      <c r="DB507" s="1682"/>
      <c r="DC507" s="1326"/>
      <c r="DD507" s="1683">
        <v>0</v>
      </c>
      <c r="DE507" s="1400"/>
      <c r="DF507" s="1400"/>
      <c r="DG507" s="1683">
        <v>0</v>
      </c>
      <c r="DH507" s="1683">
        <v>0</v>
      </c>
    </row>
    <row r="508" spans="1:112" ht="33.75">
      <c r="A508" s="1326" t="s">
        <v>3601</v>
      </c>
      <c r="B508" s="1326" t="s">
        <v>1702</v>
      </c>
      <c r="C508" s="1326" t="s">
        <v>2570</v>
      </c>
      <c r="D508" s="1326" t="s">
        <v>2574</v>
      </c>
      <c r="E508" s="1326" t="s">
        <v>1176</v>
      </c>
      <c r="F508" s="1326" t="s">
        <v>2575</v>
      </c>
      <c r="G508" s="1326" t="s">
        <v>2572</v>
      </c>
      <c r="H508" s="1326" t="s">
        <v>2573</v>
      </c>
      <c r="I508" s="1326" t="s">
        <v>1602</v>
      </c>
      <c r="J508" s="1326" t="s">
        <v>1195</v>
      </c>
      <c r="K508" s="1326" t="s">
        <v>2383</v>
      </c>
      <c r="L508" s="1326" t="s">
        <v>2061</v>
      </c>
      <c r="M508" s="1400"/>
      <c r="N508" s="1400"/>
      <c r="O508" s="1400"/>
      <c r="P508" s="1400"/>
      <c r="Q508" s="1400"/>
      <c r="R508" s="1400"/>
      <c r="S508" s="1400"/>
      <c r="T508" s="1400"/>
      <c r="U508" s="1400"/>
      <c r="V508" s="1400"/>
      <c r="W508" s="1400"/>
      <c r="X508" s="1400"/>
      <c r="Y508" s="1685">
        <v>43440</v>
      </c>
      <c r="Z508" s="1326" t="s">
        <v>2062</v>
      </c>
      <c r="AA508" s="1683">
        <v>0</v>
      </c>
      <c r="AB508" s="1683">
        <v>0</v>
      </c>
      <c r="AC508" s="1683">
        <v>0</v>
      </c>
      <c r="AD508" s="1685">
        <v>43455</v>
      </c>
      <c r="AE508" s="1326" t="s">
        <v>2066</v>
      </c>
      <c r="AF508" s="1326" t="s">
        <v>2064</v>
      </c>
      <c r="AG508" s="1410"/>
      <c r="AH508" s="1683">
        <v>24283.16</v>
      </c>
      <c r="AI508" s="1683">
        <v>24283.16</v>
      </c>
      <c r="AJ508" s="1683">
        <v>22461.93</v>
      </c>
      <c r="AK508" s="1683">
        <v>20640.689999999999</v>
      </c>
      <c r="AL508" s="1683">
        <v>1821.24</v>
      </c>
      <c r="AM508" s="1685">
        <v>43455</v>
      </c>
      <c r="AN508" s="1683">
        <v>24283.16</v>
      </c>
      <c r="AO508" s="1683">
        <v>24283.16</v>
      </c>
      <c r="AP508" s="1683">
        <v>22461.93</v>
      </c>
      <c r="AQ508" s="1683">
        <v>20640.689999999999</v>
      </c>
      <c r="AR508" s="1683">
        <v>1821.24</v>
      </c>
      <c r="AS508" s="1683">
        <v>1821.23</v>
      </c>
      <c r="AT508" s="1683">
        <v>0</v>
      </c>
      <c r="AU508" s="1683">
        <v>1821.23</v>
      </c>
      <c r="AV508" s="1683">
        <v>0</v>
      </c>
      <c r="AW508" s="1683">
        <v>0</v>
      </c>
      <c r="AX508" s="1400"/>
      <c r="AY508" s="1400"/>
      <c r="AZ508" s="1400"/>
      <c r="BA508" s="1682"/>
      <c r="BB508" s="1682"/>
      <c r="BC508" s="1400"/>
      <c r="BD508" s="1400"/>
      <c r="BE508" s="1683">
        <v>24283.16</v>
      </c>
      <c r="BF508" s="1683">
        <v>24283.16</v>
      </c>
      <c r="BG508" s="1683">
        <v>22461.93</v>
      </c>
      <c r="BH508" s="1683">
        <v>20640.689999999999</v>
      </c>
      <c r="BI508" s="1683">
        <v>1821.24</v>
      </c>
      <c r="BJ508" s="1683">
        <v>1821.23</v>
      </c>
      <c r="BK508" s="1683">
        <v>0</v>
      </c>
      <c r="BL508" s="1683">
        <v>1821.23</v>
      </c>
      <c r="BM508" s="1683">
        <v>0</v>
      </c>
      <c r="BN508" s="1683">
        <v>0</v>
      </c>
      <c r="BO508" s="1682"/>
      <c r="BP508" s="1683">
        <v>0</v>
      </c>
      <c r="BQ508" s="1683">
        <v>0</v>
      </c>
      <c r="BR508" s="1683">
        <v>0</v>
      </c>
      <c r="BS508" s="1683">
        <v>0</v>
      </c>
      <c r="BT508" s="1683">
        <v>0</v>
      </c>
      <c r="BU508" s="1683">
        <v>0</v>
      </c>
      <c r="BV508" s="1683">
        <v>0</v>
      </c>
      <c r="BW508" s="1683">
        <v>0</v>
      </c>
      <c r="BX508" s="1683">
        <v>0</v>
      </c>
      <c r="BY508" s="1683">
        <v>0</v>
      </c>
      <c r="BZ508" s="1683">
        <v>0</v>
      </c>
      <c r="CA508" s="1400"/>
      <c r="CB508" s="1682"/>
      <c r="CC508" s="1682"/>
      <c r="CD508" s="1400"/>
      <c r="CE508" s="1400"/>
      <c r="CF508" s="1683">
        <v>0</v>
      </c>
      <c r="CG508" s="1683">
        <v>0</v>
      </c>
      <c r="CH508" s="1683">
        <v>0</v>
      </c>
      <c r="CI508" s="1683">
        <v>0</v>
      </c>
      <c r="CJ508" s="1683">
        <v>0</v>
      </c>
      <c r="CK508" s="1683">
        <v>0</v>
      </c>
      <c r="CL508" s="1682"/>
      <c r="CM508" s="1683">
        <v>0</v>
      </c>
      <c r="CN508" s="1683">
        <v>0</v>
      </c>
      <c r="CO508" s="1683">
        <v>0</v>
      </c>
      <c r="CP508" s="1683">
        <v>0</v>
      </c>
      <c r="CQ508" s="1683">
        <v>0</v>
      </c>
      <c r="CR508" s="1683">
        <v>0</v>
      </c>
      <c r="CS508" s="1683">
        <v>0</v>
      </c>
      <c r="CT508" s="1683">
        <v>0</v>
      </c>
      <c r="CU508" s="1683">
        <v>0</v>
      </c>
      <c r="CV508" s="1683">
        <v>0</v>
      </c>
      <c r="CW508" s="1682"/>
      <c r="CX508" s="1400"/>
      <c r="CY508" s="1400"/>
      <c r="CZ508" s="1400"/>
      <c r="DA508" s="1400"/>
      <c r="DB508" s="1682"/>
      <c r="DC508" s="1326"/>
      <c r="DD508" s="1683">
        <v>0</v>
      </c>
      <c r="DE508" s="1400"/>
      <c r="DF508" s="1400"/>
      <c r="DG508" s="1683">
        <v>0</v>
      </c>
      <c r="DH508" s="1683">
        <v>0</v>
      </c>
    </row>
    <row r="509" spans="1:112" ht="33.75">
      <c r="A509" s="1326" t="s">
        <v>3602</v>
      </c>
      <c r="B509" s="1326" t="s">
        <v>1702</v>
      </c>
      <c r="C509" s="1326" t="s">
        <v>2570</v>
      </c>
      <c r="D509" s="1326" t="s">
        <v>2574</v>
      </c>
      <c r="E509" s="1326" t="s">
        <v>1176</v>
      </c>
      <c r="F509" s="1326" t="s">
        <v>2575</v>
      </c>
      <c r="G509" s="1326" t="s">
        <v>2572</v>
      </c>
      <c r="H509" s="1326" t="s">
        <v>2573</v>
      </c>
      <c r="I509" s="1326" t="s">
        <v>1603</v>
      </c>
      <c r="J509" s="1326" t="s">
        <v>1197</v>
      </c>
      <c r="K509" s="1326" t="s">
        <v>2386</v>
      </c>
      <c r="L509" s="1326" t="s">
        <v>2061</v>
      </c>
      <c r="M509" s="1683">
        <v>198997.18</v>
      </c>
      <c r="N509" s="1683">
        <v>0</v>
      </c>
      <c r="O509" s="1683">
        <v>198997.18</v>
      </c>
      <c r="P509" s="1683">
        <v>198997.18</v>
      </c>
      <c r="Q509" s="1683">
        <v>184072.39</v>
      </c>
      <c r="R509" s="1683">
        <v>169147.6</v>
      </c>
      <c r="S509" s="1683">
        <v>14924.79</v>
      </c>
      <c r="T509" s="1683">
        <v>14924.79</v>
      </c>
      <c r="U509" s="1683">
        <v>0</v>
      </c>
      <c r="V509" s="1683">
        <v>14924.79</v>
      </c>
      <c r="W509" s="1683">
        <v>0</v>
      </c>
      <c r="X509" s="1683">
        <v>0</v>
      </c>
      <c r="Y509" s="1682"/>
      <c r="Z509" s="1326"/>
      <c r="AA509" s="1683">
        <v>0</v>
      </c>
      <c r="AB509" s="1683">
        <v>0</v>
      </c>
      <c r="AC509" s="1683">
        <v>0</v>
      </c>
      <c r="AD509" s="1682"/>
      <c r="AE509" s="1326"/>
      <c r="AF509" s="1326"/>
      <c r="AG509" s="1410"/>
      <c r="AH509" s="1683">
        <v>70581.72</v>
      </c>
      <c r="AI509" s="1683">
        <v>125581.72</v>
      </c>
      <c r="AJ509" s="1683">
        <v>120288.09</v>
      </c>
      <c r="AK509" s="1683">
        <v>110535</v>
      </c>
      <c r="AL509" s="1683">
        <v>9753.09</v>
      </c>
      <c r="AM509" s="1682"/>
      <c r="AN509" s="1683">
        <v>70581.72</v>
      </c>
      <c r="AO509" s="1683">
        <v>70581.72</v>
      </c>
      <c r="AP509" s="1683">
        <v>65288.09</v>
      </c>
      <c r="AQ509" s="1683">
        <v>59994.46</v>
      </c>
      <c r="AR509" s="1683">
        <v>5293.63</v>
      </c>
      <c r="AS509" s="1683">
        <v>5293.63</v>
      </c>
      <c r="AT509" s="1683">
        <v>0</v>
      </c>
      <c r="AU509" s="1683">
        <v>5293.63</v>
      </c>
      <c r="AV509" s="1683">
        <v>0</v>
      </c>
      <c r="AW509" s="1683">
        <v>0</v>
      </c>
      <c r="AX509" s="1683">
        <v>0</v>
      </c>
      <c r="AY509" s="1683">
        <v>0</v>
      </c>
      <c r="AZ509" s="1683">
        <v>0</v>
      </c>
      <c r="BA509" s="1682"/>
      <c r="BB509" s="1682"/>
      <c r="BC509" s="1683">
        <v>0</v>
      </c>
      <c r="BD509" s="1683">
        <v>0</v>
      </c>
      <c r="BE509" s="1683">
        <v>70581.72</v>
      </c>
      <c r="BF509" s="1683">
        <v>70581.72</v>
      </c>
      <c r="BG509" s="1683">
        <v>65288.09</v>
      </c>
      <c r="BH509" s="1683">
        <v>59994.46</v>
      </c>
      <c r="BI509" s="1683">
        <v>5293.63</v>
      </c>
      <c r="BJ509" s="1683">
        <v>5293.63</v>
      </c>
      <c r="BK509" s="1683">
        <v>0</v>
      </c>
      <c r="BL509" s="1683">
        <v>5293.63</v>
      </c>
      <c r="BM509" s="1683">
        <v>0</v>
      </c>
      <c r="BN509" s="1683">
        <v>0</v>
      </c>
      <c r="BO509" s="1682"/>
      <c r="BP509" s="1683">
        <v>56526.17</v>
      </c>
      <c r="BQ509" s="1683">
        <v>56526.17</v>
      </c>
      <c r="BR509" s="1683">
        <v>52286.7</v>
      </c>
      <c r="BS509" s="1683">
        <v>48047.24</v>
      </c>
      <c r="BT509" s="1683">
        <v>4239.46</v>
      </c>
      <c r="BU509" s="1683">
        <v>4239.47</v>
      </c>
      <c r="BV509" s="1683">
        <v>0</v>
      </c>
      <c r="BW509" s="1683">
        <v>0</v>
      </c>
      <c r="BX509" s="1683">
        <v>0</v>
      </c>
      <c r="BY509" s="1683">
        <v>0</v>
      </c>
      <c r="BZ509" s="1683">
        <v>0</v>
      </c>
      <c r="CA509" s="1683">
        <v>0</v>
      </c>
      <c r="CB509" s="1682"/>
      <c r="CC509" s="1682"/>
      <c r="CD509" s="1683">
        <v>0</v>
      </c>
      <c r="CE509" s="1683">
        <v>0</v>
      </c>
      <c r="CF509" s="1683">
        <v>0</v>
      </c>
      <c r="CG509" s="1683">
        <v>0</v>
      </c>
      <c r="CH509" s="1683">
        <v>0</v>
      </c>
      <c r="CI509" s="1683">
        <v>0</v>
      </c>
      <c r="CJ509" s="1683">
        <v>9240.9599999999991</v>
      </c>
      <c r="CK509" s="1683">
        <v>9240.9599999999991</v>
      </c>
      <c r="CL509" s="1682"/>
      <c r="CM509" s="1683">
        <v>0</v>
      </c>
      <c r="CN509" s="1683">
        <v>0</v>
      </c>
      <c r="CO509" s="1683">
        <v>0</v>
      </c>
      <c r="CP509" s="1683">
        <v>0</v>
      </c>
      <c r="CQ509" s="1683">
        <v>0</v>
      </c>
      <c r="CR509" s="1683">
        <v>0</v>
      </c>
      <c r="CS509" s="1683">
        <v>0</v>
      </c>
      <c r="CT509" s="1683">
        <v>0</v>
      </c>
      <c r="CU509" s="1683">
        <v>0</v>
      </c>
      <c r="CV509" s="1683">
        <v>0</v>
      </c>
      <c r="CW509" s="1682"/>
      <c r="CX509" s="1683">
        <v>0</v>
      </c>
      <c r="CY509" s="1683">
        <v>0</v>
      </c>
      <c r="CZ509" s="1683">
        <v>0</v>
      </c>
      <c r="DA509" s="1683">
        <v>0</v>
      </c>
      <c r="DB509" s="1682"/>
      <c r="DC509" s="1326"/>
      <c r="DD509" s="1683">
        <v>0</v>
      </c>
      <c r="DE509" s="1683">
        <v>0</v>
      </c>
      <c r="DF509" s="1683">
        <v>0</v>
      </c>
      <c r="DG509" s="1683">
        <v>0</v>
      </c>
      <c r="DH509" s="1683">
        <v>0</v>
      </c>
    </row>
    <row r="510" spans="1:112" ht="33.75">
      <c r="A510" s="1326" t="s">
        <v>3603</v>
      </c>
      <c r="B510" s="1326" t="s">
        <v>1702</v>
      </c>
      <c r="C510" s="1326" t="s">
        <v>2570</v>
      </c>
      <c r="D510" s="1326" t="s">
        <v>2574</v>
      </c>
      <c r="E510" s="1326" t="s">
        <v>1176</v>
      </c>
      <c r="F510" s="1326" t="s">
        <v>2575</v>
      </c>
      <c r="G510" s="1326" t="s">
        <v>2572</v>
      </c>
      <c r="H510" s="1326" t="s">
        <v>2573</v>
      </c>
      <c r="I510" s="1326" t="s">
        <v>1603</v>
      </c>
      <c r="J510" s="1326" t="s">
        <v>1197</v>
      </c>
      <c r="K510" s="1326" t="s">
        <v>2386</v>
      </c>
      <c r="L510" s="1326" t="s">
        <v>2061</v>
      </c>
      <c r="M510" s="1400"/>
      <c r="N510" s="1400"/>
      <c r="O510" s="1400"/>
      <c r="P510" s="1400"/>
      <c r="Q510" s="1400"/>
      <c r="R510" s="1400"/>
      <c r="S510" s="1400"/>
      <c r="T510" s="1400"/>
      <c r="U510" s="1400"/>
      <c r="V510" s="1400"/>
      <c r="W510" s="1400"/>
      <c r="X510" s="1400"/>
      <c r="Y510" s="1685">
        <v>43313</v>
      </c>
      <c r="Z510" s="1326" t="s">
        <v>2096</v>
      </c>
      <c r="AA510" s="1683">
        <v>0</v>
      </c>
      <c r="AB510" s="1683">
        <v>0</v>
      </c>
      <c r="AC510" s="1683">
        <v>0</v>
      </c>
      <c r="AD510" s="1685">
        <v>43333</v>
      </c>
      <c r="AE510" s="1326" t="s">
        <v>2073</v>
      </c>
      <c r="AF510" s="1326" t="s">
        <v>2064</v>
      </c>
      <c r="AG510" s="1410"/>
      <c r="AH510" s="1683">
        <v>0</v>
      </c>
      <c r="AI510" s="1683">
        <v>55000</v>
      </c>
      <c r="AJ510" s="1683">
        <v>55000</v>
      </c>
      <c r="AK510" s="1683">
        <v>50540.54</v>
      </c>
      <c r="AL510" s="1683">
        <v>4459.46</v>
      </c>
      <c r="AM510" s="1682"/>
      <c r="AN510" s="1683">
        <v>0</v>
      </c>
      <c r="AO510" s="1683">
        <v>0</v>
      </c>
      <c r="AP510" s="1683">
        <v>0</v>
      </c>
      <c r="AQ510" s="1683">
        <v>0</v>
      </c>
      <c r="AR510" s="1683">
        <v>0</v>
      </c>
      <c r="AS510" s="1683">
        <v>0</v>
      </c>
      <c r="AT510" s="1683">
        <v>0</v>
      </c>
      <c r="AU510" s="1683">
        <v>0</v>
      </c>
      <c r="AV510" s="1683">
        <v>0</v>
      </c>
      <c r="AW510" s="1683">
        <v>0</v>
      </c>
      <c r="AX510" s="1400"/>
      <c r="AY510" s="1400"/>
      <c r="AZ510" s="1400"/>
      <c r="BA510" s="1682"/>
      <c r="BB510" s="1682"/>
      <c r="BC510" s="1400"/>
      <c r="BD510" s="1400"/>
      <c r="BE510" s="1683">
        <v>0</v>
      </c>
      <c r="BF510" s="1683">
        <v>0</v>
      </c>
      <c r="BG510" s="1683">
        <v>0</v>
      </c>
      <c r="BH510" s="1683">
        <v>0</v>
      </c>
      <c r="BI510" s="1683">
        <v>0</v>
      </c>
      <c r="BJ510" s="1683">
        <v>0</v>
      </c>
      <c r="BK510" s="1683">
        <v>0</v>
      </c>
      <c r="BL510" s="1683">
        <v>0</v>
      </c>
      <c r="BM510" s="1683">
        <v>0</v>
      </c>
      <c r="BN510" s="1683">
        <v>0</v>
      </c>
      <c r="BO510" s="1682"/>
      <c r="BP510" s="1683">
        <v>0</v>
      </c>
      <c r="BQ510" s="1683">
        <v>0</v>
      </c>
      <c r="BR510" s="1683">
        <v>0</v>
      </c>
      <c r="BS510" s="1683">
        <v>0</v>
      </c>
      <c r="BT510" s="1683">
        <v>0</v>
      </c>
      <c r="BU510" s="1683">
        <v>0</v>
      </c>
      <c r="BV510" s="1683">
        <v>0</v>
      </c>
      <c r="BW510" s="1683">
        <v>0</v>
      </c>
      <c r="BX510" s="1683">
        <v>0</v>
      </c>
      <c r="BY510" s="1683">
        <v>0</v>
      </c>
      <c r="BZ510" s="1400"/>
      <c r="CA510" s="1400"/>
      <c r="CB510" s="1682"/>
      <c r="CC510" s="1682"/>
      <c r="CD510" s="1400"/>
      <c r="CE510" s="1400"/>
      <c r="CF510" s="1683">
        <v>0</v>
      </c>
      <c r="CG510" s="1683">
        <v>0</v>
      </c>
      <c r="CH510" s="1683">
        <v>0</v>
      </c>
      <c r="CI510" s="1683">
        <v>0</v>
      </c>
      <c r="CJ510" s="1683">
        <v>0</v>
      </c>
      <c r="CK510" s="1683">
        <v>0</v>
      </c>
      <c r="CL510" s="1682"/>
      <c r="CM510" s="1683">
        <v>0</v>
      </c>
      <c r="CN510" s="1683">
        <v>0</v>
      </c>
      <c r="CO510" s="1683">
        <v>0</v>
      </c>
      <c r="CP510" s="1683">
        <v>0</v>
      </c>
      <c r="CQ510" s="1683">
        <v>0</v>
      </c>
      <c r="CR510" s="1683">
        <v>0</v>
      </c>
      <c r="CS510" s="1683">
        <v>0</v>
      </c>
      <c r="CT510" s="1683">
        <v>0</v>
      </c>
      <c r="CU510" s="1683">
        <v>0</v>
      </c>
      <c r="CV510" s="1683">
        <v>0</v>
      </c>
      <c r="CW510" s="1682"/>
      <c r="CX510" s="1400"/>
      <c r="CY510" s="1400"/>
      <c r="CZ510" s="1400"/>
      <c r="DA510" s="1400"/>
      <c r="DB510" s="1682"/>
      <c r="DC510" s="1326"/>
      <c r="DD510" s="1683">
        <v>0</v>
      </c>
      <c r="DE510" s="1400"/>
      <c r="DF510" s="1400"/>
      <c r="DG510" s="1683">
        <v>0</v>
      </c>
      <c r="DH510" s="1683">
        <v>0</v>
      </c>
    </row>
    <row r="511" spans="1:112" ht="33.75">
      <c r="A511" s="1326" t="s">
        <v>3604</v>
      </c>
      <c r="B511" s="1326" t="s">
        <v>1702</v>
      </c>
      <c r="C511" s="1326" t="s">
        <v>2570</v>
      </c>
      <c r="D511" s="1326" t="s">
        <v>2574</v>
      </c>
      <c r="E511" s="1326" t="s">
        <v>1176</v>
      </c>
      <c r="F511" s="1326" t="s">
        <v>2575</v>
      </c>
      <c r="G511" s="1326" t="s">
        <v>2572</v>
      </c>
      <c r="H511" s="1326" t="s">
        <v>2573</v>
      </c>
      <c r="I511" s="1326" t="s">
        <v>1603</v>
      </c>
      <c r="J511" s="1326" t="s">
        <v>1197</v>
      </c>
      <c r="K511" s="1326" t="s">
        <v>2386</v>
      </c>
      <c r="L511" s="1326" t="s">
        <v>2061</v>
      </c>
      <c r="M511" s="1400"/>
      <c r="N511" s="1400"/>
      <c r="O511" s="1400"/>
      <c r="P511" s="1400"/>
      <c r="Q511" s="1400"/>
      <c r="R511" s="1400"/>
      <c r="S511" s="1400"/>
      <c r="T511" s="1400"/>
      <c r="U511" s="1400"/>
      <c r="V511" s="1400"/>
      <c r="W511" s="1400"/>
      <c r="X511" s="1400"/>
      <c r="Y511" s="1685">
        <v>43364</v>
      </c>
      <c r="Z511" s="1326" t="s">
        <v>2062</v>
      </c>
      <c r="AA511" s="1683">
        <v>0</v>
      </c>
      <c r="AB511" s="1683">
        <v>0</v>
      </c>
      <c r="AC511" s="1683">
        <v>0</v>
      </c>
      <c r="AD511" s="1685">
        <v>43396</v>
      </c>
      <c r="AE511" s="1326" t="s">
        <v>2063</v>
      </c>
      <c r="AF511" s="1326" t="s">
        <v>2064</v>
      </c>
      <c r="AG511" s="1410"/>
      <c r="AH511" s="1683">
        <v>56526.17</v>
      </c>
      <c r="AI511" s="1683">
        <v>56526.17</v>
      </c>
      <c r="AJ511" s="1683">
        <v>52286.7</v>
      </c>
      <c r="AK511" s="1683">
        <v>48047.24</v>
      </c>
      <c r="AL511" s="1683">
        <v>4239.46</v>
      </c>
      <c r="AM511" s="1685">
        <v>43396</v>
      </c>
      <c r="AN511" s="1683">
        <v>56526.17</v>
      </c>
      <c r="AO511" s="1683">
        <v>56526.17</v>
      </c>
      <c r="AP511" s="1683">
        <v>52286.7</v>
      </c>
      <c r="AQ511" s="1683">
        <v>48047.24</v>
      </c>
      <c r="AR511" s="1683">
        <v>4239.46</v>
      </c>
      <c r="AS511" s="1683">
        <v>4239.47</v>
      </c>
      <c r="AT511" s="1683">
        <v>0</v>
      </c>
      <c r="AU511" s="1683">
        <v>4239.47</v>
      </c>
      <c r="AV511" s="1683">
        <v>0</v>
      </c>
      <c r="AW511" s="1683">
        <v>0</v>
      </c>
      <c r="AX511" s="1400"/>
      <c r="AY511" s="1400"/>
      <c r="AZ511" s="1400"/>
      <c r="BA511" s="1682"/>
      <c r="BB511" s="1682"/>
      <c r="BC511" s="1400"/>
      <c r="BD511" s="1400"/>
      <c r="BE511" s="1683">
        <v>56526.17</v>
      </c>
      <c r="BF511" s="1683">
        <v>56526.17</v>
      </c>
      <c r="BG511" s="1683">
        <v>52286.7</v>
      </c>
      <c r="BH511" s="1683">
        <v>48047.24</v>
      </c>
      <c r="BI511" s="1683">
        <v>4239.46</v>
      </c>
      <c r="BJ511" s="1683">
        <v>4239.47</v>
      </c>
      <c r="BK511" s="1683">
        <v>0</v>
      </c>
      <c r="BL511" s="1683">
        <v>4239.47</v>
      </c>
      <c r="BM511" s="1683">
        <v>0</v>
      </c>
      <c r="BN511" s="1683">
        <v>0</v>
      </c>
      <c r="BO511" s="1685">
        <v>43462</v>
      </c>
      <c r="BP511" s="1683">
        <v>56526.17</v>
      </c>
      <c r="BQ511" s="1683">
        <v>56526.17</v>
      </c>
      <c r="BR511" s="1683">
        <v>52286.7</v>
      </c>
      <c r="BS511" s="1683">
        <v>48047.24</v>
      </c>
      <c r="BT511" s="1683">
        <v>4239.46</v>
      </c>
      <c r="BU511" s="1683">
        <v>4239.47</v>
      </c>
      <c r="BV511" s="1683">
        <v>0</v>
      </c>
      <c r="BW511" s="1683">
        <v>0</v>
      </c>
      <c r="BX511" s="1683">
        <v>0</v>
      </c>
      <c r="BY511" s="1683">
        <v>0</v>
      </c>
      <c r="BZ511" s="1683">
        <v>0</v>
      </c>
      <c r="CA511" s="1400"/>
      <c r="CB511" s="1682"/>
      <c r="CC511" s="1682"/>
      <c r="CD511" s="1400"/>
      <c r="CE511" s="1400"/>
      <c r="CF511" s="1683">
        <v>0</v>
      </c>
      <c r="CG511" s="1683">
        <v>0</v>
      </c>
      <c r="CH511" s="1683">
        <v>0</v>
      </c>
      <c r="CI511" s="1683">
        <v>0</v>
      </c>
      <c r="CJ511" s="1683">
        <v>9240.9599999999991</v>
      </c>
      <c r="CK511" s="1683">
        <v>9240.9599999999991</v>
      </c>
      <c r="CL511" s="1682"/>
      <c r="CM511" s="1683">
        <v>0</v>
      </c>
      <c r="CN511" s="1683">
        <v>0</v>
      </c>
      <c r="CO511" s="1683">
        <v>0</v>
      </c>
      <c r="CP511" s="1683">
        <v>0</v>
      </c>
      <c r="CQ511" s="1683">
        <v>0</v>
      </c>
      <c r="CR511" s="1683">
        <v>0</v>
      </c>
      <c r="CS511" s="1683">
        <v>0</v>
      </c>
      <c r="CT511" s="1683">
        <v>0</v>
      </c>
      <c r="CU511" s="1683">
        <v>0</v>
      </c>
      <c r="CV511" s="1683">
        <v>0</v>
      </c>
      <c r="CW511" s="1682"/>
      <c r="CX511" s="1400"/>
      <c r="CY511" s="1400"/>
      <c r="CZ511" s="1400"/>
      <c r="DA511" s="1400"/>
      <c r="DB511" s="1682"/>
      <c r="DC511" s="1326"/>
      <c r="DD511" s="1683">
        <v>0</v>
      </c>
      <c r="DE511" s="1400"/>
      <c r="DF511" s="1400"/>
      <c r="DG511" s="1683">
        <v>0</v>
      </c>
      <c r="DH511" s="1683">
        <v>0</v>
      </c>
    </row>
    <row r="512" spans="1:112" ht="33.75">
      <c r="A512" s="1326" t="s">
        <v>3605</v>
      </c>
      <c r="B512" s="1326" t="s">
        <v>1702</v>
      </c>
      <c r="C512" s="1326" t="s">
        <v>2570</v>
      </c>
      <c r="D512" s="1326" t="s">
        <v>2574</v>
      </c>
      <c r="E512" s="1326" t="s">
        <v>1176</v>
      </c>
      <c r="F512" s="1326" t="s">
        <v>2575</v>
      </c>
      <c r="G512" s="1326" t="s">
        <v>2572</v>
      </c>
      <c r="H512" s="1326" t="s">
        <v>2573</v>
      </c>
      <c r="I512" s="1326" t="s">
        <v>1603</v>
      </c>
      <c r="J512" s="1326" t="s">
        <v>1197</v>
      </c>
      <c r="K512" s="1326" t="s">
        <v>2386</v>
      </c>
      <c r="L512" s="1326" t="s">
        <v>2061</v>
      </c>
      <c r="M512" s="1400"/>
      <c r="N512" s="1400"/>
      <c r="O512" s="1400"/>
      <c r="P512" s="1400"/>
      <c r="Q512" s="1400"/>
      <c r="R512" s="1400"/>
      <c r="S512" s="1400"/>
      <c r="T512" s="1400"/>
      <c r="U512" s="1400"/>
      <c r="V512" s="1400"/>
      <c r="W512" s="1400"/>
      <c r="X512" s="1400"/>
      <c r="Y512" s="1685">
        <v>43427</v>
      </c>
      <c r="Z512" s="1326" t="s">
        <v>2062</v>
      </c>
      <c r="AA512" s="1683">
        <v>0</v>
      </c>
      <c r="AB512" s="1683">
        <v>0</v>
      </c>
      <c r="AC512" s="1683">
        <v>0</v>
      </c>
      <c r="AD512" s="1685">
        <v>43462</v>
      </c>
      <c r="AE512" s="1326" t="s">
        <v>2066</v>
      </c>
      <c r="AF512" s="1326" t="s">
        <v>2064</v>
      </c>
      <c r="AG512" s="1410"/>
      <c r="AH512" s="1683">
        <v>14055.55</v>
      </c>
      <c r="AI512" s="1683">
        <v>14055.55</v>
      </c>
      <c r="AJ512" s="1683">
        <v>13001.39</v>
      </c>
      <c r="AK512" s="1683">
        <v>11947.22</v>
      </c>
      <c r="AL512" s="1683">
        <v>1054.17</v>
      </c>
      <c r="AM512" s="1685">
        <v>43462</v>
      </c>
      <c r="AN512" s="1683">
        <v>14055.55</v>
      </c>
      <c r="AO512" s="1683">
        <v>14055.55</v>
      </c>
      <c r="AP512" s="1683">
        <v>13001.39</v>
      </c>
      <c r="AQ512" s="1683">
        <v>11947.22</v>
      </c>
      <c r="AR512" s="1683">
        <v>1054.17</v>
      </c>
      <c r="AS512" s="1683">
        <v>1054.1600000000001</v>
      </c>
      <c r="AT512" s="1683">
        <v>0</v>
      </c>
      <c r="AU512" s="1683">
        <v>1054.1600000000001</v>
      </c>
      <c r="AV512" s="1683">
        <v>0</v>
      </c>
      <c r="AW512" s="1683">
        <v>0</v>
      </c>
      <c r="AX512" s="1400"/>
      <c r="AY512" s="1400"/>
      <c r="AZ512" s="1400"/>
      <c r="BA512" s="1682"/>
      <c r="BB512" s="1682"/>
      <c r="BC512" s="1400"/>
      <c r="BD512" s="1400"/>
      <c r="BE512" s="1683">
        <v>14055.55</v>
      </c>
      <c r="BF512" s="1683">
        <v>14055.55</v>
      </c>
      <c r="BG512" s="1683">
        <v>13001.39</v>
      </c>
      <c r="BH512" s="1683">
        <v>11947.22</v>
      </c>
      <c r="BI512" s="1683">
        <v>1054.17</v>
      </c>
      <c r="BJ512" s="1683">
        <v>1054.1600000000001</v>
      </c>
      <c r="BK512" s="1683">
        <v>0</v>
      </c>
      <c r="BL512" s="1683">
        <v>1054.1600000000001</v>
      </c>
      <c r="BM512" s="1683">
        <v>0</v>
      </c>
      <c r="BN512" s="1683">
        <v>0</v>
      </c>
      <c r="BO512" s="1682"/>
      <c r="BP512" s="1683">
        <v>0</v>
      </c>
      <c r="BQ512" s="1683">
        <v>0</v>
      </c>
      <c r="BR512" s="1683">
        <v>0</v>
      </c>
      <c r="BS512" s="1683">
        <v>0</v>
      </c>
      <c r="BT512" s="1683">
        <v>0</v>
      </c>
      <c r="BU512" s="1683">
        <v>0</v>
      </c>
      <c r="BV512" s="1683">
        <v>0</v>
      </c>
      <c r="BW512" s="1683">
        <v>0</v>
      </c>
      <c r="BX512" s="1683">
        <v>0</v>
      </c>
      <c r="BY512" s="1683">
        <v>0</v>
      </c>
      <c r="BZ512" s="1683">
        <v>0</v>
      </c>
      <c r="CA512" s="1400"/>
      <c r="CB512" s="1682"/>
      <c r="CC512" s="1682"/>
      <c r="CD512" s="1400"/>
      <c r="CE512" s="1400"/>
      <c r="CF512" s="1683">
        <v>0</v>
      </c>
      <c r="CG512" s="1683">
        <v>0</v>
      </c>
      <c r="CH512" s="1683">
        <v>0</v>
      </c>
      <c r="CI512" s="1683">
        <v>0</v>
      </c>
      <c r="CJ512" s="1683">
        <v>0</v>
      </c>
      <c r="CK512" s="1683">
        <v>0</v>
      </c>
      <c r="CL512" s="1682"/>
      <c r="CM512" s="1683">
        <v>0</v>
      </c>
      <c r="CN512" s="1683">
        <v>0</v>
      </c>
      <c r="CO512" s="1683">
        <v>0</v>
      </c>
      <c r="CP512" s="1683">
        <v>0</v>
      </c>
      <c r="CQ512" s="1683">
        <v>0</v>
      </c>
      <c r="CR512" s="1683">
        <v>0</v>
      </c>
      <c r="CS512" s="1683">
        <v>0</v>
      </c>
      <c r="CT512" s="1683">
        <v>0</v>
      </c>
      <c r="CU512" s="1683">
        <v>0</v>
      </c>
      <c r="CV512" s="1683">
        <v>0</v>
      </c>
      <c r="CW512" s="1682"/>
      <c r="CX512" s="1400"/>
      <c r="CY512" s="1400"/>
      <c r="CZ512" s="1400"/>
      <c r="DA512" s="1400"/>
      <c r="DB512" s="1682"/>
      <c r="DC512" s="1326"/>
      <c r="DD512" s="1683">
        <v>0</v>
      </c>
      <c r="DE512" s="1400"/>
      <c r="DF512" s="1400"/>
      <c r="DG512" s="1683">
        <v>0</v>
      </c>
      <c r="DH512" s="1683">
        <v>0</v>
      </c>
    </row>
    <row r="513" spans="1:112" ht="33.75">
      <c r="A513" s="1326" t="s">
        <v>3606</v>
      </c>
      <c r="B513" s="1326" t="s">
        <v>1702</v>
      </c>
      <c r="C513" s="1326" t="s">
        <v>2570</v>
      </c>
      <c r="D513" s="1326" t="s">
        <v>2574</v>
      </c>
      <c r="E513" s="1326" t="s">
        <v>1176</v>
      </c>
      <c r="F513" s="1326" t="s">
        <v>2575</v>
      </c>
      <c r="G513" s="1326" t="s">
        <v>2572</v>
      </c>
      <c r="H513" s="1326" t="s">
        <v>2573</v>
      </c>
      <c r="I513" s="1326" t="s">
        <v>1604</v>
      </c>
      <c r="J513" s="1326" t="s">
        <v>2389</v>
      </c>
      <c r="K513" s="1326" t="s">
        <v>2390</v>
      </c>
      <c r="L513" s="1326" t="s">
        <v>2061</v>
      </c>
      <c r="M513" s="1683">
        <v>198997.18</v>
      </c>
      <c r="N513" s="1683">
        <v>0</v>
      </c>
      <c r="O513" s="1683">
        <v>198997.18</v>
      </c>
      <c r="P513" s="1683">
        <v>198997.18</v>
      </c>
      <c r="Q513" s="1683">
        <v>184072.39</v>
      </c>
      <c r="R513" s="1683">
        <v>169147.6</v>
      </c>
      <c r="S513" s="1683">
        <v>14924.79</v>
      </c>
      <c r="T513" s="1683">
        <v>14924.79</v>
      </c>
      <c r="U513" s="1683">
        <v>0</v>
      </c>
      <c r="V513" s="1683">
        <v>14924.79</v>
      </c>
      <c r="W513" s="1683">
        <v>0</v>
      </c>
      <c r="X513" s="1683">
        <v>0</v>
      </c>
      <c r="Y513" s="1682"/>
      <c r="Z513" s="1326"/>
      <c r="AA513" s="1683">
        <v>0</v>
      </c>
      <c r="AB513" s="1683">
        <v>0</v>
      </c>
      <c r="AC513" s="1683">
        <v>0</v>
      </c>
      <c r="AD513" s="1682"/>
      <c r="AE513" s="1326"/>
      <c r="AF513" s="1326"/>
      <c r="AG513" s="1410"/>
      <c r="AH513" s="1683">
        <v>26305.31</v>
      </c>
      <c r="AI513" s="1683">
        <v>38409.06</v>
      </c>
      <c r="AJ513" s="1683">
        <v>36436.160000000003</v>
      </c>
      <c r="AK513" s="1683">
        <v>33481.870000000003</v>
      </c>
      <c r="AL513" s="1683">
        <v>2954.29</v>
      </c>
      <c r="AM513" s="1682"/>
      <c r="AN513" s="1683">
        <v>26305.31</v>
      </c>
      <c r="AO513" s="1683">
        <v>26305.31</v>
      </c>
      <c r="AP513" s="1683">
        <v>24332.41</v>
      </c>
      <c r="AQ513" s="1683">
        <v>22359.51</v>
      </c>
      <c r="AR513" s="1683">
        <v>1972.9</v>
      </c>
      <c r="AS513" s="1683">
        <v>1972.9</v>
      </c>
      <c r="AT513" s="1683">
        <v>0</v>
      </c>
      <c r="AU513" s="1683">
        <v>1972.9</v>
      </c>
      <c r="AV513" s="1683">
        <v>0</v>
      </c>
      <c r="AW513" s="1683">
        <v>0</v>
      </c>
      <c r="AX513" s="1683">
        <v>0</v>
      </c>
      <c r="AY513" s="1683">
        <v>0</v>
      </c>
      <c r="AZ513" s="1683">
        <v>0</v>
      </c>
      <c r="BA513" s="1682"/>
      <c r="BB513" s="1682"/>
      <c r="BC513" s="1683">
        <v>0</v>
      </c>
      <c r="BD513" s="1683">
        <v>0</v>
      </c>
      <c r="BE513" s="1683">
        <v>26305.31</v>
      </c>
      <c r="BF513" s="1683">
        <v>26305.31</v>
      </c>
      <c r="BG513" s="1683">
        <v>24332.41</v>
      </c>
      <c r="BH513" s="1683">
        <v>22359.51</v>
      </c>
      <c r="BI513" s="1683">
        <v>1972.9</v>
      </c>
      <c r="BJ513" s="1683">
        <v>1972.9</v>
      </c>
      <c r="BK513" s="1683">
        <v>0</v>
      </c>
      <c r="BL513" s="1683">
        <v>1972.9</v>
      </c>
      <c r="BM513" s="1683">
        <v>0</v>
      </c>
      <c r="BN513" s="1683">
        <v>0</v>
      </c>
      <c r="BO513" s="1682"/>
      <c r="BP513" s="1683">
        <v>8196.86</v>
      </c>
      <c r="BQ513" s="1683">
        <v>8196.86</v>
      </c>
      <c r="BR513" s="1683">
        <v>7582.09</v>
      </c>
      <c r="BS513" s="1683">
        <v>6967.33</v>
      </c>
      <c r="BT513" s="1683">
        <v>614.76</v>
      </c>
      <c r="BU513" s="1683">
        <v>614.77</v>
      </c>
      <c r="BV513" s="1683">
        <v>0</v>
      </c>
      <c r="BW513" s="1683">
        <v>0</v>
      </c>
      <c r="BX513" s="1683">
        <v>0</v>
      </c>
      <c r="BY513" s="1683">
        <v>0</v>
      </c>
      <c r="BZ513" s="1683">
        <v>0</v>
      </c>
      <c r="CA513" s="1683">
        <v>0</v>
      </c>
      <c r="CB513" s="1682"/>
      <c r="CC513" s="1682"/>
      <c r="CD513" s="1683">
        <v>0</v>
      </c>
      <c r="CE513" s="1683">
        <v>0</v>
      </c>
      <c r="CF513" s="1683">
        <v>0</v>
      </c>
      <c r="CG513" s="1683">
        <v>0</v>
      </c>
      <c r="CH513" s="1683">
        <v>0</v>
      </c>
      <c r="CI513" s="1683">
        <v>0</v>
      </c>
      <c r="CJ513" s="1683">
        <v>1046.77</v>
      </c>
      <c r="CK513" s="1683">
        <v>1046.77</v>
      </c>
      <c r="CL513" s="1682"/>
      <c r="CM513" s="1683">
        <v>0</v>
      </c>
      <c r="CN513" s="1683">
        <v>0</v>
      </c>
      <c r="CO513" s="1683">
        <v>0</v>
      </c>
      <c r="CP513" s="1683">
        <v>0</v>
      </c>
      <c r="CQ513" s="1683">
        <v>0</v>
      </c>
      <c r="CR513" s="1683">
        <v>0</v>
      </c>
      <c r="CS513" s="1683">
        <v>0</v>
      </c>
      <c r="CT513" s="1683">
        <v>0</v>
      </c>
      <c r="CU513" s="1683">
        <v>0</v>
      </c>
      <c r="CV513" s="1683">
        <v>0</v>
      </c>
      <c r="CW513" s="1682"/>
      <c r="CX513" s="1683">
        <v>0</v>
      </c>
      <c r="CY513" s="1683">
        <v>0</v>
      </c>
      <c r="CZ513" s="1683">
        <v>0</v>
      </c>
      <c r="DA513" s="1683">
        <v>0</v>
      </c>
      <c r="DB513" s="1682"/>
      <c r="DC513" s="1326"/>
      <c r="DD513" s="1683">
        <v>8437.2000000000007</v>
      </c>
      <c r="DE513" s="1683">
        <v>0</v>
      </c>
      <c r="DF513" s="1683">
        <v>0</v>
      </c>
      <c r="DG513" s="1683">
        <v>0</v>
      </c>
      <c r="DH513" s="1683">
        <v>0</v>
      </c>
    </row>
    <row r="514" spans="1:112" ht="33.75">
      <c r="A514" s="1326" t="s">
        <v>3607</v>
      </c>
      <c r="B514" s="1326" t="s">
        <v>1702</v>
      </c>
      <c r="C514" s="1326" t="s">
        <v>2570</v>
      </c>
      <c r="D514" s="1326" t="s">
        <v>2574</v>
      </c>
      <c r="E514" s="1326" t="s">
        <v>1176</v>
      </c>
      <c r="F514" s="1326" t="s">
        <v>2575</v>
      </c>
      <c r="G514" s="1326" t="s">
        <v>2572</v>
      </c>
      <c r="H514" s="1326" t="s">
        <v>2573</v>
      </c>
      <c r="I514" s="1326" t="s">
        <v>1604</v>
      </c>
      <c r="J514" s="1326" t="s">
        <v>2389</v>
      </c>
      <c r="K514" s="1326" t="s">
        <v>2390</v>
      </c>
      <c r="L514" s="1326" t="s">
        <v>2061</v>
      </c>
      <c r="M514" s="1400"/>
      <c r="N514" s="1400"/>
      <c r="O514" s="1400"/>
      <c r="P514" s="1400"/>
      <c r="Q514" s="1400"/>
      <c r="R514" s="1400"/>
      <c r="S514" s="1400"/>
      <c r="T514" s="1400"/>
      <c r="U514" s="1400"/>
      <c r="V514" s="1400"/>
      <c r="W514" s="1400"/>
      <c r="X514" s="1400"/>
      <c r="Y514" s="1685">
        <v>43332</v>
      </c>
      <c r="Z514" s="1326" t="s">
        <v>2096</v>
      </c>
      <c r="AA514" s="1683">
        <v>0</v>
      </c>
      <c r="AB514" s="1683">
        <v>0</v>
      </c>
      <c r="AC514" s="1683">
        <v>0</v>
      </c>
      <c r="AD514" s="1685">
        <v>43348</v>
      </c>
      <c r="AE514" s="1326" t="s">
        <v>2073</v>
      </c>
      <c r="AF514" s="1326" t="s">
        <v>2064</v>
      </c>
      <c r="AG514" s="1410"/>
      <c r="AH514" s="1683">
        <v>0</v>
      </c>
      <c r="AI514" s="1683">
        <v>12103.75</v>
      </c>
      <c r="AJ514" s="1683">
        <v>12103.75</v>
      </c>
      <c r="AK514" s="1683">
        <v>11122.36</v>
      </c>
      <c r="AL514" s="1683">
        <v>981.39</v>
      </c>
      <c r="AM514" s="1682"/>
      <c r="AN514" s="1683">
        <v>0</v>
      </c>
      <c r="AO514" s="1683">
        <v>0</v>
      </c>
      <c r="AP514" s="1683">
        <v>0</v>
      </c>
      <c r="AQ514" s="1683">
        <v>0</v>
      </c>
      <c r="AR514" s="1683">
        <v>0</v>
      </c>
      <c r="AS514" s="1683">
        <v>0</v>
      </c>
      <c r="AT514" s="1683">
        <v>0</v>
      </c>
      <c r="AU514" s="1683">
        <v>0</v>
      </c>
      <c r="AV514" s="1683">
        <v>0</v>
      </c>
      <c r="AW514" s="1683">
        <v>0</v>
      </c>
      <c r="AX514" s="1400"/>
      <c r="AY514" s="1400"/>
      <c r="AZ514" s="1400"/>
      <c r="BA514" s="1682"/>
      <c r="BB514" s="1682"/>
      <c r="BC514" s="1400"/>
      <c r="BD514" s="1400"/>
      <c r="BE514" s="1683">
        <v>0</v>
      </c>
      <c r="BF514" s="1683">
        <v>0</v>
      </c>
      <c r="BG514" s="1683">
        <v>0</v>
      </c>
      <c r="BH514" s="1683">
        <v>0</v>
      </c>
      <c r="BI514" s="1683">
        <v>0</v>
      </c>
      <c r="BJ514" s="1683">
        <v>0</v>
      </c>
      <c r="BK514" s="1683">
        <v>0</v>
      </c>
      <c r="BL514" s="1683">
        <v>0</v>
      </c>
      <c r="BM514" s="1683">
        <v>0</v>
      </c>
      <c r="BN514" s="1683">
        <v>0</v>
      </c>
      <c r="BO514" s="1682"/>
      <c r="BP514" s="1683">
        <v>0</v>
      </c>
      <c r="BQ514" s="1683">
        <v>0</v>
      </c>
      <c r="BR514" s="1683">
        <v>0</v>
      </c>
      <c r="BS514" s="1683">
        <v>0</v>
      </c>
      <c r="BT514" s="1683">
        <v>0</v>
      </c>
      <c r="BU514" s="1683">
        <v>0</v>
      </c>
      <c r="BV514" s="1683">
        <v>0</v>
      </c>
      <c r="BW514" s="1683">
        <v>0</v>
      </c>
      <c r="BX514" s="1683">
        <v>0</v>
      </c>
      <c r="BY514" s="1683">
        <v>0</v>
      </c>
      <c r="BZ514" s="1400"/>
      <c r="CA514" s="1400"/>
      <c r="CB514" s="1682"/>
      <c r="CC514" s="1682"/>
      <c r="CD514" s="1400"/>
      <c r="CE514" s="1400"/>
      <c r="CF514" s="1683">
        <v>0</v>
      </c>
      <c r="CG514" s="1683">
        <v>0</v>
      </c>
      <c r="CH514" s="1683">
        <v>0</v>
      </c>
      <c r="CI514" s="1683">
        <v>0</v>
      </c>
      <c r="CJ514" s="1683">
        <v>0</v>
      </c>
      <c r="CK514" s="1683">
        <v>0</v>
      </c>
      <c r="CL514" s="1682"/>
      <c r="CM514" s="1683">
        <v>0</v>
      </c>
      <c r="CN514" s="1683">
        <v>0</v>
      </c>
      <c r="CO514" s="1683">
        <v>0</v>
      </c>
      <c r="CP514" s="1683">
        <v>0</v>
      </c>
      <c r="CQ514" s="1683">
        <v>0</v>
      </c>
      <c r="CR514" s="1683">
        <v>0</v>
      </c>
      <c r="CS514" s="1683">
        <v>0</v>
      </c>
      <c r="CT514" s="1683">
        <v>0</v>
      </c>
      <c r="CU514" s="1683">
        <v>0</v>
      </c>
      <c r="CV514" s="1683">
        <v>0</v>
      </c>
      <c r="CW514" s="1682"/>
      <c r="CX514" s="1400"/>
      <c r="CY514" s="1400"/>
      <c r="CZ514" s="1400"/>
      <c r="DA514" s="1400"/>
      <c r="DB514" s="1682"/>
      <c r="DC514" s="1326"/>
      <c r="DD514" s="1683">
        <v>0</v>
      </c>
      <c r="DE514" s="1400"/>
      <c r="DF514" s="1400"/>
      <c r="DG514" s="1683">
        <v>0</v>
      </c>
      <c r="DH514" s="1683">
        <v>0</v>
      </c>
    </row>
    <row r="515" spans="1:112" ht="33.75">
      <c r="A515" s="1326" t="s">
        <v>3608</v>
      </c>
      <c r="B515" s="1326" t="s">
        <v>1702</v>
      </c>
      <c r="C515" s="1326" t="s">
        <v>2570</v>
      </c>
      <c r="D515" s="1326" t="s">
        <v>2574</v>
      </c>
      <c r="E515" s="1326" t="s">
        <v>1176</v>
      </c>
      <c r="F515" s="1326" t="s">
        <v>2575</v>
      </c>
      <c r="G515" s="1326" t="s">
        <v>2572</v>
      </c>
      <c r="H515" s="1326" t="s">
        <v>2573</v>
      </c>
      <c r="I515" s="1326" t="s">
        <v>1604</v>
      </c>
      <c r="J515" s="1326" t="s">
        <v>2389</v>
      </c>
      <c r="K515" s="1326" t="s">
        <v>2390</v>
      </c>
      <c r="L515" s="1326" t="s">
        <v>2061</v>
      </c>
      <c r="M515" s="1400"/>
      <c r="N515" s="1400"/>
      <c r="O515" s="1400"/>
      <c r="P515" s="1400"/>
      <c r="Q515" s="1400"/>
      <c r="R515" s="1400"/>
      <c r="S515" s="1400"/>
      <c r="T515" s="1400"/>
      <c r="U515" s="1400"/>
      <c r="V515" s="1400"/>
      <c r="W515" s="1400"/>
      <c r="X515" s="1400"/>
      <c r="Y515" s="1685">
        <v>43374</v>
      </c>
      <c r="Z515" s="1326" t="s">
        <v>2062</v>
      </c>
      <c r="AA515" s="1683">
        <v>0</v>
      </c>
      <c r="AB515" s="1683">
        <v>0</v>
      </c>
      <c r="AC515" s="1683">
        <v>0</v>
      </c>
      <c r="AD515" s="1685">
        <v>43398</v>
      </c>
      <c r="AE515" s="1326" t="s">
        <v>2063</v>
      </c>
      <c r="AF515" s="1326" t="s">
        <v>2064</v>
      </c>
      <c r="AG515" s="1410"/>
      <c r="AH515" s="1683">
        <v>8196.86</v>
      </c>
      <c r="AI515" s="1683">
        <v>8196.86</v>
      </c>
      <c r="AJ515" s="1683">
        <v>7582.09</v>
      </c>
      <c r="AK515" s="1683">
        <v>6967.33</v>
      </c>
      <c r="AL515" s="1683">
        <v>614.76</v>
      </c>
      <c r="AM515" s="1685">
        <v>43398</v>
      </c>
      <c r="AN515" s="1683">
        <v>8196.86</v>
      </c>
      <c r="AO515" s="1683">
        <v>8196.86</v>
      </c>
      <c r="AP515" s="1683">
        <v>7582.09</v>
      </c>
      <c r="AQ515" s="1683">
        <v>6967.33</v>
      </c>
      <c r="AR515" s="1683">
        <v>614.76</v>
      </c>
      <c r="AS515" s="1683">
        <v>614.77</v>
      </c>
      <c r="AT515" s="1683">
        <v>0</v>
      </c>
      <c r="AU515" s="1683">
        <v>614.77</v>
      </c>
      <c r="AV515" s="1683">
        <v>0</v>
      </c>
      <c r="AW515" s="1683">
        <v>0</v>
      </c>
      <c r="AX515" s="1400"/>
      <c r="AY515" s="1400"/>
      <c r="AZ515" s="1400"/>
      <c r="BA515" s="1682"/>
      <c r="BB515" s="1682"/>
      <c r="BC515" s="1400"/>
      <c r="BD515" s="1400"/>
      <c r="BE515" s="1683">
        <v>8196.86</v>
      </c>
      <c r="BF515" s="1683">
        <v>8196.86</v>
      </c>
      <c r="BG515" s="1683">
        <v>7582.09</v>
      </c>
      <c r="BH515" s="1683">
        <v>6967.33</v>
      </c>
      <c r="BI515" s="1683">
        <v>614.76</v>
      </c>
      <c r="BJ515" s="1683">
        <v>614.77</v>
      </c>
      <c r="BK515" s="1683">
        <v>0</v>
      </c>
      <c r="BL515" s="1683">
        <v>614.77</v>
      </c>
      <c r="BM515" s="1683">
        <v>0</v>
      </c>
      <c r="BN515" s="1683">
        <v>0</v>
      </c>
      <c r="BO515" s="1685">
        <v>43462</v>
      </c>
      <c r="BP515" s="1683">
        <v>8196.86</v>
      </c>
      <c r="BQ515" s="1683">
        <v>8196.86</v>
      </c>
      <c r="BR515" s="1683">
        <v>7582.09</v>
      </c>
      <c r="BS515" s="1683">
        <v>6967.33</v>
      </c>
      <c r="BT515" s="1683">
        <v>614.76</v>
      </c>
      <c r="BU515" s="1683">
        <v>614.77</v>
      </c>
      <c r="BV515" s="1683">
        <v>0</v>
      </c>
      <c r="BW515" s="1683">
        <v>0</v>
      </c>
      <c r="BX515" s="1683">
        <v>0</v>
      </c>
      <c r="BY515" s="1683">
        <v>0</v>
      </c>
      <c r="BZ515" s="1683">
        <v>0</v>
      </c>
      <c r="CA515" s="1400"/>
      <c r="CB515" s="1682"/>
      <c r="CC515" s="1682"/>
      <c r="CD515" s="1400"/>
      <c r="CE515" s="1400"/>
      <c r="CF515" s="1683">
        <v>0</v>
      </c>
      <c r="CG515" s="1683">
        <v>0</v>
      </c>
      <c r="CH515" s="1683">
        <v>0</v>
      </c>
      <c r="CI515" s="1683">
        <v>0</v>
      </c>
      <c r="CJ515" s="1683">
        <v>1046.77</v>
      </c>
      <c r="CK515" s="1683">
        <v>1046.77</v>
      </c>
      <c r="CL515" s="1682"/>
      <c r="CM515" s="1683">
        <v>0</v>
      </c>
      <c r="CN515" s="1683">
        <v>0</v>
      </c>
      <c r="CO515" s="1683">
        <v>0</v>
      </c>
      <c r="CP515" s="1683">
        <v>0</v>
      </c>
      <c r="CQ515" s="1683">
        <v>0</v>
      </c>
      <c r="CR515" s="1683">
        <v>0</v>
      </c>
      <c r="CS515" s="1683">
        <v>0</v>
      </c>
      <c r="CT515" s="1683">
        <v>0</v>
      </c>
      <c r="CU515" s="1683">
        <v>0</v>
      </c>
      <c r="CV515" s="1683">
        <v>0</v>
      </c>
      <c r="CW515" s="1682"/>
      <c r="CX515" s="1400"/>
      <c r="CY515" s="1400"/>
      <c r="CZ515" s="1400"/>
      <c r="DA515" s="1400"/>
      <c r="DB515" s="1682"/>
      <c r="DC515" s="1326"/>
      <c r="DD515" s="1683">
        <v>0</v>
      </c>
      <c r="DE515" s="1400"/>
      <c r="DF515" s="1400"/>
      <c r="DG515" s="1683">
        <v>0</v>
      </c>
      <c r="DH515" s="1683">
        <v>0</v>
      </c>
    </row>
    <row r="516" spans="1:112" ht="33.75">
      <c r="A516" s="1326" t="s">
        <v>3609</v>
      </c>
      <c r="B516" s="1326" t="s">
        <v>1702</v>
      </c>
      <c r="C516" s="1326" t="s">
        <v>2570</v>
      </c>
      <c r="D516" s="1326" t="s">
        <v>2574</v>
      </c>
      <c r="E516" s="1326" t="s">
        <v>1176</v>
      </c>
      <c r="F516" s="1326" t="s">
        <v>2575</v>
      </c>
      <c r="G516" s="1326" t="s">
        <v>2572</v>
      </c>
      <c r="H516" s="1326" t="s">
        <v>2573</v>
      </c>
      <c r="I516" s="1326" t="s">
        <v>1604</v>
      </c>
      <c r="J516" s="1326" t="s">
        <v>2389</v>
      </c>
      <c r="K516" s="1326" t="s">
        <v>2390</v>
      </c>
      <c r="L516" s="1326" t="s">
        <v>2061</v>
      </c>
      <c r="M516" s="1400"/>
      <c r="N516" s="1400"/>
      <c r="O516" s="1400"/>
      <c r="P516" s="1400"/>
      <c r="Q516" s="1400"/>
      <c r="R516" s="1400"/>
      <c r="S516" s="1400"/>
      <c r="T516" s="1400"/>
      <c r="U516" s="1400"/>
      <c r="V516" s="1400"/>
      <c r="W516" s="1400"/>
      <c r="X516" s="1400"/>
      <c r="Y516" s="1685">
        <v>43489</v>
      </c>
      <c r="Z516" s="1326" t="s">
        <v>2062</v>
      </c>
      <c r="AA516" s="1683">
        <v>0</v>
      </c>
      <c r="AB516" s="1683">
        <v>0</v>
      </c>
      <c r="AC516" s="1683">
        <v>0</v>
      </c>
      <c r="AD516" s="1685">
        <v>43516</v>
      </c>
      <c r="AE516" s="1326" t="s">
        <v>2079</v>
      </c>
      <c r="AF516" s="1326" t="s">
        <v>2067</v>
      </c>
      <c r="AG516" s="1410"/>
      <c r="AH516" s="1683">
        <v>5200.07</v>
      </c>
      <c r="AI516" s="1683">
        <v>5200.07</v>
      </c>
      <c r="AJ516" s="1683">
        <v>4810.07</v>
      </c>
      <c r="AK516" s="1683">
        <v>4420.0600000000004</v>
      </c>
      <c r="AL516" s="1683">
        <v>390.01</v>
      </c>
      <c r="AM516" s="1685">
        <v>43517</v>
      </c>
      <c r="AN516" s="1683">
        <v>5200.07</v>
      </c>
      <c r="AO516" s="1683">
        <v>5200.07</v>
      </c>
      <c r="AP516" s="1683">
        <v>4810.07</v>
      </c>
      <c r="AQ516" s="1683">
        <v>4420.0600000000004</v>
      </c>
      <c r="AR516" s="1683">
        <v>390.01</v>
      </c>
      <c r="AS516" s="1683">
        <v>390</v>
      </c>
      <c r="AT516" s="1683">
        <v>0</v>
      </c>
      <c r="AU516" s="1683">
        <v>390</v>
      </c>
      <c r="AV516" s="1683">
        <v>0</v>
      </c>
      <c r="AW516" s="1683">
        <v>0</v>
      </c>
      <c r="AX516" s="1400"/>
      <c r="AY516" s="1400"/>
      <c r="AZ516" s="1400"/>
      <c r="BA516" s="1682"/>
      <c r="BB516" s="1682"/>
      <c r="BC516" s="1400"/>
      <c r="BD516" s="1400"/>
      <c r="BE516" s="1683">
        <v>5200.07</v>
      </c>
      <c r="BF516" s="1683">
        <v>5200.07</v>
      </c>
      <c r="BG516" s="1683">
        <v>4810.07</v>
      </c>
      <c r="BH516" s="1683">
        <v>4420.0600000000004</v>
      </c>
      <c r="BI516" s="1683">
        <v>390.01</v>
      </c>
      <c r="BJ516" s="1683">
        <v>390</v>
      </c>
      <c r="BK516" s="1683">
        <v>0</v>
      </c>
      <c r="BL516" s="1683">
        <v>390</v>
      </c>
      <c r="BM516" s="1683">
        <v>0</v>
      </c>
      <c r="BN516" s="1683">
        <v>0</v>
      </c>
      <c r="BO516" s="1682"/>
      <c r="BP516" s="1683">
        <v>0</v>
      </c>
      <c r="BQ516" s="1683">
        <v>0</v>
      </c>
      <c r="BR516" s="1683">
        <v>0</v>
      </c>
      <c r="BS516" s="1683">
        <v>0</v>
      </c>
      <c r="BT516" s="1683">
        <v>0</v>
      </c>
      <c r="BU516" s="1683">
        <v>0</v>
      </c>
      <c r="BV516" s="1683">
        <v>0</v>
      </c>
      <c r="BW516" s="1683">
        <v>0</v>
      </c>
      <c r="BX516" s="1683">
        <v>0</v>
      </c>
      <c r="BY516" s="1683">
        <v>0</v>
      </c>
      <c r="BZ516" s="1400"/>
      <c r="CA516" s="1400"/>
      <c r="CB516" s="1682"/>
      <c r="CC516" s="1682"/>
      <c r="CD516" s="1400"/>
      <c r="CE516" s="1400"/>
      <c r="CF516" s="1683">
        <v>0</v>
      </c>
      <c r="CG516" s="1683">
        <v>0</v>
      </c>
      <c r="CH516" s="1683">
        <v>0</v>
      </c>
      <c r="CI516" s="1683">
        <v>0</v>
      </c>
      <c r="CJ516" s="1683">
        <v>0</v>
      </c>
      <c r="CK516" s="1683">
        <v>0</v>
      </c>
      <c r="CL516" s="1682"/>
      <c r="CM516" s="1683">
        <v>0</v>
      </c>
      <c r="CN516" s="1683">
        <v>0</v>
      </c>
      <c r="CO516" s="1683">
        <v>0</v>
      </c>
      <c r="CP516" s="1683">
        <v>0</v>
      </c>
      <c r="CQ516" s="1683">
        <v>0</v>
      </c>
      <c r="CR516" s="1683">
        <v>0</v>
      </c>
      <c r="CS516" s="1683">
        <v>0</v>
      </c>
      <c r="CT516" s="1683">
        <v>0</v>
      </c>
      <c r="CU516" s="1683">
        <v>0</v>
      </c>
      <c r="CV516" s="1683">
        <v>0</v>
      </c>
      <c r="CW516" s="1682"/>
      <c r="CX516" s="1400"/>
      <c r="CY516" s="1400"/>
      <c r="CZ516" s="1400"/>
      <c r="DA516" s="1400"/>
      <c r="DB516" s="1682"/>
      <c r="DC516" s="1326"/>
      <c r="DD516" s="1683">
        <v>0</v>
      </c>
      <c r="DE516" s="1400"/>
      <c r="DF516" s="1400"/>
      <c r="DG516" s="1683">
        <v>0</v>
      </c>
      <c r="DH516" s="1683">
        <v>0</v>
      </c>
    </row>
    <row r="517" spans="1:112" ht="33.75">
      <c r="A517" s="1326" t="s">
        <v>3610</v>
      </c>
      <c r="B517" s="1326" t="s">
        <v>1702</v>
      </c>
      <c r="C517" s="1326" t="s">
        <v>2570</v>
      </c>
      <c r="D517" s="1326" t="s">
        <v>2574</v>
      </c>
      <c r="E517" s="1326" t="s">
        <v>1176</v>
      </c>
      <c r="F517" s="1326" t="s">
        <v>2575</v>
      </c>
      <c r="G517" s="1326" t="s">
        <v>2572</v>
      </c>
      <c r="H517" s="1326" t="s">
        <v>2573</v>
      </c>
      <c r="I517" s="1326" t="s">
        <v>1604</v>
      </c>
      <c r="J517" s="1326" t="s">
        <v>2389</v>
      </c>
      <c r="K517" s="1326" t="s">
        <v>2390</v>
      </c>
      <c r="L517" s="1326" t="s">
        <v>2061</v>
      </c>
      <c r="M517" s="1400"/>
      <c r="N517" s="1400"/>
      <c r="O517" s="1400"/>
      <c r="P517" s="1400"/>
      <c r="Q517" s="1400"/>
      <c r="R517" s="1400"/>
      <c r="S517" s="1400"/>
      <c r="T517" s="1400"/>
      <c r="U517" s="1400"/>
      <c r="V517" s="1400"/>
      <c r="W517" s="1400"/>
      <c r="X517" s="1400"/>
      <c r="Y517" s="1685">
        <v>43489</v>
      </c>
      <c r="Z517" s="1326" t="s">
        <v>2062</v>
      </c>
      <c r="AA517" s="1683">
        <v>0</v>
      </c>
      <c r="AB517" s="1683">
        <v>0</v>
      </c>
      <c r="AC517" s="1683">
        <v>0</v>
      </c>
      <c r="AD517" s="1685">
        <v>43516</v>
      </c>
      <c r="AE517" s="1326" t="s">
        <v>2079</v>
      </c>
      <c r="AF517" s="1326" t="s">
        <v>2064</v>
      </c>
      <c r="AG517" s="1410"/>
      <c r="AH517" s="1683">
        <v>12908.38</v>
      </c>
      <c r="AI517" s="1683">
        <v>12908.38</v>
      </c>
      <c r="AJ517" s="1683">
        <v>11940.25</v>
      </c>
      <c r="AK517" s="1683">
        <v>10972.12</v>
      </c>
      <c r="AL517" s="1683">
        <v>968.13</v>
      </c>
      <c r="AM517" s="1685">
        <v>43516</v>
      </c>
      <c r="AN517" s="1683">
        <v>12908.38</v>
      </c>
      <c r="AO517" s="1683">
        <v>12908.38</v>
      </c>
      <c r="AP517" s="1683">
        <v>11940.25</v>
      </c>
      <c r="AQ517" s="1683">
        <v>10972.12</v>
      </c>
      <c r="AR517" s="1683">
        <v>968.13</v>
      </c>
      <c r="AS517" s="1683">
        <v>968.13</v>
      </c>
      <c r="AT517" s="1683">
        <v>0</v>
      </c>
      <c r="AU517" s="1683">
        <v>968.13</v>
      </c>
      <c r="AV517" s="1683">
        <v>0</v>
      </c>
      <c r="AW517" s="1683">
        <v>0</v>
      </c>
      <c r="AX517" s="1400"/>
      <c r="AY517" s="1400"/>
      <c r="AZ517" s="1400"/>
      <c r="BA517" s="1682"/>
      <c r="BB517" s="1682"/>
      <c r="BC517" s="1400"/>
      <c r="BD517" s="1400"/>
      <c r="BE517" s="1683">
        <v>12908.38</v>
      </c>
      <c r="BF517" s="1683">
        <v>12908.38</v>
      </c>
      <c r="BG517" s="1683">
        <v>11940.25</v>
      </c>
      <c r="BH517" s="1683">
        <v>10972.12</v>
      </c>
      <c r="BI517" s="1683">
        <v>968.13</v>
      </c>
      <c r="BJ517" s="1683">
        <v>968.13</v>
      </c>
      <c r="BK517" s="1683">
        <v>0</v>
      </c>
      <c r="BL517" s="1683">
        <v>968.13</v>
      </c>
      <c r="BM517" s="1683">
        <v>0</v>
      </c>
      <c r="BN517" s="1683">
        <v>0</v>
      </c>
      <c r="BO517" s="1682"/>
      <c r="BP517" s="1683">
        <v>0</v>
      </c>
      <c r="BQ517" s="1683">
        <v>0</v>
      </c>
      <c r="BR517" s="1683">
        <v>0</v>
      </c>
      <c r="BS517" s="1683">
        <v>0</v>
      </c>
      <c r="BT517" s="1683">
        <v>0</v>
      </c>
      <c r="BU517" s="1683">
        <v>0</v>
      </c>
      <c r="BV517" s="1683">
        <v>0</v>
      </c>
      <c r="BW517" s="1683">
        <v>0</v>
      </c>
      <c r="BX517" s="1683">
        <v>0</v>
      </c>
      <c r="BY517" s="1683">
        <v>0</v>
      </c>
      <c r="BZ517" s="1400"/>
      <c r="CA517" s="1400"/>
      <c r="CB517" s="1682"/>
      <c r="CC517" s="1682"/>
      <c r="CD517" s="1400"/>
      <c r="CE517" s="1400"/>
      <c r="CF517" s="1683">
        <v>0</v>
      </c>
      <c r="CG517" s="1683">
        <v>0</v>
      </c>
      <c r="CH517" s="1683">
        <v>0</v>
      </c>
      <c r="CI517" s="1683">
        <v>0</v>
      </c>
      <c r="CJ517" s="1683">
        <v>0</v>
      </c>
      <c r="CK517" s="1683">
        <v>0</v>
      </c>
      <c r="CL517" s="1682"/>
      <c r="CM517" s="1683">
        <v>0</v>
      </c>
      <c r="CN517" s="1683">
        <v>0</v>
      </c>
      <c r="CO517" s="1683">
        <v>0</v>
      </c>
      <c r="CP517" s="1683">
        <v>0</v>
      </c>
      <c r="CQ517" s="1683">
        <v>0</v>
      </c>
      <c r="CR517" s="1683">
        <v>0</v>
      </c>
      <c r="CS517" s="1683">
        <v>0</v>
      </c>
      <c r="CT517" s="1683">
        <v>0</v>
      </c>
      <c r="CU517" s="1683">
        <v>0</v>
      </c>
      <c r="CV517" s="1683">
        <v>0</v>
      </c>
      <c r="CW517" s="1682"/>
      <c r="CX517" s="1400"/>
      <c r="CY517" s="1400"/>
      <c r="CZ517" s="1400"/>
      <c r="DA517" s="1400"/>
      <c r="DB517" s="1682"/>
      <c r="DC517" s="1326"/>
      <c r="DD517" s="1683">
        <v>8437.2000000000007</v>
      </c>
      <c r="DE517" s="1400"/>
      <c r="DF517" s="1400"/>
      <c r="DG517" s="1683">
        <v>0</v>
      </c>
      <c r="DH517" s="1683">
        <v>0</v>
      </c>
    </row>
    <row r="518" spans="1:112" ht="33.75">
      <c r="A518" s="1326" t="s">
        <v>3611</v>
      </c>
      <c r="B518" s="1326" t="s">
        <v>1702</v>
      </c>
      <c r="C518" s="1326" t="s">
        <v>2570</v>
      </c>
      <c r="D518" s="1326" t="s">
        <v>2574</v>
      </c>
      <c r="E518" s="1326" t="s">
        <v>1176</v>
      </c>
      <c r="F518" s="1326" t="s">
        <v>2575</v>
      </c>
      <c r="G518" s="1326" t="s">
        <v>2572</v>
      </c>
      <c r="H518" s="1326" t="s">
        <v>2573</v>
      </c>
      <c r="I518" s="1326" t="s">
        <v>1605</v>
      </c>
      <c r="J518" s="1326" t="s">
        <v>1179</v>
      </c>
      <c r="K518" s="1326" t="s">
        <v>3553</v>
      </c>
      <c r="L518" s="1326" t="s">
        <v>2061</v>
      </c>
      <c r="M518" s="1683">
        <v>198997</v>
      </c>
      <c r="N518" s="1683">
        <v>0</v>
      </c>
      <c r="O518" s="1683">
        <v>198997</v>
      </c>
      <c r="P518" s="1683">
        <v>198997</v>
      </c>
      <c r="Q518" s="1683">
        <v>184072</v>
      </c>
      <c r="R518" s="1683">
        <v>169147.45</v>
      </c>
      <c r="S518" s="1683">
        <v>14924.55</v>
      </c>
      <c r="T518" s="1683">
        <v>14925</v>
      </c>
      <c r="U518" s="1683">
        <v>0</v>
      </c>
      <c r="V518" s="1683">
        <v>14925</v>
      </c>
      <c r="W518" s="1683">
        <v>0</v>
      </c>
      <c r="X518" s="1683">
        <v>0</v>
      </c>
      <c r="Y518" s="1682"/>
      <c r="Z518" s="1326"/>
      <c r="AA518" s="1683">
        <v>0</v>
      </c>
      <c r="AB518" s="1683">
        <v>0</v>
      </c>
      <c r="AC518" s="1683">
        <v>0</v>
      </c>
      <c r="AD518" s="1682"/>
      <c r="AE518" s="1326"/>
      <c r="AF518" s="1326"/>
      <c r="AG518" s="1410"/>
      <c r="AH518" s="1683">
        <v>24947.24</v>
      </c>
      <c r="AI518" s="1683">
        <v>72085.31</v>
      </c>
      <c r="AJ518" s="1683">
        <v>70214.23</v>
      </c>
      <c r="AK518" s="1683">
        <v>64521.27</v>
      </c>
      <c r="AL518" s="1683">
        <v>5692.96</v>
      </c>
      <c r="AM518" s="1682"/>
      <c r="AN518" s="1683">
        <v>24947.24</v>
      </c>
      <c r="AO518" s="1683">
        <v>24947.24</v>
      </c>
      <c r="AP518" s="1683">
        <v>23076.16</v>
      </c>
      <c r="AQ518" s="1683">
        <v>21205.15</v>
      </c>
      <c r="AR518" s="1683">
        <v>1871.01</v>
      </c>
      <c r="AS518" s="1683">
        <v>1871.08</v>
      </c>
      <c r="AT518" s="1683">
        <v>0</v>
      </c>
      <c r="AU518" s="1683">
        <v>1871.08</v>
      </c>
      <c r="AV518" s="1683">
        <v>0</v>
      </c>
      <c r="AW518" s="1683">
        <v>0</v>
      </c>
      <c r="AX518" s="1683">
        <v>0</v>
      </c>
      <c r="AY518" s="1683">
        <v>0</v>
      </c>
      <c r="AZ518" s="1683">
        <v>0</v>
      </c>
      <c r="BA518" s="1682"/>
      <c r="BB518" s="1682"/>
      <c r="BC518" s="1683">
        <v>0</v>
      </c>
      <c r="BD518" s="1683">
        <v>0</v>
      </c>
      <c r="BE518" s="1683">
        <v>24947.24</v>
      </c>
      <c r="BF518" s="1683">
        <v>24947.24</v>
      </c>
      <c r="BG518" s="1683">
        <v>23076.16</v>
      </c>
      <c r="BH518" s="1683">
        <v>21205.15</v>
      </c>
      <c r="BI518" s="1683">
        <v>1871.01</v>
      </c>
      <c r="BJ518" s="1683">
        <v>1871.08</v>
      </c>
      <c r="BK518" s="1683">
        <v>0</v>
      </c>
      <c r="BL518" s="1683">
        <v>1871.08</v>
      </c>
      <c r="BM518" s="1683">
        <v>0</v>
      </c>
      <c r="BN518" s="1683">
        <v>0</v>
      </c>
      <c r="BO518" s="1682"/>
      <c r="BP518" s="1683">
        <v>2032.11</v>
      </c>
      <c r="BQ518" s="1683">
        <v>2032.11</v>
      </c>
      <c r="BR518" s="1683">
        <v>1879.7</v>
      </c>
      <c r="BS518" s="1683">
        <v>1727.29</v>
      </c>
      <c r="BT518" s="1683">
        <v>152.41</v>
      </c>
      <c r="BU518" s="1683">
        <v>152.41</v>
      </c>
      <c r="BV518" s="1683">
        <v>0</v>
      </c>
      <c r="BW518" s="1683">
        <v>0</v>
      </c>
      <c r="BX518" s="1683">
        <v>0</v>
      </c>
      <c r="BY518" s="1683">
        <v>0</v>
      </c>
      <c r="BZ518" s="1683">
        <v>0</v>
      </c>
      <c r="CA518" s="1683">
        <v>0</v>
      </c>
      <c r="CB518" s="1682"/>
      <c r="CC518" s="1682"/>
      <c r="CD518" s="1683">
        <v>0</v>
      </c>
      <c r="CE518" s="1683">
        <v>0</v>
      </c>
      <c r="CF518" s="1683">
        <v>1188.1600000000001</v>
      </c>
      <c r="CG518" s="1683">
        <v>1188.1600000000001</v>
      </c>
      <c r="CH518" s="1683">
        <v>0</v>
      </c>
      <c r="CI518" s="1683">
        <v>0</v>
      </c>
      <c r="CJ518" s="1683">
        <v>323.95</v>
      </c>
      <c r="CK518" s="1683">
        <v>323.95</v>
      </c>
      <c r="CL518" s="1682"/>
      <c r="CM518" s="1683">
        <v>0</v>
      </c>
      <c r="CN518" s="1683">
        <v>0</v>
      </c>
      <c r="CO518" s="1683">
        <v>0</v>
      </c>
      <c r="CP518" s="1683">
        <v>0</v>
      </c>
      <c r="CQ518" s="1683">
        <v>0</v>
      </c>
      <c r="CR518" s="1683">
        <v>0</v>
      </c>
      <c r="CS518" s="1683">
        <v>0</v>
      </c>
      <c r="CT518" s="1683">
        <v>0</v>
      </c>
      <c r="CU518" s="1683">
        <v>0</v>
      </c>
      <c r="CV518" s="1683">
        <v>0</v>
      </c>
      <c r="CW518" s="1682"/>
      <c r="CX518" s="1683">
        <v>0</v>
      </c>
      <c r="CY518" s="1683">
        <v>0</v>
      </c>
      <c r="CZ518" s="1683">
        <v>0</v>
      </c>
      <c r="DA518" s="1683">
        <v>0</v>
      </c>
      <c r="DB518" s="1682"/>
      <c r="DC518" s="1326"/>
      <c r="DD518" s="1683">
        <v>0</v>
      </c>
      <c r="DE518" s="1683">
        <v>0</v>
      </c>
      <c r="DF518" s="1683">
        <v>0</v>
      </c>
      <c r="DG518" s="1683">
        <v>0</v>
      </c>
      <c r="DH518" s="1683">
        <v>0</v>
      </c>
    </row>
    <row r="519" spans="1:112" ht="33.75">
      <c r="A519" s="1326" t="s">
        <v>3612</v>
      </c>
      <c r="B519" s="1326" t="s">
        <v>1702</v>
      </c>
      <c r="C519" s="1326" t="s">
        <v>2570</v>
      </c>
      <c r="D519" s="1326" t="s">
        <v>2574</v>
      </c>
      <c r="E519" s="1326" t="s">
        <v>1176</v>
      </c>
      <c r="F519" s="1326" t="s">
        <v>2575</v>
      </c>
      <c r="G519" s="1326" t="s">
        <v>2572</v>
      </c>
      <c r="H519" s="1326" t="s">
        <v>2573</v>
      </c>
      <c r="I519" s="1326" t="s">
        <v>1605</v>
      </c>
      <c r="J519" s="1326" t="s">
        <v>1179</v>
      </c>
      <c r="K519" s="1326" t="s">
        <v>3553</v>
      </c>
      <c r="L519" s="1326" t="s">
        <v>2061</v>
      </c>
      <c r="M519" s="1400"/>
      <c r="N519" s="1400"/>
      <c r="O519" s="1400"/>
      <c r="P519" s="1400"/>
      <c r="Q519" s="1400"/>
      <c r="R519" s="1400"/>
      <c r="S519" s="1400"/>
      <c r="T519" s="1400"/>
      <c r="U519" s="1400"/>
      <c r="V519" s="1400"/>
      <c r="W519" s="1400"/>
      <c r="X519" s="1400"/>
      <c r="Y519" s="1685">
        <v>43388</v>
      </c>
      <c r="Z519" s="1326" t="s">
        <v>2062</v>
      </c>
      <c r="AA519" s="1683">
        <v>0</v>
      </c>
      <c r="AB519" s="1683">
        <v>0</v>
      </c>
      <c r="AC519" s="1683">
        <v>0</v>
      </c>
      <c r="AD519" s="1685">
        <v>43419</v>
      </c>
      <c r="AE519" s="1326" t="s">
        <v>2073</v>
      </c>
      <c r="AF519" s="1326" t="s">
        <v>2067</v>
      </c>
      <c r="AG519" s="1410"/>
      <c r="AH519" s="1683">
        <v>618.62</v>
      </c>
      <c r="AI519" s="1683">
        <v>618.62</v>
      </c>
      <c r="AJ519" s="1683">
        <v>572.23</v>
      </c>
      <c r="AK519" s="1683">
        <v>525.83000000000004</v>
      </c>
      <c r="AL519" s="1683">
        <v>46.4</v>
      </c>
      <c r="AM519" s="1685">
        <v>43419</v>
      </c>
      <c r="AN519" s="1683">
        <v>618.62</v>
      </c>
      <c r="AO519" s="1683">
        <v>618.62</v>
      </c>
      <c r="AP519" s="1683">
        <v>572.23</v>
      </c>
      <c r="AQ519" s="1683">
        <v>525.83000000000004</v>
      </c>
      <c r="AR519" s="1683">
        <v>46.4</v>
      </c>
      <c r="AS519" s="1683">
        <v>46.39</v>
      </c>
      <c r="AT519" s="1683">
        <v>0</v>
      </c>
      <c r="AU519" s="1683">
        <v>46.39</v>
      </c>
      <c r="AV519" s="1683">
        <v>0</v>
      </c>
      <c r="AW519" s="1683">
        <v>0</v>
      </c>
      <c r="AX519" s="1400"/>
      <c r="AY519" s="1400"/>
      <c r="AZ519" s="1400"/>
      <c r="BA519" s="1682"/>
      <c r="BB519" s="1682"/>
      <c r="BC519" s="1400"/>
      <c r="BD519" s="1400"/>
      <c r="BE519" s="1683">
        <v>618.62</v>
      </c>
      <c r="BF519" s="1683">
        <v>618.62</v>
      </c>
      <c r="BG519" s="1683">
        <v>572.23</v>
      </c>
      <c r="BH519" s="1683">
        <v>525.83000000000004</v>
      </c>
      <c r="BI519" s="1683">
        <v>46.4</v>
      </c>
      <c r="BJ519" s="1683">
        <v>46.39</v>
      </c>
      <c r="BK519" s="1683">
        <v>0</v>
      </c>
      <c r="BL519" s="1683">
        <v>46.39</v>
      </c>
      <c r="BM519" s="1683">
        <v>0</v>
      </c>
      <c r="BN519" s="1683">
        <v>0</v>
      </c>
      <c r="BO519" s="1685">
        <v>43462</v>
      </c>
      <c r="BP519" s="1683">
        <v>618.62</v>
      </c>
      <c r="BQ519" s="1683">
        <v>618.62</v>
      </c>
      <c r="BR519" s="1683">
        <v>572.23</v>
      </c>
      <c r="BS519" s="1683">
        <v>525.83000000000004</v>
      </c>
      <c r="BT519" s="1683">
        <v>46.4</v>
      </c>
      <c r="BU519" s="1683">
        <v>46.39</v>
      </c>
      <c r="BV519" s="1683">
        <v>0</v>
      </c>
      <c r="BW519" s="1683">
        <v>0</v>
      </c>
      <c r="BX519" s="1683">
        <v>0</v>
      </c>
      <c r="BY519" s="1683">
        <v>0</v>
      </c>
      <c r="BZ519" s="1683">
        <v>0</v>
      </c>
      <c r="CA519" s="1400"/>
      <c r="CB519" s="1682"/>
      <c r="CC519" s="1682"/>
      <c r="CD519" s="1400"/>
      <c r="CE519" s="1400"/>
      <c r="CF519" s="1683">
        <v>0</v>
      </c>
      <c r="CG519" s="1683">
        <v>0</v>
      </c>
      <c r="CH519" s="1683">
        <v>0</v>
      </c>
      <c r="CI519" s="1683">
        <v>0</v>
      </c>
      <c r="CJ519" s="1683">
        <v>98.62</v>
      </c>
      <c r="CK519" s="1683">
        <v>98.62</v>
      </c>
      <c r="CL519" s="1682"/>
      <c r="CM519" s="1683">
        <v>0</v>
      </c>
      <c r="CN519" s="1683">
        <v>0</v>
      </c>
      <c r="CO519" s="1683">
        <v>0</v>
      </c>
      <c r="CP519" s="1683">
        <v>0</v>
      </c>
      <c r="CQ519" s="1683">
        <v>0</v>
      </c>
      <c r="CR519" s="1683">
        <v>0</v>
      </c>
      <c r="CS519" s="1683">
        <v>0</v>
      </c>
      <c r="CT519" s="1683">
        <v>0</v>
      </c>
      <c r="CU519" s="1683">
        <v>0</v>
      </c>
      <c r="CV519" s="1683">
        <v>0</v>
      </c>
      <c r="CW519" s="1682"/>
      <c r="CX519" s="1400"/>
      <c r="CY519" s="1400"/>
      <c r="CZ519" s="1400"/>
      <c r="DA519" s="1400"/>
      <c r="DB519" s="1682"/>
      <c r="DC519" s="1326"/>
      <c r="DD519" s="1683">
        <v>0</v>
      </c>
      <c r="DE519" s="1400"/>
      <c r="DF519" s="1400"/>
      <c r="DG519" s="1683">
        <v>0</v>
      </c>
      <c r="DH519" s="1683">
        <v>0</v>
      </c>
    </row>
    <row r="520" spans="1:112" ht="33.75">
      <c r="A520" s="1326" t="s">
        <v>3613</v>
      </c>
      <c r="B520" s="1326" t="s">
        <v>1702</v>
      </c>
      <c r="C520" s="1326" t="s">
        <v>2570</v>
      </c>
      <c r="D520" s="1326" t="s">
        <v>2574</v>
      </c>
      <c r="E520" s="1326" t="s">
        <v>1176</v>
      </c>
      <c r="F520" s="1326" t="s">
        <v>2575</v>
      </c>
      <c r="G520" s="1326" t="s">
        <v>2572</v>
      </c>
      <c r="H520" s="1326" t="s">
        <v>2573</v>
      </c>
      <c r="I520" s="1326" t="s">
        <v>1605</v>
      </c>
      <c r="J520" s="1326" t="s">
        <v>1179</v>
      </c>
      <c r="K520" s="1326" t="s">
        <v>3553</v>
      </c>
      <c r="L520" s="1326" t="s">
        <v>2061</v>
      </c>
      <c r="M520" s="1400"/>
      <c r="N520" s="1400"/>
      <c r="O520" s="1400"/>
      <c r="P520" s="1400"/>
      <c r="Q520" s="1400"/>
      <c r="R520" s="1400"/>
      <c r="S520" s="1400"/>
      <c r="T520" s="1400"/>
      <c r="U520" s="1400"/>
      <c r="V520" s="1400"/>
      <c r="W520" s="1400"/>
      <c r="X520" s="1400"/>
      <c r="Y520" s="1685">
        <v>43388</v>
      </c>
      <c r="Z520" s="1326" t="s">
        <v>2062</v>
      </c>
      <c r="AA520" s="1683">
        <v>0</v>
      </c>
      <c r="AB520" s="1683">
        <v>0</v>
      </c>
      <c r="AC520" s="1683">
        <v>0</v>
      </c>
      <c r="AD520" s="1685">
        <v>43419</v>
      </c>
      <c r="AE520" s="1326" t="s">
        <v>2073</v>
      </c>
      <c r="AF520" s="1326" t="s">
        <v>2064</v>
      </c>
      <c r="AG520" s="1410"/>
      <c r="AH520" s="1683">
        <v>1413.49</v>
      </c>
      <c r="AI520" s="1683">
        <v>1413.49</v>
      </c>
      <c r="AJ520" s="1683">
        <v>1307.47</v>
      </c>
      <c r="AK520" s="1683">
        <v>1201.46</v>
      </c>
      <c r="AL520" s="1683">
        <v>106.01</v>
      </c>
      <c r="AM520" s="1685">
        <v>43419</v>
      </c>
      <c r="AN520" s="1683">
        <v>1413.49</v>
      </c>
      <c r="AO520" s="1683">
        <v>1413.49</v>
      </c>
      <c r="AP520" s="1683">
        <v>1307.47</v>
      </c>
      <c r="AQ520" s="1683">
        <v>1201.46</v>
      </c>
      <c r="AR520" s="1683">
        <v>106.01</v>
      </c>
      <c r="AS520" s="1683">
        <v>106.02</v>
      </c>
      <c r="AT520" s="1683">
        <v>0</v>
      </c>
      <c r="AU520" s="1683">
        <v>106.02</v>
      </c>
      <c r="AV520" s="1683">
        <v>0</v>
      </c>
      <c r="AW520" s="1683">
        <v>0</v>
      </c>
      <c r="AX520" s="1400"/>
      <c r="AY520" s="1400"/>
      <c r="AZ520" s="1400"/>
      <c r="BA520" s="1682"/>
      <c r="BB520" s="1682"/>
      <c r="BC520" s="1400"/>
      <c r="BD520" s="1400"/>
      <c r="BE520" s="1683">
        <v>1413.49</v>
      </c>
      <c r="BF520" s="1683">
        <v>1413.49</v>
      </c>
      <c r="BG520" s="1683">
        <v>1307.47</v>
      </c>
      <c r="BH520" s="1683">
        <v>1201.46</v>
      </c>
      <c r="BI520" s="1683">
        <v>106.01</v>
      </c>
      <c r="BJ520" s="1683">
        <v>106.02</v>
      </c>
      <c r="BK520" s="1683">
        <v>0</v>
      </c>
      <c r="BL520" s="1683">
        <v>106.02</v>
      </c>
      <c r="BM520" s="1683">
        <v>0</v>
      </c>
      <c r="BN520" s="1683">
        <v>0</v>
      </c>
      <c r="BO520" s="1685">
        <v>43462</v>
      </c>
      <c r="BP520" s="1683">
        <v>1413.49</v>
      </c>
      <c r="BQ520" s="1683">
        <v>1413.49</v>
      </c>
      <c r="BR520" s="1683">
        <v>1307.47</v>
      </c>
      <c r="BS520" s="1683">
        <v>1201.46</v>
      </c>
      <c r="BT520" s="1683">
        <v>106.01</v>
      </c>
      <c r="BU520" s="1683">
        <v>106.02</v>
      </c>
      <c r="BV520" s="1683">
        <v>0</v>
      </c>
      <c r="BW520" s="1683">
        <v>0</v>
      </c>
      <c r="BX520" s="1683">
        <v>0</v>
      </c>
      <c r="BY520" s="1683">
        <v>0</v>
      </c>
      <c r="BZ520" s="1683">
        <v>0</v>
      </c>
      <c r="CA520" s="1400"/>
      <c r="CB520" s="1682"/>
      <c r="CC520" s="1682"/>
      <c r="CD520" s="1400"/>
      <c r="CE520" s="1400"/>
      <c r="CF520" s="1683">
        <v>1188.1600000000001</v>
      </c>
      <c r="CG520" s="1683">
        <v>1188.1600000000001</v>
      </c>
      <c r="CH520" s="1683">
        <v>0</v>
      </c>
      <c r="CI520" s="1683">
        <v>0</v>
      </c>
      <c r="CJ520" s="1683">
        <v>225.33</v>
      </c>
      <c r="CK520" s="1683">
        <v>225.33</v>
      </c>
      <c r="CL520" s="1682"/>
      <c r="CM520" s="1683">
        <v>0</v>
      </c>
      <c r="CN520" s="1683">
        <v>0</v>
      </c>
      <c r="CO520" s="1683">
        <v>0</v>
      </c>
      <c r="CP520" s="1683">
        <v>0</v>
      </c>
      <c r="CQ520" s="1683">
        <v>0</v>
      </c>
      <c r="CR520" s="1683">
        <v>0</v>
      </c>
      <c r="CS520" s="1683">
        <v>0</v>
      </c>
      <c r="CT520" s="1683">
        <v>0</v>
      </c>
      <c r="CU520" s="1683">
        <v>0</v>
      </c>
      <c r="CV520" s="1683">
        <v>0</v>
      </c>
      <c r="CW520" s="1682"/>
      <c r="CX520" s="1400"/>
      <c r="CY520" s="1400"/>
      <c r="CZ520" s="1400"/>
      <c r="DA520" s="1400"/>
      <c r="DB520" s="1682"/>
      <c r="DC520" s="1326"/>
      <c r="DD520" s="1683">
        <v>0</v>
      </c>
      <c r="DE520" s="1400"/>
      <c r="DF520" s="1400"/>
      <c r="DG520" s="1683">
        <v>0</v>
      </c>
      <c r="DH520" s="1683">
        <v>0</v>
      </c>
    </row>
    <row r="521" spans="1:112" ht="33.75">
      <c r="A521" s="1326" t="s">
        <v>3614</v>
      </c>
      <c r="B521" s="1326" t="s">
        <v>1702</v>
      </c>
      <c r="C521" s="1326" t="s">
        <v>2570</v>
      </c>
      <c r="D521" s="1326" t="s">
        <v>2574</v>
      </c>
      <c r="E521" s="1326" t="s">
        <v>1176</v>
      </c>
      <c r="F521" s="1326" t="s">
        <v>2575</v>
      </c>
      <c r="G521" s="1326" t="s">
        <v>2572</v>
      </c>
      <c r="H521" s="1326" t="s">
        <v>2573</v>
      </c>
      <c r="I521" s="1326" t="s">
        <v>1605</v>
      </c>
      <c r="J521" s="1326" t="s">
        <v>1179</v>
      </c>
      <c r="K521" s="1326" t="s">
        <v>3553</v>
      </c>
      <c r="L521" s="1326" t="s">
        <v>2061</v>
      </c>
      <c r="M521" s="1400"/>
      <c r="N521" s="1400"/>
      <c r="O521" s="1400"/>
      <c r="P521" s="1400"/>
      <c r="Q521" s="1400"/>
      <c r="R521" s="1400"/>
      <c r="S521" s="1400"/>
      <c r="T521" s="1400"/>
      <c r="U521" s="1400"/>
      <c r="V521" s="1400"/>
      <c r="W521" s="1400"/>
      <c r="X521" s="1400"/>
      <c r="Y521" s="1685">
        <v>43437</v>
      </c>
      <c r="Z521" s="1326" t="s">
        <v>2062</v>
      </c>
      <c r="AA521" s="1683">
        <v>0</v>
      </c>
      <c r="AB521" s="1683">
        <v>0</v>
      </c>
      <c r="AC521" s="1683">
        <v>0</v>
      </c>
      <c r="AD521" s="1685">
        <v>43448</v>
      </c>
      <c r="AE521" s="1326" t="s">
        <v>2063</v>
      </c>
      <c r="AF521" s="1326" t="s">
        <v>2067</v>
      </c>
      <c r="AG521" s="1410"/>
      <c r="AH521" s="1683">
        <v>817.53</v>
      </c>
      <c r="AI521" s="1683">
        <v>817.53</v>
      </c>
      <c r="AJ521" s="1683">
        <v>756.22</v>
      </c>
      <c r="AK521" s="1683">
        <v>694.91</v>
      </c>
      <c r="AL521" s="1683">
        <v>61.31</v>
      </c>
      <c r="AM521" s="1685">
        <v>43453</v>
      </c>
      <c r="AN521" s="1683">
        <v>817.53</v>
      </c>
      <c r="AO521" s="1683">
        <v>817.53</v>
      </c>
      <c r="AP521" s="1683">
        <v>756.22</v>
      </c>
      <c r="AQ521" s="1683">
        <v>694.91</v>
      </c>
      <c r="AR521" s="1683">
        <v>61.31</v>
      </c>
      <c r="AS521" s="1683">
        <v>61.31</v>
      </c>
      <c r="AT521" s="1683">
        <v>0</v>
      </c>
      <c r="AU521" s="1683">
        <v>61.31</v>
      </c>
      <c r="AV521" s="1683">
        <v>0</v>
      </c>
      <c r="AW521" s="1683">
        <v>0</v>
      </c>
      <c r="AX521" s="1400"/>
      <c r="AY521" s="1400"/>
      <c r="AZ521" s="1400"/>
      <c r="BA521" s="1682"/>
      <c r="BB521" s="1682"/>
      <c r="BC521" s="1400"/>
      <c r="BD521" s="1400"/>
      <c r="BE521" s="1683">
        <v>817.53</v>
      </c>
      <c r="BF521" s="1683">
        <v>817.53</v>
      </c>
      <c r="BG521" s="1683">
        <v>756.22</v>
      </c>
      <c r="BH521" s="1683">
        <v>694.91</v>
      </c>
      <c r="BI521" s="1683">
        <v>61.31</v>
      </c>
      <c r="BJ521" s="1683">
        <v>61.31</v>
      </c>
      <c r="BK521" s="1683">
        <v>0</v>
      </c>
      <c r="BL521" s="1683">
        <v>61.31</v>
      </c>
      <c r="BM521" s="1683">
        <v>0</v>
      </c>
      <c r="BN521" s="1683">
        <v>0</v>
      </c>
      <c r="BO521" s="1682"/>
      <c r="BP521" s="1683">
        <v>0</v>
      </c>
      <c r="BQ521" s="1683">
        <v>0</v>
      </c>
      <c r="BR521" s="1683">
        <v>0</v>
      </c>
      <c r="BS521" s="1683">
        <v>0</v>
      </c>
      <c r="BT521" s="1683">
        <v>0</v>
      </c>
      <c r="BU521" s="1683">
        <v>0</v>
      </c>
      <c r="BV521" s="1683">
        <v>0</v>
      </c>
      <c r="BW521" s="1683">
        <v>0</v>
      </c>
      <c r="BX521" s="1683">
        <v>0</v>
      </c>
      <c r="BY521" s="1683">
        <v>0</v>
      </c>
      <c r="BZ521" s="1683">
        <v>0</v>
      </c>
      <c r="CA521" s="1400"/>
      <c r="CB521" s="1682"/>
      <c r="CC521" s="1682"/>
      <c r="CD521" s="1400"/>
      <c r="CE521" s="1400"/>
      <c r="CF521" s="1683">
        <v>0</v>
      </c>
      <c r="CG521" s="1683">
        <v>0</v>
      </c>
      <c r="CH521" s="1683">
        <v>0</v>
      </c>
      <c r="CI521" s="1683">
        <v>0</v>
      </c>
      <c r="CJ521" s="1683">
        <v>0</v>
      </c>
      <c r="CK521" s="1683">
        <v>0</v>
      </c>
      <c r="CL521" s="1682"/>
      <c r="CM521" s="1683">
        <v>0</v>
      </c>
      <c r="CN521" s="1683">
        <v>0</v>
      </c>
      <c r="CO521" s="1683">
        <v>0</v>
      </c>
      <c r="CP521" s="1683">
        <v>0</v>
      </c>
      <c r="CQ521" s="1683">
        <v>0</v>
      </c>
      <c r="CR521" s="1683">
        <v>0</v>
      </c>
      <c r="CS521" s="1683">
        <v>0</v>
      </c>
      <c r="CT521" s="1683">
        <v>0</v>
      </c>
      <c r="CU521" s="1683">
        <v>0</v>
      </c>
      <c r="CV521" s="1683">
        <v>0</v>
      </c>
      <c r="CW521" s="1682"/>
      <c r="CX521" s="1400"/>
      <c r="CY521" s="1400"/>
      <c r="CZ521" s="1400"/>
      <c r="DA521" s="1400"/>
      <c r="DB521" s="1682"/>
      <c r="DC521" s="1326"/>
      <c r="DD521" s="1683">
        <v>0</v>
      </c>
      <c r="DE521" s="1400"/>
      <c r="DF521" s="1400"/>
      <c r="DG521" s="1683">
        <v>0</v>
      </c>
      <c r="DH521" s="1683">
        <v>0</v>
      </c>
    </row>
    <row r="522" spans="1:112" ht="33.75">
      <c r="A522" s="1326" t="s">
        <v>3615</v>
      </c>
      <c r="B522" s="1326" t="s">
        <v>1702</v>
      </c>
      <c r="C522" s="1326" t="s">
        <v>2570</v>
      </c>
      <c r="D522" s="1326" t="s">
        <v>2574</v>
      </c>
      <c r="E522" s="1326" t="s">
        <v>1176</v>
      </c>
      <c r="F522" s="1326" t="s">
        <v>2575</v>
      </c>
      <c r="G522" s="1326" t="s">
        <v>2572</v>
      </c>
      <c r="H522" s="1326" t="s">
        <v>2573</v>
      </c>
      <c r="I522" s="1326" t="s">
        <v>1605</v>
      </c>
      <c r="J522" s="1326" t="s">
        <v>1179</v>
      </c>
      <c r="K522" s="1326" t="s">
        <v>3553</v>
      </c>
      <c r="L522" s="1326" t="s">
        <v>2061</v>
      </c>
      <c r="M522" s="1400"/>
      <c r="N522" s="1400"/>
      <c r="O522" s="1400"/>
      <c r="P522" s="1400"/>
      <c r="Q522" s="1400"/>
      <c r="R522" s="1400"/>
      <c r="S522" s="1400"/>
      <c r="T522" s="1400"/>
      <c r="U522" s="1400"/>
      <c r="V522" s="1400"/>
      <c r="W522" s="1400"/>
      <c r="X522" s="1400"/>
      <c r="Y522" s="1685">
        <v>43437</v>
      </c>
      <c r="Z522" s="1326" t="s">
        <v>2062</v>
      </c>
      <c r="AA522" s="1683">
        <v>0</v>
      </c>
      <c r="AB522" s="1683">
        <v>0</v>
      </c>
      <c r="AC522" s="1683">
        <v>0</v>
      </c>
      <c r="AD522" s="1685">
        <v>43448</v>
      </c>
      <c r="AE522" s="1326" t="s">
        <v>2063</v>
      </c>
      <c r="AF522" s="1326" t="s">
        <v>2064</v>
      </c>
      <c r="AG522" s="1410"/>
      <c r="AH522" s="1683">
        <v>5357.25</v>
      </c>
      <c r="AI522" s="1683">
        <v>5357.25</v>
      </c>
      <c r="AJ522" s="1683">
        <v>4955.45</v>
      </c>
      <c r="AK522" s="1683">
        <v>4553.66</v>
      </c>
      <c r="AL522" s="1683">
        <v>401.79</v>
      </c>
      <c r="AM522" s="1685">
        <v>43448</v>
      </c>
      <c r="AN522" s="1683">
        <v>5357.25</v>
      </c>
      <c r="AO522" s="1683">
        <v>5357.25</v>
      </c>
      <c r="AP522" s="1683">
        <v>4955.45</v>
      </c>
      <c r="AQ522" s="1683">
        <v>4553.66</v>
      </c>
      <c r="AR522" s="1683">
        <v>401.79</v>
      </c>
      <c r="AS522" s="1683">
        <v>401.8</v>
      </c>
      <c r="AT522" s="1683">
        <v>0</v>
      </c>
      <c r="AU522" s="1683">
        <v>401.8</v>
      </c>
      <c r="AV522" s="1683">
        <v>0</v>
      </c>
      <c r="AW522" s="1683">
        <v>0</v>
      </c>
      <c r="AX522" s="1400"/>
      <c r="AY522" s="1400"/>
      <c r="AZ522" s="1400"/>
      <c r="BA522" s="1682"/>
      <c r="BB522" s="1682"/>
      <c r="BC522" s="1400"/>
      <c r="BD522" s="1400"/>
      <c r="BE522" s="1683">
        <v>5357.25</v>
      </c>
      <c r="BF522" s="1683">
        <v>5357.25</v>
      </c>
      <c r="BG522" s="1683">
        <v>4955.45</v>
      </c>
      <c r="BH522" s="1683">
        <v>4553.66</v>
      </c>
      <c r="BI522" s="1683">
        <v>401.79</v>
      </c>
      <c r="BJ522" s="1683">
        <v>401.8</v>
      </c>
      <c r="BK522" s="1683">
        <v>0</v>
      </c>
      <c r="BL522" s="1683">
        <v>401.8</v>
      </c>
      <c r="BM522" s="1683">
        <v>0</v>
      </c>
      <c r="BN522" s="1683">
        <v>0</v>
      </c>
      <c r="BO522" s="1682"/>
      <c r="BP522" s="1683">
        <v>0</v>
      </c>
      <c r="BQ522" s="1683">
        <v>0</v>
      </c>
      <c r="BR522" s="1683">
        <v>0</v>
      </c>
      <c r="BS522" s="1683">
        <v>0</v>
      </c>
      <c r="BT522" s="1683">
        <v>0</v>
      </c>
      <c r="BU522" s="1683">
        <v>0</v>
      </c>
      <c r="BV522" s="1683">
        <v>0</v>
      </c>
      <c r="BW522" s="1683">
        <v>0</v>
      </c>
      <c r="BX522" s="1683">
        <v>0</v>
      </c>
      <c r="BY522" s="1683">
        <v>0</v>
      </c>
      <c r="BZ522" s="1683">
        <v>0</v>
      </c>
      <c r="CA522" s="1400"/>
      <c r="CB522" s="1682"/>
      <c r="CC522" s="1682"/>
      <c r="CD522" s="1400"/>
      <c r="CE522" s="1400"/>
      <c r="CF522" s="1683">
        <v>0</v>
      </c>
      <c r="CG522" s="1683">
        <v>0</v>
      </c>
      <c r="CH522" s="1683">
        <v>0</v>
      </c>
      <c r="CI522" s="1683">
        <v>0</v>
      </c>
      <c r="CJ522" s="1683">
        <v>0</v>
      </c>
      <c r="CK522" s="1683">
        <v>0</v>
      </c>
      <c r="CL522" s="1682"/>
      <c r="CM522" s="1683">
        <v>0</v>
      </c>
      <c r="CN522" s="1683">
        <v>0</v>
      </c>
      <c r="CO522" s="1683">
        <v>0</v>
      </c>
      <c r="CP522" s="1683">
        <v>0</v>
      </c>
      <c r="CQ522" s="1683">
        <v>0</v>
      </c>
      <c r="CR522" s="1683">
        <v>0</v>
      </c>
      <c r="CS522" s="1683">
        <v>0</v>
      </c>
      <c r="CT522" s="1683">
        <v>0</v>
      </c>
      <c r="CU522" s="1683">
        <v>0</v>
      </c>
      <c r="CV522" s="1683">
        <v>0</v>
      </c>
      <c r="CW522" s="1682"/>
      <c r="CX522" s="1400"/>
      <c r="CY522" s="1400"/>
      <c r="CZ522" s="1400"/>
      <c r="DA522" s="1400"/>
      <c r="DB522" s="1682"/>
      <c r="DC522" s="1326"/>
      <c r="DD522" s="1683">
        <v>0</v>
      </c>
      <c r="DE522" s="1400"/>
      <c r="DF522" s="1400"/>
      <c r="DG522" s="1683">
        <v>0</v>
      </c>
      <c r="DH522" s="1683">
        <v>0</v>
      </c>
    </row>
    <row r="523" spans="1:112" ht="33.75">
      <c r="A523" s="1326" t="s">
        <v>3616</v>
      </c>
      <c r="B523" s="1326" t="s">
        <v>1702</v>
      </c>
      <c r="C523" s="1326" t="s">
        <v>2570</v>
      </c>
      <c r="D523" s="1326" t="s">
        <v>2574</v>
      </c>
      <c r="E523" s="1326" t="s">
        <v>1176</v>
      </c>
      <c r="F523" s="1326" t="s">
        <v>2575</v>
      </c>
      <c r="G523" s="1326" t="s">
        <v>2572</v>
      </c>
      <c r="H523" s="1326" t="s">
        <v>2573</v>
      </c>
      <c r="I523" s="1326" t="s">
        <v>1605</v>
      </c>
      <c r="J523" s="1326" t="s">
        <v>1179</v>
      </c>
      <c r="K523" s="1326" t="s">
        <v>3553</v>
      </c>
      <c r="L523" s="1326" t="s">
        <v>2061</v>
      </c>
      <c r="M523" s="1400"/>
      <c r="N523" s="1400"/>
      <c r="O523" s="1400"/>
      <c r="P523" s="1400"/>
      <c r="Q523" s="1400"/>
      <c r="R523" s="1400"/>
      <c r="S523" s="1400"/>
      <c r="T523" s="1400"/>
      <c r="U523" s="1400"/>
      <c r="V523" s="1400"/>
      <c r="W523" s="1400"/>
      <c r="X523" s="1400"/>
      <c r="Y523" s="1685">
        <v>43476</v>
      </c>
      <c r="Z523" s="1326" t="s">
        <v>2062</v>
      </c>
      <c r="AA523" s="1683">
        <v>0</v>
      </c>
      <c r="AB523" s="1683">
        <v>0</v>
      </c>
      <c r="AC523" s="1683">
        <v>0</v>
      </c>
      <c r="AD523" s="1685">
        <v>43511</v>
      </c>
      <c r="AE523" s="1326" t="s">
        <v>2066</v>
      </c>
      <c r="AF523" s="1326" t="s">
        <v>2067</v>
      </c>
      <c r="AG523" s="1410"/>
      <c r="AH523" s="1683">
        <v>13359.36</v>
      </c>
      <c r="AI523" s="1683">
        <v>13359.36</v>
      </c>
      <c r="AJ523" s="1683">
        <v>12357.38</v>
      </c>
      <c r="AK523" s="1683">
        <v>11355.45</v>
      </c>
      <c r="AL523" s="1683">
        <v>1001.93</v>
      </c>
      <c r="AM523" s="1685">
        <v>43517</v>
      </c>
      <c r="AN523" s="1683">
        <v>13359.36</v>
      </c>
      <c r="AO523" s="1683">
        <v>13359.36</v>
      </c>
      <c r="AP523" s="1683">
        <v>12357.38</v>
      </c>
      <c r="AQ523" s="1683">
        <v>11355.45</v>
      </c>
      <c r="AR523" s="1683">
        <v>1001.93</v>
      </c>
      <c r="AS523" s="1683">
        <v>1001.98</v>
      </c>
      <c r="AT523" s="1683">
        <v>0</v>
      </c>
      <c r="AU523" s="1683">
        <v>1001.98</v>
      </c>
      <c r="AV523" s="1683">
        <v>0</v>
      </c>
      <c r="AW523" s="1683">
        <v>0</v>
      </c>
      <c r="AX523" s="1400"/>
      <c r="AY523" s="1400"/>
      <c r="AZ523" s="1400"/>
      <c r="BA523" s="1682"/>
      <c r="BB523" s="1682"/>
      <c r="BC523" s="1400"/>
      <c r="BD523" s="1400"/>
      <c r="BE523" s="1683">
        <v>13359.36</v>
      </c>
      <c r="BF523" s="1683">
        <v>13359.36</v>
      </c>
      <c r="BG523" s="1683">
        <v>12357.38</v>
      </c>
      <c r="BH523" s="1683">
        <v>11355.45</v>
      </c>
      <c r="BI523" s="1683">
        <v>1001.93</v>
      </c>
      <c r="BJ523" s="1683">
        <v>1001.98</v>
      </c>
      <c r="BK523" s="1683">
        <v>0</v>
      </c>
      <c r="BL523" s="1683">
        <v>1001.98</v>
      </c>
      <c r="BM523" s="1683">
        <v>0</v>
      </c>
      <c r="BN523" s="1683">
        <v>0</v>
      </c>
      <c r="BO523" s="1682"/>
      <c r="BP523" s="1683">
        <v>0</v>
      </c>
      <c r="BQ523" s="1683">
        <v>0</v>
      </c>
      <c r="BR523" s="1683">
        <v>0</v>
      </c>
      <c r="BS523" s="1683">
        <v>0</v>
      </c>
      <c r="BT523" s="1683">
        <v>0</v>
      </c>
      <c r="BU523" s="1683">
        <v>0</v>
      </c>
      <c r="BV523" s="1683">
        <v>0</v>
      </c>
      <c r="BW523" s="1683">
        <v>0</v>
      </c>
      <c r="BX523" s="1683">
        <v>0</v>
      </c>
      <c r="BY523" s="1683">
        <v>0</v>
      </c>
      <c r="BZ523" s="1400"/>
      <c r="CA523" s="1400"/>
      <c r="CB523" s="1682"/>
      <c r="CC523" s="1682"/>
      <c r="CD523" s="1400"/>
      <c r="CE523" s="1400"/>
      <c r="CF523" s="1683">
        <v>0</v>
      </c>
      <c r="CG523" s="1683">
        <v>0</v>
      </c>
      <c r="CH523" s="1683">
        <v>0</v>
      </c>
      <c r="CI523" s="1683">
        <v>0</v>
      </c>
      <c r="CJ523" s="1683">
        <v>0</v>
      </c>
      <c r="CK523" s="1683">
        <v>0</v>
      </c>
      <c r="CL523" s="1682"/>
      <c r="CM523" s="1683">
        <v>0</v>
      </c>
      <c r="CN523" s="1683">
        <v>0</v>
      </c>
      <c r="CO523" s="1683">
        <v>0</v>
      </c>
      <c r="CP523" s="1683">
        <v>0</v>
      </c>
      <c r="CQ523" s="1683">
        <v>0</v>
      </c>
      <c r="CR523" s="1683">
        <v>0</v>
      </c>
      <c r="CS523" s="1683">
        <v>0</v>
      </c>
      <c r="CT523" s="1683">
        <v>0</v>
      </c>
      <c r="CU523" s="1683">
        <v>0</v>
      </c>
      <c r="CV523" s="1683">
        <v>0</v>
      </c>
      <c r="CW523" s="1682"/>
      <c r="CX523" s="1400"/>
      <c r="CY523" s="1400"/>
      <c r="CZ523" s="1400"/>
      <c r="DA523" s="1400"/>
      <c r="DB523" s="1682"/>
      <c r="DC523" s="1326"/>
      <c r="DD523" s="1683">
        <v>0</v>
      </c>
      <c r="DE523" s="1400"/>
      <c r="DF523" s="1400"/>
      <c r="DG523" s="1683">
        <v>0</v>
      </c>
      <c r="DH523" s="1683">
        <v>0</v>
      </c>
    </row>
    <row r="524" spans="1:112" ht="33.75">
      <c r="A524" s="1326" t="s">
        <v>3617</v>
      </c>
      <c r="B524" s="1326" t="s">
        <v>1702</v>
      </c>
      <c r="C524" s="1326" t="s">
        <v>2570</v>
      </c>
      <c r="D524" s="1326" t="s">
        <v>2574</v>
      </c>
      <c r="E524" s="1326" t="s">
        <v>1176</v>
      </c>
      <c r="F524" s="1326" t="s">
        <v>2575</v>
      </c>
      <c r="G524" s="1326" t="s">
        <v>2572</v>
      </c>
      <c r="H524" s="1326" t="s">
        <v>2573</v>
      </c>
      <c r="I524" s="1326" t="s">
        <v>1605</v>
      </c>
      <c r="J524" s="1326" t="s">
        <v>1179</v>
      </c>
      <c r="K524" s="1326" t="s">
        <v>3553</v>
      </c>
      <c r="L524" s="1326" t="s">
        <v>2061</v>
      </c>
      <c r="M524" s="1400"/>
      <c r="N524" s="1400"/>
      <c r="O524" s="1400"/>
      <c r="P524" s="1400"/>
      <c r="Q524" s="1400"/>
      <c r="R524" s="1400"/>
      <c r="S524" s="1400"/>
      <c r="T524" s="1400"/>
      <c r="U524" s="1400"/>
      <c r="V524" s="1400"/>
      <c r="W524" s="1400"/>
      <c r="X524" s="1400"/>
      <c r="Y524" s="1685">
        <v>43476</v>
      </c>
      <c r="Z524" s="1326" t="s">
        <v>2062</v>
      </c>
      <c r="AA524" s="1683">
        <v>0</v>
      </c>
      <c r="AB524" s="1683">
        <v>0</v>
      </c>
      <c r="AC524" s="1683">
        <v>0</v>
      </c>
      <c r="AD524" s="1685">
        <v>43511</v>
      </c>
      <c r="AE524" s="1326" t="s">
        <v>2066</v>
      </c>
      <c r="AF524" s="1326" t="s">
        <v>2064</v>
      </c>
      <c r="AG524" s="1410"/>
      <c r="AH524" s="1683">
        <v>3380.99</v>
      </c>
      <c r="AI524" s="1683">
        <v>3380.99</v>
      </c>
      <c r="AJ524" s="1683">
        <v>3127.41</v>
      </c>
      <c r="AK524" s="1683">
        <v>2873.84</v>
      </c>
      <c r="AL524" s="1683">
        <v>253.57</v>
      </c>
      <c r="AM524" s="1685">
        <v>43511</v>
      </c>
      <c r="AN524" s="1683">
        <v>3380.99</v>
      </c>
      <c r="AO524" s="1683">
        <v>3380.99</v>
      </c>
      <c r="AP524" s="1683">
        <v>3127.41</v>
      </c>
      <c r="AQ524" s="1683">
        <v>2873.84</v>
      </c>
      <c r="AR524" s="1683">
        <v>253.57</v>
      </c>
      <c r="AS524" s="1683">
        <v>253.58</v>
      </c>
      <c r="AT524" s="1683">
        <v>0</v>
      </c>
      <c r="AU524" s="1683">
        <v>253.58</v>
      </c>
      <c r="AV524" s="1683">
        <v>0</v>
      </c>
      <c r="AW524" s="1683">
        <v>0</v>
      </c>
      <c r="AX524" s="1400"/>
      <c r="AY524" s="1400"/>
      <c r="AZ524" s="1400"/>
      <c r="BA524" s="1682"/>
      <c r="BB524" s="1682"/>
      <c r="BC524" s="1400"/>
      <c r="BD524" s="1400"/>
      <c r="BE524" s="1683">
        <v>3380.99</v>
      </c>
      <c r="BF524" s="1683">
        <v>3380.99</v>
      </c>
      <c r="BG524" s="1683">
        <v>3127.41</v>
      </c>
      <c r="BH524" s="1683">
        <v>2873.84</v>
      </c>
      <c r="BI524" s="1683">
        <v>253.57</v>
      </c>
      <c r="BJ524" s="1683">
        <v>253.58</v>
      </c>
      <c r="BK524" s="1683">
        <v>0</v>
      </c>
      <c r="BL524" s="1683">
        <v>253.58</v>
      </c>
      <c r="BM524" s="1683">
        <v>0</v>
      </c>
      <c r="BN524" s="1683">
        <v>0</v>
      </c>
      <c r="BO524" s="1682"/>
      <c r="BP524" s="1683">
        <v>0</v>
      </c>
      <c r="BQ524" s="1683">
        <v>0</v>
      </c>
      <c r="BR524" s="1683">
        <v>0</v>
      </c>
      <c r="BS524" s="1683">
        <v>0</v>
      </c>
      <c r="BT524" s="1683">
        <v>0</v>
      </c>
      <c r="BU524" s="1683">
        <v>0</v>
      </c>
      <c r="BV524" s="1683">
        <v>0</v>
      </c>
      <c r="BW524" s="1683">
        <v>0</v>
      </c>
      <c r="BX524" s="1683">
        <v>0</v>
      </c>
      <c r="BY524" s="1683">
        <v>0</v>
      </c>
      <c r="BZ524" s="1400"/>
      <c r="CA524" s="1400"/>
      <c r="CB524" s="1682"/>
      <c r="CC524" s="1682"/>
      <c r="CD524" s="1400"/>
      <c r="CE524" s="1400"/>
      <c r="CF524" s="1683">
        <v>0</v>
      </c>
      <c r="CG524" s="1683">
        <v>0</v>
      </c>
      <c r="CH524" s="1683">
        <v>0</v>
      </c>
      <c r="CI524" s="1683">
        <v>0</v>
      </c>
      <c r="CJ524" s="1683">
        <v>0</v>
      </c>
      <c r="CK524" s="1683">
        <v>0</v>
      </c>
      <c r="CL524" s="1682"/>
      <c r="CM524" s="1683">
        <v>0</v>
      </c>
      <c r="CN524" s="1683">
        <v>0</v>
      </c>
      <c r="CO524" s="1683">
        <v>0</v>
      </c>
      <c r="CP524" s="1683">
        <v>0</v>
      </c>
      <c r="CQ524" s="1683">
        <v>0</v>
      </c>
      <c r="CR524" s="1683">
        <v>0</v>
      </c>
      <c r="CS524" s="1683">
        <v>0</v>
      </c>
      <c r="CT524" s="1683">
        <v>0</v>
      </c>
      <c r="CU524" s="1683">
        <v>0</v>
      </c>
      <c r="CV524" s="1683">
        <v>0</v>
      </c>
      <c r="CW524" s="1682"/>
      <c r="CX524" s="1400"/>
      <c r="CY524" s="1400"/>
      <c r="CZ524" s="1400"/>
      <c r="DA524" s="1400"/>
      <c r="DB524" s="1682"/>
      <c r="DC524" s="1326"/>
      <c r="DD524" s="1683">
        <v>0</v>
      </c>
      <c r="DE524" s="1400"/>
      <c r="DF524" s="1400"/>
      <c r="DG524" s="1683">
        <v>0</v>
      </c>
      <c r="DH524" s="1683">
        <v>0</v>
      </c>
    </row>
    <row r="525" spans="1:112" ht="33.75">
      <c r="A525" s="1326" t="s">
        <v>3618</v>
      </c>
      <c r="B525" s="1326" t="s">
        <v>1702</v>
      </c>
      <c r="C525" s="1326" t="s">
        <v>2570</v>
      </c>
      <c r="D525" s="1326" t="s">
        <v>2574</v>
      </c>
      <c r="E525" s="1326" t="s">
        <v>1176</v>
      </c>
      <c r="F525" s="1326" t="s">
        <v>2575</v>
      </c>
      <c r="G525" s="1326" t="s">
        <v>2572</v>
      </c>
      <c r="H525" s="1326" t="s">
        <v>2573</v>
      </c>
      <c r="I525" s="1326" t="s">
        <v>1605</v>
      </c>
      <c r="J525" s="1326" t="s">
        <v>1179</v>
      </c>
      <c r="K525" s="1326" t="s">
        <v>3553</v>
      </c>
      <c r="L525" s="1326" t="s">
        <v>2061</v>
      </c>
      <c r="M525" s="1400"/>
      <c r="N525" s="1400"/>
      <c r="O525" s="1400"/>
      <c r="P525" s="1400"/>
      <c r="Q525" s="1400"/>
      <c r="R525" s="1400"/>
      <c r="S525" s="1400"/>
      <c r="T525" s="1400"/>
      <c r="U525" s="1400"/>
      <c r="V525" s="1400"/>
      <c r="W525" s="1400"/>
      <c r="X525" s="1400"/>
      <c r="Y525" s="1685">
        <v>43528</v>
      </c>
      <c r="Z525" s="1326" t="s">
        <v>2096</v>
      </c>
      <c r="AA525" s="1683">
        <v>0</v>
      </c>
      <c r="AB525" s="1683">
        <v>0</v>
      </c>
      <c r="AC525" s="1683">
        <v>0</v>
      </c>
      <c r="AD525" s="1685">
        <v>43536</v>
      </c>
      <c r="AE525" s="1326" t="s">
        <v>2079</v>
      </c>
      <c r="AF525" s="1326" t="s">
        <v>2064</v>
      </c>
      <c r="AG525" s="1410"/>
      <c r="AH525" s="1683">
        <v>0</v>
      </c>
      <c r="AI525" s="1683">
        <v>47138.07</v>
      </c>
      <c r="AJ525" s="1683">
        <v>47138.07</v>
      </c>
      <c r="AK525" s="1683">
        <v>43316.12</v>
      </c>
      <c r="AL525" s="1683">
        <v>3821.95</v>
      </c>
      <c r="AM525" s="1682"/>
      <c r="AN525" s="1683">
        <v>0</v>
      </c>
      <c r="AO525" s="1683">
        <v>0</v>
      </c>
      <c r="AP525" s="1683">
        <v>0</v>
      </c>
      <c r="AQ525" s="1683">
        <v>0</v>
      </c>
      <c r="AR525" s="1683">
        <v>0</v>
      </c>
      <c r="AS525" s="1683">
        <v>0</v>
      </c>
      <c r="AT525" s="1683">
        <v>0</v>
      </c>
      <c r="AU525" s="1683">
        <v>0</v>
      </c>
      <c r="AV525" s="1683">
        <v>0</v>
      </c>
      <c r="AW525" s="1683">
        <v>0</v>
      </c>
      <c r="AX525" s="1400"/>
      <c r="AY525" s="1400"/>
      <c r="AZ525" s="1400"/>
      <c r="BA525" s="1682"/>
      <c r="BB525" s="1682"/>
      <c r="BC525" s="1400"/>
      <c r="BD525" s="1400"/>
      <c r="BE525" s="1683">
        <v>0</v>
      </c>
      <c r="BF525" s="1683">
        <v>0</v>
      </c>
      <c r="BG525" s="1683">
        <v>0</v>
      </c>
      <c r="BH525" s="1683">
        <v>0</v>
      </c>
      <c r="BI525" s="1683">
        <v>0</v>
      </c>
      <c r="BJ525" s="1683">
        <v>0</v>
      </c>
      <c r="BK525" s="1683">
        <v>0</v>
      </c>
      <c r="BL525" s="1683">
        <v>0</v>
      </c>
      <c r="BM525" s="1683">
        <v>0</v>
      </c>
      <c r="BN525" s="1683">
        <v>0</v>
      </c>
      <c r="BO525" s="1682"/>
      <c r="BP525" s="1683">
        <v>0</v>
      </c>
      <c r="BQ525" s="1683">
        <v>0</v>
      </c>
      <c r="BR525" s="1683">
        <v>0</v>
      </c>
      <c r="BS525" s="1683">
        <v>0</v>
      </c>
      <c r="BT525" s="1683">
        <v>0</v>
      </c>
      <c r="BU525" s="1683">
        <v>0</v>
      </c>
      <c r="BV525" s="1683">
        <v>0</v>
      </c>
      <c r="BW525" s="1683">
        <v>0</v>
      </c>
      <c r="BX525" s="1683">
        <v>0</v>
      </c>
      <c r="BY525" s="1683">
        <v>0</v>
      </c>
      <c r="BZ525" s="1400"/>
      <c r="CA525" s="1400"/>
      <c r="CB525" s="1682"/>
      <c r="CC525" s="1682"/>
      <c r="CD525" s="1400"/>
      <c r="CE525" s="1400"/>
      <c r="CF525" s="1683">
        <v>0</v>
      </c>
      <c r="CG525" s="1683">
        <v>0</v>
      </c>
      <c r="CH525" s="1683">
        <v>0</v>
      </c>
      <c r="CI525" s="1683">
        <v>0</v>
      </c>
      <c r="CJ525" s="1683">
        <v>0</v>
      </c>
      <c r="CK525" s="1683">
        <v>0</v>
      </c>
      <c r="CL525" s="1682"/>
      <c r="CM525" s="1683">
        <v>0</v>
      </c>
      <c r="CN525" s="1683">
        <v>0</v>
      </c>
      <c r="CO525" s="1683">
        <v>0</v>
      </c>
      <c r="CP525" s="1683">
        <v>0</v>
      </c>
      <c r="CQ525" s="1683">
        <v>0</v>
      </c>
      <c r="CR525" s="1683">
        <v>0</v>
      </c>
      <c r="CS525" s="1683">
        <v>0</v>
      </c>
      <c r="CT525" s="1683">
        <v>0</v>
      </c>
      <c r="CU525" s="1683">
        <v>0</v>
      </c>
      <c r="CV525" s="1683">
        <v>0</v>
      </c>
      <c r="CW525" s="1682"/>
      <c r="CX525" s="1400"/>
      <c r="CY525" s="1400"/>
      <c r="CZ525" s="1400"/>
      <c r="DA525" s="1400"/>
      <c r="DB525" s="1682"/>
      <c r="DC525" s="1326"/>
      <c r="DD525" s="1683">
        <v>0</v>
      </c>
      <c r="DE525" s="1400"/>
      <c r="DF525" s="1400"/>
      <c r="DG525" s="1683">
        <v>0</v>
      </c>
      <c r="DH525" s="1683">
        <v>0</v>
      </c>
    </row>
    <row r="526" spans="1:112">
      <c r="A526" s="1326" t="s">
        <v>3619</v>
      </c>
      <c r="B526" s="1326" t="s">
        <v>1702</v>
      </c>
      <c r="C526" s="1326" t="s">
        <v>2570</v>
      </c>
      <c r="D526" s="1326" t="s">
        <v>2574</v>
      </c>
      <c r="E526" s="1326" t="s">
        <v>1191</v>
      </c>
      <c r="F526" s="1326"/>
      <c r="G526" s="1326"/>
      <c r="H526" s="1326"/>
      <c r="I526" s="1326"/>
      <c r="J526" s="1326"/>
      <c r="K526" s="1326"/>
      <c r="L526" s="1326"/>
      <c r="M526" s="1683">
        <v>65213.18</v>
      </c>
      <c r="N526" s="1683">
        <v>0</v>
      </c>
      <c r="O526" s="1683">
        <v>65213.18</v>
      </c>
      <c r="P526" s="1683">
        <v>65213.18</v>
      </c>
      <c r="Q526" s="1683">
        <v>60317.14</v>
      </c>
      <c r="R526" s="1683">
        <v>54760.7</v>
      </c>
      <c r="S526" s="1683">
        <v>5556.44</v>
      </c>
      <c r="T526" s="1683">
        <v>4896.04</v>
      </c>
      <c r="U526" s="1683">
        <v>0</v>
      </c>
      <c r="V526" s="1683">
        <v>3596.09</v>
      </c>
      <c r="W526" s="1683">
        <v>1299.95</v>
      </c>
      <c r="X526" s="1683">
        <v>0</v>
      </c>
      <c r="Y526" s="1682"/>
      <c r="Z526" s="1326"/>
      <c r="AA526" s="1683">
        <v>0</v>
      </c>
      <c r="AB526" s="1683">
        <v>0</v>
      </c>
      <c r="AC526" s="1683">
        <v>0</v>
      </c>
      <c r="AD526" s="1682"/>
      <c r="AE526" s="1326"/>
      <c r="AF526" s="1326"/>
      <c r="AG526" s="1410"/>
      <c r="AH526" s="1683">
        <v>1890.71</v>
      </c>
      <c r="AI526" s="1683">
        <v>9390.7099999999991</v>
      </c>
      <c r="AJ526" s="1683">
        <v>9248.9</v>
      </c>
      <c r="AK526" s="1683">
        <v>8430.11</v>
      </c>
      <c r="AL526" s="1683">
        <v>818.79</v>
      </c>
      <c r="AM526" s="1682"/>
      <c r="AN526" s="1683">
        <v>1890.71</v>
      </c>
      <c r="AO526" s="1683">
        <v>1890.71</v>
      </c>
      <c r="AP526" s="1683">
        <v>1748.9</v>
      </c>
      <c r="AQ526" s="1683">
        <v>1607.11</v>
      </c>
      <c r="AR526" s="1683">
        <v>141.79</v>
      </c>
      <c r="AS526" s="1683">
        <v>141.81</v>
      </c>
      <c r="AT526" s="1683">
        <v>0</v>
      </c>
      <c r="AU526" s="1683">
        <v>95.09</v>
      </c>
      <c r="AV526" s="1683">
        <v>46.72</v>
      </c>
      <c r="AW526" s="1683">
        <v>0</v>
      </c>
      <c r="AX526" s="1683">
        <v>0</v>
      </c>
      <c r="AY526" s="1683">
        <v>0</v>
      </c>
      <c r="AZ526" s="1683">
        <v>0</v>
      </c>
      <c r="BA526" s="1682"/>
      <c r="BB526" s="1682"/>
      <c r="BC526" s="1683">
        <v>0</v>
      </c>
      <c r="BD526" s="1683">
        <v>0</v>
      </c>
      <c r="BE526" s="1683">
        <v>1890.71</v>
      </c>
      <c r="BF526" s="1683">
        <v>1890.71</v>
      </c>
      <c r="BG526" s="1683">
        <v>1748.9</v>
      </c>
      <c r="BH526" s="1683">
        <v>1607.11</v>
      </c>
      <c r="BI526" s="1683">
        <v>141.79</v>
      </c>
      <c r="BJ526" s="1683">
        <v>141.81</v>
      </c>
      <c r="BK526" s="1683">
        <v>0</v>
      </c>
      <c r="BL526" s="1683">
        <v>95.09</v>
      </c>
      <c r="BM526" s="1683">
        <v>46.72</v>
      </c>
      <c r="BN526" s="1683">
        <v>0</v>
      </c>
      <c r="BO526" s="1682"/>
      <c r="BP526" s="1683">
        <v>0</v>
      </c>
      <c r="BQ526" s="1683">
        <v>0</v>
      </c>
      <c r="BR526" s="1683">
        <v>0</v>
      </c>
      <c r="BS526" s="1683">
        <v>0</v>
      </c>
      <c r="BT526" s="1683">
        <v>0</v>
      </c>
      <c r="BU526" s="1683">
        <v>0</v>
      </c>
      <c r="BV526" s="1683">
        <v>0</v>
      </c>
      <c r="BW526" s="1683">
        <v>0</v>
      </c>
      <c r="BX526" s="1683">
        <v>0</v>
      </c>
      <c r="BY526" s="1683">
        <v>0</v>
      </c>
      <c r="BZ526" s="1683">
        <v>0</v>
      </c>
      <c r="CA526" s="1683">
        <v>0</v>
      </c>
      <c r="CB526" s="1682"/>
      <c r="CC526" s="1682"/>
      <c r="CD526" s="1683">
        <v>0</v>
      </c>
      <c r="CE526" s="1683">
        <v>0</v>
      </c>
      <c r="CF526" s="1683">
        <v>0</v>
      </c>
      <c r="CG526" s="1683">
        <v>0</v>
      </c>
      <c r="CH526" s="1683">
        <v>0</v>
      </c>
      <c r="CI526" s="1683">
        <v>0</v>
      </c>
      <c r="CJ526" s="1683">
        <v>0</v>
      </c>
      <c r="CK526" s="1683">
        <v>0</v>
      </c>
      <c r="CL526" s="1682"/>
      <c r="CM526" s="1683">
        <v>0</v>
      </c>
      <c r="CN526" s="1683">
        <v>0</v>
      </c>
      <c r="CO526" s="1683">
        <v>0</v>
      </c>
      <c r="CP526" s="1683">
        <v>0</v>
      </c>
      <c r="CQ526" s="1683">
        <v>0</v>
      </c>
      <c r="CR526" s="1683">
        <v>0</v>
      </c>
      <c r="CS526" s="1683">
        <v>0</v>
      </c>
      <c r="CT526" s="1683">
        <v>0</v>
      </c>
      <c r="CU526" s="1683">
        <v>0</v>
      </c>
      <c r="CV526" s="1683">
        <v>0</v>
      </c>
      <c r="CW526" s="1682"/>
      <c r="CX526" s="1683">
        <v>0</v>
      </c>
      <c r="CY526" s="1683">
        <v>0</v>
      </c>
      <c r="CZ526" s="1683">
        <v>0</v>
      </c>
      <c r="DA526" s="1683">
        <v>0</v>
      </c>
      <c r="DB526" s="1682"/>
      <c r="DC526" s="1326"/>
      <c r="DD526" s="1683">
        <v>0</v>
      </c>
      <c r="DE526" s="1683">
        <v>0</v>
      </c>
      <c r="DF526" s="1683">
        <v>0</v>
      </c>
      <c r="DG526" s="1683">
        <v>0</v>
      </c>
      <c r="DH526" s="1683">
        <v>0</v>
      </c>
    </row>
    <row r="527" spans="1:112" ht="78.75">
      <c r="A527" s="1326" t="s">
        <v>3620</v>
      </c>
      <c r="B527" s="1326" t="s">
        <v>1702</v>
      </c>
      <c r="C527" s="1326" t="s">
        <v>2570</v>
      </c>
      <c r="D527" s="1326" t="s">
        <v>2574</v>
      </c>
      <c r="E527" s="1326" t="s">
        <v>1191</v>
      </c>
      <c r="F527" s="1326" t="s">
        <v>2575</v>
      </c>
      <c r="G527" s="1326" t="s">
        <v>2572</v>
      </c>
      <c r="H527" s="1326" t="s">
        <v>2573</v>
      </c>
      <c r="I527" s="1326" t="s">
        <v>1606</v>
      </c>
      <c r="J527" s="1326" t="s">
        <v>3126</v>
      </c>
      <c r="K527" s="1326" t="s">
        <v>2069</v>
      </c>
      <c r="L527" s="1326" t="s">
        <v>2061</v>
      </c>
      <c r="M527" s="1683">
        <v>15224</v>
      </c>
      <c r="N527" s="1683">
        <v>0</v>
      </c>
      <c r="O527" s="1683">
        <v>15224</v>
      </c>
      <c r="P527" s="1683">
        <v>15224</v>
      </c>
      <c r="Q527" s="1683">
        <v>14082</v>
      </c>
      <c r="R527" s="1683">
        <v>12940.4</v>
      </c>
      <c r="S527" s="1683">
        <v>1141.5999999999999</v>
      </c>
      <c r="T527" s="1683">
        <v>1142</v>
      </c>
      <c r="U527" s="1683">
        <v>0</v>
      </c>
      <c r="V527" s="1683">
        <v>1142</v>
      </c>
      <c r="W527" s="1683">
        <v>0</v>
      </c>
      <c r="X527" s="1683">
        <v>0</v>
      </c>
      <c r="Y527" s="1682"/>
      <c r="Z527" s="1326"/>
      <c r="AA527" s="1683">
        <v>0</v>
      </c>
      <c r="AB527" s="1683">
        <v>0</v>
      </c>
      <c r="AC527" s="1683">
        <v>0</v>
      </c>
      <c r="AD527" s="1682"/>
      <c r="AE527" s="1326"/>
      <c r="AF527" s="1326"/>
      <c r="AG527" s="1410"/>
      <c r="AH527" s="1683">
        <v>1156.9000000000001</v>
      </c>
      <c r="AI527" s="1683">
        <v>1156.9000000000001</v>
      </c>
      <c r="AJ527" s="1683">
        <v>1070.1199999999999</v>
      </c>
      <c r="AK527" s="1683">
        <v>983.37</v>
      </c>
      <c r="AL527" s="1683">
        <v>86.75</v>
      </c>
      <c r="AM527" s="1682"/>
      <c r="AN527" s="1683">
        <v>1156.9000000000001</v>
      </c>
      <c r="AO527" s="1683">
        <v>1156.9000000000001</v>
      </c>
      <c r="AP527" s="1683">
        <v>1070.1199999999999</v>
      </c>
      <c r="AQ527" s="1683">
        <v>983.37</v>
      </c>
      <c r="AR527" s="1683">
        <v>86.75</v>
      </c>
      <c r="AS527" s="1683">
        <v>86.78</v>
      </c>
      <c r="AT527" s="1683">
        <v>0</v>
      </c>
      <c r="AU527" s="1683">
        <v>86.78</v>
      </c>
      <c r="AV527" s="1683">
        <v>0</v>
      </c>
      <c r="AW527" s="1683">
        <v>0</v>
      </c>
      <c r="AX527" s="1683">
        <v>0</v>
      </c>
      <c r="AY527" s="1683">
        <v>0</v>
      </c>
      <c r="AZ527" s="1683">
        <v>0</v>
      </c>
      <c r="BA527" s="1682"/>
      <c r="BB527" s="1682"/>
      <c r="BC527" s="1683">
        <v>0</v>
      </c>
      <c r="BD527" s="1683">
        <v>0</v>
      </c>
      <c r="BE527" s="1683">
        <v>1156.9000000000001</v>
      </c>
      <c r="BF527" s="1683">
        <v>1156.9000000000001</v>
      </c>
      <c r="BG527" s="1683">
        <v>1070.1199999999999</v>
      </c>
      <c r="BH527" s="1683">
        <v>983.37</v>
      </c>
      <c r="BI527" s="1683">
        <v>86.75</v>
      </c>
      <c r="BJ527" s="1683">
        <v>86.78</v>
      </c>
      <c r="BK527" s="1683">
        <v>0</v>
      </c>
      <c r="BL527" s="1683">
        <v>86.78</v>
      </c>
      <c r="BM527" s="1683">
        <v>0</v>
      </c>
      <c r="BN527" s="1683">
        <v>0</v>
      </c>
      <c r="BO527" s="1682"/>
      <c r="BP527" s="1683">
        <v>0</v>
      </c>
      <c r="BQ527" s="1683">
        <v>0</v>
      </c>
      <c r="BR527" s="1683">
        <v>0</v>
      </c>
      <c r="BS527" s="1683">
        <v>0</v>
      </c>
      <c r="BT527" s="1683">
        <v>0</v>
      </c>
      <c r="BU527" s="1683">
        <v>0</v>
      </c>
      <c r="BV527" s="1683">
        <v>0</v>
      </c>
      <c r="BW527" s="1683">
        <v>0</v>
      </c>
      <c r="BX527" s="1683">
        <v>0</v>
      </c>
      <c r="BY527" s="1683">
        <v>0</v>
      </c>
      <c r="BZ527" s="1400"/>
      <c r="CA527" s="1683">
        <v>0</v>
      </c>
      <c r="CB527" s="1682"/>
      <c r="CC527" s="1682"/>
      <c r="CD527" s="1683">
        <v>0</v>
      </c>
      <c r="CE527" s="1683">
        <v>0</v>
      </c>
      <c r="CF527" s="1683">
        <v>0</v>
      </c>
      <c r="CG527" s="1683">
        <v>0</v>
      </c>
      <c r="CH527" s="1683">
        <v>0</v>
      </c>
      <c r="CI527" s="1683">
        <v>0</v>
      </c>
      <c r="CJ527" s="1683">
        <v>0</v>
      </c>
      <c r="CK527" s="1683">
        <v>0</v>
      </c>
      <c r="CL527" s="1682"/>
      <c r="CM527" s="1683">
        <v>0</v>
      </c>
      <c r="CN527" s="1683">
        <v>0</v>
      </c>
      <c r="CO527" s="1683">
        <v>0</v>
      </c>
      <c r="CP527" s="1683">
        <v>0</v>
      </c>
      <c r="CQ527" s="1683">
        <v>0</v>
      </c>
      <c r="CR527" s="1683">
        <v>0</v>
      </c>
      <c r="CS527" s="1683">
        <v>0</v>
      </c>
      <c r="CT527" s="1683">
        <v>0</v>
      </c>
      <c r="CU527" s="1683">
        <v>0</v>
      </c>
      <c r="CV527" s="1683">
        <v>0</v>
      </c>
      <c r="CW527" s="1682"/>
      <c r="CX527" s="1683">
        <v>0</v>
      </c>
      <c r="CY527" s="1683">
        <v>0</v>
      </c>
      <c r="CZ527" s="1683">
        <v>0</v>
      </c>
      <c r="DA527" s="1683">
        <v>0</v>
      </c>
      <c r="DB527" s="1682"/>
      <c r="DC527" s="1326"/>
      <c r="DD527" s="1683">
        <v>0</v>
      </c>
      <c r="DE527" s="1683">
        <v>0</v>
      </c>
      <c r="DF527" s="1683">
        <v>0</v>
      </c>
      <c r="DG527" s="1683">
        <v>0</v>
      </c>
      <c r="DH527" s="1683">
        <v>0</v>
      </c>
    </row>
    <row r="528" spans="1:112" ht="78.75">
      <c r="A528" s="1326" t="s">
        <v>3621</v>
      </c>
      <c r="B528" s="1326" t="s">
        <v>1702</v>
      </c>
      <c r="C528" s="1326" t="s">
        <v>2570</v>
      </c>
      <c r="D528" s="1326" t="s">
        <v>2574</v>
      </c>
      <c r="E528" s="1326" t="s">
        <v>1191</v>
      </c>
      <c r="F528" s="1326" t="s">
        <v>2575</v>
      </c>
      <c r="G528" s="1326" t="s">
        <v>2572</v>
      </c>
      <c r="H528" s="1326" t="s">
        <v>2573</v>
      </c>
      <c r="I528" s="1326" t="s">
        <v>1606</v>
      </c>
      <c r="J528" s="1326" t="s">
        <v>3126</v>
      </c>
      <c r="K528" s="1326" t="s">
        <v>2069</v>
      </c>
      <c r="L528" s="1326" t="s">
        <v>2061</v>
      </c>
      <c r="M528" s="1400"/>
      <c r="N528" s="1400"/>
      <c r="O528" s="1400"/>
      <c r="P528" s="1400"/>
      <c r="Q528" s="1400"/>
      <c r="R528" s="1400"/>
      <c r="S528" s="1400"/>
      <c r="T528" s="1400"/>
      <c r="U528" s="1400"/>
      <c r="V528" s="1400"/>
      <c r="W528" s="1400"/>
      <c r="X528" s="1400"/>
      <c r="Y528" s="1685">
        <v>43504</v>
      </c>
      <c r="Z528" s="1326" t="s">
        <v>2062</v>
      </c>
      <c r="AA528" s="1683">
        <v>0</v>
      </c>
      <c r="AB528" s="1683">
        <v>0</v>
      </c>
      <c r="AC528" s="1683">
        <v>0</v>
      </c>
      <c r="AD528" s="1685">
        <v>43530</v>
      </c>
      <c r="AE528" s="1326" t="s">
        <v>2063</v>
      </c>
      <c r="AF528" s="1326" t="s">
        <v>2064</v>
      </c>
      <c r="AG528" s="1410"/>
      <c r="AH528" s="1683">
        <v>1156.9000000000001</v>
      </c>
      <c r="AI528" s="1683">
        <v>1156.9000000000001</v>
      </c>
      <c r="AJ528" s="1683">
        <v>1070.1199999999999</v>
      </c>
      <c r="AK528" s="1683">
        <v>983.37</v>
      </c>
      <c r="AL528" s="1683">
        <v>86.75</v>
      </c>
      <c r="AM528" s="1685">
        <v>43530</v>
      </c>
      <c r="AN528" s="1683">
        <v>1156.9000000000001</v>
      </c>
      <c r="AO528" s="1683">
        <v>1156.9000000000001</v>
      </c>
      <c r="AP528" s="1683">
        <v>1070.1199999999999</v>
      </c>
      <c r="AQ528" s="1683">
        <v>983.37</v>
      </c>
      <c r="AR528" s="1683">
        <v>86.75</v>
      </c>
      <c r="AS528" s="1683">
        <v>86.78</v>
      </c>
      <c r="AT528" s="1683">
        <v>0</v>
      </c>
      <c r="AU528" s="1683">
        <v>86.78</v>
      </c>
      <c r="AV528" s="1683">
        <v>0</v>
      </c>
      <c r="AW528" s="1683">
        <v>0</v>
      </c>
      <c r="AX528" s="1400"/>
      <c r="AY528" s="1400"/>
      <c r="AZ528" s="1400"/>
      <c r="BA528" s="1682"/>
      <c r="BB528" s="1682"/>
      <c r="BC528" s="1400"/>
      <c r="BD528" s="1400"/>
      <c r="BE528" s="1683">
        <v>1156.9000000000001</v>
      </c>
      <c r="BF528" s="1683">
        <v>1156.9000000000001</v>
      </c>
      <c r="BG528" s="1683">
        <v>1070.1199999999999</v>
      </c>
      <c r="BH528" s="1683">
        <v>983.37</v>
      </c>
      <c r="BI528" s="1683">
        <v>86.75</v>
      </c>
      <c r="BJ528" s="1683">
        <v>86.78</v>
      </c>
      <c r="BK528" s="1683">
        <v>0</v>
      </c>
      <c r="BL528" s="1683">
        <v>86.78</v>
      </c>
      <c r="BM528" s="1683">
        <v>0</v>
      </c>
      <c r="BN528" s="1683">
        <v>0</v>
      </c>
      <c r="BO528" s="1682"/>
      <c r="BP528" s="1683">
        <v>0</v>
      </c>
      <c r="BQ528" s="1683">
        <v>0</v>
      </c>
      <c r="BR528" s="1683">
        <v>0</v>
      </c>
      <c r="BS528" s="1683">
        <v>0</v>
      </c>
      <c r="BT528" s="1683">
        <v>0</v>
      </c>
      <c r="BU528" s="1683">
        <v>0</v>
      </c>
      <c r="BV528" s="1683">
        <v>0</v>
      </c>
      <c r="BW528" s="1683">
        <v>0</v>
      </c>
      <c r="BX528" s="1683">
        <v>0</v>
      </c>
      <c r="BY528" s="1683">
        <v>0</v>
      </c>
      <c r="BZ528" s="1400"/>
      <c r="CA528" s="1400"/>
      <c r="CB528" s="1682"/>
      <c r="CC528" s="1682"/>
      <c r="CD528" s="1400"/>
      <c r="CE528" s="1400"/>
      <c r="CF528" s="1683">
        <v>0</v>
      </c>
      <c r="CG528" s="1683">
        <v>0</v>
      </c>
      <c r="CH528" s="1683">
        <v>0</v>
      </c>
      <c r="CI528" s="1683">
        <v>0</v>
      </c>
      <c r="CJ528" s="1683">
        <v>0</v>
      </c>
      <c r="CK528" s="1683">
        <v>0</v>
      </c>
      <c r="CL528" s="1682"/>
      <c r="CM528" s="1683">
        <v>0</v>
      </c>
      <c r="CN528" s="1683">
        <v>0</v>
      </c>
      <c r="CO528" s="1683">
        <v>0</v>
      </c>
      <c r="CP528" s="1683">
        <v>0</v>
      </c>
      <c r="CQ528" s="1683">
        <v>0</v>
      </c>
      <c r="CR528" s="1683">
        <v>0</v>
      </c>
      <c r="CS528" s="1683">
        <v>0</v>
      </c>
      <c r="CT528" s="1683">
        <v>0</v>
      </c>
      <c r="CU528" s="1683">
        <v>0</v>
      </c>
      <c r="CV528" s="1683">
        <v>0</v>
      </c>
      <c r="CW528" s="1682"/>
      <c r="CX528" s="1400"/>
      <c r="CY528" s="1400"/>
      <c r="CZ528" s="1400"/>
      <c r="DA528" s="1400"/>
      <c r="DB528" s="1682"/>
      <c r="DC528" s="1326"/>
      <c r="DD528" s="1683">
        <v>0</v>
      </c>
      <c r="DE528" s="1400"/>
      <c r="DF528" s="1400"/>
      <c r="DG528" s="1683">
        <v>0</v>
      </c>
      <c r="DH528" s="1683">
        <v>0</v>
      </c>
    </row>
    <row r="529" spans="1:112" ht="112.5">
      <c r="A529" s="1326" t="s">
        <v>3622</v>
      </c>
      <c r="B529" s="1326" t="s">
        <v>1702</v>
      </c>
      <c r="C529" s="1326" t="s">
        <v>2570</v>
      </c>
      <c r="D529" s="1326" t="s">
        <v>2574</v>
      </c>
      <c r="E529" s="1326" t="s">
        <v>1191</v>
      </c>
      <c r="F529" s="1326" t="s">
        <v>2575</v>
      </c>
      <c r="G529" s="1326" t="s">
        <v>2572</v>
      </c>
      <c r="H529" s="1326" t="s">
        <v>2573</v>
      </c>
      <c r="I529" s="1326" t="s">
        <v>1607</v>
      </c>
      <c r="J529" s="1326" t="s">
        <v>1199</v>
      </c>
      <c r="K529" s="1326" t="s">
        <v>3862</v>
      </c>
      <c r="L529" s="1326" t="s">
        <v>2061</v>
      </c>
      <c r="M529" s="1683">
        <v>6816</v>
      </c>
      <c r="N529" s="1683">
        <v>0</v>
      </c>
      <c r="O529" s="1683">
        <v>6816</v>
      </c>
      <c r="P529" s="1683">
        <v>6816</v>
      </c>
      <c r="Q529" s="1683">
        <v>6304.8</v>
      </c>
      <c r="R529" s="1683">
        <v>5793.6</v>
      </c>
      <c r="S529" s="1683">
        <v>511.2</v>
      </c>
      <c r="T529" s="1683">
        <v>511.2</v>
      </c>
      <c r="U529" s="1683">
        <v>0</v>
      </c>
      <c r="V529" s="1683">
        <v>0</v>
      </c>
      <c r="W529" s="1683">
        <v>511.2</v>
      </c>
      <c r="X529" s="1683">
        <v>0</v>
      </c>
      <c r="Y529" s="1682"/>
      <c r="Z529" s="1326"/>
      <c r="AA529" s="1683">
        <v>0</v>
      </c>
      <c r="AB529" s="1683">
        <v>0</v>
      </c>
      <c r="AC529" s="1683">
        <v>0</v>
      </c>
      <c r="AD529" s="1682"/>
      <c r="AE529" s="1326"/>
      <c r="AF529" s="1326"/>
      <c r="AG529" s="1410"/>
      <c r="AH529" s="1683">
        <v>622.94000000000005</v>
      </c>
      <c r="AI529" s="1683">
        <v>2422.94</v>
      </c>
      <c r="AJ529" s="1683">
        <v>2376.2199999999998</v>
      </c>
      <c r="AK529" s="1683">
        <v>2183.5500000000002</v>
      </c>
      <c r="AL529" s="1683">
        <v>192.67</v>
      </c>
      <c r="AM529" s="1682"/>
      <c r="AN529" s="1683">
        <v>622.94000000000005</v>
      </c>
      <c r="AO529" s="1683">
        <v>622.94000000000005</v>
      </c>
      <c r="AP529" s="1683">
        <v>576.22</v>
      </c>
      <c r="AQ529" s="1683">
        <v>529.5</v>
      </c>
      <c r="AR529" s="1683">
        <v>46.72</v>
      </c>
      <c r="AS529" s="1683">
        <v>46.72</v>
      </c>
      <c r="AT529" s="1683">
        <v>0</v>
      </c>
      <c r="AU529" s="1683">
        <v>0</v>
      </c>
      <c r="AV529" s="1683">
        <v>46.72</v>
      </c>
      <c r="AW529" s="1683">
        <v>0</v>
      </c>
      <c r="AX529" s="1683">
        <v>0</v>
      </c>
      <c r="AY529" s="1683">
        <v>0</v>
      </c>
      <c r="AZ529" s="1683">
        <v>0</v>
      </c>
      <c r="BA529" s="1682"/>
      <c r="BB529" s="1682"/>
      <c r="BC529" s="1683">
        <v>0</v>
      </c>
      <c r="BD529" s="1683">
        <v>0</v>
      </c>
      <c r="BE529" s="1683">
        <v>622.94000000000005</v>
      </c>
      <c r="BF529" s="1683">
        <v>622.94000000000005</v>
      </c>
      <c r="BG529" s="1683">
        <v>576.22</v>
      </c>
      <c r="BH529" s="1683">
        <v>529.5</v>
      </c>
      <c r="BI529" s="1683">
        <v>46.72</v>
      </c>
      <c r="BJ529" s="1683">
        <v>46.72</v>
      </c>
      <c r="BK529" s="1683">
        <v>0</v>
      </c>
      <c r="BL529" s="1683">
        <v>0</v>
      </c>
      <c r="BM529" s="1683">
        <v>46.72</v>
      </c>
      <c r="BN529" s="1683">
        <v>0</v>
      </c>
      <c r="BO529" s="1682"/>
      <c r="BP529" s="1683">
        <v>0</v>
      </c>
      <c r="BQ529" s="1683">
        <v>0</v>
      </c>
      <c r="BR529" s="1683">
        <v>0</v>
      </c>
      <c r="BS529" s="1683">
        <v>0</v>
      </c>
      <c r="BT529" s="1683">
        <v>0</v>
      </c>
      <c r="BU529" s="1683">
        <v>0</v>
      </c>
      <c r="BV529" s="1683">
        <v>0</v>
      </c>
      <c r="BW529" s="1683">
        <v>0</v>
      </c>
      <c r="BX529" s="1683">
        <v>0</v>
      </c>
      <c r="BY529" s="1683">
        <v>0</v>
      </c>
      <c r="BZ529" s="1683">
        <v>0</v>
      </c>
      <c r="CA529" s="1683">
        <v>0</v>
      </c>
      <c r="CB529" s="1682"/>
      <c r="CC529" s="1682"/>
      <c r="CD529" s="1683">
        <v>0</v>
      </c>
      <c r="CE529" s="1683">
        <v>0</v>
      </c>
      <c r="CF529" s="1683">
        <v>0</v>
      </c>
      <c r="CG529" s="1683">
        <v>0</v>
      </c>
      <c r="CH529" s="1683">
        <v>0</v>
      </c>
      <c r="CI529" s="1683">
        <v>0</v>
      </c>
      <c r="CJ529" s="1683">
        <v>0</v>
      </c>
      <c r="CK529" s="1683">
        <v>0</v>
      </c>
      <c r="CL529" s="1682"/>
      <c r="CM529" s="1683">
        <v>0</v>
      </c>
      <c r="CN529" s="1683">
        <v>0</v>
      </c>
      <c r="CO529" s="1683">
        <v>0</v>
      </c>
      <c r="CP529" s="1683">
        <v>0</v>
      </c>
      <c r="CQ529" s="1683">
        <v>0</v>
      </c>
      <c r="CR529" s="1683">
        <v>0</v>
      </c>
      <c r="CS529" s="1683">
        <v>0</v>
      </c>
      <c r="CT529" s="1683">
        <v>0</v>
      </c>
      <c r="CU529" s="1683">
        <v>0</v>
      </c>
      <c r="CV529" s="1683">
        <v>0</v>
      </c>
      <c r="CW529" s="1682"/>
      <c r="CX529" s="1683">
        <v>0</v>
      </c>
      <c r="CY529" s="1683">
        <v>0</v>
      </c>
      <c r="CZ529" s="1683">
        <v>0</v>
      </c>
      <c r="DA529" s="1683">
        <v>0</v>
      </c>
      <c r="DB529" s="1682"/>
      <c r="DC529" s="1326"/>
      <c r="DD529" s="1683">
        <v>0</v>
      </c>
      <c r="DE529" s="1683">
        <v>0</v>
      </c>
      <c r="DF529" s="1683">
        <v>0</v>
      </c>
      <c r="DG529" s="1683">
        <v>0</v>
      </c>
      <c r="DH529" s="1683">
        <v>0</v>
      </c>
    </row>
    <row r="530" spans="1:112" ht="112.5">
      <c r="A530" s="1326" t="s">
        <v>3623</v>
      </c>
      <c r="B530" s="1326" t="s">
        <v>1702</v>
      </c>
      <c r="C530" s="1326" t="s">
        <v>2570</v>
      </c>
      <c r="D530" s="1326" t="s">
        <v>2574</v>
      </c>
      <c r="E530" s="1326" t="s">
        <v>1191</v>
      </c>
      <c r="F530" s="1326" t="s">
        <v>2575</v>
      </c>
      <c r="G530" s="1326" t="s">
        <v>2572</v>
      </c>
      <c r="H530" s="1326" t="s">
        <v>2573</v>
      </c>
      <c r="I530" s="1326" t="s">
        <v>1607</v>
      </c>
      <c r="J530" s="1326" t="s">
        <v>1199</v>
      </c>
      <c r="K530" s="1326" t="s">
        <v>3862</v>
      </c>
      <c r="L530" s="1326" t="s">
        <v>2061</v>
      </c>
      <c r="M530" s="1400"/>
      <c r="N530" s="1400"/>
      <c r="O530" s="1400"/>
      <c r="P530" s="1400"/>
      <c r="Q530" s="1400"/>
      <c r="R530" s="1400"/>
      <c r="S530" s="1400"/>
      <c r="T530" s="1400"/>
      <c r="U530" s="1400"/>
      <c r="V530" s="1400"/>
      <c r="W530" s="1400"/>
      <c r="X530" s="1400"/>
      <c r="Y530" s="1685">
        <v>43412</v>
      </c>
      <c r="Z530" s="1326" t="s">
        <v>2062</v>
      </c>
      <c r="AA530" s="1683">
        <v>0</v>
      </c>
      <c r="AB530" s="1683">
        <v>0</v>
      </c>
      <c r="AC530" s="1683">
        <v>0</v>
      </c>
      <c r="AD530" s="1685">
        <v>43441</v>
      </c>
      <c r="AE530" s="1326" t="s">
        <v>2073</v>
      </c>
      <c r="AF530" s="1326" t="s">
        <v>2064</v>
      </c>
      <c r="AG530" s="1410"/>
      <c r="AH530" s="1683">
        <v>107.91</v>
      </c>
      <c r="AI530" s="1683">
        <v>107.91</v>
      </c>
      <c r="AJ530" s="1683">
        <v>99.81</v>
      </c>
      <c r="AK530" s="1683">
        <v>91.72</v>
      </c>
      <c r="AL530" s="1683">
        <v>8.09</v>
      </c>
      <c r="AM530" s="1685">
        <v>43441</v>
      </c>
      <c r="AN530" s="1683">
        <v>107.91</v>
      </c>
      <c r="AO530" s="1683">
        <v>107.91</v>
      </c>
      <c r="AP530" s="1683">
        <v>99.81</v>
      </c>
      <c r="AQ530" s="1683">
        <v>91.72</v>
      </c>
      <c r="AR530" s="1683">
        <v>8.09</v>
      </c>
      <c r="AS530" s="1683">
        <v>8.1</v>
      </c>
      <c r="AT530" s="1683">
        <v>0</v>
      </c>
      <c r="AU530" s="1683">
        <v>0</v>
      </c>
      <c r="AV530" s="1683">
        <v>8.1</v>
      </c>
      <c r="AW530" s="1683">
        <v>0</v>
      </c>
      <c r="AX530" s="1400"/>
      <c r="AY530" s="1400"/>
      <c r="AZ530" s="1400"/>
      <c r="BA530" s="1682"/>
      <c r="BB530" s="1682"/>
      <c r="BC530" s="1400"/>
      <c r="BD530" s="1400"/>
      <c r="BE530" s="1683">
        <v>107.91</v>
      </c>
      <c r="BF530" s="1683">
        <v>107.91</v>
      </c>
      <c r="BG530" s="1683">
        <v>99.81</v>
      </c>
      <c r="BH530" s="1683">
        <v>91.72</v>
      </c>
      <c r="BI530" s="1683">
        <v>8.09</v>
      </c>
      <c r="BJ530" s="1683">
        <v>8.1</v>
      </c>
      <c r="BK530" s="1683">
        <v>0</v>
      </c>
      <c r="BL530" s="1683">
        <v>0</v>
      </c>
      <c r="BM530" s="1683">
        <v>8.1</v>
      </c>
      <c r="BN530" s="1683">
        <v>0</v>
      </c>
      <c r="BO530" s="1682"/>
      <c r="BP530" s="1683">
        <v>0</v>
      </c>
      <c r="BQ530" s="1683">
        <v>0</v>
      </c>
      <c r="BR530" s="1683">
        <v>0</v>
      </c>
      <c r="BS530" s="1683">
        <v>0</v>
      </c>
      <c r="BT530" s="1683">
        <v>0</v>
      </c>
      <c r="BU530" s="1683">
        <v>0</v>
      </c>
      <c r="BV530" s="1683">
        <v>0</v>
      </c>
      <c r="BW530" s="1683">
        <v>0</v>
      </c>
      <c r="BX530" s="1683">
        <v>0</v>
      </c>
      <c r="BY530" s="1683">
        <v>0</v>
      </c>
      <c r="BZ530" s="1683">
        <v>0</v>
      </c>
      <c r="CA530" s="1400"/>
      <c r="CB530" s="1682"/>
      <c r="CC530" s="1682"/>
      <c r="CD530" s="1400"/>
      <c r="CE530" s="1400"/>
      <c r="CF530" s="1683">
        <v>0</v>
      </c>
      <c r="CG530" s="1683">
        <v>0</v>
      </c>
      <c r="CH530" s="1683">
        <v>0</v>
      </c>
      <c r="CI530" s="1683">
        <v>0</v>
      </c>
      <c r="CJ530" s="1683">
        <v>0</v>
      </c>
      <c r="CK530" s="1683">
        <v>0</v>
      </c>
      <c r="CL530" s="1682"/>
      <c r="CM530" s="1683">
        <v>0</v>
      </c>
      <c r="CN530" s="1683">
        <v>0</v>
      </c>
      <c r="CO530" s="1683">
        <v>0</v>
      </c>
      <c r="CP530" s="1683">
        <v>0</v>
      </c>
      <c r="CQ530" s="1683">
        <v>0</v>
      </c>
      <c r="CR530" s="1683">
        <v>0</v>
      </c>
      <c r="CS530" s="1683">
        <v>0</v>
      </c>
      <c r="CT530" s="1683">
        <v>0</v>
      </c>
      <c r="CU530" s="1683">
        <v>0</v>
      </c>
      <c r="CV530" s="1683">
        <v>0</v>
      </c>
      <c r="CW530" s="1682"/>
      <c r="CX530" s="1400"/>
      <c r="CY530" s="1400"/>
      <c r="CZ530" s="1400"/>
      <c r="DA530" s="1400"/>
      <c r="DB530" s="1682"/>
      <c r="DC530" s="1326"/>
      <c r="DD530" s="1683">
        <v>0</v>
      </c>
      <c r="DE530" s="1400"/>
      <c r="DF530" s="1400"/>
      <c r="DG530" s="1683">
        <v>0</v>
      </c>
      <c r="DH530" s="1683">
        <v>0</v>
      </c>
    </row>
    <row r="531" spans="1:112" ht="112.5">
      <c r="A531" s="1326" t="s">
        <v>3624</v>
      </c>
      <c r="B531" s="1326" t="s">
        <v>1702</v>
      </c>
      <c r="C531" s="1326" t="s">
        <v>2570</v>
      </c>
      <c r="D531" s="1326" t="s">
        <v>2574</v>
      </c>
      <c r="E531" s="1326" t="s">
        <v>1191</v>
      </c>
      <c r="F531" s="1326" t="s">
        <v>2575</v>
      </c>
      <c r="G531" s="1326" t="s">
        <v>2572</v>
      </c>
      <c r="H531" s="1326" t="s">
        <v>2573</v>
      </c>
      <c r="I531" s="1326" t="s">
        <v>1607</v>
      </c>
      <c r="J531" s="1326" t="s">
        <v>1199</v>
      </c>
      <c r="K531" s="1326" t="s">
        <v>3862</v>
      </c>
      <c r="L531" s="1326" t="s">
        <v>2061</v>
      </c>
      <c r="M531" s="1400"/>
      <c r="N531" s="1400"/>
      <c r="O531" s="1400"/>
      <c r="P531" s="1400"/>
      <c r="Q531" s="1400"/>
      <c r="R531" s="1400"/>
      <c r="S531" s="1400"/>
      <c r="T531" s="1400"/>
      <c r="U531" s="1400"/>
      <c r="V531" s="1400"/>
      <c r="W531" s="1400"/>
      <c r="X531" s="1400"/>
      <c r="Y531" s="1685">
        <v>43431</v>
      </c>
      <c r="Z531" s="1326" t="s">
        <v>2096</v>
      </c>
      <c r="AA531" s="1683">
        <v>0</v>
      </c>
      <c r="AB531" s="1683">
        <v>0</v>
      </c>
      <c r="AC531" s="1683">
        <v>0</v>
      </c>
      <c r="AD531" s="1685">
        <v>43448</v>
      </c>
      <c r="AE531" s="1326" t="s">
        <v>2063</v>
      </c>
      <c r="AF531" s="1326" t="s">
        <v>2064</v>
      </c>
      <c r="AG531" s="1410"/>
      <c r="AH531" s="1683">
        <v>0</v>
      </c>
      <c r="AI531" s="1683">
        <v>1800</v>
      </c>
      <c r="AJ531" s="1683">
        <v>1800</v>
      </c>
      <c r="AK531" s="1683">
        <v>1654.05</v>
      </c>
      <c r="AL531" s="1683">
        <v>145.94999999999999</v>
      </c>
      <c r="AM531" s="1682"/>
      <c r="AN531" s="1683">
        <v>0</v>
      </c>
      <c r="AO531" s="1683">
        <v>0</v>
      </c>
      <c r="AP531" s="1683">
        <v>0</v>
      </c>
      <c r="AQ531" s="1683">
        <v>0</v>
      </c>
      <c r="AR531" s="1683">
        <v>0</v>
      </c>
      <c r="AS531" s="1683">
        <v>0</v>
      </c>
      <c r="AT531" s="1683">
        <v>0</v>
      </c>
      <c r="AU531" s="1683">
        <v>0</v>
      </c>
      <c r="AV531" s="1683">
        <v>0</v>
      </c>
      <c r="AW531" s="1683">
        <v>0</v>
      </c>
      <c r="AX531" s="1400"/>
      <c r="AY531" s="1400"/>
      <c r="AZ531" s="1400"/>
      <c r="BA531" s="1682"/>
      <c r="BB531" s="1682"/>
      <c r="BC531" s="1400"/>
      <c r="BD531" s="1400"/>
      <c r="BE531" s="1683">
        <v>0</v>
      </c>
      <c r="BF531" s="1683">
        <v>0</v>
      </c>
      <c r="BG531" s="1683">
        <v>0</v>
      </c>
      <c r="BH531" s="1683">
        <v>0</v>
      </c>
      <c r="BI531" s="1683">
        <v>0</v>
      </c>
      <c r="BJ531" s="1683">
        <v>0</v>
      </c>
      <c r="BK531" s="1683">
        <v>0</v>
      </c>
      <c r="BL531" s="1683">
        <v>0</v>
      </c>
      <c r="BM531" s="1683">
        <v>0</v>
      </c>
      <c r="BN531" s="1683">
        <v>0</v>
      </c>
      <c r="BO531" s="1682"/>
      <c r="BP531" s="1683">
        <v>0</v>
      </c>
      <c r="BQ531" s="1683">
        <v>0</v>
      </c>
      <c r="BR531" s="1683">
        <v>0</v>
      </c>
      <c r="BS531" s="1683">
        <v>0</v>
      </c>
      <c r="BT531" s="1683">
        <v>0</v>
      </c>
      <c r="BU531" s="1683">
        <v>0</v>
      </c>
      <c r="BV531" s="1683">
        <v>0</v>
      </c>
      <c r="BW531" s="1683">
        <v>0</v>
      </c>
      <c r="BX531" s="1683">
        <v>0</v>
      </c>
      <c r="BY531" s="1683">
        <v>0</v>
      </c>
      <c r="BZ531" s="1400"/>
      <c r="CA531" s="1400"/>
      <c r="CB531" s="1682"/>
      <c r="CC531" s="1682"/>
      <c r="CD531" s="1400"/>
      <c r="CE531" s="1400"/>
      <c r="CF531" s="1683">
        <v>0</v>
      </c>
      <c r="CG531" s="1683">
        <v>0</v>
      </c>
      <c r="CH531" s="1683">
        <v>0</v>
      </c>
      <c r="CI531" s="1683">
        <v>0</v>
      </c>
      <c r="CJ531" s="1683">
        <v>0</v>
      </c>
      <c r="CK531" s="1683">
        <v>0</v>
      </c>
      <c r="CL531" s="1682"/>
      <c r="CM531" s="1683">
        <v>0</v>
      </c>
      <c r="CN531" s="1683">
        <v>0</v>
      </c>
      <c r="CO531" s="1683">
        <v>0</v>
      </c>
      <c r="CP531" s="1683">
        <v>0</v>
      </c>
      <c r="CQ531" s="1683">
        <v>0</v>
      </c>
      <c r="CR531" s="1683">
        <v>0</v>
      </c>
      <c r="CS531" s="1683">
        <v>0</v>
      </c>
      <c r="CT531" s="1683">
        <v>0</v>
      </c>
      <c r="CU531" s="1683">
        <v>0</v>
      </c>
      <c r="CV531" s="1683">
        <v>0</v>
      </c>
      <c r="CW531" s="1682"/>
      <c r="CX531" s="1400"/>
      <c r="CY531" s="1400"/>
      <c r="CZ531" s="1400"/>
      <c r="DA531" s="1400"/>
      <c r="DB531" s="1682"/>
      <c r="DC531" s="1326"/>
      <c r="DD531" s="1683">
        <v>0</v>
      </c>
      <c r="DE531" s="1400"/>
      <c r="DF531" s="1400"/>
      <c r="DG531" s="1683">
        <v>0</v>
      </c>
      <c r="DH531" s="1683">
        <v>0</v>
      </c>
    </row>
    <row r="532" spans="1:112" ht="112.5">
      <c r="A532" s="1326" t="s">
        <v>3625</v>
      </c>
      <c r="B532" s="1326" t="s">
        <v>1702</v>
      </c>
      <c r="C532" s="1326" t="s">
        <v>2570</v>
      </c>
      <c r="D532" s="1326" t="s">
        <v>2574</v>
      </c>
      <c r="E532" s="1326" t="s">
        <v>1191</v>
      </c>
      <c r="F532" s="1326" t="s">
        <v>2575</v>
      </c>
      <c r="G532" s="1326" t="s">
        <v>2572</v>
      </c>
      <c r="H532" s="1326" t="s">
        <v>2573</v>
      </c>
      <c r="I532" s="1326" t="s">
        <v>1607</v>
      </c>
      <c r="J532" s="1326" t="s">
        <v>1199</v>
      </c>
      <c r="K532" s="1326" t="s">
        <v>3862</v>
      </c>
      <c r="L532" s="1326" t="s">
        <v>2061</v>
      </c>
      <c r="M532" s="1400"/>
      <c r="N532" s="1400"/>
      <c r="O532" s="1400"/>
      <c r="P532" s="1400"/>
      <c r="Q532" s="1400"/>
      <c r="R532" s="1400"/>
      <c r="S532" s="1400"/>
      <c r="T532" s="1400"/>
      <c r="U532" s="1400"/>
      <c r="V532" s="1400"/>
      <c r="W532" s="1400"/>
      <c r="X532" s="1400"/>
      <c r="Y532" s="1685">
        <v>43524</v>
      </c>
      <c r="Z532" s="1326" t="s">
        <v>2062</v>
      </c>
      <c r="AA532" s="1683">
        <v>0</v>
      </c>
      <c r="AB532" s="1683">
        <v>0</v>
      </c>
      <c r="AC532" s="1683">
        <v>0</v>
      </c>
      <c r="AD532" s="1685">
        <v>43536</v>
      </c>
      <c r="AE532" s="1326" t="s">
        <v>2066</v>
      </c>
      <c r="AF532" s="1326" t="s">
        <v>2064</v>
      </c>
      <c r="AG532" s="1410"/>
      <c r="AH532" s="1683">
        <v>515.03</v>
      </c>
      <c r="AI532" s="1683">
        <v>515.03</v>
      </c>
      <c r="AJ532" s="1683">
        <v>476.41</v>
      </c>
      <c r="AK532" s="1683">
        <v>437.78</v>
      </c>
      <c r="AL532" s="1683">
        <v>38.630000000000003</v>
      </c>
      <c r="AM532" s="1685">
        <v>43536</v>
      </c>
      <c r="AN532" s="1683">
        <v>515.03</v>
      </c>
      <c r="AO532" s="1683">
        <v>515.03</v>
      </c>
      <c r="AP532" s="1683">
        <v>476.41</v>
      </c>
      <c r="AQ532" s="1683">
        <v>437.78</v>
      </c>
      <c r="AR532" s="1683">
        <v>38.630000000000003</v>
      </c>
      <c r="AS532" s="1683">
        <v>38.619999999999997</v>
      </c>
      <c r="AT532" s="1683">
        <v>0</v>
      </c>
      <c r="AU532" s="1683">
        <v>0</v>
      </c>
      <c r="AV532" s="1683">
        <v>38.619999999999997</v>
      </c>
      <c r="AW532" s="1683">
        <v>0</v>
      </c>
      <c r="AX532" s="1400"/>
      <c r="AY532" s="1400"/>
      <c r="AZ532" s="1400"/>
      <c r="BA532" s="1682"/>
      <c r="BB532" s="1682"/>
      <c r="BC532" s="1400"/>
      <c r="BD532" s="1400"/>
      <c r="BE532" s="1683">
        <v>515.03</v>
      </c>
      <c r="BF532" s="1683">
        <v>515.03</v>
      </c>
      <c r="BG532" s="1683">
        <v>476.41</v>
      </c>
      <c r="BH532" s="1683">
        <v>437.78</v>
      </c>
      <c r="BI532" s="1683">
        <v>38.630000000000003</v>
      </c>
      <c r="BJ532" s="1683">
        <v>38.619999999999997</v>
      </c>
      <c r="BK532" s="1683">
        <v>0</v>
      </c>
      <c r="BL532" s="1683">
        <v>0</v>
      </c>
      <c r="BM532" s="1683">
        <v>38.619999999999997</v>
      </c>
      <c r="BN532" s="1683">
        <v>0</v>
      </c>
      <c r="BO532" s="1682"/>
      <c r="BP532" s="1683">
        <v>0</v>
      </c>
      <c r="BQ532" s="1683">
        <v>0</v>
      </c>
      <c r="BR532" s="1683">
        <v>0</v>
      </c>
      <c r="BS532" s="1683">
        <v>0</v>
      </c>
      <c r="BT532" s="1683">
        <v>0</v>
      </c>
      <c r="BU532" s="1683">
        <v>0</v>
      </c>
      <c r="BV532" s="1683">
        <v>0</v>
      </c>
      <c r="BW532" s="1683">
        <v>0</v>
      </c>
      <c r="BX532" s="1683">
        <v>0</v>
      </c>
      <c r="BY532" s="1683">
        <v>0</v>
      </c>
      <c r="BZ532" s="1400"/>
      <c r="CA532" s="1400"/>
      <c r="CB532" s="1682"/>
      <c r="CC532" s="1682"/>
      <c r="CD532" s="1400"/>
      <c r="CE532" s="1400"/>
      <c r="CF532" s="1683">
        <v>0</v>
      </c>
      <c r="CG532" s="1683">
        <v>0</v>
      </c>
      <c r="CH532" s="1683">
        <v>0</v>
      </c>
      <c r="CI532" s="1683">
        <v>0</v>
      </c>
      <c r="CJ532" s="1683">
        <v>0</v>
      </c>
      <c r="CK532" s="1683">
        <v>0</v>
      </c>
      <c r="CL532" s="1682"/>
      <c r="CM532" s="1683">
        <v>0</v>
      </c>
      <c r="CN532" s="1683">
        <v>0</v>
      </c>
      <c r="CO532" s="1683">
        <v>0</v>
      </c>
      <c r="CP532" s="1683">
        <v>0</v>
      </c>
      <c r="CQ532" s="1683">
        <v>0</v>
      </c>
      <c r="CR532" s="1683">
        <v>0</v>
      </c>
      <c r="CS532" s="1683">
        <v>0</v>
      </c>
      <c r="CT532" s="1683">
        <v>0</v>
      </c>
      <c r="CU532" s="1683">
        <v>0</v>
      </c>
      <c r="CV532" s="1683">
        <v>0</v>
      </c>
      <c r="CW532" s="1682"/>
      <c r="CX532" s="1400"/>
      <c r="CY532" s="1400"/>
      <c r="CZ532" s="1400"/>
      <c r="DA532" s="1400"/>
      <c r="DB532" s="1682"/>
      <c r="DC532" s="1326"/>
      <c r="DD532" s="1683">
        <v>0</v>
      </c>
      <c r="DE532" s="1400"/>
      <c r="DF532" s="1400"/>
      <c r="DG532" s="1683">
        <v>0</v>
      </c>
      <c r="DH532" s="1683">
        <v>0</v>
      </c>
    </row>
    <row r="533" spans="1:112" ht="101.25">
      <c r="A533" s="1326" t="s">
        <v>3626</v>
      </c>
      <c r="B533" s="1326" t="s">
        <v>1702</v>
      </c>
      <c r="C533" s="1326" t="s">
        <v>2570</v>
      </c>
      <c r="D533" s="1326" t="s">
        <v>2574</v>
      </c>
      <c r="E533" s="1326" t="s">
        <v>1191</v>
      </c>
      <c r="F533" s="1326" t="s">
        <v>2575</v>
      </c>
      <c r="G533" s="1326" t="s">
        <v>2572</v>
      </c>
      <c r="H533" s="1326" t="s">
        <v>2573</v>
      </c>
      <c r="I533" s="1326" t="s">
        <v>1608</v>
      </c>
      <c r="J533" s="1326" t="s">
        <v>1205</v>
      </c>
      <c r="K533" s="1326" t="s">
        <v>2060</v>
      </c>
      <c r="L533" s="1326" t="s">
        <v>2061</v>
      </c>
      <c r="M533" s="1683">
        <v>15679</v>
      </c>
      <c r="N533" s="1683">
        <v>0</v>
      </c>
      <c r="O533" s="1683">
        <v>15679</v>
      </c>
      <c r="P533" s="1683">
        <v>15679</v>
      </c>
      <c r="Q533" s="1683">
        <v>14503</v>
      </c>
      <c r="R533" s="1683">
        <v>13327</v>
      </c>
      <c r="S533" s="1683">
        <v>1176</v>
      </c>
      <c r="T533" s="1683">
        <v>1176</v>
      </c>
      <c r="U533" s="1683">
        <v>0</v>
      </c>
      <c r="V533" s="1683">
        <v>1176</v>
      </c>
      <c r="W533" s="1683">
        <v>0</v>
      </c>
      <c r="X533" s="1683">
        <v>0</v>
      </c>
      <c r="Y533" s="1682"/>
      <c r="Z533" s="1326"/>
      <c r="AA533" s="1683">
        <v>0</v>
      </c>
      <c r="AB533" s="1683">
        <v>0</v>
      </c>
      <c r="AC533" s="1683">
        <v>0</v>
      </c>
      <c r="AD533" s="1682"/>
      <c r="AE533" s="1326"/>
      <c r="AF533" s="1326"/>
      <c r="AG533" s="1410"/>
      <c r="AH533" s="1683">
        <v>110.87</v>
      </c>
      <c r="AI533" s="1683">
        <v>110.87</v>
      </c>
      <c r="AJ533" s="1683">
        <v>102.56</v>
      </c>
      <c r="AK533" s="1683">
        <v>94.24</v>
      </c>
      <c r="AL533" s="1683">
        <v>8.32</v>
      </c>
      <c r="AM533" s="1682"/>
      <c r="AN533" s="1683">
        <v>110.87</v>
      </c>
      <c r="AO533" s="1683">
        <v>110.87</v>
      </c>
      <c r="AP533" s="1683">
        <v>102.56</v>
      </c>
      <c r="AQ533" s="1683">
        <v>94.24</v>
      </c>
      <c r="AR533" s="1683">
        <v>8.32</v>
      </c>
      <c r="AS533" s="1683">
        <v>8.31</v>
      </c>
      <c r="AT533" s="1683">
        <v>0</v>
      </c>
      <c r="AU533" s="1683">
        <v>8.31</v>
      </c>
      <c r="AV533" s="1683">
        <v>0</v>
      </c>
      <c r="AW533" s="1683">
        <v>0</v>
      </c>
      <c r="AX533" s="1683">
        <v>0</v>
      </c>
      <c r="AY533" s="1683">
        <v>0</v>
      </c>
      <c r="AZ533" s="1683">
        <v>0</v>
      </c>
      <c r="BA533" s="1682"/>
      <c r="BB533" s="1682"/>
      <c r="BC533" s="1683">
        <v>0</v>
      </c>
      <c r="BD533" s="1683">
        <v>0</v>
      </c>
      <c r="BE533" s="1683">
        <v>110.87</v>
      </c>
      <c r="BF533" s="1683">
        <v>110.87</v>
      </c>
      <c r="BG533" s="1683">
        <v>102.56</v>
      </c>
      <c r="BH533" s="1683">
        <v>94.24</v>
      </c>
      <c r="BI533" s="1683">
        <v>8.32</v>
      </c>
      <c r="BJ533" s="1683">
        <v>8.31</v>
      </c>
      <c r="BK533" s="1683">
        <v>0</v>
      </c>
      <c r="BL533" s="1683">
        <v>8.31</v>
      </c>
      <c r="BM533" s="1683">
        <v>0</v>
      </c>
      <c r="BN533" s="1683">
        <v>0</v>
      </c>
      <c r="BO533" s="1682"/>
      <c r="BP533" s="1683">
        <v>0</v>
      </c>
      <c r="BQ533" s="1683">
        <v>0</v>
      </c>
      <c r="BR533" s="1683">
        <v>0</v>
      </c>
      <c r="BS533" s="1683">
        <v>0</v>
      </c>
      <c r="BT533" s="1683">
        <v>0</v>
      </c>
      <c r="BU533" s="1683">
        <v>0</v>
      </c>
      <c r="BV533" s="1683">
        <v>0</v>
      </c>
      <c r="BW533" s="1683">
        <v>0</v>
      </c>
      <c r="BX533" s="1683">
        <v>0</v>
      </c>
      <c r="BY533" s="1683">
        <v>0</v>
      </c>
      <c r="BZ533" s="1400"/>
      <c r="CA533" s="1683">
        <v>0</v>
      </c>
      <c r="CB533" s="1682"/>
      <c r="CC533" s="1682"/>
      <c r="CD533" s="1683">
        <v>0</v>
      </c>
      <c r="CE533" s="1683">
        <v>0</v>
      </c>
      <c r="CF533" s="1683">
        <v>0</v>
      </c>
      <c r="CG533" s="1683">
        <v>0</v>
      </c>
      <c r="CH533" s="1683">
        <v>0</v>
      </c>
      <c r="CI533" s="1683">
        <v>0</v>
      </c>
      <c r="CJ533" s="1683">
        <v>0</v>
      </c>
      <c r="CK533" s="1683">
        <v>0</v>
      </c>
      <c r="CL533" s="1682"/>
      <c r="CM533" s="1683">
        <v>0</v>
      </c>
      <c r="CN533" s="1683">
        <v>0</v>
      </c>
      <c r="CO533" s="1683">
        <v>0</v>
      </c>
      <c r="CP533" s="1683">
        <v>0</v>
      </c>
      <c r="CQ533" s="1683">
        <v>0</v>
      </c>
      <c r="CR533" s="1683">
        <v>0</v>
      </c>
      <c r="CS533" s="1683">
        <v>0</v>
      </c>
      <c r="CT533" s="1683">
        <v>0</v>
      </c>
      <c r="CU533" s="1683">
        <v>0</v>
      </c>
      <c r="CV533" s="1683">
        <v>0</v>
      </c>
      <c r="CW533" s="1682"/>
      <c r="CX533" s="1683">
        <v>0</v>
      </c>
      <c r="CY533" s="1683">
        <v>0</v>
      </c>
      <c r="CZ533" s="1683">
        <v>0</v>
      </c>
      <c r="DA533" s="1683">
        <v>0</v>
      </c>
      <c r="DB533" s="1682"/>
      <c r="DC533" s="1326"/>
      <c r="DD533" s="1683">
        <v>0</v>
      </c>
      <c r="DE533" s="1683">
        <v>0</v>
      </c>
      <c r="DF533" s="1683">
        <v>0</v>
      </c>
      <c r="DG533" s="1683">
        <v>0</v>
      </c>
      <c r="DH533" s="1683">
        <v>0</v>
      </c>
    </row>
    <row r="534" spans="1:112" ht="101.25">
      <c r="A534" s="1326" t="s">
        <v>3821</v>
      </c>
      <c r="B534" s="1326" t="s">
        <v>1702</v>
      </c>
      <c r="C534" s="1326" t="s">
        <v>2570</v>
      </c>
      <c r="D534" s="1326" t="s">
        <v>2574</v>
      </c>
      <c r="E534" s="1326" t="s">
        <v>1191</v>
      </c>
      <c r="F534" s="1326" t="s">
        <v>2575</v>
      </c>
      <c r="G534" s="1326" t="s">
        <v>2572</v>
      </c>
      <c r="H534" s="1326" t="s">
        <v>2573</v>
      </c>
      <c r="I534" s="1326" t="s">
        <v>1608</v>
      </c>
      <c r="J534" s="1326" t="s">
        <v>1205</v>
      </c>
      <c r="K534" s="1326" t="s">
        <v>2060</v>
      </c>
      <c r="L534" s="1326" t="s">
        <v>2061</v>
      </c>
      <c r="M534" s="1400"/>
      <c r="N534" s="1400"/>
      <c r="O534" s="1400"/>
      <c r="P534" s="1400"/>
      <c r="Q534" s="1400"/>
      <c r="R534" s="1400"/>
      <c r="S534" s="1400"/>
      <c r="T534" s="1400"/>
      <c r="U534" s="1400"/>
      <c r="V534" s="1400"/>
      <c r="W534" s="1400"/>
      <c r="X534" s="1400"/>
      <c r="Y534" s="1685">
        <v>43469</v>
      </c>
      <c r="Z534" s="1326" t="s">
        <v>2062</v>
      </c>
      <c r="AA534" s="1683">
        <v>0</v>
      </c>
      <c r="AB534" s="1683">
        <v>0</v>
      </c>
      <c r="AC534" s="1683">
        <v>0</v>
      </c>
      <c r="AD534" s="1685">
        <v>43496</v>
      </c>
      <c r="AE534" s="1326" t="s">
        <v>2073</v>
      </c>
      <c r="AF534" s="1326" t="s">
        <v>2064</v>
      </c>
      <c r="AG534" s="1410"/>
      <c r="AH534" s="1683">
        <v>110.87</v>
      </c>
      <c r="AI534" s="1683">
        <v>110.87</v>
      </c>
      <c r="AJ534" s="1683">
        <v>102.56</v>
      </c>
      <c r="AK534" s="1683">
        <v>94.24</v>
      </c>
      <c r="AL534" s="1683">
        <v>8.32</v>
      </c>
      <c r="AM534" s="1685">
        <v>43496</v>
      </c>
      <c r="AN534" s="1683">
        <v>110.87</v>
      </c>
      <c r="AO534" s="1683">
        <v>110.87</v>
      </c>
      <c r="AP534" s="1683">
        <v>102.56</v>
      </c>
      <c r="AQ534" s="1683">
        <v>94.24</v>
      </c>
      <c r="AR534" s="1683">
        <v>8.32</v>
      </c>
      <c r="AS534" s="1683">
        <v>8.31</v>
      </c>
      <c r="AT534" s="1683">
        <v>0</v>
      </c>
      <c r="AU534" s="1683">
        <v>8.31</v>
      </c>
      <c r="AV534" s="1683">
        <v>0</v>
      </c>
      <c r="AW534" s="1683">
        <v>0</v>
      </c>
      <c r="AX534" s="1400"/>
      <c r="AY534" s="1400"/>
      <c r="AZ534" s="1400"/>
      <c r="BA534" s="1682"/>
      <c r="BB534" s="1682"/>
      <c r="BC534" s="1400"/>
      <c r="BD534" s="1400"/>
      <c r="BE534" s="1683">
        <v>110.87</v>
      </c>
      <c r="BF534" s="1683">
        <v>110.87</v>
      </c>
      <c r="BG534" s="1683">
        <v>102.56</v>
      </c>
      <c r="BH534" s="1683">
        <v>94.24</v>
      </c>
      <c r="BI534" s="1683">
        <v>8.32</v>
      </c>
      <c r="BJ534" s="1683">
        <v>8.31</v>
      </c>
      <c r="BK534" s="1683">
        <v>0</v>
      </c>
      <c r="BL534" s="1683">
        <v>8.31</v>
      </c>
      <c r="BM534" s="1683">
        <v>0</v>
      </c>
      <c r="BN534" s="1683">
        <v>0</v>
      </c>
      <c r="BO534" s="1682"/>
      <c r="BP534" s="1683">
        <v>0</v>
      </c>
      <c r="BQ534" s="1683">
        <v>0</v>
      </c>
      <c r="BR534" s="1683">
        <v>0</v>
      </c>
      <c r="BS534" s="1683">
        <v>0</v>
      </c>
      <c r="BT534" s="1683">
        <v>0</v>
      </c>
      <c r="BU534" s="1683">
        <v>0</v>
      </c>
      <c r="BV534" s="1683">
        <v>0</v>
      </c>
      <c r="BW534" s="1683">
        <v>0</v>
      </c>
      <c r="BX534" s="1683">
        <v>0</v>
      </c>
      <c r="BY534" s="1683">
        <v>0</v>
      </c>
      <c r="BZ534" s="1400"/>
      <c r="CA534" s="1400"/>
      <c r="CB534" s="1682"/>
      <c r="CC534" s="1682"/>
      <c r="CD534" s="1400"/>
      <c r="CE534" s="1400"/>
      <c r="CF534" s="1683">
        <v>0</v>
      </c>
      <c r="CG534" s="1683">
        <v>0</v>
      </c>
      <c r="CH534" s="1683">
        <v>0</v>
      </c>
      <c r="CI534" s="1683">
        <v>0</v>
      </c>
      <c r="CJ534" s="1683">
        <v>0</v>
      </c>
      <c r="CK534" s="1683">
        <v>0</v>
      </c>
      <c r="CL534" s="1682"/>
      <c r="CM534" s="1683">
        <v>0</v>
      </c>
      <c r="CN534" s="1683">
        <v>0</v>
      </c>
      <c r="CO534" s="1683">
        <v>0</v>
      </c>
      <c r="CP534" s="1683">
        <v>0</v>
      </c>
      <c r="CQ534" s="1683">
        <v>0</v>
      </c>
      <c r="CR534" s="1683">
        <v>0</v>
      </c>
      <c r="CS534" s="1683">
        <v>0</v>
      </c>
      <c r="CT534" s="1683">
        <v>0</v>
      </c>
      <c r="CU534" s="1683">
        <v>0</v>
      </c>
      <c r="CV534" s="1683">
        <v>0</v>
      </c>
      <c r="CW534" s="1682"/>
      <c r="CX534" s="1400"/>
      <c r="CY534" s="1400"/>
      <c r="CZ534" s="1400"/>
      <c r="DA534" s="1400"/>
      <c r="DB534" s="1682"/>
      <c r="DC534" s="1326"/>
      <c r="DD534" s="1683">
        <v>0</v>
      </c>
      <c r="DE534" s="1400"/>
      <c r="DF534" s="1400"/>
      <c r="DG534" s="1683">
        <v>0</v>
      </c>
      <c r="DH534" s="1683">
        <v>0</v>
      </c>
    </row>
    <row r="535" spans="1:112" ht="112.5">
      <c r="A535" s="1326" t="s">
        <v>3822</v>
      </c>
      <c r="B535" s="1326" t="s">
        <v>1702</v>
      </c>
      <c r="C535" s="1326" t="s">
        <v>2570</v>
      </c>
      <c r="D535" s="1326" t="s">
        <v>2574</v>
      </c>
      <c r="E535" s="1326" t="s">
        <v>1191</v>
      </c>
      <c r="F535" s="1326" t="s">
        <v>2575</v>
      </c>
      <c r="G535" s="1326" t="s">
        <v>2572</v>
      </c>
      <c r="H535" s="1326" t="s">
        <v>2573</v>
      </c>
      <c r="I535" s="1326" t="s">
        <v>1609</v>
      </c>
      <c r="J535" s="1326" t="s">
        <v>3141</v>
      </c>
      <c r="K535" s="1326" t="s">
        <v>4326</v>
      </c>
      <c r="L535" s="1326" t="s">
        <v>2061</v>
      </c>
      <c r="M535" s="1683">
        <v>10453</v>
      </c>
      <c r="N535" s="1683">
        <v>0</v>
      </c>
      <c r="O535" s="1683">
        <v>10453</v>
      </c>
      <c r="P535" s="1683">
        <v>10453</v>
      </c>
      <c r="Q535" s="1683">
        <v>9664.25</v>
      </c>
      <c r="R535" s="1683">
        <v>8214.61</v>
      </c>
      <c r="S535" s="1683">
        <v>1449.64</v>
      </c>
      <c r="T535" s="1683">
        <v>788.75</v>
      </c>
      <c r="U535" s="1683">
        <v>0</v>
      </c>
      <c r="V535" s="1683">
        <v>0</v>
      </c>
      <c r="W535" s="1683">
        <v>788.75</v>
      </c>
      <c r="X535" s="1683">
        <v>0</v>
      </c>
      <c r="Y535" s="1682"/>
      <c r="Z535" s="1326"/>
      <c r="AA535" s="1683">
        <v>0</v>
      </c>
      <c r="AB535" s="1683">
        <v>0</v>
      </c>
      <c r="AC535" s="1683">
        <v>0</v>
      </c>
      <c r="AD535" s="1682"/>
      <c r="AE535" s="1326"/>
      <c r="AF535" s="1326"/>
      <c r="AG535" s="1410"/>
      <c r="AH535" s="1683">
        <v>0</v>
      </c>
      <c r="AI535" s="1683">
        <v>1000</v>
      </c>
      <c r="AJ535" s="1683">
        <v>1000</v>
      </c>
      <c r="AK535" s="1683">
        <v>850</v>
      </c>
      <c r="AL535" s="1683">
        <v>150</v>
      </c>
      <c r="AM535" s="1682"/>
      <c r="AN535" s="1683">
        <v>0</v>
      </c>
      <c r="AO535" s="1683">
        <v>0</v>
      </c>
      <c r="AP535" s="1683">
        <v>0</v>
      </c>
      <c r="AQ535" s="1683">
        <v>0</v>
      </c>
      <c r="AR535" s="1683">
        <v>0</v>
      </c>
      <c r="AS535" s="1683">
        <v>0</v>
      </c>
      <c r="AT535" s="1683">
        <v>0</v>
      </c>
      <c r="AU535" s="1683">
        <v>0</v>
      </c>
      <c r="AV535" s="1683">
        <v>0</v>
      </c>
      <c r="AW535" s="1683">
        <v>0</v>
      </c>
      <c r="AX535" s="1683">
        <v>0</v>
      </c>
      <c r="AY535" s="1683">
        <v>0</v>
      </c>
      <c r="AZ535" s="1683">
        <v>0</v>
      </c>
      <c r="BA535" s="1682"/>
      <c r="BB535" s="1682"/>
      <c r="BC535" s="1683">
        <v>0</v>
      </c>
      <c r="BD535" s="1683">
        <v>0</v>
      </c>
      <c r="BE535" s="1683">
        <v>0</v>
      </c>
      <c r="BF535" s="1683">
        <v>0</v>
      </c>
      <c r="BG535" s="1683">
        <v>0</v>
      </c>
      <c r="BH535" s="1683">
        <v>0</v>
      </c>
      <c r="BI535" s="1683">
        <v>0</v>
      </c>
      <c r="BJ535" s="1683">
        <v>0</v>
      </c>
      <c r="BK535" s="1683">
        <v>0</v>
      </c>
      <c r="BL535" s="1683">
        <v>0</v>
      </c>
      <c r="BM535" s="1683">
        <v>0</v>
      </c>
      <c r="BN535" s="1683">
        <v>0</v>
      </c>
      <c r="BO535" s="1682"/>
      <c r="BP535" s="1683">
        <v>0</v>
      </c>
      <c r="BQ535" s="1683">
        <v>0</v>
      </c>
      <c r="BR535" s="1683">
        <v>0</v>
      </c>
      <c r="BS535" s="1683">
        <v>0</v>
      </c>
      <c r="BT535" s="1683">
        <v>0</v>
      </c>
      <c r="BU535" s="1683">
        <v>0</v>
      </c>
      <c r="BV535" s="1683">
        <v>0</v>
      </c>
      <c r="BW535" s="1683">
        <v>0</v>
      </c>
      <c r="BX535" s="1683">
        <v>0</v>
      </c>
      <c r="BY535" s="1683">
        <v>0</v>
      </c>
      <c r="BZ535" s="1400"/>
      <c r="CA535" s="1683">
        <v>0</v>
      </c>
      <c r="CB535" s="1682"/>
      <c r="CC535" s="1682"/>
      <c r="CD535" s="1683">
        <v>0</v>
      </c>
      <c r="CE535" s="1683">
        <v>0</v>
      </c>
      <c r="CF535" s="1683">
        <v>0</v>
      </c>
      <c r="CG535" s="1683">
        <v>0</v>
      </c>
      <c r="CH535" s="1683">
        <v>0</v>
      </c>
      <c r="CI535" s="1683">
        <v>0</v>
      </c>
      <c r="CJ535" s="1683">
        <v>0</v>
      </c>
      <c r="CK535" s="1683">
        <v>0</v>
      </c>
      <c r="CL535" s="1682"/>
      <c r="CM535" s="1683">
        <v>0</v>
      </c>
      <c r="CN535" s="1683">
        <v>0</v>
      </c>
      <c r="CO535" s="1683">
        <v>0</v>
      </c>
      <c r="CP535" s="1683">
        <v>0</v>
      </c>
      <c r="CQ535" s="1683">
        <v>0</v>
      </c>
      <c r="CR535" s="1683">
        <v>0</v>
      </c>
      <c r="CS535" s="1683">
        <v>0</v>
      </c>
      <c r="CT535" s="1683">
        <v>0</v>
      </c>
      <c r="CU535" s="1683">
        <v>0</v>
      </c>
      <c r="CV535" s="1683">
        <v>0</v>
      </c>
      <c r="CW535" s="1682"/>
      <c r="CX535" s="1683">
        <v>0</v>
      </c>
      <c r="CY535" s="1683">
        <v>0</v>
      </c>
      <c r="CZ535" s="1683">
        <v>0</v>
      </c>
      <c r="DA535" s="1683">
        <v>0</v>
      </c>
      <c r="DB535" s="1682"/>
      <c r="DC535" s="1326"/>
      <c r="DD535" s="1683">
        <v>0</v>
      </c>
      <c r="DE535" s="1683">
        <v>0</v>
      </c>
      <c r="DF535" s="1683">
        <v>0</v>
      </c>
      <c r="DG535" s="1683">
        <v>0</v>
      </c>
      <c r="DH535" s="1683">
        <v>0</v>
      </c>
    </row>
    <row r="536" spans="1:112" ht="112.5">
      <c r="A536" s="1326" t="s">
        <v>3823</v>
      </c>
      <c r="B536" s="1326" t="s">
        <v>1702</v>
      </c>
      <c r="C536" s="1326" t="s">
        <v>2570</v>
      </c>
      <c r="D536" s="1326" t="s">
        <v>2574</v>
      </c>
      <c r="E536" s="1326" t="s">
        <v>1191</v>
      </c>
      <c r="F536" s="1326" t="s">
        <v>2575</v>
      </c>
      <c r="G536" s="1326" t="s">
        <v>2572</v>
      </c>
      <c r="H536" s="1326" t="s">
        <v>2573</v>
      </c>
      <c r="I536" s="1326" t="s">
        <v>1609</v>
      </c>
      <c r="J536" s="1326" t="s">
        <v>3141</v>
      </c>
      <c r="K536" s="1326" t="s">
        <v>4326</v>
      </c>
      <c r="L536" s="1326" t="s">
        <v>2061</v>
      </c>
      <c r="M536" s="1400"/>
      <c r="N536" s="1400"/>
      <c r="O536" s="1400"/>
      <c r="P536" s="1400"/>
      <c r="Q536" s="1400"/>
      <c r="R536" s="1400"/>
      <c r="S536" s="1400"/>
      <c r="T536" s="1400"/>
      <c r="U536" s="1400"/>
      <c r="V536" s="1400"/>
      <c r="W536" s="1400"/>
      <c r="X536" s="1400"/>
      <c r="Y536" s="1685">
        <v>43489</v>
      </c>
      <c r="Z536" s="1326" t="s">
        <v>2096</v>
      </c>
      <c r="AA536" s="1683">
        <v>0</v>
      </c>
      <c r="AB536" s="1683">
        <v>0</v>
      </c>
      <c r="AC536" s="1683">
        <v>0</v>
      </c>
      <c r="AD536" s="1685">
        <v>43495</v>
      </c>
      <c r="AE536" s="1326" t="s">
        <v>2073</v>
      </c>
      <c r="AF536" s="1326" t="s">
        <v>2064</v>
      </c>
      <c r="AG536" s="1410"/>
      <c r="AH536" s="1683">
        <v>0</v>
      </c>
      <c r="AI536" s="1683">
        <v>1000</v>
      </c>
      <c r="AJ536" s="1683">
        <v>1000</v>
      </c>
      <c r="AK536" s="1683">
        <v>850</v>
      </c>
      <c r="AL536" s="1683">
        <v>150</v>
      </c>
      <c r="AM536" s="1682"/>
      <c r="AN536" s="1683">
        <v>0</v>
      </c>
      <c r="AO536" s="1683">
        <v>0</v>
      </c>
      <c r="AP536" s="1683">
        <v>0</v>
      </c>
      <c r="AQ536" s="1683">
        <v>0</v>
      </c>
      <c r="AR536" s="1683">
        <v>0</v>
      </c>
      <c r="AS536" s="1683">
        <v>0</v>
      </c>
      <c r="AT536" s="1683">
        <v>0</v>
      </c>
      <c r="AU536" s="1683">
        <v>0</v>
      </c>
      <c r="AV536" s="1683">
        <v>0</v>
      </c>
      <c r="AW536" s="1683">
        <v>0</v>
      </c>
      <c r="AX536" s="1400"/>
      <c r="AY536" s="1400"/>
      <c r="AZ536" s="1400"/>
      <c r="BA536" s="1682"/>
      <c r="BB536" s="1682"/>
      <c r="BC536" s="1400"/>
      <c r="BD536" s="1400"/>
      <c r="BE536" s="1683">
        <v>0</v>
      </c>
      <c r="BF536" s="1683">
        <v>0</v>
      </c>
      <c r="BG536" s="1683">
        <v>0</v>
      </c>
      <c r="BH536" s="1683">
        <v>0</v>
      </c>
      <c r="BI536" s="1683">
        <v>0</v>
      </c>
      <c r="BJ536" s="1683">
        <v>0</v>
      </c>
      <c r="BK536" s="1683">
        <v>0</v>
      </c>
      <c r="BL536" s="1683">
        <v>0</v>
      </c>
      <c r="BM536" s="1683">
        <v>0</v>
      </c>
      <c r="BN536" s="1683">
        <v>0</v>
      </c>
      <c r="BO536" s="1682"/>
      <c r="BP536" s="1683">
        <v>0</v>
      </c>
      <c r="BQ536" s="1683">
        <v>0</v>
      </c>
      <c r="BR536" s="1683">
        <v>0</v>
      </c>
      <c r="BS536" s="1683">
        <v>0</v>
      </c>
      <c r="BT536" s="1683">
        <v>0</v>
      </c>
      <c r="BU536" s="1683">
        <v>0</v>
      </c>
      <c r="BV536" s="1683">
        <v>0</v>
      </c>
      <c r="BW536" s="1683">
        <v>0</v>
      </c>
      <c r="BX536" s="1683">
        <v>0</v>
      </c>
      <c r="BY536" s="1683">
        <v>0</v>
      </c>
      <c r="BZ536" s="1400"/>
      <c r="CA536" s="1400"/>
      <c r="CB536" s="1682"/>
      <c r="CC536" s="1682"/>
      <c r="CD536" s="1400"/>
      <c r="CE536" s="1400"/>
      <c r="CF536" s="1683">
        <v>0</v>
      </c>
      <c r="CG536" s="1683">
        <v>0</v>
      </c>
      <c r="CH536" s="1683">
        <v>0</v>
      </c>
      <c r="CI536" s="1683">
        <v>0</v>
      </c>
      <c r="CJ536" s="1683">
        <v>0</v>
      </c>
      <c r="CK536" s="1683">
        <v>0</v>
      </c>
      <c r="CL536" s="1682"/>
      <c r="CM536" s="1683">
        <v>0</v>
      </c>
      <c r="CN536" s="1683">
        <v>0</v>
      </c>
      <c r="CO536" s="1683">
        <v>0</v>
      </c>
      <c r="CP536" s="1683">
        <v>0</v>
      </c>
      <c r="CQ536" s="1683">
        <v>0</v>
      </c>
      <c r="CR536" s="1683">
        <v>0</v>
      </c>
      <c r="CS536" s="1683">
        <v>0</v>
      </c>
      <c r="CT536" s="1683">
        <v>0</v>
      </c>
      <c r="CU536" s="1683">
        <v>0</v>
      </c>
      <c r="CV536" s="1683">
        <v>0</v>
      </c>
      <c r="CW536" s="1682"/>
      <c r="CX536" s="1400"/>
      <c r="CY536" s="1400"/>
      <c r="CZ536" s="1400"/>
      <c r="DA536" s="1400"/>
      <c r="DB536" s="1682"/>
      <c r="DC536" s="1326"/>
      <c r="DD536" s="1683">
        <v>0</v>
      </c>
      <c r="DE536" s="1400"/>
      <c r="DF536" s="1400"/>
      <c r="DG536" s="1683">
        <v>0</v>
      </c>
      <c r="DH536" s="1683">
        <v>0</v>
      </c>
    </row>
    <row r="537" spans="1:112" ht="67.5">
      <c r="A537" s="1326" t="s">
        <v>3824</v>
      </c>
      <c r="B537" s="1326" t="s">
        <v>1702</v>
      </c>
      <c r="C537" s="1326" t="s">
        <v>2570</v>
      </c>
      <c r="D537" s="1326" t="s">
        <v>2574</v>
      </c>
      <c r="E537" s="1326" t="s">
        <v>1191</v>
      </c>
      <c r="F537" s="1326" t="s">
        <v>2575</v>
      </c>
      <c r="G537" s="1326" t="s">
        <v>2572</v>
      </c>
      <c r="H537" s="1326" t="s">
        <v>2573</v>
      </c>
      <c r="I537" s="1326" t="s">
        <v>1623</v>
      </c>
      <c r="J537" s="1326" t="s">
        <v>1190</v>
      </c>
      <c r="K537" s="1326" t="s">
        <v>2071</v>
      </c>
      <c r="L537" s="1326" t="s">
        <v>2061</v>
      </c>
      <c r="M537" s="1683">
        <v>17041.18</v>
      </c>
      <c r="N537" s="1683">
        <v>0</v>
      </c>
      <c r="O537" s="1683">
        <v>17041.18</v>
      </c>
      <c r="P537" s="1683">
        <v>17041.18</v>
      </c>
      <c r="Q537" s="1683">
        <v>15763.09</v>
      </c>
      <c r="R537" s="1683">
        <v>14485.09</v>
      </c>
      <c r="S537" s="1683">
        <v>1278</v>
      </c>
      <c r="T537" s="1683">
        <v>1278.0899999999999</v>
      </c>
      <c r="U537" s="1683">
        <v>0</v>
      </c>
      <c r="V537" s="1683">
        <v>1278.0899999999999</v>
      </c>
      <c r="W537" s="1683">
        <v>0</v>
      </c>
      <c r="X537" s="1683">
        <v>0</v>
      </c>
      <c r="Y537" s="1682"/>
      <c r="Z537" s="1326"/>
      <c r="AA537" s="1683">
        <v>0</v>
      </c>
      <c r="AB537" s="1683">
        <v>0</v>
      </c>
      <c r="AC537" s="1683">
        <v>0</v>
      </c>
      <c r="AD537" s="1682"/>
      <c r="AE537" s="1326"/>
      <c r="AF537" s="1326"/>
      <c r="AG537" s="1410"/>
      <c r="AH537" s="1683">
        <v>0</v>
      </c>
      <c r="AI537" s="1683">
        <v>4700</v>
      </c>
      <c r="AJ537" s="1683">
        <v>4700</v>
      </c>
      <c r="AK537" s="1683">
        <v>4318.95</v>
      </c>
      <c r="AL537" s="1683">
        <v>381.05</v>
      </c>
      <c r="AM537" s="1682"/>
      <c r="AN537" s="1683">
        <v>0</v>
      </c>
      <c r="AO537" s="1683">
        <v>0</v>
      </c>
      <c r="AP537" s="1683">
        <v>0</v>
      </c>
      <c r="AQ537" s="1683">
        <v>0</v>
      </c>
      <c r="AR537" s="1683">
        <v>0</v>
      </c>
      <c r="AS537" s="1683">
        <v>0</v>
      </c>
      <c r="AT537" s="1683">
        <v>0</v>
      </c>
      <c r="AU537" s="1683">
        <v>0</v>
      </c>
      <c r="AV537" s="1683">
        <v>0</v>
      </c>
      <c r="AW537" s="1683">
        <v>0</v>
      </c>
      <c r="AX537" s="1683">
        <v>0</v>
      </c>
      <c r="AY537" s="1683">
        <v>0</v>
      </c>
      <c r="AZ537" s="1683">
        <v>0</v>
      </c>
      <c r="BA537" s="1682"/>
      <c r="BB537" s="1682"/>
      <c r="BC537" s="1683">
        <v>0</v>
      </c>
      <c r="BD537" s="1683">
        <v>0</v>
      </c>
      <c r="BE537" s="1683">
        <v>0</v>
      </c>
      <c r="BF537" s="1683">
        <v>0</v>
      </c>
      <c r="BG537" s="1683">
        <v>0</v>
      </c>
      <c r="BH537" s="1683">
        <v>0</v>
      </c>
      <c r="BI537" s="1683">
        <v>0</v>
      </c>
      <c r="BJ537" s="1683">
        <v>0</v>
      </c>
      <c r="BK537" s="1683">
        <v>0</v>
      </c>
      <c r="BL537" s="1683">
        <v>0</v>
      </c>
      <c r="BM537" s="1683">
        <v>0</v>
      </c>
      <c r="BN537" s="1683">
        <v>0</v>
      </c>
      <c r="BO537" s="1682"/>
      <c r="BP537" s="1683">
        <v>0</v>
      </c>
      <c r="BQ537" s="1683">
        <v>0</v>
      </c>
      <c r="BR537" s="1683">
        <v>0</v>
      </c>
      <c r="BS537" s="1683">
        <v>0</v>
      </c>
      <c r="BT537" s="1683">
        <v>0</v>
      </c>
      <c r="BU537" s="1683">
        <v>0</v>
      </c>
      <c r="BV537" s="1683">
        <v>0</v>
      </c>
      <c r="BW537" s="1683">
        <v>0</v>
      </c>
      <c r="BX537" s="1683">
        <v>0</v>
      </c>
      <c r="BY537" s="1683">
        <v>0</v>
      </c>
      <c r="BZ537" s="1400"/>
      <c r="CA537" s="1683">
        <v>0</v>
      </c>
      <c r="CB537" s="1682"/>
      <c r="CC537" s="1682"/>
      <c r="CD537" s="1683">
        <v>0</v>
      </c>
      <c r="CE537" s="1683">
        <v>0</v>
      </c>
      <c r="CF537" s="1683">
        <v>0</v>
      </c>
      <c r="CG537" s="1683">
        <v>0</v>
      </c>
      <c r="CH537" s="1683">
        <v>0</v>
      </c>
      <c r="CI537" s="1683">
        <v>0</v>
      </c>
      <c r="CJ537" s="1683">
        <v>0</v>
      </c>
      <c r="CK537" s="1683">
        <v>0</v>
      </c>
      <c r="CL537" s="1682"/>
      <c r="CM537" s="1683">
        <v>0</v>
      </c>
      <c r="CN537" s="1683">
        <v>0</v>
      </c>
      <c r="CO537" s="1683">
        <v>0</v>
      </c>
      <c r="CP537" s="1683">
        <v>0</v>
      </c>
      <c r="CQ537" s="1683">
        <v>0</v>
      </c>
      <c r="CR537" s="1683">
        <v>0</v>
      </c>
      <c r="CS537" s="1683">
        <v>0</v>
      </c>
      <c r="CT537" s="1683">
        <v>0</v>
      </c>
      <c r="CU537" s="1683">
        <v>0</v>
      </c>
      <c r="CV537" s="1683">
        <v>0</v>
      </c>
      <c r="CW537" s="1682"/>
      <c r="CX537" s="1683">
        <v>0</v>
      </c>
      <c r="CY537" s="1683">
        <v>0</v>
      </c>
      <c r="CZ537" s="1683">
        <v>0</v>
      </c>
      <c r="DA537" s="1683">
        <v>0</v>
      </c>
      <c r="DB537" s="1682"/>
      <c r="DC537" s="1326"/>
      <c r="DD537" s="1683">
        <v>0</v>
      </c>
      <c r="DE537" s="1683">
        <v>0</v>
      </c>
      <c r="DF537" s="1683">
        <v>0</v>
      </c>
      <c r="DG537" s="1683">
        <v>0</v>
      </c>
      <c r="DH537" s="1683">
        <v>0</v>
      </c>
    </row>
    <row r="538" spans="1:112" ht="67.5">
      <c r="A538" s="1326" t="s">
        <v>3825</v>
      </c>
      <c r="B538" s="1326" t="s">
        <v>1702</v>
      </c>
      <c r="C538" s="1326" t="s">
        <v>2570</v>
      </c>
      <c r="D538" s="1326" t="s">
        <v>2574</v>
      </c>
      <c r="E538" s="1326" t="s">
        <v>1191</v>
      </c>
      <c r="F538" s="1326" t="s">
        <v>2575</v>
      </c>
      <c r="G538" s="1326" t="s">
        <v>2572</v>
      </c>
      <c r="H538" s="1326" t="s">
        <v>2573</v>
      </c>
      <c r="I538" s="1326" t="s">
        <v>1623</v>
      </c>
      <c r="J538" s="1326" t="s">
        <v>1190</v>
      </c>
      <c r="K538" s="1326" t="s">
        <v>2071</v>
      </c>
      <c r="L538" s="1326" t="s">
        <v>2061</v>
      </c>
      <c r="M538" s="1400"/>
      <c r="N538" s="1400"/>
      <c r="O538" s="1400"/>
      <c r="P538" s="1400"/>
      <c r="Q538" s="1400"/>
      <c r="R538" s="1400"/>
      <c r="S538" s="1400"/>
      <c r="T538" s="1400"/>
      <c r="U538" s="1400"/>
      <c r="V538" s="1400"/>
      <c r="W538" s="1400"/>
      <c r="X538" s="1400"/>
      <c r="Y538" s="1685">
        <v>43438</v>
      </c>
      <c r="Z538" s="1326" t="s">
        <v>2096</v>
      </c>
      <c r="AA538" s="1683">
        <v>0</v>
      </c>
      <c r="AB538" s="1683">
        <v>0</v>
      </c>
      <c r="AC538" s="1683">
        <v>0</v>
      </c>
      <c r="AD538" s="1685">
        <v>43454</v>
      </c>
      <c r="AE538" s="1326" t="s">
        <v>2073</v>
      </c>
      <c r="AF538" s="1326" t="s">
        <v>2064</v>
      </c>
      <c r="AG538" s="1410"/>
      <c r="AH538" s="1683">
        <v>0</v>
      </c>
      <c r="AI538" s="1683">
        <v>4700</v>
      </c>
      <c r="AJ538" s="1683">
        <v>4700</v>
      </c>
      <c r="AK538" s="1683">
        <v>4318.95</v>
      </c>
      <c r="AL538" s="1683">
        <v>381.05</v>
      </c>
      <c r="AM538" s="1682"/>
      <c r="AN538" s="1683">
        <v>0</v>
      </c>
      <c r="AO538" s="1683">
        <v>0</v>
      </c>
      <c r="AP538" s="1683">
        <v>0</v>
      </c>
      <c r="AQ538" s="1683">
        <v>0</v>
      </c>
      <c r="AR538" s="1683">
        <v>0</v>
      </c>
      <c r="AS538" s="1683">
        <v>0</v>
      </c>
      <c r="AT538" s="1683">
        <v>0</v>
      </c>
      <c r="AU538" s="1683">
        <v>0</v>
      </c>
      <c r="AV538" s="1683">
        <v>0</v>
      </c>
      <c r="AW538" s="1683">
        <v>0</v>
      </c>
      <c r="AX538" s="1400"/>
      <c r="AY538" s="1400"/>
      <c r="AZ538" s="1400"/>
      <c r="BA538" s="1682"/>
      <c r="BB538" s="1682"/>
      <c r="BC538" s="1400"/>
      <c r="BD538" s="1400"/>
      <c r="BE538" s="1683">
        <v>0</v>
      </c>
      <c r="BF538" s="1683">
        <v>0</v>
      </c>
      <c r="BG538" s="1683">
        <v>0</v>
      </c>
      <c r="BH538" s="1683">
        <v>0</v>
      </c>
      <c r="BI538" s="1683">
        <v>0</v>
      </c>
      <c r="BJ538" s="1683">
        <v>0</v>
      </c>
      <c r="BK538" s="1683">
        <v>0</v>
      </c>
      <c r="BL538" s="1683">
        <v>0</v>
      </c>
      <c r="BM538" s="1683">
        <v>0</v>
      </c>
      <c r="BN538" s="1683">
        <v>0</v>
      </c>
      <c r="BO538" s="1682"/>
      <c r="BP538" s="1683">
        <v>0</v>
      </c>
      <c r="BQ538" s="1683">
        <v>0</v>
      </c>
      <c r="BR538" s="1683">
        <v>0</v>
      </c>
      <c r="BS538" s="1683">
        <v>0</v>
      </c>
      <c r="BT538" s="1683">
        <v>0</v>
      </c>
      <c r="BU538" s="1683">
        <v>0</v>
      </c>
      <c r="BV538" s="1683">
        <v>0</v>
      </c>
      <c r="BW538" s="1683">
        <v>0</v>
      </c>
      <c r="BX538" s="1683">
        <v>0</v>
      </c>
      <c r="BY538" s="1683">
        <v>0</v>
      </c>
      <c r="BZ538" s="1400"/>
      <c r="CA538" s="1400"/>
      <c r="CB538" s="1682"/>
      <c r="CC538" s="1682"/>
      <c r="CD538" s="1400"/>
      <c r="CE538" s="1400"/>
      <c r="CF538" s="1683">
        <v>0</v>
      </c>
      <c r="CG538" s="1683">
        <v>0</v>
      </c>
      <c r="CH538" s="1683">
        <v>0</v>
      </c>
      <c r="CI538" s="1683">
        <v>0</v>
      </c>
      <c r="CJ538" s="1683">
        <v>0</v>
      </c>
      <c r="CK538" s="1683">
        <v>0</v>
      </c>
      <c r="CL538" s="1682"/>
      <c r="CM538" s="1683">
        <v>0</v>
      </c>
      <c r="CN538" s="1683">
        <v>0</v>
      </c>
      <c r="CO538" s="1683">
        <v>0</v>
      </c>
      <c r="CP538" s="1683">
        <v>0</v>
      </c>
      <c r="CQ538" s="1683">
        <v>0</v>
      </c>
      <c r="CR538" s="1683">
        <v>0</v>
      </c>
      <c r="CS538" s="1683">
        <v>0</v>
      </c>
      <c r="CT538" s="1683">
        <v>0</v>
      </c>
      <c r="CU538" s="1683">
        <v>0</v>
      </c>
      <c r="CV538" s="1683">
        <v>0</v>
      </c>
      <c r="CW538" s="1682"/>
      <c r="CX538" s="1400"/>
      <c r="CY538" s="1400"/>
      <c r="CZ538" s="1400"/>
      <c r="DA538" s="1400"/>
      <c r="DB538" s="1682"/>
      <c r="DC538" s="1326"/>
      <c r="DD538" s="1683">
        <v>0</v>
      </c>
      <c r="DE538" s="1400"/>
      <c r="DF538" s="1400"/>
      <c r="DG538" s="1683">
        <v>0</v>
      </c>
      <c r="DH538" s="1683">
        <v>0</v>
      </c>
    </row>
    <row r="539" spans="1:112">
      <c r="A539" s="1326" t="s">
        <v>3826</v>
      </c>
      <c r="B539" s="1326" t="s">
        <v>1702</v>
      </c>
      <c r="C539" s="1326" t="s">
        <v>2576</v>
      </c>
      <c r="D539" s="1326"/>
      <c r="E539" s="1326"/>
      <c r="F539" s="1326"/>
      <c r="G539" s="1326"/>
      <c r="H539" s="1326"/>
      <c r="I539" s="1326"/>
      <c r="J539" s="1326"/>
      <c r="K539" s="1326"/>
      <c r="L539" s="1326"/>
      <c r="M539" s="1683">
        <v>168579.83</v>
      </c>
      <c r="N539" s="1683">
        <v>0</v>
      </c>
      <c r="O539" s="1683">
        <v>168579.83</v>
      </c>
      <c r="P539" s="1683">
        <v>114920.89</v>
      </c>
      <c r="Q539" s="1683">
        <v>114920.89</v>
      </c>
      <c r="R539" s="1683">
        <v>105602.98</v>
      </c>
      <c r="S539" s="1683">
        <v>9317.91</v>
      </c>
      <c r="T539" s="1683">
        <v>53658.94</v>
      </c>
      <c r="U539" s="1683">
        <v>0</v>
      </c>
      <c r="V539" s="1683">
        <v>0</v>
      </c>
      <c r="W539" s="1683">
        <v>0</v>
      </c>
      <c r="X539" s="1683">
        <v>53658.94</v>
      </c>
      <c r="Y539" s="1682"/>
      <c r="Z539" s="1326"/>
      <c r="AA539" s="1683">
        <v>9890.7800000000007</v>
      </c>
      <c r="AB539" s="1683">
        <v>9088.82</v>
      </c>
      <c r="AC539" s="1683">
        <v>801.96</v>
      </c>
      <c r="AD539" s="1682"/>
      <c r="AE539" s="1326"/>
      <c r="AF539" s="1326"/>
      <c r="AG539" s="1410"/>
      <c r="AH539" s="1683">
        <v>71734.37</v>
      </c>
      <c r="AI539" s="1683">
        <v>79077.16</v>
      </c>
      <c r="AJ539" s="1683">
        <v>69186.38</v>
      </c>
      <c r="AK539" s="1683">
        <v>63576.68</v>
      </c>
      <c r="AL539" s="1683">
        <v>5609.7</v>
      </c>
      <c r="AM539" s="1682"/>
      <c r="AN539" s="1683">
        <v>71589.119999999995</v>
      </c>
      <c r="AO539" s="1683">
        <v>48807.4</v>
      </c>
      <c r="AP539" s="1683">
        <v>48807.4</v>
      </c>
      <c r="AQ539" s="1683">
        <v>44850.04</v>
      </c>
      <c r="AR539" s="1683">
        <v>3957.36</v>
      </c>
      <c r="AS539" s="1683">
        <v>22781.72</v>
      </c>
      <c r="AT539" s="1683">
        <v>0</v>
      </c>
      <c r="AU539" s="1683">
        <v>0</v>
      </c>
      <c r="AV539" s="1683">
        <v>0</v>
      </c>
      <c r="AW539" s="1683">
        <v>22781.72</v>
      </c>
      <c r="AX539" s="1683">
        <v>0</v>
      </c>
      <c r="AY539" s="1683">
        <v>0</v>
      </c>
      <c r="AZ539" s="1683">
        <v>0</v>
      </c>
      <c r="BA539" s="1682"/>
      <c r="BB539" s="1682"/>
      <c r="BC539" s="1683">
        <v>0</v>
      </c>
      <c r="BD539" s="1683">
        <v>0</v>
      </c>
      <c r="BE539" s="1683">
        <v>71589.119999999995</v>
      </c>
      <c r="BF539" s="1683">
        <v>48807.4</v>
      </c>
      <c r="BG539" s="1683">
        <v>48807.4</v>
      </c>
      <c r="BH539" s="1683">
        <v>44850.04</v>
      </c>
      <c r="BI539" s="1683">
        <v>3957.36</v>
      </c>
      <c r="BJ539" s="1683">
        <v>22781.72</v>
      </c>
      <c r="BK539" s="1683">
        <v>0</v>
      </c>
      <c r="BL539" s="1683">
        <v>0</v>
      </c>
      <c r="BM539" s="1683">
        <v>0</v>
      </c>
      <c r="BN539" s="1683">
        <v>22781.72</v>
      </c>
      <c r="BO539" s="1682"/>
      <c r="BP539" s="1683">
        <v>0</v>
      </c>
      <c r="BQ539" s="1683">
        <v>0</v>
      </c>
      <c r="BR539" s="1683">
        <v>0</v>
      </c>
      <c r="BS539" s="1683">
        <v>0</v>
      </c>
      <c r="BT539" s="1683">
        <v>0</v>
      </c>
      <c r="BU539" s="1683">
        <v>0</v>
      </c>
      <c r="BV539" s="1683">
        <v>0</v>
      </c>
      <c r="BW539" s="1683">
        <v>0</v>
      </c>
      <c r="BX539" s="1683">
        <v>0</v>
      </c>
      <c r="BY539" s="1683">
        <v>0</v>
      </c>
      <c r="BZ539" s="1683">
        <v>0</v>
      </c>
      <c r="CA539" s="1683">
        <v>0</v>
      </c>
      <c r="CB539" s="1682"/>
      <c r="CC539" s="1682"/>
      <c r="CD539" s="1683">
        <v>0</v>
      </c>
      <c r="CE539" s="1683">
        <v>0</v>
      </c>
      <c r="CF539" s="1683">
        <v>0</v>
      </c>
      <c r="CG539" s="1683">
        <v>0</v>
      </c>
      <c r="CH539" s="1683">
        <v>0</v>
      </c>
      <c r="CI539" s="1683">
        <v>0</v>
      </c>
      <c r="CJ539" s="1683">
        <v>0</v>
      </c>
      <c r="CK539" s="1683">
        <v>0</v>
      </c>
      <c r="CL539" s="1682"/>
      <c r="CM539" s="1683">
        <v>0</v>
      </c>
      <c r="CN539" s="1683">
        <v>0</v>
      </c>
      <c r="CO539" s="1683">
        <v>0</v>
      </c>
      <c r="CP539" s="1683">
        <v>0</v>
      </c>
      <c r="CQ539" s="1683">
        <v>0</v>
      </c>
      <c r="CR539" s="1683">
        <v>0</v>
      </c>
      <c r="CS539" s="1683">
        <v>0</v>
      </c>
      <c r="CT539" s="1683">
        <v>0</v>
      </c>
      <c r="CU539" s="1683">
        <v>0</v>
      </c>
      <c r="CV539" s="1683">
        <v>0</v>
      </c>
      <c r="CW539" s="1682"/>
      <c r="CX539" s="1683">
        <v>0</v>
      </c>
      <c r="CY539" s="1683">
        <v>0</v>
      </c>
      <c r="CZ539" s="1683">
        <v>0</v>
      </c>
      <c r="DA539" s="1683">
        <v>0</v>
      </c>
      <c r="DB539" s="1682"/>
      <c r="DC539" s="1326"/>
      <c r="DD539" s="1683">
        <v>0</v>
      </c>
      <c r="DE539" s="1683">
        <v>0</v>
      </c>
      <c r="DF539" s="1683">
        <v>0</v>
      </c>
      <c r="DG539" s="1683">
        <v>2346.04</v>
      </c>
      <c r="DH539" s="1683">
        <v>0</v>
      </c>
    </row>
    <row r="540" spans="1:112">
      <c r="A540" s="1326" t="s">
        <v>3827</v>
      </c>
      <c r="B540" s="1326" t="s">
        <v>1702</v>
      </c>
      <c r="C540" s="1326" t="s">
        <v>2576</v>
      </c>
      <c r="D540" s="1326" t="s">
        <v>2577</v>
      </c>
      <c r="E540" s="1326"/>
      <c r="F540" s="1326"/>
      <c r="G540" s="1326"/>
      <c r="H540" s="1326"/>
      <c r="I540" s="1326"/>
      <c r="J540" s="1326"/>
      <c r="K540" s="1326"/>
      <c r="L540" s="1326"/>
      <c r="M540" s="1683">
        <v>168579.83</v>
      </c>
      <c r="N540" s="1683">
        <v>0</v>
      </c>
      <c r="O540" s="1683">
        <v>168579.83</v>
      </c>
      <c r="P540" s="1683">
        <v>114920.89</v>
      </c>
      <c r="Q540" s="1683">
        <v>114920.89</v>
      </c>
      <c r="R540" s="1683">
        <v>105602.98</v>
      </c>
      <c r="S540" s="1683">
        <v>9317.91</v>
      </c>
      <c r="T540" s="1683">
        <v>53658.94</v>
      </c>
      <c r="U540" s="1683">
        <v>0</v>
      </c>
      <c r="V540" s="1683">
        <v>0</v>
      </c>
      <c r="W540" s="1683">
        <v>0</v>
      </c>
      <c r="X540" s="1683">
        <v>53658.94</v>
      </c>
      <c r="Y540" s="1682"/>
      <c r="Z540" s="1326"/>
      <c r="AA540" s="1683">
        <v>9890.7800000000007</v>
      </c>
      <c r="AB540" s="1683">
        <v>9088.82</v>
      </c>
      <c r="AC540" s="1683">
        <v>801.96</v>
      </c>
      <c r="AD540" s="1682"/>
      <c r="AE540" s="1326"/>
      <c r="AF540" s="1326"/>
      <c r="AG540" s="1410"/>
      <c r="AH540" s="1683">
        <v>71734.37</v>
      </c>
      <c r="AI540" s="1683">
        <v>79077.16</v>
      </c>
      <c r="AJ540" s="1683">
        <v>69186.38</v>
      </c>
      <c r="AK540" s="1683">
        <v>63576.68</v>
      </c>
      <c r="AL540" s="1683">
        <v>5609.7</v>
      </c>
      <c r="AM540" s="1682"/>
      <c r="AN540" s="1683">
        <v>71589.119999999995</v>
      </c>
      <c r="AO540" s="1683">
        <v>48807.4</v>
      </c>
      <c r="AP540" s="1683">
        <v>48807.4</v>
      </c>
      <c r="AQ540" s="1683">
        <v>44850.04</v>
      </c>
      <c r="AR540" s="1683">
        <v>3957.36</v>
      </c>
      <c r="AS540" s="1683">
        <v>22781.72</v>
      </c>
      <c r="AT540" s="1683">
        <v>0</v>
      </c>
      <c r="AU540" s="1683">
        <v>0</v>
      </c>
      <c r="AV540" s="1683">
        <v>0</v>
      </c>
      <c r="AW540" s="1683">
        <v>22781.72</v>
      </c>
      <c r="AX540" s="1683">
        <v>0</v>
      </c>
      <c r="AY540" s="1683">
        <v>0</v>
      </c>
      <c r="AZ540" s="1683">
        <v>0</v>
      </c>
      <c r="BA540" s="1682"/>
      <c r="BB540" s="1682"/>
      <c r="BC540" s="1683">
        <v>0</v>
      </c>
      <c r="BD540" s="1683">
        <v>0</v>
      </c>
      <c r="BE540" s="1683">
        <v>71589.119999999995</v>
      </c>
      <c r="BF540" s="1683">
        <v>48807.4</v>
      </c>
      <c r="BG540" s="1683">
        <v>48807.4</v>
      </c>
      <c r="BH540" s="1683">
        <v>44850.04</v>
      </c>
      <c r="BI540" s="1683">
        <v>3957.36</v>
      </c>
      <c r="BJ540" s="1683">
        <v>22781.72</v>
      </c>
      <c r="BK540" s="1683">
        <v>0</v>
      </c>
      <c r="BL540" s="1683">
        <v>0</v>
      </c>
      <c r="BM540" s="1683">
        <v>0</v>
      </c>
      <c r="BN540" s="1683">
        <v>22781.72</v>
      </c>
      <c r="BO540" s="1682"/>
      <c r="BP540" s="1683">
        <v>0</v>
      </c>
      <c r="BQ540" s="1683">
        <v>0</v>
      </c>
      <c r="BR540" s="1683">
        <v>0</v>
      </c>
      <c r="BS540" s="1683">
        <v>0</v>
      </c>
      <c r="BT540" s="1683">
        <v>0</v>
      </c>
      <c r="BU540" s="1683">
        <v>0</v>
      </c>
      <c r="BV540" s="1683">
        <v>0</v>
      </c>
      <c r="BW540" s="1683">
        <v>0</v>
      </c>
      <c r="BX540" s="1683">
        <v>0</v>
      </c>
      <c r="BY540" s="1683">
        <v>0</v>
      </c>
      <c r="BZ540" s="1683">
        <v>0</v>
      </c>
      <c r="CA540" s="1683">
        <v>0</v>
      </c>
      <c r="CB540" s="1682"/>
      <c r="CC540" s="1682"/>
      <c r="CD540" s="1683">
        <v>0</v>
      </c>
      <c r="CE540" s="1683">
        <v>0</v>
      </c>
      <c r="CF540" s="1683">
        <v>0</v>
      </c>
      <c r="CG540" s="1683">
        <v>0</v>
      </c>
      <c r="CH540" s="1683">
        <v>0</v>
      </c>
      <c r="CI540" s="1683">
        <v>0</v>
      </c>
      <c r="CJ540" s="1683">
        <v>0</v>
      </c>
      <c r="CK540" s="1683">
        <v>0</v>
      </c>
      <c r="CL540" s="1682"/>
      <c r="CM540" s="1683">
        <v>0</v>
      </c>
      <c r="CN540" s="1683">
        <v>0</v>
      </c>
      <c r="CO540" s="1683">
        <v>0</v>
      </c>
      <c r="CP540" s="1683">
        <v>0</v>
      </c>
      <c r="CQ540" s="1683">
        <v>0</v>
      </c>
      <c r="CR540" s="1683">
        <v>0</v>
      </c>
      <c r="CS540" s="1683">
        <v>0</v>
      </c>
      <c r="CT540" s="1683">
        <v>0</v>
      </c>
      <c r="CU540" s="1683">
        <v>0</v>
      </c>
      <c r="CV540" s="1683">
        <v>0</v>
      </c>
      <c r="CW540" s="1682"/>
      <c r="CX540" s="1683">
        <v>0</v>
      </c>
      <c r="CY540" s="1683">
        <v>0</v>
      </c>
      <c r="CZ540" s="1683">
        <v>0</v>
      </c>
      <c r="DA540" s="1683">
        <v>0</v>
      </c>
      <c r="DB540" s="1682"/>
      <c r="DC540" s="1326"/>
      <c r="DD540" s="1683">
        <v>0</v>
      </c>
      <c r="DE540" s="1683">
        <v>0</v>
      </c>
      <c r="DF540" s="1683">
        <v>0</v>
      </c>
      <c r="DG540" s="1683">
        <v>2346.04</v>
      </c>
      <c r="DH540" s="1683">
        <v>0</v>
      </c>
    </row>
    <row r="541" spans="1:112">
      <c r="A541" s="1326" t="s">
        <v>3828</v>
      </c>
      <c r="B541" s="1326" t="s">
        <v>1702</v>
      </c>
      <c r="C541" s="1326" t="s">
        <v>2576</v>
      </c>
      <c r="D541" s="1326" t="s">
        <v>2577</v>
      </c>
      <c r="E541" s="1326" t="s">
        <v>2395</v>
      </c>
      <c r="F541" s="1326"/>
      <c r="G541" s="1326"/>
      <c r="H541" s="1326"/>
      <c r="I541" s="1326"/>
      <c r="J541" s="1326"/>
      <c r="K541" s="1326"/>
      <c r="L541" s="1326"/>
      <c r="M541" s="1683">
        <v>168579.83</v>
      </c>
      <c r="N541" s="1683">
        <v>0</v>
      </c>
      <c r="O541" s="1683">
        <v>168579.83</v>
      </c>
      <c r="P541" s="1683">
        <v>114920.89</v>
      </c>
      <c r="Q541" s="1683">
        <v>114920.89</v>
      </c>
      <c r="R541" s="1683">
        <v>105602.98</v>
      </c>
      <c r="S541" s="1683">
        <v>9317.91</v>
      </c>
      <c r="T541" s="1683">
        <v>53658.94</v>
      </c>
      <c r="U541" s="1683">
        <v>0</v>
      </c>
      <c r="V541" s="1683">
        <v>0</v>
      </c>
      <c r="W541" s="1683">
        <v>0</v>
      </c>
      <c r="X541" s="1683">
        <v>53658.94</v>
      </c>
      <c r="Y541" s="1682"/>
      <c r="Z541" s="1326"/>
      <c r="AA541" s="1683">
        <v>9890.7800000000007</v>
      </c>
      <c r="AB541" s="1683">
        <v>9088.82</v>
      </c>
      <c r="AC541" s="1683">
        <v>801.96</v>
      </c>
      <c r="AD541" s="1682"/>
      <c r="AE541" s="1326"/>
      <c r="AF541" s="1326"/>
      <c r="AG541" s="1410"/>
      <c r="AH541" s="1683">
        <v>71734.37</v>
      </c>
      <c r="AI541" s="1683">
        <v>79077.16</v>
      </c>
      <c r="AJ541" s="1683">
        <v>69186.38</v>
      </c>
      <c r="AK541" s="1683">
        <v>63576.68</v>
      </c>
      <c r="AL541" s="1683">
        <v>5609.7</v>
      </c>
      <c r="AM541" s="1682"/>
      <c r="AN541" s="1683">
        <v>71589.119999999995</v>
      </c>
      <c r="AO541" s="1683">
        <v>48807.4</v>
      </c>
      <c r="AP541" s="1683">
        <v>48807.4</v>
      </c>
      <c r="AQ541" s="1683">
        <v>44850.04</v>
      </c>
      <c r="AR541" s="1683">
        <v>3957.36</v>
      </c>
      <c r="AS541" s="1683">
        <v>22781.72</v>
      </c>
      <c r="AT541" s="1683">
        <v>0</v>
      </c>
      <c r="AU541" s="1683">
        <v>0</v>
      </c>
      <c r="AV541" s="1683">
        <v>0</v>
      </c>
      <c r="AW541" s="1683">
        <v>22781.72</v>
      </c>
      <c r="AX541" s="1683">
        <v>0</v>
      </c>
      <c r="AY541" s="1683">
        <v>0</v>
      </c>
      <c r="AZ541" s="1683">
        <v>0</v>
      </c>
      <c r="BA541" s="1682"/>
      <c r="BB541" s="1682"/>
      <c r="BC541" s="1683">
        <v>0</v>
      </c>
      <c r="BD541" s="1683">
        <v>0</v>
      </c>
      <c r="BE541" s="1683">
        <v>71589.119999999995</v>
      </c>
      <c r="BF541" s="1683">
        <v>48807.4</v>
      </c>
      <c r="BG541" s="1683">
        <v>48807.4</v>
      </c>
      <c r="BH541" s="1683">
        <v>44850.04</v>
      </c>
      <c r="BI541" s="1683">
        <v>3957.36</v>
      </c>
      <c r="BJ541" s="1683">
        <v>22781.72</v>
      </c>
      <c r="BK541" s="1683">
        <v>0</v>
      </c>
      <c r="BL541" s="1683">
        <v>0</v>
      </c>
      <c r="BM541" s="1683">
        <v>0</v>
      </c>
      <c r="BN541" s="1683">
        <v>22781.72</v>
      </c>
      <c r="BO541" s="1682"/>
      <c r="BP541" s="1683">
        <v>0</v>
      </c>
      <c r="BQ541" s="1683">
        <v>0</v>
      </c>
      <c r="BR541" s="1683">
        <v>0</v>
      </c>
      <c r="BS541" s="1683">
        <v>0</v>
      </c>
      <c r="BT541" s="1683">
        <v>0</v>
      </c>
      <c r="BU541" s="1683">
        <v>0</v>
      </c>
      <c r="BV541" s="1683">
        <v>0</v>
      </c>
      <c r="BW541" s="1683">
        <v>0</v>
      </c>
      <c r="BX541" s="1683">
        <v>0</v>
      </c>
      <c r="BY541" s="1683">
        <v>0</v>
      </c>
      <c r="BZ541" s="1683">
        <v>0</v>
      </c>
      <c r="CA541" s="1683">
        <v>0</v>
      </c>
      <c r="CB541" s="1682"/>
      <c r="CC541" s="1682"/>
      <c r="CD541" s="1683">
        <v>0</v>
      </c>
      <c r="CE541" s="1683">
        <v>0</v>
      </c>
      <c r="CF541" s="1683">
        <v>0</v>
      </c>
      <c r="CG541" s="1683">
        <v>0</v>
      </c>
      <c r="CH541" s="1683">
        <v>0</v>
      </c>
      <c r="CI541" s="1683">
        <v>0</v>
      </c>
      <c r="CJ541" s="1683">
        <v>0</v>
      </c>
      <c r="CK541" s="1683">
        <v>0</v>
      </c>
      <c r="CL541" s="1682"/>
      <c r="CM541" s="1683">
        <v>0</v>
      </c>
      <c r="CN541" s="1683">
        <v>0</v>
      </c>
      <c r="CO541" s="1683">
        <v>0</v>
      </c>
      <c r="CP541" s="1683">
        <v>0</v>
      </c>
      <c r="CQ541" s="1683">
        <v>0</v>
      </c>
      <c r="CR541" s="1683">
        <v>0</v>
      </c>
      <c r="CS541" s="1683">
        <v>0</v>
      </c>
      <c r="CT541" s="1683">
        <v>0</v>
      </c>
      <c r="CU541" s="1683">
        <v>0</v>
      </c>
      <c r="CV541" s="1683">
        <v>0</v>
      </c>
      <c r="CW541" s="1682"/>
      <c r="CX541" s="1683">
        <v>0</v>
      </c>
      <c r="CY541" s="1683">
        <v>0</v>
      </c>
      <c r="CZ541" s="1683">
        <v>0</v>
      </c>
      <c r="DA541" s="1683">
        <v>0</v>
      </c>
      <c r="DB541" s="1682"/>
      <c r="DC541" s="1326"/>
      <c r="DD541" s="1683">
        <v>0</v>
      </c>
      <c r="DE541" s="1683">
        <v>0</v>
      </c>
      <c r="DF541" s="1683">
        <v>0</v>
      </c>
      <c r="DG541" s="1683">
        <v>2346.04</v>
      </c>
      <c r="DH541" s="1683">
        <v>0</v>
      </c>
    </row>
    <row r="542" spans="1:112" ht="33.75">
      <c r="A542" s="1326" t="s">
        <v>3829</v>
      </c>
      <c r="B542" s="1326" t="s">
        <v>1702</v>
      </c>
      <c r="C542" s="1326" t="s">
        <v>2576</v>
      </c>
      <c r="D542" s="1326" t="s">
        <v>2577</v>
      </c>
      <c r="E542" s="1326" t="s">
        <v>2395</v>
      </c>
      <c r="F542" s="1326" t="s">
        <v>2563</v>
      </c>
      <c r="G542" s="1326" t="s">
        <v>2572</v>
      </c>
      <c r="H542" s="1326" t="s">
        <v>2573</v>
      </c>
      <c r="I542" s="1326" t="s">
        <v>2397</v>
      </c>
      <c r="J542" s="1326" t="s">
        <v>2398</v>
      </c>
      <c r="K542" s="1326" t="s">
        <v>2399</v>
      </c>
      <c r="L542" s="1326" t="s">
        <v>2061</v>
      </c>
      <c r="M542" s="1683">
        <v>44986.51</v>
      </c>
      <c r="N542" s="1683">
        <v>0</v>
      </c>
      <c r="O542" s="1683">
        <v>44986.51</v>
      </c>
      <c r="P542" s="1683">
        <v>31265.62</v>
      </c>
      <c r="Q542" s="1683">
        <v>31265.62</v>
      </c>
      <c r="R542" s="1683">
        <v>28730.57</v>
      </c>
      <c r="S542" s="1683">
        <v>2535.0500000000002</v>
      </c>
      <c r="T542" s="1683">
        <v>13720.89</v>
      </c>
      <c r="U542" s="1683">
        <v>0</v>
      </c>
      <c r="V542" s="1683">
        <v>0</v>
      </c>
      <c r="W542" s="1683">
        <v>0</v>
      </c>
      <c r="X542" s="1683">
        <v>13720.89</v>
      </c>
      <c r="Y542" s="1682"/>
      <c r="Z542" s="1326"/>
      <c r="AA542" s="1683">
        <v>0</v>
      </c>
      <c r="AB542" s="1683">
        <v>0</v>
      </c>
      <c r="AC542" s="1683">
        <v>0</v>
      </c>
      <c r="AD542" s="1682"/>
      <c r="AE542" s="1326"/>
      <c r="AF542" s="1326"/>
      <c r="AG542" s="1410"/>
      <c r="AH542" s="1683">
        <v>25923.75</v>
      </c>
      <c r="AI542" s="1683">
        <v>27396.69</v>
      </c>
      <c r="AJ542" s="1683">
        <v>27396.7</v>
      </c>
      <c r="AK542" s="1683">
        <v>25175.34</v>
      </c>
      <c r="AL542" s="1683">
        <v>2221.36</v>
      </c>
      <c r="AM542" s="1682"/>
      <c r="AN542" s="1683">
        <v>25853.75</v>
      </c>
      <c r="AO542" s="1683">
        <v>17968.36</v>
      </c>
      <c r="AP542" s="1683">
        <v>17968.36</v>
      </c>
      <c r="AQ542" s="1683">
        <v>16511.46</v>
      </c>
      <c r="AR542" s="1683">
        <v>1456.9</v>
      </c>
      <c r="AS542" s="1683">
        <v>7885.39</v>
      </c>
      <c r="AT542" s="1683">
        <v>0</v>
      </c>
      <c r="AU542" s="1683">
        <v>0</v>
      </c>
      <c r="AV542" s="1683">
        <v>0</v>
      </c>
      <c r="AW542" s="1683">
        <v>7885.39</v>
      </c>
      <c r="AX542" s="1683">
        <v>0</v>
      </c>
      <c r="AY542" s="1683">
        <v>0</v>
      </c>
      <c r="AZ542" s="1683">
        <v>0</v>
      </c>
      <c r="BA542" s="1682"/>
      <c r="BB542" s="1682"/>
      <c r="BC542" s="1683">
        <v>0</v>
      </c>
      <c r="BD542" s="1683">
        <v>0</v>
      </c>
      <c r="BE542" s="1683">
        <v>25853.75</v>
      </c>
      <c r="BF542" s="1683">
        <v>17968.36</v>
      </c>
      <c r="BG542" s="1683">
        <v>17968.36</v>
      </c>
      <c r="BH542" s="1683">
        <v>16511.46</v>
      </c>
      <c r="BI542" s="1683">
        <v>1456.9</v>
      </c>
      <c r="BJ542" s="1683">
        <v>7885.39</v>
      </c>
      <c r="BK542" s="1683">
        <v>0</v>
      </c>
      <c r="BL542" s="1683">
        <v>0</v>
      </c>
      <c r="BM542" s="1683">
        <v>0</v>
      </c>
      <c r="BN542" s="1683">
        <v>7885.39</v>
      </c>
      <c r="BO542" s="1682"/>
      <c r="BP542" s="1683">
        <v>0</v>
      </c>
      <c r="BQ542" s="1683">
        <v>0</v>
      </c>
      <c r="BR542" s="1683">
        <v>0</v>
      </c>
      <c r="BS542" s="1683">
        <v>0</v>
      </c>
      <c r="BT542" s="1683">
        <v>0</v>
      </c>
      <c r="BU542" s="1683">
        <v>0</v>
      </c>
      <c r="BV542" s="1683">
        <v>0</v>
      </c>
      <c r="BW542" s="1683">
        <v>0</v>
      </c>
      <c r="BX542" s="1683">
        <v>0</v>
      </c>
      <c r="BY542" s="1683">
        <v>0</v>
      </c>
      <c r="BZ542" s="1683">
        <v>0</v>
      </c>
      <c r="CA542" s="1683">
        <v>0</v>
      </c>
      <c r="CB542" s="1682"/>
      <c r="CC542" s="1682"/>
      <c r="CD542" s="1683">
        <v>0</v>
      </c>
      <c r="CE542" s="1683">
        <v>0</v>
      </c>
      <c r="CF542" s="1683">
        <v>0</v>
      </c>
      <c r="CG542" s="1683">
        <v>0</v>
      </c>
      <c r="CH542" s="1683">
        <v>0</v>
      </c>
      <c r="CI542" s="1683">
        <v>0</v>
      </c>
      <c r="CJ542" s="1683">
        <v>0</v>
      </c>
      <c r="CK542" s="1683">
        <v>0</v>
      </c>
      <c r="CL542" s="1682"/>
      <c r="CM542" s="1683">
        <v>0</v>
      </c>
      <c r="CN542" s="1683">
        <v>0</v>
      </c>
      <c r="CO542" s="1683">
        <v>0</v>
      </c>
      <c r="CP542" s="1683">
        <v>0</v>
      </c>
      <c r="CQ542" s="1683">
        <v>0</v>
      </c>
      <c r="CR542" s="1683">
        <v>0</v>
      </c>
      <c r="CS542" s="1683">
        <v>0</v>
      </c>
      <c r="CT542" s="1683">
        <v>0</v>
      </c>
      <c r="CU542" s="1683">
        <v>0</v>
      </c>
      <c r="CV542" s="1683">
        <v>0</v>
      </c>
      <c r="CW542" s="1682"/>
      <c r="CX542" s="1683">
        <v>0</v>
      </c>
      <c r="CY542" s="1683">
        <v>0</v>
      </c>
      <c r="CZ542" s="1683">
        <v>0</v>
      </c>
      <c r="DA542" s="1683">
        <v>0</v>
      </c>
      <c r="DB542" s="1682"/>
      <c r="DC542" s="1326"/>
      <c r="DD542" s="1683">
        <v>0</v>
      </c>
      <c r="DE542" s="1683">
        <v>0</v>
      </c>
      <c r="DF542" s="1683">
        <v>0</v>
      </c>
      <c r="DG542" s="1683">
        <v>0</v>
      </c>
      <c r="DH542" s="1683">
        <v>0</v>
      </c>
    </row>
    <row r="543" spans="1:112" ht="33.75">
      <c r="A543" s="1326" t="s">
        <v>3830</v>
      </c>
      <c r="B543" s="1326" t="s">
        <v>1702</v>
      </c>
      <c r="C543" s="1326" t="s">
        <v>2576</v>
      </c>
      <c r="D543" s="1326" t="s">
        <v>2577</v>
      </c>
      <c r="E543" s="1326" t="s">
        <v>2395</v>
      </c>
      <c r="F543" s="1326" t="s">
        <v>2563</v>
      </c>
      <c r="G543" s="1326" t="s">
        <v>2572</v>
      </c>
      <c r="H543" s="1326" t="s">
        <v>2573</v>
      </c>
      <c r="I543" s="1326" t="s">
        <v>2397</v>
      </c>
      <c r="J543" s="1326" t="s">
        <v>2398</v>
      </c>
      <c r="K543" s="1326" t="s">
        <v>2399</v>
      </c>
      <c r="L543" s="1326" t="s">
        <v>2061</v>
      </c>
      <c r="M543" s="1400"/>
      <c r="N543" s="1400"/>
      <c r="O543" s="1400"/>
      <c r="P543" s="1400"/>
      <c r="Q543" s="1400"/>
      <c r="R543" s="1400"/>
      <c r="S543" s="1400"/>
      <c r="T543" s="1400"/>
      <c r="U543" s="1400"/>
      <c r="V543" s="1400"/>
      <c r="W543" s="1400"/>
      <c r="X543" s="1400"/>
      <c r="Y543" s="1682"/>
      <c r="Z543" s="1326"/>
      <c r="AA543" s="1683">
        <v>0</v>
      </c>
      <c r="AB543" s="1683">
        <v>0</v>
      </c>
      <c r="AC543" s="1683">
        <v>0</v>
      </c>
      <c r="AD543" s="1682"/>
      <c r="AE543" s="1326" t="s">
        <v>2171</v>
      </c>
      <c r="AF543" s="1326"/>
      <c r="AG543" s="1410" t="s">
        <v>3863</v>
      </c>
      <c r="AH543" s="1683">
        <v>0</v>
      </c>
      <c r="AI543" s="1683">
        <v>0</v>
      </c>
      <c r="AJ543" s="1683">
        <v>0</v>
      </c>
      <c r="AK543" s="1683">
        <v>0</v>
      </c>
      <c r="AL543" s="1683">
        <v>0</v>
      </c>
      <c r="AM543" s="1685">
        <v>43455</v>
      </c>
      <c r="AN543" s="1683">
        <v>-70</v>
      </c>
      <c r="AO543" s="1683">
        <v>-48.65</v>
      </c>
      <c r="AP543" s="1683">
        <v>-48.65</v>
      </c>
      <c r="AQ543" s="1683">
        <v>-44.71</v>
      </c>
      <c r="AR543" s="1683">
        <v>-3.94</v>
      </c>
      <c r="AS543" s="1683">
        <v>-21.35</v>
      </c>
      <c r="AT543" s="1683">
        <v>0</v>
      </c>
      <c r="AU543" s="1683">
        <v>0</v>
      </c>
      <c r="AV543" s="1683">
        <v>0</v>
      </c>
      <c r="AW543" s="1683">
        <v>-21.35</v>
      </c>
      <c r="AX543" s="1400"/>
      <c r="AY543" s="1400"/>
      <c r="AZ543" s="1400"/>
      <c r="BA543" s="1682"/>
      <c r="BB543" s="1682"/>
      <c r="BC543" s="1400"/>
      <c r="BD543" s="1400"/>
      <c r="BE543" s="1683">
        <v>-70</v>
      </c>
      <c r="BF543" s="1683">
        <v>-48.65</v>
      </c>
      <c r="BG543" s="1683">
        <v>-48.65</v>
      </c>
      <c r="BH543" s="1683">
        <v>-44.71</v>
      </c>
      <c r="BI543" s="1683">
        <v>-3.94</v>
      </c>
      <c r="BJ543" s="1683">
        <v>-21.35</v>
      </c>
      <c r="BK543" s="1683">
        <v>0</v>
      </c>
      <c r="BL543" s="1683">
        <v>0</v>
      </c>
      <c r="BM543" s="1683">
        <v>0</v>
      </c>
      <c r="BN543" s="1683">
        <v>-21.35</v>
      </c>
      <c r="BO543" s="1682"/>
      <c r="BP543" s="1683">
        <v>0</v>
      </c>
      <c r="BQ543" s="1683">
        <v>0</v>
      </c>
      <c r="BR543" s="1683">
        <v>0</v>
      </c>
      <c r="BS543" s="1683">
        <v>0</v>
      </c>
      <c r="BT543" s="1683">
        <v>0</v>
      </c>
      <c r="BU543" s="1683">
        <v>0</v>
      </c>
      <c r="BV543" s="1683">
        <v>0</v>
      </c>
      <c r="BW543" s="1683">
        <v>0</v>
      </c>
      <c r="BX543" s="1683">
        <v>0</v>
      </c>
      <c r="BY543" s="1683">
        <v>0</v>
      </c>
      <c r="BZ543" s="1683">
        <v>0</v>
      </c>
      <c r="CA543" s="1400"/>
      <c r="CB543" s="1682"/>
      <c r="CC543" s="1682"/>
      <c r="CD543" s="1400"/>
      <c r="CE543" s="1400"/>
      <c r="CF543" s="1683">
        <v>0</v>
      </c>
      <c r="CG543" s="1683">
        <v>0</v>
      </c>
      <c r="CH543" s="1683">
        <v>0</v>
      </c>
      <c r="CI543" s="1683">
        <v>0</v>
      </c>
      <c r="CJ543" s="1683">
        <v>0</v>
      </c>
      <c r="CK543" s="1683">
        <v>0</v>
      </c>
      <c r="CL543" s="1682"/>
      <c r="CM543" s="1683">
        <v>0</v>
      </c>
      <c r="CN543" s="1683">
        <v>0</v>
      </c>
      <c r="CO543" s="1683">
        <v>0</v>
      </c>
      <c r="CP543" s="1683">
        <v>0</v>
      </c>
      <c r="CQ543" s="1683">
        <v>0</v>
      </c>
      <c r="CR543" s="1683">
        <v>0</v>
      </c>
      <c r="CS543" s="1683">
        <v>0</v>
      </c>
      <c r="CT543" s="1683">
        <v>0</v>
      </c>
      <c r="CU543" s="1683">
        <v>0</v>
      </c>
      <c r="CV543" s="1683">
        <v>0</v>
      </c>
      <c r="CW543" s="1682"/>
      <c r="CX543" s="1400"/>
      <c r="CY543" s="1400"/>
      <c r="CZ543" s="1400"/>
      <c r="DA543" s="1400"/>
      <c r="DB543" s="1682"/>
      <c r="DC543" s="1326"/>
      <c r="DD543" s="1683">
        <v>0</v>
      </c>
      <c r="DE543" s="1400"/>
      <c r="DF543" s="1400"/>
      <c r="DG543" s="1683">
        <v>0</v>
      </c>
      <c r="DH543" s="1683">
        <v>0</v>
      </c>
    </row>
    <row r="544" spans="1:112" ht="33.75">
      <c r="A544" s="1326" t="s">
        <v>3831</v>
      </c>
      <c r="B544" s="1326" t="s">
        <v>1702</v>
      </c>
      <c r="C544" s="1326" t="s">
        <v>2576</v>
      </c>
      <c r="D544" s="1326" t="s">
        <v>2577</v>
      </c>
      <c r="E544" s="1326" t="s">
        <v>2395</v>
      </c>
      <c r="F544" s="1326" t="s">
        <v>2563</v>
      </c>
      <c r="G544" s="1326" t="s">
        <v>2572</v>
      </c>
      <c r="H544" s="1326" t="s">
        <v>2573</v>
      </c>
      <c r="I544" s="1326" t="s">
        <v>2397</v>
      </c>
      <c r="J544" s="1326" t="s">
        <v>2398</v>
      </c>
      <c r="K544" s="1326" t="s">
        <v>2399</v>
      </c>
      <c r="L544" s="1326" t="s">
        <v>2061</v>
      </c>
      <c r="M544" s="1400"/>
      <c r="N544" s="1400"/>
      <c r="O544" s="1400"/>
      <c r="P544" s="1400"/>
      <c r="Q544" s="1400"/>
      <c r="R544" s="1400"/>
      <c r="S544" s="1400"/>
      <c r="T544" s="1400"/>
      <c r="U544" s="1400"/>
      <c r="V544" s="1400"/>
      <c r="W544" s="1400"/>
      <c r="X544" s="1400"/>
      <c r="Y544" s="1685">
        <v>43370</v>
      </c>
      <c r="Z544" s="1326" t="s">
        <v>2096</v>
      </c>
      <c r="AA544" s="1683">
        <v>0</v>
      </c>
      <c r="AB544" s="1683">
        <v>0</v>
      </c>
      <c r="AC544" s="1683">
        <v>0</v>
      </c>
      <c r="AD544" s="1685">
        <v>43384</v>
      </c>
      <c r="AE544" s="1326" t="s">
        <v>2073</v>
      </c>
      <c r="AF544" s="1326" t="s">
        <v>2064</v>
      </c>
      <c r="AG544" s="1410"/>
      <c r="AH544" s="1683">
        <v>0</v>
      </c>
      <c r="AI544" s="1683">
        <v>9379.69</v>
      </c>
      <c r="AJ544" s="1683">
        <v>9379.69</v>
      </c>
      <c r="AK544" s="1683">
        <v>8619.17</v>
      </c>
      <c r="AL544" s="1683">
        <v>760.52</v>
      </c>
      <c r="AM544" s="1682"/>
      <c r="AN544" s="1683">
        <v>0</v>
      </c>
      <c r="AO544" s="1683">
        <v>0</v>
      </c>
      <c r="AP544" s="1683">
        <v>0</v>
      </c>
      <c r="AQ544" s="1683">
        <v>0</v>
      </c>
      <c r="AR544" s="1683">
        <v>0</v>
      </c>
      <c r="AS544" s="1683">
        <v>0</v>
      </c>
      <c r="AT544" s="1683">
        <v>0</v>
      </c>
      <c r="AU544" s="1683">
        <v>0</v>
      </c>
      <c r="AV544" s="1683">
        <v>0</v>
      </c>
      <c r="AW544" s="1683">
        <v>0</v>
      </c>
      <c r="AX544" s="1400"/>
      <c r="AY544" s="1400"/>
      <c r="AZ544" s="1400"/>
      <c r="BA544" s="1682"/>
      <c r="BB544" s="1682"/>
      <c r="BC544" s="1400"/>
      <c r="BD544" s="1400"/>
      <c r="BE544" s="1683">
        <v>0</v>
      </c>
      <c r="BF544" s="1683">
        <v>0</v>
      </c>
      <c r="BG544" s="1683">
        <v>0</v>
      </c>
      <c r="BH544" s="1683">
        <v>0</v>
      </c>
      <c r="BI544" s="1683">
        <v>0</v>
      </c>
      <c r="BJ544" s="1683">
        <v>0</v>
      </c>
      <c r="BK544" s="1683">
        <v>0</v>
      </c>
      <c r="BL544" s="1683">
        <v>0</v>
      </c>
      <c r="BM544" s="1683">
        <v>0</v>
      </c>
      <c r="BN544" s="1683">
        <v>0</v>
      </c>
      <c r="BO544" s="1682"/>
      <c r="BP544" s="1683">
        <v>0</v>
      </c>
      <c r="BQ544" s="1683">
        <v>0</v>
      </c>
      <c r="BR544" s="1683">
        <v>0</v>
      </c>
      <c r="BS544" s="1683">
        <v>0</v>
      </c>
      <c r="BT544" s="1683">
        <v>0</v>
      </c>
      <c r="BU544" s="1683">
        <v>0</v>
      </c>
      <c r="BV544" s="1683">
        <v>0</v>
      </c>
      <c r="BW544" s="1683">
        <v>0</v>
      </c>
      <c r="BX544" s="1683">
        <v>0</v>
      </c>
      <c r="BY544" s="1683">
        <v>0</v>
      </c>
      <c r="BZ544" s="1400"/>
      <c r="CA544" s="1400"/>
      <c r="CB544" s="1682"/>
      <c r="CC544" s="1682"/>
      <c r="CD544" s="1400"/>
      <c r="CE544" s="1400"/>
      <c r="CF544" s="1683">
        <v>0</v>
      </c>
      <c r="CG544" s="1683">
        <v>0</v>
      </c>
      <c r="CH544" s="1683">
        <v>0</v>
      </c>
      <c r="CI544" s="1683">
        <v>0</v>
      </c>
      <c r="CJ544" s="1683">
        <v>0</v>
      </c>
      <c r="CK544" s="1683">
        <v>0</v>
      </c>
      <c r="CL544" s="1682"/>
      <c r="CM544" s="1683">
        <v>0</v>
      </c>
      <c r="CN544" s="1683">
        <v>0</v>
      </c>
      <c r="CO544" s="1683">
        <v>0</v>
      </c>
      <c r="CP544" s="1683">
        <v>0</v>
      </c>
      <c r="CQ544" s="1683">
        <v>0</v>
      </c>
      <c r="CR544" s="1683">
        <v>0</v>
      </c>
      <c r="CS544" s="1683">
        <v>0</v>
      </c>
      <c r="CT544" s="1683">
        <v>0</v>
      </c>
      <c r="CU544" s="1683">
        <v>0</v>
      </c>
      <c r="CV544" s="1683">
        <v>0</v>
      </c>
      <c r="CW544" s="1682"/>
      <c r="CX544" s="1400"/>
      <c r="CY544" s="1400"/>
      <c r="CZ544" s="1400"/>
      <c r="DA544" s="1400"/>
      <c r="DB544" s="1682"/>
      <c r="DC544" s="1326"/>
      <c r="DD544" s="1683">
        <v>0</v>
      </c>
      <c r="DE544" s="1400"/>
      <c r="DF544" s="1400"/>
      <c r="DG544" s="1683">
        <v>0</v>
      </c>
      <c r="DH544" s="1683">
        <v>0</v>
      </c>
    </row>
    <row r="545" spans="1:112" ht="33.75">
      <c r="A545" s="1326" t="s">
        <v>3865</v>
      </c>
      <c r="B545" s="1326" t="s">
        <v>1702</v>
      </c>
      <c r="C545" s="1326" t="s">
        <v>2576</v>
      </c>
      <c r="D545" s="1326" t="s">
        <v>2577</v>
      </c>
      <c r="E545" s="1326" t="s">
        <v>2395</v>
      </c>
      <c r="F545" s="1326" t="s">
        <v>2563</v>
      </c>
      <c r="G545" s="1326" t="s">
        <v>2572</v>
      </c>
      <c r="H545" s="1326" t="s">
        <v>2573</v>
      </c>
      <c r="I545" s="1326" t="s">
        <v>2397</v>
      </c>
      <c r="J545" s="1326" t="s">
        <v>2398</v>
      </c>
      <c r="K545" s="1326" t="s">
        <v>2399</v>
      </c>
      <c r="L545" s="1326" t="s">
        <v>2061</v>
      </c>
      <c r="M545" s="1400"/>
      <c r="N545" s="1400"/>
      <c r="O545" s="1400"/>
      <c r="P545" s="1400"/>
      <c r="Q545" s="1400"/>
      <c r="R545" s="1400"/>
      <c r="S545" s="1400"/>
      <c r="T545" s="1400"/>
      <c r="U545" s="1400"/>
      <c r="V545" s="1400"/>
      <c r="W545" s="1400"/>
      <c r="X545" s="1400"/>
      <c r="Y545" s="1685">
        <v>43444</v>
      </c>
      <c r="Z545" s="1326" t="s">
        <v>2062</v>
      </c>
      <c r="AA545" s="1683">
        <v>0</v>
      </c>
      <c r="AB545" s="1683">
        <v>0</v>
      </c>
      <c r="AC545" s="1683">
        <v>0</v>
      </c>
      <c r="AD545" s="1685">
        <v>43453</v>
      </c>
      <c r="AE545" s="1326" t="s">
        <v>2063</v>
      </c>
      <c r="AF545" s="1326" t="s">
        <v>2064</v>
      </c>
      <c r="AG545" s="1410"/>
      <c r="AH545" s="1683">
        <v>8750</v>
      </c>
      <c r="AI545" s="1683">
        <v>6081.25</v>
      </c>
      <c r="AJ545" s="1683">
        <v>6081.24</v>
      </c>
      <c r="AK545" s="1683">
        <v>5588.17</v>
      </c>
      <c r="AL545" s="1683">
        <v>493.07</v>
      </c>
      <c r="AM545" s="1685">
        <v>43453</v>
      </c>
      <c r="AN545" s="1683">
        <v>8750</v>
      </c>
      <c r="AO545" s="1683">
        <v>6081.24</v>
      </c>
      <c r="AP545" s="1683">
        <v>6081.24</v>
      </c>
      <c r="AQ545" s="1683">
        <v>5588.17</v>
      </c>
      <c r="AR545" s="1683">
        <v>493.07</v>
      </c>
      <c r="AS545" s="1683">
        <v>2668.76</v>
      </c>
      <c r="AT545" s="1683">
        <v>0</v>
      </c>
      <c r="AU545" s="1683">
        <v>0</v>
      </c>
      <c r="AV545" s="1683">
        <v>0</v>
      </c>
      <c r="AW545" s="1683">
        <v>2668.76</v>
      </c>
      <c r="AX545" s="1400"/>
      <c r="AY545" s="1400"/>
      <c r="AZ545" s="1400"/>
      <c r="BA545" s="1682"/>
      <c r="BB545" s="1682"/>
      <c r="BC545" s="1400"/>
      <c r="BD545" s="1400"/>
      <c r="BE545" s="1683">
        <v>8750</v>
      </c>
      <c r="BF545" s="1683">
        <v>6081.24</v>
      </c>
      <c r="BG545" s="1683">
        <v>6081.24</v>
      </c>
      <c r="BH545" s="1683">
        <v>5588.17</v>
      </c>
      <c r="BI545" s="1683">
        <v>493.07</v>
      </c>
      <c r="BJ545" s="1683">
        <v>2668.76</v>
      </c>
      <c r="BK545" s="1683">
        <v>0</v>
      </c>
      <c r="BL545" s="1683">
        <v>0</v>
      </c>
      <c r="BM545" s="1683">
        <v>0</v>
      </c>
      <c r="BN545" s="1683">
        <v>2668.76</v>
      </c>
      <c r="BO545" s="1682"/>
      <c r="BP545" s="1683">
        <v>0</v>
      </c>
      <c r="BQ545" s="1683">
        <v>0</v>
      </c>
      <c r="BR545" s="1683">
        <v>0</v>
      </c>
      <c r="BS545" s="1683">
        <v>0</v>
      </c>
      <c r="BT545" s="1683">
        <v>0</v>
      </c>
      <c r="BU545" s="1683">
        <v>0</v>
      </c>
      <c r="BV545" s="1683">
        <v>0</v>
      </c>
      <c r="BW545" s="1683">
        <v>0</v>
      </c>
      <c r="BX545" s="1683">
        <v>0</v>
      </c>
      <c r="BY545" s="1683">
        <v>0</v>
      </c>
      <c r="BZ545" s="1683">
        <v>0</v>
      </c>
      <c r="CA545" s="1400"/>
      <c r="CB545" s="1682"/>
      <c r="CC545" s="1682"/>
      <c r="CD545" s="1400"/>
      <c r="CE545" s="1400"/>
      <c r="CF545" s="1683">
        <v>0</v>
      </c>
      <c r="CG545" s="1683">
        <v>0</v>
      </c>
      <c r="CH545" s="1683">
        <v>0</v>
      </c>
      <c r="CI545" s="1683">
        <v>0</v>
      </c>
      <c r="CJ545" s="1683">
        <v>0</v>
      </c>
      <c r="CK545" s="1683">
        <v>0</v>
      </c>
      <c r="CL545" s="1682"/>
      <c r="CM545" s="1683">
        <v>0</v>
      </c>
      <c r="CN545" s="1683">
        <v>0</v>
      </c>
      <c r="CO545" s="1683">
        <v>0</v>
      </c>
      <c r="CP545" s="1683">
        <v>0</v>
      </c>
      <c r="CQ545" s="1683">
        <v>0</v>
      </c>
      <c r="CR545" s="1683">
        <v>0</v>
      </c>
      <c r="CS545" s="1683">
        <v>0</v>
      </c>
      <c r="CT545" s="1683">
        <v>0</v>
      </c>
      <c r="CU545" s="1683">
        <v>0</v>
      </c>
      <c r="CV545" s="1683">
        <v>0</v>
      </c>
      <c r="CW545" s="1682"/>
      <c r="CX545" s="1400"/>
      <c r="CY545" s="1400"/>
      <c r="CZ545" s="1400"/>
      <c r="DA545" s="1400"/>
      <c r="DB545" s="1682"/>
      <c r="DC545" s="1326"/>
      <c r="DD545" s="1683">
        <v>0</v>
      </c>
      <c r="DE545" s="1400"/>
      <c r="DF545" s="1400"/>
      <c r="DG545" s="1683">
        <v>0</v>
      </c>
      <c r="DH545" s="1683">
        <v>0</v>
      </c>
    </row>
    <row r="546" spans="1:112" ht="33.75">
      <c r="A546" s="1326" t="s">
        <v>3866</v>
      </c>
      <c r="B546" s="1326" t="s">
        <v>1702</v>
      </c>
      <c r="C546" s="1326" t="s">
        <v>2576</v>
      </c>
      <c r="D546" s="1326" t="s">
        <v>2577</v>
      </c>
      <c r="E546" s="1326" t="s">
        <v>2395</v>
      </c>
      <c r="F546" s="1326" t="s">
        <v>2563</v>
      </c>
      <c r="G546" s="1326" t="s">
        <v>2572</v>
      </c>
      <c r="H546" s="1326" t="s">
        <v>2573</v>
      </c>
      <c r="I546" s="1326" t="s">
        <v>2397</v>
      </c>
      <c r="J546" s="1326" t="s">
        <v>2398</v>
      </c>
      <c r="K546" s="1326" t="s">
        <v>2399</v>
      </c>
      <c r="L546" s="1326" t="s">
        <v>2061</v>
      </c>
      <c r="M546" s="1400"/>
      <c r="N546" s="1400"/>
      <c r="O546" s="1400"/>
      <c r="P546" s="1400"/>
      <c r="Q546" s="1400"/>
      <c r="R546" s="1400"/>
      <c r="S546" s="1400"/>
      <c r="T546" s="1400"/>
      <c r="U546" s="1400"/>
      <c r="V546" s="1400"/>
      <c r="W546" s="1400"/>
      <c r="X546" s="1400"/>
      <c r="Y546" s="1685">
        <v>43531</v>
      </c>
      <c r="Z546" s="1326" t="s">
        <v>2062</v>
      </c>
      <c r="AA546" s="1683">
        <v>0</v>
      </c>
      <c r="AB546" s="1683">
        <v>0</v>
      </c>
      <c r="AC546" s="1683">
        <v>0</v>
      </c>
      <c r="AD546" s="1685">
        <v>43542</v>
      </c>
      <c r="AE546" s="1326" t="s">
        <v>2066</v>
      </c>
      <c r="AF546" s="1326" t="s">
        <v>2064</v>
      </c>
      <c r="AG546" s="1410"/>
      <c r="AH546" s="1683">
        <v>17173.75</v>
      </c>
      <c r="AI546" s="1683">
        <v>11935.75</v>
      </c>
      <c r="AJ546" s="1683">
        <v>11935.77</v>
      </c>
      <c r="AK546" s="1683">
        <v>10968</v>
      </c>
      <c r="AL546" s="1683">
        <v>967.77</v>
      </c>
      <c r="AM546" s="1685">
        <v>43542</v>
      </c>
      <c r="AN546" s="1683">
        <v>17173.75</v>
      </c>
      <c r="AO546" s="1683">
        <v>11935.77</v>
      </c>
      <c r="AP546" s="1683">
        <v>11935.77</v>
      </c>
      <c r="AQ546" s="1683">
        <v>10968</v>
      </c>
      <c r="AR546" s="1683">
        <v>967.77</v>
      </c>
      <c r="AS546" s="1683">
        <v>5237.9799999999996</v>
      </c>
      <c r="AT546" s="1683">
        <v>0</v>
      </c>
      <c r="AU546" s="1683">
        <v>0</v>
      </c>
      <c r="AV546" s="1683">
        <v>0</v>
      </c>
      <c r="AW546" s="1683">
        <v>5237.9799999999996</v>
      </c>
      <c r="AX546" s="1400"/>
      <c r="AY546" s="1400"/>
      <c r="AZ546" s="1400"/>
      <c r="BA546" s="1682"/>
      <c r="BB546" s="1682"/>
      <c r="BC546" s="1400"/>
      <c r="BD546" s="1400"/>
      <c r="BE546" s="1683">
        <v>17173.75</v>
      </c>
      <c r="BF546" s="1683">
        <v>11935.77</v>
      </c>
      <c r="BG546" s="1683">
        <v>11935.77</v>
      </c>
      <c r="BH546" s="1683">
        <v>10968</v>
      </c>
      <c r="BI546" s="1683">
        <v>967.77</v>
      </c>
      <c r="BJ546" s="1683">
        <v>5237.9799999999996</v>
      </c>
      <c r="BK546" s="1683">
        <v>0</v>
      </c>
      <c r="BL546" s="1683">
        <v>0</v>
      </c>
      <c r="BM546" s="1683">
        <v>0</v>
      </c>
      <c r="BN546" s="1683">
        <v>5237.9799999999996</v>
      </c>
      <c r="BO546" s="1682"/>
      <c r="BP546" s="1683">
        <v>0</v>
      </c>
      <c r="BQ546" s="1683">
        <v>0</v>
      </c>
      <c r="BR546" s="1683">
        <v>0</v>
      </c>
      <c r="BS546" s="1683">
        <v>0</v>
      </c>
      <c r="BT546" s="1683">
        <v>0</v>
      </c>
      <c r="BU546" s="1683">
        <v>0</v>
      </c>
      <c r="BV546" s="1683">
        <v>0</v>
      </c>
      <c r="BW546" s="1683">
        <v>0</v>
      </c>
      <c r="BX546" s="1683">
        <v>0</v>
      </c>
      <c r="BY546" s="1683">
        <v>0</v>
      </c>
      <c r="BZ546" s="1400"/>
      <c r="CA546" s="1400"/>
      <c r="CB546" s="1682"/>
      <c r="CC546" s="1682"/>
      <c r="CD546" s="1400"/>
      <c r="CE546" s="1400"/>
      <c r="CF546" s="1683">
        <v>0</v>
      </c>
      <c r="CG546" s="1683">
        <v>0</v>
      </c>
      <c r="CH546" s="1683">
        <v>0</v>
      </c>
      <c r="CI546" s="1683">
        <v>0</v>
      </c>
      <c r="CJ546" s="1683">
        <v>0</v>
      </c>
      <c r="CK546" s="1683">
        <v>0</v>
      </c>
      <c r="CL546" s="1682"/>
      <c r="CM546" s="1683">
        <v>0</v>
      </c>
      <c r="CN546" s="1683">
        <v>0</v>
      </c>
      <c r="CO546" s="1683">
        <v>0</v>
      </c>
      <c r="CP546" s="1683">
        <v>0</v>
      </c>
      <c r="CQ546" s="1683">
        <v>0</v>
      </c>
      <c r="CR546" s="1683">
        <v>0</v>
      </c>
      <c r="CS546" s="1683">
        <v>0</v>
      </c>
      <c r="CT546" s="1683">
        <v>0</v>
      </c>
      <c r="CU546" s="1683">
        <v>0</v>
      </c>
      <c r="CV546" s="1683">
        <v>0</v>
      </c>
      <c r="CW546" s="1682"/>
      <c r="CX546" s="1400"/>
      <c r="CY546" s="1400"/>
      <c r="CZ546" s="1400"/>
      <c r="DA546" s="1400"/>
      <c r="DB546" s="1682"/>
      <c r="DC546" s="1326"/>
      <c r="DD546" s="1683">
        <v>0</v>
      </c>
      <c r="DE546" s="1400"/>
      <c r="DF546" s="1400"/>
      <c r="DG546" s="1683">
        <v>0</v>
      </c>
      <c r="DH546" s="1683">
        <v>0</v>
      </c>
    </row>
    <row r="547" spans="1:112" ht="67.5">
      <c r="A547" s="1326" t="s">
        <v>3867</v>
      </c>
      <c r="B547" s="1326" t="s">
        <v>1702</v>
      </c>
      <c r="C547" s="1326" t="s">
        <v>2576</v>
      </c>
      <c r="D547" s="1326" t="s">
        <v>2577</v>
      </c>
      <c r="E547" s="1326" t="s">
        <v>2395</v>
      </c>
      <c r="F547" s="1326" t="s">
        <v>2563</v>
      </c>
      <c r="G547" s="1326" t="s">
        <v>2572</v>
      </c>
      <c r="H547" s="1326" t="s">
        <v>2573</v>
      </c>
      <c r="I547" s="1326" t="s">
        <v>2402</v>
      </c>
      <c r="J547" s="1326" t="s">
        <v>2403</v>
      </c>
      <c r="K547" s="1326" t="s">
        <v>2404</v>
      </c>
      <c r="L547" s="1326" t="s">
        <v>2061</v>
      </c>
      <c r="M547" s="1683">
        <v>5579.99</v>
      </c>
      <c r="N547" s="1683">
        <v>0</v>
      </c>
      <c r="O547" s="1683">
        <v>5579.99</v>
      </c>
      <c r="P547" s="1683">
        <v>3553.1</v>
      </c>
      <c r="Q547" s="1683">
        <v>3553.1</v>
      </c>
      <c r="R547" s="1683">
        <v>3265.01</v>
      </c>
      <c r="S547" s="1683">
        <v>288.08999999999997</v>
      </c>
      <c r="T547" s="1683">
        <v>2026.89</v>
      </c>
      <c r="U547" s="1683">
        <v>0</v>
      </c>
      <c r="V547" s="1683">
        <v>0</v>
      </c>
      <c r="W547" s="1683">
        <v>0</v>
      </c>
      <c r="X547" s="1683">
        <v>2026.89</v>
      </c>
      <c r="Y547" s="1682"/>
      <c r="Z547" s="1326"/>
      <c r="AA547" s="1683">
        <v>0</v>
      </c>
      <c r="AB547" s="1683">
        <v>0</v>
      </c>
      <c r="AC547" s="1683">
        <v>0</v>
      </c>
      <c r="AD547" s="1682"/>
      <c r="AE547" s="1326"/>
      <c r="AF547" s="1326"/>
      <c r="AG547" s="1410"/>
      <c r="AH547" s="1683">
        <v>3008.67</v>
      </c>
      <c r="AI547" s="1683">
        <v>2981.72</v>
      </c>
      <c r="AJ547" s="1683">
        <v>2981.72</v>
      </c>
      <c r="AK547" s="1683">
        <v>2739.96</v>
      </c>
      <c r="AL547" s="1683">
        <v>241.76</v>
      </c>
      <c r="AM547" s="1682"/>
      <c r="AN547" s="1683">
        <v>2984.6</v>
      </c>
      <c r="AO547" s="1683">
        <v>1900.46</v>
      </c>
      <c r="AP547" s="1683">
        <v>1900.46</v>
      </c>
      <c r="AQ547" s="1683">
        <v>1746.37</v>
      </c>
      <c r="AR547" s="1683">
        <v>154.09</v>
      </c>
      <c r="AS547" s="1683">
        <v>1084.1400000000001</v>
      </c>
      <c r="AT547" s="1683">
        <v>0</v>
      </c>
      <c r="AU547" s="1683">
        <v>0</v>
      </c>
      <c r="AV547" s="1683">
        <v>0</v>
      </c>
      <c r="AW547" s="1683">
        <v>1084.1400000000001</v>
      </c>
      <c r="AX547" s="1683">
        <v>0</v>
      </c>
      <c r="AY547" s="1683">
        <v>0</v>
      </c>
      <c r="AZ547" s="1683">
        <v>0</v>
      </c>
      <c r="BA547" s="1682"/>
      <c r="BB547" s="1682"/>
      <c r="BC547" s="1683">
        <v>0</v>
      </c>
      <c r="BD547" s="1683">
        <v>0</v>
      </c>
      <c r="BE547" s="1683">
        <v>2984.6</v>
      </c>
      <c r="BF547" s="1683">
        <v>1900.46</v>
      </c>
      <c r="BG547" s="1683">
        <v>1900.46</v>
      </c>
      <c r="BH547" s="1683">
        <v>1746.37</v>
      </c>
      <c r="BI547" s="1683">
        <v>154.09</v>
      </c>
      <c r="BJ547" s="1683">
        <v>1084.1400000000001</v>
      </c>
      <c r="BK547" s="1683">
        <v>0</v>
      </c>
      <c r="BL547" s="1683">
        <v>0</v>
      </c>
      <c r="BM547" s="1683">
        <v>0</v>
      </c>
      <c r="BN547" s="1683">
        <v>1084.1400000000001</v>
      </c>
      <c r="BO547" s="1682"/>
      <c r="BP547" s="1683">
        <v>0</v>
      </c>
      <c r="BQ547" s="1683">
        <v>0</v>
      </c>
      <c r="BR547" s="1683">
        <v>0</v>
      </c>
      <c r="BS547" s="1683">
        <v>0</v>
      </c>
      <c r="BT547" s="1683">
        <v>0</v>
      </c>
      <c r="BU547" s="1683">
        <v>0</v>
      </c>
      <c r="BV547" s="1683">
        <v>0</v>
      </c>
      <c r="BW547" s="1683">
        <v>0</v>
      </c>
      <c r="BX547" s="1683">
        <v>0</v>
      </c>
      <c r="BY547" s="1683">
        <v>0</v>
      </c>
      <c r="BZ547" s="1683">
        <v>0</v>
      </c>
      <c r="CA547" s="1683">
        <v>0</v>
      </c>
      <c r="CB547" s="1682"/>
      <c r="CC547" s="1682"/>
      <c r="CD547" s="1683">
        <v>0</v>
      </c>
      <c r="CE547" s="1683">
        <v>0</v>
      </c>
      <c r="CF547" s="1683">
        <v>0</v>
      </c>
      <c r="CG547" s="1683">
        <v>0</v>
      </c>
      <c r="CH547" s="1683">
        <v>0</v>
      </c>
      <c r="CI547" s="1683">
        <v>0</v>
      </c>
      <c r="CJ547" s="1683">
        <v>0</v>
      </c>
      <c r="CK547" s="1683">
        <v>0</v>
      </c>
      <c r="CL547" s="1682"/>
      <c r="CM547" s="1683">
        <v>0</v>
      </c>
      <c r="CN547" s="1683">
        <v>0</v>
      </c>
      <c r="CO547" s="1683">
        <v>0</v>
      </c>
      <c r="CP547" s="1683">
        <v>0</v>
      </c>
      <c r="CQ547" s="1683">
        <v>0</v>
      </c>
      <c r="CR547" s="1683">
        <v>0</v>
      </c>
      <c r="CS547" s="1683">
        <v>0</v>
      </c>
      <c r="CT547" s="1683">
        <v>0</v>
      </c>
      <c r="CU547" s="1683">
        <v>0</v>
      </c>
      <c r="CV547" s="1683">
        <v>0</v>
      </c>
      <c r="CW547" s="1682"/>
      <c r="CX547" s="1683">
        <v>0</v>
      </c>
      <c r="CY547" s="1683">
        <v>0</v>
      </c>
      <c r="CZ547" s="1683">
        <v>0</v>
      </c>
      <c r="DA547" s="1683">
        <v>0</v>
      </c>
      <c r="DB547" s="1682"/>
      <c r="DC547" s="1326"/>
      <c r="DD547" s="1683">
        <v>0</v>
      </c>
      <c r="DE547" s="1683">
        <v>0</v>
      </c>
      <c r="DF547" s="1683">
        <v>0</v>
      </c>
      <c r="DG547" s="1683">
        <v>0</v>
      </c>
      <c r="DH547" s="1683">
        <v>0</v>
      </c>
    </row>
    <row r="548" spans="1:112" ht="67.5">
      <c r="A548" s="1326" t="s">
        <v>3868</v>
      </c>
      <c r="B548" s="1326" t="s">
        <v>1702</v>
      </c>
      <c r="C548" s="1326" t="s">
        <v>2576</v>
      </c>
      <c r="D548" s="1326" t="s">
        <v>2577</v>
      </c>
      <c r="E548" s="1326" t="s">
        <v>2395</v>
      </c>
      <c r="F548" s="1326" t="s">
        <v>2563</v>
      </c>
      <c r="G548" s="1326" t="s">
        <v>2572</v>
      </c>
      <c r="H548" s="1326" t="s">
        <v>2573</v>
      </c>
      <c r="I548" s="1326" t="s">
        <v>2402</v>
      </c>
      <c r="J548" s="1326" t="s">
        <v>2403</v>
      </c>
      <c r="K548" s="1326" t="s">
        <v>2404</v>
      </c>
      <c r="L548" s="1326" t="s">
        <v>2061</v>
      </c>
      <c r="M548" s="1400"/>
      <c r="N548" s="1400"/>
      <c r="O548" s="1400"/>
      <c r="P548" s="1400"/>
      <c r="Q548" s="1400"/>
      <c r="R548" s="1400"/>
      <c r="S548" s="1400"/>
      <c r="T548" s="1400"/>
      <c r="U548" s="1400"/>
      <c r="V548" s="1400"/>
      <c r="W548" s="1400"/>
      <c r="X548" s="1400"/>
      <c r="Y548" s="1682"/>
      <c r="Z548" s="1326"/>
      <c r="AA548" s="1683">
        <v>0</v>
      </c>
      <c r="AB548" s="1683">
        <v>0</v>
      </c>
      <c r="AC548" s="1683">
        <v>0</v>
      </c>
      <c r="AD548" s="1682"/>
      <c r="AE548" s="1326" t="s">
        <v>2171</v>
      </c>
      <c r="AF548" s="1326"/>
      <c r="AG548" s="1410" t="s">
        <v>3863</v>
      </c>
      <c r="AH548" s="1683">
        <v>0</v>
      </c>
      <c r="AI548" s="1683">
        <v>0</v>
      </c>
      <c r="AJ548" s="1683">
        <v>0</v>
      </c>
      <c r="AK548" s="1683">
        <v>0</v>
      </c>
      <c r="AL548" s="1683">
        <v>0</v>
      </c>
      <c r="AM548" s="1685">
        <v>43465</v>
      </c>
      <c r="AN548" s="1683">
        <v>-24.07</v>
      </c>
      <c r="AO548" s="1683">
        <v>-15.33</v>
      </c>
      <c r="AP548" s="1683">
        <v>-15.33</v>
      </c>
      <c r="AQ548" s="1683">
        <v>-14.09</v>
      </c>
      <c r="AR548" s="1683">
        <v>-1.24</v>
      </c>
      <c r="AS548" s="1683">
        <v>-8.74</v>
      </c>
      <c r="AT548" s="1683">
        <v>0</v>
      </c>
      <c r="AU548" s="1683">
        <v>0</v>
      </c>
      <c r="AV548" s="1683">
        <v>0</v>
      </c>
      <c r="AW548" s="1683">
        <v>-8.74</v>
      </c>
      <c r="AX548" s="1400"/>
      <c r="AY548" s="1400"/>
      <c r="AZ548" s="1400"/>
      <c r="BA548" s="1682"/>
      <c r="BB548" s="1682"/>
      <c r="BC548" s="1400"/>
      <c r="BD548" s="1400"/>
      <c r="BE548" s="1683">
        <v>-24.07</v>
      </c>
      <c r="BF548" s="1683">
        <v>-15.33</v>
      </c>
      <c r="BG548" s="1683">
        <v>-15.33</v>
      </c>
      <c r="BH548" s="1683">
        <v>-14.09</v>
      </c>
      <c r="BI548" s="1683">
        <v>-1.24</v>
      </c>
      <c r="BJ548" s="1683">
        <v>-8.74</v>
      </c>
      <c r="BK548" s="1683">
        <v>0</v>
      </c>
      <c r="BL548" s="1683">
        <v>0</v>
      </c>
      <c r="BM548" s="1683">
        <v>0</v>
      </c>
      <c r="BN548" s="1683">
        <v>-8.74</v>
      </c>
      <c r="BO548" s="1682"/>
      <c r="BP548" s="1683">
        <v>0</v>
      </c>
      <c r="BQ548" s="1683">
        <v>0</v>
      </c>
      <c r="BR548" s="1683">
        <v>0</v>
      </c>
      <c r="BS548" s="1683">
        <v>0</v>
      </c>
      <c r="BT548" s="1683">
        <v>0</v>
      </c>
      <c r="BU548" s="1683">
        <v>0</v>
      </c>
      <c r="BV548" s="1683">
        <v>0</v>
      </c>
      <c r="BW548" s="1683">
        <v>0</v>
      </c>
      <c r="BX548" s="1683">
        <v>0</v>
      </c>
      <c r="BY548" s="1683">
        <v>0</v>
      </c>
      <c r="BZ548" s="1683">
        <v>0</v>
      </c>
      <c r="CA548" s="1400"/>
      <c r="CB548" s="1682"/>
      <c r="CC548" s="1682"/>
      <c r="CD548" s="1400"/>
      <c r="CE548" s="1400"/>
      <c r="CF548" s="1683">
        <v>0</v>
      </c>
      <c r="CG548" s="1683">
        <v>0</v>
      </c>
      <c r="CH548" s="1683">
        <v>0</v>
      </c>
      <c r="CI548" s="1683">
        <v>0</v>
      </c>
      <c r="CJ548" s="1683">
        <v>0</v>
      </c>
      <c r="CK548" s="1683">
        <v>0</v>
      </c>
      <c r="CL548" s="1682"/>
      <c r="CM548" s="1683">
        <v>0</v>
      </c>
      <c r="CN548" s="1683">
        <v>0</v>
      </c>
      <c r="CO548" s="1683">
        <v>0</v>
      </c>
      <c r="CP548" s="1683">
        <v>0</v>
      </c>
      <c r="CQ548" s="1683">
        <v>0</v>
      </c>
      <c r="CR548" s="1683">
        <v>0</v>
      </c>
      <c r="CS548" s="1683">
        <v>0</v>
      </c>
      <c r="CT548" s="1683">
        <v>0</v>
      </c>
      <c r="CU548" s="1683">
        <v>0</v>
      </c>
      <c r="CV548" s="1683">
        <v>0</v>
      </c>
      <c r="CW548" s="1682"/>
      <c r="CX548" s="1400"/>
      <c r="CY548" s="1400"/>
      <c r="CZ548" s="1400"/>
      <c r="DA548" s="1400"/>
      <c r="DB548" s="1682"/>
      <c r="DC548" s="1326"/>
      <c r="DD548" s="1683">
        <v>0</v>
      </c>
      <c r="DE548" s="1400"/>
      <c r="DF548" s="1400"/>
      <c r="DG548" s="1683">
        <v>0</v>
      </c>
      <c r="DH548" s="1683">
        <v>0</v>
      </c>
    </row>
    <row r="549" spans="1:112" ht="67.5">
      <c r="A549" s="1326" t="s">
        <v>3869</v>
      </c>
      <c r="B549" s="1326" t="s">
        <v>1702</v>
      </c>
      <c r="C549" s="1326" t="s">
        <v>2576</v>
      </c>
      <c r="D549" s="1326" t="s">
        <v>2577</v>
      </c>
      <c r="E549" s="1326" t="s">
        <v>2395</v>
      </c>
      <c r="F549" s="1326" t="s">
        <v>2563</v>
      </c>
      <c r="G549" s="1326" t="s">
        <v>2572</v>
      </c>
      <c r="H549" s="1326" t="s">
        <v>2573</v>
      </c>
      <c r="I549" s="1326" t="s">
        <v>2402</v>
      </c>
      <c r="J549" s="1326" t="s">
        <v>2403</v>
      </c>
      <c r="K549" s="1326" t="s">
        <v>2404</v>
      </c>
      <c r="L549" s="1326" t="s">
        <v>2061</v>
      </c>
      <c r="M549" s="1400"/>
      <c r="N549" s="1400"/>
      <c r="O549" s="1400"/>
      <c r="P549" s="1400"/>
      <c r="Q549" s="1400"/>
      <c r="R549" s="1400"/>
      <c r="S549" s="1400"/>
      <c r="T549" s="1400"/>
      <c r="U549" s="1400"/>
      <c r="V549" s="1400"/>
      <c r="W549" s="1400"/>
      <c r="X549" s="1400"/>
      <c r="Y549" s="1685">
        <v>43381</v>
      </c>
      <c r="Z549" s="1326" t="s">
        <v>2096</v>
      </c>
      <c r="AA549" s="1683">
        <v>0</v>
      </c>
      <c r="AB549" s="1683">
        <v>0</v>
      </c>
      <c r="AC549" s="1683">
        <v>0</v>
      </c>
      <c r="AD549" s="1685">
        <v>43392</v>
      </c>
      <c r="AE549" s="1326" t="s">
        <v>2073</v>
      </c>
      <c r="AF549" s="1326" t="s">
        <v>2064</v>
      </c>
      <c r="AG549" s="1410"/>
      <c r="AH549" s="1683">
        <v>0</v>
      </c>
      <c r="AI549" s="1683">
        <v>1065.93</v>
      </c>
      <c r="AJ549" s="1683">
        <v>1065.93</v>
      </c>
      <c r="AK549" s="1683">
        <v>979.5</v>
      </c>
      <c r="AL549" s="1683">
        <v>86.43</v>
      </c>
      <c r="AM549" s="1682"/>
      <c r="AN549" s="1683">
        <v>0</v>
      </c>
      <c r="AO549" s="1683">
        <v>0</v>
      </c>
      <c r="AP549" s="1683">
        <v>0</v>
      </c>
      <c r="AQ549" s="1683">
        <v>0</v>
      </c>
      <c r="AR549" s="1683">
        <v>0</v>
      </c>
      <c r="AS549" s="1683">
        <v>0</v>
      </c>
      <c r="AT549" s="1683">
        <v>0</v>
      </c>
      <c r="AU549" s="1683">
        <v>0</v>
      </c>
      <c r="AV549" s="1683">
        <v>0</v>
      </c>
      <c r="AW549" s="1683">
        <v>0</v>
      </c>
      <c r="AX549" s="1400"/>
      <c r="AY549" s="1400"/>
      <c r="AZ549" s="1400"/>
      <c r="BA549" s="1682"/>
      <c r="BB549" s="1682"/>
      <c r="BC549" s="1400"/>
      <c r="BD549" s="1400"/>
      <c r="BE549" s="1683">
        <v>0</v>
      </c>
      <c r="BF549" s="1683">
        <v>0</v>
      </c>
      <c r="BG549" s="1683">
        <v>0</v>
      </c>
      <c r="BH549" s="1683">
        <v>0</v>
      </c>
      <c r="BI549" s="1683">
        <v>0</v>
      </c>
      <c r="BJ549" s="1683">
        <v>0</v>
      </c>
      <c r="BK549" s="1683">
        <v>0</v>
      </c>
      <c r="BL549" s="1683">
        <v>0</v>
      </c>
      <c r="BM549" s="1683">
        <v>0</v>
      </c>
      <c r="BN549" s="1683">
        <v>0</v>
      </c>
      <c r="BO549" s="1682"/>
      <c r="BP549" s="1683">
        <v>0</v>
      </c>
      <c r="BQ549" s="1683">
        <v>0</v>
      </c>
      <c r="BR549" s="1683">
        <v>0</v>
      </c>
      <c r="BS549" s="1683">
        <v>0</v>
      </c>
      <c r="BT549" s="1683">
        <v>0</v>
      </c>
      <c r="BU549" s="1683">
        <v>0</v>
      </c>
      <c r="BV549" s="1683">
        <v>0</v>
      </c>
      <c r="BW549" s="1683">
        <v>0</v>
      </c>
      <c r="BX549" s="1683">
        <v>0</v>
      </c>
      <c r="BY549" s="1683">
        <v>0</v>
      </c>
      <c r="BZ549" s="1400"/>
      <c r="CA549" s="1400"/>
      <c r="CB549" s="1682"/>
      <c r="CC549" s="1682"/>
      <c r="CD549" s="1400"/>
      <c r="CE549" s="1400"/>
      <c r="CF549" s="1683">
        <v>0</v>
      </c>
      <c r="CG549" s="1683">
        <v>0</v>
      </c>
      <c r="CH549" s="1683">
        <v>0</v>
      </c>
      <c r="CI549" s="1683">
        <v>0</v>
      </c>
      <c r="CJ549" s="1683">
        <v>0</v>
      </c>
      <c r="CK549" s="1683">
        <v>0</v>
      </c>
      <c r="CL549" s="1682"/>
      <c r="CM549" s="1683">
        <v>0</v>
      </c>
      <c r="CN549" s="1683">
        <v>0</v>
      </c>
      <c r="CO549" s="1683">
        <v>0</v>
      </c>
      <c r="CP549" s="1683">
        <v>0</v>
      </c>
      <c r="CQ549" s="1683">
        <v>0</v>
      </c>
      <c r="CR549" s="1683">
        <v>0</v>
      </c>
      <c r="CS549" s="1683">
        <v>0</v>
      </c>
      <c r="CT549" s="1683">
        <v>0</v>
      </c>
      <c r="CU549" s="1683">
        <v>0</v>
      </c>
      <c r="CV549" s="1683">
        <v>0</v>
      </c>
      <c r="CW549" s="1682"/>
      <c r="CX549" s="1400"/>
      <c r="CY549" s="1400"/>
      <c r="CZ549" s="1400"/>
      <c r="DA549" s="1400"/>
      <c r="DB549" s="1682"/>
      <c r="DC549" s="1326"/>
      <c r="DD549" s="1683">
        <v>0</v>
      </c>
      <c r="DE549" s="1400"/>
      <c r="DF549" s="1400"/>
      <c r="DG549" s="1683">
        <v>0</v>
      </c>
      <c r="DH549" s="1683">
        <v>0</v>
      </c>
    </row>
    <row r="550" spans="1:112" ht="67.5">
      <c r="A550" s="1326" t="s">
        <v>3870</v>
      </c>
      <c r="B550" s="1326" t="s">
        <v>1702</v>
      </c>
      <c r="C550" s="1326" t="s">
        <v>2576</v>
      </c>
      <c r="D550" s="1326" t="s">
        <v>2577</v>
      </c>
      <c r="E550" s="1326" t="s">
        <v>2395</v>
      </c>
      <c r="F550" s="1326" t="s">
        <v>2563</v>
      </c>
      <c r="G550" s="1326" t="s">
        <v>2572</v>
      </c>
      <c r="H550" s="1326" t="s">
        <v>2573</v>
      </c>
      <c r="I550" s="1326" t="s">
        <v>2402</v>
      </c>
      <c r="J550" s="1326" t="s">
        <v>2403</v>
      </c>
      <c r="K550" s="1326" t="s">
        <v>2404</v>
      </c>
      <c r="L550" s="1326" t="s">
        <v>2061</v>
      </c>
      <c r="M550" s="1400"/>
      <c r="N550" s="1400"/>
      <c r="O550" s="1400"/>
      <c r="P550" s="1400"/>
      <c r="Q550" s="1400"/>
      <c r="R550" s="1400"/>
      <c r="S550" s="1400"/>
      <c r="T550" s="1400"/>
      <c r="U550" s="1400"/>
      <c r="V550" s="1400"/>
      <c r="W550" s="1400"/>
      <c r="X550" s="1400"/>
      <c r="Y550" s="1685">
        <v>43438</v>
      </c>
      <c r="Z550" s="1326" t="s">
        <v>2062</v>
      </c>
      <c r="AA550" s="1683">
        <v>0</v>
      </c>
      <c r="AB550" s="1683">
        <v>0</v>
      </c>
      <c r="AC550" s="1683">
        <v>0</v>
      </c>
      <c r="AD550" s="1685">
        <v>43462</v>
      </c>
      <c r="AE550" s="1326" t="s">
        <v>2063</v>
      </c>
      <c r="AF550" s="1326" t="s">
        <v>2064</v>
      </c>
      <c r="AG550" s="1410"/>
      <c r="AH550" s="1683">
        <v>3008.67</v>
      </c>
      <c r="AI550" s="1683">
        <v>1915.79</v>
      </c>
      <c r="AJ550" s="1683">
        <v>1915.79</v>
      </c>
      <c r="AK550" s="1683">
        <v>1760.46</v>
      </c>
      <c r="AL550" s="1683">
        <v>155.33000000000001</v>
      </c>
      <c r="AM550" s="1685">
        <v>43462</v>
      </c>
      <c r="AN550" s="1683">
        <v>3008.67</v>
      </c>
      <c r="AO550" s="1683">
        <v>1915.79</v>
      </c>
      <c r="AP550" s="1683">
        <v>1915.79</v>
      </c>
      <c r="AQ550" s="1683">
        <v>1760.46</v>
      </c>
      <c r="AR550" s="1683">
        <v>155.33000000000001</v>
      </c>
      <c r="AS550" s="1683">
        <v>1092.8800000000001</v>
      </c>
      <c r="AT550" s="1683">
        <v>0</v>
      </c>
      <c r="AU550" s="1683">
        <v>0</v>
      </c>
      <c r="AV550" s="1683">
        <v>0</v>
      </c>
      <c r="AW550" s="1683">
        <v>1092.8800000000001</v>
      </c>
      <c r="AX550" s="1400"/>
      <c r="AY550" s="1400"/>
      <c r="AZ550" s="1400"/>
      <c r="BA550" s="1682"/>
      <c r="BB550" s="1682"/>
      <c r="BC550" s="1400"/>
      <c r="BD550" s="1400"/>
      <c r="BE550" s="1683">
        <v>3008.67</v>
      </c>
      <c r="BF550" s="1683">
        <v>1915.79</v>
      </c>
      <c r="BG550" s="1683">
        <v>1915.79</v>
      </c>
      <c r="BH550" s="1683">
        <v>1760.46</v>
      </c>
      <c r="BI550" s="1683">
        <v>155.33000000000001</v>
      </c>
      <c r="BJ550" s="1683">
        <v>1092.8800000000001</v>
      </c>
      <c r="BK550" s="1683">
        <v>0</v>
      </c>
      <c r="BL550" s="1683">
        <v>0</v>
      </c>
      <c r="BM550" s="1683">
        <v>0</v>
      </c>
      <c r="BN550" s="1683">
        <v>1092.8800000000001</v>
      </c>
      <c r="BO550" s="1682"/>
      <c r="BP550" s="1683">
        <v>0</v>
      </c>
      <c r="BQ550" s="1683">
        <v>0</v>
      </c>
      <c r="BR550" s="1683">
        <v>0</v>
      </c>
      <c r="BS550" s="1683">
        <v>0</v>
      </c>
      <c r="BT550" s="1683">
        <v>0</v>
      </c>
      <c r="BU550" s="1683">
        <v>0</v>
      </c>
      <c r="BV550" s="1683">
        <v>0</v>
      </c>
      <c r="BW550" s="1683">
        <v>0</v>
      </c>
      <c r="BX550" s="1683">
        <v>0</v>
      </c>
      <c r="BY550" s="1683">
        <v>0</v>
      </c>
      <c r="BZ550" s="1683">
        <v>0</v>
      </c>
      <c r="CA550" s="1400"/>
      <c r="CB550" s="1682"/>
      <c r="CC550" s="1682"/>
      <c r="CD550" s="1400"/>
      <c r="CE550" s="1400"/>
      <c r="CF550" s="1683">
        <v>0</v>
      </c>
      <c r="CG550" s="1683">
        <v>0</v>
      </c>
      <c r="CH550" s="1683">
        <v>0</v>
      </c>
      <c r="CI550" s="1683">
        <v>0</v>
      </c>
      <c r="CJ550" s="1683">
        <v>0</v>
      </c>
      <c r="CK550" s="1683">
        <v>0</v>
      </c>
      <c r="CL550" s="1682"/>
      <c r="CM550" s="1683">
        <v>0</v>
      </c>
      <c r="CN550" s="1683">
        <v>0</v>
      </c>
      <c r="CO550" s="1683">
        <v>0</v>
      </c>
      <c r="CP550" s="1683">
        <v>0</v>
      </c>
      <c r="CQ550" s="1683">
        <v>0</v>
      </c>
      <c r="CR550" s="1683">
        <v>0</v>
      </c>
      <c r="CS550" s="1683">
        <v>0</v>
      </c>
      <c r="CT550" s="1683">
        <v>0</v>
      </c>
      <c r="CU550" s="1683">
        <v>0</v>
      </c>
      <c r="CV550" s="1683">
        <v>0</v>
      </c>
      <c r="CW550" s="1682"/>
      <c r="CX550" s="1400"/>
      <c r="CY550" s="1400"/>
      <c r="CZ550" s="1400"/>
      <c r="DA550" s="1400"/>
      <c r="DB550" s="1682"/>
      <c r="DC550" s="1326"/>
      <c r="DD550" s="1683">
        <v>0</v>
      </c>
      <c r="DE550" s="1400"/>
      <c r="DF550" s="1400"/>
      <c r="DG550" s="1683">
        <v>0</v>
      </c>
      <c r="DH550" s="1683">
        <v>0</v>
      </c>
    </row>
    <row r="551" spans="1:112" ht="33.75">
      <c r="A551" s="1326" t="s">
        <v>3871</v>
      </c>
      <c r="B551" s="1326" t="s">
        <v>1702</v>
      </c>
      <c r="C551" s="1326" t="s">
        <v>2576</v>
      </c>
      <c r="D551" s="1326" t="s">
        <v>2577</v>
      </c>
      <c r="E551" s="1326" t="s">
        <v>2395</v>
      </c>
      <c r="F551" s="1326" t="s">
        <v>2563</v>
      </c>
      <c r="G551" s="1326" t="s">
        <v>2572</v>
      </c>
      <c r="H551" s="1326" t="s">
        <v>2573</v>
      </c>
      <c r="I551" s="1326" t="s">
        <v>2407</v>
      </c>
      <c r="J551" s="1326" t="s">
        <v>2408</v>
      </c>
      <c r="K551" s="1326" t="s">
        <v>2399</v>
      </c>
      <c r="L551" s="1326" t="s">
        <v>2061</v>
      </c>
      <c r="M551" s="1683">
        <v>10446.14</v>
      </c>
      <c r="N551" s="1683">
        <v>0</v>
      </c>
      <c r="O551" s="1683">
        <v>10446.14</v>
      </c>
      <c r="P551" s="1683">
        <v>7142.92</v>
      </c>
      <c r="Q551" s="1683">
        <v>7142.92</v>
      </c>
      <c r="R551" s="1683">
        <v>6563.76</v>
      </c>
      <c r="S551" s="1683">
        <v>579.16</v>
      </c>
      <c r="T551" s="1683">
        <v>3303.22</v>
      </c>
      <c r="U551" s="1683">
        <v>0</v>
      </c>
      <c r="V551" s="1683">
        <v>0</v>
      </c>
      <c r="W551" s="1683">
        <v>0</v>
      </c>
      <c r="X551" s="1683">
        <v>3303.22</v>
      </c>
      <c r="Y551" s="1682"/>
      <c r="Z551" s="1326"/>
      <c r="AA551" s="1683">
        <v>0</v>
      </c>
      <c r="AB551" s="1683">
        <v>0</v>
      </c>
      <c r="AC551" s="1683">
        <v>0</v>
      </c>
      <c r="AD551" s="1682"/>
      <c r="AE551" s="1326"/>
      <c r="AF551" s="1326"/>
      <c r="AG551" s="1410"/>
      <c r="AH551" s="1683">
        <v>7247.21</v>
      </c>
      <c r="AI551" s="1683">
        <v>6455.54</v>
      </c>
      <c r="AJ551" s="1683">
        <v>6455.53</v>
      </c>
      <c r="AK551" s="1683">
        <v>5932.11</v>
      </c>
      <c r="AL551" s="1683">
        <v>523.41999999999996</v>
      </c>
      <c r="AM551" s="1682"/>
      <c r="AN551" s="1683">
        <v>7247.21</v>
      </c>
      <c r="AO551" s="1683">
        <v>4955.53</v>
      </c>
      <c r="AP551" s="1683">
        <v>4955.53</v>
      </c>
      <c r="AQ551" s="1683">
        <v>4553.7299999999996</v>
      </c>
      <c r="AR551" s="1683">
        <v>401.8</v>
      </c>
      <c r="AS551" s="1683">
        <v>2291.6799999999998</v>
      </c>
      <c r="AT551" s="1683">
        <v>0</v>
      </c>
      <c r="AU551" s="1683">
        <v>0</v>
      </c>
      <c r="AV551" s="1683">
        <v>0</v>
      </c>
      <c r="AW551" s="1683">
        <v>2291.6799999999998</v>
      </c>
      <c r="AX551" s="1683">
        <v>0</v>
      </c>
      <c r="AY551" s="1683">
        <v>0</v>
      </c>
      <c r="AZ551" s="1683">
        <v>0</v>
      </c>
      <c r="BA551" s="1682"/>
      <c r="BB551" s="1682"/>
      <c r="BC551" s="1683">
        <v>0</v>
      </c>
      <c r="BD551" s="1683">
        <v>0</v>
      </c>
      <c r="BE551" s="1683">
        <v>7247.21</v>
      </c>
      <c r="BF551" s="1683">
        <v>4955.53</v>
      </c>
      <c r="BG551" s="1683">
        <v>4955.53</v>
      </c>
      <c r="BH551" s="1683">
        <v>4553.7299999999996</v>
      </c>
      <c r="BI551" s="1683">
        <v>401.8</v>
      </c>
      <c r="BJ551" s="1683">
        <v>2291.6799999999998</v>
      </c>
      <c r="BK551" s="1683">
        <v>0</v>
      </c>
      <c r="BL551" s="1683">
        <v>0</v>
      </c>
      <c r="BM551" s="1683">
        <v>0</v>
      </c>
      <c r="BN551" s="1683">
        <v>2291.6799999999998</v>
      </c>
      <c r="BO551" s="1682"/>
      <c r="BP551" s="1683">
        <v>0</v>
      </c>
      <c r="BQ551" s="1683">
        <v>0</v>
      </c>
      <c r="BR551" s="1683">
        <v>0</v>
      </c>
      <c r="BS551" s="1683">
        <v>0</v>
      </c>
      <c r="BT551" s="1683">
        <v>0</v>
      </c>
      <c r="BU551" s="1683">
        <v>0</v>
      </c>
      <c r="BV551" s="1683">
        <v>0</v>
      </c>
      <c r="BW551" s="1683">
        <v>0</v>
      </c>
      <c r="BX551" s="1683">
        <v>0</v>
      </c>
      <c r="BY551" s="1683">
        <v>0</v>
      </c>
      <c r="BZ551" s="1683">
        <v>0</v>
      </c>
      <c r="CA551" s="1683">
        <v>0</v>
      </c>
      <c r="CB551" s="1682"/>
      <c r="CC551" s="1682"/>
      <c r="CD551" s="1683">
        <v>0</v>
      </c>
      <c r="CE551" s="1683">
        <v>0</v>
      </c>
      <c r="CF551" s="1683">
        <v>0</v>
      </c>
      <c r="CG551" s="1683">
        <v>0</v>
      </c>
      <c r="CH551" s="1683">
        <v>0</v>
      </c>
      <c r="CI551" s="1683">
        <v>0</v>
      </c>
      <c r="CJ551" s="1683">
        <v>0</v>
      </c>
      <c r="CK551" s="1683">
        <v>0</v>
      </c>
      <c r="CL551" s="1682"/>
      <c r="CM551" s="1683">
        <v>0</v>
      </c>
      <c r="CN551" s="1683">
        <v>0</v>
      </c>
      <c r="CO551" s="1683">
        <v>0</v>
      </c>
      <c r="CP551" s="1683">
        <v>0</v>
      </c>
      <c r="CQ551" s="1683">
        <v>0</v>
      </c>
      <c r="CR551" s="1683">
        <v>0</v>
      </c>
      <c r="CS551" s="1683">
        <v>0</v>
      </c>
      <c r="CT551" s="1683">
        <v>0</v>
      </c>
      <c r="CU551" s="1683">
        <v>0</v>
      </c>
      <c r="CV551" s="1683">
        <v>0</v>
      </c>
      <c r="CW551" s="1682"/>
      <c r="CX551" s="1683">
        <v>0</v>
      </c>
      <c r="CY551" s="1683">
        <v>0</v>
      </c>
      <c r="CZ551" s="1683">
        <v>0</v>
      </c>
      <c r="DA551" s="1683">
        <v>0</v>
      </c>
      <c r="DB551" s="1682"/>
      <c r="DC551" s="1326"/>
      <c r="DD551" s="1683">
        <v>0</v>
      </c>
      <c r="DE551" s="1683">
        <v>0</v>
      </c>
      <c r="DF551" s="1683">
        <v>0</v>
      </c>
      <c r="DG551" s="1683">
        <v>267.08</v>
      </c>
      <c r="DH551" s="1683">
        <v>0</v>
      </c>
    </row>
    <row r="552" spans="1:112" ht="33.75">
      <c r="A552" s="1326" t="s">
        <v>3872</v>
      </c>
      <c r="B552" s="1326" t="s">
        <v>1702</v>
      </c>
      <c r="C552" s="1326" t="s">
        <v>2576</v>
      </c>
      <c r="D552" s="1326" t="s">
        <v>2577</v>
      </c>
      <c r="E552" s="1326" t="s">
        <v>2395</v>
      </c>
      <c r="F552" s="1326" t="s">
        <v>2563</v>
      </c>
      <c r="G552" s="1326" t="s">
        <v>2572</v>
      </c>
      <c r="H552" s="1326" t="s">
        <v>2573</v>
      </c>
      <c r="I552" s="1326" t="s">
        <v>2407</v>
      </c>
      <c r="J552" s="1326" t="s">
        <v>2408</v>
      </c>
      <c r="K552" s="1326" t="s">
        <v>2399</v>
      </c>
      <c r="L552" s="1326" t="s">
        <v>2061</v>
      </c>
      <c r="M552" s="1400"/>
      <c r="N552" s="1400"/>
      <c r="O552" s="1400"/>
      <c r="P552" s="1400"/>
      <c r="Q552" s="1400"/>
      <c r="R552" s="1400"/>
      <c r="S552" s="1400"/>
      <c r="T552" s="1400"/>
      <c r="U552" s="1400"/>
      <c r="V552" s="1400"/>
      <c r="W552" s="1400"/>
      <c r="X552" s="1400"/>
      <c r="Y552" s="1685">
        <v>43369</v>
      </c>
      <c r="Z552" s="1326" t="s">
        <v>2096</v>
      </c>
      <c r="AA552" s="1683">
        <v>0</v>
      </c>
      <c r="AB552" s="1683">
        <v>0</v>
      </c>
      <c r="AC552" s="1683">
        <v>0</v>
      </c>
      <c r="AD552" s="1685">
        <v>43384</v>
      </c>
      <c r="AE552" s="1326" t="s">
        <v>2073</v>
      </c>
      <c r="AF552" s="1326" t="s">
        <v>2064</v>
      </c>
      <c r="AG552" s="1410"/>
      <c r="AH552" s="1683">
        <v>0</v>
      </c>
      <c r="AI552" s="1683">
        <v>1500</v>
      </c>
      <c r="AJ552" s="1683">
        <v>1500</v>
      </c>
      <c r="AK552" s="1683">
        <v>1378.38</v>
      </c>
      <c r="AL552" s="1683">
        <v>121.62</v>
      </c>
      <c r="AM552" s="1682"/>
      <c r="AN552" s="1683">
        <v>0</v>
      </c>
      <c r="AO552" s="1683">
        <v>0</v>
      </c>
      <c r="AP552" s="1683">
        <v>0</v>
      </c>
      <c r="AQ552" s="1683">
        <v>0</v>
      </c>
      <c r="AR552" s="1683">
        <v>0</v>
      </c>
      <c r="AS552" s="1683">
        <v>0</v>
      </c>
      <c r="AT552" s="1683">
        <v>0</v>
      </c>
      <c r="AU552" s="1683">
        <v>0</v>
      </c>
      <c r="AV552" s="1683">
        <v>0</v>
      </c>
      <c r="AW552" s="1683">
        <v>0</v>
      </c>
      <c r="AX552" s="1400"/>
      <c r="AY552" s="1400"/>
      <c r="AZ552" s="1400"/>
      <c r="BA552" s="1682"/>
      <c r="BB552" s="1682"/>
      <c r="BC552" s="1400"/>
      <c r="BD552" s="1400"/>
      <c r="BE552" s="1683">
        <v>0</v>
      </c>
      <c r="BF552" s="1683">
        <v>0</v>
      </c>
      <c r="BG552" s="1683">
        <v>0</v>
      </c>
      <c r="BH552" s="1683">
        <v>0</v>
      </c>
      <c r="BI552" s="1683">
        <v>0</v>
      </c>
      <c r="BJ552" s="1683">
        <v>0</v>
      </c>
      <c r="BK552" s="1683">
        <v>0</v>
      </c>
      <c r="BL552" s="1683">
        <v>0</v>
      </c>
      <c r="BM552" s="1683">
        <v>0</v>
      </c>
      <c r="BN552" s="1683">
        <v>0</v>
      </c>
      <c r="BO552" s="1682"/>
      <c r="BP552" s="1683">
        <v>0</v>
      </c>
      <c r="BQ552" s="1683">
        <v>0</v>
      </c>
      <c r="BR552" s="1683">
        <v>0</v>
      </c>
      <c r="BS552" s="1683">
        <v>0</v>
      </c>
      <c r="BT552" s="1683">
        <v>0</v>
      </c>
      <c r="BU552" s="1683">
        <v>0</v>
      </c>
      <c r="BV552" s="1683">
        <v>0</v>
      </c>
      <c r="BW552" s="1683">
        <v>0</v>
      </c>
      <c r="BX552" s="1683">
        <v>0</v>
      </c>
      <c r="BY552" s="1683">
        <v>0</v>
      </c>
      <c r="BZ552" s="1400"/>
      <c r="CA552" s="1400"/>
      <c r="CB552" s="1682"/>
      <c r="CC552" s="1682"/>
      <c r="CD552" s="1400"/>
      <c r="CE552" s="1400"/>
      <c r="CF552" s="1683">
        <v>0</v>
      </c>
      <c r="CG552" s="1683">
        <v>0</v>
      </c>
      <c r="CH552" s="1683">
        <v>0</v>
      </c>
      <c r="CI552" s="1683">
        <v>0</v>
      </c>
      <c r="CJ552" s="1683">
        <v>0</v>
      </c>
      <c r="CK552" s="1683">
        <v>0</v>
      </c>
      <c r="CL552" s="1682"/>
      <c r="CM552" s="1683">
        <v>0</v>
      </c>
      <c r="CN552" s="1683">
        <v>0</v>
      </c>
      <c r="CO552" s="1683">
        <v>0</v>
      </c>
      <c r="CP552" s="1683">
        <v>0</v>
      </c>
      <c r="CQ552" s="1683">
        <v>0</v>
      </c>
      <c r="CR552" s="1683">
        <v>0</v>
      </c>
      <c r="CS552" s="1683">
        <v>0</v>
      </c>
      <c r="CT552" s="1683">
        <v>0</v>
      </c>
      <c r="CU552" s="1683">
        <v>0</v>
      </c>
      <c r="CV552" s="1683">
        <v>0</v>
      </c>
      <c r="CW552" s="1682"/>
      <c r="CX552" s="1400"/>
      <c r="CY552" s="1400"/>
      <c r="CZ552" s="1400"/>
      <c r="DA552" s="1400"/>
      <c r="DB552" s="1682"/>
      <c r="DC552" s="1326"/>
      <c r="DD552" s="1683">
        <v>0</v>
      </c>
      <c r="DE552" s="1400"/>
      <c r="DF552" s="1400"/>
      <c r="DG552" s="1683">
        <v>0</v>
      </c>
      <c r="DH552" s="1683">
        <v>0</v>
      </c>
    </row>
    <row r="553" spans="1:112" ht="33.75">
      <c r="A553" s="1326" t="s">
        <v>3873</v>
      </c>
      <c r="B553" s="1326" t="s">
        <v>1702</v>
      </c>
      <c r="C553" s="1326" t="s">
        <v>2576</v>
      </c>
      <c r="D553" s="1326" t="s">
        <v>2577</v>
      </c>
      <c r="E553" s="1326" t="s">
        <v>2395</v>
      </c>
      <c r="F553" s="1326" t="s">
        <v>2563</v>
      </c>
      <c r="G553" s="1326" t="s">
        <v>2572</v>
      </c>
      <c r="H553" s="1326" t="s">
        <v>2573</v>
      </c>
      <c r="I553" s="1326" t="s">
        <v>2407</v>
      </c>
      <c r="J553" s="1326" t="s">
        <v>2408</v>
      </c>
      <c r="K553" s="1326" t="s">
        <v>2399</v>
      </c>
      <c r="L553" s="1326" t="s">
        <v>2061</v>
      </c>
      <c r="M553" s="1400"/>
      <c r="N553" s="1400"/>
      <c r="O553" s="1400"/>
      <c r="P553" s="1400"/>
      <c r="Q553" s="1400"/>
      <c r="R553" s="1400"/>
      <c r="S553" s="1400"/>
      <c r="T553" s="1400"/>
      <c r="U553" s="1400"/>
      <c r="V553" s="1400"/>
      <c r="W553" s="1400"/>
      <c r="X553" s="1400"/>
      <c r="Y553" s="1685">
        <v>43452</v>
      </c>
      <c r="Z553" s="1326" t="s">
        <v>2062</v>
      </c>
      <c r="AA553" s="1683">
        <v>0</v>
      </c>
      <c r="AB553" s="1683">
        <v>0</v>
      </c>
      <c r="AC553" s="1683">
        <v>0</v>
      </c>
      <c r="AD553" s="1685">
        <v>43461</v>
      </c>
      <c r="AE553" s="1326" t="s">
        <v>2063</v>
      </c>
      <c r="AF553" s="1326" t="s">
        <v>2064</v>
      </c>
      <c r="AG553" s="1410"/>
      <c r="AH553" s="1683">
        <v>4578.55</v>
      </c>
      <c r="AI553" s="1683">
        <v>3130.75</v>
      </c>
      <c r="AJ553" s="1683">
        <v>3130.75</v>
      </c>
      <c r="AK553" s="1683">
        <v>2876.9</v>
      </c>
      <c r="AL553" s="1683">
        <v>253.85</v>
      </c>
      <c r="AM553" s="1685">
        <v>43461</v>
      </c>
      <c r="AN553" s="1683">
        <v>4578.55</v>
      </c>
      <c r="AO553" s="1683">
        <v>3130.75</v>
      </c>
      <c r="AP553" s="1683">
        <v>3130.75</v>
      </c>
      <c r="AQ553" s="1683">
        <v>2876.9</v>
      </c>
      <c r="AR553" s="1683">
        <v>253.85</v>
      </c>
      <c r="AS553" s="1683">
        <v>1447.8</v>
      </c>
      <c r="AT553" s="1683">
        <v>0</v>
      </c>
      <c r="AU553" s="1683">
        <v>0</v>
      </c>
      <c r="AV553" s="1683">
        <v>0</v>
      </c>
      <c r="AW553" s="1683">
        <v>1447.8</v>
      </c>
      <c r="AX553" s="1400"/>
      <c r="AY553" s="1400"/>
      <c r="AZ553" s="1400"/>
      <c r="BA553" s="1682"/>
      <c r="BB553" s="1682"/>
      <c r="BC553" s="1400"/>
      <c r="BD553" s="1400"/>
      <c r="BE553" s="1683">
        <v>4578.55</v>
      </c>
      <c r="BF553" s="1683">
        <v>3130.75</v>
      </c>
      <c r="BG553" s="1683">
        <v>3130.75</v>
      </c>
      <c r="BH553" s="1683">
        <v>2876.9</v>
      </c>
      <c r="BI553" s="1683">
        <v>253.85</v>
      </c>
      <c r="BJ553" s="1683">
        <v>1447.8</v>
      </c>
      <c r="BK553" s="1683">
        <v>0</v>
      </c>
      <c r="BL553" s="1683">
        <v>0</v>
      </c>
      <c r="BM553" s="1683">
        <v>0</v>
      </c>
      <c r="BN553" s="1683">
        <v>1447.8</v>
      </c>
      <c r="BO553" s="1682"/>
      <c r="BP553" s="1683">
        <v>0</v>
      </c>
      <c r="BQ553" s="1683">
        <v>0</v>
      </c>
      <c r="BR553" s="1683">
        <v>0</v>
      </c>
      <c r="BS553" s="1683">
        <v>0</v>
      </c>
      <c r="BT553" s="1683">
        <v>0</v>
      </c>
      <c r="BU553" s="1683">
        <v>0</v>
      </c>
      <c r="BV553" s="1683">
        <v>0</v>
      </c>
      <c r="BW553" s="1683">
        <v>0</v>
      </c>
      <c r="BX553" s="1683">
        <v>0</v>
      </c>
      <c r="BY553" s="1683">
        <v>0</v>
      </c>
      <c r="BZ553" s="1683">
        <v>0</v>
      </c>
      <c r="CA553" s="1400"/>
      <c r="CB553" s="1682"/>
      <c r="CC553" s="1682"/>
      <c r="CD553" s="1400"/>
      <c r="CE553" s="1400"/>
      <c r="CF553" s="1683">
        <v>0</v>
      </c>
      <c r="CG553" s="1683">
        <v>0</v>
      </c>
      <c r="CH553" s="1683">
        <v>0</v>
      </c>
      <c r="CI553" s="1683">
        <v>0</v>
      </c>
      <c r="CJ553" s="1683">
        <v>0</v>
      </c>
      <c r="CK553" s="1683">
        <v>0</v>
      </c>
      <c r="CL553" s="1682"/>
      <c r="CM553" s="1683">
        <v>0</v>
      </c>
      <c r="CN553" s="1683">
        <v>0</v>
      </c>
      <c r="CO553" s="1683">
        <v>0</v>
      </c>
      <c r="CP553" s="1683">
        <v>0</v>
      </c>
      <c r="CQ553" s="1683">
        <v>0</v>
      </c>
      <c r="CR553" s="1683">
        <v>0</v>
      </c>
      <c r="CS553" s="1683">
        <v>0</v>
      </c>
      <c r="CT553" s="1683">
        <v>0</v>
      </c>
      <c r="CU553" s="1683">
        <v>0</v>
      </c>
      <c r="CV553" s="1683">
        <v>0</v>
      </c>
      <c r="CW553" s="1682"/>
      <c r="CX553" s="1400"/>
      <c r="CY553" s="1400"/>
      <c r="CZ553" s="1400"/>
      <c r="DA553" s="1400"/>
      <c r="DB553" s="1682"/>
      <c r="DC553" s="1326"/>
      <c r="DD553" s="1683">
        <v>0</v>
      </c>
      <c r="DE553" s="1400"/>
      <c r="DF553" s="1400"/>
      <c r="DG553" s="1683">
        <v>0</v>
      </c>
      <c r="DH553" s="1683">
        <v>0</v>
      </c>
    </row>
    <row r="554" spans="1:112" ht="33.75">
      <c r="A554" s="1326" t="s">
        <v>3874</v>
      </c>
      <c r="B554" s="1326" t="s">
        <v>1702</v>
      </c>
      <c r="C554" s="1326" t="s">
        <v>2576</v>
      </c>
      <c r="D554" s="1326" t="s">
        <v>2577</v>
      </c>
      <c r="E554" s="1326" t="s">
        <v>2395</v>
      </c>
      <c r="F554" s="1326" t="s">
        <v>2563</v>
      </c>
      <c r="G554" s="1326" t="s">
        <v>2572</v>
      </c>
      <c r="H554" s="1326" t="s">
        <v>2573</v>
      </c>
      <c r="I554" s="1326" t="s">
        <v>2407</v>
      </c>
      <c r="J554" s="1326" t="s">
        <v>2408</v>
      </c>
      <c r="K554" s="1326" t="s">
        <v>2399</v>
      </c>
      <c r="L554" s="1326" t="s">
        <v>2061</v>
      </c>
      <c r="M554" s="1400"/>
      <c r="N554" s="1400"/>
      <c r="O554" s="1400"/>
      <c r="P554" s="1400"/>
      <c r="Q554" s="1400"/>
      <c r="R554" s="1400"/>
      <c r="S554" s="1400"/>
      <c r="T554" s="1400"/>
      <c r="U554" s="1400"/>
      <c r="V554" s="1400"/>
      <c r="W554" s="1400"/>
      <c r="X554" s="1400"/>
      <c r="Y554" s="1685">
        <v>43538</v>
      </c>
      <c r="Z554" s="1326" t="s">
        <v>2062</v>
      </c>
      <c r="AA554" s="1683">
        <v>0</v>
      </c>
      <c r="AB554" s="1683">
        <v>0</v>
      </c>
      <c r="AC554" s="1683">
        <v>0</v>
      </c>
      <c r="AD554" s="1685">
        <v>43552</v>
      </c>
      <c r="AE554" s="1326" t="s">
        <v>2066</v>
      </c>
      <c r="AF554" s="1326" t="s">
        <v>2064</v>
      </c>
      <c r="AG554" s="1410"/>
      <c r="AH554" s="1683">
        <v>2668.66</v>
      </c>
      <c r="AI554" s="1683">
        <v>1824.79</v>
      </c>
      <c r="AJ554" s="1683">
        <v>1824.78</v>
      </c>
      <c r="AK554" s="1683">
        <v>1676.83</v>
      </c>
      <c r="AL554" s="1683">
        <v>147.94999999999999</v>
      </c>
      <c r="AM554" s="1685">
        <v>43552</v>
      </c>
      <c r="AN554" s="1683">
        <v>2668.66</v>
      </c>
      <c r="AO554" s="1683">
        <v>1824.78</v>
      </c>
      <c r="AP554" s="1683">
        <v>1824.78</v>
      </c>
      <c r="AQ554" s="1683">
        <v>1676.83</v>
      </c>
      <c r="AR554" s="1683">
        <v>147.94999999999999</v>
      </c>
      <c r="AS554" s="1683">
        <v>843.88</v>
      </c>
      <c r="AT554" s="1683">
        <v>0</v>
      </c>
      <c r="AU554" s="1683">
        <v>0</v>
      </c>
      <c r="AV554" s="1683">
        <v>0</v>
      </c>
      <c r="AW554" s="1683">
        <v>843.88</v>
      </c>
      <c r="AX554" s="1400"/>
      <c r="AY554" s="1400"/>
      <c r="AZ554" s="1400"/>
      <c r="BA554" s="1682"/>
      <c r="BB554" s="1682"/>
      <c r="BC554" s="1400"/>
      <c r="BD554" s="1400"/>
      <c r="BE554" s="1683">
        <v>2668.66</v>
      </c>
      <c r="BF554" s="1683">
        <v>1824.78</v>
      </c>
      <c r="BG554" s="1683">
        <v>1824.78</v>
      </c>
      <c r="BH554" s="1683">
        <v>1676.83</v>
      </c>
      <c r="BI554" s="1683">
        <v>147.94999999999999</v>
      </c>
      <c r="BJ554" s="1683">
        <v>843.88</v>
      </c>
      <c r="BK554" s="1683">
        <v>0</v>
      </c>
      <c r="BL554" s="1683">
        <v>0</v>
      </c>
      <c r="BM554" s="1683">
        <v>0</v>
      </c>
      <c r="BN554" s="1683">
        <v>843.88</v>
      </c>
      <c r="BO554" s="1682"/>
      <c r="BP554" s="1683">
        <v>0</v>
      </c>
      <c r="BQ554" s="1683">
        <v>0</v>
      </c>
      <c r="BR554" s="1683">
        <v>0</v>
      </c>
      <c r="BS554" s="1683">
        <v>0</v>
      </c>
      <c r="BT554" s="1683">
        <v>0</v>
      </c>
      <c r="BU554" s="1683">
        <v>0</v>
      </c>
      <c r="BV554" s="1683">
        <v>0</v>
      </c>
      <c r="BW554" s="1683">
        <v>0</v>
      </c>
      <c r="BX554" s="1683">
        <v>0</v>
      </c>
      <c r="BY554" s="1683">
        <v>0</v>
      </c>
      <c r="BZ554" s="1400"/>
      <c r="CA554" s="1400"/>
      <c r="CB554" s="1682"/>
      <c r="CC554" s="1682"/>
      <c r="CD554" s="1400"/>
      <c r="CE554" s="1400"/>
      <c r="CF554" s="1683">
        <v>0</v>
      </c>
      <c r="CG554" s="1683">
        <v>0</v>
      </c>
      <c r="CH554" s="1683">
        <v>0</v>
      </c>
      <c r="CI554" s="1683">
        <v>0</v>
      </c>
      <c r="CJ554" s="1683">
        <v>0</v>
      </c>
      <c r="CK554" s="1683">
        <v>0</v>
      </c>
      <c r="CL554" s="1682"/>
      <c r="CM554" s="1683">
        <v>0</v>
      </c>
      <c r="CN554" s="1683">
        <v>0</v>
      </c>
      <c r="CO554" s="1683">
        <v>0</v>
      </c>
      <c r="CP554" s="1683">
        <v>0</v>
      </c>
      <c r="CQ554" s="1683">
        <v>0</v>
      </c>
      <c r="CR554" s="1683">
        <v>0</v>
      </c>
      <c r="CS554" s="1683">
        <v>0</v>
      </c>
      <c r="CT554" s="1683">
        <v>0</v>
      </c>
      <c r="CU554" s="1683">
        <v>0</v>
      </c>
      <c r="CV554" s="1683">
        <v>0</v>
      </c>
      <c r="CW554" s="1682"/>
      <c r="CX554" s="1400"/>
      <c r="CY554" s="1400"/>
      <c r="CZ554" s="1400"/>
      <c r="DA554" s="1400"/>
      <c r="DB554" s="1682"/>
      <c r="DC554" s="1326"/>
      <c r="DD554" s="1683">
        <v>0</v>
      </c>
      <c r="DE554" s="1400"/>
      <c r="DF554" s="1400"/>
      <c r="DG554" s="1683">
        <v>267.08</v>
      </c>
      <c r="DH554" s="1683">
        <v>0</v>
      </c>
    </row>
    <row r="555" spans="1:112" ht="22.5">
      <c r="A555" s="1326" t="s">
        <v>3875</v>
      </c>
      <c r="B555" s="1326" t="s">
        <v>1702</v>
      </c>
      <c r="C555" s="1326" t="s">
        <v>2576</v>
      </c>
      <c r="D555" s="1326" t="s">
        <v>2577</v>
      </c>
      <c r="E555" s="1326" t="s">
        <v>2395</v>
      </c>
      <c r="F555" s="1326" t="s">
        <v>2563</v>
      </c>
      <c r="G555" s="1326" t="s">
        <v>2572</v>
      </c>
      <c r="H555" s="1326" t="s">
        <v>2573</v>
      </c>
      <c r="I555" s="1326" t="s">
        <v>2411</v>
      </c>
      <c r="J555" s="1326" t="s">
        <v>2412</v>
      </c>
      <c r="K555" s="1326" t="s">
        <v>2413</v>
      </c>
      <c r="L555" s="1326" t="s">
        <v>2061</v>
      </c>
      <c r="M555" s="1683">
        <v>9096.9500000000007</v>
      </c>
      <c r="N555" s="1683">
        <v>0</v>
      </c>
      <c r="O555" s="1683">
        <v>9096.9500000000007</v>
      </c>
      <c r="P555" s="1683">
        <v>6245.66</v>
      </c>
      <c r="Q555" s="1683">
        <v>6245.66</v>
      </c>
      <c r="R555" s="1683">
        <v>5739.26</v>
      </c>
      <c r="S555" s="1683">
        <v>506.4</v>
      </c>
      <c r="T555" s="1683">
        <v>2851.29</v>
      </c>
      <c r="U555" s="1683">
        <v>0</v>
      </c>
      <c r="V555" s="1683">
        <v>0</v>
      </c>
      <c r="W555" s="1683">
        <v>0</v>
      </c>
      <c r="X555" s="1683">
        <v>2851.29</v>
      </c>
      <c r="Y555" s="1682"/>
      <c r="Z555" s="1326"/>
      <c r="AA555" s="1683">
        <v>0</v>
      </c>
      <c r="AB555" s="1683">
        <v>0</v>
      </c>
      <c r="AC555" s="1683">
        <v>0</v>
      </c>
      <c r="AD555" s="1682"/>
      <c r="AE555" s="1326"/>
      <c r="AF555" s="1326"/>
      <c r="AG555" s="1410"/>
      <c r="AH555" s="1683">
        <v>3321</v>
      </c>
      <c r="AI555" s="1683">
        <v>4153.79</v>
      </c>
      <c r="AJ555" s="1683">
        <v>4153.79</v>
      </c>
      <c r="AK555" s="1683">
        <v>3817</v>
      </c>
      <c r="AL555" s="1683">
        <v>336.79</v>
      </c>
      <c r="AM555" s="1682"/>
      <c r="AN555" s="1683">
        <v>3321</v>
      </c>
      <c r="AO555" s="1683">
        <v>2280.09</v>
      </c>
      <c r="AP555" s="1683">
        <v>2280.09</v>
      </c>
      <c r="AQ555" s="1683">
        <v>2095.2199999999998</v>
      </c>
      <c r="AR555" s="1683">
        <v>184.87</v>
      </c>
      <c r="AS555" s="1683">
        <v>1040.9100000000001</v>
      </c>
      <c r="AT555" s="1683">
        <v>0</v>
      </c>
      <c r="AU555" s="1683">
        <v>0</v>
      </c>
      <c r="AV555" s="1683">
        <v>0</v>
      </c>
      <c r="AW555" s="1683">
        <v>1040.9100000000001</v>
      </c>
      <c r="AX555" s="1683">
        <v>0</v>
      </c>
      <c r="AY555" s="1683">
        <v>0</v>
      </c>
      <c r="AZ555" s="1683">
        <v>0</v>
      </c>
      <c r="BA555" s="1682"/>
      <c r="BB555" s="1682"/>
      <c r="BC555" s="1683">
        <v>0</v>
      </c>
      <c r="BD555" s="1683">
        <v>0</v>
      </c>
      <c r="BE555" s="1683">
        <v>3321</v>
      </c>
      <c r="BF555" s="1683">
        <v>2280.09</v>
      </c>
      <c r="BG555" s="1683">
        <v>2280.09</v>
      </c>
      <c r="BH555" s="1683">
        <v>2095.2199999999998</v>
      </c>
      <c r="BI555" s="1683">
        <v>184.87</v>
      </c>
      <c r="BJ555" s="1683">
        <v>1040.9100000000001</v>
      </c>
      <c r="BK555" s="1683">
        <v>0</v>
      </c>
      <c r="BL555" s="1683">
        <v>0</v>
      </c>
      <c r="BM555" s="1683">
        <v>0</v>
      </c>
      <c r="BN555" s="1683">
        <v>1040.9100000000001</v>
      </c>
      <c r="BO555" s="1682"/>
      <c r="BP555" s="1683">
        <v>0</v>
      </c>
      <c r="BQ555" s="1683">
        <v>0</v>
      </c>
      <c r="BR555" s="1683">
        <v>0</v>
      </c>
      <c r="BS555" s="1683">
        <v>0</v>
      </c>
      <c r="BT555" s="1683">
        <v>0</v>
      </c>
      <c r="BU555" s="1683">
        <v>0</v>
      </c>
      <c r="BV555" s="1683">
        <v>0</v>
      </c>
      <c r="BW555" s="1683">
        <v>0</v>
      </c>
      <c r="BX555" s="1683">
        <v>0</v>
      </c>
      <c r="BY555" s="1683">
        <v>0</v>
      </c>
      <c r="BZ555" s="1683">
        <v>0</v>
      </c>
      <c r="CA555" s="1683">
        <v>0</v>
      </c>
      <c r="CB555" s="1682"/>
      <c r="CC555" s="1682"/>
      <c r="CD555" s="1683">
        <v>0</v>
      </c>
      <c r="CE555" s="1683">
        <v>0</v>
      </c>
      <c r="CF555" s="1683">
        <v>0</v>
      </c>
      <c r="CG555" s="1683">
        <v>0</v>
      </c>
      <c r="CH555" s="1683">
        <v>0</v>
      </c>
      <c r="CI555" s="1683">
        <v>0</v>
      </c>
      <c r="CJ555" s="1683">
        <v>0</v>
      </c>
      <c r="CK555" s="1683">
        <v>0</v>
      </c>
      <c r="CL555" s="1682"/>
      <c r="CM555" s="1683">
        <v>0</v>
      </c>
      <c r="CN555" s="1683">
        <v>0</v>
      </c>
      <c r="CO555" s="1683">
        <v>0</v>
      </c>
      <c r="CP555" s="1683">
        <v>0</v>
      </c>
      <c r="CQ555" s="1683">
        <v>0</v>
      </c>
      <c r="CR555" s="1683">
        <v>0</v>
      </c>
      <c r="CS555" s="1683">
        <v>0</v>
      </c>
      <c r="CT555" s="1683">
        <v>0</v>
      </c>
      <c r="CU555" s="1683">
        <v>0</v>
      </c>
      <c r="CV555" s="1683">
        <v>0</v>
      </c>
      <c r="CW555" s="1682"/>
      <c r="CX555" s="1683">
        <v>0</v>
      </c>
      <c r="CY555" s="1683">
        <v>0</v>
      </c>
      <c r="CZ555" s="1683">
        <v>0</v>
      </c>
      <c r="DA555" s="1683">
        <v>0</v>
      </c>
      <c r="DB555" s="1682"/>
      <c r="DC555" s="1326"/>
      <c r="DD555" s="1683">
        <v>0</v>
      </c>
      <c r="DE555" s="1683">
        <v>0</v>
      </c>
      <c r="DF555" s="1683">
        <v>0</v>
      </c>
      <c r="DG555" s="1683">
        <v>0</v>
      </c>
      <c r="DH555" s="1683">
        <v>0</v>
      </c>
    </row>
    <row r="556" spans="1:112" ht="22.5">
      <c r="A556" s="1326" t="s">
        <v>3876</v>
      </c>
      <c r="B556" s="1326" t="s">
        <v>1702</v>
      </c>
      <c r="C556" s="1326" t="s">
        <v>2576</v>
      </c>
      <c r="D556" s="1326" t="s">
        <v>2577</v>
      </c>
      <c r="E556" s="1326" t="s">
        <v>2395</v>
      </c>
      <c r="F556" s="1326" t="s">
        <v>2563</v>
      </c>
      <c r="G556" s="1326" t="s">
        <v>2572</v>
      </c>
      <c r="H556" s="1326" t="s">
        <v>2573</v>
      </c>
      <c r="I556" s="1326" t="s">
        <v>2411</v>
      </c>
      <c r="J556" s="1326" t="s">
        <v>2412</v>
      </c>
      <c r="K556" s="1326" t="s">
        <v>2413</v>
      </c>
      <c r="L556" s="1326" t="s">
        <v>2061</v>
      </c>
      <c r="M556" s="1400"/>
      <c r="N556" s="1400"/>
      <c r="O556" s="1400"/>
      <c r="P556" s="1400"/>
      <c r="Q556" s="1400"/>
      <c r="R556" s="1400"/>
      <c r="S556" s="1400"/>
      <c r="T556" s="1400"/>
      <c r="U556" s="1400"/>
      <c r="V556" s="1400"/>
      <c r="W556" s="1400"/>
      <c r="X556" s="1400"/>
      <c r="Y556" s="1685">
        <v>43363</v>
      </c>
      <c r="Z556" s="1326" t="s">
        <v>2096</v>
      </c>
      <c r="AA556" s="1683">
        <v>0</v>
      </c>
      <c r="AB556" s="1683">
        <v>0</v>
      </c>
      <c r="AC556" s="1683">
        <v>0</v>
      </c>
      <c r="AD556" s="1685">
        <v>43382</v>
      </c>
      <c r="AE556" s="1326" t="s">
        <v>2073</v>
      </c>
      <c r="AF556" s="1326" t="s">
        <v>2064</v>
      </c>
      <c r="AG556" s="1410"/>
      <c r="AH556" s="1683">
        <v>0</v>
      </c>
      <c r="AI556" s="1683">
        <v>1873.7</v>
      </c>
      <c r="AJ556" s="1683">
        <v>1873.7</v>
      </c>
      <c r="AK556" s="1683">
        <v>1721.78</v>
      </c>
      <c r="AL556" s="1683">
        <v>151.91999999999999</v>
      </c>
      <c r="AM556" s="1682"/>
      <c r="AN556" s="1683">
        <v>0</v>
      </c>
      <c r="AO556" s="1683">
        <v>0</v>
      </c>
      <c r="AP556" s="1683">
        <v>0</v>
      </c>
      <c r="AQ556" s="1683">
        <v>0</v>
      </c>
      <c r="AR556" s="1683">
        <v>0</v>
      </c>
      <c r="AS556" s="1683">
        <v>0</v>
      </c>
      <c r="AT556" s="1683">
        <v>0</v>
      </c>
      <c r="AU556" s="1683">
        <v>0</v>
      </c>
      <c r="AV556" s="1683">
        <v>0</v>
      </c>
      <c r="AW556" s="1683">
        <v>0</v>
      </c>
      <c r="AX556" s="1400"/>
      <c r="AY556" s="1400"/>
      <c r="AZ556" s="1400"/>
      <c r="BA556" s="1682"/>
      <c r="BB556" s="1682"/>
      <c r="BC556" s="1400"/>
      <c r="BD556" s="1400"/>
      <c r="BE556" s="1683">
        <v>0</v>
      </c>
      <c r="BF556" s="1683">
        <v>0</v>
      </c>
      <c r="BG556" s="1683">
        <v>0</v>
      </c>
      <c r="BH556" s="1683">
        <v>0</v>
      </c>
      <c r="BI556" s="1683">
        <v>0</v>
      </c>
      <c r="BJ556" s="1683">
        <v>0</v>
      </c>
      <c r="BK556" s="1683">
        <v>0</v>
      </c>
      <c r="BL556" s="1683">
        <v>0</v>
      </c>
      <c r="BM556" s="1683">
        <v>0</v>
      </c>
      <c r="BN556" s="1683">
        <v>0</v>
      </c>
      <c r="BO556" s="1682"/>
      <c r="BP556" s="1683">
        <v>0</v>
      </c>
      <c r="BQ556" s="1683">
        <v>0</v>
      </c>
      <c r="BR556" s="1683">
        <v>0</v>
      </c>
      <c r="BS556" s="1683">
        <v>0</v>
      </c>
      <c r="BT556" s="1683">
        <v>0</v>
      </c>
      <c r="BU556" s="1683">
        <v>0</v>
      </c>
      <c r="BV556" s="1683">
        <v>0</v>
      </c>
      <c r="BW556" s="1683">
        <v>0</v>
      </c>
      <c r="BX556" s="1683">
        <v>0</v>
      </c>
      <c r="BY556" s="1683">
        <v>0</v>
      </c>
      <c r="BZ556" s="1400"/>
      <c r="CA556" s="1400"/>
      <c r="CB556" s="1682"/>
      <c r="CC556" s="1682"/>
      <c r="CD556" s="1400"/>
      <c r="CE556" s="1400"/>
      <c r="CF556" s="1683">
        <v>0</v>
      </c>
      <c r="CG556" s="1683">
        <v>0</v>
      </c>
      <c r="CH556" s="1683">
        <v>0</v>
      </c>
      <c r="CI556" s="1683">
        <v>0</v>
      </c>
      <c r="CJ556" s="1683">
        <v>0</v>
      </c>
      <c r="CK556" s="1683">
        <v>0</v>
      </c>
      <c r="CL556" s="1682"/>
      <c r="CM556" s="1683">
        <v>0</v>
      </c>
      <c r="CN556" s="1683">
        <v>0</v>
      </c>
      <c r="CO556" s="1683">
        <v>0</v>
      </c>
      <c r="CP556" s="1683">
        <v>0</v>
      </c>
      <c r="CQ556" s="1683">
        <v>0</v>
      </c>
      <c r="CR556" s="1683">
        <v>0</v>
      </c>
      <c r="CS556" s="1683">
        <v>0</v>
      </c>
      <c r="CT556" s="1683">
        <v>0</v>
      </c>
      <c r="CU556" s="1683">
        <v>0</v>
      </c>
      <c r="CV556" s="1683">
        <v>0</v>
      </c>
      <c r="CW556" s="1682"/>
      <c r="CX556" s="1400"/>
      <c r="CY556" s="1400"/>
      <c r="CZ556" s="1400"/>
      <c r="DA556" s="1400"/>
      <c r="DB556" s="1682"/>
      <c r="DC556" s="1326"/>
      <c r="DD556" s="1683">
        <v>0</v>
      </c>
      <c r="DE556" s="1400"/>
      <c r="DF556" s="1400"/>
      <c r="DG556" s="1683">
        <v>0</v>
      </c>
      <c r="DH556" s="1683">
        <v>0</v>
      </c>
    </row>
    <row r="557" spans="1:112" ht="22.5">
      <c r="A557" s="1326" t="s">
        <v>3877</v>
      </c>
      <c r="B557" s="1326" t="s">
        <v>1702</v>
      </c>
      <c r="C557" s="1326" t="s">
        <v>2576</v>
      </c>
      <c r="D557" s="1326" t="s">
        <v>2577</v>
      </c>
      <c r="E557" s="1326" t="s">
        <v>2395</v>
      </c>
      <c r="F557" s="1326" t="s">
        <v>2563</v>
      </c>
      <c r="G557" s="1326" t="s">
        <v>2572</v>
      </c>
      <c r="H557" s="1326" t="s">
        <v>2573</v>
      </c>
      <c r="I557" s="1326" t="s">
        <v>2411</v>
      </c>
      <c r="J557" s="1326" t="s">
        <v>2412</v>
      </c>
      <c r="K557" s="1326" t="s">
        <v>2413</v>
      </c>
      <c r="L557" s="1326" t="s">
        <v>2061</v>
      </c>
      <c r="M557" s="1400"/>
      <c r="N557" s="1400"/>
      <c r="O557" s="1400"/>
      <c r="P557" s="1400"/>
      <c r="Q557" s="1400"/>
      <c r="R557" s="1400"/>
      <c r="S557" s="1400"/>
      <c r="T557" s="1400"/>
      <c r="U557" s="1400"/>
      <c r="V557" s="1400"/>
      <c r="W557" s="1400"/>
      <c r="X557" s="1400"/>
      <c r="Y557" s="1685">
        <v>43438</v>
      </c>
      <c r="Z557" s="1326" t="s">
        <v>2062</v>
      </c>
      <c r="AA557" s="1683">
        <v>0</v>
      </c>
      <c r="AB557" s="1683">
        <v>0</v>
      </c>
      <c r="AC557" s="1683">
        <v>0</v>
      </c>
      <c r="AD557" s="1685">
        <v>43461</v>
      </c>
      <c r="AE557" s="1326" t="s">
        <v>2063</v>
      </c>
      <c r="AF557" s="1326" t="s">
        <v>2064</v>
      </c>
      <c r="AG557" s="1410"/>
      <c r="AH557" s="1683">
        <v>3321</v>
      </c>
      <c r="AI557" s="1683">
        <v>2280.09</v>
      </c>
      <c r="AJ557" s="1683">
        <v>2280.09</v>
      </c>
      <c r="AK557" s="1683">
        <v>2095.2199999999998</v>
      </c>
      <c r="AL557" s="1683">
        <v>184.87</v>
      </c>
      <c r="AM557" s="1685">
        <v>43461</v>
      </c>
      <c r="AN557" s="1683">
        <v>3321</v>
      </c>
      <c r="AO557" s="1683">
        <v>2280.09</v>
      </c>
      <c r="AP557" s="1683">
        <v>2280.09</v>
      </c>
      <c r="AQ557" s="1683">
        <v>2095.2199999999998</v>
      </c>
      <c r="AR557" s="1683">
        <v>184.87</v>
      </c>
      <c r="AS557" s="1683">
        <v>1040.9100000000001</v>
      </c>
      <c r="AT557" s="1683">
        <v>0</v>
      </c>
      <c r="AU557" s="1683">
        <v>0</v>
      </c>
      <c r="AV557" s="1683">
        <v>0</v>
      </c>
      <c r="AW557" s="1683">
        <v>1040.9100000000001</v>
      </c>
      <c r="AX557" s="1400"/>
      <c r="AY557" s="1400"/>
      <c r="AZ557" s="1400"/>
      <c r="BA557" s="1682"/>
      <c r="BB557" s="1682"/>
      <c r="BC557" s="1400"/>
      <c r="BD557" s="1400"/>
      <c r="BE557" s="1683">
        <v>3321</v>
      </c>
      <c r="BF557" s="1683">
        <v>2280.09</v>
      </c>
      <c r="BG557" s="1683">
        <v>2280.09</v>
      </c>
      <c r="BH557" s="1683">
        <v>2095.2199999999998</v>
      </c>
      <c r="BI557" s="1683">
        <v>184.87</v>
      </c>
      <c r="BJ557" s="1683">
        <v>1040.9100000000001</v>
      </c>
      <c r="BK557" s="1683">
        <v>0</v>
      </c>
      <c r="BL557" s="1683">
        <v>0</v>
      </c>
      <c r="BM557" s="1683">
        <v>0</v>
      </c>
      <c r="BN557" s="1683">
        <v>1040.9100000000001</v>
      </c>
      <c r="BO557" s="1682"/>
      <c r="BP557" s="1683">
        <v>0</v>
      </c>
      <c r="BQ557" s="1683">
        <v>0</v>
      </c>
      <c r="BR557" s="1683">
        <v>0</v>
      </c>
      <c r="BS557" s="1683">
        <v>0</v>
      </c>
      <c r="BT557" s="1683">
        <v>0</v>
      </c>
      <c r="BU557" s="1683">
        <v>0</v>
      </c>
      <c r="BV557" s="1683">
        <v>0</v>
      </c>
      <c r="BW557" s="1683">
        <v>0</v>
      </c>
      <c r="BX557" s="1683">
        <v>0</v>
      </c>
      <c r="BY557" s="1683">
        <v>0</v>
      </c>
      <c r="BZ557" s="1683">
        <v>0</v>
      </c>
      <c r="CA557" s="1400"/>
      <c r="CB557" s="1682"/>
      <c r="CC557" s="1682"/>
      <c r="CD557" s="1400"/>
      <c r="CE557" s="1400"/>
      <c r="CF557" s="1683">
        <v>0</v>
      </c>
      <c r="CG557" s="1683">
        <v>0</v>
      </c>
      <c r="CH557" s="1683">
        <v>0</v>
      </c>
      <c r="CI557" s="1683">
        <v>0</v>
      </c>
      <c r="CJ557" s="1683">
        <v>0</v>
      </c>
      <c r="CK557" s="1683">
        <v>0</v>
      </c>
      <c r="CL557" s="1682"/>
      <c r="CM557" s="1683">
        <v>0</v>
      </c>
      <c r="CN557" s="1683">
        <v>0</v>
      </c>
      <c r="CO557" s="1683">
        <v>0</v>
      </c>
      <c r="CP557" s="1683">
        <v>0</v>
      </c>
      <c r="CQ557" s="1683">
        <v>0</v>
      </c>
      <c r="CR557" s="1683">
        <v>0</v>
      </c>
      <c r="CS557" s="1683">
        <v>0</v>
      </c>
      <c r="CT557" s="1683">
        <v>0</v>
      </c>
      <c r="CU557" s="1683">
        <v>0</v>
      </c>
      <c r="CV557" s="1683">
        <v>0</v>
      </c>
      <c r="CW557" s="1682"/>
      <c r="CX557" s="1400"/>
      <c r="CY557" s="1400"/>
      <c r="CZ557" s="1400"/>
      <c r="DA557" s="1400"/>
      <c r="DB557" s="1682"/>
      <c r="DC557" s="1326"/>
      <c r="DD557" s="1683">
        <v>0</v>
      </c>
      <c r="DE557" s="1400"/>
      <c r="DF557" s="1400"/>
      <c r="DG557" s="1683">
        <v>0</v>
      </c>
      <c r="DH557" s="1683">
        <v>0</v>
      </c>
    </row>
    <row r="558" spans="1:112" ht="22.5">
      <c r="A558" s="1326" t="s">
        <v>3878</v>
      </c>
      <c r="B558" s="1326" t="s">
        <v>1702</v>
      </c>
      <c r="C558" s="1326" t="s">
        <v>2576</v>
      </c>
      <c r="D558" s="1326" t="s">
        <v>2577</v>
      </c>
      <c r="E558" s="1326" t="s">
        <v>2395</v>
      </c>
      <c r="F558" s="1326" t="s">
        <v>2563</v>
      </c>
      <c r="G558" s="1326" t="s">
        <v>2572</v>
      </c>
      <c r="H558" s="1326" t="s">
        <v>2573</v>
      </c>
      <c r="I558" s="1326" t="s">
        <v>2416</v>
      </c>
      <c r="J558" s="1326" t="s">
        <v>2417</v>
      </c>
      <c r="K558" s="1326" t="s">
        <v>2418</v>
      </c>
      <c r="L558" s="1326" t="s">
        <v>2061</v>
      </c>
      <c r="M558" s="1683">
        <v>9832.3700000000008</v>
      </c>
      <c r="N558" s="1683">
        <v>0</v>
      </c>
      <c r="O558" s="1683">
        <v>9832.3700000000008</v>
      </c>
      <c r="P558" s="1683">
        <v>6773.3</v>
      </c>
      <c r="Q558" s="1683">
        <v>6773.3</v>
      </c>
      <c r="R558" s="1683">
        <v>6224.11</v>
      </c>
      <c r="S558" s="1683">
        <v>549.19000000000005</v>
      </c>
      <c r="T558" s="1683">
        <v>3059.07</v>
      </c>
      <c r="U558" s="1683">
        <v>0</v>
      </c>
      <c r="V558" s="1683">
        <v>0</v>
      </c>
      <c r="W558" s="1683">
        <v>0</v>
      </c>
      <c r="X558" s="1683">
        <v>3059.07</v>
      </c>
      <c r="Y558" s="1682"/>
      <c r="Z558" s="1326"/>
      <c r="AA558" s="1683">
        <v>938.43</v>
      </c>
      <c r="AB558" s="1683">
        <v>862.34</v>
      </c>
      <c r="AC558" s="1683">
        <v>76.09</v>
      </c>
      <c r="AD558" s="1682"/>
      <c r="AE558" s="1326"/>
      <c r="AF558" s="1326"/>
      <c r="AG558" s="1410"/>
      <c r="AH558" s="1683">
        <v>1362.26</v>
      </c>
      <c r="AI558" s="1683">
        <v>2970.42</v>
      </c>
      <c r="AJ558" s="1683">
        <v>2031.99</v>
      </c>
      <c r="AK558" s="1683">
        <v>1867.23</v>
      </c>
      <c r="AL558" s="1683">
        <v>164.76</v>
      </c>
      <c r="AM558" s="1682"/>
      <c r="AN558" s="1683">
        <v>1362.26</v>
      </c>
      <c r="AO558" s="1683">
        <v>938.43</v>
      </c>
      <c r="AP558" s="1683">
        <v>938.43</v>
      </c>
      <c r="AQ558" s="1683">
        <v>862.34</v>
      </c>
      <c r="AR558" s="1683">
        <v>76.09</v>
      </c>
      <c r="AS558" s="1683">
        <v>423.83</v>
      </c>
      <c r="AT558" s="1683">
        <v>0</v>
      </c>
      <c r="AU558" s="1683">
        <v>0</v>
      </c>
      <c r="AV558" s="1683">
        <v>0</v>
      </c>
      <c r="AW558" s="1683">
        <v>423.83</v>
      </c>
      <c r="AX558" s="1683">
        <v>0</v>
      </c>
      <c r="AY558" s="1683">
        <v>0</v>
      </c>
      <c r="AZ558" s="1683">
        <v>0</v>
      </c>
      <c r="BA558" s="1682"/>
      <c r="BB558" s="1682"/>
      <c r="BC558" s="1683">
        <v>0</v>
      </c>
      <c r="BD558" s="1683">
        <v>0</v>
      </c>
      <c r="BE558" s="1683">
        <v>1362.26</v>
      </c>
      <c r="BF558" s="1683">
        <v>938.43</v>
      </c>
      <c r="BG558" s="1683">
        <v>938.43</v>
      </c>
      <c r="BH558" s="1683">
        <v>862.34</v>
      </c>
      <c r="BI558" s="1683">
        <v>76.09</v>
      </c>
      <c r="BJ558" s="1683">
        <v>423.83</v>
      </c>
      <c r="BK558" s="1683">
        <v>0</v>
      </c>
      <c r="BL558" s="1683">
        <v>0</v>
      </c>
      <c r="BM558" s="1683">
        <v>0</v>
      </c>
      <c r="BN558" s="1683">
        <v>423.83</v>
      </c>
      <c r="BO558" s="1682"/>
      <c r="BP558" s="1683">
        <v>0</v>
      </c>
      <c r="BQ558" s="1683">
        <v>0</v>
      </c>
      <c r="BR558" s="1683">
        <v>0</v>
      </c>
      <c r="BS558" s="1683">
        <v>0</v>
      </c>
      <c r="BT558" s="1683">
        <v>0</v>
      </c>
      <c r="BU558" s="1683">
        <v>0</v>
      </c>
      <c r="BV558" s="1683">
        <v>0</v>
      </c>
      <c r="BW558" s="1683">
        <v>0</v>
      </c>
      <c r="BX558" s="1683">
        <v>0</v>
      </c>
      <c r="BY558" s="1683">
        <v>0</v>
      </c>
      <c r="BZ558" s="1400"/>
      <c r="CA558" s="1683">
        <v>0</v>
      </c>
      <c r="CB558" s="1682"/>
      <c r="CC558" s="1682"/>
      <c r="CD558" s="1683">
        <v>0</v>
      </c>
      <c r="CE558" s="1683">
        <v>0</v>
      </c>
      <c r="CF558" s="1683">
        <v>0</v>
      </c>
      <c r="CG558" s="1683">
        <v>0</v>
      </c>
      <c r="CH558" s="1683">
        <v>0</v>
      </c>
      <c r="CI558" s="1683">
        <v>0</v>
      </c>
      <c r="CJ558" s="1683">
        <v>0</v>
      </c>
      <c r="CK558" s="1683">
        <v>0</v>
      </c>
      <c r="CL558" s="1682"/>
      <c r="CM558" s="1683">
        <v>0</v>
      </c>
      <c r="CN558" s="1683">
        <v>0</v>
      </c>
      <c r="CO558" s="1683">
        <v>0</v>
      </c>
      <c r="CP558" s="1683">
        <v>0</v>
      </c>
      <c r="CQ558" s="1683">
        <v>0</v>
      </c>
      <c r="CR558" s="1683">
        <v>0</v>
      </c>
      <c r="CS558" s="1683">
        <v>0</v>
      </c>
      <c r="CT558" s="1683">
        <v>0</v>
      </c>
      <c r="CU558" s="1683">
        <v>0</v>
      </c>
      <c r="CV558" s="1683">
        <v>0</v>
      </c>
      <c r="CW558" s="1682"/>
      <c r="CX558" s="1683">
        <v>0</v>
      </c>
      <c r="CY558" s="1683">
        <v>0</v>
      </c>
      <c r="CZ558" s="1683">
        <v>0</v>
      </c>
      <c r="DA558" s="1683">
        <v>0</v>
      </c>
      <c r="DB558" s="1682"/>
      <c r="DC558" s="1326"/>
      <c r="DD558" s="1683">
        <v>0</v>
      </c>
      <c r="DE558" s="1683">
        <v>0</v>
      </c>
      <c r="DF558" s="1683">
        <v>0</v>
      </c>
      <c r="DG558" s="1683">
        <v>245</v>
      </c>
      <c r="DH558" s="1683">
        <v>0</v>
      </c>
    </row>
    <row r="559" spans="1:112" ht="22.5">
      <c r="A559" s="1326" t="s">
        <v>3879</v>
      </c>
      <c r="B559" s="1326" t="s">
        <v>1702</v>
      </c>
      <c r="C559" s="1326" t="s">
        <v>2576</v>
      </c>
      <c r="D559" s="1326" t="s">
        <v>2577</v>
      </c>
      <c r="E559" s="1326" t="s">
        <v>2395</v>
      </c>
      <c r="F559" s="1326" t="s">
        <v>2563</v>
      </c>
      <c r="G559" s="1326" t="s">
        <v>2572</v>
      </c>
      <c r="H559" s="1326" t="s">
        <v>2573</v>
      </c>
      <c r="I559" s="1326" t="s">
        <v>2416</v>
      </c>
      <c r="J559" s="1326" t="s">
        <v>2417</v>
      </c>
      <c r="K559" s="1326" t="s">
        <v>2418</v>
      </c>
      <c r="L559" s="1326" t="s">
        <v>2061</v>
      </c>
      <c r="M559" s="1400"/>
      <c r="N559" s="1400"/>
      <c r="O559" s="1400"/>
      <c r="P559" s="1400"/>
      <c r="Q559" s="1400"/>
      <c r="R559" s="1400"/>
      <c r="S559" s="1400"/>
      <c r="T559" s="1400"/>
      <c r="U559" s="1400"/>
      <c r="V559" s="1400"/>
      <c r="W559" s="1400"/>
      <c r="X559" s="1400"/>
      <c r="Y559" s="1685">
        <v>43383</v>
      </c>
      <c r="Z559" s="1326" t="s">
        <v>2096</v>
      </c>
      <c r="AA559" s="1683">
        <v>0</v>
      </c>
      <c r="AB559" s="1683">
        <v>0</v>
      </c>
      <c r="AC559" s="1683">
        <v>0</v>
      </c>
      <c r="AD559" s="1685">
        <v>43392</v>
      </c>
      <c r="AE559" s="1326" t="s">
        <v>2073</v>
      </c>
      <c r="AF559" s="1326" t="s">
        <v>2064</v>
      </c>
      <c r="AG559" s="1410"/>
      <c r="AH559" s="1683">
        <v>0</v>
      </c>
      <c r="AI559" s="1683">
        <v>2031.99</v>
      </c>
      <c r="AJ559" s="1683">
        <v>2031.99</v>
      </c>
      <c r="AK559" s="1683">
        <v>1867.23</v>
      </c>
      <c r="AL559" s="1683">
        <v>164.76</v>
      </c>
      <c r="AM559" s="1682"/>
      <c r="AN559" s="1683">
        <v>0</v>
      </c>
      <c r="AO559" s="1683">
        <v>0</v>
      </c>
      <c r="AP559" s="1683">
        <v>0</v>
      </c>
      <c r="AQ559" s="1683">
        <v>0</v>
      </c>
      <c r="AR559" s="1683">
        <v>0</v>
      </c>
      <c r="AS559" s="1683">
        <v>0</v>
      </c>
      <c r="AT559" s="1683">
        <v>0</v>
      </c>
      <c r="AU559" s="1683">
        <v>0</v>
      </c>
      <c r="AV559" s="1683">
        <v>0</v>
      </c>
      <c r="AW559" s="1683">
        <v>0</v>
      </c>
      <c r="AX559" s="1400"/>
      <c r="AY559" s="1400"/>
      <c r="AZ559" s="1400"/>
      <c r="BA559" s="1682"/>
      <c r="BB559" s="1682"/>
      <c r="BC559" s="1400"/>
      <c r="BD559" s="1400"/>
      <c r="BE559" s="1683">
        <v>0</v>
      </c>
      <c r="BF559" s="1683">
        <v>0</v>
      </c>
      <c r="BG559" s="1683">
        <v>0</v>
      </c>
      <c r="BH559" s="1683">
        <v>0</v>
      </c>
      <c r="BI559" s="1683">
        <v>0</v>
      </c>
      <c r="BJ559" s="1683">
        <v>0</v>
      </c>
      <c r="BK559" s="1683">
        <v>0</v>
      </c>
      <c r="BL559" s="1683">
        <v>0</v>
      </c>
      <c r="BM559" s="1683">
        <v>0</v>
      </c>
      <c r="BN559" s="1683">
        <v>0</v>
      </c>
      <c r="BO559" s="1682"/>
      <c r="BP559" s="1683">
        <v>0</v>
      </c>
      <c r="BQ559" s="1683">
        <v>0</v>
      </c>
      <c r="BR559" s="1683">
        <v>0</v>
      </c>
      <c r="BS559" s="1683">
        <v>0</v>
      </c>
      <c r="BT559" s="1683">
        <v>0</v>
      </c>
      <c r="BU559" s="1683">
        <v>0</v>
      </c>
      <c r="BV559" s="1683">
        <v>0</v>
      </c>
      <c r="BW559" s="1683">
        <v>0</v>
      </c>
      <c r="BX559" s="1683">
        <v>0</v>
      </c>
      <c r="BY559" s="1683">
        <v>0</v>
      </c>
      <c r="BZ559" s="1400"/>
      <c r="CA559" s="1400"/>
      <c r="CB559" s="1682"/>
      <c r="CC559" s="1682"/>
      <c r="CD559" s="1400"/>
      <c r="CE559" s="1400"/>
      <c r="CF559" s="1683">
        <v>0</v>
      </c>
      <c r="CG559" s="1683">
        <v>0</v>
      </c>
      <c r="CH559" s="1683">
        <v>0</v>
      </c>
      <c r="CI559" s="1683">
        <v>0</v>
      </c>
      <c r="CJ559" s="1683">
        <v>0</v>
      </c>
      <c r="CK559" s="1683">
        <v>0</v>
      </c>
      <c r="CL559" s="1682"/>
      <c r="CM559" s="1683">
        <v>0</v>
      </c>
      <c r="CN559" s="1683">
        <v>0</v>
      </c>
      <c r="CO559" s="1683">
        <v>0</v>
      </c>
      <c r="CP559" s="1683">
        <v>0</v>
      </c>
      <c r="CQ559" s="1683">
        <v>0</v>
      </c>
      <c r="CR559" s="1683">
        <v>0</v>
      </c>
      <c r="CS559" s="1683">
        <v>0</v>
      </c>
      <c r="CT559" s="1683">
        <v>0</v>
      </c>
      <c r="CU559" s="1683">
        <v>0</v>
      </c>
      <c r="CV559" s="1683">
        <v>0</v>
      </c>
      <c r="CW559" s="1682"/>
      <c r="CX559" s="1400"/>
      <c r="CY559" s="1400"/>
      <c r="CZ559" s="1400"/>
      <c r="DA559" s="1400"/>
      <c r="DB559" s="1682"/>
      <c r="DC559" s="1326"/>
      <c r="DD559" s="1683">
        <v>0</v>
      </c>
      <c r="DE559" s="1400"/>
      <c r="DF559" s="1400"/>
      <c r="DG559" s="1683">
        <v>0</v>
      </c>
      <c r="DH559" s="1683">
        <v>0</v>
      </c>
    </row>
    <row r="560" spans="1:112" ht="22.5">
      <c r="A560" s="1326" t="s">
        <v>3880</v>
      </c>
      <c r="B560" s="1326" t="s">
        <v>1702</v>
      </c>
      <c r="C560" s="1326" t="s">
        <v>2576</v>
      </c>
      <c r="D560" s="1326" t="s">
        <v>2577</v>
      </c>
      <c r="E560" s="1326" t="s">
        <v>2395</v>
      </c>
      <c r="F560" s="1326" t="s">
        <v>2563</v>
      </c>
      <c r="G560" s="1326" t="s">
        <v>2572</v>
      </c>
      <c r="H560" s="1326" t="s">
        <v>2573</v>
      </c>
      <c r="I560" s="1326" t="s">
        <v>2416</v>
      </c>
      <c r="J560" s="1326" t="s">
        <v>2417</v>
      </c>
      <c r="K560" s="1326" t="s">
        <v>2418</v>
      </c>
      <c r="L560" s="1326" t="s">
        <v>2061</v>
      </c>
      <c r="M560" s="1400"/>
      <c r="N560" s="1400"/>
      <c r="O560" s="1400"/>
      <c r="P560" s="1400"/>
      <c r="Q560" s="1400"/>
      <c r="R560" s="1400"/>
      <c r="S560" s="1400"/>
      <c r="T560" s="1400"/>
      <c r="U560" s="1400"/>
      <c r="V560" s="1400"/>
      <c r="W560" s="1400"/>
      <c r="X560" s="1400"/>
      <c r="Y560" s="1685">
        <v>43452</v>
      </c>
      <c r="Z560" s="1326" t="s">
        <v>2062</v>
      </c>
      <c r="AA560" s="1683">
        <v>938.43</v>
      </c>
      <c r="AB560" s="1683">
        <v>862.34</v>
      </c>
      <c r="AC560" s="1683">
        <v>76.09</v>
      </c>
      <c r="AD560" s="1685">
        <v>43482</v>
      </c>
      <c r="AE560" s="1326" t="s">
        <v>2063</v>
      </c>
      <c r="AF560" s="1326" t="s">
        <v>2064</v>
      </c>
      <c r="AG560" s="1410"/>
      <c r="AH560" s="1683">
        <v>1362.26</v>
      </c>
      <c r="AI560" s="1683">
        <v>938.43</v>
      </c>
      <c r="AJ560" s="1683">
        <v>0</v>
      </c>
      <c r="AK560" s="1683">
        <v>0</v>
      </c>
      <c r="AL560" s="1683">
        <v>0</v>
      </c>
      <c r="AM560" s="1685">
        <v>43482</v>
      </c>
      <c r="AN560" s="1683">
        <v>1362.26</v>
      </c>
      <c r="AO560" s="1683">
        <v>938.43</v>
      </c>
      <c r="AP560" s="1683">
        <v>938.43</v>
      </c>
      <c r="AQ560" s="1683">
        <v>862.34</v>
      </c>
      <c r="AR560" s="1683">
        <v>76.09</v>
      </c>
      <c r="AS560" s="1683">
        <v>423.83</v>
      </c>
      <c r="AT560" s="1683">
        <v>0</v>
      </c>
      <c r="AU560" s="1683">
        <v>0</v>
      </c>
      <c r="AV560" s="1683">
        <v>0</v>
      </c>
      <c r="AW560" s="1683">
        <v>423.83</v>
      </c>
      <c r="AX560" s="1400"/>
      <c r="AY560" s="1400"/>
      <c r="AZ560" s="1400"/>
      <c r="BA560" s="1682"/>
      <c r="BB560" s="1682"/>
      <c r="BC560" s="1400"/>
      <c r="BD560" s="1400"/>
      <c r="BE560" s="1683">
        <v>1362.26</v>
      </c>
      <c r="BF560" s="1683">
        <v>938.43</v>
      </c>
      <c r="BG560" s="1683">
        <v>938.43</v>
      </c>
      <c r="BH560" s="1683">
        <v>862.34</v>
      </c>
      <c r="BI560" s="1683">
        <v>76.09</v>
      </c>
      <c r="BJ560" s="1683">
        <v>423.83</v>
      </c>
      <c r="BK560" s="1683">
        <v>0</v>
      </c>
      <c r="BL560" s="1683">
        <v>0</v>
      </c>
      <c r="BM560" s="1683">
        <v>0</v>
      </c>
      <c r="BN560" s="1683">
        <v>423.83</v>
      </c>
      <c r="BO560" s="1682"/>
      <c r="BP560" s="1683">
        <v>0</v>
      </c>
      <c r="BQ560" s="1683">
        <v>0</v>
      </c>
      <c r="BR560" s="1683">
        <v>0</v>
      </c>
      <c r="BS560" s="1683">
        <v>0</v>
      </c>
      <c r="BT560" s="1683">
        <v>0</v>
      </c>
      <c r="BU560" s="1683">
        <v>0</v>
      </c>
      <c r="BV560" s="1683">
        <v>0</v>
      </c>
      <c r="BW560" s="1683">
        <v>0</v>
      </c>
      <c r="BX560" s="1683">
        <v>0</v>
      </c>
      <c r="BY560" s="1683">
        <v>0</v>
      </c>
      <c r="BZ560" s="1400"/>
      <c r="CA560" s="1400"/>
      <c r="CB560" s="1682"/>
      <c r="CC560" s="1682"/>
      <c r="CD560" s="1400"/>
      <c r="CE560" s="1400"/>
      <c r="CF560" s="1683">
        <v>0</v>
      </c>
      <c r="CG560" s="1683">
        <v>0</v>
      </c>
      <c r="CH560" s="1683">
        <v>0</v>
      </c>
      <c r="CI560" s="1683">
        <v>0</v>
      </c>
      <c r="CJ560" s="1683">
        <v>0</v>
      </c>
      <c r="CK560" s="1683">
        <v>0</v>
      </c>
      <c r="CL560" s="1682"/>
      <c r="CM560" s="1683">
        <v>0</v>
      </c>
      <c r="CN560" s="1683">
        <v>0</v>
      </c>
      <c r="CO560" s="1683">
        <v>0</v>
      </c>
      <c r="CP560" s="1683">
        <v>0</v>
      </c>
      <c r="CQ560" s="1683">
        <v>0</v>
      </c>
      <c r="CR560" s="1683">
        <v>0</v>
      </c>
      <c r="CS560" s="1683">
        <v>0</v>
      </c>
      <c r="CT560" s="1683">
        <v>0</v>
      </c>
      <c r="CU560" s="1683">
        <v>0</v>
      </c>
      <c r="CV560" s="1683">
        <v>0</v>
      </c>
      <c r="CW560" s="1682"/>
      <c r="CX560" s="1400"/>
      <c r="CY560" s="1400"/>
      <c r="CZ560" s="1400"/>
      <c r="DA560" s="1400"/>
      <c r="DB560" s="1682"/>
      <c r="DC560" s="1326"/>
      <c r="DD560" s="1683">
        <v>0</v>
      </c>
      <c r="DE560" s="1400"/>
      <c r="DF560" s="1400"/>
      <c r="DG560" s="1683">
        <v>245</v>
      </c>
      <c r="DH560" s="1683">
        <v>0</v>
      </c>
    </row>
    <row r="561" spans="1:112" ht="56.25">
      <c r="A561" s="1326" t="s">
        <v>3881</v>
      </c>
      <c r="B561" s="1326" t="s">
        <v>1702</v>
      </c>
      <c r="C561" s="1326" t="s">
        <v>2576</v>
      </c>
      <c r="D561" s="1326" t="s">
        <v>2577</v>
      </c>
      <c r="E561" s="1326" t="s">
        <v>2395</v>
      </c>
      <c r="F561" s="1326" t="s">
        <v>2563</v>
      </c>
      <c r="G561" s="1326" t="s">
        <v>2572</v>
      </c>
      <c r="H561" s="1326" t="s">
        <v>2573</v>
      </c>
      <c r="I561" s="1326" t="s">
        <v>3193</v>
      </c>
      <c r="J561" s="1326" t="s">
        <v>3194</v>
      </c>
      <c r="K561" s="1326" t="s">
        <v>2404</v>
      </c>
      <c r="L561" s="1326" t="s">
        <v>2137</v>
      </c>
      <c r="M561" s="1683">
        <v>3799.5</v>
      </c>
      <c r="N561" s="1683">
        <v>0</v>
      </c>
      <c r="O561" s="1683">
        <v>3799.5</v>
      </c>
      <c r="P561" s="1683">
        <v>2602.66</v>
      </c>
      <c r="Q561" s="1683">
        <v>2602.66</v>
      </c>
      <c r="R561" s="1683">
        <v>2391.63</v>
      </c>
      <c r="S561" s="1683">
        <v>211.03</v>
      </c>
      <c r="T561" s="1683">
        <v>1196.8399999999999</v>
      </c>
      <c r="U561" s="1683">
        <v>0</v>
      </c>
      <c r="V561" s="1683">
        <v>0</v>
      </c>
      <c r="W561" s="1683">
        <v>0</v>
      </c>
      <c r="X561" s="1683">
        <v>1196.8399999999999</v>
      </c>
      <c r="Y561" s="1682"/>
      <c r="Z561" s="1326"/>
      <c r="AA561" s="1683">
        <v>780.8</v>
      </c>
      <c r="AB561" s="1683">
        <v>717.49</v>
      </c>
      <c r="AC561" s="1683">
        <v>63.31</v>
      </c>
      <c r="AD561" s="1682"/>
      <c r="AE561" s="1326"/>
      <c r="AF561" s="1326"/>
      <c r="AG561" s="1410"/>
      <c r="AH561" s="1683">
        <v>3799.5</v>
      </c>
      <c r="AI561" s="1683">
        <v>3383.46</v>
      </c>
      <c r="AJ561" s="1683">
        <v>2602.66</v>
      </c>
      <c r="AK561" s="1683">
        <v>2391.63</v>
      </c>
      <c r="AL561" s="1683">
        <v>211.03</v>
      </c>
      <c r="AM561" s="1682"/>
      <c r="AN561" s="1683">
        <v>3781.84</v>
      </c>
      <c r="AO561" s="1683">
        <v>2590.56</v>
      </c>
      <c r="AP561" s="1683">
        <v>2590.56</v>
      </c>
      <c r="AQ561" s="1683">
        <v>2380.5100000000002</v>
      </c>
      <c r="AR561" s="1683">
        <v>210.05</v>
      </c>
      <c r="AS561" s="1683">
        <v>1191.28</v>
      </c>
      <c r="AT561" s="1683">
        <v>0</v>
      </c>
      <c r="AU561" s="1683">
        <v>0</v>
      </c>
      <c r="AV561" s="1683">
        <v>0</v>
      </c>
      <c r="AW561" s="1683">
        <v>1191.28</v>
      </c>
      <c r="AX561" s="1683">
        <v>0</v>
      </c>
      <c r="AY561" s="1683">
        <v>0</v>
      </c>
      <c r="AZ561" s="1683">
        <v>0</v>
      </c>
      <c r="BA561" s="1682"/>
      <c r="BB561" s="1682"/>
      <c r="BC561" s="1683">
        <v>0</v>
      </c>
      <c r="BD561" s="1683">
        <v>0</v>
      </c>
      <c r="BE561" s="1683">
        <v>3781.84</v>
      </c>
      <c r="BF561" s="1683">
        <v>2590.56</v>
      </c>
      <c r="BG561" s="1683">
        <v>2590.56</v>
      </c>
      <c r="BH561" s="1683">
        <v>2380.5100000000002</v>
      </c>
      <c r="BI561" s="1683">
        <v>210.05</v>
      </c>
      <c r="BJ561" s="1683">
        <v>1191.28</v>
      </c>
      <c r="BK561" s="1683">
        <v>0</v>
      </c>
      <c r="BL561" s="1683">
        <v>0</v>
      </c>
      <c r="BM561" s="1683">
        <v>0</v>
      </c>
      <c r="BN561" s="1683">
        <v>1191.28</v>
      </c>
      <c r="BO561" s="1682"/>
      <c r="BP561" s="1683">
        <v>0</v>
      </c>
      <c r="BQ561" s="1683">
        <v>0</v>
      </c>
      <c r="BR561" s="1683">
        <v>0</v>
      </c>
      <c r="BS561" s="1683">
        <v>0</v>
      </c>
      <c r="BT561" s="1683">
        <v>0</v>
      </c>
      <c r="BU561" s="1683">
        <v>0</v>
      </c>
      <c r="BV561" s="1683">
        <v>0</v>
      </c>
      <c r="BW561" s="1683">
        <v>0</v>
      </c>
      <c r="BX561" s="1683">
        <v>0</v>
      </c>
      <c r="BY561" s="1683">
        <v>0</v>
      </c>
      <c r="BZ561" s="1683">
        <v>0</v>
      </c>
      <c r="CA561" s="1683">
        <v>0</v>
      </c>
      <c r="CB561" s="1682"/>
      <c r="CC561" s="1682"/>
      <c r="CD561" s="1683">
        <v>0</v>
      </c>
      <c r="CE561" s="1683">
        <v>0</v>
      </c>
      <c r="CF561" s="1683">
        <v>0</v>
      </c>
      <c r="CG561" s="1683">
        <v>0</v>
      </c>
      <c r="CH561" s="1683">
        <v>0</v>
      </c>
      <c r="CI561" s="1683">
        <v>0</v>
      </c>
      <c r="CJ561" s="1683">
        <v>0</v>
      </c>
      <c r="CK561" s="1683">
        <v>0</v>
      </c>
      <c r="CL561" s="1682"/>
      <c r="CM561" s="1683">
        <v>0</v>
      </c>
      <c r="CN561" s="1683">
        <v>0</v>
      </c>
      <c r="CO561" s="1683">
        <v>0</v>
      </c>
      <c r="CP561" s="1683">
        <v>0</v>
      </c>
      <c r="CQ561" s="1683">
        <v>0</v>
      </c>
      <c r="CR561" s="1683">
        <v>0</v>
      </c>
      <c r="CS561" s="1683">
        <v>0</v>
      </c>
      <c r="CT561" s="1683">
        <v>0</v>
      </c>
      <c r="CU561" s="1683">
        <v>0</v>
      </c>
      <c r="CV561" s="1683">
        <v>0</v>
      </c>
      <c r="CW561" s="1682"/>
      <c r="CX561" s="1683">
        <v>0</v>
      </c>
      <c r="CY561" s="1683">
        <v>0</v>
      </c>
      <c r="CZ561" s="1683">
        <v>0</v>
      </c>
      <c r="DA561" s="1683">
        <v>0</v>
      </c>
      <c r="DB561" s="1682"/>
      <c r="DC561" s="1326"/>
      <c r="DD561" s="1683">
        <v>0</v>
      </c>
      <c r="DE561" s="1683">
        <v>0</v>
      </c>
      <c r="DF561" s="1683">
        <v>0</v>
      </c>
      <c r="DG561" s="1683">
        <v>399.6</v>
      </c>
      <c r="DH561" s="1683">
        <v>0</v>
      </c>
    </row>
    <row r="562" spans="1:112" ht="56.25">
      <c r="A562" s="1326" t="s">
        <v>3882</v>
      </c>
      <c r="B562" s="1326" t="s">
        <v>1702</v>
      </c>
      <c r="C562" s="1326" t="s">
        <v>2576</v>
      </c>
      <c r="D562" s="1326" t="s">
        <v>2577</v>
      </c>
      <c r="E562" s="1326" t="s">
        <v>2395</v>
      </c>
      <c r="F562" s="1326" t="s">
        <v>2563</v>
      </c>
      <c r="G562" s="1326" t="s">
        <v>2572</v>
      </c>
      <c r="H562" s="1326" t="s">
        <v>2573</v>
      </c>
      <c r="I562" s="1326" t="s">
        <v>3193</v>
      </c>
      <c r="J562" s="1326" t="s">
        <v>3194</v>
      </c>
      <c r="K562" s="1326" t="s">
        <v>2404</v>
      </c>
      <c r="L562" s="1326" t="s">
        <v>2137</v>
      </c>
      <c r="M562" s="1400"/>
      <c r="N562" s="1400"/>
      <c r="O562" s="1400"/>
      <c r="P562" s="1400"/>
      <c r="Q562" s="1400"/>
      <c r="R562" s="1400"/>
      <c r="S562" s="1400"/>
      <c r="T562" s="1400"/>
      <c r="U562" s="1400"/>
      <c r="V562" s="1400"/>
      <c r="W562" s="1400"/>
      <c r="X562" s="1400"/>
      <c r="Y562" s="1682"/>
      <c r="Z562" s="1326"/>
      <c r="AA562" s="1683">
        <v>0</v>
      </c>
      <c r="AB562" s="1683">
        <v>0</v>
      </c>
      <c r="AC562" s="1683">
        <v>0</v>
      </c>
      <c r="AD562" s="1682"/>
      <c r="AE562" s="1326" t="s">
        <v>2171</v>
      </c>
      <c r="AF562" s="1326"/>
      <c r="AG562" s="1410" t="s">
        <v>3863</v>
      </c>
      <c r="AH562" s="1683">
        <v>0</v>
      </c>
      <c r="AI562" s="1683">
        <v>0</v>
      </c>
      <c r="AJ562" s="1683">
        <v>0</v>
      </c>
      <c r="AK562" s="1683">
        <v>0</v>
      </c>
      <c r="AL562" s="1683">
        <v>0</v>
      </c>
      <c r="AM562" s="1685">
        <v>43465</v>
      </c>
      <c r="AN562" s="1683">
        <v>-17.66</v>
      </c>
      <c r="AO562" s="1683">
        <v>-12.1</v>
      </c>
      <c r="AP562" s="1683">
        <v>-12.1</v>
      </c>
      <c r="AQ562" s="1683">
        <v>-11.12</v>
      </c>
      <c r="AR562" s="1683">
        <v>-0.98</v>
      </c>
      <c r="AS562" s="1683">
        <v>-5.56</v>
      </c>
      <c r="AT562" s="1683">
        <v>0</v>
      </c>
      <c r="AU562" s="1683">
        <v>0</v>
      </c>
      <c r="AV562" s="1683">
        <v>0</v>
      </c>
      <c r="AW562" s="1683">
        <v>-5.56</v>
      </c>
      <c r="AX562" s="1400"/>
      <c r="AY562" s="1400"/>
      <c r="AZ562" s="1400"/>
      <c r="BA562" s="1682"/>
      <c r="BB562" s="1682"/>
      <c r="BC562" s="1400"/>
      <c r="BD562" s="1400"/>
      <c r="BE562" s="1683">
        <v>-17.66</v>
      </c>
      <c r="BF562" s="1683">
        <v>-12.1</v>
      </c>
      <c r="BG562" s="1683">
        <v>-12.1</v>
      </c>
      <c r="BH562" s="1683">
        <v>-11.12</v>
      </c>
      <c r="BI562" s="1683">
        <v>-0.98</v>
      </c>
      <c r="BJ562" s="1683">
        <v>-5.56</v>
      </c>
      <c r="BK562" s="1683">
        <v>0</v>
      </c>
      <c r="BL562" s="1683">
        <v>0</v>
      </c>
      <c r="BM562" s="1683">
        <v>0</v>
      </c>
      <c r="BN562" s="1683">
        <v>-5.56</v>
      </c>
      <c r="BO562" s="1682"/>
      <c r="BP562" s="1683">
        <v>0</v>
      </c>
      <c r="BQ562" s="1683">
        <v>0</v>
      </c>
      <c r="BR562" s="1683">
        <v>0</v>
      </c>
      <c r="BS562" s="1683">
        <v>0</v>
      </c>
      <c r="BT562" s="1683">
        <v>0</v>
      </c>
      <c r="BU562" s="1683">
        <v>0</v>
      </c>
      <c r="BV562" s="1683">
        <v>0</v>
      </c>
      <c r="BW562" s="1683">
        <v>0</v>
      </c>
      <c r="BX562" s="1683">
        <v>0</v>
      </c>
      <c r="BY562" s="1683">
        <v>0</v>
      </c>
      <c r="BZ562" s="1683">
        <v>0</v>
      </c>
      <c r="CA562" s="1400"/>
      <c r="CB562" s="1682"/>
      <c r="CC562" s="1682"/>
      <c r="CD562" s="1400"/>
      <c r="CE562" s="1400"/>
      <c r="CF562" s="1683">
        <v>0</v>
      </c>
      <c r="CG562" s="1683">
        <v>0</v>
      </c>
      <c r="CH562" s="1683">
        <v>0</v>
      </c>
      <c r="CI562" s="1683">
        <v>0</v>
      </c>
      <c r="CJ562" s="1683">
        <v>0</v>
      </c>
      <c r="CK562" s="1683">
        <v>0</v>
      </c>
      <c r="CL562" s="1682"/>
      <c r="CM562" s="1683">
        <v>0</v>
      </c>
      <c r="CN562" s="1683">
        <v>0</v>
      </c>
      <c r="CO562" s="1683">
        <v>0</v>
      </c>
      <c r="CP562" s="1683">
        <v>0</v>
      </c>
      <c r="CQ562" s="1683">
        <v>0</v>
      </c>
      <c r="CR562" s="1683">
        <v>0</v>
      </c>
      <c r="CS562" s="1683">
        <v>0</v>
      </c>
      <c r="CT562" s="1683">
        <v>0</v>
      </c>
      <c r="CU562" s="1683">
        <v>0</v>
      </c>
      <c r="CV562" s="1683">
        <v>0</v>
      </c>
      <c r="CW562" s="1682"/>
      <c r="CX562" s="1400"/>
      <c r="CY562" s="1400"/>
      <c r="CZ562" s="1400"/>
      <c r="DA562" s="1400"/>
      <c r="DB562" s="1682"/>
      <c r="DC562" s="1326"/>
      <c r="DD562" s="1683">
        <v>0</v>
      </c>
      <c r="DE562" s="1400"/>
      <c r="DF562" s="1400"/>
      <c r="DG562" s="1683">
        <v>0</v>
      </c>
      <c r="DH562" s="1683">
        <v>0</v>
      </c>
    </row>
    <row r="563" spans="1:112" ht="56.25">
      <c r="A563" s="1326" t="s">
        <v>3883</v>
      </c>
      <c r="B563" s="1326" t="s">
        <v>1702</v>
      </c>
      <c r="C563" s="1326" t="s">
        <v>2576</v>
      </c>
      <c r="D563" s="1326" t="s">
        <v>2577</v>
      </c>
      <c r="E563" s="1326" t="s">
        <v>2395</v>
      </c>
      <c r="F563" s="1326" t="s">
        <v>2563</v>
      </c>
      <c r="G563" s="1326" t="s">
        <v>2572</v>
      </c>
      <c r="H563" s="1326" t="s">
        <v>2573</v>
      </c>
      <c r="I563" s="1326" t="s">
        <v>3193</v>
      </c>
      <c r="J563" s="1326" t="s">
        <v>3194</v>
      </c>
      <c r="K563" s="1326" t="s">
        <v>2404</v>
      </c>
      <c r="L563" s="1326" t="s">
        <v>2137</v>
      </c>
      <c r="M563" s="1400"/>
      <c r="N563" s="1400"/>
      <c r="O563" s="1400"/>
      <c r="P563" s="1400"/>
      <c r="Q563" s="1400"/>
      <c r="R563" s="1400"/>
      <c r="S563" s="1400"/>
      <c r="T563" s="1400"/>
      <c r="U563" s="1400"/>
      <c r="V563" s="1400"/>
      <c r="W563" s="1400"/>
      <c r="X563" s="1400"/>
      <c r="Y563" s="1685">
        <v>43381</v>
      </c>
      <c r="Z563" s="1326" t="s">
        <v>2096</v>
      </c>
      <c r="AA563" s="1683">
        <v>0</v>
      </c>
      <c r="AB563" s="1683">
        <v>0</v>
      </c>
      <c r="AC563" s="1683">
        <v>0</v>
      </c>
      <c r="AD563" s="1685">
        <v>43412</v>
      </c>
      <c r="AE563" s="1326" t="s">
        <v>2073</v>
      </c>
      <c r="AF563" s="1326" t="s">
        <v>2064</v>
      </c>
      <c r="AG563" s="1410"/>
      <c r="AH563" s="1683">
        <v>0</v>
      </c>
      <c r="AI563" s="1683">
        <v>780.8</v>
      </c>
      <c r="AJ563" s="1683">
        <v>780.8</v>
      </c>
      <c r="AK563" s="1683">
        <v>717.49</v>
      </c>
      <c r="AL563" s="1683">
        <v>63.31</v>
      </c>
      <c r="AM563" s="1682"/>
      <c r="AN563" s="1683">
        <v>0</v>
      </c>
      <c r="AO563" s="1683">
        <v>0</v>
      </c>
      <c r="AP563" s="1683">
        <v>0</v>
      </c>
      <c r="AQ563" s="1683">
        <v>0</v>
      </c>
      <c r="AR563" s="1683">
        <v>0</v>
      </c>
      <c r="AS563" s="1683">
        <v>0</v>
      </c>
      <c r="AT563" s="1683">
        <v>0</v>
      </c>
      <c r="AU563" s="1683">
        <v>0</v>
      </c>
      <c r="AV563" s="1683">
        <v>0</v>
      </c>
      <c r="AW563" s="1683">
        <v>0</v>
      </c>
      <c r="AX563" s="1400"/>
      <c r="AY563" s="1400"/>
      <c r="AZ563" s="1400"/>
      <c r="BA563" s="1682"/>
      <c r="BB563" s="1682"/>
      <c r="BC563" s="1400"/>
      <c r="BD563" s="1400"/>
      <c r="BE563" s="1683">
        <v>0</v>
      </c>
      <c r="BF563" s="1683">
        <v>0</v>
      </c>
      <c r="BG563" s="1683">
        <v>0</v>
      </c>
      <c r="BH563" s="1683">
        <v>0</v>
      </c>
      <c r="BI563" s="1683">
        <v>0</v>
      </c>
      <c r="BJ563" s="1683">
        <v>0</v>
      </c>
      <c r="BK563" s="1683">
        <v>0</v>
      </c>
      <c r="BL563" s="1683">
        <v>0</v>
      </c>
      <c r="BM563" s="1683">
        <v>0</v>
      </c>
      <c r="BN563" s="1683">
        <v>0</v>
      </c>
      <c r="BO563" s="1682"/>
      <c r="BP563" s="1683">
        <v>0</v>
      </c>
      <c r="BQ563" s="1683">
        <v>0</v>
      </c>
      <c r="BR563" s="1683">
        <v>0</v>
      </c>
      <c r="BS563" s="1683">
        <v>0</v>
      </c>
      <c r="BT563" s="1683">
        <v>0</v>
      </c>
      <c r="BU563" s="1683">
        <v>0</v>
      </c>
      <c r="BV563" s="1683">
        <v>0</v>
      </c>
      <c r="BW563" s="1683">
        <v>0</v>
      </c>
      <c r="BX563" s="1683">
        <v>0</v>
      </c>
      <c r="BY563" s="1683">
        <v>0</v>
      </c>
      <c r="BZ563" s="1400"/>
      <c r="CA563" s="1400"/>
      <c r="CB563" s="1682"/>
      <c r="CC563" s="1682"/>
      <c r="CD563" s="1400"/>
      <c r="CE563" s="1400"/>
      <c r="CF563" s="1683">
        <v>0</v>
      </c>
      <c r="CG563" s="1683">
        <v>0</v>
      </c>
      <c r="CH563" s="1683">
        <v>0</v>
      </c>
      <c r="CI563" s="1683">
        <v>0</v>
      </c>
      <c r="CJ563" s="1683">
        <v>0</v>
      </c>
      <c r="CK563" s="1683">
        <v>0</v>
      </c>
      <c r="CL563" s="1682"/>
      <c r="CM563" s="1683">
        <v>0</v>
      </c>
      <c r="CN563" s="1683">
        <v>0</v>
      </c>
      <c r="CO563" s="1683">
        <v>0</v>
      </c>
      <c r="CP563" s="1683">
        <v>0</v>
      </c>
      <c r="CQ563" s="1683">
        <v>0</v>
      </c>
      <c r="CR563" s="1683">
        <v>0</v>
      </c>
      <c r="CS563" s="1683">
        <v>0</v>
      </c>
      <c r="CT563" s="1683">
        <v>0</v>
      </c>
      <c r="CU563" s="1683">
        <v>0</v>
      </c>
      <c r="CV563" s="1683">
        <v>0</v>
      </c>
      <c r="CW563" s="1682"/>
      <c r="CX563" s="1400"/>
      <c r="CY563" s="1400"/>
      <c r="CZ563" s="1400"/>
      <c r="DA563" s="1400"/>
      <c r="DB563" s="1682"/>
      <c r="DC563" s="1326"/>
      <c r="DD563" s="1683">
        <v>0</v>
      </c>
      <c r="DE563" s="1400"/>
      <c r="DF563" s="1400"/>
      <c r="DG563" s="1683">
        <v>0</v>
      </c>
      <c r="DH563" s="1683">
        <v>0</v>
      </c>
    </row>
    <row r="564" spans="1:112" ht="56.25">
      <c r="A564" s="1326" t="s">
        <v>3884</v>
      </c>
      <c r="B564" s="1326" t="s">
        <v>1702</v>
      </c>
      <c r="C564" s="1326" t="s">
        <v>2576</v>
      </c>
      <c r="D564" s="1326" t="s">
        <v>2577</v>
      </c>
      <c r="E564" s="1326" t="s">
        <v>2395</v>
      </c>
      <c r="F564" s="1326" t="s">
        <v>2563</v>
      </c>
      <c r="G564" s="1326" t="s">
        <v>2572</v>
      </c>
      <c r="H564" s="1326" t="s">
        <v>2573</v>
      </c>
      <c r="I564" s="1326" t="s">
        <v>3193</v>
      </c>
      <c r="J564" s="1326" t="s">
        <v>3194</v>
      </c>
      <c r="K564" s="1326" t="s">
        <v>2404</v>
      </c>
      <c r="L564" s="1326" t="s">
        <v>2137</v>
      </c>
      <c r="M564" s="1400"/>
      <c r="N564" s="1400"/>
      <c r="O564" s="1400"/>
      <c r="P564" s="1400"/>
      <c r="Q564" s="1400"/>
      <c r="R564" s="1400"/>
      <c r="S564" s="1400"/>
      <c r="T564" s="1400"/>
      <c r="U564" s="1400"/>
      <c r="V564" s="1400"/>
      <c r="W564" s="1400"/>
      <c r="X564" s="1400"/>
      <c r="Y564" s="1685">
        <v>43440</v>
      </c>
      <c r="Z564" s="1326" t="s">
        <v>2062</v>
      </c>
      <c r="AA564" s="1683">
        <v>0</v>
      </c>
      <c r="AB564" s="1683">
        <v>0</v>
      </c>
      <c r="AC564" s="1683">
        <v>0</v>
      </c>
      <c r="AD564" s="1685">
        <v>43462</v>
      </c>
      <c r="AE564" s="1326" t="s">
        <v>2063</v>
      </c>
      <c r="AF564" s="1326" t="s">
        <v>2064</v>
      </c>
      <c r="AG564" s="1410"/>
      <c r="AH564" s="1683">
        <v>2208</v>
      </c>
      <c r="AI564" s="1683">
        <v>1512.48</v>
      </c>
      <c r="AJ564" s="1683">
        <v>1512.49</v>
      </c>
      <c r="AK564" s="1683">
        <v>1389.85</v>
      </c>
      <c r="AL564" s="1683">
        <v>122.64</v>
      </c>
      <c r="AM564" s="1685">
        <v>43462</v>
      </c>
      <c r="AN564" s="1683">
        <v>2208</v>
      </c>
      <c r="AO564" s="1683">
        <v>1512.49</v>
      </c>
      <c r="AP564" s="1683">
        <v>1512.49</v>
      </c>
      <c r="AQ564" s="1683">
        <v>1389.85</v>
      </c>
      <c r="AR564" s="1683">
        <v>122.64</v>
      </c>
      <c r="AS564" s="1683">
        <v>695.51</v>
      </c>
      <c r="AT564" s="1683">
        <v>0</v>
      </c>
      <c r="AU564" s="1683">
        <v>0</v>
      </c>
      <c r="AV564" s="1683">
        <v>0</v>
      </c>
      <c r="AW564" s="1683">
        <v>695.51</v>
      </c>
      <c r="AX564" s="1400"/>
      <c r="AY564" s="1400"/>
      <c r="AZ564" s="1400"/>
      <c r="BA564" s="1682"/>
      <c r="BB564" s="1682"/>
      <c r="BC564" s="1400"/>
      <c r="BD564" s="1400"/>
      <c r="BE564" s="1683">
        <v>2208</v>
      </c>
      <c r="BF564" s="1683">
        <v>1512.49</v>
      </c>
      <c r="BG564" s="1683">
        <v>1512.49</v>
      </c>
      <c r="BH564" s="1683">
        <v>1389.85</v>
      </c>
      <c r="BI564" s="1683">
        <v>122.64</v>
      </c>
      <c r="BJ564" s="1683">
        <v>695.51</v>
      </c>
      <c r="BK564" s="1683">
        <v>0</v>
      </c>
      <c r="BL564" s="1683">
        <v>0</v>
      </c>
      <c r="BM564" s="1683">
        <v>0</v>
      </c>
      <c r="BN564" s="1683">
        <v>695.51</v>
      </c>
      <c r="BO564" s="1682"/>
      <c r="BP564" s="1683">
        <v>0</v>
      </c>
      <c r="BQ564" s="1683">
        <v>0</v>
      </c>
      <c r="BR564" s="1683">
        <v>0</v>
      </c>
      <c r="BS564" s="1683">
        <v>0</v>
      </c>
      <c r="BT564" s="1683">
        <v>0</v>
      </c>
      <c r="BU564" s="1683">
        <v>0</v>
      </c>
      <c r="BV564" s="1683">
        <v>0</v>
      </c>
      <c r="BW564" s="1683">
        <v>0</v>
      </c>
      <c r="BX564" s="1683">
        <v>0</v>
      </c>
      <c r="BY564" s="1683">
        <v>0</v>
      </c>
      <c r="BZ564" s="1683">
        <v>0</v>
      </c>
      <c r="CA564" s="1400"/>
      <c r="CB564" s="1682"/>
      <c r="CC564" s="1682"/>
      <c r="CD564" s="1400"/>
      <c r="CE564" s="1400"/>
      <c r="CF564" s="1683">
        <v>0</v>
      </c>
      <c r="CG564" s="1683">
        <v>0</v>
      </c>
      <c r="CH564" s="1683">
        <v>0</v>
      </c>
      <c r="CI564" s="1683">
        <v>0</v>
      </c>
      <c r="CJ564" s="1683">
        <v>0</v>
      </c>
      <c r="CK564" s="1683">
        <v>0</v>
      </c>
      <c r="CL564" s="1682"/>
      <c r="CM564" s="1683">
        <v>0</v>
      </c>
      <c r="CN564" s="1683">
        <v>0</v>
      </c>
      <c r="CO564" s="1683">
        <v>0</v>
      </c>
      <c r="CP564" s="1683">
        <v>0</v>
      </c>
      <c r="CQ564" s="1683">
        <v>0</v>
      </c>
      <c r="CR564" s="1683">
        <v>0</v>
      </c>
      <c r="CS564" s="1683">
        <v>0</v>
      </c>
      <c r="CT564" s="1683">
        <v>0</v>
      </c>
      <c r="CU564" s="1683">
        <v>0</v>
      </c>
      <c r="CV564" s="1683">
        <v>0</v>
      </c>
      <c r="CW564" s="1682"/>
      <c r="CX564" s="1400"/>
      <c r="CY564" s="1400"/>
      <c r="CZ564" s="1400"/>
      <c r="DA564" s="1400"/>
      <c r="DB564" s="1682"/>
      <c r="DC564" s="1326"/>
      <c r="DD564" s="1683">
        <v>0</v>
      </c>
      <c r="DE564" s="1400"/>
      <c r="DF564" s="1400"/>
      <c r="DG564" s="1683">
        <v>266.39999999999998</v>
      </c>
      <c r="DH564" s="1683">
        <v>0</v>
      </c>
    </row>
    <row r="565" spans="1:112" ht="56.25">
      <c r="A565" s="1326" t="s">
        <v>3885</v>
      </c>
      <c r="B565" s="1326" t="s">
        <v>1702</v>
      </c>
      <c r="C565" s="1326" t="s">
        <v>2576</v>
      </c>
      <c r="D565" s="1326" t="s">
        <v>2577</v>
      </c>
      <c r="E565" s="1326" t="s">
        <v>2395</v>
      </c>
      <c r="F565" s="1326" t="s">
        <v>2563</v>
      </c>
      <c r="G565" s="1326" t="s">
        <v>2572</v>
      </c>
      <c r="H565" s="1326" t="s">
        <v>2573</v>
      </c>
      <c r="I565" s="1326" t="s">
        <v>3193</v>
      </c>
      <c r="J565" s="1326" t="s">
        <v>3194</v>
      </c>
      <c r="K565" s="1326" t="s">
        <v>2404</v>
      </c>
      <c r="L565" s="1326" t="s">
        <v>2137</v>
      </c>
      <c r="M565" s="1400"/>
      <c r="N565" s="1400"/>
      <c r="O565" s="1400"/>
      <c r="P565" s="1400"/>
      <c r="Q565" s="1400"/>
      <c r="R565" s="1400"/>
      <c r="S565" s="1400"/>
      <c r="T565" s="1400"/>
      <c r="U565" s="1400"/>
      <c r="V565" s="1400"/>
      <c r="W565" s="1400"/>
      <c r="X565" s="1400"/>
      <c r="Y565" s="1685">
        <v>43524</v>
      </c>
      <c r="Z565" s="1326" t="s">
        <v>2145</v>
      </c>
      <c r="AA565" s="1683">
        <v>780.8</v>
      </c>
      <c r="AB565" s="1683">
        <v>717.49</v>
      </c>
      <c r="AC565" s="1683">
        <v>63.31</v>
      </c>
      <c r="AD565" s="1685">
        <v>43551</v>
      </c>
      <c r="AE565" s="1326" t="s">
        <v>2066</v>
      </c>
      <c r="AF565" s="1326" t="s">
        <v>2064</v>
      </c>
      <c r="AG565" s="1410"/>
      <c r="AH565" s="1683">
        <v>1591.5</v>
      </c>
      <c r="AI565" s="1683">
        <v>1090.18</v>
      </c>
      <c r="AJ565" s="1683">
        <v>309.37</v>
      </c>
      <c r="AK565" s="1683">
        <v>284.29000000000002</v>
      </c>
      <c r="AL565" s="1683">
        <v>25.08</v>
      </c>
      <c r="AM565" s="1685">
        <v>43551</v>
      </c>
      <c r="AN565" s="1683">
        <v>1591.5</v>
      </c>
      <c r="AO565" s="1683">
        <v>1090.17</v>
      </c>
      <c r="AP565" s="1683">
        <v>1090.17</v>
      </c>
      <c r="AQ565" s="1683">
        <v>1001.78</v>
      </c>
      <c r="AR565" s="1683">
        <v>88.39</v>
      </c>
      <c r="AS565" s="1683">
        <v>501.33</v>
      </c>
      <c r="AT565" s="1683">
        <v>0</v>
      </c>
      <c r="AU565" s="1683">
        <v>0</v>
      </c>
      <c r="AV565" s="1683">
        <v>0</v>
      </c>
      <c r="AW565" s="1683">
        <v>501.33</v>
      </c>
      <c r="AX565" s="1400"/>
      <c r="AY565" s="1400"/>
      <c r="AZ565" s="1400"/>
      <c r="BA565" s="1682"/>
      <c r="BB565" s="1682"/>
      <c r="BC565" s="1400"/>
      <c r="BD565" s="1400"/>
      <c r="BE565" s="1683">
        <v>1591.5</v>
      </c>
      <c r="BF565" s="1683">
        <v>1090.17</v>
      </c>
      <c r="BG565" s="1683">
        <v>1090.17</v>
      </c>
      <c r="BH565" s="1683">
        <v>1001.78</v>
      </c>
      <c r="BI565" s="1683">
        <v>88.39</v>
      </c>
      <c r="BJ565" s="1683">
        <v>501.33</v>
      </c>
      <c r="BK565" s="1683">
        <v>0</v>
      </c>
      <c r="BL565" s="1683">
        <v>0</v>
      </c>
      <c r="BM565" s="1683">
        <v>0</v>
      </c>
      <c r="BN565" s="1683">
        <v>501.33</v>
      </c>
      <c r="BO565" s="1682"/>
      <c r="BP565" s="1683">
        <v>0</v>
      </c>
      <c r="BQ565" s="1683">
        <v>0</v>
      </c>
      <c r="BR565" s="1683">
        <v>0</v>
      </c>
      <c r="BS565" s="1683">
        <v>0</v>
      </c>
      <c r="BT565" s="1683">
        <v>0</v>
      </c>
      <c r="BU565" s="1683">
        <v>0</v>
      </c>
      <c r="BV565" s="1683">
        <v>0</v>
      </c>
      <c r="BW565" s="1683">
        <v>0</v>
      </c>
      <c r="BX565" s="1683">
        <v>0</v>
      </c>
      <c r="BY565" s="1683">
        <v>0</v>
      </c>
      <c r="BZ565" s="1400"/>
      <c r="CA565" s="1400"/>
      <c r="CB565" s="1682"/>
      <c r="CC565" s="1682"/>
      <c r="CD565" s="1400"/>
      <c r="CE565" s="1400"/>
      <c r="CF565" s="1683">
        <v>0</v>
      </c>
      <c r="CG565" s="1683">
        <v>0</v>
      </c>
      <c r="CH565" s="1683">
        <v>0</v>
      </c>
      <c r="CI565" s="1683">
        <v>0</v>
      </c>
      <c r="CJ565" s="1683">
        <v>0</v>
      </c>
      <c r="CK565" s="1683">
        <v>0</v>
      </c>
      <c r="CL565" s="1682"/>
      <c r="CM565" s="1683">
        <v>0</v>
      </c>
      <c r="CN565" s="1683">
        <v>0</v>
      </c>
      <c r="CO565" s="1683">
        <v>0</v>
      </c>
      <c r="CP565" s="1683">
        <v>0</v>
      </c>
      <c r="CQ565" s="1683">
        <v>0</v>
      </c>
      <c r="CR565" s="1683">
        <v>0</v>
      </c>
      <c r="CS565" s="1683">
        <v>0</v>
      </c>
      <c r="CT565" s="1683">
        <v>0</v>
      </c>
      <c r="CU565" s="1683">
        <v>0</v>
      </c>
      <c r="CV565" s="1683">
        <v>0</v>
      </c>
      <c r="CW565" s="1682"/>
      <c r="CX565" s="1400"/>
      <c r="CY565" s="1400"/>
      <c r="CZ565" s="1400"/>
      <c r="DA565" s="1400"/>
      <c r="DB565" s="1682"/>
      <c r="DC565" s="1326"/>
      <c r="DD565" s="1683">
        <v>0</v>
      </c>
      <c r="DE565" s="1400"/>
      <c r="DF565" s="1400"/>
      <c r="DG565" s="1683">
        <v>133.19999999999999</v>
      </c>
      <c r="DH565" s="1683">
        <v>0</v>
      </c>
    </row>
    <row r="566" spans="1:112" ht="22.5">
      <c r="A566" s="1326" t="s">
        <v>3886</v>
      </c>
      <c r="B566" s="1326" t="s">
        <v>1702</v>
      </c>
      <c r="C566" s="1326" t="s">
        <v>2576</v>
      </c>
      <c r="D566" s="1326" t="s">
        <v>2577</v>
      </c>
      <c r="E566" s="1326" t="s">
        <v>2395</v>
      </c>
      <c r="F566" s="1326" t="s">
        <v>2563</v>
      </c>
      <c r="G566" s="1326" t="s">
        <v>2572</v>
      </c>
      <c r="H566" s="1326" t="s">
        <v>2573</v>
      </c>
      <c r="I566" s="1326" t="s">
        <v>3408</v>
      </c>
      <c r="J566" s="1326" t="s">
        <v>3409</v>
      </c>
      <c r="K566" s="1326" t="s">
        <v>2423</v>
      </c>
      <c r="L566" s="1326" t="s">
        <v>2061</v>
      </c>
      <c r="M566" s="1683">
        <v>5628.83</v>
      </c>
      <c r="N566" s="1683">
        <v>0</v>
      </c>
      <c r="O566" s="1683">
        <v>5628.83</v>
      </c>
      <c r="P566" s="1683">
        <v>3798.83</v>
      </c>
      <c r="Q566" s="1683">
        <v>3798.83</v>
      </c>
      <c r="R566" s="1683">
        <v>3490.82</v>
      </c>
      <c r="S566" s="1683">
        <v>308.01</v>
      </c>
      <c r="T566" s="1683">
        <v>1830</v>
      </c>
      <c r="U566" s="1683">
        <v>0</v>
      </c>
      <c r="V566" s="1683">
        <v>0</v>
      </c>
      <c r="W566" s="1683">
        <v>0</v>
      </c>
      <c r="X566" s="1683">
        <v>1830</v>
      </c>
      <c r="Y566" s="1682"/>
      <c r="Z566" s="1326"/>
      <c r="AA566" s="1683">
        <v>0</v>
      </c>
      <c r="AB566" s="1683">
        <v>0</v>
      </c>
      <c r="AC566" s="1683">
        <v>0</v>
      </c>
      <c r="AD566" s="1682"/>
      <c r="AE566" s="1326"/>
      <c r="AF566" s="1326"/>
      <c r="AG566" s="1410"/>
      <c r="AH566" s="1683">
        <v>116.9</v>
      </c>
      <c r="AI566" s="1683">
        <v>1218.54</v>
      </c>
      <c r="AJ566" s="1683">
        <v>1218.55</v>
      </c>
      <c r="AK566" s="1683">
        <v>1119.75</v>
      </c>
      <c r="AL566" s="1683">
        <v>98.8</v>
      </c>
      <c r="AM566" s="1682"/>
      <c r="AN566" s="1683">
        <v>115.96</v>
      </c>
      <c r="AO566" s="1683">
        <v>78.27</v>
      </c>
      <c r="AP566" s="1683">
        <v>78.27</v>
      </c>
      <c r="AQ566" s="1683">
        <v>71.92</v>
      </c>
      <c r="AR566" s="1683">
        <v>6.35</v>
      </c>
      <c r="AS566" s="1683">
        <v>37.69</v>
      </c>
      <c r="AT566" s="1683">
        <v>0</v>
      </c>
      <c r="AU566" s="1683">
        <v>0</v>
      </c>
      <c r="AV566" s="1683">
        <v>0</v>
      </c>
      <c r="AW566" s="1683">
        <v>37.69</v>
      </c>
      <c r="AX566" s="1683">
        <v>0</v>
      </c>
      <c r="AY566" s="1683">
        <v>0</v>
      </c>
      <c r="AZ566" s="1683">
        <v>0</v>
      </c>
      <c r="BA566" s="1682"/>
      <c r="BB566" s="1682"/>
      <c r="BC566" s="1683">
        <v>0</v>
      </c>
      <c r="BD566" s="1683">
        <v>0</v>
      </c>
      <c r="BE566" s="1683">
        <v>115.96</v>
      </c>
      <c r="BF566" s="1683">
        <v>78.27</v>
      </c>
      <c r="BG566" s="1683">
        <v>78.27</v>
      </c>
      <c r="BH566" s="1683">
        <v>71.92</v>
      </c>
      <c r="BI566" s="1683">
        <v>6.35</v>
      </c>
      <c r="BJ566" s="1683">
        <v>37.69</v>
      </c>
      <c r="BK566" s="1683">
        <v>0</v>
      </c>
      <c r="BL566" s="1683">
        <v>0</v>
      </c>
      <c r="BM566" s="1683">
        <v>0</v>
      </c>
      <c r="BN566" s="1683">
        <v>37.69</v>
      </c>
      <c r="BO566" s="1682"/>
      <c r="BP566" s="1683">
        <v>0</v>
      </c>
      <c r="BQ566" s="1683">
        <v>0</v>
      </c>
      <c r="BR566" s="1683">
        <v>0</v>
      </c>
      <c r="BS566" s="1683">
        <v>0</v>
      </c>
      <c r="BT566" s="1683">
        <v>0</v>
      </c>
      <c r="BU566" s="1683">
        <v>0</v>
      </c>
      <c r="BV566" s="1683">
        <v>0</v>
      </c>
      <c r="BW566" s="1683">
        <v>0</v>
      </c>
      <c r="BX566" s="1683">
        <v>0</v>
      </c>
      <c r="BY566" s="1683">
        <v>0</v>
      </c>
      <c r="BZ566" s="1683">
        <v>0</v>
      </c>
      <c r="CA566" s="1683">
        <v>0</v>
      </c>
      <c r="CB566" s="1682"/>
      <c r="CC566" s="1682"/>
      <c r="CD566" s="1683">
        <v>0</v>
      </c>
      <c r="CE566" s="1683">
        <v>0</v>
      </c>
      <c r="CF566" s="1683">
        <v>0</v>
      </c>
      <c r="CG566" s="1683">
        <v>0</v>
      </c>
      <c r="CH566" s="1683">
        <v>0</v>
      </c>
      <c r="CI566" s="1683">
        <v>0</v>
      </c>
      <c r="CJ566" s="1683">
        <v>0</v>
      </c>
      <c r="CK566" s="1683">
        <v>0</v>
      </c>
      <c r="CL566" s="1682"/>
      <c r="CM566" s="1683">
        <v>0</v>
      </c>
      <c r="CN566" s="1683">
        <v>0</v>
      </c>
      <c r="CO566" s="1683">
        <v>0</v>
      </c>
      <c r="CP566" s="1683">
        <v>0</v>
      </c>
      <c r="CQ566" s="1683">
        <v>0</v>
      </c>
      <c r="CR566" s="1683">
        <v>0</v>
      </c>
      <c r="CS566" s="1683">
        <v>0</v>
      </c>
      <c r="CT566" s="1683">
        <v>0</v>
      </c>
      <c r="CU566" s="1683">
        <v>0</v>
      </c>
      <c r="CV566" s="1683">
        <v>0</v>
      </c>
      <c r="CW566" s="1682"/>
      <c r="CX566" s="1683">
        <v>0</v>
      </c>
      <c r="CY566" s="1683">
        <v>0</v>
      </c>
      <c r="CZ566" s="1683">
        <v>0</v>
      </c>
      <c r="DA566" s="1683">
        <v>0</v>
      </c>
      <c r="DB566" s="1682"/>
      <c r="DC566" s="1326"/>
      <c r="DD566" s="1683">
        <v>0</v>
      </c>
      <c r="DE566" s="1683">
        <v>0</v>
      </c>
      <c r="DF566" s="1683">
        <v>0</v>
      </c>
      <c r="DG566" s="1683">
        <v>93.52</v>
      </c>
      <c r="DH566" s="1683">
        <v>0</v>
      </c>
    </row>
    <row r="567" spans="1:112" ht="22.5">
      <c r="A567" s="1326" t="s">
        <v>3887</v>
      </c>
      <c r="B567" s="1326" t="s">
        <v>1702</v>
      </c>
      <c r="C567" s="1326" t="s">
        <v>2576</v>
      </c>
      <c r="D567" s="1326" t="s">
        <v>2577</v>
      </c>
      <c r="E567" s="1326" t="s">
        <v>2395</v>
      </c>
      <c r="F567" s="1326" t="s">
        <v>2563</v>
      </c>
      <c r="G567" s="1326" t="s">
        <v>2572</v>
      </c>
      <c r="H567" s="1326" t="s">
        <v>2573</v>
      </c>
      <c r="I567" s="1326" t="s">
        <v>3408</v>
      </c>
      <c r="J567" s="1326" t="s">
        <v>3409</v>
      </c>
      <c r="K567" s="1326" t="s">
        <v>2423</v>
      </c>
      <c r="L567" s="1326" t="s">
        <v>2061</v>
      </c>
      <c r="M567" s="1400"/>
      <c r="N567" s="1400"/>
      <c r="O567" s="1400"/>
      <c r="P567" s="1400"/>
      <c r="Q567" s="1400"/>
      <c r="R567" s="1400"/>
      <c r="S567" s="1400"/>
      <c r="T567" s="1400"/>
      <c r="U567" s="1400"/>
      <c r="V567" s="1400"/>
      <c r="W567" s="1400"/>
      <c r="X567" s="1400"/>
      <c r="Y567" s="1682"/>
      <c r="Z567" s="1326"/>
      <c r="AA567" s="1683">
        <v>0</v>
      </c>
      <c r="AB567" s="1683">
        <v>0</v>
      </c>
      <c r="AC567" s="1683">
        <v>0</v>
      </c>
      <c r="AD567" s="1682"/>
      <c r="AE567" s="1326" t="s">
        <v>2171</v>
      </c>
      <c r="AF567" s="1326"/>
      <c r="AG567" s="1410" t="s">
        <v>3863</v>
      </c>
      <c r="AH567" s="1683">
        <v>0</v>
      </c>
      <c r="AI567" s="1683">
        <v>0</v>
      </c>
      <c r="AJ567" s="1683">
        <v>0</v>
      </c>
      <c r="AK567" s="1683">
        <v>0</v>
      </c>
      <c r="AL567" s="1683">
        <v>0</v>
      </c>
      <c r="AM567" s="1685">
        <v>43511</v>
      </c>
      <c r="AN567" s="1683">
        <v>-0.94</v>
      </c>
      <c r="AO567" s="1683">
        <v>-0.63</v>
      </c>
      <c r="AP567" s="1683">
        <v>-0.63</v>
      </c>
      <c r="AQ567" s="1683">
        <v>-0.57999999999999996</v>
      </c>
      <c r="AR567" s="1683">
        <v>-0.05</v>
      </c>
      <c r="AS567" s="1683">
        <v>-0.31</v>
      </c>
      <c r="AT567" s="1683">
        <v>0</v>
      </c>
      <c r="AU567" s="1683">
        <v>0</v>
      </c>
      <c r="AV567" s="1683">
        <v>0</v>
      </c>
      <c r="AW567" s="1683">
        <v>-0.31</v>
      </c>
      <c r="AX567" s="1400"/>
      <c r="AY567" s="1400"/>
      <c r="AZ567" s="1400"/>
      <c r="BA567" s="1682"/>
      <c r="BB567" s="1682"/>
      <c r="BC567" s="1400"/>
      <c r="BD567" s="1400"/>
      <c r="BE567" s="1683">
        <v>-0.94</v>
      </c>
      <c r="BF567" s="1683">
        <v>-0.63</v>
      </c>
      <c r="BG567" s="1683">
        <v>-0.63</v>
      </c>
      <c r="BH567" s="1683">
        <v>-0.57999999999999996</v>
      </c>
      <c r="BI567" s="1683">
        <v>-0.05</v>
      </c>
      <c r="BJ567" s="1683">
        <v>-0.31</v>
      </c>
      <c r="BK567" s="1683">
        <v>0</v>
      </c>
      <c r="BL567" s="1683">
        <v>0</v>
      </c>
      <c r="BM567" s="1683">
        <v>0</v>
      </c>
      <c r="BN567" s="1683">
        <v>-0.31</v>
      </c>
      <c r="BO567" s="1682"/>
      <c r="BP567" s="1683">
        <v>0</v>
      </c>
      <c r="BQ567" s="1683">
        <v>0</v>
      </c>
      <c r="BR567" s="1683">
        <v>0</v>
      </c>
      <c r="BS567" s="1683">
        <v>0</v>
      </c>
      <c r="BT567" s="1683">
        <v>0</v>
      </c>
      <c r="BU567" s="1683">
        <v>0</v>
      </c>
      <c r="BV567" s="1683">
        <v>0</v>
      </c>
      <c r="BW567" s="1683">
        <v>0</v>
      </c>
      <c r="BX567" s="1683">
        <v>0</v>
      </c>
      <c r="BY567" s="1683">
        <v>0</v>
      </c>
      <c r="BZ567" s="1683">
        <v>0</v>
      </c>
      <c r="CA567" s="1400"/>
      <c r="CB567" s="1682"/>
      <c r="CC567" s="1682"/>
      <c r="CD567" s="1400"/>
      <c r="CE567" s="1400"/>
      <c r="CF567" s="1683">
        <v>0</v>
      </c>
      <c r="CG567" s="1683">
        <v>0</v>
      </c>
      <c r="CH567" s="1683">
        <v>0</v>
      </c>
      <c r="CI567" s="1683">
        <v>0</v>
      </c>
      <c r="CJ567" s="1683">
        <v>0</v>
      </c>
      <c r="CK567" s="1683">
        <v>0</v>
      </c>
      <c r="CL567" s="1682"/>
      <c r="CM567" s="1683">
        <v>0</v>
      </c>
      <c r="CN567" s="1683">
        <v>0</v>
      </c>
      <c r="CO567" s="1683">
        <v>0</v>
      </c>
      <c r="CP567" s="1683">
        <v>0</v>
      </c>
      <c r="CQ567" s="1683">
        <v>0</v>
      </c>
      <c r="CR567" s="1683">
        <v>0</v>
      </c>
      <c r="CS567" s="1683">
        <v>0</v>
      </c>
      <c r="CT567" s="1683">
        <v>0</v>
      </c>
      <c r="CU567" s="1683">
        <v>0</v>
      </c>
      <c r="CV567" s="1683">
        <v>0</v>
      </c>
      <c r="CW567" s="1682"/>
      <c r="CX567" s="1400"/>
      <c r="CY567" s="1400"/>
      <c r="CZ567" s="1400"/>
      <c r="DA567" s="1400"/>
      <c r="DB567" s="1682"/>
      <c r="DC567" s="1326"/>
      <c r="DD567" s="1683">
        <v>0</v>
      </c>
      <c r="DE567" s="1400"/>
      <c r="DF567" s="1400"/>
      <c r="DG567" s="1683">
        <v>0</v>
      </c>
      <c r="DH567" s="1683">
        <v>0</v>
      </c>
    </row>
    <row r="568" spans="1:112" ht="22.5">
      <c r="A568" s="1326" t="s">
        <v>3888</v>
      </c>
      <c r="B568" s="1326" t="s">
        <v>1702</v>
      </c>
      <c r="C568" s="1326" t="s">
        <v>2576</v>
      </c>
      <c r="D568" s="1326" t="s">
        <v>2577</v>
      </c>
      <c r="E568" s="1326" t="s">
        <v>2395</v>
      </c>
      <c r="F568" s="1326" t="s">
        <v>2563</v>
      </c>
      <c r="G568" s="1326" t="s">
        <v>2572</v>
      </c>
      <c r="H568" s="1326" t="s">
        <v>2573</v>
      </c>
      <c r="I568" s="1326" t="s">
        <v>3408</v>
      </c>
      <c r="J568" s="1326" t="s">
        <v>3409</v>
      </c>
      <c r="K568" s="1326" t="s">
        <v>2423</v>
      </c>
      <c r="L568" s="1326" t="s">
        <v>2061</v>
      </c>
      <c r="M568" s="1400"/>
      <c r="N568" s="1400"/>
      <c r="O568" s="1400"/>
      <c r="P568" s="1400"/>
      <c r="Q568" s="1400"/>
      <c r="R568" s="1400"/>
      <c r="S568" s="1400"/>
      <c r="T568" s="1400"/>
      <c r="U568" s="1400"/>
      <c r="V568" s="1400"/>
      <c r="W568" s="1400"/>
      <c r="X568" s="1400"/>
      <c r="Y568" s="1685">
        <v>43417</v>
      </c>
      <c r="Z568" s="1326" t="s">
        <v>2096</v>
      </c>
      <c r="AA568" s="1683">
        <v>0</v>
      </c>
      <c r="AB568" s="1683">
        <v>0</v>
      </c>
      <c r="AC568" s="1683">
        <v>0</v>
      </c>
      <c r="AD568" s="1685">
        <v>43424</v>
      </c>
      <c r="AE568" s="1326" t="s">
        <v>2073</v>
      </c>
      <c r="AF568" s="1326" t="s">
        <v>2064</v>
      </c>
      <c r="AG568" s="1410"/>
      <c r="AH568" s="1683">
        <v>0</v>
      </c>
      <c r="AI568" s="1683">
        <v>1139.6500000000001</v>
      </c>
      <c r="AJ568" s="1683">
        <v>1139.6500000000001</v>
      </c>
      <c r="AK568" s="1683">
        <v>1047.25</v>
      </c>
      <c r="AL568" s="1683">
        <v>92.4</v>
      </c>
      <c r="AM568" s="1682"/>
      <c r="AN568" s="1683">
        <v>0</v>
      </c>
      <c r="AO568" s="1683">
        <v>0</v>
      </c>
      <c r="AP568" s="1683">
        <v>0</v>
      </c>
      <c r="AQ568" s="1683">
        <v>0</v>
      </c>
      <c r="AR568" s="1683">
        <v>0</v>
      </c>
      <c r="AS568" s="1683">
        <v>0</v>
      </c>
      <c r="AT568" s="1683">
        <v>0</v>
      </c>
      <c r="AU568" s="1683">
        <v>0</v>
      </c>
      <c r="AV568" s="1683">
        <v>0</v>
      </c>
      <c r="AW568" s="1683">
        <v>0</v>
      </c>
      <c r="AX568" s="1400"/>
      <c r="AY568" s="1400"/>
      <c r="AZ568" s="1400"/>
      <c r="BA568" s="1682"/>
      <c r="BB568" s="1682"/>
      <c r="BC568" s="1400"/>
      <c r="BD568" s="1400"/>
      <c r="BE568" s="1683">
        <v>0</v>
      </c>
      <c r="BF568" s="1683">
        <v>0</v>
      </c>
      <c r="BG568" s="1683">
        <v>0</v>
      </c>
      <c r="BH568" s="1683">
        <v>0</v>
      </c>
      <c r="BI568" s="1683">
        <v>0</v>
      </c>
      <c r="BJ568" s="1683">
        <v>0</v>
      </c>
      <c r="BK568" s="1683">
        <v>0</v>
      </c>
      <c r="BL568" s="1683">
        <v>0</v>
      </c>
      <c r="BM568" s="1683">
        <v>0</v>
      </c>
      <c r="BN568" s="1683">
        <v>0</v>
      </c>
      <c r="BO568" s="1682"/>
      <c r="BP568" s="1683">
        <v>0</v>
      </c>
      <c r="BQ568" s="1683">
        <v>0</v>
      </c>
      <c r="BR568" s="1683">
        <v>0</v>
      </c>
      <c r="BS568" s="1683">
        <v>0</v>
      </c>
      <c r="BT568" s="1683">
        <v>0</v>
      </c>
      <c r="BU568" s="1683">
        <v>0</v>
      </c>
      <c r="BV568" s="1683">
        <v>0</v>
      </c>
      <c r="BW568" s="1683">
        <v>0</v>
      </c>
      <c r="BX568" s="1683">
        <v>0</v>
      </c>
      <c r="BY568" s="1683">
        <v>0</v>
      </c>
      <c r="BZ568" s="1400"/>
      <c r="CA568" s="1400"/>
      <c r="CB568" s="1682"/>
      <c r="CC568" s="1682"/>
      <c r="CD568" s="1400"/>
      <c r="CE568" s="1400"/>
      <c r="CF568" s="1683">
        <v>0</v>
      </c>
      <c r="CG568" s="1683">
        <v>0</v>
      </c>
      <c r="CH568" s="1683">
        <v>0</v>
      </c>
      <c r="CI568" s="1683">
        <v>0</v>
      </c>
      <c r="CJ568" s="1683">
        <v>0</v>
      </c>
      <c r="CK568" s="1683">
        <v>0</v>
      </c>
      <c r="CL568" s="1682"/>
      <c r="CM568" s="1683">
        <v>0</v>
      </c>
      <c r="CN568" s="1683">
        <v>0</v>
      </c>
      <c r="CO568" s="1683">
        <v>0</v>
      </c>
      <c r="CP568" s="1683">
        <v>0</v>
      </c>
      <c r="CQ568" s="1683">
        <v>0</v>
      </c>
      <c r="CR568" s="1683">
        <v>0</v>
      </c>
      <c r="CS568" s="1683">
        <v>0</v>
      </c>
      <c r="CT568" s="1683">
        <v>0</v>
      </c>
      <c r="CU568" s="1683">
        <v>0</v>
      </c>
      <c r="CV568" s="1683">
        <v>0</v>
      </c>
      <c r="CW568" s="1682"/>
      <c r="CX568" s="1400"/>
      <c r="CY568" s="1400"/>
      <c r="CZ568" s="1400"/>
      <c r="DA568" s="1400"/>
      <c r="DB568" s="1682"/>
      <c r="DC568" s="1326"/>
      <c r="DD568" s="1683">
        <v>0</v>
      </c>
      <c r="DE568" s="1400"/>
      <c r="DF568" s="1400"/>
      <c r="DG568" s="1683">
        <v>0</v>
      </c>
      <c r="DH568" s="1683">
        <v>0</v>
      </c>
    </row>
    <row r="569" spans="1:112" ht="22.5">
      <c r="A569" s="1326" t="s">
        <v>3889</v>
      </c>
      <c r="B569" s="1326" t="s">
        <v>1702</v>
      </c>
      <c r="C569" s="1326" t="s">
        <v>2576</v>
      </c>
      <c r="D569" s="1326" t="s">
        <v>2577</v>
      </c>
      <c r="E569" s="1326" t="s">
        <v>2395</v>
      </c>
      <c r="F569" s="1326" t="s">
        <v>2563</v>
      </c>
      <c r="G569" s="1326" t="s">
        <v>2572</v>
      </c>
      <c r="H569" s="1326" t="s">
        <v>2573</v>
      </c>
      <c r="I569" s="1326" t="s">
        <v>3408</v>
      </c>
      <c r="J569" s="1326" t="s">
        <v>3409</v>
      </c>
      <c r="K569" s="1326" t="s">
        <v>2423</v>
      </c>
      <c r="L569" s="1326" t="s">
        <v>2061</v>
      </c>
      <c r="M569" s="1400"/>
      <c r="N569" s="1400"/>
      <c r="O569" s="1400"/>
      <c r="P569" s="1400"/>
      <c r="Q569" s="1400"/>
      <c r="R569" s="1400"/>
      <c r="S569" s="1400"/>
      <c r="T569" s="1400"/>
      <c r="U569" s="1400"/>
      <c r="V569" s="1400"/>
      <c r="W569" s="1400"/>
      <c r="X569" s="1400"/>
      <c r="Y569" s="1685">
        <v>43487</v>
      </c>
      <c r="Z569" s="1326" t="s">
        <v>2062</v>
      </c>
      <c r="AA569" s="1683">
        <v>0</v>
      </c>
      <c r="AB569" s="1683">
        <v>0</v>
      </c>
      <c r="AC569" s="1683">
        <v>0</v>
      </c>
      <c r="AD569" s="1685">
        <v>43509</v>
      </c>
      <c r="AE569" s="1326" t="s">
        <v>2063</v>
      </c>
      <c r="AF569" s="1326" t="s">
        <v>2064</v>
      </c>
      <c r="AG569" s="1410"/>
      <c r="AH569" s="1683">
        <v>116.9</v>
      </c>
      <c r="AI569" s="1683">
        <v>78.89</v>
      </c>
      <c r="AJ569" s="1683">
        <v>78.900000000000006</v>
      </c>
      <c r="AK569" s="1683">
        <v>72.5</v>
      </c>
      <c r="AL569" s="1683">
        <v>6.4</v>
      </c>
      <c r="AM569" s="1685">
        <v>43509</v>
      </c>
      <c r="AN569" s="1683">
        <v>116.9</v>
      </c>
      <c r="AO569" s="1683">
        <v>78.900000000000006</v>
      </c>
      <c r="AP569" s="1683">
        <v>78.900000000000006</v>
      </c>
      <c r="AQ569" s="1683">
        <v>72.5</v>
      </c>
      <c r="AR569" s="1683">
        <v>6.4</v>
      </c>
      <c r="AS569" s="1683">
        <v>38</v>
      </c>
      <c r="AT569" s="1683">
        <v>0</v>
      </c>
      <c r="AU569" s="1683">
        <v>0</v>
      </c>
      <c r="AV569" s="1683">
        <v>0</v>
      </c>
      <c r="AW569" s="1683">
        <v>38</v>
      </c>
      <c r="AX569" s="1400"/>
      <c r="AY569" s="1400"/>
      <c r="AZ569" s="1400"/>
      <c r="BA569" s="1682"/>
      <c r="BB569" s="1682"/>
      <c r="BC569" s="1400"/>
      <c r="BD569" s="1400"/>
      <c r="BE569" s="1683">
        <v>116.9</v>
      </c>
      <c r="BF569" s="1683">
        <v>78.900000000000006</v>
      </c>
      <c r="BG569" s="1683">
        <v>78.900000000000006</v>
      </c>
      <c r="BH569" s="1683">
        <v>72.5</v>
      </c>
      <c r="BI569" s="1683">
        <v>6.4</v>
      </c>
      <c r="BJ569" s="1683">
        <v>38</v>
      </c>
      <c r="BK569" s="1683">
        <v>0</v>
      </c>
      <c r="BL569" s="1683">
        <v>0</v>
      </c>
      <c r="BM569" s="1683">
        <v>0</v>
      </c>
      <c r="BN569" s="1683">
        <v>38</v>
      </c>
      <c r="BO569" s="1682"/>
      <c r="BP569" s="1683">
        <v>0</v>
      </c>
      <c r="BQ569" s="1683">
        <v>0</v>
      </c>
      <c r="BR569" s="1683">
        <v>0</v>
      </c>
      <c r="BS569" s="1683">
        <v>0</v>
      </c>
      <c r="BT569" s="1683">
        <v>0</v>
      </c>
      <c r="BU569" s="1683">
        <v>0</v>
      </c>
      <c r="BV569" s="1683">
        <v>0</v>
      </c>
      <c r="BW569" s="1683">
        <v>0</v>
      </c>
      <c r="BX569" s="1683">
        <v>0</v>
      </c>
      <c r="BY569" s="1683">
        <v>0</v>
      </c>
      <c r="BZ569" s="1400"/>
      <c r="CA569" s="1400"/>
      <c r="CB569" s="1682"/>
      <c r="CC569" s="1682"/>
      <c r="CD569" s="1400"/>
      <c r="CE569" s="1400"/>
      <c r="CF569" s="1683">
        <v>0</v>
      </c>
      <c r="CG569" s="1683">
        <v>0</v>
      </c>
      <c r="CH569" s="1683">
        <v>0</v>
      </c>
      <c r="CI569" s="1683">
        <v>0</v>
      </c>
      <c r="CJ569" s="1683">
        <v>0</v>
      </c>
      <c r="CK569" s="1683">
        <v>0</v>
      </c>
      <c r="CL569" s="1682"/>
      <c r="CM569" s="1683">
        <v>0</v>
      </c>
      <c r="CN569" s="1683">
        <v>0</v>
      </c>
      <c r="CO569" s="1683">
        <v>0</v>
      </c>
      <c r="CP569" s="1683">
        <v>0</v>
      </c>
      <c r="CQ569" s="1683">
        <v>0</v>
      </c>
      <c r="CR569" s="1683">
        <v>0</v>
      </c>
      <c r="CS569" s="1683">
        <v>0</v>
      </c>
      <c r="CT569" s="1683">
        <v>0</v>
      </c>
      <c r="CU569" s="1683">
        <v>0</v>
      </c>
      <c r="CV569" s="1683">
        <v>0</v>
      </c>
      <c r="CW569" s="1682"/>
      <c r="CX569" s="1400"/>
      <c r="CY569" s="1400"/>
      <c r="CZ569" s="1400"/>
      <c r="DA569" s="1400"/>
      <c r="DB569" s="1682"/>
      <c r="DC569" s="1326"/>
      <c r="DD569" s="1683">
        <v>0</v>
      </c>
      <c r="DE569" s="1400"/>
      <c r="DF569" s="1400"/>
      <c r="DG569" s="1683">
        <v>93.52</v>
      </c>
      <c r="DH569" s="1683">
        <v>0</v>
      </c>
    </row>
    <row r="570" spans="1:112" ht="22.5">
      <c r="A570" s="1326" t="s">
        <v>3890</v>
      </c>
      <c r="B570" s="1326" t="s">
        <v>1702</v>
      </c>
      <c r="C570" s="1326" t="s">
        <v>2576</v>
      </c>
      <c r="D570" s="1326" t="s">
        <v>2577</v>
      </c>
      <c r="E570" s="1326" t="s">
        <v>2395</v>
      </c>
      <c r="F570" s="1326" t="s">
        <v>2563</v>
      </c>
      <c r="G570" s="1326" t="s">
        <v>2572</v>
      </c>
      <c r="H570" s="1326" t="s">
        <v>2573</v>
      </c>
      <c r="I570" s="1326" t="s">
        <v>2421</v>
      </c>
      <c r="J570" s="1326" t="s">
        <v>2422</v>
      </c>
      <c r="K570" s="1326" t="s">
        <v>2423</v>
      </c>
      <c r="L570" s="1326" t="s">
        <v>2061</v>
      </c>
      <c r="M570" s="1683">
        <v>12926.88</v>
      </c>
      <c r="N570" s="1683">
        <v>0</v>
      </c>
      <c r="O570" s="1683">
        <v>12926.88</v>
      </c>
      <c r="P570" s="1683">
        <v>7988.96</v>
      </c>
      <c r="Q570" s="1683">
        <v>7988.96</v>
      </c>
      <c r="R570" s="1683">
        <v>7341.21</v>
      </c>
      <c r="S570" s="1683">
        <v>647.75</v>
      </c>
      <c r="T570" s="1683">
        <v>4937.92</v>
      </c>
      <c r="U570" s="1683">
        <v>0</v>
      </c>
      <c r="V570" s="1683">
        <v>0</v>
      </c>
      <c r="W570" s="1683">
        <v>0</v>
      </c>
      <c r="X570" s="1683">
        <v>4937.92</v>
      </c>
      <c r="Y570" s="1682"/>
      <c r="Z570" s="1326"/>
      <c r="AA570" s="1683">
        <v>0</v>
      </c>
      <c r="AB570" s="1683">
        <v>0</v>
      </c>
      <c r="AC570" s="1683">
        <v>0</v>
      </c>
      <c r="AD570" s="1682"/>
      <c r="AE570" s="1326"/>
      <c r="AF570" s="1326"/>
      <c r="AG570" s="1410"/>
      <c r="AH570" s="1683">
        <v>5906.83</v>
      </c>
      <c r="AI570" s="1683">
        <v>6047.18</v>
      </c>
      <c r="AJ570" s="1683">
        <v>6047.17</v>
      </c>
      <c r="AK570" s="1683">
        <v>5556.86</v>
      </c>
      <c r="AL570" s="1683">
        <v>490.31</v>
      </c>
      <c r="AM570" s="1682"/>
      <c r="AN570" s="1683">
        <v>5874.25</v>
      </c>
      <c r="AO570" s="1683">
        <v>3630.35</v>
      </c>
      <c r="AP570" s="1683">
        <v>3630.35</v>
      </c>
      <c r="AQ570" s="1683">
        <v>3336</v>
      </c>
      <c r="AR570" s="1683">
        <v>294.35000000000002</v>
      </c>
      <c r="AS570" s="1683">
        <v>2243.9</v>
      </c>
      <c r="AT570" s="1683">
        <v>0</v>
      </c>
      <c r="AU570" s="1683">
        <v>0</v>
      </c>
      <c r="AV570" s="1683">
        <v>0</v>
      </c>
      <c r="AW570" s="1683">
        <v>2243.9</v>
      </c>
      <c r="AX570" s="1683">
        <v>0</v>
      </c>
      <c r="AY570" s="1683">
        <v>0</v>
      </c>
      <c r="AZ570" s="1683">
        <v>0</v>
      </c>
      <c r="BA570" s="1682"/>
      <c r="BB570" s="1682"/>
      <c r="BC570" s="1683">
        <v>0</v>
      </c>
      <c r="BD570" s="1683">
        <v>0</v>
      </c>
      <c r="BE570" s="1683">
        <v>5874.25</v>
      </c>
      <c r="BF570" s="1683">
        <v>3630.35</v>
      </c>
      <c r="BG570" s="1683">
        <v>3630.35</v>
      </c>
      <c r="BH570" s="1683">
        <v>3336</v>
      </c>
      <c r="BI570" s="1683">
        <v>294.35000000000002</v>
      </c>
      <c r="BJ570" s="1683">
        <v>2243.9</v>
      </c>
      <c r="BK570" s="1683">
        <v>0</v>
      </c>
      <c r="BL570" s="1683">
        <v>0</v>
      </c>
      <c r="BM570" s="1683">
        <v>0</v>
      </c>
      <c r="BN570" s="1683">
        <v>2243.9</v>
      </c>
      <c r="BO570" s="1682"/>
      <c r="BP570" s="1683">
        <v>0</v>
      </c>
      <c r="BQ570" s="1683">
        <v>0</v>
      </c>
      <c r="BR570" s="1683">
        <v>0</v>
      </c>
      <c r="BS570" s="1683">
        <v>0</v>
      </c>
      <c r="BT570" s="1683">
        <v>0</v>
      </c>
      <c r="BU570" s="1683">
        <v>0</v>
      </c>
      <c r="BV570" s="1683">
        <v>0</v>
      </c>
      <c r="BW570" s="1683">
        <v>0</v>
      </c>
      <c r="BX570" s="1683">
        <v>0</v>
      </c>
      <c r="BY570" s="1683">
        <v>0</v>
      </c>
      <c r="BZ570" s="1683">
        <v>0</v>
      </c>
      <c r="CA570" s="1683">
        <v>0</v>
      </c>
      <c r="CB570" s="1682"/>
      <c r="CC570" s="1682"/>
      <c r="CD570" s="1683">
        <v>0</v>
      </c>
      <c r="CE570" s="1683">
        <v>0</v>
      </c>
      <c r="CF570" s="1683">
        <v>0</v>
      </c>
      <c r="CG570" s="1683">
        <v>0</v>
      </c>
      <c r="CH570" s="1683">
        <v>0</v>
      </c>
      <c r="CI570" s="1683">
        <v>0</v>
      </c>
      <c r="CJ570" s="1683">
        <v>0</v>
      </c>
      <c r="CK570" s="1683">
        <v>0</v>
      </c>
      <c r="CL570" s="1682"/>
      <c r="CM570" s="1683">
        <v>0</v>
      </c>
      <c r="CN570" s="1683">
        <v>0</v>
      </c>
      <c r="CO570" s="1683">
        <v>0</v>
      </c>
      <c r="CP570" s="1683">
        <v>0</v>
      </c>
      <c r="CQ570" s="1683">
        <v>0</v>
      </c>
      <c r="CR570" s="1683">
        <v>0</v>
      </c>
      <c r="CS570" s="1683">
        <v>0</v>
      </c>
      <c r="CT570" s="1683">
        <v>0</v>
      </c>
      <c r="CU570" s="1683">
        <v>0</v>
      </c>
      <c r="CV570" s="1683">
        <v>0</v>
      </c>
      <c r="CW570" s="1682"/>
      <c r="CX570" s="1683">
        <v>0</v>
      </c>
      <c r="CY570" s="1683">
        <v>0</v>
      </c>
      <c r="CZ570" s="1683">
        <v>0</v>
      </c>
      <c r="DA570" s="1683">
        <v>0</v>
      </c>
      <c r="DB570" s="1682"/>
      <c r="DC570" s="1326"/>
      <c r="DD570" s="1683">
        <v>0</v>
      </c>
      <c r="DE570" s="1683">
        <v>0</v>
      </c>
      <c r="DF570" s="1683">
        <v>0</v>
      </c>
      <c r="DG570" s="1683">
        <v>1340.84</v>
      </c>
      <c r="DH570" s="1683">
        <v>0</v>
      </c>
    </row>
    <row r="571" spans="1:112" ht="22.5">
      <c r="A571" s="1326" t="s">
        <v>3891</v>
      </c>
      <c r="B571" s="1326" t="s">
        <v>1702</v>
      </c>
      <c r="C571" s="1326" t="s">
        <v>2576</v>
      </c>
      <c r="D571" s="1326" t="s">
        <v>2577</v>
      </c>
      <c r="E571" s="1326" t="s">
        <v>2395</v>
      </c>
      <c r="F571" s="1326" t="s">
        <v>2563</v>
      </c>
      <c r="G571" s="1326" t="s">
        <v>2572</v>
      </c>
      <c r="H571" s="1326" t="s">
        <v>2573</v>
      </c>
      <c r="I571" s="1326" t="s">
        <v>2421</v>
      </c>
      <c r="J571" s="1326" t="s">
        <v>2422</v>
      </c>
      <c r="K571" s="1326" t="s">
        <v>2423</v>
      </c>
      <c r="L571" s="1326" t="s">
        <v>2061</v>
      </c>
      <c r="M571" s="1400"/>
      <c r="N571" s="1400"/>
      <c r="O571" s="1400"/>
      <c r="P571" s="1400"/>
      <c r="Q571" s="1400"/>
      <c r="R571" s="1400"/>
      <c r="S571" s="1400"/>
      <c r="T571" s="1400"/>
      <c r="U571" s="1400"/>
      <c r="V571" s="1400"/>
      <c r="W571" s="1400"/>
      <c r="X571" s="1400"/>
      <c r="Y571" s="1682"/>
      <c r="Z571" s="1326"/>
      <c r="AA571" s="1683">
        <v>0</v>
      </c>
      <c r="AB571" s="1683">
        <v>0</v>
      </c>
      <c r="AC571" s="1683">
        <v>0</v>
      </c>
      <c r="AD571" s="1682"/>
      <c r="AE571" s="1326" t="s">
        <v>2171</v>
      </c>
      <c r="AF571" s="1326"/>
      <c r="AG571" s="1410" t="s">
        <v>3863</v>
      </c>
      <c r="AH571" s="1683">
        <v>0</v>
      </c>
      <c r="AI571" s="1683">
        <v>0</v>
      </c>
      <c r="AJ571" s="1683">
        <v>0</v>
      </c>
      <c r="AK571" s="1683">
        <v>0</v>
      </c>
      <c r="AL571" s="1683">
        <v>0</v>
      </c>
      <c r="AM571" s="1685">
        <v>43475</v>
      </c>
      <c r="AN571" s="1683">
        <v>-32.58</v>
      </c>
      <c r="AO571" s="1683">
        <v>-20.13</v>
      </c>
      <c r="AP571" s="1683">
        <v>-20.13</v>
      </c>
      <c r="AQ571" s="1683">
        <v>-18.5</v>
      </c>
      <c r="AR571" s="1683">
        <v>-1.63</v>
      </c>
      <c r="AS571" s="1683">
        <v>-12.45</v>
      </c>
      <c r="AT571" s="1683">
        <v>0</v>
      </c>
      <c r="AU571" s="1683">
        <v>0</v>
      </c>
      <c r="AV571" s="1683">
        <v>0</v>
      </c>
      <c r="AW571" s="1683">
        <v>-12.45</v>
      </c>
      <c r="AX571" s="1400"/>
      <c r="AY571" s="1400"/>
      <c r="AZ571" s="1400"/>
      <c r="BA571" s="1682"/>
      <c r="BB571" s="1682"/>
      <c r="BC571" s="1400"/>
      <c r="BD571" s="1400"/>
      <c r="BE571" s="1683">
        <v>-32.58</v>
      </c>
      <c r="BF571" s="1683">
        <v>-20.13</v>
      </c>
      <c r="BG571" s="1683">
        <v>-20.13</v>
      </c>
      <c r="BH571" s="1683">
        <v>-18.5</v>
      </c>
      <c r="BI571" s="1683">
        <v>-1.63</v>
      </c>
      <c r="BJ571" s="1683">
        <v>-12.45</v>
      </c>
      <c r="BK571" s="1683">
        <v>0</v>
      </c>
      <c r="BL571" s="1683">
        <v>0</v>
      </c>
      <c r="BM571" s="1683">
        <v>0</v>
      </c>
      <c r="BN571" s="1683">
        <v>-12.45</v>
      </c>
      <c r="BO571" s="1682"/>
      <c r="BP571" s="1683">
        <v>0</v>
      </c>
      <c r="BQ571" s="1683">
        <v>0</v>
      </c>
      <c r="BR571" s="1683">
        <v>0</v>
      </c>
      <c r="BS571" s="1683">
        <v>0</v>
      </c>
      <c r="BT571" s="1683">
        <v>0</v>
      </c>
      <c r="BU571" s="1683">
        <v>0</v>
      </c>
      <c r="BV571" s="1683">
        <v>0</v>
      </c>
      <c r="BW571" s="1683">
        <v>0</v>
      </c>
      <c r="BX571" s="1683">
        <v>0</v>
      </c>
      <c r="BY571" s="1683">
        <v>0</v>
      </c>
      <c r="BZ571" s="1683">
        <v>0</v>
      </c>
      <c r="CA571" s="1400"/>
      <c r="CB571" s="1682"/>
      <c r="CC571" s="1682"/>
      <c r="CD571" s="1400"/>
      <c r="CE571" s="1400"/>
      <c r="CF571" s="1683">
        <v>0</v>
      </c>
      <c r="CG571" s="1683">
        <v>0</v>
      </c>
      <c r="CH571" s="1683">
        <v>0</v>
      </c>
      <c r="CI571" s="1683">
        <v>0</v>
      </c>
      <c r="CJ571" s="1683">
        <v>0</v>
      </c>
      <c r="CK571" s="1683">
        <v>0</v>
      </c>
      <c r="CL571" s="1682"/>
      <c r="CM571" s="1683">
        <v>0</v>
      </c>
      <c r="CN571" s="1683">
        <v>0</v>
      </c>
      <c r="CO571" s="1683">
        <v>0</v>
      </c>
      <c r="CP571" s="1683">
        <v>0</v>
      </c>
      <c r="CQ571" s="1683">
        <v>0</v>
      </c>
      <c r="CR571" s="1683">
        <v>0</v>
      </c>
      <c r="CS571" s="1683">
        <v>0</v>
      </c>
      <c r="CT571" s="1683">
        <v>0</v>
      </c>
      <c r="CU571" s="1683">
        <v>0</v>
      </c>
      <c r="CV571" s="1683">
        <v>0</v>
      </c>
      <c r="CW571" s="1682"/>
      <c r="CX571" s="1400"/>
      <c r="CY571" s="1400"/>
      <c r="CZ571" s="1400"/>
      <c r="DA571" s="1400"/>
      <c r="DB571" s="1682"/>
      <c r="DC571" s="1326"/>
      <c r="DD571" s="1683">
        <v>0</v>
      </c>
      <c r="DE571" s="1400"/>
      <c r="DF571" s="1400"/>
      <c r="DG571" s="1683">
        <v>0</v>
      </c>
      <c r="DH571" s="1683">
        <v>0</v>
      </c>
    </row>
    <row r="572" spans="1:112" ht="22.5">
      <c r="A572" s="1326" t="s">
        <v>3892</v>
      </c>
      <c r="B572" s="1326" t="s">
        <v>1702</v>
      </c>
      <c r="C572" s="1326" t="s">
        <v>2576</v>
      </c>
      <c r="D572" s="1326" t="s">
        <v>2577</v>
      </c>
      <c r="E572" s="1326" t="s">
        <v>2395</v>
      </c>
      <c r="F572" s="1326" t="s">
        <v>2563</v>
      </c>
      <c r="G572" s="1326" t="s">
        <v>2572</v>
      </c>
      <c r="H572" s="1326" t="s">
        <v>2573</v>
      </c>
      <c r="I572" s="1326" t="s">
        <v>2421</v>
      </c>
      <c r="J572" s="1326" t="s">
        <v>2422</v>
      </c>
      <c r="K572" s="1326" t="s">
        <v>2423</v>
      </c>
      <c r="L572" s="1326" t="s">
        <v>2061</v>
      </c>
      <c r="M572" s="1400"/>
      <c r="N572" s="1400"/>
      <c r="O572" s="1400"/>
      <c r="P572" s="1400"/>
      <c r="Q572" s="1400"/>
      <c r="R572" s="1400"/>
      <c r="S572" s="1400"/>
      <c r="T572" s="1400"/>
      <c r="U572" s="1400"/>
      <c r="V572" s="1400"/>
      <c r="W572" s="1400"/>
      <c r="X572" s="1400"/>
      <c r="Y572" s="1685">
        <v>43376</v>
      </c>
      <c r="Z572" s="1326" t="s">
        <v>2096</v>
      </c>
      <c r="AA572" s="1683">
        <v>0</v>
      </c>
      <c r="AB572" s="1683">
        <v>0</v>
      </c>
      <c r="AC572" s="1683">
        <v>0</v>
      </c>
      <c r="AD572" s="1685">
        <v>43384</v>
      </c>
      <c r="AE572" s="1326" t="s">
        <v>2073</v>
      </c>
      <c r="AF572" s="1326" t="s">
        <v>2064</v>
      </c>
      <c r="AG572" s="1410"/>
      <c r="AH572" s="1683">
        <v>0</v>
      </c>
      <c r="AI572" s="1683">
        <v>2396.69</v>
      </c>
      <c r="AJ572" s="1683">
        <v>2396.69</v>
      </c>
      <c r="AK572" s="1683">
        <v>2202.36</v>
      </c>
      <c r="AL572" s="1683">
        <v>194.33</v>
      </c>
      <c r="AM572" s="1682"/>
      <c r="AN572" s="1683">
        <v>0</v>
      </c>
      <c r="AO572" s="1683">
        <v>0</v>
      </c>
      <c r="AP572" s="1683">
        <v>0</v>
      </c>
      <c r="AQ572" s="1683">
        <v>0</v>
      </c>
      <c r="AR572" s="1683">
        <v>0</v>
      </c>
      <c r="AS572" s="1683">
        <v>0</v>
      </c>
      <c r="AT572" s="1683">
        <v>0</v>
      </c>
      <c r="AU572" s="1683">
        <v>0</v>
      </c>
      <c r="AV572" s="1683">
        <v>0</v>
      </c>
      <c r="AW572" s="1683">
        <v>0</v>
      </c>
      <c r="AX572" s="1400"/>
      <c r="AY572" s="1400"/>
      <c r="AZ572" s="1400"/>
      <c r="BA572" s="1682"/>
      <c r="BB572" s="1682"/>
      <c r="BC572" s="1400"/>
      <c r="BD572" s="1400"/>
      <c r="BE572" s="1683">
        <v>0</v>
      </c>
      <c r="BF572" s="1683">
        <v>0</v>
      </c>
      <c r="BG572" s="1683">
        <v>0</v>
      </c>
      <c r="BH572" s="1683">
        <v>0</v>
      </c>
      <c r="BI572" s="1683">
        <v>0</v>
      </c>
      <c r="BJ572" s="1683">
        <v>0</v>
      </c>
      <c r="BK572" s="1683">
        <v>0</v>
      </c>
      <c r="BL572" s="1683">
        <v>0</v>
      </c>
      <c r="BM572" s="1683">
        <v>0</v>
      </c>
      <c r="BN572" s="1683">
        <v>0</v>
      </c>
      <c r="BO572" s="1682"/>
      <c r="BP572" s="1683">
        <v>0</v>
      </c>
      <c r="BQ572" s="1683">
        <v>0</v>
      </c>
      <c r="BR572" s="1683">
        <v>0</v>
      </c>
      <c r="BS572" s="1683">
        <v>0</v>
      </c>
      <c r="BT572" s="1683">
        <v>0</v>
      </c>
      <c r="BU572" s="1683">
        <v>0</v>
      </c>
      <c r="BV572" s="1683">
        <v>0</v>
      </c>
      <c r="BW572" s="1683">
        <v>0</v>
      </c>
      <c r="BX572" s="1683">
        <v>0</v>
      </c>
      <c r="BY572" s="1683">
        <v>0</v>
      </c>
      <c r="BZ572" s="1400"/>
      <c r="CA572" s="1400"/>
      <c r="CB572" s="1682"/>
      <c r="CC572" s="1682"/>
      <c r="CD572" s="1400"/>
      <c r="CE572" s="1400"/>
      <c r="CF572" s="1683">
        <v>0</v>
      </c>
      <c r="CG572" s="1683">
        <v>0</v>
      </c>
      <c r="CH572" s="1683">
        <v>0</v>
      </c>
      <c r="CI572" s="1683">
        <v>0</v>
      </c>
      <c r="CJ572" s="1683">
        <v>0</v>
      </c>
      <c r="CK572" s="1683">
        <v>0</v>
      </c>
      <c r="CL572" s="1682"/>
      <c r="CM572" s="1683">
        <v>0</v>
      </c>
      <c r="CN572" s="1683">
        <v>0</v>
      </c>
      <c r="CO572" s="1683">
        <v>0</v>
      </c>
      <c r="CP572" s="1683">
        <v>0</v>
      </c>
      <c r="CQ572" s="1683">
        <v>0</v>
      </c>
      <c r="CR572" s="1683">
        <v>0</v>
      </c>
      <c r="CS572" s="1683">
        <v>0</v>
      </c>
      <c r="CT572" s="1683">
        <v>0</v>
      </c>
      <c r="CU572" s="1683">
        <v>0</v>
      </c>
      <c r="CV572" s="1683">
        <v>0</v>
      </c>
      <c r="CW572" s="1682"/>
      <c r="CX572" s="1400"/>
      <c r="CY572" s="1400"/>
      <c r="CZ572" s="1400"/>
      <c r="DA572" s="1400"/>
      <c r="DB572" s="1682"/>
      <c r="DC572" s="1326"/>
      <c r="DD572" s="1683">
        <v>0</v>
      </c>
      <c r="DE572" s="1400"/>
      <c r="DF572" s="1400"/>
      <c r="DG572" s="1683">
        <v>0</v>
      </c>
      <c r="DH572" s="1683">
        <v>0</v>
      </c>
    </row>
    <row r="573" spans="1:112" ht="22.5">
      <c r="A573" s="1326" t="s">
        <v>3893</v>
      </c>
      <c r="B573" s="1326" t="s">
        <v>1702</v>
      </c>
      <c r="C573" s="1326" t="s">
        <v>2576</v>
      </c>
      <c r="D573" s="1326" t="s">
        <v>2577</v>
      </c>
      <c r="E573" s="1326" t="s">
        <v>2395</v>
      </c>
      <c r="F573" s="1326" t="s">
        <v>2563</v>
      </c>
      <c r="G573" s="1326" t="s">
        <v>2572</v>
      </c>
      <c r="H573" s="1326" t="s">
        <v>2573</v>
      </c>
      <c r="I573" s="1326" t="s">
        <v>2421</v>
      </c>
      <c r="J573" s="1326" t="s">
        <v>2422</v>
      </c>
      <c r="K573" s="1326" t="s">
        <v>2423</v>
      </c>
      <c r="L573" s="1326" t="s">
        <v>2061</v>
      </c>
      <c r="M573" s="1400"/>
      <c r="N573" s="1400"/>
      <c r="O573" s="1400"/>
      <c r="P573" s="1400"/>
      <c r="Q573" s="1400"/>
      <c r="R573" s="1400"/>
      <c r="S573" s="1400"/>
      <c r="T573" s="1400"/>
      <c r="U573" s="1400"/>
      <c r="V573" s="1400"/>
      <c r="W573" s="1400"/>
      <c r="X573" s="1400"/>
      <c r="Y573" s="1685">
        <v>43439</v>
      </c>
      <c r="Z573" s="1326" t="s">
        <v>2062</v>
      </c>
      <c r="AA573" s="1683">
        <v>0</v>
      </c>
      <c r="AB573" s="1683">
        <v>0</v>
      </c>
      <c r="AC573" s="1683">
        <v>0</v>
      </c>
      <c r="AD573" s="1685">
        <v>43461</v>
      </c>
      <c r="AE573" s="1326" t="s">
        <v>2063</v>
      </c>
      <c r="AF573" s="1326" t="s">
        <v>2064</v>
      </c>
      <c r="AG573" s="1410"/>
      <c r="AH573" s="1683">
        <v>4091.47</v>
      </c>
      <c r="AI573" s="1683">
        <v>2528.58</v>
      </c>
      <c r="AJ573" s="1683">
        <v>2528.58</v>
      </c>
      <c r="AK573" s="1683">
        <v>2323.56</v>
      </c>
      <c r="AL573" s="1683">
        <v>205.02</v>
      </c>
      <c r="AM573" s="1685">
        <v>43461</v>
      </c>
      <c r="AN573" s="1683">
        <v>4091.47</v>
      </c>
      <c r="AO573" s="1683">
        <v>2528.58</v>
      </c>
      <c r="AP573" s="1683">
        <v>2528.58</v>
      </c>
      <c r="AQ573" s="1683">
        <v>2323.56</v>
      </c>
      <c r="AR573" s="1683">
        <v>205.02</v>
      </c>
      <c r="AS573" s="1683">
        <v>1562.89</v>
      </c>
      <c r="AT573" s="1683">
        <v>0</v>
      </c>
      <c r="AU573" s="1683">
        <v>0</v>
      </c>
      <c r="AV573" s="1683">
        <v>0</v>
      </c>
      <c r="AW573" s="1683">
        <v>1562.89</v>
      </c>
      <c r="AX573" s="1400"/>
      <c r="AY573" s="1400"/>
      <c r="AZ573" s="1400"/>
      <c r="BA573" s="1682"/>
      <c r="BB573" s="1682"/>
      <c r="BC573" s="1400"/>
      <c r="BD573" s="1400"/>
      <c r="BE573" s="1683">
        <v>4091.47</v>
      </c>
      <c r="BF573" s="1683">
        <v>2528.58</v>
      </c>
      <c r="BG573" s="1683">
        <v>2528.58</v>
      </c>
      <c r="BH573" s="1683">
        <v>2323.56</v>
      </c>
      <c r="BI573" s="1683">
        <v>205.02</v>
      </c>
      <c r="BJ573" s="1683">
        <v>1562.89</v>
      </c>
      <c r="BK573" s="1683">
        <v>0</v>
      </c>
      <c r="BL573" s="1683">
        <v>0</v>
      </c>
      <c r="BM573" s="1683">
        <v>0</v>
      </c>
      <c r="BN573" s="1683">
        <v>1562.89</v>
      </c>
      <c r="BO573" s="1682"/>
      <c r="BP573" s="1683">
        <v>0</v>
      </c>
      <c r="BQ573" s="1683">
        <v>0</v>
      </c>
      <c r="BR573" s="1683">
        <v>0</v>
      </c>
      <c r="BS573" s="1683">
        <v>0</v>
      </c>
      <c r="BT573" s="1683">
        <v>0</v>
      </c>
      <c r="BU573" s="1683">
        <v>0</v>
      </c>
      <c r="BV573" s="1683">
        <v>0</v>
      </c>
      <c r="BW573" s="1683">
        <v>0</v>
      </c>
      <c r="BX573" s="1683">
        <v>0</v>
      </c>
      <c r="BY573" s="1683">
        <v>0</v>
      </c>
      <c r="BZ573" s="1683">
        <v>0</v>
      </c>
      <c r="CA573" s="1400"/>
      <c r="CB573" s="1682"/>
      <c r="CC573" s="1682"/>
      <c r="CD573" s="1400"/>
      <c r="CE573" s="1400"/>
      <c r="CF573" s="1683">
        <v>0</v>
      </c>
      <c r="CG573" s="1683">
        <v>0</v>
      </c>
      <c r="CH573" s="1683">
        <v>0</v>
      </c>
      <c r="CI573" s="1683">
        <v>0</v>
      </c>
      <c r="CJ573" s="1683">
        <v>0</v>
      </c>
      <c r="CK573" s="1683">
        <v>0</v>
      </c>
      <c r="CL573" s="1682"/>
      <c r="CM573" s="1683">
        <v>0</v>
      </c>
      <c r="CN573" s="1683">
        <v>0</v>
      </c>
      <c r="CO573" s="1683">
        <v>0</v>
      </c>
      <c r="CP573" s="1683">
        <v>0</v>
      </c>
      <c r="CQ573" s="1683">
        <v>0</v>
      </c>
      <c r="CR573" s="1683">
        <v>0</v>
      </c>
      <c r="CS573" s="1683">
        <v>0</v>
      </c>
      <c r="CT573" s="1683">
        <v>0</v>
      </c>
      <c r="CU573" s="1683">
        <v>0</v>
      </c>
      <c r="CV573" s="1683">
        <v>0</v>
      </c>
      <c r="CW573" s="1682"/>
      <c r="CX573" s="1400"/>
      <c r="CY573" s="1400"/>
      <c r="CZ573" s="1400"/>
      <c r="DA573" s="1400"/>
      <c r="DB573" s="1682"/>
      <c r="DC573" s="1326"/>
      <c r="DD573" s="1683">
        <v>0</v>
      </c>
      <c r="DE573" s="1400"/>
      <c r="DF573" s="1400"/>
      <c r="DG573" s="1683">
        <v>541.84</v>
      </c>
      <c r="DH573" s="1683">
        <v>0</v>
      </c>
    </row>
    <row r="574" spans="1:112" ht="22.5">
      <c r="A574" s="1326" t="s">
        <v>3894</v>
      </c>
      <c r="B574" s="1326" t="s">
        <v>1702</v>
      </c>
      <c r="C574" s="1326" t="s">
        <v>2576</v>
      </c>
      <c r="D574" s="1326" t="s">
        <v>2577</v>
      </c>
      <c r="E574" s="1326" t="s">
        <v>2395</v>
      </c>
      <c r="F574" s="1326" t="s">
        <v>2563</v>
      </c>
      <c r="G574" s="1326" t="s">
        <v>2572</v>
      </c>
      <c r="H574" s="1326" t="s">
        <v>2573</v>
      </c>
      <c r="I574" s="1326" t="s">
        <v>2421</v>
      </c>
      <c r="J574" s="1326" t="s">
        <v>2422</v>
      </c>
      <c r="K574" s="1326" t="s">
        <v>2423</v>
      </c>
      <c r="L574" s="1326" t="s">
        <v>2061</v>
      </c>
      <c r="M574" s="1400"/>
      <c r="N574" s="1400"/>
      <c r="O574" s="1400"/>
      <c r="P574" s="1400"/>
      <c r="Q574" s="1400"/>
      <c r="R574" s="1400"/>
      <c r="S574" s="1400"/>
      <c r="T574" s="1400"/>
      <c r="U574" s="1400"/>
      <c r="V574" s="1400"/>
      <c r="W574" s="1400"/>
      <c r="X574" s="1400"/>
      <c r="Y574" s="1685">
        <v>43525</v>
      </c>
      <c r="Z574" s="1326" t="s">
        <v>2062</v>
      </c>
      <c r="AA574" s="1683">
        <v>0</v>
      </c>
      <c r="AB574" s="1683">
        <v>0</v>
      </c>
      <c r="AC574" s="1683">
        <v>0</v>
      </c>
      <c r="AD574" s="1685">
        <v>43549</v>
      </c>
      <c r="AE574" s="1326" t="s">
        <v>2066</v>
      </c>
      <c r="AF574" s="1326" t="s">
        <v>2064</v>
      </c>
      <c r="AG574" s="1410"/>
      <c r="AH574" s="1683">
        <v>1815.36</v>
      </c>
      <c r="AI574" s="1683">
        <v>1121.9100000000001</v>
      </c>
      <c r="AJ574" s="1683">
        <v>1121.9000000000001</v>
      </c>
      <c r="AK574" s="1683">
        <v>1030.94</v>
      </c>
      <c r="AL574" s="1683">
        <v>90.96</v>
      </c>
      <c r="AM574" s="1685">
        <v>43549</v>
      </c>
      <c r="AN574" s="1683">
        <v>1815.36</v>
      </c>
      <c r="AO574" s="1683">
        <v>1121.9000000000001</v>
      </c>
      <c r="AP574" s="1683">
        <v>1121.9000000000001</v>
      </c>
      <c r="AQ574" s="1683">
        <v>1030.94</v>
      </c>
      <c r="AR574" s="1683">
        <v>90.96</v>
      </c>
      <c r="AS574" s="1683">
        <v>693.46</v>
      </c>
      <c r="AT574" s="1683">
        <v>0</v>
      </c>
      <c r="AU574" s="1683">
        <v>0</v>
      </c>
      <c r="AV574" s="1683">
        <v>0</v>
      </c>
      <c r="AW574" s="1683">
        <v>693.46</v>
      </c>
      <c r="AX574" s="1400"/>
      <c r="AY574" s="1400"/>
      <c r="AZ574" s="1400"/>
      <c r="BA574" s="1682"/>
      <c r="BB574" s="1682"/>
      <c r="BC574" s="1400"/>
      <c r="BD574" s="1400"/>
      <c r="BE574" s="1683">
        <v>1815.36</v>
      </c>
      <c r="BF574" s="1683">
        <v>1121.9000000000001</v>
      </c>
      <c r="BG574" s="1683">
        <v>1121.9000000000001</v>
      </c>
      <c r="BH574" s="1683">
        <v>1030.94</v>
      </c>
      <c r="BI574" s="1683">
        <v>90.96</v>
      </c>
      <c r="BJ574" s="1683">
        <v>693.46</v>
      </c>
      <c r="BK574" s="1683">
        <v>0</v>
      </c>
      <c r="BL574" s="1683">
        <v>0</v>
      </c>
      <c r="BM574" s="1683">
        <v>0</v>
      </c>
      <c r="BN574" s="1683">
        <v>693.46</v>
      </c>
      <c r="BO574" s="1682"/>
      <c r="BP574" s="1683">
        <v>0</v>
      </c>
      <c r="BQ574" s="1683">
        <v>0</v>
      </c>
      <c r="BR574" s="1683">
        <v>0</v>
      </c>
      <c r="BS574" s="1683">
        <v>0</v>
      </c>
      <c r="BT574" s="1683">
        <v>0</v>
      </c>
      <c r="BU574" s="1683">
        <v>0</v>
      </c>
      <c r="BV574" s="1683">
        <v>0</v>
      </c>
      <c r="BW574" s="1683">
        <v>0</v>
      </c>
      <c r="BX574" s="1683">
        <v>0</v>
      </c>
      <c r="BY574" s="1683">
        <v>0</v>
      </c>
      <c r="BZ574" s="1400"/>
      <c r="CA574" s="1400"/>
      <c r="CB574" s="1682"/>
      <c r="CC574" s="1682"/>
      <c r="CD574" s="1400"/>
      <c r="CE574" s="1400"/>
      <c r="CF574" s="1683">
        <v>0</v>
      </c>
      <c r="CG574" s="1683">
        <v>0</v>
      </c>
      <c r="CH574" s="1683">
        <v>0</v>
      </c>
      <c r="CI574" s="1683">
        <v>0</v>
      </c>
      <c r="CJ574" s="1683">
        <v>0</v>
      </c>
      <c r="CK574" s="1683">
        <v>0</v>
      </c>
      <c r="CL574" s="1682"/>
      <c r="CM574" s="1683">
        <v>0</v>
      </c>
      <c r="CN574" s="1683">
        <v>0</v>
      </c>
      <c r="CO574" s="1683">
        <v>0</v>
      </c>
      <c r="CP574" s="1683">
        <v>0</v>
      </c>
      <c r="CQ574" s="1683">
        <v>0</v>
      </c>
      <c r="CR574" s="1683">
        <v>0</v>
      </c>
      <c r="CS574" s="1683">
        <v>0</v>
      </c>
      <c r="CT574" s="1683">
        <v>0</v>
      </c>
      <c r="CU574" s="1683">
        <v>0</v>
      </c>
      <c r="CV574" s="1683">
        <v>0</v>
      </c>
      <c r="CW574" s="1682"/>
      <c r="CX574" s="1400"/>
      <c r="CY574" s="1400"/>
      <c r="CZ574" s="1400"/>
      <c r="DA574" s="1400"/>
      <c r="DB574" s="1682"/>
      <c r="DC574" s="1326"/>
      <c r="DD574" s="1683">
        <v>0</v>
      </c>
      <c r="DE574" s="1400"/>
      <c r="DF574" s="1400"/>
      <c r="DG574" s="1683">
        <v>799</v>
      </c>
      <c r="DH574" s="1683">
        <v>0</v>
      </c>
    </row>
    <row r="575" spans="1:112" ht="33.75">
      <c r="A575" s="1326" t="s">
        <v>3895</v>
      </c>
      <c r="B575" s="1326" t="s">
        <v>1702</v>
      </c>
      <c r="C575" s="1326" t="s">
        <v>2576</v>
      </c>
      <c r="D575" s="1326" t="s">
        <v>2577</v>
      </c>
      <c r="E575" s="1326" t="s">
        <v>2395</v>
      </c>
      <c r="F575" s="1326" t="s">
        <v>2563</v>
      </c>
      <c r="G575" s="1326" t="s">
        <v>2572</v>
      </c>
      <c r="H575" s="1326" t="s">
        <v>2573</v>
      </c>
      <c r="I575" s="1326" t="s">
        <v>2426</v>
      </c>
      <c r="J575" s="1326" t="s">
        <v>2427</v>
      </c>
      <c r="K575" s="1326" t="s">
        <v>2428</v>
      </c>
      <c r="L575" s="1326" t="s">
        <v>2061</v>
      </c>
      <c r="M575" s="1683">
        <v>39491.67</v>
      </c>
      <c r="N575" s="1683">
        <v>0</v>
      </c>
      <c r="O575" s="1683">
        <v>39491.67</v>
      </c>
      <c r="P575" s="1683">
        <v>27238.5</v>
      </c>
      <c r="Q575" s="1683">
        <v>27238.5</v>
      </c>
      <c r="R575" s="1683">
        <v>25029.97</v>
      </c>
      <c r="S575" s="1683">
        <v>2208.5300000000002</v>
      </c>
      <c r="T575" s="1683">
        <v>12253.17</v>
      </c>
      <c r="U575" s="1683">
        <v>0</v>
      </c>
      <c r="V575" s="1683">
        <v>0</v>
      </c>
      <c r="W575" s="1683">
        <v>0</v>
      </c>
      <c r="X575" s="1683">
        <v>12253.17</v>
      </c>
      <c r="Y575" s="1682"/>
      <c r="Z575" s="1326"/>
      <c r="AA575" s="1683">
        <v>8171.55</v>
      </c>
      <c r="AB575" s="1683">
        <v>7508.99</v>
      </c>
      <c r="AC575" s="1683">
        <v>662.56</v>
      </c>
      <c r="AD575" s="1682"/>
      <c r="AE575" s="1326"/>
      <c r="AF575" s="1326"/>
      <c r="AG575" s="1410"/>
      <c r="AH575" s="1683">
        <v>14798.4</v>
      </c>
      <c r="AI575" s="1683">
        <v>18378.41</v>
      </c>
      <c r="AJ575" s="1683">
        <v>10206.86</v>
      </c>
      <c r="AK575" s="1683">
        <v>9379.2800000000007</v>
      </c>
      <c r="AL575" s="1683">
        <v>827.58</v>
      </c>
      <c r="AM575" s="1682"/>
      <c r="AN575" s="1683">
        <v>14798.4</v>
      </c>
      <c r="AO575" s="1683">
        <v>10206.86</v>
      </c>
      <c r="AP575" s="1683">
        <v>10206.86</v>
      </c>
      <c r="AQ575" s="1683">
        <v>9379.2800000000007</v>
      </c>
      <c r="AR575" s="1683">
        <v>827.58</v>
      </c>
      <c r="AS575" s="1683">
        <v>4591.54</v>
      </c>
      <c r="AT575" s="1683">
        <v>0</v>
      </c>
      <c r="AU575" s="1683">
        <v>0</v>
      </c>
      <c r="AV575" s="1683">
        <v>0</v>
      </c>
      <c r="AW575" s="1683">
        <v>4591.54</v>
      </c>
      <c r="AX575" s="1683">
        <v>0</v>
      </c>
      <c r="AY575" s="1683">
        <v>0</v>
      </c>
      <c r="AZ575" s="1683">
        <v>0</v>
      </c>
      <c r="BA575" s="1682"/>
      <c r="BB575" s="1682"/>
      <c r="BC575" s="1683">
        <v>0</v>
      </c>
      <c r="BD575" s="1683">
        <v>0</v>
      </c>
      <c r="BE575" s="1683">
        <v>14798.4</v>
      </c>
      <c r="BF575" s="1683">
        <v>10206.86</v>
      </c>
      <c r="BG575" s="1683">
        <v>10206.86</v>
      </c>
      <c r="BH575" s="1683">
        <v>9379.2800000000007</v>
      </c>
      <c r="BI575" s="1683">
        <v>827.58</v>
      </c>
      <c r="BJ575" s="1683">
        <v>4591.54</v>
      </c>
      <c r="BK575" s="1683">
        <v>0</v>
      </c>
      <c r="BL575" s="1683">
        <v>0</v>
      </c>
      <c r="BM575" s="1683">
        <v>0</v>
      </c>
      <c r="BN575" s="1683">
        <v>4591.54</v>
      </c>
      <c r="BO575" s="1682"/>
      <c r="BP575" s="1683">
        <v>0</v>
      </c>
      <c r="BQ575" s="1683">
        <v>0</v>
      </c>
      <c r="BR575" s="1683">
        <v>0</v>
      </c>
      <c r="BS575" s="1683">
        <v>0</v>
      </c>
      <c r="BT575" s="1683">
        <v>0</v>
      </c>
      <c r="BU575" s="1683">
        <v>0</v>
      </c>
      <c r="BV575" s="1683">
        <v>0</v>
      </c>
      <c r="BW575" s="1683">
        <v>0</v>
      </c>
      <c r="BX575" s="1683">
        <v>0</v>
      </c>
      <c r="BY575" s="1683">
        <v>0</v>
      </c>
      <c r="BZ575" s="1683">
        <v>0</v>
      </c>
      <c r="CA575" s="1683">
        <v>0</v>
      </c>
      <c r="CB575" s="1682"/>
      <c r="CC575" s="1682"/>
      <c r="CD575" s="1683">
        <v>0</v>
      </c>
      <c r="CE575" s="1683">
        <v>0</v>
      </c>
      <c r="CF575" s="1683">
        <v>0</v>
      </c>
      <c r="CG575" s="1683">
        <v>0</v>
      </c>
      <c r="CH575" s="1683">
        <v>0</v>
      </c>
      <c r="CI575" s="1683">
        <v>0</v>
      </c>
      <c r="CJ575" s="1683">
        <v>0</v>
      </c>
      <c r="CK575" s="1683">
        <v>0</v>
      </c>
      <c r="CL575" s="1682"/>
      <c r="CM575" s="1683">
        <v>0</v>
      </c>
      <c r="CN575" s="1683">
        <v>0</v>
      </c>
      <c r="CO575" s="1683">
        <v>0</v>
      </c>
      <c r="CP575" s="1683">
        <v>0</v>
      </c>
      <c r="CQ575" s="1683">
        <v>0</v>
      </c>
      <c r="CR575" s="1683">
        <v>0</v>
      </c>
      <c r="CS575" s="1683">
        <v>0</v>
      </c>
      <c r="CT575" s="1683">
        <v>0</v>
      </c>
      <c r="CU575" s="1683">
        <v>0</v>
      </c>
      <c r="CV575" s="1683">
        <v>0</v>
      </c>
      <c r="CW575" s="1682"/>
      <c r="CX575" s="1683">
        <v>0</v>
      </c>
      <c r="CY575" s="1683">
        <v>0</v>
      </c>
      <c r="CZ575" s="1683">
        <v>0</v>
      </c>
      <c r="DA575" s="1683">
        <v>0</v>
      </c>
      <c r="DB575" s="1682"/>
      <c r="DC575" s="1326"/>
      <c r="DD575" s="1683">
        <v>0</v>
      </c>
      <c r="DE575" s="1683">
        <v>0</v>
      </c>
      <c r="DF575" s="1683">
        <v>0</v>
      </c>
      <c r="DG575" s="1683">
        <v>0</v>
      </c>
      <c r="DH575" s="1683">
        <v>0</v>
      </c>
    </row>
    <row r="576" spans="1:112" ht="33.75">
      <c r="A576" s="1326" t="s">
        <v>3896</v>
      </c>
      <c r="B576" s="1326" t="s">
        <v>1702</v>
      </c>
      <c r="C576" s="1326" t="s">
        <v>2576</v>
      </c>
      <c r="D576" s="1326" t="s">
        <v>2577</v>
      </c>
      <c r="E576" s="1326" t="s">
        <v>2395</v>
      </c>
      <c r="F576" s="1326" t="s">
        <v>2563</v>
      </c>
      <c r="G576" s="1326" t="s">
        <v>2572</v>
      </c>
      <c r="H576" s="1326" t="s">
        <v>2573</v>
      </c>
      <c r="I576" s="1326" t="s">
        <v>2426</v>
      </c>
      <c r="J576" s="1326" t="s">
        <v>2427</v>
      </c>
      <c r="K576" s="1326" t="s">
        <v>2428</v>
      </c>
      <c r="L576" s="1326" t="s">
        <v>2061</v>
      </c>
      <c r="M576" s="1400"/>
      <c r="N576" s="1400"/>
      <c r="O576" s="1400"/>
      <c r="P576" s="1400"/>
      <c r="Q576" s="1400"/>
      <c r="R576" s="1400"/>
      <c r="S576" s="1400"/>
      <c r="T576" s="1400"/>
      <c r="U576" s="1400"/>
      <c r="V576" s="1400"/>
      <c r="W576" s="1400"/>
      <c r="X576" s="1400"/>
      <c r="Y576" s="1685">
        <v>43370</v>
      </c>
      <c r="Z576" s="1326" t="s">
        <v>2096</v>
      </c>
      <c r="AA576" s="1683">
        <v>0</v>
      </c>
      <c r="AB576" s="1683">
        <v>0</v>
      </c>
      <c r="AC576" s="1683">
        <v>0</v>
      </c>
      <c r="AD576" s="1685">
        <v>43388</v>
      </c>
      <c r="AE576" s="1326" t="s">
        <v>2073</v>
      </c>
      <c r="AF576" s="1326" t="s">
        <v>2064</v>
      </c>
      <c r="AG576" s="1410"/>
      <c r="AH576" s="1683">
        <v>0</v>
      </c>
      <c r="AI576" s="1683">
        <v>8171.55</v>
      </c>
      <c r="AJ576" s="1683">
        <v>8171.55</v>
      </c>
      <c r="AK576" s="1683">
        <v>7508.99</v>
      </c>
      <c r="AL576" s="1683">
        <v>662.56</v>
      </c>
      <c r="AM576" s="1682"/>
      <c r="AN576" s="1683">
        <v>0</v>
      </c>
      <c r="AO576" s="1683">
        <v>0</v>
      </c>
      <c r="AP576" s="1683">
        <v>0</v>
      </c>
      <c r="AQ576" s="1683">
        <v>0</v>
      </c>
      <c r="AR576" s="1683">
        <v>0</v>
      </c>
      <c r="AS576" s="1683">
        <v>0</v>
      </c>
      <c r="AT576" s="1683">
        <v>0</v>
      </c>
      <c r="AU576" s="1683">
        <v>0</v>
      </c>
      <c r="AV576" s="1683">
        <v>0</v>
      </c>
      <c r="AW576" s="1683">
        <v>0</v>
      </c>
      <c r="AX576" s="1400"/>
      <c r="AY576" s="1400"/>
      <c r="AZ576" s="1400"/>
      <c r="BA576" s="1682"/>
      <c r="BB576" s="1682"/>
      <c r="BC576" s="1400"/>
      <c r="BD576" s="1400"/>
      <c r="BE576" s="1683">
        <v>0</v>
      </c>
      <c r="BF576" s="1683">
        <v>0</v>
      </c>
      <c r="BG576" s="1683">
        <v>0</v>
      </c>
      <c r="BH576" s="1683">
        <v>0</v>
      </c>
      <c r="BI576" s="1683">
        <v>0</v>
      </c>
      <c r="BJ576" s="1683">
        <v>0</v>
      </c>
      <c r="BK576" s="1683">
        <v>0</v>
      </c>
      <c r="BL576" s="1683">
        <v>0</v>
      </c>
      <c r="BM576" s="1683">
        <v>0</v>
      </c>
      <c r="BN576" s="1683">
        <v>0</v>
      </c>
      <c r="BO576" s="1682"/>
      <c r="BP576" s="1683">
        <v>0</v>
      </c>
      <c r="BQ576" s="1683">
        <v>0</v>
      </c>
      <c r="BR576" s="1683">
        <v>0</v>
      </c>
      <c r="BS576" s="1683">
        <v>0</v>
      </c>
      <c r="BT576" s="1683">
        <v>0</v>
      </c>
      <c r="BU576" s="1683">
        <v>0</v>
      </c>
      <c r="BV576" s="1683">
        <v>0</v>
      </c>
      <c r="BW576" s="1683">
        <v>0</v>
      </c>
      <c r="BX576" s="1683">
        <v>0</v>
      </c>
      <c r="BY576" s="1683">
        <v>0</v>
      </c>
      <c r="BZ576" s="1400"/>
      <c r="CA576" s="1400"/>
      <c r="CB576" s="1682"/>
      <c r="CC576" s="1682"/>
      <c r="CD576" s="1400"/>
      <c r="CE576" s="1400"/>
      <c r="CF576" s="1683">
        <v>0</v>
      </c>
      <c r="CG576" s="1683">
        <v>0</v>
      </c>
      <c r="CH576" s="1683">
        <v>0</v>
      </c>
      <c r="CI576" s="1683">
        <v>0</v>
      </c>
      <c r="CJ576" s="1683">
        <v>0</v>
      </c>
      <c r="CK576" s="1683">
        <v>0</v>
      </c>
      <c r="CL576" s="1682"/>
      <c r="CM576" s="1683">
        <v>0</v>
      </c>
      <c r="CN576" s="1683">
        <v>0</v>
      </c>
      <c r="CO576" s="1683">
        <v>0</v>
      </c>
      <c r="CP576" s="1683">
        <v>0</v>
      </c>
      <c r="CQ576" s="1683">
        <v>0</v>
      </c>
      <c r="CR576" s="1683">
        <v>0</v>
      </c>
      <c r="CS576" s="1683">
        <v>0</v>
      </c>
      <c r="CT576" s="1683">
        <v>0</v>
      </c>
      <c r="CU576" s="1683">
        <v>0</v>
      </c>
      <c r="CV576" s="1683">
        <v>0</v>
      </c>
      <c r="CW576" s="1682"/>
      <c r="CX576" s="1400"/>
      <c r="CY576" s="1400"/>
      <c r="CZ576" s="1400"/>
      <c r="DA576" s="1400"/>
      <c r="DB576" s="1682"/>
      <c r="DC576" s="1326"/>
      <c r="DD576" s="1683">
        <v>0</v>
      </c>
      <c r="DE576" s="1400"/>
      <c r="DF576" s="1400"/>
      <c r="DG576" s="1683">
        <v>0</v>
      </c>
      <c r="DH576" s="1683">
        <v>0</v>
      </c>
    </row>
    <row r="577" spans="1:112" ht="33.75">
      <c r="A577" s="1326" t="s">
        <v>3897</v>
      </c>
      <c r="B577" s="1326" t="s">
        <v>1702</v>
      </c>
      <c r="C577" s="1326" t="s">
        <v>2576</v>
      </c>
      <c r="D577" s="1326" t="s">
        <v>2577</v>
      </c>
      <c r="E577" s="1326" t="s">
        <v>2395</v>
      </c>
      <c r="F577" s="1326" t="s">
        <v>2563</v>
      </c>
      <c r="G577" s="1326" t="s">
        <v>2572</v>
      </c>
      <c r="H577" s="1326" t="s">
        <v>2573</v>
      </c>
      <c r="I577" s="1326" t="s">
        <v>2426</v>
      </c>
      <c r="J577" s="1326" t="s">
        <v>2427</v>
      </c>
      <c r="K577" s="1326" t="s">
        <v>2428</v>
      </c>
      <c r="L577" s="1326" t="s">
        <v>2061</v>
      </c>
      <c r="M577" s="1400"/>
      <c r="N577" s="1400"/>
      <c r="O577" s="1400"/>
      <c r="P577" s="1400"/>
      <c r="Q577" s="1400"/>
      <c r="R577" s="1400"/>
      <c r="S577" s="1400"/>
      <c r="T577" s="1400"/>
      <c r="U577" s="1400"/>
      <c r="V577" s="1400"/>
      <c r="W577" s="1400"/>
      <c r="X577" s="1400"/>
      <c r="Y577" s="1685">
        <v>43434</v>
      </c>
      <c r="Z577" s="1326" t="s">
        <v>2062</v>
      </c>
      <c r="AA577" s="1683">
        <v>1701.14</v>
      </c>
      <c r="AB577" s="1683">
        <v>1563.21</v>
      </c>
      <c r="AC577" s="1683">
        <v>137.93</v>
      </c>
      <c r="AD577" s="1685">
        <v>43448</v>
      </c>
      <c r="AE577" s="1326" t="s">
        <v>2063</v>
      </c>
      <c r="AF577" s="1326" t="s">
        <v>2064</v>
      </c>
      <c r="AG577" s="1410"/>
      <c r="AH577" s="1683">
        <v>2466.4</v>
      </c>
      <c r="AI577" s="1683">
        <v>1701.14</v>
      </c>
      <c r="AJ577" s="1683">
        <v>0</v>
      </c>
      <c r="AK577" s="1683">
        <v>0</v>
      </c>
      <c r="AL577" s="1683">
        <v>0</v>
      </c>
      <c r="AM577" s="1685">
        <v>43448</v>
      </c>
      <c r="AN577" s="1683">
        <v>2466.4</v>
      </c>
      <c r="AO577" s="1683">
        <v>1701.14</v>
      </c>
      <c r="AP577" s="1683">
        <v>1701.14</v>
      </c>
      <c r="AQ577" s="1683">
        <v>1563.21</v>
      </c>
      <c r="AR577" s="1683">
        <v>137.93</v>
      </c>
      <c r="AS577" s="1683">
        <v>765.26</v>
      </c>
      <c r="AT577" s="1683">
        <v>0</v>
      </c>
      <c r="AU577" s="1683">
        <v>0</v>
      </c>
      <c r="AV577" s="1683">
        <v>0</v>
      </c>
      <c r="AW577" s="1683">
        <v>765.26</v>
      </c>
      <c r="AX577" s="1400"/>
      <c r="AY577" s="1400"/>
      <c r="AZ577" s="1400"/>
      <c r="BA577" s="1682"/>
      <c r="BB577" s="1682"/>
      <c r="BC577" s="1400"/>
      <c r="BD577" s="1400"/>
      <c r="BE577" s="1683">
        <v>2466.4</v>
      </c>
      <c r="BF577" s="1683">
        <v>1701.14</v>
      </c>
      <c r="BG577" s="1683">
        <v>1701.14</v>
      </c>
      <c r="BH577" s="1683">
        <v>1563.21</v>
      </c>
      <c r="BI577" s="1683">
        <v>137.93</v>
      </c>
      <c r="BJ577" s="1683">
        <v>765.26</v>
      </c>
      <c r="BK577" s="1683">
        <v>0</v>
      </c>
      <c r="BL577" s="1683">
        <v>0</v>
      </c>
      <c r="BM577" s="1683">
        <v>0</v>
      </c>
      <c r="BN577" s="1683">
        <v>765.26</v>
      </c>
      <c r="BO577" s="1682"/>
      <c r="BP577" s="1683">
        <v>0</v>
      </c>
      <c r="BQ577" s="1683">
        <v>0</v>
      </c>
      <c r="BR577" s="1683">
        <v>0</v>
      </c>
      <c r="BS577" s="1683">
        <v>0</v>
      </c>
      <c r="BT577" s="1683">
        <v>0</v>
      </c>
      <c r="BU577" s="1683">
        <v>0</v>
      </c>
      <c r="BV577" s="1683">
        <v>0</v>
      </c>
      <c r="BW577" s="1683">
        <v>0</v>
      </c>
      <c r="BX577" s="1683">
        <v>0</v>
      </c>
      <c r="BY577" s="1683">
        <v>0</v>
      </c>
      <c r="BZ577" s="1683">
        <v>0</v>
      </c>
      <c r="CA577" s="1400"/>
      <c r="CB577" s="1682"/>
      <c r="CC577" s="1682"/>
      <c r="CD577" s="1400"/>
      <c r="CE577" s="1400"/>
      <c r="CF577" s="1683">
        <v>0</v>
      </c>
      <c r="CG577" s="1683">
        <v>0</v>
      </c>
      <c r="CH577" s="1683">
        <v>0</v>
      </c>
      <c r="CI577" s="1683">
        <v>0</v>
      </c>
      <c r="CJ577" s="1683">
        <v>0</v>
      </c>
      <c r="CK577" s="1683">
        <v>0</v>
      </c>
      <c r="CL577" s="1682"/>
      <c r="CM577" s="1683">
        <v>0</v>
      </c>
      <c r="CN577" s="1683">
        <v>0</v>
      </c>
      <c r="CO577" s="1683">
        <v>0</v>
      </c>
      <c r="CP577" s="1683">
        <v>0</v>
      </c>
      <c r="CQ577" s="1683">
        <v>0</v>
      </c>
      <c r="CR577" s="1683">
        <v>0</v>
      </c>
      <c r="CS577" s="1683">
        <v>0</v>
      </c>
      <c r="CT577" s="1683">
        <v>0</v>
      </c>
      <c r="CU577" s="1683">
        <v>0</v>
      </c>
      <c r="CV577" s="1683">
        <v>0</v>
      </c>
      <c r="CW577" s="1682"/>
      <c r="CX577" s="1400"/>
      <c r="CY577" s="1400"/>
      <c r="CZ577" s="1400"/>
      <c r="DA577" s="1400"/>
      <c r="DB577" s="1682"/>
      <c r="DC577" s="1326"/>
      <c r="DD577" s="1683">
        <v>0</v>
      </c>
      <c r="DE577" s="1400"/>
      <c r="DF577" s="1400"/>
      <c r="DG577" s="1683">
        <v>0</v>
      </c>
      <c r="DH577" s="1683">
        <v>0</v>
      </c>
    </row>
    <row r="578" spans="1:112" ht="33.75">
      <c r="A578" s="1326" t="s">
        <v>3898</v>
      </c>
      <c r="B578" s="1326" t="s">
        <v>1702</v>
      </c>
      <c r="C578" s="1326" t="s">
        <v>2576</v>
      </c>
      <c r="D578" s="1326" t="s">
        <v>2577</v>
      </c>
      <c r="E578" s="1326" t="s">
        <v>2395</v>
      </c>
      <c r="F578" s="1326" t="s">
        <v>2563</v>
      </c>
      <c r="G578" s="1326" t="s">
        <v>2572</v>
      </c>
      <c r="H578" s="1326" t="s">
        <v>2573</v>
      </c>
      <c r="I578" s="1326" t="s">
        <v>2426</v>
      </c>
      <c r="J578" s="1326" t="s">
        <v>2427</v>
      </c>
      <c r="K578" s="1326" t="s">
        <v>2428</v>
      </c>
      <c r="L578" s="1326" t="s">
        <v>2061</v>
      </c>
      <c r="M578" s="1400"/>
      <c r="N578" s="1400"/>
      <c r="O578" s="1400"/>
      <c r="P578" s="1400"/>
      <c r="Q578" s="1400"/>
      <c r="R578" s="1400"/>
      <c r="S578" s="1400"/>
      <c r="T578" s="1400"/>
      <c r="U578" s="1400"/>
      <c r="V578" s="1400"/>
      <c r="W578" s="1400"/>
      <c r="X578" s="1400"/>
      <c r="Y578" s="1685">
        <v>43525</v>
      </c>
      <c r="Z578" s="1326" t="s">
        <v>2062</v>
      </c>
      <c r="AA578" s="1683">
        <v>6470.41</v>
      </c>
      <c r="AB578" s="1683">
        <v>5945.78</v>
      </c>
      <c r="AC578" s="1683">
        <v>524.63</v>
      </c>
      <c r="AD578" s="1685">
        <v>43549</v>
      </c>
      <c r="AE578" s="1326" t="s">
        <v>2066</v>
      </c>
      <c r="AF578" s="1326" t="s">
        <v>2064</v>
      </c>
      <c r="AG578" s="1410"/>
      <c r="AH578" s="1683">
        <v>12332</v>
      </c>
      <c r="AI578" s="1683">
        <v>8505.7199999999993</v>
      </c>
      <c r="AJ578" s="1683">
        <v>2035.31</v>
      </c>
      <c r="AK578" s="1683">
        <v>1870.29</v>
      </c>
      <c r="AL578" s="1683">
        <v>165.02</v>
      </c>
      <c r="AM578" s="1685">
        <v>43549</v>
      </c>
      <c r="AN578" s="1683">
        <v>12332</v>
      </c>
      <c r="AO578" s="1683">
        <v>8505.7199999999993</v>
      </c>
      <c r="AP578" s="1683">
        <v>8505.7199999999993</v>
      </c>
      <c r="AQ578" s="1683">
        <v>7816.07</v>
      </c>
      <c r="AR578" s="1683">
        <v>689.65</v>
      </c>
      <c r="AS578" s="1683">
        <v>3826.28</v>
      </c>
      <c r="AT578" s="1683">
        <v>0</v>
      </c>
      <c r="AU578" s="1683">
        <v>0</v>
      </c>
      <c r="AV578" s="1683">
        <v>0</v>
      </c>
      <c r="AW578" s="1683">
        <v>3826.28</v>
      </c>
      <c r="AX578" s="1400"/>
      <c r="AY578" s="1400"/>
      <c r="AZ578" s="1400"/>
      <c r="BA578" s="1682"/>
      <c r="BB578" s="1682"/>
      <c r="BC578" s="1400"/>
      <c r="BD578" s="1400"/>
      <c r="BE578" s="1683">
        <v>12332</v>
      </c>
      <c r="BF578" s="1683">
        <v>8505.7199999999993</v>
      </c>
      <c r="BG578" s="1683">
        <v>8505.7199999999993</v>
      </c>
      <c r="BH578" s="1683">
        <v>7816.07</v>
      </c>
      <c r="BI578" s="1683">
        <v>689.65</v>
      </c>
      <c r="BJ578" s="1683">
        <v>3826.28</v>
      </c>
      <c r="BK578" s="1683">
        <v>0</v>
      </c>
      <c r="BL578" s="1683">
        <v>0</v>
      </c>
      <c r="BM578" s="1683">
        <v>0</v>
      </c>
      <c r="BN578" s="1683">
        <v>3826.28</v>
      </c>
      <c r="BO578" s="1682"/>
      <c r="BP578" s="1683">
        <v>0</v>
      </c>
      <c r="BQ578" s="1683">
        <v>0</v>
      </c>
      <c r="BR578" s="1683">
        <v>0</v>
      </c>
      <c r="BS578" s="1683">
        <v>0</v>
      </c>
      <c r="BT578" s="1683">
        <v>0</v>
      </c>
      <c r="BU578" s="1683">
        <v>0</v>
      </c>
      <c r="BV578" s="1683">
        <v>0</v>
      </c>
      <c r="BW578" s="1683">
        <v>0</v>
      </c>
      <c r="BX578" s="1683">
        <v>0</v>
      </c>
      <c r="BY578" s="1683">
        <v>0</v>
      </c>
      <c r="BZ578" s="1400"/>
      <c r="CA578" s="1400"/>
      <c r="CB578" s="1682"/>
      <c r="CC578" s="1682"/>
      <c r="CD578" s="1400"/>
      <c r="CE578" s="1400"/>
      <c r="CF578" s="1683">
        <v>0</v>
      </c>
      <c r="CG578" s="1683">
        <v>0</v>
      </c>
      <c r="CH578" s="1683">
        <v>0</v>
      </c>
      <c r="CI578" s="1683">
        <v>0</v>
      </c>
      <c r="CJ578" s="1683">
        <v>0</v>
      </c>
      <c r="CK578" s="1683">
        <v>0</v>
      </c>
      <c r="CL578" s="1682"/>
      <c r="CM578" s="1683">
        <v>0</v>
      </c>
      <c r="CN578" s="1683">
        <v>0</v>
      </c>
      <c r="CO578" s="1683">
        <v>0</v>
      </c>
      <c r="CP578" s="1683">
        <v>0</v>
      </c>
      <c r="CQ578" s="1683">
        <v>0</v>
      </c>
      <c r="CR578" s="1683">
        <v>0</v>
      </c>
      <c r="CS578" s="1683">
        <v>0</v>
      </c>
      <c r="CT578" s="1683">
        <v>0</v>
      </c>
      <c r="CU578" s="1683">
        <v>0</v>
      </c>
      <c r="CV578" s="1683">
        <v>0</v>
      </c>
      <c r="CW578" s="1682"/>
      <c r="CX578" s="1400"/>
      <c r="CY578" s="1400"/>
      <c r="CZ578" s="1400"/>
      <c r="DA578" s="1400"/>
      <c r="DB578" s="1682"/>
      <c r="DC578" s="1326"/>
      <c r="DD578" s="1683">
        <v>0</v>
      </c>
      <c r="DE578" s="1400"/>
      <c r="DF578" s="1400"/>
      <c r="DG578" s="1683">
        <v>0</v>
      </c>
      <c r="DH578" s="1683">
        <v>0</v>
      </c>
    </row>
    <row r="579" spans="1:112" ht="22.5">
      <c r="A579" s="1326" t="s">
        <v>3899</v>
      </c>
      <c r="B579" s="1326" t="s">
        <v>1702</v>
      </c>
      <c r="C579" s="1326" t="s">
        <v>2576</v>
      </c>
      <c r="D579" s="1326" t="s">
        <v>2577</v>
      </c>
      <c r="E579" s="1326" t="s">
        <v>2395</v>
      </c>
      <c r="F579" s="1326" t="s">
        <v>2563</v>
      </c>
      <c r="G579" s="1326" t="s">
        <v>2572</v>
      </c>
      <c r="H579" s="1326" t="s">
        <v>2573</v>
      </c>
      <c r="I579" s="1326" t="s">
        <v>2578</v>
      </c>
      <c r="J579" s="1326" t="s">
        <v>2579</v>
      </c>
      <c r="K579" s="1326" t="s">
        <v>2423</v>
      </c>
      <c r="L579" s="1326" t="s">
        <v>2061</v>
      </c>
      <c r="M579" s="1683">
        <v>8790.99</v>
      </c>
      <c r="N579" s="1683">
        <v>0</v>
      </c>
      <c r="O579" s="1683">
        <v>8790.99</v>
      </c>
      <c r="P579" s="1683">
        <v>6109.74</v>
      </c>
      <c r="Q579" s="1683">
        <v>6109.74</v>
      </c>
      <c r="R579" s="1683">
        <v>5614.36</v>
      </c>
      <c r="S579" s="1683">
        <v>495.38</v>
      </c>
      <c r="T579" s="1683">
        <v>2681.25</v>
      </c>
      <c r="U579" s="1683">
        <v>0</v>
      </c>
      <c r="V579" s="1683">
        <v>0</v>
      </c>
      <c r="W579" s="1683">
        <v>0</v>
      </c>
      <c r="X579" s="1683">
        <v>2681.25</v>
      </c>
      <c r="Y579" s="1682"/>
      <c r="Z579" s="1326"/>
      <c r="AA579" s="1683">
        <v>0</v>
      </c>
      <c r="AB579" s="1683">
        <v>0</v>
      </c>
      <c r="AC579" s="1683">
        <v>0</v>
      </c>
      <c r="AD579" s="1682"/>
      <c r="AE579" s="1326"/>
      <c r="AF579" s="1326"/>
      <c r="AG579" s="1410"/>
      <c r="AH579" s="1683">
        <v>1279.3800000000001</v>
      </c>
      <c r="AI579" s="1683">
        <v>2722.09</v>
      </c>
      <c r="AJ579" s="1683">
        <v>2722.09</v>
      </c>
      <c r="AK579" s="1683">
        <v>2501.39</v>
      </c>
      <c r="AL579" s="1683">
        <v>220.7</v>
      </c>
      <c r="AM579" s="1682"/>
      <c r="AN579" s="1683">
        <v>1279.3800000000001</v>
      </c>
      <c r="AO579" s="1683">
        <v>889.17</v>
      </c>
      <c r="AP579" s="1683">
        <v>889.17</v>
      </c>
      <c r="AQ579" s="1683">
        <v>817.08</v>
      </c>
      <c r="AR579" s="1683">
        <v>72.09</v>
      </c>
      <c r="AS579" s="1683">
        <v>390.21</v>
      </c>
      <c r="AT579" s="1683">
        <v>0</v>
      </c>
      <c r="AU579" s="1683">
        <v>0</v>
      </c>
      <c r="AV579" s="1683">
        <v>0</v>
      </c>
      <c r="AW579" s="1683">
        <v>390.21</v>
      </c>
      <c r="AX579" s="1683">
        <v>0</v>
      </c>
      <c r="AY579" s="1683">
        <v>0</v>
      </c>
      <c r="AZ579" s="1683">
        <v>0</v>
      </c>
      <c r="BA579" s="1682"/>
      <c r="BB579" s="1682"/>
      <c r="BC579" s="1683">
        <v>0</v>
      </c>
      <c r="BD579" s="1683">
        <v>0</v>
      </c>
      <c r="BE579" s="1683">
        <v>1279.3800000000001</v>
      </c>
      <c r="BF579" s="1683">
        <v>889.17</v>
      </c>
      <c r="BG579" s="1683">
        <v>889.17</v>
      </c>
      <c r="BH579" s="1683">
        <v>817.08</v>
      </c>
      <c r="BI579" s="1683">
        <v>72.09</v>
      </c>
      <c r="BJ579" s="1683">
        <v>390.21</v>
      </c>
      <c r="BK579" s="1683">
        <v>0</v>
      </c>
      <c r="BL579" s="1683">
        <v>0</v>
      </c>
      <c r="BM579" s="1683">
        <v>0</v>
      </c>
      <c r="BN579" s="1683">
        <v>390.21</v>
      </c>
      <c r="BO579" s="1682"/>
      <c r="BP579" s="1683">
        <v>0</v>
      </c>
      <c r="BQ579" s="1683">
        <v>0</v>
      </c>
      <c r="BR579" s="1683">
        <v>0</v>
      </c>
      <c r="BS579" s="1683">
        <v>0</v>
      </c>
      <c r="BT579" s="1683">
        <v>0</v>
      </c>
      <c r="BU579" s="1683">
        <v>0</v>
      </c>
      <c r="BV579" s="1683">
        <v>0</v>
      </c>
      <c r="BW579" s="1683">
        <v>0</v>
      </c>
      <c r="BX579" s="1683">
        <v>0</v>
      </c>
      <c r="BY579" s="1683">
        <v>0</v>
      </c>
      <c r="BZ579" s="1683">
        <v>0</v>
      </c>
      <c r="CA579" s="1683">
        <v>0</v>
      </c>
      <c r="CB579" s="1682"/>
      <c r="CC579" s="1682"/>
      <c r="CD579" s="1683">
        <v>0</v>
      </c>
      <c r="CE579" s="1683">
        <v>0</v>
      </c>
      <c r="CF579" s="1683">
        <v>0</v>
      </c>
      <c r="CG579" s="1683">
        <v>0</v>
      </c>
      <c r="CH579" s="1683">
        <v>0</v>
      </c>
      <c r="CI579" s="1683">
        <v>0</v>
      </c>
      <c r="CJ579" s="1683">
        <v>0</v>
      </c>
      <c r="CK579" s="1683">
        <v>0</v>
      </c>
      <c r="CL579" s="1682"/>
      <c r="CM579" s="1683">
        <v>0</v>
      </c>
      <c r="CN579" s="1683">
        <v>0</v>
      </c>
      <c r="CO579" s="1683">
        <v>0</v>
      </c>
      <c r="CP579" s="1683">
        <v>0</v>
      </c>
      <c r="CQ579" s="1683">
        <v>0</v>
      </c>
      <c r="CR579" s="1683">
        <v>0</v>
      </c>
      <c r="CS579" s="1683">
        <v>0</v>
      </c>
      <c r="CT579" s="1683">
        <v>0</v>
      </c>
      <c r="CU579" s="1683">
        <v>0</v>
      </c>
      <c r="CV579" s="1683">
        <v>0</v>
      </c>
      <c r="CW579" s="1682"/>
      <c r="CX579" s="1683">
        <v>0</v>
      </c>
      <c r="CY579" s="1683">
        <v>0</v>
      </c>
      <c r="CZ579" s="1683">
        <v>0</v>
      </c>
      <c r="DA579" s="1683">
        <v>0</v>
      </c>
      <c r="DB579" s="1682"/>
      <c r="DC579" s="1326"/>
      <c r="DD579" s="1683">
        <v>0</v>
      </c>
      <c r="DE579" s="1683">
        <v>0</v>
      </c>
      <c r="DF579" s="1683">
        <v>0</v>
      </c>
      <c r="DG579" s="1683">
        <v>0</v>
      </c>
      <c r="DH579" s="1683">
        <v>0</v>
      </c>
    </row>
    <row r="580" spans="1:112" ht="22.5">
      <c r="A580" s="1326" t="s">
        <v>3900</v>
      </c>
      <c r="B580" s="1326" t="s">
        <v>1702</v>
      </c>
      <c r="C580" s="1326" t="s">
        <v>2576</v>
      </c>
      <c r="D580" s="1326" t="s">
        <v>2577</v>
      </c>
      <c r="E580" s="1326" t="s">
        <v>2395</v>
      </c>
      <c r="F580" s="1326" t="s">
        <v>2563</v>
      </c>
      <c r="G580" s="1326" t="s">
        <v>2572</v>
      </c>
      <c r="H580" s="1326" t="s">
        <v>2573</v>
      </c>
      <c r="I580" s="1326" t="s">
        <v>2578</v>
      </c>
      <c r="J580" s="1326" t="s">
        <v>2579</v>
      </c>
      <c r="K580" s="1326" t="s">
        <v>2423</v>
      </c>
      <c r="L580" s="1326" t="s">
        <v>2061</v>
      </c>
      <c r="M580" s="1400"/>
      <c r="N580" s="1400"/>
      <c r="O580" s="1400"/>
      <c r="P580" s="1400"/>
      <c r="Q580" s="1400"/>
      <c r="R580" s="1400"/>
      <c r="S580" s="1400"/>
      <c r="T580" s="1400"/>
      <c r="U580" s="1400"/>
      <c r="V580" s="1400"/>
      <c r="W580" s="1400"/>
      <c r="X580" s="1400"/>
      <c r="Y580" s="1685">
        <v>43376</v>
      </c>
      <c r="Z580" s="1326" t="s">
        <v>2096</v>
      </c>
      <c r="AA580" s="1683">
        <v>0</v>
      </c>
      <c r="AB580" s="1683">
        <v>0</v>
      </c>
      <c r="AC580" s="1683">
        <v>0</v>
      </c>
      <c r="AD580" s="1685">
        <v>43395</v>
      </c>
      <c r="AE580" s="1326" t="s">
        <v>2073</v>
      </c>
      <c r="AF580" s="1326" t="s">
        <v>2064</v>
      </c>
      <c r="AG580" s="1410"/>
      <c r="AH580" s="1683">
        <v>0</v>
      </c>
      <c r="AI580" s="1683">
        <v>1832.92</v>
      </c>
      <c r="AJ580" s="1683">
        <v>1832.92</v>
      </c>
      <c r="AK580" s="1683">
        <v>1684.31</v>
      </c>
      <c r="AL580" s="1683">
        <v>148.61000000000001</v>
      </c>
      <c r="AM580" s="1682"/>
      <c r="AN580" s="1683">
        <v>0</v>
      </c>
      <c r="AO580" s="1683">
        <v>0</v>
      </c>
      <c r="AP580" s="1683">
        <v>0</v>
      </c>
      <c r="AQ580" s="1683">
        <v>0</v>
      </c>
      <c r="AR580" s="1683">
        <v>0</v>
      </c>
      <c r="AS580" s="1683">
        <v>0</v>
      </c>
      <c r="AT580" s="1683">
        <v>0</v>
      </c>
      <c r="AU580" s="1683">
        <v>0</v>
      </c>
      <c r="AV580" s="1683">
        <v>0</v>
      </c>
      <c r="AW580" s="1683">
        <v>0</v>
      </c>
      <c r="AX580" s="1400"/>
      <c r="AY580" s="1400"/>
      <c r="AZ580" s="1400"/>
      <c r="BA580" s="1682"/>
      <c r="BB580" s="1682"/>
      <c r="BC580" s="1400"/>
      <c r="BD580" s="1400"/>
      <c r="BE580" s="1683">
        <v>0</v>
      </c>
      <c r="BF580" s="1683">
        <v>0</v>
      </c>
      <c r="BG580" s="1683">
        <v>0</v>
      </c>
      <c r="BH580" s="1683">
        <v>0</v>
      </c>
      <c r="BI580" s="1683">
        <v>0</v>
      </c>
      <c r="BJ580" s="1683">
        <v>0</v>
      </c>
      <c r="BK580" s="1683">
        <v>0</v>
      </c>
      <c r="BL580" s="1683">
        <v>0</v>
      </c>
      <c r="BM580" s="1683">
        <v>0</v>
      </c>
      <c r="BN580" s="1683">
        <v>0</v>
      </c>
      <c r="BO580" s="1682"/>
      <c r="BP580" s="1683">
        <v>0</v>
      </c>
      <c r="BQ580" s="1683">
        <v>0</v>
      </c>
      <c r="BR580" s="1683">
        <v>0</v>
      </c>
      <c r="BS580" s="1683">
        <v>0</v>
      </c>
      <c r="BT580" s="1683">
        <v>0</v>
      </c>
      <c r="BU580" s="1683">
        <v>0</v>
      </c>
      <c r="BV580" s="1683">
        <v>0</v>
      </c>
      <c r="BW580" s="1683">
        <v>0</v>
      </c>
      <c r="BX580" s="1683">
        <v>0</v>
      </c>
      <c r="BY580" s="1683">
        <v>0</v>
      </c>
      <c r="BZ580" s="1400"/>
      <c r="CA580" s="1400"/>
      <c r="CB580" s="1682"/>
      <c r="CC580" s="1682"/>
      <c r="CD580" s="1400"/>
      <c r="CE580" s="1400"/>
      <c r="CF580" s="1683">
        <v>0</v>
      </c>
      <c r="CG580" s="1683">
        <v>0</v>
      </c>
      <c r="CH580" s="1683">
        <v>0</v>
      </c>
      <c r="CI580" s="1683">
        <v>0</v>
      </c>
      <c r="CJ580" s="1683">
        <v>0</v>
      </c>
      <c r="CK580" s="1683">
        <v>0</v>
      </c>
      <c r="CL580" s="1682"/>
      <c r="CM580" s="1683">
        <v>0</v>
      </c>
      <c r="CN580" s="1683">
        <v>0</v>
      </c>
      <c r="CO580" s="1683">
        <v>0</v>
      </c>
      <c r="CP580" s="1683">
        <v>0</v>
      </c>
      <c r="CQ580" s="1683">
        <v>0</v>
      </c>
      <c r="CR580" s="1683">
        <v>0</v>
      </c>
      <c r="CS580" s="1683">
        <v>0</v>
      </c>
      <c r="CT580" s="1683">
        <v>0</v>
      </c>
      <c r="CU580" s="1683">
        <v>0</v>
      </c>
      <c r="CV580" s="1683">
        <v>0</v>
      </c>
      <c r="CW580" s="1682"/>
      <c r="CX580" s="1400"/>
      <c r="CY580" s="1400"/>
      <c r="CZ580" s="1400"/>
      <c r="DA580" s="1400"/>
      <c r="DB580" s="1682"/>
      <c r="DC580" s="1326"/>
      <c r="DD580" s="1683">
        <v>0</v>
      </c>
      <c r="DE580" s="1400"/>
      <c r="DF580" s="1400"/>
      <c r="DG580" s="1683">
        <v>0</v>
      </c>
      <c r="DH580" s="1683">
        <v>0</v>
      </c>
    </row>
    <row r="581" spans="1:112" ht="22.5">
      <c r="A581" s="1326" t="s">
        <v>3901</v>
      </c>
      <c r="B581" s="1326" t="s">
        <v>1702</v>
      </c>
      <c r="C581" s="1326" t="s">
        <v>2576</v>
      </c>
      <c r="D581" s="1326" t="s">
        <v>2577</v>
      </c>
      <c r="E581" s="1326" t="s">
        <v>2395</v>
      </c>
      <c r="F581" s="1326" t="s">
        <v>2563</v>
      </c>
      <c r="G581" s="1326" t="s">
        <v>2572</v>
      </c>
      <c r="H581" s="1326" t="s">
        <v>2573</v>
      </c>
      <c r="I581" s="1326" t="s">
        <v>2578</v>
      </c>
      <c r="J581" s="1326" t="s">
        <v>2579</v>
      </c>
      <c r="K581" s="1326" t="s">
        <v>2423</v>
      </c>
      <c r="L581" s="1326" t="s">
        <v>2061</v>
      </c>
      <c r="M581" s="1400"/>
      <c r="N581" s="1400"/>
      <c r="O581" s="1400"/>
      <c r="P581" s="1400"/>
      <c r="Q581" s="1400"/>
      <c r="R581" s="1400"/>
      <c r="S581" s="1400"/>
      <c r="T581" s="1400"/>
      <c r="U581" s="1400"/>
      <c r="V581" s="1400"/>
      <c r="W581" s="1400"/>
      <c r="X581" s="1400"/>
      <c r="Y581" s="1685">
        <v>43441</v>
      </c>
      <c r="Z581" s="1326" t="s">
        <v>2062</v>
      </c>
      <c r="AA581" s="1683">
        <v>0</v>
      </c>
      <c r="AB581" s="1683">
        <v>0</v>
      </c>
      <c r="AC581" s="1683">
        <v>0</v>
      </c>
      <c r="AD581" s="1685">
        <v>43462</v>
      </c>
      <c r="AE581" s="1326" t="s">
        <v>2063</v>
      </c>
      <c r="AF581" s="1326" t="s">
        <v>2064</v>
      </c>
      <c r="AG581" s="1410"/>
      <c r="AH581" s="1683">
        <v>1279.3800000000001</v>
      </c>
      <c r="AI581" s="1683">
        <v>889.17</v>
      </c>
      <c r="AJ581" s="1683">
        <v>889.17</v>
      </c>
      <c r="AK581" s="1683">
        <v>817.08</v>
      </c>
      <c r="AL581" s="1683">
        <v>72.09</v>
      </c>
      <c r="AM581" s="1685">
        <v>43462</v>
      </c>
      <c r="AN581" s="1683">
        <v>1279.3800000000001</v>
      </c>
      <c r="AO581" s="1683">
        <v>889.17</v>
      </c>
      <c r="AP581" s="1683">
        <v>889.17</v>
      </c>
      <c r="AQ581" s="1683">
        <v>817.08</v>
      </c>
      <c r="AR581" s="1683">
        <v>72.09</v>
      </c>
      <c r="AS581" s="1683">
        <v>390.21</v>
      </c>
      <c r="AT581" s="1683">
        <v>0</v>
      </c>
      <c r="AU581" s="1683">
        <v>0</v>
      </c>
      <c r="AV581" s="1683">
        <v>0</v>
      </c>
      <c r="AW581" s="1683">
        <v>390.21</v>
      </c>
      <c r="AX581" s="1400"/>
      <c r="AY581" s="1400"/>
      <c r="AZ581" s="1400"/>
      <c r="BA581" s="1682"/>
      <c r="BB581" s="1682"/>
      <c r="BC581" s="1400"/>
      <c r="BD581" s="1400"/>
      <c r="BE581" s="1683">
        <v>1279.3800000000001</v>
      </c>
      <c r="BF581" s="1683">
        <v>889.17</v>
      </c>
      <c r="BG581" s="1683">
        <v>889.17</v>
      </c>
      <c r="BH581" s="1683">
        <v>817.08</v>
      </c>
      <c r="BI581" s="1683">
        <v>72.09</v>
      </c>
      <c r="BJ581" s="1683">
        <v>390.21</v>
      </c>
      <c r="BK581" s="1683">
        <v>0</v>
      </c>
      <c r="BL581" s="1683">
        <v>0</v>
      </c>
      <c r="BM581" s="1683">
        <v>0</v>
      </c>
      <c r="BN581" s="1683">
        <v>390.21</v>
      </c>
      <c r="BO581" s="1682"/>
      <c r="BP581" s="1683">
        <v>0</v>
      </c>
      <c r="BQ581" s="1683">
        <v>0</v>
      </c>
      <c r="BR581" s="1683">
        <v>0</v>
      </c>
      <c r="BS581" s="1683">
        <v>0</v>
      </c>
      <c r="BT581" s="1683">
        <v>0</v>
      </c>
      <c r="BU581" s="1683">
        <v>0</v>
      </c>
      <c r="BV581" s="1683">
        <v>0</v>
      </c>
      <c r="BW581" s="1683">
        <v>0</v>
      </c>
      <c r="BX581" s="1683">
        <v>0</v>
      </c>
      <c r="BY581" s="1683">
        <v>0</v>
      </c>
      <c r="BZ581" s="1683">
        <v>0</v>
      </c>
      <c r="CA581" s="1400"/>
      <c r="CB581" s="1682"/>
      <c r="CC581" s="1682"/>
      <c r="CD581" s="1400"/>
      <c r="CE581" s="1400"/>
      <c r="CF581" s="1683">
        <v>0</v>
      </c>
      <c r="CG581" s="1683">
        <v>0</v>
      </c>
      <c r="CH581" s="1683">
        <v>0</v>
      </c>
      <c r="CI581" s="1683">
        <v>0</v>
      </c>
      <c r="CJ581" s="1683">
        <v>0</v>
      </c>
      <c r="CK581" s="1683">
        <v>0</v>
      </c>
      <c r="CL581" s="1682"/>
      <c r="CM581" s="1683">
        <v>0</v>
      </c>
      <c r="CN581" s="1683">
        <v>0</v>
      </c>
      <c r="CO581" s="1683">
        <v>0</v>
      </c>
      <c r="CP581" s="1683">
        <v>0</v>
      </c>
      <c r="CQ581" s="1683">
        <v>0</v>
      </c>
      <c r="CR581" s="1683">
        <v>0</v>
      </c>
      <c r="CS581" s="1683">
        <v>0</v>
      </c>
      <c r="CT581" s="1683">
        <v>0</v>
      </c>
      <c r="CU581" s="1683">
        <v>0</v>
      </c>
      <c r="CV581" s="1683">
        <v>0</v>
      </c>
      <c r="CW581" s="1682"/>
      <c r="CX581" s="1400"/>
      <c r="CY581" s="1400"/>
      <c r="CZ581" s="1400"/>
      <c r="DA581" s="1400"/>
      <c r="DB581" s="1682"/>
      <c r="DC581" s="1326"/>
      <c r="DD581" s="1683">
        <v>0</v>
      </c>
      <c r="DE581" s="1400"/>
      <c r="DF581" s="1400"/>
      <c r="DG581" s="1683">
        <v>0</v>
      </c>
      <c r="DH581" s="1683">
        <v>0</v>
      </c>
    </row>
    <row r="582" spans="1:112" ht="33.75">
      <c r="A582" s="1326" t="s">
        <v>3902</v>
      </c>
      <c r="B582" s="1326" t="s">
        <v>1702</v>
      </c>
      <c r="C582" s="1326" t="s">
        <v>2576</v>
      </c>
      <c r="D582" s="1326" t="s">
        <v>2577</v>
      </c>
      <c r="E582" s="1326" t="s">
        <v>2395</v>
      </c>
      <c r="F582" s="1326" t="s">
        <v>2563</v>
      </c>
      <c r="G582" s="1326" t="s">
        <v>2572</v>
      </c>
      <c r="H582" s="1326" t="s">
        <v>2573</v>
      </c>
      <c r="I582" s="1326" t="s">
        <v>3217</v>
      </c>
      <c r="J582" s="1326" t="s">
        <v>3218</v>
      </c>
      <c r="K582" s="1326" t="s">
        <v>3864</v>
      </c>
      <c r="L582" s="1326" t="s">
        <v>2061</v>
      </c>
      <c r="M582" s="1683">
        <v>18000</v>
      </c>
      <c r="N582" s="1683">
        <v>0</v>
      </c>
      <c r="O582" s="1683">
        <v>18000</v>
      </c>
      <c r="P582" s="1683">
        <v>12201.6</v>
      </c>
      <c r="Q582" s="1683">
        <v>12201.6</v>
      </c>
      <c r="R582" s="1683">
        <v>11212.28</v>
      </c>
      <c r="S582" s="1683">
        <v>989.32</v>
      </c>
      <c r="T582" s="1683">
        <v>5798.4</v>
      </c>
      <c r="U582" s="1683">
        <v>0</v>
      </c>
      <c r="V582" s="1683">
        <v>0</v>
      </c>
      <c r="W582" s="1683">
        <v>0</v>
      </c>
      <c r="X582" s="1683">
        <v>5798.4</v>
      </c>
      <c r="Y582" s="1682"/>
      <c r="Z582" s="1326"/>
      <c r="AA582" s="1683">
        <v>0</v>
      </c>
      <c r="AB582" s="1683">
        <v>0</v>
      </c>
      <c r="AC582" s="1683">
        <v>0</v>
      </c>
      <c r="AD582" s="1682"/>
      <c r="AE582" s="1326"/>
      <c r="AF582" s="1326"/>
      <c r="AG582" s="1410"/>
      <c r="AH582" s="1683">
        <v>4970.47</v>
      </c>
      <c r="AI582" s="1683">
        <v>3369.32</v>
      </c>
      <c r="AJ582" s="1683">
        <v>3369.32</v>
      </c>
      <c r="AK582" s="1683">
        <v>3096.13</v>
      </c>
      <c r="AL582" s="1683">
        <v>273.19</v>
      </c>
      <c r="AM582" s="1682"/>
      <c r="AN582" s="1683">
        <v>4970.47</v>
      </c>
      <c r="AO582" s="1683">
        <v>3369.32</v>
      </c>
      <c r="AP582" s="1683">
        <v>3369.32</v>
      </c>
      <c r="AQ582" s="1683">
        <v>3096.13</v>
      </c>
      <c r="AR582" s="1683">
        <v>273.19</v>
      </c>
      <c r="AS582" s="1683">
        <v>1601.15</v>
      </c>
      <c r="AT582" s="1683">
        <v>0</v>
      </c>
      <c r="AU582" s="1683">
        <v>0</v>
      </c>
      <c r="AV582" s="1683">
        <v>0</v>
      </c>
      <c r="AW582" s="1683">
        <v>1601.15</v>
      </c>
      <c r="AX582" s="1683">
        <v>0</v>
      </c>
      <c r="AY582" s="1683">
        <v>0</v>
      </c>
      <c r="AZ582" s="1683">
        <v>0</v>
      </c>
      <c r="BA582" s="1682"/>
      <c r="BB582" s="1682"/>
      <c r="BC582" s="1683">
        <v>0</v>
      </c>
      <c r="BD582" s="1683">
        <v>0</v>
      </c>
      <c r="BE582" s="1683">
        <v>4970.47</v>
      </c>
      <c r="BF582" s="1683">
        <v>3369.32</v>
      </c>
      <c r="BG582" s="1683">
        <v>3369.32</v>
      </c>
      <c r="BH582" s="1683">
        <v>3096.13</v>
      </c>
      <c r="BI582" s="1683">
        <v>273.19</v>
      </c>
      <c r="BJ582" s="1683">
        <v>1601.15</v>
      </c>
      <c r="BK582" s="1683">
        <v>0</v>
      </c>
      <c r="BL582" s="1683">
        <v>0</v>
      </c>
      <c r="BM582" s="1683">
        <v>0</v>
      </c>
      <c r="BN582" s="1683">
        <v>1601.15</v>
      </c>
      <c r="BO582" s="1682"/>
      <c r="BP582" s="1683">
        <v>0</v>
      </c>
      <c r="BQ582" s="1683">
        <v>0</v>
      </c>
      <c r="BR582" s="1683">
        <v>0</v>
      </c>
      <c r="BS582" s="1683">
        <v>0</v>
      </c>
      <c r="BT582" s="1683">
        <v>0</v>
      </c>
      <c r="BU582" s="1683">
        <v>0</v>
      </c>
      <c r="BV582" s="1683">
        <v>0</v>
      </c>
      <c r="BW582" s="1683">
        <v>0</v>
      </c>
      <c r="BX582" s="1683">
        <v>0</v>
      </c>
      <c r="BY582" s="1683">
        <v>0</v>
      </c>
      <c r="BZ582" s="1683">
        <v>0</v>
      </c>
      <c r="CA582" s="1683">
        <v>0</v>
      </c>
      <c r="CB582" s="1682"/>
      <c r="CC582" s="1682"/>
      <c r="CD582" s="1683">
        <v>0</v>
      </c>
      <c r="CE582" s="1683">
        <v>0</v>
      </c>
      <c r="CF582" s="1683">
        <v>0</v>
      </c>
      <c r="CG582" s="1683">
        <v>0</v>
      </c>
      <c r="CH582" s="1683">
        <v>0</v>
      </c>
      <c r="CI582" s="1683">
        <v>0</v>
      </c>
      <c r="CJ582" s="1683">
        <v>0</v>
      </c>
      <c r="CK582" s="1683">
        <v>0</v>
      </c>
      <c r="CL582" s="1682"/>
      <c r="CM582" s="1683">
        <v>0</v>
      </c>
      <c r="CN582" s="1683">
        <v>0</v>
      </c>
      <c r="CO582" s="1683">
        <v>0</v>
      </c>
      <c r="CP582" s="1683">
        <v>0</v>
      </c>
      <c r="CQ582" s="1683">
        <v>0</v>
      </c>
      <c r="CR582" s="1683">
        <v>0</v>
      </c>
      <c r="CS582" s="1683">
        <v>0</v>
      </c>
      <c r="CT582" s="1683">
        <v>0</v>
      </c>
      <c r="CU582" s="1683">
        <v>0</v>
      </c>
      <c r="CV582" s="1683">
        <v>0</v>
      </c>
      <c r="CW582" s="1682"/>
      <c r="CX582" s="1683">
        <v>0</v>
      </c>
      <c r="CY582" s="1683">
        <v>0</v>
      </c>
      <c r="CZ582" s="1683">
        <v>0</v>
      </c>
      <c r="DA582" s="1683">
        <v>0</v>
      </c>
      <c r="DB582" s="1682"/>
      <c r="DC582" s="1326"/>
      <c r="DD582" s="1683">
        <v>0</v>
      </c>
      <c r="DE582" s="1683">
        <v>0</v>
      </c>
      <c r="DF582" s="1683">
        <v>0</v>
      </c>
      <c r="DG582" s="1683">
        <v>0</v>
      </c>
      <c r="DH582" s="1683">
        <v>0</v>
      </c>
    </row>
    <row r="583" spans="1:112" ht="33.75">
      <c r="A583" s="1326" t="s">
        <v>3903</v>
      </c>
      <c r="B583" s="1326" t="s">
        <v>1702</v>
      </c>
      <c r="C583" s="1326" t="s">
        <v>2576</v>
      </c>
      <c r="D583" s="1326" t="s">
        <v>2577</v>
      </c>
      <c r="E583" s="1326" t="s">
        <v>2395</v>
      </c>
      <c r="F583" s="1326" t="s">
        <v>2563</v>
      </c>
      <c r="G583" s="1326" t="s">
        <v>2572</v>
      </c>
      <c r="H583" s="1326" t="s">
        <v>2573</v>
      </c>
      <c r="I583" s="1326" t="s">
        <v>3217</v>
      </c>
      <c r="J583" s="1326" t="s">
        <v>3218</v>
      </c>
      <c r="K583" s="1326" t="s">
        <v>3864</v>
      </c>
      <c r="L583" s="1326" t="s">
        <v>2061</v>
      </c>
      <c r="M583" s="1400"/>
      <c r="N583" s="1400"/>
      <c r="O583" s="1400"/>
      <c r="P583" s="1400"/>
      <c r="Q583" s="1400"/>
      <c r="R583" s="1400"/>
      <c r="S583" s="1400"/>
      <c r="T583" s="1400"/>
      <c r="U583" s="1400"/>
      <c r="V583" s="1400"/>
      <c r="W583" s="1400"/>
      <c r="X583" s="1400"/>
      <c r="Y583" s="1685">
        <v>43439</v>
      </c>
      <c r="Z583" s="1326" t="s">
        <v>2062</v>
      </c>
      <c r="AA583" s="1683">
        <v>0</v>
      </c>
      <c r="AB583" s="1683">
        <v>0</v>
      </c>
      <c r="AC583" s="1683">
        <v>0</v>
      </c>
      <c r="AD583" s="1685">
        <v>43446</v>
      </c>
      <c r="AE583" s="1326" t="s">
        <v>2063</v>
      </c>
      <c r="AF583" s="1326" t="s">
        <v>2064</v>
      </c>
      <c r="AG583" s="1410"/>
      <c r="AH583" s="1683">
        <v>4970.47</v>
      </c>
      <c r="AI583" s="1683">
        <v>3369.32</v>
      </c>
      <c r="AJ583" s="1683">
        <v>3369.32</v>
      </c>
      <c r="AK583" s="1683">
        <v>3096.13</v>
      </c>
      <c r="AL583" s="1683">
        <v>273.19</v>
      </c>
      <c r="AM583" s="1685">
        <v>43446</v>
      </c>
      <c r="AN583" s="1683">
        <v>4970.47</v>
      </c>
      <c r="AO583" s="1683">
        <v>3369.32</v>
      </c>
      <c r="AP583" s="1683">
        <v>3369.32</v>
      </c>
      <c r="AQ583" s="1683">
        <v>3096.13</v>
      </c>
      <c r="AR583" s="1683">
        <v>273.19</v>
      </c>
      <c r="AS583" s="1683">
        <v>1601.15</v>
      </c>
      <c r="AT583" s="1683">
        <v>0</v>
      </c>
      <c r="AU583" s="1683">
        <v>0</v>
      </c>
      <c r="AV583" s="1683">
        <v>0</v>
      </c>
      <c r="AW583" s="1683">
        <v>1601.15</v>
      </c>
      <c r="AX583" s="1400"/>
      <c r="AY583" s="1400"/>
      <c r="AZ583" s="1400"/>
      <c r="BA583" s="1682"/>
      <c r="BB583" s="1682"/>
      <c r="BC583" s="1400"/>
      <c r="BD583" s="1400"/>
      <c r="BE583" s="1683">
        <v>4970.47</v>
      </c>
      <c r="BF583" s="1683">
        <v>3369.32</v>
      </c>
      <c r="BG583" s="1683">
        <v>3369.32</v>
      </c>
      <c r="BH583" s="1683">
        <v>3096.13</v>
      </c>
      <c r="BI583" s="1683">
        <v>273.19</v>
      </c>
      <c r="BJ583" s="1683">
        <v>1601.15</v>
      </c>
      <c r="BK583" s="1683">
        <v>0</v>
      </c>
      <c r="BL583" s="1683">
        <v>0</v>
      </c>
      <c r="BM583" s="1683">
        <v>0</v>
      </c>
      <c r="BN583" s="1683">
        <v>1601.15</v>
      </c>
      <c r="BO583" s="1682"/>
      <c r="BP583" s="1683">
        <v>0</v>
      </c>
      <c r="BQ583" s="1683">
        <v>0</v>
      </c>
      <c r="BR583" s="1683">
        <v>0</v>
      </c>
      <c r="BS583" s="1683">
        <v>0</v>
      </c>
      <c r="BT583" s="1683">
        <v>0</v>
      </c>
      <c r="BU583" s="1683">
        <v>0</v>
      </c>
      <c r="BV583" s="1683">
        <v>0</v>
      </c>
      <c r="BW583" s="1683">
        <v>0</v>
      </c>
      <c r="BX583" s="1683">
        <v>0</v>
      </c>
      <c r="BY583" s="1683">
        <v>0</v>
      </c>
      <c r="BZ583" s="1683">
        <v>0</v>
      </c>
      <c r="CA583" s="1400"/>
      <c r="CB583" s="1682"/>
      <c r="CC583" s="1682"/>
      <c r="CD583" s="1400"/>
      <c r="CE583" s="1400"/>
      <c r="CF583" s="1683">
        <v>0</v>
      </c>
      <c r="CG583" s="1683">
        <v>0</v>
      </c>
      <c r="CH583" s="1683">
        <v>0</v>
      </c>
      <c r="CI583" s="1683">
        <v>0</v>
      </c>
      <c r="CJ583" s="1683">
        <v>0</v>
      </c>
      <c r="CK583" s="1683">
        <v>0</v>
      </c>
      <c r="CL583" s="1682"/>
      <c r="CM583" s="1683">
        <v>0</v>
      </c>
      <c r="CN583" s="1683">
        <v>0</v>
      </c>
      <c r="CO583" s="1683">
        <v>0</v>
      </c>
      <c r="CP583" s="1683">
        <v>0</v>
      </c>
      <c r="CQ583" s="1683">
        <v>0</v>
      </c>
      <c r="CR583" s="1683">
        <v>0</v>
      </c>
      <c r="CS583" s="1683">
        <v>0</v>
      </c>
      <c r="CT583" s="1683">
        <v>0</v>
      </c>
      <c r="CU583" s="1683">
        <v>0</v>
      </c>
      <c r="CV583" s="1683">
        <v>0</v>
      </c>
      <c r="CW583" s="1682"/>
      <c r="CX583" s="1400"/>
      <c r="CY583" s="1400"/>
      <c r="CZ583" s="1400"/>
      <c r="DA583" s="1400"/>
      <c r="DB583" s="1682"/>
      <c r="DC583" s="1326"/>
      <c r="DD583" s="1683">
        <v>0</v>
      </c>
      <c r="DE583" s="1400"/>
      <c r="DF583" s="1400"/>
      <c r="DG583" s="1683">
        <v>0</v>
      </c>
      <c r="DH583" s="1683">
        <v>0</v>
      </c>
    </row>
    <row r="584" spans="1:112">
      <c r="A584" s="1326" t="s">
        <v>3904</v>
      </c>
      <c r="B584" s="1326" t="s">
        <v>1704</v>
      </c>
      <c r="C584" s="1326"/>
      <c r="D584" s="1326"/>
      <c r="E584" s="1326"/>
      <c r="F584" s="1326"/>
      <c r="G584" s="1326"/>
      <c r="H584" s="1326"/>
      <c r="I584" s="1326"/>
      <c r="J584" s="1326"/>
      <c r="K584" s="1326"/>
      <c r="L584" s="1326"/>
      <c r="M584" s="1683">
        <v>4556414.3600000003</v>
      </c>
      <c r="N584" s="1683">
        <v>0</v>
      </c>
      <c r="O584" s="1683">
        <v>4556414.3600000003</v>
      </c>
      <c r="P584" s="1683">
        <v>4556414.3600000003</v>
      </c>
      <c r="Q584" s="1683">
        <v>3764315</v>
      </c>
      <c r="R584" s="1683">
        <v>3579587</v>
      </c>
      <c r="S584" s="1683">
        <v>184728</v>
      </c>
      <c r="T584" s="1683">
        <v>792099.36</v>
      </c>
      <c r="U584" s="1683">
        <v>0</v>
      </c>
      <c r="V584" s="1683">
        <v>792099.36</v>
      </c>
      <c r="W584" s="1683">
        <v>0</v>
      </c>
      <c r="X584" s="1683">
        <v>0</v>
      </c>
      <c r="Y584" s="1682"/>
      <c r="Z584" s="1326"/>
      <c r="AA584" s="1683">
        <v>145103.79999999999</v>
      </c>
      <c r="AB584" s="1683">
        <v>138438.69</v>
      </c>
      <c r="AC584" s="1683">
        <v>6665.11</v>
      </c>
      <c r="AD584" s="1682"/>
      <c r="AE584" s="1326"/>
      <c r="AF584" s="1326"/>
      <c r="AG584" s="1410"/>
      <c r="AH584" s="1683">
        <v>1946725.63</v>
      </c>
      <c r="AI584" s="1683">
        <v>2586405.9500000002</v>
      </c>
      <c r="AJ584" s="1683">
        <v>2155166.48</v>
      </c>
      <c r="AK584" s="1683">
        <v>2050718.99</v>
      </c>
      <c r="AL584" s="1683">
        <v>104447.49</v>
      </c>
      <c r="AM584" s="1682"/>
      <c r="AN584" s="1683">
        <v>1946725.63</v>
      </c>
      <c r="AO584" s="1683">
        <v>1946725.63</v>
      </c>
      <c r="AP584" s="1683">
        <v>1660589.96</v>
      </c>
      <c r="AQ584" s="1683">
        <v>1574944.28</v>
      </c>
      <c r="AR584" s="1683">
        <v>85645.68</v>
      </c>
      <c r="AS584" s="1683">
        <v>286135.67</v>
      </c>
      <c r="AT584" s="1683">
        <v>0</v>
      </c>
      <c r="AU584" s="1683">
        <v>286135.67</v>
      </c>
      <c r="AV584" s="1683">
        <v>0</v>
      </c>
      <c r="AW584" s="1683">
        <v>0</v>
      </c>
      <c r="AX584" s="1683">
        <v>0</v>
      </c>
      <c r="AY584" s="1683">
        <v>0</v>
      </c>
      <c r="AZ584" s="1683">
        <v>0</v>
      </c>
      <c r="BA584" s="1682"/>
      <c r="BB584" s="1682"/>
      <c r="BC584" s="1683">
        <v>0</v>
      </c>
      <c r="BD584" s="1683">
        <v>0</v>
      </c>
      <c r="BE584" s="1683">
        <v>1946725.63</v>
      </c>
      <c r="BF584" s="1683">
        <v>1946725.63</v>
      </c>
      <c r="BG584" s="1683">
        <v>1660589.96</v>
      </c>
      <c r="BH584" s="1683">
        <v>1574944.28</v>
      </c>
      <c r="BI584" s="1683">
        <v>85645.68</v>
      </c>
      <c r="BJ584" s="1683">
        <v>286135.67</v>
      </c>
      <c r="BK584" s="1683">
        <v>0</v>
      </c>
      <c r="BL584" s="1683">
        <v>286135.67</v>
      </c>
      <c r="BM584" s="1683">
        <v>0</v>
      </c>
      <c r="BN584" s="1683">
        <v>0</v>
      </c>
      <c r="BO584" s="1682"/>
      <c r="BP584" s="1683">
        <v>603899.16</v>
      </c>
      <c r="BQ584" s="1683">
        <v>603899.16</v>
      </c>
      <c r="BR584" s="1683">
        <v>537973.98</v>
      </c>
      <c r="BS584" s="1683">
        <v>510122.61</v>
      </c>
      <c r="BT584" s="1683">
        <v>27851.37</v>
      </c>
      <c r="BU584" s="1683">
        <v>65925.179999999993</v>
      </c>
      <c r="BV584" s="1683">
        <v>0</v>
      </c>
      <c r="BW584" s="1683">
        <v>3964.97</v>
      </c>
      <c r="BX584" s="1683">
        <v>0</v>
      </c>
      <c r="BY584" s="1683">
        <v>0</v>
      </c>
      <c r="BZ584" s="1683">
        <v>0</v>
      </c>
      <c r="CA584" s="1683">
        <v>0</v>
      </c>
      <c r="CB584" s="1682"/>
      <c r="CC584" s="1682"/>
      <c r="CD584" s="1683">
        <v>0</v>
      </c>
      <c r="CE584" s="1683">
        <v>0</v>
      </c>
      <c r="CF584" s="1683">
        <v>0</v>
      </c>
      <c r="CG584" s="1683">
        <v>0</v>
      </c>
      <c r="CH584" s="1683">
        <v>0</v>
      </c>
      <c r="CI584" s="1683">
        <v>0</v>
      </c>
      <c r="CJ584" s="1683">
        <v>2234.98</v>
      </c>
      <c r="CK584" s="1683">
        <v>2234.98</v>
      </c>
      <c r="CL584" s="1682"/>
      <c r="CM584" s="1683">
        <v>26431.98</v>
      </c>
      <c r="CN584" s="1683">
        <v>26431.98</v>
      </c>
      <c r="CO584" s="1683">
        <v>22467.01</v>
      </c>
      <c r="CP584" s="1683">
        <v>22467.01</v>
      </c>
      <c r="CQ584" s="1683">
        <v>0</v>
      </c>
      <c r="CR584" s="1683">
        <v>3964.97</v>
      </c>
      <c r="CS584" s="1683">
        <v>0</v>
      </c>
      <c r="CT584" s="1683">
        <v>3964.97</v>
      </c>
      <c r="CU584" s="1683">
        <v>0</v>
      </c>
      <c r="CV584" s="1683">
        <v>0</v>
      </c>
      <c r="CW584" s="1682"/>
      <c r="CX584" s="1683">
        <v>0</v>
      </c>
      <c r="CY584" s="1683">
        <v>0</v>
      </c>
      <c r="CZ584" s="1683">
        <v>26431.98</v>
      </c>
      <c r="DA584" s="1683">
        <v>26431.98</v>
      </c>
      <c r="DB584" s="1682"/>
      <c r="DC584" s="1326"/>
      <c r="DD584" s="1683">
        <v>0</v>
      </c>
      <c r="DE584" s="1683">
        <v>0</v>
      </c>
      <c r="DF584" s="1683">
        <v>0</v>
      </c>
      <c r="DG584" s="1683">
        <v>0</v>
      </c>
      <c r="DH584" s="1683">
        <v>0</v>
      </c>
    </row>
    <row r="585" spans="1:112">
      <c r="A585" s="1326" t="s">
        <v>3905</v>
      </c>
      <c r="B585" s="1326" t="s">
        <v>1704</v>
      </c>
      <c r="C585" s="1326" t="s">
        <v>2580</v>
      </c>
      <c r="D585" s="1326"/>
      <c r="E585" s="1326"/>
      <c r="F585" s="1326"/>
      <c r="G585" s="1326"/>
      <c r="H585" s="1326"/>
      <c r="I585" s="1326"/>
      <c r="J585" s="1326"/>
      <c r="K585" s="1326"/>
      <c r="L585" s="1326"/>
      <c r="M585" s="1683">
        <v>4556414.3600000003</v>
      </c>
      <c r="N585" s="1683">
        <v>0</v>
      </c>
      <c r="O585" s="1683">
        <v>4556414.3600000003</v>
      </c>
      <c r="P585" s="1683">
        <v>4556414.3600000003</v>
      </c>
      <c r="Q585" s="1683">
        <v>3764315</v>
      </c>
      <c r="R585" s="1683">
        <v>3579587</v>
      </c>
      <c r="S585" s="1683">
        <v>184728</v>
      </c>
      <c r="T585" s="1683">
        <v>792099.36</v>
      </c>
      <c r="U585" s="1683">
        <v>0</v>
      </c>
      <c r="V585" s="1683">
        <v>792099.36</v>
      </c>
      <c r="W585" s="1683">
        <v>0</v>
      </c>
      <c r="X585" s="1683">
        <v>0</v>
      </c>
      <c r="Y585" s="1682"/>
      <c r="Z585" s="1326"/>
      <c r="AA585" s="1683">
        <v>145103.79999999999</v>
      </c>
      <c r="AB585" s="1683">
        <v>138438.69</v>
      </c>
      <c r="AC585" s="1683">
        <v>6665.11</v>
      </c>
      <c r="AD585" s="1682"/>
      <c r="AE585" s="1326"/>
      <c r="AF585" s="1326"/>
      <c r="AG585" s="1410"/>
      <c r="AH585" s="1683">
        <v>1946725.63</v>
      </c>
      <c r="AI585" s="1683">
        <v>2586405.9500000002</v>
      </c>
      <c r="AJ585" s="1683">
        <v>2155166.48</v>
      </c>
      <c r="AK585" s="1683">
        <v>2050718.99</v>
      </c>
      <c r="AL585" s="1683">
        <v>104447.49</v>
      </c>
      <c r="AM585" s="1682"/>
      <c r="AN585" s="1683">
        <v>1946725.63</v>
      </c>
      <c r="AO585" s="1683">
        <v>1946725.63</v>
      </c>
      <c r="AP585" s="1683">
        <v>1660589.96</v>
      </c>
      <c r="AQ585" s="1683">
        <v>1574944.28</v>
      </c>
      <c r="AR585" s="1683">
        <v>85645.68</v>
      </c>
      <c r="AS585" s="1683">
        <v>286135.67</v>
      </c>
      <c r="AT585" s="1683">
        <v>0</v>
      </c>
      <c r="AU585" s="1683">
        <v>286135.67</v>
      </c>
      <c r="AV585" s="1683">
        <v>0</v>
      </c>
      <c r="AW585" s="1683">
        <v>0</v>
      </c>
      <c r="AX585" s="1683">
        <v>0</v>
      </c>
      <c r="AY585" s="1683">
        <v>0</v>
      </c>
      <c r="AZ585" s="1683">
        <v>0</v>
      </c>
      <c r="BA585" s="1682"/>
      <c r="BB585" s="1682"/>
      <c r="BC585" s="1683">
        <v>0</v>
      </c>
      <c r="BD585" s="1683">
        <v>0</v>
      </c>
      <c r="BE585" s="1683">
        <v>1946725.63</v>
      </c>
      <c r="BF585" s="1683">
        <v>1946725.63</v>
      </c>
      <c r="BG585" s="1683">
        <v>1660589.96</v>
      </c>
      <c r="BH585" s="1683">
        <v>1574944.28</v>
      </c>
      <c r="BI585" s="1683">
        <v>85645.68</v>
      </c>
      <c r="BJ585" s="1683">
        <v>286135.67</v>
      </c>
      <c r="BK585" s="1683">
        <v>0</v>
      </c>
      <c r="BL585" s="1683">
        <v>286135.67</v>
      </c>
      <c r="BM585" s="1683">
        <v>0</v>
      </c>
      <c r="BN585" s="1683">
        <v>0</v>
      </c>
      <c r="BO585" s="1682"/>
      <c r="BP585" s="1683">
        <v>603899.16</v>
      </c>
      <c r="BQ585" s="1683">
        <v>603899.16</v>
      </c>
      <c r="BR585" s="1683">
        <v>537973.98</v>
      </c>
      <c r="BS585" s="1683">
        <v>510122.61</v>
      </c>
      <c r="BT585" s="1683">
        <v>27851.37</v>
      </c>
      <c r="BU585" s="1683">
        <v>65925.179999999993</v>
      </c>
      <c r="BV585" s="1683">
        <v>0</v>
      </c>
      <c r="BW585" s="1683">
        <v>3964.97</v>
      </c>
      <c r="BX585" s="1683">
        <v>0</v>
      </c>
      <c r="BY585" s="1683">
        <v>0</v>
      </c>
      <c r="BZ585" s="1683">
        <v>0</v>
      </c>
      <c r="CA585" s="1683">
        <v>0</v>
      </c>
      <c r="CB585" s="1682"/>
      <c r="CC585" s="1682"/>
      <c r="CD585" s="1683">
        <v>0</v>
      </c>
      <c r="CE585" s="1683">
        <v>0</v>
      </c>
      <c r="CF585" s="1683">
        <v>0</v>
      </c>
      <c r="CG585" s="1683">
        <v>0</v>
      </c>
      <c r="CH585" s="1683">
        <v>0</v>
      </c>
      <c r="CI585" s="1683">
        <v>0</v>
      </c>
      <c r="CJ585" s="1683">
        <v>2234.98</v>
      </c>
      <c r="CK585" s="1683">
        <v>2234.98</v>
      </c>
      <c r="CL585" s="1682"/>
      <c r="CM585" s="1683">
        <v>26431.98</v>
      </c>
      <c r="CN585" s="1683">
        <v>26431.98</v>
      </c>
      <c r="CO585" s="1683">
        <v>22467.01</v>
      </c>
      <c r="CP585" s="1683">
        <v>22467.01</v>
      </c>
      <c r="CQ585" s="1683">
        <v>0</v>
      </c>
      <c r="CR585" s="1683">
        <v>3964.97</v>
      </c>
      <c r="CS585" s="1683">
        <v>0</v>
      </c>
      <c r="CT585" s="1683">
        <v>3964.97</v>
      </c>
      <c r="CU585" s="1683">
        <v>0</v>
      </c>
      <c r="CV585" s="1683">
        <v>0</v>
      </c>
      <c r="CW585" s="1682"/>
      <c r="CX585" s="1683">
        <v>0</v>
      </c>
      <c r="CY585" s="1683">
        <v>0</v>
      </c>
      <c r="CZ585" s="1683">
        <v>26431.98</v>
      </c>
      <c r="DA585" s="1683">
        <v>26431.98</v>
      </c>
      <c r="DB585" s="1682"/>
      <c r="DC585" s="1326"/>
      <c r="DD585" s="1683">
        <v>0</v>
      </c>
      <c r="DE585" s="1683">
        <v>0</v>
      </c>
      <c r="DF585" s="1683">
        <v>0</v>
      </c>
      <c r="DG585" s="1683">
        <v>0</v>
      </c>
      <c r="DH585" s="1683">
        <v>0</v>
      </c>
    </row>
    <row r="586" spans="1:112">
      <c r="A586" s="1326" t="s">
        <v>3906</v>
      </c>
      <c r="B586" s="1326" t="s">
        <v>1704</v>
      </c>
      <c r="C586" s="1326" t="s">
        <v>2580</v>
      </c>
      <c r="D586" s="1326" t="s">
        <v>2581</v>
      </c>
      <c r="E586" s="1326"/>
      <c r="F586" s="1326"/>
      <c r="G586" s="1326"/>
      <c r="H586" s="1326"/>
      <c r="I586" s="1326"/>
      <c r="J586" s="1326"/>
      <c r="K586" s="1326"/>
      <c r="L586" s="1326"/>
      <c r="M586" s="1683">
        <v>4556414.3600000003</v>
      </c>
      <c r="N586" s="1683">
        <v>0</v>
      </c>
      <c r="O586" s="1683">
        <v>4556414.3600000003</v>
      </c>
      <c r="P586" s="1683">
        <v>4556414.3600000003</v>
      </c>
      <c r="Q586" s="1683">
        <v>3764315</v>
      </c>
      <c r="R586" s="1683">
        <v>3579587</v>
      </c>
      <c r="S586" s="1683">
        <v>184728</v>
      </c>
      <c r="T586" s="1683">
        <v>792099.36</v>
      </c>
      <c r="U586" s="1683">
        <v>0</v>
      </c>
      <c r="V586" s="1683">
        <v>792099.36</v>
      </c>
      <c r="W586" s="1683">
        <v>0</v>
      </c>
      <c r="X586" s="1683">
        <v>0</v>
      </c>
      <c r="Y586" s="1682"/>
      <c r="Z586" s="1326"/>
      <c r="AA586" s="1683">
        <v>145103.79999999999</v>
      </c>
      <c r="AB586" s="1683">
        <v>138438.69</v>
      </c>
      <c r="AC586" s="1683">
        <v>6665.11</v>
      </c>
      <c r="AD586" s="1682"/>
      <c r="AE586" s="1326"/>
      <c r="AF586" s="1326"/>
      <c r="AG586" s="1410"/>
      <c r="AH586" s="1683">
        <v>1946725.63</v>
      </c>
      <c r="AI586" s="1683">
        <v>2586405.9500000002</v>
      </c>
      <c r="AJ586" s="1683">
        <v>2155166.48</v>
      </c>
      <c r="AK586" s="1683">
        <v>2050718.99</v>
      </c>
      <c r="AL586" s="1683">
        <v>104447.49</v>
      </c>
      <c r="AM586" s="1682"/>
      <c r="AN586" s="1683">
        <v>1946725.63</v>
      </c>
      <c r="AO586" s="1683">
        <v>1946725.63</v>
      </c>
      <c r="AP586" s="1683">
        <v>1660589.96</v>
      </c>
      <c r="AQ586" s="1683">
        <v>1574944.28</v>
      </c>
      <c r="AR586" s="1683">
        <v>85645.68</v>
      </c>
      <c r="AS586" s="1683">
        <v>286135.67</v>
      </c>
      <c r="AT586" s="1683">
        <v>0</v>
      </c>
      <c r="AU586" s="1683">
        <v>286135.67</v>
      </c>
      <c r="AV586" s="1683">
        <v>0</v>
      </c>
      <c r="AW586" s="1683">
        <v>0</v>
      </c>
      <c r="AX586" s="1683">
        <v>0</v>
      </c>
      <c r="AY586" s="1683">
        <v>0</v>
      </c>
      <c r="AZ586" s="1683">
        <v>0</v>
      </c>
      <c r="BA586" s="1682"/>
      <c r="BB586" s="1682"/>
      <c r="BC586" s="1683">
        <v>0</v>
      </c>
      <c r="BD586" s="1683">
        <v>0</v>
      </c>
      <c r="BE586" s="1683">
        <v>1946725.63</v>
      </c>
      <c r="BF586" s="1683">
        <v>1946725.63</v>
      </c>
      <c r="BG586" s="1683">
        <v>1660589.96</v>
      </c>
      <c r="BH586" s="1683">
        <v>1574944.28</v>
      </c>
      <c r="BI586" s="1683">
        <v>85645.68</v>
      </c>
      <c r="BJ586" s="1683">
        <v>286135.67</v>
      </c>
      <c r="BK586" s="1683">
        <v>0</v>
      </c>
      <c r="BL586" s="1683">
        <v>286135.67</v>
      </c>
      <c r="BM586" s="1683">
        <v>0</v>
      </c>
      <c r="BN586" s="1683">
        <v>0</v>
      </c>
      <c r="BO586" s="1682"/>
      <c r="BP586" s="1683">
        <v>603899.16</v>
      </c>
      <c r="BQ586" s="1683">
        <v>603899.16</v>
      </c>
      <c r="BR586" s="1683">
        <v>537973.98</v>
      </c>
      <c r="BS586" s="1683">
        <v>510122.61</v>
      </c>
      <c r="BT586" s="1683">
        <v>27851.37</v>
      </c>
      <c r="BU586" s="1683">
        <v>65925.179999999993</v>
      </c>
      <c r="BV586" s="1683">
        <v>0</v>
      </c>
      <c r="BW586" s="1683">
        <v>3964.97</v>
      </c>
      <c r="BX586" s="1683">
        <v>0</v>
      </c>
      <c r="BY586" s="1683">
        <v>0</v>
      </c>
      <c r="BZ586" s="1683">
        <v>0</v>
      </c>
      <c r="CA586" s="1683">
        <v>0</v>
      </c>
      <c r="CB586" s="1682"/>
      <c r="CC586" s="1682"/>
      <c r="CD586" s="1683">
        <v>0</v>
      </c>
      <c r="CE586" s="1683">
        <v>0</v>
      </c>
      <c r="CF586" s="1683">
        <v>0</v>
      </c>
      <c r="CG586" s="1683">
        <v>0</v>
      </c>
      <c r="CH586" s="1683">
        <v>0</v>
      </c>
      <c r="CI586" s="1683">
        <v>0</v>
      </c>
      <c r="CJ586" s="1683">
        <v>2234.98</v>
      </c>
      <c r="CK586" s="1683">
        <v>2234.98</v>
      </c>
      <c r="CL586" s="1682"/>
      <c r="CM586" s="1683">
        <v>26431.98</v>
      </c>
      <c r="CN586" s="1683">
        <v>26431.98</v>
      </c>
      <c r="CO586" s="1683">
        <v>22467.01</v>
      </c>
      <c r="CP586" s="1683">
        <v>22467.01</v>
      </c>
      <c r="CQ586" s="1683">
        <v>0</v>
      </c>
      <c r="CR586" s="1683">
        <v>3964.97</v>
      </c>
      <c r="CS586" s="1683">
        <v>0</v>
      </c>
      <c r="CT586" s="1683">
        <v>3964.97</v>
      </c>
      <c r="CU586" s="1683">
        <v>0</v>
      </c>
      <c r="CV586" s="1683">
        <v>0</v>
      </c>
      <c r="CW586" s="1682"/>
      <c r="CX586" s="1683">
        <v>0</v>
      </c>
      <c r="CY586" s="1683">
        <v>0</v>
      </c>
      <c r="CZ586" s="1683">
        <v>26431.98</v>
      </c>
      <c r="DA586" s="1683">
        <v>26431.98</v>
      </c>
      <c r="DB586" s="1682"/>
      <c r="DC586" s="1326"/>
      <c r="DD586" s="1683">
        <v>0</v>
      </c>
      <c r="DE586" s="1683">
        <v>0</v>
      </c>
      <c r="DF586" s="1683">
        <v>0</v>
      </c>
      <c r="DG586" s="1683">
        <v>0</v>
      </c>
      <c r="DH586" s="1683">
        <v>0</v>
      </c>
    </row>
    <row r="587" spans="1:112">
      <c r="A587" s="1326" t="s">
        <v>3907</v>
      </c>
      <c r="B587" s="1326" t="s">
        <v>1704</v>
      </c>
      <c r="C587" s="1326" t="s">
        <v>2580</v>
      </c>
      <c r="D587" s="1326" t="s">
        <v>2581</v>
      </c>
      <c r="E587" s="1326" t="s">
        <v>140</v>
      </c>
      <c r="F587" s="1326"/>
      <c r="G587" s="1326"/>
      <c r="H587" s="1326"/>
      <c r="I587" s="1326"/>
      <c r="J587" s="1326"/>
      <c r="K587" s="1326"/>
      <c r="L587" s="1326"/>
      <c r="M587" s="1683">
        <v>1459021.77</v>
      </c>
      <c r="N587" s="1683">
        <v>0</v>
      </c>
      <c r="O587" s="1683">
        <v>1459021.77</v>
      </c>
      <c r="P587" s="1683">
        <v>1459021.77</v>
      </c>
      <c r="Q587" s="1683">
        <v>1239051</v>
      </c>
      <c r="R587" s="1683">
        <v>1138588</v>
      </c>
      <c r="S587" s="1683">
        <v>100463</v>
      </c>
      <c r="T587" s="1683">
        <v>219970.77</v>
      </c>
      <c r="U587" s="1683">
        <v>0</v>
      </c>
      <c r="V587" s="1683">
        <v>219970.77</v>
      </c>
      <c r="W587" s="1683">
        <v>0</v>
      </c>
      <c r="X587" s="1683">
        <v>0</v>
      </c>
      <c r="Y587" s="1682"/>
      <c r="Z587" s="1326"/>
      <c r="AA587" s="1683">
        <v>0</v>
      </c>
      <c r="AB587" s="1683">
        <v>0</v>
      </c>
      <c r="AC587" s="1683">
        <v>0</v>
      </c>
      <c r="AD587" s="1682"/>
      <c r="AE587" s="1326"/>
      <c r="AF587" s="1326"/>
      <c r="AG587" s="1410"/>
      <c r="AH587" s="1683">
        <v>536224.78</v>
      </c>
      <c r="AI587" s="1683">
        <v>628262.18000000005</v>
      </c>
      <c r="AJ587" s="1683">
        <v>575104.06000000006</v>
      </c>
      <c r="AK587" s="1683">
        <v>528474.31999999995</v>
      </c>
      <c r="AL587" s="1683">
        <v>46629.74</v>
      </c>
      <c r="AM587" s="1682"/>
      <c r="AN587" s="1683">
        <v>536224.78</v>
      </c>
      <c r="AO587" s="1683">
        <v>536224.78</v>
      </c>
      <c r="AP587" s="1683">
        <v>483066.66</v>
      </c>
      <c r="AQ587" s="1683">
        <v>443899.51</v>
      </c>
      <c r="AR587" s="1683">
        <v>39167.15</v>
      </c>
      <c r="AS587" s="1683">
        <v>53158.12</v>
      </c>
      <c r="AT587" s="1683">
        <v>0</v>
      </c>
      <c r="AU587" s="1683">
        <v>53158.12</v>
      </c>
      <c r="AV587" s="1683">
        <v>0</v>
      </c>
      <c r="AW587" s="1683">
        <v>0</v>
      </c>
      <c r="AX587" s="1683">
        <v>0</v>
      </c>
      <c r="AY587" s="1683">
        <v>0</v>
      </c>
      <c r="AZ587" s="1683">
        <v>0</v>
      </c>
      <c r="BA587" s="1682"/>
      <c r="BB587" s="1682"/>
      <c r="BC587" s="1683">
        <v>0</v>
      </c>
      <c r="BD587" s="1683">
        <v>0</v>
      </c>
      <c r="BE587" s="1683">
        <v>536224.78</v>
      </c>
      <c r="BF587" s="1683">
        <v>536224.78</v>
      </c>
      <c r="BG587" s="1683">
        <v>483066.66</v>
      </c>
      <c r="BH587" s="1683">
        <v>443899.51</v>
      </c>
      <c r="BI587" s="1683">
        <v>39167.15</v>
      </c>
      <c r="BJ587" s="1683">
        <v>53158.12</v>
      </c>
      <c r="BK587" s="1683">
        <v>0</v>
      </c>
      <c r="BL587" s="1683">
        <v>53158.12</v>
      </c>
      <c r="BM587" s="1683">
        <v>0</v>
      </c>
      <c r="BN587" s="1683">
        <v>0</v>
      </c>
      <c r="BO587" s="1682"/>
      <c r="BP587" s="1683">
        <v>60453.94</v>
      </c>
      <c r="BQ587" s="1683">
        <v>60453.94</v>
      </c>
      <c r="BR587" s="1683">
        <v>52633.73</v>
      </c>
      <c r="BS587" s="1683">
        <v>48366.13</v>
      </c>
      <c r="BT587" s="1683">
        <v>4267.6000000000004</v>
      </c>
      <c r="BU587" s="1683">
        <v>7820.21</v>
      </c>
      <c r="BV587" s="1683">
        <v>0</v>
      </c>
      <c r="BW587" s="1683">
        <v>0</v>
      </c>
      <c r="BX587" s="1683">
        <v>0</v>
      </c>
      <c r="BY587" s="1683">
        <v>0</v>
      </c>
      <c r="BZ587" s="1683">
        <v>0</v>
      </c>
      <c r="CA587" s="1683">
        <v>0</v>
      </c>
      <c r="CB587" s="1682"/>
      <c r="CC587" s="1682"/>
      <c r="CD587" s="1683">
        <v>0</v>
      </c>
      <c r="CE587" s="1683">
        <v>0</v>
      </c>
      <c r="CF587" s="1683">
        <v>0</v>
      </c>
      <c r="CG587" s="1683">
        <v>0</v>
      </c>
      <c r="CH587" s="1683">
        <v>0</v>
      </c>
      <c r="CI587" s="1683">
        <v>0</v>
      </c>
      <c r="CJ587" s="1683">
        <v>567.97</v>
      </c>
      <c r="CK587" s="1683">
        <v>567.97</v>
      </c>
      <c r="CL587" s="1682"/>
      <c r="CM587" s="1683">
        <v>0</v>
      </c>
      <c r="CN587" s="1683">
        <v>0</v>
      </c>
      <c r="CO587" s="1683">
        <v>0</v>
      </c>
      <c r="CP587" s="1683">
        <v>0</v>
      </c>
      <c r="CQ587" s="1683">
        <v>0</v>
      </c>
      <c r="CR587" s="1683">
        <v>0</v>
      </c>
      <c r="CS587" s="1683">
        <v>0</v>
      </c>
      <c r="CT587" s="1683">
        <v>0</v>
      </c>
      <c r="CU587" s="1683">
        <v>0</v>
      </c>
      <c r="CV587" s="1683">
        <v>0</v>
      </c>
      <c r="CW587" s="1682"/>
      <c r="CX587" s="1683">
        <v>0</v>
      </c>
      <c r="CY587" s="1683">
        <v>0</v>
      </c>
      <c r="CZ587" s="1683">
        <v>0</v>
      </c>
      <c r="DA587" s="1683">
        <v>0</v>
      </c>
      <c r="DB587" s="1682"/>
      <c r="DC587" s="1326"/>
      <c r="DD587" s="1683">
        <v>0</v>
      </c>
      <c r="DE587" s="1683">
        <v>0</v>
      </c>
      <c r="DF587" s="1683">
        <v>0</v>
      </c>
      <c r="DG587" s="1683">
        <v>0</v>
      </c>
      <c r="DH587" s="1683">
        <v>0</v>
      </c>
    </row>
    <row r="588" spans="1:112" ht="45">
      <c r="A588" s="1326" t="s">
        <v>3908</v>
      </c>
      <c r="B588" s="1326" t="s">
        <v>1704</v>
      </c>
      <c r="C588" s="1326" t="s">
        <v>2580</v>
      </c>
      <c r="D588" s="1326" t="s">
        <v>2581</v>
      </c>
      <c r="E588" s="1326" t="s">
        <v>140</v>
      </c>
      <c r="F588" s="1326" t="s">
        <v>2582</v>
      </c>
      <c r="G588" s="1326" t="s">
        <v>2556</v>
      </c>
      <c r="H588" s="1326" t="s">
        <v>2541</v>
      </c>
      <c r="I588" s="1326" t="s">
        <v>1238</v>
      </c>
      <c r="J588" s="1326" t="s">
        <v>2435</v>
      </c>
      <c r="K588" s="1326" t="s">
        <v>2071</v>
      </c>
      <c r="L588" s="1326" t="s">
        <v>2061</v>
      </c>
      <c r="M588" s="1683">
        <v>181986</v>
      </c>
      <c r="N588" s="1683">
        <v>0</v>
      </c>
      <c r="O588" s="1683">
        <v>181986</v>
      </c>
      <c r="P588" s="1683">
        <v>181986</v>
      </c>
      <c r="Q588" s="1683">
        <v>168337</v>
      </c>
      <c r="R588" s="1683">
        <v>154688</v>
      </c>
      <c r="S588" s="1683">
        <v>13649</v>
      </c>
      <c r="T588" s="1683">
        <v>13649</v>
      </c>
      <c r="U588" s="1683">
        <v>0</v>
      </c>
      <c r="V588" s="1683">
        <v>13649</v>
      </c>
      <c r="W588" s="1683">
        <v>0</v>
      </c>
      <c r="X588" s="1683">
        <v>0</v>
      </c>
      <c r="Y588" s="1682"/>
      <c r="Z588" s="1326"/>
      <c r="AA588" s="1683">
        <v>0</v>
      </c>
      <c r="AB588" s="1683">
        <v>0</v>
      </c>
      <c r="AC588" s="1683">
        <v>0</v>
      </c>
      <c r="AD588" s="1682"/>
      <c r="AE588" s="1326"/>
      <c r="AF588" s="1326"/>
      <c r="AG588" s="1410"/>
      <c r="AH588" s="1683">
        <v>92591.03</v>
      </c>
      <c r="AI588" s="1683">
        <v>129570.03</v>
      </c>
      <c r="AJ588" s="1683">
        <v>122625.67</v>
      </c>
      <c r="AK588" s="1683">
        <v>112683.01</v>
      </c>
      <c r="AL588" s="1683">
        <v>9942.66</v>
      </c>
      <c r="AM588" s="1682"/>
      <c r="AN588" s="1683">
        <v>92591.03</v>
      </c>
      <c r="AO588" s="1683">
        <v>92591.03</v>
      </c>
      <c r="AP588" s="1683">
        <v>85646.67</v>
      </c>
      <c r="AQ588" s="1683">
        <v>78702.320000000007</v>
      </c>
      <c r="AR588" s="1683">
        <v>6944.35</v>
      </c>
      <c r="AS588" s="1683">
        <v>6944.36</v>
      </c>
      <c r="AT588" s="1683">
        <v>0</v>
      </c>
      <c r="AU588" s="1683">
        <v>6944.36</v>
      </c>
      <c r="AV588" s="1683">
        <v>0</v>
      </c>
      <c r="AW588" s="1683">
        <v>0</v>
      </c>
      <c r="AX588" s="1683">
        <v>0</v>
      </c>
      <c r="AY588" s="1683">
        <v>0</v>
      </c>
      <c r="AZ588" s="1683">
        <v>0</v>
      </c>
      <c r="BA588" s="1682"/>
      <c r="BB588" s="1682"/>
      <c r="BC588" s="1683">
        <v>0</v>
      </c>
      <c r="BD588" s="1683">
        <v>0</v>
      </c>
      <c r="BE588" s="1683">
        <v>92591.03</v>
      </c>
      <c r="BF588" s="1683">
        <v>92591.03</v>
      </c>
      <c r="BG588" s="1683">
        <v>85646.67</v>
      </c>
      <c r="BH588" s="1683">
        <v>78702.320000000007</v>
      </c>
      <c r="BI588" s="1683">
        <v>6944.35</v>
      </c>
      <c r="BJ588" s="1683">
        <v>6944.36</v>
      </c>
      <c r="BK588" s="1683">
        <v>0</v>
      </c>
      <c r="BL588" s="1683">
        <v>6944.36</v>
      </c>
      <c r="BM588" s="1683">
        <v>0</v>
      </c>
      <c r="BN588" s="1683">
        <v>0</v>
      </c>
      <c r="BO588" s="1682"/>
      <c r="BP588" s="1683">
        <v>49354.23</v>
      </c>
      <c r="BQ588" s="1683">
        <v>49354.23</v>
      </c>
      <c r="BR588" s="1683">
        <v>45652.639999999999</v>
      </c>
      <c r="BS588" s="1683">
        <v>41951.06</v>
      </c>
      <c r="BT588" s="1683">
        <v>3701.58</v>
      </c>
      <c r="BU588" s="1683">
        <v>3701.59</v>
      </c>
      <c r="BV588" s="1683">
        <v>0</v>
      </c>
      <c r="BW588" s="1683">
        <v>0</v>
      </c>
      <c r="BX588" s="1683">
        <v>0</v>
      </c>
      <c r="BY588" s="1683">
        <v>0</v>
      </c>
      <c r="BZ588" s="1683">
        <v>0</v>
      </c>
      <c r="CA588" s="1683">
        <v>0</v>
      </c>
      <c r="CB588" s="1682"/>
      <c r="CC588" s="1682"/>
      <c r="CD588" s="1683">
        <v>0</v>
      </c>
      <c r="CE588" s="1683">
        <v>0</v>
      </c>
      <c r="CF588" s="1683">
        <v>0</v>
      </c>
      <c r="CG588" s="1683">
        <v>0</v>
      </c>
      <c r="CH588" s="1683">
        <v>0</v>
      </c>
      <c r="CI588" s="1683">
        <v>0</v>
      </c>
      <c r="CJ588" s="1683">
        <v>536.99</v>
      </c>
      <c r="CK588" s="1683">
        <v>536.99</v>
      </c>
      <c r="CL588" s="1682"/>
      <c r="CM588" s="1683">
        <v>0</v>
      </c>
      <c r="CN588" s="1683">
        <v>0</v>
      </c>
      <c r="CO588" s="1683">
        <v>0</v>
      </c>
      <c r="CP588" s="1683">
        <v>0</v>
      </c>
      <c r="CQ588" s="1683">
        <v>0</v>
      </c>
      <c r="CR588" s="1683">
        <v>0</v>
      </c>
      <c r="CS588" s="1683">
        <v>0</v>
      </c>
      <c r="CT588" s="1683">
        <v>0</v>
      </c>
      <c r="CU588" s="1683">
        <v>0</v>
      </c>
      <c r="CV588" s="1683">
        <v>0</v>
      </c>
      <c r="CW588" s="1682"/>
      <c r="CX588" s="1683">
        <v>0</v>
      </c>
      <c r="CY588" s="1683">
        <v>0</v>
      </c>
      <c r="CZ588" s="1683">
        <v>0</v>
      </c>
      <c r="DA588" s="1683">
        <v>0</v>
      </c>
      <c r="DB588" s="1682"/>
      <c r="DC588" s="1326"/>
      <c r="DD588" s="1683">
        <v>0</v>
      </c>
      <c r="DE588" s="1683">
        <v>0</v>
      </c>
      <c r="DF588" s="1683">
        <v>0</v>
      </c>
      <c r="DG588" s="1683">
        <v>0</v>
      </c>
      <c r="DH588" s="1683">
        <v>0</v>
      </c>
    </row>
    <row r="589" spans="1:112" ht="45">
      <c r="A589" s="1326" t="s">
        <v>3909</v>
      </c>
      <c r="B589" s="1326" t="s">
        <v>1704</v>
      </c>
      <c r="C589" s="1326" t="s">
        <v>2580</v>
      </c>
      <c r="D589" s="1326" t="s">
        <v>2581</v>
      </c>
      <c r="E589" s="1326" t="s">
        <v>140</v>
      </c>
      <c r="F589" s="1326" t="s">
        <v>2582</v>
      </c>
      <c r="G589" s="1326" t="s">
        <v>2556</v>
      </c>
      <c r="H589" s="1326" t="s">
        <v>2541</v>
      </c>
      <c r="I589" s="1326" t="s">
        <v>1238</v>
      </c>
      <c r="J589" s="1326" t="s">
        <v>2435</v>
      </c>
      <c r="K589" s="1326" t="s">
        <v>2071</v>
      </c>
      <c r="L589" s="1326" t="s">
        <v>2061</v>
      </c>
      <c r="M589" s="1400"/>
      <c r="N589" s="1400"/>
      <c r="O589" s="1400"/>
      <c r="P589" s="1400"/>
      <c r="Q589" s="1400"/>
      <c r="R589" s="1400"/>
      <c r="S589" s="1400"/>
      <c r="T589" s="1400"/>
      <c r="U589" s="1400"/>
      <c r="V589" s="1400"/>
      <c r="W589" s="1400"/>
      <c r="X589" s="1400"/>
      <c r="Y589" s="1685">
        <v>43210</v>
      </c>
      <c r="Z589" s="1326" t="s">
        <v>2096</v>
      </c>
      <c r="AA589" s="1683">
        <v>0</v>
      </c>
      <c r="AB589" s="1683">
        <v>0</v>
      </c>
      <c r="AC589" s="1683">
        <v>0</v>
      </c>
      <c r="AD589" s="1685">
        <v>43222</v>
      </c>
      <c r="AE589" s="1326" t="s">
        <v>2073</v>
      </c>
      <c r="AF589" s="1326" t="s">
        <v>2064</v>
      </c>
      <c r="AG589" s="1410"/>
      <c r="AH589" s="1683">
        <v>0</v>
      </c>
      <c r="AI589" s="1683">
        <v>1979</v>
      </c>
      <c r="AJ589" s="1683">
        <v>1979</v>
      </c>
      <c r="AK589" s="1683">
        <v>1818.54</v>
      </c>
      <c r="AL589" s="1683">
        <v>160.46</v>
      </c>
      <c r="AM589" s="1682"/>
      <c r="AN589" s="1683">
        <v>0</v>
      </c>
      <c r="AO589" s="1683">
        <v>0</v>
      </c>
      <c r="AP589" s="1683">
        <v>0</v>
      </c>
      <c r="AQ589" s="1683">
        <v>0</v>
      </c>
      <c r="AR589" s="1683">
        <v>0</v>
      </c>
      <c r="AS589" s="1683">
        <v>0</v>
      </c>
      <c r="AT589" s="1683">
        <v>0</v>
      </c>
      <c r="AU589" s="1683">
        <v>0</v>
      </c>
      <c r="AV589" s="1683">
        <v>0</v>
      </c>
      <c r="AW589" s="1683">
        <v>0</v>
      </c>
      <c r="AX589" s="1400"/>
      <c r="AY589" s="1400"/>
      <c r="AZ589" s="1400"/>
      <c r="BA589" s="1682"/>
      <c r="BB589" s="1682"/>
      <c r="BC589" s="1400"/>
      <c r="BD589" s="1400"/>
      <c r="BE589" s="1683">
        <v>0</v>
      </c>
      <c r="BF589" s="1683">
        <v>0</v>
      </c>
      <c r="BG589" s="1683">
        <v>0</v>
      </c>
      <c r="BH589" s="1683">
        <v>0</v>
      </c>
      <c r="BI589" s="1683">
        <v>0</v>
      </c>
      <c r="BJ589" s="1683">
        <v>0</v>
      </c>
      <c r="BK589" s="1683">
        <v>0</v>
      </c>
      <c r="BL589" s="1683">
        <v>0</v>
      </c>
      <c r="BM589" s="1683">
        <v>0</v>
      </c>
      <c r="BN589" s="1683">
        <v>0</v>
      </c>
      <c r="BO589" s="1682"/>
      <c r="BP589" s="1683">
        <v>0</v>
      </c>
      <c r="BQ589" s="1683">
        <v>0</v>
      </c>
      <c r="BR589" s="1683">
        <v>0</v>
      </c>
      <c r="BS589" s="1683">
        <v>0</v>
      </c>
      <c r="BT589" s="1683">
        <v>0</v>
      </c>
      <c r="BU589" s="1683">
        <v>0</v>
      </c>
      <c r="BV589" s="1683">
        <v>0</v>
      </c>
      <c r="BW589" s="1683">
        <v>0</v>
      </c>
      <c r="BX589" s="1683">
        <v>0</v>
      </c>
      <c r="BY589" s="1683">
        <v>0</v>
      </c>
      <c r="BZ589" s="1400"/>
      <c r="CA589" s="1400"/>
      <c r="CB589" s="1682"/>
      <c r="CC589" s="1682"/>
      <c r="CD589" s="1400"/>
      <c r="CE589" s="1400"/>
      <c r="CF589" s="1683">
        <v>0</v>
      </c>
      <c r="CG589" s="1683">
        <v>0</v>
      </c>
      <c r="CH589" s="1683">
        <v>0</v>
      </c>
      <c r="CI589" s="1683">
        <v>0</v>
      </c>
      <c r="CJ589" s="1683">
        <v>0</v>
      </c>
      <c r="CK589" s="1683">
        <v>0</v>
      </c>
      <c r="CL589" s="1682"/>
      <c r="CM589" s="1683">
        <v>0</v>
      </c>
      <c r="CN589" s="1683">
        <v>0</v>
      </c>
      <c r="CO589" s="1683">
        <v>0</v>
      </c>
      <c r="CP589" s="1683">
        <v>0</v>
      </c>
      <c r="CQ589" s="1683">
        <v>0</v>
      </c>
      <c r="CR589" s="1683">
        <v>0</v>
      </c>
      <c r="CS589" s="1683">
        <v>0</v>
      </c>
      <c r="CT589" s="1683">
        <v>0</v>
      </c>
      <c r="CU589" s="1683">
        <v>0</v>
      </c>
      <c r="CV589" s="1683">
        <v>0</v>
      </c>
      <c r="CW589" s="1682"/>
      <c r="CX589" s="1400"/>
      <c r="CY589" s="1400"/>
      <c r="CZ589" s="1400"/>
      <c r="DA589" s="1400"/>
      <c r="DB589" s="1682"/>
      <c r="DC589" s="1326"/>
      <c r="DD589" s="1683">
        <v>0</v>
      </c>
      <c r="DE589" s="1400"/>
      <c r="DF589" s="1400"/>
      <c r="DG589" s="1683">
        <v>0</v>
      </c>
      <c r="DH589" s="1683">
        <v>0</v>
      </c>
    </row>
    <row r="590" spans="1:112" ht="45">
      <c r="A590" s="1326" t="s">
        <v>3910</v>
      </c>
      <c r="B590" s="1326" t="s">
        <v>1704</v>
      </c>
      <c r="C590" s="1326" t="s">
        <v>2580</v>
      </c>
      <c r="D590" s="1326" t="s">
        <v>2581</v>
      </c>
      <c r="E590" s="1326" t="s">
        <v>140</v>
      </c>
      <c r="F590" s="1326" t="s">
        <v>2582</v>
      </c>
      <c r="G590" s="1326" t="s">
        <v>2556</v>
      </c>
      <c r="H590" s="1326" t="s">
        <v>2541</v>
      </c>
      <c r="I590" s="1326" t="s">
        <v>1238</v>
      </c>
      <c r="J590" s="1326" t="s">
        <v>2435</v>
      </c>
      <c r="K590" s="1326" t="s">
        <v>2071</v>
      </c>
      <c r="L590" s="1326" t="s">
        <v>2061</v>
      </c>
      <c r="M590" s="1400"/>
      <c r="N590" s="1400"/>
      <c r="O590" s="1400"/>
      <c r="P590" s="1400"/>
      <c r="Q590" s="1400"/>
      <c r="R590" s="1400"/>
      <c r="S590" s="1400"/>
      <c r="T590" s="1400"/>
      <c r="U590" s="1400"/>
      <c r="V590" s="1400"/>
      <c r="W590" s="1400"/>
      <c r="X590" s="1400"/>
      <c r="Y590" s="1685">
        <v>43315</v>
      </c>
      <c r="Z590" s="1326" t="s">
        <v>2096</v>
      </c>
      <c r="AA590" s="1683">
        <v>0</v>
      </c>
      <c r="AB590" s="1683">
        <v>0</v>
      </c>
      <c r="AC590" s="1683">
        <v>0</v>
      </c>
      <c r="AD590" s="1685">
        <v>43328</v>
      </c>
      <c r="AE590" s="1326" t="s">
        <v>2066</v>
      </c>
      <c r="AF590" s="1326" t="s">
        <v>2064</v>
      </c>
      <c r="AG590" s="1410"/>
      <c r="AH590" s="1683">
        <v>0</v>
      </c>
      <c r="AI590" s="1683">
        <v>35000</v>
      </c>
      <c r="AJ590" s="1683">
        <v>35000</v>
      </c>
      <c r="AK590" s="1683">
        <v>32162.15</v>
      </c>
      <c r="AL590" s="1683">
        <v>2837.85</v>
      </c>
      <c r="AM590" s="1682"/>
      <c r="AN590" s="1683">
        <v>0</v>
      </c>
      <c r="AO590" s="1683">
        <v>0</v>
      </c>
      <c r="AP590" s="1683">
        <v>0</v>
      </c>
      <c r="AQ590" s="1683">
        <v>0</v>
      </c>
      <c r="AR590" s="1683">
        <v>0</v>
      </c>
      <c r="AS590" s="1683">
        <v>0</v>
      </c>
      <c r="AT590" s="1683">
        <v>0</v>
      </c>
      <c r="AU590" s="1683">
        <v>0</v>
      </c>
      <c r="AV590" s="1683">
        <v>0</v>
      </c>
      <c r="AW590" s="1683">
        <v>0</v>
      </c>
      <c r="AX590" s="1400"/>
      <c r="AY590" s="1400"/>
      <c r="AZ590" s="1400"/>
      <c r="BA590" s="1682"/>
      <c r="BB590" s="1682"/>
      <c r="BC590" s="1400"/>
      <c r="BD590" s="1400"/>
      <c r="BE590" s="1683">
        <v>0</v>
      </c>
      <c r="BF590" s="1683">
        <v>0</v>
      </c>
      <c r="BG590" s="1683">
        <v>0</v>
      </c>
      <c r="BH590" s="1683">
        <v>0</v>
      </c>
      <c r="BI590" s="1683">
        <v>0</v>
      </c>
      <c r="BJ590" s="1683">
        <v>0</v>
      </c>
      <c r="BK590" s="1683">
        <v>0</v>
      </c>
      <c r="BL590" s="1683">
        <v>0</v>
      </c>
      <c r="BM590" s="1683">
        <v>0</v>
      </c>
      <c r="BN590" s="1683">
        <v>0</v>
      </c>
      <c r="BO590" s="1682"/>
      <c r="BP590" s="1683">
        <v>0</v>
      </c>
      <c r="BQ590" s="1683">
        <v>0</v>
      </c>
      <c r="BR590" s="1683">
        <v>0</v>
      </c>
      <c r="BS590" s="1683">
        <v>0</v>
      </c>
      <c r="BT590" s="1683">
        <v>0</v>
      </c>
      <c r="BU590" s="1683">
        <v>0</v>
      </c>
      <c r="BV590" s="1683">
        <v>0</v>
      </c>
      <c r="BW590" s="1683">
        <v>0</v>
      </c>
      <c r="BX590" s="1683">
        <v>0</v>
      </c>
      <c r="BY590" s="1683">
        <v>0</v>
      </c>
      <c r="BZ590" s="1400"/>
      <c r="CA590" s="1400"/>
      <c r="CB590" s="1682"/>
      <c r="CC590" s="1682"/>
      <c r="CD590" s="1400"/>
      <c r="CE590" s="1400"/>
      <c r="CF590" s="1683">
        <v>0</v>
      </c>
      <c r="CG590" s="1683">
        <v>0</v>
      </c>
      <c r="CH590" s="1683">
        <v>0</v>
      </c>
      <c r="CI590" s="1683">
        <v>0</v>
      </c>
      <c r="CJ590" s="1683">
        <v>0</v>
      </c>
      <c r="CK590" s="1683">
        <v>0</v>
      </c>
      <c r="CL590" s="1682"/>
      <c r="CM590" s="1683">
        <v>0</v>
      </c>
      <c r="CN590" s="1683">
        <v>0</v>
      </c>
      <c r="CO590" s="1683">
        <v>0</v>
      </c>
      <c r="CP590" s="1683">
        <v>0</v>
      </c>
      <c r="CQ590" s="1683">
        <v>0</v>
      </c>
      <c r="CR590" s="1683">
        <v>0</v>
      </c>
      <c r="CS590" s="1683">
        <v>0</v>
      </c>
      <c r="CT590" s="1683">
        <v>0</v>
      </c>
      <c r="CU590" s="1683">
        <v>0</v>
      </c>
      <c r="CV590" s="1683">
        <v>0</v>
      </c>
      <c r="CW590" s="1682"/>
      <c r="CX590" s="1400"/>
      <c r="CY590" s="1400"/>
      <c r="CZ590" s="1400"/>
      <c r="DA590" s="1400"/>
      <c r="DB590" s="1682"/>
      <c r="DC590" s="1326"/>
      <c r="DD590" s="1683">
        <v>0</v>
      </c>
      <c r="DE590" s="1400"/>
      <c r="DF590" s="1400"/>
      <c r="DG590" s="1683">
        <v>0</v>
      </c>
      <c r="DH590" s="1683">
        <v>0</v>
      </c>
    </row>
    <row r="591" spans="1:112" ht="45">
      <c r="A591" s="1326" t="s">
        <v>3911</v>
      </c>
      <c r="B591" s="1326" t="s">
        <v>1704</v>
      </c>
      <c r="C591" s="1326" t="s">
        <v>2580</v>
      </c>
      <c r="D591" s="1326" t="s">
        <v>2581</v>
      </c>
      <c r="E591" s="1326" t="s">
        <v>140</v>
      </c>
      <c r="F591" s="1326" t="s">
        <v>2582</v>
      </c>
      <c r="G591" s="1326" t="s">
        <v>2556</v>
      </c>
      <c r="H591" s="1326" t="s">
        <v>2541</v>
      </c>
      <c r="I591" s="1326" t="s">
        <v>1238</v>
      </c>
      <c r="J591" s="1326" t="s">
        <v>2435</v>
      </c>
      <c r="K591" s="1326" t="s">
        <v>2071</v>
      </c>
      <c r="L591" s="1326" t="s">
        <v>2061</v>
      </c>
      <c r="M591" s="1400"/>
      <c r="N591" s="1400"/>
      <c r="O591" s="1400"/>
      <c r="P591" s="1400"/>
      <c r="Q591" s="1400"/>
      <c r="R591" s="1400"/>
      <c r="S591" s="1400"/>
      <c r="T591" s="1400"/>
      <c r="U591" s="1400"/>
      <c r="V591" s="1400"/>
      <c r="W591" s="1400"/>
      <c r="X591" s="1400"/>
      <c r="Y591" s="1685">
        <v>43375</v>
      </c>
      <c r="Z591" s="1326" t="s">
        <v>2062</v>
      </c>
      <c r="AA591" s="1683">
        <v>0</v>
      </c>
      <c r="AB591" s="1683">
        <v>0</v>
      </c>
      <c r="AC591" s="1683">
        <v>0</v>
      </c>
      <c r="AD591" s="1685">
        <v>43412</v>
      </c>
      <c r="AE591" s="1326" t="s">
        <v>2079</v>
      </c>
      <c r="AF591" s="1326" t="s">
        <v>2067</v>
      </c>
      <c r="AG591" s="1410"/>
      <c r="AH591" s="1683">
        <v>30627.79</v>
      </c>
      <c r="AI591" s="1683">
        <v>30627.79</v>
      </c>
      <c r="AJ591" s="1683">
        <v>28330.69</v>
      </c>
      <c r="AK591" s="1683">
        <v>26033.599999999999</v>
      </c>
      <c r="AL591" s="1683">
        <v>2297.09</v>
      </c>
      <c r="AM591" s="1685">
        <v>43416</v>
      </c>
      <c r="AN591" s="1683">
        <v>30627.79</v>
      </c>
      <c r="AO591" s="1683">
        <v>30627.79</v>
      </c>
      <c r="AP591" s="1683">
        <v>28330.69</v>
      </c>
      <c r="AQ591" s="1683">
        <v>26033.599999999999</v>
      </c>
      <c r="AR591" s="1683">
        <v>2297.09</v>
      </c>
      <c r="AS591" s="1683">
        <v>2297.1</v>
      </c>
      <c r="AT591" s="1683">
        <v>0</v>
      </c>
      <c r="AU591" s="1683">
        <v>2297.1</v>
      </c>
      <c r="AV591" s="1683">
        <v>0</v>
      </c>
      <c r="AW591" s="1683">
        <v>0</v>
      </c>
      <c r="AX591" s="1400"/>
      <c r="AY591" s="1400"/>
      <c r="AZ591" s="1400"/>
      <c r="BA591" s="1682"/>
      <c r="BB591" s="1682"/>
      <c r="BC591" s="1400"/>
      <c r="BD591" s="1400"/>
      <c r="BE591" s="1683">
        <v>30627.79</v>
      </c>
      <c r="BF591" s="1683">
        <v>30627.79</v>
      </c>
      <c r="BG591" s="1683">
        <v>28330.69</v>
      </c>
      <c r="BH591" s="1683">
        <v>26033.599999999999</v>
      </c>
      <c r="BI591" s="1683">
        <v>2297.09</v>
      </c>
      <c r="BJ591" s="1683">
        <v>2297.1</v>
      </c>
      <c r="BK591" s="1683">
        <v>0</v>
      </c>
      <c r="BL591" s="1683">
        <v>2297.1</v>
      </c>
      <c r="BM591" s="1683">
        <v>0</v>
      </c>
      <c r="BN591" s="1683">
        <v>0</v>
      </c>
      <c r="BO591" s="1685">
        <v>43453</v>
      </c>
      <c r="BP591" s="1683">
        <v>30627.79</v>
      </c>
      <c r="BQ591" s="1683">
        <v>30627.79</v>
      </c>
      <c r="BR591" s="1683">
        <v>28330.69</v>
      </c>
      <c r="BS591" s="1683">
        <v>26033.599999999999</v>
      </c>
      <c r="BT591" s="1683">
        <v>2297.09</v>
      </c>
      <c r="BU591" s="1683">
        <v>2297.1</v>
      </c>
      <c r="BV591" s="1683">
        <v>0</v>
      </c>
      <c r="BW591" s="1683">
        <v>0</v>
      </c>
      <c r="BX591" s="1683">
        <v>0</v>
      </c>
      <c r="BY591" s="1683">
        <v>0</v>
      </c>
      <c r="BZ591" s="1683">
        <v>0</v>
      </c>
      <c r="CA591" s="1400"/>
      <c r="CB591" s="1682"/>
      <c r="CC591" s="1682"/>
      <c r="CD591" s="1400"/>
      <c r="CE591" s="1400"/>
      <c r="CF591" s="1683">
        <v>0</v>
      </c>
      <c r="CG591" s="1683">
        <v>0</v>
      </c>
      <c r="CH591" s="1683">
        <v>0</v>
      </c>
      <c r="CI591" s="1683">
        <v>0</v>
      </c>
      <c r="CJ591" s="1683">
        <v>333.24</v>
      </c>
      <c r="CK591" s="1683">
        <v>333.24</v>
      </c>
      <c r="CL591" s="1682"/>
      <c r="CM591" s="1683">
        <v>0</v>
      </c>
      <c r="CN591" s="1683">
        <v>0</v>
      </c>
      <c r="CO591" s="1683">
        <v>0</v>
      </c>
      <c r="CP591" s="1683">
        <v>0</v>
      </c>
      <c r="CQ591" s="1683">
        <v>0</v>
      </c>
      <c r="CR591" s="1683">
        <v>0</v>
      </c>
      <c r="CS591" s="1683">
        <v>0</v>
      </c>
      <c r="CT591" s="1683">
        <v>0</v>
      </c>
      <c r="CU591" s="1683">
        <v>0</v>
      </c>
      <c r="CV591" s="1683">
        <v>0</v>
      </c>
      <c r="CW591" s="1682"/>
      <c r="CX591" s="1400"/>
      <c r="CY591" s="1400"/>
      <c r="CZ591" s="1400"/>
      <c r="DA591" s="1400"/>
      <c r="DB591" s="1682"/>
      <c r="DC591" s="1326"/>
      <c r="DD591" s="1683">
        <v>0</v>
      </c>
      <c r="DE591" s="1400"/>
      <c r="DF591" s="1400"/>
      <c r="DG591" s="1683">
        <v>0</v>
      </c>
      <c r="DH591" s="1683">
        <v>0</v>
      </c>
    </row>
    <row r="592" spans="1:112" ht="45">
      <c r="A592" s="1326" t="s">
        <v>3912</v>
      </c>
      <c r="B592" s="1326" t="s">
        <v>1704</v>
      </c>
      <c r="C592" s="1326" t="s">
        <v>2580</v>
      </c>
      <c r="D592" s="1326" t="s">
        <v>2581</v>
      </c>
      <c r="E592" s="1326" t="s">
        <v>140</v>
      </c>
      <c r="F592" s="1326" t="s">
        <v>2582</v>
      </c>
      <c r="G592" s="1326" t="s">
        <v>2556</v>
      </c>
      <c r="H592" s="1326" t="s">
        <v>2541</v>
      </c>
      <c r="I592" s="1326" t="s">
        <v>1238</v>
      </c>
      <c r="J592" s="1326" t="s">
        <v>2435</v>
      </c>
      <c r="K592" s="1326" t="s">
        <v>2071</v>
      </c>
      <c r="L592" s="1326" t="s">
        <v>2061</v>
      </c>
      <c r="M592" s="1400"/>
      <c r="N592" s="1400"/>
      <c r="O592" s="1400"/>
      <c r="P592" s="1400"/>
      <c r="Q592" s="1400"/>
      <c r="R592" s="1400"/>
      <c r="S592" s="1400"/>
      <c r="T592" s="1400"/>
      <c r="U592" s="1400"/>
      <c r="V592" s="1400"/>
      <c r="W592" s="1400"/>
      <c r="X592" s="1400"/>
      <c r="Y592" s="1685">
        <v>43375</v>
      </c>
      <c r="Z592" s="1326" t="s">
        <v>2062</v>
      </c>
      <c r="AA592" s="1683">
        <v>0</v>
      </c>
      <c r="AB592" s="1683">
        <v>0</v>
      </c>
      <c r="AC592" s="1683">
        <v>0</v>
      </c>
      <c r="AD592" s="1685">
        <v>43412</v>
      </c>
      <c r="AE592" s="1326" t="s">
        <v>2079</v>
      </c>
      <c r="AF592" s="1326" t="s">
        <v>2064</v>
      </c>
      <c r="AG592" s="1410"/>
      <c r="AH592" s="1683">
        <v>18726.439999999999</v>
      </c>
      <c r="AI592" s="1683">
        <v>18726.439999999999</v>
      </c>
      <c r="AJ592" s="1683">
        <v>17321.95</v>
      </c>
      <c r="AK592" s="1683">
        <v>15917.46</v>
      </c>
      <c r="AL592" s="1683">
        <v>1404.49</v>
      </c>
      <c r="AM592" s="1685">
        <v>43412</v>
      </c>
      <c r="AN592" s="1683">
        <v>18726.439999999999</v>
      </c>
      <c r="AO592" s="1683">
        <v>18726.439999999999</v>
      </c>
      <c r="AP592" s="1683">
        <v>17321.95</v>
      </c>
      <c r="AQ592" s="1683">
        <v>15917.46</v>
      </c>
      <c r="AR592" s="1683">
        <v>1404.49</v>
      </c>
      <c r="AS592" s="1683">
        <v>1404.49</v>
      </c>
      <c r="AT592" s="1683">
        <v>0</v>
      </c>
      <c r="AU592" s="1683">
        <v>1404.49</v>
      </c>
      <c r="AV592" s="1683">
        <v>0</v>
      </c>
      <c r="AW592" s="1683">
        <v>0</v>
      </c>
      <c r="AX592" s="1400"/>
      <c r="AY592" s="1400"/>
      <c r="AZ592" s="1400"/>
      <c r="BA592" s="1682"/>
      <c r="BB592" s="1682"/>
      <c r="BC592" s="1400"/>
      <c r="BD592" s="1400"/>
      <c r="BE592" s="1683">
        <v>18726.439999999999</v>
      </c>
      <c r="BF592" s="1683">
        <v>18726.439999999999</v>
      </c>
      <c r="BG592" s="1683">
        <v>17321.95</v>
      </c>
      <c r="BH592" s="1683">
        <v>15917.46</v>
      </c>
      <c r="BI592" s="1683">
        <v>1404.49</v>
      </c>
      <c r="BJ592" s="1683">
        <v>1404.49</v>
      </c>
      <c r="BK592" s="1683">
        <v>0</v>
      </c>
      <c r="BL592" s="1683">
        <v>1404.49</v>
      </c>
      <c r="BM592" s="1683">
        <v>0</v>
      </c>
      <c r="BN592" s="1683">
        <v>0</v>
      </c>
      <c r="BO592" s="1685">
        <v>43453</v>
      </c>
      <c r="BP592" s="1683">
        <v>18726.439999999999</v>
      </c>
      <c r="BQ592" s="1683">
        <v>18726.439999999999</v>
      </c>
      <c r="BR592" s="1683">
        <v>17321.95</v>
      </c>
      <c r="BS592" s="1683">
        <v>15917.46</v>
      </c>
      <c r="BT592" s="1683">
        <v>1404.49</v>
      </c>
      <c r="BU592" s="1683">
        <v>1404.49</v>
      </c>
      <c r="BV592" s="1683">
        <v>0</v>
      </c>
      <c r="BW592" s="1683">
        <v>0</v>
      </c>
      <c r="BX592" s="1683">
        <v>0</v>
      </c>
      <c r="BY592" s="1683">
        <v>0</v>
      </c>
      <c r="BZ592" s="1683">
        <v>0</v>
      </c>
      <c r="CA592" s="1400"/>
      <c r="CB592" s="1682"/>
      <c r="CC592" s="1682"/>
      <c r="CD592" s="1400"/>
      <c r="CE592" s="1400"/>
      <c r="CF592" s="1683">
        <v>0</v>
      </c>
      <c r="CG592" s="1683">
        <v>0</v>
      </c>
      <c r="CH592" s="1683">
        <v>0</v>
      </c>
      <c r="CI592" s="1683">
        <v>0</v>
      </c>
      <c r="CJ592" s="1683">
        <v>203.75</v>
      </c>
      <c r="CK592" s="1683">
        <v>203.75</v>
      </c>
      <c r="CL592" s="1682"/>
      <c r="CM592" s="1683">
        <v>0</v>
      </c>
      <c r="CN592" s="1683">
        <v>0</v>
      </c>
      <c r="CO592" s="1683">
        <v>0</v>
      </c>
      <c r="CP592" s="1683">
        <v>0</v>
      </c>
      <c r="CQ592" s="1683">
        <v>0</v>
      </c>
      <c r="CR592" s="1683">
        <v>0</v>
      </c>
      <c r="CS592" s="1683">
        <v>0</v>
      </c>
      <c r="CT592" s="1683">
        <v>0</v>
      </c>
      <c r="CU592" s="1683">
        <v>0</v>
      </c>
      <c r="CV592" s="1683">
        <v>0</v>
      </c>
      <c r="CW592" s="1682"/>
      <c r="CX592" s="1400"/>
      <c r="CY592" s="1400"/>
      <c r="CZ592" s="1400"/>
      <c r="DA592" s="1400"/>
      <c r="DB592" s="1682"/>
      <c r="DC592" s="1326"/>
      <c r="DD592" s="1683">
        <v>0</v>
      </c>
      <c r="DE592" s="1400"/>
      <c r="DF592" s="1400"/>
      <c r="DG592" s="1683">
        <v>0</v>
      </c>
      <c r="DH592" s="1683">
        <v>0</v>
      </c>
    </row>
    <row r="593" spans="1:112" ht="45">
      <c r="A593" s="1326" t="s">
        <v>3913</v>
      </c>
      <c r="B593" s="1326" t="s">
        <v>1704</v>
      </c>
      <c r="C593" s="1326" t="s">
        <v>2580</v>
      </c>
      <c r="D593" s="1326" t="s">
        <v>2581</v>
      </c>
      <c r="E593" s="1326" t="s">
        <v>140</v>
      </c>
      <c r="F593" s="1326" t="s">
        <v>2582</v>
      </c>
      <c r="G593" s="1326" t="s">
        <v>2556</v>
      </c>
      <c r="H593" s="1326" t="s">
        <v>2541</v>
      </c>
      <c r="I593" s="1326" t="s">
        <v>1238</v>
      </c>
      <c r="J593" s="1326" t="s">
        <v>2435</v>
      </c>
      <c r="K593" s="1326" t="s">
        <v>2071</v>
      </c>
      <c r="L593" s="1326" t="s">
        <v>2061</v>
      </c>
      <c r="M593" s="1400"/>
      <c r="N593" s="1400"/>
      <c r="O593" s="1400"/>
      <c r="P593" s="1400"/>
      <c r="Q593" s="1400"/>
      <c r="R593" s="1400"/>
      <c r="S593" s="1400"/>
      <c r="T593" s="1400"/>
      <c r="U593" s="1400"/>
      <c r="V593" s="1400"/>
      <c r="W593" s="1400"/>
      <c r="X593" s="1400"/>
      <c r="Y593" s="1685">
        <v>43409</v>
      </c>
      <c r="Z593" s="1326" t="s">
        <v>2062</v>
      </c>
      <c r="AA593" s="1683">
        <v>0</v>
      </c>
      <c r="AB593" s="1683">
        <v>0</v>
      </c>
      <c r="AC593" s="1683">
        <v>0</v>
      </c>
      <c r="AD593" s="1685">
        <v>43439</v>
      </c>
      <c r="AE593" s="1326" t="s">
        <v>2080</v>
      </c>
      <c r="AF593" s="1326" t="s">
        <v>2067</v>
      </c>
      <c r="AG593" s="1410"/>
      <c r="AH593" s="1683">
        <v>27777.45</v>
      </c>
      <c r="AI593" s="1683">
        <v>27777.45</v>
      </c>
      <c r="AJ593" s="1683">
        <v>25694.15</v>
      </c>
      <c r="AK593" s="1683">
        <v>23610.83</v>
      </c>
      <c r="AL593" s="1683">
        <v>2083.3200000000002</v>
      </c>
      <c r="AM593" s="1685">
        <v>43439</v>
      </c>
      <c r="AN593" s="1683">
        <v>27777.45</v>
      </c>
      <c r="AO593" s="1683">
        <v>27777.45</v>
      </c>
      <c r="AP593" s="1683">
        <v>25694.15</v>
      </c>
      <c r="AQ593" s="1683">
        <v>23610.83</v>
      </c>
      <c r="AR593" s="1683">
        <v>2083.3200000000002</v>
      </c>
      <c r="AS593" s="1683">
        <v>2083.3000000000002</v>
      </c>
      <c r="AT593" s="1683">
        <v>0</v>
      </c>
      <c r="AU593" s="1683">
        <v>2083.3000000000002</v>
      </c>
      <c r="AV593" s="1683">
        <v>0</v>
      </c>
      <c r="AW593" s="1683">
        <v>0</v>
      </c>
      <c r="AX593" s="1400"/>
      <c r="AY593" s="1400"/>
      <c r="AZ593" s="1400"/>
      <c r="BA593" s="1682"/>
      <c r="BB593" s="1682"/>
      <c r="BC593" s="1400"/>
      <c r="BD593" s="1400"/>
      <c r="BE593" s="1683">
        <v>27777.45</v>
      </c>
      <c r="BF593" s="1683">
        <v>27777.45</v>
      </c>
      <c r="BG593" s="1683">
        <v>25694.15</v>
      </c>
      <c r="BH593" s="1683">
        <v>23610.83</v>
      </c>
      <c r="BI593" s="1683">
        <v>2083.3200000000002</v>
      </c>
      <c r="BJ593" s="1683">
        <v>2083.3000000000002</v>
      </c>
      <c r="BK593" s="1683">
        <v>0</v>
      </c>
      <c r="BL593" s="1683">
        <v>2083.3000000000002</v>
      </c>
      <c r="BM593" s="1683">
        <v>0</v>
      </c>
      <c r="BN593" s="1683">
        <v>0</v>
      </c>
      <c r="BO593" s="1682"/>
      <c r="BP593" s="1683">
        <v>0</v>
      </c>
      <c r="BQ593" s="1683">
        <v>0</v>
      </c>
      <c r="BR593" s="1683">
        <v>0</v>
      </c>
      <c r="BS593" s="1683">
        <v>0</v>
      </c>
      <c r="BT593" s="1683">
        <v>0</v>
      </c>
      <c r="BU593" s="1683">
        <v>0</v>
      </c>
      <c r="BV593" s="1683">
        <v>0</v>
      </c>
      <c r="BW593" s="1683">
        <v>0</v>
      </c>
      <c r="BX593" s="1683">
        <v>0</v>
      </c>
      <c r="BY593" s="1683">
        <v>0</v>
      </c>
      <c r="BZ593" s="1683">
        <v>0</v>
      </c>
      <c r="CA593" s="1400"/>
      <c r="CB593" s="1682"/>
      <c r="CC593" s="1682"/>
      <c r="CD593" s="1400"/>
      <c r="CE593" s="1400"/>
      <c r="CF593" s="1683">
        <v>0</v>
      </c>
      <c r="CG593" s="1683">
        <v>0</v>
      </c>
      <c r="CH593" s="1683">
        <v>0</v>
      </c>
      <c r="CI593" s="1683">
        <v>0</v>
      </c>
      <c r="CJ593" s="1683">
        <v>0</v>
      </c>
      <c r="CK593" s="1683">
        <v>0</v>
      </c>
      <c r="CL593" s="1682"/>
      <c r="CM593" s="1683">
        <v>0</v>
      </c>
      <c r="CN593" s="1683">
        <v>0</v>
      </c>
      <c r="CO593" s="1683">
        <v>0</v>
      </c>
      <c r="CP593" s="1683">
        <v>0</v>
      </c>
      <c r="CQ593" s="1683">
        <v>0</v>
      </c>
      <c r="CR593" s="1683">
        <v>0</v>
      </c>
      <c r="CS593" s="1683">
        <v>0</v>
      </c>
      <c r="CT593" s="1683">
        <v>0</v>
      </c>
      <c r="CU593" s="1683">
        <v>0</v>
      </c>
      <c r="CV593" s="1683">
        <v>0</v>
      </c>
      <c r="CW593" s="1682"/>
      <c r="CX593" s="1400"/>
      <c r="CY593" s="1400"/>
      <c r="CZ593" s="1400"/>
      <c r="DA593" s="1400"/>
      <c r="DB593" s="1682"/>
      <c r="DC593" s="1326"/>
      <c r="DD593" s="1683">
        <v>0</v>
      </c>
      <c r="DE593" s="1400"/>
      <c r="DF593" s="1400"/>
      <c r="DG593" s="1683">
        <v>0</v>
      </c>
      <c r="DH593" s="1683">
        <v>0</v>
      </c>
    </row>
    <row r="594" spans="1:112" ht="45">
      <c r="A594" s="1326" t="s">
        <v>3914</v>
      </c>
      <c r="B594" s="1326" t="s">
        <v>1704</v>
      </c>
      <c r="C594" s="1326" t="s">
        <v>2580</v>
      </c>
      <c r="D594" s="1326" t="s">
        <v>2581</v>
      </c>
      <c r="E594" s="1326" t="s">
        <v>140</v>
      </c>
      <c r="F594" s="1326" t="s">
        <v>2582</v>
      </c>
      <c r="G594" s="1326" t="s">
        <v>2556</v>
      </c>
      <c r="H594" s="1326" t="s">
        <v>2541</v>
      </c>
      <c r="I594" s="1326" t="s">
        <v>1238</v>
      </c>
      <c r="J594" s="1326" t="s">
        <v>2435</v>
      </c>
      <c r="K594" s="1326" t="s">
        <v>2071</v>
      </c>
      <c r="L594" s="1326" t="s">
        <v>2061</v>
      </c>
      <c r="M594" s="1400"/>
      <c r="N594" s="1400"/>
      <c r="O594" s="1400"/>
      <c r="P594" s="1400"/>
      <c r="Q594" s="1400"/>
      <c r="R594" s="1400"/>
      <c r="S594" s="1400"/>
      <c r="T594" s="1400"/>
      <c r="U594" s="1400"/>
      <c r="V594" s="1400"/>
      <c r="W594" s="1400"/>
      <c r="X594" s="1400"/>
      <c r="Y594" s="1685">
        <v>43409</v>
      </c>
      <c r="Z594" s="1326" t="s">
        <v>2062</v>
      </c>
      <c r="AA594" s="1683">
        <v>0</v>
      </c>
      <c r="AB594" s="1683">
        <v>0</v>
      </c>
      <c r="AC594" s="1683">
        <v>0</v>
      </c>
      <c r="AD594" s="1685">
        <v>43439</v>
      </c>
      <c r="AE594" s="1326" t="s">
        <v>2080</v>
      </c>
      <c r="AF594" s="1326" t="s">
        <v>2064</v>
      </c>
      <c r="AG594" s="1410"/>
      <c r="AH594" s="1683">
        <v>2583.63</v>
      </c>
      <c r="AI594" s="1683">
        <v>2583.63</v>
      </c>
      <c r="AJ594" s="1683">
        <v>2389.86</v>
      </c>
      <c r="AK594" s="1683">
        <v>2196.09</v>
      </c>
      <c r="AL594" s="1683">
        <v>193.77</v>
      </c>
      <c r="AM594" s="1685">
        <v>43439</v>
      </c>
      <c r="AN594" s="1683">
        <v>2583.63</v>
      </c>
      <c r="AO594" s="1683">
        <v>2583.63</v>
      </c>
      <c r="AP594" s="1683">
        <v>2389.86</v>
      </c>
      <c r="AQ594" s="1683">
        <v>2196.09</v>
      </c>
      <c r="AR594" s="1683">
        <v>193.77</v>
      </c>
      <c r="AS594" s="1683">
        <v>193.77</v>
      </c>
      <c r="AT594" s="1683">
        <v>0</v>
      </c>
      <c r="AU594" s="1683">
        <v>193.77</v>
      </c>
      <c r="AV594" s="1683">
        <v>0</v>
      </c>
      <c r="AW594" s="1683">
        <v>0</v>
      </c>
      <c r="AX594" s="1400"/>
      <c r="AY594" s="1400"/>
      <c r="AZ594" s="1400"/>
      <c r="BA594" s="1682"/>
      <c r="BB594" s="1682"/>
      <c r="BC594" s="1400"/>
      <c r="BD594" s="1400"/>
      <c r="BE594" s="1683">
        <v>2583.63</v>
      </c>
      <c r="BF594" s="1683">
        <v>2583.63</v>
      </c>
      <c r="BG594" s="1683">
        <v>2389.86</v>
      </c>
      <c r="BH594" s="1683">
        <v>2196.09</v>
      </c>
      <c r="BI594" s="1683">
        <v>193.77</v>
      </c>
      <c r="BJ594" s="1683">
        <v>193.77</v>
      </c>
      <c r="BK594" s="1683">
        <v>0</v>
      </c>
      <c r="BL594" s="1683">
        <v>193.77</v>
      </c>
      <c r="BM594" s="1683">
        <v>0</v>
      </c>
      <c r="BN594" s="1683">
        <v>0</v>
      </c>
      <c r="BO594" s="1682"/>
      <c r="BP594" s="1683">
        <v>0</v>
      </c>
      <c r="BQ594" s="1683">
        <v>0</v>
      </c>
      <c r="BR594" s="1683">
        <v>0</v>
      </c>
      <c r="BS594" s="1683">
        <v>0</v>
      </c>
      <c r="BT594" s="1683">
        <v>0</v>
      </c>
      <c r="BU594" s="1683">
        <v>0</v>
      </c>
      <c r="BV594" s="1683">
        <v>0</v>
      </c>
      <c r="BW594" s="1683">
        <v>0</v>
      </c>
      <c r="BX594" s="1683">
        <v>0</v>
      </c>
      <c r="BY594" s="1683">
        <v>0</v>
      </c>
      <c r="BZ594" s="1683">
        <v>0</v>
      </c>
      <c r="CA594" s="1400"/>
      <c r="CB594" s="1682"/>
      <c r="CC594" s="1682"/>
      <c r="CD594" s="1400"/>
      <c r="CE594" s="1400"/>
      <c r="CF594" s="1683">
        <v>0</v>
      </c>
      <c r="CG594" s="1683">
        <v>0</v>
      </c>
      <c r="CH594" s="1683">
        <v>0</v>
      </c>
      <c r="CI594" s="1683">
        <v>0</v>
      </c>
      <c r="CJ594" s="1683">
        <v>0</v>
      </c>
      <c r="CK594" s="1683">
        <v>0</v>
      </c>
      <c r="CL594" s="1682"/>
      <c r="CM594" s="1683">
        <v>0</v>
      </c>
      <c r="CN594" s="1683">
        <v>0</v>
      </c>
      <c r="CO594" s="1683">
        <v>0</v>
      </c>
      <c r="CP594" s="1683">
        <v>0</v>
      </c>
      <c r="CQ594" s="1683">
        <v>0</v>
      </c>
      <c r="CR594" s="1683">
        <v>0</v>
      </c>
      <c r="CS594" s="1683">
        <v>0</v>
      </c>
      <c r="CT594" s="1683">
        <v>0</v>
      </c>
      <c r="CU594" s="1683">
        <v>0</v>
      </c>
      <c r="CV594" s="1683">
        <v>0</v>
      </c>
      <c r="CW594" s="1682"/>
      <c r="CX594" s="1400"/>
      <c r="CY594" s="1400"/>
      <c r="CZ594" s="1400"/>
      <c r="DA594" s="1400"/>
      <c r="DB594" s="1682"/>
      <c r="DC594" s="1326"/>
      <c r="DD594" s="1683">
        <v>0</v>
      </c>
      <c r="DE594" s="1400"/>
      <c r="DF594" s="1400"/>
      <c r="DG594" s="1683">
        <v>0</v>
      </c>
      <c r="DH594" s="1683">
        <v>0</v>
      </c>
    </row>
    <row r="595" spans="1:112" ht="45">
      <c r="A595" s="1326" t="s">
        <v>3915</v>
      </c>
      <c r="B595" s="1326" t="s">
        <v>1704</v>
      </c>
      <c r="C595" s="1326" t="s">
        <v>2580</v>
      </c>
      <c r="D595" s="1326" t="s">
        <v>2581</v>
      </c>
      <c r="E595" s="1326" t="s">
        <v>140</v>
      </c>
      <c r="F595" s="1326" t="s">
        <v>2582</v>
      </c>
      <c r="G595" s="1326" t="s">
        <v>2556</v>
      </c>
      <c r="H595" s="1326" t="s">
        <v>2541</v>
      </c>
      <c r="I595" s="1326" t="s">
        <v>1238</v>
      </c>
      <c r="J595" s="1326" t="s">
        <v>2435</v>
      </c>
      <c r="K595" s="1326" t="s">
        <v>2071</v>
      </c>
      <c r="L595" s="1326" t="s">
        <v>2061</v>
      </c>
      <c r="M595" s="1400"/>
      <c r="N595" s="1400"/>
      <c r="O595" s="1400"/>
      <c r="P595" s="1400"/>
      <c r="Q595" s="1400"/>
      <c r="R595" s="1400"/>
      <c r="S595" s="1400"/>
      <c r="T595" s="1400"/>
      <c r="U595" s="1400"/>
      <c r="V595" s="1400"/>
      <c r="W595" s="1400"/>
      <c r="X595" s="1400"/>
      <c r="Y595" s="1685">
        <v>43447</v>
      </c>
      <c r="Z595" s="1326" t="s">
        <v>2062</v>
      </c>
      <c r="AA595" s="1683">
        <v>0</v>
      </c>
      <c r="AB595" s="1683">
        <v>0</v>
      </c>
      <c r="AC595" s="1683">
        <v>0</v>
      </c>
      <c r="AD595" s="1685">
        <v>43494</v>
      </c>
      <c r="AE595" s="1326" t="s">
        <v>2081</v>
      </c>
      <c r="AF595" s="1326" t="s">
        <v>2067</v>
      </c>
      <c r="AG595" s="1410"/>
      <c r="AH595" s="1683">
        <v>1136.28</v>
      </c>
      <c r="AI595" s="1683">
        <v>1136.28</v>
      </c>
      <c r="AJ595" s="1683">
        <v>1051.05</v>
      </c>
      <c r="AK595" s="1683">
        <v>965.83</v>
      </c>
      <c r="AL595" s="1683">
        <v>85.22</v>
      </c>
      <c r="AM595" s="1685">
        <v>43494</v>
      </c>
      <c r="AN595" s="1683">
        <v>1136.28</v>
      </c>
      <c r="AO595" s="1683">
        <v>1136.28</v>
      </c>
      <c r="AP595" s="1683">
        <v>1051.05</v>
      </c>
      <c r="AQ595" s="1683">
        <v>965.83</v>
      </c>
      <c r="AR595" s="1683">
        <v>85.22</v>
      </c>
      <c r="AS595" s="1683">
        <v>85.23</v>
      </c>
      <c r="AT595" s="1683">
        <v>0</v>
      </c>
      <c r="AU595" s="1683">
        <v>85.23</v>
      </c>
      <c r="AV595" s="1683">
        <v>0</v>
      </c>
      <c r="AW595" s="1683">
        <v>0</v>
      </c>
      <c r="AX595" s="1400"/>
      <c r="AY595" s="1400"/>
      <c r="AZ595" s="1400"/>
      <c r="BA595" s="1682"/>
      <c r="BB595" s="1682"/>
      <c r="BC595" s="1400"/>
      <c r="BD595" s="1400"/>
      <c r="BE595" s="1683">
        <v>1136.28</v>
      </c>
      <c r="BF595" s="1683">
        <v>1136.28</v>
      </c>
      <c r="BG595" s="1683">
        <v>1051.05</v>
      </c>
      <c r="BH595" s="1683">
        <v>965.83</v>
      </c>
      <c r="BI595" s="1683">
        <v>85.22</v>
      </c>
      <c r="BJ595" s="1683">
        <v>85.23</v>
      </c>
      <c r="BK595" s="1683">
        <v>0</v>
      </c>
      <c r="BL595" s="1683">
        <v>85.23</v>
      </c>
      <c r="BM595" s="1683">
        <v>0</v>
      </c>
      <c r="BN595" s="1683">
        <v>0</v>
      </c>
      <c r="BO595" s="1682"/>
      <c r="BP595" s="1683">
        <v>0</v>
      </c>
      <c r="BQ595" s="1683">
        <v>0</v>
      </c>
      <c r="BR595" s="1683">
        <v>0</v>
      </c>
      <c r="BS595" s="1683">
        <v>0</v>
      </c>
      <c r="BT595" s="1683">
        <v>0</v>
      </c>
      <c r="BU595" s="1683">
        <v>0</v>
      </c>
      <c r="BV595" s="1683">
        <v>0</v>
      </c>
      <c r="BW595" s="1683">
        <v>0</v>
      </c>
      <c r="BX595" s="1683">
        <v>0</v>
      </c>
      <c r="BY595" s="1683">
        <v>0</v>
      </c>
      <c r="BZ595" s="1400"/>
      <c r="CA595" s="1400"/>
      <c r="CB595" s="1682"/>
      <c r="CC595" s="1682"/>
      <c r="CD595" s="1400"/>
      <c r="CE595" s="1400"/>
      <c r="CF595" s="1683">
        <v>0</v>
      </c>
      <c r="CG595" s="1683">
        <v>0</v>
      </c>
      <c r="CH595" s="1683">
        <v>0</v>
      </c>
      <c r="CI595" s="1683">
        <v>0</v>
      </c>
      <c r="CJ595" s="1683">
        <v>0</v>
      </c>
      <c r="CK595" s="1683">
        <v>0</v>
      </c>
      <c r="CL595" s="1682"/>
      <c r="CM595" s="1683">
        <v>0</v>
      </c>
      <c r="CN595" s="1683">
        <v>0</v>
      </c>
      <c r="CO595" s="1683">
        <v>0</v>
      </c>
      <c r="CP595" s="1683">
        <v>0</v>
      </c>
      <c r="CQ595" s="1683">
        <v>0</v>
      </c>
      <c r="CR595" s="1683">
        <v>0</v>
      </c>
      <c r="CS595" s="1683">
        <v>0</v>
      </c>
      <c r="CT595" s="1683">
        <v>0</v>
      </c>
      <c r="CU595" s="1683">
        <v>0</v>
      </c>
      <c r="CV595" s="1683">
        <v>0</v>
      </c>
      <c r="CW595" s="1682"/>
      <c r="CX595" s="1400"/>
      <c r="CY595" s="1400"/>
      <c r="CZ595" s="1400"/>
      <c r="DA595" s="1400"/>
      <c r="DB595" s="1682"/>
      <c r="DC595" s="1326"/>
      <c r="DD595" s="1683">
        <v>0</v>
      </c>
      <c r="DE595" s="1400"/>
      <c r="DF595" s="1400"/>
      <c r="DG595" s="1683">
        <v>0</v>
      </c>
      <c r="DH595" s="1683">
        <v>0</v>
      </c>
    </row>
    <row r="596" spans="1:112" ht="45">
      <c r="A596" s="1326" t="s">
        <v>3916</v>
      </c>
      <c r="B596" s="1326" t="s">
        <v>1704</v>
      </c>
      <c r="C596" s="1326" t="s">
        <v>2580</v>
      </c>
      <c r="D596" s="1326" t="s">
        <v>2581</v>
      </c>
      <c r="E596" s="1326" t="s">
        <v>140</v>
      </c>
      <c r="F596" s="1326" t="s">
        <v>2582</v>
      </c>
      <c r="G596" s="1326" t="s">
        <v>2556</v>
      </c>
      <c r="H596" s="1326" t="s">
        <v>2541</v>
      </c>
      <c r="I596" s="1326" t="s">
        <v>1238</v>
      </c>
      <c r="J596" s="1326" t="s">
        <v>2435</v>
      </c>
      <c r="K596" s="1326" t="s">
        <v>2071</v>
      </c>
      <c r="L596" s="1326" t="s">
        <v>2061</v>
      </c>
      <c r="M596" s="1400"/>
      <c r="N596" s="1400"/>
      <c r="O596" s="1400"/>
      <c r="P596" s="1400"/>
      <c r="Q596" s="1400"/>
      <c r="R596" s="1400"/>
      <c r="S596" s="1400"/>
      <c r="T596" s="1400"/>
      <c r="U596" s="1400"/>
      <c r="V596" s="1400"/>
      <c r="W596" s="1400"/>
      <c r="X596" s="1400"/>
      <c r="Y596" s="1685">
        <v>43447</v>
      </c>
      <c r="Z596" s="1326" t="s">
        <v>2062</v>
      </c>
      <c r="AA596" s="1683">
        <v>0</v>
      </c>
      <c r="AB596" s="1683">
        <v>0</v>
      </c>
      <c r="AC596" s="1683">
        <v>0</v>
      </c>
      <c r="AD596" s="1685">
        <v>43494</v>
      </c>
      <c r="AE596" s="1326" t="s">
        <v>2081</v>
      </c>
      <c r="AF596" s="1326" t="s">
        <v>2064</v>
      </c>
      <c r="AG596" s="1410"/>
      <c r="AH596" s="1683">
        <v>11739.44</v>
      </c>
      <c r="AI596" s="1683">
        <v>11739.44</v>
      </c>
      <c r="AJ596" s="1683">
        <v>10858.97</v>
      </c>
      <c r="AK596" s="1683">
        <v>9978.51</v>
      </c>
      <c r="AL596" s="1683">
        <v>880.46</v>
      </c>
      <c r="AM596" s="1685">
        <v>43494</v>
      </c>
      <c r="AN596" s="1683">
        <v>11739.44</v>
      </c>
      <c r="AO596" s="1683">
        <v>11739.44</v>
      </c>
      <c r="AP596" s="1683">
        <v>10858.97</v>
      </c>
      <c r="AQ596" s="1683">
        <v>9978.51</v>
      </c>
      <c r="AR596" s="1683">
        <v>880.46</v>
      </c>
      <c r="AS596" s="1683">
        <v>880.47</v>
      </c>
      <c r="AT596" s="1683">
        <v>0</v>
      </c>
      <c r="AU596" s="1683">
        <v>880.47</v>
      </c>
      <c r="AV596" s="1683">
        <v>0</v>
      </c>
      <c r="AW596" s="1683">
        <v>0</v>
      </c>
      <c r="AX596" s="1400"/>
      <c r="AY596" s="1400"/>
      <c r="AZ596" s="1400"/>
      <c r="BA596" s="1682"/>
      <c r="BB596" s="1682"/>
      <c r="BC596" s="1400"/>
      <c r="BD596" s="1400"/>
      <c r="BE596" s="1683">
        <v>11739.44</v>
      </c>
      <c r="BF596" s="1683">
        <v>11739.44</v>
      </c>
      <c r="BG596" s="1683">
        <v>10858.97</v>
      </c>
      <c r="BH596" s="1683">
        <v>9978.51</v>
      </c>
      <c r="BI596" s="1683">
        <v>880.46</v>
      </c>
      <c r="BJ596" s="1683">
        <v>880.47</v>
      </c>
      <c r="BK596" s="1683">
        <v>0</v>
      </c>
      <c r="BL596" s="1683">
        <v>880.47</v>
      </c>
      <c r="BM596" s="1683">
        <v>0</v>
      </c>
      <c r="BN596" s="1683">
        <v>0</v>
      </c>
      <c r="BO596" s="1682"/>
      <c r="BP596" s="1683">
        <v>0</v>
      </c>
      <c r="BQ596" s="1683">
        <v>0</v>
      </c>
      <c r="BR596" s="1683">
        <v>0</v>
      </c>
      <c r="BS596" s="1683">
        <v>0</v>
      </c>
      <c r="BT596" s="1683">
        <v>0</v>
      </c>
      <c r="BU596" s="1683">
        <v>0</v>
      </c>
      <c r="BV596" s="1683">
        <v>0</v>
      </c>
      <c r="BW596" s="1683">
        <v>0</v>
      </c>
      <c r="BX596" s="1683">
        <v>0</v>
      </c>
      <c r="BY596" s="1683">
        <v>0</v>
      </c>
      <c r="BZ596" s="1400"/>
      <c r="CA596" s="1400"/>
      <c r="CB596" s="1682"/>
      <c r="CC596" s="1682"/>
      <c r="CD596" s="1400"/>
      <c r="CE596" s="1400"/>
      <c r="CF596" s="1683">
        <v>0</v>
      </c>
      <c r="CG596" s="1683">
        <v>0</v>
      </c>
      <c r="CH596" s="1683">
        <v>0</v>
      </c>
      <c r="CI596" s="1683">
        <v>0</v>
      </c>
      <c r="CJ596" s="1683">
        <v>0</v>
      </c>
      <c r="CK596" s="1683">
        <v>0</v>
      </c>
      <c r="CL596" s="1682"/>
      <c r="CM596" s="1683">
        <v>0</v>
      </c>
      <c r="CN596" s="1683">
        <v>0</v>
      </c>
      <c r="CO596" s="1683">
        <v>0</v>
      </c>
      <c r="CP596" s="1683">
        <v>0</v>
      </c>
      <c r="CQ596" s="1683">
        <v>0</v>
      </c>
      <c r="CR596" s="1683">
        <v>0</v>
      </c>
      <c r="CS596" s="1683">
        <v>0</v>
      </c>
      <c r="CT596" s="1683">
        <v>0</v>
      </c>
      <c r="CU596" s="1683">
        <v>0</v>
      </c>
      <c r="CV596" s="1683">
        <v>0</v>
      </c>
      <c r="CW596" s="1682"/>
      <c r="CX596" s="1400"/>
      <c r="CY596" s="1400"/>
      <c r="CZ596" s="1400"/>
      <c r="DA596" s="1400"/>
      <c r="DB596" s="1682"/>
      <c r="DC596" s="1326"/>
      <c r="DD596" s="1683">
        <v>0</v>
      </c>
      <c r="DE596" s="1400"/>
      <c r="DF596" s="1400"/>
      <c r="DG596" s="1683">
        <v>0</v>
      </c>
      <c r="DH596" s="1683">
        <v>0</v>
      </c>
    </row>
    <row r="597" spans="1:112" ht="67.5">
      <c r="A597" s="1326" t="s">
        <v>3917</v>
      </c>
      <c r="B597" s="1326" t="s">
        <v>1704</v>
      </c>
      <c r="C597" s="1326" t="s">
        <v>2580</v>
      </c>
      <c r="D597" s="1326" t="s">
        <v>2581</v>
      </c>
      <c r="E597" s="1326" t="s">
        <v>140</v>
      </c>
      <c r="F597" s="1326" t="s">
        <v>2582</v>
      </c>
      <c r="G597" s="1326" t="s">
        <v>2556</v>
      </c>
      <c r="H597" s="1326" t="s">
        <v>2541</v>
      </c>
      <c r="I597" s="1326" t="s">
        <v>1239</v>
      </c>
      <c r="J597" s="1326" t="s">
        <v>639</v>
      </c>
      <c r="K597" s="1326" t="s">
        <v>2069</v>
      </c>
      <c r="L597" s="1326" t="s">
        <v>2061</v>
      </c>
      <c r="M597" s="1683">
        <v>133554.21</v>
      </c>
      <c r="N597" s="1683">
        <v>0</v>
      </c>
      <c r="O597" s="1683">
        <v>133554.21</v>
      </c>
      <c r="P597" s="1683">
        <v>133554.21</v>
      </c>
      <c r="Q597" s="1683">
        <v>123528</v>
      </c>
      <c r="R597" s="1683">
        <v>113512</v>
      </c>
      <c r="S597" s="1683">
        <v>10016</v>
      </c>
      <c r="T597" s="1683">
        <v>10026.209999999999</v>
      </c>
      <c r="U597" s="1683">
        <v>0</v>
      </c>
      <c r="V597" s="1683">
        <v>10026.209999999999</v>
      </c>
      <c r="W597" s="1683">
        <v>0</v>
      </c>
      <c r="X597" s="1683">
        <v>0</v>
      </c>
      <c r="Y597" s="1682"/>
      <c r="Z597" s="1326"/>
      <c r="AA597" s="1683">
        <v>0</v>
      </c>
      <c r="AB597" s="1683">
        <v>0</v>
      </c>
      <c r="AC597" s="1683">
        <v>0</v>
      </c>
      <c r="AD597" s="1682"/>
      <c r="AE597" s="1326"/>
      <c r="AF597" s="1326"/>
      <c r="AG597" s="1410"/>
      <c r="AH597" s="1683">
        <v>51047.71</v>
      </c>
      <c r="AI597" s="1683">
        <v>88106.11</v>
      </c>
      <c r="AJ597" s="1683">
        <v>84273.84</v>
      </c>
      <c r="AK597" s="1683">
        <v>77440.679999999993</v>
      </c>
      <c r="AL597" s="1683">
        <v>6833.16</v>
      </c>
      <c r="AM597" s="1682"/>
      <c r="AN597" s="1683">
        <v>51047.71</v>
      </c>
      <c r="AO597" s="1683">
        <v>51047.71</v>
      </c>
      <c r="AP597" s="1683">
        <v>47215.44</v>
      </c>
      <c r="AQ597" s="1683">
        <v>43387.08</v>
      </c>
      <c r="AR597" s="1683">
        <v>3828.36</v>
      </c>
      <c r="AS597" s="1683">
        <v>3832.27</v>
      </c>
      <c r="AT597" s="1683">
        <v>0</v>
      </c>
      <c r="AU597" s="1683">
        <v>3832.27</v>
      </c>
      <c r="AV597" s="1683">
        <v>0</v>
      </c>
      <c r="AW597" s="1683">
        <v>0</v>
      </c>
      <c r="AX597" s="1683">
        <v>0</v>
      </c>
      <c r="AY597" s="1683">
        <v>0</v>
      </c>
      <c r="AZ597" s="1683">
        <v>0</v>
      </c>
      <c r="BA597" s="1682"/>
      <c r="BB597" s="1682"/>
      <c r="BC597" s="1683">
        <v>0</v>
      </c>
      <c r="BD597" s="1683">
        <v>0</v>
      </c>
      <c r="BE597" s="1683">
        <v>51047.71</v>
      </c>
      <c r="BF597" s="1683">
        <v>51047.71</v>
      </c>
      <c r="BG597" s="1683">
        <v>47215.44</v>
      </c>
      <c r="BH597" s="1683">
        <v>43387.08</v>
      </c>
      <c r="BI597" s="1683">
        <v>3828.36</v>
      </c>
      <c r="BJ597" s="1683">
        <v>3832.27</v>
      </c>
      <c r="BK597" s="1683">
        <v>0</v>
      </c>
      <c r="BL597" s="1683">
        <v>3832.27</v>
      </c>
      <c r="BM597" s="1683">
        <v>0</v>
      </c>
      <c r="BN597" s="1683">
        <v>0</v>
      </c>
      <c r="BO597" s="1682"/>
      <c r="BP597" s="1683">
        <v>1593.92</v>
      </c>
      <c r="BQ597" s="1683">
        <v>1593.92</v>
      </c>
      <c r="BR597" s="1683">
        <v>1474.26</v>
      </c>
      <c r="BS597" s="1683">
        <v>1354.72</v>
      </c>
      <c r="BT597" s="1683">
        <v>119.54</v>
      </c>
      <c r="BU597" s="1683">
        <v>119.66</v>
      </c>
      <c r="BV597" s="1683">
        <v>0</v>
      </c>
      <c r="BW597" s="1683">
        <v>0</v>
      </c>
      <c r="BX597" s="1683">
        <v>0</v>
      </c>
      <c r="BY597" s="1683">
        <v>0</v>
      </c>
      <c r="BZ597" s="1683">
        <v>0</v>
      </c>
      <c r="CA597" s="1683">
        <v>0</v>
      </c>
      <c r="CB597" s="1682"/>
      <c r="CC597" s="1682"/>
      <c r="CD597" s="1683">
        <v>0</v>
      </c>
      <c r="CE597" s="1683">
        <v>0</v>
      </c>
      <c r="CF597" s="1683">
        <v>0</v>
      </c>
      <c r="CG597" s="1683">
        <v>0</v>
      </c>
      <c r="CH597" s="1683">
        <v>0</v>
      </c>
      <c r="CI597" s="1683">
        <v>0</v>
      </c>
      <c r="CJ597" s="1683">
        <v>20.92</v>
      </c>
      <c r="CK597" s="1683">
        <v>20.92</v>
      </c>
      <c r="CL597" s="1682"/>
      <c r="CM597" s="1683">
        <v>0</v>
      </c>
      <c r="CN597" s="1683">
        <v>0</v>
      </c>
      <c r="CO597" s="1683">
        <v>0</v>
      </c>
      <c r="CP597" s="1683">
        <v>0</v>
      </c>
      <c r="CQ597" s="1683">
        <v>0</v>
      </c>
      <c r="CR597" s="1683">
        <v>0</v>
      </c>
      <c r="CS597" s="1683">
        <v>0</v>
      </c>
      <c r="CT597" s="1683">
        <v>0</v>
      </c>
      <c r="CU597" s="1683">
        <v>0</v>
      </c>
      <c r="CV597" s="1683">
        <v>0</v>
      </c>
      <c r="CW597" s="1682"/>
      <c r="CX597" s="1683">
        <v>0</v>
      </c>
      <c r="CY597" s="1683">
        <v>0</v>
      </c>
      <c r="CZ597" s="1683">
        <v>0</v>
      </c>
      <c r="DA597" s="1683">
        <v>0</v>
      </c>
      <c r="DB597" s="1682"/>
      <c r="DC597" s="1326"/>
      <c r="DD597" s="1683">
        <v>0</v>
      </c>
      <c r="DE597" s="1683">
        <v>0</v>
      </c>
      <c r="DF597" s="1683">
        <v>0</v>
      </c>
      <c r="DG597" s="1683">
        <v>0</v>
      </c>
      <c r="DH597" s="1683">
        <v>0</v>
      </c>
    </row>
    <row r="598" spans="1:112" ht="67.5">
      <c r="A598" s="1326" t="s">
        <v>3918</v>
      </c>
      <c r="B598" s="1326" t="s">
        <v>1704</v>
      </c>
      <c r="C598" s="1326" t="s">
        <v>2580</v>
      </c>
      <c r="D598" s="1326" t="s">
        <v>2581</v>
      </c>
      <c r="E598" s="1326" t="s">
        <v>140</v>
      </c>
      <c r="F598" s="1326" t="s">
        <v>2582</v>
      </c>
      <c r="G598" s="1326" t="s">
        <v>2556</v>
      </c>
      <c r="H598" s="1326" t="s">
        <v>2541</v>
      </c>
      <c r="I598" s="1326" t="s">
        <v>1239</v>
      </c>
      <c r="J598" s="1326" t="s">
        <v>639</v>
      </c>
      <c r="K598" s="1326" t="s">
        <v>2069</v>
      </c>
      <c r="L598" s="1326" t="s">
        <v>2061</v>
      </c>
      <c r="M598" s="1400"/>
      <c r="N598" s="1400"/>
      <c r="O598" s="1400"/>
      <c r="P598" s="1400"/>
      <c r="Q598" s="1400"/>
      <c r="R598" s="1400"/>
      <c r="S598" s="1400"/>
      <c r="T598" s="1400"/>
      <c r="U598" s="1400"/>
      <c r="V598" s="1400"/>
      <c r="W598" s="1400"/>
      <c r="X598" s="1400"/>
      <c r="Y598" s="1685">
        <v>43259</v>
      </c>
      <c r="Z598" s="1326" t="s">
        <v>2062</v>
      </c>
      <c r="AA598" s="1683">
        <v>0</v>
      </c>
      <c r="AB598" s="1683">
        <v>0</v>
      </c>
      <c r="AC598" s="1683">
        <v>0</v>
      </c>
      <c r="AD598" s="1685">
        <v>43285</v>
      </c>
      <c r="AE598" s="1326" t="s">
        <v>2073</v>
      </c>
      <c r="AF598" s="1326" t="s">
        <v>2064</v>
      </c>
      <c r="AG598" s="1410"/>
      <c r="AH598" s="1683">
        <v>1593.92</v>
      </c>
      <c r="AI598" s="1683">
        <v>1593.92</v>
      </c>
      <c r="AJ598" s="1683">
        <v>1474.26</v>
      </c>
      <c r="AK598" s="1683">
        <v>1354.72</v>
      </c>
      <c r="AL598" s="1683">
        <v>119.54</v>
      </c>
      <c r="AM598" s="1685">
        <v>43285</v>
      </c>
      <c r="AN598" s="1683">
        <v>1593.92</v>
      </c>
      <c r="AO598" s="1683">
        <v>1593.92</v>
      </c>
      <c r="AP598" s="1683">
        <v>1474.26</v>
      </c>
      <c r="AQ598" s="1683">
        <v>1354.72</v>
      </c>
      <c r="AR598" s="1683">
        <v>119.54</v>
      </c>
      <c r="AS598" s="1683">
        <v>119.66</v>
      </c>
      <c r="AT598" s="1683">
        <v>0</v>
      </c>
      <c r="AU598" s="1683">
        <v>119.66</v>
      </c>
      <c r="AV598" s="1683">
        <v>0</v>
      </c>
      <c r="AW598" s="1683">
        <v>0</v>
      </c>
      <c r="AX598" s="1400"/>
      <c r="AY598" s="1400"/>
      <c r="AZ598" s="1400"/>
      <c r="BA598" s="1682"/>
      <c r="BB598" s="1682"/>
      <c r="BC598" s="1400"/>
      <c r="BD598" s="1400"/>
      <c r="BE598" s="1683">
        <v>1593.92</v>
      </c>
      <c r="BF598" s="1683">
        <v>1593.92</v>
      </c>
      <c r="BG598" s="1683">
        <v>1474.26</v>
      </c>
      <c r="BH598" s="1683">
        <v>1354.72</v>
      </c>
      <c r="BI598" s="1683">
        <v>119.54</v>
      </c>
      <c r="BJ598" s="1683">
        <v>119.66</v>
      </c>
      <c r="BK598" s="1683">
        <v>0</v>
      </c>
      <c r="BL598" s="1683">
        <v>119.66</v>
      </c>
      <c r="BM598" s="1683">
        <v>0</v>
      </c>
      <c r="BN598" s="1683">
        <v>0</v>
      </c>
      <c r="BO598" s="1685">
        <v>43364</v>
      </c>
      <c r="BP598" s="1683">
        <v>1593.92</v>
      </c>
      <c r="BQ598" s="1683">
        <v>1593.92</v>
      </c>
      <c r="BR598" s="1683">
        <v>1474.26</v>
      </c>
      <c r="BS598" s="1683">
        <v>1354.72</v>
      </c>
      <c r="BT598" s="1683">
        <v>119.54</v>
      </c>
      <c r="BU598" s="1683">
        <v>119.66</v>
      </c>
      <c r="BV598" s="1683">
        <v>0</v>
      </c>
      <c r="BW598" s="1683">
        <v>0</v>
      </c>
      <c r="BX598" s="1683">
        <v>0</v>
      </c>
      <c r="BY598" s="1683">
        <v>0</v>
      </c>
      <c r="BZ598" s="1683">
        <v>0</v>
      </c>
      <c r="CA598" s="1400"/>
      <c r="CB598" s="1682"/>
      <c r="CC598" s="1682"/>
      <c r="CD598" s="1400"/>
      <c r="CE598" s="1400"/>
      <c r="CF598" s="1683">
        <v>0</v>
      </c>
      <c r="CG598" s="1683">
        <v>0</v>
      </c>
      <c r="CH598" s="1683">
        <v>0</v>
      </c>
      <c r="CI598" s="1683">
        <v>0</v>
      </c>
      <c r="CJ598" s="1683">
        <v>20.92</v>
      </c>
      <c r="CK598" s="1683">
        <v>20.92</v>
      </c>
      <c r="CL598" s="1682"/>
      <c r="CM598" s="1683">
        <v>0</v>
      </c>
      <c r="CN598" s="1683">
        <v>0</v>
      </c>
      <c r="CO598" s="1683">
        <v>0</v>
      </c>
      <c r="CP598" s="1683">
        <v>0</v>
      </c>
      <c r="CQ598" s="1683">
        <v>0</v>
      </c>
      <c r="CR598" s="1683">
        <v>0</v>
      </c>
      <c r="CS598" s="1683">
        <v>0</v>
      </c>
      <c r="CT598" s="1683">
        <v>0</v>
      </c>
      <c r="CU598" s="1683">
        <v>0</v>
      </c>
      <c r="CV598" s="1683">
        <v>0</v>
      </c>
      <c r="CW598" s="1682"/>
      <c r="CX598" s="1400"/>
      <c r="CY598" s="1400"/>
      <c r="CZ598" s="1400"/>
      <c r="DA598" s="1400"/>
      <c r="DB598" s="1682"/>
      <c r="DC598" s="1326"/>
      <c r="DD598" s="1683">
        <v>0</v>
      </c>
      <c r="DE598" s="1400"/>
      <c r="DF598" s="1400"/>
      <c r="DG598" s="1683">
        <v>0</v>
      </c>
      <c r="DH598" s="1683">
        <v>0</v>
      </c>
    </row>
    <row r="599" spans="1:112" ht="67.5">
      <c r="A599" s="1326" t="s">
        <v>3919</v>
      </c>
      <c r="B599" s="1326" t="s">
        <v>1704</v>
      </c>
      <c r="C599" s="1326" t="s">
        <v>2580</v>
      </c>
      <c r="D599" s="1326" t="s">
        <v>2581</v>
      </c>
      <c r="E599" s="1326" t="s">
        <v>140</v>
      </c>
      <c r="F599" s="1326" t="s">
        <v>2582</v>
      </c>
      <c r="G599" s="1326" t="s">
        <v>2556</v>
      </c>
      <c r="H599" s="1326" t="s">
        <v>2541</v>
      </c>
      <c r="I599" s="1326" t="s">
        <v>1239</v>
      </c>
      <c r="J599" s="1326" t="s">
        <v>639</v>
      </c>
      <c r="K599" s="1326" t="s">
        <v>2069</v>
      </c>
      <c r="L599" s="1326" t="s">
        <v>2061</v>
      </c>
      <c r="M599" s="1400"/>
      <c r="N599" s="1400"/>
      <c r="O599" s="1400"/>
      <c r="P599" s="1400"/>
      <c r="Q599" s="1400"/>
      <c r="R599" s="1400"/>
      <c r="S599" s="1400"/>
      <c r="T599" s="1400"/>
      <c r="U599" s="1400"/>
      <c r="V599" s="1400"/>
      <c r="W599" s="1400"/>
      <c r="X599" s="1400"/>
      <c r="Y599" s="1685">
        <v>43350</v>
      </c>
      <c r="Z599" s="1326" t="s">
        <v>2096</v>
      </c>
      <c r="AA599" s="1683">
        <v>0</v>
      </c>
      <c r="AB599" s="1683">
        <v>0</v>
      </c>
      <c r="AC599" s="1683">
        <v>0</v>
      </c>
      <c r="AD599" s="1685">
        <v>43356</v>
      </c>
      <c r="AE599" s="1326" t="s">
        <v>2063</v>
      </c>
      <c r="AF599" s="1326" t="s">
        <v>2064</v>
      </c>
      <c r="AG599" s="1410"/>
      <c r="AH599" s="1683">
        <v>0</v>
      </c>
      <c r="AI599" s="1683">
        <v>37058.400000000001</v>
      </c>
      <c r="AJ599" s="1683">
        <v>37058.400000000001</v>
      </c>
      <c r="AK599" s="1683">
        <v>34053.599999999999</v>
      </c>
      <c r="AL599" s="1683">
        <v>3004.8</v>
      </c>
      <c r="AM599" s="1682"/>
      <c r="AN599" s="1683">
        <v>0</v>
      </c>
      <c r="AO599" s="1683">
        <v>0</v>
      </c>
      <c r="AP599" s="1683">
        <v>0</v>
      </c>
      <c r="AQ599" s="1683">
        <v>0</v>
      </c>
      <c r="AR599" s="1683">
        <v>0</v>
      </c>
      <c r="AS599" s="1683">
        <v>0</v>
      </c>
      <c r="AT599" s="1683">
        <v>0</v>
      </c>
      <c r="AU599" s="1683">
        <v>0</v>
      </c>
      <c r="AV599" s="1683">
        <v>0</v>
      </c>
      <c r="AW599" s="1683">
        <v>0</v>
      </c>
      <c r="AX599" s="1400"/>
      <c r="AY599" s="1400"/>
      <c r="AZ599" s="1400"/>
      <c r="BA599" s="1682"/>
      <c r="BB599" s="1682"/>
      <c r="BC599" s="1400"/>
      <c r="BD599" s="1400"/>
      <c r="BE599" s="1683">
        <v>0</v>
      </c>
      <c r="BF599" s="1683">
        <v>0</v>
      </c>
      <c r="BG599" s="1683">
        <v>0</v>
      </c>
      <c r="BH599" s="1683">
        <v>0</v>
      </c>
      <c r="BI599" s="1683">
        <v>0</v>
      </c>
      <c r="BJ599" s="1683">
        <v>0</v>
      </c>
      <c r="BK599" s="1683">
        <v>0</v>
      </c>
      <c r="BL599" s="1683">
        <v>0</v>
      </c>
      <c r="BM599" s="1683">
        <v>0</v>
      </c>
      <c r="BN599" s="1683">
        <v>0</v>
      </c>
      <c r="BO599" s="1682"/>
      <c r="BP599" s="1683">
        <v>0</v>
      </c>
      <c r="BQ599" s="1683">
        <v>0</v>
      </c>
      <c r="BR599" s="1683">
        <v>0</v>
      </c>
      <c r="BS599" s="1683">
        <v>0</v>
      </c>
      <c r="BT599" s="1683">
        <v>0</v>
      </c>
      <c r="BU599" s="1683">
        <v>0</v>
      </c>
      <c r="BV599" s="1683">
        <v>0</v>
      </c>
      <c r="BW599" s="1683">
        <v>0</v>
      </c>
      <c r="BX599" s="1683">
        <v>0</v>
      </c>
      <c r="BY599" s="1683">
        <v>0</v>
      </c>
      <c r="BZ599" s="1400"/>
      <c r="CA599" s="1400"/>
      <c r="CB599" s="1682"/>
      <c r="CC599" s="1682"/>
      <c r="CD599" s="1400"/>
      <c r="CE599" s="1400"/>
      <c r="CF599" s="1683">
        <v>0</v>
      </c>
      <c r="CG599" s="1683">
        <v>0</v>
      </c>
      <c r="CH599" s="1683">
        <v>0</v>
      </c>
      <c r="CI599" s="1683">
        <v>0</v>
      </c>
      <c r="CJ599" s="1683">
        <v>0</v>
      </c>
      <c r="CK599" s="1683">
        <v>0</v>
      </c>
      <c r="CL599" s="1682"/>
      <c r="CM599" s="1683">
        <v>0</v>
      </c>
      <c r="CN599" s="1683">
        <v>0</v>
      </c>
      <c r="CO599" s="1683">
        <v>0</v>
      </c>
      <c r="CP599" s="1683">
        <v>0</v>
      </c>
      <c r="CQ599" s="1683">
        <v>0</v>
      </c>
      <c r="CR599" s="1683">
        <v>0</v>
      </c>
      <c r="CS599" s="1683">
        <v>0</v>
      </c>
      <c r="CT599" s="1683">
        <v>0</v>
      </c>
      <c r="CU599" s="1683">
        <v>0</v>
      </c>
      <c r="CV599" s="1683">
        <v>0</v>
      </c>
      <c r="CW599" s="1682"/>
      <c r="CX599" s="1400"/>
      <c r="CY599" s="1400"/>
      <c r="CZ599" s="1400"/>
      <c r="DA599" s="1400"/>
      <c r="DB599" s="1682"/>
      <c r="DC599" s="1326"/>
      <c r="DD599" s="1683">
        <v>0</v>
      </c>
      <c r="DE599" s="1400"/>
      <c r="DF599" s="1400"/>
      <c r="DG599" s="1683">
        <v>0</v>
      </c>
      <c r="DH599" s="1683">
        <v>0</v>
      </c>
    </row>
    <row r="600" spans="1:112" ht="67.5">
      <c r="A600" s="1326" t="s">
        <v>4169</v>
      </c>
      <c r="B600" s="1326" t="s">
        <v>1704</v>
      </c>
      <c r="C600" s="1326" t="s">
        <v>2580</v>
      </c>
      <c r="D600" s="1326" t="s">
        <v>2581</v>
      </c>
      <c r="E600" s="1326" t="s">
        <v>140</v>
      </c>
      <c r="F600" s="1326" t="s">
        <v>2582</v>
      </c>
      <c r="G600" s="1326" t="s">
        <v>2556</v>
      </c>
      <c r="H600" s="1326" t="s">
        <v>2541</v>
      </c>
      <c r="I600" s="1326" t="s">
        <v>1239</v>
      </c>
      <c r="J600" s="1326" t="s">
        <v>639</v>
      </c>
      <c r="K600" s="1326" t="s">
        <v>2069</v>
      </c>
      <c r="L600" s="1326" t="s">
        <v>2061</v>
      </c>
      <c r="M600" s="1400"/>
      <c r="N600" s="1400"/>
      <c r="O600" s="1400"/>
      <c r="P600" s="1400"/>
      <c r="Q600" s="1400"/>
      <c r="R600" s="1400"/>
      <c r="S600" s="1400"/>
      <c r="T600" s="1400"/>
      <c r="U600" s="1400"/>
      <c r="V600" s="1400"/>
      <c r="W600" s="1400"/>
      <c r="X600" s="1400"/>
      <c r="Y600" s="1685">
        <v>43426</v>
      </c>
      <c r="Z600" s="1326" t="s">
        <v>2062</v>
      </c>
      <c r="AA600" s="1683">
        <v>0</v>
      </c>
      <c r="AB600" s="1683">
        <v>0</v>
      </c>
      <c r="AC600" s="1683">
        <v>0</v>
      </c>
      <c r="AD600" s="1685">
        <v>43462</v>
      </c>
      <c r="AE600" s="1326" t="s">
        <v>2066</v>
      </c>
      <c r="AF600" s="1326" t="s">
        <v>2067</v>
      </c>
      <c r="AG600" s="1410"/>
      <c r="AH600" s="1683">
        <v>12923.64</v>
      </c>
      <c r="AI600" s="1683">
        <v>12923.64</v>
      </c>
      <c r="AJ600" s="1683">
        <v>11953.44</v>
      </c>
      <c r="AK600" s="1683">
        <v>10984.22</v>
      </c>
      <c r="AL600" s="1683">
        <v>969.22</v>
      </c>
      <c r="AM600" s="1685">
        <v>43465</v>
      </c>
      <c r="AN600" s="1683">
        <v>12923.64</v>
      </c>
      <c r="AO600" s="1683">
        <v>12923.64</v>
      </c>
      <c r="AP600" s="1683">
        <v>11953.44</v>
      </c>
      <c r="AQ600" s="1683">
        <v>10984.22</v>
      </c>
      <c r="AR600" s="1683">
        <v>969.22</v>
      </c>
      <c r="AS600" s="1683">
        <v>970.2</v>
      </c>
      <c r="AT600" s="1683">
        <v>0</v>
      </c>
      <c r="AU600" s="1683">
        <v>970.2</v>
      </c>
      <c r="AV600" s="1683">
        <v>0</v>
      </c>
      <c r="AW600" s="1683">
        <v>0</v>
      </c>
      <c r="AX600" s="1400"/>
      <c r="AY600" s="1400"/>
      <c r="AZ600" s="1400"/>
      <c r="BA600" s="1682"/>
      <c r="BB600" s="1682"/>
      <c r="BC600" s="1400"/>
      <c r="BD600" s="1400"/>
      <c r="BE600" s="1683">
        <v>12923.64</v>
      </c>
      <c r="BF600" s="1683">
        <v>12923.64</v>
      </c>
      <c r="BG600" s="1683">
        <v>11953.44</v>
      </c>
      <c r="BH600" s="1683">
        <v>10984.22</v>
      </c>
      <c r="BI600" s="1683">
        <v>969.22</v>
      </c>
      <c r="BJ600" s="1683">
        <v>970.2</v>
      </c>
      <c r="BK600" s="1683">
        <v>0</v>
      </c>
      <c r="BL600" s="1683">
        <v>970.2</v>
      </c>
      <c r="BM600" s="1683">
        <v>0</v>
      </c>
      <c r="BN600" s="1683">
        <v>0</v>
      </c>
      <c r="BO600" s="1682"/>
      <c r="BP600" s="1683">
        <v>0</v>
      </c>
      <c r="BQ600" s="1683">
        <v>0</v>
      </c>
      <c r="BR600" s="1683">
        <v>0</v>
      </c>
      <c r="BS600" s="1683">
        <v>0</v>
      </c>
      <c r="BT600" s="1683">
        <v>0</v>
      </c>
      <c r="BU600" s="1683">
        <v>0</v>
      </c>
      <c r="BV600" s="1683">
        <v>0</v>
      </c>
      <c r="BW600" s="1683">
        <v>0</v>
      </c>
      <c r="BX600" s="1683">
        <v>0</v>
      </c>
      <c r="BY600" s="1683">
        <v>0</v>
      </c>
      <c r="BZ600" s="1683">
        <v>0</v>
      </c>
      <c r="CA600" s="1400"/>
      <c r="CB600" s="1682"/>
      <c r="CC600" s="1682"/>
      <c r="CD600" s="1400"/>
      <c r="CE600" s="1400"/>
      <c r="CF600" s="1683">
        <v>0</v>
      </c>
      <c r="CG600" s="1683">
        <v>0</v>
      </c>
      <c r="CH600" s="1683">
        <v>0</v>
      </c>
      <c r="CI600" s="1683">
        <v>0</v>
      </c>
      <c r="CJ600" s="1683">
        <v>0</v>
      </c>
      <c r="CK600" s="1683">
        <v>0</v>
      </c>
      <c r="CL600" s="1682"/>
      <c r="CM600" s="1683">
        <v>0</v>
      </c>
      <c r="CN600" s="1683">
        <v>0</v>
      </c>
      <c r="CO600" s="1683">
        <v>0</v>
      </c>
      <c r="CP600" s="1683">
        <v>0</v>
      </c>
      <c r="CQ600" s="1683">
        <v>0</v>
      </c>
      <c r="CR600" s="1683">
        <v>0</v>
      </c>
      <c r="CS600" s="1683">
        <v>0</v>
      </c>
      <c r="CT600" s="1683">
        <v>0</v>
      </c>
      <c r="CU600" s="1683">
        <v>0</v>
      </c>
      <c r="CV600" s="1683">
        <v>0</v>
      </c>
      <c r="CW600" s="1682"/>
      <c r="CX600" s="1400"/>
      <c r="CY600" s="1400"/>
      <c r="CZ600" s="1400"/>
      <c r="DA600" s="1400"/>
      <c r="DB600" s="1682"/>
      <c r="DC600" s="1326"/>
      <c r="DD600" s="1683">
        <v>0</v>
      </c>
      <c r="DE600" s="1400"/>
      <c r="DF600" s="1400"/>
      <c r="DG600" s="1683">
        <v>0</v>
      </c>
      <c r="DH600" s="1683">
        <v>0</v>
      </c>
    </row>
    <row r="601" spans="1:112" ht="67.5">
      <c r="A601" s="1326" t="s">
        <v>4170</v>
      </c>
      <c r="B601" s="1326" t="s">
        <v>1704</v>
      </c>
      <c r="C601" s="1326" t="s">
        <v>2580</v>
      </c>
      <c r="D601" s="1326" t="s">
        <v>2581</v>
      </c>
      <c r="E601" s="1326" t="s">
        <v>140</v>
      </c>
      <c r="F601" s="1326" t="s">
        <v>2582</v>
      </c>
      <c r="G601" s="1326" t="s">
        <v>2556</v>
      </c>
      <c r="H601" s="1326" t="s">
        <v>2541</v>
      </c>
      <c r="I601" s="1326" t="s">
        <v>1239</v>
      </c>
      <c r="J601" s="1326" t="s">
        <v>639</v>
      </c>
      <c r="K601" s="1326" t="s">
        <v>2069</v>
      </c>
      <c r="L601" s="1326" t="s">
        <v>2061</v>
      </c>
      <c r="M601" s="1400"/>
      <c r="N601" s="1400"/>
      <c r="O601" s="1400"/>
      <c r="P601" s="1400"/>
      <c r="Q601" s="1400"/>
      <c r="R601" s="1400"/>
      <c r="S601" s="1400"/>
      <c r="T601" s="1400"/>
      <c r="U601" s="1400"/>
      <c r="V601" s="1400"/>
      <c r="W601" s="1400"/>
      <c r="X601" s="1400"/>
      <c r="Y601" s="1685">
        <v>43426</v>
      </c>
      <c r="Z601" s="1326" t="s">
        <v>2062</v>
      </c>
      <c r="AA601" s="1683">
        <v>0</v>
      </c>
      <c r="AB601" s="1683">
        <v>0</v>
      </c>
      <c r="AC601" s="1683">
        <v>0</v>
      </c>
      <c r="AD601" s="1685">
        <v>43462</v>
      </c>
      <c r="AE601" s="1326" t="s">
        <v>2066</v>
      </c>
      <c r="AF601" s="1326" t="s">
        <v>2064</v>
      </c>
      <c r="AG601" s="1410"/>
      <c r="AH601" s="1683">
        <v>36530.15</v>
      </c>
      <c r="AI601" s="1683">
        <v>36530.15</v>
      </c>
      <c r="AJ601" s="1683">
        <v>33787.74</v>
      </c>
      <c r="AK601" s="1683">
        <v>31048.14</v>
      </c>
      <c r="AL601" s="1683">
        <v>2739.6</v>
      </c>
      <c r="AM601" s="1685">
        <v>43462</v>
      </c>
      <c r="AN601" s="1683">
        <v>36530.15</v>
      </c>
      <c r="AO601" s="1683">
        <v>36530.15</v>
      </c>
      <c r="AP601" s="1683">
        <v>33787.74</v>
      </c>
      <c r="AQ601" s="1683">
        <v>31048.14</v>
      </c>
      <c r="AR601" s="1683">
        <v>2739.6</v>
      </c>
      <c r="AS601" s="1683">
        <v>2742.41</v>
      </c>
      <c r="AT601" s="1683">
        <v>0</v>
      </c>
      <c r="AU601" s="1683">
        <v>2742.41</v>
      </c>
      <c r="AV601" s="1683">
        <v>0</v>
      </c>
      <c r="AW601" s="1683">
        <v>0</v>
      </c>
      <c r="AX601" s="1400"/>
      <c r="AY601" s="1400"/>
      <c r="AZ601" s="1400"/>
      <c r="BA601" s="1682"/>
      <c r="BB601" s="1682"/>
      <c r="BC601" s="1400"/>
      <c r="BD601" s="1400"/>
      <c r="BE601" s="1683">
        <v>36530.15</v>
      </c>
      <c r="BF601" s="1683">
        <v>36530.15</v>
      </c>
      <c r="BG601" s="1683">
        <v>33787.74</v>
      </c>
      <c r="BH601" s="1683">
        <v>31048.14</v>
      </c>
      <c r="BI601" s="1683">
        <v>2739.6</v>
      </c>
      <c r="BJ601" s="1683">
        <v>2742.41</v>
      </c>
      <c r="BK601" s="1683">
        <v>0</v>
      </c>
      <c r="BL601" s="1683">
        <v>2742.41</v>
      </c>
      <c r="BM601" s="1683">
        <v>0</v>
      </c>
      <c r="BN601" s="1683">
        <v>0</v>
      </c>
      <c r="BO601" s="1682"/>
      <c r="BP601" s="1683">
        <v>0</v>
      </c>
      <c r="BQ601" s="1683">
        <v>0</v>
      </c>
      <c r="BR601" s="1683">
        <v>0</v>
      </c>
      <c r="BS601" s="1683">
        <v>0</v>
      </c>
      <c r="BT601" s="1683">
        <v>0</v>
      </c>
      <c r="BU601" s="1683">
        <v>0</v>
      </c>
      <c r="BV601" s="1683">
        <v>0</v>
      </c>
      <c r="BW601" s="1683">
        <v>0</v>
      </c>
      <c r="BX601" s="1683">
        <v>0</v>
      </c>
      <c r="BY601" s="1683">
        <v>0</v>
      </c>
      <c r="BZ601" s="1683">
        <v>0</v>
      </c>
      <c r="CA601" s="1400"/>
      <c r="CB601" s="1682"/>
      <c r="CC601" s="1682"/>
      <c r="CD601" s="1400"/>
      <c r="CE601" s="1400"/>
      <c r="CF601" s="1683">
        <v>0</v>
      </c>
      <c r="CG601" s="1683">
        <v>0</v>
      </c>
      <c r="CH601" s="1683">
        <v>0</v>
      </c>
      <c r="CI601" s="1683">
        <v>0</v>
      </c>
      <c r="CJ601" s="1683">
        <v>0</v>
      </c>
      <c r="CK601" s="1683">
        <v>0</v>
      </c>
      <c r="CL601" s="1682"/>
      <c r="CM601" s="1683">
        <v>0</v>
      </c>
      <c r="CN601" s="1683">
        <v>0</v>
      </c>
      <c r="CO601" s="1683">
        <v>0</v>
      </c>
      <c r="CP601" s="1683">
        <v>0</v>
      </c>
      <c r="CQ601" s="1683">
        <v>0</v>
      </c>
      <c r="CR601" s="1683">
        <v>0</v>
      </c>
      <c r="CS601" s="1683">
        <v>0</v>
      </c>
      <c r="CT601" s="1683">
        <v>0</v>
      </c>
      <c r="CU601" s="1683">
        <v>0</v>
      </c>
      <c r="CV601" s="1683">
        <v>0</v>
      </c>
      <c r="CW601" s="1682"/>
      <c r="CX601" s="1400"/>
      <c r="CY601" s="1400"/>
      <c r="CZ601" s="1400"/>
      <c r="DA601" s="1400"/>
      <c r="DB601" s="1682"/>
      <c r="DC601" s="1326"/>
      <c r="DD601" s="1683">
        <v>0</v>
      </c>
      <c r="DE601" s="1400"/>
      <c r="DF601" s="1400"/>
      <c r="DG601" s="1683">
        <v>0</v>
      </c>
      <c r="DH601" s="1683">
        <v>0</v>
      </c>
    </row>
    <row r="602" spans="1:112" ht="45">
      <c r="A602" s="1326" t="s">
        <v>4171</v>
      </c>
      <c r="B602" s="1326" t="s">
        <v>1704</v>
      </c>
      <c r="C602" s="1326" t="s">
        <v>2580</v>
      </c>
      <c r="D602" s="1326" t="s">
        <v>2581</v>
      </c>
      <c r="E602" s="1326" t="s">
        <v>140</v>
      </c>
      <c r="F602" s="1326" t="s">
        <v>2582</v>
      </c>
      <c r="G602" s="1326" t="s">
        <v>2556</v>
      </c>
      <c r="H602" s="1326" t="s">
        <v>2541</v>
      </c>
      <c r="I602" s="1326" t="s">
        <v>1240</v>
      </c>
      <c r="J602" s="1326" t="s">
        <v>138</v>
      </c>
      <c r="K602" s="1326" t="s">
        <v>2060</v>
      </c>
      <c r="L602" s="1326" t="s">
        <v>2061</v>
      </c>
      <c r="M602" s="1683">
        <v>370000</v>
      </c>
      <c r="N602" s="1683">
        <v>0</v>
      </c>
      <c r="O602" s="1683">
        <v>370000</v>
      </c>
      <c r="P602" s="1683">
        <v>370000</v>
      </c>
      <c r="Q602" s="1683">
        <v>312658</v>
      </c>
      <c r="R602" s="1683">
        <v>287307</v>
      </c>
      <c r="S602" s="1683">
        <v>25351</v>
      </c>
      <c r="T602" s="1683">
        <v>57342</v>
      </c>
      <c r="U602" s="1683">
        <v>0</v>
      </c>
      <c r="V602" s="1683">
        <v>57342</v>
      </c>
      <c r="W602" s="1683">
        <v>0</v>
      </c>
      <c r="X602" s="1683">
        <v>0</v>
      </c>
      <c r="Y602" s="1682"/>
      <c r="Z602" s="1326"/>
      <c r="AA602" s="1683">
        <v>0</v>
      </c>
      <c r="AB602" s="1683">
        <v>0</v>
      </c>
      <c r="AC602" s="1683">
        <v>0</v>
      </c>
      <c r="AD602" s="1682"/>
      <c r="AE602" s="1326"/>
      <c r="AF602" s="1326"/>
      <c r="AG602" s="1410"/>
      <c r="AH602" s="1683">
        <v>924.79</v>
      </c>
      <c r="AI602" s="1683">
        <v>18924.79</v>
      </c>
      <c r="AJ602" s="1683">
        <v>18781.46</v>
      </c>
      <c r="AK602" s="1683">
        <v>17258.62</v>
      </c>
      <c r="AL602" s="1683">
        <v>1522.84</v>
      </c>
      <c r="AM602" s="1682"/>
      <c r="AN602" s="1683">
        <v>924.79</v>
      </c>
      <c r="AO602" s="1683">
        <v>924.79</v>
      </c>
      <c r="AP602" s="1683">
        <v>781.46</v>
      </c>
      <c r="AQ602" s="1683">
        <v>718.1</v>
      </c>
      <c r="AR602" s="1683">
        <v>63.36</v>
      </c>
      <c r="AS602" s="1683">
        <v>143.33000000000001</v>
      </c>
      <c r="AT602" s="1683">
        <v>0</v>
      </c>
      <c r="AU602" s="1683">
        <v>143.33000000000001</v>
      </c>
      <c r="AV602" s="1683">
        <v>0</v>
      </c>
      <c r="AW602" s="1683">
        <v>0</v>
      </c>
      <c r="AX602" s="1683">
        <v>0</v>
      </c>
      <c r="AY602" s="1683">
        <v>0</v>
      </c>
      <c r="AZ602" s="1683">
        <v>0</v>
      </c>
      <c r="BA602" s="1682"/>
      <c r="BB602" s="1682"/>
      <c r="BC602" s="1683">
        <v>0</v>
      </c>
      <c r="BD602" s="1683">
        <v>0</v>
      </c>
      <c r="BE602" s="1683">
        <v>924.79</v>
      </c>
      <c r="BF602" s="1683">
        <v>924.79</v>
      </c>
      <c r="BG602" s="1683">
        <v>781.46</v>
      </c>
      <c r="BH602" s="1683">
        <v>718.1</v>
      </c>
      <c r="BI602" s="1683">
        <v>63.36</v>
      </c>
      <c r="BJ602" s="1683">
        <v>143.33000000000001</v>
      </c>
      <c r="BK602" s="1683">
        <v>0</v>
      </c>
      <c r="BL602" s="1683">
        <v>143.33000000000001</v>
      </c>
      <c r="BM602" s="1683">
        <v>0</v>
      </c>
      <c r="BN602" s="1683">
        <v>0</v>
      </c>
      <c r="BO602" s="1682"/>
      <c r="BP602" s="1683">
        <v>924.79</v>
      </c>
      <c r="BQ602" s="1683">
        <v>924.79</v>
      </c>
      <c r="BR602" s="1683">
        <v>781.46</v>
      </c>
      <c r="BS602" s="1683">
        <v>718.1</v>
      </c>
      <c r="BT602" s="1683">
        <v>63.36</v>
      </c>
      <c r="BU602" s="1683">
        <v>143.33000000000001</v>
      </c>
      <c r="BV602" s="1683">
        <v>0</v>
      </c>
      <c r="BW602" s="1683">
        <v>0</v>
      </c>
      <c r="BX602" s="1683">
        <v>0</v>
      </c>
      <c r="BY602" s="1683">
        <v>0</v>
      </c>
      <c r="BZ602" s="1683">
        <v>0</v>
      </c>
      <c r="CA602" s="1683">
        <v>0</v>
      </c>
      <c r="CB602" s="1682"/>
      <c r="CC602" s="1682"/>
      <c r="CD602" s="1683">
        <v>0</v>
      </c>
      <c r="CE602" s="1683">
        <v>0</v>
      </c>
      <c r="CF602" s="1683">
        <v>0</v>
      </c>
      <c r="CG602" s="1683">
        <v>0</v>
      </c>
      <c r="CH602" s="1683">
        <v>0</v>
      </c>
      <c r="CI602" s="1683">
        <v>0</v>
      </c>
      <c r="CJ602" s="1683">
        <v>10.06</v>
      </c>
      <c r="CK602" s="1683">
        <v>10.06</v>
      </c>
      <c r="CL602" s="1682"/>
      <c r="CM602" s="1683">
        <v>0</v>
      </c>
      <c r="CN602" s="1683">
        <v>0</v>
      </c>
      <c r="CO602" s="1683">
        <v>0</v>
      </c>
      <c r="CP602" s="1683">
        <v>0</v>
      </c>
      <c r="CQ602" s="1683">
        <v>0</v>
      </c>
      <c r="CR602" s="1683">
        <v>0</v>
      </c>
      <c r="CS602" s="1683">
        <v>0</v>
      </c>
      <c r="CT602" s="1683">
        <v>0</v>
      </c>
      <c r="CU602" s="1683">
        <v>0</v>
      </c>
      <c r="CV602" s="1683">
        <v>0</v>
      </c>
      <c r="CW602" s="1682"/>
      <c r="CX602" s="1683">
        <v>0</v>
      </c>
      <c r="CY602" s="1683">
        <v>0</v>
      </c>
      <c r="CZ602" s="1683">
        <v>0</v>
      </c>
      <c r="DA602" s="1683">
        <v>0</v>
      </c>
      <c r="DB602" s="1682"/>
      <c r="DC602" s="1326"/>
      <c r="DD602" s="1683">
        <v>0</v>
      </c>
      <c r="DE602" s="1683">
        <v>0</v>
      </c>
      <c r="DF602" s="1683">
        <v>0</v>
      </c>
      <c r="DG602" s="1683">
        <v>0</v>
      </c>
      <c r="DH602" s="1683">
        <v>0</v>
      </c>
    </row>
    <row r="603" spans="1:112" ht="45">
      <c r="A603" s="1326" t="s">
        <v>4172</v>
      </c>
      <c r="B603" s="1326" t="s">
        <v>1704</v>
      </c>
      <c r="C603" s="1326" t="s">
        <v>2580</v>
      </c>
      <c r="D603" s="1326" t="s">
        <v>2581</v>
      </c>
      <c r="E603" s="1326" t="s">
        <v>140</v>
      </c>
      <c r="F603" s="1326" t="s">
        <v>2582</v>
      </c>
      <c r="G603" s="1326" t="s">
        <v>2556</v>
      </c>
      <c r="H603" s="1326" t="s">
        <v>2541</v>
      </c>
      <c r="I603" s="1326" t="s">
        <v>1240</v>
      </c>
      <c r="J603" s="1326" t="s">
        <v>138</v>
      </c>
      <c r="K603" s="1326" t="s">
        <v>2060</v>
      </c>
      <c r="L603" s="1326" t="s">
        <v>2061</v>
      </c>
      <c r="M603" s="1400"/>
      <c r="N603" s="1400"/>
      <c r="O603" s="1400"/>
      <c r="P603" s="1400"/>
      <c r="Q603" s="1400"/>
      <c r="R603" s="1400"/>
      <c r="S603" s="1400"/>
      <c r="T603" s="1400"/>
      <c r="U603" s="1400"/>
      <c r="V603" s="1400"/>
      <c r="W603" s="1400"/>
      <c r="X603" s="1400"/>
      <c r="Y603" s="1685">
        <v>43269</v>
      </c>
      <c r="Z603" s="1326" t="s">
        <v>2062</v>
      </c>
      <c r="AA603" s="1683">
        <v>0</v>
      </c>
      <c r="AB603" s="1683">
        <v>0</v>
      </c>
      <c r="AC603" s="1683">
        <v>0</v>
      </c>
      <c r="AD603" s="1685">
        <v>43297</v>
      </c>
      <c r="AE603" s="1326" t="s">
        <v>2073</v>
      </c>
      <c r="AF603" s="1326" t="s">
        <v>2064</v>
      </c>
      <c r="AG603" s="1410"/>
      <c r="AH603" s="1683">
        <v>924.79</v>
      </c>
      <c r="AI603" s="1683">
        <v>924.79</v>
      </c>
      <c r="AJ603" s="1683">
        <v>781.46</v>
      </c>
      <c r="AK603" s="1683">
        <v>718.1</v>
      </c>
      <c r="AL603" s="1683">
        <v>63.36</v>
      </c>
      <c r="AM603" s="1685">
        <v>43297</v>
      </c>
      <c r="AN603" s="1683">
        <v>924.79</v>
      </c>
      <c r="AO603" s="1683">
        <v>924.79</v>
      </c>
      <c r="AP603" s="1683">
        <v>781.46</v>
      </c>
      <c r="AQ603" s="1683">
        <v>718.1</v>
      </c>
      <c r="AR603" s="1683">
        <v>63.36</v>
      </c>
      <c r="AS603" s="1683">
        <v>143.33000000000001</v>
      </c>
      <c r="AT603" s="1683">
        <v>0</v>
      </c>
      <c r="AU603" s="1683">
        <v>143.33000000000001</v>
      </c>
      <c r="AV603" s="1683">
        <v>0</v>
      </c>
      <c r="AW603" s="1683">
        <v>0</v>
      </c>
      <c r="AX603" s="1400"/>
      <c r="AY603" s="1400"/>
      <c r="AZ603" s="1400"/>
      <c r="BA603" s="1682"/>
      <c r="BB603" s="1682"/>
      <c r="BC603" s="1400"/>
      <c r="BD603" s="1400"/>
      <c r="BE603" s="1683">
        <v>924.79</v>
      </c>
      <c r="BF603" s="1683">
        <v>924.79</v>
      </c>
      <c r="BG603" s="1683">
        <v>781.46</v>
      </c>
      <c r="BH603" s="1683">
        <v>718.1</v>
      </c>
      <c r="BI603" s="1683">
        <v>63.36</v>
      </c>
      <c r="BJ603" s="1683">
        <v>143.33000000000001</v>
      </c>
      <c r="BK603" s="1683">
        <v>0</v>
      </c>
      <c r="BL603" s="1683">
        <v>143.33000000000001</v>
      </c>
      <c r="BM603" s="1683">
        <v>0</v>
      </c>
      <c r="BN603" s="1683">
        <v>0</v>
      </c>
      <c r="BO603" s="1685">
        <v>43364</v>
      </c>
      <c r="BP603" s="1683">
        <v>924.79</v>
      </c>
      <c r="BQ603" s="1683">
        <v>924.79</v>
      </c>
      <c r="BR603" s="1683">
        <v>781.46</v>
      </c>
      <c r="BS603" s="1683">
        <v>718.1</v>
      </c>
      <c r="BT603" s="1683">
        <v>63.36</v>
      </c>
      <c r="BU603" s="1683">
        <v>143.33000000000001</v>
      </c>
      <c r="BV603" s="1683">
        <v>0</v>
      </c>
      <c r="BW603" s="1683">
        <v>0</v>
      </c>
      <c r="BX603" s="1683">
        <v>0</v>
      </c>
      <c r="BY603" s="1683">
        <v>0</v>
      </c>
      <c r="BZ603" s="1683">
        <v>0</v>
      </c>
      <c r="CA603" s="1400"/>
      <c r="CB603" s="1682"/>
      <c r="CC603" s="1682"/>
      <c r="CD603" s="1400"/>
      <c r="CE603" s="1400"/>
      <c r="CF603" s="1683">
        <v>0</v>
      </c>
      <c r="CG603" s="1683">
        <v>0</v>
      </c>
      <c r="CH603" s="1683">
        <v>0</v>
      </c>
      <c r="CI603" s="1683">
        <v>0</v>
      </c>
      <c r="CJ603" s="1683">
        <v>10.06</v>
      </c>
      <c r="CK603" s="1683">
        <v>10.06</v>
      </c>
      <c r="CL603" s="1682"/>
      <c r="CM603" s="1683">
        <v>0</v>
      </c>
      <c r="CN603" s="1683">
        <v>0</v>
      </c>
      <c r="CO603" s="1683">
        <v>0</v>
      </c>
      <c r="CP603" s="1683">
        <v>0</v>
      </c>
      <c r="CQ603" s="1683">
        <v>0</v>
      </c>
      <c r="CR603" s="1683">
        <v>0</v>
      </c>
      <c r="CS603" s="1683">
        <v>0</v>
      </c>
      <c r="CT603" s="1683">
        <v>0</v>
      </c>
      <c r="CU603" s="1683">
        <v>0</v>
      </c>
      <c r="CV603" s="1683">
        <v>0</v>
      </c>
      <c r="CW603" s="1682"/>
      <c r="CX603" s="1400"/>
      <c r="CY603" s="1400"/>
      <c r="CZ603" s="1400"/>
      <c r="DA603" s="1400"/>
      <c r="DB603" s="1682"/>
      <c r="DC603" s="1326"/>
      <c r="DD603" s="1683">
        <v>0</v>
      </c>
      <c r="DE603" s="1400"/>
      <c r="DF603" s="1400"/>
      <c r="DG603" s="1683">
        <v>0</v>
      </c>
      <c r="DH603" s="1683">
        <v>0</v>
      </c>
    </row>
    <row r="604" spans="1:112" ht="45">
      <c r="A604" s="1326" t="s">
        <v>4173</v>
      </c>
      <c r="B604" s="1326" t="s">
        <v>1704</v>
      </c>
      <c r="C604" s="1326" t="s">
        <v>2580</v>
      </c>
      <c r="D604" s="1326" t="s">
        <v>2581</v>
      </c>
      <c r="E604" s="1326" t="s">
        <v>140</v>
      </c>
      <c r="F604" s="1326" t="s">
        <v>2582</v>
      </c>
      <c r="G604" s="1326" t="s">
        <v>2556</v>
      </c>
      <c r="H604" s="1326" t="s">
        <v>2541</v>
      </c>
      <c r="I604" s="1326" t="s">
        <v>1240</v>
      </c>
      <c r="J604" s="1326" t="s">
        <v>138</v>
      </c>
      <c r="K604" s="1326" t="s">
        <v>2060</v>
      </c>
      <c r="L604" s="1326" t="s">
        <v>2061</v>
      </c>
      <c r="M604" s="1400"/>
      <c r="N604" s="1400"/>
      <c r="O604" s="1400"/>
      <c r="P604" s="1400"/>
      <c r="Q604" s="1400"/>
      <c r="R604" s="1400"/>
      <c r="S604" s="1400"/>
      <c r="T604" s="1400"/>
      <c r="U604" s="1400"/>
      <c r="V604" s="1400"/>
      <c r="W604" s="1400"/>
      <c r="X604" s="1400"/>
      <c r="Y604" s="1685">
        <v>43528</v>
      </c>
      <c r="Z604" s="1326" t="s">
        <v>2096</v>
      </c>
      <c r="AA604" s="1683">
        <v>0</v>
      </c>
      <c r="AB604" s="1683">
        <v>0</v>
      </c>
      <c r="AC604" s="1683">
        <v>0</v>
      </c>
      <c r="AD604" s="1685">
        <v>43532</v>
      </c>
      <c r="AE604" s="1326" t="s">
        <v>2079</v>
      </c>
      <c r="AF604" s="1326" t="s">
        <v>2064</v>
      </c>
      <c r="AG604" s="1410"/>
      <c r="AH604" s="1683">
        <v>0</v>
      </c>
      <c r="AI604" s="1683">
        <v>18000</v>
      </c>
      <c r="AJ604" s="1683">
        <v>18000</v>
      </c>
      <c r="AK604" s="1683">
        <v>16540.52</v>
      </c>
      <c r="AL604" s="1683">
        <v>1459.48</v>
      </c>
      <c r="AM604" s="1682"/>
      <c r="AN604" s="1683">
        <v>0</v>
      </c>
      <c r="AO604" s="1683">
        <v>0</v>
      </c>
      <c r="AP604" s="1683">
        <v>0</v>
      </c>
      <c r="AQ604" s="1683">
        <v>0</v>
      </c>
      <c r="AR604" s="1683">
        <v>0</v>
      </c>
      <c r="AS604" s="1683">
        <v>0</v>
      </c>
      <c r="AT604" s="1683">
        <v>0</v>
      </c>
      <c r="AU604" s="1683">
        <v>0</v>
      </c>
      <c r="AV604" s="1683">
        <v>0</v>
      </c>
      <c r="AW604" s="1683">
        <v>0</v>
      </c>
      <c r="AX604" s="1400"/>
      <c r="AY604" s="1400"/>
      <c r="AZ604" s="1400"/>
      <c r="BA604" s="1682"/>
      <c r="BB604" s="1682"/>
      <c r="BC604" s="1400"/>
      <c r="BD604" s="1400"/>
      <c r="BE604" s="1683">
        <v>0</v>
      </c>
      <c r="BF604" s="1683">
        <v>0</v>
      </c>
      <c r="BG604" s="1683">
        <v>0</v>
      </c>
      <c r="BH604" s="1683">
        <v>0</v>
      </c>
      <c r="BI604" s="1683">
        <v>0</v>
      </c>
      <c r="BJ604" s="1683">
        <v>0</v>
      </c>
      <c r="BK604" s="1683">
        <v>0</v>
      </c>
      <c r="BL604" s="1683">
        <v>0</v>
      </c>
      <c r="BM604" s="1683">
        <v>0</v>
      </c>
      <c r="BN604" s="1683">
        <v>0</v>
      </c>
      <c r="BO604" s="1682"/>
      <c r="BP604" s="1683">
        <v>0</v>
      </c>
      <c r="BQ604" s="1683">
        <v>0</v>
      </c>
      <c r="BR604" s="1683">
        <v>0</v>
      </c>
      <c r="BS604" s="1683">
        <v>0</v>
      </c>
      <c r="BT604" s="1683">
        <v>0</v>
      </c>
      <c r="BU604" s="1683">
        <v>0</v>
      </c>
      <c r="BV604" s="1683">
        <v>0</v>
      </c>
      <c r="BW604" s="1683">
        <v>0</v>
      </c>
      <c r="BX604" s="1683">
        <v>0</v>
      </c>
      <c r="BY604" s="1683">
        <v>0</v>
      </c>
      <c r="BZ604" s="1400"/>
      <c r="CA604" s="1400"/>
      <c r="CB604" s="1682"/>
      <c r="CC604" s="1682"/>
      <c r="CD604" s="1400"/>
      <c r="CE604" s="1400"/>
      <c r="CF604" s="1683">
        <v>0</v>
      </c>
      <c r="CG604" s="1683">
        <v>0</v>
      </c>
      <c r="CH604" s="1683">
        <v>0</v>
      </c>
      <c r="CI604" s="1683">
        <v>0</v>
      </c>
      <c r="CJ604" s="1683">
        <v>0</v>
      </c>
      <c r="CK604" s="1683">
        <v>0</v>
      </c>
      <c r="CL604" s="1682"/>
      <c r="CM604" s="1683">
        <v>0</v>
      </c>
      <c r="CN604" s="1683">
        <v>0</v>
      </c>
      <c r="CO604" s="1683">
        <v>0</v>
      </c>
      <c r="CP604" s="1683">
        <v>0</v>
      </c>
      <c r="CQ604" s="1683">
        <v>0</v>
      </c>
      <c r="CR604" s="1683">
        <v>0</v>
      </c>
      <c r="CS604" s="1683">
        <v>0</v>
      </c>
      <c r="CT604" s="1683">
        <v>0</v>
      </c>
      <c r="CU604" s="1683">
        <v>0</v>
      </c>
      <c r="CV604" s="1683">
        <v>0</v>
      </c>
      <c r="CW604" s="1682"/>
      <c r="CX604" s="1400"/>
      <c r="CY604" s="1400"/>
      <c r="CZ604" s="1400"/>
      <c r="DA604" s="1400"/>
      <c r="DB604" s="1682"/>
      <c r="DC604" s="1326"/>
      <c r="DD604" s="1683">
        <v>0</v>
      </c>
      <c r="DE604" s="1400"/>
      <c r="DF604" s="1400"/>
      <c r="DG604" s="1683">
        <v>0</v>
      </c>
      <c r="DH604" s="1683">
        <v>0</v>
      </c>
    </row>
    <row r="605" spans="1:112" ht="90">
      <c r="A605" s="1326" t="s">
        <v>4174</v>
      </c>
      <c r="B605" s="1326" t="s">
        <v>1704</v>
      </c>
      <c r="C605" s="1326" t="s">
        <v>2580</v>
      </c>
      <c r="D605" s="1326" t="s">
        <v>2581</v>
      </c>
      <c r="E605" s="1326" t="s">
        <v>140</v>
      </c>
      <c r="F605" s="1326" t="s">
        <v>2582</v>
      </c>
      <c r="G605" s="1326" t="s">
        <v>2556</v>
      </c>
      <c r="H605" s="1326" t="s">
        <v>2541</v>
      </c>
      <c r="I605" s="1326" t="s">
        <v>1241</v>
      </c>
      <c r="J605" s="1326" t="s">
        <v>3240</v>
      </c>
      <c r="K605" s="1326" t="s">
        <v>2077</v>
      </c>
      <c r="L605" s="1326" t="s">
        <v>2061</v>
      </c>
      <c r="M605" s="1683">
        <v>597456.88</v>
      </c>
      <c r="N605" s="1683">
        <v>0</v>
      </c>
      <c r="O605" s="1683">
        <v>597456.88</v>
      </c>
      <c r="P605" s="1683">
        <v>597456.88</v>
      </c>
      <c r="Q605" s="1683">
        <v>537595</v>
      </c>
      <c r="R605" s="1683">
        <v>494007</v>
      </c>
      <c r="S605" s="1683">
        <v>43588</v>
      </c>
      <c r="T605" s="1683">
        <v>59861.88</v>
      </c>
      <c r="U605" s="1683">
        <v>0</v>
      </c>
      <c r="V605" s="1683">
        <v>59861.88</v>
      </c>
      <c r="W605" s="1683">
        <v>0</v>
      </c>
      <c r="X605" s="1683">
        <v>0</v>
      </c>
      <c r="Y605" s="1682"/>
      <c r="Z605" s="1326"/>
      <c r="AA605" s="1683">
        <v>0</v>
      </c>
      <c r="AB605" s="1683">
        <v>0</v>
      </c>
      <c r="AC605" s="1683">
        <v>0</v>
      </c>
      <c r="AD605" s="1682"/>
      <c r="AE605" s="1326"/>
      <c r="AF605" s="1326"/>
      <c r="AG605" s="1410"/>
      <c r="AH605" s="1683">
        <v>383080.25</v>
      </c>
      <c r="AI605" s="1683">
        <v>383080.25</v>
      </c>
      <c r="AJ605" s="1683">
        <v>344697.72</v>
      </c>
      <c r="AK605" s="1683">
        <v>316749.76</v>
      </c>
      <c r="AL605" s="1683">
        <v>27947.96</v>
      </c>
      <c r="AM605" s="1682"/>
      <c r="AN605" s="1683">
        <v>383080.25</v>
      </c>
      <c r="AO605" s="1683">
        <v>383080.25</v>
      </c>
      <c r="AP605" s="1683">
        <v>344697.72</v>
      </c>
      <c r="AQ605" s="1683">
        <v>316749.76</v>
      </c>
      <c r="AR605" s="1683">
        <v>27947.96</v>
      </c>
      <c r="AS605" s="1683">
        <v>38382.53</v>
      </c>
      <c r="AT605" s="1683">
        <v>0</v>
      </c>
      <c r="AU605" s="1683">
        <v>38382.53</v>
      </c>
      <c r="AV605" s="1683">
        <v>0</v>
      </c>
      <c r="AW605" s="1683">
        <v>0</v>
      </c>
      <c r="AX605" s="1683">
        <v>0</v>
      </c>
      <c r="AY605" s="1683">
        <v>0</v>
      </c>
      <c r="AZ605" s="1683">
        <v>0</v>
      </c>
      <c r="BA605" s="1682"/>
      <c r="BB605" s="1682"/>
      <c r="BC605" s="1683">
        <v>0</v>
      </c>
      <c r="BD605" s="1683">
        <v>0</v>
      </c>
      <c r="BE605" s="1683">
        <v>383080.25</v>
      </c>
      <c r="BF605" s="1683">
        <v>383080.25</v>
      </c>
      <c r="BG605" s="1683">
        <v>344697.72</v>
      </c>
      <c r="BH605" s="1683">
        <v>316749.76</v>
      </c>
      <c r="BI605" s="1683">
        <v>27947.96</v>
      </c>
      <c r="BJ605" s="1683">
        <v>38382.53</v>
      </c>
      <c r="BK605" s="1683">
        <v>0</v>
      </c>
      <c r="BL605" s="1683">
        <v>38382.53</v>
      </c>
      <c r="BM605" s="1683">
        <v>0</v>
      </c>
      <c r="BN605" s="1683">
        <v>0</v>
      </c>
      <c r="BO605" s="1682"/>
      <c r="BP605" s="1683">
        <v>0</v>
      </c>
      <c r="BQ605" s="1683">
        <v>0</v>
      </c>
      <c r="BR605" s="1683">
        <v>0</v>
      </c>
      <c r="BS605" s="1683">
        <v>0</v>
      </c>
      <c r="BT605" s="1683">
        <v>0</v>
      </c>
      <c r="BU605" s="1683">
        <v>0</v>
      </c>
      <c r="BV605" s="1683">
        <v>0</v>
      </c>
      <c r="BW605" s="1683">
        <v>0</v>
      </c>
      <c r="BX605" s="1683">
        <v>0</v>
      </c>
      <c r="BY605" s="1683">
        <v>0</v>
      </c>
      <c r="BZ605" s="1400"/>
      <c r="CA605" s="1683">
        <v>0</v>
      </c>
      <c r="CB605" s="1682"/>
      <c r="CC605" s="1682"/>
      <c r="CD605" s="1683">
        <v>0</v>
      </c>
      <c r="CE605" s="1683">
        <v>0</v>
      </c>
      <c r="CF605" s="1683">
        <v>0</v>
      </c>
      <c r="CG605" s="1683">
        <v>0</v>
      </c>
      <c r="CH605" s="1683">
        <v>0</v>
      </c>
      <c r="CI605" s="1683">
        <v>0</v>
      </c>
      <c r="CJ605" s="1683">
        <v>0</v>
      </c>
      <c r="CK605" s="1683">
        <v>0</v>
      </c>
      <c r="CL605" s="1682"/>
      <c r="CM605" s="1683">
        <v>0</v>
      </c>
      <c r="CN605" s="1683">
        <v>0</v>
      </c>
      <c r="CO605" s="1683">
        <v>0</v>
      </c>
      <c r="CP605" s="1683">
        <v>0</v>
      </c>
      <c r="CQ605" s="1683">
        <v>0</v>
      </c>
      <c r="CR605" s="1683">
        <v>0</v>
      </c>
      <c r="CS605" s="1683">
        <v>0</v>
      </c>
      <c r="CT605" s="1683">
        <v>0</v>
      </c>
      <c r="CU605" s="1683">
        <v>0</v>
      </c>
      <c r="CV605" s="1683">
        <v>0</v>
      </c>
      <c r="CW605" s="1682"/>
      <c r="CX605" s="1683">
        <v>0</v>
      </c>
      <c r="CY605" s="1683">
        <v>0</v>
      </c>
      <c r="CZ605" s="1683">
        <v>0</v>
      </c>
      <c r="DA605" s="1683">
        <v>0</v>
      </c>
      <c r="DB605" s="1682"/>
      <c r="DC605" s="1326"/>
      <c r="DD605" s="1683">
        <v>0</v>
      </c>
      <c r="DE605" s="1683">
        <v>0</v>
      </c>
      <c r="DF605" s="1683">
        <v>0</v>
      </c>
      <c r="DG605" s="1683">
        <v>0</v>
      </c>
      <c r="DH605" s="1683">
        <v>0</v>
      </c>
    </row>
    <row r="606" spans="1:112" ht="90">
      <c r="A606" s="1326" t="s">
        <v>4175</v>
      </c>
      <c r="B606" s="1326" t="s">
        <v>1704</v>
      </c>
      <c r="C606" s="1326" t="s">
        <v>2580</v>
      </c>
      <c r="D606" s="1326" t="s">
        <v>2581</v>
      </c>
      <c r="E606" s="1326" t="s">
        <v>140</v>
      </c>
      <c r="F606" s="1326" t="s">
        <v>2582</v>
      </c>
      <c r="G606" s="1326" t="s">
        <v>2556</v>
      </c>
      <c r="H606" s="1326" t="s">
        <v>2541</v>
      </c>
      <c r="I606" s="1326" t="s">
        <v>1241</v>
      </c>
      <c r="J606" s="1326" t="s">
        <v>3240</v>
      </c>
      <c r="K606" s="1326" t="s">
        <v>2077</v>
      </c>
      <c r="L606" s="1326" t="s">
        <v>2061</v>
      </c>
      <c r="M606" s="1400"/>
      <c r="N606" s="1400"/>
      <c r="O606" s="1400"/>
      <c r="P606" s="1400"/>
      <c r="Q606" s="1400"/>
      <c r="R606" s="1400"/>
      <c r="S606" s="1400"/>
      <c r="T606" s="1400"/>
      <c r="U606" s="1400"/>
      <c r="V606" s="1400"/>
      <c r="W606" s="1400"/>
      <c r="X606" s="1400"/>
      <c r="Y606" s="1685">
        <v>43453</v>
      </c>
      <c r="Z606" s="1326" t="s">
        <v>2062</v>
      </c>
      <c r="AA606" s="1683">
        <v>0</v>
      </c>
      <c r="AB606" s="1683">
        <v>0</v>
      </c>
      <c r="AC606" s="1683">
        <v>0</v>
      </c>
      <c r="AD606" s="1685">
        <v>43494</v>
      </c>
      <c r="AE606" s="1326" t="s">
        <v>2073</v>
      </c>
      <c r="AF606" s="1326" t="s">
        <v>2067</v>
      </c>
      <c r="AG606" s="1410"/>
      <c r="AH606" s="1683">
        <v>22484.58</v>
      </c>
      <c r="AI606" s="1683">
        <v>22484.58</v>
      </c>
      <c r="AJ606" s="1683">
        <v>20231.75</v>
      </c>
      <c r="AK606" s="1683">
        <v>18591.38</v>
      </c>
      <c r="AL606" s="1683">
        <v>1640.37</v>
      </c>
      <c r="AM606" s="1685">
        <v>43507</v>
      </c>
      <c r="AN606" s="1683">
        <v>22484.58</v>
      </c>
      <c r="AO606" s="1683">
        <v>22484.58</v>
      </c>
      <c r="AP606" s="1683">
        <v>20231.75</v>
      </c>
      <c r="AQ606" s="1683">
        <v>18591.38</v>
      </c>
      <c r="AR606" s="1683">
        <v>1640.37</v>
      </c>
      <c r="AS606" s="1683">
        <v>2252.83</v>
      </c>
      <c r="AT606" s="1683">
        <v>0</v>
      </c>
      <c r="AU606" s="1683">
        <v>2252.83</v>
      </c>
      <c r="AV606" s="1683">
        <v>0</v>
      </c>
      <c r="AW606" s="1683">
        <v>0</v>
      </c>
      <c r="AX606" s="1400"/>
      <c r="AY606" s="1400"/>
      <c r="AZ606" s="1400"/>
      <c r="BA606" s="1682"/>
      <c r="BB606" s="1682"/>
      <c r="BC606" s="1400"/>
      <c r="BD606" s="1400"/>
      <c r="BE606" s="1683">
        <v>22484.58</v>
      </c>
      <c r="BF606" s="1683">
        <v>22484.58</v>
      </c>
      <c r="BG606" s="1683">
        <v>20231.75</v>
      </c>
      <c r="BH606" s="1683">
        <v>18591.38</v>
      </c>
      <c r="BI606" s="1683">
        <v>1640.37</v>
      </c>
      <c r="BJ606" s="1683">
        <v>2252.83</v>
      </c>
      <c r="BK606" s="1683">
        <v>0</v>
      </c>
      <c r="BL606" s="1683">
        <v>2252.83</v>
      </c>
      <c r="BM606" s="1683">
        <v>0</v>
      </c>
      <c r="BN606" s="1683">
        <v>0</v>
      </c>
      <c r="BO606" s="1682"/>
      <c r="BP606" s="1683">
        <v>0</v>
      </c>
      <c r="BQ606" s="1683">
        <v>0</v>
      </c>
      <c r="BR606" s="1683">
        <v>0</v>
      </c>
      <c r="BS606" s="1683">
        <v>0</v>
      </c>
      <c r="BT606" s="1683">
        <v>0</v>
      </c>
      <c r="BU606" s="1683">
        <v>0</v>
      </c>
      <c r="BV606" s="1683">
        <v>0</v>
      </c>
      <c r="BW606" s="1683">
        <v>0</v>
      </c>
      <c r="BX606" s="1683">
        <v>0</v>
      </c>
      <c r="BY606" s="1683">
        <v>0</v>
      </c>
      <c r="BZ606" s="1400"/>
      <c r="CA606" s="1400"/>
      <c r="CB606" s="1682"/>
      <c r="CC606" s="1682"/>
      <c r="CD606" s="1400"/>
      <c r="CE606" s="1400"/>
      <c r="CF606" s="1683">
        <v>0</v>
      </c>
      <c r="CG606" s="1683">
        <v>0</v>
      </c>
      <c r="CH606" s="1683">
        <v>0</v>
      </c>
      <c r="CI606" s="1683">
        <v>0</v>
      </c>
      <c r="CJ606" s="1683">
        <v>0</v>
      </c>
      <c r="CK606" s="1683">
        <v>0</v>
      </c>
      <c r="CL606" s="1682"/>
      <c r="CM606" s="1683">
        <v>0</v>
      </c>
      <c r="CN606" s="1683">
        <v>0</v>
      </c>
      <c r="CO606" s="1683">
        <v>0</v>
      </c>
      <c r="CP606" s="1683">
        <v>0</v>
      </c>
      <c r="CQ606" s="1683">
        <v>0</v>
      </c>
      <c r="CR606" s="1683">
        <v>0</v>
      </c>
      <c r="CS606" s="1683">
        <v>0</v>
      </c>
      <c r="CT606" s="1683">
        <v>0</v>
      </c>
      <c r="CU606" s="1683">
        <v>0</v>
      </c>
      <c r="CV606" s="1683">
        <v>0</v>
      </c>
      <c r="CW606" s="1682"/>
      <c r="CX606" s="1400"/>
      <c r="CY606" s="1400"/>
      <c r="CZ606" s="1400"/>
      <c r="DA606" s="1400"/>
      <c r="DB606" s="1682"/>
      <c r="DC606" s="1326"/>
      <c r="DD606" s="1683">
        <v>0</v>
      </c>
      <c r="DE606" s="1400"/>
      <c r="DF606" s="1400"/>
      <c r="DG606" s="1683">
        <v>0</v>
      </c>
      <c r="DH606" s="1683">
        <v>0</v>
      </c>
    </row>
    <row r="607" spans="1:112" ht="90">
      <c r="A607" s="1326" t="s">
        <v>4176</v>
      </c>
      <c r="B607" s="1326" t="s">
        <v>1704</v>
      </c>
      <c r="C607" s="1326" t="s">
        <v>2580</v>
      </c>
      <c r="D607" s="1326" t="s">
        <v>2581</v>
      </c>
      <c r="E607" s="1326" t="s">
        <v>140</v>
      </c>
      <c r="F607" s="1326" t="s">
        <v>2582</v>
      </c>
      <c r="G607" s="1326" t="s">
        <v>2556</v>
      </c>
      <c r="H607" s="1326" t="s">
        <v>2541</v>
      </c>
      <c r="I607" s="1326" t="s">
        <v>1241</v>
      </c>
      <c r="J607" s="1326" t="s">
        <v>3240</v>
      </c>
      <c r="K607" s="1326" t="s">
        <v>2077</v>
      </c>
      <c r="L607" s="1326" t="s">
        <v>2061</v>
      </c>
      <c r="M607" s="1400"/>
      <c r="N607" s="1400"/>
      <c r="O607" s="1400"/>
      <c r="P607" s="1400"/>
      <c r="Q607" s="1400"/>
      <c r="R607" s="1400"/>
      <c r="S607" s="1400"/>
      <c r="T607" s="1400"/>
      <c r="U607" s="1400"/>
      <c r="V607" s="1400"/>
      <c r="W607" s="1400"/>
      <c r="X607" s="1400"/>
      <c r="Y607" s="1685">
        <v>43453</v>
      </c>
      <c r="Z607" s="1326" t="s">
        <v>2062</v>
      </c>
      <c r="AA607" s="1683">
        <v>0</v>
      </c>
      <c r="AB607" s="1683">
        <v>0</v>
      </c>
      <c r="AC607" s="1683">
        <v>0</v>
      </c>
      <c r="AD607" s="1685">
        <v>43494</v>
      </c>
      <c r="AE607" s="1326" t="s">
        <v>2073</v>
      </c>
      <c r="AF607" s="1326" t="s">
        <v>2064</v>
      </c>
      <c r="AG607" s="1410"/>
      <c r="AH607" s="1683">
        <v>22025.98</v>
      </c>
      <c r="AI607" s="1683">
        <v>22025.98</v>
      </c>
      <c r="AJ607" s="1683">
        <v>19819.099999999999</v>
      </c>
      <c r="AK607" s="1683">
        <v>18212.18</v>
      </c>
      <c r="AL607" s="1683">
        <v>1606.92</v>
      </c>
      <c r="AM607" s="1685">
        <v>43494</v>
      </c>
      <c r="AN607" s="1683">
        <v>22025.98</v>
      </c>
      <c r="AO607" s="1683">
        <v>22025.98</v>
      </c>
      <c r="AP607" s="1683">
        <v>19819.099999999999</v>
      </c>
      <c r="AQ607" s="1683">
        <v>18212.18</v>
      </c>
      <c r="AR607" s="1683">
        <v>1606.92</v>
      </c>
      <c r="AS607" s="1683">
        <v>2206.88</v>
      </c>
      <c r="AT607" s="1683">
        <v>0</v>
      </c>
      <c r="AU607" s="1683">
        <v>2206.88</v>
      </c>
      <c r="AV607" s="1683">
        <v>0</v>
      </c>
      <c r="AW607" s="1683">
        <v>0</v>
      </c>
      <c r="AX607" s="1400"/>
      <c r="AY607" s="1400"/>
      <c r="AZ607" s="1400"/>
      <c r="BA607" s="1682"/>
      <c r="BB607" s="1682"/>
      <c r="BC607" s="1400"/>
      <c r="BD607" s="1400"/>
      <c r="BE607" s="1683">
        <v>22025.98</v>
      </c>
      <c r="BF607" s="1683">
        <v>22025.98</v>
      </c>
      <c r="BG607" s="1683">
        <v>19819.099999999999</v>
      </c>
      <c r="BH607" s="1683">
        <v>18212.18</v>
      </c>
      <c r="BI607" s="1683">
        <v>1606.92</v>
      </c>
      <c r="BJ607" s="1683">
        <v>2206.88</v>
      </c>
      <c r="BK607" s="1683">
        <v>0</v>
      </c>
      <c r="BL607" s="1683">
        <v>2206.88</v>
      </c>
      <c r="BM607" s="1683">
        <v>0</v>
      </c>
      <c r="BN607" s="1683">
        <v>0</v>
      </c>
      <c r="BO607" s="1682"/>
      <c r="BP607" s="1683">
        <v>0</v>
      </c>
      <c r="BQ607" s="1683">
        <v>0</v>
      </c>
      <c r="BR607" s="1683">
        <v>0</v>
      </c>
      <c r="BS607" s="1683">
        <v>0</v>
      </c>
      <c r="BT607" s="1683">
        <v>0</v>
      </c>
      <c r="BU607" s="1683">
        <v>0</v>
      </c>
      <c r="BV607" s="1683">
        <v>0</v>
      </c>
      <c r="BW607" s="1683">
        <v>0</v>
      </c>
      <c r="BX607" s="1683">
        <v>0</v>
      </c>
      <c r="BY607" s="1683">
        <v>0</v>
      </c>
      <c r="BZ607" s="1400"/>
      <c r="CA607" s="1400"/>
      <c r="CB607" s="1682"/>
      <c r="CC607" s="1682"/>
      <c r="CD607" s="1400"/>
      <c r="CE607" s="1400"/>
      <c r="CF607" s="1683">
        <v>0</v>
      </c>
      <c r="CG607" s="1683">
        <v>0</v>
      </c>
      <c r="CH607" s="1683">
        <v>0</v>
      </c>
      <c r="CI607" s="1683">
        <v>0</v>
      </c>
      <c r="CJ607" s="1683">
        <v>0</v>
      </c>
      <c r="CK607" s="1683">
        <v>0</v>
      </c>
      <c r="CL607" s="1682"/>
      <c r="CM607" s="1683">
        <v>0</v>
      </c>
      <c r="CN607" s="1683">
        <v>0</v>
      </c>
      <c r="CO607" s="1683">
        <v>0</v>
      </c>
      <c r="CP607" s="1683">
        <v>0</v>
      </c>
      <c r="CQ607" s="1683">
        <v>0</v>
      </c>
      <c r="CR607" s="1683">
        <v>0</v>
      </c>
      <c r="CS607" s="1683">
        <v>0</v>
      </c>
      <c r="CT607" s="1683">
        <v>0</v>
      </c>
      <c r="CU607" s="1683">
        <v>0</v>
      </c>
      <c r="CV607" s="1683">
        <v>0</v>
      </c>
      <c r="CW607" s="1682"/>
      <c r="CX607" s="1400"/>
      <c r="CY607" s="1400"/>
      <c r="CZ607" s="1400"/>
      <c r="DA607" s="1400"/>
      <c r="DB607" s="1682"/>
      <c r="DC607" s="1326"/>
      <c r="DD607" s="1683">
        <v>0</v>
      </c>
      <c r="DE607" s="1400"/>
      <c r="DF607" s="1400"/>
      <c r="DG607" s="1683">
        <v>0</v>
      </c>
      <c r="DH607" s="1683">
        <v>0</v>
      </c>
    </row>
    <row r="608" spans="1:112" ht="90">
      <c r="A608" s="1326" t="s">
        <v>4240</v>
      </c>
      <c r="B608" s="1326" t="s">
        <v>1704</v>
      </c>
      <c r="C608" s="1326" t="s">
        <v>2580</v>
      </c>
      <c r="D608" s="1326" t="s">
        <v>2581</v>
      </c>
      <c r="E608" s="1326" t="s">
        <v>140</v>
      </c>
      <c r="F608" s="1326" t="s">
        <v>2582</v>
      </c>
      <c r="G608" s="1326" t="s">
        <v>2556</v>
      </c>
      <c r="H608" s="1326" t="s">
        <v>2541</v>
      </c>
      <c r="I608" s="1326" t="s">
        <v>1241</v>
      </c>
      <c r="J608" s="1326" t="s">
        <v>3240</v>
      </c>
      <c r="K608" s="1326" t="s">
        <v>2077</v>
      </c>
      <c r="L608" s="1326" t="s">
        <v>2061</v>
      </c>
      <c r="M608" s="1400"/>
      <c r="N608" s="1400"/>
      <c r="O608" s="1400"/>
      <c r="P608" s="1400"/>
      <c r="Q608" s="1400"/>
      <c r="R608" s="1400"/>
      <c r="S608" s="1400"/>
      <c r="T608" s="1400"/>
      <c r="U608" s="1400"/>
      <c r="V608" s="1400"/>
      <c r="W608" s="1400"/>
      <c r="X608" s="1400"/>
      <c r="Y608" s="1685">
        <v>43509</v>
      </c>
      <c r="Z608" s="1326" t="s">
        <v>2062</v>
      </c>
      <c r="AA608" s="1683">
        <v>0</v>
      </c>
      <c r="AB608" s="1683">
        <v>0</v>
      </c>
      <c r="AC608" s="1683">
        <v>0</v>
      </c>
      <c r="AD608" s="1685">
        <v>43543</v>
      </c>
      <c r="AE608" s="1326" t="s">
        <v>2063</v>
      </c>
      <c r="AF608" s="1326" t="s">
        <v>2064</v>
      </c>
      <c r="AG608" s="1410"/>
      <c r="AH608" s="1683">
        <v>338569.69</v>
      </c>
      <c r="AI608" s="1683">
        <v>338569.69</v>
      </c>
      <c r="AJ608" s="1683">
        <v>304646.87</v>
      </c>
      <c r="AK608" s="1683">
        <v>279946.2</v>
      </c>
      <c r="AL608" s="1683">
        <v>24700.67</v>
      </c>
      <c r="AM608" s="1685">
        <v>43543</v>
      </c>
      <c r="AN608" s="1683">
        <v>338569.69</v>
      </c>
      <c r="AO608" s="1683">
        <v>338569.69</v>
      </c>
      <c r="AP608" s="1683">
        <v>304646.87</v>
      </c>
      <c r="AQ608" s="1683">
        <v>279946.2</v>
      </c>
      <c r="AR608" s="1683">
        <v>24700.67</v>
      </c>
      <c r="AS608" s="1683">
        <v>33922.82</v>
      </c>
      <c r="AT608" s="1683">
        <v>0</v>
      </c>
      <c r="AU608" s="1683">
        <v>33922.82</v>
      </c>
      <c r="AV608" s="1683">
        <v>0</v>
      </c>
      <c r="AW608" s="1683">
        <v>0</v>
      </c>
      <c r="AX608" s="1400"/>
      <c r="AY608" s="1400"/>
      <c r="AZ608" s="1400"/>
      <c r="BA608" s="1682"/>
      <c r="BB608" s="1682"/>
      <c r="BC608" s="1400"/>
      <c r="BD608" s="1400"/>
      <c r="BE608" s="1683">
        <v>338569.69</v>
      </c>
      <c r="BF608" s="1683">
        <v>338569.69</v>
      </c>
      <c r="BG608" s="1683">
        <v>304646.87</v>
      </c>
      <c r="BH608" s="1683">
        <v>279946.2</v>
      </c>
      <c r="BI608" s="1683">
        <v>24700.67</v>
      </c>
      <c r="BJ608" s="1683">
        <v>33922.82</v>
      </c>
      <c r="BK608" s="1683">
        <v>0</v>
      </c>
      <c r="BL608" s="1683">
        <v>33922.82</v>
      </c>
      <c r="BM608" s="1683">
        <v>0</v>
      </c>
      <c r="BN608" s="1683">
        <v>0</v>
      </c>
      <c r="BO608" s="1682"/>
      <c r="BP608" s="1683">
        <v>0</v>
      </c>
      <c r="BQ608" s="1683">
        <v>0</v>
      </c>
      <c r="BR608" s="1683">
        <v>0</v>
      </c>
      <c r="BS608" s="1683">
        <v>0</v>
      </c>
      <c r="BT608" s="1683">
        <v>0</v>
      </c>
      <c r="BU608" s="1683">
        <v>0</v>
      </c>
      <c r="BV608" s="1683">
        <v>0</v>
      </c>
      <c r="BW608" s="1683">
        <v>0</v>
      </c>
      <c r="BX608" s="1683">
        <v>0</v>
      </c>
      <c r="BY608" s="1683">
        <v>0</v>
      </c>
      <c r="BZ608" s="1400"/>
      <c r="CA608" s="1400"/>
      <c r="CB608" s="1682"/>
      <c r="CC608" s="1682"/>
      <c r="CD608" s="1400"/>
      <c r="CE608" s="1400"/>
      <c r="CF608" s="1683">
        <v>0</v>
      </c>
      <c r="CG608" s="1683">
        <v>0</v>
      </c>
      <c r="CH608" s="1683">
        <v>0</v>
      </c>
      <c r="CI608" s="1683">
        <v>0</v>
      </c>
      <c r="CJ608" s="1683">
        <v>0</v>
      </c>
      <c r="CK608" s="1683">
        <v>0</v>
      </c>
      <c r="CL608" s="1682"/>
      <c r="CM608" s="1683">
        <v>0</v>
      </c>
      <c r="CN608" s="1683">
        <v>0</v>
      </c>
      <c r="CO608" s="1683">
        <v>0</v>
      </c>
      <c r="CP608" s="1683">
        <v>0</v>
      </c>
      <c r="CQ608" s="1683">
        <v>0</v>
      </c>
      <c r="CR608" s="1683">
        <v>0</v>
      </c>
      <c r="CS608" s="1683">
        <v>0</v>
      </c>
      <c r="CT608" s="1683">
        <v>0</v>
      </c>
      <c r="CU608" s="1683">
        <v>0</v>
      </c>
      <c r="CV608" s="1683">
        <v>0</v>
      </c>
      <c r="CW608" s="1682"/>
      <c r="CX608" s="1400"/>
      <c r="CY608" s="1400"/>
      <c r="CZ608" s="1400"/>
      <c r="DA608" s="1400"/>
      <c r="DB608" s="1682"/>
      <c r="DC608" s="1326"/>
      <c r="DD608" s="1683">
        <v>0</v>
      </c>
      <c r="DE608" s="1400"/>
      <c r="DF608" s="1400"/>
      <c r="DG608" s="1683">
        <v>0</v>
      </c>
      <c r="DH608" s="1683">
        <v>0</v>
      </c>
    </row>
    <row r="609" spans="1:112" ht="78.75">
      <c r="A609" s="1326" t="s">
        <v>4241</v>
      </c>
      <c r="B609" s="1326" t="s">
        <v>1704</v>
      </c>
      <c r="C609" s="1326" t="s">
        <v>2580</v>
      </c>
      <c r="D609" s="1326" t="s">
        <v>2581</v>
      </c>
      <c r="E609" s="1326" t="s">
        <v>140</v>
      </c>
      <c r="F609" s="1326" t="s">
        <v>2582</v>
      </c>
      <c r="G609" s="1326" t="s">
        <v>2556</v>
      </c>
      <c r="H609" s="1326" t="s">
        <v>2541</v>
      </c>
      <c r="I609" s="1326" t="s">
        <v>2444</v>
      </c>
      <c r="J609" s="1326" t="s">
        <v>2445</v>
      </c>
      <c r="K609" s="1326" t="s">
        <v>2110</v>
      </c>
      <c r="L609" s="1326" t="s">
        <v>2061</v>
      </c>
      <c r="M609" s="1683">
        <v>176024.68</v>
      </c>
      <c r="N609" s="1683">
        <v>0</v>
      </c>
      <c r="O609" s="1683">
        <v>176024.68</v>
      </c>
      <c r="P609" s="1683">
        <v>176024.68</v>
      </c>
      <c r="Q609" s="1683">
        <v>96933</v>
      </c>
      <c r="R609" s="1683">
        <v>89074</v>
      </c>
      <c r="S609" s="1683">
        <v>7859</v>
      </c>
      <c r="T609" s="1683">
        <v>79091.679999999993</v>
      </c>
      <c r="U609" s="1683">
        <v>0</v>
      </c>
      <c r="V609" s="1683">
        <v>79091.679999999993</v>
      </c>
      <c r="W609" s="1683">
        <v>0</v>
      </c>
      <c r="X609" s="1683">
        <v>0</v>
      </c>
      <c r="Y609" s="1682"/>
      <c r="Z609" s="1326"/>
      <c r="AA609" s="1683">
        <v>0</v>
      </c>
      <c r="AB609" s="1683">
        <v>0</v>
      </c>
      <c r="AC609" s="1683">
        <v>0</v>
      </c>
      <c r="AD609" s="1682"/>
      <c r="AE609" s="1326"/>
      <c r="AF609" s="1326"/>
      <c r="AG609" s="1410"/>
      <c r="AH609" s="1683">
        <v>8581</v>
      </c>
      <c r="AI609" s="1683">
        <v>8581</v>
      </c>
      <c r="AJ609" s="1683">
        <v>4725.37</v>
      </c>
      <c r="AK609" s="1683">
        <v>4342.25</v>
      </c>
      <c r="AL609" s="1683">
        <v>383.12</v>
      </c>
      <c r="AM609" s="1682"/>
      <c r="AN609" s="1683">
        <v>8581</v>
      </c>
      <c r="AO609" s="1683">
        <v>8581</v>
      </c>
      <c r="AP609" s="1683">
        <v>4725.37</v>
      </c>
      <c r="AQ609" s="1683">
        <v>4342.25</v>
      </c>
      <c r="AR609" s="1683">
        <v>383.12</v>
      </c>
      <c r="AS609" s="1683">
        <v>3855.63</v>
      </c>
      <c r="AT609" s="1683">
        <v>0</v>
      </c>
      <c r="AU609" s="1683">
        <v>3855.63</v>
      </c>
      <c r="AV609" s="1683">
        <v>0</v>
      </c>
      <c r="AW609" s="1683">
        <v>0</v>
      </c>
      <c r="AX609" s="1683">
        <v>0</v>
      </c>
      <c r="AY609" s="1683">
        <v>0</v>
      </c>
      <c r="AZ609" s="1683">
        <v>0</v>
      </c>
      <c r="BA609" s="1682"/>
      <c r="BB609" s="1682"/>
      <c r="BC609" s="1683">
        <v>0</v>
      </c>
      <c r="BD609" s="1683">
        <v>0</v>
      </c>
      <c r="BE609" s="1683">
        <v>8581</v>
      </c>
      <c r="BF609" s="1683">
        <v>8581</v>
      </c>
      <c r="BG609" s="1683">
        <v>4725.37</v>
      </c>
      <c r="BH609" s="1683">
        <v>4342.25</v>
      </c>
      <c r="BI609" s="1683">
        <v>383.12</v>
      </c>
      <c r="BJ609" s="1683">
        <v>3855.63</v>
      </c>
      <c r="BK609" s="1683">
        <v>0</v>
      </c>
      <c r="BL609" s="1683">
        <v>3855.63</v>
      </c>
      <c r="BM609" s="1683">
        <v>0</v>
      </c>
      <c r="BN609" s="1683">
        <v>0</v>
      </c>
      <c r="BO609" s="1682"/>
      <c r="BP609" s="1683">
        <v>8581</v>
      </c>
      <c r="BQ609" s="1683">
        <v>8581</v>
      </c>
      <c r="BR609" s="1683">
        <v>4725.37</v>
      </c>
      <c r="BS609" s="1683">
        <v>4342.25</v>
      </c>
      <c r="BT609" s="1683">
        <v>383.12</v>
      </c>
      <c r="BU609" s="1683">
        <v>3855.63</v>
      </c>
      <c r="BV609" s="1683">
        <v>0</v>
      </c>
      <c r="BW609" s="1683">
        <v>0</v>
      </c>
      <c r="BX609" s="1683">
        <v>0</v>
      </c>
      <c r="BY609" s="1683">
        <v>0</v>
      </c>
      <c r="BZ609" s="1683">
        <v>0</v>
      </c>
      <c r="CA609" s="1683">
        <v>0</v>
      </c>
      <c r="CB609" s="1682"/>
      <c r="CC609" s="1682"/>
      <c r="CD609" s="1683">
        <v>0</v>
      </c>
      <c r="CE609" s="1683">
        <v>0</v>
      </c>
      <c r="CF609" s="1683">
        <v>0</v>
      </c>
      <c r="CG609" s="1683">
        <v>0</v>
      </c>
      <c r="CH609" s="1683">
        <v>0</v>
      </c>
      <c r="CI609" s="1683">
        <v>0</v>
      </c>
      <c r="CJ609" s="1683">
        <v>0</v>
      </c>
      <c r="CK609" s="1683">
        <v>0</v>
      </c>
      <c r="CL609" s="1682"/>
      <c r="CM609" s="1683">
        <v>0</v>
      </c>
      <c r="CN609" s="1683">
        <v>0</v>
      </c>
      <c r="CO609" s="1683">
        <v>0</v>
      </c>
      <c r="CP609" s="1683">
        <v>0</v>
      </c>
      <c r="CQ609" s="1683">
        <v>0</v>
      </c>
      <c r="CR609" s="1683">
        <v>0</v>
      </c>
      <c r="CS609" s="1683">
        <v>0</v>
      </c>
      <c r="CT609" s="1683">
        <v>0</v>
      </c>
      <c r="CU609" s="1683">
        <v>0</v>
      </c>
      <c r="CV609" s="1683">
        <v>0</v>
      </c>
      <c r="CW609" s="1682"/>
      <c r="CX609" s="1683">
        <v>0</v>
      </c>
      <c r="CY609" s="1683">
        <v>0</v>
      </c>
      <c r="CZ609" s="1683">
        <v>0</v>
      </c>
      <c r="DA609" s="1683">
        <v>0</v>
      </c>
      <c r="DB609" s="1682"/>
      <c r="DC609" s="1326"/>
      <c r="DD609" s="1683">
        <v>0</v>
      </c>
      <c r="DE609" s="1683">
        <v>0</v>
      </c>
      <c r="DF609" s="1683">
        <v>0</v>
      </c>
      <c r="DG609" s="1683">
        <v>0</v>
      </c>
      <c r="DH609" s="1683">
        <v>0</v>
      </c>
    </row>
    <row r="610" spans="1:112" ht="78.75">
      <c r="A610" s="1326" t="s">
        <v>4242</v>
      </c>
      <c r="B610" s="1326" t="s">
        <v>1704</v>
      </c>
      <c r="C610" s="1326" t="s">
        <v>2580</v>
      </c>
      <c r="D610" s="1326" t="s">
        <v>2581</v>
      </c>
      <c r="E610" s="1326" t="s">
        <v>140</v>
      </c>
      <c r="F610" s="1326" t="s">
        <v>2582</v>
      </c>
      <c r="G610" s="1326" t="s">
        <v>2556</v>
      </c>
      <c r="H610" s="1326" t="s">
        <v>2541</v>
      </c>
      <c r="I610" s="1326" t="s">
        <v>2444</v>
      </c>
      <c r="J610" s="1326" t="s">
        <v>2445</v>
      </c>
      <c r="K610" s="1326" t="s">
        <v>2110</v>
      </c>
      <c r="L610" s="1326" t="s">
        <v>2061</v>
      </c>
      <c r="M610" s="1400"/>
      <c r="N610" s="1400"/>
      <c r="O610" s="1400"/>
      <c r="P610" s="1400"/>
      <c r="Q610" s="1400"/>
      <c r="R610" s="1400"/>
      <c r="S610" s="1400"/>
      <c r="T610" s="1400"/>
      <c r="U610" s="1400"/>
      <c r="V610" s="1400"/>
      <c r="W610" s="1400"/>
      <c r="X610" s="1400"/>
      <c r="Y610" s="1685">
        <v>43356</v>
      </c>
      <c r="Z610" s="1326" t="s">
        <v>2062</v>
      </c>
      <c r="AA610" s="1683">
        <v>0</v>
      </c>
      <c r="AB610" s="1683">
        <v>0</v>
      </c>
      <c r="AC610" s="1683">
        <v>0</v>
      </c>
      <c r="AD610" s="1685">
        <v>43376</v>
      </c>
      <c r="AE610" s="1326" t="s">
        <v>2073</v>
      </c>
      <c r="AF610" s="1326" t="s">
        <v>2067</v>
      </c>
      <c r="AG610" s="1410"/>
      <c r="AH610" s="1683">
        <v>5982</v>
      </c>
      <c r="AI610" s="1683">
        <v>5982</v>
      </c>
      <c r="AJ610" s="1683">
        <v>3294.16</v>
      </c>
      <c r="AK610" s="1683">
        <v>3027.08</v>
      </c>
      <c r="AL610" s="1683">
        <v>267.08</v>
      </c>
      <c r="AM610" s="1685">
        <v>43382</v>
      </c>
      <c r="AN610" s="1683">
        <v>5982</v>
      </c>
      <c r="AO610" s="1683">
        <v>5982</v>
      </c>
      <c r="AP610" s="1683">
        <v>3294.16</v>
      </c>
      <c r="AQ610" s="1683">
        <v>3027.08</v>
      </c>
      <c r="AR610" s="1683">
        <v>267.08</v>
      </c>
      <c r="AS610" s="1683">
        <v>2687.84</v>
      </c>
      <c r="AT610" s="1683">
        <v>0</v>
      </c>
      <c r="AU610" s="1683">
        <v>2687.84</v>
      </c>
      <c r="AV610" s="1683">
        <v>0</v>
      </c>
      <c r="AW610" s="1683">
        <v>0</v>
      </c>
      <c r="AX610" s="1400"/>
      <c r="AY610" s="1400"/>
      <c r="AZ610" s="1400"/>
      <c r="BA610" s="1682"/>
      <c r="BB610" s="1682"/>
      <c r="BC610" s="1400"/>
      <c r="BD610" s="1400"/>
      <c r="BE610" s="1683">
        <v>5982</v>
      </c>
      <c r="BF610" s="1683">
        <v>5982</v>
      </c>
      <c r="BG610" s="1683">
        <v>3294.16</v>
      </c>
      <c r="BH610" s="1683">
        <v>3027.08</v>
      </c>
      <c r="BI610" s="1683">
        <v>267.08</v>
      </c>
      <c r="BJ610" s="1683">
        <v>2687.84</v>
      </c>
      <c r="BK610" s="1683">
        <v>0</v>
      </c>
      <c r="BL610" s="1683">
        <v>2687.84</v>
      </c>
      <c r="BM610" s="1683">
        <v>0</v>
      </c>
      <c r="BN610" s="1683">
        <v>0</v>
      </c>
      <c r="BO610" s="1685">
        <v>43453</v>
      </c>
      <c r="BP610" s="1683">
        <v>5982</v>
      </c>
      <c r="BQ610" s="1683">
        <v>5982</v>
      </c>
      <c r="BR610" s="1683">
        <v>3294.16</v>
      </c>
      <c r="BS610" s="1683">
        <v>3027.08</v>
      </c>
      <c r="BT610" s="1683">
        <v>267.08</v>
      </c>
      <c r="BU610" s="1683">
        <v>2687.84</v>
      </c>
      <c r="BV610" s="1683">
        <v>0</v>
      </c>
      <c r="BW610" s="1683">
        <v>0</v>
      </c>
      <c r="BX610" s="1683">
        <v>0</v>
      </c>
      <c r="BY610" s="1683">
        <v>0</v>
      </c>
      <c r="BZ610" s="1683">
        <v>0</v>
      </c>
      <c r="CA610" s="1400"/>
      <c r="CB610" s="1682"/>
      <c r="CC610" s="1682"/>
      <c r="CD610" s="1400"/>
      <c r="CE610" s="1400"/>
      <c r="CF610" s="1683">
        <v>0</v>
      </c>
      <c r="CG610" s="1683">
        <v>0</v>
      </c>
      <c r="CH610" s="1683">
        <v>0</v>
      </c>
      <c r="CI610" s="1683">
        <v>0</v>
      </c>
      <c r="CJ610" s="1683">
        <v>0</v>
      </c>
      <c r="CK610" s="1683">
        <v>0</v>
      </c>
      <c r="CL610" s="1682"/>
      <c r="CM610" s="1683">
        <v>0</v>
      </c>
      <c r="CN610" s="1683">
        <v>0</v>
      </c>
      <c r="CO610" s="1683">
        <v>0</v>
      </c>
      <c r="CP610" s="1683">
        <v>0</v>
      </c>
      <c r="CQ610" s="1683">
        <v>0</v>
      </c>
      <c r="CR610" s="1683">
        <v>0</v>
      </c>
      <c r="CS610" s="1683">
        <v>0</v>
      </c>
      <c r="CT610" s="1683">
        <v>0</v>
      </c>
      <c r="CU610" s="1683">
        <v>0</v>
      </c>
      <c r="CV610" s="1683">
        <v>0</v>
      </c>
      <c r="CW610" s="1682"/>
      <c r="CX610" s="1400"/>
      <c r="CY610" s="1400"/>
      <c r="CZ610" s="1400"/>
      <c r="DA610" s="1400"/>
      <c r="DB610" s="1682"/>
      <c r="DC610" s="1326"/>
      <c r="DD610" s="1683">
        <v>0</v>
      </c>
      <c r="DE610" s="1400"/>
      <c r="DF610" s="1400"/>
      <c r="DG610" s="1683">
        <v>0</v>
      </c>
      <c r="DH610" s="1683">
        <v>0</v>
      </c>
    </row>
    <row r="611" spans="1:112" ht="78.75">
      <c r="A611" s="1326" t="s">
        <v>4243</v>
      </c>
      <c r="B611" s="1326" t="s">
        <v>1704</v>
      </c>
      <c r="C611" s="1326" t="s">
        <v>2580</v>
      </c>
      <c r="D611" s="1326" t="s">
        <v>2581</v>
      </c>
      <c r="E611" s="1326" t="s">
        <v>140</v>
      </c>
      <c r="F611" s="1326" t="s">
        <v>2582</v>
      </c>
      <c r="G611" s="1326" t="s">
        <v>2556</v>
      </c>
      <c r="H611" s="1326" t="s">
        <v>2541</v>
      </c>
      <c r="I611" s="1326" t="s">
        <v>2444</v>
      </c>
      <c r="J611" s="1326" t="s">
        <v>2445</v>
      </c>
      <c r="K611" s="1326" t="s">
        <v>2110</v>
      </c>
      <c r="L611" s="1326" t="s">
        <v>2061</v>
      </c>
      <c r="M611" s="1400"/>
      <c r="N611" s="1400"/>
      <c r="O611" s="1400"/>
      <c r="P611" s="1400"/>
      <c r="Q611" s="1400"/>
      <c r="R611" s="1400"/>
      <c r="S611" s="1400"/>
      <c r="T611" s="1400"/>
      <c r="U611" s="1400"/>
      <c r="V611" s="1400"/>
      <c r="W611" s="1400"/>
      <c r="X611" s="1400"/>
      <c r="Y611" s="1685">
        <v>43413</v>
      </c>
      <c r="Z611" s="1326" t="s">
        <v>2062</v>
      </c>
      <c r="AA611" s="1683">
        <v>0</v>
      </c>
      <c r="AB611" s="1683">
        <v>0</v>
      </c>
      <c r="AC611" s="1683">
        <v>0</v>
      </c>
      <c r="AD611" s="1685">
        <v>43431</v>
      </c>
      <c r="AE611" s="1326" t="s">
        <v>2063</v>
      </c>
      <c r="AF611" s="1326" t="s">
        <v>2067</v>
      </c>
      <c r="AG611" s="1410"/>
      <c r="AH611" s="1683">
        <v>2599</v>
      </c>
      <c r="AI611" s="1683">
        <v>2599</v>
      </c>
      <c r="AJ611" s="1683">
        <v>1431.21</v>
      </c>
      <c r="AK611" s="1683">
        <v>1315.17</v>
      </c>
      <c r="AL611" s="1683">
        <v>116.04</v>
      </c>
      <c r="AM611" s="1685">
        <v>43433</v>
      </c>
      <c r="AN611" s="1683">
        <v>2599</v>
      </c>
      <c r="AO611" s="1683">
        <v>2599</v>
      </c>
      <c r="AP611" s="1683">
        <v>1431.21</v>
      </c>
      <c r="AQ611" s="1683">
        <v>1315.17</v>
      </c>
      <c r="AR611" s="1683">
        <v>116.04</v>
      </c>
      <c r="AS611" s="1683">
        <v>1167.79</v>
      </c>
      <c r="AT611" s="1683">
        <v>0</v>
      </c>
      <c r="AU611" s="1683">
        <v>1167.79</v>
      </c>
      <c r="AV611" s="1683">
        <v>0</v>
      </c>
      <c r="AW611" s="1683">
        <v>0</v>
      </c>
      <c r="AX611" s="1400"/>
      <c r="AY611" s="1400"/>
      <c r="AZ611" s="1400"/>
      <c r="BA611" s="1682"/>
      <c r="BB611" s="1682"/>
      <c r="BC611" s="1400"/>
      <c r="BD611" s="1400"/>
      <c r="BE611" s="1683">
        <v>2599</v>
      </c>
      <c r="BF611" s="1683">
        <v>2599</v>
      </c>
      <c r="BG611" s="1683">
        <v>1431.21</v>
      </c>
      <c r="BH611" s="1683">
        <v>1315.17</v>
      </c>
      <c r="BI611" s="1683">
        <v>116.04</v>
      </c>
      <c r="BJ611" s="1683">
        <v>1167.79</v>
      </c>
      <c r="BK611" s="1683">
        <v>0</v>
      </c>
      <c r="BL611" s="1683">
        <v>1167.79</v>
      </c>
      <c r="BM611" s="1683">
        <v>0</v>
      </c>
      <c r="BN611" s="1683">
        <v>0</v>
      </c>
      <c r="BO611" s="1685">
        <v>43453</v>
      </c>
      <c r="BP611" s="1683">
        <v>2599</v>
      </c>
      <c r="BQ611" s="1683">
        <v>2599</v>
      </c>
      <c r="BR611" s="1683">
        <v>1431.21</v>
      </c>
      <c r="BS611" s="1683">
        <v>1315.17</v>
      </c>
      <c r="BT611" s="1683">
        <v>116.04</v>
      </c>
      <c r="BU611" s="1683">
        <v>1167.79</v>
      </c>
      <c r="BV611" s="1683">
        <v>0</v>
      </c>
      <c r="BW611" s="1683">
        <v>0</v>
      </c>
      <c r="BX611" s="1683">
        <v>0</v>
      </c>
      <c r="BY611" s="1683">
        <v>0</v>
      </c>
      <c r="BZ611" s="1683">
        <v>0</v>
      </c>
      <c r="CA611" s="1400"/>
      <c r="CB611" s="1682"/>
      <c r="CC611" s="1682"/>
      <c r="CD611" s="1400"/>
      <c r="CE611" s="1400"/>
      <c r="CF611" s="1683">
        <v>0</v>
      </c>
      <c r="CG611" s="1683">
        <v>0</v>
      </c>
      <c r="CH611" s="1683">
        <v>0</v>
      </c>
      <c r="CI611" s="1683">
        <v>0</v>
      </c>
      <c r="CJ611" s="1683">
        <v>0</v>
      </c>
      <c r="CK611" s="1683">
        <v>0</v>
      </c>
      <c r="CL611" s="1682"/>
      <c r="CM611" s="1683">
        <v>0</v>
      </c>
      <c r="CN611" s="1683">
        <v>0</v>
      </c>
      <c r="CO611" s="1683">
        <v>0</v>
      </c>
      <c r="CP611" s="1683">
        <v>0</v>
      </c>
      <c r="CQ611" s="1683">
        <v>0</v>
      </c>
      <c r="CR611" s="1683">
        <v>0</v>
      </c>
      <c r="CS611" s="1683">
        <v>0</v>
      </c>
      <c r="CT611" s="1683">
        <v>0</v>
      </c>
      <c r="CU611" s="1683">
        <v>0</v>
      </c>
      <c r="CV611" s="1683">
        <v>0</v>
      </c>
      <c r="CW611" s="1682"/>
      <c r="CX611" s="1400"/>
      <c r="CY611" s="1400"/>
      <c r="CZ611" s="1400"/>
      <c r="DA611" s="1400"/>
      <c r="DB611" s="1682"/>
      <c r="DC611" s="1326"/>
      <c r="DD611" s="1683">
        <v>0</v>
      </c>
      <c r="DE611" s="1400"/>
      <c r="DF611" s="1400"/>
      <c r="DG611" s="1683">
        <v>0</v>
      </c>
      <c r="DH611" s="1683">
        <v>0</v>
      </c>
    </row>
    <row r="612" spans="1:112">
      <c r="A612" s="1326" t="s">
        <v>4289</v>
      </c>
      <c r="B612" s="1326" t="s">
        <v>1704</v>
      </c>
      <c r="C612" s="1326" t="s">
        <v>2580</v>
      </c>
      <c r="D612" s="1326" t="s">
        <v>2581</v>
      </c>
      <c r="E612" s="1326" t="s">
        <v>136</v>
      </c>
      <c r="F612" s="1326"/>
      <c r="G612" s="1326"/>
      <c r="H612" s="1326"/>
      <c r="I612" s="1326"/>
      <c r="J612" s="1326"/>
      <c r="K612" s="1326"/>
      <c r="L612" s="1326"/>
      <c r="M612" s="1683">
        <v>1123522.4099999999</v>
      </c>
      <c r="N612" s="1683">
        <v>0</v>
      </c>
      <c r="O612" s="1683">
        <v>1123522.4099999999</v>
      </c>
      <c r="P612" s="1683">
        <v>1123522.4099999999</v>
      </c>
      <c r="Q612" s="1683">
        <v>1039257</v>
      </c>
      <c r="R612" s="1683">
        <v>954992</v>
      </c>
      <c r="S612" s="1683">
        <v>84265</v>
      </c>
      <c r="T612" s="1683">
        <v>84265.41</v>
      </c>
      <c r="U612" s="1683">
        <v>0</v>
      </c>
      <c r="V612" s="1683">
        <v>84265.41</v>
      </c>
      <c r="W612" s="1683">
        <v>0</v>
      </c>
      <c r="X612" s="1683">
        <v>0</v>
      </c>
      <c r="Y612" s="1682"/>
      <c r="Z612" s="1326"/>
      <c r="AA612" s="1683">
        <v>82203.8</v>
      </c>
      <c r="AB612" s="1683">
        <v>75538.69</v>
      </c>
      <c r="AC612" s="1683">
        <v>6665.11</v>
      </c>
      <c r="AD612" s="1682"/>
      <c r="AE612" s="1326"/>
      <c r="AF612" s="1326"/>
      <c r="AG612" s="1410"/>
      <c r="AH612" s="1683">
        <v>619710.57999999996</v>
      </c>
      <c r="AI612" s="1683">
        <v>841763.38</v>
      </c>
      <c r="AJ612" s="1683">
        <v>713080.36</v>
      </c>
      <c r="AK612" s="1683">
        <v>655262.61</v>
      </c>
      <c r="AL612" s="1683">
        <v>57817.75</v>
      </c>
      <c r="AM612" s="1682"/>
      <c r="AN612" s="1683">
        <v>619710.57999999996</v>
      </c>
      <c r="AO612" s="1683">
        <v>619710.57999999996</v>
      </c>
      <c r="AP612" s="1683">
        <v>573231.35999999999</v>
      </c>
      <c r="AQ612" s="1683">
        <v>526752.82999999996</v>
      </c>
      <c r="AR612" s="1683">
        <v>46478.53</v>
      </c>
      <c r="AS612" s="1683">
        <v>46479.22</v>
      </c>
      <c r="AT612" s="1683">
        <v>0</v>
      </c>
      <c r="AU612" s="1683">
        <v>46479.22</v>
      </c>
      <c r="AV612" s="1683">
        <v>0</v>
      </c>
      <c r="AW612" s="1683">
        <v>0</v>
      </c>
      <c r="AX612" s="1683">
        <v>0</v>
      </c>
      <c r="AY612" s="1683">
        <v>0</v>
      </c>
      <c r="AZ612" s="1683">
        <v>0</v>
      </c>
      <c r="BA612" s="1682"/>
      <c r="BB612" s="1682"/>
      <c r="BC612" s="1683">
        <v>0</v>
      </c>
      <c r="BD612" s="1683">
        <v>0</v>
      </c>
      <c r="BE612" s="1683">
        <v>619710.57999999996</v>
      </c>
      <c r="BF612" s="1683">
        <v>619710.57999999996</v>
      </c>
      <c r="BG612" s="1683">
        <v>573231.35999999999</v>
      </c>
      <c r="BH612" s="1683">
        <v>526752.82999999996</v>
      </c>
      <c r="BI612" s="1683">
        <v>46478.53</v>
      </c>
      <c r="BJ612" s="1683">
        <v>46479.22</v>
      </c>
      <c r="BK612" s="1683">
        <v>0</v>
      </c>
      <c r="BL612" s="1683">
        <v>46479.22</v>
      </c>
      <c r="BM612" s="1683">
        <v>0</v>
      </c>
      <c r="BN612" s="1683">
        <v>0</v>
      </c>
      <c r="BO612" s="1682"/>
      <c r="BP612" s="1683">
        <v>314446.31</v>
      </c>
      <c r="BQ612" s="1683">
        <v>314446.31</v>
      </c>
      <c r="BR612" s="1683">
        <v>290862.32</v>
      </c>
      <c r="BS612" s="1683">
        <v>267278.55</v>
      </c>
      <c r="BT612" s="1683">
        <v>23583.77</v>
      </c>
      <c r="BU612" s="1683">
        <v>23583.99</v>
      </c>
      <c r="BV612" s="1683">
        <v>0</v>
      </c>
      <c r="BW612" s="1683">
        <v>0</v>
      </c>
      <c r="BX612" s="1683">
        <v>0</v>
      </c>
      <c r="BY612" s="1683">
        <v>0</v>
      </c>
      <c r="BZ612" s="1683">
        <v>0</v>
      </c>
      <c r="CA612" s="1683">
        <v>0</v>
      </c>
      <c r="CB612" s="1682"/>
      <c r="CC612" s="1682"/>
      <c r="CD612" s="1683">
        <v>0</v>
      </c>
      <c r="CE612" s="1683">
        <v>0</v>
      </c>
      <c r="CF612" s="1683">
        <v>0</v>
      </c>
      <c r="CG612" s="1683">
        <v>0</v>
      </c>
      <c r="CH612" s="1683">
        <v>0</v>
      </c>
      <c r="CI612" s="1683">
        <v>0</v>
      </c>
      <c r="CJ612" s="1683">
        <v>1184.6500000000001</v>
      </c>
      <c r="CK612" s="1683">
        <v>1184.6500000000001</v>
      </c>
      <c r="CL612" s="1682"/>
      <c r="CM612" s="1683">
        <v>0</v>
      </c>
      <c r="CN612" s="1683">
        <v>0</v>
      </c>
      <c r="CO612" s="1683">
        <v>0</v>
      </c>
      <c r="CP612" s="1683">
        <v>0</v>
      </c>
      <c r="CQ612" s="1683">
        <v>0</v>
      </c>
      <c r="CR612" s="1683">
        <v>0</v>
      </c>
      <c r="CS612" s="1683">
        <v>0</v>
      </c>
      <c r="CT612" s="1683">
        <v>0</v>
      </c>
      <c r="CU612" s="1683">
        <v>0</v>
      </c>
      <c r="CV612" s="1683">
        <v>0</v>
      </c>
      <c r="CW612" s="1682"/>
      <c r="CX612" s="1683">
        <v>0</v>
      </c>
      <c r="CY612" s="1683">
        <v>0</v>
      </c>
      <c r="CZ612" s="1683">
        <v>0</v>
      </c>
      <c r="DA612" s="1683">
        <v>0</v>
      </c>
      <c r="DB612" s="1682"/>
      <c r="DC612" s="1326"/>
      <c r="DD612" s="1683">
        <v>0</v>
      </c>
      <c r="DE612" s="1683">
        <v>0</v>
      </c>
      <c r="DF612" s="1683">
        <v>0</v>
      </c>
      <c r="DG612" s="1683">
        <v>0</v>
      </c>
      <c r="DH612" s="1683">
        <v>0</v>
      </c>
    </row>
    <row r="613" spans="1:112" ht="56.25">
      <c r="A613" s="1326" t="s">
        <v>4290</v>
      </c>
      <c r="B613" s="1326" t="s">
        <v>1704</v>
      </c>
      <c r="C613" s="1326" t="s">
        <v>2580</v>
      </c>
      <c r="D613" s="1326" t="s">
        <v>2581</v>
      </c>
      <c r="E613" s="1326" t="s">
        <v>136</v>
      </c>
      <c r="F613" s="1326" t="s">
        <v>2582</v>
      </c>
      <c r="G613" s="1326" t="s">
        <v>2556</v>
      </c>
      <c r="H613" s="1326" t="s">
        <v>2541</v>
      </c>
      <c r="I613" s="1326" t="s">
        <v>2449</v>
      </c>
      <c r="J613" s="1326" t="s">
        <v>279</v>
      </c>
      <c r="K613" s="1326" t="s">
        <v>2069</v>
      </c>
      <c r="L613" s="1326" t="s">
        <v>2061</v>
      </c>
      <c r="M613" s="1683">
        <v>195779</v>
      </c>
      <c r="N613" s="1683">
        <v>0</v>
      </c>
      <c r="O613" s="1683">
        <v>195779</v>
      </c>
      <c r="P613" s="1683">
        <v>195779</v>
      </c>
      <c r="Q613" s="1683">
        <v>181095</v>
      </c>
      <c r="R613" s="1683">
        <v>166412</v>
      </c>
      <c r="S613" s="1683">
        <v>14683</v>
      </c>
      <c r="T613" s="1683">
        <v>14684</v>
      </c>
      <c r="U613" s="1683">
        <v>0</v>
      </c>
      <c r="V613" s="1683">
        <v>14684</v>
      </c>
      <c r="W613" s="1683">
        <v>0</v>
      </c>
      <c r="X613" s="1683">
        <v>0</v>
      </c>
      <c r="Y613" s="1682"/>
      <c r="Z613" s="1326"/>
      <c r="AA613" s="1683">
        <v>54328</v>
      </c>
      <c r="AB613" s="1683">
        <v>49923.14</v>
      </c>
      <c r="AC613" s="1683">
        <v>4404.8599999999997</v>
      </c>
      <c r="AD613" s="1682"/>
      <c r="AE613" s="1326"/>
      <c r="AF613" s="1326"/>
      <c r="AG613" s="1410"/>
      <c r="AH613" s="1683">
        <v>193038.31</v>
      </c>
      <c r="AI613" s="1683">
        <v>247366.31</v>
      </c>
      <c r="AJ613" s="1683">
        <v>178559.87</v>
      </c>
      <c r="AK613" s="1683">
        <v>164082.42000000001</v>
      </c>
      <c r="AL613" s="1683">
        <v>14477.45</v>
      </c>
      <c r="AM613" s="1682"/>
      <c r="AN613" s="1683">
        <v>193038.31</v>
      </c>
      <c r="AO613" s="1683">
        <v>193038.31</v>
      </c>
      <c r="AP613" s="1683">
        <v>178559.87</v>
      </c>
      <c r="AQ613" s="1683">
        <v>164082.42000000001</v>
      </c>
      <c r="AR613" s="1683">
        <v>14477.45</v>
      </c>
      <c r="AS613" s="1683">
        <v>14478.44</v>
      </c>
      <c r="AT613" s="1683">
        <v>0</v>
      </c>
      <c r="AU613" s="1683">
        <v>14478.44</v>
      </c>
      <c r="AV613" s="1683">
        <v>0</v>
      </c>
      <c r="AW613" s="1683">
        <v>0</v>
      </c>
      <c r="AX613" s="1683">
        <v>0</v>
      </c>
      <c r="AY613" s="1683">
        <v>0</v>
      </c>
      <c r="AZ613" s="1683">
        <v>0</v>
      </c>
      <c r="BA613" s="1682"/>
      <c r="BB613" s="1682"/>
      <c r="BC613" s="1683">
        <v>0</v>
      </c>
      <c r="BD613" s="1683">
        <v>0</v>
      </c>
      <c r="BE613" s="1683">
        <v>193038.31</v>
      </c>
      <c r="BF613" s="1683">
        <v>193038.31</v>
      </c>
      <c r="BG613" s="1683">
        <v>178559.87</v>
      </c>
      <c r="BH613" s="1683">
        <v>164082.42000000001</v>
      </c>
      <c r="BI613" s="1683">
        <v>14477.45</v>
      </c>
      <c r="BJ613" s="1683">
        <v>14478.44</v>
      </c>
      <c r="BK613" s="1683">
        <v>0</v>
      </c>
      <c r="BL613" s="1683">
        <v>14478.44</v>
      </c>
      <c r="BM613" s="1683">
        <v>0</v>
      </c>
      <c r="BN613" s="1683">
        <v>0</v>
      </c>
      <c r="BO613" s="1682"/>
      <c r="BP613" s="1683">
        <v>105831</v>
      </c>
      <c r="BQ613" s="1683">
        <v>105831</v>
      </c>
      <c r="BR613" s="1683">
        <v>97893.37</v>
      </c>
      <c r="BS613" s="1683">
        <v>89956.27</v>
      </c>
      <c r="BT613" s="1683">
        <v>7937.1</v>
      </c>
      <c r="BU613" s="1683">
        <v>7937.63</v>
      </c>
      <c r="BV613" s="1683">
        <v>0</v>
      </c>
      <c r="BW613" s="1683">
        <v>0</v>
      </c>
      <c r="BX613" s="1683">
        <v>0</v>
      </c>
      <c r="BY613" s="1683">
        <v>0</v>
      </c>
      <c r="BZ613" s="1683">
        <v>0</v>
      </c>
      <c r="CA613" s="1683">
        <v>0</v>
      </c>
      <c r="CB613" s="1682"/>
      <c r="CC613" s="1682"/>
      <c r="CD613" s="1683">
        <v>0</v>
      </c>
      <c r="CE613" s="1683">
        <v>0</v>
      </c>
      <c r="CF613" s="1683">
        <v>0</v>
      </c>
      <c r="CG613" s="1683">
        <v>0</v>
      </c>
      <c r="CH613" s="1683">
        <v>0</v>
      </c>
      <c r="CI613" s="1683">
        <v>0</v>
      </c>
      <c r="CJ613" s="1683">
        <v>1149.21</v>
      </c>
      <c r="CK613" s="1683">
        <v>1149.21</v>
      </c>
      <c r="CL613" s="1682"/>
      <c r="CM613" s="1683">
        <v>0</v>
      </c>
      <c r="CN613" s="1683">
        <v>0</v>
      </c>
      <c r="CO613" s="1683">
        <v>0</v>
      </c>
      <c r="CP613" s="1683">
        <v>0</v>
      </c>
      <c r="CQ613" s="1683">
        <v>0</v>
      </c>
      <c r="CR613" s="1683">
        <v>0</v>
      </c>
      <c r="CS613" s="1683">
        <v>0</v>
      </c>
      <c r="CT613" s="1683">
        <v>0</v>
      </c>
      <c r="CU613" s="1683">
        <v>0</v>
      </c>
      <c r="CV613" s="1683">
        <v>0</v>
      </c>
      <c r="CW613" s="1682"/>
      <c r="CX613" s="1683">
        <v>0</v>
      </c>
      <c r="CY613" s="1683">
        <v>0</v>
      </c>
      <c r="CZ613" s="1683">
        <v>0</v>
      </c>
      <c r="DA613" s="1683">
        <v>0</v>
      </c>
      <c r="DB613" s="1682"/>
      <c r="DC613" s="1326"/>
      <c r="DD613" s="1683">
        <v>0</v>
      </c>
      <c r="DE613" s="1683">
        <v>0</v>
      </c>
      <c r="DF613" s="1683">
        <v>0</v>
      </c>
      <c r="DG613" s="1683">
        <v>0</v>
      </c>
      <c r="DH613" s="1683">
        <v>0</v>
      </c>
    </row>
    <row r="614" spans="1:112" ht="56.25">
      <c r="A614" s="1326" t="s">
        <v>4291</v>
      </c>
      <c r="B614" s="1326" t="s">
        <v>1704</v>
      </c>
      <c r="C614" s="1326" t="s">
        <v>2580</v>
      </c>
      <c r="D614" s="1326" t="s">
        <v>2581</v>
      </c>
      <c r="E614" s="1326" t="s">
        <v>136</v>
      </c>
      <c r="F614" s="1326" t="s">
        <v>2582</v>
      </c>
      <c r="G614" s="1326" t="s">
        <v>2556</v>
      </c>
      <c r="H614" s="1326" t="s">
        <v>2541</v>
      </c>
      <c r="I614" s="1326" t="s">
        <v>2449</v>
      </c>
      <c r="J614" s="1326" t="s">
        <v>279</v>
      </c>
      <c r="K614" s="1326" t="s">
        <v>2069</v>
      </c>
      <c r="L614" s="1326" t="s">
        <v>2061</v>
      </c>
      <c r="M614" s="1400"/>
      <c r="N614" s="1400"/>
      <c r="O614" s="1400"/>
      <c r="P614" s="1400"/>
      <c r="Q614" s="1400"/>
      <c r="R614" s="1400"/>
      <c r="S614" s="1400"/>
      <c r="T614" s="1400"/>
      <c r="U614" s="1400"/>
      <c r="V614" s="1400"/>
      <c r="W614" s="1400"/>
      <c r="X614" s="1400"/>
      <c r="Y614" s="1685">
        <v>43237</v>
      </c>
      <c r="Z614" s="1326" t="s">
        <v>2062</v>
      </c>
      <c r="AA614" s="1683">
        <v>0</v>
      </c>
      <c r="AB614" s="1683">
        <v>0</v>
      </c>
      <c r="AC614" s="1683">
        <v>0</v>
      </c>
      <c r="AD614" s="1685">
        <v>43271</v>
      </c>
      <c r="AE614" s="1326" t="s">
        <v>2073</v>
      </c>
      <c r="AF614" s="1326" t="s">
        <v>2067</v>
      </c>
      <c r="AG614" s="1410"/>
      <c r="AH614" s="1683">
        <v>2579.8200000000002</v>
      </c>
      <c r="AI614" s="1683">
        <v>2579.8200000000002</v>
      </c>
      <c r="AJ614" s="1683">
        <v>2386.33</v>
      </c>
      <c r="AK614" s="1683">
        <v>2192.85</v>
      </c>
      <c r="AL614" s="1683">
        <v>193.48</v>
      </c>
      <c r="AM614" s="1685">
        <v>43278</v>
      </c>
      <c r="AN614" s="1683">
        <v>2579.8200000000002</v>
      </c>
      <c r="AO614" s="1683">
        <v>2579.8200000000002</v>
      </c>
      <c r="AP614" s="1683">
        <v>2386.33</v>
      </c>
      <c r="AQ614" s="1683">
        <v>2192.85</v>
      </c>
      <c r="AR614" s="1683">
        <v>193.48</v>
      </c>
      <c r="AS614" s="1683">
        <v>193.49</v>
      </c>
      <c r="AT614" s="1683">
        <v>0</v>
      </c>
      <c r="AU614" s="1683">
        <v>193.49</v>
      </c>
      <c r="AV614" s="1683">
        <v>0</v>
      </c>
      <c r="AW614" s="1683">
        <v>0</v>
      </c>
      <c r="AX614" s="1400"/>
      <c r="AY614" s="1400"/>
      <c r="AZ614" s="1400"/>
      <c r="BA614" s="1682"/>
      <c r="BB614" s="1682"/>
      <c r="BC614" s="1400"/>
      <c r="BD614" s="1400"/>
      <c r="BE614" s="1683">
        <v>2579.8200000000002</v>
      </c>
      <c r="BF614" s="1683">
        <v>2579.8200000000002</v>
      </c>
      <c r="BG614" s="1683">
        <v>2386.33</v>
      </c>
      <c r="BH614" s="1683">
        <v>2192.85</v>
      </c>
      <c r="BI614" s="1683">
        <v>193.48</v>
      </c>
      <c r="BJ614" s="1683">
        <v>193.49</v>
      </c>
      <c r="BK614" s="1683">
        <v>0</v>
      </c>
      <c r="BL614" s="1683">
        <v>193.49</v>
      </c>
      <c r="BM614" s="1683">
        <v>0</v>
      </c>
      <c r="BN614" s="1683">
        <v>0</v>
      </c>
      <c r="BO614" s="1685">
        <v>43364</v>
      </c>
      <c r="BP614" s="1683">
        <v>2579.8200000000002</v>
      </c>
      <c r="BQ614" s="1683">
        <v>2579.8200000000002</v>
      </c>
      <c r="BR614" s="1683">
        <v>2386.33</v>
      </c>
      <c r="BS614" s="1683">
        <v>2192.85</v>
      </c>
      <c r="BT614" s="1683">
        <v>193.48</v>
      </c>
      <c r="BU614" s="1683">
        <v>193.49</v>
      </c>
      <c r="BV614" s="1683">
        <v>0</v>
      </c>
      <c r="BW614" s="1683">
        <v>0</v>
      </c>
      <c r="BX614" s="1683">
        <v>0</v>
      </c>
      <c r="BY614" s="1683">
        <v>0</v>
      </c>
      <c r="BZ614" s="1683">
        <v>0</v>
      </c>
      <c r="CA614" s="1400"/>
      <c r="CB614" s="1682"/>
      <c r="CC614" s="1682"/>
      <c r="CD614" s="1400"/>
      <c r="CE614" s="1400"/>
      <c r="CF614" s="1683">
        <v>0</v>
      </c>
      <c r="CG614" s="1683">
        <v>0</v>
      </c>
      <c r="CH614" s="1683">
        <v>0</v>
      </c>
      <c r="CI614" s="1683">
        <v>0</v>
      </c>
      <c r="CJ614" s="1683">
        <v>25.8</v>
      </c>
      <c r="CK614" s="1683">
        <v>25.8</v>
      </c>
      <c r="CL614" s="1682"/>
      <c r="CM614" s="1683">
        <v>0</v>
      </c>
      <c r="CN614" s="1683">
        <v>0</v>
      </c>
      <c r="CO614" s="1683">
        <v>0</v>
      </c>
      <c r="CP614" s="1683">
        <v>0</v>
      </c>
      <c r="CQ614" s="1683">
        <v>0</v>
      </c>
      <c r="CR614" s="1683">
        <v>0</v>
      </c>
      <c r="CS614" s="1683">
        <v>0</v>
      </c>
      <c r="CT614" s="1683">
        <v>0</v>
      </c>
      <c r="CU614" s="1683">
        <v>0</v>
      </c>
      <c r="CV614" s="1683">
        <v>0</v>
      </c>
      <c r="CW614" s="1682"/>
      <c r="CX614" s="1400"/>
      <c r="CY614" s="1400"/>
      <c r="CZ614" s="1400"/>
      <c r="DA614" s="1400"/>
      <c r="DB614" s="1682"/>
      <c r="DC614" s="1326"/>
      <c r="DD614" s="1683">
        <v>0</v>
      </c>
      <c r="DE614" s="1400"/>
      <c r="DF614" s="1400"/>
      <c r="DG614" s="1683">
        <v>0</v>
      </c>
      <c r="DH614" s="1683">
        <v>0</v>
      </c>
    </row>
    <row r="615" spans="1:112" ht="56.25">
      <c r="A615" s="1326" t="s">
        <v>4292</v>
      </c>
      <c r="B615" s="1326" t="s">
        <v>1704</v>
      </c>
      <c r="C615" s="1326" t="s">
        <v>2580</v>
      </c>
      <c r="D615" s="1326" t="s">
        <v>2581</v>
      </c>
      <c r="E615" s="1326" t="s">
        <v>136</v>
      </c>
      <c r="F615" s="1326" t="s">
        <v>2582</v>
      </c>
      <c r="G615" s="1326" t="s">
        <v>2556</v>
      </c>
      <c r="H615" s="1326" t="s">
        <v>2541</v>
      </c>
      <c r="I615" s="1326" t="s">
        <v>2449</v>
      </c>
      <c r="J615" s="1326" t="s">
        <v>279</v>
      </c>
      <c r="K615" s="1326" t="s">
        <v>2069</v>
      </c>
      <c r="L615" s="1326" t="s">
        <v>2061</v>
      </c>
      <c r="M615" s="1400"/>
      <c r="N615" s="1400"/>
      <c r="O615" s="1400"/>
      <c r="P615" s="1400"/>
      <c r="Q615" s="1400"/>
      <c r="R615" s="1400"/>
      <c r="S615" s="1400"/>
      <c r="T615" s="1400"/>
      <c r="U615" s="1400"/>
      <c r="V615" s="1400"/>
      <c r="W615" s="1400"/>
      <c r="X615" s="1400"/>
      <c r="Y615" s="1685">
        <v>43291</v>
      </c>
      <c r="Z615" s="1326" t="s">
        <v>2096</v>
      </c>
      <c r="AA615" s="1683">
        <v>0</v>
      </c>
      <c r="AB615" s="1683">
        <v>0</v>
      </c>
      <c r="AC615" s="1683">
        <v>0</v>
      </c>
      <c r="AD615" s="1685">
        <v>43297</v>
      </c>
      <c r="AE615" s="1326" t="s">
        <v>2063</v>
      </c>
      <c r="AF615" s="1326" t="s">
        <v>2064</v>
      </c>
      <c r="AG615" s="1410"/>
      <c r="AH615" s="1683">
        <v>0</v>
      </c>
      <c r="AI615" s="1683">
        <v>54328</v>
      </c>
      <c r="AJ615" s="1683">
        <v>54328</v>
      </c>
      <c r="AK615" s="1683">
        <v>49923.14</v>
      </c>
      <c r="AL615" s="1683">
        <v>4404.8599999999997</v>
      </c>
      <c r="AM615" s="1682"/>
      <c r="AN615" s="1683">
        <v>0</v>
      </c>
      <c r="AO615" s="1683">
        <v>0</v>
      </c>
      <c r="AP615" s="1683">
        <v>0</v>
      </c>
      <c r="AQ615" s="1683">
        <v>0</v>
      </c>
      <c r="AR615" s="1683">
        <v>0</v>
      </c>
      <c r="AS615" s="1683">
        <v>0</v>
      </c>
      <c r="AT615" s="1683">
        <v>0</v>
      </c>
      <c r="AU615" s="1683">
        <v>0</v>
      </c>
      <c r="AV615" s="1683">
        <v>0</v>
      </c>
      <c r="AW615" s="1683">
        <v>0</v>
      </c>
      <c r="AX615" s="1400"/>
      <c r="AY615" s="1400"/>
      <c r="AZ615" s="1400"/>
      <c r="BA615" s="1682"/>
      <c r="BB615" s="1682"/>
      <c r="BC615" s="1400"/>
      <c r="BD615" s="1400"/>
      <c r="BE615" s="1683">
        <v>0</v>
      </c>
      <c r="BF615" s="1683">
        <v>0</v>
      </c>
      <c r="BG615" s="1683">
        <v>0</v>
      </c>
      <c r="BH615" s="1683">
        <v>0</v>
      </c>
      <c r="BI615" s="1683">
        <v>0</v>
      </c>
      <c r="BJ615" s="1683">
        <v>0</v>
      </c>
      <c r="BK615" s="1683">
        <v>0</v>
      </c>
      <c r="BL615" s="1683">
        <v>0</v>
      </c>
      <c r="BM615" s="1683">
        <v>0</v>
      </c>
      <c r="BN615" s="1683">
        <v>0</v>
      </c>
      <c r="BO615" s="1682"/>
      <c r="BP615" s="1683">
        <v>0</v>
      </c>
      <c r="BQ615" s="1683">
        <v>0</v>
      </c>
      <c r="BR615" s="1683">
        <v>0</v>
      </c>
      <c r="BS615" s="1683">
        <v>0</v>
      </c>
      <c r="BT615" s="1683">
        <v>0</v>
      </c>
      <c r="BU615" s="1683">
        <v>0</v>
      </c>
      <c r="BV615" s="1683">
        <v>0</v>
      </c>
      <c r="BW615" s="1683">
        <v>0</v>
      </c>
      <c r="BX615" s="1683">
        <v>0</v>
      </c>
      <c r="BY615" s="1683">
        <v>0</v>
      </c>
      <c r="BZ615" s="1400"/>
      <c r="CA615" s="1400"/>
      <c r="CB615" s="1682"/>
      <c r="CC615" s="1682"/>
      <c r="CD615" s="1400"/>
      <c r="CE615" s="1400"/>
      <c r="CF615" s="1683">
        <v>0</v>
      </c>
      <c r="CG615" s="1683">
        <v>0</v>
      </c>
      <c r="CH615" s="1683">
        <v>0</v>
      </c>
      <c r="CI615" s="1683">
        <v>0</v>
      </c>
      <c r="CJ615" s="1683">
        <v>0</v>
      </c>
      <c r="CK615" s="1683">
        <v>0</v>
      </c>
      <c r="CL615" s="1682"/>
      <c r="CM615" s="1683">
        <v>0</v>
      </c>
      <c r="CN615" s="1683">
        <v>0</v>
      </c>
      <c r="CO615" s="1683">
        <v>0</v>
      </c>
      <c r="CP615" s="1683">
        <v>0</v>
      </c>
      <c r="CQ615" s="1683">
        <v>0</v>
      </c>
      <c r="CR615" s="1683">
        <v>0</v>
      </c>
      <c r="CS615" s="1683">
        <v>0</v>
      </c>
      <c r="CT615" s="1683">
        <v>0</v>
      </c>
      <c r="CU615" s="1683">
        <v>0</v>
      </c>
      <c r="CV615" s="1683">
        <v>0</v>
      </c>
      <c r="CW615" s="1682"/>
      <c r="CX615" s="1400"/>
      <c r="CY615" s="1400"/>
      <c r="CZ615" s="1400"/>
      <c r="DA615" s="1400"/>
      <c r="DB615" s="1682"/>
      <c r="DC615" s="1326"/>
      <c r="DD615" s="1683">
        <v>0</v>
      </c>
      <c r="DE615" s="1400"/>
      <c r="DF615" s="1400"/>
      <c r="DG615" s="1683">
        <v>0</v>
      </c>
      <c r="DH615" s="1683">
        <v>0</v>
      </c>
    </row>
    <row r="616" spans="1:112" ht="56.25">
      <c r="A616" s="1326" t="s">
        <v>4293</v>
      </c>
      <c r="B616" s="1326" t="s">
        <v>1704</v>
      </c>
      <c r="C616" s="1326" t="s">
        <v>2580</v>
      </c>
      <c r="D616" s="1326" t="s">
        <v>2581</v>
      </c>
      <c r="E616" s="1326" t="s">
        <v>136</v>
      </c>
      <c r="F616" s="1326" t="s">
        <v>2582</v>
      </c>
      <c r="G616" s="1326" t="s">
        <v>2556</v>
      </c>
      <c r="H616" s="1326" t="s">
        <v>2541</v>
      </c>
      <c r="I616" s="1326" t="s">
        <v>2449</v>
      </c>
      <c r="J616" s="1326" t="s">
        <v>279</v>
      </c>
      <c r="K616" s="1326" t="s">
        <v>2069</v>
      </c>
      <c r="L616" s="1326" t="s">
        <v>2061</v>
      </c>
      <c r="M616" s="1400"/>
      <c r="N616" s="1400"/>
      <c r="O616" s="1400"/>
      <c r="P616" s="1400"/>
      <c r="Q616" s="1400"/>
      <c r="R616" s="1400"/>
      <c r="S616" s="1400"/>
      <c r="T616" s="1400"/>
      <c r="U616" s="1400"/>
      <c r="V616" s="1400"/>
      <c r="W616" s="1400"/>
      <c r="X616" s="1400"/>
      <c r="Y616" s="1685">
        <v>43326</v>
      </c>
      <c r="Z616" s="1326" t="s">
        <v>2062</v>
      </c>
      <c r="AA616" s="1683">
        <v>0</v>
      </c>
      <c r="AB616" s="1683">
        <v>0</v>
      </c>
      <c r="AC616" s="1683">
        <v>0</v>
      </c>
      <c r="AD616" s="1685">
        <v>43361</v>
      </c>
      <c r="AE616" s="1326" t="s">
        <v>2066</v>
      </c>
      <c r="AF616" s="1326" t="s">
        <v>2064</v>
      </c>
      <c r="AG616" s="1410"/>
      <c r="AH616" s="1683">
        <v>43355.87</v>
      </c>
      <c r="AI616" s="1683">
        <v>43355.87</v>
      </c>
      <c r="AJ616" s="1683">
        <v>40104.050000000003</v>
      </c>
      <c r="AK616" s="1683">
        <v>36852.449999999997</v>
      </c>
      <c r="AL616" s="1683">
        <v>3251.6</v>
      </c>
      <c r="AM616" s="1685">
        <v>43361</v>
      </c>
      <c r="AN616" s="1683">
        <v>43355.87</v>
      </c>
      <c r="AO616" s="1683">
        <v>43355.87</v>
      </c>
      <c r="AP616" s="1683">
        <v>40104.050000000003</v>
      </c>
      <c r="AQ616" s="1683">
        <v>36852.449999999997</v>
      </c>
      <c r="AR616" s="1683">
        <v>3251.6</v>
      </c>
      <c r="AS616" s="1683">
        <v>3251.82</v>
      </c>
      <c r="AT616" s="1683">
        <v>0</v>
      </c>
      <c r="AU616" s="1683">
        <v>3251.82</v>
      </c>
      <c r="AV616" s="1683">
        <v>0</v>
      </c>
      <c r="AW616" s="1683">
        <v>0</v>
      </c>
      <c r="AX616" s="1400"/>
      <c r="AY616" s="1400"/>
      <c r="AZ616" s="1400"/>
      <c r="BA616" s="1682"/>
      <c r="BB616" s="1682"/>
      <c r="BC616" s="1400"/>
      <c r="BD616" s="1400"/>
      <c r="BE616" s="1683">
        <v>43355.87</v>
      </c>
      <c r="BF616" s="1683">
        <v>43355.87</v>
      </c>
      <c r="BG616" s="1683">
        <v>40104.050000000003</v>
      </c>
      <c r="BH616" s="1683">
        <v>36852.449999999997</v>
      </c>
      <c r="BI616" s="1683">
        <v>3251.6</v>
      </c>
      <c r="BJ616" s="1683">
        <v>3251.82</v>
      </c>
      <c r="BK616" s="1683">
        <v>0</v>
      </c>
      <c r="BL616" s="1683">
        <v>3251.82</v>
      </c>
      <c r="BM616" s="1683">
        <v>0</v>
      </c>
      <c r="BN616" s="1683">
        <v>0</v>
      </c>
      <c r="BO616" s="1685">
        <v>43403</v>
      </c>
      <c r="BP616" s="1683">
        <v>43355.87</v>
      </c>
      <c r="BQ616" s="1683">
        <v>43355.87</v>
      </c>
      <c r="BR616" s="1683">
        <v>40104.050000000003</v>
      </c>
      <c r="BS616" s="1683">
        <v>36852.449999999997</v>
      </c>
      <c r="BT616" s="1683">
        <v>3251.6</v>
      </c>
      <c r="BU616" s="1683">
        <v>3251.82</v>
      </c>
      <c r="BV616" s="1683">
        <v>0</v>
      </c>
      <c r="BW616" s="1683">
        <v>0</v>
      </c>
      <c r="BX616" s="1683">
        <v>0</v>
      </c>
      <c r="BY616" s="1683">
        <v>0</v>
      </c>
      <c r="BZ616" s="1683">
        <v>0</v>
      </c>
      <c r="CA616" s="1400"/>
      <c r="CB616" s="1682"/>
      <c r="CC616" s="1682"/>
      <c r="CD616" s="1400"/>
      <c r="CE616" s="1400"/>
      <c r="CF616" s="1683">
        <v>0</v>
      </c>
      <c r="CG616" s="1683">
        <v>0</v>
      </c>
      <c r="CH616" s="1683">
        <v>0</v>
      </c>
      <c r="CI616" s="1683">
        <v>0</v>
      </c>
      <c r="CJ616" s="1683">
        <v>471.73</v>
      </c>
      <c r="CK616" s="1683">
        <v>471.73</v>
      </c>
      <c r="CL616" s="1682"/>
      <c r="CM616" s="1683">
        <v>0</v>
      </c>
      <c r="CN616" s="1683">
        <v>0</v>
      </c>
      <c r="CO616" s="1683">
        <v>0</v>
      </c>
      <c r="CP616" s="1683">
        <v>0</v>
      </c>
      <c r="CQ616" s="1683">
        <v>0</v>
      </c>
      <c r="CR616" s="1683">
        <v>0</v>
      </c>
      <c r="CS616" s="1683">
        <v>0</v>
      </c>
      <c r="CT616" s="1683">
        <v>0</v>
      </c>
      <c r="CU616" s="1683">
        <v>0</v>
      </c>
      <c r="CV616" s="1683">
        <v>0</v>
      </c>
      <c r="CW616" s="1682"/>
      <c r="CX616" s="1400"/>
      <c r="CY616" s="1400"/>
      <c r="CZ616" s="1400"/>
      <c r="DA616" s="1400"/>
      <c r="DB616" s="1682"/>
      <c r="DC616" s="1326"/>
      <c r="DD616" s="1683">
        <v>0</v>
      </c>
      <c r="DE616" s="1400"/>
      <c r="DF616" s="1400"/>
      <c r="DG616" s="1683">
        <v>0</v>
      </c>
      <c r="DH616" s="1683">
        <v>0</v>
      </c>
    </row>
    <row r="617" spans="1:112" ht="56.25">
      <c r="A617" s="1326" t="s">
        <v>4294</v>
      </c>
      <c r="B617" s="1326" t="s">
        <v>1704</v>
      </c>
      <c r="C617" s="1326" t="s">
        <v>2580</v>
      </c>
      <c r="D617" s="1326" t="s">
        <v>2581</v>
      </c>
      <c r="E617" s="1326" t="s">
        <v>136</v>
      </c>
      <c r="F617" s="1326" t="s">
        <v>2582</v>
      </c>
      <c r="G617" s="1326" t="s">
        <v>2556</v>
      </c>
      <c r="H617" s="1326" t="s">
        <v>2541</v>
      </c>
      <c r="I617" s="1326" t="s">
        <v>2449</v>
      </c>
      <c r="J617" s="1326" t="s">
        <v>279</v>
      </c>
      <c r="K617" s="1326" t="s">
        <v>2069</v>
      </c>
      <c r="L617" s="1326" t="s">
        <v>2061</v>
      </c>
      <c r="M617" s="1400"/>
      <c r="N617" s="1400"/>
      <c r="O617" s="1400"/>
      <c r="P617" s="1400"/>
      <c r="Q617" s="1400"/>
      <c r="R617" s="1400"/>
      <c r="S617" s="1400"/>
      <c r="T617" s="1400"/>
      <c r="U617" s="1400"/>
      <c r="V617" s="1400"/>
      <c r="W617" s="1400"/>
      <c r="X617" s="1400"/>
      <c r="Y617" s="1685">
        <v>43360</v>
      </c>
      <c r="Z617" s="1326" t="s">
        <v>2062</v>
      </c>
      <c r="AA617" s="1683">
        <v>20000</v>
      </c>
      <c r="AB617" s="1683">
        <v>18378.419999999998</v>
      </c>
      <c r="AC617" s="1683">
        <v>1621.58</v>
      </c>
      <c r="AD617" s="1685">
        <v>43404</v>
      </c>
      <c r="AE617" s="1326" t="s">
        <v>2079</v>
      </c>
      <c r="AF617" s="1326" t="s">
        <v>2067</v>
      </c>
      <c r="AG617" s="1410"/>
      <c r="AH617" s="1683">
        <v>56618.02</v>
      </c>
      <c r="AI617" s="1683">
        <v>56618.02</v>
      </c>
      <c r="AJ617" s="1683">
        <v>32371.5</v>
      </c>
      <c r="AK617" s="1683">
        <v>29746.85</v>
      </c>
      <c r="AL617" s="1683">
        <v>2624.65</v>
      </c>
      <c r="AM617" s="1685">
        <v>43411</v>
      </c>
      <c r="AN617" s="1683">
        <v>56618.02</v>
      </c>
      <c r="AO617" s="1683">
        <v>56618.02</v>
      </c>
      <c r="AP617" s="1683">
        <v>52371.5</v>
      </c>
      <c r="AQ617" s="1683">
        <v>48125.27</v>
      </c>
      <c r="AR617" s="1683">
        <v>4246.2299999999996</v>
      </c>
      <c r="AS617" s="1683">
        <v>4246.5200000000004</v>
      </c>
      <c r="AT617" s="1683">
        <v>0</v>
      </c>
      <c r="AU617" s="1683">
        <v>4246.5200000000004</v>
      </c>
      <c r="AV617" s="1683">
        <v>0</v>
      </c>
      <c r="AW617" s="1683">
        <v>0</v>
      </c>
      <c r="AX617" s="1400"/>
      <c r="AY617" s="1400"/>
      <c r="AZ617" s="1400"/>
      <c r="BA617" s="1682"/>
      <c r="BB617" s="1682"/>
      <c r="BC617" s="1400"/>
      <c r="BD617" s="1400"/>
      <c r="BE617" s="1683">
        <v>56618.02</v>
      </c>
      <c r="BF617" s="1683">
        <v>56618.02</v>
      </c>
      <c r="BG617" s="1683">
        <v>52371.5</v>
      </c>
      <c r="BH617" s="1683">
        <v>48125.27</v>
      </c>
      <c r="BI617" s="1683">
        <v>4246.2299999999996</v>
      </c>
      <c r="BJ617" s="1683">
        <v>4246.5200000000004</v>
      </c>
      <c r="BK617" s="1683">
        <v>0</v>
      </c>
      <c r="BL617" s="1683">
        <v>4246.5200000000004</v>
      </c>
      <c r="BM617" s="1683">
        <v>0</v>
      </c>
      <c r="BN617" s="1683">
        <v>0</v>
      </c>
      <c r="BO617" s="1685">
        <v>43453</v>
      </c>
      <c r="BP617" s="1683">
        <v>56618.02</v>
      </c>
      <c r="BQ617" s="1683">
        <v>56618.02</v>
      </c>
      <c r="BR617" s="1683">
        <v>52371.5</v>
      </c>
      <c r="BS617" s="1683">
        <v>48125.27</v>
      </c>
      <c r="BT617" s="1683">
        <v>4246.2299999999996</v>
      </c>
      <c r="BU617" s="1683">
        <v>4246.5200000000004</v>
      </c>
      <c r="BV617" s="1683">
        <v>0</v>
      </c>
      <c r="BW617" s="1683">
        <v>0</v>
      </c>
      <c r="BX617" s="1683">
        <v>0</v>
      </c>
      <c r="BY617" s="1683">
        <v>0</v>
      </c>
      <c r="BZ617" s="1683">
        <v>0</v>
      </c>
      <c r="CA617" s="1400"/>
      <c r="CB617" s="1682"/>
      <c r="CC617" s="1682"/>
      <c r="CD617" s="1400"/>
      <c r="CE617" s="1400"/>
      <c r="CF617" s="1683">
        <v>0</v>
      </c>
      <c r="CG617" s="1683">
        <v>0</v>
      </c>
      <c r="CH617" s="1683">
        <v>0</v>
      </c>
      <c r="CI617" s="1683">
        <v>0</v>
      </c>
      <c r="CJ617" s="1683">
        <v>616.02</v>
      </c>
      <c r="CK617" s="1683">
        <v>616.02</v>
      </c>
      <c r="CL617" s="1682"/>
      <c r="CM617" s="1683">
        <v>0</v>
      </c>
      <c r="CN617" s="1683">
        <v>0</v>
      </c>
      <c r="CO617" s="1683">
        <v>0</v>
      </c>
      <c r="CP617" s="1683">
        <v>0</v>
      </c>
      <c r="CQ617" s="1683">
        <v>0</v>
      </c>
      <c r="CR617" s="1683">
        <v>0</v>
      </c>
      <c r="CS617" s="1683">
        <v>0</v>
      </c>
      <c r="CT617" s="1683">
        <v>0</v>
      </c>
      <c r="CU617" s="1683">
        <v>0</v>
      </c>
      <c r="CV617" s="1683">
        <v>0</v>
      </c>
      <c r="CW617" s="1682"/>
      <c r="CX617" s="1400"/>
      <c r="CY617" s="1400"/>
      <c r="CZ617" s="1400"/>
      <c r="DA617" s="1400"/>
      <c r="DB617" s="1682"/>
      <c r="DC617" s="1326"/>
      <c r="DD617" s="1683">
        <v>0</v>
      </c>
      <c r="DE617" s="1400"/>
      <c r="DF617" s="1400"/>
      <c r="DG617" s="1683">
        <v>0</v>
      </c>
      <c r="DH617" s="1683">
        <v>0</v>
      </c>
    </row>
    <row r="618" spans="1:112" ht="56.25">
      <c r="A618" s="1326" t="s">
        <v>4295</v>
      </c>
      <c r="B618" s="1326" t="s">
        <v>1704</v>
      </c>
      <c r="C618" s="1326" t="s">
        <v>2580</v>
      </c>
      <c r="D618" s="1326" t="s">
        <v>2581</v>
      </c>
      <c r="E618" s="1326" t="s">
        <v>136</v>
      </c>
      <c r="F618" s="1326" t="s">
        <v>2582</v>
      </c>
      <c r="G618" s="1326" t="s">
        <v>2556</v>
      </c>
      <c r="H618" s="1326" t="s">
        <v>2541</v>
      </c>
      <c r="I618" s="1326" t="s">
        <v>2449</v>
      </c>
      <c r="J618" s="1326" t="s">
        <v>279</v>
      </c>
      <c r="K618" s="1326" t="s">
        <v>2069</v>
      </c>
      <c r="L618" s="1326" t="s">
        <v>2061</v>
      </c>
      <c r="M618" s="1400"/>
      <c r="N618" s="1400"/>
      <c r="O618" s="1400"/>
      <c r="P618" s="1400"/>
      <c r="Q618" s="1400"/>
      <c r="R618" s="1400"/>
      <c r="S618" s="1400"/>
      <c r="T618" s="1400"/>
      <c r="U618" s="1400"/>
      <c r="V618" s="1400"/>
      <c r="W618" s="1400"/>
      <c r="X618" s="1400"/>
      <c r="Y618" s="1685">
        <v>43360</v>
      </c>
      <c r="Z618" s="1326" t="s">
        <v>2062</v>
      </c>
      <c r="AA618" s="1683">
        <v>0</v>
      </c>
      <c r="AB618" s="1683">
        <v>0</v>
      </c>
      <c r="AC618" s="1683">
        <v>0</v>
      </c>
      <c r="AD618" s="1685">
        <v>43404</v>
      </c>
      <c r="AE618" s="1326" t="s">
        <v>2079</v>
      </c>
      <c r="AF618" s="1326" t="s">
        <v>2064</v>
      </c>
      <c r="AG618" s="1410"/>
      <c r="AH618" s="1683">
        <v>3277.29</v>
      </c>
      <c r="AI618" s="1683">
        <v>3277.29</v>
      </c>
      <c r="AJ618" s="1683">
        <v>3031.49</v>
      </c>
      <c r="AK618" s="1683">
        <v>2785.7</v>
      </c>
      <c r="AL618" s="1683">
        <v>245.79</v>
      </c>
      <c r="AM618" s="1685">
        <v>43404</v>
      </c>
      <c r="AN618" s="1683">
        <v>3277.29</v>
      </c>
      <c r="AO618" s="1683">
        <v>3277.29</v>
      </c>
      <c r="AP618" s="1683">
        <v>3031.49</v>
      </c>
      <c r="AQ618" s="1683">
        <v>2785.7</v>
      </c>
      <c r="AR618" s="1683">
        <v>245.79</v>
      </c>
      <c r="AS618" s="1683">
        <v>245.8</v>
      </c>
      <c r="AT618" s="1683">
        <v>0</v>
      </c>
      <c r="AU618" s="1683">
        <v>245.8</v>
      </c>
      <c r="AV618" s="1683">
        <v>0</v>
      </c>
      <c r="AW618" s="1683">
        <v>0</v>
      </c>
      <c r="AX618" s="1400"/>
      <c r="AY618" s="1400"/>
      <c r="AZ618" s="1400"/>
      <c r="BA618" s="1682"/>
      <c r="BB618" s="1682"/>
      <c r="BC618" s="1400"/>
      <c r="BD618" s="1400"/>
      <c r="BE618" s="1683">
        <v>3277.29</v>
      </c>
      <c r="BF618" s="1683">
        <v>3277.29</v>
      </c>
      <c r="BG618" s="1683">
        <v>3031.49</v>
      </c>
      <c r="BH618" s="1683">
        <v>2785.7</v>
      </c>
      <c r="BI618" s="1683">
        <v>245.79</v>
      </c>
      <c r="BJ618" s="1683">
        <v>245.8</v>
      </c>
      <c r="BK618" s="1683">
        <v>0</v>
      </c>
      <c r="BL618" s="1683">
        <v>245.8</v>
      </c>
      <c r="BM618" s="1683">
        <v>0</v>
      </c>
      <c r="BN618" s="1683">
        <v>0</v>
      </c>
      <c r="BO618" s="1685">
        <v>43453</v>
      </c>
      <c r="BP618" s="1683">
        <v>3277.29</v>
      </c>
      <c r="BQ618" s="1683">
        <v>3277.29</v>
      </c>
      <c r="BR618" s="1683">
        <v>3031.49</v>
      </c>
      <c r="BS618" s="1683">
        <v>2785.7</v>
      </c>
      <c r="BT618" s="1683">
        <v>245.79</v>
      </c>
      <c r="BU618" s="1683">
        <v>245.8</v>
      </c>
      <c r="BV618" s="1683">
        <v>0</v>
      </c>
      <c r="BW618" s="1683">
        <v>0</v>
      </c>
      <c r="BX618" s="1683">
        <v>0</v>
      </c>
      <c r="BY618" s="1683">
        <v>0</v>
      </c>
      <c r="BZ618" s="1683">
        <v>0</v>
      </c>
      <c r="CA618" s="1400"/>
      <c r="CB618" s="1682"/>
      <c r="CC618" s="1682"/>
      <c r="CD618" s="1400"/>
      <c r="CE618" s="1400"/>
      <c r="CF618" s="1683">
        <v>0</v>
      </c>
      <c r="CG618" s="1683">
        <v>0</v>
      </c>
      <c r="CH618" s="1683">
        <v>0</v>
      </c>
      <c r="CI618" s="1683">
        <v>0</v>
      </c>
      <c r="CJ618" s="1683">
        <v>35.659999999999997</v>
      </c>
      <c r="CK618" s="1683">
        <v>35.659999999999997</v>
      </c>
      <c r="CL618" s="1682"/>
      <c r="CM618" s="1683">
        <v>0</v>
      </c>
      <c r="CN618" s="1683">
        <v>0</v>
      </c>
      <c r="CO618" s="1683">
        <v>0</v>
      </c>
      <c r="CP618" s="1683">
        <v>0</v>
      </c>
      <c r="CQ618" s="1683">
        <v>0</v>
      </c>
      <c r="CR618" s="1683">
        <v>0</v>
      </c>
      <c r="CS618" s="1683">
        <v>0</v>
      </c>
      <c r="CT618" s="1683">
        <v>0</v>
      </c>
      <c r="CU618" s="1683">
        <v>0</v>
      </c>
      <c r="CV618" s="1683">
        <v>0</v>
      </c>
      <c r="CW618" s="1682"/>
      <c r="CX618" s="1400"/>
      <c r="CY618" s="1400"/>
      <c r="CZ618" s="1400"/>
      <c r="DA618" s="1400"/>
      <c r="DB618" s="1682"/>
      <c r="DC618" s="1326"/>
      <c r="DD618" s="1683">
        <v>0</v>
      </c>
      <c r="DE618" s="1400"/>
      <c r="DF618" s="1400"/>
      <c r="DG618" s="1683">
        <v>0</v>
      </c>
      <c r="DH618" s="1683">
        <v>0</v>
      </c>
    </row>
    <row r="619" spans="1:112" ht="56.25">
      <c r="A619" s="1326" t="s">
        <v>4296</v>
      </c>
      <c r="B619" s="1326" t="s">
        <v>1704</v>
      </c>
      <c r="C619" s="1326" t="s">
        <v>2580</v>
      </c>
      <c r="D619" s="1326" t="s">
        <v>2581</v>
      </c>
      <c r="E619" s="1326" t="s">
        <v>136</v>
      </c>
      <c r="F619" s="1326" t="s">
        <v>2582</v>
      </c>
      <c r="G619" s="1326" t="s">
        <v>2556</v>
      </c>
      <c r="H619" s="1326" t="s">
        <v>2541</v>
      </c>
      <c r="I619" s="1326" t="s">
        <v>2449</v>
      </c>
      <c r="J619" s="1326" t="s">
        <v>279</v>
      </c>
      <c r="K619" s="1326" t="s">
        <v>2069</v>
      </c>
      <c r="L619" s="1326" t="s">
        <v>2061</v>
      </c>
      <c r="M619" s="1400"/>
      <c r="N619" s="1400"/>
      <c r="O619" s="1400"/>
      <c r="P619" s="1400"/>
      <c r="Q619" s="1400"/>
      <c r="R619" s="1400"/>
      <c r="S619" s="1400"/>
      <c r="T619" s="1400"/>
      <c r="U619" s="1400"/>
      <c r="V619" s="1400"/>
      <c r="W619" s="1400"/>
      <c r="X619" s="1400"/>
      <c r="Y619" s="1685">
        <v>43398</v>
      </c>
      <c r="Z619" s="1326" t="s">
        <v>2062</v>
      </c>
      <c r="AA619" s="1683">
        <v>30000</v>
      </c>
      <c r="AB619" s="1683">
        <v>27600</v>
      </c>
      <c r="AC619" s="1683">
        <v>2400</v>
      </c>
      <c r="AD619" s="1685">
        <v>43433</v>
      </c>
      <c r="AE619" s="1326" t="s">
        <v>2080</v>
      </c>
      <c r="AF619" s="1326" t="s">
        <v>2067</v>
      </c>
      <c r="AG619" s="1410"/>
      <c r="AH619" s="1683">
        <v>44577.919999999998</v>
      </c>
      <c r="AI619" s="1683">
        <v>44577.919999999998</v>
      </c>
      <c r="AJ619" s="1683">
        <v>11234.44</v>
      </c>
      <c r="AK619" s="1683">
        <v>10291.200000000001</v>
      </c>
      <c r="AL619" s="1683">
        <v>943.24</v>
      </c>
      <c r="AM619" s="1685">
        <v>43439</v>
      </c>
      <c r="AN619" s="1683">
        <v>44577.919999999998</v>
      </c>
      <c r="AO619" s="1683">
        <v>44577.919999999998</v>
      </c>
      <c r="AP619" s="1683">
        <v>41234.44</v>
      </c>
      <c r="AQ619" s="1683">
        <v>37891.199999999997</v>
      </c>
      <c r="AR619" s="1683">
        <v>3343.24</v>
      </c>
      <c r="AS619" s="1683">
        <v>3343.48</v>
      </c>
      <c r="AT619" s="1683">
        <v>0</v>
      </c>
      <c r="AU619" s="1683">
        <v>3343.48</v>
      </c>
      <c r="AV619" s="1683">
        <v>0</v>
      </c>
      <c r="AW619" s="1683">
        <v>0</v>
      </c>
      <c r="AX619" s="1400"/>
      <c r="AY619" s="1400"/>
      <c r="AZ619" s="1400"/>
      <c r="BA619" s="1682"/>
      <c r="BB619" s="1682"/>
      <c r="BC619" s="1400"/>
      <c r="BD619" s="1400"/>
      <c r="BE619" s="1683">
        <v>44577.919999999998</v>
      </c>
      <c r="BF619" s="1683">
        <v>44577.919999999998</v>
      </c>
      <c r="BG619" s="1683">
        <v>41234.44</v>
      </c>
      <c r="BH619" s="1683">
        <v>37891.199999999997</v>
      </c>
      <c r="BI619" s="1683">
        <v>3343.24</v>
      </c>
      <c r="BJ619" s="1683">
        <v>3343.48</v>
      </c>
      <c r="BK619" s="1683">
        <v>0</v>
      </c>
      <c r="BL619" s="1683">
        <v>3343.48</v>
      </c>
      <c r="BM619" s="1683">
        <v>0</v>
      </c>
      <c r="BN619" s="1683">
        <v>0</v>
      </c>
      <c r="BO619" s="1682"/>
      <c r="BP619" s="1683">
        <v>0</v>
      </c>
      <c r="BQ619" s="1683">
        <v>0</v>
      </c>
      <c r="BR619" s="1683">
        <v>0</v>
      </c>
      <c r="BS619" s="1683">
        <v>0</v>
      </c>
      <c r="BT619" s="1683">
        <v>0</v>
      </c>
      <c r="BU619" s="1683">
        <v>0</v>
      </c>
      <c r="BV619" s="1683">
        <v>0</v>
      </c>
      <c r="BW619" s="1683">
        <v>0</v>
      </c>
      <c r="BX619" s="1683">
        <v>0</v>
      </c>
      <c r="BY619" s="1683">
        <v>0</v>
      </c>
      <c r="BZ619" s="1683">
        <v>0</v>
      </c>
      <c r="CA619" s="1400"/>
      <c r="CB619" s="1682"/>
      <c r="CC619" s="1682"/>
      <c r="CD619" s="1400"/>
      <c r="CE619" s="1400"/>
      <c r="CF619" s="1683">
        <v>0</v>
      </c>
      <c r="CG619" s="1683">
        <v>0</v>
      </c>
      <c r="CH619" s="1683">
        <v>0</v>
      </c>
      <c r="CI619" s="1683">
        <v>0</v>
      </c>
      <c r="CJ619" s="1683">
        <v>0</v>
      </c>
      <c r="CK619" s="1683">
        <v>0</v>
      </c>
      <c r="CL619" s="1682"/>
      <c r="CM619" s="1683">
        <v>0</v>
      </c>
      <c r="CN619" s="1683">
        <v>0</v>
      </c>
      <c r="CO619" s="1683">
        <v>0</v>
      </c>
      <c r="CP619" s="1683">
        <v>0</v>
      </c>
      <c r="CQ619" s="1683">
        <v>0</v>
      </c>
      <c r="CR619" s="1683">
        <v>0</v>
      </c>
      <c r="CS619" s="1683">
        <v>0</v>
      </c>
      <c r="CT619" s="1683">
        <v>0</v>
      </c>
      <c r="CU619" s="1683">
        <v>0</v>
      </c>
      <c r="CV619" s="1683">
        <v>0</v>
      </c>
      <c r="CW619" s="1682"/>
      <c r="CX619" s="1400"/>
      <c r="CY619" s="1400"/>
      <c r="CZ619" s="1400"/>
      <c r="DA619" s="1400"/>
      <c r="DB619" s="1682"/>
      <c r="DC619" s="1326"/>
      <c r="DD619" s="1683">
        <v>0</v>
      </c>
      <c r="DE619" s="1400"/>
      <c r="DF619" s="1400"/>
      <c r="DG619" s="1683">
        <v>0</v>
      </c>
      <c r="DH619" s="1683">
        <v>0</v>
      </c>
    </row>
    <row r="620" spans="1:112" ht="56.25">
      <c r="A620" s="1326" t="s">
        <v>4297</v>
      </c>
      <c r="B620" s="1326" t="s">
        <v>1704</v>
      </c>
      <c r="C620" s="1326" t="s">
        <v>2580</v>
      </c>
      <c r="D620" s="1326" t="s">
        <v>2581</v>
      </c>
      <c r="E620" s="1326" t="s">
        <v>136</v>
      </c>
      <c r="F620" s="1326" t="s">
        <v>2582</v>
      </c>
      <c r="G620" s="1326" t="s">
        <v>2556</v>
      </c>
      <c r="H620" s="1326" t="s">
        <v>2541</v>
      </c>
      <c r="I620" s="1326" t="s">
        <v>2449</v>
      </c>
      <c r="J620" s="1326" t="s">
        <v>279</v>
      </c>
      <c r="K620" s="1326" t="s">
        <v>2069</v>
      </c>
      <c r="L620" s="1326" t="s">
        <v>2061</v>
      </c>
      <c r="M620" s="1400"/>
      <c r="N620" s="1400"/>
      <c r="O620" s="1400"/>
      <c r="P620" s="1400"/>
      <c r="Q620" s="1400"/>
      <c r="R620" s="1400"/>
      <c r="S620" s="1400"/>
      <c r="T620" s="1400"/>
      <c r="U620" s="1400"/>
      <c r="V620" s="1400"/>
      <c r="W620" s="1400"/>
      <c r="X620" s="1400"/>
      <c r="Y620" s="1685">
        <v>43446</v>
      </c>
      <c r="Z620" s="1326" t="s">
        <v>2062</v>
      </c>
      <c r="AA620" s="1683">
        <v>4328</v>
      </c>
      <c r="AB620" s="1683">
        <v>3944.72</v>
      </c>
      <c r="AC620" s="1683">
        <v>383.28</v>
      </c>
      <c r="AD620" s="1685">
        <v>43494</v>
      </c>
      <c r="AE620" s="1326" t="s">
        <v>2081</v>
      </c>
      <c r="AF620" s="1326" t="s">
        <v>2067</v>
      </c>
      <c r="AG620" s="1410"/>
      <c r="AH620" s="1683">
        <v>40021.01</v>
      </c>
      <c r="AI620" s="1683">
        <v>40021.01</v>
      </c>
      <c r="AJ620" s="1683">
        <v>32691.31</v>
      </c>
      <c r="AK620" s="1683">
        <v>30073.1</v>
      </c>
      <c r="AL620" s="1683">
        <v>2618.21</v>
      </c>
      <c r="AM620" s="1685">
        <v>43497</v>
      </c>
      <c r="AN620" s="1683">
        <v>40021.01</v>
      </c>
      <c r="AO620" s="1683">
        <v>40021.01</v>
      </c>
      <c r="AP620" s="1683">
        <v>37019.31</v>
      </c>
      <c r="AQ620" s="1683">
        <v>34017.82</v>
      </c>
      <c r="AR620" s="1683">
        <v>3001.49</v>
      </c>
      <c r="AS620" s="1683">
        <v>3001.7</v>
      </c>
      <c r="AT620" s="1683">
        <v>0</v>
      </c>
      <c r="AU620" s="1683">
        <v>3001.7</v>
      </c>
      <c r="AV620" s="1683">
        <v>0</v>
      </c>
      <c r="AW620" s="1683">
        <v>0</v>
      </c>
      <c r="AX620" s="1400"/>
      <c r="AY620" s="1400"/>
      <c r="AZ620" s="1400"/>
      <c r="BA620" s="1682"/>
      <c r="BB620" s="1682"/>
      <c r="BC620" s="1400"/>
      <c r="BD620" s="1400"/>
      <c r="BE620" s="1683">
        <v>40021.01</v>
      </c>
      <c r="BF620" s="1683">
        <v>40021.01</v>
      </c>
      <c r="BG620" s="1683">
        <v>37019.31</v>
      </c>
      <c r="BH620" s="1683">
        <v>34017.82</v>
      </c>
      <c r="BI620" s="1683">
        <v>3001.49</v>
      </c>
      <c r="BJ620" s="1683">
        <v>3001.7</v>
      </c>
      <c r="BK620" s="1683">
        <v>0</v>
      </c>
      <c r="BL620" s="1683">
        <v>3001.7</v>
      </c>
      <c r="BM620" s="1683">
        <v>0</v>
      </c>
      <c r="BN620" s="1683">
        <v>0</v>
      </c>
      <c r="BO620" s="1682"/>
      <c r="BP620" s="1683">
        <v>0</v>
      </c>
      <c r="BQ620" s="1683">
        <v>0</v>
      </c>
      <c r="BR620" s="1683">
        <v>0</v>
      </c>
      <c r="BS620" s="1683">
        <v>0</v>
      </c>
      <c r="BT620" s="1683">
        <v>0</v>
      </c>
      <c r="BU620" s="1683">
        <v>0</v>
      </c>
      <c r="BV620" s="1683">
        <v>0</v>
      </c>
      <c r="BW620" s="1683">
        <v>0</v>
      </c>
      <c r="BX620" s="1683">
        <v>0</v>
      </c>
      <c r="BY620" s="1683">
        <v>0</v>
      </c>
      <c r="BZ620" s="1400"/>
      <c r="CA620" s="1400"/>
      <c r="CB620" s="1682"/>
      <c r="CC620" s="1682"/>
      <c r="CD620" s="1400"/>
      <c r="CE620" s="1400"/>
      <c r="CF620" s="1683">
        <v>0</v>
      </c>
      <c r="CG620" s="1683">
        <v>0</v>
      </c>
      <c r="CH620" s="1683">
        <v>0</v>
      </c>
      <c r="CI620" s="1683">
        <v>0</v>
      </c>
      <c r="CJ620" s="1683">
        <v>0</v>
      </c>
      <c r="CK620" s="1683">
        <v>0</v>
      </c>
      <c r="CL620" s="1682"/>
      <c r="CM620" s="1683">
        <v>0</v>
      </c>
      <c r="CN620" s="1683">
        <v>0</v>
      </c>
      <c r="CO620" s="1683">
        <v>0</v>
      </c>
      <c r="CP620" s="1683">
        <v>0</v>
      </c>
      <c r="CQ620" s="1683">
        <v>0</v>
      </c>
      <c r="CR620" s="1683">
        <v>0</v>
      </c>
      <c r="CS620" s="1683">
        <v>0</v>
      </c>
      <c r="CT620" s="1683">
        <v>0</v>
      </c>
      <c r="CU620" s="1683">
        <v>0</v>
      </c>
      <c r="CV620" s="1683">
        <v>0</v>
      </c>
      <c r="CW620" s="1682"/>
      <c r="CX620" s="1400"/>
      <c r="CY620" s="1400"/>
      <c r="CZ620" s="1400"/>
      <c r="DA620" s="1400"/>
      <c r="DB620" s="1682"/>
      <c r="DC620" s="1326"/>
      <c r="DD620" s="1683">
        <v>0</v>
      </c>
      <c r="DE620" s="1400"/>
      <c r="DF620" s="1400"/>
      <c r="DG620" s="1683">
        <v>0</v>
      </c>
      <c r="DH620" s="1683">
        <v>0</v>
      </c>
    </row>
    <row r="621" spans="1:112" ht="56.25">
      <c r="A621" s="1326" t="s">
        <v>4298</v>
      </c>
      <c r="B621" s="1326" t="s">
        <v>1704</v>
      </c>
      <c r="C621" s="1326" t="s">
        <v>2580</v>
      </c>
      <c r="D621" s="1326" t="s">
        <v>2581</v>
      </c>
      <c r="E621" s="1326" t="s">
        <v>136</v>
      </c>
      <c r="F621" s="1326" t="s">
        <v>2582</v>
      </c>
      <c r="G621" s="1326" t="s">
        <v>2556</v>
      </c>
      <c r="H621" s="1326" t="s">
        <v>2541</v>
      </c>
      <c r="I621" s="1326" t="s">
        <v>2449</v>
      </c>
      <c r="J621" s="1326" t="s">
        <v>279</v>
      </c>
      <c r="K621" s="1326" t="s">
        <v>2069</v>
      </c>
      <c r="L621" s="1326" t="s">
        <v>2061</v>
      </c>
      <c r="M621" s="1400"/>
      <c r="N621" s="1400"/>
      <c r="O621" s="1400"/>
      <c r="P621" s="1400"/>
      <c r="Q621" s="1400"/>
      <c r="R621" s="1400"/>
      <c r="S621" s="1400"/>
      <c r="T621" s="1400"/>
      <c r="U621" s="1400"/>
      <c r="V621" s="1400"/>
      <c r="W621" s="1400"/>
      <c r="X621" s="1400"/>
      <c r="Y621" s="1685">
        <v>43446</v>
      </c>
      <c r="Z621" s="1326" t="s">
        <v>2062</v>
      </c>
      <c r="AA621" s="1683">
        <v>0</v>
      </c>
      <c r="AB621" s="1683">
        <v>0</v>
      </c>
      <c r="AC621" s="1683">
        <v>0</v>
      </c>
      <c r="AD621" s="1685">
        <v>43494</v>
      </c>
      <c r="AE621" s="1326" t="s">
        <v>2081</v>
      </c>
      <c r="AF621" s="1326" t="s">
        <v>2064</v>
      </c>
      <c r="AG621" s="1410"/>
      <c r="AH621" s="1683">
        <v>2608.38</v>
      </c>
      <c r="AI621" s="1683">
        <v>2608.38</v>
      </c>
      <c r="AJ621" s="1683">
        <v>2412.75</v>
      </c>
      <c r="AK621" s="1683">
        <v>2217.13</v>
      </c>
      <c r="AL621" s="1683">
        <v>195.62</v>
      </c>
      <c r="AM621" s="1685">
        <v>43494</v>
      </c>
      <c r="AN621" s="1683">
        <v>2608.38</v>
      </c>
      <c r="AO621" s="1683">
        <v>2608.38</v>
      </c>
      <c r="AP621" s="1683">
        <v>2412.75</v>
      </c>
      <c r="AQ621" s="1683">
        <v>2217.13</v>
      </c>
      <c r="AR621" s="1683">
        <v>195.62</v>
      </c>
      <c r="AS621" s="1683">
        <v>195.63</v>
      </c>
      <c r="AT621" s="1683">
        <v>0</v>
      </c>
      <c r="AU621" s="1683">
        <v>195.63</v>
      </c>
      <c r="AV621" s="1683">
        <v>0</v>
      </c>
      <c r="AW621" s="1683">
        <v>0</v>
      </c>
      <c r="AX621" s="1400"/>
      <c r="AY621" s="1400"/>
      <c r="AZ621" s="1400"/>
      <c r="BA621" s="1682"/>
      <c r="BB621" s="1682"/>
      <c r="BC621" s="1400"/>
      <c r="BD621" s="1400"/>
      <c r="BE621" s="1683">
        <v>2608.38</v>
      </c>
      <c r="BF621" s="1683">
        <v>2608.38</v>
      </c>
      <c r="BG621" s="1683">
        <v>2412.75</v>
      </c>
      <c r="BH621" s="1683">
        <v>2217.13</v>
      </c>
      <c r="BI621" s="1683">
        <v>195.62</v>
      </c>
      <c r="BJ621" s="1683">
        <v>195.63</v>
      </c>
      <c r="BK621" s="1683">
        <v>0</v>
      </c>
      <c r="BL621" s="1683">
        <v>195.63</v>
      </c>
      <c r="BM621" s="1683">
        <v>0</v>
      </c>
      <c r="BN621" s="1683">
        <v>0</v>
      </c>
      <c r="BO621" s="1682"/>
      <c r="BP621" s="1683">
        <v>0</v>
      </c>
      <c r="BQ621" s="1683">
        <v>0</v>
      </c>
      <c r="BR621" s="1683">
        <v>0</v>
      </c>
      <c r="BS621" s="1683">
        <v>0</v>
      </c>
      <c r="BT621" s="1683">
        <v>0</v>
      </c>
      <c r="BU621" s="1683">
        <v>0</v>
      </c>
      <c r="BV621" s="1683">
        <v>0</v>
      </c>
      <c r="BW621" s="1683">
        <v>0</v>
      </c>
      <c r="BX621" s="1683">
        <v>0</v>
      </c>
      <c r="BY621" s="1683">
        <v>0</v>
      </c>
      <c r="BZ621" s="1400"/>
      <c r="CA621" s="1400"/>
      <c r="CB621" s="1682"/>
      <c r="CC621" s="1682"/>
      <c r="CD621" s="1400"/>
      <c r="CE621" s="1400"/>
      <c r="CF621" s="1683">
        <v>0</v>
      </c>
      <c r="CG621" s="1683">
        <v>0</v>
      </c>
      <c r="CH621" s="1683">
        <v>0</v>
      </c>
      <c r="CI621" s="1683">
        <v>0</v>
      </c>
      <c r="CJ621" s="1683">
        <v>0</v>
      </c>
      <c r="CK621" s="1683">
        <v>0</v>
      </c>
      <c r="CL621" s="1682"/>
      <c r="CM621" s="1683">
        <v>0</v>
      </c>
      <c r="CN621" s="1683">
        <v>0</v>
      </c>
      <c r="CO621" s="1683">
        <v>0</v>
      </c>
      <c r="CP621" s="1683">
        <v>0</v>
      </c>
      <c r="CQ621" s="1683">
        <v>0</v>
      </c>
      <c r="CR621" s="1683">
        <v>0</v>
      </c>
      <c r="CS621" s="1683">
        <v>0</v>
      </c>
      <c r="CT621" s="1683">
        <v>0</v>
      </c>
      <c r="CU621" s="1683">
        <v>0</v>
      </c>
      <c r="CV621" s="1683">
        <v>0</v>
      </c>
      <c r="CW621" s="1682"/>
      <c r="CX621" s="1400"/>
      <c r="CY621" s="1400"/>
      <c r="CZ621" s="1400"/>
      <c r="DA621" s="1400"/>
      <c r="DB621" s="1682"/>
      <c r="DC621" s="1326"/>
      <c r="DD621" s="1683">
        <v>0</v>
      </c>
      <c r="DE621" s="1400"/>
      <c r="DF621" s="1400"/>
      <c r="DG621" s="1683">
        <v>0</v>
      </c>
      <c r="DH621" s="1683">
        <v>0</v>
      </c>
    </row>
    <row r="622" spans="1:112" ht="45">
      <c r="A622" s="1326" t="s">
        <v>4299</v>
      </c>
      <c r="B622" s="1326" t="s">
        <v>1704</v>
      </c>
      <c r="C622" s="1326" t="s">
        <v>2580</v>
      </c>
      <c r="D622" s="1326" t="s">
        <v>2581</v>
      </c>
      <c r="E622" s="1326" t="s">
        <v>136</v>
      </c>
      <c r="F622" s="1326" t="s">
        <v>2582</v>
      </c>
      <c r="G622" s="1326" t="s">
        <v>2556</v>
      </c>
      <c r="H622" s="1326" t="s">
        <v>2541</v>
      </c>
      <c r="I622" s="1326" t="s">
        <v>2454</v>
      </c>
      <c r="J622" s="1326" t="s">
        <v>634</v>
      </c>
      <c r="K622" s="1326" t="s">
        <v>2071</v>
      </c>
      <c r="L622" s="1326" t="s">
        <v>2061</v>
      </c>
      <c r="M622" s="1683">
        <v>657021</v>
      </c>
      <c r="N622" s="1683">
        <v>0</v>
      </c>
      <c r="O622" s="1683">
        <v>657021</v>
      </c>
      <c r="P622" s="1683">
        <v>657021</v>
      </c>
      <c r="Q622" s="1683">
        <v>607744</v>
      </c>
      <c r="R622" s="1683">
        <v>558467</v>
      </c>
      <c r="S622" s="1683">
        <v>49277</v>
      </c>
      <c r="T622" s="1683">
        <v>49277</v>
      </c>
      <c r="U622" s="1683">
        <v>0</v>
      </c>
      <c r="V622" s="1683">
        <v>49277</v>
      </c>
      <c r="W622" s="1683">
        <v>0</v>
      </c>
      <c r="X622" s="1683">
        <v>0</v>
      </c>
      <c r="Y622" s="1682"/>
      <c r="Z622" s="1326"/>
      <c r="AA622" s="1683">
        <v>0</v>
      </c>
      <c r="AB622" s="1683">
        <v>0</v>
      </c>
      <c r="AC622" s="1683">
        <v>0</v>
      </c>
      <c r="AD622" s="1682"/>
      <c r="AE622" s="1326"/>
      <c r="AF622" s="1326"/>
      <c r="AG622" s="1410"/>
      <c r="AH622" s="1683">
        <v>222902.39999999999</v>
      </c>
      <c r="AI622" s="1683">
        <v>345151.4</v>
      </c>
      <c r="AJ622" s="1683">
        <v>328433.57</v>
      </c>
      <c r="AK622" s="1683">
        <v>301803.58</v>
      </c>
      <c r="AL622" s="1683">
        <v>26629.99</v>
      </c>
      <c r="AM622" s="1682"/>
      <c r="AN622" s="1683">
        <v>222902.39999999999</v>
      </c>
      <c r="AO622" s="1683">
        <v>222902.39999999999</v>
      </c>
      <c r="AP622" s="1683">
        <v>206184.57</v>
      </c>
      <c r="AQ622" s="1683">
        <v>189466.75</v>
      </c>
      <c r="AR622" s="1683">
        <v>16717.82</v>
      </c>
      <c r="AS622" s="1683">
        <v>16717.830000000002</v>
      </c>
      <c r="AT622" s="1683">
        <v>0</v>
      </c>
      <c r="AU622" s="1683">
        <v>16717.830000000002</v>
      </c>
      <c r="AV622" s="1683">
        <v>0</v>
      </c>
      <c r="AW622" s="1683">
        <v>0</v>
      </c>
      <c r="AX622" s="1683">
        <v>0</v>
      </c>
      <c r="AY622" s="1683">
        <v>0</v>
      </c>
      <c r="AZ622" s="1683">
        <v>0</v>
      </c>
      <c r="BA622" s="1682"/>
      <c r="BB622" s="1682"/>
      <c r="BC622" s="1683">
        <v>0</v>
      </c>
      <c r="BD622" s="1683">
        <v>0</v>
      </c>
      <c r="BE622" s="1683">
        <v>222902.39999999999</v>
      </c>
      <c r="BF622" s="1683">
        <v>222902.39999999999</v>
      </c>
      <c r="BG622" s="1683">
        <v>206184.57</v>
      </c>
      <c r="BH622" s="1683">
        <v>189466.75</v>
      </c>
      <c r="BI622" s="1683">
        <v>16717.82</v>
      </c>
      <c r="BJ622" s="1683">
        <v>16717.830000000002</v>
      </c>
      <c r="BK622" s="1683">
        <v>0</v>
      </c>
      <c r="BL622" s="1683">
        <v>16717.830000000002</v>
      </c>
      <c r="BM622" s="1683">
        <v>0</v>
      </c>
      <c r="BN622" s="1683">
        <v>0</v>
      </c>
      <c r="BO622" s="1682"/>
      <c r="BP622" s="1683">
        <v>4845.4399999999996</v>
      </c>
      <c r="BQ622" s="1683">
        <v>4845.4399999999996</v>
      </c>
      <c r="BR622" s="1683">
        <v>4482.03</v>
      </c>
      <c r="BS622" s="1683">
        <v>4118.62</v>
      </c>
      <c r="BT622" s="1683">
        <v>363.41</v>
      </c>
      <c r="BU622" s="1683">
        <v>363.41</v>
      </c>
      <c r="BV622" s="1683">
        <v>0</v>
      </c>
      <c r="BW622" s="1683">
        <v>0</v>
      </c>
      <c r="BX622" s="1683">
        <v>0</v>
      </c>
      <c r="BY622" s="1683">
        <v>0</v>
      </c>
      <c r="BZ622" s="1683">
        <v>0</v>
      </c>
      <c r="CA622" s="1683">
        <v>0</v>
      </c>
      <c r="CB622" s="1682"/>
      <c r="CC622" s="1682"/>
      <c r="CD622" s="1683">
        <v>0</v>
      </c>
      <c r="CE622" s="1683">
        <v>0</v>
      </c>
      <c r="CF622" s="1683">
        <v>0</v>
      </c>
      <c r="CG622" s="1683">
        <v>0</v>
      </c>
      <c r="CH622" s="1683">
        <v>0</v>
      </c>
      <c r="CI622" s="1683">
        <v>0</v>
      </c>
      <c r="CJ622" s="1683">
        <v>35.44</v>
      </c>
      <c r="CK622" s="1683">
        <v>35.44</v>
      </c>
      <c r="CL622" s="1682"/>
      <c r="CM622" s="1683">
        <v>0</v>
      </c>
      <c r="CN622" s="1683">
        <v>0</v>
      </c>
      <c r="CO622" s="1683">
        <v>0</v>
      </c>
      <c r="CP622" s="1683">
        <v>0</v>
      </c>
      <c r="CQ622" s="1683">
        <v>0</v>
      </c>
      <c r="CR622" s="1683">
        <v>0</v>
      </c>
      <c r="CS622" s="1683">
        <v>0</v>
      </c>
      <c r="CT622" s="1683">
        <v>0</v>
      </c>
      <c r="CU622" s="1683">
        <v>0</v>
      </c>
      <c r="CV622" s="1683">
        <v>0</v>
      </c>
      <c r="CW622" s="1682"/>
      <c r="CX622" s="1683">
        <v>0</v>
      </c>
      <c r="CY622" s="1683">
        <v>0</v>
      </c>
      <c r="CZ622" s="1683">
        <v>0</v>
      </c>
      <c r="DA622" s="1683">
        <v>0</v>
      </c>
      <c r="DB622" s="1682"/>
      <c r="DC622" s="1326"/>
      <c r="DD622" s="1683">
        <v>0</v>
      </c>
      <c r="DE622" s="1683">
        <v>0</v>
      </c>
      <c r="DF622" s="1683">
        <v>0</v>
      </c>
      <c r="DG622" s="1683">
        <v>0</v>
      </c>
      <c r="DH622" s="1683">
        <v>0</v>
      </c>
    </row>
    <row r="623" spans="1:112" ht="45">
      <c r="A623" s="1326" t="s">
        <v>4300</v>
      </c>
      <c r="B623" s="1326" t="s">
        <v>1704</v>
      </c>
      <c r="C623" s="1326" t="s">
        <v>2580</v>
      </c>
      <c r="D623" s="1326" t="s">
        <v>2581</v>
      </c>
      <c r="E623" s="1326" t="s">
        <v>136</v>
      </c>
      <c r="F623" s="1326" t="s">
        <v>2582</v>
      </c>
      <c r="G623" s="1326" t="s">
        <v>2556</v>
      </c>
      <c r="H623" s="1326" t="s">
        <v>2541</v>
      </c>
      <c r="I623" s="1326" t="s">
        <v>2454</v>
      </c>
      <c r="J623" s="1326" t="s">
        <v>634</v>
      </c>
      <c r="K623" s="1326" t="s">
        <v>2071</v>
      </c>
      <c r="L623" s="1326" t="s">
        <v>2061</v>
      </c>
      <c r="M623" s="1400"/>
      <c r="N623" s="1400"/>
      <c r="O623" s="1400"/>
      <c r="P623" s="1400"/>
      <c r="Q623" s="1400"/>
      <c r="R623" s="1400"/>
      <c r="S623" s="1400"/>
      <c r="T623" s="1400"/>
      <c r="U623" s="1400"/>
      <c r="V623" s="1400"/>
      <c r="W623" s="1400"/>
      <c r="X623" s="1400"/>
      <c r="Y623" s="1685">
        <v>43180</v>
      </c>
      <c r="Z623" s="1326" t="s">
        <v>2096</v>
      </c>
      <c r="AA623" s="1683">
        <v>0</v>
      </c>
      <c r="AB623" s="1683">
        <v>0</v>
      </c>
      <c r="AC623" s="1683">
        <v>0</v>
      </c>
      <c r="AD623" s="1685">
        <v>43188</v>
      </c>
      <c r="AE623" s="1326" t="s">
        <v>2073</v>
      </c>
      <c r="AF623" s="1326" t="s">
        <v>2064</v>
      </c>
      <c r="AG623" s="1410"/>
      <c r="AH623" s="1683">
        <v>0</v>
      </c>
      <c r="AI623" s="1683">
        <v>2000</v>
      </c>
      <c r="AJ623" s="1683">
        <v>2000</v>
      </c>
      <c r="AK623" s="1683">
        <v>1837.84</v>
      </c>
      <c r="AL623" s="1683">
        <v>162.16</v>
      </c>
      <c r="AM623" s="1682"/>
      <c r="AN623" s="1683">
        <v>0</v>
      </c>
      <c r="AO623" s="1683">
        <v>0</v>
      </c>
      <c r="AP623" s="1683">
        <v>0</v>
      </c>
      <c r="AQ623" s="1683">
        <v>0</v>
      </c>
      <c r="AR623" s="1683">
        <v>0</v>
      </c>
      <c r="AS623" s="1683">
        <v>0</v>
      </c>
      <c r="AT623" s="1683">
        <v>0</v>
      </c>
      <c r="AU623" s="1683">
        <v>0</v>
      </c>
      <c r="AV623" s="1683">
        <v>0</v>
      </c>
      <c r="AW623" s="1683">
        <v>0</v>
      </c>
      <c r="AX623" s="1400"/>
      <c r="AY623" s="1400"/>
      <c r="AZ623" s="1400"/>
      <c r="BA623" s="1682"/>
      <c r="BB623" s="1682"/>
      <c r="BC623" s="1400"/>
      <c r="BD623" s="1400"/>
      <c r="BE623" s="1683">
        <v>0</v>
      </c>
      <c r="BF623" s="1683">
        <v>0</v>
      </c>
      <c r="BG623" s="1683">
        <v>0</v>
      </c>
      <c r="BH623" s="1683">
        <v>0</v>
      </c>
      <c r="BI623" s="1683">
        <v>0</v>
      </c>
      <c r="BJ623" s="1683">
        <v>0</v>
      </c>
      <c r="BK623" s="1683">
        <v>0</v>
      </c>
      <c r="BL623" s="1683">
        <v>0</v>
      </c>
      <c r="BM623" s="1683">
        <v>0</v>
      </c>
      <c r="BN623" s="1683">
        <v>0</v>
      </c>
      <c r="BO623" s="1682"/>
      <c r="BP623" s="1683">
        <v>0</v>
      </c>
      <c r="BQ623" s="1683">
        <v>0</v>
      </c>
      <c r="BR623" s="1683">
        <v>0</v>
      </c>
      <c r="BS623" s="1683">
        <v>0</v>
      </c>
      <c r="BT623" s="1683">
        <v>0</v>
      </c>
      <c r="BU623" s="1683">
        <v>0</v>
      </c>
      <c r="BV623" s="1683">
        <v>0</v>
      </c>
      <c r="BW623" s="1683">
        <v>0</v>
      </c>
      <c r="BX623" s="1683">
        <v>0</v>
      </c>
      <c r="BY623" s="1683">
        <v>0</v>
      </c>
      <c r="BZ623" s="1400"/>
      <c r="CA623" s="1400"/>
      <c r="CB623" s="1682"/>
      <c r="CC623" s="1682"/>
      <c r="CD623" s="1400"/>
      <c r="CE623" s="1400"/>
      <c r="CF623" s="1683">
        <v>0</v>
      </c>
      <c r="CG623" s="1683">
        <v>0</v>
      </c>
      <c r="CH623" s="1683">
        <v>0</v>
      </c>
      <c r="CI623" s="1683">
        <v>0</v>
      </c>
      <c r="CJ623" s="1683">
        <v>0</v>
      </c>
      <c r="CK623" s="1683">
        <v>0</v>
      </c>
      <c r="CL623" s="1682"/>
      <c r="CM623" s="1683">
        <v>0</v>
      </c>
      <c r="CN623" s="1683">
        <v>0</v>
      </c>
      <c r="CO623" s="1683">
        <v>0</v>
      </c>
      <c r="CP623" s="1683">
        <v>0</v>
      </c>
      <c r="CQ623" s="1683">
        <v>0</v>
      </c>
      <c r="CR623" s="1683">
        <v>0</v>
      </c>
      <c r="CS623" s="1683">
        <v>0</v>
      </c>
      <c r="CT623" s="1683">
        <v>0</v>
      </c>
      <c r="CU623" s="1683">
        <v>0</v>
      </c>
      <c r="CV623" s="1683">
        <v>0</v>
      </c>
      <c r="CW623" s="1682"/>
      <c r="CX623" s="1400"/>
      <c r="CY623" s="1400"/>
      <c r="CZ623" s="1400"/>
      <c r="DA623" s="1400"/>
      <c r="DB623" s="1682"/>
      <c r="DC623" s="1326"/>
      <c r="DD623" s="1683">
        <v>0</v>
      </c>
      <c r="DE623" s="1400"/>
      <c r="DF623" s="1400"/>
      <c r="DG623" s="1683">
        <v>0</v>
      </c>
      <c r="DH623" s="1683">
        <v>0</v>
      </c>
    </row>
    <row r="624" spans="1:112" ht="45">
      <c r="A624" s="1326" t="s">
        <v>4301</v>
      </c>
      <c r="B624" s="1326" t="s">
        <v>1704</v>
      </c>
      <c r="C624" s="1326" t="s">
        <v>2580</v>
      </c>
      <c r="D624" s="1326" t="s">
        <v>2581</v>
      </c>
      <c r="E624" s="1326" t="s">
        <v>136</v>
      </c>
      <c r="F624" s="1326" t="s">
        <v>2582</v>
      </c>
      <c r="G624" s="1326" t="s">
        <v>2556</v>
      </c>
      <c r="H624" s="1326" t="s">
        <v>2541</v>
      </c>
      <c r="I624" s="1326" t="s">
        <v>2454</v>
      </c>
      <c r="J624" s="1326" t="s">
        <v>634</v>
      </c>
      <c r="K624" s="1326" t="s">
        <v>2071</v>
      </c>
      <c r="L624" s="1326" t="s">
        <v>2061</v>
      </c>
      <c r="M624" s="1400"/>
      <c r="N624" s="1400"/>
      <c r="O624" s="1400"/>
      <c r="P624" s="1400"/>
      <c r="Q624" s="1400"/>
      <c r="R624" s="1400"/>
      <c r="S624" s="1400"/>
      <c r="T624" s="1400"/>
      <c r="U624" s="1400"/>
      <c r="V624" s="1400"/>
      <c r="W624" s="1400"/>
      <c r="X624" s="1400"/>
      <c r="Y624" s="1685">
        <v>43193</v>
      </c>
      <c r="Z624" s="1326" t="s">
        <v>2062</v>
      </c>
      <c r="AA624" s="1683">
        <v>0</v>
      </c>
      <c r="AB624" s="1683">
        <v>0</v>
      </c>
      <c r="AC624" s="1683">
        <v>0</v>
      </c>
      <c r="AD624" s="1685">
        <v>43208</v>
      </c>
      <c r="AE624" s="1326" t="s">
        <v>2063</v>
      </c>
      <c r="AF624" s="1326" t="s">
        <v>2064</v>
      </c>
      <c r="AG624" s="1410"/>
      <c r="AH624" s="1683">
        <v>3544.44</v>
      </c>
      <c r="AI624" s="1683">
        <v>3544.44</v>
      </c>
      <c r="AJ624" s="1683">
        <v>3278.61</v>
      </c>
      <c r="AK624" s="1683">
        <v>3012.77</v>
      </c>
      <c r="AL624" s="1683">
        <v>265.83999999999997</v>
      </c>
      <c r="AM624" s="1685">
        <v>43208</v>
      </c>
      <c r="AN624" s="1683">
        <v>3544.44</v>
      </c>
      <c r="AO624" s="1683">
        <v>3544.44</v>
      </c>
      <c r="AP624" s="1683">
        <v>3278.61</v>
      </c>
      <c r="AQ624" s="1683">
        <v>3012.77</v>
      </c>
      <c r="AR624" s="1683">
        <v>265.83999999999997</v>
      </c>
      <c r="AS624" s="1683">
        <v>265.83</v>
      </c>
      <c r="AT624" s="1683">
        <v>0</v>
      </c>
      <c r="AU624" s="1683">
        <v>265.83</v>
      </c>
      <c r="AV624" s="1683">
        <v>0</v>
      </c>
      <c r="AW624" s="1683">
        <v>0</v>
      </c>
      <c r="AX624" s="1400"/>
      <c r="AY624" s="1400"/>
      <c r="AZ624" s="1400"/>
      <c r="BA624" s="1682"/>
      <c r="BB624" s="1682"/>
      <c r="BC624" s="1400"/>
      <c r="BD624" s="1400"/>
      <c r="BE624" s="1683">
        <v>3544.44</v>
      </c>
      <c r="BF624" s="1683">
        <v>3544.44</v>
      </c>
      <c r="BG624" s="1683">
        <v>3278.61</v>
      </c>
      <c r="BH624" s="1683">
        <v>3012.77</v>
      </c>
      <c r="BI624" s="1683">
        <v>265.83999999999997</v>
      </c>
      <c r="BJ624" s="1683">
        <v>265.83</v>
      </c>
      <c r="BK624" s="1683">
        <v>0</v>
      </c>
      <c r="BL624" s="1683">
        <v>265.83</v>
      </c>
      <c r="BM624" s="1683">
        <v>0</v>
      </c>
      <c r="BN624" s="1683">
        <v>0</v>
      </c>
      <c r="BO624" s="1685">
        <v>43364</v>
      </c>
      <c r="BP624" s="1683">
        <v>3544.44</v>
      </c>
      <c r="BQ624" s="1683">
        <v>3544.44</v>
      </c>
      <c r="BR624" s="1683">
        <v>3278.61</v>
      </c>
      <c r="BS624" s="1683">
        <v>3012.77</v>
      </c>
      <c r="BT624" s="1683">
        <v>265.83999999999997</v>
      </c>
      <c r="BU624" s="1683">
        <v>265.83</v>
      </c>
      <c r="BV624" s="1683">
        <v>0</v>
      </c>
      <c r="BW624" s="1683">
        <v>0</v>
      </c>
      <c r="BX624" s="1683">
        <v>0</v>
      </c>
      <c r="BY624" s="1683">
        <v>0</v>
      </c>
      <c r="BZ624" s="1683">
        <v>0</v>
      </c>
      <c r="CA624" s="1400"/>
      <c r="CB624" s="1682"/>
      <c r="CC624" s="1682"/>
      <c r="CD624" s="1400"/>
      <c r="CE624" s="1400"/>
      <c r="CF624" s="1683">
        <v>0</v>
      </c>
      <c r="CG624" s="1683">
        <v>0</v>
      </c>
      <c r="CH624" s="1683">
        <v>0</v>
      </c>
      <c r="CI624" s="1683">
        <v>0</v>
      </c>
      <c r="CJ624" s="1683">
        <v>35.44</v>
      </c>
      <c r="CK624" s="1683">
        <v>35.44</v>
      </c>
      <c r="CL624" s="1682"/>
      <c r="CM624" s="1683">
        <v>0</v>
      </c>
      <c r="CN624" s="1683">
        <v>0</v>
      </c>
      <c r="CO624" s="1683">
        <v>0</v>
      </c>
      <c r="CP624" s="1683">
        <v>0</v>
      </c>
      <c r="CQ624" s="1683">
        <v>0</v>
      </c>
      <c r="CR624" s="1683">
        <v>0</v>
      </c>
      <c r="CS624" s="1683">
        <v>0</v>
      </c>
      <c r="CT624" s="1683">
        <v>0</v>
      </c>
      <c r="CU624" s="1683">
        <v>0</v>
      </c>
      <c r="CV624" s="1683">
        <v>0</v>
      </c>
      <c r="CW624" s="1682"/>
      <c r="CX624" s="1400"/>
      <c r="CY624" s="1400"/>
      <c r="CZ624" s="1400"/>
      <c r="DA624" s="1400"/>
      <c r="DB624" s="1682"/>
      <c r="DC624" s="1326"/>
      <c r="DD624" s="1683">
        <v>0</v>
      </c>
      <c r="DE624" s="1400"/>
      <c r="DF624" s="1400"/>
      <c r="DG624" s="1683">
        <v>0</v>
      </c>
      <c r="DH624" s="1683">
        <v>0</v>
      </c>
    </row>
    <row r="625" spans="1:112" ht="45">
      <c r="A625" s="1326" t="s">
        <v>4302</v>
      </c>
      <c r="B625" s="1326" t="s">
        <v>1704</v>
      </c>
      <c r="C625" s="1326" t="s">
        <v>2580</v>
      </c>
      <c r="D625" s="1326" t="s">
        <v>2581</v>
      </c>
      <c r="E625" s="1326" t="s">
        <v>136</v>
      </c>
      <c r="F625" s="1326" t="s">
        <v>2582</v>
      </c>
      <c r="G625" s="1326" t="s">
        <v>2556</v>
      </c>
      <c r="H625" s="1326" t="s">
        <v>2541</v>
      </c>
      <c r="I625" s="1326" t="s">
        <v>2454</v>
      </c>
      <c r="J625" s="1326" t="s">
        <v>634</v>
      </c>
      <c r="K625" s="1326" t="s">
        <v>2071</v>
      </c>
      <c r="L625" s="1326" t="s">
        <v>2061</v>
      </c>
      <c r="M625" s="1400"/>
      <c r="N625" s="1400"/>
      <c r="O625" s="1400"/>
      <c r="P625" s="1400"/>
      <c r="Q625" s="1400"/>
      <c r="R625" s="1400"/>
      <c r="S625" s="1400"/>
      <c r="T625" s="1400"/>
      <c r="U625" s="1400"/>
      <c r="V625" s="1400"/>
      <c r="W625" s="1400"/>
      <c r="X625" s="1400"/>
      <c r="Y625" s="1685">
        <v>43286</v>
      </c>
      <c r="Z625" s="1326" t="s">
        <v>2062</v>
      </c>
      <c r="AA625" s="1683">
        <v>0</v>
      </c>
      <c r="AB625" s="1683">
        <v>0</v>
      </c>
      <c r="AC625" s="1683">
        <v>0</v>
      </c>
      <c r="AD625" s="1685">
        <v>43300</v>
      </c>
      <c r="AE625" s="1326" t="s">
        <v>2066</v>
      </c>
      <c r="AF625" s="1326" t="s">
        <v>2067</v>
      </c>
      <c r="AG625" s="1410"/>
      <c r="AH625" s="1683">
        <v>1301</v>
      </c>
      <c r="AI625" s="1683">
        <v>1301</v>
      </c>
      <c r="AJ625" s="1683">
        <v>1203.42</v>
      </c>
      <c r="AK625" s="1683">
        <v>1105.8499999999999</v>
      </c>
      <c r="AL625" s="1683">
        <v>97.57</v>
      </c>
      <c r="AM625" s="1685">
        <v>43300</v>
      </c>
      <c r="AN625" s="1683">
        <v>1301</v>
      </c>
      <c r="AO625" s="1683">
        <v>1301</v>
      </c>
      <c r="AP625" s="1683">
        <v>1203.42</v>
      </c>
      <c r="AQ625" s="1683">
        <v>1105.8499999999999</v>
      </c>
      <c r="AR625" s="1683">
        <v>97.57</v>
      </c>
      <c r="AS625" s="1683">
        <v>97.58</v>
      </c>
      <c r="AT625" s="1683">
        <v>0</v>
      </c>
      <c r="AU625" s="1683">
        <v>97.58</v>
      </c>
      <c r="AV625" s="1683">
        <v>0</v>
      </c>
      <c r="AW625" s="1683">
        <v>0</v>
      </c>
      <c r="AX625" s="1400"/>
      <c r="AY625" s="1400"/>
      <c r="AZ625" s="1400"/>
      <c r="BA625" s="1682"/>
      <c r="BB625" s="1682"/>
      <c r="BC625" s="1400"/>
      <c r="BD625" s="1400"/>
      <c r="BE625" s="1683">
        <v>1301</v>
      </c>
      <c r="BF625" s="1683">
        <v>1301</v>
      </c>
      <c r="BG625" s="1683">
        <v>1203.42</v>
      </c>
      <c r="BH625" s="1683">
        <v>1105.8499999999999</v>
      </c>
      <c r="BI625" s="1683">
        <v>97.57</v>
      </c>
      <c r="BJ625" s="1683">
        <v>97.58</v>
      </c>
      <c r="BK625" s="1683">
        <v>0</v>
      </c>
      <c r="BL625" s="1683">
        <v>97.58</v>
      </c>
      <c r="BM625" s="1683">
        <v>0</v>
      </c>
      <c r="BN625" s="1683">
        <v>0</v>
      </c>
      <c r="BO625" s="1685">
        <v>43364</v>
      </c>
      <c r="BP625" s="1683">
        <v>1301</v>
      </c>
      <c r="BQ625" s="1683">
        <v>1301</v>
      </c>
      <c r="BR625" s="1683">
        <v>1203.42</v>
      </c>
      <c r="BS625" s="1683">
        <v>1105.8499999999999</v>
      </c>
      <c r="BT625" s="1683">
        <v>97.57</v>
      </c>
      <c r="BU625" s="1683">
        <v>97.58</v>
      </c>
      <c r="BV625" s="1683">
        <v>0</v>
      </c>
      <c r="BW625" s="1683">
        <v>0</v>
      </c>
      <c r="BX625" s="1683">
        <v>0</v>
      </c>
      <c r="BY625" s="1683">
        <v>0</v>
      </c>
      <c r="BZ625" s="1683">
        <v>0</v>
      </c>
      <c r="CA625" s="1400"/>
      <c r="CB625" s="1682"/>
      <c r="CC625" s="1682"/>
      <c r="CD625" s="1400"/>
      <c r="CE625" s="1400"/>
      <c r="CF625" s="1683">
        <v>0</v>
      </c>
      <c r="CG625" s="1683">
        <v>0</v>
      </c>
      <c r="CH625" s="1683">
        <v>0</v>
      </c>
      <c r="CI625" s="1683">
        <v>0</v>
      </c>
      <c r="CJ625" s="1683">
        <v>0</v>
      </c>
      <c r="CK625" s="1683">
        <v>0</v>
      </c>
      <c r="CL625" s="1682"/>
      <c r="CM625" s="1683">
        <v>0</v>
      </c>
      <c r="CN625" s="1683">
        <v>0</v>
      </c>
      <c r="CO625" s="1683">
        <v>0</v>
      </c>
      <c r="CP625" s="1683">
        <v>0</v>
      </c>
      <c r="CQ625" s="1683">
        <v>0</v>
      </c>
      <c r="CR625" s="1683">
        <v>0</v>
      </c>
      <c r="CS625" s="1683">
        <v>0</v>
      </c>
      <c r="CT625" s="1683">
        <v>0</v>
      </c>
      <c r="CU625" s="1683">
        <v>0</v>
      </c>
      <c r="CV625" s="1683">
        <v>0</v>
      </c>
      <c r="CW625" s="1682"/>
      <c r="CX625" s="1400"/>
      <c r="CY625" s="1400"/>
      <c r="CZ625" s="1400"/>
      <c r="DA625" s="1400"/>
      <c r="DB625" s="1682"/>
      <c r="DC625" s="1326"/>
      <c r="DD625" s="1683">
        <v>0</v>
      </c>
      <c r="DE625" s="1400"/>
      <c r="DF625" s="1400"/>
      <c r="DG625" s="1683">
        <v>0</v>
      </c>
      <c r="DH625" s="1683">
        <v>0</v>
      </c>
    </row>
    <row r="626" spans="1:112" ht="45">
      <c r="A626" s="1326" t="s">
        <v>4327</v>
      </c>
      <c r="B626" s="1326" t="s">
        <v>1704</v>
      </c>
      <c r="C626" s="1326" t="s">
        <v>2580</v>
      </c>
      <c r="D626" s="1326" t="s">
        <v>2581</v>
      </c>
      <c r="E626" s="1326" t="s">
        <v>136</v>
      </c>
      <c r="F626" s="1326" t="s">
        <v>2582</v>
      </c>
      <c r="G626" s="1326" t="s">
        <v>2556</v>
      </c>
      <c r="H626" s="1326" t="s">
        <v>2541</v>
      </c>
      <c r="I626" s="1326" t="s">
        <v>2454</v>
      </c>
      <c r="J626" s="1326" t="s">
        <v>634</v>
      </c>
      <c r="K626" s="1326" t="s">
        <v>2071</v>
      </c>
      <c r="L626" s="1326" t="s">
        <v>2061</v>
      </c>
      <c r="M626" s="1400"/>
      <c r="N626" s="1400"/>
      <c r="O626" s="1400"/>
      <c r="P626" s="1400"/>
      <c r="Q626" s="1400"/>
      <c r="R626" s="1400"/>
      <c r="S626" s="1400"/>
      <c r="T626" s="1400"/>
      <c r="U626" s="1400"/>
      <c r="V626" s="1400"/>
      <c r="W626" s="1400"/>
      <c r="X626" s="1400"/>
      <c r="Y626" s="1685">
        <v>43343</v>
      </c>
      <c r="Z626" s="1326" t="s">
        <v>2096</v>
      </c>
      <c r="AA626" s="1683">
        <v>0</v>
      </c>
      <c r="AB626" s="1683">
        <v>0</v>
      </c>
      <c r="AC626" s="1683">
        <v>0</v>
      </c>
      <c r="AD626" s="1685">
        <v>43353</v>
      </c>
      <c r="AE626" s="1326" t="s">
        <v>2079</v>
      </c>
      <c r="AF626" s="1326" t="s">
        <v>2064</v>
      </c>
      <c r="AG626" s="1410"/>
      <c r="AH626" s="1683">
        <v>0</v>
      </c>
      <c r="AI626" s="1683">
        <v>120249</v>
      </c>
      <c r="AJ626" s="1683">
        <v>120249</v>
      </c>
      <c r="AK626" s="1683">
        <v>110498.99</v>
      </c>
      <c r="AL626" s="1683">
        <v>9750.01</v>
      </c>
      <c r="AM626" s="1682"/>
      <c r="AN626" s="1683">
        <v>0</v>
      </c>
      <c r="AO626" s="1683">
        <v>0</v>
      </c>
      <c r="AP626" s="1683">
        <v>0</v>
      </c>
      <c r="AQ626" s="1683">
        <v>0</v>
      </c>
      <c r="AR626" s="1683">
        <v>0</v>
      </c>
      <c r="AS626" s="1683">
        <v>0</v>
      </c>
      <c r="AT626" s="1683">
        <v>0</v>
      </c>
      <c r="AU626" s="1683">
        <v>0</v>
      </c>
      <c r="AV626" s="1683">
        <v>0</v>
      </c>
      <c r="AW626" s="1683">
        <v>0</v>
      </c>
      <c r="AX626" s="1400"/>
      <c r="AY626" s="1400"/>
      <c r="AZ626" s="1400"/>
      <c r="BA626" s="1682"/>
      <c r="BB626" s="1682"/>
      <c r="BC626" s="1400"/>
      <c r="BD626" s="1400"/>
      <c r="BE626" s="1683">
        <v>0</v>
      </c>
      <c r="BF626" s="1683">
        <v>0</v>
      </c>
      <c r="BG626" s="1683">
        <v>0</v>
      </c>
      <c r="BH626" s="1683">
        <v>0</v>
      </c>
      <c r="BI626" s="1683">
        <v>0</v>
      </c>
      <c r="BJ626" s="1683">
        <v>0</v>
      </c>
      <c r="BK626" s="1683">
        <v>0</v>
      </c>
      <c r="BL626" s="1683">
        <v>0</v>
      </c>
      <c r="BM626" s="1683">
        <v>0</v>
      </c>
      <c r="BN626" s="1683">
        <v>0</v>
      </c>
      <c r="BO626" s="1682"/>
      <c r="BP626" s="1683">
        <v>0</v>
      </c>
      <c r="BQ626" s="1683">
        <v>0</v>
      </c>
      <c r="BR626" s="1683">
        <v>0</v>
      </c>
      <c r="BS626" s="1683">
        <v>0</v>
      </c>
      <c r="BT626" s="1683">
        <v>0</v>
      </c>
      <c r="BU626" s="1683">
        <v>0</v>
      </c>
      <c r="BV626" s="1683">
        <v>0</v>
      </c>
      <c r="BW626" s="1683">
        <v>0</v>
      </c>
      <c r="BX626" s="1683">
        <v>0</v>
      </c>
      <c r="BY626" s="1683">
        <v>0</v>
      </c>
      <c r="BZ626" s="1400"/>
      <c r="CA626" s="1400"/>
      <c r="CB626" s="1682"/>
      <c r="CC626" s="1682"/>
      <c r="CD626" s="1400"/>
      <c r="CE626" s="1400"/>
      <c r="CF626" s="1683">
        <v>0</v>
      </c>
      <c r="CG626" s="1683">
        <v>0</v>
      </c>
      <c r="CH626" s="1683">
        <v>0</v>
      </c>
      <c r="CI626" s="1683">
        <v>0</v>
      </c>
      <c r="CJ626" s="1683">
        <v>0</v>
      </c>
      <c r="CK626" s="1683">
        <v>0</v>
      </c>
      <c r="CL626" s="1682"/>
      <c r="CM626" s="1683">
        <v>0</v>
      </c>
      <c r="CN626" s="1683">
        <v>0</v>
      </c>
      <c r="CO626" s="1683">
        <v>0</v>
      </c>
      <c r="CP626" s="1683">
        <v>0</v>
      </c>
      <c r="CQ626" s="1683">
        <v>0</v>
      </c>
      <c r="CR626" s="1683">
        <v>0</v>
      </c>
      <c r="CS626" s="1683">
        <v>0</v>
      </c>
      <c r="CT626" s="1683">
        <v>0</v>
      </c>
      <c r="CU626" s="1683">
        <v>0</v>
      </c>
      <c r="CV626" s="1683">
        <v>0</v>
      </c>
      <c r="CW626" s="1682"/>
      <c r="CX626" s="1400"/>
      <c r="CY626" s="1400"/>
      <c r="CZ626" s="1400"/>
      <c r="DA626" s="1400"/>
      <c r="DB626" s="1682"/>
      <c r="DC626" s="1326"/>
      <c r="DD626" s="1683">
        <v>0</v>
      </c>
      <c r="DE626" s="1400"/>
      <c r="DF626" s="1400"/>
      <c r="DG626" s="1683">
        <v>0</v>
      </c>
      <c r="DH626" s="1683">
        <v>0</v>
      </c>
    </row>
    <row r="627" spans="1:112" ht="45">
      <c r="A627" s="1326" t="s">
        <v>4328</v>
      </c>
      <c r="B627" s="1326" t="s">
        <v>1704</v>
      </c>
      <c r="C627" s="1326" t="s">
        <v>2580</v>
      </c>
      <c r="D627" s="1326" t="s">
        <v>2581</v>
      </c>
      <c r="E627" s="1326" t="s">
        <v>136</v>
      </c>
      <c r="F627" s="1326" t="s">
        <v>2582</v>
      </c>
      <c r="G627" s="1326" t="s">
        <v>2556</v>
      </c>
      <c r="H627" s="1326" t="s">
        <v>2541</v>
      </c>
      <c r="I627" s="1326" t="s">
        <v>2454</v>
      </c>
      <c r="J627" s="1326" t="s">
        <v>634</v>
      </c>
      <c r="K627" s="1326" t="s">
        <v>2071</v>
      </c>
      <c r="L627" s="1326" t="s">
        <v>2061</v>
      </c>
      <c r="M627" s="1400"/>
      <c r="N627" s="1400"/>
      <c r="O627" s="1400"/>
      <c r="P627" s="1400"/>
      <c r="Q627" s="1400"/>
      <c r="R627" s="1400"/>
      <c r="S627" s="1400"/>
      <c r="T627" s="1400"/>
      <c r="U627" s="1400"/>
      <c r="V627" s="1400"/>
      <c r="W627" s="1400"/>
      <c r="X627" s="1400"/>
      <c r="Y627" s="1685">
        <v>43411</v>
      </c>
      <c r="Z627" s="1326" t="s">
        <v>2062</v>
      </c>
      <c r="AA627" s="1683">
        <v>0</v>
      </c>
      <c r="AB627" s="1683">
        <v>0</v>
      </c>
      <c r="AC627" s="1683">
        <v>0</v>
      </c>
      <c r="AD627" s="1685">
        <v>43445</v>
      </c>
      <c r="AE627" s="1326" t="s">
        <v>2081</v>
      </c>
      <c r="AF627" s="1326" t="s">
        <v>2064</v>
      </c>
      <c r="AG627" s="1410"/>
      <c r="AH627" s="1683">
        <v>25353.89</v>
      </c>
      <c r="AI627" s="1683">
        <v>25353.89</v>
      </c>
      <c r="AJ627" s="1683">
        <v>23452.33</v>
      </c>
      <c r="AK627" s="1683">
        <v>21550.77</v>
      </c>
      <c r="AL627" s="1683">
        <v>1901.56</v>
      </c>
      <c r="AM627" s="1685">
        <v>43445</v>
      </c>
      <c r="AN627" s="1683">
        <v>25353.89</v>
      </c>
      <c r="AO627" s="1683">
        <v>25353.89</v>
      </c>
      <c r="AP627" s="1683">
        <v>23452.33</v>
      </c>
      <c r="AQ627" s="1683">
        <v>21550.77</v>
      </c>
      <c r="AR627" s="1683">
        <v>1901.56</v>
      </c>
      <c r="AS627" s="1683">
        <v>1901.56</v>
      </c>
      <c r="AT627" s="1683">
        <v>0</v>
      </c>
      <c r="AU627" s="1683">
        <v>1901.56</v>
      </c>
      <c r="AV627" s="1683">
        <v>0</v>
      </c>
      <c r="AW627" s="1683">
        <v>0</v>
      </c>
      <c r="AX627" s="1400"/>
      <c r="AY627" s="1400"/>
      <c r="AZ627" s="1400"/>
      <c r="BA627" s="1682"/>
      <c r="BB627" s="1682"/>
      <c r="BC627" s="1400"/>
      <c r="BD627" s="1400"/>
      <c r="BE627" s="1683">
        <v>25353.89</v>
      </c>
      <c r="BF627" s="1683">
        <v>25353.89</v>
      </c>
      <c r="BG627" s="1683">
        <v>23452.33</v>
      </c>
      <c r="BH627" s="1683">
        <v>21550.77</v>
      </c>
      <c r="BI627" s="1683">
        <v>1901.56</v>
      </c>
      <c r="BJ627" s="1683">
        <v>1901.56</v>
      </c>
      <c r="BK627" s="1683">
        <v>0</v>
      </c>
      <c r="BL627" s="1683">
        <v>1901.56</v>
      </c>
      <c r="BM627" s="1683">
        <v>0</v>
      </c>
      <c r="BN627" s="1683">
        <v>0</v>
      </c>
      <c r="BO627" s="1682"/>
      <c r="BP627" s="1683">
        <v>0</v>
      </c>
      <c r="BQ627" s="1683">
        <v>0</v>
      </c>
      <c r="BR627" s="1683">
        <v>0</v>
      </c>
      <c r="BS627" s="1683">
        <v>0</v>
      </c>
      <c r="BT627" s="1683">
        <v>0</v>
      </c>
      <c r="BU627" s="1683">
        <v>0</v>
      </c>
      <c r="BV627" s="1683">
        <v>0</v>
      </c>
      <c r="BW627" s="1683">
        <v>0</v>
      </c>
      <c r="BX627" s="1683">
        <v>0</v>
      </c>
      <c r="BY627" s="1683">
        <v>0</v>
      </c>
      <c r="BZ627" s="1683">
        <v>0</v>
      </c>
      <c r="CA627" s="1400"/>
      <c r="CB627" s="1682"/>
      <c r="CC627" s="1682"/>
      <c r="CD627" s="1400"/>
      <c r="CE627" s="1400"/>
      <c r="CF627" s="1683">
        <v>0</v>
      </c>
      <c r="CG627" s="1683">
        <v>0</v>
      </c>
      <c r="CH627" s="1683">
        <v>0</v>
      </c>
      <c r="CI627" s="1683">
        <v>0</v>
      </c>
      <c r="CJ627" s="1683">
        <v>0</v>
      </c>
      <c r="CK627" s="1683">
        <v>0</v>
      </c>
      <c r="CL627" s="1682"/>
      <c r="CM627" s="1683">
        <v>0</v>
      </c>
      <c r="CN627" s="1683">
        <v>0</v>
      </c>
      <c r="CO627" s="1683">
        <v>0</v>
      </c>
      <c r="CP627" s="1683">
        <v>0</v>
      </c>
      <c r="CQ627" s="1683">
        <v>0</v>
      </c>
      <c r="CR627" s="1683">
        <v>0</v>
      </c>
      <c r="CS627" s="1683">
        <v>0</v>
      </c>
      <c r="CT627" s="1683">
        <v>0</v>
      </c>
      <c r="CU627" s="1683">
        <v>0</v>
      </c>
      <c r="CV627" s="1683">
        <v>0</v>
      </c>
      <c r="CW627" s="1682"/>
      <c r="CX627" s="1400"/>
      <c r="CY627" s="1400"/>
      <c r="CZ627" s="1400"/>
      <c r="DA627" s="1400"/>
      <c r="DB627" s="1682"/>
      <c r="DC627" s="1326"/>
      <c r="DD627" s="1683">
        <v>0</v>
      </c>
      <c r="DE627" s="1400"/>
      <c r="DF627" s="1400"/>
      <c r="DG627" s="1683">
        <v>0</v>
      </c>
      <c r="DH627" s="1683">
        <v>0</v>
      </c>
    </row>
    <row r="628" spans="1:112" ht="45">
      <c r="A628" s="1326" t="s">
        <v>4329</v>
      </c>
      <c r="B628" s="1326" t="s">
        <v>1704</v>
      </c>
      <c r="C628" s="1326" t="s">
        <v>2580</v>
      </c>
      <c r="D628" s="1326" t="s">
        <v>2581</v>
      </c>
      <c r="E628" s="1326" t="s">
        <v>136</v>
      </c>
      <c r="F628" s="1326" t="s">
        <v>2582</v>
      </c>
      <c r="G628" s="1326" t="s">
        <v>2556</v>
      </c>
      <c r="H628" s="1326" t="s">
        <v>2541</v>
      </c>
      <c r="I628" s="1326" t="s">
        <v>2454</v>
      </c>
      <c r="J628" s="1326" t="s">
        <v>634</v>
      </c>
      <c r="K628" s="1326" t="s">
        <v>2071</v>
      </c>
      <c r="L628" s="1326" t="s">
        <v>2061</v>
      </c>
      <c r="M628" s="1400"/>
      <c r="N628" s="1400"/>
      <c r="O628" s="1400"/>
      <c r="P628" s="1400"/>
      <c r="Q628" s="1400"/>
      <c r="R628" s="1400"/>
      <c r="S628" s="1400"/>
      <c r="T628" s="1400"/>
      <c r="U628" s="1400"/>
      <c r="V628" s="1400"/>
      <c r="W628" s="1400"/>
      <c r="X628" s="1400"/>
      <c r="Y628" s="1685">
        <v>43511</v>
      </c>
      <c r="Z628" s="1326" t="s">
        <v>2062</v>
      </c>
      <c r="AA628" s="1683">
        <v>0</v>
      </c>
      <c r="AB628" s="1683">
        <v>0</v>
      </c>
      <c r="AC628" s="1683">
        <v>0</v>
      </c>
      <c r="AD628" s="1685">
        <v>43546</v>
      </c>
      <c r="AE628" s="1326" t="s">
        <v>2088</v>
      </c>
      <c r="AF628" s="1326" t="s">
        <v>2067</v>
      </c>
      <c r="AG628" s="1410"/>
      <c r="AH628" s="1683">
        <v>74995.44</v>
      </c>
      <c r="AI628" s="1683">
        <v>74995.44</v>
      </c>
      <c r="AJ628" s="1683">
        <v>69370.740000000005</v>
      </c>
      <c r="AK628" s="1683">
        <v>63746.03</v>
      </c>
      <c r="AL628" s="1683">
        <v>5624.71</v>
      </c>
      <c r="AM628" s="1685">
        <v>43546</v>
      </c>
      <c r="AN628" s="1683">
        <v>74995.44</v>
      </c>
      <c r="AO628" s="1683">
        <v>74995.44</v>
      </c>
      <c r="AP628" s="1683">
        <v>69370.740000000005</v>
      </c>
      <c r="AQ628" s="1683">
        <v>63746.03</v>
      </c>
      <c r="AR628" s="1683">
        <v>5624.71</v>
      </c>
      <c r="AS628" s="1683">
        <v>5624.7</v>
      </c>
      <c r="AT628" s="1683">
        <v>0</v>
      </c>
      <c r="AU628" s="1683">
        <v>5624.7</v>
      </c>
      <c r="AV628" s="1683">
        <v>0</v>
      </c>
      <c r="AW628" s="1683">
        <v>0</v>
      </c>
      <c r="AX628" s="1400"/>
      <c r="AY628" s="1400"/>
      <c r="AZ628" s="1400"/>
      <c r="BA628" s="1682"/>
      <c r="BB628" s="1682"/>
      <c r="BC628" s="1400"/>
      <c r="BD628" s="1400"/>
      <c r="BE628" s="1683">
        <v>74995.44</v>
      </c>
      <c r="BF628" s="1683">
        <v>74995.44</v>
      </c>
      <c r="BG628" s="1683">
        <v>69370.740000000005</v>
      </c>
      <c r="BH628" s="1683">
        <v>63746.03</v>
      </c>
      <c r="BI628" s="1683">
        <v>5624.71</v>
      </c>
      <c r="BJ628" s="1683">
        <v>5624.7</v>
      </c>
      <c r="BK628" s="1683">
        <v>0</v>
      </c>
      <c r="BL628" s="1683">
        <v>5624.7</v>
      </c>
      <c r="BM628" s="1683">
        <v>0</v>
      </c>
      <c r="BN628" s="1683">
        <v>0</v>
      </c>
      <c r="BO628" s="1682"/>
      <c r="BP628" s="1683">
        <v>0</v>
      </c>
      <c r="BQ628" s="1683">
        <v>0</v>
      </c>
      <c r="BR628" s="1683">
        <v>0</v>
      </c>
      <c r="BS628" s="1683">
        <v>0</v>
      </c>
      <c r="BT628" s="1683">
        <v>0</v>
      </c>
      <c r="BU628" s="1683">
        <v>0</v>
      </c>
      <c r="BV628" s="1683">
        <v>0</v>
      </c>
      <c r="BW628" s="1683">
        <v>0</v>
      </c>
      <c r="BX628" s="1683">
        <v>0</v>
      </c>
      <c r="BY628" s="1683">
        <v>0</v>
      </c>
      <c r="BZ628" s="1400"/>
      <c r="CA628" s="1400"/>
      <c r="CB628" s="1682"/>
      <c r="CC628" s="1682"/>
      <c r="CD628" s="1400"/>
      <c r="CE628" s="1400"/>
      <c r="CF628" s="1683">
        <v>0</v>
      </c>
      <c r="CG628" s="1683">
        <v>0</v>
      </c>
      <c r="CH628" s="1683">
        <v>0</v>
      </c>
      <c r="CI628" s="1683">
        <v>0</v>
      </c>
      <c r="CJ628" s="1683">
        <v>0</v>
      </c>
      <c r="CK628" s="1683">
        <v>0</v>
      </c>
      <c r="CL628" s="1682"/>
      <c r="CM628" s="1683">
        <v>0</v>
      </c>
      <c r="CN628" s="1683">
        <v>0</v>
      </c>
      <c r="CO628" s="1683">
        <v>0</v>
      </c>
      <c r="CP628" s="1683">
        <v>0</v>
      </c>
      <c r="CQ628" s="1683">
        <v>0</v>
      </c>
      <c r="CR628" s="1683">
        <v>0</v>
      </c>
      <c r="CS628" s="1683">
        <v>0</v>
      </c>
      <c r="CT628" s="1683">
        <v>0</v>
      </c>
      <c r="CU628" s="1683">
        <v>0</v>
      </c>
      <c r="CV628" s="1683">
        <v>0</v>
      </c>
      <c r="CW628" s="1682"/>
      <c r="CX628" s="1400"/>
      <c r="CY628" s="1400"/>
      <c r="CZ628" s="1400"/>
      <c r="DA628" s="1400"/>
      <c r="DB628" s="1682"/>
      <c r="DC628" s="1326"/>
      <c r="DD628" s="1683">
        <v>0</v>
      </c>
      <c r="DE628" s="1400"/>
      <c r="DF628" s="1400"/>
      <c r="DG628" s="1683">
        <v>0</v>
      </c>
      <c r="DH628" s="1683">
        <v>0</v>
      </c>
    </row>
    <row r="629" spans="1:112" ht="45">
      <c r="A629" s="1326" t="s">
        <v>4330</v>
      </c>
      <c r="B629" s="1326" t="s">
        <v>1704</v>
      </c>
      <c r="C629" s="1326" t="s">
        <v>2580</v>
      </c>
      <c r="D629" s="1326" t="s">
        <v>2581</v>
      </c>
      <c r="E629" s="1326" t="s">
        <v>136</v>
      </c>
      <c r="F629" s="1326" t="s">
        <v>2582</v>
      </c>
      <c r="G629" s="1326" t="s">
        <v>2556</v>
      </c>
      <c r="H629" s="1326" t="s">
        <v>2541</v>
      </c>
      <c r="I629" s="1326" t="s">
        <v>2454</v>
      </c>
      <c r="J629" s="1326" t="s">
        <v>634</v>
      </c>
      <c r="K629" s="1326" t="s">
        <v>2071</v>
      </c>
      <c r="L629" s="1326" t="s">
        <v>2061</v>
      </c>
      <c r="M629" s="1400"/>
      <c r="N629" s="1400"/>
      <c r="O629" s="1400"/>
      <c r="P629" s="1400"/>
      <c r="Q629" s="1400"/>
      <c r="R629" s="1400"/>
      <c r="S629" s="1400"/>
      <c r="T629" s="1400"/>
      <c r="U629" s="1400"/>
      <c r="V629" s="1400"/>
      <c r="W629" s="1400"/>
      <c r="X629" s="1400"/>
      <c r="Y629" s="1685">
        <v>43511</v>
      </c>
      <c r="Z629" s="1326" t="s">
        <v>2062</v>
      </c>
      <c r="AA629" s="1683">
        <v>0</v>
      </c>
      <c r="AB629" s="1683">
        <v>0</v>
      </c>
      <c r="AC629" s="1683">
        <v>0</v>
      </c>
      <c r="AD629" s="1685">
        <v>43546</v>
      </c>
      <c r="AE629" s="1326" t="s">
        <v>2088</v>
      </c>
      <c r="AF629" s="1326" t="s">
        <v>2064</v>
      </c>
      <c r="AG629" s="1410"/>
      <c r="AH629" s="1683">
        <v>117707.63</v>
      </c>
      <c r="AI629" s="1683">
        <v>117707.63</v>
      </c>
      <c r="AJ629" s="1683">
        <v>108879.47</v>
      </c>
      <c r="AK629" s="1683">
        <v>100051.33</v>
      </c>
      <c r="AL629" s="1683">
        <v>8828.14</v>
      </c>
      <c r="AM629" s="1685">
        <v>43546</v>
      </c>
      <c r="AN629" s="1683">
        <v>117707.63</v>
      </c>
      <c r="AO629" s="1683">
        <v>117707.63</v>
      </c>
      <c r="AP629" s="1683">
        <v>108879.47</v>
      </c>
      <c r="AQ629" s="1683">
        <v>100051.33</v>
      </c>
      <c r="AR629" s="1683">
        <v>8828.14</v>
      </c>
      <c r="AS629" s="1683">
        <v>8828.16</v>
      </c>
      <c r="AT629" s="1683">
        <v>0</v>
      </c>
      <c r="AU629" s="1683">
        <v>8828.16</v>
      </c>
      <c r="AV629" s="1683">
        <v>0</v>
      </c>
      <c r="AW629" s="1683">
        <v>0</v>
      </c>
      <c r="AX629" s="1400"/>
      <c r="AY629" s="1400"/>
      <c r="AZ629" s="1400"/>
      <c r="BA629" s="1682"/>
      <c r="BB629" s="1682"/>
      <c r="BC629" s="1400"/>
      <c r="BD629" s="1400"/>
      <c r="BE629" s="1683">
        <v>117707.63</v>
      </c>
      <c r="BF629" s="1683">
        <v>117707.63</v>
      </c>
      <c r="BG629" s="1683">
        <v>108879.47</v>
      </c>
      <c r="BH629" s="1683">
        <v>100051.33</v>
      </c>
      <c r="BI629" s="1683">
        <v>8828.14</v>
      </c>
      <c r="BJ629" s="1683">
        <v>8828.16</v>
      </c>
      <c r="BK629" s="1683">
        <v>0</v>
      </c>
      <c r="BL629" s="1683">
        <v>8828.16</v>
      </c>
      <c r="BM629" s="1683">
        <v>0</v>
      </c>
      <c r="BN629" s="1683">
        <v>0</v>
      </c>
      <c r="BO629" s="1682"/>
      <c r="BP629" s="1683">
        <v>0</v>
      </c>
      <c r="BQ629" s="1683">
        <v>0</v>
      </c>
      <c r="BR629" s="1683">
        <v>0</v>
      </c>
      <c r="BS629" s="1683">
        <v>0</v>
      </c>
      <c r="BT629" s="1683">
        <v>0</v>
      </c>
      <c r="BU629" s="1683">
        <v>0</v>
      </c>
      <c r="BV629" s="1683">
        <v>0</v>
      </c>
      <c r="BW629" s="1683">
        <v>0</v>
      </c>
      <c r="BX629" s="1683">
        <v>0</v>
      </c>
      <c r="BY629" s="1683">
        <v>0</v>
      </c>
      <c r="BZ629" s="1400"/>
      <c r="CA629" s="1400"/>
      <c r="CB629" s="1682"/>
      <c r="CC629" s="1682"/>
      <c r="CD629" s="1400"/>
      <c r="CE629" s="1400"/>
      <c r="CF629" s="1683">
        <v>0</v>
      </c>
      <c r="CG629" s="1683">
        <v>0</v>
      </c>
      <c r="CH629" s="1683">
        <v>0</v>
      </c>
      <c r="CI629" s="1683">
        <v>0</v>
      </c>
      <c r="CJ629" s="1683">
        <v>0</v>
      </c>
      <c r="CK629" s="1683">
        <v>0</v>
      </c>
      <c r="CL629" s="1682"/>
      <c r="CM629" s="1683">
        <v>0</v>
      </c>
      <c r="CN629" s="1683">
        <v>0</v>
      </c>
      <c r="CO629" s="1683">
        <v>0</v>
      </c>
      <c r="CP629" s="1683">
        <v>0</v>
      </c>
      <c r="CQ629" s="1683">
        <v>0</v>
      </c>
      <c r="CR629" s="1683">
        <v>0</v>
      </c>
      <c r="CS629" s="1683">
        <v>0</v>
      </c>
      <c r="CT629" s="1683">
        <v>0</v>
      </c>
      <c r="CU629" s="1683">
        <v>0</v>
      </c>
      <c r="CV629" s="1683">
        <v>0</v>
      </c>
      <c r="CW629" s="1682"/>
      <c r="CX629" s="1400"/>
      <c r="CY629" s="1400"/>
      <c r="CZ629" s="1400"/>
      <c r="DA629" s="1400"/>
      <c r="DB629" s="1682"/>
      <c r="DC629" s="1326"/>
      <c r="DD629" s="1683">
        <v>0</v>
      </c>
      <c r="DE629" s="1400"/>
      <c r="DF629" s="1400"/>
      <c r="DG629" s="1683">
        <v>0</v>
      </c>
      <c r="DH629" s="1683">
        <v>0</v>
      </c>
    </row>
    <row r="630" spans="1:112" ht="56.25">
      <c r="A630" s="1326" t="s">
        <v>4331</v>
      </c>
      <c r="B630" s="1326" t="s">
        <v>1704</v>
      </c>
      <c r="C630" s="1326" t="s">
        <v>2580</v>
      </c>
      <c r="D630" s="1326" t="s">
        <v>2581</v>
      </c>
      <c r="E630" s="1326" t="s">
        <v>136</v>
      </c>
      <c r="F630" s="1326" t="s">
        <v>2582</v>
      </c>
      <c r="G630" s="1326" t="s">
        <v>2556</v>
      </c>
      <c r="H630" s="1326" t="s">
        <v>2541</v>
      </c>
      <c r="I630" s="1326" t="s">
        <v>804</v>
      </c>
      <c r="J630" s="1326" t="s">
        <v>231</v>
      </c>
      <c r="K630" s="1326" t="s">
        <v>2110</v>
      </c>
      <c r="L630" s="1326" t="s">
        <v>2061</v>
      </c>
      <c r="M630" s="1683">
        <v>163877</v>
      </c>
      <c r="N630" s="1683">
        <v>0</v>
      </c>
      <c r="O630" s="1683">
        <v>163877</v>
      </c>
      <c r="P630" s="1683">
        <v>163877</v>
      </c>
      <c r="Q630" s="1683">
        <v>151586</v>
      </c>
      <c r="R630" s="1683">
        <v>139295</v>
      </c>
      <c r="S630" s="1683">
        <v>12291</v>
      </c>
      <c r="T630" s="1683">
        <v>12291</v>
      </c>
      <c r="U630" s="1683">
        <v>0</v>
      </c>
      <c r="V630" s="1683">
        <v>12291</v>
      </c>
      <c r="W630" s="1683">
        <v>0</v>
      </c>
      <c r="X630" s="1683">
        <v>0</v>
      </c>
      <c r="Y630" s="1682"/>
      <c r="Z630" s="1326"/>
      <c r="AA630" s="1683">
        <v>27875.8</v>
      </c>
      <c r="AB630" s="1683">
        <v>25615.55</v>
      </c>
      <c r="AC630" s="1683">
        <v>2260.25</v>
      </c>
      <c r="AD630" s="1682"/>
      <c r="AE630" s="1326"/>
      <c r="AF630" s="1326"/>
      <c r="AG630" s="1410"/>
      <c r="AH630" s="1683">
        <v>144771.79</v>
      </c>
      <c r="AI630" s="1683">
        <v>190247.59</v>
      </c>
      <c r="AJ630" s="1683">
        <v>151513.70000000001</v>
      </c>
      <c r="AK630" s="1683">
        <v>139228.57</v>
      </c>
      <c r="AL630" s="1683">
        <v>12285.13</v>
      </c>
      <c r="AM630" s="1682"/>
      <c r="AN630" s="1683">
        <v>144771.79</v>
      </c>
      <c r="AO630" s="1683">
        <v>144771.79</v>
      </c>
      <c r="AP630" s="1683">
        <v>133913.70000000001</v>
      </c>
      <c r="AQ630" s="1683">
        <v>123055.62</v>
      </c>
      <c r="AR630" s="1683">
        <v>10858.08</v>
      </c>
      <c r="AS630" s="1683">
        <v>10858.09</v>
      </c>
      <c r="AT630" s="1683">
        <v>0</v>
      </c>
      <c r="AU630" s="1683">
        <v>10858.09</v>
      </c>
      <c r="AV630" s="1683">
        <v>0</v>
      </c>
      <c r="AW630" s="1683">
        <v>0</v>
      </c>
      <c r="AX630" s="1683">
        <v>0</v>
      </c>
      <c r="AY630" s="1683">
        <v>0</v>
      </c>
      <c r="AZ630" s="1683">
        <v>0</v>
      </c>
      <c r="BA630" s="1682"/>
      <c r="BB630" s="1682"/>
      <c r="BC630" s="1683">
        <v>0</v>
      </c>
      <c r="BD630" s="1683">
        <v>0</v>
      </c>
      <c r="BE630" s="1683">
        <v>144771.79</v>
      </c>
      <c r="BF630" s="1683">
        <v>144771.79</v>
      </c>
      <c r="BG630" s="1683">
        <v>133913.70000000001</v>
      </c>
      <c r="BH630" s="1683">
        <v>123055.62</v>
      </c>
      <c r="BI630" s="1683">
        <v>10858.08</v>
      </c>
      <c r="BJ630" s="1683">
        <v>10858.09</v>
      </c>
      <c r="BK630" s="1683">
        <v>0</v>
      </c>
      <c r="BL630" s="1683">
        <v>10858.09</v>
      </c>
      <c r="BM630" s="1683">
        <v>0</v>
      </c>
      <c r="BN630" s="1683">
        <v>0</v>
      </c>
      <c r="BO630" s="1682"/>
      <c r="BP630" s="1683">
        <v>144771.79</v>
      </c>
      <c r="BQ630" s="1683">
        <v>144771.79</v>
      </c>
      <c r="BR630" s="1683">
        <v>133913.70000000001</v>
      </c>
      <c r="BS630" s="1683">
        <v>123055.62</v>
      </c>
      <c r="BT630" s="1683">
        <v>10858.08</v>
      </c>
      <c r="BU630" s="1683">
        <v>10858.09</v>
      </c>
      <c r="BV630" s="1683">
        <v>0</v>
      </c>
      <c r="BW630" s="1683">
        <v>0</v>
      </c>
      <c r="BX630" s="1683">
        <v>0</v>
      </c>
      <c r="BY630" s="1683">
        <v>0</v>
      </c>
      <c r="BZ630" s="1683">
        <v>0</v>
      </c>
      <c r="CA630" s="1683">
        <v>0</v>
      </c>
      <c r="CB630" s="1682"/>
      <c r="CC630" s="1682"/>
      <c r="CD630" s="1683">
        <v>0</v>
      </c>
      <c r="CE630" s="1683">
        <v>0</v>
      </c>
      <c r="CF630" s="1683">
        <v>0</v>
      </c>
      <c r="CG630" s="1683">
        <v>0</v>
      </c>
      <c r="CH630" s="1683">
        <v>0</v>
      </c>
      <c r="CI630" s="1683">
        <v>0</v>
      </c>
      <c r="CJ630" s="1683">
        <v>0</v>
      </c>
      <c r="CK630" s="1683">
        <v>0</v>
      </c>
      <c r="CL630" s="1682"/>
      <c r="CM630" s="1683">
        <v>0</v>
      </c>
      <c r="CN630" s="1683">
        <v>0</v>
      </c>
      <c r="CO630" s="1683">
        <v>0</v>
      </c>
      <c r="CP630" s="1683">
        <v>0</v>
      </c>
      <c r="CQ630" s="1683">
        <v>0</v>
      </c>
      <c r="CR630" s="1683">
        <v>0</v>
      </c>
      <c r="CS630" s="1683">
        <v>0</v>
      </c>
      <c r="CT630" s="1683">
        <v>0</v>
      </c>
      <c r="CU630" s="1683">
        <v>0</v>
      </c>
      <c r="CV630" s="1683">
        <v>0</v>
      </c>
      <c r="CW630" s="1682"/>
      <c r="CX630" s="1683">
        <v>0</v>
      </c>
      <c r="CY630" s="1683">
        <v>0</v>
      </c>
      <c r="CZ630" s="1683">
        <v>0</v>
      </c>
      <c r="DA630" s="1683">
        <v>0</v>
      </c>
      <c r="DB630" s="1682"/>
      <c r="DC630" s="1326"/>
      <c r="DD630" s="1683">
        <v>0</v>
      </c>
      <c r="DE630" s="1683">
        <v>0</v>
      </c>
      <c r="DF630" s="1683">
        <v>0</v>
      </c>
      <c r="DG630" s="1683">
        <v>0</v>
      </c>
      <c r="DH630" s="1683">
        <v>0</v>
      </c>
    </row>
    <row r="631" spans="1:112" ht="56.25">
      <c r="A631" s="1326" t="s">
        <v>4332</v>
      </c>
      <c r="B631" s="1326" t="s">
        <v>1704</v>
      </c>
      <c r="C631" s="1326" t="s">
        <v>2580</v>
      </c>
      <c r="D631" s="1326" t="s">
        <v>2581</v>
      </c>
      <c r="E631" s="1326" t="s">
        <v>136</v>
      </c>
      <c r="F631" s="1326" t="s">
        <v>2582</v>
      </c>
      <c r="G631" s="1326" t="s">
        <v>2556</v>
      </c>
      <c r="H631" s="1326" t="s">
        <v>2541</v>
      </c>
      <c r="I631" s="1326" t="s">
        <v>804</v>
      </c>
      <c r="J631" s="1326" t="s">
        <v>231</v>
      </c>
      <c r="K631" s="1326" t="s">
        <v>2110</v>
      </c>
      <c r="L631" s="1326" t="s">
        <v>2061</v>
      </c>
      <c r="M631" s="1400"/>
      <c r="N631" s="1400"/>
      <c r="O631" s="1400"/>
      <c r="P631" s="1400"/>
      <c r="Q631" s="1400"/>
      <c r="R631" s="1400"/>
      <c r="S631" s="1400"/>
      <c r="T631" s="1400"/>
      <c r="U631" s="1400"/>
      <c r="V631" s="1400"/>
      <c r="W631" s="1400"/>
      <c r="X631" s="1400"/>
      <c r="Y631" s="1685">
        <v>43251</v>
      </c>
      <c r="Z631" s="1326" t="s">
        <v>2062</v>
      </c>
      <c r="AA631" s="1683">
        <v>0</v>
      </c>
      <c r="AB631" s="1683">
        <v>0</v>
      </c>
      <c r="AC631" s="1683">
        <v>0</v>
      </c>
      <c r="AD631" s="1685">
        <v>43284</v>
      </c>
      <c r="AE631" s="1326" t="s">
        <v>2073</v>
      </c>
      <c r="AF631" s="1326" t="s">
        <v>2067</v>
      </c>
      <c r="AG631" s="1410"/>
      <c r="AH631" s="1683">
        <v>11543.3</v>
      </c>
      <c r="AI631" s="1683">
        <v>11543.3</v>
      </c>
      <c r="AJ631" s="1683">
        <v>10677.53</v>
      </c>
      <c r="AK631" s="1683">
        <v>9811.77</v>
      </c>
      <c r="AL631" s="1683">
        <v>865.76</v>
      </c>
      <c r="AM631" s="1685">
        <v>43284</v>
      </c>
      <c r="AN631" s="1683">
        <v>11543.3</v>
      </c>
      <c r="AO631" s="1683">
        <v>11543.3</v>
      </c>
      <c r="AP631" s="1683">
        <v>10677.53</v>
      </c>
      <c r="AQ631" s="1683">
        <v>9811.77</v>
      </c>
      <c r="AR631" s="1683">
        <v>865.76</v>
      </c>
      <c r="AS631" s="1683">
        <v>865.77</v>
      </c>
      <c r="AT631" s="1683">
        <v>0</v>
      </c>
      <c r="AU631" s="1683">
        <v>865.77</v>
      </c>
      <c r="AV631" s="1683">
        <v>0</v>
      </c>
      <c r="AW631" s="1683">
        <v>0</v>
      </c>
      <c r="AX631" s="1400"/>
      <c r="AY631" s="1400"/>
      <c r="AZ631" s="1400"/>
      <c r="BA631" s="1682"/>
      <c r="BB631" s="1682"/>
      <c r="BC631" s="1400"/>
      <c r="BD631" s="1400"/>
      <c r="BE631" s="1683">
        <v>11543.3</v>
      </c>
      <c r="BF631" s="1683">
        <v>11543.3</v>
      </c>
      <c r="BG631" s="1683">
        <v>10677.53</v>
      </c>
      <c r="BH631" s="1683">
        <v>9811.77</v>
      </c>
      <c r="BI631" s="1683">
        <v>865.76</v>
      </c>
      <c r="BJ631" s="1683">
        <v>865.77</v>
      </c>
      <c r="BK631" s="1683">
        <v>0</v>
      </c>
      <c r="BL631" s="1683">
        <v>865.77</v>
      </c>
      <c r="BM631" s="1683">
        <v>0</v>
      </c>
      <c r="BN631" s="1683">
        <v>0</v>
      </c>
      <c r="BO631" s="1685">
        <v>43364</v>
      </c>
      <c r="BP631" s="1683">
        <v>11543.3</v>
      </c>
      <c r="BQ631" s="1683">
        <v>11543.3</v>
      </c>
      <c r="BR631" s="1683">
        <v>10677.53</v>
      </c>
      <c r="BS631" s="1683">
        <v>9811.77</v>
      </c>
      <c r="BT631" s="1683">
        <v>865.76</v>
      </c>
      <c r="BU631" s="1683">
        <v>865.77</v>
      </c>
      <c r="BV631" s="1683">
        <v>0</v>
      </c>
      <c r="BW631" s="1683">
        <v>0</v>
      </c>
      <c r="BX631" s="1683">
        <v>0</v>
      </c>
      <c r="BY631" s="1683">
        <v>0</v>
      </c>
      <c r="BZ631" s="1683">
        <v>0</v>
      </c>
      <c r="CA631" s="1400"/>
      <c r="CB631" s="1682"/>
      <c r="CC631" s="1682"/>
      <c r="CD631" s="1400"/>
      <c r="CE631" s="1400"/>
      <c r="CF631" s="1683">
        <v>0</v>
      </c>
      <c r="CG631" s="1683">
        <v>0</v>
      </c>
      <c r="CH631" s="1683">
        <v>0</v>
      </c>
      <c r="CI631" s="1683">
        <v>0</v>
      </c>
      <c r="CJ631" s="1683">
        <v>0</v>
      </c>
      <c r="CK631" s="1683">
        <v>0</v>
      </c>
      <c r="CL631" s="1682"/>
      <c r="CM631" s="1683">
        <v>0</v>
      </c>
      <c r="CN631" s="1683">
        <v>0</v>
      </c>
      <c r="CO631" s="1683">
        <v>0</v>
      </c>
      <c r="CP631" s="1683">
        <v>0</v>
      </c>
      <c r="CQ631" s="1683">
        <v>0</v>
      </c>
      <c r="CR631" s="1683">
        <v>0</v>
      </c>
      <c r="CS631" s="1683">
        <v>0</v>
      </c>
      <c r="CT631" s="1683">
        <v>0</v>
      </c>
      <c r="CU631" s="1683">
        <v>0</v>
      </c>
      <c r="CV631" s="1683">
        <v>0</v>
      </c>
      <c r="CW631" s="1682"/>
      <c r="CX631" s="1400"/>
      <c r="CY631" s="1400"/>
      <c r="CZ631" s="1400"/>
      <c r="DA631" s="1400"/>
      <c r="DB631" s="1682"/>
      <c r="DC631" s="1326"/>
      <c r="DD631" s="1683">
        <v>0</v>
      </c>
      <c r="DE631" s="1400"/>
      <c r="DF631" s="1400"/>
      <c r="DG631" s="1683">
        <v>0</v>
      </c>
      <c r="DH631" s="1683">
        <v>0</v>
      </c>
    </row>
    <row r="632" spans="1:112" ht="56.25">
      <c r="A632" s="1326" t="s">
        <v>4333</v>
      </c>
      <c r="B632" s="1326" t="s">
        <v>1704</v>
      </c>
      <c r="C632" s="1326" t="s">
        <v>2580</v>
      </c>
      <c r="D632" s="1326" t="s">
        <v>2581</v>
      </c>
      <c r="E632" s="1326" t="s">
        <v>136</v>
      </c>
      <c r="F632" s="1326" t="s">
        <v>2582</v>
      </c>
      <c r="G632" s="1326" t="s">
        <v>2556</v>
      </c>
      <c r="H632" s="1326" t="s">
        <v>2541</v>
      </c>
      <c r="I632" s="1326" t="s">
        <v>804</v>
      </c>
      <c r="J632" s="1326" t="s">
        <v>231</v>
      </c>
      <c r="K632" s="1326" t="s">
        <v>2110</v>
      </c>
      <c r="L632" s="1326" t="s">
        <v>2061</v>
      </c>
      <c r="M632" s="1400"/>
      <c r="N632" s="1400"/>
      <c r="O632" s="1400"/>
      <c r="P632" s="1400"/>
      <c r="Q632" s="1400"/>
      <c r="R632" s="1400"/>
      <c r="S632" s="1400"/>
      <c r="T632" s="1400"/>
      <c r="U632" s="1400"/>
      <c r="V632" s="1400"/>
      <c r="W632" s="1400"/>
      <c r="X632" s="1400"/>
      <c r="Y632" s="1685">
        <v>43269</v>
      </c>
      <c r="Z632" s="1326" t="s">
        <v>2096</v>
      </c>
      <c r="AA632" s="1683">
        <v>0</v>
      </c>
      <c r="AB632" s="1683">
        <v>0</v>
      </c>
      <c r="AC632" s="1683">
        <v>0</v>
      </c>
      <c r="AD632" s="1685">
        <v>43276</v>
      </c>
      <c r="AE632" s="1326" t="s">
        <v>2063</v>
      </c>
      <c r="AF632" s="1326" t="s">
        <v>2064</v>
      </c>
      <c r="AG632" s="1410"/>
      <c r="AH632" s="1683">
        <v>0</v>
      </c>
      <c r="AI632" s="1683">
        <v>45475.8</v>
      </c>
      <c r="AJ632" s="1683">
        <v>45475.8</v>
      </c>
      <c r="AK632" s="1683">
        <v>41788.5</v>
      </c>
      <c r="AL632" s="1683">
        <v>3687.3</v>
      </c>
      <c r="AM632" s="1682"/>
      <c r="AN632" s="1683">
        <v>0</v>
      </c>
      <c r="AO632" s="1683">
        <v>0</v>
      </c>
      <c r="AP632" s="1683">
        <v>0</v>
      </c>
      <c r="AQ632" s="1683">
        <v>0</v>
      </c>
      <c r="AR632" s="1683">
        <v>0</v>
      </c>
      <c r="AS632" s="1683">
        <v>0</v>
      </c>
      <c r="AT632" s="1683">
        <v>0</v>
      </c>
      <c r="AU632" s="1683">
        <v>0</v>
      </c>
      <c r="AV632" s="1683">
        <v>0</v>
      </c>
      <c r="AW632" s="1683">
        <v>0</v>
      </c>
      <c r="AX632" s="1400"/>
      <c r="AY632" s="1400"/>
      <c r="AZ632" s="1400"/>
      <c r="BA632" s="1682"/>
      <c r="BB632" s="1682"/>
      <c r="BC632" s="1400"/>
      <c r="BD632" s="1400"/>
      <c r="BE632" s="1683">
        <v>0</v>
      </c>
      <c r="BF632" s="1683">
        <v>0</v>
      </c>
      <c r="BG632" s="1683">
        <v>0</v>
      </c>
      <c r="BH632" s="1683">
        <v>0</v>
      </c>
      <c r="BI632" s="1683">
        <v>0</v>
      </c>
      <c r="BJ632" s="1683">
        <v>0</v>
      </c>
      <c r="BK632" s="1683">
        <v>0</v>
      </c>
      <c r="BL632" s="1683">
        <v>0</v>
      </c>
      <c r="BM632" s="1683">
        <v>0</v>
      </c>
      <c r="BN632" s="1683">
        <v>0</v>
      </c>
      <c r="BO632" s="1682"/>
      <c r="BP632" s="1683">
        <v>0</v>
      </c>
      <c r="BQ632" s="1683">
        <v>0</v>
      </c>
      <c r="BR632" s="1683">
        <v>0</v>
      </c>
      <c r="BS632" s="1683">
        <v>0</v>
      </c>
      <c r="BT632" s="1683">
        <v>0</v>
      </c>
      <c r="BU632" s="1683">
        <v>0</v>
      </c>
      <c r="BV632" s="1683">
        <v>0</v>
      </c>
      <c r="BW632" s="1683">
        <v>0</v>
      </c>
      <c r="BX632" s="1683">
        <v>0</v>
      </c>
      <c r="BY632" s="1683">
        <v>0</v>
      </c>
      <c r="BZ632" s="1400"/>
      <c r="CA632" s="1400"/>
      <c r="CB632" s="1682"/>
      <c r="CC632" s="1682"/>
      <c r="CD632" s="1400"/>
      <c r="CE632" s="1400"/>
      <c r="CF632" s="1683">
        <v>0</v>
      </c>
      <c r="CG632" s="1683">
        <v>0</v>
      </c>
      <c r="CH632" s="1683">
        <v>0</v>
      </c>
      <c r="CI632" s="1683">
        <v>0</v>
      </c>
      <c r="CJ632" s="1683">
        <v>0</v>
      </c>
      <c r="CK632" s="1683">
        <v>0</v>
      </c>
      <c r="CL632" s="1682"/>
      <c r="CM632" s="1683">
        <v>0</v>
      </c>
      <c r="CN632" s="1683">
        <v>0</v>
      </c>
      <c r="CO632" s="1683">
        <v>0</v>
      </c>
      <c r="CP632" s="1683">
        <v>0</v>
      </c>
      <c r="CQ632" s="1683">
        <v>0</v>
      </c>
      <c r="CR632" s="1683">
        <v>0</v>
      </c>
      <c r="CS632" s="1683">
        <v>0</v>
      </c>
      <c r="CT632" s="1683">
        <v>0</v>
      </c>
      <c r="CU632" s="1683">
        <v>0</v>
      </c>
      <c r="CV632" s="1683">
        <v>0</v>
      </c>
      <c r="CW632" s="1682"/>
      <c r="CX632" s="1400"/>
      <c r="CY632" s="1400"/>
      <c r="CZ632" s="1400"/>
      <c r="DA632" s="1400"/>
      <c r="DB632" s="1682"/>
      <c r="DC632" s="1326"/>
      <c r="DD632" s="1683">
        <v>0</v>
      </c>
      <c r="DE632" s="1400"/>
      <c r="DF632" s="1400"/>
      <c r="DG632" s="1683">
        <v>0</v>
      </c>
      <c r="DH632" s="1683">
        <v>0</v>
      </c>
    </row>
    <row r="633" spans="1:112" ht="56.25">
      <c r="A633" s="1326" t="s">
        <v>4334</v>
      </c>
      <c r="B633" s="1326" t="s">
        <v>1704</v>
      </c>
      <c r="C633" s="1326" t="s">
        <v>2580</v>
      </c>
      <c r="D633" s="1326" t="s">
        <v>2581</v>
      </c>
      <c r="E633" s="1326" t="s">
        <v>136</v>
      </c>
      <c r="F633" s="1326" t="s">
        <v>2582</v>
      </c>
      <c r="G633" s="1326" t="s">
        <v>2556</v>
      </c>
      <c r="H633" s="1326" t="s">
        <v>2541</v>
      </c>
      <c r="I633" s="1326" t="s">
        <v>804</v>
      </c>
      <c r="J633" s="1326" t="s">
        <v>231</v>
      </c>
      <c r="K633" s="1326" t="s">
        <v>2110</v>
      </c>
      <c r="L633" s="1326" t="s">
        <v>2061</v>
      </c>
      <c r="M633" s="1400"/>
      <c r="N633" s="1400"/>
      <c r="O633" s="1400"/>
      <c r="P633" s="1400"/>
      <c r="Q633" s="1400"/>
      <c r="R633" s="1400"/>
      <c r="S633" s="1400"/>
      <c r="T633" s="1400"/>
      <c r="U633" s="1400"/>
      <c r="V633" s="1400"/>
      <c r="W633" s="1400"/>
      <c r="X633" s="1400"/>
      <c r="Y633" s="1685">
        <v>43321</v>
      </c>
      <c r="Z633" s="1326" t="s">
        <v>2062</v>
      </c>
      <c r="AA633" s="1683">
        <v>0</v>
      </c>
      <c r="AB633" s="1683">
        <v>0</v>
      </c>
      <c r="AC633" s="1683">
        <v>0</v>
      </c>
      <c r="AD633" s="1685">
        <v>43356</v>
      </c>
      <c r="AE633" s="1326" t="s">
        <v>2066</v>
      </c>
      <c r="AF633" s="1326" t="s">
        <v>2067</v>
      </c>
      <c r="AG633" s="1410"/>
      <c r="AH633" s="1683">
        <v>3864.24</v>
      </c>
      <c r="AI633" s="1683">
        <v>3864.24</v>
      </c>
      <c r="AJ633" s="1683">
        <v>3574.43</v>
      </c>
      <c r="AK633" s="1683">
        <v>3284.6</v>
      </c>
      <c r="AL633" s="1683">
        <v>289.83</v>
      </c>
      <c r="AM633" s="1685">
        <v>43357</v>
      </c>
      <c r="AN633" s="1683">
        <v>3864.24</v>
      </c>
      <c r="AO633" s="1683">
        <v>3864.24</v>
      </c>
      <c r="AP633" s="1683">
        <v>3574.43</v>
      </c>
      <c r="AQ633" s="1683">
        <v>3284.6</v>
      </c>
      <c r="AR633" s="1683">
        <v>289.83</v>
      </c>
      <c r="AS633" s="1683">
        <v>289.81</v>
      </c>
      <c r="AT633" s="1683">
        <v>0</v>
      </c>
      <c r="AU633" s="1683">
        <v>289.81</v>
      </c>
      <c r="AV633" s="1683">
        <v>0</v>
      </c>
      <c r="AW633" s="1683">
        <v>0</v>
      </c>
      <c r="AX633" s="1400"/>
      <c r="AY633" s="1400"/>
      <c r="AZ633" s="1400"/>
      <c r="BA633" s="1682"/>
      <c r="BB633" s="1682"/>
      <c r="BC633" s="1400"/>
      <c r="BD633" s="1400"/>
      <c r="BE633" s="1683">
        <v>3864.24</v>
      </c>
      <c r="BF633" s="1683">
        <v>3864.24</v>
      </c>
      <c r="BG633" s="1683">
        <v>3574.43</v>
      </c>
      <c r="BH633" s="1683">
        <v>3284.6</v>
      </c>
      <c r="BI633" s="1683">
        <v>289.83</v>
      </c>
      <c r="BJ633" s="1683">
        <v>289.81</v>
      </c>
      <c r="BK633" s="1683">
        <v>0</v>
      </c>
      <c r="BL633" s="1683">
        <v>289.81</v>
      </c>
      <c r="BM633" s="1683">
        <v>0</v>
      </c>
      <c r="BN633" s="1683">
        <v>0</v>
      </c>
      <c r="BO633" s="1685">
        <v>43403</v>
      </c>
      <c r="BP633" s="1683">
        <v>3864.24</v>
      </c>
      <c r="BQ633" s="1683">
        <v>3864.24</v>
      </c>
      <c r="BR633" s="1683">
        <v>3574.43</v>
      </c>
      <c r="BS633" s="1683">
        <v>3284.6</v>
      </c>
      <c r="BT633" s="1683">
        <v>289.83</v>
      </c>
      <c r="BU633" s="1683">
        <v>289.81</v>
      </c>
      <c r="BV633" s="1683">
        <v>0</v>
      </c>
      <c r="BW633" s="1683">
        <v>0</v>
      </c>
      <c r="BX633" s="1683">
        <v>0</v>
      </c>
      <c r="BY633" s="1683">
        <v>0</v>
      </c>
      <c r="BZ633" s="1683">
        <v>0</v>
      </c>
      <c r="CA633" s="1400"/>
      <c r="CB633" s="1682"/>
      <c r="CC633" s="1682"/>
      <c r="CD633" s="1400"/>
      <c r="CE633" s="1400"/>
      <c r="CF633" s="1683">
        <v>0</v>
      </c>
      <c r="CG633" s="1683">
        <v>0</v>
      </c>
      <c r="CH633" s="1683">
        <v>0</v>
      </c>
      <c r="CI633" s="1683">
        <v>0</v>
      </c>
      <c r="CJ633" s="1683">
        <v>0</v>
      </c>
      <c r="CK633" s="1683">
        <v>0</v>
      </c>
      <c r="CL633" s="1682"/>
      <c r="CM633" s="1683">
        <v>0</v>
      </c>
      <c r="CN633" s="1683">
        <v>0</v>
      </c>
      <c r="CO633" s="1683">
        <v>0</v>
      </c>
      <c r="CP633" s="1683">
        <v>0</v>
      </c>
      <c r="CQ633" s="1683">
        <v>0</v>
      </c>
      <c r="CR633" s="1683">
        <v>0</v>
      </c>
      <c r="CS633" s="1683">
        <v>0</v>
      </c>
      <c r="CT633" s="1683">
        <v>0</v>
      </c>
      <c r="CU633" s="1683">
        <v>0</v>
      </c>
      <c r="CV633" s="1683">
        <v>0</v>
      </c>
      <c r="CW633" s="1682"/>
      <c r="CX633" s="1400"/>
      <c r="CY633" s="1400"/>
      <c r="CZ633" s="1400"/>
      <c r="DA633" s="1400"/>
      <c r="DB633" s="1682"/>
      <c r="DC633" s="1326"/>
      <c r="DD633" s="1683">
        <v>0</v>
      </c>
      <c r="DE633" s="1400"/>
      <c r="DF633" s="1400"/>
      <c r="DG633" s="1683">
        <v>0</v>
      </c>
      <c r="DH633" s="1683">
        <v>0</v>
      </c>
    </row>
    <row r="634" spans="1:112" ht="56.25">
      <c r="A634" s="1326" t="s">
        <v>4335</v>
      </c>
      <c r="B634" s="1326" t="s">
        <v>1704</v>
      </c>
      <c r="C634" s="1326" t="s">
        <v>2580</v>
      </c>
      <c r="D634" s="1326" t="s">
        <v>2581</v>
      </c>
      <c r="E634" s="1326" t="s">
        <v>136</v>
      </c>
      <c r="F634" s="1326" t="s">
        <v>2582</v>
      </c>
      <c r="G634" s="1326" t="s">
        <v>2556</v>
      </c>
      <c r="H634" s="1326" t="s">
        <v>2541</v>
      </c>
      <c r="I634" s="1326" t="s">
        <v>804</v>
      </c>
      <c r="J634" s="1326" t="s">
        <v>231</v>
      </c>
      <c r="K634" s="1326" t="s">
        <v>2110</v>
      </c>
      <c r="L634" s="1326" t="s">
        <v>2061</v>
      </c>
      <c r="M634" s="1400"/>
      <c r="N634" s="1400"/>
      <c r="O634" s="1400"/>
      <c r="P634" s="1400"/>
      <c r="Q634" s="1400"/>
      <c r="R634" s="1400"/>
      <c r="S634" s="1400"/>
      <c r="T634" s="1400"/>
      <c r="U634" s="1400"/>
      <c r="V634" s="1400"/>
      <c r="W634" s="1400"/>
      <c r="X634" s="1400"/>
      <c r="Y634" s="1685">
        <v>43321</v>
      </c>
      <c r="Z634" s="1326" t="s">
        <v>2062</v>
      </c>
      <c r="AA634" s="1683">
        <v>0</v>
      </c>
      <c r="AB634" s="1683">
        <v>0</v>
      </c>
      <c r="AC634" s="1683">
        <v>0</v>
      </c>
      <c r="AD634" s="1685">
        <v>43356</v>
      </c>
      <c r="AE634" s="1326" t="s">
        <v>2066</v>
      </c>
      <c r="AF634" s="1326" t="s">
        <v>2064</v>
      </c>
      <c r="AG634" s="1410"/>
      <c r="AH634" s="1683">
        <v>45712.74</v>
      </c>
      <c r="AI634" s="1683">
        <v>45712.74</v>
      </c>
      <c r="AJ634" s="1683">
        <v>42284.21</v>
      </c>
      <c r="AK634" s="1683">
        <v>38855.699999999997</v>
      </c>
      <c r="AL634" s="1683">
        <v>3428.51</v>
      </c>
      <c r="AM634" s="1685">
        <v>43356</v>
      </c>
      <c r="AN634" s="1683">
        <v>45712.74</v>
      </c>
      <c r="AO634" s="1683">
        <v>45712.74</v>
      </c>
      <c r="AP634" s="1683">
        <v>42284.21</v>
      </c>
      <c r="AQ634" s="1683">
        <v>38855.699999999997</v>
      </c>
      <c r="AR634" s="1683">
        <v>3428.51</v>
      </c>
      <c r="AS634" s="1683">
        <v>3428.53</v>
      </c>
      <c r="AT634" s="1683">
        <v>0</v>
      </c>
      <c r="AU634" s="1683">
        <v>3428.53</v>
      </c>
      <c r="AV634" s="1683">
        <v>0</v>
      </c>
      <c r="AW634" s="1683">
        <v>0</v>
      </c>
      <c r="AX634" s="1400"/>
      <c r="AY634" s="1400"/>
      <c r="AZ634" s="1400"/>
      <c r="BA634" s="1682"/>
      <c r="BB634" s="1682"/>
      <c r="BC634" s="1400"/>
      <c r="BD634" s="1400"/>
      <c r="BE634" s="1683">
        <v>45712.74</v>
      </c>
      <c r="BF634" s="1683">
        <v>45712.74</v>
      </c>
      <c r="BG634" s="1683">
        <v>42284.21</v>
      </c>
      <c r="BH634" s="1683">
        <v>38855.699999999997</v>
      </c>
      <c r="BI634" s="1683">
        <v>3428.51</v>
      </c>
      <c r="BJ634" s="1683">
        <v>3428.53</v>
      </c>
      <c r="BK634" s="1683">
        <v>0</v>
      </c>
      <c r="BL634" s="1683">
        <v>3428.53</v>
      </c>
      <c r="BM634" s="1683">
        <v>0</v>
      </c>
      <c r="BN634" s="1683">
        <v>0</v>
      </c>
      <c r="BO634" s="1685">
        <v>43403</v>
      </c>
      <c r="BP634" s="1683">
        <v>45712.74</v>
      </c>
      <c r="BQ634" s="1683">
        <v>45712.74</v>
      </c>
      <c r="BR634" s="1683">
        <v>42284.21</v>
      </c>
      <c r="BS634" s="1683">
        <v>38855.699999999997</v>
      </c>
      <c r="BT634" s="1683">
        <v>3428.51</v>
      </c>
      <c r="BU634" s="1683">
        <v>3428.53</v>
      </c>
      <c r="BV634" s="1683">
        <v>0</v>
      </c>
      <c r="BW634" s="1683">
        <v>0</v>
      </c>
      <c r="BX634" s="1683">
        <v>0</v>
      </c>
      <c r="BY634" s="1683">
        <v>0</v>
      </c>
      <c r="BZ634" s="1683">
        <v>0</v>
      </c>
      <c r="CA634" s="1400"/>
      <c r="CB634" s="1682"/>
      <c r="CC634" s="1682"/>
      <c r="CD634" s="1400"/>
      <c r="CE634" s="1400"/>
      <c r="CF634" s="1683">
        <v>0</v>
      </c>
      <c r="CG634" s="1683">
        <v>0</v>
      </c>
      <c r="CH634" s="1683">
        <v>0</v>
      </c>
      <c r="CI634" s="1683">
        <v>0</v>
      </c>
      <c r="CJ634" s="1683">
        <v>0</v>
      </c>
      <c r="CK634" s="1683">
        <v>0</v>
      </c>
      <c r="CL634" s="1682"/>
      <c r="CM634" s="1683">
        <v>0</v>
      </c>
      <c r="CN634" s="1683">
        <v>0</v>
      </c>
      <c r="CO634" s="1683">
        <v>0</v>
      </c>
      <c r="CP634" s="1683">
        <v>0</v>
      </c>
      <c r="CQ634" s="1683">
        <v>0</v>
      </c>
      <c r="CR634" s="1683">
        <v>0</v>
      </c>
      <c r="CS634" s="1683">
        <v>0</v>
      </c>
      <c r="CT634" s="1683">
        <v>0</v>
      </c>
      <c r="CU634" s="1683">
        <v>0</v>
      </c>
      <c r="CV634" s="1683">
        <v>0</v>
      </c>
      <c r="CW634" s="1682"/>
      <c r="CX634" s="1400"/>
      <c r="CY634" s="1400"/>
      <c r="CZ634" s="1400"/>
      <c r="DA634" s="1400"/>
      <c r="DB634" s="1682"/>
      <c r="DC634" s="1326"/>
      <c r="DD634" s="1683">
        <v>0</v>
      </c>
      <c r="DE634" s="1400"/>
      <c r="DF634" s="1400"/>
      <c r="DG634" s="1683">
        <v>0</v>
      </c>
      <c r="DH634" s="1683">
        <v>0</v>
      </c>
    </row>
    <row r="635" spans="1:112" ht="56.25">
      <c r="A635" s="1326" t="s">
        <v>4336</v>
      </c>
      <c r="B635" s="1326" t="s">
        <v>1704</v>
      </c>
      <c r="C635" s="1326" t="s">
        <v>2580</v>
      </c>
      <c r="D635" s="1326" t="s">
        <v>2581</v>
      </c>
      <c r="E635" s="1326" t="s">
        <v>136</v>
      </c>
      <c r="F635" s="1326" t="s">
        <v>2582</v>
      </c>
      <c r="G635" s="1326" t="s">
        <v>2556</v>
      </c>
      <c r="H635" s="1326" t="s">
        <v>2541</v>
      </c>
      <c r="I635" s="1326" t="s">
        <v>804</v>
      </c>
      <c r="J635" s="1326" t="s">
        <v>231</v>
      </c>
      <c r="K635" s="1326" t="s">
        <v>2110</v>
      </c>
      <c r="L635" s="1326" t="s">
        <v>2061</v>
      </c>
      <c r="M635" s="1400"/>
      <c r="N635" s="1400"/>
      <c r="O635" s="1400"/>
      <c r="P635" s="1400"/>
      <c r="Q635" s="1400"/>
      <c r="R635" s="1400"/>
      <c r="S635" s="1400"/>
      <c r="T635" s="1400"/>
      <c r="U635" s="1400"/>
      <c r="V635" s="1400"/>
      <c r="W635" s="1400"/>
      <c r="X635" s="1400"/>
      <c r="Y635" s="1685">
        <v>43371</v>
      </c>
      <c r="Z635" s="1326" t="s">
        <v>2062</v>
      </c>
      <c r="AA635" s="1683">
        <v>0</v>
      </c>
      <c r="AB635" s="1683">
        <v>0</v>
      </c>
      <c r="AC635" s="1683">
        <v>0</v>
      </c>
      <c r="AD635" s="1685">
        <v>43404</v>
      </c>
      <c r="AE635" s="1326" t="s">
        <v>2079</v>
      </c>
      <c r="AF635" s="1326" t="s">
        <v>2067</v>
      </c>
      <c r="AG635" s="1410"/>
      <c r="AH635" s="1683">
        <v>37257.74</v>
      </c>
      <c r="AI635" s="1683">
        <v>37257.74</v>
      </c>
      <c r="AJ635" s="1683">
        <v>34463.370000000003</v>
      </c>
      <c r="AK635" s="1683">
        <v>31668.98</v>
      </c>
      <c r="AL635" s="1683">
        <v>2794.39</v>
      </c>
      <c r="AM635" s="1685">
        <v>43406</v>
      </c>
      <c r="AN635" s="1683">
        <v>37257.74</v>
      </c>
      <c r="AO635" s="1683">
        <v>37257.74</v>
      </c>
      <c r="AP635" s="1683">
        <v>34463.370000000003</v>
      </c>
      <c r="AQ635" s="1683">
        <v>31668.98</v>
      </c>
      <c r="AR635" s="1683">
        <v>2794.39</v>
      </c>
      <c r="AS635" s="1683">
        <v>2794.37</v>
      </c>
      <c r="AT635" s="1683">
        <v>0</v>
      </c>
      <c r="AU635" s="1683">
        <v>2794.37</v>
      </c>
      <c r="AV635" s="1683">
        <v>0</v>
      </c>
      <c r="AW635" s="1683">
        <v>0</v>
      </c>
      <c r="AX635" s="1400"/>
      <c r="AY635" s="1400"/>
      <c r="AZ635" s="1400"/>
      <c r="BA635" s="1682"/>
      <c r="BB635" s="1682"/>
      <c r="BC635" s="1400"/>
      <c r="BD635" s="1400"/>
      <c r="BE635" s="1683">
        <v>37257.74</v>
      </c>
      <c r="BF635" s="1683">
        <v>37257.74</v>
      </c>
      <c r="BG635" s="1683">
        <v>34463.370000000003</v>
      </c>
      <c r="BH635" s="1683">
        <v>31668.98</v>
      </c>
      <c r="BI635" s="1683">
        <v>2794.39</v>
      </c>
      <c r="BJ635" s="1683">
        <v>2794.37</v>
      </c>
      <c r="BK635" s="1683">
        <v>0</v>
      </c>
      <c r="BL635" s="1683">
        <v>2794.37</v>
      </c>
      <c r="BM635" s="1683">
        <v>0</v>
      </c>
      <c r="BN635" s="1683">
        <v>0</v>
      </c>
      <c r="BO635" s="1685">
        <v>43453</v>
      </c>
      <c r="BP635" s="1683">
        <v>37257.74</v>
      </c>
      <c r="BQ635" s="1683">
        <v>37257.74</v>
      </c>
      <c r="BR635" s="1683">
        <v>34463.370000000003</v>
      </c>
      <c r="BS635" s="1683">
        <v>31668.98</v>
      </c>
      <c r="BT635" s="1683">
        <v>2794.39</v>
      </c>
      <c r="BU635" s="1683">
        <v>2794.37</v>
      </c>
      <c r="BV635" s="1683">
        <v>0</v>
      </c>
      <c r="BW635" s="1683">
        <v>0</v>
      </c>
      <c r="BX635" s="1683">
        <v>0</v>
      </c>
      <c r="BY635" s="1683">
        <v>0</v>
      </c>
      <c r="BZ635" s="1683">
        <v>0</v>
      </c>
      <c r="CA635" s="1400"/>
      <c r="CB635" s="1682"/>
      <c r="CC635" s="1682"/>
      <c r="CD635" s="1400"/>
      <c r="CE635" s="1400"/>
      <c r="CF635" s="1683">
        <v>0</v>
      </c>
      <c r="CG635" s="1683">
        <v>0</v>
      </c>
      <c r="CH635" s="1683">
        <v>0</v>
      </c>
      <c r="CI635" s="1683">
        <v>0</v>
      </c>
      <c r="CJ635" s="1683">
        <v>0</v>
      </c>
      <c r="CK635" s="1683">
        <v>0</v>
      </c>
      <c r="CL635" s="1682"/>
      <c r="CM635" s="1683">
        <v>0</v>
      </c>
      <c r="CN635" s="1683">
        <v>0</v>
      </c>
      <c r="CO635" s="1683">
        <v>0</v>
      </c>
      <c r="CP635" s="1683">
        <v>0</v>
      </c>
      <c r="CQ635" s="1683">
        <v>0</v>
      </c>
      <c r="CR635" s="1683">
        <v>0</v>
      </c>
      <c r="CS635" s="1683">
        <v>0</v>
      </c>
      <c r="CT635" s="1683">
        <v>0</v>
      </c>
      <c r="CU635" s="1683">
        <v>0</v>
      </c>
      <c r="CV635" s="1683">
        <v>0</v>
      </c>
      <c r="CW635" s="1682"/>
      <c r="CX635" s="1400"/>
      <c r="CY635" s="1400"/>
      <c r="CZ635" s="1400"/>
      <c r="DA635" s="1400"/>
      <c r="DB635" s="1682"/>
      <c r="DC635" s="1326"/>
      <c r="DD635" s="1683">
        <v>0</v>
      </c>
      <c r="DE635" s="1400"/>
      <c r="DF635" s="1400"/>
      <c r="DG635" s="1683">
        <v>0</v>
      </c>
      <c r="DH635" s="1683">
        <v>0</v>
      </c>
    </row>
    <row r="636" spans="1:112" ht="56.25">
      <c r="A636" s="1326" t="s">
        <v>4337</v>
      </c>
      <c r="B636" s="1326" t="s">
        <v>1704</v>
      </c>
      <c r="C636" s="1326" t="s">
        <v>2580</v>
      </c>
      <c r="D636" s="1326" t="s">
        <v>2581</v>
      </c>
      <c r="E636" s="1326" t="s">
        <v>136</v>
      </c>
      <c r="F636" s="1326" t="s">
        <v>2582</v>
      </c>
      <c r="G636" s="1326" t="s">
        <v>2556</v>
      </c>
      <c r="H636" s="1326" t="s">
        <v>2541</v>
      </c>
      <c r="I636" s="1326" t="s">
        <v>804</v>
      </c>
      <c r="J636" s="1326" t="s">
        <v>231</v>
      </c>
      <c r="K636" s="1326" t="s">
        <v>2110</v>
      </c>
      <c r="L636" s="1326" t="s">
        <v>2061</v>
      </c>
      <c r="M636" s="1400"/>
      <c r="N636" s="1400"/>
      <c r="O636" s="1400"/>
      <c r="P636" s="1400"/>
      <c r="Q636" s="1400"/>
      <c r="R636" s="1400"/>
      <c r="S636" s="1400"/>
      <c r="T636" s="1400"/>
      <c r="U636" s="1400"/>
      <c r="V636" s="1400"/>
      <c r="W636" s="1400"/>
      <c r="X636" s="1400"/>
      <c r="Y636" s="1685">
        <v>43371</v>
      </c>
      <c r="Z636" s="1326" t="s">
        <v>2062</v>
      </c>
      <c r="AA636" s="1683">
        <v>10975.8</v>
      </c>
      <c r="AB636" s="1683">
        <v>10085.85</v>
      </c>
      <c r="AC636" s="1683">
        <v>889.95</v>
      </c>
      <c r="AD636" s="1685">
        <v>43404</v>
      </c>
      <c r="AE636" s="1326" t="s">
        <v>2079</v>
      </c>
      <c r="AF636" s="1326" t="s">
        <v>2064</v>
      </c>
      <c r="AG636" s="1410"/>
      <c r="AH636" s="1683">
        <v>28076.78</v>
      </c>
      <c r="AI636" s="1683">
        <v>28076.78</v>
      </c>
      <c r="AJ636" s="1683">
        <v>14995.18</v>
      </c>
      <c r="AK636" s="1683">
        <v>13779.33</v>
      </c>
      <c r="AL636" s="1683">
        <v>1215.8499999999999</v>
      </c>
      <c r="AM636" s="1685">
        <v>43404</v>
      </c>
      <c r="AN636" s="1683">
        <v>28076.78</v>
      </c>
      <c r="AO636" s="1683">
        <v>28076.78</v>
      </c>
      <c r="AP636" s="1683">
        <v>25970.98</v>
      </c>
      <c r="AQ636" s="1683">
        <v>23865.18</v>
      </c>
      <c r="AR636" s="1683">
        <v>2105.8000000000002</v>
      </c>
      <c r="AS636" s="1683">
        <v>2105.8000000000002</v>
      </c>
      <c r="AT636" s="1683">
        <v>0</v>
      </c>
      <c r="AU636" s="1683">
        <v>2105.8000000000002</v>
      </c>
      <c r="AV636" s="1683">
        <v>0</v>
      </c>
      <c r="AW636" s="1683">
        <v>0</v>
      </c>
      <c r="AX636" s="1400"/>
      <c r="AY636" s="1400"/>
      <c r="AZ636" s="1400"/>
      <c r="BA636" s="1682"/>
      <c r="BB636" s="1682"/>
      <c r="BC636" s="1400"/>
      <c r="BD636" s="1400"/>
      <c r="BE636" s="1683">
        <v>28076.78</v>
      </c>
      <c r="BF636" s="1683">
        <v>28076.78</v>
      </c>
      <c r="BG636" s="1683">
        <v>25970.98</v>
      </c>
      <c r="BH636" s="1683">
        <v>23865.18</v>
      </c>
      <c r="BI636" s="1683">
        <v>2105.8000000000002</v>
      </c>
      <c r="BJ636" s="1683">
        <v>2105.8000000000002</v>
      </c>
      <c r="BK636" s="1683">
        <v>0</v>
      </c>
      <c r="BL636" s="1683">
        <v>2105.8000000000002</v>
      </c>
      <c r="BM636" s="1683">
        <v>0</v>
      </c>
      <c r="BN636" s="1683">
        <v>0</v>
      </c>
      <c r="BO636" s="1685">
        <v>43453</v>
      </c>
      <c r="BP636" s="1683">
        <v>28076.78</v>
      </c>
      <c r="BQ636" s="1683">
        <v>28076.78</v>
      </c>
      <c r="BR636" s="1683">
        <v>25970.98</v>
      </c>
      <c r="BS636" s="1683">
        <v>23865.18</v>
      </c>
      <c r="BT636" s="1683">
        <v>2105.8000000000002</v>
      </c>
      <c r="BU636" s="1683">
        <v>2105.8000000000002</v>
      </c>
      <c r="BV636" s="1683">
        <v>0</v>
      </c>
      <c r="BW636" s="1683">
        <v>0</v>
      </c>
      <c r="BX636" s="1683">
        <v>0</v>
      </c>
      <c r="BY636" s="1683">
        <v>0</v>
      </c>
      <c r="BZ636" s="1683">
        <v>0</v>
      </c>
      <c r="CA636" s="1400"/>
      <c r="CB636" s="1682"/>
      <c r="CC636" s="1682"/>
      <c r="CD636" s="1400"/>
      <c r="CE636" s="1400"/>
      <c r="CF636" s="1683">
        <v>0</v>
      </c>
      <c r="CG636" s="1683">
        <v>0</v>
      </c>
      <c r="CH636" s="1683">
        <v>0</v>
      </c>
      <c r="CI636" s="1683">
        <v>0</v>
      </c>
      <c r="CJ636" s="1683">
        <v>0</v>
      </c>
      <c r="CK636" s="1683">
        <v>0</v>
      </c>
      <c r="CL636" s="1682"/>
      <c r="CM636" s="1683">
        <v>0</v>
      </c>
      <c r="CN636" s="1683">
        <v>0</v>
      </c>
      <c r="CO636" s="1683">
        <v>0</v>
      </c>
      <c r="CP636" s="1683">
        <v>0</v>
      </c>
      <c r="CQ636" s="1683">
        <v>0</v>
      </c>
      <c r="CR636" s="1683">
        <v>0</v>
      </c>
      <c r="CS636" s="1683">
        <v>0</v>
      </c>
      <c r="CT636" s="1683">
        <v>0</v>
      </c>
      <c r="CU636" s="1683">
        <v>0</v>
      </c>
      <c r="CV636" s="1683">
        <v>0</v>
      </c>
      <c r="CW636" s="1682"/>
      <c r="CX636" s="1400"/>
      <c r="CY636" s="1400"/>
      <c r="CZ636" s="1400"/>
      <c r="DA636" s="1400"/>
      <c r="DB636" s="1682"/>
      <c r="DC636" s="1326"/>
      <c r="DD636" s="1683">
        <v>0</v>
      </c>
      <c r="DE636" s="1400"/>
      <c r="DF636" s="1400"/>
      <c r="DG636" s="1683">
        <v>0</v>
      </c>
      <c r="DH636" s="1683">
        <v>0</v>
      </c>
    </row>
    <row r="637" spans="1:112" ht="56.25">
      <c r="A637" s="1326" t="s">
        <v>4338</v>
      </c>
      <c r="B637" s="1326" t="s">
        <v>1704</v>
      </c>
      <c r="C637" s="1326" t="s">
        <v>2580</v>
      </c>
      <c r="D637" s="1326" t="s">
        <v>2581</v>
      </c>
      <c r="E637" s="1326" t="s">
        <v>136</v>
      </c>
      <c r="F637" s="1326" t="s">
        <v>2582</v>
      </c>
      <c r="G637" s="1326" t="s">
        <v>2556</v>
      </c>
      <c r="H637" s="1326" t="s">
        <v>2541</v>
      </c>
      <c r="I637" s="1326" t="s">
        <v>804</v>
      </c>
      <c r="J637" s="1326" t="s">
        <v>231</v>
      </c>
      <c r="K637" s="1326" t="s">
        <v>2110</v>
      </c>
      <c r="L637" s="1326" t="s">
        <v>2061</v>
      </c>
      <c r="M637" s="1400"/>
      <c r="N637" s="1400"/>
      <c r="O637" s="1400"/>
      <c r="P637" s="1400"/>
      <c r="Q637" s="1400"/>
      <c r="R637" s="1400"/>
      <c r="S637" s="1400"/>
      <c r="T637" s="1400"/>
      <c r="U637" s="1400"/>
      <c r="V637" s="1400"/>
      <c r="W637" s="1400"/>
      <c r="X637" s="1400"/>
      <c r="Y637" s="1685">
        <v>43404</v>
      </c>
      <c r="Z637" s="1326" t="s">
        <v>2062</v>
      </c>
      <c r="AA637" s="1683">
        <v>16900</v>
      </c>
      <c r="AB637" s="1683">
        <v>15529.7</v>
      </c>
      <c r="AC637" s="1683">
        <v>1370.3</v>
      </c>
      <c r="AD637" s="1685">
        <v>43434</v>
      </c>
      <c r="AE637" s="1326" t="s">
        <v>2080</v>
      </c>
      <c r="AF637" s="1326" t="s">
        <v>2064</v>
      </c>
      <c r="AG637" s="1410"/>
      <c r="AH637" s="1683">
        <v>18316.990000000002</v>
      </c>
      <c r="AI637" s="1683">
        <v>18316.990000000002</v>
      </c>
      <c r="AJ637" s="1683">
        <v>43.18</v>
      </c>
      <c r="AK637" s="1683">
        <v>39.69</v>
      </c>
      <c r="AL637" s="1683">
        <v>3.49</v>
      </c>
      <c r="AM637" s="1685">
        <v>43434</v>
      </c>
      <c r="AN637" s="1683">
        <v>18316.990000000002</v>
      </c>
      <c r="AO637" s="1683">
        <v>18316.990000000002</v>
      </c>
      <c r="AP637" s="1683">
        <v>16943.18</v>
      </c>
      <c r="AQ637" s="1683">
        <v>15569.39</v>
      </c>
      <c r="AR637" s="1683">
        <v>1373.79</v>
      </c>
      <c r="AS637" s="1683">
        <v>1373.81</v>
      </c>
      <c r="AT637" s="1683">
        <v>0</v>
      </c>
      <c r="AU637" s="1683">
        <v>1373.81</v>
      </c>
      <c r="AV637" s="1683">
        <v>0</v>
      </c>
      <c r="AW637" s="1683">
        <v>0</v>
      </c>
      <c r="AX637" s="1400"/>
      <c r="AY637" s="1400"/>
      <c r="AZ637" s="1400"/>
      <c r="BA637" s="1682"/>
      <c r="BB637" s="1682"/>
      <c r="BC637" s="1400"/>
      <c r="BD637" s="1400"/>
      <c r="BE637" s="1683">
        <v>18316.990000000002</v>
      </c>
      <c r="BF637" s="1683">
        <v>18316.990000000002</v>
      </c>
      <c r="BG637" s="1683">
        <v>16943.18</v>
      </c>
      <c r="BH637" s="1683">
        <v>15569.39</v>
      </c>
      <c r="BI637" s="1683">
        <v>1373.79</v>
      </c>
      <c r="BJ637" s="1683">
        <v>1373.81</v>
      </c>
      <c r="BK637" s="1683">
        <v>0</v>
      </c>
      <c r="BL637" s="1683">
        <v>1373.81</v>
      </c>
      <c r="BM637" s="1683">
        <v>0</v>
      </c>
      <c r="BN637" s="1683">
        <v>0</v>
      </c>
      <c r="BO637" s="1685">
        <v>43453</v>
      </c>
      <c r="BP637" s="1683">
        <v>18316.990000000002</v>
      </c>
      <c r="BQ637" s="1683">
        <v>18316.990000000002</v>
      </c>
      <c r="BR637" s="1683">
        <v>16943.18</v>
      </c>
      <c r="BS637" s="1683">
        <v>15569.39</v>
      </c>
      <c r="BT637" s="1683">
        <v>1373.79</v>
      </c>
      <c r="BU637" s="1683">
        <v>1373.81</v>
      </c>
      <c r="BV637" s="1683">
        <v>0</v>
      </c>
      <c r="BW637" s="1683">
        <v>0</v>
      </c>
      <c r="BX637" s="1683">
        <v>0</v>
      </c>
      <c r="BY637" s="1683">
        <v>0</v>
      </c>
      <c r="BZ637" s="1683">
        <v>0</v>
      </c>
      <c r="CA637" s="1400"/>
      <c r="CB637" s="1682"/>
      <c r="CC637" s="1682"/>
      <c r="CD637" s="1400"/>
      <c r="CE637" s="1400"/>
      <c r="CF637" s="1683">
        <v>0</v>
      </c>
      <c r="CG637" s="1683">
        <v>0</v>
      </c>
      <c r="CH637" s="1683">
        <v>0</v>
      </c>
      <c r="CI637" s="1683">
        <v>0</v>
      </c>
      <c r="CJ637" s="1683">
        <v>0</v>
      </c>
      <c r="CK637" s="1683">
        <v>0</v>
      </c>
      <c r="CL637" s="1682"/>
      <c r="CM637" s="1683">
        <v>0</v>
      </c>
      <c r="CN637" s="1683">
        <v>0</v>
      </c>
      <c r="CO637" s="1683">
        <v>0</v>
      </c>
      <c r="CP637" s="1683">
        <v>0</v>
      </c>
      <c r="CQ637" s="1683">
        <v>0</v>
      </c>
      <c r="CR637" s="1683">
        <v>0</v>
      </c>
      <c r="CS637" s="1683">
        <v>0</v>
      </c>
      <c r="CT637" s="1683">
        <v>0</v>
      </c>
      <c r="CU637" s="1683">
        <v>0</v>
      </c>
      <c r="CV637" s="1683">
        <v>0</v>
      </c>
      <c r="CW637" s="1682"/>
      <c r="CX637" s="1400"/>
      <c r="CY637" s="1400"/>
      <c r="CZ637" s="1400"/>
      <c r="DA637" s="1400"/>
      <c r="DB637" s="1682"/>
      <c r="DC637" s="1326"/>
      <c r="DD637" s="1683">
        <v>0</v>
      </c>
      <c r="DE637" s="1400"/>
      <c r="DF637" s="1400"/>
      <c r="DG637" s="1683">
        <v>0</v>
      </c>
      <c r="DH637" s="1683">
        <v>0</v>
      </c>
    </row>
    <row r="638" spans="1:112" ht="67.5">
      <c r="A638" s="1326" t="s">
        <v>4339</v>
      </c>
      <c r="B638" s="1326" t="s">
        <v>1704</v>
      </c>
      <c r="C638" s="1326" t="s">
        <v>2580</v>
      </c>
      <c r="D638" s="1326" t="s">
        <v>2581</v>
      </c>
      <c r="E638" s="1326" t="s">
        <v>136</v>
      </c>
      <c r="F638" s="1326" t="s">
        <v>2582</v>
      </c>
      <c r="G638" s="1326" t="s">
        <v>2556</v>
      </c>
      <c r="H638" s="1326" t="s">
        <v>2541</v>
      </c>
      <c r="I638" s="1326" t="s">
        <v>807</v>
      </c>
      <c r="J638" s="1326" t="s">
        <v>186</v>
      </c>
      <c r="K638" s="1326" t="s">
        <v>2077</v>
      </c>
      <c r="L638" s="1326" t="s">
        <v>2061</v>
      </c>
      <c r="M638" s="1683">
        <v>106845.41</v>
      </c>
      <c r="N638" s="1683">
        <v>0</v>
      </c>
      <c r="O638" s="1683">
        <v>106845.41</v>
      </c>
      <c r="P638" s="1683">
        <v>106845.41</v>
      </c>
      <c r="Q638" s="1683">
        <v>98832</v>
      </c>
      <c r="R638" s="1683">
        <v>90818</v>
      </c>
      <c r="S638" s="1683">
        <v>8014</v>
      </c>
      <c r="T638" s="1683">
        <v>8013.41</v>
      </c>
      <c r="U638" s="1683">
        <v>0</v>
      </c>
      <c r="V638" s="1683">
        <v>8013.41</v>
      </c>
      <c r="W638" s="1683">
        <v>0</v>
      </c>
      <c r="X638" s="1683">
        <v>0</v>
      </c>
      <c r="Y638" s="1682"/>
      <c r="Z638" s="1326"/>
      <c r="AA638" s="1683">
        <v>0</v>
      </c>
      <c r="AB638" s="1683">
        <v>0</v>
      </c>
      <c r="AC638" s="1683">
        <v>0</v>
      </c>
      <c r="AD638" s="1682"/>
      <c r="AE638" s="1326"/>
      <c r="AF638" s="1326"/>
      <c r="AG638" s="1410"/>
      <c r="AH638" s="1683">
        <v>58998.080000000002</v>
      </c>
      <c r="AI638" s="1683">
        <v>58998.080000000002</v>
      </c>
      <c r="AJ638" s="1683">
        <v>54573.22</v>
      </c>
      <c r="AK638" s="1683">
        <v>50148.04</v>
      </c>
      <c r="AL638" s="1683">
        <v>4425.18</v>
      </c>
      <c r="AM638" s="1682"/>
      <c r="AN638" s="1683">
        <v>58998.080000000002</v>
      </c>
      <c r="AO638" s="1683">
        <v>58998.080000000002</v>
      </c>
      <c r="AP638" s="1683">
        <v>54573.22</v>
      </c>
      <c r="AQ638" s="1683">
        <v>50148.04</v>
      </c>
      <c r="AR638" s="1683">
        <v>4425.18</v>
      </c>
      <c r="AS638" s="1683">
        <v>4424.8599999999997</v>
      </c>
      <c r="AT638" s="1683">
        <v>0</v>
      </c>
      <c r="AU638" s="1683">
        <v>4424.8599999999997</v>
      </c>
      <c r="AV638" s="1683">
        <v>0</v>
      </c>
      <c r="AW638" s="1683">
        <v>0</v>
      </c>
      <c r="AX638" s="1683">
        <v>0</v>
      </c>
      <c r="AY638" s="1683">
        <v>0</v>
      </c>
      <c r="AZ638" s="1683">
        <v>0</v>
      </c>
      <c r="BA638" s="1682"/>
      <c r="BB638" s="1682"/>
      <c r="BC638" s="1683">
        <v>0</v>
      </c>
      <c r="BD638" s="1683">
        <v>0</v>
      </c>
      <c r="BE638" s="1683">
        <v>58998.080000000002</v>
      </c>
      <c r="BF638" s="1683">
        <v>58998.080000000002</v>
      </c>
      <c r="BG638" s="1683">
        <v>54573.22</v>
      </c>
      <c r="BH638" s="1683">
        <v>50148.04</v>
      </c>
      <c r="BI638" s="1683">
        <v>4425.18</v>
      </c>
      <c r="BJ638" s="1683">
        <v>4424.8599999999997</v>
      </c>
      <c r="BK638" s="1683">
        <v>0</v>
      </c>
      <c r="BL638" s="1683">
        <v>4424.8599999999997</v>
      </c>
      <c r="BM638" s="1683">
        <v>0</v>
      </c>
      <c r="BN638" s="1683">
        <v>0</v>
      </c>
      <c r="BO638" s="1682"/>
      <c r="BP638" s="1683">
        <v>58998.080000000002</v>
      </c>
      <c r="BQ638" s="1683">
        <v>58998.080000000002</v>
      </c>
      <c r="BR638" s="1683">
        <v>54573.22</v>
      </c>
      <c r="BS638" s="1683">
        <v>50148.04</v>
      </c>
      <c r="BT638" s="1683">
        <v>4425.18</v>
      </c>
      <c r="BU638" s="1683">
        <v>4424.8599999999997</v>
      </c>
      <c r="BV638" s="1683">
        <v>0</v>
      </c>
      <c r="BW638" s="1683">
        <v>0</v>
      </c>
      <c r="BX638" s="1683">
        <v>0</v>
      </c>
      <c r="BY638" s="1683">
        <v>0</v>
      </c>
      <c r="BZ638" s="1683">
        <v>0</v>
      </c>
      <c r="CA638" s="1683">
        <v>0</v>
      </c>
      <c r="CB638" s="1682"/>
      <c r="CC638" s="1682"/>
      <c r="CD638" s="1683">
        <v>0</v>
      </c>
      <c r="CE638" s="1683">
        <v>0</v>
      </c>
      <c r="CF638" s="1683">
        <v>0</v>
      </c>
      <c r="CG638" s="1683">
        <v>0</v>
      </c>
      <c r="CH638" s="1683">
        <v>0</v>
      </c>
      <c r="CI638" s="1683">
        <v>0</v>
      </c>
      <c r="CJ638" s="1683">
        <v>0</v>
      </c>
      <c r="CK638" s="1683">
        <v>0</v>
      </c>
      <c r="CL638" s="1682"/>
      <c r="CM638" s="1683">
        <v>0</v>
      </c>
      <c r="CN638" s="1683">
        <v>0</v>
      </c>
      <c r="CO638" s="1683">
        <v>0</v>
      </c>
      <c r="CP638" s="1683">
        <v>0</v>
      </c>
      <c r="CQ638" s="1683">
        <v>0</v>
      </c>
      <c r="CR638" s="1683">
        <v>0</v>
      </c>
      <c r="CS638" s="1683">
        <v>0</v>
      </c>
      <c r="CT638" s="1683">
        <v>0</v>
      </c>
      <c r="CU638" s="1683">
        <v>0</v>
      </c>
      <c r="CV638" s="1683">
        <v>0</v>
      </c>
      <c r="CW638" s="1682"/>
      <c r="CX638" s="1683">
        <v>0</v>
      </c>
      <c r="CY638" s="1683">
        <v>0</v>
      </c>
      <c r="CZ638" s="1683">
        <v>0</v>
      </c>
      <c r="DA638" s="1683">
        <v>0</v>
      </c>
      <c r="DB638" s="1682"/>
      <c r="DC638" s="1326"/>
      <c r="DD638" s="1683">
        <v>0</v>
      </c>
      <c r="DE638" s="1683">
        <v>0</v>
      </c>
      <c r="DF638" s="1683">
        <v>0</v>
      </c>
      <c r="DG638" s="1683">
        <v>0</v>
      </c>
      <c r="DH638" s="1683">
        <v>0</v>
      </c>
    </row>
    <row r="639" spans="1:112" ht="67.5">
      <c r="A639" s="1326" t="s">
        <v>4403</v>
      </c>
      <c r="B639" s="1326" t="s">
        <v>1704</v>
      </c>
      <c r="C639" s="1326" t="s">
        <v>2580</v>
      </c>
      <c r="D639" s="1326" t="s">
        <v>2581</v>
      </c>
      <c r="E639" s="1326" t="s">
        <v>136</v>
      </c>
      <c r="F639" s="1326" t="s">
        <v>2582</v>
      </c>
      <c r="G639" s="1326" t="s">
        <v>2556</v>
      </c>
      <c r="H639" s="1326" t="s">
        <v>2541</v>
      </c>
      <c r="I639" s="1326" t="s">
        <v>807</v>
      </c>
      <c r="J639" s="1326" t="s">
        <v>186</v>
      </c>
      <c r="K639" s="1326" t="s">
        <v>2077</v>
      </c>
      <c r="L639" s="1326" t="s">
        <v>2061</v>
      </c>
      <c r="M639" s="1400"/>
      <c r="N639" s="1400"/>
      <c r="O639" s="1400"/>
      <c r="P639" s="1400"/>
      <c r="Q639" s="1400"/>
      <c r="R639" s="1400"/>
      <c r="S639" s="1400"/>
      <c r="T639" s="1400"/>
      <c r="U639" s="1400"/>
      <c r="V639" s="1400"/>
      <c r="W639" s="1400"/>
      <c r="X639" s="1400"/>
      <c r="Y639" s="1685">
        <v>43290</v>
      </c>
      <c r="Z639" s="1326" t="s">
        <v>2062</v>
      </c>
      <c r="AA639" s="1683">
        <v>0</v>
      </c>
      <c r="AB639" s="1683">
        <v>0</v>
      </c>
      <c r="AC639" s="1683">
        <v>0</v>
      </c>
      <c r="AD639" s="1685">
        <v>43328</v>
      </c>
      <c r="AE639" s="1326" t="s">
        <v>2073</v>
      </c>
      <c r="AF639" s="1326" t="s">
        <v>2064</v>
      </c>
      <c r="AG639" s="1410"/>
      <c r="AH639" s="1683">
        <v>21022.23</v>
      </c>
      <c r="AI639" s="1683">
        <v>21022.23</v>
      </c>
      <c r="AJ639" s="1683">
        <v>19445.560000000001</v>
      </c>
      <c r="AK639" s="1683">
        <v>17868.78</v>
      </c>
      <c r="AL639" s="1683">
        <v>1576.78</v>
      </c>
      <c r="AM639" s="1685">
        <v>43328</v>
      </c>
      <c r="AN639" s="1683">
        <v>21022.23</v>
      </c>
      <c r="AO639" s="1683">
        <v>21022.23</v>
      </c>
      <c r="AP639" s="1683">
        <v>19445.560000000001</v>
      </c>
      <c r="AQ639" s="1683">
        <v>17868.78</v>
      </c>
      <c r="AR639" s="1683">
        <v>1576.78</v>
      </c>
      <c r="AS639" s="1683">
        <v>1576.67</v>
      </c>
      <c r="AT639" s="1683">
        <v>0</v>
      </c>
      <c r="AU639" s="1683">
        <v>1576.67</v>
      </c>
      <c r="AV639" s="1683">
        <v>0</v>
      </c>
      <c r="AW639" s="1683">
        <v>0</v>
      </c>
      <c r="AX639" s="1400"/>
      <c r="AY639" s="1400"/>
      <c r="AZ639" s="1400"/>
      <c r="BA639" s="1682"/>
      <c r="BB639" s="1682"/>
      <c r="BC639" s="1400"/>
      <c r="BD639" s="1400"/>
      <c r="BE639" s="1683">
        <v>21022.23</v>
      </c>
      <c r="BF639" s="1683">
        <v>21022.23</v>
      </c>
      <c r="BG639" s="1683">
        <v>19445.560000000001</v>
      </c>
      <c r="BH639" s="1683">
        <v>17868.78</v>
      </c>
      <c r="BI639" s="1683">
        <v>1576.78</v>
      </c>
      <c r="BJ639" s="1683">
        <v>1576.67</v>
      </c>
      <c r="BK639" s="1683">
        <v>0</v>
      </c>
      <c r="BL639" s="1683">
        <v>1576.67</v>
      </c>
      <c r="BM639" s="1683">
        <v>0</v>
      </c>
      <c r="BN639" s="1683">
        <v>0</v>
      </c>
      <c r="BO639" s="1685">
        <v>43403</v>
      </c>
      <c r="BP639" s="1683">
        <v>21022.23</v>
      </c>
      <c r="BQ639" s="1683">
        <v>21022.23</v>
      </c>
      <c r="BR639" s="1683">
        <v>19445.560000000001</v>
      </c>
      <c r="BS639" s="1683">
        <v>17868.78</v>
      </c>
      <c r="BT639" s="1683">
        <v>1576.78</v>
      </c>
      <c r="BU639" s="1683">
        <v>1576.67</v>
      </c>
      <c r="BV639" s="1683">
        <v>0</v>
      </c>
      <c r="BW639" s="1683">
        <v>0</v>
      </c>
      <c r="BX639" s="1683">
        <v>0</v>
      </c>
      <c r="BY639" s="1683">
        <v>0</v>
      </c>
      <c r="BZ639" s="1683">
        <v>0</v>
      </c>
      <c r="CA639" s="1400"/>
      <c r="CB639" s="1682"/>
      <c r="CC639" s="1682"/>
      <c r="CD639" s="1400"/>
      <c r="CE639" s="1400"/>
      <c r="CF639" s="1683">
        <v>0</v>
      </c>
      <c r="CG639" s="1683">
        <v>0</v>
      </c>
      <c r="CH639" s="1683">
        <v>0</v>
      </c>
      <c r="CI639" s="1683">
        <v>0</v>
      </c>
      <c r="CJ639" s="1683">
        <v>0</v>
      </c>
      <c r="CK639" s="1683">
        <v>0</v>
      </c>
      <c r="CL639" s="1682"/>
      <c r="CM639" s="1683">
        <v>0</v>
      </c>
      <c r="CN639" s="1683">
        <v>0</v>
      </c>
      <c r="CO639" s="1683">
        <v>0</v>
      </c>
      <c r="CP639" s="1683">
        <v>0</v>
      </c>
      <c r="CQ639" s="1683">
        <v>0</v>
      </c>
      <c r="CR639" s="1683">
        <v>0</v>
      </c>
      <c r="CS639" s="1683">
        <v>0</v>
      </c>
      <c r="CT639" s="1683">
        <v>0</v>
      </c>
      <c r="CU639" s="1683">
        <v>0</v>
      </c>
      <c r="CV639" s="1683">
        <v>0</v>
      </c>
      <c r="CW639" s="1682"/>
      <c r="CX639" s="1400"/>
      <c r="CY639" s="1400"/>
      <c r="CZ639" s="1400"/>
      <c r="DA639" s="1400"/>
      <c r="DB639" s="1682"/>
      <c r="DC639" s="1326"/>
      <c r="DD639" s="1683">
        <v>0</v>
      </c>
      <c r="DE639" s="1400"/>
      <c r="DF639" s="1400"/>
      <c r="DG639" s="1683">
        <v>0</v>
      </c>
      <c r="DH639" s="1683">
        <v>0</v>
      </c>
    </row>
    <row r="640" spans="1:112" ht="67.5">
      <c r="A640" s="1326" t="s">
        <v>4404</v>
      </c>
      <c r="B640" s="1326" t="s">
        <v>1704</v>
      </c>
      <c r="C640" s="1326" t="s">
        <v>2580</v>
      </c>
      <c r="D640" s="1326" t="s">
        <v>2581</v>
      </c>
      <c r="E640" s="1326" t="s">
        <v>136</v>
      </c>
      <c r="F640" s="1326" t="s">
        <v>2582</v>
      </c>
      <c r="G640" s="1326" t="s">
        <v>2556</v>
      </c>
      <c r="H640" s="1326" t="s">
        <v>2541</v>
      </c>
      <c r="I640" s="1326" t="s">
        <v>807</v>
      </c>
      <c r="J640" s="1326" t="s">
        <v>186</v>
      </c>
      <c r="K640" s="1326" t="s">
        <v>2077</v>
      </c>
      <c r="L640" s="1326" t="s">
        <v>2061</v>
      </c>
      <c r="M640" s="1400"/>
      <c r="N640" s="1400"/>
      <c r="O640" s="1400"/>
      <c r="P640" s="1400"/>
      <c r="Q640" s="1400"/>
      <c r="R640" s="1400"/>
      <c r="S640" s="1400"/>
      <c r="T640" s="1400"/>
      <c r="U640" s="1400"/>
      <c r="V640" s="1400"/>
      <c r="W640" s="1400"/>
      <c r="X640" s="1400"/>
      <c r="Y640" s="1685">
        <v>43383</v>
      </c>
      <c r="Z640" s="1326" t="s">
        <v>2062</v>
      </c>
      <c r="AA640" s="1683">
        <v>0</v>
      </c>
      <c r="AB640" s="1683">
        <v>0</v>
      </c>
      <c r="AC640" s="1683">
        <v>0</v>
      </c>
      <c r="AD640" s="1685">
        <v>43418</v>
      </c>
      <c r="AE640" s="1326" t="s">
        <v>2063</v>
      </c>
      <c r="AF640" s="1326" t="s">
        <v>2067</v>
      </c>
      <c r="AG640" s="1410"/>
      <c r="AH640" s="1683">
        <v>37975.85</v>
      </c>
      <c r="AI640" s="1683">
        <v>37975.85</v>
      </c>
      <c r="AJ640" s="1683">
        <v>35127.660000000003</v>
      </c>
      <c r="AK640" s="1683">
        <v>32279.26</v>
      </c>
      <c r="AL640" s="1683">
        <v>2848.4</v>
      </c>
      <c r="AM640" s="1685">
        <v>43418</v>
      </c>
      <c r="AN640" s="1683">
        <v>37975.85</v>
      </c>
      <c r="AO640" s="1683">
        <v>37975.85</v>
      </c>
      <c r="AP640" s="1683">
        <v>35127.660000000003</v>
      </c>
      <c r="AQ640" s="1683">
        <v>32279.26</v>
      </c>
      <c r="AR640" s="1683">
        <v>2848.4</v>
      </c>
      <c r="AS640" s="1683">
        <v>2848.19</v>
      </c>
      <c r="AT640" s="1683">
        <v>0</v>
      </c>
      <c r="AU640" s="1683">
        <v>2848.19</v>
      </c>
      <c r="AV640" s="1683">
        <v>0</v>
      </c>
      <c r="AW640" s="1683">
        <v>0</v>
      </c>
      <c r="AX640" s="1400"/>
      <c r="AY640" s="1400"/>
      <c r="AZ640" s="1400"/>
      <c r="BA640" s="1682"/>
      <c r="BB640" s="1682"/>
      <c r="BC640" s="1400"/>
      <c r="BD640" s="1400"/>
      <c r="BE640" s="1683">
        <v>37975.85</v>
      </c>
      <c r="BF640" s="1683">
        <v>37975.85</v>
      </c>
      <c r="BG640" s="1683">
        <v>35127.660000000003</v>
      </c>
      <c r="BH640" s="1683">
        <v>32279.26</v>
      </c>
      <c r="BI640" s="1683">
        <v>2848.4</v>
      </c>
      <c r="BJ640" s="1683">
        <v>2848.19</v>
      </c>
      <c r="BK640" s="1683">
        <v>0</v>
      </c>
      <c r="BL640" s="1683">
        <v>2848.19</v>
      </c>
      <c r="BM640" s="1683">
        <v>0</v>
      </c>
      <c r="BN640" s="1683">
        <v>0</v>
      </c>
      <c r="BO640" s="1685">
        <v>43453</v>
      </c>
      <c r="BP640" s="1683">
        <v>37975.85</v>
      </c>
      <c r="BQ640" s="1683">
        <v>37975.85</v>
      </c>
      <c r="BR640" s="1683">
        <v>35127.660000000003</v>
      </c>
      <c r="BS640" s="1683">
        <v>32279.26</v>
      </c>
      <c r="BT640" s="1683">
        <v>2848.4</v>
      </c>
      <c r="BU640" s="1683">
        <v>2848.19</v>
      </c>
      <c r="BV640" s="1683">
        <v>0</v>
      </c>
      <c r="BW640" s="1683">
        <v>0</v>
      </c>
      <c r="BX640" s="1683">
        <v>0</v>
      </c>
      <c r="BY640" s="1683">
        <v>0</v>
      </c>
      <c r="BZ640" s="1683">
        <v>0</v>
      </c>
      <c r="CA640" s="1400"/>
      <c r="CB640" s="1682"/>
      <c r="CC640" s="1682"/>
      <c r="CD640" s="1400"/>
      <c r="CE640" s="1400"/>
      <c r="CF640" s="1683">
        <v>0</v>
      </c>
      <c r="CG640" s="1683">
        <v>0</v>
      </c>
      <c r="CH640" s="1683">
        <v>0</v>
      </c>
      <c r="CI640" s="1683">
        <v>0</v>
      </c>
      <c r="CJ640" s="1683">
        <v>0</v>
      </c>
      <c r="CK640" s="1683">
        <v>0</v>
      </c>
      <c r="CL640" s="1682"/>
      <c r="CM640" s="1683">
        <v>0</v>
      </c>
      <c r="CN640" s="1683">
        <v>0</v>
      </c>
      <c r="CO640" s="1683">
        <v>0</v>
      </c>
      <c r="CP640" s="1683">
        <v>0</v>
      </c>
      <c r="CQ640" s="1683">
        <v>0</v>
      </c>
      <c r="CR640" s="1683">
        <v>0</v>
      </c>
      <c r="CS640" s="1683">
        <v>0</v>
      </c>
      <c r="CT640" s="1683">
        <v>0</v>
      </c>
      <c r="CU640" s="1683">
        <v>0</v>
      </c>
      <c r="CV640" s="1683">
        <v>0</v>
      </c>
      <c r="CW640" s="1682"/>
      <c r="CX640" s="1400"/>
      <c r="CY640" s="1400"/>
      <c r="CZ640" s="1400"/>
      <c r="DA640" s="1400"/>
      <c r="DB640" s="1682"/>
      <c r="DC640" s="1326"/>
      <c r="DD640" s="1683">
        <v>0</v>
      </c>
      <c r="DE640" s="1400"/>
      <c r="DF640" s="1400"/>
      <c r="DG640" s="1683">
        <v>0</v>
      </c>
      <c r="DH640" s="1683">
        <v>0</v>
      </c>
    </row>
    <row r="641" spans="1:112" ht="67.5">
      <c r="A641" s="1326" t="s">
        <v>4405</v>
      </c>
      <c r="B641" s="1326" t="s">
        <v>1704</v>
      </c>
      <c r="C641" s="1326" t="s">
        <v>2580</v>
      </c>
      <c r="D641" s="1326" t="s">
        <v>2581</v>
      </c>
      <c r="E641" s="1326" t="s">
        <v>136</v>
      </c>
      <c r="F641" s="1326" t="s">
        <v>2582</v>
      </c>
      <c r="G641" s="1326" t="s">
        <v>2556</v>
      </c>
      <c r="H641" s="1326" t="s">
        <v>2541</v>
      </c>
      <c r="I641" s="1326" t="s">
        <v>807</v>
      </c>
      <c r="J641" s="1326" t="s">
        <v>186</v>
      </c>
      <c r="K641" s="1326" t="s">
        <v>2077</v>
      </c>
      <c r="L641" s="1326" t="s">
        <v>2061</v>
      </c>
      <c r="M641" s="1400"/>
      <c r="N641" s="1400"/>
      <c r="O641" s="1400"/>
      <c r="P641" s="1400"/>
      <c r="Q641" s="1400"/>
      <c r="R641" s="1400"/>
      <c r="S641" s="1400"/>
      <c r="T641" s="1400"/>
      <c r="U641" s="1400"/>
      <c r="V641" s="1400"/>
      <c r="W641" s="1400"/>
      <c r="X641" s="1400"/>
      <c r="Y641" s="1685">
        <v>43473</v>
      </c>
      <c r="Z641" s="1326" t="s">
        <v>2062</v>
      </c>
      <c r="AA641" s="1683">
        <v>0</v>
      </c>
      <c r="AB641" s="1683">
        <v>0</v>
      </c>
      <c r="AC641" s="1683">
        <v>0</v>
      </c>
      <c r="AD641" s="1685">
        <v>43497</v>
      </c>
      <c r="AE641" s="1326" t="s">
        <v>2066</v>
      </c>
      <c r="AF641" s="1326" t="s">
        <v>2064</v>
      </c>
      <c r="AG641" s="1410"/>
      <c r="AH641" s="1683">
        <v>0</v>
      </c>
      <c r="AI641" s="1683">
        <v>0</v>
      </c>
      <c r="AJ641" s="1683">
        <v>0</v>
      </c>
      <c r="AK641" s="1683">
        <v>0</v>
      </c>
      <c r="AL641" s="1683">
        <v>0</v>
      </c>
      <c r="AM641" s="1682"/>
      <c r="AN641" s="1683">
        <v>0</v>
      </c>
      <c r="AO641" s="1683">
        <v>0</v>
      </c>
      <c r="AP641" s="1683">
        <v>0</v>
      </c>
      <c r="AQ641" s="1683">
        <v>0</v>
      </c>
      <c r="AR641" s="1683">
        <v>0</v>
      </c>
      <c r="AS641" s="1683">
        <v>0</v>
      </c>
      <c r="AT641" s="1683">
        <v>0</v>
      </c>
      <c r="AU641" s="1683">
        <v>0</v>
      </c>
      <c r="AV641" s="1683">
        <v>0</v>
      </c>
      <c r="AW641" s="1683">
        <v>0</v>
      </c>
      <c r="AX641" s="1400"/>
      <c r="AY641" s="1400"/>
      <c r="AZ641" s="1400"/>
      <c r="BA641" s="1682"/>
      <c r="BB641" s="1682"/>
      <c r="BC641" s="1400"/>
      <c r="BD641" s="1400"/>
      <c r="BE641" s="1683">
        <v>0</v>
      </c>
      <c r="BF641" s="1683">
        <v>0</v>
      </c>
      <c r="BG641" s="1683">
        <v>0</v>
      </c>
      <c r="BH641" s="1683">
        <v>0</v>
      </c>
      <c r="BI641" s="1683">
        <v>0</v>
      </c>
      <c r="BJ641" s="1683">
        <v>0</v>
      </c>
      <c r="BK641" s="1683">
        <v>0</v>
      </c>
      <c r="BL641" s="1683">
        <v>0</v>
      </c>
      <c r="BM641" s="1683">
        <v>0</v>
      </c>
      <c r="BN641" s="1683">
        <v>0</v>
      </c>
      <c r="BO641" s="1682"/>
      <c r="BP641" s="1683">
        <v>0</v>
      </c>
      <c r="BQ641" s="1683">
        <v>0</v>
      </c>
      <c r="BR641" s="1683">
        <v>0</v>
      </c>
      <c r="BS641" s="1683">
        <v>0</v>
      </c>
      <c r="BT641" s="1683">
        <v>0</v>
      </c>
      <c r="BU641" s="1683">
        <v>0</v>
      </c>
      <c r="BV641" s="1683">
        <v>0</v>
      </c>
      <c r="BW641" s="1683">
        <v>0</v>
      </c>
      <c r="BX641" s="1683">
        <v>0</v>
      </c>
      <c r="BY641" s="1683">
        <v>0</v>
      </c>
      <c r="BZ641" s="1400"/>
      <c r="CA641" s="1400"/>
      <c r="CB641" s="1682"/>
      <c r="CC641" s="1682"/>
      <c r="CD641" s="1400"/>
      <c r="CE641" s="1400"/>
      <c r="CF641" s="1683">
        <v>0</v>
      </c>
      <c r="CG641" s="1683">
        <v>0</v>
      </c>
      <c r="CH641" s="1683">
        <v>0</v>
      </c>
      <c r="CI641" s="1683">
        <v>0</v>
      </c>
      <c r="CJ641" s="1683">
        <v>0</v>
      </c>
      <c r="CK641" s="1683">
        <v>0</v>
      </c>
      <c r="CL641" s="1682"/>
      <c r="CM641" s="1683">
        <v>0</v>
      </c>
      <c r="CN641" s="1683">
        <v>0</v>
      </c>
      <c r="CO641" s="1683">
        <v>0</v>
      </c>
      <c r="CP641" s="1683">
        <v>0</v>
      </c>
      <c r="CQ641" s="1683">
        <v>0</v>
      </c>
      <c r="CR641" s="1683">
        <v>0</v>
      </c>
      <c r="CS641" s="1683">
        <v>0</v>
      </c>
      <c r="CT641" s="1683">
        <v>0</v>
      </c>
      <c r="CU641" s="1683">
        <v>0</v>
      </c>
      <c r="CV641" s="1683">
        <v>0</v>
      </c>
      <c r="CW641" s="1682"/>
      <c r="CX641" s="1400"/>
      <c r="CY641" s="1400"/>
      <c r="CZ641" s="1400"/>
      <c r="DA641" s="1400"/>
      <c r="DB641" s="1682"/>
      <c r="DC641" s="1326"/>
      <c r="DD641" s="1683">
        <v>0</v>
      </c>
      <c r="DE641" s="1400"/>
      <c r="DF641" s="1400"/>
      <c r="DG641" s="1683">
        <v>0</v>
      </c>
      <c r="DH641" s="1683">
        <v>0</v>
      </c>
    </row>
    <row r="642" spans="1:112">
      <c r="A642" s="1326" t="s">
        <v>4406</v>
      </c>
      <c r="B642" s="1326" t="s">
        <v>1704</v>
      </c>
      <c r="C642" s="1326" t="s">
        <v>2580</v>
      </c>
      <c r="D642" s="1326" t="s">
        <v>2581</v>
      </c>
      <c r="E642" s="1326" t="s">
        <v>2467</v>
      </c>
      <c r="F642" s="1326"/>
      <c r="G642" s="1326"/>
      <c r="H642" s="1326"/>
      <c r="I642" s="1326"/>
      <c r="J642" s="1326"/>
      <c r="K642" s="1326"/>
      <c r="L642" s="1326"/>
      <c r="M642" s="1683">
        <v>1973870.18</v>
      </c>
      <c r="N642" s="1683">
        <v>0</v>
      </c>
      <c r="O642" s="1683">
        <v>1973870.18</v>
      </c>
      <c r="P642" s="1683">
        <v>1973870.18</v>
      </c>
      <c r="Q642" s="1683">
        <v>1486007</v>
      </c>
      <c r="R642" s="1683">
        <v>1486007</v>
      </c>
      <c r="S642" s="1683">
        <v>0</v>
      </c>
      <c r="T642" s="1683">
        <v>487863.18</v>
      </c>
      <c r="U642" s="1683">
        <v>0</v>
      </c>
      <c r="V642" s="1683">
        <v>487863.18</v>
      </c>
      <c r="W642" s="1683">
        <v>0</v>
      </c>
      <c r="X642" s="1683">
        <v>0</v>
      </c>
      <c r="Y642" s="1682"/>
      <c r="Z642" s="1326"/>
      <c r="AA642" s="1683">
        <v>62900</v>
      </c>
      <c r="AB642" s="1683">
        <v>62900</v>
      </c>
      <c r="AC642" s="1683">
        <v>0</v>
      </c>
      <c r="AD642" s="1682"/>
      <c r="AE642" s="1326"/>
      <c r="AF642" s="1326"/>
      <c r="AG642" s="1410"/>
      <c r="AH642" s="1683">
        <v>790790.27</v>
      </c>
      <c r="AI642" s="1683">
        <v>1116380.3899999999</v>
      </c>
      <c r="AJ642" s="1683">
        <v>866982.06</v>
      </c>
      <c r="AK642" s="1683">
        <v>866982.06</v>
      </c>
      <c r="AL642" s="1683">
        <v>0</v>
      </c>
      <c r="AM642" s="1682"/>
      <c r="AN642" s="1683">
        <v>790790.27</v>
      </c>
      <c r="AO642" s="1683">
        <v>790790.27</v>
      </c>
      <c r="AP642" s="1683">
        <v>604291.93999999994</v>
      </c>
      <c r="AQ642" s="1683">
        <v>604291.93999999994</v>
      </c>
      <c r="AR642" s="1683">
        <v>0</v>
      </c>
      <c r="AS642" s="1683">
        <v>186498.33</v>
      </c>
      <c r="AT642" s="1683">
        <v>0</v>
      </c>
      <c r="AU642" s="1683">
        <v>186498.33</v>
      </c>
      <c r="AV642" s="1683">
        <v>0</v>
      </c>
      <c r="AW642" s="1683">
        <v>0</v>
      </c>
      <c r="AX642" s="1683">
        <v>0</v>
      </c>
      <c r="AY642" s="1683">
        <v>0</v>
      </c>
      <c r="AZ642" s="1683">
        <v>0</v>
      </c>
      <c r="BA642" s="1682"/>
      <c r="BB642" s="1682"/>
      <c r="BC642" s="1683">
        <v>0</v>
      </c>
      <c r="BD642" s="1683">
        <v>0</v>
      </c>
      <c r="BE642" s="1683">
        <v>790790.27</v>
      </c>
      <c r="BF642" s="1683">
        <v>790790.27</v>
      </c>
      <c r="BG642" s="1683">
        <v>604291.93999999994</v>
      </c>
      <c r="BH642" s="1683">
        <v>604291.93999999994</v>
      </c>
      <c r="BI642" s="1683">
        <v>0</v>
      </c>
      <c r="BJ642" s="1683">
        <v>186498.33</v>
      </c>
      <c r="BK642" s="1683">
        <v>0</v>
      </c>
      <c r="BL642" s="1683">
        <v>186498.33</v>
      </c>
      <c r="BM642" s="1683">
        <v>0</v>
      </c>
      <c r="BN642" s="1683">
        <v>0</v>
      </c>
      <c r="BO642" s="1682"/>
      <c r="BP642" s="1683">
        <v>228998.91</v>
      </c>
      <c r="BQ642" s="1683">
        <v>228998.91</v>
      </c>
      <c r="BR642" s="1683">
        <v>194477.93</v>
      </c>
      <c r="BS642" s="1683">
        <v>194477.93</v>
      </c>
      <c r="BT642" s="1683">
        <v>0</v>
      </c>
      <c r="BU642" s="1683">
        <v>34520.980000000003</v>
      </c>
      <c r="BV642" s="1683">
        <v>0</v>
      </c>
      <c r="BW642" s="1683">
        <v>3964.97</v>
      </c>
      <c r="BX642" s="1683">
        <v>0</v>
      </c>
      <c r="BY642" s="1683">
        <v>0</v>
      </c>
      <c r="BZ642" s="1683">
        <v>0</v>
      </c>
      <c r="CA642" s="1683">
        <v>0</v>
      </c>
      <c r="CB642" s="1682"/>
      <c r="CC642" s="1682"/>
      <c r="CD642" s="1683">
        <v>0</v>
      </c>
      <c r="CE642" s="1683">
        <v>0</v>
      </c>
      <c r="CF642" s="1683">
        <v>0</v>
      </c>
      <c r="CG642" s="1683">
        <v>0</v>
      </c>
      <c r="CH642" s="1683">
        <v>0</v>
      </c>
      <c r="CI642" s="1683">
        <v>0</v>
      </c>
      <c r="CJ642" s="1683">
        <v>482.36</v>
      </c>
      <c r="CK642" s="1683">
        <v>482.36</v>
      </c>
      <c r="CL642" s="1682"/>
      <c r="CM642" s="1683">
        <v>26431.98</v>
      </c>
      <c r="CN642" s="1683">
        <v>26431.98</v>
      </c>
      <c r="CO642" s="1683">
        <v>22467.01</v>
      </c>
      <c r="CP642" s="1683">
        <v>22467.01</v>
      </c>
      <c r="CQ642" s="1683">
        <v>0</v>
      </c>
      <c r="CR642" s="1683">
        <v>3964.97</v>
      </c>
      <c r="CS642" s="1683">
        <v>0</v>
      </c>
      <c r="CT642" s="1683">
        <v>3964.97</v>
      </c>
      <c r="CU642" s="1683">
        <v>0</v>
      </c>
      <c r="CV642" s="1683">
        <v>0</v>
      </c>
      <c r="CW642" s="1682"/>
      <c r="CX642" s="1683">
        <v>0</v>
      </c>
      <c r="CY642" s="1683">
        <v>0</v>
      </c>
      <c r="CZ642" s="1683">
        <v>26431.98</v>
      </c>
      <c r="DA642" s="1683">
        <v>26431.98</v>
      </c>
      <c r="DB642" s="1682"/>
      <c r="DC642" s="1326"/>
      <c r="DD642" s="1683">
        <v>0</v>
      </c>
      <c r="DE642" s="1683">
        <v>0</v>
      </c>
      <c r="DF642" s="1683">
        <v>0</v>
      </c>
      <c r="DG642" s="1683">
        <v>0</v>
      </c>
      <c r="DH642" s="1683">
        <v>0</v>
      </c>
    </row>
    <row r="643" spans="1:112" ht="56.25">
      <c r="A643" s="1326" t="s">
        <v>4407</v>
      </c>
      <c r="B643" s="1326" t="s">
        <v>1704</v>
      </c>
      <c r="C643" s="1326" t="s">
        <v>2580</v>
      </c>
      <c r="D643" s="1326" t="s">
        <v>2581</v>
      </c>
      <c r="E643" s="1326" t="s">
        <v>2467</v>
      </c>
      <c r="F643" s="1326" t="s">
        <v>2582</v>
      </c>
      <c r="G643" s="1326" t="s">
        <v>2556</v>
      </c>
      <c r="H643" s="1326" t="s">
        <v>2541</v>
      </c>
      <c r="I643" s="1326" t="s">
        <v>790</v>
      </c>
      <c r="J643" s="1326" t="s">
        <v>280</v>
      </c>
      <c r="K643" s="1326" t="s">
        <v>2469</v>
      </c>
      <c r="L643" s="1326" t="s">
        <v>2061</v>
      </c>
      <c r="M643" s="1683">
        <v>135814</v>
      </c>
      <c r="N643" s="1683">
        <v>0</v>
      </c>
      <c r="O643" s="1683">
        <v>135814</v>
      </c>
      <c r="P643" s="1683">
        <v>135814</v>
      </c>
      <c r="Q643" s="1683">
        <v>115441</v>
      </c>
      <c r="R643" s="1683">
        <v>115441</v>
      </c>
      <c r="S643" s="1683">
        <v>0</v>
      </c>
      <c r="T643" s="1683">
        <v>20373</v>
      </c>
      <c r="U643" s="1683">
        <v>0</v>
      </c>
      <c r="V643" s="1683">
        <v>20373</v>
      </c>
      <c r="W643" s="1683">
        <v>0</v>
      </c>
      <c r="X643" s="1683">
        <v>0</v>
      </c>
      <c r="Y643" s="1682"/>
      <c r="Z643" s="1326"/>
      <c r="AA643" s="1683">
        <v>22900</v>
      </c>
      <c r="AB643" s="1683">
        <v>22900</v>
      </c>
      <c r="AC643" s="1683">
        <v>0</v>
      </c>
      <c r="AD643" s="1682"/>
      <c r="AE643" s="1326"/>
      <c r="AF643" s="1326"/>
      <c r="AG643" s="1410"/>
      <c r="AH643" s="1683">
        <v>126704.2</v>
      </c>
      <c r="AI643" s="1683">
        <v>156604.20000000001</v>
      </c>
      <c r="AJ643" s="1683">
        <v>114697.73</v>
      </c>
      <c r="AK643" s="1683">
        <v>114697.73</v>
      </c>
      <c r="AL643" s="1683">
        <v>0</v>
      </c>
      <c r="AM643" s="1682"/>
      <c r="AN643" s="1683">
        <v>126704.2</v>
      </c>
      <c r="AO643" s="1683">
        <v>126704.2</v>
      </c>
      <c r="AP643" s="1683">
        <v>107697.73</v>
      </c>
      <c r="AQ643" s="1683">
        <v>107697.73</v>
      </c>
      <c r="AR643" s="1683">
        <v>0</v>
      </c>
      <c r="AS643" s="1683">
        <v>19006.47</v>
      </c>
      <c r="AT643" s="1683">
        <v>0</v>
      </c>
      <c r="AU643" s="1683">
        <v>19006.47</v>
      </c>
      <c r="AV643" s="1683">
        <v>0</v>
      </c>
      <c r="AW643" s="1683">
        <v>0</v>
      </c>
      <c r="AX643" s="1683">
        <v>0</v>
      </c>
      <c r="AY643" s="1683">
        <v>0</v>
      </c>
      <c r="AZ643" s="1683">
        <v>0</v>
      </c>
      <c r="BA643" s="1682"/>
      <c r="BB643" s="1682"/>
      <c r="BC643" s="1683">
        <v>0</v>
      </c>
      <c r="BD643" s="1683">
        <v>0</v>
      </c>
      <c r="BE643" s="1683">
        <v>126704.2</v>
      </c>
      <c r="BF643" s="1683">
        <v>126704.2</v>
      </c>
      <c r="BG643" s="1683">
        <v>107697.73</v>
      </c>
      <c r="BH643" s="1683">
        <v>107697.73</v>
      </c>
      <c r="BI643" s="1683">
        <v>0</v>
      </c>
      <c r="BJ643" s="1683">
        <v>19006.47</v>
      </c>
      <c r="BK643" s="1683">
        <v>0</v>
      </c>
      <c r="BL643" s="1683">
        <v>19006.47</v>
      </c>
      <c r="BM643" s="1683">
        <v>0</v>
      </c>
      <c r="BN643" s="1683">
        <v>0</v>
      </c>
      <c r="BO643" s="1682"/>
      <c r="BP643" s="1683">
        <v>126704.2</v>
      </c>
      <c r="BQ643" s="1683">
        <v>126704.2</v>
      </c>
      <c r="BR643" s="1683">
        <v>107697.73</v>
      </c>
      <c r="BS643" s="1683">
        <v>107697.73</v>
      </c>
      <c r="BT643" s="1683">
        <v>0</v>
      </c>
      <c r="BU643" s="1683">
        <v>19006.47</v>
      </c>
      <c r="BV643" s="1683">
        <v>0</v>
      </c>
      <c r="BW643" s="1683">
        <v>3964.97</v>
      </c>
      <c r="BX643" s="1683">
        <v>0</v>
      </c>
      <c r="BY643" s="1683">
        <v>0</v>
      </c>
      <c r="BZ643" s="1683">
        <v>0</v>
      </c>
      <c r="CA643" s="1683">
        <v>0</v>
      </c>
      <c r="CB643" s="1682"/>
      <c r="CC643" s="1682"/>
      <c r="CD643" s="1683">
        <v>0</v>
      </c>
      <c r="CE643" s="1683">
        <v>0</v>
      </c>
      <c r="CF643" s="1683">
        <v>0</v>
      </c>
      <c r="CG643" s="1683">
        <v>0</v>
      </c>
      <c r="CH643" s="1683">
        <v>0</v>
      </c>
      <c r="CI643" s="1683">
        <v>0</v>
      </c>
      <c r="CJ643" s="1683">
        <v>0</v>
      </c>
      <c r="CK643" s="1683">
        <v>0</v>
      </c>
      <c r="CL643" s="1682"/>
      <c r="CM643" s="1683">
        <v>26431.98</v>
      </c>
      <c r="CN643" s="1683">
        <v>26431.98</v>
      </c>
      <c r="CO643" s="1683">
        <v>22467.01</v>
      </c>
      <c r="CP643" s="1683">
        <v>22467.01</v>
      </c>
      <c r="CQ643" s="1683">
        <v>0</v>
      </c>
      <c r="CR643" s="1683">
        <v>3964.97</v>
      </c>
      <c r="CS643" s="1683">
        <v>0</v>
      </c>
      <c r="CT643" s="1683">
        <v>3964.97</v>
      </c>
      <c r="CU643" s="1683">
        <v>0</v>
      </c>
      <c r="CV643" s="1683">
        <v>0</v>
      </c>
      <c r="CW643" s="1682"/>
      <c r="CX643" s="1683">
        <v>0</v>
      </c>
      <c r="CY643" s="1683">
        <v>0</v>
      </c>
      <c r="CZ643" s="1683">
        <v>26431.98</v>
      </c>
      <c r="DA643" s="1683">
        <v>26431.98</v>
      </c>
      <c r="DB643" s="1682"/>
      <c r="DC643" s="1326"/>
      <c r="DD643" s="1683">
        <v>0</v>
      </c>
      <c r="DE643" s="1683">
        <v>0</v>
      </c>
      <c r="DF643" s="1683">
        <v>0</v>
      </c>
      <c r="DG643" s="1683">
        <v>0</v>
      </c>
      <c r="DH643" s="1683">
        <v>0</v>
      </c>
    </row>
    <row r="644" spans="1:112" ht="56.25">
      <c r="A644" s="1326" t="s">
        <v>4408</v>
      </c>
      <c r="B644" s="1326" t="s">
        <v>1704</v>
      </c>
      <c r="C644" s="1326" t="s">
        <v>2580</v>
      </c>
      <c r="D644" s="1326" t="s">
        <v>2581</v>
      </c>
      <c r="E644" s="1326" t="s">
        <v>2467</v>
      </c>
      <c r="F644" s="1326" t="s">
        <v>2582</v>
      </c>
      <c r="G644" s="1326" t="s">
        <v>2556</v>
      </c>
      <c r="H644" s="1326" t="s">
        <v>2541</v>
      </c>
      <c r="I644" s="1326" t="s">
        <v>790</v>
      </c>
      <c r="J644" s="1326" t="s">
        <v>280</v>
      </c>
      <c r="K644" s="1326" t="s">
        <v>2469</v>
      </c>
      <c r="L644" s="1326" t="s">
        <v>2061</v>
      </c>
      <c r="M644" s="1400"/>
      <c r="N644" s="1400"/>
      <c r="O644" s="1400"/>
      <c r="P644" s="1400"/>
      <c r="Q644" s="1400"/>
      <c r="R644" s="1400"/>
      <c r="S644" s="1400"/>
      <c r="T644" s="1400"/>
      <c r="U644" s="1400"/>
      <c r="V644" s="1400"/>
      <c r="W644" s="1400"/>
      <c r="X644" s="1400"/>
      <c r="Y644" s="1685">
        <v>43076</v>
      </c>
      <c r="Z644" s="1326" t="s">
        <v>2096</v>
      </c>
      <c r="AA644" s="1683">
        <v>0</v>
      </c>
      <c r="AB644" s="1683">
        <v>0</v>
      </c>
      <c r="AC644" s="1683">
        <v>0</v>
      </c>
      <c r="AD644" s="1685">
        <v>43130</v>
      </c>
      <c r="AE644" s="1326" t="s">
        <v>2073</v>
      </c>
      <c r="AF644" s="1326" t="s">
        <v>2064</v>
      </c>
      <c r="AG644" s="1410"/>
      <c r="AH644" s="1683">
        <v>0</v>
      </c>
      <c r="AI644" s="1683">
        <v>29900</v>
      </c>
      <c r="AJ644" s="1683">
        <v>29900</v>
      </c>
      <c r="AK644" s="1683">
        <v>29900</v>
      </c>
      <c r="AL644" s="1683">
        <v>0</v>
      </c>
      <c r="AM644" s="1682"/>
      <c r="AN644" s="1683">
        <v>0</v>
      </c>
      <c r="AO644" s="1683">
        <v>0</v>
      </c>
      <c r="AP644" s="1683">
        <v>0</v>
      </c>
      <c r="AQ644" s="1683">
        <v>0</v>
      </c>
      <c r="AR644" s="1683">
        <v>0</v>
      </c>
      <c r="AS644" s="1683">
        <v>0</v>
      </c>
      <c r="AT644" s="1683">
        <v>0</v>
      </c>
      <c r="AU644" s="1683">
        <v>0</v>
      </c>
      <c r="AV644" s="1683">
        <v>0</v>
      </c>
      <c r="AW644" s="1683">
        <v>0</v>
      </c>
      <c r="AX644" s="1400"/>
      <c r="AY644" s="1400"/>
      <c r="AZ644" s="1400"/>
      <c r="BA644" s="1682"/>
      <c r="BB644" s="1682"/>
      <c r="BC644" s="1400"/>
      <c r="BD644" s="1400"/>
      <c r="BE644" s="1683">
        <v>0</v>
      </c>
      <c r="BF644" s="1683">
        <v>0</v>
      </c>
      <c r="BG644" s="1683">
        <v>0</v>
      </c>
      <c r="BH644" s="1683">
        <v>0</v>
      </c>
      <c r="BI644" s="1683">
        <v>0</v>
      </c>
      <c r="BJ644" s="1683">
        <v>0</v>
      </c>
      <c r="BK644" s="1683">
        <v>0</v>
      </c>
      <c r="BL644" s="1683">
        <v>0</v>
      </c>
      <c r="BM644" s="1683">
        <v>0</v>
      </c>
      <c r="BN644" s="1683">
        <v>0</v>
      </c>
      <c r="BO644" s="1682"/>
      <c r="BP644" s="1683">
        <v>0</v>
      </c>
      <c r="BQ644" s="1683">
        <v>0</v>
      </c>
      <c r="BR644" s="1683">
        <v>0</v>
      </c>
      <c r="BS644" s="1683">
        <v>0</v>
      </c>
      <c r="BT644" s="1683">
        <v>0</v>
      </c>
      <c r="BU644" s="1683">
        <v>0</v>
      </c>
      <c r="BV644" s="1683">
        <v>0</v>
      </c>
      <c r="BW644" s="1683">
        <v>0</v>
      </c>
      <c r="BX644" s="1683">
        <v>0</v>
      </c>
      <c r="BY644" s="1683">
        <v>0</v>
      </c>
      <c r="BZ644" s="1400"/>
      <c r="CA644" s="1400"/>
      <c r="CB644" s="1682"/>
      <c r="CC644" s="1682"/>
      <c r="CD644" s="1400"/>
      <c r="CE644" s="1400"/>
      <c r="CF644" s="1683">
        <v>0</v>
      </c>
      <c r="CG644" s="1683">
        <v>0</v>
      </c>
      <c r="CH644" s="1683">
        <v>0</v>
      </c>
      <c r="CI644" s="1683">
        <v>0</v>
      </c>
      <c r="CJ644" s="1683">
        <v>0</v>
      </c>
      <c r="CK644" s="1683">
        <v>0</v>
      </c>
      <c r="CL644" s="1682"/>
      <c r="CM644" s="1683">
        <v>0</v>
      </c>
      <c r="CN644" s="1683">
        <v>0</v>
      </c>
      <c r="CO644" s="1683">
        <v>0</v>
      </c>
      <c r="CP644" s="1683">
        <v>0</v>
      </c>
      <c r="CQ644" s="1683">
        <v>0</v>
      </c>
      <c r="CR644" s="1683">
        <v>0</v>
      </c>
      <c r="CS644" s="1683">
        <v>0</v>
      </c>
      <c r="CT644" s="1683">
        <v>0</v>
      </c>
      <c r="CU644" s="1683">
        <v>0</v>
      </c>
      <c r="CV644" s="1683">
        <v>0</v>
      </c>
      <c r="CW644" s="1682"/>
      <c r="CX644" s="1400"/>
      <c r="CY644" s="1400"/>
      <c r="CZ644" s="1400"/>
      <c r="DA644" s="1400"/>
      <c r="DB644" s="1682"/>
      <c r="DC644" s="1326"/>
      <c r="DD644" s="1683">
        <v>0</v>
      </c>
      <c r="DE644" s="1400"/>
      <c r="DF644" s="1400"/>
      <c r="DG644" s="1683">
        <v>0</v>
      </c>
      <c r="DH644" s="1683">
        <v>0</v>
      </c>
    </row>
    <row r="645" spans="1:112" ht="56.25">
      <c r="A645" s="1326" t="s">
        <v>4409</v>
      </c>
      <c r="B645" s="1326" t="s">
        <v>1704</v>
      </c>
      <c r="C645" s="1326" t="s">
        <v>2580</v>
      </c>
      <c r="D645" s="1326" t="s">
        <v>2581</v>
      </c>
      <c r="E645" s="1326" t="s">
        <v>2467</v>
      </c>
      <c r="F645" s="1326" t="s">
        <v>2582</v>
      </c>
      <c r="G645" s="1326" t="s">
        <v>2556</v>
      </c>
      <c r="H645" s="1326" t="s">
        <v>2541</v>
      </c>
      <c r="I645" s="1326" t="s">
        <v>790</v>
      </c>
      <c r="J645" s="1326" t="s">
        <v>280</v>
      </c>
      <c r="K645" s="1326" t="s">
        <v>2469</v>
      </c>
      <c r="L645" s="1326" t="s">
        <v>2061</v>
      </c>
      <c r="M645" s="1400"/>
      <c r="N645" s="1400"/>
      <c r="O645" s="1400"/>
      <c r="P645" s="1400"/>
      <c r="Q645" s="1400"/>
      <c r="R645" s="1400"/>
      <c r="S645" s="1400"/>
      <c r="T645" s="1400"/>
      <c r="U645" s="1400"/>
      <c r="V645" s="1400"/>
      <c r="W645" s="1400"/>
      <c r="X645" s="1400"/>
      <c r="Y645" s="1685">
        <v>43098</v>
      </c>
      <c r="Z645" s="1326" t="s">
        <v>2062</v>
      </c>
      <c r="AA645" s="1683">
        <v>0</v>
      </c>
      <c r="AB645" s="1683">
        <v>0</v>
      </c>
      <c r="AC645" s="1683">
        <v>0</v>
      </c>
      <c r="AD645" s="1685">
        <v>43129</v>
      </c>
      <c r="AE645" s="1326" t="s">
        <v>2063</v>
      </c>
      <c r="AF645" s="1326" t="s">
        <v>2064</v>
      </c>
      <c r="AG645" s="1410"/>
      <c r="AH645" s="1683">
        <v>26431.98</v>
      </c>
      <c r="AI645" s="1683">
        <v>26431.98</v>
      </c>
      <c r="AJ645" s="1683">
        <v>22467.01</v>
      </c>
      <c r="AK645" s="1683">
        <v>22467.01</v>
      </c>
      <c r="AL645" s="1683">
        <v>0</v>
      </c>
      <c r="AM645" s="1685">
        <v>43129</v>
      </c>
      <c r="AN645" s="1683">
        <v>26431.98</v>
      </c>
      <c r="AO645" s="1683">
        <v>26431.98</v>
      </c>
      <c r="AP645" s="1683">
        <v>22467.01</v>
      </c>
      <c r="AQ645" s="1683">
        <v>22467.01</v>
      </c>
      <c r="AR645" s="1683">
        <v>0</v>
      </c>
      <c r="AS645" s="1683">
        <v>3964.97</v>
      </c>
      <c r="AT645" s="1683">
        <v>0</v>
      </c>
      <c r="AU645" s="1683">
        <v>3964.97</v>
      </c>
      <c r="AV645" s="1683">
        <v>0</v>
      </c>
      <c r="AW645" s="1683">
        <v>0</v>
      </c>
      <c r="AX645" s="1400"/>
      <c r="AY645" s="1400"/>
      <c r="AZ645" s="1400"/>
      <c r="BA645" s="1682"/>
      <c r="BB645" s="1682"/>
      <c r="BC645" s="1400"/>
      <c r="BD645" s="1400"/>
      <c r="BE645" s="1683">
        <v>26431.98</v>
      </c>
      <c r="BF645" s="1683">
        <v>26431.98</v>
      </c>
      <c r="BG645" s="1683">
        <v>22467.01</v>
      </c>
      <c r="BH645" s="1683">
        <v>22467.01</v>
      </c>
      <c r="BI645" s="1683">
        <v>0</v>
      </c>
      <c r="BJ645" s="1683">
        <v>3964.97</v>
      </c>
      <c r="BK645" s="1683">
        <v>0</v>
      </c>
      <c r="BL645" s="1683">
        <v>3964.97</v>
      </c>
      <c r="BM645" s="1683">
        <v>0</v>
      </c>
      <c r="BN645" s="1683">
        <v>0</v>
      </c>
      <c r="BO645" s="1685">
        <v>43206</v>
      </c>
      <c r="BP645" s="1683">
        <v>26431.98</v>
      </c>
      <c r="BQ645" s="1683">
        <v>26431.98</v>
      </c>
      <c r="BR645" s="1683">
        <v>22467.01</v>
      </c>
      <c r="BS645" s="1683">
        <v>22467.01</v>
      </c>
      <c r="BT645" s="1683">
        <v>0</v>
      </c>
      <c r="BU645" s="1683">
        <v>3964.97</v>
      </c>
      <c r="BV645" s="1683">
        <v>0</v>
      </c>
      <c r="BW645" s="1683">
        <v>3964.97</v>
      </c>
      <c r="BX645" s="1683">
        <v>0</v>
      </c>
      <c r="BY645" s="1683">
        <v>0</v>
      </c>
      <c r="BZ645" s="1683">
        <v>0</v>
      </c>
      <c r="CA645" s="1400"/>
      <c r="CB645" s="1682"/>
      <c r="CC645" s="1682"/>
      <c r="CD645" s="1400"/>
      <c r="CE645" s="1400"/>
      <c r="CF645" s="1683">
        <v>0</v>
      </c>
      <c r="CG645" s="1683">
        <v>0</v>
      </c>
      <c r="CH645" s="1683">
        <v>0</v>
      </c>
      <c r="CI645" s="1683">
        <v>0</v>
      </c>
      <c r="CJ645" s="1683">
        <v>0</v>
      </c>
      <c r="CK645" s="1683">
        <v>0</v>
      </c>
      <c r="CL645" s="1685">
        <v>43511</v>
      </c>
      <c r="CM645" s="1683">
        <v>26431.98</v>
      </c>
      <c r="CN645" s="1683">
        <v>26431.98</v>
      </c>
      <c r="CO645" s="1683">
        <v>22467.01</v>
      </c>
      <c r="CP645" s="1683">
        <v>22467.01</v>
      </c>
      <c r="CQ645" s="1683">
        <v>0</v>
      </c>
      <c r="CR645" s="1683">
        <v>3964.97</v>
      </c>
      <c r="CS645" s="1683">
        <v>0</v>
      </c>
      <c r="CT645" s="1683">
        <v>3964.97</v>
      </c>
      <c r="CU645" s="1683">
        <v>0</v>
      </c>
      <c r="CV645" s="1683">
        <v>0</v>
      </c>
      <c r="CW645" s="1682"/>
      <c r="CX645" s="1400"/>
      <c r="CY645" s="1400"/>
      <c r="CZ645" s="1400"/>
      <c r="DA645" s="1400"/>
      <c r="DB645" s="1682"/>
      <c r="DC645" s="1326"/>
      <c r="DD645" s="1683">
        <v>0</v>
      </c>
      <c r="DE645" s="1400"/>
      <c r="DF645" s="1400"/>
      <c r="DG645" s="1683">
        <v>0</v>
      </c>
      <c r="DH645" s="1683">
        <v>0</v>
      </c>
    </row>
    <row r="646" spans="1:112" ht="56.25">
      <c r="A646" s="1326" t="s">
        <v>4410</v>
      </c>
      <c r="B646" s="1326" t="s">
        <v>1704</v>
      </c>
      <c r="C646" s="1326" t="s">
        <v>2580</v>
      </c>
      <c r="D646" s="1326" t="s">
        <v>2581</v>
      </c>
      <c r="E646" s="1326" t="s">
        <v>2467</v>
      </c>
      <c r="F646" s="1326" t="s">
        <v>2582</v>
      </c>
      <c r="G646" s="1326" t="s">
        <v>2556</v>
      </c>
      <c r="H646" s="1326" t="s">
        <v>2541</v>
      </c>
      <c r="I646" s="1326" t="s">
        <v>790</v>
      </c>
      <c r="J646" s="1326" t="s">
        <v>280</v>
      </c>
      <c r="K646" s="1326" t="s">
        <v>2469</v>
      </c>
      <c r="L646" s="1326" t="s">
        <v>2061</v>
      </c>
      <c r="M646" s="1400"/>
      <c r="N646" s="1400"/>
      <c r="O646" s="1400"/>
      <c r="P646" s="1400"/>
      <c r="Q646" s="1400"/>
      <c r="R646" s="1400"/>
      <c r="S646" s="1400"/>
      <c r="T646" s="1400"/>
      <c r="U646" s="1400"/>
      <c r="V646" s="1400"/>
      <c r="W646" s="1400"/>
      <c r="X646" s="1400"/>
      <c r="Y646" s="1685">
        <v>43369</v>
      </c>
      <c r="Z646" s="1326" t="s">
        <v>2062</v>
      </c>
      <c r="AA646" s="1683">
        <v>0</v>
      </c>
      <c r="AB646" s="1683">
        <v>0</v>
      </c>
      <c r="AC646" s="1683">
        <v>0</v>
      </c>
      <c r="AD646" s="1685">
        <v>43383</v>
      </c>
      <c r="AE646" s="1326" t="s">
        <v>2080</v>
      </c>
      <c r="AF646" s="1326" t="s">
        <v>2064</v>
      </c>
      <c r="AG646" s="1410"/>
      <c r="AH646" s="1683">
        <v>23521.82</v>
      </c>
      <c r="AI646" s="1683">
        <v>23521.82</v>
      </c>
      <c r="AJ646" s="1683">
        <v>19993.39</v>
      </c>
      <c r="AK646" s="1683">
        <v>19993.39</v>
      </c>
      <c r="AL646" s="1683">
        <v>0</v>
      </c>
      <c r="AM646" s="1685">
        <v>43383</v>
      </c>
      <c r="AN646" s="1683">
        <v>23521.82</v>
      </c>
      <c r="AO646" s="1683">
        <v>23521.82</v>
      </c>
      <c r="AP646" s="1683">
        <v>19993.39</v>
      </c>
      <c r="AQ646" s="1683">
        <v>19993.39</v>
      </c>
      <c r="AR646" s="1683">
        <v>0</v>
      </c>
      <c r="AS646" s="1683">
        <v>3528.43</v>
      </c>
      <c r="AT646" s="1683">
        <v>0</v>
      </c>
      <c r="AU646" s="1683">
        <v>3528.43</v>
      </c>
      <c r="AV646" s="1683">
        <v>0</v>
      </c>
      <c r="AW646" s="1683">
        <v>0</v>
      </c>
      <c r="AX646" s="1400"/>
      <c r="AY646" s="1400"/>
      <c r="AZ646" s="1400"/>
      <c r="BA646" s="1682"/>
      <c r="BB646" s="1682"/>
      <c r="BC646" s="1400"/>
      <c r="BD646" s="1400"/>
      <c r="BE646" s="1683">
        <v>23521.82</v>
      </c>
      <c r="BF646" s="1683">
        <v>23521.82</v>
      </c>
      <c r="BG646" s="1683">
        <v>19993.39</v>
      </c>
      <c r="BH646" s="1683">
        <v>19993.39</v>
      </c>
      <c r="BI646" s="1683">
        <v>0</v>
      </c>
      <c r="BJ646" s="1683">
        <v>3528.43</v>
      </c>
      <c r="BK646" s="1683">
        <v>0</v>
      </c>
      <c r="BL646" s="1683">
        <v>3528.43</v>
      </c>
      <c r="BM646" s="1683">
        <v>0</v>
      </c>
      <c r="BN646" s="1683">
        <v>0</v>
      </c>
      <c r="BO646" s="1685">
        <v>43453</v>
      </c>
      <c r="BP646" s="1683">
        <v>23521.82</v>
      </c>
      <c r="BQ646" s="1683">
        <v>23521.82</v>
      </c>
      <c r="BR646" s="1683">
        <v>19993.39</v>
      </c>
      <c r="BS646" s="1683">
        <v>19993.39</v>
      </c>
      <c r="BT646" s="1683">
        <v>0</v>
      </c>
      <c r="BU646" s="1683">
        <v>3528.43</v>
      </c>
      <c r="BV646" s="1683">
        <v>0</v>
      </c>
      <c r="BW646" s="1683">
        <v>0</v>
      </c>
      <c r="BX646" s="1683">
        <v>0</v>
      </c>
      <c r="BY646" s="1683">
        <v>0</v>
      </c>
      <c r="BZ646" s="1683">
        <v>0</v>
      </c>
      <c r="CA646" s="1400"/>
      <c r="CB646" s="1682"/>
      <c r="CC646" s="1682"/>
      <c r="CD646" s="1400"/>
      <c r="CE646" s="1400"/>
      <c r="CF646" s="1683">
        <v>0</v>
      </c>
      <c r="CG646" s="1683">
        <v>0</v>
      </c>
      <c r="CH646" s="1683">
        <v>0</v>
      </c>
      <c r="CI646" s="1683">
        <v>0</v>
      </c>
      <c r="CJ646" s="1683">
        <v>0</v>
      </c>
      <c r="CK646" s="1683">
        <v>0</v>
      </c>
      <c r="CL646" s="1682"/>
      <c r="CM646" s="1683">
        <v>0</v>
      </c>
      <c r="CN646" s="1683">
        <v>0</v>
      </c>
      <c r="CO646" s="1683">
        <v>0</v>
      </c>
      <c r="CP646" s="1683">
        <v>0</v>
      </c>
      <c r="CQ646" s="1683">
        <v>0</v>
      </c>
      <c r="CR646" s="1683">
        <v>0</v>
      </c>
      <c r="CS646" s="1683">
        <v>0</v>
      </c>
      <c r="CT646" s="1683">
        <v>0</v>
      </c>
      <c r="CU646" s="1683">
        <v>0</v>
      </c>
      <c r="CV646" s="1683">
        <v>0</v>
      </c>
      <c r="CW646" s="1682"/>
      <c r="CX646" s="1400"/>
      <c r="CY646" s="1400"/>
      <c r="CZ646" s="1400"/>
      <c r="DA646" s="1400"/>
      <c r="DB646" s="1682"/>
      <c r="DC646" s="1326"/>
      <c r="DD646" s="1683">
        <v>0</v>
      </c>
      <c r="DE646" s="1400"/>
      <c r="DF646" s="1400"/>
      <c r="DG646" s="1683">
        <v>0</v>
      </c>
      <c r="DH646" s="1683">
        <v>0</v>
      </c>
    </row>
    <row r="647" spans="1:112" ht="56.25">
      <c r="A647" s="1326" t="s">
        <v>4411</v>
      </c>
      <c r="B647" s="1326" t="s">
        <v>1704</v>
      </c>
      <c r="C647" s="1326" t="s">
        <v>2580</v>
      </c>
      <c r="D647" s="1326" t="s">
        <v>2581</v>
      </c>
      <c r="E647" s="1326" t="s">
        <v>2467</v>
      </c>
      <c r="F647" s="1326" t="s">
        <v>2582</v>
      </c>
      <c r="G647" s="1326" t="s">
        <v>2556</v>
      </c>
      <c r="H647" s="1326" t="s">
        <v>2541</v>
      </c>
      <c r="I647" s="1326" t="s">
        <v>790</v>
      </c>
      <c r="J647" s="1326" t="s">
        <v>280</v>
      </c>
      <c r="K647" s="1326" t="s">
        <v>2469</v>
      </c>
      <c r="L647" s="1326" t="s">
        <v>2061</v>
      </c>
      <c r="M647" s="1400"/>
      <c r="N647" s="1400"/>
      <c r="O647" s="1400"/>
      <c r="P647" s="1400"/>
      <c r="Q647" s="1400"/>
      <c r="R647" s="1400"/>
      <c r="S647" s="1400"/>
      <c r="T647" s="1400"/>
      <c r="U647" s="1400"/>
      <c r="V647" s="1400"/>
      <c r="W647" s="1400"/>
      <c r="X647" s="1400"/>
      <c r="Y647" s="1685">
        <v>43376</v>
      </c>
      <c r="Z647" s="1326" t="s">
        <v>2062</v>
      </c>
      <c r="AA647" s="1683">
        <v>0</v>
      </c>
      <c r="AB647" s="1683">
        <v>0</v>
      </c>
      <c r="AC647" s="1683">
        <v>0</v>
      </c>
      <c r="AD647" s="1685">
        <v>43388</v>
      </c>
      <c r="AE647" s="1326" t="s">
        <v>2081</v>
      </c>
      <c r="AF647" s="1326" t="s">
        <v>2064</v>
      </c>
      <c r="AG647" s="1410"/>
      <c r="AH647" s="1683">
        <v>36155.800000000003</v>
      </c>
      <c r="AI647" s="1683">
        <v>36155.800000000003</v>
      </c>
      <c r="AJ647" s="1683">
        <v>30732.19</v>
      </c>
      <c r="AK647" s="1683">
        <v>30732.19</v>
      </c>
      <c r="AL647" s="1683">
        <v>0</v>
      </c>
      <c r="AM647" s="1685">
        <v>43388</v>
      </c>
      <c r="AN647" s="1683">
        <v>36155.800000000003</v>
      </c>
      <c r="AO647" s="1683">
        <v>36155.800000000003</v>
      </c>
      <c r="AP647" s="1683">
        <v>30732.19</v>
      </c>
      <c r="AQ647" s="1683">
        <v>30732.19</v>
      </c>
      <c r="AR647" s="1683">
        <v>0</v>
      </c>
      <c r="AS647" s="1683">
        <v>5423.61</v>
      </c>
      <c r="AT647" s="1683">
        <v>0</v>
      </c>
      <c r="AU647" s="1683">
        <v>5423.61</v>
      </c>
      <c r="AV647" s="1683">
        <v>0</v>
      </c>
      <c r="AW647" s="1683">
        <v>0</v>
      </c>
      <c r="AX647" s="1400"/>
      <c r="AY647" s="1400"/>
      <c r="AZ647" s="1400"/>
      <c r="BA647" s="1682"/>
      <c r="BB647" s="1682"/>
      <c r="BC647" s="1400"/>
      <c r="BD647" s="1400"/>
      <c r="BE647" s="1683">
        <v>36155.800000000003</v>
      </c>
      <c r="BF647" s="1683">
        <v>36155.800000000003</v>
      </c>
      <c r="BG647" s="1683">
        <v>30732.19</v>
      </c>
      <c r="BH647" s="1683">
        <v>30732.19</v>
      </c>
      <c r="BI647" s="1683">
        <v>0</v>
      </c>
      <c r="BJ647" s="1683">
        <v>5423.61</v>
      </c>
      <c r="BK647" s="1683">
        <v>0</v>
      </c>
      <c r="BL647" s="1683">
        <v>5423.61</v>
      </c>
      <c r="BM647" s="1683">
        <v>0</v>
      </c>
      <c r="BN647" s="1683">
        <v>0</v>
      </c>
      <c r="BO647" s="1685">
        <v>43453</v>
      </c>
      <c r="BP647" s="1683">
        <v>36155.800000000003</v>
      </c>
      <c r="BQ647" s="1683">
        <v>36155.800000000003</v>
      </c>
      <c r="BR647" s="1683">
        <v>30732.19</v>
      </c>
      <c r="BS647" s="1683">
        <v>30732.19</v>
      </c>
      <c r="BT647" s="1683">
        <v>0</v>
      </c>
      <c r="BU647" s="1683">
        <v>5423.61</v>
      </c>
      <c r="BV647" s="1683">
        <v>0</v>
      </c>
      <c r="BW647" s="1683">
        <v>0</v>
      </c>
      <c r="BX647" s="1683">
        <v>0</v>
      </c>
      <c r="BY647" s="1683">
        <v>0</v>
      </c>
      <c r="BZ647" s="1683">
        <v>0</v>
      </c>
      <c r="CA647" s="1400"/>
      <c r="CB647" s="1682"/>
      <c r="CC647" s="1682"/>
      <c r="CD647" s="1400"/>
      <c r="CE647" s="1400"/>
      <c r="CF647" s="1683">
        <v>0</v>
      </c>
      <c r="CG647" s="1683">
        <v>0</v>
      </c>
      <c r="CH647" s="1683">
        <v>0</v>
      </c>
      <c r="CI647" s="1683">
        <v>0</v>
      </c>
      <c r="CJ647" s="1683">
        <v>0</v>
      </c>
      <c r="CK647" s="1683">
        <v>0</v>
      </c>
      <c r="CL647" s="1682"/>
      <c r="CM647" s="1683">
        <v>0</v>
      </c>
      <c r="CN647" s="1683">
        <v>0</v>
      </c>
      <c r="CO647" s="1683">
        <v>0</v>
      </c>
      <c r="CP647" s="1683">
        <v>0</v>
      </c>
      <c r="CQ647" s="1683">
        <v>0</v>
      </c>
      <c r="CR647" s="1683">
        <v>0</v>
      </c>
      <c r="CS647" s="1683">
        <v>0</v>
      </c>
      <c r="CT647" s="1683">
        <v>0</v>
      </c>
      <c r="CU647" s="1683">
        <v>0</v>
      </c>
      <c r="CV647" s="1683">
        <v>0</v>
      </c>
      <c r="CW647" s="1682"/>
      <c r="CX647" s="1400"/>
      <c r="CY647" s="1400"/>
      <c r="CZ647" s="1400"/>
      <c r="DA647" s="1400"/>
      <c r="DB647" s="1682"/>
      <c r="DC647" s="1326"/>
      <c r="DD647" s="1683">
        <v>0</v>
      </c>
      <c r="DE647" s="1400"/>
      <c r="DF647" s="1400"/>
      <c r="DG647" s="1683">
        <v>0</v>
      </c>
      <c r="DH647" s="1683">
        <v>0</v>
      </c>
    </row>
    <row r="648" spans="1:112" ht="56.25">
      <c r="A648" s="1326" t="s">
        <v>4412</v>
      </c>
      <c r="B648" s="1326" t="s">
        <v>1704</v>
      </c>
      <c r="C648" s="1326" t="s">
        <v>2580</v>
      </c>
      <c r="D648" s="1326" t="s">
        <v>2581</v>
      </c>
      <c r="E648" s="1326" t="s">
        <v>2467</v>
      </c>
      <c r="F648" s="1326" t="s">
        <v>2582</v>
      </c>
      <c r="G648" s="1326" t="s">
        <v>2556</v>
      </c>
      <c r="H648" s="1326" t="s">
        <v>2541</v>
      </c>
      <c r="I648" s="1326" t="s">
        <v>790</v>
      </c>
      <c r="J648" s="1326" t="s">
        <v>280</v>
      </c>
      <c r="K648" s="1326" t="s">
        <v>2469</v>
      </c>
      <c r="L648" s="1326" t="s">
        <v>2061</v>
      </c>
      <c r="M648" s="1400"/>
      <c r="N648" s="1400"/>
      <c r="O648" s="1400"/>
      <c r="P648" s="1400"/>
      <c r="Q648" s="1400"/>
      <c r="R648" s="1400"/>
      <c r="S648" s="1400"/>
      <c r="T648" s="1400"/>
      <c r="U648" s="1400"/>
      <c r="V648" s="1400"/>
      <c r="W648" s="1400"/>
      <c r="X648" s="1400"/>
      <c r="Y648" s="1685">
        <v>43392</v>
      </c>
      <c r="Z648" s="1326" t="s">
        <v>2062</v>
      </c>
      <c r="AA648" s="1683">
        <v>22900</v>
      </c>
      <c r="AB648" s="1683">
        <v>22900</v>
      </c>
      <c r="AC648" s="1683">
        <v>0</v>
      </c>
      <c r="AD648" s="1685">
        <v>43420</v>
      </c>
      <c r="AE648" s="1326" t="s">
        <v>2088</v>
      </c>
      <c r="AF648" s="1326" t="s">
        <v>2064</v>
      </c>
      <c r="AG648" s="1410"/>
      <c r="AH648" s="1683">
        <v>40594.6</v>
      </c>
      <c r="AI648" s="1683">
        <v>40594.6</v>
      </c>
      <c r="AJ648" s="1683">
        <v>11605.14</v>
      </c>
      <c r="AK648" s="1683">
        <v>11605.14</v>
      </c>
      <c r="AL648" s="1683">
        <v>0</v>
      </c>
      <c r="AM648" s="1685">
        <v>43420</v>
      </c>
      <c r="AN648" s="1683">
        <v>40594.6</v>
      </c>
      <c r="AO648" s="1683">
        <v>40594.6</v>
      </c>
      <c r="AP648" s="1683">
        <v>34505.14</v>
      </c>
      <c r="AQ648" s="1683">
        <v>34505.14</v>
      </c>
      <c r="AR648" s="1683">
        <v>0</v>
      </c>
      <c r="AS648" s="1683">
        <v>6089.46</v>
      </c>
      <c r="AT648" s="1683">
        <v>0</v>
      </c>
      <c r="AU648" s="1683">
        <v>6089.46</v>
      </c>
      <c r="AV648" s="1683">
        <v>0</v>
      </c>
      <c r="AW648" s="1683">
        <v>0</v>
      </c>
      <c r="AX648" s="1400"/>
      <c r="AY648" s="1400"/>
      <c r="AZ648" s="1400"/>
      <c r="BA648" s="1682"/>
      <c r="BB648" s="1682"/>
      <c r="BC648" s="1400"/>
      <c r="BD648" s="1400"/>
      <c r="BE648" s="1683">
        <v>40594.6</v>
      </c>
      <c r="BF648" s="1683">
        <v>40594.6</v>
      </c>
      <c r="BG648" s="1683">
        <v>34505.14</v>
      </c>
      <c r="BH648" s="1683">
        <v>34505.14</v>
      </c>
      <c r="BI648" s="1683">
        <v>0</v>
      </c>
      <c r="BJ648" s="1683">
        <v>6089.46</v>
      </c>
      <c r="BK648" s="1683">
        <v>0</v>
      </c>
      <c r="BL648" s="1683">
        <v>6089.46</v>
      </c>
      <c r="BM648" s="1683">
        <v>0</v>
      </c>
      <c r="BN648" s="1683">
        <v>0</v>
      </c>
      <c r="BO648" s="1685">
        <v>43453</v>
      </c>
      <c r="BP648" s="1683">
        <v>40594.6</v>
      </c>
      <c r="BQ648" s="1683">
        <v>40594.6</v>
      </c>
      <c r="BR648" s="1683">
        <v>34505.14</v>
      </c>
      <c r="BS648" s="1683">
        <v>34505.14</v>
      </c>
      <c r="BT648" s="1683">
        <v>0</v>
      </c>
      <c r="BU648" s="1683">
        <v>6089.46</v>
      </c>
      <c r="BV648" s="1683">
        <v>0</v>
      </c>
      <c r="BW648" s="1683">
        <v>0</v>
      </c>
      <c r="BX648" s="1683">
        <v>0</v>
      </c>
      <c r="BY648" s="1683">
        <v>0</v>
      </c>
      <c r="BZ648" s="1683">
        <v>0</v>
      </c>
      <c r="CA648" s="1400"/>
      <c r="CB648" s="1682"/>
      <c r="CC648" s="1682"/>
      <c r="CD648" s="1400"/>
      <c r="CE648" s="1400"/>
      <c r="CF648" s="1683">
        <v>0</v>
      </c>
      <c r="CG648" s="1683">
        <v>0</v>
      </c>
      <c r="CH648" s="1683">
        <v>0</v>
      </c>
      <c r="CI648" s="1683">
        <v>0</v>
      </c>
      <c r="CJ648" s="1683">
        <v>0</v>
      </c>
      <c r="CK648" s="1683">
        <v>0</v>
      </c>
      <c r="CL648" s="1682"/>
      <c r="CM648" s="1683">
        <v>0</v>
      </c>
      <c r="CN648" s="1683">
        <v>0</v>
      </c>
      <c r="CO648" s="1683">
        <v>0</v>
      </c>
      <c r="CP648" s="1683">
        <v>0</v>
      </c>
      <c r="CQ648" s="1683">
        <v>0</v>
      </c>
      <c r="CR648" s="1683">
        <v>0</v>
      </c>
      <c r="CS648" s="1683">
        <v>0</v>
      </c>
      <c r="CT648" s="1683">
        <v>0</v>
      </c>
      <c r="CU648" s="1683">
        <v>0</v>
      </c>
      <c r="CV648" s="1683">
        <v>0</v>
      </c>
      <c r="CW648" s="1682"/>
      <c r="CX648" s="1400"/>
      <c r="CY648" s="1400"/>
      <c r="CZ648" s="1400"/>
      <c r="DA648" s="1400"/>
      <c r="DB648" s="1682"/>
      <c r="DC648" s="1326"/>
      <c r="DD648" s="1683">
        <v>0</v>
      </c>
      <c r="DE648" s="1400"/>
      <c r="DF648" s="1400"/>
      <c r="DG648" s="1683">
        <v>0</v>
      </c>
      <c r="DH648" s="1683">
        <v>0</v>
      </c>
    </row>
    <row r="649" spans="1:112" ht="56.25">
      <c r="A649" s="1326" t="s">
        <v>4413</v>
      </c>
      <c r="B649" s="1326" t="s">
        <v>1704</v>
      </c>
      <c r="C649" s="1326" t="s">
        <v>2580</v>
      </c>
      <c r="D649" s="1326" t="s">
        <v>2581</v>
      </c>
      <c r="E649" s="1326" t="s">
        <v>2467</v>
      </c>
      <c r="F649" s="1326" t="s">
        <v>2582</v>
      </c>
      <c r="G649" s="1326" t="s">
        <v>2556</v>
      </c>
      <c r="H649" s="1326" t="s">
        <v>2541</v>
      </c>
      <c r="I649" s="1326" t="s">
        <v>805</v>
      </c>
      <c r="J649" s="1326" t="s">
        <v>233</v>
      </c>
      <c r="K649" s="1326" t="s">
        <v>2110</v>
      </c>
      <c r="L649" s="1326" t="s">
        <v>2061</v>
      </c>
      <c r="M649" s="1683">
        <v>146702.29999999999</v>
      </c>
      <c r="N649" s="1683">
        <v>0</v>
      </c>
      <c r="O649" s="1683">
        <v>146702.29999999999</v>
      </c>
      <c r="P649" s="1683">
        <v>146702.29999999999</v>
      </c>
      <c r="Q649" s="1683">
        <v>124266</v>
      </c>
      <c r="R649" s="1683">
        <v>124266</v>
      </c>
      <c r="S649" s="1683">
        <v>0</v>
      </c>
      <c r="T649" s="1683">
        <v>22436.3</v>
      </c>
      <c r="U649" s="1683">
        <v>0</v>
      </c>
      <c r="V649" s="1683">
        <v>22436.3</v>
      </c>
      <c r="W649" s="1683">
        <v>0</v>
      </c>
      <c r="X649" s="1683">
        <v>0</v>
      </c>
      <c r="Y649" s="1682"/>
      <c r="Z649" s="1326"/>
      <c r="AA649" s="1683">
        <v>0</v>
      </c>
      <c r="AB649" s="1683">
        <v>0</v>
      </c>
      <c r="AC649" s="1683">
        <v>0</v>
      </c>
      <c r="AD649" s="1682"/>
      <c r="AE649" s="1326"/>
      <c r="AF649" s="1326"/>
      <c r="AG649" s="1410"/>
      <c r="AH649" s="1683">
        <v>83259.02</v>
      </c>
      <c r="AI649" s="1683">
        <v>120317.84</v>
      </c>
      <c r="AJ649" s="1683">
        <v>107584.4</v>
      </c>
      <c r="AK649" s="1683">
        <v>107584.4</v>
      </c>
      <c r="AL649" s="1683">
        <v>0</v>
      </c>
      <c r="AM649" s="1682"/>
      <c r="AN649" s="1683">
        <v>83259.02</v>
      </c>
      <c r="AO649" s="1683">
        <v>83259.02</v>
      </c>
      <c r="AP649" s="1683">
        <v>70525.58</v>
      </c>
      <c r="AQ649" s="1683">
        <v>70525.58</v>
      </c>
      <c r="AR649" s="1683">
        <v>0</v>
      </c>
      <c r="AS649" s="1683">
        <v>12733.44</v>
      </c>
      <c r="AT649" s="1683">
        <v>0</v>
      </c>
      <c r="AU649" s="1683">
        <v>12733.44</v>
      </c>
      <c r="AV649" s="1683">
        <v>0</v>
      </c>
      <c r="AW649" s="1683">
        <v>0</v>
      </c>
      <c r="AX649" s="1683">
        <v>0</v>
      </c>
      <c r="AY649" s="1683">
        <v>0</v>
      </c>
      <c r="AZ649" s="1683">
        <v>0</v>
      </c>
      <c r="BA649" s="1682"/>
      <c r="BB649" s="1682"/>
      <c r="BC649" s="1683">
        <v>0</v>
      </c>
      <c r="BD649" s="1683">
        <v>0</v>
      </c>
      <c r="BE649" s="1683">
        <v>83259.02</v>
      </c>
      <c r="BF649" s="1683">
        <v>83259.02</v>
      </c>
      <c r="BG649" s="1683">
        <v>70525.58</v>
      </c>
      <c r="BH649" s="1683">
        <v>70525.58</v>
      </c>
      <c r="BI649" s="1683">
        <v>0</v>
      </c>
      <c r="BJ649" s="1683">
        <v>12733.44</v>
      </c>
      <c r="BK649" s="1683">
        <v>0</v>
      </c>
      <c r="BL649" s="1683">
        <v>12733.44</v>
      </c>
      <c r="BM649" s="1683">
        <v>0</v>
      </c>
      <c r="BN649" s="1683">
        <v>0</v>
      </c>
      <c r="BO649" s="1682"/>
      <c r="BP649" s="1683">
        <v>57961.34</v>
      </c>
      <c r="BQ649" s="1683">
        <v>57961.34</v>
      </c>
      <c r="BR649" s="1683">
        <v>49096.87</v>
      </c>
      <c r="BS649" s="1683">
        <v>49096.87</v>
      </c>
      <c r="BT649" s="1683">
        <v>0</v>
      </c>
      <c r="BU649" s="1683">
        <v>8864.4699999999993</v>
      </c>
      <c r="BV649" s="1683">
        <v>0</v>
      </c>
      <c r="BW649" s="1683">
        <v>0</v>
      </c>
      <c r="BX649" s="1683">
        <v>0</v>
      </c>
      <c r="BY649" s="1683">
        <v>0</v>
      </c>
      <c r="BZ649" s="1683">
        <v>0</v>
      </c>
      <c r="CA649" s="1683">
        <v>0</v>
      </c>
      <c r="CB649" s="1682"/>
      <c r="CC649" s="1682"/>
      <c r="CD649" s="1683">
        <v>0</v>
      </c>
      <c r="CE649" s="1683">
        <v>0</v>
      </c>
      <c r="CF649" s="1683">
        <v>0</v>
      </c>
      <c r="CG649" s="1683">
        <v>0</v>
      </c>
      <c r="CH649" s="1683">
        <v>0</v>
      </c>
      <c r="CI649" s="1683">
        <v>0</v>
      </c>
      <c r="CJ649" s="1683">
        <v>0</v>
      </c>
      <c r="CK649" s="1683">
        <v>0</v>
      </c>
      <c r="CL649" s="1682"/>
      <c r="CM649" s="1683">
        <v>0</v>
      </c>
      <c r="CN649" s="1683">
        <v>0</v>
      </c>
      <c r="CO649" s="1683">
        <v>0</v>
      </c>
      <c r="CP649" s="1683">
        <v>0</v>
      </c>
      <c r="CQ649" s="1683">
        <v>0</v>
      </c>
      <c r="CR649" s="1683">
        <v>0</v>
      </c>
      <c r="CS649" s="1683">
        <v>0</v>
      </c>
      <c r="CT649" s="1683">
        <v>0</v>
      </c>
      <c r="CU649" s="1683">
        <v>0</v>
      </c>
      <c r="CV649" s="1683">
        <v>0</v>
      </c>
      <c r="CW649" s="1682"/>
      <c r="CX649" s="1683">
        <v>0</v>
      </c>
      <c r="CY649" s="1683">
        <v>0</v>
      </c>
      <c r="CZ649" s="1683">
        <v>0</v>
      </c>
      <c r="DA649" s="1683">
        <v>0</v>
      </c>
      <c r="DB649" s="1682"/>
      <c r="DC649" s="1326"/>
      <c r="DD649" s="1683">
        <v>0</v>
      </c>
      <c r="DE649" s="1683">
        <v>0</v>
      </c>
      <c r="DF649" s="1683">
        <v>0</v>
      </c>
      <c r="DG649" s="1683">
        <v>0</v>
      </c>
      <c r="DH649" s="1683">
        <v>0</v>
      </c>
    </row>
    <row r="650" spans="1:112" ht="56.25">
      <c r="A650" s="1326" t="s">
        <v>4414</v>
      </c>
      <c r="B650" s="1326" t="s">
        <v>1704</v>
      </c>
      <c r="C650" s="1326" t="s">
        <v>2580</v>
      </c>
      <c r="D650" s="1326" t="s">
        <v>2581</v>
      </c>
      <c r="E650" s="1326" t="s">
        <v>2467</v>
      </c>
      <c r="F650" s="1326" t="s">
        <v>2582</v>
      </c>
      <c r="G650" s="1326" t="s">
        <v>2556</v>
      </c>
      <c r="H650" s="1326" t="s">
        <v>2541</v>
      </c>
      <c r="I650" s="1326" t="s">
        <v>805</v>
      </c>
      <c r="J650" s="1326" t="s">
        <v>233</v>
      </c>
      <c r="K650" s="1326" t="s">
        <v>2110</v>
      </c>
      <c r="L650" s="1326" t="s">
        <v>2061</v>
      </c>
      <c r="M650" s="1400"/>
      <c r="N650" s="1400"/>
      <c r="O650" s="1400"/>
      <c r="P650" s="1400"/>
      <c r="Q650" s="1400"/>
      <c r="R650" s="1400"/>
      <c r="S650" s="1400"/>
      <c r="T650" s="1400"/>
      <c r="U650" s="1400"/>
      <c r="V650" s="1400"/>
      <c r="W650" s="1400"/>
      <c r="X650" s="1400"/>
      <c r="Y650" s="1685">
        <v>43126</v>
      </c>
      <c r="Z650" s="1326" t="s">
        <v>2096</v>
      </c>
      <c r="AA650" s="1683">
        <v>0</v>
      </c>
      <c r="AB650" s="1683">
        <v>0</v>
      </c>
      <c r="AC650" s="1683">
        <v>0</v>
      </c>
      <c r="AD650" s="1685">
        <v>43139</v>
      </c>
      <c r="AE650" s="1326" t="s">
        <v>2073</v>
      </c>
      <c r="AF650" s="1326" t="s">
        <v>2064</v>
      </c>
      <c r="AG650" s="1410"/>
      <c r="AH650" s="1683">
        <v>0</v>
      </c>
      <c r="AI650" s="1683">
        <v>3529.41</v>
      </c>
      <c r="AJ650" s="1683">
        <v>3529.41</v>
      </c>
      <c r="AK650" s="1683">
        <v>3529.41</v>
      </c>
      <c r="AL650" s="1683">
        <v>0</v>
      </c>
      <c r="AM650" s="1682"/>
      <c r="AN650" s="1683">
        <v>0</v>
      </c>
      <c r="AO650" s="1683">
        <v>0</v>
      </c>
      <c r="AP650" s="1683">
        <v>0</v>
      </c>
      <c r="AQ650" s="1683">
        <v>0</v>
      </c>
      <c r="AR650" s="1683">
        <v>0</v>
      </c>
      <c r="AS650" s="1683">
        <v>0</v>
      </c>
      <c r="AT650" s="1683">
        <v>0</v>
      </c>
      <c r="AU650" s="1683">
        <v>0</v>
      </c>
      <c r="AV650" s="1683">
        <v>0</v>
      </c>
      <c r="AW650" s="1683">
        <v>0</v>
      </c>
      <c r="AX650" s="1400"/>
      <c r="AY650" s="1400"/>
      <c r="AZ650" s="1400"/>
      <c r="BA650" s="1682"/>
      <c r="BB650" s="1682"/>
      <c r="BC650" s="1400"/>
      <c r="BD650" s="1400"/>
      <c r="BE650" s="1683">
        <v>0</v>
      </c>
      <c r="BF650" s="1683">
        <v>0</v>
      </c>
      <c r="BG650" s="1683">
        <v>0</v>
      </c>
      <c r="BH650" s="1683">
        <v>0</v>
      </c>
      <c r="BI650" s="1683">
        <v>0</v>
      </c>
      <c r="BJ650" s="1683">
        <v>0</v>
      </c>
      <c r="BK650" s="1683">
        <v>0</v>
      </c>
      <c r="BL650" s="1683">
        <v>0</v>
      </c>
      <c r="BM650" s="1683">
        <v>0</v>
      </c>
      <c r="BN650" s="1683">
        <v>0</v>
      </c>
      <c r="BO650" s="1682"/>
      <c r="BP650" s="1683">
        <v>0</v>
      </c>
      <c r="BQ650" s="1683">
        <v>0</v>
      </c>
      <c r="BR650" s="1683">
        <v>0</v>
      </c>
      <c r="BS650" s="1683">
        <v>0</v>
      </c>
      <c r="BT650" s="1683">
        <v>0</v>
      </c>
      <c r="BU650" s="1683">
        <v>0</v>
      </c>
      <c r="BV650" s="1683">
        <v>0</v>
      </c>
      <c r="BW650" s="1683">
        <v>0</v>
      </c>
      <c r="BX650" s="1683">
        <v>0</v>
      </c>
      <c r="BY650" s="1683">
        <v>0</v>
      </c>
      <c r="BZ650" s="1400"/>
      <c r="CA650" s="1400"/>
      <c r="CB650" s="1682"/>
      <c r="CC650" s="1682"/>
      <c r="CD650" s="1400"/>
      <c r="CE650" s="1400"/>
      <c r="CF650" s="1683">
        <v>0</v>
      </c>
      <c r="CG650" s="1683">
        <v>0</v>
      </c>
      <c r="CH650" s="1683">
        <v>0</v>
      </c>
      <c r="CI650" s="1683">
        <v>0</v>
      </c>
      <c r="CJ650" s="1683">
        <v>0</v>
      </c>
      <c r="CK650" s="1683">
        <v>0</v>
      </c>
      <c r="CL650" s="1682"/>
      <c r="CM650" s="1683">
        <v>0</v>
      </c>
      <c r="CN650" s="1683">
        <v>0</v>
      </c>
      <c r="CO650" s="1683">
        <v>0</v>
      </c>
      <c r="CP650" s="1683">
        <v>0</v>
      </c>
      <c r="CQ650" s="1683">
        <v>0</v>
      </c>
      <c r="CR650" s="1683">
        <v>0</v>
      </c>
      <c r="CS650" s="1683">
        <v>0</v>
      </c>
      <c r="CT650" s="1683">
        <v>0</v>
      </c>
      <c r="CU650" s="1683">
        <v>0</v>
      </c>
      <c r="CV650" s="1683">
        <v>0</v>
      </c>
      <c r="CW650" s="1682"/>
      <c r="CX650" s="1400"/>
      <c r="CY650" s="1400"/>
      <c r="CZ650" s="1400"/>
      <c r="DA650" s="1400"/>
      <c r="DB650" s="1682"/>
      <c r="DC650" s="1326"/>
      <c r="DD650" s="1683">
        <v>0</v>
      </c>
      <c r="DE650" s="1400"/>
      <c r="DF650" s="1400"/>
      <c r="DG650" s="1683">
        <v>0</v>
      </c>
      <c r="DH650" s="1683">
        <v>0</v>
      </c>
    </row>
    <row r="651" spans="1:112" ht="56.25">
      <c r="A651" s="1326" t="s">
        <v>4415</v>
      </c>
      <c r="B651" s="1326" t="s">
        <v>1704</v>
      </c>
      <c r="C651" s="1326" t="s">
        <v>2580</v>
      </c>
      <c r="D651" s="1326" t="s">
        <v>2581</v>
      </c>
      <c r="E651" s="1326" t="s">
        <v>2467</v>
      </c>
      <c r="F651" s="1326" t="s">
        <v>2582</v>
      </c>
      <c r="G651" s="1326" t="s">
        <v>2556</v>
      </c>
      <c r="H651" s="1326" t="s">
        <v>2541</v>
      </c>
      <c r="I651" s="1326" t="s">
        <v>805</v>
      </c>
      <c r="J651" s="1326" t="s">
        <v>233</v>
      </c>
      <c r="K651" s="1326" t="s">
        <v>2110</v>
      </c>
      <c r="L651" s="1326" t="s">
        <v>2061</v>
      </c>
      <c r="M651" s="1400"/>
      <c r="N651" s="1400"/>
      <c r="O651" s="1400"/>
      <c r="P651" s="1400"/>
      <c r="Q651" s="1400"/>
      <c r="R651" s="1400"/>
      <c r="S651" s="1400"/>
      <c r="T651" s="1400"/>
      <c r="U651" s="1400"/>
      <c r="V651" s="1400"/>
      <c r="W651" s="1400"/>
      <c r="X651" s="1400"/>
      <c r="Y651" s="1685">
        <v>43140</v>
      </c>
      <c r="Z651" s="1326" t="s">
        <v>2096</v>
      </c>
      <c r="AA651" s="1683">
        <v>0</v>
      </c>
      <c r="AB651" s="1683">
        <v>0</v>
      </c>
      <c r="AC651" s="1683">
        <v>0</v>
      </c>
      <c r="AD651" s="1685">
        <v>43150</v>
      </c>
      <c r="AE651" s="1326" t="s">
        <v>2063</v>
      </c>
      <c r="AF651" s="1326" t="s">
        <v>2064</v>
      </c>
      <c r="AG651" s="1410"/>
      <c r="AH651" s="1683">
        <v>0</v>
      </c>
      <c r="AI651" s="1683">
        <v>3529.41</v>
      </c>
      <c r="AJ651" s="1683">
        <v>3529.41</v>
      </c>
      <c r="AK651" s="1683">
        <v>3529.41</v>
      </c>
      <c r="AL651" s="1683">
        <v>0</v>
      </c>
      <c r="AM651" s="1682"/>
      <c r="AN651" s="1683">
        <v>0</v>
      </c>
      <c r="AO651" s="1683">
        <v>0</v>
      </c>
      <c r="AP651" s="1683">
        <v>0</v>
      </c>
      <c r="AQ651" s="1683">
        <v>0</v>
      </c>
      <c r="AR651" s="1683">
        <v>0</v>
      </c>
      <c r="AS651" s="1683">
        <v>0</v>
      </c>
      <c r="AT651" s="1683">
        <v>0</v>
      </c>
      <c r="AU651" s="1683">
        <v>0</v>
      </c>
      <c r="AV651" s="1683">
        <v>0</v>
      </c>
      <c r="AW651" s="1683">
        <v>0</v>
      </c>
      <c r="AX651" s="1400"/>
      <c r="AY651" s="1400"/>
      <c r="AZ651" s="1400"/>
      <c r="BA651" s="1682"/>
      <c r="BB651" s="1682"/>
      <c r="BC651" s="1400"/>
      <c r="BD651" s="1400"/>
      <c r="BE651" s="1683">
        <v>0</v>
      </c>
      <c r="BF651" s="1683">
        <v>0</v>
      </c>
      <c r="BG651" s="1683">
        <v>0</v>
      </c>
      <c r="BH651" s="1683">
        <v>0</v>
      </c>
      <c r="BI651" s="1683">
        <v>0</v>
      </c>
      <c r="BJ651" s="1683">
        <v>0</v>
      </c>
      <c r="BK651" s="1683">
        <v>0</v>
      </c>
      <c r="BL651" s="1683">
        <v>0</v>
      </c>
      <c r="BM651" s="1683">
        <v>0</v>
      </c>
      <c r="BN651" s="1683">
        <v>0</v>
      </c>
      <c r="BO651" s="1682"/>
      <c r="BP651" s="1683">
        <v>0</v>
      </c>
      <c r="BQ651" s="1683">
        <v>0</v>
      </c>
      <c r="BR651" s="1683">
        <v>0</v>
      </c>
      <c r="BS651" s="1683">
        <v>0</v>
      </c>
      <c r="BT651" s="1683">
        <v>0</v>
      </c>
      <c r="BU651" s="1683">
        <v>0</v>
      </c>
      <c r="BV651" s="1683">
        <v>0</v>
      </c>
      <c r="BW651" s="1683">
        <v>0</v>
      </c>
      <c r="BX651" s="1683">
        <v>0</v>
      </c>
      <c r="BY651" s="1683">
        <v>0</v>
      </c>
      <c r="BZ651" s="1400"/>
      <c r="CA651" s="1400"/>
      <c r="CB651" s="1682"/>
      <c r="CC651" s="1682"/>
      <c r="CD651" s="1400"/>
      <c r="CE651" s="1400"/>
      <c r="CF651" s="1683">
        <v>0</v>
      </c>
      <c r="CG651" s="1683">
        <v>0</v>
      </c>
      <c r="CH651" s="1683">
        <v>0</v>
      </c>
      <c r="CI651" s="1683">
        <v>0</v>
      </c>
      <c r="CJ651" s="1683">
        <v>0</v>
      </c>
      <c r="CK651" s="1683">
        <v>0</v>
      </c>
      <c r="CL651" s="1682"/>
      <c r="CM651" s="1683">
        <v>0</v>
      </c>
      <c r="CN651" s="1683">
        <v>0</v>
      </c>
      <c r="CO651" s="1683">
        <v>0</v>
      </c>
      <c r="CP651" s="1683">
        <v>0</v>
      </c>
      <c r="CQ651" s="1683">
        <v>0</v>
      </c>
      <c r="CR651" s="1683">
        <v>0</v>
      </c>
      <c r="CS651" s="1683">
        <v>0</v>
      </c>
      <c r="CT651" s="1683">
        <v>0</v>
      </c>
      <c r="CU651" s="1683">
        <v>0</v>
      </c>
      <c r="CV651" s="1683">
        <v>0</v>
      </c>
      <c r="CW651" s="1682"/>
      <c r="CX651" s="1400"/>
      <c r="CY651" s="1400"/>
      <c r="CZ651" s="1400"/>
      <c r="DA651" s="1400"/>
      <c r="DB651" s="1682"/>
      <c r="DC651" s="1326"/>
      <c r="DD651" s="1683">
        <v>0</v>
      </c>
      <c r="DE651" s="1400"/>
      <c r="DF651" s="1400"/>
      <c r="DG651" s="1683">
        <v>0</v>
      </c>
      <c r="DH651" s="1683">
        <v>0</v>
      </c>
    </row>
    <row r="652" spans="1:112" ht="56.25">
      <c r="A652" s="1326" t="s">
        <v>4416</v>
      </c>
      <c r="B652" s="1326" t="s">
        <v>1704</v>
      </c>
      <c r="C652" s="1326" t="s">
        <v>2580</v>
      </c>
      <c r="D652" s="1326" t="s">
        <v>2581</v>
      </c>
      <c r="E652" s="1326" t="s">
        <v>2467</v>
      </c>
      <c r="F652" s="1326" t="s">
        <v>2582</v>
      </c>
      <c r="G652" s="1326" t="s">
        <v>2556</v>
      </c>
      <c r="H652" s="1326" t="s">
        <v>2541</v>
      </c>
      <c r="I652" s="1326" t="s">
        <v>805</v>
      </c>
      <c r="J652" s="1326" t="s">
        <v>233</v>
      </c>
      <c r="K652" s="1326" t="s">
        <v>2110</v>
      </c>
      <c r="L652" s="1326" t="s">
        <v>2061</v>
      </c>
      <c r="M652" s="1400"/>
      <c r="N652" s="1400"/>
      <c r="O652" s="1400"/>
      <c r="P652" s="1400"/>
      <c r="Q652" s="1400"/>
      <c r="R652" s="1400"/>
      <c r="S652" s="1400"/>
      <c r="T652" s="1400"/>
      <c r="U652" s="1400"/>
      <c r="V652" s="1400"/>
      <c r="W652" s="1400"/>
      <c r="X652" s="1400"/>
      <c r="Y652" s="1685">
        <v>43159</v>
      </c>
      <c r="Z652" s="1326" t="s">
        <v>2062</v>
      </c>
      <c r="AA652" s="1683">
        <v>0</v>
      </c>
      <c r="AB652" s="1683">
        <v>0</v>
      </c>
      <c r="AC652" s="1683">
        <v>0</v>
      </c>
      <c r="AD652" s="1685">
        <v>43193</v>
      </c>
      <c r="AE652" s="1326" t="s">
        <v>2066</v>
      </c>
      <c r="AF652" s="1326" t="s">
        <v>2067</v>
      </c>
      <c r="AG652" s="1410"/>
      <c r="AH652" s="1683">
        <v>2352.94</v>
      </c>
      <c r="AI652" s="1683">
        <v>2352.94</v>
      </c>
      <c r="AJ652" s="1683">
        <v>1993.09</v>
      </c>
      <c r="AK652" s="1683">
        <v>1993.09</v>
      </c>
      <c r="AL652" s="1683">
        <v>0</v>
      </c>
      <c r="AM652" s="1685">
        <v>43196</v>
      </c>
      <c r="AN652" s="1683">
        <v>2352.94</v>
      </c>
      <c r="AO652" s="1683">
        <v>2352.94</v>
      </c>
      <c r="AP652" s="1683">
        <v>1993.09</v>
      </c>
      <c r="AQ652" s="1683">
        <v>1993.09</v>
      </c>
      <c r="AR652" s="1683">
        <v>0</v>
      </c>
      <c r="AS652" s="1683">
        <v>359.85</v>
      </c>
      <c r="AT652" s="1683">
        <v>0</v>
      </c>
      <c r="AU652" s="1683">
        <v>359.85</v>
      </c>
      <c r="AV652" s="1683">
        <v>0</v>
      </c>
      <c r="AW652" s="1683">
        <v>0</v>
      </c>
      <c r="AX652" s="1400"/>
      <c r="AY652" s="1400"/>
      <c r="AZ652" s="1400"/>
      <c r="BA652" s="1682"/>
      <c r="BB652" s="1682"/>
      <c r="BC652" s="1400"/>
      <c r="BD652" s="1400"/>
      <c r="BE652" s="1683">
        <v>2352.94</v>
      </c>
      <c r="BF652" s="1683">
        <v>2352.94</v>
      </c>
      <c r="BG652" s="1683">
        <v>1993.09</v>
      </c>
      <c r="BH652" s="1683">
        <v>1993.09</v>
      </c>
      <c r="BI652" s="1683">
        <v>0</v>
      </c>
      <c r="BJ652" s="1683">
        <v>359.85</v>
      </c>
      <c r="BK652" s="1683">
        <v>0</v>
      </c>
      <c r="BL652" s="1683">
        <v>359.85</v>
      </c>
      <c r="BM652" s="1683">
        <v>0</v>
      </c>
      <c r="BN652" s="1683">
        <v>0</v>
      </c>
      <c r="BO652" s="1685">
        <v>43364</v>
      </c>
      <c r="BP652" s="1683">
        <v>2352.94</v>
      </c>
      <c r="BQ652" s="1683">
        <v>2352.94</v>
      </c>
      <c r="BR652" s="1683">
        <v>1993.09</v>
      </c>
      <c r="BS652" s="1683">
        <v>1993.09</v>
      </c>
      <c r="BT652" s="1683">
        <v>0</v>
      </c>
      <c r="BU652" s="1683">
        <v>359.85</v>
      </c>
      <c r="BV652" s="1683">
        <v>0</v>
      </c>
      <c r="BW652" s="1683">
        <v>0</v>
      </c>
      <c r="BX652" s="1683">
        <v>0</v>
      </c>
      <c r="BY652" s="1683">
        <v>0</v>
      </c>
      <c r="BZ652" s="1683">
        <v>0</v>
      </c>
      <c r="CA652" s="1400"/>
      <c r="CB652" s="1682"/>
      <c r="CC652" s="1682"/>
      <c r="CD652" s="1400"/>
      <c r="CE652" s="1400"/>
      <c r="CF652" s="1683">
        <v>0</v>
      </c>
      <c r="CG652" s="1683">
        <v>0</v>
      </c>
      <c r="CH652" s="1683">
        <v>0</v>
      </c>
      <c r="CI652" s="1683">
        <v>0</v>
      </c>
      <c r="CJ652" s="1683">
        <v>0</v>
      </c>
      <c r="CK652" s="1683">
        <v>0</v>
      </c>
      <c r="CL652" s="1682"/>
      <c r="CM652" s="1683">
        <v>0</v>
      </c>
      <c r="CN652" s="1683">
        <v>0</v>
      </c>
      <c r="CO652" s="1683">
        <v>0</v>
      </c>
      <c r="CP652" s="1683">
        <v>0</v>
      </c>
      <c r="CQ652" s="1683">
        <v>0</v>
      </c>
      <c r="CR652" s="1683">
        <v>0</v>
      </c>
      <c r="CS652" s="1683">
        <v>0</v>
      </c>
      <c r="CT652" s="1683">
        <v>0</v>
      </c>
      <c r="CU652" s="1683">
        <v>0</v>
      </c>
      <c r="CV652" s="1683">
        <v>0</v>
      </c>
      <c r="CW652" s="1682"/>
      <c r="CX652" s="1400"/>
      <c r="CY652" s="1400"/>
      <c r="CZ652" s="1400"/>
      <c r="DA652" s="1400"/>
      <c r="DB652" s="1682"/>
      <c r="DC652" s="1326"/>
      <c r="DD652" s="1683">
        <v>0</v>
      </c>
      <c r="DE652" s="1400"/>
      <c r="DF652" s="1400"/>
      <c r="DG652" s="1683">
        <v>0</v>
      </c>
      <c r="DH652" s="1683">
        <v>0</v>
      </c>
    </row>
    <row r="653" spans="1:112" ht="56.25">
      <c r="A653" s="1326" t="s">
        <v>4417</v>
      </c>
      <c r="B653" s="1326" t="s">
        <v>1704</v>
      </c>
      <c r="C653" s="1326" t="s">
        <v>2580</v>
      </c>
      <c r="D653" s="1326" t="s">
        <v>2581</v>
      </c>
      <c r="E653" s="1326" t="s">
        <v>2467</v>
      </c>
      <c r="F653" s="1326" t="s">
        <v>2582</v>
      </c>
      <c r="G653" s="1326" t="s">
        <v>2556</v>
      </c>
      <c r="H653" s="1326" t="s">
        <v>2541</v>
      </c>
      <c r="I653" s="1326" t="s">
        <v>805</v>
      </c>
      <c r="J653" s="1326" t="s">
        <v>233</v>
      </c>
      <c r="K653" s="1326" t="s">
        <v>2110</v>
      </c>
      <c r="L653" s="1326" t="s">
        <v>2061</v>
      </c>
      <c r="M653" s="1400"/>
      <c r="N653" s="1400"/>
      <c r="O653" s="1400"/>
      <c r="P653" s="1400"/>
      <c r="Q653" s="1400"/>
      <c r="R653" s="1400"/>
      <c r="S653" s="1400"/>
      <c r="T653" s="1400"/>
      <c r="U653" s="1400"/>
      <c r="V653" s="1400"/>
      <c r="W653" s="1400"/>
      <c r="X653" s="1400"/>
      <c r="Y653" s="1685">
        <v>43159</v>
      </c>
      <c r="Z653" s="1326" t="s">
        <v>2062</v>
      </c>
      <c r="AA653" s="1683">
        <v>0</v>
      </c>
      <c r="AB653" s="1683">
        <v>0</v>
      </c>
      <c r="AC653" s="1683">
        <v>0</v>
      </c>
      <c r="AD653" s="1685">
        <v>43193</v>
      </c>
      <c r="AE653" s="1326" t="s">
        <v>2066</v>
      </c>
      <c r="AF653" s="1326" t="s">
        <v>2064</v>
      </c>
      <c r="AG653" s="1410"/>
      <c r="AH653" s="1683">
        <v>7058.82</v>
      </c>
      <c r="AI653" s="1683">
        <v>7058.82</v>
      </c>
      <c r="AJ653" s="1683">
        <v>5979.26</v>
      </c>
      <c r="AK653" s="1683">
        <v>5979.26</v>
      </c>
      <c r="AL653" s="1683">
        <v>0</v>
      </c>
      <c r="AM653" s="1685">
        <v>43193</v>
      </c>
      <c r="AN653" s="1683">
        <v>7058.82</v>
      </c>
      <c r="AO653" s="1683">
        <v>7058.82</v>
      </c>
      <c r="AP653" s="1683">
        <v>5979.26</v>
      </c>
      <c r="AQ653" s="1683">
        <v>5979.26</v>
      </c>
      <c r="AR653" s="1683">
        <v>0</v>
      </c>
      <c r="AS653" s="1683">
        <v>1079.56</v>
      </c>
      <c r="AT653" s="1683">
        <v>0</v>
      </c>
      <c r="AU653" s="1683">
        <v>1079.56</v>
      </c>
      <c r="AV653" s="1683">
        <v>0</v>
      </c>
      <c r="AW653" s="1683">
        <v>0</v>
      </c>
      <c r="AX653" s="1400"/>
      <c r="AY653" s="1400"/>
      <c r="AZ653" s="1400"/>
      <c r="BA653" s="1682"/>
      <c r="BB653" s="1682"/>
      <c r="BC653" s="1400"/>
      <c r="BD653" s="1400"/>
      <c r="BE653" s="1683">
        <v>7058.82</v>
      </c>
      <c r="BF653" s="1683">
        <v>7058.82</v>
      </c>
      <c r="BG653" s="1683">
        <v>5979.26</v>
      </c>
      <c r="BH653" s="1683">
        <v>5979.26</v>
      </c>
      <c r="BI653" s="1683">
        <v>0</v>
      </c>
      <c r="BJ653" s="1683">
        <v>1079.56</v>
      </c>
      <c r="BK653" s="1683">
        <v>0</v>
      </c>
      <c r="BL653" s="1683">
        <v>1079.56</v>
      </c>
      <c r="BM653" s="1683">
        <v>0</v>
      </c>
      <c r="BN653" s="1683">
        <v>0</v>
      </c>
      <c r="BO653" s="1685">
        <v>43364</v>
      </c>
      <c r="BP653" s="1683">
        <v>7058.82</v>
      </c>
      <c r="BQ653" s="1683">
        <v>7058.82</v>
      </c>
      <c r="BR653" s="1683">
        <v>5979.26</v>
      </c>
      <c r="BS653" s="1683">
        <v>5979.26</v>
      </c>
      <c r="BT653" s="1683">
        <v>0</v>
      </c>
      <c r="BU653" s="1683">
        <v>1079.56</v>
      </c>
      <c r="BV653" s="1683">
        <v>0</v>
      </c>
      <c r="BW653" s="1683">
        <v>0</v>
      </c>
      <c r="BX653" s="1683">
        <v>0</v>
      </c>
      <c r="BY653" s="1683">
        <v>0</v>
      </c>
      <c r="BZ653" s="1683">
        <v>0</v>
      </c>
      <c r="CA653" s="1400"/>
      <c r="CB653" s="1682"/>
      <c r="CC653" s="1682"/>
      <c r="CD653" s="1400"/>
      <c r="CE653" s="1400"/>
      <c r="CF653" s="1683">
        <v>0</v>
      </c>
      <c r="CG653" s="1683">
        <v>0</v>
      </c>
      <c r="CH653" s="1683">
        <v>0</v>
      </c>
      <c r="CI653" s="1683">
        <v>0</v>
      </c>
      <c r="CJ653" s="1683">
        <v>0</v>
      </c>
      <c r="CK653" s="1683">
        <v>0</v>
      </c>
      <c r="CL653" s="1682"/>
      <c r="CM653" s="1683">
        <v>0</v>
      </c>
      <c r="CN653" s="1683">
        <v>0</v>
      </c>
      <c r="CO653" s="1683">
        <v>0</v>
      </c>
      <c r="CP653" s="1683">
        <v>0</v>
      </c>
      <c r="CQ653" s="1683">
        <v>0</v>
      </c>
      <c r="CR653" s="1683">
        <v>0</v>
      </c>
      <c r="CS653" s="1683">
        <v>0</v>
      </c>
      <c r="CT653" s="1683">
        <v>0</v>
      </c>
      <c r="CU653" s="1683">
        <v>0</v>
      </c>
      <c r="CV653" s="1683">
        <v>0</v>
      </c>
      <c r="CW653" s="1682"/>
      <c r="CX653" s="1400"/>
      <c r="CY653" s="1400"/>
      <c r="CZ653" s="1400"/>
      <c r="DA653" s="1400"/>
      <c r="DB653" s="1682"/>
      <c r="DC653" s="1326"/>
      <c r="DD653" s="1683">
        <v>0</v>
      </c>
      <c r="DE653" s="1400"/>
      <c r="DF653" s="1400"/>
      <c r="DG653" s="1683">
        <v>0</v>
      </c>
      <c r="DH653" s="1683">
        <v>0</v>
      </c>
    </row>
    <row r="654" spans="1:112" ht="56.25">
      <c r="A654" s="1326" t="s">
        <v>4418</v>
      </c>
      <c r="B654" s="1326" t="s">
        <v>1704</v>
      </c>
      <c r="C654" s="1326" t="s">
        <v>2580</v>
      </c>
      <c r="D654" s="1326" t="s">
        <v>2581</v>
      </c>
      <c r="E654" s="1326" t="s">
        <v>2467</v>
      </c>
      <c r="F654" s="1326" t="s">
        <v>2582</v>
      </c>
      <c r="G654" s="1326" t="s">
        <v>2556</v>
      </c>
      <c r="H654" s="1326" t="s">
        <v>2541</v>
      </c>
      <c r="I654" s="1326" t="s">
        <v>805</v>
      </c>
      <c r="J654" s="1326" t="s">
        <v>233</v>
      </c>
      <c r="K654" s="1326" t="s">
        <v>2110</v>
      </c>
      <c r="L654" s="1326" t="s">
        <v>2061</v>
      </c>
      <c r="M654" s="1400"/>
      <c r="N654" s="1400"/>
      <c r="O654" s="1400"/>
      <c r="P654" s="1400"/>
      <c r="Q654" s="1400"/>
      <c r="R654" s="1400"/>
      <c r="S654" s="1400"/>
      <c r="T654" s="1400"/>
      <c r="U654" s="1400"/>
      <c r="V654" s="1400"/>
      <c r="W654" s="1400"/>
      <c r="X654" s="1400"/>
      <c r="Y654" s="1685">
        <v>43213</v>
      </c>
      <c r="Z654" s="1326" t="s">
        <v>2096</v>
      </c>
      <c r="AA654" s="1683">
        <v>0</v>
      </c>
      <c r="AB654" s="1683">
        <v>0</v>
      </c>
      <c r="AC654" s="1683">
        <v>0</v>
      </c>
      <c r="AD654" s="1685">
        <v>43222</v>
      </c>
      <c r="AE654" s="1326" t="s">
        <v>2079</v>
      </c>
      <c r="AF654" s="1326" t="s">
        <v>2064</v>
      </c>
      <c r="AG654" s="1410"/>
      <c r="AH654" s="1683">
        <v>0</v>
      </c>
      <c r="AI654" s="1683">
        <v>15000</v>
      </c>
      <c r="AJ654" s="1683">
        <v>15000</v>
      </c>
      <c r="AK654" s="1683">
        <v>15000</v>
      </c>
      <c r="AL654" s="1683">
        <v>0</v>
      </c>
      <c r="AM654" s="1682"/>
      <c r="AN654" s="1683">
        <v>0</v>
      </c>
      <c r="AO654" s="1683">
        <v>0</v>
      </c>
      <c r="AP654" s="1683">
        <v>0</v>
      </c>
      <c r="AQ654" s="1683">
        <v>0</v>
      </c>
      <c r="AR654" s="1683">
        <v>0</v>
      </c>
      <c r="AS654" s="1683">
        <v>0</v>
      </c>
      <c r="AT654" s="1683">
        <v>0</v>
      </c>
      <c r="AU654" s="1683">
        <v>0</v>
      </c>
      <c r="AV654" s="1683">
        <v>0</v>
      </c>
      <c r="AW654" s="1683">
        <v>0</v>
      </c>
      <c r="AX654" s="1400"/>
      <c r="AY654" s="1400"/>
      <c r="AZ654" s="1400"/>
      <c r="BA654" s="1682"/>
      <c r="BB654" s="1682"/>
      <c r="BC654" s="1400"/>
      <c r="BD654" s="1400"/>
      <c r="BE654" s="1683">
        <v>0</v>
      </c>
      <c r="BF654" s="1683">
        <v>0</v>
      </c>
      <c r="BG654" s="1683">
        <v>0</v>
      </c>
      <c r="BH654" s="1683">
        <v>0</v>
      </c>
      <c r="BI654" s="1683">
        <v>0</v>
      </c>
      <c r="BJ654" s="1683">
        <v>0</v>
      </c>
      <c r="BK654" s="1683">
        <v>0</v>
      </c>
      <c r="BL654" s="1683">
        <v>0</v>
      </c>
      <c r="BM654" s="1683">
        <v>0</v>
      </c>
      <c r="BN654" s="1683">
        <v>0</v>
      </c>
      <c r="BO654" s="1682"/>
      <c r="BP654" s="1683">
        <v>0</v>
      </c>
      <c r="BQ654" s="1683">
        <v>0</v>
      </c>
      <c r="BR654" s="1683">
        <v>0</v>
      </c>
      <c r="BS654" s="1683">
        <v>0</v>
      </c>
      <c r="BT654" s="1683">
        <v>0</v>
      </c>
      <c r="BU654" s="1683">
        <v>0</v>
      </c>
      <c r="BV654" s="1683">
        <v>0</v>
      </c>
      <c r="BW654" s="1683">
        <v>0</v>
      </c>
      <c r="BX654" s="1683">
        <v>0</v>
      </c>
      <c r="BY654" s="1683">
        <v>0</v>
      </c>
      <c r="BZ654" s="1400"/>
      <c r="CA654" s="1400"/>
      <c r="CB654" s="1682"/>
      <c r="CC654" s="1682"/>
      <c r="CD654" s="1400"/>
      <c r="CE654" s="1400"/>
      <c r="CF654" s="1683">
        <v>0</v>
      </c>
      <c r="CG654" s="1683">
        <v>0</v>
      </c>
      <c r="CH654" s="1683">
        <v>0</v>
      </c>
      <c r="CI654" s="1683">
        <v>0</v>
      </c>
      <c r="CJ654" s="1683">
        <v>0</v>
      </c>
      <c r="CK654" s="1683">
        <v>0</v>
      </c>
      <c r="CL654" s="1682"/>
      <c r="CM654" s="1683">
        <v>0</v>
      </c>
      <c r="CN654" s="1683">
        <v>0</v>
      </c>
      <c r="CO654" s="1683">
        <v>0</v>
      </c>
      <c r="CP654" s="1683">
        <v>0</v>
      </c>
      <c r="CQ654" s="1683">
        <v>0</v>
      </c>
      <c r="CR654" s="1683">
        <v>0</v>
      </c>
      <c r="CS654" s="1683">
        <v>0</v>
      </c>
      <c r="CT654" s="1683">
        <v>0</v>
      </c>
      <c r="CU654" s="1683">
        <v>0</v>
      </c>
      <c r="CV654" s="1683">
        <v>0</v>
      </c>
      <c r="CW654" s="1682"/>
      <c r="CX654" s="1400"/>
      <c r="CY654" s="1400"/>
      <c r="CZ654" s="1400"/>
      <c r="DA654" s="1400"/>
      <c r="DB654" s="1682"/>
      <c r="DC654" s="1326"/>
      <c r="DD654" s="1683">
        <v>0</v>
      </c>
      <c r="DE654" s="1400"/>
      <c r="DF654" s="1400"/>
      <c r="DG654" s="1683">
        <v>0</v>
      </c>
      <c r="DH654" s="1683">
        <v>0</v>
      </c>
    </row>
    <row r="655" spans="1:112" ht="56.25">
      <c r="A655" s="1326" t="s">
        <v>4419</v>
      </c>
      <c r="B655" s="1326" t="s">
        <v>1704</v>
      </c>
      <c r="C655" s="1326" t="s">
        <v>2580</v>
      </c>
      <c r="D655" s="1326" t="s">
        <v>2581</v>
      </c>
      <c r="E655" s="1326" t="s">
        <v>2467</v>
      </c>
      <c r="F655" s="1326" t="s">
        <v>2582</v>
      </c>
      <c r="G655" s="1326" t="s">
        <v>2556</v>
      </c>
      <c r="H655" s="1326" t="s">
        <v>2541</v>
      </c>
      <c r="I655" s="1326" t="s">
        <v>805</v>
      </c>
      <c r="J655" s="1326" t="s">
        <v>233</v>
      </c>
      <c r="K655" s="1326" t="s">
        <v>2110</v>
      </c>
      <c r="L655" s="1326" t="s">
        <v>2061</v>
      </c>
      <c r="M655" s="1400"/>
      <c r="N655" s="1400"/>
      <c r="O655" s="1400"/>
      <c r="P655" s="1400"/>
      <c r="Q655" s="1400"/>
      <c r="R655" s="1400"/>
      <c r="S655" s="1400"/>
      <c r="T655" s="1400"/>
      <c r="U655" s="1400"/>
      <c r="V655" s="1400"/>
      <c r="W655" s="1400"/>
      <c r="X655" s="1400"/>
      <c r="Y655" s="1685">
        <v>43245</v>
      </c>
      <c r="Z655" s="1326" t="s">
        <v>2062</v>
      </c>
      <c r="AA655" s="1683">
        <v>0</v>
      </c>
      <c r="AB655" s="1683">
        <v>0</v>
      </c>
      <c r="AC655" s="1683">
        <v>0</v>
      </c>
      <c r="AD655" s="1685">
        <v>43273</v>
      </c>
      <c r="AE655" s="1326" t="s">
        <v>2080</v>
      </c>
      <c r="AF655" s="1326" t="s">
        <v>2064</v>
      </c>
      <c r="AG655" s="1410"/>
      <c r="AH655" s="1683">
        <v>8372.59</v>
      </c>
      <c r="AI655" s="1683">
        <v>8372.59</v>
      </c>
      <c r="AJ655" s="1683">
        <v>7092.1</v>
      </c>
      <c r="AK655" s="1683">
        <v>7092.1</v>
      </c>
      <c r="AL655" s="1683">
        <v>0</v>
      </c>
      <c r="AM655" s="1685">
        <v>43273</v>
      </c>
      <c r="AN655" s="1683">
        <v>8372.59</v>
      </c>
      <c r="AO655" s="1683">
        <v>8372.59</v>
      </c>
      <c r="AP655" s="1683">
        <v>7092.1</v>
      </c>
      <c r="AQ655" s="1683">
        <v>7092.1</v>
      </c>
      <c r="AR655" s="1683">
        <v>0</v>
      </c>
      <c r="AS655" s="1683">
        <v>1280.49</v>
      </c>
      <c r="AT655" s="1683">
        <v>0</v>
      </c>
      <c r="AU655" s="1683">
        <v>1280.49</v>
      </c>
      <c r="AV655" s="1683">
        <v>0</v>
      </c>
      <c r="AW655" s="1683">
        <v>0</v>
      </c>
      <c r="AX655" s="1400"/>
      <c r="AY655" s="1400"/>
      <c r="AZ655" s="1400"/>
      <c r="BA655" s="1682"/>
      <c r="BB655" s="1682"/>
      <c r="BC655" s="1400"/>
      <c r="BD655" s="1400"/>
      <c r="BE655" s="1683">
        <v>8372.59</v>
      </c>
      <c r="BF655" s="1683">
        <v>8372.59</v>
      </c>
      <c r="BG655" s="1683">
        <v>7092.1</v>
      </c>
      <c r="BH655" s="1683">
        <v>7092.1</v>
      </c>
      <c r="BI655" s="1683">
        <v>0</v>
      </c>
      <c r="BJ655" s="1683">
        <v>1280.49</v>
      </c>
      <c r="BK655" s="1683">
        <v>0</v>
      </c>
      <c r="BL655" s="1683">
        <v>1280.49</v>
      </c>
      <c r="BM655" s="1683">
        <v>0</v>
      </c>
      <c r="BN655" s="1683">
        <v>0</v>
      </c>
      <c r="BO655" s="1685">
        <v>43364</v>
      </c>
      <c r="BP655" s="1683">
        <v>8372.59</v>
      </c>
      <c r="BQ655" s="1683">
        <v>8372.59</v>
      </c>
      <c r="BR655" s="1683">
        <v>7092.1</v>
      </c>
      <c r="BS655" s="1683">
        <v>7092.1</v>
      </c>
      <c r="BT655" s="1683">
        <v>0</v>
      </c>
      <c r="BU655" s="1683">
        <v>1280.49</v>
      </c>
      <c r="BV655" s="1683">
        <v>0</v>
      </c>
      <c r="BW655" s="1683">
        <v>0</v>
      </c>
      <c r="BX655" s="1683">
        <v>0</v>
      </c>
      <c r="BY655" s="1683">
        <v>0</v>
      </c>
      <c r="BZ655" s="1683">
        <v>0</v>
      </c>
      <c r="CA655" s="1400"/>
      <c r="CB655" s="1682"/>
      <c r="CC655" s="1682"/>
      <c r="CD655" s="1400"/>
      <c r="CE655" s="1400"/>
      <c r="CF655" s="1683">
        <v>0</v>
      </c>
      <c r="CG655" s="1683">
        <v>0</v>
      </c>
      <c r="CH655" s="1683">
        <v>0</v>
      </c>
      <c r="CI655" s="1683">
        <v>0</v>
      </c>
      <c r="CJ655" s="1683">
        <v>0</v>
      </c>
      <c r="CK655" s="1683">
        <v>0</v>
      </c>
      <c r="CL655" s="1682"/>
      <c r="CM655" s="1683">
        <v>0</v>
      </c>
      <c r="CN655" s="1683">
        <v>0</v>
      </c>
      <c r="CO655" s="1683">
        <v>0</v>
      </c>
      <c r="CP655" s="1683">
        <v>0</v>
      </c>
      <c r="CQ655" s="1683">
        <v>0</v>
      </c>
      <c r="CR655" s="1683">
        <v>0</v>
      </c>
      <c r="CS655" s="1683">
        <v>0</v>
      </c>
      <c r="CT655" s="1683">
        <v>0</v>
      </c>
      <c r="CU655" s="1683">
        <v>0</v>
      </c>
      <c r="CV655" s="1683">
        <v>0</v>
      </c>
      <c r="CW655" s="1682"/>
      <c r="CX655" s="1400"/>
      <c r="CY655" s="1400"/>
      <c r="CZ655" s="1400"/>
      <c r="DA655" s="1400"/>
      <c r="DB655" s="1682"/>
      <c r="DC655" s="1326"/>
      <c r="DD655" s="1683">
        <v>0</v>
      </c>
      <c r="DE655" s="1400"/>
      <c r="DF655" s="1400"/>
      <c r="DG655" s="1683">
        <v>0</v>
      </c>
      <c r="DH655" s="1683">
        <v>0</v>
      </c>
    </row>
    <row r="656" spans="1:112" ht="56.25">
      <c r="A656" s="1326" t="s">
        <v>4420</v>
      </c>
      <c r="B656" s="1326" t="s">
        <v>1704</v>
      </c>
      <c r="C656" s="1326" t="s">
        <v>2580</v>
      </c>
      <c r="D656" s="1326" t="s">
        <v>2581</v>
      </c>
      <c r="E656" s="1326" t="s">
        <v>2467</v>
      </c>
      <c r="F656" s="1326" t="s">
        <v>2582</v>
      </c>
      <c r="G656" s="1326" t="s">
        <v>2556</v>
      </c>
      <c r="H656" s="1326" t="s">
        <v>2541</v>
      </c>
      <c r="I656" s="1326" t="s">
        <v>805</v>
      </c>
      <c r="J656" s="1326" t="s">
        <v>233</v>
      </c>
      <c r="K656" s="1326" t="s">
        <v>2110</v>
      </c>
      <c r="L656" s="1326" t="s">
        <v>2061</v>
      </c>
      <c r="M656" s="1400"/>
      <c r="N656" s="1400"/>
      <c r="O656" s="1400"/>
      <c r="P656" s="1400"/>
      <c r="Q656" s="1400"/>
      <c r="R656" s="1400"/>
      <c r="S656" s="1400"/>
      <c r="T656" s="1400"/>
      <c r="U656" s="1400"/>
      <c r="V656" s="1400"/>
      <c r="W656" s="1400"/>
      <c r="X656" s="1400"/>
      <c r="Y656" s="1685">
        <v>43332</v>
      </c>
      <c r="Z656" s="1326" t="s">
        <v>2062</v>
      </c>
      <c r="AA656" s="1683">
        <v>0</v>
      </c>
      <c r="AB656" s="1683">
        <v>0</v>
      </c>
      <c r="AC656" s="1683">
        <v>0</v>
      </c>
      <c r="AD656" s="1685">
        <v>43363</v>
      </c>
      <c r="AE656" s="1326" t="s">
        <v>2081</v>
      </c>
      <c r="AF656" s="1326" t="s">
        <v>2067</v>
      </c>
      <c r="AG656" s="1410"/>
      <c r="AH656" s="1683">
        <v>1388.07</v>
      </c>
      <c r="AI656" s="1683">
        <v>1388.07</v>
      </c>
      <c r="AJ656" s="1683">
        <v>1175.79</v>
      </c>
      <c r="AK656" s="1683">
        <v>1175.79</v>
      </c>
      <c r="AL656" s="1683">
        <v>0</v>
      </c>
      <c r="AM656" s="1685">
        <v>43368</v>
      </c>
      <c r="AN656" s="1683">
        <v>1388.07</v>
      </c>
      <c r="AO656" s="1683">
        <v>1388.07</v>
      </c>
      <c r="AP656" s="1683">
        <v>1175.79</v>
      </c>
      <c r="AQ656" s="1683">
        <v>1175.79</v>
      </c>
      <c r="AR656" s="1683">
        <v>0</v>
      </c>
      <c r="AS656" s="1683">
        <v>212.28</v>
      </c>
      <c r="AT656" s="1683">
        <v>0</v>
      </c>
      <c r="AU656" s="1683">
        <v>212.28</v>
      </c>
      <c r="AV656" s="1683">
        <v>0</v>
      </c>
      <c r="AW656" s="1683">
        <v>0</v>
      </c>
      <c r="AX656" s="1400"/>
      <c r="AY656" s="1400"/>
      <c r="AZ656" s="1400"/>
      <c r="BA656" s="1682"/>
      <c r="BB656" s="1682"/>
      <c r="BC656" s="1400"/>
      <c r="BD656" s="1400"/>
      <c r="BE656" s="1683">
        <v>1388.07</v>
      </c>
      <c r="BF656" s="1683">
        <v>1388.07</v>
      </c>
      <c r="BG656" s="1683">
        <v>1175.79</v>
      </c>
      <c r="BH656" s="1683">
        <v>1175.79</v>
      </c>
      <c r="BI656" s="1683">
        <v>0</v>
      </c>
      <c r="BJ656" s="1683">
        <v>212.28</v>
      </c>
      <c r="BK656" s="1683">
        <v>0</v>
      </c>
      <c r="BL656" s="1683">
        <v>212.28</v>
      </c>
      <c r="BM656" s="1683">
        <v>0</v>
      </c>
      <c r="BN656" s="1683">
        <v>0</v>
      </c>
      <c r="BO656" s="1685">
        <v>43403</v>
      </c>
      <c r="BP656" s="1683">
        <v>1388.07</v>
      </c>
      <c r="BQ656" s="1683">
        <v>1388.07</v>
      </c>
      <c r="BR656" s="1683">
        <v>1175.79</v>
      </c>
      <c r="BS656" s="1683">
        <v>1175.79</v>
      </c>
      <c r="BT656" s="1683">
        <v>0</v>
      </c>
      <c r="BU656" s="1683">
        <v>212.28</v>
      </c>
      <c r="BV656" s="1683">
        <v>0</v>
      </c>
      <c r="BW656" s="1683">
        <v>0</v>
      </c>
      <c r="BX656" s="1683">
        <v>0</v>
      </c>
      <c r="BY656" s="1683">
        <v>0</v>
      </c>
      <c r="BZ656" s="1683">
        <v>0</v>
      </c>
      <c r="CA656" s="1400"/>
      <c r="CB656" s="1682"/>
      <c r="CC656" s="1682"/>
      <c r="CD656" s="1400"/>
      <c r="CE656" s="1400"/>
      <c r="CF656" s="1683">
        <v>0</v>
      </c>
      <c r="CG656" s="1683">
        <v>0</v>
      </c>
      <c r="CH656" s="1683">
        <v>0</v>
      </c>
      <c r="CI656" s="1683">
        <v>0</v>
      </c>
      <c r="CJ656" s="1683">
        <v>0</v>
      </c>
      <c r="CK656" s="1683">
        <v>0</v>
      </c>
      <c r="CL656" s="1682"/>
      <c r="CM656" s="1683">
        <v>0</v>
      </c>
      <c r="CN656" s="1683">
        <v>0</v>
      </c>
      <c r="CO656" s="1683">
        <v>0</v>
      </c>
      <c r="CP656" s="1683">
        <v>0</v>
      </c>
      <c r="CQ656" s="1683">
        <v>0</v>
      </c>
      <c r="CR656" s="1683">
        <v>0</v>
      </c>
      <c r="CS656" s="1683">
        <v>0</v>
      </c>
      <c r="CT656" s="1683">
        <v>0</v>
      </c>
      <c r="CU656" s="1683">
        <v>0</v>
      </c>
      <c r="CV656" s="1683">
        <v>0</v>
      </c>
      <c r="CW656" s="1682"/>
      <c r="CX656" s="1400"/>
      <c r="CY656" s="1400"/>
      <c r="CZ656" s="1400"/>
      <c r="DA656" s="1400"/>
      <c r="DB656" s="1682"/>
      <c r="DC656" s="1326"/>
      <c r="DD656" s="1683">
        <v>0</v>
      </c>
      <c r="DE656" s="1400"/>
      <c r="DF656" s="1400"/>
      <c r="DG656" s="1683">
        <v>0</v>
      </c>
      <c r="DH656" s="1683">
        <v>0</v>
      </c>
    </row>
    <row r="657" spans="1:112" ht="56.25">
      <c r="A657" s="1326" t="s">
        <v>4421</v>
      </c>
      <c r="B657" s="1326" t="s">
        <v>1704</v>
      </c>
      <c r="C657" s="1326" t="s">
        <v>2580</v>
      </c>
      <c r="D657" s="1326" t="s">
        <v>2581</v>
      </c>
      <c r="E657" s="1326" t="s">
        <v>2467</v>
      </c>
      <c r="F657" s="1326" t="s">
        <v>2582</v>
      </c>
      <c r="G657" s="1326" t="s">
        <v>2556</v>
      </c>
      <c r="H657" s="1326" t="s">
        <v>2541</v>
      </c>
      <c r="I657" s="1326" t="s">
        <v>805</v>
      </c>
      <c r="J657" s="1326" t="s">
        <v>233</v>
      </c>
      <c r="K657" s="1326" t="s">
        <v>2110</v>
      </c>
      <c r="L657" s="1326" t="s">
        <v>2061</v>
      </c>
      <c r="M657" s="1400"/>
      <c r="N657" s="1400"/>
      <c r="O657" s="1400"/>
      <c r="P657" s="1400"/>
      <c r="Q657" s="1400"/>
      <c r="R657" s="1400"/>
      <c r="S657" s="1400"/>
      <c r="T657" s="1400"/>
      <c r="U657" s="1400"/>
      <c r="V657" s="1400"/>
      <c r="W657" s="1400"/>
      <c r="X657" s="1400"/>
      <c r="Y657" s="1685">
        <v>43332</v>
      </c>
      <c r="Z657" s="1326" t="s">
        <v>2062</v>
      </c>
      <c r="AA657" s="1683">
        <v>0</v>
      </c>
      <c r="AB657" s="1683">
        <v>0</v>
      </c>
      <c r="AC657" s="1683">
        <v>0</v>
      </c>
      <c r="AD657" s="1685">
        <v>43363</v>
      </c>
      <c r="AE657" s="1326" t="s">
        <v>2081</v>
      </c>
      <c r="AF657" s="1326" t="s">
        <v>2064</v>
      </c>
      <c r="AG657" s="1410"/>
      <c r="AH657" s="1683">
        <v>19338.919999999998</v>
      </c>
      <c r="AI657" s="1683">
        <v>19338.919999999998</v>
      </c>
      <c r="AJ657" s="1683">
        <v>16381.27</v>
      </c>
      <c r="AK657" s="1683">
        <v>16381.27</v>
      </c>
      <c r="AL657" s="1683">
        <v>0</v>
      </c>
      <c r="AM657" s="1685">
        <v>43363</v>
      </c>
      <c r="AN657" s="1683">
        <v>19338.919999999998</v>
      </c>
      <c r="AO657" s="1683">
        <v>19338.919999999998</v>
      </c>
      <c r="AP657" s="1683">
        <v>16381.27</v>
      </c>
      <c r="AQ657" s="1683">
        <v>16381.27</v>
      </c>
      <c r="AR657" s="1683">
        <v>0</v>
      </c>
      <c r="AS657" s="1683">
        <v>2957.65</v>
      </c>
      <c r="AT657" s="1683">
        <v>0</v>
      </c>
      <c r="AU657" s="1683">
        <v>2957.65</v>
      </c>
      <c r="AV657" s="1683">
        <v>0</v>
      </c>
      <c r="AW657" s="1683">
        <v>0</v>
      </c>
      <c r="AX657" s="1400"/>
      <c r="AY657" s="1400"/>
      <c r="AZ657" s="1400"/>
      <c r="BA657" s="1682"/>
      <c r="BB657" s="1682"/>
      <c r="BC657" s="1400"/>
      <c r="BD657" s="1400"/>
      <c r="BE657" s="1683">
        <v>19338.919999999998</v>
      </c>
      <c r="BF657" s="1683">
        <v>19338.919999999998</v>
      </c>
      <c r="BG657" s="1683">
        <v>16381.27</v>
      </c>
      <c r="BH657" s="1683">
        <v>16381.27</v>
      </c>
      <c r="BI657" s="1683">
        <v>0</v>
      </c>
      <c r="BJ657" s="1683">
        <v>2957.65</v>
      </c>
      <c r="BK657" s="1683">
        <v>0</v>
      </c>
      <c r="BL657" s="1683">
        <v>2957.65</v>
      </c>
      <c r="BM657" s="1683">
        <v>0</v>
      </c>
      <c r="BN657" s="1683">
        <v>0</v>
      </c>
      <c r="BO657" s="1685">
        <v>43403</v>
      </c>
      <c r="BP657" s="1683">
        <v>19338.919999999998</v>
      </c>
      <c r="BQ657" s="1683">
        <v>19338.919999999998</v>
      </c>
      <c r="BR657" s="1683">
        <v>16381.27</v>
      </c>
      <c r="BS657" s="1683">
        <v>16381.27</v>
      </c>
      <c r="BT657" s="1683">
        <v>0</v>
      </c>
      <c r="BU657" s="1683">
        <v>2957.65</v>
      </c>
      <c r="BV657" s="1683">
        <v>0</v>
      </c>
      <c r="BW657" s="1683">
        <v>0</v>
      </c>
      <c r="BX657" s="1683">
        <v>0</v>
      </c>
      <c r="BY657" s="1683">
        <v>0</v>
      </c>
      <c r="BZ657" s="1683">
        <v>0</v>
      </c>
      <c r="CA657" s="1400"/>
      <c r="CB657" s="1682"/>
      <c r="CC657" s="1682"/>
      <c r="CD657" s="1400"/>
      <c r="CE657" s="1400"/>
      <c r="CF657" s="1683">
        <v>0</v>
      </c>
      <c r="CG657" s="1683">
        <v>0</v>
      </c>
      <c r="CH657" s="1683">
        <v>0</v>
      </c>
      <c r="CI657" s="1683">
        <v>0</v>
      </c>
      <c r="CJ657" s="1683">
        <v>0</v>
      </c>
      <c r="CK657" s="1683">
        <v>0</v>
      </c>
      <c r="CL657" s="1682"/>
      <c r="CM657" s="1683">
        <v>0</v>
      </c>
      <c r="CN657" s="1683">
        <v>0</v>
      </c>
      <c r="CO657" s="1683">
        <v>0</v>
      </c>
      <c r="CP657" s="1683">
        <v>0</v>
      </c>
      <c r="CQ657" s="1683">
        <v>0</v>
      </c>
      <c r="CR657" s="1683">
        <v>0</v>
      </c>
      <c r="CS657" s="1683">
        <v>0</v>
      </c>
      <c r="CT657" s="1683">
        <v>0</v>
      </c>
      <c r="CU657" s="1683">
        <v>0</v>
      </c>
      <c r="CV657" s="1683">
        <v>0</v>
      </c>
      <c r="CW657" s="1682"/>
      <c r="CX657" s="1400"/>
      <c r="CY657" s="1400"/>
      <c r="CZ657" s="1400"/>
      <c r="DA657" s="1400"/>
      <c r="DB657" s="1682"/>
      <c r="DC657" s="1326"/>
      <c r="DD657" s="1683">
        <v>0</v>
      </c>
      <c r="DE657" s="1400"/>
      <c r="DF657" s="1400"/>
      <c r="DG657" s="1683">
        <v>0</v>
      </c>
      <c r="DH657" s="1683">
        <v>0</v>
      </c>
    </row>
    <row r="658" spans="1:112" ht="56.25">
      <c r="A658" s="1326" t="s">
        <v>4422</v>
      </c>
      <c r="B658" s="1326" t="s">
        <v>1704</v>
      </c>
      <c r="C658" s="1326" t="s">
        <v>2580</v>
      </c>
      <c r="D658" s="1326" t="s">
        <v>2581</v>
      </c>
      <c r="E658" s="1326" t="s">
        <v>2467</v>
      </c>
      <c r="F658" s="1326" t="s">
        <v>2582</v>
      </c>
      <c r="G658" s="1326" t="s">
        <v>2556</v>
      </c>
      <c r="H658" s="1326" t="s">
        <v>2541</v>
      </c>
      <c r="I658" s="1326" t="s">
        <v>805</v>
      </c>
      <c r="J658" s="1326" t="s">
        <v>233</v>
      </c>
      <c r="K658" s="1326" t="s">
        <v>2110</v>
      </c>
      <c r="L658" s="1326" t="s">
        <v>2061</v>
      </c>
      <c r="M658" s="1400"/>
      <c r="N658" s="1400"/>
      <c r="O658" s="1400"/>
      <c r="P658" s="1400"/>
      <c r="Q658" s="1400"/>
      <c r="R658" s="1400"/>
      <c r="S658" s="1400"/>
      <c r="T658" s="1400"/>
      <c r="U658" s="1400"/>
      <c r="V658" s="1400"/>
      <c r="W658" s="1400"/>
      <c r="X658" s="1400"/>
      <c r="Y658" s="1685">
        <v>43404</v>
      </c>
      <c r="Z658" s="1326" t="s">
        <v>2062</v>
      </c>
      <c r="AA658" s="1683">
        <v>0</v>
      </c>
      <c r="AB658" s="1683">
        <v>0</v>
      </c>
      <c r="AC658" s="1683">
        <v>0</v>
      </c>
      <c r="AD658" s="1685">
        <v>43426</v>
      </c>
      <c r="AE658" s="1326" t="s">
        <v>2088</v>
      </c>
      <c r="AF658" s="1326" t="s">
        <v>2067</v>
      </c>
      <c r="AG658" s="1410"/>
      <c r="AH658" s="1683">
        <v>18900</v>
      </c>
      <c r="AI658" s="1683">
        <v>18900</v>
      </c>
      <c r="AJ658" s="1683">
        <v>16009.48</v>
      </c>
      <c r="AK658" s="1683">
        <v>16009.48</v>
      </c>
      <c r="AL658" s="1683">
        <v>0</v>
      </c>
      <c r="AM658" s="1685">
        <v>43430</v>
      </c>
      <c r="AN658" s="1683">
        <v>18900</v>
      </c>
      <c r="AO658" s="1683">
        <v>18900</v>
      </c>
      <c r="AP658" s="1683">
        <v>16009.48</v>
      </c>
      <c r="AQ658" s="1683">
        <v>16009.48</v>
      </c>
      <c r="AR658" s="1683">
        <v>0</v>
      </c>
      <c r="AS658" s="1683">
        <v>2890.52</v>
      </c>
      <c r="AT658" s="1683">
        <v>0</v>
      </c>
      <c r="AU658" s="1683">
        <v>2890.52</v>
      </c>
      <c r="AV658" s="1683">
        <v>0</v>
      </c>
      <c r="AW658" s="1683">
        <v>0</v>
      </c>
      <c r="AX658" s="1400"/>
      <c r="AY658" s="1400"/>
      <c r="AZ658" s="1400"/>
      <c r="BA658" s="1682"/>
      <c r="BB658" s="1682"/>
      <c r="BC658" s="1400"/>
      <c r="BD658" s="1400"/>
      <c r="BE658" s="1683">
        <v>18900</v>
      </c>
      <c r="BF658" s="1683">
        <v>18900</v>
      </c>
      <c r="BG658" s="1683">
        <v>16009.48</v>
      </c>
      <c r="BH658" s="1683">
        <v>16009.48</v>
      </c>
      <c r="BI658" s="1683">
        <v>0</v>
      </c>
      <c r="BJ658" s="1683">
        <v>2890.52</v>
      </c>
      <c r="BK658" s="1683">
        <v>0</v>
      </c>
      <c r="BL658" s="1683">
        <v>2890.52</v>
      </c>
      <c r="BM658" s="1683">
        <v>0</v>
      </c>
      <c r="BN658" s="1683">
        <v>0</v>
      </c>
      <c r="BO658" s="1685">
        <v>43453</v>
      </c>
      <c r="BP658" s="1683">
        <v>18900</v>
      </c>
      <c r="BQ658" s="1683">
        <v>18900</v>
      </c>
      <c r="BR658" s="1683">
        <v>16009.48</v>
      </c>
      <c r="BS658" s="1683">
        <v>16009.48</v>
      </c>
      <c r="BT658" s="1683">
        <v>0</v>
      </c>
      <c r="BU658" s="1683">
        <v>2890.52</v>
      </c>
      <c r="BV658" s="1683">
        <v>0</v>
      </c>
      <c r="BW658" s="1683">
        <v>0</v>
      </c>
      <c r="BX658" s="1683">
        <v>0</v>
      </c>
      <c r="BY658" s="1683">
        <v>0</v>
      </c>
      <c r="BZ658" s="1683">
        <v>0</v>
      </c>
      <c r="CA658" s="1400"/>
      <c r="CB658" s="1682"/>
      <c r="CC658" s="1682"/>
      <c r="CD658" s="1400"/>
      <c r="CE658" s="1400"/>
      <c r="CF658" s="1683">
        <v>0</v>
      </c>
      <c r="CG658" s="1683">
        <v>0</v>
      </c>
      <c r="CH658" s="1683">
        <v>0</v>
      </c>
      <c r="CI658" s="1683">
        <v>0</v>
      </c>
      <c r="CJ658" s="1683">
        <v>0</v>
      </c>
      <c r="CK658" s="1683">
        <v>0</v>
      </c>
      <c r="CL658" s="1682"/>
      <c r="CM658" s="1683">
        <v>0</v>
      </c>
      <c r="CN658" s="1683">
        <v>0</v>
      </c>
      <c r="CO658" s="1683">
        <v>0</v>
      </c>
      <c r="CP658" s="1683">
        <v>0</v>
      </c>
      <c r="CQ658" s="1683">
        <v>0</v>
      </c>
      <c r="CR658" s="1683">
        <v>0</v>
      </c>
      <c r="CS658" s="1683">
        <v>0</v>
      </c>
      <c r="CT658" s="1683">
        <v>0</v>
      </c>
      <c r="CU658" s="1683">
        <v>0</v>
      </c>
      <c r="CV658" s="1683">
        <v>0</v>
      </c>
      <c r="CW658" s="1682"/>
      <c r="CX658" s="1400"/>
      <c r="CY658" s="1400"/>
      <c r="CZ658" s="1400"/>
      <c r="DA658" s="1400"/>
      <c r="DB658" s="1682"/>
      <c r="DC658" s="1326"/>
      <c r="DD658" s="1683">
        <v>0</v>
      </c>
      <c r="DE658" s="1400"/>
      <c r="DF658" s="1400"/>
      <c r="DG658" s="1683">
        <v>0</v>
      </c>
      <c r="DH658" s="1683">
        <v>0</v>
      </c>
    </row>
    <row r="659" spans="1:112" ht="56.25">
      <c r="A659" s="1326" t="s">
        <v>4423</v>
      </c>
      <c r="B659" s="1326" t="s">
        <v>1704</v>
      </c>
      <c r="C659" s="1326" t="s">
        <v>2580</v>
      </c>
      <c r="D659" s="1326" t="s">
        <v>2581</v>
      </c>
      <c r="E659" s="1326" t="s">
        <v>2467</v>
      </c>
      <c r="F659" s="1326" t="s">
        <v>2582</v>
      </c>
      <c r="G659" s="1326" t="s">
        <v>2556</v>
      </c>
      <c r="H659" s="1326" t="s">
        <v>2541</v>
      </c>
      <c r="I659" s="1326" t="s">
        <v>805</v>
      </c>
      <c r="J659" s="1326" t="s">
        <v>233</v>
      </c>
      <c r="K659" s="1326" t="s">
        <v>2110</v>
      </c>
      <c r="L659" s="1326" t="s">
        <v>2061</v>
      </c>
      <c r="M659" s="1400"/>
      <c r="N659" s="1400"/>
      <c r="O659" s="1400"/>
      <c r="P659" s="1400"/>
      <c r="Q659" s="1400"/>
      <c r="R659" s="1400"/>
      <c r="S659" s="1400"/>
      <c r="T659" s="1400"/>
      <c r="U659" s="1400"/>
      <c r="V659" s="1400"/>
      <c r="W659" s="1400"/>
      <c r="X659" s="1400"/>
      <c r="Y659" s="1685">
        <v>43404</v>
      </c>
      <c r="Z659" s="1326" t="s">
        <v>2062</v>
      </c>
      <c r="AA659" s="1683">
        <v>0</v>
      </c>
      <c r="AB659" s="1683">
        <v>0</v>
      </c>
      <c r="AC659" s="1683">
        <v>0</v>
      </c>
      <c r="AD659" s="1685">
        <v>43426</v>
      </c>
      <c r="AE659" s="1326" t="s">
        <v>2088</v>
      </c>
      <c r="AF659" s="1326" t="s">
        <v>2064</v>
      </c>
      <c r="AG659" s="1410"/>
      <c r="AH659" s="1683">
        <v>550</v>
      </c>
      <c r="AI659" s="1683">
        <v>550</v>
      </c>
      <c r="AJ659" s="1683">
        <v>465.88</v>
      </c>
      <c r="AK659" s="1683">
        <v>465.88</v>
      </c>
      <c r="AL659" s="1683">
        <v>0</v>
      </c>
      <c r="AM659" s="1685">
        <v>43426</v>
      </c>
      <c r="AN659" s="1683">
        <v>550</v>
      </c>
      <c r="AO659" s="1683">
        <v>550</v>
      </c>
      <c r="AP659" s="1683">
        <v>465.88</v>
      </c>
      <c r="AQ659" s="1683">
        <v>465.88</v>
      </c>
      <c r="AR659" s="1683">
        <v>0</v>
      </c>
      <c r="AS659" s="1683">
        <v>84.12</v>
      </c>
      <c r="AT659" s="1683">
        <v>0</v>
      </c>
      <c r="AU659" s="1683">
        <v>84.12</v>
      </c>
      <c r="AV659" s="1683">
        <v>0</v>
      </c>
      <c r="AW659" s="1683">
        <v>0</v>
      </c>
      <c r="AX659" s="1400"/>
      <c r="AY659" s="1400"/>
      <c r="AZ659" s="1400"/>
      <c r="BA659" s="1682"/>
      <c r="BB659" s="1682"/>
      <c r="BC659" s="1400"/>
      <c r="BD659" s="1400"/>
      <c r="BE659" s="1683">
        <v>550</v>
      </c>
      <c r="BF659" s="1683">
        <v>550</v>
      </c>
      <c r="BG659" s="1683">
        <v>465.88</v>
      </c>
      <c r="BH659" s="1683">
        <v>465.88</v>
      </c>
      <c r="BI659" s="1683">
        <v>0</v>
      </c>
      <c r="BJ659" s="1683">
        <v>84.12</v>
      </c>
      <c r="BK659" s="1683">
        <v>0</v>
      </c>
      <c r="BL659" s="1683">
        <v>84.12</v>
      </c>
      <c r="BM659" s="1683">
        <v>0</v>
      </c>
      <c r="BN659" s="1683">
        <v>0</v>
      </c>
      <c r="BO659" s="1685">
        <v>43453</v>
      </c>
      <c r="BP659" s="1683">
        <v>550</v>
      </c>
      <c r="BQ659" s="1683">
        <v>550</v>
      </c>
      <c r="BR659" s="1683">
        <v>465.88</v>
      </c>
      <c r="BS659" s="1683">
        <v>465.88</v>
      </c>
      <c r="BT659" s="1683">
        <v>0</v>
      </c>
      <c r="BU659" s="1683">
        <v>84.12</v>
      </c>
      <c r="BV659" s="1683">
        <v>0</v>
      </c>
      <c r="BW659" s="1683">
        <v>0</v>
      </c>
      <c r="BX659" s="1683">
        <v>0</v>
      </c>
      <c r="BY659" s="1683">
        <v>0</v>
      </c>
      <c r="BZ659" s="1683">
        <v>0</v>
      </c>
      <c r="CA659" s="1400"/>
      <c r="CB659" s="1682"/>
      <c r="CC659" s="1682"/>
      <c r="CD659" s="1400"/>
      <c r="CE659" s="1400"/>
      <c r="CF659" s="1683">
        <v>0</v>
      </c>
      <c r="CG659" s="1683">
        <v>0</v>
      </c>
      <c r="CH659" s="1683">
        <v>0</v>
      </c>
      <c r="CI659" s="1683">
        <v>0</v>
      </c>
      <c r="CJ659" s="1683">
        <v>0</v>
      </c>
      <c r="CK659" s="1683">
        <v>0</v>
      </c>
      <c r="CL659" s="1682"/>
      <c r="CM659" s="1683">
        <v>0</v>
      </c>
      <c r="CN659" s="1683">
        <v>0</v>
      </c>
      <c r="CO659" s="1683">
        <v>0</v>
      </c>
      <c r="CP659" s="1683">
        <v>0</v>
      </c>
      <c r="CQ659" s="1683">
        <v>0</v>
      </c>
      <c r="CR659" s="1683">
        <v>0</v>
      </c>
      <c r="CS659" s="1683">
        <v>0</v>
      </c>
      <c r="CT659" s="1683">
        <v>0</v>
      </c>
      <c r="CU659" s="1683">
        <v>0</v>
      </c>
      <c r="CV659" s="1683">
        <v>0</v>
      </c>
      <c r="CW659" s="1682"/>
      <c r="CX659" s="1400"/>
      <c r="CY659" s="1400"/>
      <c r="CZ659" s="1400"/>
      <c r="DA659" s="1400"/>
      <c r="DB659" s="1682"/>
      <c r="DC659" s="1326"/>
      <c r="DD659" s="1683">
        <v>0</v>
      </c>
      <c r="DE659" s="1400"/>
      <c r="DF659" s="1400"/>
      <c r="DG659" s="1683">
        <v>0</v>
      </c>
      <c r="DH659" s="1683">
        <v>0</v>
      </c>
    </row>
    <row r="660" spans="1:112" ht="56.25">
      <c r="A660" s="1326" t="s">
        <v>4424</v>
      </c>
      <c r="B660" s="1326" t="s">
        <v>1704</v>
      </c>
      <c r="C660" s="1326" t="s">
        <v>2580</v>
      </c>
      <c r="D660" s="1326" t="s">
        <v>2581</v>
      </c>
      <c r="E660" s="1326" t="s">
        <v>2467</v>
      </c>
      <c r="F660" s="1326" t="s">
        <v>2582</v>
      </c>
      <c r="G660" s="1326" t="s">
        <v>2556</v>
      </c>
      <c r="H660" s="1326" t="s">
        <v>2541</v>
      </c>
      <c r="I660" s="1326" t="s">
        <v>805</v>
      </c>
      <c r="J660" s="1326" t="s">
        <v>233</v>
      </c>
      <c r="K660" s="1326" t="s">
        <v>2110</v>
      </c>
      <c r="L660" s="1326" t="s">
        <v>2061</v>
      </c>
      <c r="M660" s="1400"/>
      <c r="N660" s="1400"/>
      <c r="O660" s="1400"/>
      <c r="P660" s="1400"/>
      <c r="Q660" s="1400"/>
      <c r="R660" s="1400"/>
      <c r="S660" s="1400"/>
      <c r="T660" s="1400"/>
      <c r="U660" s="1400"/>
      <c r="V660" s="1400"/>
      <c r="W660" s="1400"/>
      <c r="X660" s="1400"/>
      <c r="Y660" s="1685">
        <v>43420</v>
      </c>
      <c r="Z660" s="1326" t="s">
        <v>2096</v>
      </c>
      <c r="AA660" s="1683">
        <v>0</v>
      </c>
      <c r="AB660" s="1683">
        <v>0</v>
      </c>
      <c r="AC660" s="1683">
        <v>0</v>
      </c>
      <c r="AD660" s="1685">
        <v>43426</v>
      </c>
      <c r="AE660" s="1326" t="s">
        <v>2082</v>
      </c>
      <c r="AF660" s="1326" t="s">
        <v>2064</v>
      </c>
      <c r="AG660" s="1410"/>
      <c r="AH660" s="1683">
        <v>0</v>
      </c>
      <c r="AI660" s="1683">
        <v>15000</v>
      </c>
      <c r="AJ660" s="1683">
        <v>15000</v>
      </c>
      <c r="AK660" s="1683">
        <v>15000</v>
      </c>
      <c r="AL660" s="1683">
        <v>0</v>
      </c>
      <c r="AM660" s="1682"/>
      <c r="AN660" s="1683">
        <v>0</v>
      </c>
      <c r="AO660" s="1683">
        <v>0</v>
      </c>
      <c r="AP660" s="1683">
        <v>0</v>
      </c>
      <c r="AQ660" s="1683">
        <v>0</v>
      </c>
      <c r="AR660" s="1683">
        <v>0</v>
      </c>
      <c r="AS660" s="1683">
        <v>0</v>
      </c>
      <c r="AT660" s="1683">
        <v>0</v>
      </c>
      <c r="AU660" s="1683">
        <v>0</v>
      </c>
      <c r="AV660" s="1683">
        <v>0</v>
      </c>
      <c r="AW660" s="1683">
        <v>0</v>
      </c>
      <c r="AX660" s="1400"/>
      <c r="AY660" s="1400"/>
      <c r="AZ660" s="1400"/>
      <c r="BA660" s="1682"/>
      <c r="BB660" s="1682"/>
      <c r="BC660" s="1400"/>
      <c r="BD660" s="1400"/>
      <c r="BE660" s="1683">
        <v>0</v>
      </c>
      <c r="BF660" s="1683">
        <v>0</v>
      </c>
      <c r="BG660" s="1683">
        <v>0</v>
      </c>
      <c r="BH660" s="1683">
        <v>0</v>
      </c>
      <c r="BI660" s="1683">
        <v>0</v>
      </c>
      <c r="BJ660" s="1683">
        <v>0</v>
      </c>
      <c r="BK660" s="1683">
        <v>0</v>
      </c>
      <c r="BL660" s="1683">
        <v>0</v>
      </c>
      <c r="BM660" s="1683">
        <v>0</v>
      </c>
      <c r="BN660" s="1683">
        <v>0</v>
      </c>
      <c r="BO660" s="1682"/>
      <c r="BP660" s="1683">
        <v>0</v>
      </c>
      <c r="BQ660" s="1683">
        <v>0</v>
      </c>
      <c r="BR660" s="1683">
        <v>0</v>
      </c>
      <c r="BS660" s="1683">
        <v>0</v>
      </c>
      <c r="BT660" s="1683">
        <v>0</v>
      </c>
      <c r="BU660" s="1683">
        <v>0</v>
      </c>
      <c r="BV660" s="1683">
        <v>0</v>
      </c>
      <c r="BW660" s="1683">
        <v>0</v>
      </c>
      <c r="BX660" s="1683">
        <v>0</v>
      </c>
      <c r="BY660" s="1683">
        <v>0</v>
      </c>
      <c r="BZ660" s="1400"/>
      <c r="CA660" s="1400"/>
      <c r="CB660" s="1682"/>
      <c r="CC660" s="1682"/>
      <c r="CD660" s="1400"/>
      <c r="CE660" s="1400"/>
      <c r="CF660" s="1683">
        <v>0</v>
      </c>
      <c r="CG660" s="1683">
        <v>0</v>
      </c>
      <c r="CH660" s="1683">
        <v>0</v>
      </c>
      <c r="CI660" s="1683">
        <v>0</v>
      </c>
      <c r="CJ660" s="1683">
        <v>0</v>
      </c>
      <c r="CK660" s="1683">
        <v>0</v>
      </c>
      <c r="CL660" s="1682"/>
      <c r="CM660" s="1683">
        <v>0</v>
      </c>
      <c r="CN660" s="1683">
        <v>0</v>
      </c>
      <c r="CO660" s="1683">
        <v>0</v>
      </c>
      <c r="CP660" s="1683">
        <v>0</v>
      </c>
      <c r="CQ660" s="1683">
        <v>0</v>
      </c>
      <c r="CR660" s="1683">
        <v>0</v>
      </c>
      <c r="CS660" s="1683">
        <v>0</v>
      </c>
      <c r="CT660" s="1683">
        <v>0</v>
      </c>
      <c r="CU660" s="1683">
        <v>0</v>
      </c>
      <c r="CV660" s="1683">
        <v>0</v>
      </c>
      <c r="CW660" s="1682"/>
      <c r="CX660" s="1400"/>
      <c r="CY660" s="1400"/>
      <c r="CZ660" s="1400"/>
      <c r="DA660" s="1400"/>
      <c r="DB660" s="1682"/>
      <c r="DC660" s="1326"/>
      <c r="DD660" s="1683">
        <v>0</v>
      </c>
      <c r="DE660" s="1400"/>
      <c r="DF660" s="1400"/>
      <c r="DG660" s="1683">
        <v>0</v>
      </c>
      <c r="DH660" s="1683">
        <v>0</v>
      </c>
    </row>
    <row r="661" spans="1:112" ht="56.25">
      <c r="A661" s="1326" t="s">
        <v>4425</v>
      </c>
      <c r="B661" s="1326" t="s">
        <v>1704</v>
      </c>
      <c r="C661" s="1326" t="s">
        <v>2580</v>
      </c>
      <c r="D661" s="1326" t="s">
        <v>2581</v>
      </c>
      <c r="E661" s="1326" t="s">
        <v>2467</v>
      </c>
      <c r="F661" s="1326" t="s">
        <v>2582</v>
      </c>
      <c r="G661" s="1326" t="s">
        <v>2556</v>
      </c>
      <c r="H661" s="1326" t="s">
        <v>2541</v>
      </c>
      <c r="I661" s="1326" t="s">
        <v>805</v>
      </c>
      <c r="J661" s="1326" t="s">
        <v>233</v>
      </c>
      <c r="K661" s="1326" t="s">
        <v>2110</v>
      </c>
      <c r="L661" s="1326" t="s">
        <v>2061</v>
      </c>
      <c r="M661" s="1400"/>
      <c r="N661" s="1400"/>
      <c r="O661" s="1400"/>
      <c r="P661" s="1400"/>
      <c r="Q661" s="1400"/>
      <c r="R661" s="1400"/>
      <c r="S661" s="1400"/>
      <c r="T661" s="1400"/>
      <c r="U661" s="1400"/>
      <c r="V661" s="1400"/>
      <c r="W661" s="1400"/>
      <c r="X661" s="1400"/>
      <c r="Y661" s="1685">
        <v>43500</v>
      </c>
      <c r="Z661" s="1326" t="s">
        <v>2062</v>
      </c>
      <c r="AA661" s="1683">
        <v>0</v>
      </c>
      <c r="AB661" s="1683">
        <v>0</v>
      </c>
      <c r="AC661" s="1683">
        <v>0</v>
      </c>
      <c r="AD661" s="1685">
        <v>43532</v>
      </c>
      <c r="AE661" s="1326" t="s">
        <v>2083</v>
      </c>
      <c r="AF661" s="1326" t="s">
        <v>2067</v>
      </c>
      <c r="AG661" s="1410"/>
      <c r="AH661" s="1683">
        <v>21344.91</v>
      </c>
      <c r="AI661" s="1683">
        <v>21344.91</v>
      </c>
      <c r="AJ661" s="1683">
        <v>18080.47</v>
      </c>
      <c r="AK661" s="1683">
        <v>18080.47</v>
      </c>
      <c r="AL661" s="1683">
        <v>0</v>
      </c>
      <c r="AM661" s="1685">
        <v>43537</v>
      </c>
      <c r="AN661" s="1683">
        <v>21344.91</v>
      </c>
      <c r="AO661" s="1683">
        <v>21344.91</v>
      </c>
      <c r="AP661" s="1683">
        <v>18080.47</v>
      </c>
      <c r="AQ661" s="1683">
        <v>18080.47</v>
      </c>
      <c r="AR661" s="1683">
        <v>0</v>
      </c>
      <c r="AS661" s="1683">
        <v>3264.44</v>
      </c>
      <c r="AT661" s="1683">
        <v>0</v>
      </c>
      <c r="AU661" s="1683">
        <v>3264.44</v>
      </c>
      <c r="AV661" s="1683">
        <v>0</v>
      </c>
      <c r="AW661" s="1683">
        <v>0</v>
      </c>
      <c r="AX661" s="1400"/>
      <c r="AY661" s="1400"/>
      <c r="AZ661" s="1400"/>
      <c r="BA661" s="1682"/>
      <c r="BB661" s="1682"/>
      <c r="BC661" s="1400"/>
      <c r="BD661" s="1400"/>
      <c r="BE661" s="1683">
        <v>21344.91</v>
      </c>
      <c r="BF661" s="1683">
        <v>21344.91</v>
      </c>
      <c r="BG661" s="1683">
        <v>18080.47</v>
      </c>
      <c r="BH661" s="1683">
        <v>18080.47</v>
      </c>
      <c r="BI661" s="1683">
        <v>0</v>
      </c>
      <c r="BJ661" s="1683">
        <v>3264.44</v>
      </c>
      <c r="BK661" s="1683">
        <v>0</v>
      </c>
      <c r="BL661" s="1683">
        <v>3264.44</v>
      </c>
      <c r="BM661" s="1683">
        <v>0</v>
      </c>
      <c r="BN661" s="1683">
        <v>0</v>
      </c>
      <c r="BO661" s="1682"/>
      <c r="BP661" s="1683">
        <v>0</v>
      </c>
      <c r="BQ661" s="1683">
        <v>0</v>
      </c>
      <c r="BR661" s="1683">
        <v>0</v>
      </c>
      <c r="BS661" s="1683">
        <v>0</v>
      </c>
      <c r="BT661" s="1683">
        <v>0</v>
      </c>
      <c r="BU661" s="1683">
        <v>0</v>
      </c>
      <c r="BV661" s="1683">
        <v>0</v>
      </c>
      <c r="BW661" s="1683">
        <v>0</v>
      </c>
      <c r="BX661" s="1683">
        <v>0</v>
      </c>
      <c r="BY661" s="1683">
        <v>0</v>
      </c>
      <c r="BZ661" s="1400"/>
      <c r="CA661" s="1400"/>
      <c r="CB661" s="1682"/>
      <c r="CC661" s="1682"/>
      <c r="CD661" s="1400"/>
      <c r="CE661" s="1400"/>
      <c r="CF661" s="1683">
        <v>0</v>
      </c>
      <c r="CG661" s="1683">
        <v>0</v>
      </c>
      <c r="CH661" s="1683">
        <v>0</v>
      </c>
      <c r="CI661" s="1683">
        <v>0</v>
      </c>
      <c r="CJ661" s="1683">
        <v>0</v>
      </c>
      <c r="CK661" s="1683">
        <v>0</v>
      </c>
      <c r="CL661" s="1682"/>
      <c r="CM661" s="1683">
        <v>0</v>
      </c>
      <c r="CN661" s="1683">
        <v>0</v>
      </c>
      <c r="CO661" s="1683">
        <v>0</v>
      </c>
      <c r="CP661" s="1683">
        <v>0</v>
      </c>
      <c r="CQ661" s="1683">
        <v>0</v>
      </c>
      <c r="CR661" s="1683">
        <v>0</v>
      </c>
      <c r="CS661" s="1683">
        <v>0</v>
      </c>
      <c r="CT661" s="1683">
        <v>0</v>
      </c>
      <c r="CU661" s="1683">
        <v>0</v>
      </c>
      <c r="CV661" s="1683">
        <v>0</v>
      </c>
      <c r="CW661" s="1682"/>
      <c r="CX661" s="1400"/>
      <c r="CY661" s="1400"/>
      <c r="CZ661" s="1400"/>
      <c r="DA661" s="1400"/>
      <c r="DB661" s="1682"/>
      <c r="DC661" s="1326"/>
      <c r="DD661" s="1683">
        <v>0</v>
      </c>
      <c r="DE661" s="1400"/>
      <c r="DF661" s="1400"/>
      <c r="DG661" s="1683">
        <v>0</v>
      </c>
      <c r="DH661" s="1683">
        <v>0</v>
      </c>
    </row>
    <row r="662" spans="1:112" ht="56.25">
      <c r="A662" s="1326" t="s">
        <v>4426</v>
      </c>
      <c r="B662" s="1326" t="s">
        <v>1704</v>
      </c>
      <c r="C662" s="1326" t="s">
        <v>2580</v>
      </c>
      <c r="D662" s="1326" t="s">
        <v>2581</v>
      </c>
      <c r="E662" s="1326" t="s">
        <v>2467</v>
      </c>
      <c r="F662" s="1326" t="s">
        <v>2582</v>
      </c>
      <c r="G662" s="1326" t="s">
        <v>2556</v>
      </c>
      <c r="H662" s="1326" t="s">
        <v>2541</v>
      </c>
      <c r="I662" s="1326" t="s">
        <v>805</v>
      </c>
      <c r="J662" s="1326" t="s">
        <v>233</v>
      </c>
      <c r="K662" s="1326" t="s">
        <v>2110</v>
      </c>
      <c r="L662" s="1326" t="s">
        <v>2061</v>
      </c>
      <c r="M662" s="1400"/>
      <c r="N662" s="1400"/>
      <c r="O662" s="1400"/>
      <c r="P662" s="1400"/>
      <c r="Q662" s="1400"/>
      <c r="R662" s="1400"/>
      <c r="S662" s="1400"/>
      <c r="T662" s="1400"/>
      <c r="U662" s="1400"/>
      <c r="V662" s="1400"/>
      <c r="W662" s="1400"/>
      <c r="X662" s="1400"/>
      <c r="Y662" s="1685">
        <v>43500</v>
      </c>
      <c r="Z662" s="1326" t="s">
        <v>2062</v>
      </c>
      <c r="AA662" s="1683">
        <v>0</v>
      </c>
      <c r="AB662" s="1683">
        <v>0</v>
      </c>
      <c r="AC662" s="1683">
        <v>0</v>
      </c>
      <c r="AD662" s="1685">
        <v>43532</v>
      </c>
      <c r="AE662" s="1326" t="s">
        <v>2083</v>
      </c>
      <c r="AF662" s="1326" t="s">
        <v>2064</v>
      </c>
      <c r="AG662" s="1410"/>
      <c r="AH662" s="1683">
        <v>3952.77</v>
      </c>
      <c r="AI662" s="1683">
        <v>3952.77</v>
      </c>
      <c r="AJ662" s="1683">
        <v>3348.24</v>
      </c>
      <c r="AK662" s="1683">
        <v>3348.24</v>
      </c>
      <c r="AL662" s="1683">
        <v>0</v>
      </c>
      <c r="AM662" s="1685">
        <v>43532</v>
      </c>
      <c r="AN662" s="1683">
        <v>3952.77</v>
      </c>
      <c r="AO662" s="1683">
        <v>3952.77</v>
      </c>
      <c r="AP662" s="1683">
        <v>3348.24</v>
      </c>
      <c r="AQ662" s="1683">
        <v>3348.24</v>
      </c>
      <c r="AR662" s="1683">
        <v>0</v>
      </c>
      <c r="AS662" s="1683">
        <v>604.53</v>
      </c>
      <c r="AT662" s="1683">
        <v>0</v>
      </c>
      <c r="AU662" s="1683">
        <v>604.53</v>
      </c>
      <c r="AV662" s="1683">
        <v>0</v>
      </c>
      <c r="AW662" s="1683">
        <v>0</v>
      </c>
      <c r="AX662" s="1400"/>
      <c r="AY662" s="1400"/>
      <c r="AZ662" s="1400"/>
      <c r="BA662" s="1682"/>
      <c r="BB662" s="1682"/>
      <c r="BC662" s="1400"/>
      <c r="BD662" s="1400"/>
      <c r="BE662" s="1683">
        <v>3952.77</v>
      </c>
      <c r="BF662" s="1683">
        <v>3952.77</v>
      </c>
      <c r="BG662" s="1683">
        <v>3348.24</v>
      </c>
      <c r="BH662" s="1683">
        <v>3348.24</v>
      </c>
      <c r="BI662" s="1683">
        <v>0</v>
      </c>
      <c r="BJ662" s="1683">
        <v>604.53</v>
      </c>
      <c r="BK662" s="1683">
        <v>0</v>
      </c>
      <c r="BL662" s="1683">
        <v>604.53</v>
      </c>
      <c r="BM662" s="1683">
        <v>0</v>
      </c>
      <c r="BN662" s="1683">
        <v>0</v>
      </c>
      <c r="BO662" s="1682"/>
      <c r="BP662" s="1683">
        <v>0</v>
      </c>
      <c r="BQ662" s="1683">
        <v>0</v>
      </c>
      <c r="BR662" s="1683">
        <v>0</v>
      </c>
      <c r="BS662" s="1683">
        <v>0</v>
      </c>
      <c r="BT662" s="1683">
        <v>0</v>
      </c>
      <c r="BU662" s="1683">
        <v>0</v>
      </c>
      <c r="BV662" s="1683">
        <v>0</v>
      </c>
      <c r="BW662" s="1683">
        <v>0</v>
      </c>
      <c r="BX662" s="1683">
        <v>0</v>
      </c>
      <c r="BY662" s="1683">
        <v>0</v>
      </c>
      <c r="BZ662" s="1400"/>
      <c r="CA662" s="1400"/>
      <c r="CB662" s="1682"/>
      <c r="CC662" s="1682"/>
      <c r="CD662" s="1400"/>
      <c r="CE662" s="1400"/>
      <c r="CF662" s="1683">
        <v>0</v>
      </c>
      <c r="CG662" s="1683">
        <v>0</v>
      </c>
      <c r="CH662" s="1683">
        <v>0</v>
      </c>
      <c r="CI662" s="1683">
        <v>0</v>
      </c>
      <c r="CJ662" s="1683">
        <v>0</v>
      </c>
      <c r="CK662" s="1683">
        <v>0</v>
      </c>
      <c r="CL662" s="1682"/>
      <c r="CM662" s="1683">
        <v>0</v>
      </c>
      <c r="CN662" s="1683">
        <v>0</v>
      </c>
      <c r="CO662" s="1683">
        <v>0</v>
      </c>
      <c r="CP662" s="1683">
        <v>0</v>
      </c>
      <c r="CQ662" s="1683">
        <v>0</v>
      </c>
      <c r="CR662" s="1683">
        <v>0</v>
      </c>
      <c r="CS662" s="1683">
        <v>0</v>
      </c>
      <c r="CT662" s="1683">
        <v>0</v>
      </c>
      <c r="CU662" s="1683">
        <v>0</v>
      </c>
      <c r="CV662" s="1683">
        <v>0</v>
      </c>
      <c r="CW662" s="1682"/>
      <c r="CX662" s="1400"/>
      <c r="CY662" s="1400"/>
      <c r="CZ662" s="1400"/>
      <c r="DA662" s="1400"/>
      <c r="DB662" s="1682"/>
      <c r="DC662" s="1326"/>
      <c r="DD662" s="1683">
        <v>0</v>
      </c>
      <c r="DE662" s="1400"/>
      <c r="DF662" s="1400"/>
      <c r="DG662" s="1683">
        <v>0</v>
      </c>
      <c r="DH662" s="1683">
        <v>0</v>
      </c>
    </row>
    <row r="663" spans="1:112" ht="67.5">
      <c r="A663" s="1326" t="s">
        <v>4427</v>
      </c>
      <c r="B663" s="1326" t="s">
        <v>1704</v>
      </c>
      <c r="C663" s="1326" t="s">
        <v>2580</v>
      </c>
      <c r="D663" s="1326" t="s">
        <v>2581</v>
      </c>
      <c r="E663" s="1326" t="s">
        <v>2467</v>
      </c>
      <c r="F663" s="1326" t="s">
        <v>2582</v>
      </c>
      <c r="G663" s="1326" t="s">
        <v>2556</v>
      </c>
      <c r="H663" s="1326" t="s">
        <v>2541</v>
      </c>
      <c r="I663" s="1326" t="s">
        <v>808</v>
      </c>
      <c r="J663" s="1326" t="s">
        <v>2484</v>
      </c>
      <c r="K663" s="1326" t="s">
        <v>2060</v>
      </c>
      <c r="L663" s="1326" t="s">
        <v>2061</v>
      </c>
      <c r="M663" s="1683">
        <v>437551</v>
      </c>
      <c r="N663" s="1683">
        <v>0</v>
      </c>
      <c r="O663" s="1683">
        <v>437551</v>
      </c>
      <c r="P663" s="1683">
        <v>437551</v>
      </c>
      <c r="Q663" s="1683">
        <v>371918</v>
      </c>
      <c r="R663" s="1683">
        <v>371918</v>
      </c>
      <c r="S663" s="1683">
        <v>0</v>
      </c>
      <c r="T663" s="1683">
        <v>65633</v>
      </c>
      <c r="U663" s="1683">
        <v>0</v>
      </c>
      <c r="V663" s="1683">
        <v>65633</v>
      </c>
      <c r="W663" s="1683">
        <v>0</v>
      </c>
      <c r="X663" s="1683">
        <v>0</v>
      </c>
      <c r="Y663" s="1682"/>
      <c r="Z663" s="1326"/>
      <c r="AA663" s="1683">
        <v>0</v>
      </c>
      <c r="AB663" s="1683">
        <v>0</v>
      </c>
      <c r="AC663" s="1683">
        <v>0</v>
      </c>
      <c r="AD663" s="1682"/>
      <c r="AE663" s="1326"/>
      <c r="AF663" s="1326"/>
      <c r="AG663" s="1410"/>
      <c r="AH663" s="1683">
        <v>5055</v>
      </c>
      <c r="AI663" s="1683">
        <v>22355</v>
      </c>
      <c r="AJ663" s="1683">
        <v>21596.75</v>
      </c>
      <c r="AK663" s="1683">
        <v>21596.75</v>
      </c>
      <c r="AL663" s="1683">
        <v>0</v>
      </c>
      <c r="AM663" s="1682"/>
      <c r="AN663" s="1683">
        <v>5055</v>
      </c>
      <c r="AO663" s="1683">
        <v>5055</v>
      </c>
      <c r="AP663" s="1683">
        <v>4296.75</v>
      </c>
      <c r="AQ663" s="1683">
        <v>4296.75</v>
      </c>
      <c r="AR663" s="1683">
        <v>0</v>
      </c>
      <c r="AS663" s="1683">
        <v>758.25</v>
      </c>
      <c r="AT663" s="1683">
        <v>0</v>
      </c>
      <c r="AU663" s="1683">
        <v>758.25</v>
      </c>
      <c r="AV663" s="1683">
        <v>0</v>
      </c>
      <c r="AW663" s="1683">
        <v>0</v>
      </c>
      <c r="AX663" s="1683">
        <v>0</v>
      </c>
      <c r="AY663" s="1683">
        <v>0</v>
      </c>
      <c r="AZ663" s="1683">
        <v>0</v>
      </c>
      <c r="BA663" s="1682"/>
      <c r="BB663" s="1682"/>
      <c r="BC663" s="1683">
        <v>0</v>
      </c>
      <c r="BD663" s="1683">
        <v>0</v>
      </c>
      <c r="BE663" s="1683">
        <v>5055</v>
      </c>
      <c r="BF663" s="1683">
        <v>5055</v>
      </c>
      <c r="BG663" s="1683">
        <v>4296.75</v>
      </c>
      <c r="BH663" s="1683">
        <v>4296.75</v>
      </c>
      <c r="BI663" s="1683">
        <v>0</v>
      </c>
      <c r="BJ663" s="1683">
        <v>758.25</v>
      </c>
      <c r="BK663" s="1683">
        <v>0</v>
      </c>
      <c r="BL663" s="1683">
        <v>758.25</v>
      </c>
      <c r="BM663" s="1683">
        <v>0</v>
      </c>
      <c r="BN663" s="1683">
        <v>0</v>
      </c>
      <c r="BO663" s="1682"/>
      <c r="BP663" s="1683">
        <v>5055</v>
      </c>
      <c r="BQ663" s="1683">
        <v>5055</v>
      </c>
      <c r="BR663" s="1683">
        <v>4296.75</v>
      </c>
      <c r="BS663" s="1683">
        <v>4296.75</v>
      </c>
      <c r="BT663" s="1683">
        <v>0</v>
      </c>
      <c r="BU663" s="1683">
        <v>758.25</v>
      </c>
      <c r="BV663" s="1683">
        <v>0</v>
      </c>
      <c r="BW663" s="1683">
        <v>0</v>
      </c>
      <c r="BX663" s="1683">
        <v>0</v>
      </c>
      <c r="BY663" s="1683">
        <v>0</v>
      </c>
      <c r="BZ663" s="1683">
        <v>0</v>
      </c>
      <c r="CA663" s="1683">
        <v>0</v>
      </c>
      <c r="CB663" s="1682"/>
      <c r="CC663" s="1682"/>
      <c r="CD663" s="1683">
        <v>0</v>
      </c>
      <c r="CE663" s="1683">
        <v>0</v>
      </c>
      <c r="CF663" s="1683">
        <v>0</v>
      </c>
      <c r="CG663" s="1683">
        <v>0</v>
      </c>
      <c r="CH663" s="1683">
        <v>0</v>
      </c>
      <c r="CI663" s="1683">
        <v>0</v>
      </c>
      <c r="CJ663" s="1683">
        <v>55</v>
      </c>
      <c r="CK663" s="1683">
        <v>55</v>
      </c>
      <c r="CL663" s="1682"/>
      <c r="CM663" s="1683">
        <v>0</v>
      </c>
      <c r="CN663" s="1683">
        <v>0</v>
      </c>
      <c r="CO663" s="1683">
        <v>0</v>
      </c>
      <c r="CP663" s="1683">
        <v>0</v>
      </c>
      <c r="CQ663" s="1683">
        <v>0</v>
      </c>
      <c r="CR663" s="1683">
        <v>0</v>
      </c>
      <c r="CS663" s="1683">
        <v>0</v>
      </c>
      <c r="CT663" s="1683">
        <v>0</v>
      </c>
      <c r="CU663" s="1683">
        <v>0</v>
      </c>
      <c r="CV663" s="1683">
        <v>0</v>
      </c>
      <c r="CW663" s="1682"/>
      <c r="CX663" s="1683">
        <v>0</v>
      </c>
      <c r="CY663" s="1683">
        <v>0</v>
      </c>
      <c r="CZ663" s="1683">
        <v>0</v>
      </c>
      <c r="DA663" s="1683">
        <v>0</v>
      </c>
      <c r="DB663" s="1682"/>
      <c r="DC663" s="1326"/>
      <c r="DD663" s="1683">
        <v>0</v>
      </c>
      <c r="DE663" s="1683">
        <v>0</v>
      </c>
      <c r="DF663" s="1683">
        <v>0</v>
      </c>
      <c r="DG663" s="1683">
        <v>0</v>
      </c>
      <c r="DH663" s="1683">
        <v>0</v>
      </c>
    </row>
    <row r="664" spans="1:112" ht="67.5">
      <c r="A664" s="1326" t="s">
        <v>4428</v>
      </c>
      <c r="B664" s="1326" t="s">
        <v>1704</v>
      </c>
      <c r="C664" s="1326" t="s">
        <v>2580</v>
      </c>
      <c r="D664" s="1326" t="s">
        <v>2581</v>
      </c>
      <c r="E664" s="1326" t="s">
        <v>2467</v>
      </c>
      <c r="F664" s="1326" t="s">
        <v>2582</v>
      </c>
      <c r="G664" s="1326" t="s">
        <v>2556</v>
      </c>
      <c r="H664" s="1326" t="s">
        <v>2541</v>
      </c>
      <c r="I664" s="1326" t="s">
        <v>808</v>
      </c>
      <c r="J664" s="1326" t="s">
        <v>2484</v>
      </c>
      <c r="K664" s="1326" t="s">
        <v>2060</v>
      </c>
      <c r="L664" s="1326" t="s">
        <v>2061</v>
      </c>
      <c r="M664" s="1400"/>
      <c r="N664" s="1400"/>
      <c r="O664" s="1400"/>
      <c r="P664" s="1400"/>
      <c r="Q664" s="1400"/>
      <c r="R664" s="1400"/>
      <c r="S664" s="1400"/>
      <c r="T664" s="1400"/>
      <c r="U664" s="1400"/>
      <c r="V664" s="1400"/>
      <c r="W664" s="1400"/>
      <c r="X664" s="1400"/>
      <c r="Y664" s="1685">
        <v>43150</v>
      </c>
      <c r="Z664" s="1326" t="s">
        <v>2096</v>
      </c>
      <c r="AA664" s="1683">
        <v>0</v>
      </c>
      <c r="AB664" s="1683">
        <v>0</v>
      </c>
      <c r="AC664" s="1683">
        <v>0</v>
      </c>
      <c r="AD664" s="1685">
        <v>43158</v>
      </c>
      <c r="AE664" s="1326" t="s">
        <v>2073</v>
      </c>
      <c r="AF664" s="1326" t="s">
        <v>2064</v>
      </c>
      <c r="AG664" s="1410"/>
      <c r="AH664" s="1683">
        <v>0</v>
      </c>
      <c r="AI664" s="1683">
        <v>2000</v>
      </c>
      <c r="AJ664" s="1683">
        <v>2000</v>
      </c>
      <c r="AK664" s="1683">
        <v>2000</v>
      </c>
      <c r="AL664" s="1683">
        <v>0</v>
      </c>
      <c r="AM664" s="1682"/>
      <c r="AN664" s="1683">
        <v>0</v>
      </c>
      <c r="AO664" s="1683">
        <v>0</v>
      </c>
      <c r="AP664" s="1683">
        <v>0</v>
      </c>
      <c r="AQ664" s="1683">
        <v>0</v>
      </c>
      <c r="AR664" s="1683">
        <v>0</v>
      </c>
      <c r="AS664" s="1683">
        <v>0</v>
      </c>
      <c r="AT664" s="1683">
        <v>0</v>
      </c>
      <c r="AU664" s="1683">
        <v>0</v>
      </c>
      <c r="AV664" s="1683">
        <v>0</v>
      </c>
      <c r="AW664" s="1683">
        <v>0</v>
      </c>
      <c r="AX664" s="1400"/>
      <c r="AY664" s="1400"/>
      <c r="AZ664" s="1400"/>
      <c r="BA664" s="1682"/>
      <c r="BB664" s="1682"/>
      <c r="BC664" s="1400"/>
      <c r="BD664" s="1400"/>
      <c r="BE664" s="1683">
        <v>0</v>
      </c>
      <c r="BF664" s="1683">
        <v>0</v>
      </c>
      <c r="BG664" s="1683">
        <v>0</v>
      </c>
      <c r="BH664" s="1683">
        <v>0</v>
      </c>
      <c r="BI664" s="1683">
        <v>0</v>
      </c>
      <c r="BJ664" s="1683">
        <v>0</v>
      </c>
      <c r="BK664" s="1683">
        <v>0</v>
      </c>
      <c r="BL664" s="1683">
        <v>0</v>
      </c>
      <c r="BM664" s="1683">
        <v>0</v>
      </c>
      <c r="BN664" s="1683">
        <v>0</v>
      </c>
      <c r="BO664" s="1682"/>
      <c r="BP664" s="1683">
        <v>0</v>
      </c>
      <c r="BQ664" s="1683">
        <v>0</v>
      </c>
      <c r="BR664" s="1683">
        <v>0</v>
      </c>
      <c r="BS664" s="1683">
        <v>0</v>
      </c>
      <c r="BT664" s="1683">
        <v>0</v>
      </c>
      <c r="BU664" s="1683">
        <v>0</v>
      </c>
      <c r="BV664" s="1683">
        <v>0</v>
      </c>
      <c r="BW664" s="1683">
        <v>0</v>
      </c>
      <c r="BX664" s="1683">
        <v>0</v>
      </c>
      <c r="BY664" s="1683">
        <v>0</v>
      </c>
      <c r="BZ664" s="1400"/>
      <c r="CA664" s="1400"/>
      <c r="CB664" s="1682"/>
      <c r="CC664" s="1682"/>
      <c r="CD664" s="1400"/>
      <c r="CE664" s="1400"/>
      <c r="CF664" s="1683">
        <v>0</v>
      </c>
      <c r="CG664" s="1683">
        <v>0</v>
      </c>
      <c r="CH664" s="1683">
        <v>0</v>
      </c>
      <c r="CI664" s="1683">
        <v>0</v>
      </c>
      <c r="CJ664" s="1683">
        <v>0</v>
      </c>
      <c r="CK664" s="1683">
        <v>0</v>
      </c>
      <c r="CL664" s="1682"/>
      <c r="CM664" s="1683">
        <v>0</v>
      </c>
      <c r="CN664" s="1683">
        <v>0</v>
      </c>
      <c r="CO664" s="1683">
        <v>0</v>
      </c>
      <c r="CP664" s="1683">
        <v>0</v>
      </c>
      <c r="CQ664" s="1683">
        <v>0</v>
      </c>
      <c r="CR664" s="1683">
        <v>0</v>
      </c>
      <c r="CS664" s="1683">
        <v>0</v>
      </c>
      <c r="CT664" s="1683">
        <v>0</v>
      </c>
      <c r="CU664" s="1683">
        <v>0</v>
      </c>
      <c r="CV664" s="1683">
        <v>0</v>
      </c>
      <c r="CW664" s="1682"/>
      <c r="CX664" s="1400"/>
      <c r="CY664" s="1400"/>
      <c r="CZ664" s="1400"/>
      <c r="DA664" s="1400"/>
      <c r="DB664" s="1682"/>
      <c r="DC664" s="1326"/>
      <c r="DD664" s="1683">
        <v>0</v>
      </c>
      <c r="DE664" s="1400"/>
      <c r="DF664" s="1400"/>
      <c r="DG664" s="1683">
        <v>0</v>
      </c>
      <c r="DH664" s="1683">
        <v>0</v>
      </c>
    </row>
    <row r="665" spans="1:112" ht="67.5">
      <c r="A665" s="1326" t="s">
        <v>4429</v>
      </c>
      <c r="B665" s="1326" t="s">
        <v>1704</v>
      </c>
      <c r="C665" s="1326" t="s">
        <v>2580</v>
      </c>
      <c r="D665" s="1326" t="s">
        <v>2581</v>
      </c>
      <c r="E665" s="1326" t="s">
        <v>2467</v>
      </c>
      <c r="F665" s="1326" t="s">
        <v>2582</v>
      </c>
      <c r="G665" s="1326" t="s">
        <v>2556</v>
      </c>
      <c r="H665" s="1326" t="s">
        <v>2541</v>
      </c>
      <c r="I665" s="1326" t="s">
        <v>808</v>
      </c>
      <c r="J665" s="1326" t="s">
        <v>2484</v>
      </c>
      <c r="K665" s="1326" t="s">
        <v>2060</v>
      </c>
      <c r="L665" s="1326" t="s">
        <v>2061</v>
      </c>
      <c r="M665" s="1400"/>
      <c r="N665" s="1400"/>
      <c r="O665" s="1400"/>
      <c r="P665" s="1400"/>
      <c r="Q665" s="1400"/>
      <c r="R665" s="1400"/>
      <c r="S665" s="1400"/>
      <c r="T665" s="1400"/>
      <c r="U665" s="1400"/>
      <c r="V665" s="1400"/>
      <c r="W665" s="1400"/>
      <c r="X665" s="1400"/>
      <c r="Y665" s="1685">
        <v>43188</v>
      </c>
      <c r="Z665" s="1326" t="s">
        <v>2062</v>
      </c>
      <c r="AA665" s="1683">
        <v>0</v>
      </c>
      <c r="AB665" s="1683">
        <v>0</v>
      </c>
      <c r="AC665" s="1683">
        <v>0</v>
      </c>
      <c r="AD665" s="1685">
        <v>43209</v>
      </c>
      <c r="AE665" s="1326" t="s">
        <v>2063</v>
      </c>
      <c r="AF665" s="1326" t="s">
        <v>2064</v>
      </c>
      <c r="AG665" s="1410"/>
      <c r="AH665" s="1683">
        <v>5055</v>
      </c>
      <c r="AI665" s="1683">
        <v>5055</v>
      </c>
      <c r="AJ665" s="1683">
        <v>4296.75</v>
      </c>
      <c r="AK665" s="1683">
        <v>4296.75</v>
      </c>
      <c r="AL665" s="1683">
        <v>0</v>
      </c>
      <c r="AM665" s="1685">
        <v>43209</v>
      </c>
      <c r="AN665" s="1683">
        <v>5055</v>
      </c>
      <c r="AO665" s="1683">
        <v>5055</v>
      </c>
      <c r="AP665" s="1683">
        <v>4296.75</v>
      </c>
      <c r="AQ665" s="1683">
        <v>4296.75</v>
      </c>
      <c r="AR665" s="1683">
        <v>0</v>
      </c>
      <c r="AS665" s="1683">
        <v>758.25</v>
      </c>
      <c r="AT665" s="1683">
        <v>0</v>
      </c>
      <c r="AU665" s="1683">
        <v>758.25</v>
      </c>
      <c r="AV665" s="1683">
        <v>0</v>
      </c>
      <c r="AW665" s="1683">
        <v>0</v>
      </c>
      <c r="AX665" s="1400"/>
      <c r="AY665" s="1400"/>
      <c r="AZ665" s="1400"/>
      <c r="BA665" s="1682"/>
      <c r="BB665" s="1682"/>
      <c r="BC665" s="1400"/>
      <c r="BD665" s="1400"/>
      <c r="BE665" s="1683">
        <v>5055</v>
      </c>
      <c r="BF665" s="1683">
        <v>5055</v>
      </c>
      <c r="BG665" s="1683">
        <v>4296.75</v>
      </c>
      <c r="BH665" s="1683">
        <v>4296.75</v>
      </c>
      <c r="BI665" s="1683">
        <v>0</v>
      </c>
      <c r="BJ665" s="1683">
        <v>758.25</v>
      </c>
      <c r="BK665" s="1683">
        <v>0</v>
      </c>
      <c r="BL665" s="1683">
        <v>758.25</v>
      </c>
      <c r="BM665" s="1683">
        <v>0</v>
      </c>
      <c r="BN665" s="1683">
        <v>0</v>
      </c>
      <c r="BO665" s="1685">
        <v>43364</v>
      </c>
      <c r="BP665" s="1683">
        <v>5055</v>
      </c>
      <c r="BQ665" s="1683">
        <v>5055</v>
      </c>
      <c r="BR665" s="1683">
        <v>4296.75</v>
      </c>
      <c r="BS665" s="1683">
        <v>4296.75</v>
      </c>
      <c r="BT665" s="1683">
        <v>0</v>
      </c>
      <c r="BU665" s="1683">
        <v>758.25</v>
      </c>
      <c r="BV665" s="1683">
        <v>0</v>
      </c>
      <c r="BW665" s="1683">
        <v>0</v>
      </c>
      <c r="BX665" s="1683">
        <v>0</v>
      </c>
      <c r="BY665" s="1683">
        <v>0</v>
      </c>
      <c r="BZ665" s="1683">
        <v>0</v>
      </c>
      <c r="CA665" s="1400"/>
      <c r="CB665" s="1682"/>
      <c r="CC665" s="1682"/>
      <c r="CD665" s="1400"/>
      <c r="CE665" s="1400"/>
      <c r="CF665" s="1683">
        <v>0</v>
      </c>
      <c r="CG665" s="1683">
        <v>0</v>
      </c>
      <c r="CH665" s="1683">
        <v>0</v>
      </c>
      <c r="CI665" s="1683">
        <v>0</v>
      </c>
      <c r="CJ665" s="1683">
        <v>55</v>
      </c>
      <c r="CK665" s="1683">
        <v>55</v>
      </c>
      <c r="CL665" s="1682"/>
      <c r="CM665" s="1683">
        <v>0</v>
      </c>
      <c r="CN665" s="1683">
        <v>0</v>
      </c>
      <c r="CO665" s="1683">
        <v>0</v>
      </c>
      <c r="CP665" s="1683">
        <v>0</v>
      </c>
      <c r="CQ665" s="1683">
        <v>0</v>
      </c>
      <c r="CR665" s="1683">
        <v>0</v>
      </c>
      <c r="CS665" s="1683">
        <v>0</v>
      </c>
      <c r="CT665" s="1683">
        <v>0</v>
      </c>
      <c r="CU665" s="1683">
        <v>0</v>
      </c>
      <c r="CV665" s="1683">
        <v>0</v>
      </c>
      <c r="CW665" s="1682"/>
      <c r="CX665" s="1400"/>
      <c r="CY665" s="1400"/>
      <c r="CZ665" s="1400"/>
      <c r="DA665" s="1400"/>
      <c r="DB665" s="1682"/>
      <c r="DC665" s="1326"/>
      <c r="DD665" s="1683">
        <v>0</v>
      </c>
      <c r="DE665" s="1400"/>
      <c r="DF665" s="1400"/>
      <c r="DG665" s="1683">
        <v>0</v>
      </c>
      <c r="DH665" s="1683">
        <v>0</v>
      </c>
    </row>
    <row r="666" spans="1:112" ht="67.5">
      <c r="A666" s="1326" t="s">
        <v>4430</v>
      </c>
      <c r="B666" s="1326" t="s">
        <v>1704</v>
      </c>
      <c r="C666" s="1326" t="s">
        <v>2580</v>
      </c>
      <c r="D666" s="1326" t="s">
        <v>2581</v>
      </c>
      <c r="E666" s="1326" t="s">
        <v>2467</v>
      </c>
      <c r="F666" s="1326" t="s">
        <v>2582</v>
      </c>
      <c r="G666" s="1326" t="s">
        <v>2556</v>
      </c>
      <c r="H666" s="1326" t="s">
        <v>2541</v>
      </c>
      <c r="I666" s="1326" t="s">
        <v>808</v>
      </c>
      <c r="J666" s="1326" t="s">
        <v>2484</v>
      </c>
      <c r="K666" s="1326" t="s">
        <v>2060</v>
      </c>
      <c r="L666" s="1326" t="s">
        <v>2061</v>
      </c>
      <c r="M666" s="1400"/>
      <c r="N666" s="1400"/>
      <c r="O666" s="1400"/>
      <c r="P666" s="1400"/>
      <c r="Q666" s="1400"/>
      <c r="R666" s="1400"/>
      <c r="S666" s="1400"/>
      <c r="T666" s="1400"/>
      <c r="U666" s="1400"/>
      <c r="V666" s="1400"/>
      <c r="W666" s="1400"/>
      <c r="X666" s="1400"/>
      <c r="Y666" s="1685">
        <v>43367</v>
      </c>
      <c r="Z666" s="1326" t="s">
        <v>2096</v>
      </c>
      <c r="AA666" s="1683">
        <v>0</v>
      </c>
      <c r="AB666" s="1683">
        <v>0</v>
      </c>
      <c r="AC666" s="1683">
        <v>0</v>
      </c>
      <c r="AD666" s="1685">
        <v>43376</v>
      </c>
      <c r="AE666" s="1326" t="s">
        <v>2079</v>
      </c>
      <c r="AF666" s="1326" t="s">
        <v>2064</v>
      </c>
      <c r="AG666" s="1410"/>
      <c r="AH666" s="1683">
        <v>0</v>
      </c>
      <c r="AI666" s="1683">
        <v>15300</v>
      </c>
      <c r="AJ666" s="1683">
        <v>15300</v>
      </c>
      <c r="AK666" s="1683">
        <v>15300</v>
      </c>
      <c r="AL666" s="1683">
        <v>0</v>
      </c>
      <c r="AM666" s="1682"/>
      <c r="AN666" s="1683">
        <v>0</v>
      </c>
      <c r="AO666" s="1683">
        <v>0</v>
      </c>
      <c r="AP666" s="1683">
        <v>0</v>
      </c>
      <c r="AQ666" s="1683">
        <v>0</v>
      </c>
      <c r="AR666" s="1683">
        <v>0</v>
      </c>
      <c r="AS666" s="1683">
        <v>0</v>
      </c>
      <c r="AT666" s="1683">
        <v>0</v>
      </c>
      <c r="AU666" s="1683">
        <v>0</v>
      </c>
      <c r="AV666" s="1683">
        <v>0</v>
      </c>
      <c r="AW666" s="1683">
        <v>0</v>
      </c>
      <c r="AX666" s="1400"/>
      <c r="AY666" s="1400"/>
      <c r="AZ666" s="1400"/>
      <c r="BA666" s="1682"/>
      <c r="BB666" s="1682"/>
      <c r="BC666" s="1400"/>
      <c r="BD666" s="1400"/>
      <c r="BE666" s="1683">
        <v>0</v>
      </c>
      <c r="BF666" s="1683">
        <v>0</v>
      </c>
      <c r="BG666" s="1683">
        <v>0</v>
      </c>
      <c r="BH666" s="1683">
        <v>0</v>
      </c>
      <c r="BI666" s="1683">
        <v>0</v>
      </c>
      <c r="BJ666" s="1683">
        <v>0</v>
      </c>
      <c r="BK666" s="1683">
        <v>0</v>
      </c>
      <c r="BL666" s="1683">
        <v>0</v>
      </c>
      <c r="BM666" s="1683">
        <v>0</v>
      </c>
      <c r="BN666" s="1683">
        <v>0</v>
      </c>
      <c r="BO666" s="1682"/>
      <c r="BP666" s="1683">
        <v>0</v>
      </c>
      <c r="BQ666" s="1683">
        <v>0</v>
      </c>
      <c r="BR666" s="1683">
        <v>0</v>
      </c>
      <c r="BS666" s="1683">
        <v>0</v>
      </c>
      <c r="BT666" s="1683">
        <v>0</v>
      </c>
      <c r="BU666" s="1683">
        <v>0</v>
      </c>
      <c r="BV666" s="1683">
        <v>0</v>
      </c>
      <c r="BW666" s="1683">
        <v>0</v>
      </c>
      <c r="BX666" s="1683">
        <v>0</v>
      </c>
      <c r="BY666" s="1683">
        <v>0</v>
      </c>
      <c r="BZ666" s="1400"/>
      <c r="CA666" s="1400"/>
      <c r="CB666" s="1682"/>
      <c r="CC666" s="1682"/>
      <c r="CD666" s="1400"/>
      <c r="CE666" s="1400"/>
      <c r="CF666" s="1683">
        <v>0</v>
      </c>
      <c r="CG666" s="1683">
        <v>0</v>
      </c>
      <c r="CH666" s="1683">
        <v>0</v>
      </c>
      <c r="CI666" s="1683">
        <v>0</v>
      </c>
      <c r="CJ666" s="1683">
        <v>0</v>
      </c>
      <c r="CK666" s="1683">
        <v>0</v>
      </c>
      <c r="CL666" s="1682"/>
      <c r="CM666" s="1683">
        <v>0</v>
      </c>
      <c r="CN666" s="1683">
        <v>0</v>
      </c>
      <c r="CO666" s="1683">
        <v>0</v>
      </c>
      <c r="CP666" s="1683">
        <v>0</v>
      </c>
      <c r="CQ666" s="1683">
        <v>0</v>
      </c>
      <c r="CR666" s="1683">
        <v>0</v>
      </c>
      <c r="CS666" s="1683">
        <v>0</v>
      </c>
      <c r="CT666" s="1683">
        <v>0</v>
      </c>
      <c r="CU666" s="1683">
        <v>0</v>
      </c>
      <c r="CV666" s="1683">
        <v>0</v>
      </c>
      <c r="CW666" s="1682"/>
      <c r="CX666" s="1400"/>
      <c r="CY666" s="1400"/>
      <c r="CZ666" s="1400"/>
      <c r="DA666" s="1400"/>
      <c r="DB666" s="1682"/>
      <c r="DC666" s="1326"/>
      <c r="DD666" s="1683">
        <v>0</v>
      </c>
      <c r="DE666" s="1400"/>
      <c r="DF666" s="1400"/>
      <c r="DG666" s="1683">
        <v>0</v>
      </c>
      <c r="DH666" s="1683">
        <v>0</v>
      </c>
    </row>
    <row r="667" spans="1:112" ht="56.25">
      <c r="A667" s="1326" t="s">
        <v>4431</v>
      </c>
      <c r="B667" s="1326" t="s">
        <v>1704</v>
      </c>
      <c r="C667" s="1326" t="s">
        <v>2580</v>
      </c>
      <c r="D667" s="1326" t="s">
        <v>2581</v>
      </c>
      <c r="E667" s="1326" t="s">
        <v>2467</v>
      </c>
      <c r="F667" s="1326" t="s">
        <v>2582</v>
      </c>
      <c r="G667" s="1326" t="s">
        <v>2556</v>
      </c>
      <c r="H667" s="1326" t="s">
        <v>2541</v>
      </c>
      <c r="I667" s="1326" t="s">
        <v>809</v>
      </c>
      <c r="J667" s="1326" t="s">
        <v>2489</v>
      </c>
      <c r="K667" s="1326" t="s">
        <v>2071</v>
      </c>
      <c r="L667" s="1326" t="s">
        <v>2061</v>
      </c>
      <c r="M667" s="1683">
        <v>397378</v>
      </c>
      <c r="N667" s="1683">
        <v>0</v>
      </c>
      <c r="O667" s="1683">
        <v>397378</v>
      </c>
      <c r="P667" s="1683">
        <v>397378</v>
      </c>
      <c r="Q667" s="1683">
        <v>337771</v>
      </c>
      <c r="R667" s="1683">
        <v>337771</v>
      </c>
      <c r="S667" s="1683">
        <v>0</v>
      </c>
      <c r="T667" s="1683">
        <v>59607</v>
      </c>
      <c r="U667" s="1683">
        <v>0</v>
      </c>
      <c r="V667" s="1683">
        <v>59607</v>
      </c>
      <c r="W667" s="1683">
        <v>0</v>
      </c>
      <c r="X667" s="1683">
        <v>0</v>
      </c>
      <c r="Y667" s="1682"/>
      <c r="Z667" s="1326"/>
      <c r="AA667" s="1683">
        <v>0</v>
      </c>
      <c r="AB667" s="1683">
        <v>0</v>
      </c>
      <c r="AC667" s="1683">
        <v>0</v>
      </c>
      <c r="AD667" s="1682"/>
      <c r="AE667" s="1326"/>
      <c r="AF667" s="1326"/>
      <c r="AG667" s="1410"/>
      <c r="AH667" s="1683">
        <v>273062.21000000002</v>
      </c>
      <c r="AI667" s="1683">
        <v>374393.51</v>
      </c>
      <c r="AJ667" s="1683">
        <v>333433.96999999997</v>
      </c>
      <c r="AK667" s="1683">
        <v>333433.96999999997</v>
      </c>
      <c r="AL667" s="1683">
        <v>0</v>
      </c>
      <c r="AM667" s="1682"/>
      <c r="AN667" s="1683">
        <v>273062.21000000002</v>
      </c>
      <c r="AO667" s="1683">
        <v>273062.21000000002</v>
      </c>
      <c r="AP667" s="1683">
        <v>232102.67</v>
      </c>
      <c r="AQ667" s="1683">
        <v>232102.67</v>
      </c>
      <c r="AR667" s="1683">
        <v>0</v>
      </c>
      <c r="AS667" s="1683">
        <v>40959.54</v>
      </c>
      <c r="AT667" s="1683">
        <v>0</v>
      </c>
      <c r="AU667" s="1683">
        <v>40959.54</v>
      </c>
      <c r="AV667" s="1683">
        <v>0</v>
      </c>
      <c r="AW667" s="1683">
        <v>0</v>
      </c>
      <c r="AX667" s="1683">
        <v>0</v>
      </c>
      <c r="AY667" s="1683">
        <v>0</v>
      </c>
      <c r="AZ667" s="1683">
        <v>0</v>
      </c>
      <c r="BA667" s="1682"/>
      <c r="BB667" s="1682"/>
      <c r="BC667" s="1683">
        <v>0</v>
      </c>
      <c r="BD667" s="1683">
        <v>0</v>
      </c>
      <c r="BE667" s="1683">
        <v>273062.21000000002</v>
      </c>
      <c r="BF667" s="1683">
        <v>273062.21000000002</v>
      </c>
      <c r="BG667" s="1683">
        <v>232102.67</v>
      </c>
      <c r="BH667" s="1683">
        <v>232102.67</v>
      </c>
      <c r="BI667" s="1683">
        <v>0</v>
      </c>
      <c r="BJ667" s="1683">
        <v>40959.54</v>
      </c>
      <c r="BK667" s="1683">
        <v>0</v>
      </c>
      <c r="BL667" s="1683">
        <v>40959.54</v>
      </c>
      <c r="BM667" s="1683">
        <v>0</v>
      </c>
      <c r="BN667" s="1683">
        <v>0</v>
      </c>
      <c r="BO667" s="1682"/>
      <c r="BP667" s="1683">
        <v>39278.370000000003</v>
      </c>
      <c r="BQ667" s="1683">
        <v>39278.370000000003</v>
      </c>
      <c r="BR667" s="1683">
        <v>33386.58</v>
      </c>
      <c r="BS667" s="1683">
        <v>33386.58</v>
      </c>
      <c r="BT667" s="1683">
        <v>0</v>
      </c>
      <c r="BU667" s="1683">
        <v>5891.79</v>
      </c>
      <c r="BV667" s="1683">
        <v>0</v>
      </c>
      <c r="BW667" s="1683">
        <v>0</v>
      </c>
      <c r="BX667" s="1683">
        <v>0</v>
      </c>
      <c r="BY667" s="1683">
        <v>0</v>
      </c>
      <c r="BZ667" s="1683">
        <v>0</v>
      </c>
      <c r="CA667" s="1683">
        <v>0</v>
      </c>
      <c r="CB667" s="1682"/>
      <c r="CC667" s="1682"/>
      <c r="CD667" s="1683">
        <v>0</v>
      </c>
      <c r="CE667" s="1683">
        <v>0</v>
      </c>
      <c r="CF667" s="1683">
        <v>0</v>
      </c>
      <c r="CG667" s="1683">
        <v>0</v>
      </c>
      <c r="CH667" s="1683">
        <v>0</v>
      </c>
      <c r="CI667" s="1683">
        <v>0</v>
      </c>
      <c r="CJ667" s="1683">
        <v>427.36</v>
      </c>
      <c r="CK667" s="1683">
        <v>427.36</v>
      </c>
      <c r="CL667" s="1682"/>
      <c r="CM667" s="1683">
        <v>0</v>
      </c>
      <c r="CN667" s="1683">
        <v>0</v>
      </c>
      <c r="CO667" s="1683">
        <v>0</v>
      </c>
      <c r="CP667" s="1683">
        <v>0</v>
      </c>
      <c r="CQ667" s="1683">
        <v>0</v>
      </c>
      <c r="CR667" s="1683">
        <v>0</v>
      </c>
      <c r="CS667" s="1683">
        <v>0</v>
      </c>
      <c r="CT667" s="1683">
        <v>0</v>
      </c>
      <c r="CU667" s="1683">
        <v>0</v>
      </c>
      <c r="CV667" s="1683">
        <v>0</v>
      </c>
      <c r="CW667" s="1682"/>
      <c r="CX667" s="1683">
        <v>0</v>
      </c>
      <c r="CY667" s="1683">
        <v>0</v>
      </c>
      <c r="CZ667" s="1683">
        <v>0</v>
      </c>
      <c r="DA667" s="1683">
        <v>0</v>
      </c>
      <c r="DB667" s="1682"/>
      <c r="DC667" s="1326"/>
      <c r="DD667" s="1683">
        <v>0</v>
      </c>
      <c r="DE667" s="1683">
        <v>0</v>
      </c>
      <c r="DF667" s="1683">
        <v>0</v>
      </c>
      <c r="DG667" s="1683">
        <v>0</v>
      </c>
      <c r="DH667" s="1683">
        <v>0</v>
      </c>
    </row>
    <row r="668" spans="1:112" ht="56.25">
      <c r="A668" s="1326" t="s">
        <v>4432</v>
      </c>
      <c r="B668" s="1326" t="s">
        <v>1704</v>
      </c>
      <c r="C668" s="1326" t="s">
        <v>2580</v>
      </c>
      <c r="D668" s="1326" t="s">
        <v>2581</v>
      </c>
      <c r="E668" s="1326" t="s">
        <v>2467</v>
      </c>
      <c r="F668" s="1326" t="s">
        <v>2582</v>
      </c>
      <c r="G668" s="1326" t="s">
        <v>2556</v>
      </c>
      <c r="H668" s="1326" t="s">
        <v>2541</v>
      </c>
      <c r="I668" s="1326" t="s">
        <v>809</v>
      </c>
      <c r="J668" s="1326" t="s">
        <v>2489</v>
      </c>
      <c r="K668" s="1326" t="s">
        <v>2071</v>
      </c>
      <c r="L668" s="1326" t="s">
        <v>2061</v>
      </c>
      <c r="M668" s="1400"/>
      <c r="N668" s="1400"/>
      <c r="O668" s="1400"/>
      <c r="P668" s="1400"/>
      <c r="Q668" s="1400"/>
      <c r="R668" s="1400"/>
      <c r="S668" s="1400"/>
      <c r="T668" s="1400"/>
      <c r="U668" s="1400"/>
      <c r="V668" s="1400"/>
      <c r="W668" s="1400"/>
      <c r="X668" s="1400"/>
      <c r="Y668" s="1685">
        <v>43186</v>
      </c>
      <c r="Z668" s="1326" t="s">
        <v>2096</v>
      </c>
      <c r="AA668" s="1683">
        <v>0</v>
      </c>
      <c r="AB668" s="1683">
        <v>0</v>
      </c>
      <c r="AC668" s="1683">
        <v>0</v>
      </c>
      <c r="AD668" s="1685">
        <v>43216</v>
      </c>
      <c r="AE668" s="1326" t="s">
        <v>2073</v>
      </c>
      <c r="AF668" s="1326" t="s">
        <v>2064</v>
      </c>
      <c r="AG668" s="1410"/>
      <c r="AH668" s="1683">
        <v>0</v>
      </c>
      <c r="AI668" s="1683">
        <v>3500</v>
      </c>
      <c r="AJ668" s="1683">
        <v>3500</v>
      </c>
      <c r="AK668" s="1683">
        <v>3500</v>
      </c>
      <c r="AL668" s="1683">
        <v>0</v>
      </c>
      <c r="AM668" s="1682"/>
      <c r="AN668" s="1683">
        <v>0</v>
      </c>
      <c r="AO668" s="1683">
        <v>0</v>
      </c>
      <c r="AP668" s="1683">
        <v>0</v>
      </c>
      <c r="AQ668" s="1683">
        <v>0</v>
      </c>
      <c r="AR668" s="1683">
        <v>0</v>
      </c>
      <c r="AS668" s="1683">
        <v>0</v>
      </c>
      <c r="AT668" s="1683">
        <v>0</v>
      </c>
      <c r="AU668" s="1683">
        <v>0</v>
      </c>
      <c r="AV668" s="1683">
        <v>0</v>
      </c>
      <c r="AW668" s="1683">
        <v>0</v>
      </c>
      <c r="AX668" s="1400"/>
      <c r="AY668" s="1400"/>
      <c r="AZ668" s="1400"/>
      <c r="BA668" s="1682"/>
      <c r="BB668" s="1682"/>
      <c r="BC668" s="1400"/>
      <c r="BD668" s="1400"/>
      <c r="BE668" s="1683">
        <v>0</v>
      </c>
      <c r="BF668" s="1683">
        <v>0</v>
      </c>
      <c r="BG668" s="1683">
        <v>0</v>
      </c>
      <c r="BH668" s="1683">
        <v>0</v>
      </c>
      <c r="BI668" s="1683">
        <v>0</v>
      </c>
      <c r="BJ668" s="1683">
        <v>0</v>
      </c>
      <c r="BK668" s="1683">
        <v>0</v>
      </c>
      <c r="BL668" s="1683">
        <v>0</v>
      </c>
      <c r="BM668" s="1683">
        <v>0</v>
      </c>
      <c r="BN668" s="1683">
        <v>0</v>
      </c>
      <c r="BO668" s="1682"/>
      <c r="BP668" s="1683">
        <v>0</v>
      </c>
      <c r="BQ668" s="1683">
        <v>0</v>
      </c>
      <c r="BR668" s="1683">
        <v>0</v>
      </c>
      <c r="BS668" s="1683">
        <v>0</v>
      </c>
      <c r="BT668" s="1683">
        <v>0</v>
      </c>
      <c r="BU668" s="1683">
        <v>0</v>
      </c>
      <c r="BV668" s="1683">
        <v>0</v>
      </c>
      <c r="BW668" s="1683">
        <v>0</v>
      </c>
      <c r="BX668" s="1683">
        <v>0</v>
      </c>
      <c r="BY668" s="1683">
        <v>0</v>
      </c>
      <c r="BZ668" s="1400"/>
      <c r="CA668" s="1400"/>
      <c r="CB668" s="1682"/>
      <c r="CC668" s="1682"/>
      <c r="CD668" s="1400"/>
      <c r="CE668" s="1400"/>
      <c r="CF668" s="1683">
        <v>0</v>
      </c>
      <c r="CG668" s="1683">
        <v>0</v>
      </c>
      <c r="CH668" s="1683">
        <v>0</v>
      </c>
      <c r="CI668" s="1683">
        <v>0</v>
      </c>
      <c r="CJ668" s="1683">
        <v>0</v>
      </c>
      <c r="CK668" s="1683">
        <v>0</v>
      </c>
      <c r="CL668" s="1682"/>
      <c r="CM668" s="1683">
        <v>0</v>
      </c>
      <c r="CN668" s="1683">
        <v>0</v>
      </c>
      <c r="CO668" s="1683">
        <v>0</v>
      </c>
      <c r="CP668" s="1683">
        <v>0</v>
      </c>
      <c r="CQ668" s="1683">
        <v>0</v>
      </c>
      <c r="CR668" s="1683">
        <v>0</v>
      </c>
      <c r="CS668" s="1683">
        <v>0</v>
      </c>
      <c r="CT668" s="1683">
        <v>0</v>
      </c>
      <c r="CU668" s="1683">
        <v>0</v>
      </c>
      <c r="CV668" s="1683">
        <v>0</v>
      </c>
      <c r="CW668" s="1682"/>
      <c r="CX668" s="1400"/>
      <c r="CY668" s="1400"/>
      <c r="CZ668" s="1400"/>
      <c r="DA668" s="1400"/>
      <c r="DB668" s="1682"/>
      <c r="DC668" s="1326"/>
      <c r="DD668" s="1683">
        <v>0</v>
      </c>
      <c r="DE668" s="1400"/>
      <c r="DF668" s="1400"/>
      <c r="DG668" s="1683">
        <v>0</v>
      </c>
      <c r="DH668" s="1683">
        <v>0</v>
      </c>
    </row>
    <row r="669" spans="1:112" ht="56.25">
      <c r="A669" s="1326" t="s">
        <v>4433</v>
      </c>
      <c r="B669" s="1326" t="s">
        <v>1704</v>
      </c>
      <c r="C669" s="1326" t="s">
        <v>2580</v>
      </c>
      <c r="D669" s="1326" t="s">
        <v>2581</v>
      </c>
      <c r="E669" s="1326" t="s">
        <v>2467</v>
      </c>
      <c r="F669" s="1326" t="s">
        <v>2582</v>
      </c>
      <c r="G669" s="1326" t="s">
        <v>2556</v>
      </c>
      <c r="H669" s="1326" t="s">
        <v>2541</v>
      </c>
      <c r="I669" s="1326" t="s">
        <v>809</v>
      </c>
      <c r="J669" s="1326" t="s">
        <v>2489</v>
      </c>
      <c r="K669" s="1326" t="s">
        <v>2071</v>
      </c>
      <c r="L669" s="1326" t="s">
        <v>2061</v>
      </c>
      <c r="M669" s="1400"/>
      <c r="N669" s="1400"/>
      <c r="O669" s="1400"/>
      <c r="P669" s="1400"/>
      <c r="Q669" s="1400"/>
      <c r="R669" s="1400"/>
      <c r="S669" s="1400"/>
      <c r="T669" s="1400"/>
      <c r="U669" s="1400"/>
      <c r="V669" s="1400"/>
      <c r="W669" s="1400"/>
      <c r="X669" s="1400"/>
      <c r="Y669" s="1685">
        <v>43208</v>
      </c>
      <c r="Z669" s="1326" t="s">
        <v>2062</v>
      </c>
      <c r="AA669" s="1683">
        <v>0</v>
      </c>
      <c r="AB669" s="1683">
        <v>0</v>
      </c>
      <c r="AC669" s="1683">
        <v>0</v>
      </c>
      <c r="AD669" s="1685">
        <v>43223</v>
      </c>
      <c r="AE669" s="1326" t="s">
        <v>2063</v>
      </c>
      <c r="AF669" s="1326" t="s">
        <v>2064</v>
      </c>
      <c r="AG669" s="1410"/>
      <c r="AH669" s="1683">
        <v>3547.6</v>
      </c>
      <c r="AI669" s="1683">
        <v>3547.6</v>
      </c>
      <c r="AJ669" s="1683">
        <v>3015.46</v>
      </c>
      <c r="AK669" s="1683">
        <v>3015.46</v>
      </c>
      <c r="AL669" s="1683">
        <v>0</v>
      </c>
      <c r="AM669" s="1685">
        <v>43223</v>
      </c>
      <c r="AN669" s="1683">
        <v>3547.6</v>
      </c>
      <c r="AO669" s="1683">
        <v>3547.6</v>
      </c>
      <c r="AP669" s="1683">
        <v>3015.46</v>
      </c>
      <c r="AQ669" s="1683">
        <v>3015.46</v>
      </c>
      <c r="AR669" s="1683">
        <v>0</v>
      </c>
      <c r="AS669" s="1683">
        <v>532.14</v>
      </c>
      <c r="AT669" s="1683">
        <v>0</v>
      </c>
      <c r="AU669" s="1683">
        <v>532.14</v>
      </c>
      <c r="AV669" s="1683">
        <v>0</v>
      </c>
      <c r="AW669" s="1683">
        <v>0</v>
      </c>
      <c r="AX669" s="1400"/>
      <c r="AY669" s="1400"/>
      <c r="AZ669" s="1400"/>
      <c r="BA669" s="1682"/>
      <c r="BB669" s="1682"/>
      <c r="BC669" s="1400"/>
      <c r="BD669" s="1400"/>
      <c r="BE669" s="1683">
        <v>3547.6</v>
      </c>
      <c r="BF669" s="1683">
        <v>3547.6</v>
      </c>
      <c r="BG669" s="1683">
        <v>3015.46</v>
      </c>
      <c r="BH669" s="1683">
        <v>3015.46</v>
      </c>
      <c r="BI669" s="1683">
        <v>0</v>
      </c>
      <c r="BJ669" s="1683">
        <v>532.14</v>
      </c>
      <c r="BK669" s="1683">
        <v>0</v>
      </c>
      <c r="BL669" s="1683">
        <v>532.14</v>
      </c>
      <c r="BM669" s="1683">
        <v>0</v>
      </c>
      <c r="BN669" s="1683">
        <v>0</v>
      </c>
      <c r="BO669" s="1685">
        <v>43364</v>
      </c>
      <c r="BP669" s="1683">
        <v>3547.6</v>
      </c>
      <c r="BQ669" s="1683">
        <v>3547.6</v>
      </c>
      <c r="BR669" s="1683">
        <v>3015.46</v>
      </c>
      <c r="BS669" s="1683">
        <v>3015.46</v>
      </c>
      <c r="BT669" s="1683">
        <v>0</v>
      </c>
      <c r="BU669" s="1683">
        <v>532.14</v>
      </c>
      <c r="BV669" s="1683">
        <v>0</v>
      </c>
      <c r="BW669" s="1683">
        <v>0</v>
      </c>
      <c r="BX669" s="1683">
        <v>0</v>
      </c>
      <c r="BY669" s="1683">
        <v>0</v>
      </c>
      <c r="BZ669" s="1683">
        <v>0</v>
      </c>
      <c r="CA669" s="1400"/>
      <c r="CB669" s="1682"/>
      <c r="CC669" s="1682"/>
      <c r="CD669" s="1400"/>
      <c r="CE669" s="1400"/>
      <c r="CF669" s="1683">
        <v>0</v>
      </c>
      <c r="CG669" s="1683">
        <v>0</v>
      </c>
      <c r="CH669" s="1683">
        <v>0</v>
      </c>
      <c r="CI669" s="1683">
        <v>0</v>
      </c>
      <c r="CJ669" s="1683">
        <v>38.6</v>
      </c>
      <c r="CK669" s="1683">
        <v>38.6</v>
      </c>
      <c r="CL669" s="1682"/>
      <c r="CM669" s="1683">
        <v>0</v>
      </c>
      <c r="CN669" s="1683">
        <v>0</v>
      </c>
      <c r="CO669" s="1683">
        <v>0</v>
      </c>
      <c r="CP669" s="1683">
        <v>0</v>
      </c>
      <c r="CQ669" s="1683">
        <v>0</v>
      </c>
      <c r="CR669" s="1683">
        <v>0</v>
      </c>
      <c r="CS669" s="1683">
        <v>0</v>
      </c>
      <c r="CT669" s="1683">
        <v>0</v>
      </c>
      <c r="CU669" s="1683">
        <v>0</v>
      </c>
      <c r="CV669" s="1683">
        <v>0</v>
      </c>
      <c r="CW669" s="1682"/>
      <c r="CX669" s="1400"/>
      <c r="CY669" s="1400"/>
      <c r="CZ669" s="1400"/>
      <c r="DA669" s="1400"/>
      <c r="DB669" s="1682"/>
      <c r="DC669" s="1326"/>
      <c r="DD669" s="1683">
        <v>0</v>
      </c>
      <c r="DE669" s="1400"/>
      <c r="DF669" s="1400"/>
      <c r="DG669" s="1683">
        <v>0</v>
      </c>
      <c r="DH669" s="1683">
        <v>0</v>
      </c>
    </row>
    <row r="670" spans="1:112" ht="56.25">
      <c r="A670" s="1326" t="s">
        <v>4434</v>
      </c>
      <c r="B670" s="1326" t="s">
        <v>1704</v>
      </c>
      <c r="C670" s="1326" t="s">
        <v>2580</v>
      </c>
      <c r="D670" s="1326" t="s">
        <v>2581</v>
      </c>
      <c r="E670" s="1326" t="s">
        <v>2467</v>
      </c>
      <c r="F670" s="1326" t="s">
        <v>2582</v>
      </c>
      <c r="G670" s="1326" t="s">
        <v>2556</v>
      </c>
      <c r="H670" s="1326" t="s">
        <v>2541</v>
      </c>
      <c r="I670" s="1326" t="s">
        <v>809</v>
      </c>
      <c r="J670" s="1326" t="s">
        <v>2489</v>
      </c>
      <c r="K670" s="1326" t="s">
        <v>2071</v>
      </c>
      <c r="L670" s="1326" t="s">
        <v>2061</v>
      </c>
      <c r="M670" s="1400"/>
      <c r="N670" s="1400"/>
      <c r="O670" s="1400"/>
      <c r="P670" s="1400"/>
      <c r="Q670" s="1400"/>
      <c r="R670" s="1400"/>
      <c r="S670" s="1400"/>
      <c r="T670" s="1400"/>
      <c r="U670" s="1400"/>
      <c r="V670" s="1400"/>
      <c r="W670" s="1400"/>
      <c r="X670" s="1400"/>
      <c r="Y670" s="1685">
        <v>43383</v>
      </c>
      <c r="Z670" s="1326" t="s">
        <v>2062</v>
      </c>
      <c r="AA670" s="1683">
        <v>0</v>
      </c>
      <c r="AB670" s="1683">
        <v>0</v>
      </c>
      <c r="AC670" s="1683">
        <v>0</v>
      </c>
      <c r="AD670" s="1685">
        <v>43418</v>
      </c>
      <c r="AE670" s="1326" t="s">
        <v>2079</v>
      </c>
      <c r="AF670" s="1326" t="s">
        <v>2064</v>
      </c>
      <c r="AG670" s="1410"/>
      <c r="AH670" s="1683">
        <v>35730.769999999997</v>
      </c>
      <c r="AI670" s="1683">
        <v>35730.769999999997</v>
      </c>
      <c r="AJ670" s="1683">
        <v>30371.119999999999</v>
      </c>
      <c r="AK670" s="1683">
        <v>30371.119999999999</v>
      </c>
      <c r="AL670" s="1683">
        <v>0</v>
      </c>
      <c r="AM670" s="1685">
        <v>43418</v>
      </c>
      <c r="AN670" s="1683">
        <v>35730.769999999997</v>
      </c>
      <c r="AO670" s="1683">
        <v>35730.769999999997</v>
      </c>
      <c r="AP670" s="1683">
        <v>30371.119999999999</v>
      </c>
      <c r="AQ670" s="1683">
        <v>30371.119999999999</v>
      </c>
      <c r="AR670" s="1683">
        <v>0</v>
      </c>
      <c r="AS670" s="1683">
        <v>5359.65</v>
      </c>
      <c r="AT670" s="1683">
        <v>0</v>
      </c>
      <c r="AU670" s="1683">
        <v>5359.65</v>
      </c>
      <c r="AV670" s="1683">
        <v>0</v>
      </c>
      <c r="AW670" s="1683">
        <v>0</v>
      </c>
      <c r="AX670" s="1400"/>
      <c r="AY670" s="1400"/>
      <c r="AZ670" s="1400"/>
      <c r="BA670" s="1682"/>
      <c r="BB670" s="1682"/>
      <c r="BC670" s="1400"/>
      <c r="BD670" s="1400"/>
      <c r="BE670" s="1683">
        <v>35730.769999999997</v>
      </c>
      <c r="BF670" s="1683">
        <v>35730.769999999997</v>
      </c>
      <c r="BG670" s="1683">
        <v>30371.119999999999</v>
      </c>
      <c r="BH670" s="1683">
        <v>30371.119999999999</v>
      </c>
      <c r="BI670" s="1683">
        <v>0</v>
      </c>
      <c r="BJ670" s="1683">
        <v>5359.65</v>
      </c>
      <c r="BK670" s="1683">
        <v>0</v>
      </c>
      <c r="BL670" s="1683">
        <v>5359.65</v>
      </c>
      <c r="BM670" s="1683">
        <v>0</v>
      </c>
      <c r="BN670" s="1683">
        <v>0</v>
      </c>
      <c r="BO670" s="1685">
        <v>43453</v>
      </c>
      <c r="BP670" s="1683">
        <v>35730.769999999997</v>
      </c>
      <c r="BQ670" s="1683">
        <v>35730.769999999997</v>
      </c>
      <c r="BR670" s="1683">
        <v>30371.119999999999</v>
      </c>
      <c r="BS670" s="1683">
        <v>30371.119999999999</v>
      </c>
      <c r="BT670" s="1683">
        <v>0</v>
      </c>
      <c r="BU670" s="1683">
        <v>5359.65</v>
      </c>
      <c r="BV670" s="1683">
        <v>0</v>
      </c>
      <c r="BW670" s="1683">
        <v>0</v>
      </c>
      <c r="BX670" s="1683">
        <v>0</v>
      </c>
      <c r="BY670" s="1683">
        <v>0</v>
      </c>
      <c r="BZ670" s="1683">
        <v>0</v>
      </c>
      <c r="CA670" s="1400"/>
      <c r="CB670" s="1682"/>
      <c r="CC670" s="1682"/>
      <c r="CD670" s="1400"/>
      <c r="CE670" s="1400"/>
      <c r="CF670" s="1683">
        <v>0</v>
      </c>
      <c r="CG670" s="1683">
        <v>0</v>
      </c>
      <c r="CH670" s="1683">
        <v>0</v>
      </c>
      <c r="CI670" s="1683">
        <v>0</v>
      </c>
      <c r="CJ670" s="1683">
        <v>388.76</v>
      </c>
      <c r="CK670" s="1683">
        <v>388.76</v>
      </c>
      <c r="CL670" s="1682"/>
      <c r="CM670" s="1683">
        <v>0</v>
      </c>
      <c r="CN670" s="1683">
        <v>0</v>
      </c>
      <c r="CO670" s="1683">
        <v>0</v>
      </c>
      <c r="CP670" s="1683">
        <v>0</v>
      </c>
      <c r="CQ670" s="1683">
        <v>0</v>
      </c>
      <c r="CR670" s="1683">
        <v>0</v>
      </c>
      <c r="CS670" s="1683">
        <v>0</v>
      </c>
      <c r="CT670" s="1683">
        <v>0</v>
      </c>
      <c r="CU670" s="1683">
        <v>0</v>
      </c>
      <c r="CV670" s="1683">
        <v>0</v>
      </c>
      <c r="CW670" s="1682"/>
      <c r="CX670" s="1400"/>
      <c r="CY670" s="1400"/>
      <c r="CZ670" s="1400"/>
      <c r="DA670" s="1400"/>
      <c r="DB670" s="1682"/>
      <c r="DC670" s="1326"/>
      <c r="DD670" s="1683">
        <v>0</v>
      </c>
      <c r="DE670" s="1400"/>
      <c r="DF670" s="1400"/>
      <c r="DG670" s="1683">
        <v>0</v>
      </c>
      <c r="DH670" s="1683">
        <v>0</v>
      </c>
    </row>
    <row r="671" spans="1:112" ht="56.25">
      <c r="A671" s="1326" t="s">
        <v>4435</v>
      </c>
      <c r="B671" s="1326" t="s">
        <v>1704</v>
      </c>
      <c r="C671" s="1326" t="s">
        <v>2580</v>
      </c>
      <c r="D671" s="1326" t="s">
        <v>2581</v>
      </c>
      <c r="E671" s="1326" t="s">
        <v>2467</v>
      </c>
      <c r="F671" s="1326" t="s">
        <v>2582</v>
      </c>
      <c r="G671" s="1326" t="s">
        <v>2556</v>
      </c>
      <c r="H671" s="1326" t="s">
        <v>2541</v>
      </c>
      <c r="I671" s="1326" t="s">
        <v>809</v>
      </c>
      <c r="J671" s="1326" t="s">
        <v>2489</v>
      </c>
      <c r="K671" s="1326" t="s">
        <v>2071</v>
      </c>
      <c r="L671" s="1326" t="s">
        <v>2061</v>
      </c>
      <c r="M671" s="1400"/>
      <c r="N671" s="1400"/>
      <c r="O671" s="1400"/>
      <c r="P671" s="1400"/>
      <c r="Q671" s="1400"/>
      <c r="R671" s="1400"/>
      <c r="S671" s="1400"/>
      <c r="T671" s="1400"/>
      <c r="U671" s="1400"/>
      <c r="V671" s="1400"/>
      <c r="W671" s="1400"/>
      <c r="X671" s="1400"/>
      <c r="Y671" s="1685">
        <v>43409</v>
      </c>
      <c r="Z671" s="1326" t="s">
        <v>2062</v>
      </c>
      <c r="AA671" s="1683">
        <v>0</v>
      </c>
      <c r="AB671" s="1683">
        <v>0</v>
      </c>
      <c r="AC671" s="1683">
        <v>0</v>
      </c>
      <c r="AD671" s="1685">
        <v>43445</v>
      </c>
      <c r="AE671" s="1326" t="s">
        <v>2080</v>
      </c>
      <c r="AF671" s="1326" t="s">
        <v>2067</v>
      </c>
      <c r="AG671" s="1410"/>
      <c r="AH671" s="1683">
        <v>82859.429999999993</v>
      </c>
      <c r="AI671" s="1683">
        <v>82859.429999999993</v>
      </c>
      <c r="AJ671" s="1683">
        <v>70430.460000000006</v>
      </c>
      <c r="AK671" s="1683">
        <v>70430.460000000006</v>
      </c>
      <c r="AL671" s="1683">
        <v>0</v>
      </c>
      <c r="AM671" s="1685">
        <v>43448</v>
      </c>
      <c r="AN671" s="1683">
        <v>82859.429999999993</v>
      </c>
      <c r="AO671" s="1683">
        <v>82859.429999999993</v>
      </c>
      <c r="AP671" s="1683">
        <v>70430.460000000006</v>
      </c>
      <c r="AQ671" s="1683">
        <v>70430.460000000006</v>
      </c>
      <c r="AR671" s="1683">
        <v>0</v>
      </c>
      <c r="AS671" s="1683">
        <v>12428.97</v>
      </c>
      <c r="AT671" s="1683">
        <v>0</v>
      </c>
      <c r="AU671" s="1683">
        <v>12428.97</v>
      </c>
      <c r="AV671" s="1683">
        <v>0</v>
      </c>
      <c r="AW671" s="1683">
        <v>0</v>
      </c>
      <c r="AX671" s="1400"/>
      <c r="AY671" s="1400"/>
      <c r="AZ671" s="1400"/>
      <c r="BA671" s="1682"/>
      <c r="BB671" s="1682"/>
      <c r="BC671" s="1400"/>
      <c r="BD671" s="1400"/>
      <c r="BE671" s="1683">
        <v>82859.429999999993</v>
      </c>
      <c r="BF671" s="1683">
        <v>82859.429999999993</v>
      </c>
      <c r="BG671" s="1683">
        <v>70430.460000000006</v>
      </c>
      <c r="BH671" s="1683">
        <v>70430.460000000006</v>
      </c>
      <c r="BI671" s="1683">
        <v>0</v>
      </c>
      <c r="BJ671" s="1683">
        <v>12428.97</v>
      </c>
      <c r="BK671" s="1683">
        <v>0</v>
      </c>
      <c r="BL671" s="1683">
        <v>12428.97</v>
      </c>
      <c r="BM671" s="1683">
        <v>0</v>
      </c>
      <c r="BN671" s="1683">
        <v>0</v>
      </c>
      <c r="BO671" s="1682"/>
      <c r="BP671" s="1683">
        <v>0</v>
      </c>
      <c r="BQ671" s="1683">
        <v>0</v>
      </c>
      <c r="BR671" s="1683">
        <v>0</v>
      </c>
      <c r="BS671" s="1683">
        <v>0</v>
      </c>
      <c r="BT671" s="1683">
        <v>0</v>
      </c>
      <c r="BU671" s="1683">
        <v>0</v>
      </c>
      <c r="BV671" s="1683">
        <v>0</v>
      </c>
      <c r="BW671" s="1683">
        <v>0</v>
      </c>
      <c r="BX671" s="1683">
        <v>0</v>
      </c>
      <c r="BY671" s="1683">
        <v>0</v>
      </c>
      <c r="BZ671" s="1683">
        <v>0</v>
      </c>
      <c r="CA671" s="1400"/>
      <c r="CB671" s="1682"/>
      <c r="CC671" s="1682"/>
      <c r="CD671" s="1400"/>
      <c r="CE671" s="1400"/>
      <c r="CF671" s="1683">
        <v>0</v>
      </c>
      <c r="CG671" s="1683">
        <v>0</v>
      </c>
      <c r="CH671" s="1683">
        <v>0</v>
      </c>
      <c r="CI671" s="1683">
        <v>0</v>
      </c>
      <c r="CJ671" s="1683">
        <v>0</v>
      </c>
      <c r="CK671" s="1683">
        <v>0</v>
      </c>
      <c r="CL671" s="1682"/>
      <c r="CM671" s="1683">
        <v>0</v>
      </c>
      <c r="CN671" s="1683">
        <v>0</v>
      </c>
      <c r="CO671" s="1683">
        <v>0</v>
      </c>
      <c r="CP671" s="1683">
        <v>0</v>
      </c>
      <c r="CQ671" s="1683">
        <v>0</v>
      </c>
      <c r="CR671" s="1683">
        <v>0</v>
      </c>
      <c r="CS671" s="1683">
        <v>0</v>
      </c>
      <c r="CT671" s="1683">
        <v>0</v>
      </c>
      <c r="CU671" s="1683">
        <v>0</v>
      </c>
      <c r="CV671" s="1683">
        <v>0</v>
      </c>
      <c r="CW671" s="1682"/>
      <c r="CX671" s="1400"/>
      <c r="CY671" s="1400"/>
      <c r="CZ671" s="1400"/>
      <c r="DA671" s="1400"/>
      <c r="DB671" s="1682"/>
      <c r="DC671" s="1326"/>
      <c r="DD671" s="1683">
        <v>0</v>
      </c>
      <c r="DE671" s="1400"/>
      <c r="DF671" s="1400"/>
      <c r="DG671" s="1683">
        <v>0</v>
      </c>
      <c r="DH671" s="1683">
        <v>0</v>
      </c>
    </row>
    <row r="672" spans="1:112" ht="56.25">
      <c r="A672" s="1326" t="s">
        <v>4436</v>
      </c>
      <c r="B672" s="1326" t="s">
        <v>1704</v>
      </c>
      <c r="C672" s="1326" t="s">
        <v>2580</v>
      </c>
      <c r="D672" s="1326" t="s">
        <v>2581</v>
      </c>
      <c r="E672" s="1326" t="s">
        <v>2467</v>
      </c>
      <c r="F672" s="1326" t="s">
        <v>2582</v>
      </c>
      <c r="G672" s="1326" t="s">
        <v>2556</v>
      </c>
      <c r="H672" s="1326" t="s">
        <v>2541</v>
      </c>
      <c r="I672" s="1326" t="s">
        <v>809</v>
      </c>
      <c r="J672" s="1326" t="s">
        <v>2489</v>
      </c>
      <c r="K672" s="1326" t="s">
        <v>2071</v>
      </c>
      <c r="L672" s="1326" t="s">
        <v>2061</v>
      </c>
      <c r="M672" s="1400"/>
      <c r="N672" s="1400"/>
      <c r="O672" s="1400"/>
      <c r="P672" s="1400"/>
      <c r="Q672" s="1400"/>
      <c r="R672" s="1400"/>
      <c r="S672" s="1400"/>
      <c r="T672" s="1400"/>
      <c r="U672" s="1400"/>
      <c r="V672" s="1400"/>
      <c r="W672" s="1400"/>
      <c r="X672" s="1400"/>
      <c r="Y672" s="1685">
        <v>43448</v>
      </c>
      <c r="Z672" s="1326" t="s">
        <v>2096</v>
      </c>
      <c r="AA672" s="1683">
        <v>0</v>
      </c>
      <c r="AB672" s="1683">
        <v>0</v>
      </c>
      <c r="AC672" s="1683">
        <v>0</v>
      </c>
      <c r="AD672" s="1685">
        <v>43455</v>
      </c>
      <c r="AE672" s="1326" t="s">
        <v>2081</v>
      </c>
      <c r="AF672" s="1326" t="s">
        <v>2064</v>
      </c>
      <c r="AG672" s="1410"/>
      <c r="AH672" s="1683">
        <v>0</v>
      </c>
      <c r="AI672" s="1683">
        <v>97831.3</v>
      </c>
      <c r="AJ672" s="1683">
        <v>97831.3</v>
      </c>
      <c r="AK672" s="1683">
        <v>97831.3</v>
      </c>
      <c r="AL672" s="1683">
        <v>0</v>
      </c>
      <c r="AM672" s="1682"/>
      <c r="AN672" s="1683">
        <v>0</v>
      </c>
      <c r="AO672" s="1683">
        <v>0</v>
      </c>
      <c r="AP672" s="1683">
        <v>0</v>
      </c>
      <c r="AQ672" s="1683">
        <v>0</v>
      </c>
      <c r="AR672" s="1683">
        <v>0</v>
      </c>
      <c r="AS672" s="1683">
        <v>0</v>
      </c>
      <c r="AT672" s="1683">
        <v>0</v>
      </c>
      <c r="AU672" s="1683">
        <v>0</v>
      </c>
      <c r="AV672" s="1683">
        <v>0</v>
      </c>
      <c r="AW672" s="1683">
        <v>0</v>
      </c>
      <c r="AX672" s="1400"/>
      <c r="AY672" s="1400"/>
      <c r="AZ672" s="1400"/>
      <c r="BA672" s="1682"/>
      <c r="BB672" s="1682"/>
      <c r="BC672" s="1400"/>
      <c r="BD672" s="1400"/>
      <c r="BE672" s="1683">
        <v>0</v>
      </c>
      <c r="BF672" s="1683">
        <v>0</v>
      </c>
      <c r="BG672" s="1683">
        <v>0</v>
      </c>
      <c r="BH672" s="1683">
        <v>0</v>
      </c>
      <c r="BI672" s="1683">
        <v>0</v>
      </c>
      <c r="BJ672" s="1683">
        <v>0</v>
      </c>
      <c r="BK672" s="1683">
        <v>0</v>
      </c>
      <c r="BL672" s="1683">
        <v>0</v>
      </c>
      <c r="BM672" s="1683">
        <v>0</v>
      </c>
      <c r="BN672" s="1683">
        <v>0</v>
      </c>
      <c r="BO672" s="1682"/>
      <c r="BP672" s="1683">
        <v>0</v>
      </c>
      <c r="BQ672" s="1683">
        <v>0</v>
      </c>
      <c r="BR672" s="1683">
        <v>0</v>
      </c>
      <c r="BS672" s="1683">
        <v>0</v>
      </c>
      <c r="BT672" s="1683">
        <v>0</v>
      </c>
      <c r="BU672" s="1683">
        <v>0</v>
      </c>
      <c r="BV672" s="1683">
        <v>0</v>
      </c>
      <c r="BW672" s="1683">
        <v>0</v>
      </c>
      <c r="BX672" s="1683">
        <v>0</v>
      </c>
      <c r="BY672" s="1683">
        <v>0</v>
      </c>
      <c r="BZ672" s="1400"/>
      <c r="CA672" s="1400"/>
      <c r="CB672" s="1682"/>
      <c r="CC672" s="1682"/>
      <c r="CD672" s="1400"/>
      <c r="CE672" s="1400"/>
      <c r="CF672" s="1683">
        <v>0</v>
      </c>
      <c r="CG672" s="1683">
        <v>0</v>
      </c>
      <c r="CH672" s="1683">
        <v>0</v>
      </c>
      <c r="CI672" s="1683">
        <v>0</v>
      </c>
      <c r="CJ672" s="1683">
        <v>0</v>
      </c>
      <c r="CK672" s="1683">
        <v>0</v>
      </c>
      <c r="CL672" s="1682"/>
      <c r="CM672" s="1683">
        <v>0</v>
      </c>
      <c r="CN672" s="1683">
        <v>0</v>
      </c>
      <c r="CO672" s="1683">
        <v>0</v>
      </c>
      <c r="CP672" s="1683">
        <v>0</v>
      </c>
      <c r="CQ672" s="1683">
        <v>0</v>
      </c>
      <c r="CR672" s="1683">
        <v>0</v>
      </c>
      <c r="CS672" s="1683">
        <v>0</v>
      </c>
      <c r="CT672" s="1683">
        <v>0</v>
      </c>
      <c r="CU672" s="1683">
        <v>0</v>
      </c>
      <c r="CV672" s="1683">
        <v>0</v>
      </c>
      <c r="CW672" s="1682"/>
      <c r="CX672" s="1400"/>
      <c r="CY672" s="1400"/>
      <c r="CZ672" s="1400"/>
      <c r="DA672" s="1400"/>
      <c r="DB672" s="1682"/>
      <c r="DC672" s="1326"/>
      <c r="DD672" s="1683">
        <v>0</v>
      </c>
      <c r="DE672" s="1400"/>
      <c r="DF672" s="1400"/>
      <c r="DG672" s="1683">
        <v>0</v>
      </c>
      <c r="DH672" s="1683">
        <v>0</v>
      </c>
    </row>
    <row r="673" spans="1:112" ht="56.25">
      <c r="A673" s="1326" t="s">
        <v>4100</v>
      </c>
      <c r="B673" s="1326" t="s">
        <v>1704</v>
      </c>
      <c r="C673" s="1326" t="s">
        <v>2580</v>
      </c>
      <c r="D673" s="1326" t="s">
        <v>2581</v>
      </c>
      <c r="E673" s="1326" t="s">
        <v>2467</v>
      </c>
      <c r="F673" s="1326" t="s">
        <v>2582</v>
      </c>
      <c r="G673" s="1326" t="s">
        <v>2556</v>
      </c>
      <c r="H673" s="1326" t="s">
        <v>2541</v>
      </c>
      <c r="I673" s="1326" t="s">
        <v>809</v>
      </c>
      <c r="J673" s="1326" t="s">
        <v>2489</v>
      </c>
      <c r="K673" s="1326" t="s">
        <v>2071</v>
      </c>
      <c r="L673" s="1326" t="s">
        <v>2061</v>
      </c>
      <c r="M673" s="1400"/>
      <c r="N673" s="1400"/>
      <c r="O673" s="1400"/>
      <c r="P673" s="1400"/>
      <c r="Q673" s="1400"/>
      <c r="R673" s="1400"/>
      <c r="S673" s="1400"/>
      <c r="T673" s="1400"/>
      <c r="U673" s="1400"/>
      <c r="V673" s="1400"/>
      <c r="W673" s="1400"/>
      <c r="X673" s="1400"/>
      <c r="Y673" s="1685">
        <v>43475</v>
      </c>
      <c r="Z673" s="1326" t="s">
        <v>2062</v>
      </c>
      <c r="AA673" s="1683">
        <v>0</v>
      </c>
      <c r="AB673" s="1683">
        <v>0</v>
      </c>
      <c r="AC673" s="1683">
        <v>0</v>
      </c>
      <c r="AD673" s="1685">
        <v>43509</v>
      </c>
      <c r="AE673" s="1326" t="s">
        <v>2088</v>
      </c>
      <c r="AF673" s="1326" t="s">
        <v>2067</v>
      </c>
      <c r="AG673" s="1410"/>
      <c r="AH673" s="1683">
        <v>12633.86</v>
      </c>
      <c r="AI673" s="1683">
        <v>12633.86</v>
      </c>
      <c r="AJ673" s="1683">
        <v>10738.77</v>
      </c>
      <c r="AK673" s="1683">
        <v>10738.77</v>
      </c>
      <c r="AL673" s="1683">
        <v>0</v>
      </c>
      <c r="AM673" s="1685">
        <v>43509</v>
      </c>
      <c r="AN673" s="1683">
        <v>12633.86</v>
      </c>
      <c r="AO673" s="1683">
        <v>12633.86</v>
      </c>
      <c r="AP673" s="1683">
        <v>10738.77</v>
      </c>
      <c r="AQ673" s="1683">
        <v>10738.77</v>
      </c>
      <c r="AR673" s="1683">
        <v>0</v>
      </c>
      <c r="AS673" s="1683">
        <v>1895.09</v>
      </c>
      <c r="AT673" s="1683">
        <v>0</v>
      </c>
      <c r="AU673" s="1683">
        <v>1895.09</v>
      </c>
      <c r="AV673" s="1683">
        <v>0</v>
      </c>
      <c r="AW673" s="1683">
        <v>0</v>
      </c>
      <c r="AX673" s="1400"/>
      <c r="AY673" s="1400"/>
      <c r="AZ673" s="1400"/>
      <c r="BA673" s="1682"/>
      <c r="BB673" s="1682"/>
      <c r="BC673" s="1400"/>
      <c r="BD673" s="1400"/>
      <c r="BE673" s="1683">
        <v>12633.86</v>
      </c>
      <c r="BF673" s="1683">
        <v>12633.86</v>
      </c>
      <c r="BG673" s="1683">
        <v>10738.77</v>
      </c>
      <c r="BH673" s="1683">
        <v>10738.77</v>
      </c>
      <c r="BI673" s="1683">
        <v>0</v>
      </c>
      <c r="BJ673" s="1683">
        <v>1895.09</v>
      </c>
      <c r="BK673" s="1683">
        <v>0</v>
      </c>
      <c r="BL673" s="1683">
        <v>1895.09</v>
      </c>
      <c r="BM673" s="1683">
        <v>0</v>
      </c>
      <c r="BN673" s="1683">
        <v>0</v>
      </c>
      <c r="BO673" s="1682"/>
      <c r="BP673" s="1683">
        <v>0</v>
      </c>
      <c r="BQ673" s="1683">
        <v>0</v>
      </c>
      <c r="BR673" s="1683">
        <v>0</v>
      </c>
      <c r="BS673" s="1683">
        <v>0</v>
      </c>
      <c r="BT673" s="1683">
        <v>0</v>
      </c>
      <c r="BU673" s="1683">
        <v>0</v>
      </c>
      <c r="BV673" s="1683">
        <v>0</v>
      </c>
      <c r="BW673" s="1683">
        <v>0</v>
      </c>
      <c r="BX673" s="1683">
        <v>0</v>
      </c>
      <c r="BY673" s="1683">
        <v>0</v>
      </c>
      <c r="BZ673" s="1400"/>
      <c r="CA673" s="1400"/>
      <c r="CB673" s="1682"/>
      <c r="CC673" s="1682"/>
      <c r="CD673" s="1400"/>
      <c r="CE673" s="1400"/>
      <c r="CF673" s="1683">
        <v>0</v>
      </c>
      <c r="CG673" s="1683">
        <v>0</v>
      </c>
      <c r="CH673" s="1683">
        <v>0</v>
      </c>
      <c r="CI673" s="1683">
        <v>0</v>
      </c>
      <c r="CJ673" s="1683">
        <v>0</v>
      </c>
      <c r="CK673" s="1683">
        <v>0</v>
      </c>
      <c r="CL673" s="1682"/>
      <c r="CM673" s="1683">
        <v>0</v>
      </c>
      <c r="CN673" s="1683">
        <v>0</v>
      </c>
      <c r="CO673" s="1683">
        <v>0</v>
      </c>
      <c r="CP673" s="1683">
        <v>0</v>
      </c>
      <c r="CQ673" s="1683">
        <v>0</v>
      </c>
      <c r="CR673" s="1683">
        <v>0</v>
      </c>
      <c r="CS673" s="1683">
        <v>0</v>
      </c>
      <c r="CT673" s="1683">
        <v>0</v>
      </c>
      <c r="CU673" s="1683">
        <v>0</v>
      </c>
      <c r="CV673" s="1683">
        <v>0</v>
      </c>
      <c r="CW673" s="1682"/>
      <c r="CX673" s="1400"/>
      <c r="CY673" s="1400"/>
      <c r="CZ673" s="1400"/>
      <c r="DA673" s="1400"/>
      <c r="DB673" s="1682"/>
      <c r="DC673" s="1326"/>
      <c r="DD673" s="1683">
        <v>0</v>
      </c>
      <c r="DE673" s="1400"/>
      <c r="DF673" s="1400"/>
      <c r="DG673" s="1683">
        <v>0</v>
      </c>
      <c r="DH673" s="1683">
        <v>0</v>
      </c>
    </row>
    <row r="674" spans="1:112" ht="56.25">
      <c r="A674" s="1326" t="s">
        <v>4437</v>
      </c>
      <c r="B674" s="1326" t="s">
        <v>1704</v>
      </c>
      <c r="C674" s="1326" t="s">
        <v>2580</v>
      </c>
      <c r="D674" s="1326" t="s">
        <v>2581</v>
      </c>
      <c r="E674" s="1326" t="s">
        <v>2467</v>
      </c>
      <c r="F674" s="1326" t="s">
        <v>2582</v>
      </c>
      <c r="G674" s="1326" t="s">
        <v>2556</v>
      </c>
      <c r="H674" s="1326" t="s">
        <v>2541</v>
      </c>
      <c r="I674" s="1326" t="s">
        <v>809</v>
      </c>
      <c r="J674" s="1326" t="s">
        <v>2489</v>
      </c>
      <c r="K674" s="1326" t="s">
        <v>2071</v>
      </c>
      <c r="L674" s="1326" t="s">
        <v>2061</v>
      </c>
      <c r="M674" s="1400"/>
      <c r="N674" s="1400"/>
      <c r="O674" s="1400"/>
      <c r="P674" s="1400"/>
      <c r="Q674" s="1400"/>
      <c r="R674" s="1400"/>
      <c r="S674" s="1400"/>
      <c r="T674" s="1400"/>
      <c r="U674" s="1400"/>
      <c r="V674" s="1400"/>
      <c r="W674" s="1400"/>
      <c r="X674" s="1400"/>
      <c r="Y674" s="1685">
        <v>43475</v>
      </c>
      <c r="Z674" s="1326" t="s">
        <v>2062</v>
      </c>
      <c r="AA674" s="1683">
        <v>0</v>
      </c>
      <c r="AB674" s="1683">
        <v>0</v>
      </c>
      <c r="AC674" s="1683">
        <v>0</v>
      </c>
      <c r="AD674" s="1685">
        <v>43509</v>
      </c>
      <c r="AE674" s="1326" t="s">
        <v>2088</v>
      </c>
      <c r="AF674" s="1326" t="s">
        <v>2064</v>
      </c>
      <c r="AG674" s="1410"/>
      <c r="AH674" s="1683">
        <v>138290.54999999999</v>
      </c>
      <c r="AI674" s="1683">
        <v>138290.54999999999</v>
      </c>
      <c r="AJ674" s="1683">
        <v>117546.86</v>
      </c>
      <c r="AK674" s="1683">
        <v>117546.86</v>
      </c>
      <c r="AL674" s="1683">
        <v>0</v>
      </c>
      <c r="AM674" s="1685">
        <v>43509</v>
      </c>
      <c r="AN674" s="1683">
        <v>138290.54999999999</v>
      </c>
      <c r="AO674" s="1683">
        <v>138290.54999999999</v>
      </c>
      <c r="AP674" s="1683">
        <v>117546.86</v>
      </c>
      <c r="AQ674" s="1683">
        <v>117546.86</v>
      </c>
      <c r="AR674" s="1683">
        <v>0</v>
      </c>
      <c r="AS674" s="1683">
        <v>20743.689999999999</v>
      </c>
      <c r="AT674" s="1683">
        <v>0</v>
      </c>
      <c r="AU674" s="1683">
        <v>20743.689999999999</v>
      </c>
      <c r="AV674" s="1683">
        <v>0</v>
      </c>
      <c r="AW674" s="1683">
        <v>0</v>
      </c>
      <c r="AX674" s="1400"/>
      <c r="AY674" s="1400"/>
      <c r="AZ674" s="1400"/>
      <c r="BA674" s="1682"/>
      <c r="BB674" s="1682"/>
      <c r="BC674" s="1400"/>
      <c r="BD674" s="1400"/>
      <c r="BE674" s="1683">
        <v>138290.54999999999</v>
      </c>
      <c r="BF674" s="1683">
        <v>138290.54999999999</v>
      </c>
      <c r="BG674" s="1683">
        <v>117546.86</v>
      </c>
      <c r="BH674" s="1683">
        <v>117546.86</v>
      </c>
      <c r="BI674" s="1683">
        <v>0</v>
      </c>
      <c r="BJ674" s="1683">
        <v>20743.689999999999</v>
      </c>
      <c r="BK674" s="1683">
        <v>0</v>
      </c>
      <c r="BL674" s="1683">
        <v>20743.689999999999</v>
      </c>
      <c r="BM674" s="1683">
        <v>0</v>
      </c>
      <c r="BN674" s="1683">
        <v>0</v>
      </c>
      <c r="BO674" s="1682"/>
      <c r="BP674" s="1683">
        <v>0</v>
      </c>
      <c r="BQ674" s="1683">
        <v>0</v>
      </c>
      <c r="BR674" s="1683">
        <v>0</v>
      </c>
      <c r="BS674" s="1683">
        <v>0</v>
      </c>
      <c r="BT674" s="1683">
        <v>0</v>
      </c>
      <c r="BU674" s="1683">
        <v>0</v>
      </c>
      <c r="BV674" s="1683">
        <v>0</v>
      </c>
      <c r="BW674" s="1683">
        <v>0</v>
      </c>
      <c r="BX674" s="1683">
        <v>0</v>
      </c>
      <c r="BY674" s="1683">
        <v>0</v>
      </c>
      <c r="BZ674" s="1400"/>
      <c r="CA674" s="1400"/>
      <c r="CB674" s="1682"/>
      <c r="CC674" s="1682"/>
      <c r="CD674" s="1400"/>
      <c r="CE674" s="1400"/>
      <c r="CF674" s="1683">
        <v>0</v>
      </c>
      <c r="CG674" s="1683">
        <v>0</v>
      </c>
      <c r="CH674" s="1683">
        <v>0</v>
      </c>
      <c r="CI674" s="1683">
        <v>0</v>
      </c>
      <c r="CJ674" s="1683">
        <v>0</v>
      </c>
      <c r="CK674" s="1683">
        <v>0</v>
      </c>
      <c r="CL674" s="1682"/>
      <c r="CM674" s="1683">
        <v>0</v>
      </c>
      <c r="CN674" s="1683">
        <v>0</v>
      </c>
      <c r="CO674" s="1683">
        <v>0</v>
      </c>
      <c r="CP674" s="1683">
        <v>0</v>
      </c>
      <c r="CQ674" s="1683">
        <v>0</v>
      </c>
      <c r="CR674" s="1683">
        <v>0</v>
      </c>
      <c r="CS674" s="1683">
        <v>0</v>
      </c>
      <c r="CT674" s="1683">
        <v>0</v>
      </c>
      <c r="CU674" s="1683">
        <v>0</v>
      </c>
      <c r="CV674" s="1683">
        <v>0</v>
      </c>
      <c r="CW674" s="1682"/>
      <c r="CX674" s="1400"/>
      <c r="CY674" s="1400"/>
      <c r="CZ674" s="1400"/>
      <c r="DA674" s="1400"/>
      <c r="DB674" s="1682"/>
      <c r="DC674" s="1326"/>
      <c r="DD674" s="1683">
        <v>0</v>
      </c>
      <c r="DE674" s="1400"/>
      <c r="DF674" s="1400"/>
      <c r="DG674" s="1683">
        <v>0</v>
      </c>
      <c r="DH674" s="1683">
        <v>0</v>
      </c>
    </row>
    <row r="675" spans="1:112" ht="56.25">
      <c r="A675" s="1326" t="s">
        <v>4438</v>
      </c>
      <c r="B675" s="1326" t="s">
        <v>1704</v>
      </c>
      <c r="C675" s="1326" t="s">
        <v>2580</v>
      </c>
      <c r="D675" s="1326" t="s">
        <v>2581</v>
      </c>
      <c r="E675" s="1326" t="s">
        <v>2467</v>
      </c>
      <c r="F675" s="1326" t="s">
        <v>2582</v>
      </c>
      <c r="G675" s="1326" t="s">
        <v>2556</v>
      </c>
      <c r="H675" s="1326" t="s">
        <v>2541</v>
      </c>
      <c r="I675" s="1326" t="s">
        <v>810</v>
      </c>
      <c r="J675" s="1326" t="s">
        <v>635</v>
      </c>
      <c r="K675" s="1326" t="s">
        <v>2077</v>
      </c>
      <c r="L675" s="1326" t="s">
        <v>2061</v>
      </c>
      <c r="M675" s="1683">
        <v>856424.88</v>
      </c>
      <c r="N675" s="1683">
        <v>0</v>
      </c>
      <c r="O675" s="1683">
        <v>856424.88</v>
      </c>
      <c r="P675" s="1683">
        <v>856424.88</v>
      </c>
      <c r="Q675" s="1683">
        <v>536611</v>
      </c>
      <c r="R675" s="1683">
        <v>536611</v>
      </c>
      <c r="S675" s="1683">
        <v>0</v>
      </c>
      <c r="T675" s="1683">
        <v>319813.88</v>
      </c>
      <c r="U675" s="1683">
        <v>0</v>
      </c>
      <c r="V675" s="1683">
        <v>319813.88</v>
      </c>
      <c r="W675" s="1683">
        <v>0</v>
      </c>
      <c r="X675" s="1683">
        <v>0</v>
      </c>
      <c r="Y675" s="1682"/>
      <c r="Z675" s="1326"/>
      <c r="AA675" s="1683">
        <v>40000</v>
      </c>
      <c r="AB675" s="1683">
        <v>40000</v>
      </c>
      <c r="AC675" s="1683">
        <v>0</v>
      </c>
      <c r="AD675" s="1682"/>
      <c r="AE675" s="1326"/>
      <c r="AF675" s="1326"/>
      <c r="AG675" s="1410"/>
      <c r="AH675" s="1683">
        <v>302709.84000000003</v>
      </c>
      <c r="AI675" s="1683">
        <v>442709.84</v>
      </c>
      <c r="AJ675" s="1683">
        <v>289669.21000000002</v>
      </c>
      <c r="AK675" s="1683">
        <v>289669.21000000002</v>
      </c>
      <c r="AL675" s="1683">
        <v>0</v>
      </c>
      <c r="AM675" s="1682"/>
      <c r="AN675" s="1683">
        <v>302709.84000000003</v>
      </c>
      <c r="AO675" s="1683">
        <v>302709.84000000003</v>
      </c>
      <c r="AP675" s="1683">
        <v>189669.21</v>
      </c>
      <c r="AQ675" s="1683">
        <v>189669.21</v>
      </c>
      <c r="AR675" s="1683">
        <v>0</v>
      </c>
      <c r="AS675" s="1683">
        <v>113040.63</v>
      </c>
      <c r="AT675" s="1683">
        <v>0</v>
      </c>
      <c r="AU675" s="1683">
        <v>113040.63</v>
      </c>
      <c r="AV675" s="1683">
        <v>0</v>
      </c>
      <c r="AW675" s="1683">
        <v>0</v>
      </c>
      <c r="AX675" s="1683">
        <v>0</v>
      </c>
      <c r="AY675" s="1683">
        <v>0</v>
      </c>
      <c r="AZ675" s="1683">
        <v>0</v>
      </c>
      <c r="BA675" s="1682"/>
      <c r="BB675" s="1682"/>
      <c r="BC675" s="1683">
        <v>0</v>
      </c>
      <c r="BD675" s="1683">
        <v>0</v>
      </c>
      <c r="BE675" s="1683">
        <v>302709.84000000003</v>
      </c>
      <c r="BF675" s="1683">
        <v>302709.84000000003</v>
      </c>
      <c r="BG675" s="1683">
        <v>189669.21</v>
      </c>
      <c r="BH675" s="1683">
        <v>189669.21</v>
      </c>
      <c r="BI675" s="1683">
        <v>0</v>
      </c>
      <c r="BJ675" s="1683">
        <v>113040.63</v>
      </c>
      <c r="BK675" s="1683">
        <v>0</v>
      </c>
      <c r="BL675" s="1683">
        <v>113040.63</v>
      </c>
      <c r="BM675" s="1683">
        <v>0</v>
      </c>
      <c r="BN675" s="1683">
        <v>0</v>
      </c>
      <c r="BO675" s="1682"/>
      <c r="BP675" s="1683">
        <v>0</v>
      </c>
      <c r="BQ675" s="1683">
        <v>0</v>
      </c>
      <c r="BR675" s="1683">
        <v>0</v>
      </c>
      <c r="BS675" s="1683">
        <v>0</v>
      </c>
      <c r="BT675" s="1683">
        <v>0</v>
      </c>
      <c r="BU675" s="1683">
        <v>0</v>
      </c>
      <c r="BV675" s="1683">
        <v>0</v>
      </c>
      <c r="BW675" s="1683">
        <v>0</v>
      </c>
      <c r="BX675" s="1683">
        <v>0</v>
      </c>
      <c r="BY675" s="1683">
        <v>0</v>
      </c>
      <c r="BZ675" s="1400"/>
      <c r="CA675" s="1683">
        <v>0</v>
      </c>
      <c r="CB675" s="1682"/>
      <c r="CC675" s="1682"/>
      <c r="CD675" s="1683">
        <v>0</v>
      </c>
      <c r="CE675" s="1683">
        <v>0</v>
      </c>
      <c r="CF675" s="1683">
        <v>0</v>
      </c>
      <c r="CG675" s="1683">
        <v>0</v>
      </c>
      <c r="CH675" s="1683">
        <v>0</v>
      </c>
      <c r="CI675" s="1683">
        <v>0</v>
      </c>
      <c r="CJ675" s="1683">
        <v>0</v>
      </c>
      <c r="CK675" s="1683">
        <v>0</v>
      </c>
      <c r="CL675" s="1682"/>
      <c r="CM675" s="1683">
        <v>0</v>
      </c>
      <c r="CN675" s="1683">
        <v>0</v>
      </c>
      <c r="CO675" s="1683">
        <v>0</v>
      </c>
      <c r="CP675" s="1683">
        <v>0</v>
      </c>
      <c r="CQ675" s="1683">
        <v>0</v>
      </c>
      <c r="CR675" s="1683">
        <v>0</v>
      </c>
      <c r="CS675" s="1683">
        <v>0</v>
      </c>
      <c r="CT675" s="1683">
        <v>0</v>
      </c>
      <c r="CU675" s="1683">
        <v>0</v>
      </c>
      <c r="CV675" s="1683">
        <v>0</v>
      </c>
      <c r="CW675" s="1682"/>
      <c r="CX675" s="1683">
        <v>0</v>
      </c>
      <c r="CY675" s="1683">
        <v>0</v>
      </c>
      <c r="CZ675" s="1683">
        <v>0</v>
      </c>
      <c r="DA675" s="1683">
        <v>0</v>
      </c>
      <c r="DB675" s="1682"/>
      <c r="DC675" s="1326"/>
      <c r="DD675" s="1683">
        <v>0</v>
      </c>
      <c r="DE675" s="1683">
        <v>0</v>
      </c>
      <c r="DF675" s="1683">
        <v>0</v>
      </c>
      <c r="DG675" s="1683">
        <v>0</v>
      </c>
      <c r="DH675" s="1683">
        <v>0</v>
      </c>
    </row>
    <row r="676" spans="1:112" ht="56.25">
      <c r="A676" s="1326" t="s">
        <v>4439</v>
      </c>
      <c r="B676" s="1326" t="s">
        <v>1704</v>
      </c>
      <c r="C676" s="1326" t="s">
        <v>2580</v>
      </c>
      <c r="D676" s="1326" t="s">
        <v>2581</v>
      </c>
      <c r="E676" s="1326" t="s">
        <v>2467</v>
      </c>
      <c r="F676" s="1326" t="s">
        <v>2582</v>
      </c>
      <c r="G676" s="1326" t="s">
        <v>2556</v>
      </c>
      <c r="H676" s="1326" t="s">
        <v>2541</v>
      </c>
      <c r="I676" s="1326" t="s">
        <v>810</v>
      </c>
      <c r="J676" s="1326" t="s">
        <v>635</v>
      </c>
      <c r="K676" s="1326" t="s">
        <v>2077</v>
      </c>
      <c r="L676" s="1326" t="s">
        <v>2061</v>
      </c>
      <c r="M676" s="1400"/>
      <c r="N676" s="1400"/>
      <c r="O676" s="1400"/>
      <c r="P676" s="1400"/>
      <c r="Q676" s="1400"/>
      <c r="R676" s="1400"/>
      <c r="S676" s="1400"/>
      <c r="T676" s="1400"/>
      <c r="U676" s="1400"/>
      <c r="V676" s="1400"/>
      <c r="W676" s="1400"/>
      <c r="X676" s="1400"/>
      <c r="Y676" s="1685">
        <v>43264</v>
      </c>
      <c r="Z676" s="1326" t="s">
        <v>2096</v>
      </c>
      <c r="AA676" s="1683">
        <v>0</v>
      </c>
      <c r="AB676" s="1683">
        <v>0</v>
      </c>
      <c r="AC676" s="1683">
        <v>0</v>
      </c>
      <c r="AD676" s="1685">
        <v>43272</v>
      </c>
      <c r="AE676" s="1326" t="s">
        <v>2063</v>
      </c>
      <c r="AF676" s="1326" t="s">
        <v>2064</v>
      </c>
      <c r="AG676" s="1410"/>
      <c r="AH676" s="1683">
        <v>0</v>
      </c>
      <c r="AI676" s="1683">
        <v>17562.78</v>
      </c>
      <c r="AJ676" s="1683">
        <v>17562.78</v>
      </c>
      <c r="AK676" s="1683">
        <v>17562.78</v>
      </c>
      <c r="AL676" s="1683">
        <v>0</v>
      </c>
      <c r="AM676" s="1682"/>
      <c r="AN676" s="1683">
        <v>0</v>
      </c>
      <c r="AO676" s="1683">
        <v>0</v>
      </c>
      <c r="AP676" s="1683">
        <v>0</v>
      </c>
      <c r="AQ676" s="1683">
        <v>0</v>
      </c>
      <c r="AR676" s="1683">
        <v>0</v>
      </c>
      <c r="AS676" s="1683">
        <v>0</v>
      </c>
      <c r="AT676" s="1683">
        <v>0</v>
      </c>
      <c r="AU676" s="1683">
        <v>0</v>
      </c>
      <c r="AV676" s="1683">
        <v>0</v>
      </c>
      <c r="AW676" s="1683">
        <v>0</v>
      </c>
      <c r="AX676" s="1400"/>
      <c r="AY676" s="1400"/>
      <c r="AZ676" s="1400"/>
      <c r="BA676" s="1682"/>
      <c r="BB676" s="1682"/>
      <c r="BC676" s="1400"/>
      <c r="BD676" s="1400"/>
      <c r="BE676" s="1683">
        <v>0</v>
      </c>
      <c r="BF676" s="1683">
        <v>0</v>
      </c>
      <c r="BG676" s="1683">
        <v>0</v>
      </c>
      <c r="BH676" s="1683">
        <v>0</v>
      </c>
      <c r="BI676" s="1683">
        <v>0</v>
      </c>
      <c r="BJ676" s="1683">
        <v>0</v>
      </c>
      <c r="BK676" s="1683">
        <v>0</v>
      </c>
      <c r="BL676" s="1683">
        <v>0</v>
      </c>
      <c r="BM676" s="1683">
        <v>0</v>
      </c>
      <c r="BN676" s="1683">
        <v>0</v>
      </c>
      <c r="BO676" s="1682"/>
      <c r="BP676" s="1683">
        <v>0</v>
      </c>
      <c r="BQ676" s="1683">
        <v>0</v>
      </c>
      <c r="BR676" s="1683">
        <v>0</v>
      </c>
      <c r="BS676" s="1683">
        <v>0</v>
      </c>
      <c r="BT676" s="1683">
        <v>0</v>
      </c>
      <c r="BU676" s="1683">
        <v>0</v>
      </c>
      <c r="BV676" s="1683">
        <v>0</v>
      </c>
      <c r="BW676" s="1683">
        <v>0</v>
      </c>
      <c r="BX676" s="1683">
        <v>0</v>
      </c>
      <c r="BY676" s="1683">
        <v>0</v>
      </c>
      <c r="BZ676" s="1400"/>
      <c r="CA676" s="1400"/>
      <c r="CB676" s="1682"/>
      <c r="CC676" s="1682"/>
      <c r="CD676" s="1400"/>
      <c r="CE676" s="1400"/>
      <c r="CF676" s="1683">
        <v>0</v>
      </c>
      <c r="CG676" s="1683">
        <v>0</v>
      </c>
      <c r="CH676" s="1683">
        <v>0</v>
      </c>
      <c r="CI676" s="1683">
        <v>0</v>
      </c>
      <c r="CJ676" s="1683">
        <v>0</v>
      </c>
      <c r="CK676" s="1683">
        <v>0</v>
      </c>
      <c r="CL676" s="1682"/>
      <c r="CM676" s="1683">
        <v>0</v>
      </c>
      <c r="CN676" s="1683">
        <v>0</v>
      </c>
      <c r="CO676" s="1683">
        <v>0</v>
      </c>
      <c r="CP676" s="1683">
        <v>0</v>
      </c>
      <c r="CQ676" s="1683">
        <v>0</v>
      </c>
      <c r="CR676" s="1683">
        <v>0</v>
      </c>
      <c r="CS676" s="1683">
        <v>0</v>
      </c>
      <c r="CT676" s="1683">
        <v>0</v>
      </c>
      <c r="CU676" s="1683">
        <v>0</v>
      </c>
      <c r="CV676" s="1683">
        <v>0</v>
      </c>
      <c r="CW676" s="1682"/>
      <c r="CX676" s="1400"/>
      <c r="CY676" s="1400"/>
      <c r="CZ676" s="1400"/>
      <c r="DA676" s="1400"/>
      <c r="DB676" s="1682"/>
      <c r="DC676" s="1326"/>
      <c r="DD676" s="1683">
        <v>0</v>
      </c>
      <c r="DE676" s="1400"/>
      <c r="DF676" s="1400"/>
      <c r="DG676" s="1683">
        <v>0</v>
      </c>
      <c r="DH676" s="1683">
        <v>0</v>
      </c>
    </row>
    <row r="677" spans="1:112" ht="56.25">
      <c r="A677" s="1326" t="s">
        <v>4440</v>
      </c>
      <c r="B677" s="1326" t="s">
        <v>1704</v>
      </c>
      <c r="C677" s="1326" t="s">
        <v>2580</v>
      </c>
      <c r="D677" s="1326" t="s">
        <v>2581</v>
      </c>
      <c r="E677" s="1326" t="s">
        <v>2467</v>
      </c>
      <c r="F677" s="1326" t="s">
        <v>2582</v>
      </c>
      <c r="G677" s="1326" t="s">
        <v>2556</v>
      </c>
      <c r="H677" s="1326" t="s">
        <v>2541</v>
      </c>
      <c r="I677" s="1326" t="s">
        <v>810</v>
      </c>
      <c r="J677" s="1326" t="s">
        <v>635</v>
      </c>
      <c r="K677" s="1326" t="s">
        <v>2077</v>
      </c>
      <c r="L677" s="1326" t="s">
        <v>2061</v>
      </c>
      <c r="M677" s="1400"/>
      <c r="N677" s="1400"/>
      <c r="O677" s="1400"/>
      <c r="P677" s="1400"/>
      <c r="Q677" s="1400"/>
      <c r="R677" s="1400"/>
      <c r="S677" s="1400"/>
      <c r="T677" s="1400"/>
      <c r="U677" s="1400"/>
      <c r="V677" s="1400"/>
      <c r="W677" s="1400"/>
      <c r="X677" s="1400"/>
      <c r="Y677" s="1685">
        <v>43294</v>
      </c>
      <c r="Z677" s="1326" t="s">
        <v>2096</v>
      </c>
      <c r="AA677" s="1683">
        <v>0</v>
      </c>
      <c r="AB677" s="1683">
        <v>0</v>
      </c>
      <c r="AC677" s="1683">
        <v>0</v>
      </c>
      <c r="AD677" s="1685">
        <v>43301</v>
      </c>
      <c r="AE677" s="1326" t="s">
        <v>2066</v>
      </c>
      <c r="AF677" s="1326" t="s">
        <v>2064</v>
      </c>
      <c r="AG677" s="1410"/>
      <c r="AH677" s="1683">
        <v>0</v>
      </c>
      <c r="AI677" s="1683">
        <v>122437.22</v>
      </c>
      <c r="AJ677" s="1683">
        <v>122437.22</v>
      </c>
      <c r="AK677" s="1683">
        <v>122437.22</v>
      </c>
      <c r="AL677" s="1683">
        <v>0</v>
      </c>
      <c r="AM677" s="1682"/>
      <c r="AN677" s="1683">
        <v>0</v>
      </c>
      <c r="AO677" s="1683">
        <v>0</v>
      </c>
      <c r="AP677" s="1683">
        <v>0</v>
      </c>
      <c r="AQ677" s="1683">
        <v>0</v>
      </c>
      <c r="AR677" s="1683">
        <v>0</v>
      </c>
      <c r="AS677" s="1683">
        <v>0</v>
      </c>
      <c r="AT677" s="1683">
        <v>0</v>
      </c>
      <c r="AU677" s="1683">
        <v>0</v>
      </c>
      <c r="AV677" s="1683">
        <v>0</v>
      </c>
      <c r="AW677" s="1683">
        <v>0</v>
      </c>
      <c r="AX677" s="1400"/>
      <c r="AY677" s="1400"/>
      <c r="AZ677" s="1400"/>
      <c r="BA677" s="1682"/>
      <c r="BB677" s="1682"/>
      <c r="BC677" s="1400"/>
      <c r="BD677" s="1400"/>
      <c r="BE677" s="1683">
        <v>0</v>
      </c>
      <c r="BF677" s="1683">
        <v>0</v>
      </c>
      <c r="BG677" s="1683">
        <v>0</v>
      </c>
      <c r="BH677" s="1683">
        <v>0</v>
      </c>
      <c r="BI677" s="1683">
        <v>0</v>
      </c>
      <c r="BJ677" s="1683">
        <v>0</v>
      </c>
      <c r="BK677" s="1683">
        <v>0</v>
      </c>
      <c r="BL677" s="1683">
        <v>0</v>
      </c>
      <c r="BM677" s="1683">
        <v>0</v>
      </c>
      <c r="BN677" s="1683">
        <v>0</v>
      </c>
      <c r="BO677" s="1682"/>
      <c r="BP677" s="1683">
        <v>0</v>
      </c>
      <c r="BQ677" s="1683">
        <v>0</v>
      </c>
      <c r="BR677" s="1683">
        <v>0</v>
      </c>
      <c r="BS677" s="1683">
        <v>0</v>
      </c>
      <c r="BT677" s="1683">
        <v>0</v>
      </c>
      <c r="BU677" s="1683">
        <v>0</v>
      </c>
      <c r="BV677" s="1683">
        <v>0</v>
      </c>
      <c r="BW677" s="1683">
        <v>0</v>
      </c>
      <c r="BX677" s="1683">
        <v>0</v>
      </c>
      <c r="BY677" s="1683">
        <v>0</v>
      </c>
      <c r="BZ677" s="1400"/>
      <c r="CA677" s="1400"/>
      <c r="CB677" s="1682"/>
      <c r="CC677" s="1682"/>
      <c r="CD677" s="1400"/>
      <c r="CE677" s="1400"/>
      <c r="CF677" s="1683">
        <v>0</v>
      </c>
      <c r="CG677" s="1683">
        <v>0</v>
      </c>
      <c r="CH677" s="1683">
        <v>0</v>
      </c>
      <c r="CI677" s="1683">
        <v>0</v>
      </c>
      <c r="CJ677" s="1683">
        <v>0</v>
      </c>
      <c r="CK677" s="1683">
        <v>0</v>
      </c>
      <c r="CL677" s="1682"/>
      <c r="CM677" s="1683">
        <v>0</v>
      </c>
      <c r="CN677" s="1683">
        <v>0</v>
      </c>
      <c r="CO677" s="1683">
        <v>0</v>
      </c>
      <c r="CP677" s="1683">
        <v>0</v>
      </c>
      <c r="CQ677" s="1683">
        <v>0</v>
      </c>
      <c r="CR677" s="1683">
        <v>0</v>
      </c>
      <c r="CS677" s="1683">
        <v>0</v>
      </c>
      <c r="CT677" s="1683">
        <v>0</v>
      </c>
      <c r="CU677" s="1683">
        <v>0</v>
      </c>
      <c r="CV677" s="1683">
        <v>0</v>
      </c>
      <c r="CW677" s="1682"/>
      <c r="CX677" s="1400"/>
      <c r="CY677" s="1400"/>
      <c r="CZ677" s="1400"/>
      <c r="DA677" s="1400"/>
      <c r="DB677" s="1682"/>
      <c r="DC677" s="1326"/>
      <c r="DD677" s="1683">
        <v>0</v>
      </c>
      <c r="DE677" s="1400"/>
      <c r="DF677" s="1400"/>
      <c r="DG677" s="1683">
        <v>0</v>
      </c>
      <c r="DH677" s="1683">
        <v>0</v>
      </c>
    </row>
    <row r="678" spans="1:112" ht="56.25">
      <c r="A678" s="1326" t="s">
        <v>4441</v>
      </c>
      <c r="B678" s="1326" t="s">
        <v>1704</v>
      </c>
      <c r="C678" s="1326" t="s">
        <v>2580</v>
      </c>
      <c r="D678" s="1326" t="s">
        <v>2581</v>
      </c>
      <c r="E678" s="1326" t="s">
        <v>2467</v>
      </c>
      <c r="F678" s="1326" t="s">
        <v>2582</v>
      </c>
      <c r="G678" s="1326" t="s">
        <v>2556</v>
      </c>
      <c r="H678" s="1326" t="s">
        <v>2541</v>
      </c>
      <c r="I678" s="1326" t="s">
        <v>810</v>
      </c>
      <c r="J678" s="1326" t="s">
        <v>635</v>
      </c>
      <c r="K678" s="1326" t="s">
        <v>2077</v>
      </c>
      <c r="L678" s="1326" t="s">
        <v>2061</v>
      </c>
      <c r="M678" s="1400"/>
      <c r="N678" s="1400"/>
      <c r="O678" s="1400"/>
      <c r="P678" s="1400"/>
      <c r="Q678" s="1400"/>
      <c r="R678" s="1400"/>
      <c r="S678" s="1400"/>
      <c r="T678" s="1400"/>
      <c r="U678" s="1400"/>
      <c r="V678" s="1400"/>
      <c r="W678" s="1400"/>
      <c r="X678" s="1400"/>
      <c r="Y678" s="1685">
        <v>43474</v>
      </c>
      <c r="Z678" s="1326" t="s">
        <v>2062</v>
      </c>
      <c r="AA678" s="1683">
        <v>40000</v>
      </c>
      <c r="AB678" s="1683">
        <v>40000</v>
      </c>
      <c r="AC678" s="1683">
        <v>0</v>
      </c>
      <c r="AD678" s="1685">
        <v>43503</v>
      </c>
      <c r="AE678" s="1326" t="s">
        <v>2088</v>
      </c>
      <c r="AF678" s="1326" t="s">
        <v>2064</v>
      </c>
      <c r="AG678" s="1410"/>
      <c r="AH678" s="1683">
        <v>302709.84000000003</v>
      </c>
      <c r="AI678" s="1683">
        <v>302709.84000000003</v>
      </c>
      <c r="AJ678" s="1683">
        <v>149669.21</v>
      </c>
      <c r="AK678" s="1683">
        <v>149669.21</v>
      </c>
      <c r="AL678" s="1683">
        <v>0</v>
      </c>
      <c r="AM678" s="1685">
        <v>43503</v>
      </c>
      <c r="AN678" s="1683">
        <v>302709.84000000003</v>
      </c>
      <c r="AO678" s="1683">
        <v>302709.84000000003</v>
      </c>
      <c r="AP678" s="1683">
        <v>189669.21</v>
      </c>
      <c r="AQ678" s="1683">
        <v>189669.21</v>
      </c>
      <c r="AR678" s="1683">
        <v>0</v>
      </c>
      <c r="AS678" s="1683">
        <v>113040.63</v>
      </c>
      <c r="AT678" s="1683">
        <v>0</v>
      </c>
      <c r="AU678" s="1683">
        <v>113040.63</v>
      </c>
      <c r="AV678" s="1683">
        <v>0</v>
      </c>
      <c r="AW678" s="1683">
        <v>0</v>
      </c>
      <c r="AX678" s="1400"/>
      <c r="AY678" s="1400"/>
      <c r="AZ678" s="1400"/>
      <c r="BA678" s="1682"/>
      <c r="BB678" s="1682"/>
      <c r="BC678" s="1400"/>
      <c r="BD678" s="1400"/>
      <c r="BE678" s="1683">
        <v>302709.84000000003</v>
      </c>
      <c r="BF678" s="1683">
        <v>302709.84000000003</v>
      </c>
      <c r="BG678" s="1683">
        <v>189669.21</v>
      </c>
      <c r="BH678" s="1683">
        <v>189669.21</v>
      </c>
      <c r="BI678" s="1683">
        <v>0</v>
      </c>
      <c r="BJ678" s="1683">
        <v>113040.63</v>
      </c>
      <c r="BK678" s="1683">
        <v>0</v>
      </c>
      <c r="BL678" s="1683">
        <v>113040.63</v>
      </c>
      <c r="BM678" s="1683">
        <v>0</v>
      </c>
      <c r="BN678" s="1683">
        <v>0</v>
      </c>
      <c r="BO678" s="1682"/>
      <c r="BP678" s="1683">
        <v>0</v>
      </c>
      <c r="BQ678" s="1683">
        <v>0</v>
      </c>
      <c r="BR678" s="1683">
        <v>0</v>
      </c>
      <c r="BS678" s="1683">
        <v>0</v>
      </c>
      <c r="BT678" s="1683">
        <v>0</v>
      </c>
      <c r="BU678" s="1683">
        <v>0</v>
      </c>
      <c r="BV678" s="1683">
        <v>0</v>
      </c>
      <c r="BW678" s="1683">
        <v>0</v>
      </c>
      <c r="BX678" s="1683">
        <v>0</v>
      </c>
      <c r="BY678" s="1683">
        <v>0</v>
      </c>
      <c r="BZ678" s="1400"/>
      <c r="CA678" s="1400"/>
      <c r="CB678" s="1682"/>
      <c r="CC678" s="1682"/>
      <c r="CD678" s="1400"/>
      <c r="CE678" s="1400"/>
      <c r="CF678" s="1683">
        <v>0</v>
      </c>
      <c r="CG678" s="1683">
        <v>0</v>
      </c>
      <c r="CH678" s="1683">
        <v>0</v>
      </c>
      <c r="CI678" s="1683">
        <v>0</v>
      </c>
      <c r="CJ678" s="1683">
        <v>0</v>
      </c>
      <c r="CK678" s="1683">
        <v>0</v>
      </c>
      <c r="CL678" s="1682"/>
      <c r="CM678" s="1683">
        <v>0</v>
      </c>
      <c r="CN678" s="1683">
        <v>0</v>
      </c>
      <c r="CO678" s="1683">
        <v>0</v>
      </c>
      <c r="CP678" s="1683">
        <v>0</v>
      </c>
      <c r="CQ678" s="1683">
        <v>0</v>
      </c>
      <c r="CR678" s="1683">
        <v>0</v>
      </c>
      <c r="CS678" s="1683">
        <v>0</v>
      </c>
      <c r="CT678" s="1683">
        <v>0</v>
      </c>
      <c r="CU678" s="1683">
        <v>0</v>
      </c>
      <c r="CV678" s="1683">
        <v>0</v>
      </c>
      <c r="CW678" s="1682"/>
      <c r="CX678" s="1400"/>
      <c r="CY678" s="1400"/>
      <c r="CZ678" s="1400"/>
      <c r="DA678" s="1400"/>
      <c r="DB678" s="1682"/>
      <c r="DC678" s="1326"/>
      <c r="DD678" s="1683">
        <v>0</v>
      </c>
      <c r="DE678" s="1400"/>
      <c r="DF678" s="1400"/>
      <c r="DG678" s="1683">
        <v>0</v>
      </c>
      <c r="DH678" s="1683">
        <v>0</v>
      </c>
    </row>
    <row r="679" spans="1:112">
      <c r="A679" s="1326" t="s">
        <v>4442</v>
      </c>
      <c r="B679" s="1326" t="s">
        <v>1706</v>
      </c>
      <c r="C679" s="1326"/>
      <c r="D679" s="1326"/>
      <c r="E679" s="1326"/>
      <c r="F679" s="1326"/>
      <c r="G679" s="1326"/>
      <c r="H679" s="1326"/>
      <c r="I679" s="1326"/>
      <c r="J679" s="1326"/>
      <c r="K679" s="1326"/>
      <c r="L679" s="1326"/>
      <c r="M679" s="1683">
        <v>906987.73</v>
      </c>
      <c r="N679" s="1683">
        <v>0</v>
      </c>
      <c r="O679" s="1683">
        <v>906987.73</v>
      </c>
      <c r="P679" s="1683">
        <v>906987.73</v>
      </c>
      <c r="Q679" s="1683">
        <v>770807.84</v>
      </c>
      <c r="R679" s="1683">
        <v>770807.84</v>
      </c>
      <c r="S679" s="1683">
        <v>0</v>
      </c>
      <c r="T679" s="1683">
        <v>136179.89000000001</v>
      </c>
      <c r="U679" s="1683">
        <v>0</v>
      </c>
      <c r="V679" s="1683">
        <v>136179.89000000001</v>
      </c>
      <c r="W679" s="1683">
        <v>0</v>
      </c>
      <c r="X679" s="1683">
        <v>0</v>
      </c>
      <c r="Y679" s="1682"/>
      <c r="Z679" s="1326"/>
      <c r="AA679" s="1683">
        <v>0</v>
      </c>
      <c r="AB679" s="1683">
        <v>0</v>
      </c>
      <c r="AC679" s="1683">
        <v>0</v>
      </c>
      <c r="AD679" s="1682"/>
      <c r="AE679" s="1326"/>
      <c r="AF679" s="1326"/>
      <c r="AG679" s="1410"/>
      <c r="AH679" s="1683">
        <v>200051.84</v>
      </c>
      <c r="AI679" s="1683">
        <v>249209.41</v>
      </c>
      <c r="AJ679" s="1683">
        <v>219169.43</v>
      </c>
      <c r="AK679" s="1683">
        <v>219169.43</v>
      </c>
      <c r="AL679" s="1683">
        <v>0</v>
      </c>
      <c r="AM679" s="1682"/>
      <c r="AN679" s="1683">
        <v>200051.84</v>
      </c>
      <c r="AO679" s="1683">
        <v>200051.84</v>
      </c>
      <c r="AP679" s="1683">
        <v>170011.86</v>
      </c>
      <c r="AQ679" s="1683">
        <v>170011.86</v>
      </c>
      <c r="AR679" s="1683">
        <v>0</v>
      </c>
      <c r="AS679" s="1683">
        <v>30039.98</v>
      </c>
      <c r="AT679" s="1683">
        <v>0</v>
      </c>
      <c r="AU679" s="1683">
        <v>30039.98</v>
      </c>
      <c r="AV679" s="1683">
        <v>0</v>
      </c>
      <c r="AW679" s="1683">
        <v>0</v>
      </c>
      <c r="AX679" s="1683">
        <v>0</v>
      </c>
      <c r="AY679" s="1683">
        <v>0</v>
      </c>
      <c r="AZ679" s="1683">
        <v>0</v>
      </c>
      <c r="BA679" s="1682"/>
      <c r="BB679" s="1682"/>
      <c r="BC679" s="1683">
        <v>0</v>
      </c>
      <c r="BD679" s="1683">
        <v>0</v>
      </c>
      <c r="BE679" s="1683">
        <v>200051.84</v>
      </c>
      <c r="BF679" s="1683">
        <v>200051.84</v>
      </c>
      <c r="BG679" s="1683">
        <v>170011.86</v>
      </c>
      <c r="BH679" s="1683">
        <v>170011.86</v>
      </c>
      <c r="BI679" s="1683">
        <v>0</v>
      </c>
      <c r="BJ679" s="1683">
        <v>30039.98</v>
      </c>
      <c r="BK679" s="1683">
        <v>0</v>
      </c>
      <c r="BL679" s="1683">
        <v>30039.98</v>
      </c>
      <c r="BM679" s="1683">
        <v>0</v>
      </c>
      <c r="BN679" s="1683">
        <v>0</v>
      </c>
      <c r="BO679" s="1682"/>
      <c r="BP679" s="1683">
        <v>115488.03</v>
      </c>
      <c r="BQ679" s="1683">
        <v>115488.03</v>
      </c>
      <c r="BR679" s="1683">
        <v>98137.37</v>
      </c>
      <c r="BS679" s="1683">
        <v>98137.37</v>
      </c>
      <c r="BT679" s="1683">
        <v>0</v>
      </c>
      <c r="BU679" s="1683">
        <v>17350.66</v>
      </c>
      <c r="BV679" s="1683">
        <v>0</v>
      </c>
      <c r="BW679" s="1683">
        <v>487.2</v>
      </c>
      <c r="BX679" s="1683">
        <v>0</v>
      </c>
      <c r="BY679" s="1683">
        <v>0</v>
      </c>
      <c r="BZ679" s="1683">
        <v>0</v>
      </c>
      <c r="CA679" s="1683">
        <v>0</v>
      </c>
      <c r="CB679" s="1682"/>
      <c r="CC679" s="1682"/>
      <c r="CD679" s="1683">
        <v>0</v>
      </c>
      <c r="CE679" s="1683">
        <v>0</v>
      </c>
      <c r="CF679" s="1683">
        <v>0</v>
      </c>
      <c r="CG679" s="1683">
        <v>0</v>
      </c>
      <c r="CH679" s="1683">
        <v>0</v>
      </c>
      <c r="CI679" s="1683">
        <v>0</v>
      </c>
      <c r="CJ679" s="1683">
        <v>7741.06</v>
      </c>
      <c r="CK679" s="1683">
        <v>7741.06</v>
      </c>
      <c r="CL679" s="1682"/>
      <c r="CM679" s="1683">
        <v>3247.98</v>
      </c>
      <c r="CN679" s="1683">
        <v>3247.98</v>
      </c>
      <c r="CO679" s="1683">
        <v>2760.78</v>
      </c>
      <c r="CP679" s="1683">
        <v>2760.78</v>
      </c>
      <c r="CQ679" s="1683">
        <v>0</v>
      </c>
      <c r="CR679" s="1683">
        <v>487.2</v>
      </c>
      <c r="CS679" s="1683">
        <v>0</v>
      </c>
      <c r="CT679" s="1683">
        <v>487.2</v>
      </c>
      <c r="CU679" s="1683">
        <v>0</v>
      </c>
      <c r="CV679" s="1683">
        <v>0</v>
      </c>
      <c r="CW679" s="1682"/>
      <c r="CX679" s="1683">
        <v>-347.98</v>
      </c>
      <c r="CY679" s="1683">
        <v>-347.98</v>
      </c>
      <c r="CZ679" s="1683">
        <v>2900</v>
      </c>
      <c r="DA679" s="1683">
        <v>2900</v>
      </c>
      <c r="DB679" s="1682"/>
      <c r="DC679" s="1326"/>
      <c r="DD679" s="1683">
        <v>29301.16</v>
      </c>
      <c r="DE679" s="1683">
        <v>0</v>
      </c>
      <c r="DF679" s="1683">
        <v>0</v>
      </c>
      <c r="DG679" s="1683">
        <v>0</v>
      </c>
      <c r="DH679" s="1683">
        <v>0</v>
      </c>
    </row>
    <row r="680" spans="1:112">
      <c r="A680" s="1326" t="s">
        <v>4443</v>
      </c>
      <c r="B680" s="1326" t="s">
        <v>1706</v>
      </c>
      <c r="C680" s="1326" t="s">
        <v>2583</v>
      </c>
      <c r="D680" s="1326"/>
      <c r="E680" s="1326"/>
      <c r="F680" s="1326"/>
      <c r="G680" s="1326"/>
      <c r="H680" s="1326"/>
      <c r="I680" s="1326"/>
      <c r="J680" s="1326"/>
      <c r="K680" s="1326"/>
      <c r="L680" s="1326"/>
      <c r="M680" s="1683">
        <v>906987.73</v>
      </c>
      <c r="N680" s="1683">
        <v>0</v>
      </c>
      <c r="O680" s="1683">
        <v>906987.73</v>
      </c>
      <c r="P680" s="1683">
        <v>906987.73</v>
      </c>
      <c r="Q680" s="1683">
        <v>770807.84</v>
      </c>
      <c r="R680" s="1683">
        <v>770807.84</v>
      </c>
      <c r="S680" s="1683">
        <v>0</v>
      </c>
      <c r="T680" s="1683">
        <v>136179.89000000001</v>
      </c>
      <c r="U680" s="1683">
        <v>0</v>
      </c>
      <c r="V680" s="1683">
        <v>136179.89000000001</v>
      </c>
      <c r="W680" s="1683">
        <v>0</v>
      </c>
      <c r="X680" s="1683">
        <v>0</v>
      </c>
      <c r="Y680" s="1682"/>
      <c r="Z680" s="1326"/>
      <c r="AA680" s="1683">
        <v>0</v>
      </c>
      <c r="AB680" s="1683">
        <v>0</v>
      </c>
      <c r="AC680" s="1683">
        <v>0</v>
      </c>
      <c r="AD680" s="1682"/>
      <c r="AE680" s="1326"/>
      <c r="AF680" s="1326"/>
      <c r="AG680" s="1410"/>
      <c r="AH680" s="1683">
        <v>200051.84</v>
      </c>
      <c r="AI680" s="1683">
        <v>249209.41</v>
      </c>
      <c r="AJ680" s="1683">
        <v>219169.43</v>
      </c>
      <c r="AK680" s="1683">
        <v>219169.43</v>
      </c>
      <c r="AL680" s="1683">
        <v>0</v>
      </c>
      <c r="AM680" s="1682"/>
      <c r="AN680" s="1683">
        <v>200051.84</v>
      </c>
      <c r="AO680" s="1683">
        <v>200051.84</v>
      </c>
      <c r="AP680" s="1683">
        <v>170011.86</v>
      </c>
      <c r="AQ680" s="1683">
        <v>170011.86</v>
      </c>
      <c r="AR680" s="1683">
        <v>0</v>
      </c>
      <c r="AS680" s="1683">
        <v>30039.98</v>
      </c>
      <c r="AT680" s="1683">
        <v>0</v>
      </c>
      <c r="AU680" s="1683">
        <v>30039.98</v>
      </c>
      <c r="AV680" s="1683">
        <v>0</v>
      </c>
      <c r="AW680" s="1683">
        <v>0</v>
      </c>
      <c r="AX680" s="1683">
        <v>0</v>
      </c>
      <c r="AY680" s="1683">
        <v>0</v>
      </c>
      <c r="AZ680" s="1683">
        <v>0</v>
      </c>
      <c r="BA680" s="1682"/>
      <c r="BB680" s="1682"/>
      <c r="BC680" s="1683">
        <v>0</v>
      </c>
      <c r="BD680" s="1683">
        <v>0</v>
      </c>
      <c r="BE680" s="1683">
        <v>200051.84</v>
      </c>
      <c r="BF680" s="1683">
        <v>200051.84</v>
      </c>
      <c r="BG680" s="1683">
        <v>170011.86</v>
      </c>
      <c r="BH680" s="1683">
        <v>170011.86</v>
      </c>
      <c r="BI680" s="1683">
        <v>0</v>
      </c>
      <c r="BJ680" s="1683">
        <v>30039.98</v>
      </c>
      <c r="BK680" s="1683">
        <v>0</v>
      </c>
      <c r="BL680" s="1683">
        <v>30039.98</v>
      </c>
      <c r="BM680" s="1683">
        <v>0</v>
      </c>
      <c r="BN680" s="1683">
        <v>0</v>
      </c>
      <c r="BO680" s="1682"/>
      <c r="BP680" s="1683">
        <v>115488.03</v>
      </c>
      <c r="BQ680" s="1683">
        <v>115488.03</v>
      </c>
      <c r="BR680" s="1683">
        <v>98137.37</v>
      </c>
      <c r="BS680" s="1683">
        <v>98137.37</v>
      </c>
      <c r="BT680" s="1683">
        <v>0</v>
      </c>
      <c r="BU680" s="1683">
        <v>17350.66</v>
      </c>
      <c r="BV680" s="1683">
        <v>0</v>
      </c>
      <c r="BW680" s="1683">
        <v>487.2</v>
      </c>
      <c r="BX680" s="1683">
        <v>0</v>
      </c>
      <c r="BY680" s="1683">
        <v>0</v>
      </c>
      <c r="BZ680" s="1683">
        <v>0</v>
      </c>
      <c r="CA680" s="1683">
        <v>0</v>
      </c>
      <c r="CB680" s="1682"/>
      <c r="CC680" s="1682"/>
      <c r="CD680" s="1683">
        <v>0</v>
      </c>
      <c r="CE680" s="1683">
        <v>0</v>
      </c>
      <c r="CF680" s="1683">
        <v>0</v>
      </c>
      <c r="CG680" s="1683">
        <v>0</v>
      </c>
      <c r="CH680" s="1683">
        <v>0</v>
      </c>
      <c r="CI680" s="1683">
        <v>0</v>
      </c>
      <c r="CJ680" s="1683">
        <v>7741.06</v>
      </c>
      <c r="CK680" s="1683">
        <v>7741.06</v>
      </c>
      <c r="CL680" s="1682"/>
      <c r="CM680" s="1683">
        <v>3247.98</v>
      </c>
      <c r="CN680" s="1683">
        <v>3247.98</v>
      </c>
      <c r="CO680" s="1683">
        <v>2760.78</v>
      </c>
      <c r="CP680" s="1683">
        <v>2760.78</v>
      </c>
      <c r="CQ680" s="1683">
        <v>0</v>
      </c>
      <c r="CR680" s="1683">
        <v>487.2</v>
      </c>
      <c r="CS680" s="1683">
        <v>0</v>
      </c>
      <c r="CT680" s="1683">
        <v>487.2</v>
      </c>
      <c r="CU680" s="1683">
        <v>0</v>
      </c>
      <c r="CV680" s="1683">
        <v>0</v>
      </c>
      <c r="CW680" s="1682"/>
      <c r="CX680" s="1683">
        <v>-347.98</v>
      </c>
      <c r="CY680" s="1683">
        <v>-347.98</v>
      </c>
      <c r="CZ680" s="1683">
        <v>2900</v>
      </c>
      <c r="DA680" s="1683">
        <v>2900</v>
      </c>
      <c r="DB680" s="1682"/>
      <c r="DC680" s="1326"/>
      <c r="DD680" s="1683">
        <v>29301.16</v>
      </c>
      <c r="DE680" s="1683">
        <v>0</v>
      </c>
      <c r="DF680" s="1683">
        <v>0</v>
      </c>
      <c r="DG680" s="1683">
        <v>0</v>
      </c>
      <c r="DH680" s="1683">
        <v>0</v>
      </c>
    </row>
    <row r="681" spans="1:112">
      <c r="A681" s="1326" t="s">
        <v>4444</v>
      </c>
      <c r="B681" s="1326" t="s">
        <v>1706</v>
      </c>
      <c r="C681" s="1326" t="s">
        <v>2583</v>
      </c>
      <c r="D681" s="1326" t="s">
        <v>2584</v>
      </c>
      <c r="E681" s="1326"/>
      <c r="F681" s="1326"/>
      <c r="G681" s="1326"/>
      <c r="H681" s="1326"/>
      <c r="I681" s="1326"/>
      <c r="J681" s="1326"/>
      <c r="K681" s="1326"/>
      <c r="L681" s="1326"/>
      <c r="M681" s="1683">
        <v>906987.73</v>
      </c>
      <c r="N681" s="1683">
        <v>0</v>
      </c>
      <c r="O681" s="1683">
        <v>906987.73</v>
      </c>
      <c r="P681" s="1683">
        <v>906987.73</v>
      </c>
      <c r="Q681" s="1683">
        <v>770807.84</v>
      </c>
      <c r="R681" s="1683">
        <v>770807.84</v>
      </c>
      <c r="S681" s="1683">
        <v>0</v>
      </c>
      <c r="T681" s="1683">
        <v>136179.89000000001</v>
      </c>
      <c r="U681" s="1683">
        <v>0</v>
      </c>
      <c r="V681" s="1683">
        <v>136179.89000000001</v>
      </c>
      <c r="W681" s="1683">
        <v>0</v>
      </c>
      <c r="X681" s="1683">
        <v>0</v>
      </c>
      <c r="Y681" s="1682"/>
      <c r="Z681" s="1326"/>
      <c r="AA681" s="1683">
        <v>0</v>
      </c>
      <c r="AB681" s="1683">
        <v>0</v>
      </c>
      <c r="AC681" s="1683">
        <v>0</v>
      </c>
      <c r="AD681" s="1682"/>
      <c r="AE681" s="1326"/>
      <c r="AF681" s="1326"/>
      <c r="AG681" s="1410"/>
      <c r="AH681" s="1683">
        <v>200051.84</v>
      </c>
      <c r="AI681" s="1683">
        <v>249209.41</v>
      </c>
      <c r="AJ681" s="1683">
        <v>219169.43</v>
      </c>
      <c r="AK681" s="1683">
        <v>219169.43</v>
      </c>
      <c r="AL681" s="1683">
        <v>0</v>
      </c>
      <c r="AM681" s="1682"/>
      <c r="AN681" s="1683">
        <v>200051.84</v>
      </c>
      <c r="AO681" s="1683">
        <v>200051.84</v>
      </c>
      <c r="AP681" s="1683">
        <v>170011.86</v>
      </c>
      <c r="AQ681" s="1683">
        <v>170011.86</v>
      </c>
      <c r="AR681" s="1683">
        <v>0</v>
      </c>
      <c r="AS681" s="1683">
        <v>30039.98</v>
      </c>
      <c r="AT681" s="1683">
        <v>0</v>
      </c>
      <c r="AU681" s="1683">
        <v>30039.98</v>
      </c>
      <c r="AV681" s="1683">
        <v>0</v>
      </c>
      <c r="AW681" s="1683">
        <v>0</v>
      </c>
      <c r="AX681" s="1683">
        <v>0</v>
      </c>
      <c r="AY681" s="1683">
        <v>0</v>
      </c>
      <c r="AZ681" s="1683">
        <v>0</v>
      </c>
      <c r="BA681" s="1682"/>
      <c r="BB681" s="1682"/>
      <c r="BC681" s="1683">
        <v>0</v>
      </c>
      <c r="BD681" s="1683">
        <v>0</v>
      </c>
      <c r="BE681" s="1683">
        <v>200051.84</v>
      </c>
      <c r="BF681" s="1683">
        <v>200051.84</v>
      </c>
      <c r="BG681" s="1683">
        <v>170011.86</v>
      </c>
      <c r="BH681" s="1683">
        <v>170011.86</v>
      </c>
      <c r="BI681" s="1683">
        <v>0</v>
      </c>
      <c r="BJ681" s="1683">
        <v>30039.98</v>
      </c>
      <c r="BK681" s="1683">
        <v>0</v>
      </c>
      <c r="BL681" s="1683">
        <v>30039.98</v>
      </c>
      <c r="BM681" s="1683">
        <v>0</v>
      </c>
      <c r="BN681" s="1683">
        <v>0</v>
      </c>
      <c r="BO681" s="1682"/>
      <c r="BP681" s="1683">
        <v>115488.03</v>
      </c>
      <c r="BQ681" s="1683">
        <v>115488.03</v>
      </c>
      <c r="BR681" s="1683">
        <v>98137.37</v>
      </c>
      <c r="BS681" s="1683">
        <v>98137.37</v>
      </c>
      <c r="BT681" s="1683">
        <v>0</v>
      </c>
      <c r="BU681" s="1683">
        <v>17350.66</v>
      </c>
      <c r="BV681" s="1683">
        <v>0</v>
      </c>
      <c r="BW681" s="1683">
        <v>487.2</v>
      </c>
      <c r="BX681" s="1683">
        <v>0</v>
      </c>
      <c r="BY681" s="1683">
        <v>0</v>
      </c>
      <c r="BZ681" s="1683">
        <v>0</v>
      </c>
      <c r="CA681" s="1683">
        <v>0</v>
      </c>
      <c r="CB681" s="1682"/>
      <c r="CC681" s="1682"/>
      <c r="CD681" s="1683">
        <v>0</v>
      </c>
      <c r="CE681" s="1683">
        <v>0</v>
      </c>
      <c r="CF681" s="1683">
        <v>0</v>
      </c>
      <c r="CG681" s="1683">
        <v>0</v>
      </c>
      <c r="CH681" s="1683">
        <v>0</v>
      </c>
      <c r="CI681" s="1683">
        <v>0</v>
      </c>
      <c r="CJ681" s="1683">
        <v>7741.06</v>
      </c>
      <c r="CK681" s="1683">
        <v>7741.06</v>
      </c>
      <c r="CL681" s="1682"/>
      <c r="CM681" s="1683">
        <v>3247.98</v>
      </c>
      <c r="CN681" s="1683">
        <v>3247.98</v>
      </c>
      <c r="CO681" s="1683">
        <v>2760.78</v>
      </c>
      <c r="CP681" s="1683">
        <v>2760.78</v>
      </c>
      <c r="CQ681" s="1683">
        <v>0</v>
      </c>
      <c r="CR681" s="1683">
        <v>487.2</v>
      </c>
      <c r="CS681" s="1683">
        <v>0</v>
      </c>
      <c r="CT681" s="1683">
        <v>487.2</v>
      </c>
      <c r="CU681" s="1683">
        <v>0</v>
      </c>
      <c r="CV681" s="1683">
        <v>0</v>
      </c>
      <c r="CW681" s="1682"/>
      <c r="CX681" s="1683">
        <v>-347.98</v>
      </c>
      <c r="CY681" s="1683">
        <v>-347.98</v>
      </c>
      <c r="CZ681" s="1683">
        <v>2900</v>
      </c>
      <c r="DA681" s="1683">
        <v>2900</v>
      </c>
      <c r="DB681" s="1682"/>
      <c r="DC681" s="1326"/>
      <c r="DD681" s="1683">
        <v>29301.16</v>
      </c>
      <c r="DE681" s="1683">
        <v>0</v>
      </c>
      <c r="DF681" s="1683">
        <v>0</v>
      </c>
      <c r="DG681" s="1683">
        <v>0</v>
      </c>
      <c r="DH681" s="1683">
        <v>0</v>
      </c>
    </row>
    <row r="682" spans="1:112">
      <c r="A682" s="1326" t="s">
        <v>4445</v>
      </c>
      <c r="B682" s="1326" t="s">
        <v>1706</v>
      </c>
      <c r="C682" s="1326" t="s">
        <v>2583</v>
      </c>
      <c r="D682" s="1326" t="s">
        <v>2584</v>
      </c>
      <c r="E682" s="1326" t="s">
        <v>1122</v>
      </c>
      <c r="F682" s="1326"/>
      <c r="G682" s="1326"/>
      <c r="H682" s="1326"/>
      <c r="I682" s="1326"/>
      <c r="J682" s="1326"/>
      <c r="K682" s="1326"/>
      <c r="L682" s="1326"/>
      <c r="M682" s="1683">
        <v>906987.73</v>
      </c>
      <c r="N682" s="1683">
        <v>0</v>
      </c>
      <c r="O682" s="1683">
        <v>906987.73</v>
      </c>
      <c r="P682" s="1683">
        <v>906987.73</v>
      </c>
      <c r="Q682" s="1683">
        <v>770807.84</v>
      </c>
      <c r="R682" s="1683">
        <v>770807.84</v>
      </c>
      <c r="S682" s="1683">
        <v>0</v>
      </c>
      <c r="T682" s="1683">
        <v>136179.89000000001</v>
      </c>
      <c r="U682" s="1683">
        <v>0</v>
      </c>
      <c r="V682" s="1683">
        <v>136179.89000000001</v>
      </c>
      <c r="W682" s="1683">
        <v>0</v>
      </c>
      <c r="X682" s="1683">
        <v>0</v>
      </c>
      <c r="Y682" s="1682"/>
      <c r="Z682" s="1326"/>
      <c r="AA682" s="1683">
        <v>0</v>
      </c>
      <c r="AB682" s="1683">
        <v>0</v>
      </c>
      <c r="AC682" s="1683">
        <v>0</v>
      </c>
      <c r="AD682" s="1682"/>
      <c r="AE682" s="1326"/>
      <c r="AF682" s="1326"/>
      <c r="AG682" s="1410"/>
      <c r="AH682" s="1683">
        <v>200051.84</v>
      </c>
      <c r="AI682" s="1683">
        <v>249209.41</v>
      </c>
      <c r="AJ682" s="1683">
        <v>219169.43</v>
      </c>
      <c r="AK682" s="1683">
        <v>219169.43</v>
      </c>
      <c r="AL682" s="1683">
        <v>0</v>
      </c>
      <c r="AM682" s="1682"/>
      <c r="AN682" s="1683">
        <v>200051.84</v>
      </c>
      <c r="AO682" s="1683">
        <v>200051.84</v>
      </c>
      <c r="AP682" s="1683">
        <v>170011.86</v>
      </c>
      <c r="AQ682" s="1683">
        <v>170011.86</v>
      </c>
      <c r="AR682" s="1683">
        <v>0</v>
      </c>
      <c r="AS682" s="1683">
        <v>30039.98</v>
      </c>
      <c r="AT682" s="1683">
        <v>0</v>
      </c>
      <c r="AU682" s="1683">
        <v>30039.98</v>
      </c>
      <c r="AV682" s="1683">
        <v>0</v>
      </c>
      <c r="AW682" s="1683">
        <v>0</v>
      </c>
      <c r="AX682" s="1683">
        <v>0</v>
      </c>
      <c r="AY682" s="1683">
        <v>0</v>
      </c>
      <c r="AZ682" s="1683">
        <v>0</v>
      </c>
      <c r="BA682" s="1682"/>
      <c r="BB682" s="1682"/>
      <c r="BC682" s="1683">
        <v>0</v>
      </c>
      <c r="BD682" s="1683">
        <v>0</v>
      </c>
      <c r="BE682" s="1683">
        <v>200051.84</v>
      </c>
      <c r="BF682" s="1683">
        <v>200051.84</v>
      </c>
      <c r="BG682" s="1683">
        <v>170011.86</v>
      </c>
      <c r="BH682" s="1683">
        <v>170011.86</v>
      </c>
      <c r="BI682" s="1683">
        <v>0</v>
      </c>
      <c r="BJ682" s="1683">
        <v>30039.98</v>
      </c>
      <c r="BK682" s="1683">
        <v>0</v>
      </c>
      <c r="BL682" s="1683">
        <v>30039.98</v>
      </c>
      <c r="BM682" s="1683">
        <v>0</v>
      </c>
      <c r="BN682" s="1683">
        <v>0</v>
      </c>
      <c r="BO682" s="1682"/>
      <c r="BP682" s="1683">
        <v>115488.03</v>
      </c>
      <c r="BQ682" s="1683">
        <v>115488.03</v>
      </c>
      <c r="BR682" s="1683">
        <v>98137.37</v>
      </c>
      <c r="BS682" s="1683">
        <v>98137.37</v>
      </c>
      <c r="BT682" s="1683">
        <v>0</v>
      </c>
      <c r="BU682" s="1683">
        <v>17350.66</v>
      </c>
      <c r="BV682" s="1683">
        <v>0</v>
      </c>
      <c r="BW682" s="1683">
        <v>487.2</v>
      </c>
      <c r="BX682" s="1683">
        <v>0</v>
      </c>
      <c r="BY682" s="1683">
        <v>0</v>
      </c>
      <c r="BZ682" s="1683">
        <v>0</v>
      </c>
      <c r="CA682" s="1683">
        <v>0</v>
      </c>
      <c r="CB682" s="1682"/>
      <c r="CC682" s="1682"/>
      <c r="CD682" s="1683">
        <v>0</v>
      </c>
      <c r="CE682" s="1683">
        <v>0</v>
      </c>
      <c r="CF682" s="1683">
        <v>0</v>
      </c>
      <c r="CG682" s="1683">
        <v>0</v>
      </c>
      <c r="CH682" s="1683">
        <v>0</v>
      </c>
      <c r="CI682" s="1683">
        <v>0</v>
      </c>
      <c r="CJ682" s="1683">
        <v>7741.06</v>
      </c>
      <c r="CK682" s="1683">
        <v>7741.06</v>
      </c>
      <c r="CL682" s="1682"/>
      <c r="CM682" s="1683">
        <v>3247.98</v>
      </c>
      <c r="CN682" s="1683">
        <v>3247.98</v>
      </c>
      <c r="CO682" s="1683">
        <v>2760.78</v>
      </c>
      <c r="CP682" s="1683">
        <v>2760.78</v>
      </c>
      <c r="CQ682" s="1683">
        <v>0</v>
      </c>
      <c r="CR682" s="1683">
        <v>487.2</v>
      </c>
      <c r="CS682" s="1683">
        <v>0</v>
      </c>
      <c r="CT682" s="1683">
        <v>487.2</v>
      </c>
      <c r="CU682" s="1683">
        <v>0</v>
      </c>
      <c r="CV682" s="1683">
        <v>0</v>
      </c>
      <c r="CW682" s="1682"/>
      <c r="CX682" s="1683">
        <v>-347.98</v>
      </c>
      <c r="CY682" s="1683">
        <v>-347.98</v>
      </c>
      <c r="CZ682" s="1683">
        <v>2900</v>
      </c>
      <c r="DA682" s="1683">
        <v>2900</v>
      </c>
      <c r="DB682" s="1682"/>
      <c r="DC682" s="1326"/>
      <c r="DD682" s="1683">
        <v>29301.16</v>
      </c>
      <c r="DE682" s="1683">
        <v>0</v>
      </c>
      <c r="DF682" s="1683">
        <v>0</v>
      </c>
      <c r="DG682" s="1683">
        <v>0</v>
      </c>
      <c r="DH682" s="1683">
        <v>0</v>
      </c>
    </row>
    <row r="683" spans="1:112" ht="56.25">
      <c r="A683" s="1326" t="s">
        <v>4446</v>
      </c>
      <c r="B683" s="1326" t="s">
        <v>1706</v>
      </c>
      <c r="C683" s="1326" t="s">
        <v>2583</v>
      </c>
      <c r="D683" s="1326" t="s">
        <v>2584</v>
      </c>
      <c r="E683" s="1326" t="s">
        <v>1122</v>
      </c>
      <c r="F683" s="1326" t="s">
        <v>2563</v>
      </c>
      <c r="G683" s="1326" t="s">
        <v>2572</v>
      </c>
      <c r="H683" s="1326" t="s">
        <v>2573</v>
      </c>
      <c r="I683" s="1326" t="s">
        <v>1209</v>
      </c>
      <c r="J683" s="1326" t="s">
        <v>272</v>
      </c>
      <c r="K683" s="1326" t="s">
        <v>2060</v>
      </c>
      <c r="L683" s="1326" t="s">
        <v>2061</v>
      </c>
      <c r="M683" s="1683">
        <v>172733.52</v>
      </c>
      <c r="N683" s="1683">
        <v>0</v>
      </c>
      <c r="O683" s="1683">
        <v>172733.52</v>
      </c>
      <c r="P683" s="1683">
        <v>172733.52</v>
      </c>
      <c r="Q683" s="1683">
        <v>146823.49</v>
      </c>
      <c r="R683" s="1683">
        <v>146823.49</v>
      </c>
      <c r="S683" s="1683">
        <v>0</v>
      </c>
      <c r="T683" s="1683">
        <v>25910.03</v>
      </c>
      <c r="U683" s="1683">
        <v>0</v>
      </c>
      <c r="V683" s="1683">
        <v>25910.03</v>
      </c>
      <c r="W683" s="1683">
        <v>0</v>
      </c>
      <c r="X683" s="1683">
        <v>0</v>
      </c>
      <c r="Y683" s="1682"/>
      <c r="Z683" s="1326"/>
      <c r="AA683" s="1683">
        <v>0</v>
      </c>
      <c r="AB683" s="1683">
        <v>0</v>
      </c>
      <c r="AC683" s="1683">
        <v>0</v>
      </c>
      <c r="AD683" s="1682"/>
      <c r="AE683" s="1326"/>
      <c r="AF683" s="1326"/>
      <c r="AG683" s="1410"/>
      <c r="AH683" s="1683">
        <v>68424.649999999994</v>
      </c>
      <c r="AI683" s="1683">
        <v>75765.820000000007</v>
      </c>
      <c r="AJ683" s="1683">
        <v>65502.12</v>
      </c>
      <c r="AK683" s="1683">
        <v>65502.12</v>
      </c>
      <c r="AL683" s="1683">
        <v>0</v>
      </c>
      <c r="AM683" s="1682"/>
      <c r="AN683" s="1683">
        <v>68424.649999999994</v>
      </c>
      <c r="AO683" s="1683">
        <v>68424.649999999994</v>
      </c>
      <c r="AP683" s="1683">
        <v>58160.95</v>
      </c>
      <c r="AQ683" s="1683">
        <v>58160.95</v>
      </c>
      <c r="AR683" s="1683">
        <v>0</v>
      </c>
      <c r="AS683" s="1683">
        <v>10263.700000000001</v>
      </c>
      <c r="AT683" s="1683">
        <v>0</v>
      </c>
      <c r="AU683" s="1683">
        <v>10263.700000000001</v>
      </c>
      <c r="AV683" s="1683">
        <v>0</v>
      </c>
      <c r="AW683" s="1683">
        <v>0</v>
      </c>
      <c r="AX683" s="1683">
        <v>0</v>
      </c>
      <c r="AY683" s="1683">
        <v>0</v>
      </c>
      <c r="AZ683" s="1683">
        <v>0</v>
      </c>
      <c r="BA683" s="1682"/>
      <c r="BB683" s="1682"/>
      <c r="BC683" s="1683">
        <v>0</v>
      </c>
      <c r="BD683" s="1683">
        <v>0</v>
      </c>
      <c r="BE683" s="1683">
        <v>68424.649999999994</v>
      </c>
      <c r="BF683" s="1683">
        <v>68424.649999999994</v>
      </c>
      <c r="BG683" s="1683">
        <v>58160.95</v>
      </c>
      <c r="BH683" s="1683">
        <v>58160.95</v>
      </c>
      <c r="BI683" s="1683">
        <v>0</v>
      </c>
      <c r="BJ683" s="1683">
        <v>10263.700000000001</v>
      </c>
      <c r="BK683" s="1683">
        <v>0</v>
      </c>
      <c r="BL683" s="1683">
        <v>10263.700000000001</v>
      </c>
      <c r="BM683" s="1683">
        <v>0</v>
      </c>
      <c r="BN683" s="1683">
        <v>0</v>
      </c>
      <c r="BO683" s="1682"/>
      <c r="BP683" s="1683">
        <v>34168.089999999997</v>
      </c>
      <c r="BQ683" s="1683">
        <v>34168.089999999997</v>
      </c>
      <c r="BR683" s="1683">
        <v>29042.880000000001</v>
      </c>
      <c r="BS683" s="1683">
        <v>29042.880000000001</v>
      </c>
      <c r="BT683" s="1683">
        <v>0</v>
      </c>
      <c r="BU683" s="1683">
        <v>5125.21</v>
      </c>
      <c r="BV683" s="1683">
        <v>0</v>
      </c>
      <c r="BW683" s="1683">
        <v>487.2</v>
      </c>
      <c r="BX683" s="1683">
        <v>0</v>
      </c>
      <c r="BY683" s="1683">
        <v>0</v>
      </c>
      <c r="BZ683" s="1683">
        <v>0</v>
      </c>
      <c r="CA683" s="1683">
        <v>0</v>
      </c>
      <c r="CB683" s="1682"/>
      <c r="CC683" s="1682"/>
      <c r="CD683" s="1683">
        <v>0</v>
      </c>
      <c r="CE683" s="1683">
        <v>0</v>
      </c>
      <c r="CF683" s="1683">
        <v>0</v>
      </c>
      <c r="CG683" s="1683">
        <v>0</v>
      </c>
      <c r="CH683" s="1683">
        <v>0</v>
      </c>
      <c r="CI683" s="1683">
        <v>0</v>
      </c>
      <c r="CJ683" s="1683">
        <v>1926.38</v>
      </c>
      <c r="CK683" s="1683">
        <v>1926.38</v>
      </c>
      <c r="CL683" s="1682"/>
      <c r="CM683" s="1683">
        <v>3247.98</v>
      </c>
      <c r="CN683" s="1683">
        <v>3247.98</v>
      </c>
      <c r="CO683" s="1683">
        <v>2760.78</v>
      </c>
      <c r="CP683" s="1683">
        <v>2760.78</v>
      </c>
      <c r="CQ683" s="1683">
        <v>0</v>
      </c>
      <c r="CR683" s="1683">
        <v>487.2</v>
      </c>
      <c r="CS683" s="1683">
        <v>0</v>
      </c>
      <c r="CT683" s="1683">
        <v>487.2</v>
      </c>
      <c r="CU683" s="1683">
        <v>0</v>
      </c>
      <c r="CV683" s="1683">
        <v>0</v>
      </c>
      <c r="CW683" s="1685">
        <v>43511</v>
      </c>
      <c r="CX683" s="1683">
        <v>-347.98</v>
      </c>
      <c r="CY683" s="1683">
        <v>-347.98</v>
      </c>
      <c r="CZ683" s="1683">
        <v>2900</v>
      </c>
      <c r="DA683" s="1683">
        <v>2900</v>
      </c>
      <c r="DB683" s="1682"/>
      <c r="DC683" s="1326"/>
      <c r="DD683" s="1683">
        <v>16187.68</v>
      </c>
      <c r="DE683" s="1683">
        <v>0</v>
      </c>
      <c r="DF683" s="1683">
        <v>0</v>
      </c>
      <c r="DG683" s="1683">
        <v>0</v>
      </c>
      <c r="DH683" s="1683">
        <v>0</v>
      </c>
    </row>
    <row r="684" spans="1:112" ht="56.25">
      <c r="A684" s="1326" t="s">
        <v>4447</v>
      </c>
      <c r="B684" s="1326" t="s">
        <v>1706</v>
      </c>
      <c r="C684" s="1326" t="s">
        <v>2583</v>
      </c>
      <c r="D684" s="1326" t="s">
        <v>2584</v>
      </c>
      <c r="E684" s="1326" t="s">
        <v>1122</v>
      </c>
      <c r="F684" s="1326" t="s">
        <v>2563</v>
      </c>
      <c r="G684" s="1326" t="s">
        <v>2572</v>
      </c>
      <c r="H684" s="1326" t="s">
        <v>2573</v>
      </c>
      <c r="I684" s="1326" t="s">
        <v>1209</v>
      </c>
      <c r="J684" s="1326" t="s">
        <v>272</v>
      </c>
      <c r="K684" s="1326" t="s">
        <v>2060</v>
      </c>
      <c r="L684" s="1326" t="s">
        <v>2061</v>
      </c>
      <c r="M684" s="1400"/>
      <c r="N684" s="1400"/>
      <c r="O684" s="1400"/>
      <c r="P684" s="1400"/>
      <c r="Q684" s="1400"/>
      <c r="R684" s="1400"/>
      <c r="S684" s="1400"/>
      <c r="T684" s="1400"/>
      <c r="U684" s="1400"/>
      <c r="V684" s="1400"/>
      <c r="W684" s="1400"/>
      <c r="X684" s="1400"/>
      <c r="Y684" s="1685">
        <v>43161</v>
      </c>
      <c r="Z684" s="1326" t="s">
        <v>2096</v>
      </c>
      <c r="AA684" s="1683">
        <v>0</v>
      </c>
      <c r="AB684" s="1683">
        <v>0</v>
      </c>
      <c r="AC684" s="1683">
        <v>0</v>
      </c>
      <c r="AD684" s="1685">
        <v>43175</v>
      </c>
      <c r="AE684" s="1326" t="s">
        <v>2073</v>
      </c>
      <c r="AF684" s="1326" t="s">
        <v>2064</v>
      </c>
      <c r="AG684" s="1410"/>
      <c r="AH684" s="1683">
        <v>0</v>
      </c>
      <c r="AI684" s="1683">
        <v>7341.17</v>
      </c>
      <c r="AJ684" s="1683">
        <v>7341.17</v>
      </c>
      <c r="AK684" s="1683">
        <v>7341.17</v>
      </c>
      <c r="AL684" s="1683">
        <v>0</v>
      </c>
      <c r="AM684" s="1682"/>
      <c r="AN684" s="1683">
        <v>0</v>
      </c>
      <c r="AO684" s="1683">
        <v>0</v>
      </c>
      <c r="AP684" s="1683">
        <v>0</v>
      </c>
      <c r="AQ684" s="1683">
        <v>0</v>
      </c>
      <c r="AR684" s="1683">
        <v>0</v>
      </c>
      <c r="AS684" s="1683">
        <v>0</v>
      </c>
      <c r="AT684" s="1683">
        <v>0</v>
      </c>
      <c r="AU684" s="1683">
        <v>0</v>
      </c>
      <c r="AV684" s="1683">
        <v>0</v>
      </c>
      <c r="AW684" s="1683">
        <v>0</v>
      </c>
      <c r="AX684" s="1400"/>
      <c r="AY684" s="1400"/>
      <c r="AZ684" s="1400"/>
      <c r="BA684" s="1682"/>
      <c r="BB684" s="1682"/>
      <c r="BC684" s="1400"/>
      <c r="BD684" s="1400"/>
      <c r="BE684" s="1683">
        <v>0</v>
      </c>
      <c r="BF684" s="1683">
        <v>0</v>
      </c>
      <c r="BG684" s="1683">
        <v>0</v>
      </c>
      <c r="BH684" s="1683">
        <v>0</v>
      </c>
      <c r="BI684" s="1683">
        <v>0</v>
      </c>
      <c r="BJ684" s="1683">
        <v>0</v>
      </c>
      <c r="BK684" s="1683">
        <v>0</v>
      </c>
      <c r="BL684" s="1683">
        <v>0</v>
      </c>
      <c r="BM684" s="1683">
        <v>0</v>
      </c>
      <c r="BN684" s="1683">
        <v>0</v>
      </c>
      <c r="BO684" s="1682"/>
      <c r="BP684" s="1683">
        <v>0</v>
      </c>
      <c r="BQ684" s="1683">
        <v>0</v>
      </c>
      <c r="BR684" s="1683">
        <v>0</v>
      </c>
      <c r="BS684" s="1683">
        <v>0</v>
      </c>
      <c r="BT684" s="1683">
        <v>0</v>
      </c>
      <c r="BU684" s="1683">
        <v>0</v>
      </c>
      <c r="BV684" s="1683">
        <v>0</v>
      </c>
      <c r="BW684" s="1683">
        <v>0</v>
      </c>
      <c r="BX684" s="1683">
        <v>0</v>
      </c>
      <c r="BY684" s="1683">
        <v>0</v>
      </c>
      <c r="BZ684" s="1400"/>
      <c r="CA684" s="1400"/>
      <c r="CB684" s="1682"/>
      <c r="CC684" s="1682"/>
      <c r="CD684" s="1400"/>
      <c r="CE684" s="1400"/>
      <c r="CF684" s="1683">
        <v>0</v>
      </c>
      <c r="CG684" s="1683">
        <v>0</v>
      </c>
      <c r="CH684" s="1683">
        <v>0</v>
      </c>
      <c r="CI684" s="1683">
        <v>0</v>
      </c>
      <c r="CJ684" s="1683">
        <v>0</v>
      </c>
      <c r="CK684" s="1683">
        <v>0</v>
      </c>
      <c r="CL684" s="1682"/>
      <c r="CM684" s="1683">
        <v>0</v>
      </c>
      <c r="CN684" s="1683">
        <v>0</v>
      </c>
      <c r="CO684" s="1683">
        <v>0</v>
      </c>
      <c r="CP684" s="1683">
        <v>0</v>
      </c>
      <c r="CQ684" s="1683">
        <v>0</v>
      </c>
      <c r="CR684" s="1683">
        <v>0</v>
      </c>
      <c r="CS684" s="1683">
        <v>0</v>
      </c>
      <c r="CT684" s="1683">
        <v>0</v>
      </c>
      <c r="CU684" s="1683">
        <v>0</v>
      </c>
      <c r="CV684" s="1683">
        <v>0</v>
      </c>
      <c r="CW684" s="1682"/>
      <c r="CX684" s="1400"/>
      <c r="CY684" s="1400"/>
      <c r="CZ684" s="1400"/>
      <c r="DA684" s="1400"/>
      <c r="DB684" s="1682"/>
      <c r="DC684" s="1326"/>
      <c r="DD684" s="1683">
        <v>0</v>
      </c>
      <c r="DE684" s="1400"/>
      <c r="DF684" s="1400"/>
      <c r="DG684" s="1683">
        <v>0</v>
      </c>
      <c r="DH684" s="1683">
        <v>0</v>
      </c>
    </row>
    <row r="685" spans="1:112" ht="56.25">
      <c r="A685" s="1326" t="s">
        <v>4448</v>
      </c>
      <c r="B685" s="1326" t="s">
        <v>1706</v>
      </c>
      <c r="C685" s="1326" t="s">
        <v>2583</v>
      </c>
      <c r="D685" s="1326" t="s">
        <v>2584</v>
      </c>
      <c r="E685" s="1326" t="s">
        <v>1122</v>
      </c>
      <c r="F685" s="1326" t="s">
        <v>2563</v>
      </c>
      <c r="G685" s="1326" t="s">
        <v>2572</v>
      </c>
      <c r="H685" s="1326" t="s">
        <v>2573</v>
      </c>
      <c r="I685" s="1326" t="s">
        <v>1209</v>
      </c>
      <c r="J685" s="1326" t="s">
        <v>272</v>
      </c>
      <c r="K685" s="1326" t="s">
        <v>2060</v>
      </c>
      <c r="L685" s="1326" t="s">
        <v>2061</v>
      </c>
      <c r="M685" s="1400"/>
      <c r="N685" s="1400"/>
      <c r="O685" s="1400"/>
      <c r="P685" s="1400"/>
      <c r="Q685" s="1400"/>
      <c r="R685" s="1400"/>
      <c r="S685" s="1400"/>
      <c r="T685" s="1400"/>
      <c r="U685" s="1400"/>
      <c r="V685" s="1400"/>
      <c r="W685" s="1400"/>
      <c r="X685" s="1400"/>
      <c r="Y685" s="1685">
        <v>43161</v>
      </c>
      <c r="Z685" s="1326" t="s">
        <v>2062</v>
      </c>
      <c r="AA685" s="1683">
        <v>0</v>
      </c>
      <c r="AB685" s="1683">
        <v>0</v>
      </c>
      <c r="AC685" s="1683">
        <v>0</v>
      </c>
      <c r="AD685" s="1685">
        <v>43175</v>
      </c>
      <c r="AE685" s="1326" t="s">
        <v>2063</v>
      </c>
      <c r="AF685" s="1326" t="s">
        <v>2064</v>
      </c>
      <c r="AG685" s="1410"/>
      <c r="AH685" s="1683">
        <v>3247.98</v>
      </c>
      <c r="AI685" s="1683">
        <v>3247.98</v>
      </c>
      <c r="AJ685" s="1683">
        <v>2760.78</v>
      </c>
      <c r="AK685" s="1683">
        <v>2760.78</v>
      </c>
      <c r="AL685" s="1683">
        <v>0</v>
      </c>
      <c r="AM685" s="1685">
        <v>43175</v>
      </c>
      <c r="AN685" s="1683">
        <v>3247.98</v>
      </c>
      <c r="AO685" s="1683">
        <v>3247.98</v>
      </c>
      <c r="AP685" s="1683">
        <v>2760.78</v>
      </c>
      <c r="AQ685" s="1683">
        <v>2760.78</v>
      </c>
      <c r="AR685" s="1683">
        <v>0</v>
      </c>
      <c r="AS685" s="1683">
        <v>487.2</v>
      </c>
      <c r="AT685" s="1683">
        <v>0</v>
      </c>
      <c r="AU685" s="1683">
        <v>487.2</v>
      </c>
      <c r="AV685" s="1683">
        <v>0</v>
      </c>
      <c r="AW685" s="1683">
        <v>0</v>
      </c>
      <c r="AX685" s="1400"/>
      <c r="AY685" s="1400"/>
      <c r="AZ685" s="1400"/>
      <c r="BA685" s="1682"/>
      <c r="BB685" s="1682"/>
      <c r="BC685" s="1400"/>
      <c r="BD685" s="1400"/>
      <c r="BE685" s="1683">
        <v>3247.98</v>
      </c>
      <c r="BF685" s="1683">
        <v>3247.98</v>
      </c>
      <c r="BG685" s="1683">
        <v>2760.78</v>
      </c>
      <c r="BH685" s="1683">
        <v>2760.78</v>
      </c>
      <c r="BI685" s="1683">
        <v>0</v>
      </c>
      <c r="BJ685" s="1683">
        <v>487.2</v>
      </c>
      <c r="BK685" s="1683">
        <v>0</v>
      </c>
      <c r="BL685" s="1683">
        <v>487.2</v>
      </c>
      <c r="BM685" s="1683">
        <v>0</v>
      </c>
      <c r="BN685" s="1683">
        <v>0</v>
      </c>
      <c r="BO685" s="1685">
        <v>43241</v>
      </c>
      <c r="BP685" s="1683">
        <v>3247.98</v>
      </c>
      <c r="BQ685" s="1683">
        <v>3247.98</v>
      </c>
      <c r="BR685" s="1683">
        <v>2760.78</v>
      </c>
      <c r="BS685" s="1683">
        <v>2760.78</v>
      </c>
      <c r="BT685" s="1683">
        <v>0</v>
      </c>
      <c r="BU685" s="1683">
        <v>487.2</v>
      </c>
      <c r="BV685" s="1683">
        <v>0</v>
      </c>
      <c r="BW685" s="1683">
        <v>487.2</v>
      </c>
      <c r="BX685" s="1683">
        <v>0</v>
      </c>
      <c r="BY685" s="1683">
        <v>0</v>
      </c>
      <c r="BZ685" s="1683">
        <v>0</v>
      </c>
      <c r="CA685" s="1400"/>
      <c r="CB685" s="1682"/>
      <c r="CC685" s="1682"/>
      <c r="CD685" s="1400"/>
      <c r="CE685" s="1400"/>
      <c r="CF685" s="1683">
        <v>0</v>
      </c>
      <c r="CG685" s="1683">
        <v>0</v>
      </c>
      <c r="CH685" s="1683">
        <v>0</v>
      </c>
      <c r="CI685" s="1683">
        <v>0</v>
      </c>
      <c r="CJ685" s="1683">
        <v>347.98</v>
      </c>
      <c r="CK685" s="1683">
        <v>347.98</v>
      </c>
      <c r="CL685" s="1685">
        <v>43511</v>
      </c>
      <c r="CM685" s="1683">
        <v>3247.98</v>
      </c>
      <c r="CN685" s="1683">
        <v>3247.98</v>
      </c>
      <c r="CO685" s="1683">
        <v>2760.78</v>
      </c>
      <c r="CP685" s="1683">
        <v>2760.78</v>
      </c>
      <c r="CQ685" s="1683">
        <v>0</v>
      </c>
      <c r="CR685" s="1683">
        <v>487.2</v>
      </c>
      <c r="CS685" s="1683">
        <v>0</v>
      </c>
      <c r="CT685" s="1683">
        <v>487.2</v>
      </c>
      <c r="CU685" s="1683">
        <v>0</v>
      </c>
      <c r="CV685" s="1683">
        <v>0</v>
      </c>
      <c r="CW685" s="1682"/>
      <c r="CX685" s="1400"/>
      <c r="CY685" s="1400"/>
      <c r="CZ685" s="1400"/>
      <c r="DA685" s="1400"/>
      <c r="DB685" s="1682"/>
      <c r="DC685" s="1326"/>
      <c r="DD685" s="1683">
        <v>0</v>
      </c>
      <c r="DE685" s="1400"/>
      <c r="DF685" s="1400"/>
      <c r="DG685" s="1683">
        <v>0</v>
      </c>
      <c r="DH685" s="1683">
        <v>0</v>
      </c>
    </row>
    <row r="686" spans="1:112" ht="56.25">
      <c r="A686" s="1326" t="s">
        <v>4449</v>
      </c>
      <c r="B686" s="1326" t="s">
        <v>1706</v>
      </c>
      <c r="C686" s="1326" t="s">
        <v>2583</v>
      </c>
      <c r="D686" s="1326" t="s">
        <v>2584</v>
      </c>
      <c r="E686" s="1326" t="s">
        <v>1122</v>
      </c>
      <c r="F686" s="1326" t="s">
        <v>2563</v>
      </c>
      <c r="G686" s="1326" t="s">
        <v>2572</v>
      </c>
      <c r="H686" s="1326" t="s">
        <v>2573</v>
      </c>
      <c r="I686" s="1326" t="s">
        <v>1209</v>
      </c>
      <c r="J686" s="1326" t="s">
        <v>272</v>
      </c>
      <c r="K686" s="1326" t="s">
        <v>2060</v>
      </c>
      <c r="L686" s="1326" t="s">
        <v>2061</v>
      </c>
      <c r="M686" s="1400"/>
      <c r="N686" s="1400"/>
      <c r="O686" s="1400"/>
      <c r="P686" s="1400"/>
      <c r="Q686" s="1400"/>
      <c r="R686" s="1400"/>
      <c r="S686" s="1400"/>
      <c r="T686" s="1400"/>
      <c r="U686" s="1400"/>
      <c r="V686" s="1400"/>
      <c r="W686" s="1400"/>
      <c r="X686" s="1400"/>
      <c r="Y686" s="1685">
        <v>43250</v>
      </c>
      <c r="Z686" s="1326" t="s">
        <v>2062</v>
      </c>
      <c r="AA686" s="1683">
        <v>0</v>
      </c>
      <c r="AB686" s="1683">
        <v>0</v>
      </c>
      <c r="AC686" s="1683">
        <v>0</v>
      </c>
      <c r="AD686" s="1685">
        <v>43266</v>
      </c>
      <c r="AE686" s="1326" t="s">
        <v>2066</v>
      </c>
      <c r="AF686" s="1326" t="s">
        <v>2067</v>
      </c>
      <c r="AG686" s="1410"/>
      <c r="AH686" s="1683">
        <v>11656.01</v>
      </c>
      <c r="AI686" s="1683">
        <v>11656.01</v>
      </c>
      <c r="AJ686" s="1683">
        <v>9907.61</v>
      </c>
      <c r="AK686" s="1683">
        <v>9907.61</v>
      </c>
      <c r="AL686" s="1683">
        <v>0</v>
      </c>
      <c r="AM686" s="1685">
        <v>43269</v>
      </c>
      <c r="AN686" s="1683">
        <v>11656.01</v>
      </c>
      <c r="AO686" s="1683">
        <v>11656.01</v>
      </c>
      <c r="AP686" s="1683">
        <v>9907.61</v>
      </c>
      <c r="AQ686" s="1683">
        <v>9907.61</v>
      </c>
      <c r="AR686" s="1683">
        <v>0</v>
      </c>
      <c r="AS686" s="1683">
        <v>1748.4</v>
      </c>
      <c r="AT686" s="1683">
        <v>0</v>
      </c>
      <c r="AU686" s="1683">
        <v>1748.4</v>
      </c>
      <c r="AV686" s="1683">
        <v>0</v>
      </c>
      <c r="AW686" s="1683">
        <v>0</v>
      </c>
      <c r="AX686" s="1400"/>
      <c r="AY686" s="1400"/>
      <c r="AZ686" s="1400"/>
      <c r="BA686" s="1682"/>
      <c r="BB686" s="1682"/>
      <c r="BC686" s="1400"/>
      <c r="BD686" s="1400"/>
      <c r="BE686" s="1683">
        <v>11656.01</v>
      </c>
      <c r="BF686" s="1683">
        <v>11656.01</v>
      </c>
      <c r="BG686" s="1683">
        <v>9907.61</v>
      </c>
      <c r="BH686" s="1683">
        <v>9907.61</v>
      </c>
      <c r="BI686" s="1683">
        <v>0</v>
      </c>
      <c r="BJ686" s="1683">
        <v>1748.4</v>
      </c>
      <c r="BK686" s="1683">
        <v>0</v>
      </c>
      <c r="BL686" s="1683">
        <v>1748.4</v>
      </c>
      <c r="BM686" s="1683">
        <v>0</v>
      </c>
      <c r="BN686" s="1683">
        <v>0</v>
      </c>
      <c r="BO686" s="1685">
        <v>43364</v>
      </c>
      <c r="BP686" s="1683">
        <v>11656.01</v>
      </c>
      <c r="BQ686" s="1683">
        <v>11656.01</v>
      </c>
      <c r="BR686" s="1683">
        <v>9907.61</v>
      </c>
      <c r="BS686" s="1683">
        <v>9907.61</v>
      </c>
      <c r="BT686" s="1683">
        <v>0</v>
      </c>
      <c r="BU686" s="1683">
        <v>1748.4</v>
      </c>
      <c r="BV686" s="1683">
        <v>0</v>
      </c>
      <c r="BW686" s="1683">
        <v>0</v>
      </c>
      <c r="BX686" s="1683">
        <v>0</v>
      </c>
      <c r="BY686" s="1683">
        <v>0</v>
      </c>
      <c r="BZ686" s="1683">
        <v>0</v>
      </c>
      <c r="CA686" s="1400"/>
      <c r="CB686" s="1682"/>
      <c r="CC686" s="1682"/>
      <c r="CD686" s="1400"/>
      <c r="CE686" s="1400"/>
      <c r="CF686" s="1683">
        <v>0</v>
      </c>
      <c r="CG686" s="1683">
        <v>0</v>
      </c>
      <c r="CH686" s="1683">
        <v>0</v>
      </c>
      <c r="CI686" s="1683">
        <v>0</v>
      </c>
      <c r="CJ686" s="1683">
        <v>1248.8</v>
      </c>
      <c r="CK686" s="1683">
        <v>1248.8</v>
      </c>
      <c r="CL686" s="1682"/>
      <c r="CM686" s="1683">
        <v>0</v>
      </c>
      <c r="CN686" s="1683">
        <v>0</v>
      </c>
      <c r="CO686" s="1683">
        <v>0</v>
      </c>
      <c r="CP686" s="1683">
        <v>0</v>
      </c>
      <c r="CQ686" s="1683">
        <v>0</v>
      </c>
      <c r="CR686" s="1683">
        <v>0</v>
      </c>
      <c r="CS686" s="1683">
        <v>0</v>
      </c>
      <c r="CT686" s="1683">
        <v>0</v>
      </c>
      <c r="CU686" s="1683">
        <v>0</v>
      </c>
      <c r="CV686" s="1683">
        <v>0</v>
      </c>
      <c r="CW686" s="1682"/>
      <c r="CX686" s="1400"/>
      <c r="CY686" s="1400"/>
      <c r="CZ686" s="1400"/>
      <c r="DA686" s="1400"/>
      <c r="DB686" s="1682"/>
      <c r="DC686" s="1326"/>
      <c r="DD686" s="1683">
        <v>0</v>
      </c>
      <c r="DE686" s="1400"/>
      <c r="DF686" s="1400"/>
      <c r="DG686" s="1683">
        <v>0</v>
      </c>
      <c r="DH686" s="1683">
        <v>0</v>
      </c>
    </row>
    <row r="687" spans="1:112" ht="56.25">
      <c r="A687" s="1326" t="s">
        <v>4450</v>
      </c>
      <c r="B687" s="1326" t="s">
        <v>1706</v>
      </c>
      <c r="C687" s="1326" t="s">
        <v>2583</v>
      </c>
      <c r="D687" s="1326" t="s">
        <v>2584</v>
      </c>
      <c r="E687" s="1326" t="s">
        <v>1122</v>
      </c>
      <c r="F687" s="1326" t="s">
        <v>2563</v>
      </c>
      <c r="G687" s="1326" t="s">
        <v>2572</v>
      </c>
      <c r="H687" s="1326" t="s">
        <v>2573</v>
      </c>
      <c r="I687" s="1326" t="s">
        <v>1209</v>
      </c>
      <c r="J687" s="1326" t="s">
        <v>272</v>
      </c>
      <c r="K687" s="1326" t="s">
        <v>2060</v>
      </c>
      <c r="L687" s="1326" t="s">
        <v>2061</v>
      </c>
      <c r="M687" s="1400"/>
      <c r="N687" s="1400"/>
      <c r="O687" s="1400"/>
      <c r="P687" s="1400"/>
      <c r="Q687" s="1400"/>
      <c r="R687" s="1400"/>
      <c r="S687" s="1400"/>
      <c r="T687" s="1400"/>
      <c r="U687" s="1400"/>
      <c r="V687" s="1400"/>
      <c r="W687" s="1400"/>
      <c r="X687" s="1400"/>
      <c r="Y687" s="1685">
        <v>43311</v>
      </c>
      <c r="Z687" s="1326" t="s">
        <v>2062</v>
      </c>
      <c r="AA687" s="1683">
        <v>0</v>
      </c>
      <c r="AB687" s="1683">
        <v>0</v>
      </c>
      <c r="AC687" s="1683">
        <v>0</v>
      </c>
      <c r="AD687" s="1685">
        <v>43336</v>
      </c>
      <c r="AE687" s="1326" t="s">
        <v>2079</v>
      </c>
      <c r="AF687" s="1326" t="s">
        <v>2067</v>
      </c>
      <c r="AG687" s="1410"/>
      <c r="AH687" s="1683">
        <v>11187.68</v>
      </c>
      <c r="AI687" s="1683">
        <v>11187.68</v>
      </c>
      <c r="AJ687" s="1683">
        <v>9509.5300000000007</v>
      </c>
      <c r="AK687" s="1683">
        <v>9509.5300000000007</v>
      </c>
      <c r="AL687" s="1683">
        <v>0</v>
      </c>
      <c r="AM687" s="1685">
        <v>43341</v>
      </c>
      <c r="AN687" s="1683">
        <v>11187.68</v>
      </c>
      <c r="AO687" s="1683">
        <v>11187.68</v>
      </c>
      <c r="AP687" s="1683">
        <v>9509.5300000000007</v>
      </c>
      <c r="AQ687" s="1683">
        <v>9509.5300000000007</v>
      </c>
      <c r="AR687" s="1683">
        <v>0</v>
      </c>
      <c r="AS687" s="1683">
        <v>1678.15</v>
      </c>
      <c r="AT687" s="1683">
        <v>0</v>
      </c>
      <c r="AU687" s="1683">
        <v>1678.15</v>
      </c>
      <c r="AV687" s="1683">
        <v>0</v>
      </c>
      <c r="AW687" s="1683">
        <v>0</v>
      </c>
      <c r="AX687" s="1400"/>
      <c r="AY687" s="1400"/>
      <c r="AZ687" s="1400"/>
      <c r="BA687" s="1682"/>
      <c r="BB687" s="1682"/>
      <c r="BC687" s="1400"/>
      <c r="BD687" s="1400"/>
      <c r="BE687" s="1683">
        <v>11187.68</v>
      </c>
      <c r="BF687" s="1683">
        <v>11187.68</v>
      </c>
      <c r="BG687" s="1683">
        <v>9509.5300000000007</v>
      </c>
      <c r="BH687" s="1683">
        <v>9509.5300000000007</v>
      </c>
      <c r="BI687" s="1683">
        <v>0</v>
      </c>
      <c r="BJ687" s="1683">
        <v>1678.15</v>
      </c>
      <c r="BK687" s="1683">
        <v>0</v>
      </c>
      <c r="BL687" s="1683">
        <v>1678.15</v>
      </c>
      <c r="BM687" s="1683">
        <v>0</v>
      </c>
      <c r="BN687" s="1683">
        <v>0</v>
      </c>
      <c r="BO687" s="1685">
        <v>43404</v>
      </c>
      <c r="BP687" s="1683">
        <v>11187.68</v>
      </c>
      <c r="BQ687" s="1683">
        <v>11187.68</v>
      </c>
      <c r="BR687" s="1683">
        <v>9509.5300000000007</v>
      </c>
      <c r="BS687" s="1683">
        <v>9509.5300000000007</v>
      </c>
      <c r="BT687" s="1683">
        <v>0</v>
      </c>
      <c r="BU687" s="1683">
        <v>1678.15</v>
      </c>
      <c r="BV687" s="1683">
        <v>0</v>
      </c>
      <c r="BW687" s="1683">
        <v>0</v>
      </c>
      <c r="BX687" s="1683">
        <v>0</v>
      </c>
      <c r="BY687" s="1683">
        <v>0</v>
      </c>
      <c r="BZ687" s="1683">
        <v>0</v>
      </c>
      <c r="CA687" s="1400"/>
      <c r="CB687" s="1682"/>
      <c r="CC687" s="1682"/>
      <c r="CD687" s="1400"/>
      <c r="CE687" s="1400"/>
      <c r="CF687" s="1683">
        <v>0</v>
      </c>
      <c r="CG687" s="1683">
        <v>0</v>
      </c>
      <c r="CH687" s="1683">
        <v>0</v>
      </c>
      <c r="CI687" s="1683">
        <v>0</v>
      </c>
      <c r="CJ687" s="1683">
        <v>0</v>
      </c>
      <c r="CK687" s="1683">
        <v>0</v>
      </c>
      <c r="CL687" s="1682"/>
      <c r="CM687" s="1683">
        <v>0</v>
      </c>
      <c r="CN687" s="1683">
        <v>0</v>
      </c>
      <c r="CO687" s="1683">
        <v>0</v>
      </c>
      <c r="CP687" s="1683">
        <v>0</v>
      </c>
      <c r="CQ687" s="1683">
        <v>0</v>
      </c>
      <c r="CR687" s="1683">
        <v>0</v>
      </c>
      <c r="CS687" s="1683">
        <v>0</v>
      </c>
      <c r="CT687" s="1683">
        <v>0</v>
      </c>
      <c r="CU687" s="1683">
        <v>0</v>
      </c>
      <c r="CV687" s="1683">
        <v>0</v>
      </c>
      <c r="CW687" s="1682"/>
      <c r="CX687" s="1400"/>
      <c r="CY687" s="1400"/>
      <c r="CZ687" s="1400"/>
      <c r="DA687" s="1400"/>
      <c r="DB687" s="1682"/>
      <c r="DC687" s="1326"/>
      <c r="DD687" s="1683">
        <v>11187.68</v>
      </c>
      <c r="DE687" s="1400"/>
      <c r="DF687" s="1400"/>
      <c r="DG687" s="1683">
        <v>0</v>
      </c>
      <c r="DH687" s="1683">
        <v>0</v>
      </c>
    </row>
    <row r="688" spans="1:112" ht="56.25">
      <c r="A688" s="1326" t="s">
        <v>4451</v>
      </c>
      <c r="B688" s="1326" t="s">
        <v>1706</v>
      </c>
      <c r="C688" s="1326" t="s">
        <v>2583</v>
      </c>
      <c r="D688" s="1326" t="s">
        <v>2584</v>
      </c>
      <c r="E688" s="1326" t="s">
        <v>1122</v>
      </c>
      <c r="F688" s="1326" t="s">
        <v>2563</v>
      </c>
      <c r="G688" s="1326" t="s">
        <v>2572</v>
      </c>
      <c r="H688" s="1326" t="s">
        <v>2573</v>
      </c>
      <c r="I688" s="1326" t="s">
        <v>1209</v>
      </c>
      <c r="J688" s="1326" t="s">
        <v>272</v>
      </c>
      <c r="K688" s="1326" t="s">
        <v>2060</v>
      </c>
      <c r="L688" s="1326" t="s">
        <v>2061</v>
      </c>
      <c r="M688" s="1400"/>
      <c r="N688" s="1400"/>
      <c r="O688" s="1400"/>
      <c r="P688" s="1400"/>
      <c r="Q688" s="1400"/>
      <c r="R688" s="1400"/>
      <c r="S688" s="1400"/>
      <c r="T688" s="1400"/>
      <c r="U688" s="1400"/>
      <c r="V688" s="1400"/>
      <c r="W688" s="1400"/>
      <c r="X688" s="1400"/>
      <c r="Y688" s="1685">
        <v>43311</v>
      </c>
      <c r="Z688" s="1326" t="s">
        <v>2062</v>
      </c>
      <c r="AA688" s="1683">
        <v>0</v>
      </c>
      <c r="AB688" s="1683">
        <v>0</v>
      </c>
      <c r="AC688" s="1683">
        <v>0</v>
      </c>
      <c r="AD688" s="1685">
        <v>43336</v>
      </c>
      <c r="AE688" s="1326" t="s">
        <v>2079</v>
      </c>
      <c r="AF688" s="1326" t="s">
        <v>2064</v>
      </c>
      <c r="AG688" s="1410"/>
      <c r="AH688" s="1683">
        <v>5000</v>
      </c>
      <c r="AI688" s="1683">
        <v>5000</v>
      </c>
      <c r="AJ688" s="1683">
        <v>4250</v>
      </c>
      <c r="AK688" s="1683">
        <v>4250</v>
      </c>
      <c r="AL688" s="1683">
        <v>0</v>
      </c>
      <c r="AM688" s="1685">
        <v>43336</v>
      </c>
      <c r="AN688" s="1683">
        <v>5000</v>
      </c>
      <c r="AO688" s="1683">
        <v>5000</v>
      </c>
      <c r="AP688" s="1683">
        <v>4250</v>
      </c>
      <c r="AQ688" s="1683">
        <v>4250</v>
      </c>
      <c r="AR688" s="1683">
        <v>0</v>
      </c>
      <c r="AS688" s="1683">
        <v>750</v>
      </c>
      <c r="AT688" s="1683">
        <v>0</v>
      </c>
      <c r="AU688" s="1683">
        <v>750</v>
      </c>
      <c r="AV688" s="1683">
        <v>0</v>
      </c>
      <c r="AW688" s="1683">
        <v>0</v>
      </c>
      <c r="AX688" s="1400"/>
      <c r="AY688" s="1400"/>
      <c r="AZ688" s="1400"/>
      <c r="BA688" s="1682"/>
      <c r="BB688" s="1682"/>
      <c r="BC688" s="1400"/>
      <c r="BD688" s="1400"/>
      <c r="BE688" s="1683">
        <v>5000</v>
      </c>
      <c r="BF688" s="1683">
        <v>5000</v>
      </c>
      <c r="BG688" s="1683">
        <v>4250</v>
      </c>
      <c r="BH688" s="1683">
        <v>4250</v>
      </c>
      <c r="BI688" s="1683">
        <v>0</v>
      </c>
      <c r="BJ688" s="1683">
        <v>750</v>
      </c>
      <c r="BK688" s="1683">
        <v>0</v>
      </c>
      <c r="BL688" s="1683">
        <v>750</v>
      </c>
      <c r="BM688" s="1683">
        <v>0</v>
      </c>
      <c r="BN688" s="1683">
        <v>0</v>
      </c>
      <c r="BO688" s="1685">
        <v>43404</v>
      </c>
      <c r="BP688" s="1683">
        <v>5000</v>
      </c>
      <c r="BQ688" s="1683">
        <v>5000</v>
      </c>
      <c r="BR688" s="1683">
        <v>4250</v>
      </c>
      <c r="BS688" s="1683">
        <v>4250</v>
      </c>
      <c r="BT688" s="1683">
        <v>0</v>
      </c>
      <c r="BU688" s="1683">
        <v>750</v>
      </c>
      <c r="BV688" s="1683">
        <v>0</v>
      </c>
      <c r="BW688" s="1683">
        <v>0</v>
      </c>
      <c r="BX688" s="1683">
        <v>0</v>
      </c>
      <c r="BY688" s="1683">
        <v>0</v>
      </c>
      <c r="BZ688" s="1683">
        <v>0</v>
      </c>
      <c r="CA688" s="1400"/>
      <c r="CB688" s="1682"/>
      <c r="CC688" s="1682"/>
      <c r="CD688" s="1400"/>
      <c r="CE688" s="1400"/>
      <c r="CF688" s="1683">
        <v>0</v>
      </c>
      <c r="CG688" s="1683">
        <v>0</v>
      </c>
      <c r="CH688" s="1683">
        <v>0</v>
      </c>
      <c r="CI688" s="1683">
        <v>0</v>
      </c>
      <c r="CJ688" s="1683">
        <v>0</v>
      </c>
      <c r="CK688" s="1683">
        <v>0</v>
      </c>
      <c r="CL688" s="1682"/>
      <c r="CM688" s="1683">
        <v>0</v>
      </c>
      <c r="CN688" s="1683">
        <v>0</v>
      </c>
      <c r="CO688" s="1683">
        <v>0</v>
      </c>
      <c r="CP688" s="1683">
        <v>0</v>
      </c>
      <c r="CQ688" s="1683">
        <v>0</v>
      </c>
      <c r="CR688" s="1683">
        <v>0</v>
      </c>
      <c r="CS688" s="1683">
        <v>0</v>
      </c>
      <c r="CT688" s="1683">
        <v>0</v>
      </c>
      <c r="CU688" s="1683">
        <v>0</v>
      </c>
      <c r="CV688" s="1683">
        <v>0</v>
      </c>
      <c r="CW688" s="1682"/>
      <c r="CX688" s="1400"/>
      <c r="CY688" s="1400"/>
      <c r="CZ688" s="1400"/>
      <c r="DA688" s="1400"/>
      <c r="DB688" s="1682"/>
      <c r="DC688" s="1326"/>
      <c r="DD688" s="1683">
        <v>5000</v>
      </c>
      <c r="DE688" s="1400"/>
      <c r="DF688" s="1400"/>
      <c r="DG688" s="1683">
        <v>0</v>
      </c>
      <c r="DH688" s="1683">
        <v>0</v>
      </c>
    </row>
    <row r="689" spans="1:112" ht="56.25">
      <c r="A689" s="1326" t="s">
        <v>4452</v>
      </c>
      <c r="B689" s="1326" t="s">
        <v>1706</v>
      </c>
      <c r="C689" s="1326" t="s">
        <v>2583</v>
      </c>
      <c r="D689" s="1326" t="s">
        <v>2584</v>
      </c>
      <c r="E689" s="1326" t="s">
        <v>1122</v>
      </c>
      <c r="F689" s="1326" t="s">
        <v>2563</v>
      </c>
      <c r="G689" s="1326" t="s">
        <v>2572</v>
      </c>
      <c r="H689" s="1326" t="s">
        <v>2573</v>
      </c>
      <c r="I689" s="1326" t="s">
        <v>1209</v>
      </c>
      <c r="J689" s="1326" t="s">
        <v>272</v>
      </c>
      <c r="K689" s="1326" t="s">
        <v>2060</v>
      </c>
      <c r="L689" s="1326" t="s">
        <v>2061</v>
      </c>
      <c r="M689" s="1400"/>
      <c r="N689" s="1400"/>
      <c r="O689" s="1400"/>
      <c r="P689" s="1400"/>
      <c r="Q689" s="1400"/>
      <c r="R689" s="1400"/>
      <c r="S689" s="1400"/>
      <c r="T689" s="1400"/>
      <c r="U689" s="1400"/>
      <c r="V689" s="1400"/>
      <c r="W689" s="1400"/>
      <c r="X689" s="1400"/>
      <c r="Y689" s="1685">
        <v>43353</v>
      </c>
      <c r="Z689" s="1326" t="s">
        <v>2062</v>
      </c>
      <c r="AA689" s="1683">
        <v>0</v>
      </c>
      <c r="AB689" s="1683">
        <v>0</v>
      </c>
      <c r="AC689" s="1683">
        <v>0</v>
      </c>
      <c r="AD689" s="1685">
        <v>43388</v>
      </c>
      <c r="AE689" s="1326" t="s">
        <v>2080</v>
      </c>
      <c r="AF689" s="1326" t="s">
        <v>2064</v>
      </c>
      <c r="AG689" s="1410"/>
      <c r="AH689" s="1683">
        <v>3076.42</v>
      </c>
      <c r="AI689" s="1683">
        <v>3076.42</v>
      </c>
      <c r="AJ689" s="1683">
        <v>2614.96</v>
      </c>
      <c r="AK689" s="1683">
        <v>2614.96</v>
      </c>
      <c r="AL689" s="1683">
        <v>0</v>
      </c>
      <c r="AM689" s="1685">
        <v>43388</v>
      </c>
      <c r="AN689" s="1683">
        <v>3076.42</v>
      </c>
      <c r="AO689" s="1683">
        <v>3076.42</v>
      </c>
      <c r="AP689" s="1683">
        <v>2614.96</v>
      </c>
      <c r="AQ689" s="1683">
        <v>2614.96</v>
      </c>
      <c r="AR689" s="1683">
        <v>0</v>
      </c>
      <c r="AS689" s="1683">
        <v>461.46</v>
      </c>
      <c r="AT689" s="1683">
        <v>0</v>
      </c>
      <c r="AU689" s="1683">
        <v>461.46</v>
      </c>
      <c r="AV689" s="1683">
        <v>0</v>
      </c>
      <c r="AW689" s="1683">
        <v>0</v>
      </c>
      <c r="AX689" s="1400"/>
      <c r="AY689" s="1400"/>
      <c r="AZ689" s="1400"/>
      <c r="BA689" s="1682"/>
      <c r="BB689" s="1682"/>
      <c r="BC689" s="1400"/>
      <c r="BD689" s="1400"/>
      <c r="BE689" s="1683">
        <v>3076.42</v>
      </c>
      <c r="BF689" s="1683">
        <v>3076.42</v>
      </c>
      <c r="BG689" s="1683">
        <v>2614.96</v>
      </c>
      <c r="BH689" s="1683">
        <v>2614.96</v>
      </c>
      <c r="BI689" s="1683">
        <v>0</v>
      </c>
      <c r="BJ689" s="1683">
        <v>461.46</v>
      </c>
      <c r="BK689" s="1683">
        <v>0</v>
      </c>
      <c r="BL689" s="1683">
        <v>461.46</v>
      </c>
      <c r="BM689" s="1683">
        <v>0</v>
      </c>
      <c r="BN689" s="1683">
        <v>0</v>
      </c>
      <c r="BO689" s="1685">
        <v>43462</v>
      </c>
      <c r="BP689" s="1683">
        <v>3076.42</v>
      </c>
      <c r="BQ689" s="1683">
        <v>3076.42</v>
      </c>
      <c r="BR689" s="1683">
        <v>2614.96</v>
      </c>
      <c r="BS689" s="1683">
        <v>2614.96</v>
      </c>
      <c r="BT689" s="1683">
        <v>0</v>
      </c>
      <c r="BU689" s="1683">
        <v>461.46</v>
      </c>
      <c r="BV689" s="1683">
        <v>0</v>
      </c>
      <c r="BW689" s="1683">
        <v>0</v>
      </c>
      <c r="BX689" s="1683">
        <v>0</v>
      </c>
      <c r="BY689" s="1683">
        <v>0</v>
      </c>
      <c r="BZ689" s="1683">
        <v>0</v>
      </c>
      <c r="CA689" s="1400"/>
      <c r="CB689" s="1682"/>
      <c r="CC689" s="1682"/>
      <c r="CD689" s="1400"/>
      <c r="CE689" s="1400"/>
      <c r="CF689" s="1683">
        <v>0</v>
      </c>
      <c r="CG689" s="1683">
        <v>0</v>
      </c>
      <c r="CH689" s="1683">
        <v>0</v>
      </c>
      <c r="CI689" s="1683">
        <v>0</v>
      </c>
      <c r="CJ689" s="1683">
        <v>329.6</v>
      </c>
      <c r="CK689" s="1683">
        <v>329.6</v>
      </c>
      <c r="CL689" s="1682"/>
      <c r="CM689" s="1683">
        <v>0</v>
      </c>
      <c r="CN689" s="1683">
        <v>0</v>
      </c>
      <c r="CO689" s="1683">
        <v>0</v>
      </c>
      <c r="CP689" s="1683">
        <v>0</v>
      </c>
      <c r="CQ689" s="1683">
        <v>0</v>
      </c>
      <c r="CR689" s="1683">
        <v>0</v>
      </c>
      <c r="CS689" s="1683">
        <v>0</v>
      </c>
      <c r="CT689" s="1683">
        <v>0</v>
      </c>
      <c r="CU689" s="1683">
        <v>0</v>
      </c>
      <c r="CV689" s="1683">
        <v>0</v>
      </c>
      <c r="CW689" s="1682"/>
      <c r="CX689" s="1400"/>
      <c r="CY689" s="1400"/>
      <c r="CZ689" s="1400"/>
      <c r="DA689" s="1400"/>
      <c r="DB689" s="1682"/>
      <c r="DC689" s="1326"/>
      <c r="DD689" s="1683">
        <v>0</v>
      </c>
      <c r="DE689" s="1400"/>
      <c r="DF689" s="1400"/>
      <c r="DG689" s="1683">
        <v>0</v>
      </c>
      <c r="DH689" s="1683">
        <v>0</v>
      </c>
    </row>
    <row r="690" spans="1:112" ht="56.25">
      <c r="A690" s="1326" t="s">
        <v>4453</v>
      </c>
      <c r="B690" s="1326" t="s">
        <v>1706</v>
      </c>
      <c r="C690" s="1326" t="s">
        <v>2583</v>
      </c>
      <c r="D690" s="1326" t="s">
        <v>2584</v>
      </c>
      <c r="E690" s="1326" t="s">
        <v>1122</v>
      </c>
      <c r="F690" s="1326" t="s">
        <v>2563</v>
      </c>
      <c r="G690" s="1326" t="s">
        <v>2572</v>
      </c>
      <c r="H690" s="1326" t="s">
        <v>2573</v>
      </c>
      <c r="I690" s="1326" t="s">
        <v>1209</v>
      </c>
      <c r="J690" s="1326" t="s">
        <v>272</v>
      </c>
      <c r="K690" s="1326" t="s">
        <v>2060</v>
      </c>
      <c r="L690" s="1326" t="s">
        <v>2061</v>
      </c>
      <c r="M690" s="1400"/>
      <c r="N690" s="1400"/>
      <c r="O690" s="1400"/>
      <c r="P690" s="1400"/>
      <c r="Q690" s="1400"/>
      <c r="R690" s="1400"/>
      <c r="S690" s="1400"/>
      <c r="T690" s="1400"/>
      <c r="U690" s="1400"/>
      <c r="V690" s="1400"/>
      <c r="W690" s="1400"/>
      <c r="X690" s="1400"/>
      <c r="Y690" s="1685">
        <v>43427</v>
      </c>
      <c r="Z690" s="1326" t="s">
        <v>2062</v>
      </c>
      <c r="AA690" s="1683">
        <v>0</v>
      </c>
      <c r="AB690" s="1683">
        <v>0</v>
      </c>
      <c r="AC690" s="1683">
        <v>0</v>
      </c>
      <c r="AD690" s="1685">
        <v>43444</v>
      </c>
      <c r="AE690" s="1326" t="s">
        <v>2081</v>
      </c>
      <c r="AF690" s="1326" t="s">
        <v>2067</v>
      </c>
      <c r="AG690" s="1410"/>
      <c r="AH690" s="1683">
        <v>15584.71</v>
      </c>
      <c r="AI690" s="1683">
        <v>15584.71</v>
      </c>
      <c r="AJ690" s="1683">
        <v>13247</v>
      </c>
      <c r="AK690" s="1683">
        <v>13247</v>
      </c>
      <c r="AL690" s="1683">
        <v>0</v>
      </c>
      <c r="AM690" s="1685">
        <v>43445</v>
      </c>
      <c r="AN690" s="1683">
        <v>15584.71</v>
      </c>
      <c r="AO690" s="1683">
        <v>15584.71</v>
      </c>
      <c r="AP690" s="1683">
        <v>13247</v>
      </c>
      <c r="AQ690" s="1683">
        <v>13247</v>
      </c>
      <c r="AR690" s="1683">
        <v>0</v>
      </c>
      <c r="AS690" s="1683">
        <v>2337.71</v>
      </c>
      <c r="AT690" s="1683">
        <v>0</v>
      </c>
      <c r="AU690" s="1683">
        <v>2337.71</v>
      </c>
      <c r="AV690" s="1683">
        <v>0</v>
      </c>
      <c r="AW690" s="1683">
        <v>0</v>
      </c>
      <c r="AX690" s="1400"/>
      <c r="AY690" s="1400"/>
      <c r="AZ690" s="1400"/>
      <c r="BA690" s="1682"/>
      <c r="BB690" s="1682"/>
      <c r="BC690" s="1400"/>
      <c r="BD690" s="1400"/>
      <c r="BE690" s="1683">
        <v>15584.71</v>
      </c>
      <c r="BF690" s="1683">
        <v>15584.71</v>
      </c>
      <c r="BG690" s="1683">
        <v>13247</v>
      </c>
      <c r="BH690" s="1683">
        <v>13247</v>
      </c>
      <c r="BI690" s="1683">
        <v>0</v>
      </c>
      <c r="BJ690" s="1683">
        <v>2337.71</v>
      </c>
      <c r="BK690" s="1683">
        <v>0</v>
      </c>
      <c r="BL690" s="1683">
        <v>2337.71</v>
      </c>
      <c r="BM690" s="1683">
        <v>0</v>
      </c>
      <c r="BN690" s="1683">
        <v>0</v>
      </c>
      <c r="BO690" s="1682"/>
      <c r="BP690" s="1683">
        <v>0</v>
      </c>
      <c r="BQ690" s="1683">
        <v>0</v>
      </c>
      <c r="BR690" s="1683">
        <v>0</v>
      </c>
      <c r="BS690" s="1683">
        <v>0</v>
      </c>
      <c r="BT690" s="1683">
        <v>0</v>
      </c>
      <c r="BU690" s="1683">
        <v>0</v>
      </c>
      <c r="BV690" s="1683">
        <v>0</v>
      </c>
      <c r="BW690" s="1683">
        <v>0</v>
      </c>
      <c r="BX690" s="1683">
        <v>0</v>
      </c>
      <c r="BY690" s="1683">
        <v>0</v>
      </c>
      <c r="BZ690" s="1683">
        <v>0</v>
      </c>
      <c r="CA690" s="1400"/>
      <c r="CB690" s="1682"/>
      <c r="CC690" s="1682"/>
      <c r="CD690" s="1400"/>
      <c r="CE690" s="1400"/>
      <c r="CF690" s="1683">
        <v>0</v>
      </c>
      <c r="CG690" s="1683">
        <v>0</v>
      </c>
      <c r="CH690" s="1683">
        <v>0</v>
      </c>
      <c r="CI690" s="1683">
        <v>0</v>
      </c>
      <c r="CJ690" s="1683">
        <v>0</v>
      </c>
      <c r="CK690" s="1683">
        <v>0</v>
      </c>
      <c r="CL690" s="1682"/>
      <c r="CM690" s="1683">
        <v>0</v>
      </c>
      <c r="CN690" s="1683">
        <v>0</v>
      </c>
      <c r="CO690" s="1683">
        <v>0</v>
      </c>
      <c r="CP690" s="1683">
        <v>0</v>
      </c>
      <c r="CQ690" s="1683">
        <v>0</v>
      </c>
      <c r="CR690" s="1683">
        <v>0</v>
      </c>
      <c r="CS690" s="1683">
        <v>0</v>
      </c>
      <c r="CT690" s="1683">
        <v>0</v>
      </c>
      <c r="CU690" s="1683">
        <v>0</v>
      </c>
      <c r="CV690" s="1683">
        <v>0</v>
      </c>
      <c r="CW690" s="1682"/>
      <c r="CX690" s="1400"/>
      <c r="CY690" s="1400"/>
      <c r="CZ690" s="1400"/>
      <c r="DA690" s="1400"/>
      <c r="DB690" s="1682"/>
      <c r="DC690" s="1326"/>
      <c r="DD690" s="1683">
        <v>0</v>
      </c>
      <c r="DE690" s="1400"/>
      <c r="DF690" s="1400"/>
      <c r="DG690" s="1683">
        <v>0</v>
      </c>
      <c r="DH690" s="1683">
        <v>0</v>
      </c>
    </row>
    <row r="691" spans="1:112" ht="56.25">
      <c r="A691" s="1326" t="s">
        <v>4454</v>
      </c>
      <c r="B691" s="1326" t="s">
        <v>1706</v>
      </c>
      <c r="C691" s="1326" t="s">
        <v>2583</v>
      </c>
      <c r="D691" s="1326" t="s">
        <v>2584</v>
      </c>
      <c r="E691" s="1326" t="s">
        <v>1122</v>
      </c>
      <c r="F691" s="1326" t="s">
        <v>2563</v>
      </c>
      <c r="G691" s="1326" t="s">
        <v>2572</v>
      </c>
      <c r="H691" s="1326" t="s">
        <v>2573</v>
      </c>
      <c r="I691" s="1326" t="s">
        <v>1209</v>
      </c>
      <c r="J691" s="1326" t="s">
        <v>272</v>
      </c>
      <c r="K691" s="1326" t="s">
        <v>2060</v>
      </c>
      <c r="L691" s="1326" t="s">
        <v>2061</v>
      </c>
      <c r="M691" s="1400"/>
      <c r="N691" s="1400"/>
      <c r="O691" s="1400"/>
      <c r="P691" s="1400"/>
      <c r="Q691" s="1400"/>
      <c r="R691" s="1400"/>
      <c r="S691" s="1400"/>
      <c r="T691" s="1400"/>
      <c r="U691" s="1400"/>
      <c r="V691" s="1400"/>
      <c r="W691" s="1400"/>
      <c r="X691" s="1400"/>
      <c r="Y691" s="1685">
        <v>43427</v>
      </c>
      <c r="Z691" s="1326" t="s">
        <v>2062</v>
      </c>
      <c r="AA691" s="1683">
        <v>0</v>
      </c>
      <c r="AB691" s="1683">
        <v>0</v>
      </c>
      <c r="AC691" s="1683">
        <v>0</v>
      </c>
      <c r="AD691" s="1685">
        <v>43444</v>
      </c>
      <c r="AE691" s="1326" t="s">
        <v>2081</v>
      </c>
      <c r="AF691" s="1326" t="s">
        <v>2064</v>
      </c>
      <c r="AG691" s="1410"/>
      <c r="AH691" s="1683">
        <v>6583.53</v>
      </c>
      <c r="AI691" s="1683">
        <v>6583.53</v>
      </c>
      <c r="AJ691" s="1683">
        <v>5596</v>
      </c>
      <c r="AK691" s="1683">
        <v>5596</v>
      </c>
      <c r="AL691" s="1683">
        <v>0</v>
      </c>
      <c r="AM691" s="1685">
        <v>43444</v>
      </c>
      <c r="AN691" s="1683">
        <v>6583.53</v>
      </c>
      <c r="AO691" s="1683">
        <v>6583.53</v>
      </c>
      <c r="AP691" s="1683">
        <v>5596</v>
      </c>
      <c r="AQ691" s="1683">
        <v>5596</v>
      </c>
      <c r="AR691" s="1683">
        <v>0</v>
      </c>
      <c r="AS691" s="1683">
        <v>987.53</v>
      </c>
      <c r="AT691" s="1683">
        <v>0</v>
      </c>
      <c r="AU691" s="1683">
        <v>987.53</v>
      </c>
      <c r="AV691" s="1683">
        <v>0</v>
      </c>
      <c r="AW691" s="1683">
        <v>0</v>
      </c>
      <c r="AX691" s="1400"/>
      <c r="AY691" s="1400"/>
      <c r="AZ691" s="1400"/>
      <c r="BA691" s="1682"/>
      <c r="BB691" s="1682"/>
      <c r="BC691" s="1400"/>
      <c r="BD691" s="1400"/>
      <c r="BE691" s="1683">
        <v>6583.53</v>
      </c>
      <c r="BF691" s="1683">
        <v>6583.53</v>
      </c>
      <c r="BG691" s="1683">
        <v>5596</v>
      </c>
      <c r="BH691" s="1683">
        <v>5596</v>
      </c>
      <c r="BI691" s="1683">
        <v>0</v>
      </c>
      <c r="BJ691" s="1683">
        <v>987.53</v>
      </c>
      <c r="BK691" s="1683">
        <v>0</v>
      </c>
      <c r="BL691" s="1683">
        <v>987.53</v>
      </c>
      <c r="BM691" s="1683">
        <v>0</v>
      </c>
      <c r="BN691" s="1683">
        <v>0</v>
      </c>
      <c r="BO691" s="1682"/>
      <c r="BP691" s="1683">
        <v>0</v>
      </c>
      <c r="BQ691" s="1683">
        <v>0</v>
      </c>
      <c r="BR691" s="1683">
        <v>0</v>
      </c>
      <c r="BS691" s="1683">
        <v>0</v>
      </c>
      <c r="BT691" s="1683">
        <v>0</v>
      </c>
      <c r="BU691" s="1683">
        <v>0</v>
      </c>
      <c r="BV691" s="1683">
        <v>0</v>
      </c>
      <c r="BW691" s="1683">
        <v>0</v>
      </c>
      <c r="BX691" s="1683">
        <v>0</v>
      </c>
      <c r="BY691" s="1683">
        <v>0</v>
      </c>
      <c r="BZ691" s="1683">
        <v>0</v>
      </c>
      <c r="CA691" s="1400"/>
      <c r="CB691" s="1682"/>
      <c r="CC691" s="1682"/>
      <c r="CD691" s="1400"/>
      <c r="CE691" s="1400"/>
      <c r="CF691" s="1683">
        <v>0</v>
      </c>
      <c r="CG691" s="1683">
        <v>0</v>
      </c>
      <c r="CH691" s="1683">
        <v>0</v>
      </c>
      <c r="CI691" s="1683">
        <v>0</v>
      </c>
      <c r="CJ691" s="1683">
        <v>0</v>
      </c>
      <c r="CK691" s="1683">
        <v>0</v>
      </c>
      <c r="CL691" s="1682"/>
      <c r="CM691" s="1683">
        <v>0</v>
      </c>
      <c r="CN691" s="1683">
        <v>0</v>
      </c>
      <c r="CO691" s="1683">
        <v>0</v>
      </c>
      <c r="CP691" s="1683">
        <v>0</v>
      </c>
      <c r="CQ691" s="1683">
        <v>0</v>
      </c>
      <c r="CR691" s="1683">
        <v>0</v>
      </c>
      <c r="CS691" s="1683">
        <v>0</v>
      </c>
      <c r="CT691" s="1683">
        <v>0</v>
      </c>
      <c r="CU691" s="1683">
        <v>0</v>
      </c>
      <c r="CV691" s="1683">
        <v>0</v>
      </c>
      <c r="CW691" s="1682"/>
      <c r="CX691" s="1400"/>
      <c r="CY691" s="1400"/>
      <c r="CZ691" s="1400"/>
      <c r="DA691" s="1400"/>
      <c r="DB691" s="1682"/>
      <c r="DC691" s="1326"/>
      <c r="DD691" s="1683">
        <v>0</v>
      </c>
      <c r="DE691" s="1400"/>
      <c r="DF691" s="1400"/>
      <c r="DG691" s="1683">
        <v>0</v>
      </c>
      <c r="DH691" s="1683">
        <v>0</v>
      </c>
    </row>
    <row r="692" spans="1:112" ht="56.25">
      <c r="A692" s="1326" t="s">
        <v>4455</v>
      </c>
      <c r="B692" s="1326" t="s">
        <v>1706</v>
      </c>
      <c r="C692" s="1326" t="s">
        <v>2583</v>
      </c>
      <c r="D692" s="1326" t="s">
        <v>2584</v>
      </c>
      <c r="E692" s="1326" t="s">
        <v>1122</v>
      </c>
      <c r="F692" s="1326" t="s">
        <v>2563</v>
      </c>
      <c r="G692" s="1326" t="s">
        <v>2572</v>
      </c>
      <c r="H692" s="1326" t="s">
        <v>2573</v>
      </c>
      <c r="I692" s="1326" t="s">
        <v>1209</v>
      </c>
      <c r="J692" s="1326" t="s">
        <v>272</v>
      </c>
      <c r="K692" s="1326" t="s">
        <v>2060</v>
      </c>
      <c r="L692" s="1326" t="s">
        <v>2061</v>
      </c>
      <c r="M692" s="1400"/>
      <c r="N692" s="1400"/>
      <c r="O692" s="1400"/>
      <c r="P692" s="1400"/>
      <c r="Q692" s="1400"/>
      <c r="R692" s="1400"/>
      <c r="S692" s="1400"/>
      <c r="T692" s="1400"/>
      <c r="U692" s="1400"/>
      <c r="V692" s="1400"/>
      <c r="W692" s="1400"/>
      <c r="X692" s="1400"/>
      <c r="Y692" s="1685">
        <v>43516</v>
      </c>
      <c r="Z692" s="1326" t="s">
        <v>2062</v>
      </c>
      <c r="AA692" s="1683">
        <v>0</v>
      </c>
      <c r="AB692" s="1683">
        <v>0</v>
      </c>
      <c r="AC692" s="1683">
        <v>0</v>
      </c>
      <c r="AD692" s="1685">
        <v>43532</v>
      </c>
      <c r="AE692" s="1326" t="s">
        <v>2088</v>
      </c>
      <c r="AF692" s="1326" t="s">
        <v>2067</v>
      </c>
      <c r="AG692" s="1410"/>
      <c r="AH692" s="1683">
        <v>12088.32</v>
      </c>
      <c r="AI692" s="1683">
        <v>12088.32</v>
      </c>
      <c r="AJ692" s="1683">
        <v>10275.07</v>
      </c>
      <c r="AK692" s="1683">
        <v>10275.07</v>
      </c>
      <c r="AL692" s="1683">
        <v>0</v>
      </c>
      <c r="AM692" s="1685">
        <v>43543</v>
      </c>
      <c r="AN692" s="1683">
        <v>12088.32</v>
      </c>
      <c r="AO692" s="1683">
        <v>12088.32</v>
      </c>
      <c r="AP692" s="1683">
        <v>10275.07</v>
      </c>
      <c r="AQ692" s="1683">
        <v>10275.07</v>
      </c>
      <c r="AR692" s="1683">
        <v>0</v>
      </c>
      <c r="AS692" s="1683">
        <v>1813.25</v>
      </c>
      <c r="AT692" s="1683">
        <v>0</v>
      </c>
      <c r="AU692" s="1683">
        <v>1813.25</v>
      </c>
      <c r="AV692" s="1683">
        <v>0</v>
      </c>
      <c r="AW692" s="1683">
        <v>0</v>
      </c>
      <c r="AX692" s="1400"/>
      <c r="AY692" s="1400"/>
      <c r="AZ692" s="1400"/>
      <c r="BA692" s="1682"/>
      <c r="BB692" s="1682"/>
      <c r="BC692" s="1400"/>
      <c r="BD692" s="1400"/>
      <c r="BE692" s="1683">
        <v>12088.32</v>
      </c>
      <c r="BF692" s="1683">
        <v>12088.32</v>
      </c>
      <c r="BG692" s="1683">
        <v>10275.07</v>
      </c>
      <c r="BH692" s="1683">
        <v>10275.07</v>
      </c>
      <c r="BI692" s="1683">
        <v>0</v>
      </c>
      <c r="BJ692" s="1683">
        <v>1813.25</v>
      </c>
      <c r="BK692" s="1683">
        <v>0</v>
      </c>
      <c r="BL692" s="1683">
        <v>1813.25</v>
      </c>
      <c r="BM692" s="1683">
        <v>0</v>
      </c>
      <c r="BN692" s="1683">
        <v>0</v>
      </c>
      <c r="BO692" s="1682"/>
      <c r="BP692" s="1683">
        <v>0</v>
      </c>
      <c r="BQ692" s="1683">
        <v>0</v>
      </c>
      <c r="BR692" s="1683">
        <v>0</v>
      </c>
      <c r="BS692" s="1683">
        <v>0</v>
      </c>
      <c r="BT692" s="1683">
        <v>0</v>
      </c>
      <c r="BU692" s="1683">
        <v>0</v>
      </c>
      <c r="BV692" s="1683">
        <v>0</v>
      </c>
      <c r="BW692" s="1683">
        <v>0</v>
      </c>
      <c r="BX692" s="1683">
        <v>0</v>
      </c>
      <c r="BY692" s="1683">
        <v>0</v>
      </c>
      <c r="BZ692" s="1400"/>
      <c r="CA692" s="1400"/>
      <c r="CB692" s="1682"/>
      <c r="CC692" s="1682"/>
      <c r="CD692" s="1400"/>
      <c r="CE692" s="1400"/>
      <c r="CF692" s="1683">
        <v>0</v>
      </c>
      <c r="CG692" s="1683">
        <v>0</v>
      </c>
      <c r="CH692" s="1683">
        <v>0</v>
      </c>
      <c r="CI692" s="1683">
        <v>0</v>
      </c>
      <c r="CJ692" s="1683">
        <v>0</v>
      </c>
      <c r="CK692" s="1683">
        <v>0</v>
      </c>
      <c r="CL692" s="1682"/>
      <c r="CM692" s="1683">
        <v>0</v>
      </c>
      <c r="CN692" s="1683">
        <v>0</v>
      </c>
      <c r="CO692" s="1683">
        <v>0</v>
      </c>
      <c r="CP692" s="1683">
        <v>0</v>
      </c>
      <c r="CQ692" s="1683">
        <v>0</v>
      </c>
      <c r="CR692" s="1683">
        <v>0</v>
      </c>
      <c r="CS692" s="1683">
        <v>0</v>
      </c>
      <c r="CT692" s="1683">
        <v>0</v>
      </c>
      <c r="CU692" s="1683">
        <v>0</v>
      </c>
      <c r="CV692" s="1683">
        <v>0</v>
      </c>
      <c r="CW692" s="1682"/>
      <c r="CX692" s="1400"/>
      <c r="CY692" s="1400"/>
      <c r="CZ692" s="1400"/>
      <c r="DA692" s="1400"/>
      <c r="DB692" s="1682"/>
      <c r="DC692" s="1326"/>
      <c r="DD692" s="1683">
        <v>0</v>
      </c>
      <c r="DE692" s="1400"/>
      <c r="DF692" s="1400"/>
      <c r="DG692" s="1683">
        <v>0</v>
      </c>
      <c r="DH692" s="1683">
        <v>0</v>
      </c>
    </row>
    <row r="693" spans="1:112" ht="78.75">
      <c r="A693" s="1326" t="s">
        <v>4456</v>
      </c>
      <c r="B693" s="1326" t="s">
        <v>1706</v>
      </c>
      <c r="C693" s="1326" t="s">
        <v>2583</v>
      </c>
      <c r="D693" s="1326" t="s">
        <v>2584</v>
      </c>
      <c r="E693" s="1326" t="s">
        <v>1122</v>
      </c>
      <c r="F693" s="1326" t="s">
        <v>2563</v>
      </c>
      <c r="G693" s="1326" t="s">
        <v>2572</v>
      </c>
      <c r="H693" s="1326" t="s">
        <v>2573</v>
      </c>
      <c r="I693" s="1326" t="s">
        <v>1210</v>
      </c>
      <c r="J693" s="1326" t="s">
        <v>392</v>
      </c>
      <c r="K693" s="1326" t="s">
        <v>2069</v>
      </c>
      <c r="L693" s="1326" t="s">
        <v>2061</v>
      </c>
      <c r="M693" s="1683">
        <v>163986.88</v>
      </c>
      <c r="N693" s="1683">
        <v>0</v>
      </c>
      <c r="O693" s="1683">
        <v>163986.88</v>
      </c>
      <c r="P693" s="1683">
        <v>163986.88</v>
      </c>
      <c r="Q693" s="1683">
        <v>139388</v>
      </c>
      <c r="R693" s="1683">
        <v>139388</v>
      </c>
      <c r="S693" s="1683">
        <v>0</v>
      </c>
      <c r="T693" s="1683">
        <v>24598.880000000001</v>
      </c>
      <c r="U693" s="1683">
        <v>0</v>
      </c>
      <c r="V693" s="1683">
        <v>24598.880000000001</v>
      </c>
      <c r="W693" s="1683">
        <v>0</v>
      </c>
      <c r="X693" s="1683">
        <v>0</v>
      </c>
      <c r="Y693" s="1682"/>
      <c r="Z693" s="1326"/>
      <c r="AA693" s="1683">
        <v>0</v>
      </c>
      <c r="AB693" s="1683">
        <v>0</v>
      </c>
      <c r="AC693" s="1683">
        <v>0</v>
      </c>
      <c r="AD693" s="1682"/>
      <c r="AE693" s="1326"/>
      <c r="AF693" s="1326"/>
      <c r="AG693" s="1410"/>
      <c r="AH693" s="1683">
        <v>52020.71</v>
      </c>
      <c r="AI693" s="1683">
        <v>93837.11</v>
      </c>
      <c r="AJ693" s="1683">
        <v>86033.73</v>
      </c>
      <c r="AK693" s="1683">
        <v>86033.73</v>
      </c>
      <c r="AL693" s="1683">
        <v>0</v>
      </c>
      <c r="AM693" s="1682"/>
      <c r="AN693" s="1683">
        <v>52020.71</v>
      </c>
      <c r="AO693" s="1683">
        <v>52020.71</v>
      </c>
      <c r="AP693" s="1683">
        <v>44217.33</v>
      </c>
      <c r="AQ693" s="1683">
        <v>44217.33</v>
      </c>
      <c r="AR693" s="1683">
        <v>0</v>
      </c>
      <c r="AS693" s="1683">
        <v>7803.38</v>
      </c>
      <c r="AT693" s="1683">
        <v>0</v>
      </c>
      <c r="AU693" s="1683">
        <v>7803.38</v>
      </c>
      <c r="AV693" s="1683">
        <v>0</v>
      </c>
      <c r="AW693" s="1683">
        <v>0</v>
      </c>
      <c r="AX693" s="1683">
        <v>0</v>
      </c>
      <c r="AY693" s="1683">
        <v>0</v>
      </c>
      <c r="AZ693" s="1683">
        <v>0</v>
      </c>
      <c r="BA693" s="1682"/>
      <c r="BB693" s="1682"/>
      <c r="BC693" s="1683">
        <v>0</v>
      </c>
      <c r="BD693" s="1683">
        <v>0</v>
      </c>
      <c r="BE693" s="1683">
        <v>52020.71</v>
      </c>
      <c r="BF693" s="1683">
        <v>52020.71</v>
      </c>
      <c r="BG693" s="1683">
        <v>44217.33</v>
      </c>
      <c r="BH693" s="1683">
        <v>44217.33</v>
      </c>
      <c r="BI693" s="1683">
        <v>0</v>
      </c>
      <c r="BJ693" s="1683">
        <v>7803.38</v>
      </c>
      <c r="BK693" s="1683">
        <v>0</v>
      </c>
      <c r="BL693" s="1683">
        <v>7803.38</v>
      </c>
      <c r="BM693" s="1683">
        <v>0</v>
      </c>
      <c r="BN693" s="1683">
        <v>0</v>
      </c>
      <c r="BO693" s="1682"/>
      <c r="BP693" s="1683">
        <v>35750.120000000003</v>
      </c>
      <c r="BQ693" s="1683">
        <v>35750.120000000003</v>
      </c>
      <c r="BR693" s="1683">
        <v>30387.42</v>
      </c>
      <c r="BS693" s="1683">
        <v>30387.42</v>
      </c>
      <c r="BT693" s="1683">
        <v>0</v>
      </c>
      <c r="BU693" s="1683">
        <v>5362.7</v>
      </c>
      <c r="BV693" s="1683">
        <v>0</v>
      </c>
      <c r="BW693" s="1683">
        <v>0</v>
      </c>
      <c r="BX693" s="1683">
        <v>0</v>
      </c>
      <c r="BY693" s="1683">
        <v>0</v>
      </c>
      <c r="BZ693" s="1683">
        <v>0</v>
      </c>
      <c r="CA693" s="1683">
        <v>0</v>
      </c>
      <c r="CB693" s="1682"/>
      <c r="CC693" s="1682"/>
      <c r="CD693" s="1683">
        <v>0</v>
      </c>
      <c r="CE693" s="1683">
        <v>0</v>
      </c>
      <c r="CF693" s="1683">
        <v>0</v>
      </c>
      <c r="CG693" s="1683">
        <v>0</v>
      </c>
      <c r="CH693" s="1683">
        <v>0</v>
      </c>
      <c r="CI693" s="1683">
        <v>0</v>
      </c>
      <c r="CJ693" s="1683">
        <v>4592.62</v>
      </c>
      <c r="CK693" s="1683">
        <v>4592.62</v>
      </c>
      <c r="CL693" s="1682"/>
      <c r="CM693" s="1683">
        <v>0</v>
      </c>
      <c r="CN693" s="1683">
        <v>0</v>
      </c>
      <c r="CO693" s="1683">
        <v>0</v>
      </c>
      <c r="CP693" s="1683">
        <v>0</v>
      </c>
      <c r="CQ693" s="1683">
        <v>0</v>
      </c>
      <c r="CR693" s="1683">
        <v>0</v>
      </c>
      <c r="CS693" s="1683">
        <v>0</v>
      </c>
      <c r="CT693" s="1683">
        <v>0</v>
      </c>
      <c r="CU693" s="1683">
        <v>0</v>
      </c>
      <c r="CV693" s="1683">
        <v>0</v>
      </c>
      <c r="CW693" s="1682"/>
      <c r="CX693" s="1683">
        <v>0</v>
      </c>
      <c r="CY693" s="1683">
        <v>0</v>
      </c>
      <c r="CZ693" s="1683">
        <v>0</v>
      </c>
      <c r="DA693" s="1683">
        <v>0</v>
      </c>
      <c r="DB693" s="1682"/>
      <c r="DC693" s="1326"/>
      <c r="DD693" s="1683">
        <v>0</v>
      </c>
      <c r="DE693" s="1683">
        <v>0</v>
      </c>
      <c r="DF693" s="1683">
        <v>0</v>
      </c>
      <c r="DG693" s="1683">
        <v>0</v>
      </c>
      <c r="DH693" s="1683">
        <v>0</v>
      </c>
    </row>
    <row r="694" spans="1:112" ht="78.75">
      <c r="A694" s="1326" t="s">
        <v>4457</v>
      </c>
      <c r="B694" s="1326" t="s">
        <v>1706</v>
      </c>
      <c r="C694" s="1326" t="s">
        <v>2583</v>
      </c>
      <c r="D694" s="1326" t="s">
        <v>2584</v>
      </c>
      <c r="E694" s="1326" t="s">
        <v>1122</v>
      </c>
      <c r="F694" s="1326" t="s">
        <v>2563</v>
      </c>
      <c r="G694" s="1326" t="s">
        <v>2572</v>
      </c>
      <c r="H694" s="1326" t="s">
        <v>2573</v>
      </c>
      <c r="I694" s="1326" t="s">
        <v>1210</v>
      </c>
      <c r="J694" s="1326" t="s">
        <v>392</v>
      </c>
      <c r="K694" s="1326" t="s">
        <v>2069</v>
      </c>
      <c r="L694" s="1326" t="s">
        <v>2061</v>
      </c>
      <c r="M694" s="1400"/>
      <c r="N694" s="1400"/>
      <c r="O694" s="1400"/>
      <c r="P694" s="1400"/>
      <c r="Q694" s="1400"/>
      <c r="R694" s="1400"/>
      <c r="S694" s="1400"/>
      <c r="T694" s="1400"/>
      <c r="U694" s="1400"/>
      <c r="V694" s="1400"/>
      <c r="W694" s="1400"/>
      <c r="X694" s="1400"/>
      <c r="Y694" s="1685">
        <v>43180</v>
      </c>
      <c r="Z694" s="1326" t="s">
        <v>2096</v>
      </c>
      <c r="AA694" s="1683">
        <v>0</v>
      </c>
      <c r="AB694" s="1683">
        <v>0</v>
      </c>
      <c r="AC694" s="1683">
        <v>0</v>
      </c>
      <c r="AD694" s="1685">
        <v>43199</v>
      </c>
      <c r="AE694" s="1326" t="s">
        <v>2073</v>
      </c>
      <c r="AF694" s="1326" t="s">
        <v>2064</v>
      </c>
      <c r="AG694" s="1410"/>
      <c r="AH694" s="1683">
        <v>0</v>
      </c>
      <c r="AI694" s="1683">
        <v>41816.400000000001</v>
      </c>
      <c r="AJ694" s="1683">
        <v>41816.400000000001</v>
      </c>
      <c r="AK694" s="1683">
        <v>41816.400000000001</v>
      </c>
      <c r="AL694" s="1683">
        <v>0</v>
      </c>
      <c r="AM694" s="1682"/>
      <c r="AN694" s="1683">
        <v>0</v>
      </c>
      <c r="AO694" s="1683">
        <v>0</v>
      </c>
      <c r="AP694" s="1683">
        <v>0</v>
      </c>
      <c r="AQ694" s="1683">
        <v>0</v>
      </c>
      <c r="AR694" s="1683">
        <v>0</v>
      </c>
      <c r="AS694" s="1683">
        <v>0</v>
      </c>
      <c r="AT694" s="1683">
        <v>0</v>
      </c>
      <c r="AU694" s="1683">
        <v>0</v>
      </c>
      <c r="AV694" s="1683">
        <v>0</v>
      </c>
      <c r="AW694" s="1683">
        <v>0</v>
      </c>
      <c r="AX694" s="1400"/>
      <c r="AY694" s="1400"/>
      <c r="AZ694" s="1400"/>
      <c r="BA694" s="1682"/>
      <c r="BB694" s="1682"/>
      <c r="BC694" s="1400"/>
      <c r="BD694" s="1400"/>
      <c r="BE694" s="1683">
        <v>0</v>
      </c>
      <c r="BF694" s="1683">
        <v>0</v>
      </c>
      <c r="BG694" s="1683">
        <v>0</v>
      </c>
      <c r="BH694" s="1683">
        <v>0</v>
      </c>
      <c r="BI694" s="1683">
        <v>0</v>
      </c>
      <c r="BJ694" s="1683">
        <v>0</v>
      </c>
      <c r="BK694" s="1683">
        <v>0</v>
      </c>
      <c r="BL694" s="1683">
        <v>0</v>
      </c>
      <c r="BM694" s="1683">
        <v>0</v>
      </c>
      <c r="BN694" s="1683">
        <v>0</v>
      </c>
      <c r="BO694" s="1682"/>
      <c r="BP694" s="1683">
        <v>0</v>
      </c>
      <c r="BQ694" s="1683">
        <v>0</v>
      </c>
      <c r="BR694" s="1683">
        <v>0</v>
      </c>
      <c r="BS694" s="1683">
        <v>0</v>
      </c>
      <c r="BT694" s="1683">
        <v>0</v>
      </c>
      <c r="BU694" s="1683">
        <v>0</v>
      </c>
      <c r="BV694" s="1683">
        <v>0</v>
      </c>
      <c r="BW694" s="1683">
        <v>0</v>
      </c>
      <c r="BX694" s="1683">
        <v>0</v>
      </c>
      <c r="BY694" s="1683">
        <v>0</v>
      </c>
      <c r="BZ694" s="1400"/>
      <c r="CA694" s="1400"/>
      <c r="CB694" s="1682"/>
      <c r="CC694" s="1682"/>
      <c r="CD694" s="1400"/>
      <c r="CE694" s="1400"/>
      <c r="CF694" s="1683">
        <v>0</v>
      </c>
      <c r="CG694" s="1683">
        <v>0</v>
      </c>
      <c r="CH694" s="1683">
        <v>0</v>
      </c>
      <c r="CI694" s="1683">
        <v>0</v>
      </c>
      <c r="CJ694" s="1683">
        <v>0</v>
      </c>
      <c r="CK694" s="1683">
        <v>0</v>
      </c>
      <c r="CL694" s="1682"/>
      <c r="CM694" s="1683">
        <v>0</v>
      </c>
      <c r="CN694" s="1683">
        <v>0</v>
      </c>
      <c r="CO694" s="1683">
        <v>0</v>
      </c>
      <c r="CP694" s="1683">
        <v>0</v>
      </c>
      <c r="CQ694" s="1683">
        <v>0</v>
      </c>
      <c r="CR694" s="1683">
        <v>0</v>
      </c>
      <c r="CS694" s="1683">
        <v>0</v>
      </c>
      <c r="CT694" s="1683">
        <v>0</v>
      </c>
      <c r="CU694" s="1683">
        <v>0</v>
      </c>
      <c r="CV694" s="1683">
        <v>0</v>
      </c>
      <c r="CW694" s="1682"/>
      <c r="CX694" s="1400"/>
      <c r="CY694" s="1400"/>
      <c r="CZ694" s="1400"/>
      <c r="DA694" s="1400"/>
      <c r="DB694" s="1682"/>
      <c r="DC694" s="1326"/>
      <c r="DD694" s="1683">
        <v>0</v>
      </c>
      <c r="DE694" s="1400"/>
      <c r="DF694" s="1400"/>
      <c r="DG694" s="1683">
        <v>0</v>
      </c>
      <c r="DH694" s="1683">
        <v>0</v>
      </c>
    </row>
    <row r="695" spans="1:112" ht="78.75">
      <c r="A695" s="1326" t="s">
        <v>4458</v>
      </c>
      <c r="B695" s="1326" t="s">
        <v>1706</v>
      </c>
      <c r="C695" s="1326" t="s">
        <v>2583</v>
      </c>
      <c r="D695" s="1326" t="s">
        <v>2584</v>
      </c>
      <c r="E695" s="1326" t="s">
        <v>1122</v>
      </c>
      <c r="F695" s="1326" t="s">
        <v>2563</v>
      </c>
      <c r="G695" s="1326" t="s">
        <v>2572</v>
      </c>
      <c r="H695" s="1326" t="s">
        <v>2573</v>
      </c>
      <c r="I695" s="1326" t="s">
        <v>1210</v>
      </c>
      <c r="J695" s="1326" t="s">
        <v>392</v>
      </c>
      <c r="K695" s="1326" t="s">
        <v>2069</v>
      </c>
      <c r="L695" s="1326" t="s">
        <v>2061</v>
      </c>
      <c r="M695" s="1400"/>
      <c r="N695" s="1400"/>
      <c r="O695" s="1400"/>
      <c r="P695" s="1400"/>
      <c r="Q695" s="1400"/>
      <c r="R695" s="1400"/>
      <c r="S695" s="1400"/>
      <c r="T695" s="1400"/>
      <c r="U695" s="1400"/>
      <c r="V695" s="1400"/>
      <c r="W695" s="1400"/>
      <c r="X695" s="1400"/>
      <c r="Y695" s="1685">
        <v>43237</v>
      </c>
      <c r="Z695" s="1326" t="s">
        <v>2062</v>
      </c>
      <c r="AA695" s="1683">
        <v>0</v>
      </c>
      <c r="AB695" s="1683">
        <v>0</v>
      </c>
      <c r="AC695" s="1683">
        <v>0</v>
      </c>
      <c r="AD695" s="1685">
        <v>43270</v>
      </c>
      <c r="AE695" s="1326" t="s">
        <v>2063</v>
      </c>
      <c r="AF695" s="1326" t="s">
        <v>2067</v>
      </c>
      <c r="AG695" s="1410"/>
      <c r="AH695" s="1683">
        <v>27628.25</v>
      </c>
      <c r="AI695" s="1683">
        <v>27628.25</v>
      </c>
      <c r="AJ695" s="1683">
        <v>23483.87</v>
      </c>
      <c r="AK695" s="1683">
        <v>23483.87</v>
      </c>
      <c r="AL695" s="1683">
        <v>0</v>
      </c>
      <c r="AM695" s="1685">
        <v>43271</v>
      </c>
      <c r="AN695" s="1683">
        <v>27628.25</v>
      </c>
      <c r="AO695" s="1683">
        <v>27628.25</v>
      </c>
      <c r="AP695" s="1683">
        <v>23483.87</v>
      </c>
      <c r="AQ695" s="1683">
        <v>23483.87</v>
      </c>
      <c r="AR695" s="1683">
        <v>0</v>
      </c>
      <c r="AS695" s="1683">
        <v>4144.38</v>
      </c>
      <c r="AT695" s="1683">
        <v>0</v>
      </c>
      <c r="AU695" s="1683">
        <v>4144.38</v>
      </c>
      <c r="AV695" s="1683">
        <v>0</v>
      </c>
      <c r="AW695" s="1683">
        <v>0</v>
      </c>
      <c r="AX695" s="1400"/>
      <c r="AY695" s="1400"/>
      <c r="AZ695" s="1400"/>
      <c r="BA695" s="1682"/>
      <c r="BB695" s="1682"/>
      <c r="BC695" s="1400"/>
      <c r="BD695" s="1400"/>
      <c r="BE695" s="1683">
        <v>27628.25</v>
      </c>
      <c r="BF695" s="1683">
        <v>27628.25</v>
      </c>
      <c r="BG695" s="1683">
        <v>23483.87</v>
      </c>
      <c r="BH695" s="1683">
        <v>23483.87</v>
      </c>
      <c r="BI695" s="1683">
        <v>0</v>
      </c>
      <c r="BJ695" s="1683">
        <v>4144.38</v>
      </c>
      <c r="BK695" s="1683">
        <v>0</v>
      </c>
      <c r="BL695" s="1683">
        <v>4144.38</v>
      </c>
      <c r="BM695" s="1683">
        <v>0</v>
      </c>
      <c r="BN695" s="1683">
        <v>0</v>
      </c>
      <c r="BO695" s="1685">
        <v>43364</v>
      </c>
      <c r="BP695" s="1683">
        <v>27628.25</v>
      </c>
      <c r="BQ695" s="1683">
        <v>27628.25</v>
      </c>
      <c r="BR695" s="1683">
        <v>23483.87</v>
      </c>
      <c r="BS695" s="1683">
        <v>23483.87</v>
      </c>
      <c r="BT695" s="1683">
        <v>0</v>
      </c>
      <c r="BU695" s="1683">
        <v>4144.38</v>
      </c>
      <c r="BV695" s="1683">
        <v>0</v>
      </c>
      <c r="BW695" s="1683">
        <v>0</v>
      </c>
      <c r="BX695" s="1683">
        <v>0</v>
      </c>
      <c r="BY695" s="1683">
        <v>0</v>
      </c>
      <c r="BZ695" s="1683">
        <v>0</v>
      </c>
      <c r="CA695" s="1400"/>
      <c r="CB695" s="1682"/>
      <c r="CC695" s="1682"/>
      <c r="CD695" s="1400"/>
      <c r="CE695" s="1400"/>
      <c r="CF695" s="1683">
        <v>0</v>
      </c>
      <c r="CG695" s="1683">
        <v>0</v>
      </c>
      <c r="CH695" s="1683">
        <v>0</v>
      </c>
      <c r="CI695" s="1683">
        <v>0</v>
      </c>
      <c r="CJ695" s="1683">
        <v>3549.25</v>
      </c>
      <c r="CK695" s="1683">
        <v>3549.25</v>
      </c>
      <c r="CL695" s="1682"/>
      <c r="CM695" s="1683">
        <v>0</v>
      </c>
      <c r="CN695" s="1683">
        <v>0</v>
      </c>
      <c r="CO695" s="1683">
        <v>0</v>
      </c>
      <c r="CP695" s="1683">
        <v>0</v>
      </c>
      <c r="CQ695" s="1683">
        <v>0</v>
      </c>
      <c r="CR695" s="1683">
        <v>0</v>
      </c>
      <c r="CS695" s="1683">
        <v>0</v>
      </c>
      <c r="CT695" s="1683">
        <v>0</v>
      </c>
      <c r="CU695" s="1683">
        <v>0</v>
      </c>
      <c r="CV695" s="1683">
        <v>0</v>
      </c>
      <c r="CW695" s="1682"/>
      <c r="CX695" s="1400"/>
      <c r="CY695" s="1400"/>
      <c r="CZ695" s="1400"/>
      <c r="DA695" s="1400"/>
      <c r="DB695" s="1682"/>
      <c r="DC695" s="1326"/>
      <c r="DD695" s="1683">
        <v>0</v>
      </c>
      <c r="DE695" s="1400"/>
      <c r="DF695" s="1400"/>
      <c r="DG695" s="1683">
        <v>0</v>
      </c>
      <c r="DH695" s="1683">
        <v>0</v>
      </c>
    </row>
    <row r="696" spans="1:112" ht="78.75">
      <c r="A696" s="1326" t="s">
        <v>4459</v>
      </c>
      <c r="B696" s="1326" t="s">
        <v>1706</v>
      </c>
      <c r="C696" s="1326" t="s">
        <v>2583</v>
      </c>
      <c r="D696" s="1326" t="s">
        <v>2584</v>
      </c>
      <c r="E696" s="1326" t="s">
        <v>1122</v>
      </c>
      <c r="F696" s="1326" t="s">
        <v>2563</v>
      </c>
      <c r="G696" s="1326" t="s">
        <v>2572</v>
      </c>
      <c r="H696" s="1326" t="s">
        <v>2573</v>
      </c>
      <c r="I696" s="1326" t="s">
        <v>1210</v>
      </c>
      <c r="J696" s="1326" t="s">
        <v>392</v>
      </c>
      <c r="K696" s="1326" t="s">
        <v>2069</v>
      </c>
      <c r="L696" s="1326" t="s">
        <v>2061</v>
      </c>
      <c r="M696" s="1400"/>
      <c r="N696" s="1400"/>
      <c r="O696" s="1400"/>
      <c r="P696" s="1400"/>
      <c r="Q696" s="1400"/>
      <c r="R696" s="1400"/>
      <c r="S696" s="1400"/>
      <c r="T696" s="1400"/>
      <c r="U696" s="1400"/>
      <c r="V696" s="1400"/>
      <c r="W696" s="1400"/>
      <c r="X696" s="1400"/>
      <c r="Y696" s="1685">
        <v>43237</v>
      </c>
      <c r="Z696" s="1326" t="s">
        <v>2062</v>
      </c>
      <c r="AA696" s="1683">
        <v>0</v>
      </c>
      <c r="AB696" s="1683">
        <v>0</v>
      </c>
      <c r="AC696" s="1683">
        <v>0</v>
      </c>
      <c r="AD696" s="1685">
        <v>43270</v>
      </c>
      <c r="AE696" s="1326" t="s">
        <v>2063</v>
      </c>
      <c r="AF696" s="1326" t="s">
        <v>2064</v>
      </c>
      <c r="AG696" s="1410"/>
      <c r="AH696" s="1683">
        <v>8121.87</v>
      </c>
      <c r="AI696" s="1683">
        <v>8121.87</v>
      </c>
      <c r="AJ696" s="1683">
        <v>6903.55</v>
      </c>
      <c r="AK696" s="1683">
        <v>6903.55</v>
      </c>
      <c r="AL696" s="1683">
        <v>0</v>
      </c>
      <c r="AM696" s="1685">
        <v>43270</v>
      </c>
      <c r="AN696" s="1683">
        <v>8121.87</v>
      </c>
      <c r="AO696" s="1683">
        <v>8121.87</v>
      </c>
      <c r="AP696" s="1683">
        <v>6903.55</v>
      </c>
      <c r="AQ696" s="1683">
        <v>6903.55</v>
      </c>
      <c r="AR696" s="1683">
        <v>0</v>
      </c>
      <c r="AS696" s="1683">
        <v>1218.32</v>
      </c>
      <c r="AT696" s="1683">
        <v>0</v>
      </c>
      <c r="AU696" s="1683">
        <v>1218.32</v>
      </c>
      <c r="AV696" s="1683">
        <v>0</v>
      </c>
      <c r="AW696" s="1683">
        <v>0</v>
      </c>
      <c r="AX696" s="1400"/>
      <c r="AY696" s="1400"/>
      <c r="AZ696" s="1400"/>
      <c r="BA696" s="1682"/>
      <c r="BB696" s="1682"/>
      <c r="BC696" s="1400"/>
      <c r="BD696" s="1400"/>
      <c r="BE696" s="1683">
        <v>8121.87</v>
      </c>
      <c r="BF696" s="1683">
        <v>8121.87</v>
      </c>
      <c r="BG696" s="1683">
        <v>6903.55</v>
      </c>
      <c r="BH696" s="1683">
        <v>6903.55</v>
      </c>
      <c r="BI696" s="1683">
        <v>0</v>
      </c>
      <c r="BJ696" s="1683">
        <v>1218.32</v>
      </c>
      <c r="BK696" s="1683">
        <v>0</v>
      </c>
      <c r="BL696" s="1683">
        <v>1218.32</v>
      </c>
      <c r="BM696" s="1683">
        <v>0</v>
      </c>
      <c r="BN696" s="1683">
        <v>0</v>
      </c>
      <c r="BO696" s="1685">
        <v>43364</v>
      </c>
      <c r="BP696" s="1683">
        <v>8121.87</v>
      </c>
      <c r="BQ696" s="1683">
        <v>8121.87</v>
      </c>
      <c r="BR696" s="1683">
        <v>6903.55</v>
      </c>
      <c r="BS696" s="1683">
        <v>6903.55</v>
      </c>
      <c r="BT696" s="1683">
        <v>0</v>
      </c>
      <c r="BU696" s="1683">
        <v>1218.32</v>
      </c>
      <c r="BV696" s="1683">
        <v>0</v>
      </c>
      <c r="BW696" s="1683">
        <v>0</v>
      </c>
      <c r="BX696" s="1683">
        <v>0</v>
      </c>
      <c r="BY696" s="1683">
        <v>0</v>
      </c>
      <c r="BZ696" s="1683">
        <v>0</v>
      </c>
      <c r="CA696" s="1400"/>
      <c r="CB696" s="1682"/>
      <c r="CC696" s="1682"/>
      <c r="CD696" s="1400"/>
      <c r="CE696" s="1400"/>
      <c r="CF696" s="1683">
        <v>0</v>
      </c>
      <c r="CG696" s="1683">
        <v>0</v>
      </c>
      <c r="CH696" s="1683">
        <v>0</v>
      </c>
      <c r="CI696" s="1683">
        <v>0</v>
      </c>
      <c r="CJ696" s="1683">
        <v>1043.3699999999999</v>
      </c>
      <c r="CK696" s="1683">
        <v>1043.3699999999999</v>
      </c>
      <c r="CL696" s="1682"/>
      <c r="CM696" s="1683">
        <v>0</v>
      </c>
      <c r="CN696" s="1683">
        <v>0</v>
      </c>
      <c r="CO696" s="1683">
        <v>0</v>
      </c>
      <c r="CP696" s="1683">
        <v>0</v>
      </c>
      <c r="CQ696" s="1683">
        <v>0</v>
      </c>
      <c r="CR696" s="1683">
        <v>0</v>
      </c>
      <c r="CS696" s="1683">
        <v>0</v>
      </c>
      <c r="CT696" s="1683">
        <v>0</v>
      </c>
      <c r="CU696" s="1683">
        <v>0</v>
      </c>
      <c r="CV696" s="1683">
        <v>0</v>
      </c>
      <c r="CW696" s="1682"/>
      <c r="CX696" s="1400"/>
      <c r="CY696" s="1400"/>
      <c r="CZ696" s="1400"/>
      <c r="DA696" s="1400"/>
      <c r="DB696" s="1682"/>
      <c r="DC696" s="1326"/>
      <c r="DD696" s="1683">
        <v>0</v>
      </c>
      <c r="DE696" s="1400"/>
      <c r="DF696" s="1400"/>
      <c r="DG696" s="1683">
        <v>0</v>
      </c>
      <c r="DH696" s="1683">
        <v>0</v>
      </c>
    </row>
    <row r="697" spans="1:112" ht="78.75">
      <c r="A697" s="1326" t="s">
        <v>4460</v>
      </c>
      <c r="B697" s="1326" t="s">
        <v>1706</v>
      </c>
      <c r="C697" s="1326" t="s">
        <v>2583</v>
      </c>
      <c r="D697" s="1326" t="s">
        <v>2584</v>
      </c>
      <c r="E697" s="1326" t="s">
        <v>1122</v>
      </c>
      <c r="F697" s="1326" t="s">
        <v>2563</v>
      </c>
      <c r="G697" s="1326" t="s">
        <v>2572</v>
      </c>
      <c r="H697" s="1326" t="s">
        <v>2573</v>
      </c>
      <c r="I697" s="1326" t="s">
        <v>1210</v>
      </c>
      <c r="J697" s="1326" t="s">
        <v>392</v>
      </c>
      <c r="K697" s="1326" t="s">
        <v>2069</v>
      </c>
      <c r="L697" s="1326" t="s">
        <v>2061</v>
      </c>
      <c r="M697" s="1400"/>
      <c r="N697" s="1400"/>
      <c r="O697" s="1400"/>
      <c r="P697" s="1400"/>
      <c r="Q697" s="1400"/>
      <c r="R697" s="1400"/>
      <c r="S697" s="1400"/>
      <c r="T697" s="1400"/>
      <c r="U697" s="1400"/>
      <c r="V697" s="1400"/>
      <c r="W697" s="1400"/>
      <c r="X697" s="1400"/>
      <c r="Y697" s="1685">
        <v>43418</v>
      </c>
      <c r="Z697" s="1326" t="s">
        <v>2062</v>
      </c>
      <c r="AA697" s="1683">
        <v>0</v>
      </c>
      <c r="AB697" s="1683">
        <v>0</v>
      </c>
      <c r="AC697" s="1683">
        <v>0</v>
      </c>
      <c r="AD697" s="1685">
        <v>43446</v>
      </c>
      <c r="AE697" s="1326" t="s">
        <v>2079</v>
      </c>
      <c r="AF697" s="1326" t="s">
        <v>2064</v>
      </c>
      <c r="AG697" s="1410"/>
      <c r="AH697" s="1683">
        <v>16270.59</v>
      </c>
      <c r="AI697" s="1683">
        <v>16270.59</v>
      </c>
      <c r="AJ697" s="1683">
        <v>13829.91</v>
      </c>
      <c r="AK697" s="1683">
        <v>13829.91</v>
      </c>
      <c r="AL697" s="1683">
        <v>0</v>
      </c>
      <c r="AM697" s="1685">
        <v>43446</v>
      </c>
      <c r="AN697" s="1683">
        <v>16270.59</v>
      </c>
      <c r="AO697" s="1683">
        <v>16270.59</v>
      </c>
      <c r="AP697" s="1683">
        <v>13829.91</v>
      </c>
      <c r="AQ697" s="1683">
        <v>13829.91</v>
      </c>
      <c r="AR697" s="1683">
        <v>0</v>
      </c>
      <c r="AS697" s="1683">
        <v>2440.6799999999998</v>
      </c>
      <c r="AT697" s="1683">
        <v>0</v>
      </c>
      <c r="AU697" s="1683">
        <v>2440.6799999999998</v>
      </c>
      <c r="AV697" s="1683">
        <v>0</v>
      </c>
      <c r="AW697" s="1683">
        <v>0</v>
      </c>
      <c r="AX697" s="1400"/>
      <c r="AY697" s="1400"/>
      <c r="AZ697" s="1400"/>
      <c r="BA697" s="1682"/>
      <c r="BB697" s="1682"/>
      <c r="BC697" s="1400"/>
      <c r="BD697" s="1400"/>
      <c r="BE697" s="1683">
        <v>16270.59</v>
      </c>
      <c r="BF697" s="1683">
        <v>16270.59</v>
      </c>
      <c r="BG697" s="1683">
        <v>13829.91</v>
      </c>
      <c r="BH697" s="1683">
        <v>13829.91</v>
      </c>
      <c r="BI697" s="1683">
        <v>0</v>
      </c>
      <c r="BJ697" s="1683">
        <v>2440.6799999999998</v>
      </c>
      <c r="BK697" s="1683">
        <v>0</v>
      </c>
      <c r="BL697" s="1683">
        <v>2440.6799999999998</v>
      </c>
      <c r="BM697" s="1683">
        <v>0</v>
      </c>
      <c r="BN697" s="1683">
        <v>0</v>
      </c>
      <c r="BO697" s="1682"/>
      <c r="BP697" s="1683">
        <v>0</v>
      </c>
      <c r="BQ697" s="1683">
        <v>0</v>
      </c>
      <c r="BR697" s="1683">
        <v>0</v>
      </c>
      <c r="BS697" s="1683">
        <v>0</v>
      </c>
      <c r="BT697" s="1683">
        <v>0</v>
      </c>
      <c r="BU697" s="1683">
        <v>0</v>
      </c>
      <c r="BV697" s="1683">
        <v>0</v>
      </c>
      <c r="BW697" s="1683">
        <v>0</v>
      </c>
      <c r="BX697" s="1683">
        <v>0</v>
      </c>
      <c r="BY697" s="1683">
        <v>0</v>
      </c>
      <c r="BZ697" s="1683">
        <v>0</v>
      </c>
      <c r="CA697" s="1400"/>
      <c r="CB697" s="1682"/>
      <c r="CC697" s="1682"/>
      <c r="CD697" s="1400"/>
      <c r="CE697" s="1400"/>
      <c r="CF697" s="1683">
        <v>0</v>
      </c>
      <c r="CG697" s="1683">
        <v>0</v>
      </c>
      <c r="CH697" s="1683">
        <v>0</v>
      </c>
      <c r="CI697" s="1683">
        <v>0</v>
      </c>
      <c r="CJ697" s="1683">
        <v>0</v>
      </c>
      <c r="CK697" s="1683">
        <v>0</v>
      </c>
      <c r="CL697" s="1682"/>
      <c r="CM697" s="1683">
        <v>0</v>
      </c>
      <c r="CN697" s="1683">
        <v>0</v>
      </c>
      <c r="CO697" s="1683">
        <v>0</v>
      </c>
      <c r="CP697" s="1683">
        <v>0</v>
      </c>
      <c r="CQ697" s="1683">
        <v>0</v>
      </c>
      <c r="CR697" s="1683">
        <v>0</v>
      </c>
      <c r="CS697" s="1683">
        <v>0</v>
      </c>
      <c r="CT697" s="1683">
        <v>0</v>
      </c>
      <c r="CU697" s="1683">
        <v>0</v>
      </c>
      <c r="CV697" s="1683">
        <v>0</v>
      </c>
      <c r="CW697" s="1682"/>
      <c r="CX697" s="1400"/>
      <c r="CY697" s="1400"/>
      <c r="CZ697" s="1400"/>
      <c r="DA697" s="1400"/>
      <c r="DB697" s="1682"/>
      <c r="DC697" s="1326"/>
      <c r="DD697" s="1683">
        <v>0</v>
      </c>
      <c r="DE697" s="1400"/>
      <c r="DF697" s="1400"/>
      <c r="DG697" s="1683">
        <v>0</v>
      </c>
      <c r="DH697" s="1683">
        <v>0</v>
      </c>
    </row>
    <row r="698" spans="1:112" ht="45">
      <c r="A698" s="1326" t="s">
        <v>4461</v>
      </c>
      <c r="B698" s="1326" t="s">
        <v>1706</v>
      </c>
      <c r="C698" s="1326" t="s">
        <v>2583</v>
      </c>
      <c r="D698" s="1326" t="s">
        <v>2584</v>
      </c>
      <c r="E698" s="1326" t="s">
        <v>1122</v>
      </c>
      <c r="F698" s="1326" t="s">
        <v>2563</v>
      </c>
      <c r="G698" s="1326" t="s">
        <v>2572</v>
      </c>
      <c r="H698" s="1326" t="s">
        <v>2573</v>
      </c>
      <c r="I698" s="1326" t="s">
        <v>1610</v>
      </c>
      <c r="J698" s="1326" t="s">
        <v>391</v>
      </c>
      <c r="K698" s="1326" t="s">
        <v>2077</v>
      </c>
      <c r="L698" s="1326" t="s">
        <v>2061</v>
      </c>
      <c r="M698" s="1683">
        <v>192832.21</v>
      </c>
      <c r="N698" s="1683">
        <v>0</v>
      </c>
      <c r="O698" s="1683">
        <v>192832.21</v>
      </c>
      <c r="P698" s="1683">
        <v>192832.21</v>
      </c>
      <c r="Q698" s="1683">
        <v>163907.37</v>
      </c>
      <c r="R698" s="1683">
        <v>163907.37</v>
      </c>
      <c r="S698" s="1683">
        <v>0</v>
      </c>
      <c r="T698" s="1683">
        <v>28924.84</v>
      </c>
      <c r="U698" s="1683">
        <v>0</v>
      </c>
      <c r="V698" s="1683">
        <v>28924.84</v>
      </c>
      <c r="W698" s="1683">
        <v>0</v>
      </c>
      <c r="X698" s="1683">
        <v>0</v>
      </c>
      <c r="Y698" s="1682"/>
      <c r="Z698" s="1326"/>
      <c r="AA698" s="1683">
        <v>0</v>
      </c>
      <c r="AB698" s="1683">
        <v>0</v>
      </c>
      <c r="AC698" s="1683">
        <v>0</v>
      </c>
      <c r="AD698" s="1682"/>
      <c r="AE698" s="1326"/>
      <c r="AF698" s="1326"/>
      <c r="AG698" s="1410"/>
      <c r="AH698" s="1683">
        <v>33340.54</v>
      </c>
      <c r="AI698" s="1683">
        <v>33340.54</v>
      </c>
      <c r="AJ698" s="1683">
        <v>28339.46</v>
      </c>
      <c r="AK698" s="1683">
        <v>28339.46</v>
      </c>
      <c r="AL698" s="1683">
        <v>0</v>
      </c>
      <c r="AM698" s="1682"/>
      <c r="AN698" s="1683">
        <v>33340.54</v>
      </c>
      <c r="AO698" s="1683">
        <v>33340.54</v>
      </c>
      <c r="AP698" s="1683">
        <v>28339.46</v>
      </c>
      <c r="AQ698" s="1683">
        <v>28339.46</v>
      </c>
      <c r="AR698" s="1683">
        <v>0</v>
      </c>
      <c r="AS698" s="1683">
        <v>5001.08</v>
      </c>
      <c r="AT698" s="1683">
        <v>0</v>
      </c>
      <c r="AU698" s="1683">
        <v>5001.08</v>
      </c>
      <c r="AV698" s="1683">
        <v>0</v>
      </c>
      <c r="AW698" s="1683">
        <v>0</v>
      </c>
      <c r="AX698" s="1683">
        <v>0</v>
      </c>
      <c r="AY698" s="1683">
        <v>0</v>
      </c>
      <c r="AZ698" s="1683">
        <v>0</v>
      </c>
      <c r="BA698" s="1682"/>
      <c r="BB698" s="1682"/>
      <c r="BC698" s="1683">
        <v>0</v>
      </c>
      <c r="BD698" s="1683">
        <v>0</v>
      </c>
      <c r="BE698" s="1683">
        <v>33340.54</v>
      </c>
      <c r="BF698" s="1683">
        <v>33340.54</v>
      </c>
      <c r="BG698" s="1683">
        <v>28339.46</v>
      </c>
      <c r="BH698" s="1683">
        <v>28339.46</v>
      </c>
      <c r="BI698" s="1683">
        <v>0</v>
      </c>
      <c r="BJ698" s="1683">
        <v>5001.08</v>
      </c>
      <c r="BK698" s="1683">
        <v>0</v>
      </c>
      <c r="BL698" s="1683">
        <v>5001.08</v>
      </c>
      <c r="BM698" s="1683">
        <v>0</v>
      </c>
      <c r="BN698" s="1683">
        <v>0</v>
      </c>
      <c r="BO698" s="1682"/>
      <c r="BP698" s="1683">
        <v>5052.58</v>
      </c>
      <c r="BQ698" s="1683">
        <v>5052.58</v>
      </c>
      <c r="BR698" s="1683">
        <v>4294.6899999999996</v>
      </c>
      <c r="BS698" s="1683">
        <v>4294.6899999999996</v>
      </c>
      <c r="BT698" s="1683">
        <v>0</v>
      </c>
      <c r="BU698" s="1683">
        <v>757.89</v>
      </c>
      <c r="BV698" s="1683">
        <v>0</v>
      </c>
      <c r="BW698" s="1683">
        <v>0</v>
      </c>
      <c r="BX698" s="1683">
        <v>0</v>
      </c>
      <c r="BY698" s="1683">
        <v>0</v>
      </c>
      <c r="BZ698" s="1683">
        <v>0</v>
      </c>
      <c r="CA698" s="1683">
        <v>0</v>
      </c>
      <c r="CB698" s="1682"/>
      <c r="CC698" s="1682"/>
      <c r="CD698" s="1683">
        <v>0</v>
      </c>
      <c r="CE698" s="1683">
        <v>0</v>
      </c>
      <c r="CF698" s="1683">
        <v>0</v>
      </c>
      <c r="CG698" s="1683">
        <v>0</v>
      </c>
      <c r="CH698" s="1683">
        <v>0</v>
      </c>
      <c r="CI698" s="1683">
        <v>0</v>
      </c>
      <c r="CJ698" s="1683">
        <v>591.38</v>
      </c>
      <c r="CK698" s="1683">
        <v>591.38</v>
      </c>
      <c r="CL698" s="1682"/>
      <c r="CM698" s="1683">
        <v>0</v>
      </c>
      <c r="CN698" s="1683">
        <v>0</v>
      </c>
      <c r="CO698" s="1683">
        <v>0</v>
      </c>
      <c r="CP698" s="1683">
        <v>0</v>
      </c>
      <c r="CQ698" s="1683">
        <v>0</v>
      </c>
      <c r="CR698" s="1683">
        <v>0</v>
      </c>
      <c r="CS698" s="1683">
        <v>0</v>
      </c>
      <c r="CT698" s="1683">
        <v>0</v>
      </c>
      <c r="CU698" s="1683">
        <v>0</v>
      </c>
      <c r="CV698" s="1683">
        <v>0</v>
      </c>
      <c r="CW698" s="1682"/>
      <c r="CX698" s="1683">
        <v>0</v>
      </c>
      <c r="CY698" s="1683">
        <v>0</v>
      </c>
      <c r="CZ698" s="1683">
        <v>0</v>
      </c>
      <c r="DA698" s="1683">
        <v>0</v>
      </c>
      <c r="DB698" s="1682"/>
      <c r="DC698" s="1326"/>
      <c r="DD698" s="1683">
        <v>0</v>
      </c>
      <c r="DE698" s="1683">
        <v>0</v>
      </c>
      <c r="DF698" s="1683">
        <v>0</v>
      </c>
      <c r="DG698" s="1683">
        <v>0</v>
      </c>
      <c r="DH698" s="1683">
        <v>0</v>
      </c>
    </row>
    <row r="699" spans="1:112" ht="45">
      <c r="A699" s="1326" t="s">
        <v>4462</v>
      </c>
      <c r="B699" s="1326" t="s">
        <v>1706</v>
      </c>
      <c r="C699" s="1326" t="s">
        <v>2583</v>
      </c>
      <c r="D699" s="1326" t="s">
        <v>2584</v>
      </c>
      <c r="E699" s="1326" t="s">
        <v>1122</v>
      </c>
      <c r="F699" s="1326" t="s">
        <v>2563</v>
      </c>
      <c r="G699" s="1326" t="s">
        <v>2572</v>
      </c>
      <c r="H699" s="1326" t="s">
        <v>2573</v>
      </c>
      <c r="I699" s="1326" t="s">
        <v>1610</v>
      </c>
      <c r="J699" s="1326" t="s">
        <v>391</v>
      </c>
      <c r="K699" s="1326" t="s">
        <v>2077</v>
      </c>
      <c r="L699" s="1326" t="s">
        <v>2061</v>
      </c>
      <c r="M699" s="1400"/>
      <c r="N699" s="1400"/>
      <c r="O699" s="1400"/>
      <c r="P699" s="1400"/>
      <c r="Q699" s="1400"/>
      <c r="R699" s="1400"/>
      <c r="S699" s="1400"/>
      <c r="T699" s="1400"/>
      <c r="U699" s="1400"/>
      <c r="V699" s="1400"/>
      <c r="W699" s="1400"/>
      <c r="X699" s="1400"/>
      <c r="Y699" s="1685">
        <v>43308</v>
      </c>
      <c r="Z699" s="1326" t="s">
        <v>2062</v>
      </c>
      <c r="AA699" s="1683">
        <v>0</v>
      </c>
      <c r="AB699" s="1683">
        <v>0</v>
      </c>
      <c r="AC699" s="1683">
        <v>0</v>
      </c>
      <c r="AD699" s="1685">
        <v>43329</v>
      </c>
      <c r="AE699" s="1326" t="s">
        <v>2073</v>
      </c>
      <c r="AF699" s="1326" t="s">
        <v>2064</v>
      </c>
      <c r="AG699" s="1410"/>
      <c r="AH699" s="1683">
        <v>3057.91</v>
      </c>
      <c r="AI699" s="1683">
        <v>3057.91</v>
      </c>
      <c r="AJ699" s="1683">
        <v>2599.2199999999998</v>
      </c>
      <c r="AK699" s="1683">
        <v>2599.2199999999998</v>
      </c>
      <c r="AL699" s="1683">
        <v>0</v>
      </c>
      <c r="AM699" s="1685">
        <v>43329</v>
      </c>
      <c r="AN699" s="1683">
        <v>3057.91</v>
      </c>
      <c r="AO699" s="1683">
        <v>3057.91</v>
      </c>
      <c r="AP699" s="1683">
        <v>2599.2199999999998</v>
      </c>
      <c r="AQ699" s="1683">
        <v>2599.2199999999998</v>
      </c>
      <c r="AR699" s="1683">
        <v>0</v>
      </c>
      <c r="AS699" s="1683">
        <v>458.69</v>
      </c>
      <c r="AT699" s="1683">
        <v>0</v>
      </c>
      <c r="AU699" s="1683">
        <v>458.69</v>
      </c>
      <c r="AV699" s="1683">
        <v>0</v>
      </c>
      <c r="AW699" s="1683">
        <v>0</v>
      </c>
      <c r="AX699" s="1400"/>
      <c r="AY699" s="1400"/>
      <c r="AZ699" s="1400"/>
      <c r="BA699" s="1682"/>
      <c r="BB699" s="1682"/>
      <c r="BC699" s="1400"/>
      <c r="BD699" s="1400"/>
      <c r="BE699" s="1683">
        <v>3057.91</v>
      </c>
      <c r="BF699" s="1683">
        <v>3057.91</v>
      </c>
      <c r="BG699" s="1683">
        <v>2599.2199999999998</v>
      </c>
      <c r="BH699" s="1683">
        <v>2599.2199999999998</v>
      </c>
      <c r="BI699" s="1683">
        <v>0</v>
      </c>
      <c r="BJ699" s="1683">
        <v>458.69</v>
      </c>
      <c r="BK699" s="1683">
        <v>0</v>
      </c>
      <c r="BL699" s="1683">
        <v>458.69</v>
      </c>
      <c r="BM699" s="1683">
        <v>0</v>
      </c>
      <c r="BN699" s="1683">
        <v>0</v>
      </c>
      <c r="BO699" s="1685">
        <v>43404</v>
      </c>
      <c r="BP699" s="1683">
        <v>3057.91</v>
      </c>
      <c r="BQ699" s="1683">
        <v>3057.91</v>
      </c>
      <c r="BR699" s="1683">
        <v>2599.2199999999998</v>
      </c>
      <c r="BS699" s="1683">
        <v>2599.2199999999998</v>
      </c>
      <c r="BT699" s="1683">
        <v>0</v>
      </c>
      <c r="BU699" s="1683">
        <v>458.69</v>
      </c>
      <c r="BV699" s="1683">
        <v>0</v>
      </c>
      <c r="BW699" s="1683">
        <v>0</v>
      </c>
      <c r="BX699" s="1683">
        <v>0</v>
      </c>
      <c r="BY699" s="1683">
        <v>0</v>
      </c>
      <c r="BZ699" s="1683">
        <v>0</v>
      </c>
      <c r="CA699" s="1400"/>
      <c r="CB699" s="1682"/>
      <c r="CC699" s="1682"/>
      <c r="CD699" s="1400"/>
      <c r="CE699" s="1400"/>
      <c r="CF699" s="1683">
        <v>0</v>
      </c>
      <c r="CG699" s="1683">
        <v>0</v>
      </c>
      <c r="CH699" s="1683">
        <v>0</v>
      </c>
      <c r="CI699" s="1683">
        <v>0</v>
      </c>
      <c r="CJ699" s="1683">
        <v>357.91</v>
      </c>
      <c r="CK699" s="1683">
        <v>357.91</v>
      </c>
      <c r="CL699" s="1682"/>
      <c r="CM699" s="1683">
        <v>0</v>
      </c>
      <c r="CN699" s="1683">
        <v>0</v>
      </c>
      <c r="CO699" s="1683">
        <v>0</v>
      </c>
      <c r="CP699" s="1683">
        <v>0</v>
      </c>
      <c r="CQ699" s="1683">
        <v>0</v>
      </c>
      <c r="CR699" s="1683">
        <v>0</v>
      </c>
      <c r="CS699" s="1683">
        <v>0</v>
      </c>
      <c r="CT699" s="1683">
        <v>0</v>
      </c>
      <c r="CU699" s="1683">
        <v>0</v>
      </c>
      <c r="CV699" s="1683">
        <v>0</v>
      </c>
      <c r="CW699" s="1682"/>
      <c r="CX699" s="1400"/>
      <c r="CY699" s="1400"/>
      <c r="CZ699" s="1400"/>
      <c r="DA699" s="1400"/>
      <c r="DB699" s="1682"/>
      <c r="DC699" s="1326"/>
      <c r="DD699" s="1683">
        <v>0</v>
      </c>
      <c r="DE699" s="1400"/>
      <c r="DF699" s="1400"/>
      <c r="DG699" s="1683">
        <v>0</v>
      </c>
      <c r="DH699" s="1683">
        <v>0</v>
      </c>
    </row>
    <row r="700" spans="1:112" ht="45">
      <c r="A700" s="1326" t="s">
        <v>4463</v>
      </c>
      <c r="B700" s="1326" t="s">
        <v>1706</v>
      </c>
      <c r="C700" s="1326" t="s">
        <v>2583</v>
      </c>
      <c r="D700" s="1326" t="s">
        <v>2584</v>
      </c>
      <c r="E700" s="1326" t="s">
        <v>1122</v>
      </c>
      <c r="F700" s="1326" t="s">
        <v>2563</v>
      </c>
      <c r="G700" s="1326" t="s">
        <v>2572</v>
      </c>
      <c r="H700" s="1326" t="s">
        <v>2573</v>
      </c>
      <c r="I700" s="1326" t="s">
        <v>1610</v>
      </c>
      <c r="J700" s="1326" t="s">
        <v>391</v>
      </c>
      <c r="K700" s="1326" t="s">
        <v>2077</v>
      </c>
      <c r="L700" s="1326" t="s">
        <v>2061</v>
      </c>
      <c r="M700" s="1400"/>
      <c r="N700" s="1400"/>
      <c r="O700" s="1400"/>
      <c r="P700" s="1400"/>
      <c r="Q700" s="1400"/>
      <c r="R700" s="1400"/>
      <c r="S700" s="1400"/>
      <c r="T700" s="1400"/>
      <c r="U700" s="1400"/>
      <c r="V700" s="1400"/>
      <c r="W700" s="1400"/>
      <c r="X700" s="1400"/>
      <c r="Y700" s="1685">
        <v>43396</v>
      </c>
      <c r="Z700" s="1326" t="s">
        <v>2062</v>
      </c>
      <c r="AA700" s="1683">
        <v>0</v>
      </c>
      <c r="AB700" s="1683">
        <v>0</v>
      </c>
      <c r="AC700" s="1683">
        <v>0</v>
      </c>
      <c r="AD700" s="1685">
        <v>43423</v>
      </c>
      <c r="AE700" s="1326" t="s">
        <v>2063</v>
      </c>
      <c r="AF700" s="1326" t="s">
        <v>2064</v>
      </c>
      <c r="AG700" s="1410"/>
      <c r="AH700" s="1683">
        <v>1994.67</v>
      </c>
      <c r="AI700" s="1683">
        <v>1994.67</v>
      </c>
      <c r="AJ700" s="1683">
        <v>1695.47</v>
      </c>
      <c r="AK700" s="1683">
        <v>1695.47</v>
      </c>
      <c r="AL700" s="1683">
        <v>0</v>
      </c>
      <c r="AM700" s="1685">
        <v>43423</v>
      </c>
      <c r="AN700" s="1683">
        <v>1994.67</v>
      </c>
      <c r="AO700" s="1683">
        <v>1994.67</v>
      </c>
      <c r="AP700" s="1683">
        <v>1695.47</v>
      </c>
      <c r="AQ700" s="1683">
        <v>1695.47</v>
      </c>
      <c r="AR700" s="1683">
        <v>0</v>
      </c>
      <c r="AS700" s="1683">
        <v>299.2</v>
      </c>
      <c r="AT700" s="1683">
        <v>0</v>
      </c>
      <c r="AU700" s="1683">
        <v>299.2</v>
      </c>
      <c r="AV700" s="1683">
        <v>0</v>
      </c>
      <c r="AW700" s="1683">
        <v>0</v>
      </c>
      <c r="AX700" s="1400"/>
      <c r="AY700" s="1400"/>
      <c r="AZ700" s="1400"/>
      <c r="BA700" s="1682"/>
      <c r="BB700" s="1682"/>
      <c r="BC700" s="1400"/>
      <c r="BD700" s="1400"/>
      <c r="BE700" s="1683">
        <v>1994.67</v>
      </c>
      <c r="BF700" s="1683">
        <v>1994.67</v>
      </c>
      <c r="BG700" s="1683">
        <v>1695.47</v>
      </c>
      <c r="BH700" s="1683">
        <v>1695.47</v>
      </c>
      <c r="BI700" s="1683">
        <v>0</v>
      </c>
      <c r="BJ700" s="1683">
        <v>299.2</v>
      </c>
      <c r="BK700" s="1683">
        <v>0</v>
      </c>
      <c r="BL700" s="1683">
        <v>299.2</v>
      </c>
      <c r="BM700" s="1683">
        <v>0</v>
      </c>
      <c r="BN700" s="1683">
        <v>0</v>
      </c>
      <c r="BO700" s="1685">
        <v>43462</v>
      </c>
      <c r="BP700" s="1683">
        <v>1994.67</v>
      </c>
      <c r="BQ700" s="1683">
        <v>1994.67</v>
      </c>
      <c r="BR700" s="1683">
        <v>1695.47</v>
      </c>
      <c r="BS700" s="1683">
        <v>1695.47</v>
      </c>
      <c r="BT700" s="1683">
        <v>0</v>
      </c>
      <c r="BU700" s="1683">
        <v>299.2</v>
      </c>
      <c r="BV700" s="1683">
        <v>0</v>
      </c>
      <c r="BW700" s="1683">
        <v>0</v>
      </c>
      <c r="BX700" s="1683">
        <v>0</v>
      </c>
      <c r="BY700" s="1683">
        <v>0</v>
      </c>
      <c r="BZ700" s="1683">
        <v>0</v>
      </c>
      <c r="CA700" s="1400"/>
      <c r="CB700" s="1682"/>
      <c r="CC700" s="1682"/>
      <c r="CD700" s="1400"/>
      <c r="CE700" s="1400"/>
      <c r="CF700" s="1683">
        <v>0</v>
      </c>
      <c r="CG700" s="1683">
        <v>0</v>
      </c>
      <c r="CH700" s="1683">
        <v>0</v>
      </c>
      <c r="CI700" s="1683">
        <v>0</v>
      </c>
      <c r="CJ700" s="1683">
        <v>233.47</v>
      </c>
      <c r="CK700" s="1683">
        <v>233.47</v>
      </c>
      <c r="CL700" s="1682"/>
      <c r="CM700" s="1683">
        <v>0</v>
      </c>
      <c r="CN700" s="1683">
        <v>0</v>
      </c>
      <c r="CO700" s="1683">
        <v>0</v>
      </c>
      <c r="CP700" s="1683">
        <v>0</v>
      </c>
      <c r="CQ700" s="1683">
        <v>0</v>
      </c>
      <c r="CR700" s="1683">
        <v>0</v>
      </c>
      <c r="CS700" s="1683">
        <v>0</v>
      </c>
      <c r="CT700" s="1683">
        <v>0</v>
      </c>
      <c r="CU700" s="1683">
        <v>0</v>
      </c>
      <c r="CV700" s="1683">
        <v>0</v>
      </c>
      <c r="CW700" s="1682"/>
      <c r="CX700" s="1400"/>
      <c r="CY700" s="1400"/>
      <c r="CZ700" s="1400"/>
      <c r="DA700" s="1400"/>
      <c r="DB700" s="1682"/>
      <c r="DC700" s="1326"/>
      <c r="DD700" s="1683">
        <v>0</v>
      </c>
      <c r="DE700" s="1400"/>
      <c r="DF700" s="1400"/>
      <c r="DG700" s="1683">
        <v>0</v>
      </c>
      <c r="DH700" s="1683">
        <v>0</v>
      </c>
    </row>
    <row r="701" spans="1:112" ht="45">
      <c r="A701" s="1326" t="s">
        <v>4464</v>
      </c>
      <c r="B701" s="1326" t="s">
        <v>1706</v>
      </c>
      <c r="C701" s="1326" t="s">
        <v>2583</v>
      </c>
      <c r="D701" s="1326" t="s">
        <v>2584</v>
      </c>
      <c r="E701" s="1326" t="s">
        <v>1122</v>
      </c>
      <c r="F701" s="1326" t="s">
        <v>2563</v>
      </c>
      <c r="G701" s="1326" t="s">
        <v>2572</v>
      </c>
      <c r="H701" s="1326" t="s">
        <v>2573</v>
      </c>
      <c r="I701" s="1326" t="s">
        <v>1610</v>
      </c>
      <c r="J701" s="1326" t="s">
        <v>391</v>
      </c>
      <c r="K701" s="1326" t="s">
        <v>2077</v>
      </c>
      <c r="L701" s="1326" t="s">
        <v>2061</v>
      </c>
      <c r="M701" s="1400"/>
      <c r="N701" s="1400"/>
      <c r="O701" s="1400"/>
      <c r="P701" s="1400"/>
      <c r="Q701" s="1400"/>
      <c r="R701" s="1400"/>
      <c r="S701" s="1400"/>
      <c r="T701" s="1400"/>
      <c r="U701" s="1400"/>
      <c r="V701" s="1400"/>
      <c r="W701" s="1400"/>
      <c r="X701" s="1400"/>
      <c r="Y701" s="1685">
        <v>43483</v>
      </c>
      <c r="Z701" s="1326" t="s">
        <v>2062</v>
      </c>
      <c r="AA701" s="1683">
        <v>0</v>
      </c>
      <c r="AB701" s="1683">
        <v>0</v>
      </c>
      <c r="AC701" s="1683">
        <v>0</v>
      </c>
      <c r="AD701" s="1685">
        <v>43508</v>
      </c>
      <c r="AE701" s="1326" t="s">
        <v>2066</v>
      </c>
      <c r="AF701" s="1326" t="s">
        <v>2064</v>
      </c>
      <c r="AG701" s="1410"/>
      <c r="AH701" s="1683">
        <v>28287.96</v>
      </c>
      <c r="AI701" s="1683">
        <v>28287.96</v>
      </c>
      <c r="AJ701" s="1683">
        <v>24044.77</v>
      </c>
      <c r="AK701" s="1683">
        <v>24044.77</v>
      </c>
      <c r="AL701" s="1683">
        <v>0</v>
      </c>
      <c r="AM701" s="1685">
        <v>43508</v>
      </c>
      <c r="AN701" s="1683">
        <v>28287.96</v>
      </c>
      <c r="AO701" s="1683">
        <v>28287.96</v>
      </c>
      <c r="AP701" s="1683">
        <v>24044.77</v>
      </c>
      <c r="AQ701" s="1683">
        <v>24044.77</v>
      </c>
      <c r="AR701" s="1683">
        <v>0</v>
      </c>
      <c r="AS701" s="1683">
        <v>4243.1899999999996</v>
      </c>
      <c r="AT701" s="1683">
        <v>0</v>
      </c>
      <c r="AU701" s="1683">
        <v>4243.1899999999996</v>
      </c>
      <c r="AV701" s="1683">
        <v>0</v>
      </c>
      <c r="AW701" s="1683">
        <v>0</v>
      </c>
      <c r="AX701" s="1400"/>
      <c r="AY701" s="1400"/>
      <c r="AZ701" s="1400"/>
      <c r="BA701" s="1682"/>
      <c r="BB701" s="1682"/>
      <c r="BC701" s="1400"/>
      <c r="BD701" s="1400"/>
      <c r="BE701" s="1683">
        <v>28287.96</v>
      </c>
      <c r="BF701" s="1683">
        <v>28287.96</v>
      </c>
      <c r="BG701" s="1683">
        <v>24044.77</v>
      </c>
      <c r="BH701" s="1683">
        <v>24044.77</v>
      </c>
      <c r="BI701" s="1683">
        <v>0</v>
      </c>
      <c r="BJ701" s="1683">
        <v>4243.1899999999996</v>
      </c>
      <c r="BK701" s="1683">
        <v>0</v>
      </c>
      <c r="BL701" s="1683">
        <v>4243.1899999999996</v>
      </c>
      <c r="BM701" s="1683">
        <v>0</v>
      </c>
      <c r="BN701" s="1683">
        <v>0</v>
      </c>
      <c r="BO701" s="1682"/>
      <c r="BP701" s="1683">
        <v>0</v>
      </c>
      <c r="BQ701" s="1683">
        <v>0</v>
      </c>
      <c r="BR701" s="1683">
        <v>0</v>
      </c>
      <c r="BS701" s="1683">
        <v>0</v>
      </c>
      <c r="BT701" s="1683">
        <v>0</v>
      </c>
      <c r="BU701" s="1683">
        <v>0</v>
      </c>
      <c r="BV701" s="1683">
        <v>0</v>
      </c>
      <c r="BW701" s="1683">
        <v>0</v>
      </c>
      <c r="BX701" s="1683">
        <v>0</v>
      </c>
      <c r="BY701" s="1683">
        <v>0</v>
      </c>
      <c r="BZ701" s="1400"/>
      <c r="CA701" s="1400"/>
      <c r="CB701" s="1682"/>
      <c r="CC701" s="1682"/>
      <c r="CD701" s="1400"/>
      <c r="CE701" s="1400"/>
      <c r="CF701" s="1683">
        <v>0</v>
      </c>
      <c r="CG701" s="1683">
        <v>0</v>
      </c>
      <c r="CH701" s="1683">
        <v>0</v>
      </c>
      <c r="CI701" s="1683">
        <v>0</v>
      </c>
      <c r="CJ701" s="1683">
        <v>0</v>
      </c>
      <c r="CK701" s="1683">
        <v>0</v>
      </c>
      <c r="CL701" s="1682"/>
      <c r="CM701" s="1683">
        <v>0</v>
      </c>
      <c r="CN701" s="1683">
        <v>0</v>
      </c>
      <c r="CO701" s="1683">
        <v>0</v>
      </c>
      <c r="CP701" s="1683">
        <v>0</v>
      </c>
      <c r="CQ701" s="1683">
        <v>0</v>
      </c>
      <c r="CR701" s="1683">
        <v>0</v>
      </c>
      <c r="CS701" s="1683">
        <v>0</v>
      </c>
      <c r="CT701" s="1683">
        <v>0</v>
      </c>
      <c r="CU701" s="1683">
        <v>0</v>
      </c>
      <c r="CV701" s="1683">
        <v>0</v>
      </c>
      <c r="CW701" s="1682"/>
      <c r="CX701" s="1400"/>
      <c r="CY701" s="1400"/>
      <c r="CZ701" s="1400"/>
      <c r="DA701" s="1400"/>
      <c r="DB701" s="1682"/>
      <c r="DC701" s="1326"/>
      <c r="DD701" s="1683">
        <v>0</v>
      </c>
      <c r="DE701" s="1400"/>
      <c r="DF701" s="1400"/>
      <c r="DG701" s="1683">
        <v>0</v>
      </c>
      <c r="DH701" s="1683">
        <v>0</v>
      </c>
    </row>
    <row r="702" spans="1:112" ht="56.25">
      <c r="A702" s="1326" t="s">
        <v>4465</v>
      </c>
      <c r="B702" s="1326" t="s">
        <v>1706</v>
      </c>
      <c r="C702" s="1326" t="s">
        <v>2583</v>
      </c>
      <c r="D702" s="1326" t="s">
        <v>2584</v>
      </c>
      <c r="E702" s="1326" t="s">
        <v>1122</v>
      </c>
      <c r="F702" s="1326" t="s">
        <v>2563</v>
      </c>
      <c r="G702" s="1326" t="s">
        <v>2572</v>
      </c>
      <c r="H702" s="1326" t="s">
        <v>2573</v>
      </c>
      <c r="I702" s="1326" t="s">
        <v>1611</v>
      </c>
      <c r="J702" s="1326" t="s">
        <v>239</v>
      </c>
      <c r="K702" s="1326" t="s">
        <v>2110</v>
      </c>
      <c r="L702" s="1326" t="s">
        <v>2061</v>
      </c>
      <c r="M702" s="1683">
        <v>161741.96</v>
      </c>
      <c r="N702" s="1683">
        <v>0</v>
      </c>
      <c r="O702" s="1683">
        <v>161741.96</v>
      </c>
      <c r="P702" s="1683">
        <v>161741.96</v>
      </c>
      <c r="Q702" s="1683">
        <v>137349.79999999999</v>
      </c>
      <c r="R702" s="1683">
        <v>137349.79999999999</v>
      </c>
      <c r="S702" s="1683">
        <v>0</v>
      </c>
      <c r="T702" s="1683">
        <v>24392.16</v>
      </c>
      <c r="U702" s="1683">
        <v>0</v>
      </c>
      <c r="V702" s="1683">
        <v>24392.16</v>
      </c>
      <c r="W702" s="1683">
        <v>0</v>
      </c>
      <c r="X702" s="1683">
        <v>0</v>
      </c>
      <c r="Y702" s="1682"/>
      <c r="Z702" s="1326"/>
      <c r="AA702" s="1683">
        <v>0</v>
      </c>
      <c r="AB702" s="1683">
        <v>0</v>
      </c>
      <c r="AC702" s="1683">
        <v>0</v>
      </c>
      <c r="AD702" s="1682"/>
      <c r="AE702" s="1326"/>
      <c r="AF702" s="1326"/>
      <c r="AG702" s="1410"/>
      <c r="AH702" s="1683">
        <v>39464.26</v>
      </c>
      <c r="AI702" s="1683">
        <v>39464.26</v>
      </c>
      <c r="AJ702" s="1683">
        <v>33512.69</v>
      </c>
      <c r="AK702" s="1683">
        <v>33512.69</v>
      </c>
      <c r="AL702" s="1683">
        <v>0</v>
      </c>
      <c r="AM702" s="1682"/>
      <c r="AN702" s="1683">
        <v>39464.26</v>
      </c>
      <c r="AO702" s="1683">
        <v>39464.26</v>
      </c>
      <c r="AP702" s="1683">
        <v>33512.69</v>
      </c>
      <c r="AQ702" s="1683">
        <v>33512.69</v>
      </c>
      <c r="AR702" s="1683">
        <v>0</v>
      </c>
      <c r="AS702" s="1683">
        <v>5951.57</v>
      </c>
      <c r="AT702" s="1683">
        <v>0</v>
      </c>
      <c r="AU702" s="1683">
        <v>5951.57</v>
      </c>
      <c r="AV702" s="1683">
        <v>0</v>
      </c>
      <c r="AW702" s="1683">
        <v>0</v>
      </c>
      <c r="AX702" s="1683">
        <v>0</v>
      </c>
      <c r="AY702" s="1683">
        <v>0</v>
      </c>
      <c r="AZ702" s="1683">
        <v>0</v>
      </c>
      <c r="BA702" s="1682"/>
      <c r="BB702" s="1682"/>
      <c r="BC702" s="1683">
        <v>0</v>
      </c>
      <c r="BD702" s="1683">
        <v>0</v>
      </c>
      <c r="BE702" s="1683">
        <v>39464.26</v>
      </c>
      <c r="BF702" s="1683">
        <v>39464.26</v>
      </c>
      <c r="BG702" s="1683">
        <v>33512.69</v>
      </c>
      <c r="BH702" s="1683">
        <v>33512.69</v>
      </c>
      <c r="BI702" s="1683">
        <v>0</v>
      </c>
      <c r="BJ702" s="1683">
        <v>5951.57</v>
      </c>
      <c r="BK702" s="1683">
        <v>0</v>
      </c>
      <c r="BL702" s="1683">
        <v>5951.57</v>
      </c>
      <c r="BM702" s="1683">
        <v>0</v>
      </c>
      <c r="BN702" s="1683">
        <v>0</v>
      </c>
      <c r="BO702" s="1682"/>
      <c r="BP702" s="1683">
        <v>33715.56</v>
      </c>
      <c r="BQ702" s="1683">
        <v>33715.56</v>
      </c>
      <c r="BR702" s="1683">
        <v>28630.95</v>
      </c>
      <c r="BS702" s="1683">
        <v>28630.95</v>
      </c>
      <c r="BT702" s="1683">
        <v>0</v>
      </c>
      <c r="BU702" s="1683">
        <v>5084.6099999999997</v>
      </c>
      <c r="BV702" s="1683">
        <v>0</v>
      </c>
      <c r="BW702" s="1683">
        <v>0</v>
      </c>
      <c r="BX702" s="1683">
        <v>0</v>
      </c>
      <c r="BY702" s="1683">
        <v>0</v>
      </c>
      <c r="BZ702" s="1683">
        <v>0</v>
      </c>
      <c r="CA702" s="1683">
        <v>0</v>
      </c>
      <c r="CB702" s="1682"/>
      <c r="CC702" s="1682"/>
      <c r="CD702" s="1683">
        <v>0</v>
      </c>
      <c r="CE702" s="1683">
        <v>0</v>
      </c>
      <c r="CF702" s="1683">
        <v>0</v>
      </c>
      <c r="CG702" s="1683">
        <v>0</v>
      </c>
      <c r="CH702" s="1683">
        <v>0</v>
      </c>
      <c r="CI702" s="1683">
        <v>0</v>
      </c>
      <c r="CJ702" s="1683">
        <v>0</v>
      </c>
      <c r="CK702" s="1683">
        <v>0</v>
      </c>
      <c r="CL702" s="1682"/>
      <c r="CM702" s="1683">
        <v>0</v>
      </c>
      <c r="CN702" s="1683">
        <v>0</v>
      </c>
      <c r="CO702" s="1683">
        <v>0</v>
      </c>
      <c r="CP702" s="1683">
        <v>0</v>
      </c>
      <c r="CQ702" s="1683">
        <v>0</v>
      </c>
      <c r="CR702" s="1683">
        <v>0</v>
      </c>
      <c r="CS702" s="1683">
        <v>0</v>
      </c>
      <c r="CT702" s="1683">
        <v>0</v>
      </c>
      <c r="CU702" s="1683">
        <v>0</v>
      </c>
      <c r="CV702" s="1683">
        <v>0</v>
      </c>
      <c r="CW702" s="1682"/>
      <c r="CX702" s="1683">
        <v>0</v>
      </c>
      <c r="CY702" s="1683">
        <v>0</v>
      </c>
      <c r="CZ702" s="1683">
        <v>0</v>
      </c>
      <c r="DA702" s="1683">
        <v>0</v>
      </c>
      <c r="DB702" s="1682"/>
      <c r="DC702" s="1326"/>
      <c r="DD702" s="1683">
        <v>13113.48</v>
      </c>
      <c r="DE702" s="1683">
        <v>0</v>
      </c>
      <c r="DF702" s="1683">
        <v>0</v>
      </c>
      <c r="DG702" s="1683">
        <v>0</v>
      </c>
      <c r="DH702" s="1683">
        <v>0</v>
      </c>
    </row>
    <row r="703" spans="1:112" ht="56.25">
      <c r="A703" s="1326" t="s">
        <v>4466</v>
      </c>
      <c r="B703" s="1326" t="s">
        <v>1706</v>
      </c>
      <c r="C703" s="1326" t="s">
        <v>2583</v>
      </c>
      <c r="D703" s="1326" t="s">
        <v>2584</v>
      </c>
      <c r="E703" s="1326" t="s">
        <v>1122</v>
      </c>
      <c r="F703" s="1326" t="s">
        <v>2563</v>
      </c>
      <c r="G703" s="1326" t="s">
        <v>2572</v>
      </c>
      <c r="H703" s="1326" t="s">
        <v>2573</v>
      </c>
      <c r="I703" s="1326" t="s">
        <v>1611</v>
      </c>
      <c r="J703" s="1326" t="s">
        <v>239</v>
      </c>
      <c r="K703" s="1326" t="s">
        <v>2110</v>
      </c>
      <c r="L703" s="1326" t="s">
        <v>2061</v>
      </c>
      <c r="M703" s="1400"/>
      <c r="N703" s="1400"/>
      <c r="O703" s="1400"/>
      <c r="P703" s="1400"/>
      <c r="Q703" s="1400"/>
      <c r="R703" s="1400"/>
      <c r="S703" s="1400"/>
      <c r="T703" s="1400"/>
      <c r="U703" s="1400"/>
      <c r="V703" s="1400"/>
      <c r="W703" s="1400"/>
      <c r="X703" s="1400"/>
      <c r="Y703" s="1685">
        <v>43322</v>
      </c>
      <c r="Z703" s="1326" t="s">
        <v>2062</v>
      </c>
      <c r="AA703" s="1683">
        <v>0</v>
      </c>
      <c r="AB703" s="1683">
        <v>0</v>
      </c>
      <c r="AC703" s="1683">
        <v>0</v>
      </c>
      <c r="AD703" s="1685">
        <v>43355</v>
      </c>
      <c r="AE703" s="1326" t="s">
        <v>2073</v>
      </c>
      <c r="AF703" s="1326" t="s">
        <v>2064</v>
      </c>
      <c r="AG703" s="1410"/>
      <c r="AH703" s="1683">
        <v>33715.56</v>
      </c>
      <c r="AI703" s="1683">
        <v>33715.56</v>
      </c>
      <c r="AJ703" s="1683">
        <v>28630.95</v>
      </c>
      <c r="AK703" s="1683">
        <v>28630.95</v>
      </c>
      <c r="AL703" s="1683">
        <v>0</v>
      </c>
      <c r="AM703" s="1685">
        <v>43355</v>
      </c>
      <c r="AN703" s="1683">
        <v>33715.56</v>
      </c>
      <c r="AO703" s="1683">
        <v>33715.56</v>
      </c>
      <c r="AP703" s="1683">
        <v>28630.95</v>
      </c>
      <c r="AQ703" s="1683">
        <v>28630.95</v>
      </c>
      <c r="AR703" s="1683">
        <v>0</v>
      </c>
      <c r="AS703" s="1683">
        <v>5084.6099999999997</v>
      </c>
      <c r="AT703" s="1683">
        <v>0</v>
      </c>
      <c r="AU703" s="1683">
        <v>5084.6099999999997</v>
      </c>
      <c r="AV703" s="1683">
        <v>0</v>
      </c>
      <c r="AW703" s="1683">
        <v>0</v>
      </c>
      <c r="AX703" s="1400"/>
      <c r="AY703" s="1400"/>
      <c r="AZ703" s="1400"/>
      <c r="BA703" s="1682"/>
      <c r="BB703" s="1682"/>
      <c r="BC703" s="1400"/>
      <c r="BD703" s="1400"/>
      <c r="BE703" s="1683">
        <v>33715.56</v>
      </c>
      <c r="BF703" s="1683">
        <v>33715.56</v>
      </c>
      <c r="BG703" s="1683">
        <v>28630.95</v>
      </c>
      <c r="BH703" s="1683">
        <v>28630.95</v>
      </c>
      <c r="BI703" s="1683">
        <v>0</v>
      </c>
      <c r="BJ703" s="1683">
        <v>5084.6099999999997</v>
      </c>
      <c r="BK703" s="1683">
        <v>0</v>
      </c>
      <c r="BL703" s="1683">
        <v>5084.6099999999997</v>
      </c>
      <c r="BM703" s="1683">
        <v>0</v>
      </c>
      <c r="BN703" s="1683">
        <v>0</v>
      </c>
      <c r="BO703" s="1685">
        <v>43404</v>
      </c>
      <c r="BP703" s="1683">
        <v>33715.56</v>
      </c>
      <c r="BQ703" s="1683">
        <v>33715.56</v>
      </c>
      <c r="BR703" s="1683">
        <v>28630.95</v>
      </c>
      <c r="BS703" s="1683">
        <v>28630.95</v>
      </c>
      <c r="BT703" s="1683">
        <v>0</v>
      </c>
      <c r="BU703" s="1683">
        <v>5084.6099999999997</v>
      </c>
      <c r="BV703" s="1683">
        <v>0</v>
      </c>
      <c r="BW703" s="1683">
        <v>0</v>
      </c>
      <c r="BX703" s="1683">
        <v>0</v>
      </c>
      <c r="BY703" s="1683">
        <v>0</v>
      </c>
      <c r="BZ703" s="1683">
        <v>0</v>
      </c>
      <c r="CA703" s="1400"/>
      <c r="CB703" s="1682"/>
      <c r="CC703" s="1682"/>
      <c r="CD703" s="1400"/>
      <c r="CE703" s="1400"/>
      <c r="CF703" s="1683">
        <v>0</v>
      </c>
      <c r="CG703" s="1683">
        <v>0</v>
      </c>
      <c r="CH703" s="1683">
        <v>0</v>
      </c>
      <c r="CI703" s="1683">
        <v>0</v>
      </c>
      <c r="CJ703" s="1683">
        <v>0</v>
      </c>
      <c r="CK703" s="1683">
        <v>0</v>
      </c>
      <c r="CL703" s="1682"/>
      <c r="CM703" s="1683">
        <v>0</v>
      </c>
      <c r="CN703" s="1683">
        <v>0</v>
      </c>
      <c r="CO703" s="1683">
        <v>0</v>
      </c>
      <c r="CP703" s="1683">
        <v>0</v>
      </c>
      <c r="CQ703" s="1683">
        <v>0</v>
      </c>
      <c r="CR703" s="1683">
        <v>0</v>
      </c>
      <c r="CS703" s="1683">
        <v>0</v>
      </c>
      <c r="CT703" s="1683">
        <v>0</v>
      </c>
      <c r="CU703" s="1683">
        <v>0</v>
      </c>
      <c r="CV703" s="1683">
        <v>0</v>
      </c>
      <c r="CW703" s="1682"/>
      <c r="CX703" s="1400"/>
      <c r="CY703" s="1400"/>
      <c r="CZ703" s="1400"/>
      <c r="DA703" s="1400"/>
      <c r="DB703" s="1682"/>
      <c r="DC703" s="1326"/>
      <c r="DD703" s="1683">
        <v>13113.48</v>
      </c>
      <c r="DE703" s="1400"/>
      <c r="DF703" s="1400"/>
      <c r="DG703" s="1683">
        <v>0</v>
      </c>
      <c r="DH703" s="1683">
        <v>0</v>
      </c>
    </row>
    <row r="704" spans="1:112" ht="56.25">
      <c r="A704" s="1326" t="s">
        <v>4467</v>
      </c>
      <c r="B704" s="1326" t="s">
        <v>1706</v>
      </c>
      <c r="C704" s="1326" t="s">
        <v>2583</v>
      </c>
      <c r="D704" s="1326" t="s">
        <v>2584</v>
      </c>
      <c r="E704" s="1326" t="s">
        <v>1122</v>
      </c>
      <c r="F704" s="1326" t="s">
        <v>2563</v>
      </c>
      <c r="G704" s="1326" t="s">
        <v>2572</v>
      </c>
      <c r="H704" s="1326" t="s">
        <v>2573</v>
      </c>
      <c r="I704" s="1326" t="s">
        <v>1611</v>
      </c>
      <c r="J704" s="1326" t="s">
        <v>239</v>
      </c>
      <c r="K704" s="1326" t="s">
        <v>2110</v>
      </c>
      <c r="L704" s="1326" t="s">
        <v>2061</v>
      </c>
      <c r="M704" s="1400"/>
      <c r="N704" s="1400"/>
      <c r="O704" s="1400"/>
      <c r="P704" s="1400"/>
      <c r="Q704" s="1400"/>
      <c r="R704" s="1400"/>
      <c r="S704" s="1400"/>
      <c r="T704" s="1400"/>
      <c r="U704" s="1400"/>
      <c r="V704" s="1400"/>
      <c r="W704" s="1400"/>
      <c r="X704" s="1400"/>
      <c r="Y704" s="1685">
        <v>43507</v>
      </c>
      <c r="Z704" s="1326" t="s">
        <v>2062</v>
      </c>
      <c r="AA704" s="1683">
        <v>0</v>
      </c>
      <c r="AB704" s="1683">
        <v>0</v>
      </c>
      <c r="AC704" s="1683">
        <v>0</v>
      </c>
      <c r="AD704" s="1685">
        <v>43524</v>
      </c>
      <c r="AE704" s="1326" t="s">
        <v>2079</v>
      </c>
      <c r="AF704" s="1326" t="s">
        <v>2064</v>
      </c>
      <c r="AG704" s="1410"/>
      <c r="AH704" s="1683">
        <v>5748.7</v>
      </c>
      <c r="AI704" s="1683">
        <v>5748.7</v>
      </c>
      <c r="AJ704" s="1683">
        <v>4881.74</v>
      </c>
      <c r="AK704" s="1683">
        <v>4881.74</v>
      </c>
      <c r="AL704" s="1683">
        <v>0</v>
      </c>
      <c r="AM704" s="1685">
        <v>43524</v>
      </c>
      <c r="AN704" s="1683">
        <v>5748.7</v>
      </c>
      <c r="AO704" s="1683">
        <v>5748.7</v>
      </c>
      <c r="AP704" s="1683">
        <v>4881.74</v>
      </c>
      <c r="AQ704" s="1683">
        <v>4881.74</v>
      </c>
      <c r="AR704" s="1683">
        <v>0</v>
      </c>
      <c r="AS704" s="1683">
        <v>866.96</v>
      </c>
      <c r="AT704" s="1683">
        <v>0</v>
      </c>
      <c r="AU704" s="1683">
        <v>866.96</v>
      </c>
      <c r="AV704" s="1683">
        <v>0</v>
      </c>
      <c r="AW704" s="1683">
        <v>0</v>
      </c>
      <c r="AX704" s="1400"/>
      <c r="AY704" s="1400"/>
      <c r="AZ704" s="1400"/>
      <c r="BA704" s="1682"/>
      <c r="BB704" s="1682"/>
      <c r="BC704" s="1400"/>
      <c r="BD704" s="1400"/>
      <c r="BE704" s="1683">
        <v>5748.7</v>
      </c>
      <c r="BF704" s="1683">
        <v>5748.7</v>
      </c>
      <c r="BG704" s="1683">
        <v>4881.74</v>
      </c>
      <c r="BH704" s="1683">
        <v>4881.74</v>
      </c>
      <c r="BI704" s="1683">
        <v>0</v>
      </c>
      <c r="BJ704" s="1683">
        <v>866.96</v>
      </c>
      <c r="BK704" s="1683">
        <v>0</v>
      </c>
      <c r="BL704" s="1683">
        <v>866.96</v>
      </c>
      <c r="BM704" s="1683">
        <v>0</v>
      </c>
      <c r="BN704" s="1683">
        <v>0</v>
      </c>
      <c r="BO704" s="1682"/>
      <c r="BP704" s="1683">
        <v>0</v>
      </c>
      <c r="BQ704" s="1683">
        <v>0</v>
      </c>
      <c r="BR704" s="1683">
        <v>0</v>
      </c>
      <c r="BS704" s="1683">
        <v>0</v>
      </c>
      <c r="BT704" s="1683">
        <v>0</v>
      </c>
      <c r="BU704" s="1683">
        <v>0</v>
      </c>
      <c r="BV704" s="1683">
        <v>0</v>
      </c>
      <c r="BW704" s="1683">
        <v>0</v>
      </c>
      <c r="BX704" s="1683">
        <v>0</v>
      </c>
      <c r="BY704" s="1683">
        <v>0</v>
      </c>
      <c r="BZ704" s="1400"/>
      <c r="CA704" s="1400"/>
      <c r="CB704" s="1682"/>
      <c r="CC704" s="1682"/>
      <c r="CD704" s="1400"/>
      <c r="CE704" s="1400"/>
      <c r="CF704" s="1683">
        <v>0</v>
      </c>
      <c r="CG704" s="1683">
        <v>0</v>
      </c>
      <c r="CH704" s="1683">
        <v>0</v>
      </c>
      <c r="CI704" s="1683">
        <v>0</v>
      </c>
      <c r="CJ704" s="1683">
        <v>0</v>
      </c>
      <c r="CK704" s="1683">
        <v>0</v>
      </c>
      <c r="CL704" s="1682"/>
      <c r="CM704" s="1683">
        <v>0</v>
      </c>
      <c r="CN704" s="1683">
        <v>0</v>
      </c>
      <c r="CO704" s="1683">
        <v>0</v>
      </c>
      <c r="CP704" s="1683">
        <v>0</v>
      </c>
      <c r="CQ704" s="1683">
        <v>0</v>
      </c>
      <c r="CR704" s="1683">
        <v>0</v>
      </c>
      <c r="CS704" s="1683">
        <v>0</v>
      </c>
      <c r="CT704" s="1683">
        <v>0</v>
      </c>
      <c r="CU704" s="1683">
        <v>0</v>
      </c>
      <c r="CV704" s="1683">
        <v>0</v>
      </c>
      <c r="CW704" s="1682"/>
      <c r="CX704" s="1400"/>
      <c r="CY704" s="1400"/>
      <c r="CZ704" s="1400"/>
      <c r="DA704" s="1400"/>
      <c r="DB704" s="1682"/>
      <c r="DC704" s="1326"/>
      <c r="DD704" s="1683">
        <v>0</v>
      </c>
      <c r="DE704" s="1400"/>
      <c r="DF704" s="1400"/>
      <c r="DG704" s="1683">
        <v>0</v>
      </c>
      <c r="DH704" s="1683">
        <v>0</v>
      </c>
    </row>
    <row r="705" spans="1:112" ht="90">
      <c r="A705" s="1326" t="s">
        <v>4468</v>
      </c>
      <c r="B705" s="1326" t="s">
        <v>1706</v>
      </c>
      <c r="C705" s="1326" t="s">
        <v>2583</v>
      </c>
      <c r="D705" s="1326" t="s">
        <v>2584</v>
      </c>
      <c r="E705" s="1326" t="s">
        <v>1122</v>
      </c>
      <c r="F705" s="1326" t="s">
        <v>2563</v>
      </c>
      <c r="G705" s="1326" t="s">
        <v>2572</v>
      </c>
      <c r="H705" s="1326" t="s">
        <v>2573</v>
      </c>
      <c r="I705" s="1326" t="s">
        <v>1612</v>
      </c>
      <c r="J705" s="1326" t="s">
        <v>1760</v>
      </c>
      <c r="K705" s="1326" t="s">
        <v>2071</v>
      </c>
      <c r="L705" s="1326" t="s">
        <v>2061</v>
      </c>
      <c r="M705" s="1683">
        <v>215693.16</v>
      </c>
      <c r="N705" s="1683">
        <v>0</v>
      </c>
      <c r="O705" s="1683">
        <v>215693.16</v>
      </c>
      <c r="P705" s="1683">
        <v>215693.16</v>
      </c>
      <c r="Q705" s="1683">
        <v>183339.18</v>
      </c>
      <c r="R705" s="1683">
        <v>183339.18</v>
      </c>
      <c r="S705" s="1683">
        <v>0</v>
      </c>
      <c r="T705" s="1683">
        <v>32353.98</v>
      </c>
      <c r="U705" s="1683">
        <v>0</v>
      </c>
      <c r="V705" s="1683">
        <v>32353.98</v>
      </c>
      <c r="W705" s="1683">
        <v>0</v>
      </c>
      <c r="X705" s="1683">
        <v>0</v>
      </c>
      <c r="Y705" s="1682"/>
      <c r="Z705" s="1326"/>
      <c r="AA705" s="1683">
        <v>0</v>
      </c>
      <c r="AB705" s="1683">
        <v>0</v>
      </c>
      <c r="AC705" s="1683">
        <v>0</v>
      </c>
      <c r="AD705" s="1682"/>
      <c r="AE705" s="1326"/>
      <c r="AF705" s="1326"/>
      <c r="AG705" s="1410"/>
      <c r="AH705" s="1683">
        <v>6801.68</v>
      </c>
      <c r="AI705" s="1683">
        <v>6801.68</v>
      </c>
      <c r="AJ705" s="1683">
        <v>5781.43</v>
      </c>
      <c r="AK705" s="1683">
        <v>5781.43</v>
      </c>
      <c r="AL705" s="1683">
        <v>0</v>
      </c>
      <c r="AM705" s="1682"/>
      <c r="AN705" s="1683">
        <v>6801.68</v>
      </c>
      <c r="AO705" s="1683">
        <v>6801.68</v>
      </c>
      <c r="AP705" s="1683">
        <v>5781.43</v>
      </c>
      <c r="AQ705" s="1683">
        <v>5781.43</v>
      </c>
      <c r="AR705" s="1683">
        <v>0</v>
      </c>
      <c r="AS705" s="1683">
        <v>1020.25</v>
      </c>
      <c r="AT705" s="1683">
        <v>0</v>
      </c>
      <c r="AU705" s="1683">
        <v>1020.25</v>
      </c>
      <c r="AV705" s="1683">
        <v>0</v>
      </c>
      <c r="AW705" s="1683">
        <v>0</v>
      </c>
      <c r="AX705" s="1683">
        <v>0</v>
      </c>
      <c r="AY705" s="1683">
        <v>0</v>
      </c>
      <c r="AZ705" s="1683">
        <v>0</v>
      </c>
      <c r="BA705" s="1682"/>
      <c r="BB705" s="1682"/>
      <c r="BC705" s="1683">
        <v>0</v>
      </c>
      <c r="BD705" s="1683">
        <v>0</v>
      </c>
      <c r="BE705" s="1683">
        <v>6801.68</v>
      </c>
      <c r="BF705" s="1683">
        <v>6801.68</v>
      </c>
      <c r="BG705" s="1683">
        <v>5781.43</v>
      </c>
      <c r="BH705" s="1683">
        <v>5781.43</v>
      </c>
      <c r="BI705" s="1683">
        <v>0</v>
      </c>
      <c r="BJ705" s="1683">
        <v>1020.25</v>
      </c>
      <c r="BK705" s="1683">
        <v>0</v>
      </c>
      <c r="BL705" s="1683">
        <v>1020.25</v>
      </c>
      <c r="BM705" s="1683">
        <v>0</v>
      </c>
      <c r="BN705" s="1683">
        <v>0</v>
      </c>
      <c r="BO705" s="1682"/>
      <c r="BP705" s="1683">
        <v>6801.68</v>
      </c>
      <c r="BQ705" s="1683">
        <v>6801.68</v>
      </c>
      <c r="BR705" s="1683">
        <v>5781.43</v>
      </c>
      <c r="BS705" s="1683">
        <v>5781.43</v>
      </c>
      <c r="BT705" s="1683">
        <v>0</v>
      </c>
      <c r="BU705" s="1683">
        <v>1020.25</v>
      </c>
      <c r="BV705" s="1683">
        <v>0</v>
      </c>
      <c r="BW705" s="1683">
        <v>0</v>
      </c>
      <c r="BX705" s="1683">
        <v>0</v>
      </c>
      <c r="BY705" s="1683">
        <v>0</v>
      </c>
      <c r="BZ705" s="1683">
        <v>0</v>
      </c>
      <c r="CA705" s="1683">
        <v>0</v>
      </c>
      <c r="CB705" s="1682"/>
      <c r="CC705" s="1682"/>
      <c r="CD705" s="1683">
        <v>0</v>
      </c>
      <c r="CE705" s="1683">
        <v>0</v>
      </c>
      <c r="CF705" s="1683">
        <v>0</v>
      </c>
      <c r="CG705" s="1683">
        <v>0</v>
      </c>
      <c r="CH705" s="1683">
        <v>0</v>
      </c>
      <c r="CI705" s="1683">
        <v>0</v>
      </c>
      <c r="CJ705" s="1683">
        <v>630.67999999999995</v>
      </c>
      <c r="CK705" s="1683">
        <v>630.67999999999995</v>
      </c>
      <c r="CL705" s="1682"/>
      <c r="CM705" s="1683">
        <v>0</v>
      </c>
      <c r="CN705" s="1683">
        <v>0</v>
      </c>
      <c r="CO705" s="1683">
        <v>0</v>
      </c>
      <c r="CP705" s="1683">
        <v>0</v>
      </c>
      <c r="CQ705" s="1683">
        <v>0</v>
      </c>
      <c r="CR705" s="1683">
        <v>0</v>
      </c>
      <c r="CS705" s="1683">
        <v>0</v>
      </c>
      <c r="CT705" s="1683">
        <v>0</v>
      </c>
      <c r="CU705" s="1683">
        <v>0</v>
      </c>
      <c r="CV705" s="1683">
        <v>0</v>
      </c>
      <c r="CW705" s="1682"/>
      <c r="CX705" s="1683">
        <v>0</v>
      </c>
      <c r="CY705" s="1683">
        <v>0</v>
      </c>
      <c r="CZ705" s="1683">
        <v>0</v>
      </c>
      <c r="DA705" s="1683">
        <v>0</v>
      </c>
      <c r="DB705" s="1682"/>
      <c r="DC705" s="1326"/>
      <c r="DD705" s="1683">
        <v>0</v>
      </c>
      <c r="DE705" s="1400"/>
      <c r="DF705" s="1683">
        <v>0</v>
      </c>
      <c r="DG705" s="1683">
        <v>0</v>
      </c>
      <c r="DH705" s="1683">
        <v>0</v>
      </c>
    </row>
    <row r="706" spans="1:112" ht="90">
      <c r="A706" s="1326" t="s">
        <v>4505</v>
      </c>
      <c r="B706" s="1326" t="s">
        <v>1706</v>
      </c>
      <c r="C706" s="1326" t="s">
        <v>2583</v>
      </c>
      <c r="D706" s="1326" t="s">
        <v>2584</v>
      </c>
      <c r="E706" s="1326" t="s">
        <v>1122</v>
      </c>
      <c r="F706" s="1326" t="s">
        <v>2563</v>
      </c>
      <c r="G706" s="1326" t="s">
        <v>2572</v>
      </c>
      <c r="H706" s="1326" t="s">
        <v>2573</v>
      </c>
      <c r="I706" s="1326" t="s">
        <v>1612</v>
      </c>
      <c r="J706" s="1326" t="s">
        <v>1760</v>
      </c>
      <c r="K706" s="1326" t="s">
        <v>2071</v>
      </c>
      <c r="L706" s="1326" t="s">
        <v>2061</v>
      </c>
      <c r="M706" s="1400"/>
      <c r="N706" s="1400"/>
      <c r="O706" s="1400"/>
      <c r="P706" s="1400"/>
      <c r="Q706" s="1400"/>
      <c r="R706" s="1400"/>
      <c r="S706" s="1400"/>
      <c r="T706" s="1400"/>
      <c r="U706" s="1400"/>
      <c r="V706" s="1400"/>
      <c r="W706" s="1400"/>
      <c r="X706" s="1400"/>
      <c r="Y706" s="1685">
        <v>43326</v>
      </c>
      <c r="Z706" s="1326" t="s">
        <v>2062</v>
      </c>
      <c r="AA706" s="1683">
        <v>0</v>
      </c>
      <c r="AB706" s="1683">
        <v>0</v>
      </c>
      <c r="AC706" s="1683">
        <v>0</v>
      </c>
      <c r="AD706" s="1685">
        <v>43355</v>
      </c>
      <c r="AE706" s="1326" t="s">
        <v>2073</v>
      </c>
      <c r="AF706" s="1326" t="s">
        <v>2064</v>
      </c>
      <c r="AG706" s="1410"/>
      <c r="AH706" s="1683">
        <v>6801.68</v>
      </c>
      <c r="AI706" s="1683">
        <v>6801.68</v>
      </c>
      <c r="AJ706" s="1683">
        <v>5781.43</v>
      </c>
      <c r="AK706" s="1683">
        <v>5781.43</v>
      </c>
      <c r="AL706" s="1683">
        <v>0</v>
      </c>
      <c r="AM706" s="1685">
        <v>43355</v>
      </c>
      <c r="AN706" s="1683">
        <v>6801.68</v>
      </c>
      <c r="AO706" s="1683">
        <v>6801.68</v>
      </c>
      <c r="AP706" s="1683">
        <v>5781.43</v>
      </c>
      <c r="AQ706" s="1683">
        <v>5781.43</v>
      </c>
      <c r="AR706" s="1683">
        <v>0</v>
      </c>
      <c r="AS706" s="1683">
        <v>1020.25</v>
      </c>
      <c r="AT706" s="1683">
        <v>0</v>
      </c>
      <c r="AU706" s="1683">
        <v>1020.25</v>
      </c>
      <c r="AV706" s="1683">
        <v>0</v>
      </c>
      <c r="AW706" s="1683">
        <v>0</v>
      </c>
      <c r="AX706" s="1400"/>
      <c r="AY706" s="1400"/>
      <c r="AZ706" s="1400"/>
      <c r="BA706" s="1682"/>
      <c r="BB706" s="1682"/>
      <c r="BC706" s="1400"/>
      <c r="BD706" s="1400"/>
      <c r="BE706" s="1683">
        <v>6801.68</v>
      </c>
      <c r="BF706" s="1683">
        <v>6801.68</v>
      </c>
      <c r="BG706" s="1683">
        <v>5781.43</v>
      </c>
      <c r="BH706" s="1683">
        <v>5781.43</v>
      </c>
      <c r="BI706" s="1683">
        <v>0</v>
      </c>
      <c r="BJ706" s="1683">
        <v>1020.25</v>
      </c>
      <c r="BK706" s="1683">
        <v>0</v>
      </c>
      <c r="BL706" s="1683">
        <v>1020.25</v>
      </c>
      <c r="BM706" s="1683">
        <v>0</v>
      </c>
      <c r="BN706" s="1683">
        <v>0</v>
      </c>
      <c r="BO706" s="1685">
        <v>43404</v>
      </c>
      <c r="BP706" s="1683">
        <v>6801.68</v>
      </c>
      <c r="BQ706" s="1683">
        <v>6801.68</v>
      </c>
      <c r="BR706" s="1683">
        <v>5781.43</v>
      </c>
      <c r="BS706" s="1683">
        <v>5781.43</v>
      </c>
      <c r="BT706" s="1683">
        <v>0</v>
      </c>
      <c r="BU706" s="1683">
        <v>1020.25</v>
      </c>
      <c r="BV706" s="1683">
        <v>0</v>
      </c>
      <c r="BW706" s="1683">
        <v>0</v>
      </c>
      <c r="BX706" s="1683">
        <v>0</v>
      </c>
      <c r="BY706" s="1683">
        <v>0</v>
      </c>
      <c r="BZ706" s="1683">
        <v>0</v>
      </c>
      <c r="CA706" s="1400"/>
      <c r="CB706" s="1682"/>
      <c r="CC706" s="1682"/>
      <c r="CD706" s="1400"/>
      <c r="CE706" s="1400"/>
      <c r="CF706" s="1683">
        <v>0</v>
      </c>
      <c r="CG706" s="1683">
        <v>0</v>
      </c>
      <c r="CH706" s="1683">
        <v>0</v>
      </c>
      <c r="CI706" s="1683">
        <v>0</v>
      </c>
      <c r="CJ706" s="1683">
        <v>630.67999999999995</v>
      </c>
      <c r="CK706" s="1683">
        <v>630.67999999999995</v>
      </c>
      <c r="CL706" s="1682"/>
      <c r="CM706" s="1683">
        <v>0</v>
      </c>
      <c r="CN706" s="1683">
        <v>0</v>
      </c>
      <c r="CO706" s="1683">
        <v>0</v>
      </c>
      <c r="CP706" s="1683">
        <v>0</v>
      </c>
      <c r="CQ706" s="1683">
        <v>0</v>
      </c>
      <c r="CR706" s="1683">
        <v>0</v>
      </c>
      <c r="CS706" s="1683">
        <v>0</v>
      </c>
      <c r="CT706" s="1683">
        <v>0</v>
      </c>
      <c r="CU706" s="1683">
        <v>0</v>
      </c>
      <c r="CV706" s="1683">
        <v>0</v>
      </c>
      <c r="CW706" s="1682"/>
      <c r="CX706" s="1400"/>
      <c r="CY706" s="1400"/>
      <c r="CZ706" s="1400"/>
      <c r="DA706" s="1400"/>
      <c r="DB706" s="1682"/>
      <c r="DC706" s="1326"/>
      <c r="DD706" s="1683">
        <v>0</v>
      </c>
      <c r="DE706" s="1400"/>
      <c r="DF706" s="1400"/>
      <c r="DG706" s="1683">
        <v>0</v>
      </c>
      <c r="DH706" s="1683">
        <v>0</v>
      </c>
    </row>
    <row r="707" spans="1:112" ht="20.25" customHeight="1">
      <c r="A707" s="1687" t="s">
        <v>57</v>
      </c>
      <c r="B707" s="1326"/>
      <c r="C707" s="1326"/>
      <c r="D707" s="1326"/>
      <c r="E707" s="1326"/>
      <c r="F707" s="1326"/>
      <c r="G707" s="1326"/>
      <c r="H707" s="1326"/>
      <c r="I707" s="1326"/>
      <c r="J707" s="1326"/>
      <c r="K707" s="1326"/>
      <c r="L707" s="1326"/>
      <c r="M707" s="1688">
        <v>1293732.57</v>
      </c>
      <c r="N707" s="1688">
        <v>0</v>
      </c>
      <c r="O707" s="1688">
        <v>1293732.57</v>
      </c>
      <c r="P707" s="1688">
        <v>1293732.57</v>
      </c>
      <c r="Q707" s="1688">
        <v>1196702.6200000001</v>
      </c>
      <c r="R707" s="1688">
        <v>1099672.68</v>
      </c>
      <c r="S707" s="1688">
        <v>97029.94</v>
      </c>
      <c r="T707" s="1688">
        <v>97029.95</v>
      </c>
      <c r="U707" s="1688">
        <v>0</v>
      </c>
      <c r="V707" s="1688">
        <v>97029.95</v>
      </c>
      <c r="W707" s="1688">
        <v>0</v>
      </c>
      <c r="X707" s="1688">
        <v>0</v>
      </c>
      <c r="Y707" s="1689"/>
      <c r="Z707" s="1687"/>
      <c r="AA707" s="1688">
        <v>359010.79</v>
      </c>
      <c r="AB707" s="1688">
        <v>329901.8</v>
      </c>
      <c r="AC707" s="1688">
        <v>29108.99</v>
      </c>
      <c r="AD707" s="1689"/>
      <c r="AE707" s="1326"/>
      <c r="AF707" s="1326"/>
      <c r="AG707" s="1410"/>
      <c r="AH707" s="1688">
        <v>1664270.15</v>
      </c>
      <c r="AI707" s="1688">
        <v>1664270.15</v>
      </c>
      <c r="AJ707" s="1688">
        <v>1189606.18</v>
      </c>
      <c r="AK707" s="1688">
        <v>1093151.6299999999</v>
      </c>
      <c r="AL707" s="1688">
        <v>96454.55</v>
      </c>
      <c r="AM707" s="1689"/>
      <c r="AN707" s="1688">
        <v>1286060.75</v>
      </c>
      <c r="AO707" s="1688">
        <v>1286060.75</v>
      </c>
      <c r="AP707" s="1688">
        <v>1189606.18</v>
      </c>
      <c r="AQ707" s="1688">
        <v>1093151.6299999999</v>
      </c>
      <c r="AR707" s="1688">
        <v>96454.55</v>
      </c>
      <c r="AS707" s="1688">
        <v>96454.57</v>
      </c>
      <c r="AT707" s="1688">
        <v>0</v>
      </c>
      <c r="AU707" s="1688">
        <v>96454.57</v>
      </c>
      <c r="AV707" s="1688">
        <v>0</v>
      </c>
      <c r="AW707" s="1688">
        <v>0</v>
      </c>
      <c r="AX707" s="1688">
        <v>0</v>
      </c>
      <c r="AY707" s="1688">
        <v>0</v>
      </c>
      <c r="AZ707" s="1688">
        <v>0</v>
      </c>
      <c r="BA707" s="1689"/>
      <c r="BB707" s="1689"/>
      <c r="BC707" s="1688">
        <v>0</v>
      </c>
      <c r="BD707" s="1688">
        <v>0</v>
      </c>
      <c r="BE707" s="1688">
        <v>1286060.75</v>
      </c>
      <c r="BF707" s="1688">
        <v>1286060.75</v>
      </c>
      <c r="BG707" s="1688">
        <v>1189606.18</v>
      </c>
      <c r="BH707" s="1688">
        <v>1093151.6299999999</v>
      </c>
      <c r="BI707" s="1688">
        <v>96454.55</v>
      </c>
      <c r="BJ707" s="1688">
        <v>96454.57</v>
      </c>
      <c r="BK707" s="1688">
        <v>0</v>
      </c>
      <c r="BL707" s="1688">
        <v>96454.57</v>
      </c>
      <c r="BM707" s="1688">
        <v>0</v>
      </c>
      <c r="BN707" s="1688">
        <v>0</v>
      </c>
      <c r="BO707" s="1689"/>
      <c r="BP707" s="1688">
        <v>1286060.75</v>
      </c>
      <c r="BQ707" s="1688">
        <v>1286060.75</v>
      </c>
      <c r="BR707" s="1688">
        <v>1189606.18</v>
      </c>
      <c r="BS707" s="1688">
        <v>1093151.6299999999</v>
      </c>
      <c r="BT707" s="1688">
        <v>96454.55</v>
      </c>
      <c r="BU707" s="1688">
        <v>96454.57</v>
      </c>
      <c r="BV707" s="1688">
        <v>0</v>
      </c>
      <c r="BW707" s="1688">
        <v>39744.44</v>
      </c>
      <c r="BX707" s="1688">
        <v>0</v>
      </c>
      <c r="BY707" s="1688">
        <v>0</v>
      </c>
      <c r="BZ707" s="1688">
        <v>0</v>
      </c>
      <c r="CA707" s="1688">
        <v>0</v>
      </c>
      <c r="CB707" s="1689"/>
      <c r="CC707" s="1689"/>
      <c r="CD707" s="1688">
        <v>0</v>
      </c>
      <c r="CE707" s="1688">
        <v>0</v>
      </c>
      <c r="CF707" s="1688">
        <v>0</v>
      </c>
      <c r="CG707" s="1688">
        <v>0</v>
      </c>
      <c r="CH707" s="1688">
        <v>0</v>
      </c>
      <c r="CI707" s="1688">
        <v>0</v>
      </c>
      <c r="CJ707" s="1688">
        <v>11325.23</v>
      </c>
      <c r="CK707" s="1688">
        <v>11325.23</v>
      </c>
      <c r="CL707" s="1689"/>
      <c r="CM707" s="1688">
        <v>367179.36</v>
      </c>
      <c r="CN707" s="1688">
        <v>367179.36</v>
      </c>
      <c r="CO707" s="1688">
        <v>327434.92</v>
      </c>
      <c r="CP707" s="1688">
        <v>300886.14</v>
      </c>
      <c r="CQ707" s="1688">
        <v>26548.78</v>
      </c>
      <c r="CR707" s="1688">
        <v>39744.44</v>
      </c>
      <c r="CS707" s="1688">
        <v>0</v>
      </c>
      <c r="CT707" s="1688">
        <v>39744.44</v>
      </c>
      <c r="CU707" s="1688">
        <v>0</v>
      </c>
      <c r="CV707" s="1688">
        <v>0</v>
      </c>
      <c r="CW707" s="1689"/>
      <c r="CX707" s="1688">
        <v>0</v>
      </c>
      <c r="CY707" s="1688">
        <v>0</v>
      </c>
      <c r="CZ707" s="1688">
        <v>367179.36</v>
      </c>
      <c r="DA707" s="1688">
        <v>367179.36</v>
      </c>
      <c r="DB707" s="1689"/>
      <c r="DC707" s="1687"/>
      <c r="DD707" s="1688">
        <v>0</v>
      </c>
      <c r="DE707" s="1688">
        <v>0</v>
      </c>
      <c r="DF707" s="1688">
        <v>0</v>
      </c>
      <c r="DG707" s="1688">
        <v>0</v>
      </c>
      <c r="DH707" s="1688">
        <v>0</v>
      </c>
    </row>
    <row r="708" spans="1:112">
      <c r="A708" s="1326" t="s">
        <v>2024</v>
      </c>
      <c r="B708" s="1326" t="s">
        <v>1700</v>
      </c>
      <c r="C708" s="1326"/>
      <c r="D708" s="1326"/>
      <c r="E708" s="1326"/>
      <c r="F708" s="1326"/>
      <c r="G708" s="1326"/>
      <c r="H708" s="1326"/>
      <c r="I708" s="1326"/>
      <c r="J708" s="1326"/>
      <c r="K708" s="1326"/>
      <c r="L708" s="1326"/>
      <c r="M708" s="1683">
        <v>1293732.57</v>
      </c>
      <c r="N708" s="1683">
        <v>0</v>
      </c>
      <c r="O708" s="1683">
        <v>1293732.57</v>
      </c>
      <c r="P708" s="1683">
        <v>1293732.57</v>
      </c>
      <c r="Q708" s="1683">
        <v>1196702.6200000001</v>
      </c>
      <c r="R708" s="1683">
        <v>1099672.68</v>
      </c>
      <c r="S708" s="1683">
        <v>97029.94</v>
      </c>
      <c r="T708" s="1683">
        <v>97029.95</v>
      </c>
      <c r="U708" s="1683">
        <v>0</v>
      </c>
      <c r="V708" s="1683">
        <v>97029.95</v>
      </c>
      <c r="W708" s="1683">
        <v>0</v>
      </c>
      <c r="X708" s="1683">
        <v>0</v>
      </c>
      <c r="Y708" s="1682"/>
      <c r="Z708" s="1326"/>
      <c r="AA708" s="1683">
        <v>359010.79</v>
      </c>
      <c r="AB708" s="1683">
        <v>329901.8</v>
      </c>
      <c r="AC708" s="1683">
        <v>29108.99</v>
      </c>
      <c r="AD708" s="1682"/>
      <c r="AE708" s="1326"/>
      <c r="AF708" s="1326"/>
      <c r="AG708" s="1410"/>
      <c r="AH708" s="1683">
        <v>1664270.15</v>
      </c>
      <c r="AI708" s="1683">
        <v>1664270.15</v>
      </c>
      <c r="AJ708" s="1683">
        <v>1189606.18</v>
      </c>
      <c r="AK708" s="1683">
        <v>1093151.6299999999</v>
      </c>
      <c r="AL708" s="1683">
        <v>96454.55</v>
      </c>
      <c r="AM708" s="1682"/>
      <c r="AN708" s="1683">
        <v>1286060.75</v>
      </c>
      <c r="AO708" s="1683">
        <v>1286060.75</v>
      </c>
      <c r="AP708" s="1683">
        <v>1189606.18</v>
      </c>
      <c r="AQ708" s="1683">
        <v>1093151.6299999999</v>
      </c>
      <c r="AR708" s="1683">
        <v>96454.55</v>
      </c>
      <c r="AS708" s="1683">
        <v>96454.57</v>
      </c>
      <c r="AT708" s="1683">
        <v>0</v>
      </c>
      <c r="AU708" s="1683">
        <v>96454.57</v>
      </c>
      <c r="AV708" s="1683">
        <v>0</v>
      </c>
      <c r="AW708" s="1683">
        <v>0</v>
      </c>
      <c r="AX708" s="1683">
        <v>0</v>
      </c>
      <c r="AY708" s="1683">
        <v>0</v>
      </c>
      <c r="AZ708" s="1683">
        <v>0</v>
      </c>
      <c r="BA708" s="1682"/>
      <c r="BB708" s="1682"/>
      <c r="BC708" s="1683">
        <v>0</v>
      </c>
      <c r="BD708" s="1683">
        <v>0</v>
      </c>
      <c r="BE708" s="1683">
        <v>1286060.75</v>
      </c>
      <c r="BF708" s="1683">
        <v>1286060.75</v>
      </c>
      <c r="BG708" s="1683">
        <v>1189606.18</v>
      </c>
      <c r="BH708" s="1683">
        <v>1093151.6299999999</v>
      </c>
      <c r="BI708" s="1683">
        <v>96454.55</v>
      </c>
      <c r="BJ708" s="1683">
        <v>96454.57</v>
      </c>
      <c r="BK708" s="1683">
        <v>0</v>
      </c>
      <c r="BL708" s="1683">
        <v>96454.57</v>
      </c>
      <c r="BM708" s="1683">
        <v>0</v>
      </c>
      <c r="BN708" s="1683">
        <v>0</v>
      </c>
      <c r="BO708" s="1682"/>
      <c r="BP708" s="1683">
        <v>1286060.75</v>
      </c>
      <c r="BQ708" s="1683">
        <v>1286060.75</v>
      </c>
      <c r="BR708" s="1683">
        <v>1189606.18</v>
      </c>
      <c r="BS708" s="1683">
        <v>1093151.6299999999</v>
      </c>
      <c r="BT708" s="1683">
        <v>96454.55</v>
      </c>
      <c r="BU708" s="1683">
        <v>96454.57</v>
      </c>
      <c r="BV708" s="1683">
        <v>0</v>
      </c>
      <c r="BW708" s="1683">
        <v>39744.44</v>
      </c>
      <c r="BX708" s="1683">
        <v>0</v>
      </c>
      <c r="BY708" s="1683">
        <v>0</v>
      </c>
      <c r="BZ708" s="1683">
        <v>0</v>
      </c>
      <c r="CA708" s="1683">
        <v>0</v>
      </c>
      <c r="CB708" s="1682"/>
      <c r="CC708" s="1682"/>
      <c r="CD708" s="1683">
        <v>0</v>
      </c>
      <c r="CE708" s="1683">
        <v>0</v>
      </c>
      <c r="CF708" s="1683">
        <v>0</v>
      </c>
      <c r="CG708" s="1683">
        <v>0</v>
      </c>
      <c r="CH708" s="1683">
        <v>0</v>
      </c>
      <c r="CI708" s="1683">
        <v>0</v>
      </c>
      <c r="CJ708" s="1683">
        <v>11325.23</v>
      </c>
      <c r="CK708" s="1683">
        <v>11325.23</v>
      </c>
      <c r="CL708" s="1682"/>
      <c r="CM708" s="1683">
        <v>367179.36</v>
      </c>
      <c r="CN708" s="1683">
        <v>367179.36</v>
      </c>
      <c r="CO708" s="1683">
        <v>327434.92</v>
      </c>
      <c r="CP708" s="1683">
        <v>300886.14</v>
      </c>
      <c r="CQ708" s="1683">
        <v>26548.78</v>
      </c>
      <c r="CR708" s="1683">
        <v>39744.44</v>
      </c>
      <c r="CS708" s="1683">
        <v>0</v>
      </c>
      <c r="CT708" s="1683">
        <v>39744.44</v>
      </c>
      <c r="CU708" s="1683">
        <v>0</v>
      </c>
      <c r="CV708" s="1683">
        <v>0</v>
      </c>
      <c r="CW708" s="1682"/>
      <c r="CX708" s="1683">
        <v>0</v>
      </c>
      <c r="CY708" s="1683">
        <v>0</v>
      </c>
      <c r="CZ708" s="1683">
        <v>367179.36</v>
      </c>
      <c r="DA708" s="1683">
        <v>367179.36</v>
      </c>
      <c r="DB708" s="1682"/>
      <c r="DC708" s="1326"/>
      <c r="DD708" s="1683">
        <v>0</v>
      </c>
      <c r="DE708" s="1683">
        <v>0</v>
      </c>
      <c r="DF708" s="1683">
        <v>0</v>
      </c>
      <c r="DG708" s="1683">
        <v>0</v>
      </c>
      <c r="DH708" s="1683">
        <v>0</v>
      </c>
    </row>
    <row r="709" spans="1:112">
      <c r="A709" s="1326" t="s">
        <v>2534</v>
      </c>
      <c r="B709" s="1326" t="s">
        <v>1700</v>
      </c>
      <c r="C709" s="1326" t="s">
        <v>2561</v>
      </c>
      <c r="D709" s="1326"/>
      <c r="E709" s="1326"/>
      <c r="F709" s="1326"/>
      <c r="G709" s="1326"/>
      <c r="H709" s="1326"/>
      <c r="I709" s="1326"/>
      <c r="J709" s="1326"/>
      <c r="K709" s="1326"/>
      <c r="L709" s="1326"/>
      <c r="M709" s="1683">
        <v>1293732.57</v>
      </c>
      <c r="N709" s="1683">
        <v>0</v>
      </c>
      <c r="O709" s="1683">
        <v>1293732.57</v>
      </c>
      <c r="P709" s="1683">
        <v>1293732.57</v>
      </c>
      <c r="Q709" s="1683">
        <v>1196702.6200000001</v>
      </c>
      <c r="R709" s="1683">
        <v>1099672.68</v>
      </c>
      <c r="S709" s="1683">
        <v>97029.94</v>
      </c>
      <c r="T709" s="1683">
        <v>97029.95</v>
      </c>
      <c r="U709" s="1683">
        <v>0</v>
      </c>
      <c r="V709" s="1683">
        <v>97029.95</v>
      </c>
      <c r="W709" s="1683">
        <v>0</v>
      </c>
      <c r="X709" s="1683">
        <v>0</v>
      </c>
      <c r="Y709" s="1682"/>
      <c r="Z709" s="1326"/>
      <c r="AA709" s="1683">
        <v>359010.79</v>
      </c>
      <c r="AB709" s="1683">
        <v>329901.8</v>
      </c>
      <c r="AC709" s="1683">
        <v>29108.99</v>
      </c>
      <c r="AD709" s="1682"/>
      <c r="AE709" s="1326"/>
      <c r="AF709" s="1326"/>
      <c r="AG709" s="1410"/>
      <c r="AH709" s="1683">
        <v>1664270.15</v>
      </c>
      <c r="AI709" s="1683">
        <v>1664270.15</v>
      </c>
      <c r="AJ709" s="1683">
        <v>1189606.18</v>
      </c>
      <c r="AK709" s="1683">
        <v>1093151.6299999999</v>
      </c>
      <c r="AL709" s="1683">
        <v>96454.55</v>
      </c>
      <c r="AM709" s="1682"/>
      <c r="AN709" s="1683">
        <v>1286060.75</v>
      </c>
      <c r="AO709" s="1683">
        <v>1286060.75</v>
      </c>
      <c r="AP709" s="1683">
        <v>1189606.18</v>
      </c>
      <c r="AQ709" s="1683">
        <v>1093151.6299999999</v>
      </c>
      <c r="AR709" s="1683">
        <v>96454.55</v>
      </c>
      <c r="AS709" s="1683">
        <v>96454.57</v>
      </c>
      <c r="AT709" s="1683">
        <v>0</v>
      </c>
      <c r="AU709" s="1683">
        <v>96454.57</v>
      </c>
      <c r="AV709" s="1683">
        <v>0</v>
      </c>
      <c r="AW709" s="1683">
        <v>0</v>
      </c>
      <c r="AX709" s="1683">
        <v>0</v>
      </c>
      <c r="AY709" s="1683">
        <v>0</v>
      </c>
      <c r="AZ709" s="1683">
        <v>0</v>
      </c>
      <c r="BA709" s="1682"/>
      <c r="BB709" s="1682"/>
      <c r="BC709" s="1683">
        <v>0</v>
      </c>
      <c r="BD709" s="1683">
        <v>0</v>
      </c>
      <c r="BE709" s="1683">
        <v>1286060.75</v>
      </c>
      <c r="BF709" s="1683">
        <v>1286060.75</v>
      </c>
      <c r="BG709" s="1683">
        <v>1189606.18</v>
      </c>
      <c r="BH709" s="1683">
        <v>1093151.6299999999</v>
      </c>
      <c r="BI709" s="1683">
        <v>96454.55</v>
      </c>
      <c r="BJ709" s="1683">
        <v>96454.57</v>
      </c>
      <c r="BK709" s="1683">
        <v>0</v>
      </c>
      <c r="BL709" s="1683">
        <v>96454.57</v>
      </c>
      <c r="BM709" s="1683">
        <v>0</v>
      </c>
      <c r="BN709" s="1683">
        <v>0</v>
      </c>
      <c r="BO709" s="1682"/>
      <c r="BP709" s="1683">
        <v>1286060.75</v>
      </c>
      <c r="BQ709" s="1683">
        <v>1286060.75</v>
      </c>
      <c r="BR709" s="1683">
        <v>1189606.18</v>
      </c>
      <c r="BS709" s="1683">
        <v>1093151.6299999999</v>
      </c>
      <c r="BT709" s="1683">
        <v>96454.55</v>
      </c>
      <c r="BU709" s="1683">
        <v>96454.57</v>
      </c>
      <c r="BV709" s="1683">
        <v>0</v>
      </c>
      <c r="BW709" s="1683">
        <v>39744.44</v>
      </c>
      <c r="BX709" s="1683">
        <v>0</v>
      </c>
      <c r="BY709" s="1683">
        <v>0</v>
      </c>
      <c r="BZ709" s="1683">
        <v>0</v>
      </c>
      <c r="CA709" s="1683">
        <v>0</v>
      </c>
      <c r="CB709" s="1682"/>
      <c r="CC709" s="1682"/>
      <c r="CD709" s="1683">
        <v>0</v>
      </c>
      <c r="CE709" s="1683">
        <v>0</v>
      </c>
      <c r="CF709" s="1683">
        <v>0</v>
      </c>
      <c r="CG709" s="1683">
        <v>0</v>
      </c>
      <c r="CH709" s="1683">
        <v>0</v>
      </c>
      <c r="CI709" s="1683">
        <v>0</v>
      </c>
      <c r="CJ709" s="1683">
        <v>11325.23</v>
      </c>
      <c r="CK709" s="1683">
        <v>11325.23</v>
      </c>
      <c r="CL709" s="1682"/>
      <c r="CM709" s="1683">
        <v>367179.36</v>
      </c>
      <c r="CN709" s="1683">
        <v>367179.36</v>
      </c>
      <c r="CO709" s="1683">
        <v>327434.92</v>
      </c>
      <c r="CP709" s="1683">
        <v>300886.14</v>
      </c>
      <c r="CQ709" s="1683">
        <v>26548.78</v>
      </c>
      <c r="CR709" s="1683">
        <v>39744.44</v>
      </c>
      <c r="CS709" s="1683">
        <v>0</v>
      </c>
      <c r="CT709" s="1683">
        <v>39744.44</v>
      </c>
      <c r="CU709" s="1683">
        <v>0</v>
      </c>
      <c r="CV709" s="1683">
        <v>0</v>
      </c>
      <c r="CW709" s="1682"/>
      <c r="CX709" s="1683">
        <v>0</v>
      </c>
      <c r="CY709" s="1683">
        <v>0</v>
      </c>
      <c r="CZ709" s="1683">
        <v>367179.36</v>
      </c>
      <c r="DA709" s="1683">
        <v>367179.36</v>
      </c>
      <c r="DB709" s="1682"/>
      <c r="DC709" s="1326"/>
      <c r="DD709" s="1683">
        <v>0</v>
      </c>
      <c r="DE709" s="1683">
        <v>0</v>
      </c>
      <c r="DF709" s="1683">
        <v>0</v>
      </c>
      <c r="DG709" s="1683">
        <v>0</v>
      </c>
      <c r="DH709" s="1683">
        <v>0</v>
      </c>
    </row>
    <row r="710" spans="1:112">
      <c r="A710" s="1326" t="s">
        <v>2535</v>
      </c>
      <c r="B710" s="1326" t="s">
        <v>1700</v>
      </c>
      <c r="C710" s="1326" t="s">
        <v>2561</v>
      </c>
      <c r="D710" s="1326" t="s">
        <v>2562</v>
      </c>
      <c r="E710" s="1326"/>
      <c r="F710" s="1326"/>
      <c r="G710" s="1326"/>
      <c r="H710" s="1326"/>
      <c r="I710" s="1326"/>
      <c r="J710" s="1326"/>
      <c r="K710" s="1326"/>
      <c r="L710" s="1326"/>
      <c r="M710" s="1683">
        <v>1293732.57</v>
      </c>
      <c r="N710" s="1683">
        <v>0</v>
      </c>
      <c r="O710" s="1683">
        <v>1293732.57</v>
      </c>
      <c r="P710" s="1683">
        <v>1293732.57</v>
      </c>
      <c r="Q710" s="1683">
        <v>1196702.6200000001</v>
      </c>
      <c r="R710" s="1683">
        <v>1099672.68</v>
      </c>
      <c r="S710" s="1683">
        <v>97029.94</v>
      </c>
      <c r="T710" s="1683">
        <v>97029.95</v>
      </c>
      <c r="U710" s="1683">
        <v>0</v>
      </c>
      <c r="V710" s="1683">
        <v>97029.95</v>
      </c>
      <c r="W710" s="1683">
        <v>0</v>
      </c>
      <c r="X710" s="1683">
        <v>0</v>
      </c>
      <c r="Y710" s="1682"/>
      <c r="Z710" s="1326"/>
      <c r="AA710" s="1683">
        <v>359010.79</v>
      </c>
      <c r="AB710" s="1683">
        <v>329901.8</v>
      </c>
      <c r="AC710" s="1683">
        <v>29108.99</v>
      </c>
      <c r="AD710" s="1682"/>
      <c r="AE710" s="1326"/>
      <c r="AF710" s="1326"/>
      <c r="AG710" s="1410"/>
      <c r="AH710" s="1683">
        <v>1664270.15</v>
      </c>
      <c r="AI710" s="1683">
        <v>1664270.15</v>
      </c>
      <c r="AJ710" s="1683">
        <v>1189606.18</v>
      </c>
      <c r="AK710" s="1683">
        <v>1093151.6299999999</v>
      </c>
      <c r="AL710" s="1683">
        <v>96454.55</v>
      </c>
      <c r="AM710" s="1682"/>
      <c r="AN710" s="1683">
        <v>1286060.75</v>
      </c>
      <c r="AO710" s="1683">
        <v>1286060.75</v>
      </c>
      <c r="AP710" s="1683">
        <v>1189606.18</v>
      </c>
      <c r="AQ710" s="1683">
        <v>1093151.6299999999</v>
      </c>
      <c r="AR710" s="1683">
        <v>96454.55</v>
      </c>
      <c r="AS710" s="1683">
        <v>96454.57</v>
      </c>
      <c r="AT710" s="1683">
        <v>0</v>
      </c>
      <c r="AU710" s="1683">
        <v>96454.57</v>
      </c>
      <c r="AV710" s="1683">
        <v>0</v>
      </c>
      <c r="AW710" s="1683">
        <v>0</v>
      </c>
      <c r="AX710" s="1683">
        <v>0</v>
      </c>
      <c r="AY710" s="1683">
        <v>0</v>
      </c>
      <c r="AZ710" s="1683">
        <v>0</v>
      </c>
      <c r="BA710" s="1682"/>
      <c r="BB710" s="1682"/>
      <c r="BC710" s="1683">
        <v>0</v>
      </c>
      <c r="BD710" s="1683">
        <v>0</v>
      </c>
      <c r="BE710" s="1683">
        <v>1286060.75</v>
      </c>
      <c r="BF710" s="1683">
        <v>1286060.75</v>
      </c>
      <c r="BG710" s="1683">
        <v>1189606.18</v>
      </c>
      <c r="BH710" s="1683">
        <v>1093151.6299999999</v>
      </c>
      <c r="BI710" s="1683">
        <v>96454.55</v>
      </c>
      <c r="BJ710" s="1683">
        <v>96454.57</v>
      </c>
      <c r="BK710" s="1683">
        <v>0</v>
      </c>
      <c r="BL710" s="1683">
        <v>96454.57</v>
      </c>
      <c r="BM710" s="1683">
        <v>0</v>
      </c>
      <c r="BN710" s="1683">
        <v>0</v>
      </c>
      <c r="BO710" s="1682"/>
      <c r="BP710" s="1683">
        <v>1286060.75</v>
      </c>
      <c r="BQ710" s="1683">
        <v>1286060.75</v>
      </c>
      <c r="BR710" s="1683">
        <v>1189606.18</v>
      </c>
      <c r="BS710" s="1683">
        <v>1093151.6299999999</v>
      </c>
      <c r="BT710" s="1683">
        <v>96454.55</v>
      </c>
      <c r="BU710" s="1683">
        <v>96454.57</v>
      </c>
      <c r="BV710" s="1683">
        <v>0</v>
      </c>
      <c r="BW710" s="1683">
        <v>39744.44</v>
      </c>
      <c r="BX710" s="1683">
        <v>0</v>
      </c>
      <c r="BY710" s="1683">
        <v>0</v>
      </c>
      <c r="BZ710" s="1683">
        <v>0</v>
      </c>
      <c r="CA710" s="1683">
        <v>0</v>
      </c>
      <c r="CB710" s="1682"/>
      <c r="CC710" s="1682"/>
      <c r="CD710" s="1683">
        <v>0</v>
      </c>
      <c r="CE710" s="1683">
        <v>0</v>
      </c>
      <c r="CF710" s="1683">
        <v>0</v>
      </c>
      <c r="CG710" s="1683">
        <v>0</v>
      </c>
      <c r="CH710" s="1683">
        <v>0</v>
      </c>
      <c r="CI710" s="1683">
        <v>0</v>
      </c>
      <c r="CJ710" s="1683">
        <v>11325.23</v>
      </c>
      <c r="CK710" s="1683">
        <v>11325.23</v>
      </c>
      <c r="CL710" s="1682"/>
      <c r="CM710" s="1683">
        <v>367179.36</v>
      </c>
      <c r="CN710" s="1683">
        <v>367179.36</v>
      </c>
      <c r="CO710" s="1683">
        <v>327434.92</v>
      </c>
      <c r="CP710" s="1683">
        <v>300886.14</v>
      </c>
      <c r="CQ710" s="1683">
        <v>26548.78</v>
      </c>
      <c r="CR710" s="1683">
        <v>39744.44</v>
      </c>
      <c r="CS710" s="1683">
        <v>0</v>
      </c>
      <c r="CT710" s="1683">
        <v>39744.44</v>
      </c>
      <c r="CU710" s="1683">
        <v>0</v>
      </c>
      <c r="CV710" s="1683">
        <v>0</v>
      </c>
      <c r="CW710" s="1682"/>
      <c r="CX710" s="1683">
        <v>0</v>
      </c>
      <c r="CY710" s="1683">
        <v>0</v>
      </c>
      <c r="CZ710" s="1683">
        <v>367179.36</v>
      </c>
      <c r="DA710" s="1683">
        <v>367179.36</v>
      </c>
      <c r="DB710" s="1682"/>
      <c r="DC710" s="1326"/>
      <c r="DD710" s="1683">
        <v>0</v>
      </c>
      <c r="DE710" s="1683">
        <v>0</v>
      </c>
      <c r="DF710" s="1683">
        <v>0</v>
      </c>
      <c r="DG710" s="1683">
        <v>0</v>
      </c>
      <c r="DH710" s="1683">
        <v>0</v>
      </c>
    </row>
    <row r="711" spans="1:112">
      <c r="A711" s="1326" t="s">
        <v>2536</v>
      </c>
      <c r="B711" s="1326" t="s">
        <v>1700</v>
      </c>
      <c r="C711" s="1326" t="s">
        <v>2561</v>
      </c>
      <c r="D711" s="1326" t="s">
        <v>2562</v>
      </c>
      <c r="E711" s="1326" t="s">
        <v>178</v>
      </c>
      <c r="F711" s="1326"/>
      <c r="G711" s="1326"/>
      <c r="H711" s="1326"/>
      <c r="I711" s="1326"/>
      <c r="J711" s="1326"/>
      <c r="K711" s="1326"/>
      <c r="L711" s="1326"/>
      <c r="M711" s="1683">
        <v>1293732.57</v>
      </c>
      <c r="N711" s="1683">
        <v>0</v>
      </c>
      <c r="O711" s="1683">
        <v>1293732.57</v>
      </c>
      <c r="P711" s="1683">
        <v>1293732.57</v>
      </c>
      <c r="Q711" s="1683">
        <v>1196702.6200000001</v>
      </c>
      <c r="R711" s="1683">
        <v>1099672.68</v>
      </c>
      <c r="S711" s="1683">
        <v>97029.94</v>
      </c>
      <c r="T711" s="1683">
        <v>97029.95</v>
      </c>
      <c r="U711" s="1683">
        <v>0</v>
      </c>
      <c r="V711" s="1683">
        <v>97029.95</v>
      </c>
      <c r="W711" s="1683">
        <v>0</v>
      </c>
      <c r="X711" s="1683">
        <v>0</v>
      </c>
      <c r="Y711" s="1682"/>
      <c r="Z711" s="1326"/>
      <c r="AA711" s="1683">
        <v>359010.79</v>
      </c>
      <c r="AB711" s="1683">
        <v>329901.8</v>
      </c>
      <c r="AC711" s="1683">
        <v>29108.99</v>
      </c>
      <c r="AD711" s="1682"/>
      <c r="AE711" s="1326"/>
      <c r="AF711" s="1326"/>
      <c r="AG711" s="1410"/>
      <c r="AH711" s="1683">
        <v>1664270.15</v>
      </c>
      <c r="AI711" s="1683">
        <v>1664270.15</v>
      </c>
      <c r="AJ711" s="1683">
        <v>1189606.18</v>
      </c>
      <c r="AK711" s="1683">
        <v>1093151.6299999999</v>
      </c>
      <c r="AL711" s="1683">
        <v>96454.55</v>
      </c>
      <c r="AM711" s="1682"/>
      <c r="AN711" s="1683">
        <v>1286060.75</v>
      </c>
      <c r="AO711" s="1683">
        <v>1286060.75</v>
      </c>
      <c r="AP711" s="1683">
        <v>1189606.18</v>
      </c>
      <c r="AQ711" s="1683">
        <v>1093151.6299999999</v>
      </c>
      <c r="AR711" s="1683">
        <v>96454.55</v>
      </c>
      <c r="AS711" s="1683">
        <v>96454.57</v>
      </c>
      <c r="AT711" s="1683">
        <v>0</v>
      </c>
      <c r="AU711" s="1683">
        <v>96454.57</v>
      </c>
      <c r="AV711" s="1683">
        <v>0</v>
      </c>
      <c r="AW711" s="1683">
        <v>0</v>
      </c>
      <c r="AX711" s="1683">
        <v>0</v>
      </c>
      <c r="AY711" s="1683">
        <v>0</v>
      </c>
      <c r="AZ711" s="1683">
        <v>0</v>
      </c>
      <c r="BA711" s="1682"/>
      <c r="BB711" s="1682"/>
      <c r="BC711" s="1683">
        <v>0</v>
      </c>
      <c r="BD711" s="1683">
        <v>0</v>
      </c>
      <c r="BE711" s="1683">
        <v>1286060.75</v>
      </c>
      <c r="BF711" s="1683">
        <v>1286060.75</v>
      </c>
      <c r="BG711" s="1683">
        <v>1189606.18</v>
      </c>
      <c r="BH711" s="1683">
        <v>1093151.6299999999</v>
      </c>
      <c r="BI711" s="1683">
        <v>96454.55</v>
      </c>
      <c r="BJ711" s="1683">
        <v>96454.57</v>
      </c>
      <c r="BK711" s="1683">
        <v>0</v>
      </c>
      <c r="BL711" s="1683">
        <v>96454.57</v>
      </c>
      <c r="BM711" s="1683">
        <v>0</v>
      </c>
      <c r="BN711" s="1683">
        <v>0</v>
      </c>
      <c r="BO711" s="1682"/>
      <c r="BP711" s="1683">
        <v>1286060.75</v>
      </c>
      <c r="BQ711" s="1683">
        <v>1286060.75</v>
      </c>
      <c r="BR711" s="1683">
        <v>1189606.18</v>
      </c>
      <c r="BS711" s="1683">
        <v>1093151.6299999999</v>
      </c>
      <c r="BT711" s="1683">
        <v>96454.55</v>
      </c>
      <c r="BU711" s="1683">
        <v>96454.57</v>
      </c>
      <c r="BV711" s="1683">
        <v>0</v>
      </c>
      <c r="BW711" s="1683">
        <v>39744.44</v>
      </c>
      <c r="BX711" s="1683">
        <v>0</v>
      </c>
      <c r="BY711" s="1683">
        <v>0</v>
      </c>
      <c r="BZ711" s="1683">
        <v>0</v>
      </c>
      <c r="CA711" s="1683">
        <v>0</v>
      </c>
      <c r="CB711" s="1682"/>
      <c r="CC711" s="1682"/>
      <c r="CD711" s="1683">
        <v>0</v>
      </c>
      <c r="CE711" s="1683">
        <v>0</v>
      </c>
      <c r="CF711" s="1683">
        <v>0</v>
      </c>
      <c r="CG711" s="1683">
        <v>0</v>
      </c>
      <c r="CH711" s="1683">
        <v>0</v>
      </c>
      <c r="CI711" s="1683">
        <v>0</v>
      </c>
      <c r="CJ711" s="1683">
        <v>11325.23</v>
      </c>
      <c r="CK711" s="1683">
        <v>11325.23</v>
      </c>
      <c r="CL711" s="1682"/>
      <c r="CM711" s="1683">
        <v>367179.36</v>
      </c>
      <c r="CN711" s="1683">
        <v>367179.36</v>
      </c>
      <c r="CO711" s="1683">
        <v>327434.92</v>
      </c>
      <c r="CP711" s="1683">
        <v>300886.14</v>
      </c>
      <c r="CQ711" s="1683">
        <v>26548.78</v>
      </c>
      <c r="CR711" s="1683">
        <v>39744.44</v>
      </c>
      <c r="CS711" s="1683">
        <v>0</v>
      </c>
      <c r="CT711" s="1683">
        <v>39744.44</v>
      </c>
      <c r="CU711" s="1683">
        <v>0</v>
      </c>
      <c r="CV711" s="1683">
        <v>0</v>
      </c>
      <c r="CW711" s="1682"/>
      <c r="CX711" s="1683">
        <v>0</v>
      </c>
      <c r="CY711" s="1683">
        <v>0</v>
      </c>
      <c r="CZ711" s="1683">
        <v>367179.36</v>
      </c>
      <c r="DA711" s="1683">
        <v>367179.36</v>
      </c>
      <c r="DB711" s="1682"/>
      <c r="DC711" s="1326"/>
      <c r="DD711" s="1683">
        <v>0</v>
      </c>
      <c r="DE711" s="1683">
        <v>0</v>
      </c>
      <c r="DF711" s="1683">
        <v>0</v>
      </c>
      <c r="DG711" s="1683">
        <v>0</v>
      </c>
      <c r="DH711" s="1683">
        <v>0</v>
      </c>
    </row>
    <row r="712" spans="1:112" ht="67.5">
      <c r="A712" s="1326" t="s">
        <v>2025</v>
      </c>
      <c r="B712" s="1326" t="s">
        <v>1700</v>
      </c>
      <c r="C712" s="1326" t="s">
        <v>2561</v>
      </c>
      <c r="D712" s="1326" t="s">
        <v>2562</v>
      </c>
      <c r="E712" s="1326" t="s">
        <v>178</v>
      </c>
      <c r="F712" s="1326" t="s">
        <v>2563</v>
      </c>
      <c r="G712" s="1326" t="s">
        <v>2556</v>
      </c>
      <c r="H712" s="1326" t="s">
        <v>2541</v>
      </c>
      <c r="I712" s="1326" t="s">
        <v>689</v>
      </c>
      <c r="J712" s="1326" t="s">
        <v>3498</v>
      </c>
      <c r="K712" s="1326" t="s">
        <v>2071</v>
      </c>
      <c r="L712" s="1326" t="s">
        <v>2137</v>
      </c>
      <c r="M712" s="1683">
        <v>1293732.57</v>
      </c>
      <c r="N712" s="1683">
        <v>0</v>
      </c>
      <c r="O712" s="1683">
        <v>1293732.57</v>
      </c>
      <c r="P712" s="1683">
        <v>1293732.57</v>
      </c>
      <c r="Q712" s="1683">
        <v>1196702.6200000001</v>
      </c>
      <c r="R712" s="1683">
        <v>1099672.68</v>
      </c>
      <c r="S712" s="1683">
        <v>97029.94</v>
      </c>
      <c r="T712" s="1683">
        <v>97029.95</v>
      </c>
      <c r="U712" s="1683">
        <v>0</v>
      </c>
      <c r="V712" s="1683">
        <v>97029.95</v>
      </c>
      <c r="W712" s="1683">
        <v>0</v>
      </c>
      <c r="X712" s="1683">
        <v>0</v>
      </c>
      <c r="Y712" s="1682"/>
      <c r="Z712" s="1326"/>
      <c r="AA712" s="1683">
        <v>359010.79</v>
      </c>
      <c r="AB712" s="1683">
        <v>329901.8</v>
      </c>
      <c r="AC712" s="1683">
        <v>29108.99</v>
      </c>
      <c r="AD712" s="1682"/>
      <c r="AE712" s="1326"/>
      <c r="AF712" s="1326"/>
      <c r="AG712" s="1410"/>
      <c r="AH712" s="1683">
        <v>1664270.15</v>
      </c>
      <c r="AI712" s="1683">
        <v>1664270.15</v>
      </c>
      <c r="AJ712" s="1683">
        <v>1189606.18</v>
      </c>
      <c r="AK712" s="1683">
        <v>1093151.6299999999</v>
      </c>
      <c r="AL712" s="1683">
        <v>96454.55</v>
      </c>
      <c r="AM712" s="1682"/>
      <c r="AN712" s="1683">
        <v>1286060.75</v>
      </c>
      <c r="AO712" s="1683">
        <v>1286060.75</v>
      </c>
      <c r="AP712" s="1683">
        <v>1189606.18</v>
      </c>
      <c r="AQ712" s="1683">
        <v>1093151.6299999999</v>
      </c>
      <c r="AR712" s="1683">
        <v>96454.55</v>
      </c>
      <c r="AS712" s="1683">
        <v>96454.57</v>
      </c>
      <c r="AT712" s="1683">
        <v>0</v>
      </c>
      <c r="AU712" s="1683">
        <v>96454.57</v>
      </c>
      <c r="AV712" s="1683">
        <v>0</v>
      </c>
      <c r="AW712" s="1683">
        <v>0</v>
      </c>
      <c r="AX712" s="1683">
        <v>0</v>
      </c>
      <c r="AY712" s="1683">
        <v>0</v>
      </c>
      <c r="AZ712" s="1683">
        <v>0</v>
      </c>
      <c r="BA712" s="1682"/>
      <c r="BB712" s="1682"/>
      <c r="BC712" s="1683">
        <v>0</v>
      </c>
      <c r="BD712" s="1683">
        <v>0</v>
      </c>
      <c r="BE712" s="1683">
        <v>1286060.75</v>
      </c>
      <c r="BF712" s="1683">
        <v>1286060.75</v>
      </c>
      <c r="BG712" s="1683">
        <v>1189606.18</v>
      </c>
      <c r="BH712" s="1683">
        <v>1093151.6299999999</v>
      </c>
      <c r="BI712" s="1683">
        <v>96454.55</v>
      </c>
      <c r="BJ712" s="1683">
        <v>96454.57</v>
      </c>
      <c r="BK712" s="1683">
        <v>0</v>
      </c>
      <c r="BL712" s="1683">
        <v>96454.57</v>
      </c>
      <c r="BM712" s="1683">
        <v>0</v>
      </c>
      <c r="BN712" s="1683">
        <v>0</v>
      </c>
      <c r="BO712" s="1682"/>
      <c r="BP712" s="1683">
        <v>1286060.75</v>
      </c>
      <c r="BQ712" s="1683">
        <v>1286060.75</v>
      </c>
      <c r="BR712" s="1683">
        <v>1189606.18</v>
      </c>
      <c r="BS712" s="1683">
        <v>1093151.6299999999</v>
      </c>
      <c r="BT712" s="1683">
        <v>96454.55</v>
      </c>
      <c r="BU712" s="1683">
        <v>96454.57</v>
      </c>
      <c r="BV712" s="1683">
        <v>0</v>
      </c>
      <c r="BW712" s="1683">
        <v>39744.44</v>
      </c>
      <c r="BX712" s="1683">
        <v>0</v>
      </c>
      <c r="BY712" s="1683">
        <v>0</v>
      </c>
      <c r="BZ712" s="1683">
        <v>0</v>
      </c>
      <c r="CA712" s="1683">
        <v>0</v>
      </c>
      <c r="CB712" s="1682"/>
      <c r="CC712" s="1682"/>
      <c r="CD712" s="1683">
        <v>0</v>
      </c>
      <c r="CE712" s="1683">
        <v>0</v>
      </c>
      <c r="CF712" s="1683">
        <v>0</v>
      </c>
      <c r="CG712" s="1683">
        <v>0</v>
      </c>
      <c r="CH712" s="1683">
        <v>0</v>
      </c>
      <c r="CI712" s="1683">
        <v>0</v>
      </c>
      <c r="CJ712" s="1683">
        <v>11325.23</v>
      </c>
      <c r="CK712" s="1683">
        <v>11325.23</v>
      </c>
      <c r="CL712" s="1682"/>
      <c r="CM712" s="1683">
        <v>367179.36</v>
      </c>
      <c r="CN712" s="1683">
        <v>367179.36</v>
      </c>
      <c r="CO712" s="1683">
        <v>327434.92</v>
      </c>
      <c r="CP712" s="1683">
        <v>300886.14</v>
      </c>
      <c r="CQ712" s="1683">
        <v>26548.78</v>
      </c>
      <c r="CR712" s="1683">
        <v>39744.44</v>
      </c>
      <c r="CS712" s="1683">
        <v>0</v>
      </c>
      <c r="CT712" s="1683">
        <v>39744.44</v>
      </c>
      <c r="CU712" s="1683">
        <v>0</v>
      </c>
      <c r="CV712" s="1683">
        <v>0</v>
      </c>
      <c r="CW712" s="1682"/>
      <c r="CX712" s="1683">
        <v>0</v>
      </c>
      <c r="CY712" s="1683">
        <v>0</v>
      </c>
      <c r="CZ712" s="1683">
        <v>367179.36</v>
      </c>
      <c r="DA712" s="1683">
        <v>367179.36</v>
      </c>
      <c r="DB712" s="1682"/>
      <c r="DC712" s="1326"/>
      <c r="DD712" s="1683">
        <v>0</v>
      </c>
      <c r="DE712" s="1683">
        <v>0</v>
      </c>
      <c r="DF712" s="1683">
        <v>0</v>
      </c>
      <c r="DG712" s="1683">
        <v>0</v>
      </c>
      <c r="DH712" s="1683">
        <v>0</v>
      </c>
    </row>
    <row r="713" spans="1:112" ht="67.5">
      <c r="A713" s="1326" t="s">
        <v>2072</v>
      </c>
      <c r="B713" s="1326" t="s">
        <v>1700</v>
      </c>
      <c r="C713" s="1326" t="s">
        <v>2561</v>
      </c>
      <c r="D713" s="1326" t="s">
        <v>2562</v>
      </c>
      <c r="E713" s="1326" t="s">
        <v>178</v>
      </c>
      <c r="F713" s="1326" t="s">
        <v>2563</v>
      </c>
      <c r="G713" s="1326" t="s">
        <v>2556</v>
      </c>
      <c r="H713" s="1326" t="s">
        <v>2541</v>
      </c>
      <c r="I713" s="1326" t="s">
        <v>689</v>
      </c>
      <c r="J713" s="1326" t="s">
        <v>3498</v>
      </c>
      <c r="K713" s="1326" t="s">
        <v>2071</v>
      </c>
      <c r="L713" s="1326" t="s">
        <v>2137</v>
      </c>
      <c r="M713" s="1400"/>
      <c r="N713" s="1400"/>
      <c r="O713" s="1400"/>
      <c r="P713" s="1400"/>
      <c r="Q713" s="1400"/>
      <c r="R713" s="1400"/>
      <c r="S713" s="1400"/>
      <c r="T713" s="1400"/>
      <c r="U713" s="1400"/>
      <c r="V713" s="1400"/>
      <c r="W713" s="1400"/>
      <c r="X713" s="1400"/>
      <c r="Y713" s="1682"/>
      <c r="Z713" s="1326"/>
      <c r="AA713" s="1683">
        <v>0</v>
      </c>
      <c r="AB713" s="1683">
        <v>0</v>
      </c>
      <c r="AC713" s="1683">
        <v>0</v>
      </c>
      <c r="AD713" s="1682"/>
      <c r="AE713" s="1326" t="s">
        <v>2171</v>
      </c>
      <c r="AF713" s="1326"/>
      <c r="AG713" s="1410" t="s">
        <v>3627</v>
      </c>
      <c r="AH713" s="1683">
        <v>0</v>
      </c>
      <c r="AI713" s="1683">
        <v>0</v>
      </c>
      <c r="AJ713" s="1683">
        <v>0</v>
      </c>
      <c r="AK713" s="1683">
        <v>0</v>
      </c>
      <c r="AL713" s="1683">
        <v>0</v>
      </c>
      <c r="AM713" s="1682"/>
      <c r="AN713" s="1683">
        <v>0</v>
      </c>
      <c r="AO713" s="1683">
        <v>0</v>
      </c>
      <c r="AP713" s="1683">
        <v>0</v>
      </c>
      <c r="AQ713" s="1683">
        <v>0</v>
      </c>
      <c r="AR713" s="1683">
        <v>0</v>
      </c>
      <c r="AS713" s="1683">
        <v>0</v>
      </c>
      <c r="AT713" s="1683">
        <v>0</v>
      </c>
      <c r="AU713" s="1683">
        <v>0</v>
      </c>
      <c r="AV713" s="1683">
        <v>0</v>
      </c>
      <c r="AW713" s="1683">
        <v>0</v>
      </c>
      <c r="AX713" s="1400"/>
      <c r="AY713" s="1400"/>
      <c r="AZ713" s="1400"/>
      <c r="BA713" s="1682"/>
      <c r="BB713" s="1682"/>
      <c r="BC713" s="1400"/>
      <c r="BD713" s="1400"/>
      <c r="BE713" s="1683">
        <v>0</v>
      </c>
      <c r="BF713" s="1683">
        <v>0</v>
      </c>
      <c r="BG713" s="1683">
        <v>0</v>
      </c>
      <c r="BH713" s="1683">
        <v>0</v>
      </c>
      <c r="BI713" s="1683">
        <v>0</v>
      </c>
      <c r="BJ713" s="1683">
        <v>0</v>
      </c>
      <c r="BK713" s="1683">
        <v>0</v>
      </c>
      <c r="BL713" s="1683">
        <v>0</v>
      </c>
      <c r="BM713" s="1683">
        <v>0</v>
      </c>
      <c r="BN713" s="1683">
        <v>0</v>
      </c>
      <c r="BO713" s="1682"/>
      <c r="BP713" s="1683">
        <v>0</v>
      </c>
      <c r="BQ713" s="1683">
        <v>0</v>
      </c>
      <c r="BR713" s="1683">
        <v>0</v>
      </c>
      <c r="BS713" s="1683">
        <v>0</v>
      </c>
      <c r="BT713" s="1683">
        <v>0</v>
      </c>
      <c r="BU713" s="1683">
        <v>0</v>
      </c>
      <c r="BV713" s="1683">
        <v>0</v>
      </c>
      <c r="BW713" s="1683">
        <v>0</v>
      </c>
      <c r="BX713" s="1683">
        <v>0</v>
      </c>
      <c r="BY713" s="1683">
        <v>0</v>
      </c>
      <c r="BZ713" s="1683">
        <v>0</v>
      </c>
      <c r="CA713" s="1400"/>
      <c r="CB713" s="1682"/>
      <c r="CC713" s="1682"/>
      <c r="CD713" s="1400"/>
      <c r="CE713" s="1400"/>
      <c r="CF713" s="1683">
        <v>0</v>
      </c>
      <c r="CG713" s="1683">
        <v>0</v>
      </c>
      <c r="CH713" s="1683">
        <v>0</v>
      </c>
      <c r="CI713" s="1683">
        <v>0</v>
      </c>
      <c r="CJ713" s="1683">
        <v>0</v>
      </c>
      <c r="CK713" s="1683">
        <v>0</v>
      </c>
      <c r="CL713" s="1682"/>
      <c r="CM713" s="1683">
        <v>0</v>
      </c>
      <c r="CN713" s="1683">
        <v>0</v>
      </c>
      <c r="CO713" s="1683">
        <v>0</v>
      </c>
      <c r="CP713" s="1683">
        <v>0</v>
      </c>
      <c r="CQ713" s="1683">
        <v>0</v>
      </c>
      <c r="CR713" s="1683">
        <v>0</v>
      </c>
      <c r="CS713" s="1683">
        <v>0</v>
      </c>
      <c r="CT713" s="1683">
        <v>0</v>
      </c>
      <c r="CU713" s="1683">
        <v>0</v>
      </c>
      <c r="CV713" s="1683">
        <v>0</v>
      </c>
      <c r="CW713" s="1682"/>
      <c r="CX713" s="1400"/>
      <c r="CY713" s="1400"/>
      <c r="CZ713" s="1400"/>
      <c r="DA713" s="1400"/>
      <c r="DB713" s="1682"/>
      <c r="DC713" s="1326"/>
      <c r="DD713" s="1683">
        <v>0</v>
      </c>
      <c r="DE713" s="1400"/>
      <c r="DF713" s="1400"/>
      <c r="DG713" s="1683">
        <v>0</v>
      </c>
      <c r="DH713" s="1683">
        <v>0</v>
      </c>
    </row>
    <row r="714" spans="1:112" ht="67.5">
      <c r="A714" s="1326" t="s">
        <v>2074</v>
      </c>
      <c r="B714" s="1326" t="s">
        <v>1700</v>
      </c>
      <c r="C714" s="1326" t="s">
        <v>2561</v>
      </c>
      <c r="D714" s="1326" t="s">
        <v>2562</v>
      </c>
      <c r="E714" s="1326" t="s">
        <v>178</v>
      </c>
      <c r="F714" s="1326" t="s">
        <v>2563</v>
      </c>
      <c r="G714" s="1326" t="s">
        <v>2556</v>
      </c>
      <c r="H714" s="1326" t="s">
        <v>2541</v>
      </c>
      <c r="I714" s="1326" t="s">
        <v>689</v>
      </c>
      <c r="J714" s="1326" t="s">
        <v>3498</v>
      </c>
      <c r="K714" s="1326" t="s">
        <v>2071</v>
      </c>
      <c r="L714" s="1326" t="s">
        <v>2137</v>
      </c>
      <c r="M714" s="1400"/>
      <c r="N714" s="1400"/>
      <c r="O714" s="1400"/>
      <c r="P714" s="1400"/>
      <c r="Q714" s="1400"/>
      <c r="R714" s="1400"/>
      <c r="S714" s="1400"/>
      <c r="T714" s="1400"/>
      <c r="U714" s="1400"/>
      <c r="V714" s="1400"/>
      <c r="W714" s="1400"/>
      <c r="X714" s="1400"/>
      <c r="Y714" s="1682"/>
      <c r="Z714" s="1326"/>
      <c r="AA714" s="1683">
        <v>0</v>
      </c>
      <c r="AB714" s="1683">
        <v>0</v>
      </c>
      <c r="AC714" s="1683">
        <v>0</v>
      </c>
      <c r="AD714" s="1682"/>
      <c r="AE714" s="1326" t="s">
        <v>2171</v>
      </c>
      <c r="AF714" s="1326" t="s">
        <v>3628</v>
      </c>
      <c r="AG714" s="1410" t="s">
        <v>3627</v>
      </c>
      <c r="AH714" s="1683">
        <v>0</v>
      </c>
      <c r="AI714" s="1683">
        <v>0</v>
      </c>
      <c r="AJ714" s="1683">
        <v>0</v>
      </c>
      <c r="AK714" s="1683">
        <v>0</v>
      </c>
      <c r="AL714" s="1683">
        <v>0</v>
      </c>
      <c r="AM714" s="1682"/>
      <c r="AN714" s="1683">
        <v>0</v>
      </c>
      <c r="AO714" s="1683">
        <v>0</v>
      </c>
      <c r="AP714" s="1683">
        <v>0</v>
      </c>
      <c r="AQ714" s="1683">
        <v>0</v>
      </c>
      <c r="AR714" s="1683">
        <v>0</v>
      </c>
      <c r="AS714" s="1683">
        <v>0</v>
      </c>
      <c r="AT714" s="1683">
        <v>0</v>
      </c>
      <c r="AU714" s="1683">
        <v>0</v>
      </c>
      <c r="AV714" s="1683">
        <v>0</v>
      </c>
      <c r="AW714" s="1683">
        <v>0</v>
      </c>
      <c r="AX714" s="1400"/>
      <c r="AY714" s="1400"/>
      <c r="AZ714" s="1400"/>
      <c r="BA714" s="1682"/>
      <c r="BB714" s="1682"/>
      <c r="BC714" s="1400"/>
      <c r="BD714" s="1400"/>
      <c r="BE714" s="1683">
        <v>0</v>
      </c>
      <c r="BF714" s="1683">
        <v>0</v>
      </c>
      <c r="BG714" s="1683">
        <v>0</v>
      </c>
      <c r="BH714" s="1683">
        <v>0</v>
      </c>
      <c r="BI714" s="1683">
        <v>0</v>
      </c>
      <c r="BJ714" s="1683">
        <v>0</v>
      </c>
      <c r="BK714" s="1683">
        <v>0</v>
      </c>
      <c r="BL714" s="1683">
        <v>0</v>
      </c>
      <c r="BM714" s="1683">
        <v>0</v>
      </c>
      <c r="BN714" s="1683">
        <v>0</v>
      </c>
      <c r="BO714" s="1682"/>
      <c r="BP714" s="1683">
        <v>0</v>
      </c>
      <c r="BQ714" s="1683">
        <v>0</v>
      </c>
      <c r="BR714" s="1683">
        <v>0</v>
      </c>
      <c r="BS714" s="1683">
        <v>0</v>
      </c>
      <c r="BT714" s="1683">
        <v>0</v>
      </c>
      <c r="BU714" s="1683">
        <v>0</v>
      </c>
      <c r="BV714" s="1683">
        <v>0</v>
      </c>
      <c r="BW714" s="1683">
        <v>0</v>
      </c>
      <c r="BX714" s="1683">
        <v>0</v>
      </c>
      <c r="BY714" s="1683">
        <v>0</v>
      </c>
      <c r="BZ714" s="1683">
        <v>0</v>
      </c>
      <c r="CA714" s="1400"/>
      <c r="CB714" s="1682"/>
      <c r="CC714" s="1682"/>
      <c r="CD714" s="1400"/>
      <c r="CE714" s="1400"/>
      <c r="CF714" s="1683">
        <v>0</v>
      </c>
      <c r="CG714" s="1683">
        <v>0</v>
      </c>
      <c r="CH714" s="1683">
        <v>0</v>
      </c>
      <c r="CI714" s="1683">
        <v>0</v>
      </c>
      <c r="CJ714" s="1683">
        <v>0</v>
      </c>
      <c r="CK714" s="1683">
        <v>0</v>
      </c>
      <c r="CL714" s="1682"/>
      <c r="CM714" s="1683">
        <v>0</v>
      </c>
      <c r="CN714" s="1683">
        <v>0</v>
      </c>
      <c r="CO714" s="1683">
        <v>0</v>
      </c>
      <c r="CP714" s="1683">
        <v>0</v>
      </c>
      <c r="CQ714" s="1683">
        <v>0</v>
      </c>
      <c r="CR714" s="1683">
        <v>0</v>
      </c>
      <c r="CS714" s="1683">
        <v>0</v>
      </c>
      <c r="CT714" s="1683">
        <v>0</v>
      </c>
      <c r="CU714" s="1683">
        <v>0</v>
      </c>
      <c r="CV714" s="1683">
        <v>0</v>
      </c>
      <c r="CW714" s="1682"/>
      <c r="CX714" s="1400"/>
      <c r="CY714" s="1400"/>
      <c r="CZ714" s="1400"/>
      <c r="DA714" s="1400"/>
      <c r="DB714" s="1682"/>
      <c r="DC714" s="1326"/>
      <c r="DD714" s="1683">
        <v>0</v>
      </c>
      <c r="DE714" s="1400"/>
      <c r="DF714" s="1400"/>
      <c r="DG714" s="1683">
        <v>0</v>
      </c>
      <c r="DH714" s="1683">
        <v>0</v>
      </c>
    </row>
    <row r="715" spans="1:112" ht="67.5">
      <c r="A715" s="1326" t="s">
        <v>2075</v>
      </c>
      <c r="B715" s="1326" t="s">
        <v>1700</v>
      </c>
      <c r="C715" s="1326" t="s">
        <v>2561</v>
      </c>
      <c r="D715" s="1326" t="s">
        <v>2562</v>
      </c>
      <c r="E715" s="1326" t="s">
        <v>178</v>
      </c>
      <c r="F715" s="1326" t="s">
        <v>2563</v>
      </c>
      <c r="G715" s="1326" t="s">
        <v>2556</v>
      </c>
      <c r="H715" s="1326" t="s">
        <v>2541</v>
      </c>
      <c r="I715" s="1326" t="s">
        <v>689</v>
      </c>
      <c r="J715" s="1326" t="s">
        <v>3498</v>
      </c>
      <c r="K715" s="1326" t="s">
        <v>2071</v>
      </c>
      <c r="L715" s="1326" t="s">
        <v>2137</v>
      </c>
      <c r="M715" s="1400"/>
      <c r="N715" s="1400"/>
      <c r="O715" s="1400"/>
      <c r="P715" s="1400"/>
      <c r="Q715" s="1400"/>
      <c r="R715" s="1400"/>
      <c r="S715" s="1400"/>
      <c r="T715" s="1400"/>
      <c r="U715" s="1400"/>
      <c r="V715" s="1400"/>
      <c r="W715" s="1400"/>
      <c r="X715" s="1400"/>
      <c r="Y715" s="1685">
        <v>42849</v>
      </c>
      <c r="Z715" s="1326" t="s">
        <v>2096</v>
      </c>
      <c r="AA715" s="1683">
        <v>0</v>
      </c>
      <c r="AB715" s="1683">
        <v>0</v>
      </c>
      <c r="AC715" s="1683">
        <v>0</v>
      </c>
      <c r="AD715" s="1685">
        <v>42858</v>
      </c>
      <c r="AE715" s="1326" t="s">
        <v>2073</v>
      </c>
      <c r="AF715" s="1326" t="s">
        <v>2064</v>
      </c>
      <c r="AG715" s="1410"/>
      <c r="AH715" s="1683">
        <v>378209.4</v>
      </c>
      <c r="AI715" s="1683">
        <v>378209.4</v>
      </c>
      <c r="AJ715" s="1683">
        <v>378209.4</v>
      </c>
      <c r="AK715" s="1683">
        <v>347543.77</v>
      </c>
      <c r="AL715" s="1683">
        <v>30665.63</v>
      </c>
      <c r="AM715" s="1682"/>
      <c r="AN715" s="1683">
        <v>0</v>
      </c>
      <c r="AO715" s="1683">
        <v>0</v>
      </c>
      <c r="AP715" s="1683">
        <v>0</v>
      </c>
      <c r="AQ715" s="1683">
        <v>0</v>
      </c>
      <c r="AR715" s="1683">
        <v>0</v>
      </c>
      <c r="AS715" s="1683">
        <v>0</v>
      </c>
      <c r="AT715" s="1683">
        <v>0</v>
      </c>
      <c r="AU715" s="1683">
        <v>0</v>
      </c>
      <c r="AV715" s="1683">
        <v>0</v>
      </c>
      <c r="AW715" s="1683">
        <v>0</v>
      </c>
      <c r="AX715" s="1400"/>
      <c r="AY715" s="1400"/>
      <c r="AZ715" s="1400"/>
      <c r="BA715" s="1682"/>
      <c r="BB715" s="1682"/>
      <c r="BC715" s="1400"/>
      <c r="BD715" s="1400"/>
      <c r="BE715" s="1683">
        <v>0</v>
      </c>
      <c r="BF715" s="1683">
        <v>0</v>
      </c>
      <c r="BG715" s="1683">
        <v>0</v>
      </c>
      <c r="BH715" s="1683">
        <v>0</v>
      </c>
      <c r="BI715" s="1683">
        <v>0</v>
      </c>
      <c r="BJ715" s="1683">
        <v>0</v>
      </c>
      <c r="BK715" s="1683">
        <v>0</v>
      </c>
      <c r="BL715" s="1683">
        <v>0</v>
      </c>
      <c r="BM715" s="1683">
        <v>0</v>
      </c>
      <c r="BN715" s="1683">
        <v>0</v>
      </c>
      <c r="BO715" s="1682"/>
      <c r="BP715" s="1683">
        <v>0</v>
      </c>
      <c r="BQ715" s="1683">
        <v>0</v>
      </c>
      <c r="BR715" s="1683">
        <v>0</v>
      </c>
      <c r="BS715" s="1683">
        <v>0</v>
      </c>
      <c r="BT715" s="1683">
        <v>0</v>
      </c>
      <c r="BU715" s="1683">
        <v>0</v>
      </c>
      <c r="BV715" s="1683">
        <v>0</v>
      </c>
      <c r="BW715" s="1683">
        <v>0</v>
      </c>
      <c r="BX715" s="1683">
        <v>0</v>
      </c>
      <c r="BY715" s="1683">
        <v>0</v>
      </c>
      <c r="BZ715" s="1400"/>
      <c r="CA715" s="1400"/>
      <c r="CB715" s="1682"/>
      <c r="CC715" s="1682"/>
      <c r="CD715" s="1400"/>
      <c r="CE715" s="1400"/>
      <c r="CF715" s="1683">
        <v>0</v>
      </c>
      <c r="CG715" s="1683">
        <v>0</v>
      </c>
      <c r="CH715" s="1683">
        <v>0</v>
      </c>
      <c r="CI715" s="1683">
        <v>0</v>
      </c>
      <c r="CJ715" s="1683">
        <v>0</v>
      </c>
      <c r="CK715" s="1683">
        <v>0</v>
      </c>
      <c r="CL715" s="1682"/>
      <c r="CM715" s="1683">
        <v>0</v>
      </c>
      <c r="CN715" s="1683">
        <v>0</v>
      </c>
      <c r="CO715" s="1683">
        <v>0</v>
      </c>
      <c r="CP715" s="1683">
        <v>0</v>
      </c>
      <c r="CQ715" s="1683">
        <v>0</v>
      </c>
      <c r="CR715" s="1683">
        <v>0</v>
      </c>
      <c r="CS715" s="1683">
        <v>0</v>
      </c>
      <c r="CT715" s="1683">
        <v>0</v>
      </c>
      <c r="CU715" s="1683">
        <v>0</v>
      </c>
      <c r="CV715" s="1683">
        <v>0</v>
      </c>
      <c r="CW715" s="1682"/>
      <c r="CX715" s="1400"/>
      <c r="CY715" s="1400"/>
      <c r="CZ715" s="1400"/>
      <c r="DA715" s="1400"/>
      <c r="DB715" s="1682"/>
      <c r="DC715" s="1326"/>
      <c r="DD715" s="1683">
        <v>0</v>
      </c>
      <c r="DE715" s="1400"/>
      <c r="DF715" s="1400"/>
      <c r="DG715" s="1683">
        <v>0</v>
      </c>
      <c r="DH715" s="1683">
        <v>0</v>
      </c>
    </row>
    <row r="716" spans="1:112" ht="67.5">
      <c r="A716" s="1326" t="s">
        <v>2026</v>
      </c>
      <c r="B716" s="1326" t="s">
        <v>1700</v>
      </c>
      <c r="C716" s="1326" t="s">
        <v>2561</v>
      </c>
      <c r="D716" s="1326" t="s">
        <v>2562</v>
      </c>
      <c r="E716" s="1326" t="s">
        <v>178</v>
      </c>
      <c r="F716" s="1326" t="s">
        <v>2563</v>
      </c>
      <c r="G716" s="1326" t="s">
        <v>2556</v>
      </c>
      <c r="H716" s="1326" t="s">
        <v>2541</v>
      </c>
      <c r="I716" s="1326" t="s">
        <v>689</v>
      </c>
      <c r="J716" s="1326" t="s">
        <v>3498</v>
      </c>
      <c r="K716" s="1326" t="s">
        <v>2071</v>
      </c>
      <c r="L716" s="1326" t="s">
        <v>2137</v>
      </c>
      <c r="M716" s="1400"/>
      <c r="N716" s="1400"/>
      <c r="O716" s="1400"/>
      <c r="P716" s="1400"/>
      <c r="Q716" s="1400"/>
      <c r="R716" s="1400"/>
      <c r="S716" s="1400"/>
      <c r="T716" s="1400"/>
      <c r="U716" s="1400"/>
      <c r="V716" s="1400"/>
      <c r="W716" s="1400"/>
      <c r="X716" s="1400"/>
      <c r="Y716" s="1685">
        <v>42881</v>
      </c>
      <c r="Z716" s="1326" t="s">
        <v>2062</v>
      </c>
      <c r="AA716" s="1683">
        <v>0</v>
      </c>
      <c r="AB716" s="1683">
        <v>0</v>
      </c>
      <c r="AC716" s="1683">
        <v>0</v>
      </c>
      <c r="AD716" s="1685">
        <v>42907</v>
      </c>
      <c r="AE716" s="1326" t="s">
        <v>2063</v>
      </c>
      <c r="AF716" s="1326" t="s">
        <v>2067</v>
      </c>
      <c r="AG716" s="1410"/>
      <c r="AH716" s="1683">
        <v>104718.26</v>
      </c>
      <c r="AI716" s="1683">
        <v>104718.26</v>
      </c>
      <c r="AJ716" s="1683">
        <v>93383.29</v>
      </c>
      <c r="AK716" s="1683">
        <v>85811.67</v>
      </c>
      <c r="AL716" s="1683">
        <v>7571.62</v>
      </c>
      <c r="AM716" s="1685">
        <v>42908</v>
      </c>
      <c r="AN716" s="1683">
        <v>104718.26</v>
      </c>
      <c r="AO716" s="1683">
        <v>104718.26</v>
      </c>
      <c r="AP716" s="1683">
        <v>93383.29</v>
      </c>
      <c r="AQ716" s="1683">
        <v>85811.67</v>
      </c>
      <c r="AR716" s="1683">
        <v>7571.62</v>
      </c>
      <c r="AS716" s="1683">
        <v>11334.97</v>
      </c>
      <c r="AT716" s="1683">
        <v>0</v>
      </c>
      <c r="AU716" s="1683">
        <v>11334.97</v>
      </c>
      <c r="AV716" s="1683">
        <v>0</v>
      </c>
      <c r="AW716" s="1683">
        <v>0</v>
      </c>
      <c r="AX716" s="1400"/>
      <c r="AY716" s="1400"/>
      <c r="AZ716" s="1400"/>
      <c r="BA716" s="1682"/>
      <c r="BB716" s="1682"/>
      <c r="BC716" s="1400"/>
      <c r="BD716" s="1400"/>
      <c r="BE716" s="1683">
        <v>104718.26</v>
      </c>
      <c r="BF716" s="1683">
        <v>104718.26</v>
      </c>
      <c r="BG716" s="1683">
        <v>93383.29</v>
      </c>
      <c r="BH716" s="1683">
        <v>85811.67</v>
      </c>
      <c r="BI716" s="1683">
        <v>7571.62</v>
      </c>
      <c r="BJ716" s="1683">
        <v>11334.97</v>
      </c>
      <c r="BK716" s="1683">
        <v>0</v>
      </c>
      <c r="BL716" s="1683">
        <v>11334.97</v>
      </c>
      <c r="BM716" s="1683">
        <v>0</v>
      </c>
      <c r="BN716" s="1683">
        <v>0</v>
      </c>
      <c r="BO716" s="1685">
        <v>42993</v>
      </c>
      <c r="BP716" s="1683">
        <v>104718.26</v>
      </c>
      <c r="BQ716" s="1683">
        <v>104718.26</v>
      </c>
      <c r="BR716" s="1683">
        <v>93383.29</v>
      </c>
      <c r="BS716" s="1683">
        <v>85811.67</v>
      </c>
      <c r="BT716" s="1683">
        <v>7571.62</v>
      </c>
      <c r="BU716" s="1683">
        <v>11334.97</v>
      </c>
      <c r="BV716" s="1683">
        <v>0</v>
      </c>
      <c r="BW716" s="1683">
        <v>11334.97</v>
      </c>
      <c r="BX716" s="1683">
        <v>0</v>
      </c>
      <c r="BY716" s="1683">
        <v>0</v>
      </c>
      <c r="BZ716" s="1683">
        <v>0</v>
      </c>
      <c r="CA716" s="1400"/>
      <c r="CB716" s="1682"/>
      <c r="CC716" s="1682"/>
      <c r="CD716" s="1400"/>
      <c r="CE716" s="1400"/>
      <c r="CF716" s="1683">
        <v>0</v>
      </c>
      <c r="CG716" s="1683">
        <v>0</v>
      </c>
      <c r="CH716" s="1683">
        <v>0</v>
      </c>
      <c r="CI716" s="1683">
        <v>0</v>
      </c>
      <c r="CJ716" s="1683">
        <v>0</v>
      </c>
      <c r="CK716" s="1683">
        <v>0</v>
      </c>
      <c r="CL716" s="1682"/>
      <c r="CM716" s="1683">
        <v>104718.26</v>
      </c>
      <c r="CN716" s="1683">
        <v>104718.26</v>
      </c>
      <c r="CO716" s="1683">
        <v>93383.29</v>
      </c>
      <c r="CP716" s="1683">
        <v>85811.67</v>
      </c>
      <c r="CQ716" s="1683">
        <v>7571.62</v>
      </c>
      <c r="CR716" s="1683">
        <v>11334.97</v>
      </c>
      <c r="CS716" s="1683">
        <v>0</v>
      </c>
      <c r="CT716" s="1683">
        <v>11334.97</v>
      </c>
      <c r="CU716" s="1683">
        <v>0</v>
      </c>
      <c r="CV716" s="1683">
        <v>0</v>
      </c>
      <c r="CW716" s="1682"/>
      <c r="CX716" s="1400"/>
      <c r="CY716" s="1400"/>
      <c r="CZ716" s="1400"/>
      <c r="DA716" s="1400"/>
      <c r="DB716" s="1682"/>
      <c r="DC716" s="1326"/>
      <c r="DD716" s="1683">
        <v>0</v>
      </c>
      <c r="DE716" s="1400"/>
      <c r="DF716" s="1400"/>
      <c r="DG716" s="1683">
        <v>0</v>
      </c>
      <c r="DH716" s="1683">
        <v>0</v>
      </c>
    </row>
    <row r="717" spans="1:112" ht="67.5">
      <c r="A717" s="1326" t="s">
        <v>1706</v>
      </c>
      <c r="B717" s="1326" t="s">
        <v>1700</v>
      </c>
      <c r="C717" s="1326" t="s">
        <v>2561</v>
      </c>
      <c r="D717" s="1326" t="s">
        <v>2562</v>
      </c>
      <c r="E717" s="1326" t="s">
        <v>178</v>
      </c>
      <c r="F717" s="1326" t="s">
        <v>2563</v>
      </c>
      <c r="G717" s="1326" t="s">
        <v>2556</v>
      </c>
      <c r="H717" s="1326" t="s">
        <v>2541</v>
      </c>
      <c r="I717" s="1326" t="s">
        <v>689</v>
      </c>
      <c r="J717" s="1326" t="s">
        <v>3498</v>
      </c>
      <c r="K717" s="1326" t="s">
        <v>2071</v>
      </c>
      <c r="L717" s="1326" t="s">
        <v>2137</v>
      </c>
      <c r="M717" s="1400"/>
      <c r="N717" s="1400"/>
      <c r="O717" s="1400"/>
      <c r="P717" s="1400"/>
      <c r="Q717" s="1400"/>
      <c r="R717" s="1400"/>
      <c r="S717" s="1400"/>
      <c r="T717" s="1400"/>
      <c r="U717" s="1400"/>
      <c r="V717" s="1400"/>
      <c r="W717" s="1400"/>
      <c r="X717" s="1400"/>
      <c r="Y717" s="1685">
        <v>42881</v>
      </c>
      <c r="Z717" s="1326" t="s">
        <v>2062</v>
      </c>
      <c r="AA717" s="1683">
        <v>0</v>
      </c>
      <c r="AB717" s="1683">
        <v>0</v>
      </c>
      <c r="AC717" s="1683">
        <v>0</v>
      </c>
      <c r="AD717" s="1685">
        <v>42907</v>
      </c>
      <c r="AE717" s="1326" t="s">
        <v>2063</v>
      </c>
      <c r="AF717" s="1326" t="s">
        <v>2064</v>
      </c>
      <c r="AG717" s="1410"/>
      <c r="AH717" s="1683">
        <v>55145.9</v>
      </c>
      <c r="AI717" s="1683">
        <v>55145.9</v>
      </c>
      <c r="AJ717" s="1683">
        <v>49176.77</v>
      </c>
      <c r="AK717" s="1683">
        <v>45189.46</v>
      </c>
      <c r="AL717" s="1683">
        <v>3987.31</v>
      </c>
      <c r="AM717" s="1685">
        <v>42907</v>
      </c>
      <c r="AN717" s="1683">
        <v>55145.9</v>
      </c>
      <c r="AO717" s="1683">
        <v>55145.9</v>
      </c>
      <c r="AP717" s="1683">
        <v>49176.77</v>
      </c>
      <c r="AQ717" s="1683">
        <v>45189.46</v>
      </c>
      <c r="AR717" s="1683">
        <v>3987.31</v>
      </c>
      <c r="AS717" s="1683">
        <v>5969.13</v>
      </c>
      <c r="AT717" s="1683">
        <v>0</v>
      </c>
      <c r="AU717" s="1683">
        <v>5969.13</v>
      </c>
      <c r="AV717" s="1683">
        <v>0</v>
      </c>
      <c r="AW717" s="1683">
        <v>0</v>
      </c>
      <c r="AX717" s="1400"/>
      <c r="AY717" s="1400"/>
      <c r="AZ717" s="1400"/>
      <c r="BA717" s="1682"/>
      <c r="BB717" s="1682"/>
      <c r="BC717" s="1400"/>
      <c r="BD717" s="1400"/>
      <c r="BE717" s="1683">
        <v>55145.9</v>
      </c>
      <c r="BF717" s="1683">
        <v>55145.9</v>
      </c>
      <c r="BG717" s="1683">
        <v>49176.77</v>
      </c>
      <c r="BH717" s="1683">
        <v>45189.46</v>
      </c>
      <c r="BI717" s="1683">
        <v>3987.31</v>
      </c>
      <c r="BJ717" s="1683">
        <v>5969.13</v>
      </c>
      <c r="BK717" s="1683">
        <v>0</v>
      </c>
      <c r="BL717" s="1683">
        <v>5969.13</v>
      </c>
      <c r="BM717" s="1683">
        <v>0</v>
      </c>
      <c r="BN717" s="1683">
        <v>0</v>
      </c>
      <c r="BO717" s="1685">
        <v>42993</v>
      </c>
      <c r="BP717" s="1683">
        <v>55145.9</v>
      </c>
      <c r="BQ717" s="1683">
        <v>55145.9</v>
      </c>
      <c r="BR717" s="1683">
        <v>49176.77</v>
      </c>
      <c r="BS717" s="1683">
        <v>45189.46</v>
      </c>
      <c r="BT717" s="1683">
        <v>3987.31</v>
      </c>
      <c r="BU717" s="1683">
        <v>5969.13</v>
      </c>
      <c r="BV717" s="1683">
        <v>0</v>
      </c>
      <c r="BW717" s="1683">
        <v>5969.13</v>
      </c>
      <c r="BX717" s="1683">
        <v>0</v>
      </c>
      <c r="BY717" s="1683">
        <v>0</v>
      </c>
      <c r="BZ717" s="1683">
        <v>0</v>
      </c>
      <c r="CA717" s="1400"/>
      <c r="CB717" s="1682"/>
      <c r="CC717" s="1682"/>
      <c r="CD717" s="1400"/>
      <c r="CE717" s="1400"/>
      <c r="CF717" s="1683">
        <v>0</v>
      </c>
      <c r="CG717" s="1683">
        <v>0</v>
      </c>
      <c r="CH717" s="1683">
        <v>0</v>
      </c>
      <c r="CI717" s="1683">
        <v>0</v>
      </c>
      <c r="CJ717" s="1683">
        <v>1410.24</v>
      </c>
      <c r="CK717" s="1683">
        <v>1410.24</v>
      </c>
      <c r="CL717" s="1682"/>
      <c r="CM717" s="1683">
        <v>55145.9</v>
      </c>
      <c r="CN717" s="1683">
        <v>55145.9</v>
      </c>
      <c r="CO717" s="1683">
        <v>49176.77</v>
      </c>
      <c r="CP717" s="1683">
        <v>45189.46</v>
      </c>
      <c r="CQ717" s="1683">
        <v>3987.31</v>
      </c>
      <c r="CR717" s="1683">
        <v>5969.13</v>
      </c>
      <c r="CS717" s="1683">
        <v>0</v>
      </c>
      <c r="CT717" s="1683">
        <v>5969.13</v>
      </c>
      <c r="CU717" s="1683">
        <v>0</v>
      </c>
      <c r="CV717" s="1683">
        <v>0</v>
      </c>
      <c r="CW717" s="1682"/>
      <c r="CX717" s="1400"/>
      <c r="CY717" s="1400"/>
      <c r="CZ717" s="1400"/>
      <c r="DA717" s="1400"/>
      <c r="DB717" s="1682"/>
      <c r="DC717" s="1326"/>
      <c r="DD717" s="1683">
        <v>0</v>
      </c>
      <c r="DE717" s="1400"/>
      <c r="DF717" s="1400"/>
      <c r="DG717" s="1683">
        <v>0</v>
      </c>
      <c r="DH717" s="1683">
        <v>0</v>
      </c>
    </row>
    <row r="718" spans="1:112" ht="67.5">
      <c r="A718" s="1326" t="s">
        <v>1707</v>
      </c>
      <c r="B718" s="1326" t="s">
        <v>1700</v>
      </c>
      <c r="C718" s="1326" t="s">
        <v>2561</v>
      </c>
      <c r="D718" s="1326" t="s">
        <v>2562</v>
      </c>
      <c r="E718" s="1326" t="s">
        <v>178</v>
      </c>
      <c r="F718" s="1326" t="s">
        <v>2563</v>
      </c>
      <c r="G718" s="1326" t="s">
        <v>2556</v>
      </c>
      <c r="H718" s="1326" t="s">
        <v>2541</v>
      </c>
      <c r="I718" s="1326" t="s">
        <v>689</v>
      </c>
      <c r="J718" s="1326" t="s">
        <v>3498</v>
      </c>
      <c r="K718" s="1326" t="s">
        <v>2071</v>
      </c>
      <c r="L718" s="1326" t="s">
        <v>2137</v>
      </c>
      <c r="M718" s="1400"/>
      <c r="N718" s="1400"/>
      <c r="O718" s="1400"/>
      <c r="P718" s="1400"/>
      <c r="Q718" s="1400"/>
      <c r="R718" s="1400"/>
      <c r="S718" s="1400"/>
      <c r="T718" s="1400"/>
      <c r="U718" s="1400"/>
      <c r="V718" s="1400"/>
      <c r="W718" s="1400"/>
      <c r="X718" s="1400"/>
      <c r="Y718" s="1685">
        <v>42941</v>
      </c>
      <c r="Z718" s="1326" t="s">
        <v>2062</v>
      </c>
      <c r="AA718" s="1683">
        <v>0</v>
      </c>
      <c r="AB718" s="1683">
        <v>0</v>
      </c>
      <c r="AC718" s="1683">
        <v>0</v>
      </c>
      <c r="AD718" s="1685">
        <v>42978</v>
      </c>
      <c r="AE718" s="1326" t="s">
        <v>2066</v>
      </c>
      <c r="AF718" s="1326" t="s">
        <v>2067</v>
      </c>
      <c r="AG718" s="1410"/>
      <c r="AH718" s="1683">
        <v>110762.74</v>
      </c>
      <c r="AI718" s="1683">
        <v>110762.74</v>
      </c>
      <c r="AJ718" s="1683">
        <v>98773.49</v>
      </c>
      <c r="AK718" s="1683">
        <v>90764.83</v>
      </c>
      <c r="AL718" s="1683">
        <v>8008.66</v>
      </c>
      <c r="AM718" s="1685">
        <v>42978</v>
      </c>
      <c r="AN718" s="1683">
        <v>110762.74</v>
      </c>
      <c r="AO718" s="1683">
        <v>110762.74</v>
      </c>
      <c r="AP718" s="1683">
        <v>98773.49</v>
      </c>
      <c r="AQ718" s="1683">
        <v>90764.83</v>
      </c>
      <c r="AR718" s="1683">
        <v>8008.66</v>
      </c>
      <c r="AS718" s="1683">
        <v>11989.25</v>
      </c>
      <c r="AT718" s="1683">
        <v>0</v>
      </c>
      <c r="AU718" s="1683">
        <v>11989.25</v>
      </c>
      <c r="AV718" s="1683">
        <v>0</v>
      </c>
      <c r="AW718" s="1683">
        <v>0</v>
      </c>
      <c r="AX718" s="1400"/>
      <c r="AY718" s="1400"/>
      <c r="AZ718" s="1400"/>
      <c r="BA718" s="1682"/>
      <c r="BB718" s="1682"/>
      <c r="BC718" s="1400"/>
      <c r="BD718" s="1400"/>
      <c r="BE718" s="1683">
        <v>110762.74</v>
      </c>
      <c r="BF718" s="1683">
        <v>110762.74</v>
      </c>
      <c r="BG718" s="1683">
        <v>98773.49</v>
      </c>
      <c r="BH718" s="1683">
        <v>90764.83</v>
      </c>
      <c r="BI718" s="1683">
        <v>8008.66</v>
      </c>
      <c r="BJ718" s="1683">
        <v>11989.25</v>
      </c>
      <c r="BK718" s="1683">
        <v>0</v>
      </c>
      <c r="BL718" s="1683">
        <v>11989.25</v>
      </c>
      <c r="BM718" s="1683">
        <v>0</v>
      </c>
      <c r="BN718" s="1683">
        <v>0</v>
      </c>
      <c r="BO718" s="1685">
        <v>43039</v>
      </c>
      <c r="BP718" s="1683">
        <v>110762.74</v>
      </c>
      <c r="BQ718" s="1683">
        <v>110762.74</v>
      </c>
      <c r="BR718" s="1683">
        <v>98773.49</v>
      </c>
      <c r="BS718" s="1683">
        <v>90764.83</v>
      </c>
      <c r="BT718" s="1683">
        <v>8008.66</v>
      </c>
      <c r="BU718" s="1683">
        <v>11989.25</v>
      </c>
      <c r="BV718" s="1683">
        <v>0</v>
      </c>
      <c r="BW718" s="1683">
        <v>11989.25</v>
      </c>
      <c r="BX718" s="1683">
        <v>0</v>
      </c>
      <c r="BY718" s="1683">
        <v>0</v>
      </c>
      <c r="BZ718" s="1683">
        <v>0</v>
      </c>
      <c r="CA718" s="1400"/>
      <c r="CB718" s="1682"/>
      <c r="CC718" s="1682"/>
      <c r="CD718" s="1400"/>
      <c r="CE718" s="1400"/>
      <c r="CF718" s="1683">
        <v>0</v>
      </c>
      <c r="CG718" s="1683">
        <v>0</v>
      </c>
      <c r="CH718" s="1683">
        <v>0</v>
      </c>
      <c r="CI718" s="1683">
        <v>0</v>
      </c>
      <c r="CJ718" s="1683">
        <v>977.09</v>
      </c>
      <c r="CK718" s="1683">
        <v>977.09</v>
      </c>
      <c r="CL718" s="1682"/>
      <c r="CM718" s="1683">
        <v>110762.74</v>
      </c>
      <c r="CN718" s="1683">
        <v>110762.74</v>
      </c>
      <c r="CO718" s="1683">
        <v>98773.49</v>
      </c>
      <c r="CP718" s="1683">
        <v>90764.83</v>
      </c>
      <c r="CQ718" s="1683">
        <v>8008.66</v>
      </c>
      <c r="CR718" s="1683">
        <v>11989.25</v>
      </c>
      <c r="CS718" s="1683">
        <v>0</v>
      </c>
      <c r="CT718" s="1683">
        <v>11989.25</v>
      </c>
      <c r="CU718" s="1683">
        <v>0</v>
      </c>
      <c r="CV718" s="1683">
        <v>0</v>
      </c>
      <c r="CW718" s="1682"/>
      <c r="CX718" s="1400"/>
      <c r="CY718" s="1400"/>
      <c r="CZ718" s="1400"/>
      <c r="DA718" s="1400"/>
      <c r="DB718" s="1682"/>
      <c r="DC718" s="1326"/>
      <c r="DD718" s="1683">
        <v>0</v>
      </c>
      <c r="DE718" s="1400"/>
      <c r="DF718" s="1400"/>
      <c r="DG718" s="1683">
        <v>0</v>
      </c>
      <c r="DH718" s="1683">
        <v>0</v>
      </c>
    </row>
    <row r="719" spans="1:112" ht="67.5">
      <c r="A719" s="1326" t="s">
        <v>1709</v>
      </c>
      <c r="B719" s="1326" t="s">
        <v>1700</v>
      </c>
      <c r="C719" s="1326" t="s">
        <v>2561</v>
      </c>
      <c r="D719" s="1326" t="s">
        <v>2562</v>
      </c>
      <c r="E719" s="1326" t="s">
        <v>178</v>
      </c>
      <c r="F719" s="1326" t="s">
        <v>2563</v>
      </c>
      <c r="G719" s="1326" t="s">
        <v>2556</v>
      </c>
      <c r="H719" s="1326" t="s">
        <v>2541</v>
      </c>
      <c r="I719" s="1326" t="s">
        <v>689</v>
      </c>
      <c r="J719" s="1326" t="s">
        <v>3498</v>
      </c>
      <c r="K719" s="1326" t="s">
        <v>2071</v>
      </c>
      <c r="L719" s="1326" t="s">
        <v>2137</v>
      </c>
      <c r="M719" s="1400"/>
      <c r="N719" s="1400"/>
      <c r="O719" s="1400"/>
      <c r="P719" s="1400"/>
      <c r="Q719" s="1400"/>
      <c r="R719" s="1400"/>
      <c r="S719" s="1400"/>
      <c r="T719" s="1400"/>
      <c r="U719" s="1400"/>
      <c r="V719" s="1400"/>
      <c r="W719" s="1400"/>
      <c r="X719" s="1400"/>
      <c r="Y719" s="1685">
        <v>42941</v>
      </c>
      <c r="Z719" s="1326" t="s">
        <v>2062</v>
      </c>
      <c r="AA719" s="1683">
        <v>0</v>
      </c>
      <c r="AB719" s="1683">
        <v>0</v>
      </c>
      <c r="AC719" s="1683">
        <v>0</v>
      </c>
      <c r="AD719" s="1685">
        <v>42978</v>
      </c>
      <c r="AE719" s="1326" t="s">
        <v>2066</v>
      </c>
      <c r="AF719" s="1326" t="s">
        <v>2064</v>
      </c>
      <c r="AG719" s="1410"/>
      <c r="AH719" s="1683">
        <v>96552.46</v>
      </c>
      <c r="AI719" s="1683">
        <v>96552.46</v>
      </c>
      <c r="AJ719" s="1683">
        <v>86101.37</v>
      </c>
      <c r="AK719" s="1683">
        <v>79120.179999999993</v>
      </c>
      <c r="AL719" s="1683">
        <v>6981.19</v>
      </c>
      <c r="AM719" s="1685">
        <v>42978</v>
      </c>
      <c r="AN719" s="1683">
        <v>96552.46</v>
      </c>
      <c r="AO719" s="1683">
        <v>96552.46</v>
      </c>
      <c r="AP719" s="1683">
        <v>86101.37</v>
      </c>
      <c r="AQ719" s="1683">
        <v>79120.179999999993</v>
      </c>
      <c r="AR719" s="1683">
        <v>6981.19</v>
      </c>
      <c r="AS719" s="1683">
        <v>10451.09</v>
      </c>
      <c r="AT719" s="1683">
        <v>0</v>
      </c>
      <c r="AU719" s="1683">
        <v>10451.09</v>
      </c>
      <c r="AV719" s="1683">
        <v>0</v>
      </c>
      <c r="AW719" s="1683">
        <v>0</v>
      </c>
      <c r="AX719" s="1400"/>
      <c r="AY719" s="1400"/>
      <c r="AZ719" s="1400"/>
      <c r="BA719" s="1682"/>
      <c r="BB719" s="1682"/>
      <c r="BC719" s="1400"/>
      <c r="BD719" s="1400"/>
      <c r="BE719" s="1683">
        <v>96552.46</v>
      </c>
      <c r="BF719" s="1683">
        <v>96552.46</v>
      </c>
      <c r="BG719" s="1683">
        <v>86101.37</v>
      </c>
      <c r="BH719" s="1683">
        <v>79120.179999999993</v>
      </c>
      <c r="BI719" s="1683">
        <v>6981.19</v>
      </c>
      <c r="BJ719" s="1683">
        <v>10451.09</v>
      </c>
      <c r="BK719" s="1683">
        <v>0</v>
      </c>
      <c r="BL719" s="1683">
        <v>10451.09</v>
      </c>
      <c r="BM719" s="1683">
        <v>0</v>
      </c>
      <c r="BN719" s="1683">
        <v>0</v>
      </c>
      <c r="BO719" s="1685">
        <v>43039</v>
      </c>
      <c r="BP719" s="1683">
        <v>96552.46</v>
      </c>
      <c r="BQ719" s="1683">
        <v>96552.46</v>
      </c>
      <c r="BR719" s="1683">
        <v>86101.37</v>
      </c>
      <c r="BS719" s="1683">
        <v>79120.179999999993</v>
      </c>
      <c r="BT719" s="1683">
        <v>6981.19</v>
      </c>
      <c r="BU719" s="1683">
        <v>10451.09</v>
      </c>
      <c r="BV719" s="1683">
        <v>0</v>
      </c>
      <c r="BW719" s="1683">
        <v>10451.09</v>
      </c>
      <c r="BX719" s="1683">
        <v>0</v>
      </c>
      <c r="BY719" s="1683">
        <v>0</v>
      </c>
      <c r="BZ719" s="1683">
        <v>0</v>
      </c>
      <c r="CA719" s="1400"/>
      <c r="CB719" s="1682"/>
      <c r="CC719" s="1682"/>
      <c r="CD719" s="1400"/>
      <c r="CE719" s="1400"/>
      <c r="CF719" s="1683">
        <v>0</v>
      </c>
      <c r="CG719" s="1683">
        <v>0</v>
      </c>
      <c r="CH719" s="1683">
        <v>0</v>
      </c>
      <c r="CI719" s="1683">
        <v>0</v>
      </c>
      <c r="CJ719" s="1683">
        <v>851.74</v>
      </c>
      <c r="CK719" s="1683">
        <v>851.74</v>
      </c>
      <c r="CL719" s="1682"/>
      <c r="CM719" s="1683">
        <v>96552.46</v>
      </c>
      <c r="CN719" s="1683">
        <v>96552.46</v>
      </c>
      <c r="CO719" s="1683">
        <v>86101.37</v>
      </c>
      <c r="CP719" s="1683">
        <v>79120.179999999993</v>
      </c>
      <c r="CQ719" s="1683">
        <v>6981.19</v>
      </c>
      <c r="CR719" s="1683">
        <v>10451.09</v>
      </c>
      <c r="CS719" s="1683">
        <v>0</v>
      </c>
      <c r="CT719" s="1683">
        <v>10451.09</v>
      </c>
      <c r="CU719" s="1683">
        <v>0</v>
      </c>
      <c r="CV719" s="1683">
        <v>0</v>
      </c>
      <c r="CW719" s="1682"/>
      <c r="CX719" s="1400"/>
      <c r="CY719" s="1400"/>
      <c r="CZ719" s="1400"/>
      <c r="DA719" s="1400"/>
      <c r="DB719" s="1682"/>
      <c r="DC719" s="1326"/>
      <c r="DD719" s="1683">
        <v>0</v>
      </c>
      <c r="DE719" s="1400"/>
      <c r="DF719" s="1400"/>
      <c r="DG719" s="1683">
        <v>0</v>
      </c>
      <c r="DH719" s="1683">
        <v>0</v>
      </c>
    </row>
    <row r="720" spans="1:112" ht="67.5">
      <c r="A720" s="1326" t="s">
        <v>1710</v>
      </c>
      <c r="B720" s="1326" t="s">
        <v>1700</v>
      </c>
      <c r="C720" s="1326" t="s">
        <v>2561</v>
      </c>
      <c r="D720" s="1326" t="s">
        <v>2562</v>
      </c>
      <c r="E720" s="1326" t="s">
        <v>178</v>
      </c>
      <c r="F720" s="1326" t="s">
        <v>2563</v>
      </c>
      <c r="G720" s="1326" t="s">
        <v>2556</v>
      </c>
      <c r="H720" s="1326" t="s">
        <v>2541</v>
      </c>
      <c r="I720" s="1326" t="s">
        <v>689</v>
      </c>
      <c r="J720" s="1326" t="s">
        <v>3498</v>
      </c>
      <c r="K720" s="1326" t="s">
        <v>2071</v>
      </c>
      <c r="L720" s="1326" t="s">
        <v>2137</v>
      </c>
      <c r="M720" s="1400"/>
      <c r="N720" s="1400"/>
      <c r="O720" s="1400"/>
      <c r="P720" s="1400"/>
      <c r="Q720" s="1400"/>
      <c r="R720" s="1400"/>
      <c r="S720" s="1400"/>
      <c r="T720" s="1400"/>
      <c r="U720" s="1400"/>
      <c r="V720" s="1400"/>
      <c r="W720" s="1400"/>
      <c r="X720" s="1400"/>
      <c r="Y720" s="1685">
        <v>43007</v>
      </c>
      <c r="Z720" s="1326" t="s">
        <v>2062</v>
      </c>
      <c r="AA720" s="1683">
        <v>0</v>
      </c>
      <c r="AB720" s="1683">
        <v>0</v>
      </c>
      <c r="AC720" s="1683">
        <v>0</v>
      </c>
      <c r="AD720" s="1685">
        <v>43045</v>
      </c>
      <c r="AE720" s="1326" t="s">
        <v>2079</v>
      </c>
      <c r="AF720" s="1326" t="s">
        <v>2064</v>
      </c>
      <c r="AG720" s="1410"/>
      <c r="AH720" s="1683">
        <v>97346.83</v>
      </c>
      <c r="AI720" s="1683">
        <v>97346.83</v>
      </c>
      <c r="AJ720" s="1683">
        <v>86809.76</v>
      </c>
      <c r="AK720" s="1683">
        <v>79771.13</v>
      </c>
      <c r="AL720" s="1683">
        <v>7038.63</v>
      </c>
      <c r="AM720" s="1685">
        <v>43045</v>
      </c>
      <c r="AN720" s="1683">
        <v>97346.83</v>
      </c>
      <c r="AO720" s="1683">
        <v>97346.83</v>
      </c>
      <c r="AP720" s="1683">
        <v>86809.76</v>
      </c>
      <c r="AQ720" s="1683">
        <v>79771.13</v>
      </c>
      <c r="AR720" s="1683">
        <v>7038.63</v>
      </c>
      <c r="AS720" s="1683">
        <v>10537.07</v>
      </c>
      <c r="AT720" s="1683">
        <v>0</v>
      </c>
      <c r="AU720" s="1683">
        <v>10537.07</v>
      </c>
      <c r="AV720" s="1683">
        <v>0</v>
      </c>
      <c r="AW720" s="1683">
        <v>0</v>
      </c>
      <c r="AX720" s="1400"/>
      <c r="AY720" s="1400"/>
      <c r="AZ720" s="1400"/>
      <c r="BA720" s="1682"/>
      <c r="BB720" s="1682"/>
      <c r="BC720" s="1400"/>
      <c r="BD720" s="1400"/>
      <c r="BE720" s="1683">
        <v>97346.83</v>
      </c>
      <c r="BF720" s="1683">
        <v>97346.83</v>
      </c>
      <c r="BG720" s="1683">
        <v>86809.76</v>
      </c>
      <c r="BH720" s="1683">
        <v>79771.13</v>
      </c>
      <c r="BI720" s="1683">
        <v>7038.63</v>
      </c>
      <c r="BJ720" s="1683">
        <v>10537.07</v>
      </c>
      <c r="BK720" s="1683">
        <v>0</v>
      </c>
      <c r="BL720" s="1683">
        <v>10537.07</v>
      </c>
      <c r="BM720" s="1683">
        <v>0</v>
      </c>
      <c r="BN720" s="1683">
        <v>0</v>
      </c>
      <c r="BO720" s="1685">
        <v>43364</v>
      </c>
      <c r="BP720" s="1683">
        <v>97346.83</v>
      </c>
      <c r="BQ720" s="1683">
        <v>97346.83</v>
      </c>
      <c r="BR720" s="1683">
        <v>86809.76</v>
      </c>
      <c r="BS720" s="1683">
        <v>79771.13</v>
      </c>
      <c r="BT720" s="1683">
        <v>7038.63</v>
      </c>
      <c r="BU720" s="1683">
        <v>10537.07</v>
      </c>
      <c r="BV720" s="1683">
        <v>0</v>
      </c>
      <c r="BW720" s="1683">
        <v>0</v>
      </c>
      <c r="BX720" s="1683">
        <v>0</v>
      </c>
      <c r="BY720" s="1683">
        <v>0</v>
      </c>
      <c r="BZ720" s="1683">
        <v>0</v>
      </c>
      <c r="CA720" s="1400"/>
      <c r="CB720" s="1682"/>
      <c r="CC720" s="1682"/>
      <c r="CD720" s="1400"/>
      <c r="CE720" s="1400"/>
      <c r="CF720" s="1683">
        <v>0</v>
      </c>
      <c r="CG720" s="1683">
        <v>0</v>
      </c>
      <c r="CH720" s="1683">
        <v>0</v>
      </c>
      <c r="CI720" s="1683">
        <v>0</v>
      </c>
      <c r="CJ720" s="1683">
        <v>842.73</v>
      </c>
      <c r="CK720" s="1683">
        <v>842.73</v>
      </c>
      <c r="CL720" s="1682"/>
      <c r="CM720" s="1683">
        <v>0</v>
      </c>
      <c r="CN720" s="1683">
        <v>0</v>
      </c>
      <c r="CO720" s="1683">
        <v>0</v>
      </c>
      <c r="CP720" s="1683">
        <v>0</v>
      </c>
      <c r="CQ720" s="1683">
        <v>0</v>
      </c>
      <c r="CR720" s="1683">
        <v>0</v>
      </c>
      <c r="CS720" s="1683">
        <v>0</v>
      </c>
      <c r="CT720" s="1683">
        <v>0</v>
      </c>
      <c r="CU720" s="1683">
        <v>0</v>
      </c>
      <c r="CV720" s="1683">
        <v>0</v>
      </c>
      <c r="CW720" s="1682"/>
      <c r="CX720" s="1400"/>
      <c r="CY720" s="1400"/>
      <c r="CZ720" s="1400"/>
      <c r="DA720" s="1400"/>
      <c r="DB720" s="1682"/>
      <c r="DC720" s="1326"/>
      <c r="DD720" s="1683">
        <v>0</v>
      </c>
      <c r="DE720" s="1400"/>
      <c r="DF720" s="1400"/>
      <c r="DG720" s="1683">
        <v>0</v>
      </c>
      <c r="DH720" s="1683">
        <v>0</v>
      </c>
    </row>
    <row r="721" spans="1:112" ht="67.5">
      <c r="A721" s="1326" t="s">
        <v>1711</v>
      </c>
      <c r="B721" s="1326" t="s">
        <v>1700</v>
      </c>
      <c r="C721" s="1326" t="s">
        <v>2561</v>
      </c>
      <c r="D721" s="1326" t="s">
        <v>2562</v>
      </c>
      <c r="E721" s="1326" t="s">
        <v>178</v>
      </c>
      <c r="F721" s="1326" t="s">
        <v>2563</v>
      </c>
      <c r="G721" s="1326" t="s">
        <v>2556</v>
      </c>
      <c r="H721" s="1326" t="s">
        <v>2541</v>
      </c>
      <c r="I721" s="1326" t="s">
        <v>689</v>
      </c>
      <c r="J721" s="1326" t="s">
        <v>3498</v>
      </c>
      <c r="K721" s="1326" t="s">
        <v>2071</v>
      </c>
      <c r="L721" s="1326" t="s">
        <v>2137</v>
      </c>
      <c r="M721" s="1400"/>
      <c r="N721" s="1400"/>
      <c r="O721" s="1400"/>
      <c r="P721" s="1400"/>
      <c r="Q721" s="1400"/>
      <c r="R721" s="1400"/>
      <c r="S721" s="1400"/>
      <c r="T721" s="1400"/>
      <c r="U721" s="1400"/>
      <c r="V721" s="1400"/>
      <c r="W721" s="1400"/>
      <c r="X721" s="1400"/>
      <c r="Y721" s="1685">
        <v>43082</v>
      </c>
      <c r="Z721" s="1326" t="s">
        <v>2062</v>
      </c>
      <c r="AA721" s="1683">
        <v>10000</v>
      </c>
      <c r="AB721" s="1683">
        <v>9189</v>
      </c>
      <c r="AC721" s="1683">
        <v>811</v>
      </c>
      <c r="AD721" s="1685">
        <v>43116</v>
      </c>
      <c r="AE721" s="1326" t="s">
        <v>2080</v>
      </c>
      <c r="AF721" s="1326" t="s">
        <v>2064</v>
      </c>
      <c r="AG721" s="1410"/>
      <c r="AH721" s="1683">
        <v>438828.03</v>
      </c>
      <c r="AI721" s="1683">
        <v>438828.03</v>
      </c>
      <c r="AJ721" s="1683">
        <v>392159.36</v>
      </c>
      <c r="AK721" s="1683">
        <v>360362.85</v>
      </c>
      <c r="AL721" s="1683">
        <v>31796.51</v>
      </c>
      <c r="AM721" s="1685">
        <v>43116</v>
      </c>
      <c r="AN721" s="1683">
        <v>438828.03</v>
      </c>
      <c r="AO721" s="1683">
        <v>438828.03</v>
      </c>
      <c r="AP721" s="1683">
        <v>421357.97</v>
      </c>
      <c r="AQ721" s="1683">
        <v>387193.82</v>
      </c>
      <c r="AR721" s="1683">
        <v>34164.15</v>
      </c>
      <c r="AS721" s="1683">
        <v>17470.060000000001</v>
      </c>
      <c r="AT721" s="1683">
        <v>0</v>
      </c>
      <c r="AU721" s="1683">
        <v>17470.060000000001</v>
      </c>
      <c r="AV721" s="1683">
        <v>0</v>
      </c>
      <c r="AW721" s="1683">
        <v>0</v>
      </c>
      <c r="AX721" s="1400"/>
      <c r="AY721" s="1400"/>
      <c r="AZ721" s="1400"/>
      <c r="BA721" s="1682"/>
      <c r="BB721" s="1682"/>
      <c r="BC721" s="1400"/>
      <c r="BD721" s="1400"/>
      <c r="BE721" s="1683">
        <v>438828.03</v>
      </c>
      <c r="BF721" s="1683">
        <v>438828.03</v>
      </c>
      <c r="BG721" s="1683">
        <v>421357.97</v>
      </c>
      <c r="BH721" s="1683">
        <v>387193.82</v>
      </c>
      <c r="BI721" s="1683">
        <v>34164.15</v>
      </c>
      <c r="BJ721" s="1683">
        <v>17470.060000000001</v>
      </c>
      <c r="BK721" s="1683">
        <v>0</v>
      </c>
      <c r="BL721" s="1683">
        <v>17470.060000000001</v>
      </c>
      <c r="BM721" s="1683">
        <v>0</v>
      </c>
      <c r="BN721" s="1683">
        <v>0</v>
      </c>
      <c r="BO721" s="1685">
        <v>43364</v>
      </c>
      <c r="BP721" s="1683">
        <v>438828.03</v>
      </c>
      <c r="BQ721" s="1683">
        <v>438828.03</v>
      </c>
      <c r="BR721" s="1683">
        <v>421357.97</v>
      </c>
      <c r="BS721" s="1683">
        <v>387193.82</v>
      </c>
      <c r="BT721" s="1683">
        <v>34164.15</v>
      </c>
      <c r="BU721" s="1683">
        <v>17470.060000000001</v>
      </c>
      <c r="BV721" s="1683">
        <v>0</v>
      </c>
      <c r="BW721" s="1683">
        <v>0</v>
      </c>
      <c r="BX721" s="1683">
        <v>0</v>
      </c>
      <c r="BY721" s="1683">
        <v>0</v>
      </c>
      <c r="BZ721" s="1683">
        <v>0</v>
      </c>
      <c r="CA721" s="1400"/>
      <c r="CB721" s="1682"/>
      <c r="CC721" s="1682"/>
      <c r="CD721" s="1400"/>
      <c r="CE721" s="1400"/>
      <c r="CF721" s="1683">
        <v>0</v>
      </c>
      <c r="CG721" s="1683">
        <v>0</v>
      </c>
      <c r="CH721" s="1683">
        <v>0</v>
      </c>
      <c r="CI721" s="1683">
        <v>0</v>
      </c>
      <c r="CJ721" s="1683">
        <v>3871.12</v>
      </c>
      <c r="CK721" s="1683">
        <v>3871.12</v>
      </c>
      <c r="CL721" s="1682"/>
      <c r="CM721" s="1683">
        <v>0</v>
      </c>
      <c r="CN721" s="1683">
        <v>0</v>
      </c>
      <c r="CO721" s="1683">
        <v>0</v>
      </c>
      <c r="CP721" s="1683">
        <v>0</v>
      </c>
      <c r="CQ721" s="1683">
        <v>0</v>
      </c>
      <c r="CR721" s="1683">
        <v>0</v>
      </c>
      <c r="CS721" s="1683">
        <v>0</v>
      </c>
      <c r="CT721" s="1683">
        <v>0</v>
      </c>
      <c r="CU721" s="1683">
        <v>0</v>
      </c>
      <c r="CV721" s="1683">
        <v>0</v>
      </c>
      <c r="CW721" s="1682"/>
      <c r="CX721" s="1400"/>
      <c r="CY721" s="1400"/>
      <c r="CZ721" s="1400"/>
      <c r="DA721" s="1400"/>
      <c r="DB721" s="1682"/>
      <c r="DC721" s="1326"/>
      <c r="DD721" s="1683">
        <v>0</v>
      </c>
      <c r="DE721" s="1400"/>
      <c r="DF721" s="1400"/>
      <c r="DG721" s="1683">
        <v>0</v>
      </c>
      <c r="DH721" s="1683">
        <v>0</v>
      </c>
    </row>
    <row r="722" spans="1:112" ht="67.5">
      <c r="A722" s="1326" t="s">
        <v>1713</v>
      </c>
      <c r="B722" s="1326" t="s">
        <v>1700</v>
      </c>
      <c r="C722" s="1326" t="s">
        <v>2561</v>
      </c>
      <c r="D722" s="1326" t="s">
        <v>2562</v>
      </c>
      <c r="E722" s="1326" t="s">
        <v>178</v>
      </c>
      <c r="F722" s="1326" t="s">
        <v>2563</v>
      </c>
      <c r="G722" s="1326" t="s">
        <v>2556</v>
      </c>
      <c r="H722" s="1326" t="s">
        <v>2541</v>
      </c>
      <c r="I722" s="1326" t="s">
        <v>689</v>
      </c>
      <c r="J722" s="1326" t="s">
        <v>3498</v>
      </c>
      <c r="K722" s="1326" t="s">
        <v>2071</v>
      </c>
      <c r="L722" s="1326" t="s">
        <v>2137</v>
      </c>
      <c r="M722" s="1400"/>
      <c r="N722" s="1400"/>
      <c r="O722" s="1400"/>
      <c r="P722" s="1400"/>
      <c r="Q722" s="1400"/>
      <c r="R722" s="1400"/>
      <c r="S722" s="1400"/>
      <c r="T722" s="1400"/>
      <c r="U722" s="1400"/>
      <c r="V722" s="1400"/>
      <c r="W722" s="1400"/>
      <c r="X722" s="1400"/>
      <c r="Y722" s="1685">
        <v>43082</v>
      </c>
      <c r="Z722" s="1326" t="s">
        <v>2062</v>
      </c>
      <c r="AA722" s="1683">
        <v>0</v>
      </c>
      <c r="AB722" s="1683">
        <v>0</v>
      </c>
      <c r="AC722" s="1683">
        <v>0</v>
      </c>
      <c r="AD722" s="1685">
        <v>43144</v>
      </c>
      <c r="AE722" s="1326" t="s">
        <v>2080</v>
      </c>
      <c r="AF722" s="1326" t="s">
        <v>2067</v>
      </c>
      <c r="AG722" s="1410"/>
      <c r="AH722" s="1683">
        <v>0.08</v>
      </c>
      <c r="AI722" s="1683">
        <v>0.08</v>
      </c>
      <c r="AJ722" s="1683">
        <v>7.0000000000000007E-2</v>
      </c>
      <c r="AK722" s="1683">
        <v>0.06</v>
      </c>
      <c r="AL722" s="1683">
        <v>0.01</v>
      </c>
      <c r="AM722" s="1685">
        <v>43144</v>
      </c>
      <c r="AN722" s="1683">
        <v>0.08</v>
      </c>
      <c r="AO722" s="1683">
        <v>0.08</v>
      </c>
      <c r="AP722" s="1683">
        <v>7.0000000000000007E-2</v>
      </c>
      <c r="AQ722" s="1683">
        <v>0.06</v>
      </c>
      <c r="AR722" s="1683">
        <v>0.01</v>
      </c>
      <c r="AS722" s="1683">
        <v>0.01</v>
      </c>
      <c r="AT722" s="1683">
        <v>0</v>
      </c>
      <c r="AU722" s="1683">
        <v>0.01</v>
      </c>
      <c r="AV722" s="1683">
        <v>0</v>
      </c>
      <c r="AW722" s="1683">
        <v>0</v>
      </c>
      <c r="AX722" s="1400"/>
      <c r="AY722" s="1400"/>
      <c r="AZ722" s="1400"/>
      <c r="BA722" s="1682"/>
      <c r="BB722" s="1682"/>
      <c r="BC722" s="1400"/>
      <c r="BD722" s="1400"/>
      <c r="BE722" s="1683">
        <v>0.08</v>
      </c>
      <c r="BF722" s="1683">
        <v>0.08</v>
      </c>
      <c r="BG722" s="1683">
        <v>7.0000000000000007E-2</v>
      </c>
      <c r="BH722" s="1683">
        <v>0.06</v>
      </c>
      <c r="BI722" s="1683">
        <v>0.01</v>
      </c>
      <c r="BJ722" s="1683">
        <v>0.01</v>
      </c>
      <c r="BK722" s="1683">
        <v>0</v>
      </c>
      <c r="BL722" s="1683">
        <v>0.01</v>
      </c>
      <c r="BM722" s="1683">
        <v>0</v>
      </c>
      <c r="BN722" s="1683">
        <v>0</v>
      </c>
      <c r="BO722" s="1685">
        <v>43364</v>
      </c>
      <c r="BP722" s="1683">
        <v>0.08</v>
      </c>
      <c r="BQ722" s="1683">
        <v>0.08</v>
      </c>
      <c r="BR722" s="1683">
        <v>7.0000000000000007E-2</v>
      </c>
      <c r="BS722" s="1683">
        <v>0.06</v>
      </c>
      <c r="BT722" s="1683">
        <v>0.01</v>
      </c>
      <c r="BU722" s="1683">
        <v>0.01</v>
      </c>
      <c r="BV722" s="1683">
        <v>0</v>
      </c>
      <c r="BW722" s="1683">
        <v>0</v>
      </c>
      <c r="BX722" s="1683">
        <v>0</v>
      </c>
      <c r="BY722" s="1683">
        <v>0</v>
      </c>
      <c r="BZ722" s="1683">
        <v>0</v>
      </c>
      <c r="CA722" s="1400"/>
      <c r="CB722" s="1682"/>
      <c r="CC722" s="1682"/>
      <c r="CD722" s="1400"/>
      <c r="CE722" s="1400"/>
      <c r="CF722" s="1683">
        <v>0</v>
      </c>
      <c r="CG722" s="1683">
        <v>0</v>
      </c>
      <c r="CH722" s="1683">
        <v>0</v>
      </c>
      <c r="CI722" s="1683">
        <v>0</v>
      </c>
      <c r="CJ722" s="1683">
        <v>0.08</v>
      </c>
      <c r="CK722" s="1683">
        <v>0.08</v>
      </c>
      <c r="CL722" s="1682"/>
      <c r="CM722" s="1683">
        <v>0</v>
      </c>
      <c r="CN722" s="1683">
        <v>0</v>
      </c>
      <c r="CO722" s="1683">
        <v>0</v>
      </c>
      <c r="CP722" s="1683">
        <v>0</v>
      </c>
      <c r="CQ722" s="1683">
        <v>0</v>
      </c>
      <c r="CR722" s="1683">
        <v>0</v>
      </c>
      <c r="CS722" s="1683">
        <v>0</v>
      </c>
      <c r="CT722" s="1683">
        <v>0</v>
      </c>
      <c r="CU722" s="1683">
        <v>0</v>
      </c>
      <c r="CV722" s="1683">
        <v>0</v>
      </c>
      <c r="CW722" s="1682"/>
      <c r="CX722" s="1400"/>
      <c r="CY722" s="1400"/>
      <c r="CZ722" s="1400"/>
      <c r="DA722" s="1400"/>
      <c r="DB722" s="1682"/>
      <c r="DC722" s="1326"/>
      <c r="DD722" s="1683">
        <v>0</v>
      </c>
      <c r="DE722" s="1400"/>
      <c r="DF722" s="1400"/>
      <c r="DG722" s="1683">
        <v>0</v>
      </c>
      <c r="DH722" s="1683">
        <v>0</v>
      </c>
    </row>
    <row r="723" spans="1:112" ht="67.5">
      <c r="A723" s="1326" t="s">
        <v>1714</v>
      </c>
      <c r="B723" s="1326" t="s">
        <v>1700</v>
      </c>
      <c r="C723" s="1326" t="s">
        <v>2561</v>
      </c>
      <c r="D723" s="1326" t="s">
        <v>2562</v>
      </c>
      <c r="E723" s="1326" t="s">
        <v>178</v>
      </c>
      <c r="F723" s="1326" t="s">
        <v>2563</v>
      </c>
      <c r="G723" s="1326" t="s">
        <v>2556</v>
      </c>
      <c r="H723" s="1326" t="s">
        <v>2541</v>
      </c>
      <c r="I723" s="1326" t="s">
        <v>689</v>
      </c>
      <c r="J723" s="1326" t="s">
        <v>3498</v>
      </c>
      <c r="K723" s="1326" t="s">
        <v>2071</v>
      </c>
      <c r="L723" s="1326" t="s">
        <v>2137</v>
      </c>
      <c r="M723" s="1400"/>
      <c r="N723" s="1400"/>
      <c r="O723" s="1400"/>
      <c r="P723" s="1400"/>
      <c r="Q723" s="1400"/>
      <c r="R723" s="1400"/>
      <c r="S723" s="1400"/>
      <c r="T723" s="1400"/>
      <c r="U723" s="1400"/>
      <c r="V723" s="1400"/>
      <c r="W723" s="1400"/>
      <c r="X723" s="1400"/>
      <c r="Y723" s="1685">
        <v>43144</v>
      </c>
      <c r="Z723" s="1326" t="s">
        <v>2062</v>
      </c>
      <c r="AA723" s="1683">
        <v>349010.79</v>
      </c>
      <c r="AB723" s="1683">
        <v>320712.8</v>
      </c>
      <c r="AC723" s="1683">
        <v>28297.99</v>
      </c>
      <c r="AD723" s="1685">
        <v>43179</v>
      </c>
      <c r="AE723" s="1326" t="s">
        <v>2081</v>
      </c>
      <c r="AF723" s="1326" t="s">
        <v>2064</v>
      </c>
      <c r="AG723" s="1410"/>
      <c r="AH723" s="1683">
        <v>382270.05</v>
      </c>
      <c r="AI723" s="1683">
        <v>382270.05</v>
      </c>
      <c r="AJ723" s="1683">
        <v>4589</v>
      </c>
      <c r="AK723" s="1683">
        <v>4216.74</v>
      </c>
      <c r="AL723" s="1683">
        <v>372.26</v>
      </c>
      <c r="AM723" s="1685">
        <v>43179</v>
      </c>
      <c r="AN723" s="1683">
        <v>382270.05</v>
      </c>
      <c r="AO723" s="1683">
        <v>382270.05</v>
      </c>
      <c r="AP723" s="1683">
        <v>353599.79</v>
      </c>
      <c r="AQ723" s="1683">
        <v>324929.53999999998</v>
      </c>
      <c r="AR723" s="1683">
        <v>28670.25</v>
      </c>
      <c r="AS723" s="1683">
        <v>28670.26</v>
      </c>
      <c r="AT723" s="1683">
        <v>0</v>
      </c>
      <c r="AU723" s="1683">
        <v>28670.26</v>
      </c>
      <c r="AV723" s="1683">
        <v>0</v>
      </c>
      <c r="AW723" s="1683">
        <v>0</v>
      </c>
      <c r="AX723" s="1400"/>
      <c r="AY723" s="1400"/>
      <c r="AZ723" s="1400"/>
      <c r="BA723" s="1682"/>
      <c r="BB723" s="1682"/>
      <c r="BC723" s="1400"/>
      <c r="BD723" s="1400"/>
      <c r="BE723" s="1683">
        <v>382270.05</v>
      </c>
      <c r="BF723" s="1683">
        <v>382270.05</v>
      </c>
      <c r="BG723" s="1683">
        <v>353599.79</v>
      </c>
      <c r="BH723" s="1683">
        <v>324929.53999999998</v>
      </c>
      <c r="BI723" s="1683">
        <v>28670.25</v>
      </c>
      <c r="BJ723" s="1683">
        <v>28670.26</v>
      </c>
      <c r="BK723" s="1683">
        <v>0</v>
      </c>
      <c r="BL723" s="1683">
        <v>28670.26</v>
      </c>
      <c r="BM723" s="1683">
        <v>0</v>
      </c>
      <c r="BN723" s="1683">
        <v>0</v>
      </c>
      <c r="BO723" s="1685">
        <v>43364</v>
      </c>
      <c r="BP723" s="1683">
        <v>382270.05</v>
      </c>
      <c r="BQ723" s="1683">
        <v>382270.05</v>
      </c>
      <c r="BR723" s="1683">
        <v>353599.79</v>
      </c>
      <c r="BS723" s="1683">
        <v>324929.53999999998</v>
      </c>
      <c r="BT723" s="1683">
        <v>28670.25</v>
      </c>
      <c r="BU723" s="1683">
        <v>28670.26</v>
      </c>
      <c r="BV723" s="1683">
        <v>0</v>
      </c>
      <c r="BW723" s="1683">
        <v>0</v>
      </c>
      <c r="BX723" s="1683">
        <v>0</v>
      </c>
      <c r="BY723" s="1683">
        <v>0</v>
      </c>
      <c r="BZ723" s="1683">
        <v>0</v>
      </c>
      <c r="CA723" s="1400"/>
      <c r="CB723" s="1682"/>
      <c r="CC723" s="1682"/>
      <c r="CD723" s="1400"/>
      <c r="CE723" s="1400"/>
      <c r="CF723" s="1683">
        <v>0</v>
      </c>
      <c r="CG723" s="1683">
        <v>0</v>
      </c>
      <c r="CH723" s="1683">
        <v>0</v>
      </c>
      <c r="CI723" s="1683">
        <v>0</v>
      </c>
      <c r="CJ723" s="1683">
        <v>3372.23</v>
      </c>
      <c r="CK723" s="1683">
        <v>3372.23</v>
      </c>
      <c r="CL723" s="1682"/>
      <c r="CM723" s="1683">
        <v>0</v>
      </c>
      <c r="CN723" s="1683">
        <v>0</v>
      </c>
      <c r="CO723" s="1683">
        <v>0</v>
      </c>
      <c r="CP723" s="1683">
        <v>0</v>
      </c>
      <c r="CQ723" s="1683">
        <v>0</v>
      </c>
      <c r="CR723" s="1683">
        <v>0</v>
      </c>
      <c r="CS723" s="1683">
        <v>0</v>
      </c>
      <c r="CT723" s="1683">
        <v>0</v>
      </c>
      <c r="CU723" s="1683">
        <v>0</v>
      </c>
      <c r="CV723" s="1683">
        <v>0</v>
      </c>
      <c r="CW723" s="1682"/>
      <c r="CX723" s="1400"/>
      <c r="CY723" s="1400"/>
      <c r="CZ723" s="1400"/>
      <c r="DA723" s="1400"/>
      <c r="DB723" s="1682"/>
      <c r="DC723" s="1326"/>
      <c r="DD723" s="1683">
        <v>0</v>
      </c>
      <c r="DE723" s="1400"/>
      <c r="DF723" s="1400"/>
      <c r="DG723" s="1683">
        <v>0</v>
      </c>
      <c r="DH723" s="1683">
        <v>0</v>
      </c>
    </row>
    <row r="724" spans="1:112" ht="67.5">
      <c r="A724" s="1326" t="s">
        <v>1716</v>
      </c>
      <c r="B724" s="1326" t="s">
        <v>1700</v>
      </c>
      <c r="C724" s="1326" t="s">
        <v>2561</v>
      </c>
      <c r="D724" s="1326" t="s">
        <v>2562</v>
      </c>
      <c r="E724" s="1326" t="s">
        <v>178</v>
      </c>
      <c r="F724" s="1326" t="s">
        <v>2563</v>
      </c>
      <c r="G724" s="1326" t="s">
        <v>2556</v>
      </c>
      <c r="H724" s="1326" t="s">
        <v>2541</v>
      </c>
      <c r="I724" s="1326" t="s">
        <v>689</v>
      </c>
      <c r="J724" s="1326" t="s">
        <v>3498</v>
      </c>
      <c r="K724" s="1326" t="s">
        <v>2071</v>
      </c>
      <c r="L724" s="1326" t="s">
        <v>2137</v>
      </c>
      <c r="M724" s="1400"/>
      <c r="N724" s="1400"/>
      <c r="O724" s="1400"/>
      <c r="P724" s="1400"/>
      <c r="Q724" s="1400"/>
      <c r="R724" s="1400"/>
      <c r="S724" s="1400"/>
      <c r="T724" s="1400"/>
      <c r="U724" s="1400"/>
      <c r="V724" s="1400"/>
      <c r="W724" s="1400"/>
      <c r="X724" s="1400"/>
      <c r="Y724" s="1685">
        <v>43189</v>
      </c>
      <c r="Z724" s="1326" t="s">
        <v>2145</v>
      </c>
      <c r="AA724" s="1683">
        <v>0</v>
      </c>
      <c r="AB724" s="1683">
        <v>0</v>
      </c>
      <c r="AC724" s="1683">
        <v>0</v>
      </c>
      <c r="AD724" s="1685">
        <v>43228</v>
      </c>
      <c r="AE724" s="1326" t="s">
        <v>2088</v>
      </c>
      <c r="AF724" s="1326" t="s">
        <v>2064</v>
      </c>
      <c r="AG724" s="1410"/>
      <c r="AH724" s="1683">
        <v>436.4</v>
      </c>
      <c r="AI724" s="1683">
        <v>436.4</v>
      </c>
      <c r="AJ724" s="1683">
        <v>403.67</v>
      </c>
      <c r="AK724" s="1683">
        <v>370.94</v>
      </c>
      <c r="AL724" s="1683">
        <v>32.729999999999997</v>
      </c>
      <c r="AM724" s="1685">
        <v>43228</v>
      </c>
      <c r="AN724" s="1683">
        <v>436.4</v>
      </c>
      <c r="AO724" s="1683">
        <v>436.4</v>
      </c>
      <c r="AP724" s="1683">
        <v>403.67</v>
      </c>
      <c r="AQ724" s="1683">
        <v>370.94</v>
      </c>
      <c r="AR724" s="1683">
        <v>32.729999999999997</v>
      </c>
      <c r="AS724" s="1683">
        <v>32.729999999999997</v>
      </c>
      <c r="AT724" s="1683">
        <v>0</v>
      </c>
      <c r="AU724" s="1683">
        <v>32.729999999999997</v>
      </c>
      <c r="AV724" s="1683">
        <v>0</v>
      </c>
      <c r="AW724" s="1683">
        <v>0</v>
      </c>
      <c r="AX724" s="1400"/>
      <c r="AY724" s="1400"/>
      <c r="AZ724" s="1400"/>
      <c r="BA724" s="1682"/>
      <c r="BB724" s="1682"/>
      <c r="BC724" s="1400"/>
      <c r="BD724" s="1400"/>
      <c r="BE724" s="1683">
        <v>436.4</v>
      </c>
      <c r="BF724" s="1683">
        <v>436.4</v>
      </c>
      <c r="BG724" s="1683">
        <v>403.67</v>
      </c>
      <c r="BH724" s="1683">
        <v>370.94</v>
      </c>
      <c r="BI724" s="1683">
        <v>32.729999999999997</v>
      </c>
      <c r="BJ724" s="1683">
        <v>32.729999999999997</v>
      </c>
      <c r="BK724" s="1683">
        <v>0</v>
      </c>
      <c r="BL724" s="1683">
        <v>32.729999999999997</v>
      </c>
      <c r="BM724" s="1683">
        <v>0</v>
      </c>
      <c r="BN724" s="1683">
        <v>0</v>
      </c>
      <c r="BO724" s="1685">
        <v>43364</v>
      </c>
      <c r="BP724" s="1683">
        <v>436.4</v>
      </c>
      <c r="BQ724" s="1683">
        <v>436.4</v>
      </c>
      <c r="BR724" s="1683">
        <v>403.67</v>
      </c>
      <c r="BS724" s="1683">
        <v>370.94</v>
      </c>
      <c r="BT724" s="1683">
        <v>32.729999999999997</v>
      </c>
      <c r="BU724" s="1683">
        <v>32.729999999999997</v>
      </c>
      <c r="BV724" s="1683">
        <v>0</v>
      </c>
      <c r="BW724" s="1683">
        <v>0</v>
      </c>
      <c r="BX724" s="1683">
        <v>0</v>
      </c>
      <c r="BY724" s="1683">
        <v>0</v>
      </c>
      <c r="BZ724" s="1683">
        <v>0</v>
      </c>
      <c r="CA724" s="1400"/>
      <c r="CB724" s="1682"/>
      <c r="CC724" s="1682"/>
      <c r="CD724" s="1400"/>
      <c r="CE724" s="1400"/>
      <c r="CF724" s="1683">
        <v>0</v>
      </c>
      <c r="CG724" s="1683">
        <v>0</v>
      </c>
      <c r="CH724" s="1683">
        <v>0</v>
      </c>
      <c r="CI724" s="1683">
        <v>0</v>
      </c>
      <c r="CJ724" s="1683">
        <v>0</v>
      </c>
      <c r="CK724" s="1683">
        <v>0</v>
      </c>
      <c r="CL724" s="1682"/>
      <c r="CM724" s="1683">
        <v>0</v>
      </c>
      <c r="CN724" s="1683">
        <v>0</v>
      </c>
      <c r="CO724" s="1683">
        <v>0</v>
      </c>
      <c r="CP724" s="1683">
        <v>0</v>
      </c>
      <c r="CQ724" s="1683">
        <v>0</v>
      </c>
      <c r="CR724" s="1683">
        <v>0</v>
      </c>
      <c r="CS724" s="1683">
        <v>0</v>
      </c>
      <c r="CT724" s="1683">
        <v>0</v>
      </c>
      <c r="CU724" s="1683">
        <v>0</v>
      </c>
      <c r="CV724" s="1683">
        <v>0</v>
      </c>
      <c r="CW724" s="1682"/>
      <c r="CX724" s="1400"/>
      <c r="CY724" s="1400"/>
      <c r="CZ724" s="1400"/>
      <c r="DA724" s="1400"/>
      <c r="DB724" s="1682"/>
      <c r="DC724" s="1326"/>
      <c r="DD724" s="1683">
        <v>0</v>
      </c>
      <c r="DE724" s="1400"/>
      <c r="DF724" s="1400"/>
      <c r="DG724" s="1683">
        <v>0</v>
      </c>
      <c r="DH724" s="1683">
        <v>0</v>
      </c>
    </row>
    <row r="725" spans="1:112">
      <c r="A725" s="1687" t="s">
        <v>57</v>
      </c>
      <c r="B725" s="1326"/>
      <c r="C725" s="1326"/>
      <c r="D725" s="1326"/>
      <c r="E725" s="1326"/>
      <c r="F725" s="1326"/>
      <c r="G725" s="1326"/>
      <c r="H725" s="1326"/>
      <c r="I725" s="1326"/>
      <c r="J725" s="1326"/>
      <c r="K725" s="1326"/>
      <c r="L725" s="1326"/>
      <c r="M725" s="1688">
        <v>1295636.08</v>
      </c>
      <c r="N725" s="1688">
        <v>0</v>
      </c>
      <c r="O725" s="1688">
        <v>1295636.08</v>
      </c>
      <c r="P725" s="1688">
        <v>1295636.08</v>
      </c>
      <c r="Q725" s="1688">
        <v>1084353.2</v>
      </c>
      <c r="R725" s="1688">
        <v>1084353.2</v>
      </c>
      <c r="S725" s="1688">
        <v>0</v>
      </c>
      <c r="T725" s="1688">
        <v>211282.88</v>
      </c>
      <c r="U725" s="1688">
        <v>0</v>
      </c>
      <c r="V725" s="1688">
        <v>211282.88</v>
      </c>
      <c r="W725" s="1688">
        <v>0</v>
      </c>
      <c r="X725" s="1688">
        <v>0</v>
      </c>
      <c r="Y725" s="1689"/>
      <c r="Z725" s="1687"/>
      <c r="AA725" s="1688">
        <v>0</v>
      </c>
      <c r="AB725" s="1688">
        <v>0</v>
      </c>
      <c r="AC725" s="1688">
        <v>0</v>
      </c>
      <c r="AD725" s="1689"/>
      <c r="AE725" s="1326"/>
      <c r="AF725" s="1326"/>
      <c r="AG725" s="1410"/>
      <c r="AH725" s="1688">
        <v>1045790.28</v>
      </c>
      <c r="AI725" s="1688">
        <v>1045790.28</v>
      </c>
      <c r="AJ725" s="1688">
        <v>871982.27</v>
      </c>
      <c r="AK725" s="1688">
        <v>871982.27</v>
      </c>
      <c r="AL725" s="1688">
        <v>0</v>
      </c>
      <c r="AM725" s="1689"/>
      <c r="AN725" s="1688">
        <v>1045790.28</v>
      </c>
      <c r="AO725" s="1688">
        <v>1045790.28</v>
      </c>
      <c r="AP725" s="1688">
        <v>871982.27</v>
      </c>
      <c r="AQ725" s="1688">
        <v>871982.27</v>
      </c>
      <c r="AR725" s="1688">
        <v>0</v>
      </c>
      <c r="AS725" s="1688">
        <v>173808.01</v>
      </c>
      <c r="AT725" s="1688">
        <v>0</v>
      </c>
      <c r="AU725" s="1688">
        <v>173808.01</v>
      </c>
      <c r="AV725" s="1688">
        <v>0</v>
      </c>
      <c r="AW725" s="1688">
        <v>0</v>
      </c>
      <c r="AX725" s="1688">
        <v>0</v>
      </c>
      <c r="AY725" s="1688">
        <v>0</v>
      </c>
      <c r="AZ725" s="1688">
        <v>0</v>
      </c>
      <c r="BA725" s="1689"/>
      <c r="BB725" s="1689"/>
      <c r="BC725" s="1688">
        <v>0</v>
      </c>
      <c r="BD725" s="1688">
        <v>0</v>
      </c>
      <c r="BE725" s="1688">
        <v>1045790.28</v>
      </c>
      <c r="BF725" s="1688">
        <v>1045790.28</v>
      </c>
      <c r="BG725" s="1688">
        <v>871982.27</v>
      </c>
      <c r="BH725" s="1688">
        <v>871982.27</v>
      </c>
      <c r="BI725" s="1688">
        <v>0</v>
      </c>
      <c r="BJ725" s="1688">
        <v>173808.01</v>
      </c>
      <c r="BK725" s="1688">
        <v>0</v>
      </c>
      <c r="BL725" s="1688">
        <v>173808.01</v>
      </c>
      <c r="BM725" s="1688">
        <v>0</v>
      </c>
      <c r="BN725" s="1688">
        <v>0</v>
      </c>
      <c r="BO725" s="1689"/>
      <c r="BP725" s="1688">
        <v>949813.08</v>
      </c>
      <c r="BQ725" s="1688">
        <v>949813.08</v>
      </c>
      <c r="BR725" s="1688">
        <v>790401.65</v>
      </c>
      <c r="BS725" s="1688">
        <v>790401.65</v>
      </c>
      <c r="BT725" s="1688">
        <v>0</v>
      </c>
      <c r="BU725" s="1688">
        <v>159411.43</v>
      </c>
      <c r="BV725" s="1688">
        <v>0</v>
      </c>
      <c r="BW725" s="1688">
        <v>90387.85</v>
      </c>
      <c r="BX725" s="1688">
        <v>0</v>
      </c>
      <c r="BY725" s="1688">
        <v>0</v>
      </c>
      <c r="BZ725" s="1688">
        <v>0</v>
      </c>
      <c r="CA725" s="1688">
        <v>0</v>
      </c>
      <c r="CB725" s="1689"/>
      <c r="CC725" s="1689"/>
      <c r="CD725" s="1688">
        <v>0</v>
      </c>
      <c r="CE725" s="1688">
        <v>0</v>
      </c>
      <c r="CF725" s="1688">
        <v>0</v>
      </c>
      <c r="CG725" s="1688">
        <v>0</v>
      </c>
      <c r="CH725" s="1688">
        <v>0</v>
      </c>
      <c r="CI725" s="1688">
        <v>0</v>
      </c>
      <c r="CJ725" s="1688">
        <v>0</v>
      </c>
      <c r="CK725" s="1688">
        <v>0</v>
      </c>
      <c r="CL725" s="1689"/>
      <c r="CM725" s="1688">
        <v>513604.63</v>
      </c>
      <c r="CN725" s="1688">
        <v>513604.63</v>
      </c>
      <c r="CO725" s="1688">
        <v>423216.78</v>
      </c>
      <c r="CP725" s="1688">
        <v>423216.78</v>
      </c>
      <c r="CQ725" s="1688">
        <v>0</v>
      </c>
      <c r="CR725" s="1688">
        <v>90387.85</v>
      </c>
      <c r="CS725" s="1688">
        <v>0</v>
      </c>
      <c r="CT725" s="1688">
        <v>90387.85</v>
      </c>
      <c r="CU725" s="1688">
        <v>0</v>
      </c>
      <c r="CV725" s="1688">
        <v>0</v>
      </c>
      <c r="CW725" s="1689"/>
      <c r="CX725" s="1688">
        <v>0</v>
      </c>
      <c r="CY725" s="1688">
        <v>0</v>
      </c>
      <c r="CZ725" s="1688">
        <v>513604.63</v>
      </c>
      <c r="DA725" s="1688">
        <v>513604.63</v>
      </c>
      <c r="DB725" s="1689"/>
      <c r="DC725" s="1687"/>
      <c r="DD725" s="1688">
        <v>0</v>
      </c>
      <c r="DE725" s="1688">
        <v>0</v>
      </c>
      <c r="DF725" s="1688">
        <v>0</v>
      </c>
      <c r="DG725" s="1688">
        <v>0</v>
      </c>
      <c r="DH725" s="1688">
        <v>0</v>
      </c>
    </row>
    <row r="726" spans="1:112">
      <c r="A726" s="1326" t="s">
        <v>2024</v>
      </c>
      <c r="B726" s="1326" t="s">
        <v>1690</v>
      </c>
      <c r="C726" s="1326"/>
      <c r="D726" s="1326"/>
      <c r="E726" s="1326"/>
      <c r="F726" s="1326"/>
      <c r="G726" s="1326"/>
      <c r="H726" s="1326"/>
      <c r="I726" s="1326"/>
      <c r="J726" s="1326"/>
      <c r="K726" s="1326"/>
      <c r="L726" s="1326"/>
      <c r="M726" s="1683">
        <v>1295636.08</v>
      </c>
      <c r="N726" s="1683">
        <v>0</v>
      </c>
      <c r="O726" s="1683">
        <v>1295636.08</v>
      </c>
      <c r="P726" s="1683">
        <v>1295636.08</v>
      </c>
      <c r="Q726" s="1683">
        <v>1084353.2</v>
      </c>
      <c r="R726" s="1683">
        <v>1084353.2</v>
      </c>
      <c r="S726" s="1683">
        <v>0</v>
      </c>
      <c r="T726" s="1683">
        <v>211282.88</v>
      </c>
      <c r="U726" s="1683">
        <v>0</v>
      </c>
      <c r="V726" s="1683">
        <v>211282.88</v>
      </c>
      <c r="W726" s="1683">
        <v>0</v>
      </c>
      <c r="X726" s="1683">
        <v>0</v>
      </c>
      <c r="Y726" s="1682"/>
      <c r="Z726" s="1326"/>
      <c r="AA726" s="1683">
        <v>0</v>
      </c>
      <c r="AB726" s="1683">
        <v>0</v>
      </c>
      <c r="AC726" s="1683">
        <v>0</v>
      </c>
      <c r="AD726" s="1682"/>
      <c r="AE726" s="1326"/>
      <c r="AF726" s="1326"/>
      <c r="AG726" s="1410"/>
      <c r="AH726" s="1683">
        <v>1045790.28</v>
      </c>
      <c r="AI726" s="1683">
        <v>1045790.28</v>
      </c>
      <c r="AJ726" s="1683">
        <v>871982.27</v>
      </c>
      <c r="AK726" s="1683">
        <v>871982.27</v>
      </c>
      <c r="AL726" s="1683">
        <v>0</v>
      </c>
      <c r="AM726" s="1682"/>
      <c r="AN726" s="1683">
        <v>1045790.28</v>
      </c>
      <c r="AO726" s="1683">
        <v>1045790.28</v>
      </c>
      <c r="AP726" s="1683">
        <v>871982.27</v>
      </c>
      <c r="AQ726" s="1683">
        <v>871982.27</v>
      </c>
      <c r="AR726" s="1683">
        <v>0</v>
      </c>
      <c r="AS726" s="1683">
        <v>173808.01</v>
      </c>
      <c r="AT726" s="1683">
        <v>0</v>
      </c>
      <c r="AU726" s="1683">
        <v>173808.01</v>
      </c>
      <c r="AV726" s="1683">
        <v>0</v>
      </c>
      <c r="AW726" s="1683">
        <v>0</v>
      </c>
      <c r="AX726" s="1683">
        <v>0</v>
      </c>
      <c r="AY726" s="1683">
        <v>0</v>
      </c>
      <c r="AZ726" s="1683">
        <v>0</v>
      </c>
      <c r="BA726" s="1682"/>
      <c r="BB726" s="1682"/>
      <c r="BC726" s="1683">
        <v>0</v>
      </c>
      <c r="BD726" s="1683">
        <v>0</v>
      </c>
      <c r="BE726" s="1683">
        <v>1045790.28</v>
      </c>
      <c r="BF726" s="1683">
        <v>1045790.28</v>
      </c>
      <c r="BG726" s="1683">
        <v>871982.27</v>
      </c>
      <c r="BH726" s="1683">
        <v>871982.27</v>
      </c>
      <c r="BI726" s="1683">
        <v>0</v>
      </c>
      <c r="BJ726" s="1683">
        <v>173808.01</v>
      </c>
      <c r="BK726" s="1683">
        <v>0</v>
      </c>
      <c r="BL726" s="1683">
        <v>173808.01</v>
      </c>
      <c r="BM726" s="1683">
        <v>0</v>
      </c>
      <c r="BN726" s="1683">
        <v>0</v>
      </c>
      <c r="BO726" s="1682"/>
      <c r="BP726" s="1683">
        <v>949813.08</v>
      </c>
      <c r="BQ726" s="1683">
        <v>949813.08</v>
      </c>
      <c r="BR726" s="1683">
        <v>790401.65</v>
      </c>
      <c r="BS726" s="1683">
        <v>790401.65</v>
      </c>
      <c r="BT726" s="1683">
        <v>0</v>
      </c>
      <c r="BU726" s="1683">
        <v>159411.43</v>
      </c>
      <c r="BV726" s="1683">
        <v>0</v>
      </c>
      <c r="BW726" s="1683">
        <v>90387.85</v>
      </c>
      <c r="BX726" s="1683">
        <v>0</v>
      </c>
      <c r="BY726" s="1683">
        <v>0</v>
      </c>
      <c r="BZ726" s="1683">
        <v>0</v>
      </c>
      <c r="CA726" s="1683">
        <v>0</v>
      </c>
      <c r="CB726" s="1682"/>
      <c r="CC726" s="1682"/>
      <c r="CD726" s="1683">
        <v>0</v>
      </c>
      <c r="CE726" s="1683">
        <v>0</v>
      </c>
      <c r="CF726" s="1683">
        <v>0</v>
      </c>
      <c r="CG726" s="1683">
        <v>0</v>
      </c>
      <c r="CH726" s="1683">
        <v>0</v>
      </c>
      <c r="CI726" s="1683">
        <v>0</v>
      </c>
      <c r="CJ726" s="1683">
        <v>0</v>
      </c>
      <c r="CK726" s="1683">
        <v>0</v>
      </c>
      <c r="CL726" s="1682"/>
      <c r="CM726" s="1683">
        <v>513604.63</v>
      </c>
      <c r="CN726" s="1683">
        <v>513604.63</v>
      </c>
      <c r="CO726" s="1683">
        <v>423216.78</v>
      </c>
      <c r="CP726" s="1683">
        <v>423216.78</v>
      </c>
      <c r="CQ726" s="1683">
        <v>0</v>
      </c>
      <c r="CR726" s="1683">
        <v>90387.85</v>
      </c>
      <c r="CS726" s="1683">
        <v>0</v>
      </c>
      <c r="CT726" s="1683">
        <v>90387.85</v>
      </c>
      <c r="CU726" s="1683">
        <v>0</v>
      </c>
      <c r="CV726" s="1683">
        <v>0</v>
      </c>
      <c r="CW726" s="1682"/>
      <c r="CX726" s="1683">
        <v>0</v>
      </c>
      <c r="CY726" s="1683">
        <v>0</v>
      </c>
      <c r="CZ726" s="1683">
        <v>513604.63</v>
      </c>
      <c r="DA726" s="1683">
        <v>513604.63</v>
      </c>
      <c r="DB726" s="1682"/>
      <c r="DC726" s="1326"/>
      <c r="DD726" s="1683">
        <v>0</v>
      </c>
      <c r="DE726" s="1683">
        <v>0</v>
      </c>
      <c r="DF726" s="1683">
        <v>0</v>
      </c>
      <c r="DG726" s="1683">
        <v>0</v>
      </c>
      <c r="DH726" s="1683">
        <v>0</v>
      </c>
    </row>
    <row r="727" spans="1:112">
      <c r="A727" s="1326" t="s">
        <v>2534</v>
      </c>
      <c r="B727" s="1326" t="s">
        <v>1690</v>
      </c>
      <c r="C727" s="1326" t="s">
        <v>2537</v>
      </c>
      <c r="D727" s="1326"/>
      <c r="E727" s="1326"/>
      <c r="F727" s="1326"/>
      <c r="G727" s="1326"/>
      <c r="H727" s="1326"/>
      <c r="I727" s="1326"/>
      <c r="J727" s="1326"/>
      <c r="K727" s="1326"/>
      <c r="L727" s="1326"/>
      <c r="M727" s="1683">
        <v>1295636.08</v>
      </c>
      <c r="N727" s="1683">
        <v>0</v>
      </c>
      <c r="O727" s="1683">
        <v>1295636.08</v>
      </c>
      <c r="P727" s="1683">
        <v>1295636.08</v>
      </c>
      <c r="Q727" s="1683">
        <v>1084353.2</v>
      </c>
      <c r="R727" s="1683">
        <v>1084353.2</v>
      </c>
      <c r="S727" s="1683">
        <v>0</v>
      </c>
      <c r="T727" s="1683">
        <v>211282.88</v>
      </c>
      <c r="U727" s="1683">
        <v>0</v>
      </c>
      <c r="V727" s="1683">
        <v>211282.88</v>
      </c>
      <c r="W727" s="1683">
        <v>0</v>
      </c>
      <c r="X727" s="1683">
        <v>0</v>
      </c>
      <c r="Y727" s="1682"/>
      <c r="Z727" s="1326"/>
      <c r="AA727" s="1683">
        <v>0</v>
      </c>
      <c r="AB727" s="1683">
        <v>0</v>
      </c>
      <c r="AC727" s="1683">
        <v>0</v>
      </c>
      <c r="AD727" s="1682"/>
      <c r="AE727" s="1326"/>
      <c r="AF727" s="1326"/>
      <c r="AG727" s="1410"/>
      <c r="AH727" s="1683">
        <v>1045790.28</v>
      </c>
      <c r="AI727" s="1683">
        <v>1045790.28</v>
      </c>
      <c r="AJ727" s="1683">
        <v>871982.27</v>
      </c>
      <c r="AK727" s="1683">
        <v>871982.27</v>
      </c>
      <c r="AL727" s="1683">
        <v>0</v>
      </c>
      <c r="AM727" s="1682"/>
      <c r="AN727" s="1683">
        <v>1045790.28</v>
      </c>
      <c r="AO727" s="1683">
        <v>1045790.28</v>
      </c>
      <c r="AP727" s="1683">
        <v>871982.27</v>
      </c>
      <c r="AQ727" s="1683">
        <v>871982.27</v>
      </c>
      <c r="AR727" s="1683">
        <v>0</v>
      </c>
      <c r="AS727" s="1683">
        <v>173808.01</v>
      </c>
      <c r="AT727" s="1683">
        <v>0</v>
      </c>
      <c r="AU727" s="1683">
        <v>173808.01</v>
      </c>
      <c r="AV727" s="1683">
        <v>0</v>
      </c>
      <c r="AW727" s="1683">
        <v>0</v>
      </c>
      <c r="AX727" s="1683">
        <v>0</v>
      </c>
      <c r="AY727" s="1683">
        <v>0</v>
      </c>
      <c r="AZ727" s="1683">
        <v>0</v>
      </c>
      <c r="BA727" s="1682"/>
      <c r="BB727" s="1682"/>
      <c r="BC727" s="1683">
        <v>0</v>
      </c>
      <c r="BD727" s="1683">
        <v>0</v>
      </c>
      <c r="BE727" s="1683">
        <v>1045790.28</v>
      </c>
      <c r="BF727" s="1683">
        <v>1045790.28</v>
      </c>
      <c r="BG727" s="1683">
        <v>871982.27</v>
      </c>
      <c r="BH727" s="1683">
        <v>871982.27</v>
      </c>
      <c r="BI727" s="1683">
        <v>0</v>
      </c>
      <c r="BJ727" s="1683">
        <v>173808.01</v>
      </c>
      <c r="BK727" s="1683">
        <v>0</v>
      </c>
      <c r="BL727" s="1683">
        <v>173808.01</v>
      </c>
      <c r="BM727" s="1683">
        <v>0</v>
      </c>
      <c r="BN727" s="1683">
        <v>0</v>
      </c>
      <c r="BO727" s="1682"/>
      <c r="BP727" s="1683">
        <v>949813.08</v>
      </c>
      <c r="BQ727" s="1683">
        <v>949813.08</v>
      </c>
      <c r="BR727" s="1683">
        <v>790401.65</v>
      </c>
      <c r="BS727" s="1683">
        <v>790401.65</v>
      </c>
      <c r="BT727" s="1683">
        <v>0</v>
      </c>
      <c r="BU727" s="1683">
        <v>159411.43</v>
      </c>
      <c r="BV727" s="1683">
        <v>0</v>
      </c>
      <c r="BW727" s="1683">
        <v>90387.85</v>
      </c>
      <c r="BX727" s="1683">
        <v>0</v>
      </c>
      <c r="BY727" s="1683">
        <v>0</v>
      </c>
      <c r="BZ727" s="1683">
        <v>0</v>
      </c>
      <c r="CA727" s="1683">
        <v>0</v>
      </c>
      <c r="CB727" s="1682"/>
      <c r="CC727" s="1682"/>
      <c r="CD727" s="1683">
        <v>0</v>
      </c>
      <c r="CE727" s="1683">
        <v>0</v>
      </c>
      <c r="CF727" s="1683">
        <v>0</v>
      </c>
      <c r="CG727" s="1683">
        <v>0</v>
      </c>
      <c r="CH727" s="1683">
        <v>0</v>
      </c>
      <c r="CI727" s="1683">
        <v>0</v>
      </c>
      <c r="CJ727" s="1683">
        <v>0</v>
      </c>
      <c r="CK727" s="1683">
        <v>0</v>
      </c>
      <c r="CL727" s="1682"/>
      <c r="CM727" s="1683">
        <v>513604.63</v>
      </c>
      <c r="CN727" s="1683">
        <v>513604.63</v>
      </c>
      <c r="CO727" s="1683">
        <v>423216.78</v>
      </c>
      <c r="CP727" s="1683">
        <v>423216.78</v>
      </c>
      <c r="CQ727" s="1683">
        <v>0</v>
      </c>
      <c r="CR727" s="1683">
        <v>90387.85</v>
      </c>
      <c r="CS727" s="1683">
        <v>0</v>
      </c>
      <c r="CT727" s="1683">
        <v>90387.85</v>
      </c>
      <c r="CU727" s="1683">
        <v>0</v>
      </c>
      <c r="CV727" s="1683">
        <v>0</v>
      </c>
      <c r="CW727" s="1682"/>
      <c r="CX727" s="1683">
        <v>0</v>
      </c>
      <c r="CY727" s="1683">
        <v>0</v>
      </c>
      <c r="CZ727" s="1683">
        <v>513604.63</v>
      </c>
      <c r="DA727" s="1683">
        <v>513604.63</v>
      </c>
      <c r="DB727" s="1682"/>
      <c r="DC727" s="1326"/>
      <c r="DD727" s="1683">
        <v>0</v>
      </c>
      <c r="DE727" s="1683">
        <v>0</v>
      </c>
      <c r="DF727" s="1683">
        <v>0</v>
      </c>
      <c r="DG727" s="1683">
        <v>0</v>
      </c>
      <c r="DH727" s="1683">
        <v>0</v>
      </c>
    </row>
    <row r="728" spans="1:112">
      <c r="A728" s="1326" t="s">
        <v>2535</v>
      </c>
      <c r="B728" s="1326" t="s">
        <v>1690</v>
      </c>
      <c r="C728" s="1326" t="s">
        <v>2537</v>
      </c>
      <c r="D728" s="1326" t="s">
        <v>2538</v>
      </c>
      <c r="E728" s="1326"/>
      <c r="F728" s="1326"/>
      <c r="G728" s="1326"/>
      <c r="H728" s="1326"/>
      <c r="I728" s="1326"/>
      <c r="J728" s="1326"/>
      <c r="K728" s="1326"/>
      <c r="L728" s="1326"/>
      <c r="M728" s="1683">
        <v>1295636.08</v>
      </c>
      <c r="N728" s="1683">
        <v>0</v>
      </c>
      <c r="O728" s="1683">
        <v>1295636.08</v>
      </c>
      <c r="P728" s="1683">
        <v>1295636.08</v>
      </c>
      <c r="Q728" s="1683">
        <v>1084353.2</v>
      </c>
      <c r="R728" s="1683">
        <v>1084353.2</v>
      </c>
      <c r="S728" s="1683">
        <v>0</v>
      </c>
      <c r="T728" s="1683">
        <v>211282.88</v>
      </c>
      <c r="U728" s="1683">
        <v>0</v>
      </c>
      <c r="V728" s="1683">
        <v>211282.88</v>
      </c>
      <c r="W728" s="1683">
        <v>0</v>
      </c>
      <c r="X728" s="1683">
        <v>0</v>
      </c>
      <c r="Y728" s="1682"/>
      <c r="Z728" s="1326"/>
      <c r="AA728" s="1683">
        <v>0</v>
      </c>
      <c r="AB728" s="1683">
        <v>0</v>
      </c>
      <c r="AC728" s="1683">
        <v>0</v>
      </c>
      <c r="AD728" s="1682"/>
      <c r="AE728" s="1326"/>
      <c r="AF728" s="1326"/>
      <c r="AG728" s="1410"/>
      <c r="AH728" s="1683">
        <v>1045790.28</v>
      </c>
      <c r="AI728" s="1683">
        <v>1045790.28</v>
      </c>
      <c r="AJ728" s="1683">
        <v>871982.27</v>
      </c>
      <c r="AK728" s="1683">
        <v>871982.27</v>
      </c>
      <c r="AL728" s="1683">
        <v>0</v>
      </c>
      <c r="AM728" s="1682"/>
      <c r="AN728" s="1683">
        <v>1045790.28</v>
      </c>
      <c r="AO728" s="1683">
        <v>1045790.28</v>
      </c>
      <c r="AP728" s="1683">
        <v>871982.27</v>
      </c>
      <c r="AQ728" s="1683">
        <v>871982.27</v>
      </c>
      <c r="AR728" s="1683">
        <v>0</v>
      </c>
      <c r="AS728" s="1683">
        <v>173808.01</v>
      </c>
      <c r="AT728" s="1683">
        <v>0</v>
      </c>
      <c r="AU728" s="1683">
        <v>173808.01</v>
      </c>
      <c r="AV728" s="1683">
        <v>0</v>
      </c>
      <c r="AW728" s="1683">
        <v>0</v>
      </c>
      <c r="AX728" s="1683">
        <v>0</v>
      </c>
      <c r="AY728" s="1683">
        <v>0</v>
      </c>
      <c r="AZ728" s="1683">
        <v>0</v>
      </c>
      <c r="BA728" s="1682"/>
      <c r="BB728" s="1682"/>
      <c r="BC728" s="1683">
        <v>0</v>
      </c>
      <c r="BD728" s="1683">
        <v>0</v>
      </c>
      <c r="BE728" s="1683">
        <v>1045790.28</v>
      </c>
      <c r="BF728" s="1683">
        <v>1045790.28</v>
      </c>
      <c r="BG728" s="1683">
        <v>871982.27</v>
      </c>
      <c r="BH728" s="1683">
        <v>871982.27</v>
      </c>
      <c r="BI728" s="1683">
        <v>0</v>
      </c>
      <c r="BJ728" s="1683">
        <v>173808.01</v>
      </c>
      <c r="BK728" s="1683">
        <v>0</v>
      </c>
      <c r="BL728" s="1683">
        <v>173808.01</v>
      </c>
      <c r="BM728" s="1683">
        <v>0</v>
      </c>
      <c r="BN728" s="1683">
        <v>0</v>
      </c>
      <c r="BO728" s="1682"/>
      <c r="BP728" s="1683">
        <v>949813.08</v>
      </c>
      <c r="BQ728" s="1683">
        <v>949813.08</v>
      </c>
      <c r="BR728" s="1683">
        <v>790401.65</v>
      </c>
      <c r="BS728" s="1683">
        <v>790401.65</v>
      </c>
      <c r="BT728" s="1683">
        <v>0</v>
      </c>
      <c r="BU728" s="1683">
        <v>159411.43</v>
      </c>
      <c r="BV728" s="1683">
        <v>0</v>
      </c>
      <c r="BW728" s="1683">
        <v>90387.85</v>
      </c>
      <c r="BX728" s="1683">
        <v>0</v>
      </c>
      <c r="BY728" s="1683">
        <v>0</v>
      </c>
      <c r="BZ728" s="1683">
        <v>0</v>
      </c>
      <c r="CA728" s="1683">
        <v>0</v>
      </c>
      <c r="CB728" s="1682"/>
      <c r="CC728" s="1682"/>
      <c r="CD728" s="1683">
        <v>0</v>
      </c>
      <c r="CE728" s="1683">
        <v>0</v>
      </c>
      <c r="CF728" s="1683">
        <v>0</v>
      </c>
      <c r="CG728" s="1683">
        <v>0</v>
      </c>
      <c r="CH728" s="1683">
        <v>0</v>
      </c>
      <c r="CI728" s="1683">
        <v>0</v>
      </c>
      <c r="CJ728" s="1683">
        <v>0</v>
      </c>
      <c r="CK728" s="1683">
        <v>0</v>
      </c>
      <c r="CL728" s="1682"/>
      <c r="CM728" s="1683">
        <v>513604.63</v>
      </c>
      <c r="CN728" s="1683">
        <v>513604.63</v>
      </c>
      <c r="CO728" s="1683">
        <v>423216.78</v>
      </c>
      <c r="CP728" s="1683">
        <v>423216.78</v>
      </c>
      <c r="CQ728" s="1683">
        <v>0</v>
      </c>
      <c r="CR728" s="1683">
        <v>90387.85</v>
      </c>
      <c r="CS728" s="1683">
        <v>0</v>
      </c>
      <c r="CT728" s="1683">
        <v>90387.85</v>
      </c>
      <c r="CU728" s="1683">
        <v>0</v>
      </c>
      <c r="CV728" s="1683">
        <v>0</v>
      </c>
      <c r="CW728" s="1682"/>
      <c r="CX728" s="1683">
        <v>0</v>
      </c>
      <c r="CY728" s="1683">
        <v>0</v>
      </c>
      <c r="CZ728" s="1683">
        <v>513604.63</v>
      </c>
      <c r="DA728" s="1683">
        <v>513604.63</v>
      </c>
      <c r="DB728" s="1682"/>
      <c r="DC728" s="1326"/>
      <c r="DD728" s="1683">
        <v>0</v>
      </c>
      <c r="DE728" s="1683">
        <v>0</v>
      </c>
      <c r="DF728" s="1683">
        <v>0</v>
      </c>
      <c r="DG728" s="1683">
        <v>0</v>
      </c>
      <c r="DH728" s="1683">
        <v>0</v>
      </c>
    </row>
    <row r="729" spans="1:112">
      <c r="A729" s="1326" t="s">
        <v>2536</v>
      </c>
      <c r="B729" s="1326" t="s">
        <v>1690</v>
      </c>
      <c r="C729" s="1326" t="s">
        <v>2537</v>
      </c>
      <c r="D729" s="1326" t="s">
        <v>2538</v>
      </c>
      <c r="E729" s="1326" t="s">
        <v>269</v>
      </c>
      <c r="F729" s="1326"/>
      <c r="G729" s="1326"/>
      <c r="H729" s="1326"/>
      <c r="I729" s="1326"/>
      <c r="J729" s="1326"/>
      <c r="K729" s="1326"/>
      <c r="L729" s="1326"/>
      <c r="M729" s="1683">
        <v>1295636.08</v>
      </c>
      <c r="N729" s="1683">
        <v>0</v>
      </c>
      <c r="O729" s="1683">
        <v>1295636.08</v>
      </c>
      <c r="P729" s="1683">
        <v>1295636.08</v>
      </c>
      <c r="Q729" s="1683">
        <v>1084353.2</v>
      </c>
      <c r="R729" s="1683">
        <v>1084353.2</v>
      </c>
      <c r="S729" s="1683">
        <v>0</v>
      </c>
      <c r="T729" s="1683">
        <v>211282.88</v>
      </c>
      <c r="U729" s="1683">
        <v>0</v>
      </c>
      <c r="V729" s="1683">
        <v>211282.88</v>
      </c>
      <c r="W729" s="1683">
        <v>0</v>
      </c>
      <c r="X729" s="1683">
        <v>0</v>
      </c>
      <c r="Y729" s="1682"/>
      <c r="Z729" s="1326"/>
      <c r="AA729" s="1683">
        <v>0</v>
      </c>
      <c r="AB729" s="1683">
        <v>0</v>
      </c>
      <c r="AC729" s="1683">
        <v>0</v>
      </c>
      <c r="AD729" s="1682"/>
      <c r="AE729" s="1326"/>
      <c r="AF729" s="1326"/>
      <c r="AG729" s="1410"/>
      <c r="AH729" s="1683">
        <v>1045790.28</v>
      </c>
      <c r="AI729" s="1683">
        <v>1045790.28</v>
      </c>
      <c r="AJ729" s="1683">
        <v>871982.27</v>
      </c>
      <c r="AK729" s="1683">
        <v>871982.27</v>
      </c>
      <c r="AL729" s="1683">
        <v>0</v>
      </c>
      <c r="AM729" s="1682"/>
      <c r="AN729" s="1683">
        <v>1045790.28</v>
      </c>
      <c r="AO729" s="1683">
        <v>1045790.28</v>
      </c>
      <c r="AP729" s="1683">
        <v>871982.27</v>
      </c>
      <c r="AQ729" s="1683">
        <v>871982.27</v>
      </c>
      <c r="AR729" s="1683">
        <v>0</v>
      </c>
      <c r="AS729" s="1683">
        <v>173808.01</v>
      </c>
      <c r="AT729" s="1683">
        <v>0</v>
      </c>
      <c r="AU729" s="1683">
        <v>173808.01</v>
      </c>
      <c r="AV729" s="1683">
        <v>0</v>
      </c>
      <c r="AW729" s="1683">
        <v>0</v>
      </c>
      <c r="AX729" s="1683">
        <v>0</v>
      </c>
      <c r="AY729" s="1683">
        <v>0</v>
      </c>
      <c r="AZ729" s="1683">
        <v>0</v>
      </c>
      <c r="BA729" s="1682"/>
      <c r="BB729" s="1682"/>
      <c r="BC729" s="1683">
        <v>0</v>
      </c>
      <c r="BD729" s="1683">
        <v>0</v>
      </c>
      <c r="BE729" s="1683">
        <v>1045790.28</v>
      </c>
      <c r="BF729" s="1683">
        <v>1045790.28</v>
      </c>
      <c r="BG729" s="1683">
        <v>871982.27</v>
      </c>
      <c r="BH729" s="1683">
        <v>871982.27</v>
      </c>
      <c r="BI729" s="1683">
        <v>0</v>
      </c>
      <c r="BJ729" s="1683">
        <v>173808.01</v>
      </c>
      <c r="BK729" s="1683">
        <v>0</v>
      </c>
      <c r="BL729" s="1683">
        <v>173808.01</v>
      </c>
      <c r="BM729" s="1683">
        <v>0</v>
      </c>
      <c r="BN729" s="1683">
        <v>0</v>
      </c>
      <c r="BO729" s="1682"/>
      <c r="BP729" s="1683">
        <v>949813.08</v>
      </c>
      <c r="BQ729" s="1683">
        <v>949813.08</v>
      </c>
      <c r="BR729" s="1683">
        <v>790401.65</v>
      </c>
      <c r="BS729" s="1683">
        <v>790401.65</v>
      </c>
      <c r="BT729" s="1683">
        <v>0</v>
      </c>
      <c r="BU729" s="1683">
        <v>159411.43</v>
      </c>
      <c r="BV729" s="1683">
        <v>0</v>
      </c>
      <c r="BW729" s="1683">
        <v>90387.85</v>
      </c>
      <c r="BX729" s="1683">
        <v>0</v>
      </c>
      <c r="BY729" s="1683">
        <v>0</v>
      </c>
      <c r="BZ729" s="1683">
        <v>0</v>
      </c>
      <c r="CA729" s="1683">
        <v>0</v>
      </c>
      <c r="CB729" s="1682"/>
      <c r="CC729" s="1682"/>
      <c r="CD729" s="1683">
        <v>0</v>
      </c>
      <c r="CE729" s="1683">
        <v>0</v>
      </c>
      <c r="CF729" s="1683">
        <v>0</v>
      </c>
      <c r="CG729" s="1683">
        <v>0</v>
      </c>
      <c r="CH729" s="1683">
        <v>0</v>
      </c>
      <c r="CI729" s="1683">
        <v>0</v>
      </c>
      <c r="CJ729" s="1683">
        <v>0</v>
      </c>
      <c r="CK729" s="1683">
        <v>0</v>
      </c>
      <c r="CL729" s="1682"/>
      <c r="CM729" s="1683">
        <v>513604.63</v>
      </c>
      <c r="CN729" s="1683">
        <v>513604.63</v>
      </c>
      <c r="CO729" s="1683">
        <v>423216.78</v>
      </c>
      <c r="CP729" s="1683">
        <v>423216.78</v>
      </c>
      <c r="CQ729" s="1683">
        <v>0</v>
      </c>
      <c r="CR729" s="1683">
        <v>90387.85</v>
      </c>
      <c r="CS729" s="1683">
        <v>0</v>
      </c>
      <c r="CT729" s="1683">
        <v>90387.85</v>
      </c>
      <c r="CU729" s="1683">
        <v>0</v>
      </c>
      <c r="CV729" s="1683">
        <v>0</v>
      </c>
      <c r="CW729" s="1682"/>
      <c r="CX729" s="1683">
        <v>0</v>
      </c>
      <c r="CY729" s="1683">
        <v>0</v>
      </c>
      <c r="CZ729" s="1683">
        <v>513604.63</v>
      </c>
      <c r="DA729" s="1683">
        <v>513604.63</v>
      </c>
      <c r="DB729" s="1682"/>
      <c r="DC729" s="1326"/>
      <c r="DD729" s="1683">
        <v>0</v>
      </c>
      <c r="DE729" s="1683">
        <v>0</v>
      </c>
      <c r="DF729" s="1683">
        <v>0</v>
      </c>
      <c r="DG729" s="1683">
        <v>0</v>
      </c>
      <c r="DH729" s="1683">
        <v>0</v>
      </c>
    </row>
    <row r="730" spans="1:112" ht="33.75">
      <c r="A730" s="1326" t="s">
        <v>2025</v>
      </c>
      <c r="B730" s="1326" t="s">
        <v>1690</v>
      </c>
      <c r="C730" s="1326" t="s">
        <v>2537</v>
      </c>
      <c r="D730" s="1326" t="s">
        <v>2538</v>
      </c>
      <c r="E730" s="1326" t="s">
        <v>269</v>
      </c>
      <c r="F730" s="1326" t="s">
        <v>2539</v>
      </c>
      <c r="G730" s="1326" t="s">
        <v>2540</v>
      </c>
      <c r="H730" s="1326" t="s">
        <v>2541</v>
      </c>
      <c r="I730" s="1326" t="s">
        <v>3920</v>
      </c>
      <c r="J730" s="1326" t="s">
        <v>3921</v>
      </c>
      <c r="K730" s="1326" t="s">
        <v>3922</v>
      </c>
      <c r="L730" s="1326" t="s">
        <v>2137</v>
      </c>
      <c r="M730" s="1683">
        <v>14750</v>
      </c>
      <c r="N730" s="1683">
        <v>0</v>
      </c>
      <c r="O730" s="1683">
        <v>14750</v>
      </c>
      <c r="P730" s="1683">
        <v>14750</v>
      </c>
      <c r="Q730" s="1683">
        <v>12537.5</v>
      </c>
      <c r="R730" s="1683">
        <v>12537.5</v>
      </c>
      <c r="S730" s="1683">
        <v>0</v>
      </c>
      <c r="T730" s="1683">
        <v>2212.5</v>
      </c>
      <c r="U730" s="1683">
        <v>0</v>
      </c>
      <c r="V730" s="1683">
        <v>2212.5</v>
      </c>
      <c r="W730" s="1683">
        <v>0</v>
      </c>
      <c r="X730" s="1683">
        <v>0</v>
      </c>
      <c r="Y730" s="1682"/>
      <c r="Z730" s="1326"/>
      <c r="AA730" s="1683">
        <v>0</v>
      </c>
      <c r="AB730" s="1683">
        <v>0</v>
      </c>
      <c r="AC730" s="1683">
        <v>0</v>
      </c>
      <c r="AD730" s="1682"/>
      <c r="AE730" s="1326"/>
      <c r="AF730" s="1326"/>
      <c r="AG730" s="1410"/>
      <c r="AH730" s="1683">
        <v>14750</v>
      </c>
      <c r="AI730" s="1683">
        <v>14750</v>
      </c>
      <c r="AJ730" s="1683">
        <v>12537.5</v>
      </c>
      <c r="AK730" s="1683">
        <v>12537.5</v>
      </c>
      <c r="AL730" s="1683">
        <v>0</v>
      </c>
      <c r="AM730" s="1682"/>
      <c r="AN730" s="1683">
        <v>14750</v>
      </c>
      <c r="AO730" s="1683">
        <v>14750</v>
      </c>
      <c r="AP730" s="1683">
        <v>12537.5</v>
      </c>
      <c r="AQ730" s="1683">
        <v>12537.5</v>
      </c>
      <c r="AR730" s="1683">
        <v>0</v>
      </c>
      <c r="AS730" s="1683">
        <v>2212.5</v>
      </c>
      <c r="AT730" s="1683">
        <v>0</v>
      </c>
      <c r="AU730" s="1683">
        <v>2212.5</v>
      </c>
      <c r="AV730" s="1683">
        <v>0</v>
      </c>
      <c r="AW730" s="1683">
        <v>0</v>
      </c>
      <c r="AX730" s="1683">
        <v>0</v>
      </c>
      <c r="AY730" s="1683">
        <v>0</v>
      </c>
      <c r="AZ730" s="1683">
        <v>0</v>
      </c>
      <c r="BA730" s="1682"/>
      <c r="BB730" s="1682"/>
      <c r="BC730" s="1683">
        <v>0</v>
      </c>
      <c r="BD730" s="1683">
        <v>0</v>
      </c>
      <c r="BE730" s="1683">
        <v>14750</v>
      </c>
      <c r="BF730" s="1683">
        <v>14750</v>
      </c>
      <c r="BG730" s="1683">
        <v>12537.5</v>
      </c>
      <c r="BH730" s="1683">
        <v>12537.5</v>
      </c>
      <c r="BI730" s="1683">
        <v>0</v>
      </c>
      <c r="BJ730" s="1683">
        <v>2212.5</v>
      </c>
      <c r="BK730" s="1683">
        <v>0</v>
      </c>
      <c r="BL730" s="1683">
        <v>2212.5</v>
      </c>
      <c r="BM730" s="1683">
        <v>0</v>
      </c>
      <c r="BN730" s="1683">
        <v>0</v>
      </c>
      <c r="BO730" s="1682"/>
      <c r="BP730" s="1683">
        <v>14750</v>
      </c>
      <c r="BQ730" s="1683">
        <v>14750</v>
      </c>
      <c r="BR730" s="1683">
        <v>12537.5</v>
      </c>
      <c r="BS730" s="1683">
        <v>12537.5</v>
      </c>
      <c r="BT730" s="1683">
        <v>0</v>
      </c>
      <c r="BU730" s="1683">
        <v>2212.5</v>
      </c>
      <c r="BV730" s="1683">
        <v>0</v>
      </c>
      <c r="BW730" s="1683">
        <v>2212.5</v>
      </c>
      <c r="BX730" s="1683">
        <v>0</v>
      </c>
      <c r="BY730" s="1683">
        <v>0</v>
      </c>
      <c r="BZ730" s="1683">
        <v>0</v>
      </c>
      <c r="CA730" s="1683">
        <v>0</v>
      </c>
      <c r="CB730" s="1682"/>
      <c r="CC730" s="1682"/>
      <c r="CD730" s="1683">
        <v>0</v>
      </c>
      <c r="CE730" s="1683">
        <v>0</v>
      </c>
      <c r="CF730" s="1683">
        <v>0</v>
      </c>
      <c r="CG730" s="1683">
        <v>0</v>
      </c>
      <c r="CH730" s="1683">
        <v>0</v>
      </c>
      <c r="CI730" s="1683">
        <v>0</v>
      </c>
      <c r="CJ730" s="1683">
        <v>0</v>
      </c>
      <c r="CK730" s="1683">
        <v>0</v>
      </c>
      <c r="CL730" s="1682"/>
      <c r="CM730" s="1683">
        <v>14750</v>
      </c>
      <c r="CN730" s="1683">
        <v>14750</v>
      </c>
      <c r="CO730" s="1683">
        <v>12537.5</v>
      </c>
      <c r="CP730" s="1683">
        <v>12537.5</v>
      </c>
      <c r="CQ730" s="1683">
        <v>0</v>
      </c>
      <c r="CR730" s="1683">
        <v>2212.5</v>
      </c>
      <c r="CS730" s="1683">
        <v>0</v>
      </c>
      <c r="CT730" s="1683">
        <v>2212.5</v>
      </c>
      <c r="CU730" s="1683">
        <v>0</v>
      </c>
      <c r="CV730" s="1683">
        <v>0</v>
      </c>
      <c r="CW730" s="1682"/>
      <c r="CX730" s="1683">
        <v>0</v>
      </c>
      <c r="CY730" s="1683">
        <v>0</v>
      </c>
      <c r="CZ730" s="1683">
        <v>14750</v>
      </c>
      <c r="DA730" s="1683">
        <v>14750</v>
      </c>
      <c r="DB730" s="1682"/>
      <c r="DC730" s="1326"/>
      <c r="DD730" s="1683">
        <v>0</v>
      </c>
      <c r="DE730" s="1683">
        <v>0</v>
      </c>
      <c r="DF730" s="1683">
        <v>0</v>
      </c>
      <c r="DG730" s="1683">
        <v>0</v>
      </c>
      <c r="DH730" s="1683">
        <v>0</v>
      </c>
    </row>
    <row r="731" spans="1:112" ht="33.75">
      <c r="A731" s="1326" t="s">
        <v>2072</v>
      </c>
      <c r="B731" s="1326" t="s">
        <v>1690</v>
      </c>
      <c r="C731" s="1326" t="s">
        <v>2537</v>
      </c>
      <c r="D731" s="1326" t="s">
        <v>2538</v>
      </c>
      <c r="E731" s="1326" t="s">
        <v>269</v>
      </c>
      <c r="F731" s="1326" t="s">
        <v>2539</v>
      </c>
      <c r="G731" s="1326" t="s">
        <v>2540</v>
      </c>
      <c r="H731" s="1326" t="s">
        <v>2541</v>
      </c>
      <c r="I731" s="1326" t="s">
        <v>3920</v>
      </c>
      <c r="J731" s="1326" t="s">
        <v>3921</v>
      </c>
      <c r="K731" s="1326" t="s">
        <v>3922</v>
      </c>
      <c r="L731" s="1326" t="s">
        <v>2137</v>
      </c>
      <c r="M731" s="1400"/>
      <c r="N731" s="1400"/>
      <c r="O731" s="1400"/>
      <c r="P731" s="1400"/>
      <c r="Q731" s="1400"/>
      <c r="R731" s="1400"/>
      <c r="S731" s="1400"/>
      <c r="T731" s="1400"/>
      <c r="U731" s="1400"/>
      <c r="V731" s="1400"/>
      <c r="W731" s="1400"/>
      <c r="X731" s="1400"/>
      <c r="Y731" s="1685">
        <v>42822</v>
      </c>
      <c r="Z731" s="1326" t="s">
        <v>2062</v>
      </c>
      <c r="AA731" s="1683">
        <v>0</v>
      </c>
      <c r="AB731" s="1683">
        <v>0</v>
      </c>
      <c r="AC731" s="1683">
        <v>0</v>
      </c>
      <c r="AD731" s="1685">
        <v>42832</v>
      </c>
      <c r="AE731" s="1326" t="s">
        <v>2063</v>
      </c>
      <c r="AF731" s="1326" t="s">
        <v>2067</v>
      </c>
      <c r="AG731" s="1410"/>
      <c r="AH731" s="1683">
        <v>7375</v>
      </c>
      <c r="AI731" s="1683">
        <v>7375</v>
      </c>
      <c r="AJ731" s="1683">
        <v>6268.75</v>
      </c>
      <c r="AK731" s="1683">
        <v>6268.75</v>
      </c>
      <c r="AL731" s="1683">
        <v>0</v>
      </c>
      <c r="AM731" s="1685">
        <v>42835</v>
      </c>
      <c r="AN731" s="1683">
        <v>7375</v>
      </c>
      <c r="AO731" s="1683">
        <v>7375</v>
      </c>
      <c r="AP731" s="1683">
        <v>6268.75</v>
      </c>
      <c r="AQ731" s="1683">
        <v>6268.75</v>
      </c>
      <c r="AR731" s="1683">
        <v>0</v>
      </c>
      <c r="AS731" s="1683">
        <v>1106.25</v>
      </c>
      <c r="AT731" s="1683">
        <v>0</v>
      </c>
      <c r="AU731" s="1683">
        <v>1106.25</v>
      </c>
      <c r="AV731" s="1683">
        <v>0</v>
      </c>
      <c r="AW731" s="1683">
        <v>0</v>
      </c>
      <c r="AX731" s="1400"/>
      <c r="AY731" s="1400"/>
      <c r="AZ731" s="1400"/>
      <c r="BA731" s="1682"/>
      <c r="BB731" s="1682"/>
      <c r="BC731" s="1400"/>
      <c r="BD731" s="1400"/>
      <c r="BE731" s="1683">
        <v>7375</v>
      </c>
      <c r="BF731" s="1683">
        <v>7375</v>
      </c>
      <c r="BG731" s="1683">
        <v>6268.75</v>
      </c>
      <c r="BH731" s="1683">
        <v>6268.75</v>
      </c>
      <c r="BI731" s="1683">
        <v>0</v>
      </c>
      <c r="BJ731" s="1683">
        <v>1106.25</v>
      </c>
      <c r="BK731" s="1683">
        <v>0</v>
      </c>
      <c r="BL731" s="1683">
        <v>1106.25</v>
      </c>
      <c r="BM731" s="1683">
        <v>0</v>
      </c>
      <c r="BN731" s="1683">
        <v>0</v>
      </c>
      <c r="BO731" s="1685">
        <v>42993</v>
      </c>
      <c r="BP731" s="1683">
        <v>7375</v>
      </c>
      <c r="BQ731" s="1683">
        <v>7375</v>
      </c>
      <c r="BR731" s="1683">
        <v>6268.75</v>
      </c>
      <c r="BS731" s="1683">
        <v>6268.75</v>
      </c>
      <c r="BT731" s="1683">
        <v>0</v>
      </c>
      <c r="BU731" s="1683">
        <v>1106.25</v>
      </c>
      <c r="BV731" s="1683">
        <v>0</v>
      </c>
      <c r="BW731" s="1683">
        <v>1106.25</v>
      </c>
      <c r="BX731" s="1683">
        <v>0</v>
      </c>
      <c r="BY731" s="1683">
        <v>0</v>
      </c>
      <c r="BZ731" s="1683">
        <v>0</v>
      </c>
      <c r="CA731" s="1400"/>
      <c r="CB731" s="1682"/>
      <c r="CC731" s="1682"/>
      <c r="CD731" s="1400"/>
      <c r="CE731" s="1400"/>
      <c r="CF731" s="1683">
        <v>0</v>
      </c>
      <c r="CG731" s="1683">
        <v>0</v>
      </c>
      <c r="CH731" s="1683">
        <v>0</v>
      </c>
      <c r="CI731" s="1683">
        <v>0</v>
      </c>
      <c r="CJ731" s="1683">
        <v>0</v>
      </c>
      <c r="CK731" s="1683">
        <v>0</v>
      </c>
      <c r="CL731" s="1682"/>
      <c r="CM731" s="1683">
        <v>7375</v>
      </c>
      <c r="CN731" s="1683">
        <v>7375</v>
      </c>
      <c r="CO731" s="1683">
        <v>6268.75</v>
      </c>
      <c r="CP731" s="1683">
        <v>6268.75</v>
      </c>
      <c r="CQ731" s="1683">
        <v>0</v>
      </c>
      <c r="CR731" s="1683">
        <v>1106.25</v>
      </c>
      <c r="CS731" s="1683">
        <v>0</v>
      </c>
      <c r="CT731" s="1683">
        <v>1106.25</v>
      </c>
      <c r="CU731" s="1683">
        <v>0</v>
      </c>
      <c r="CV731" s="1683">
        <v>0</v>
      </c>
      <c r="CW731" s="1682"/>
      <c r="CX731" s="1400"/>
      <c r="CY731" s="1400"/>
      <c r="CZ731" s="1400"/>
      <c r="DA731" s="1400"/>
      <c r="DB731" s="1682"/>
      <c r="DC731" s="1326"/>
      <c r="DD731" s="1683">
        <v>0</v>
      </c>
      <c r="DE731" s="1400"/>
      <c r="DF731" s="1400"/>
      <c r="DG731" s="1683">
        <v>0</v>
      </c>
      <c r="DH731" s="1683">
        <v>0</v>
      </c>
    </row>
    <row r="732" spans="1:112" ht="33.75">
      <c r="A732" s="1326" t="s">
        <v>2074</v>
      </c>
      <c r="B732" s="1326" t="s">
        <v>1690</v>
      </c>
      <c r="C732" s="1326" t="s">
        <v>2537</v>
      </c>
      <c r="D732" s="1326" t="s">
        <v>2538</v>
      </c>
      <c r="E732" s="1326" t="s">
        <v>269</v>
      </c>
      <c r="F732" s="1326" t="s">
        <v>2539</v>
      </c>
      <c r="G732" s="1326" t="s">
        <v>2540</v>
      </c>
      <c r="H732" s="1326" t="s">
        <v>2541</v>
      </c>
      <c r="I732" s="1326" t="s">
        <v>3920</v>
      </c>
      <c r="J732" s="1326" t="s">
        <v>3921</v>
      </c>
      <c r="K732" s="1326" t="s">
        <v>3922</v>
      </c>
      <c r="L732" s="1326" t="s">
        <v>2137</v>
      </c>
      <c r="M732" s="1400"/>
      <c r="N732" s="1400"/>
      <c r="O732" s="1400"/>
      <c r="P732" s="1400"/>
      <c r="Q732" s="1400"/>
      <c r="R732" s="1400"/>
      <c r="S732" s="1400"/>
      <c r="T732" s="1400"/>
      <c r="U732" s="1400"/>
      <c r="V732" s="1400"/>
      <c r="W732" s="1400"/>
      <c r="X732" s="1400"/>
      <c r="Y732" s="1685">
        <v>43014</v>
      </c>
      <c r="Z732" s="1326" t="s">
        <v>2145</v>
      </c>
      <c r="AA732" s="1683">
        <v>0</v>
      </c>
      <c r="AB732" s="1683">
        <v>0</v>
      </c>
      <c r="AC732" s="1683">
        <v>0</v>
      </c>
      <c r="AD732" s="1685">
        <v>43028</v>
      </c>
      <c r="AE732" s="1326" t="s">
        <v>2081</v>
      </c>
      <c r="AF732" s="1326" t="s">
        <v>2064</v>
      </c>
      <c r="AG732" s="1410"/>
      <c r="AH732" s="1683">
        <v>7375</v>
      </c>
      <c r="AI732" s="1683">
        <v>7375</v>
      </c>
      <c r="AJ732" s="1683">
        <v>6268.75</v>
      </c>
      <c r="AK732" s="1683">
        <v>6268.75</v>
      </c>
      <c r="AL732" s="1683">
        <v>0</v>
      </c>
      <c r="AM732" s="1685">
        <v>43028</v>
      </c>
      <c r="AN732" s="1683">
        <v>7375</v>
      </c>
      <c r="AO732" s="1683">
        <v>7375</v>
      </c>
      <c r="AP732" s="1683">
        <v>6268.75</v>
      </c>
      <c r="AQ732" s="1683">
        <v>6268.75</v>
      </c>
      <c r="AR732" s="1683">
        <v>0</v>
      </c>
      <c r="AS732" s="1683">
        <v>1106.25</v>
      </c>
      <c r="AT732" s="1683">
        <v>0</v>
      </c>
      <c r="AU732" s="1683">
        <v>1106.25</v>
      </c>
      <c r="AV732" s="1683">
        <v>0</v>
      </c>
      <c r="AW732" s="1683">
        <v>0</v>
      </c>
      <c r="AX732" s="1400"/>
      <c r="AY732" s="1400"/>
      <c r="AZ732" s="1400"/>
      <c r="BA732" s="1682"/>
      <c r="BB732" s="1682"/>
      <c r="BC732" s="1400"/>
      <c r="BD732" s="1400"/>
      <c r="BE732" s="1683">
        <v>7375</v>
      </c>
      <c r="BF732" s="1683">
        <v>7375</v>
      </c>
      <c r="BG732" s="1683">
        <v>6268.75</v>
      </c>
      <c r="BH732" s="1683">
        <v>6268.75</v>
      </c>
      <c r="BI732" s="1683">
        <v>0</v>
      </c>
      <c r="BJ732" s="1683">
        <v>1106.25</v>
      </c>
      <c r="BK732" s="1683">
        <v>0</v>
      </c>
      <c r="BL732" s="1683">
        <v>1106.25</v>
      </c>
      <c r="BM732" s="1683">
        <v>0</v>
      </c>
      <c r="BN732" s="1683">
        <v>0</v>
      </c>
      <c r="BO732" s="1685">
        <v>43159</v>
      </c>
      <c r="BP732" s="1683">
        <v>7375</v>
      </c>
      <c r="BQ732" s="1683">
        <v>7375</v>
      </c>
      <c r="BR732" s="1683">
        <v>6268.75</v>
      </c>
      <c r="BS732" s="1683">
        <v>6268.75</v>
      </c>
      <c r="BT732" s="1683">
        <v>0</v>
      </c>
      <c r="BU732" s="1683">
        <v>1106.25</v>
      </c>
      <c r="BV732" s="1683">
        <v>0</v>
      </c>
      <c r="BW732" s="1683">
        <v>1106.25</v>
      </c>
      <c r="BX732" s="1683">
        <v>0</v>
      </c>
      <c r="BY732" s="1683">
        <v>0</v>
      </c>
      <c r="BZ732" s="1683">
        <v>0</v>
      </c>
      <c r="CA732" s="1400"/>
      <c r="CB732" s="1682"/>
      <c r="CC732" s="1682"/>
      <c r="CD732" s="1400"/>
      <c r="CE732" s="1400"/>
      <c r="CF732" s="1683">
        <v>0</v>
      </c>
      <c r="CG732" s="1683">
        <v>0</v>
      </c>
      <c r="CH732" s="1683">
        <v>0</v>
      </c>
      <c r="CI732" s="1683">
        <v>0</v>
      </c>
      <c r="CJ732" s="1683">
        <v>0</v>
      </c>
      <c r="CK732" s="1683">
        <v>0</v>
      </c>
      <c r="CL732" s="1682"/>
      <c r="CM732" s="1683">
        <v>7375</v>
      </c>
      <c r="CN732" s="1683">
        <v>7375</v>
      </c>
      <c r="CO732" s="1683">
        <v>6268.75</v>
      </c>
      <c r="CP732" s="1683">
        <v>6268.75</v>
      </c>
      <c r="CQ732" s="1683">
        <v>0</v>
      </c>
      <c r="CR732" s="1683">
        <v>1106.25</v>
      </c>
      <c r="CS732" s="1683">
        <v>0</v>
      </c>
      <c r="CT732" s="1683">
        <v>1106.25</v>
      </c>
      <c r="CU732" s="1683">
        <v>0</v>
      </c>
      <c r="CV732" s="1683">
        <v>0</v>
      </c>
      <c r="CW732" s="1682"/>
      <c r="CX732" s="1400"/>
      <c r="CY732" s="1400"/>
      <c r="CZ732" s="1400"/>
      <c r="DA732" s="1400"/>
      <c r="DB732" s="1682"/>
      <c r="DC732" s="1326"/>
      <c r="DD732" s="1683">
        <v>0</v>
      </c>
      <c r="DE732" s="1400"/>
      <c r="DF732" s="1400"/>
      <c r="DG732" s="1683">
        <v>0</v>
      </c>
      <c r="DH732" s="1683">
        <v>0</v>
      </c>
    </row>
    <row r="733" spans="1:112" ht="33.75">
      <c r="A733" s="1326" t="s">
        <v>2075</v>
      </c>
      <c r="B733" s="1326" t="s">
        <v>1690</v>
      </c>
      <c r="C733" s="1326" t="s">
        <v>2537</v>
      </c>
      <c r="D733" s="1326" t="s">
        <v>2538</v>
      </c>
      <c r="E733" s="1326" t="s">
        <v>269</v>
      </c>
      <c r="F733" s="1326" t="s">
        <v>2539</v>
      </c>
      <c r="G733" s="1326" t="s">
        <v>2540</v>
      </c>
      <c r="H733" s="1326" t="s">
        <v>2541</v>
      </c>
      <c r="I733" s="1326" t="s">
        <v>3923</v>
      </c>
      <c r="J733" s="1326" t="s">
        <v>3924</v>
      </c>
      <c r="K733" s="1326" t="s">
        <v>3925</v>
      </c>
      <c r="L733" s="1326" t="s">
        <v>2137</v>
      </c>
      <c r="M733" s="1683">
        <v>15700</v>
      </c>
      <c r="N733" s="1683">
        <v>0</v>
      </c>
      <c r="O733" s="1683">
        <v>15700</v>
      </c>
      <c r="P733" s="1683">
        <v>15700</v>
      </c>
      <c r="Q733" s="1683">
        <v>13345</v>
      </c>
      <c r="R733" s="1683">
        <v>13345</v>
      </c>
      <c r="S733" s="1683">
        <v>0</v>
      </c>
      <c r="T733" s="1683">
        <v>2355</v>
      </c>
      <c r="U733" s="1683">
        <v>0</v>
      </c>
      <c r="V733" s="1683">
        <v>2355</v>
      </c>
      <c r="W733" s="1683">
        <v>0</v>
      </c>
      <c r="X733" s="1683">
        <v>0</v>
      </c>
      <c r="Y733" s="1682"/>
      <c r="Z733" s="1326"/>
      <c r="AA733" s="1683">
        <v>0</v>
      </c>
      <c r="AB733" s="1683">
        <v>0</v>
      </c>
      <c r="AC733" s="1683">
        <v>0</v>
      </c>
      <c r="AD733" s="1682"/>
      <c r="AE733" s="1326"/>
      <c r="AF733" s="1326"/>
      <c r="AG733" s="1410"/>
      <c r="AH733" s="1683">
        <v>15700</v>
      </c>
      <c r="AI733" s="1683">
        <v>15700</v>
      </c>
      <c r="AJ733" s="1683">
        <v>13345</v>
      </c>
      <c r="AK733" s="1683">
        <v>13345</v>
      </c>
      <c r="AL733" s="1683">
        <v>0</v>
      </c>
      <c r="AM733" s="1682"/>
      <c r="AN733" s="1683">
        <v>15700</v>
      </c>
      <c r="AO733" s="1683">
        <v>15700</v>
      </c>
      <c r="AP733" s="1683">
        <v>13345</v>
      </c>
      <c r="AQ733" s="1683">
        <v>13345</v>
      </c>
      <c r="AR733" s="1683">
        <v>0</v>
      </c>
      <c r="AS733" s="1683">
        <v>2355</v>
      </c>
      <c r="AT733" s="1683">
        <v>0</v>
      </c>
      <c r="AU733" s="1683">
        <v>2355</v>
      </c>
      <c r="AV733" s="1683">
        <v>0</v>
      </c>
      <c r="AW733" s="1683">
        <v>0</v>
      </c>
      <c r="AX733" s="1683">
        <v>0</v>
      </c>
      <c r="AY733" s="1683">
        <v>0</v>
      </c>
      <c r="AZ733" s="1683">
        <v>0</v>
      </c>
      <c r="BA733" s="1682"/>
      <c r="BB733" s="1682"/>
      <c r="BC733" s="1683">
        <v>0</v>
      </c>
      <c r="BD733" s="1683">
        <v>0</v>
      </c>
      <c r="BE733" s="1683">
        <v>15700</v>
      </c>
      <c r="BF733" s="1683">
        <v>15700</v>
      </c>
      <c r="BG733" s="1683">
        <v>13345</v>
      </c>
      <c r="BH733" s="1683">
        <v>13345</v>
      </c>
      <c r="BI733" s="1683">
        <v>0</v>
      </c>
      <c r="BJ733" s="1683">
        <v>2355</v>
      </c>
      <c r="BK733" s="1683">
        <v>0</v>
      </c>
      <c r="BL733" s="1683">
        <v>2355</v>
      </c>
      <c r="BM733" s="1683">
        <v>0</v>
      </c>
      <c r="BN733" s="1683">
        <v>0</v>
      </c>
      <c r="BO733" s="1682"/>
      <c r="BP733" s="1683">
        <v>15700</v>
      </c>
      <c r="BQ733" s="1683">
        <v>15700</v>
      </c>
      <c r="BR733" s="1683">
        <v>13345</v>
      </c>
      <c r="BS733" s="1683">
        <v>13345</v>
      </c>
      <c r="BT733" s="1683">
        <v>0</v>
      </c>
      <c r="BU733" s="1683">
        <v>2355</v>
      </c>
      <c r="BV733" s="1683">
        <v>0</v>
      </c>
      <c r="BW733" s="1683">
        <v>2355</v>
      </c>
      <c r="BX733" s="1683">
        <v>0</v>
      </c>
      <c r="BY733" s="1683">
        <v>0</v>
      </c>
      <c r="BZ733" s="1683">
        <v>0</v>
      </c>
      <c r="CA733" s="1683">
        <v>0</v>
      </c>
      <c r="CB733" s="1682"/>
      <c r="CC733" s="1682"/>
      <c r="CD733" s="1683">
        <v>0</v>
      </c>
      <c r="CE733" s="1683">
        <v>0</v>
      </c>
      <c r="CF733" s="1683">
        <v>0</v>
      </c>
      <c r="CG733" s="1683">
        <v>0</v>
      </c>
      <c r="CH733" s="1683">
        <v>0</v>
      </c>
      <c r="CI733" s="1683">
        <v>0</v>
      </c>
      <c r="CJ733" s="1683">
        <v>0</v>
      </c>
      <c r="CK733" s="1683">
        <v>0</v>
      </c>
      <c r="CL733" s="1682"/>
      <c r="CM733" s="1683">
        <v>15700</v>
      </c>
      <c r="CN733" s="1683">
        <v>15700</v>
      </c>
      <c r="CO733" s="1683">
        <v>13345</v>
      </c>
      <c r="CP733" s="1683">
        <v>13345</v>
      </c>
      <c r="CQ733" s="1683">
        <v>0</v>
      </c>
      <c r="CR733" s="1683">
        <v>2355</v>
      </c>
      <c r="CS733" s="1683">
        <v>0</v>
      </c>
      <c r="CT733" s="1683">
        <v>2355</v>
      </c>
      <c r="CU733" s="1683">
        <v>0</v>
      </c>
      <c r="CV733" s="1683">
        <v>0</v>
      </c>
      <c r="CW733" s="1682"/>
      <c r="CX733" s="1683">
        <v>0</v>
      </c>
      <c r="CY733" s="1683">
        <v>0</v>
      </c>
      <c r="CZ733" s="1683">
        <v>15700</v>
      </c>
      <c r="DA733" s="1683">
        <v>15700</v>
      </c>
      <c r="DB733" s="1682"/>
      <c r="DC733" s="1326"/>
      <c r="DD733" s="1683">
        <v>0</v>
      </c>
      <c r="DE733" s="1683">
        <v>0</v>
      </c>
      <c r="DF733" s="1683">
        <v>0</v>
      </c>
      <c r="DG733" s="1683">
        <v>0</v>
      </c>
      <c r="DH733" s="1683">
        <v>0</v>
      </c>
    </row>
    <row r="734" spans="1:112" ht="33.75">
      <c r="A734" s="1326" t="s">
        <v>2026</v>
      </c>
      <c r="B734" s="1326" t="s">
        <v>1690</v>
      </c>
      <c r="C734" s="1326" t="s">
        <v>2537</v>
      </c>
      <c r="D734" s="1326" t="s">
        <v>2538</v>
      </c>
      <c r="E734" s="1326" t="s">
        <v>269</v>
      </c>
      <c r="F734" s="1326" t="s">
        <v>2539</v>
      </c>
      <c r="G734" s="1326" t="s">
        <v>2540</v>
      </c>
      <c r="H734" s="1326" t="s">
        <v>2541</v>
      </c>
      <c r="I734" s="1326" t="s">
        <v>3923</v>
      </c>
      <c r="J734" s="1326" t="s">
        <v>3924</v>
      </c>
      <c r="K734" s="1326" t="s">
        <v>3925</v>
      </c>
      <c r="L734" s="1326" t="s">
        <v>2137</v>
      </c>
      <c r="M734" s="1400"/>
      <c r="N734" s="1400"/>
      <c r="O734" s="1400"/>
      <c r="P734" s="1400"/>
      <c r="Q734" s="1400"/>
      <c r="R734" s="1400"/>
      <c r="S734" s="1400"/>
      <c r="T734" s="1400"/>
      <c r="U734" s="1400"/>
      <c r="V734" s="1400"/>
      <c r="W734" s="1400"/>
      <c r="X734" s="1400"/>
      <c r="Y734" s="1685">
        <v>43073</v>
      </c>
      <c r="Z734" s="1326" t="s">
        <v>2145</v>
      </c>
      <c r="AA734" s="1683">
        <v>0</v>
      </c>
      <c r="AB734" s="1683">
        <v>0</v>
      </c>
      <c r="AC734" s="1683">
        <v>0</v>
      </c>
      <c r="AD734" s="1685">
        <v>43097</v>
      </c>
      <c r="AE734" s="1326" t="s">
        <v>2066</v>
      </c>
      <c r="AF734" s="1326" t="s">
        <v>2067</v>
      </c>
      <c r="AG734" s="1410"/>
      <c r="AH734" s="1683">
        <v>15700</v>
      </c>
      <c r="AI734" s="1683">
        <v>15700</v>
      </c>
      <c r="AJ734" s="1683">
        <v>13345</v>
      </c>
      <c r="AK734" s="1683">
        <v>13345</v>
      </c>
      <c r="AL734" s="1683">
        <v>0</v>
      </c>
      <c r="AM734" s="1685">
        <v>43098</v>
      </c>
      <c r="AN734" s="1683">
        <v>15700</v>
      </c>
      <c r="AO734" s="1683">
        <v>15700</v>
      </c>
      <c r="AP734" s="1683">
        <v>13345</v>
      </c>
      <c r="AQ734" s="1683">
        <v>13345</v>
      </c>
      <c r="AR734" s="1683">
        <v>0</v>
      </c>
      <c r="AS734" s="1683">
        <v>2355</v>
      </c>
      <c r="AT734" s="1683">
        <v>0</v>
      </c>
      <c r="AU734" s="1683">
        <v>2355</v>
      </c>
      <c r="AV734" s="1683">
        <v>0</v>
      </c>
      <c r="AW734" s="1683">
        <v>0</v>
      </c>
      <c r="AX734" s="1400"/>
      <c r="AY734" s="1400"/>
      <c r="AZ734" s="1400"/>
      <c r="BA734" s="1682"/>
      <c r="BB734" s="1682"/>
      <c r="BC734" s="1400"/>
      <c r="BD734" s="1400"/>
      <c r="BE734" s="1683">
        <v>15700</v>
      </c>
      <c r="BF734" s="1683">
        <v>15700</v>
      </c>
      <c r="BG734" s="1683">
        <v>13345</v>
      </c>
      <c r="BH734" s="1683">
        <v>13345</v>
      </c>
      <c r="BI734" s="1683">
        <v>0</v>
      </c>
      <c r="BJ734" s="1683">
        <v>2355</v>
      </c>
      <c r="BK734" s="1683">
        <v>0</v>
      </c>
      <c r="BL734" s="1683">
        <v>2355</v>
      </c>
      <c r="BM734" s="1683">
        <v>0</v>
      </c>
      <c r="BN734" s="1683">
        <v>0</v>
      </c>
      <c r="BO734" s="1685">
        <v>43206</v>
      </c>
      <c r="BP734" s="1683">
        <v>15700</v>
      </c>
      <c r="BQ734" s="1683">
        <v>15700</v>
      </c>
      <c r="BR734" s="1683">
        <v>13345</v>
      </c>
      <c r="BS734" s="1683">
        <v>13345</v>
      </c>
      <c r="BT734" s="1683">
        <v>0</v>
      </c>
      <c r="BU734" s="1683">
        <v>2355</v>
      </c>
      <c r="BV734" s="1683">
        <v>0</v>
      </c>
      <c r="BW734" s="1683">
        <v>2355</v>
      </c>
      <c r="BX734" s="1683">
        <v>0</v>
      </c>
      <c r="BY734" s="1683">
        <v>0</v>
      </c>
      <c r="BZ734" s="1683">
        <v>0</v>
      </c>
      <c r="CA734" s="1400"/>
      <c r="CB734" s="1682"/>
      <c r="CC734" s="1682"/>
      <c r="CD734" s="1400"/>
      <c r="CE734" s="1400"/>
      <c r="CF734" s="1683">
        <v>0</v>
      </c>
      <c r="CG734" s="1683">
        <v>0</v>
      </c>
      <c r="CH734" s="1683">
        <v>0</v>
      </c>
      <c r="CI734" s="1683">
        <v>0</v>
      </c>
      <c r="CJ734" s="1683">
        <v>0</v>
      </c>
      <c r="CK734" s="1683">
        <v>0</v>
      </c>
      <c r="CL734" s="1682"/>
      <c r="CM734" s="1683">
        <v>15700</v>
      </c>
      <c r="CN734" s="1683">
        <v>15700</v>
      </c>
      <c r="CO734" s="1683">
        <v>13345</v>
      </c>
      <c r="CP734" s="1683">
        <v>13345</v>
      </c>
      <c r="CQ734" s="1683">
        <v>0</v>
      </c>
      <c r="CR734" s="1683">
        <v>2355</v>
      </c>
      <c r="CS734" s="1683">
        <v>0</v>
      </c>
      <c r="CT734" s="1683">
        <v>2355</v>
      </c>
      <c r="CU734" s="1683">
        <v>0</v>
      </c>
      <c r="CV734" s="1683">
        <v>0</v>
      </c>
      <c r="CW734" s="1682"/>
      <c r="CX734" s="1400"/>
      <c r="CY734" s="1400"/>
      <c r="CZ734" s="1400"/>
      <c r="DA734" s="1400"/>
      <c r="DB734" s="1682"/>
      <c r="DC734" s="1326"/>
      <c r="DD734" s="1683">
        <v>0</v>
      </c>
      <c r="DE734" s="1400"/>
      <c r="DF734" s="1400"/>
      <c r="DG734" s="1683">
        <v>0</v>
      </c>
      <c r="DH734" s="1683">
        <v>0</v>
      </c>
    </row>
    <row r="735" spans="1:112" ht="33.75">
      <c r="A735" s="1326" t="s">
        <v>1706</v>
      </c>
      <c r="B735" s="1326" t="s">
        <v>1690</v>
      </c>
      <c r="C735" s="1326" t="s">
        <v>2537</v>
      </c>
      <c r="D735" s="1326" t="s">
        <v>2538</v>
      </c>
      <c r="E735" s="1326" t="s">
        <v>269</v>
      </c>
      <c r="F735" s="1326" t="s">
        <v>2539</v>
      </c>
      <c r="G735" s="1326" t="s">
        <v>2540</v>
      </c>
      <c r="H735" s="1326" t="s">
        <v>2541</v>
      </c>
      <c r="I735" s="1326" t="s">
        <v>3926</v>
      </c>
      <c r="J735" s="1326" t="s">
        <v>3927</v>
      </c>
      <c r="K735" s="1326" t="s">
        <v>3928</v>
      </c>
      <c r="L735" s="1326" t="s">
        <v>2137</v>
      </c>
      <c r="M735" s="1683">
        <v>17545</v>
      </c>
      <c r="N735" s="1683">
        <v>0</v>
      </c>
      <c r="O735" s="1683">
        <v>17545</v>
      </c>
      <c r="P735" s="1683">
        <v>17545</v>
      </c>
      <c r="Q735" s="1683">
        <v>14913.25</v>
      </c>
      <c r="R735" s="1683">
        <v>14913.25</v>
      </c>
      <c r="S735" s="1683">
        <v>0</v>
      </c>
      <c r="T735" s="1683">
        <v>2631.75</v>
      </c>
      <c r="U735" s="1683">
        <v>0</v>
      </c>
      <c r="V735" s="1683">
        <v>2631.75</v>
      </c>
      <c r="W735" s="1683">
        <v>0</v>
      </c>
      <c r="X735" s="1683">
        <v>0</v>
      </c>
      <c r="Y735" s="1682"/>
      <c r="Z735" s="1326"/>
      <c r="AA735" s="1683">
        <v>0</v>
      </c>
      <c r="AB735" s="1683">
        <v>0</v>
      </c>
      <c r="AC735" s="1683">
        <v>0</v>
      </c>
      <c r="AD735" s="1682"/>
      <c r="AE735" s="1326"/>
      <c r="AF735" s="1326"/>
      <c r="AG735" s="1410"/>
      <c r="AH735" s="1683">
        <v>17545</v>
      </c>
      <c r="AI735" s="1683">
        <v>17545</v>
      </c>
      <c r="AJ735" s="1683">
        <v>14913.25</v>
      </c>
      <c r="AK735" s="1683">
        <v>14913.25</v>
      </c>
      <c r="AL735" s="1683">
        <v>0</v>
      </c>
      <c r="AM735" s="1682"/>
      <c r="AN735" s="1683">
        <v>17545</v>
      </c>
      <c r="AO735" s="1683">
        <v>17545</v>
      </c>
      <c r="AP735" s="1683">
        <v>14913.25</v>
      </c>
      <c r="AQ735" s="1683">
        <v>14913.25</v>
      </c>
      <c r="AR735" s="1683">
        <v>0</v>
      </c>
      <c r="AS735" s="1683">
        <v>2631.75</v>
      </c>
      <c r="AT735" s="1683">
        <v>0</v>
      </c>
      <c r="AU735" s="1683">
        <v>2631.75</v>
      </c>
      <c r="AV735" s="1683">
        <v>0</v>
      </c>
      <c r="AW735" s="1683">
        <v>0</v>
      </c>
      <c r="AX735" s="1683">
        <v>0</v>
      </c>
      <c r="AY735" s="1683">
        <v>0</v>
      </c>
      <c r="AZ735" s="1683">
        <v>0</v>
      </c>
      <c r="BA735" s="1682"/>
      <c r="BB735" s="1682"/>
      <c r="BC735" s="1683">
        <v>0</v>
      </c>
      <c r="BD735" s="1683">
        <v>0</v>
      </c>
      <c r="BE735" s="1683">
        <v>17545</v>
      </c>
      <c r="BF735" s="1683">
        <v>17545</v>
      </c>
      <c r="BG735" s="1683">
        <v>14913.25</v>
      </c>
      <c r="BH735" s="1683">
        <v>14913.25</v>
      </c>
      <c r="BI735" s="1683">
        <v>0</v>
      </c>
      <c r="BJ735" s="1683">
        <v>2631.75</v>
      </c>
      <c r="BK735" s="1683">
        <v>0</v>
      </c>
      <c r="BL735" s="1683">
        <v>2631.75</v>
      </c>
      <c r="BM735" s="1683">
        <v>0</v>
      </c>
      <c r="BN735" s="1683">
        <v>0</v>
      </c>
      <c r="BO735" s="1682"/>
      <c r="BP735" s="1683">
        <v>17545</v>
      </c>
      <c r="BQ735" s="1683">
        <v>17545</v>
      </c>
      <c r="BR735" s="1683">
        <v>14913.25</v>
      </c>
      <c r="BS735" s="1683">
        <v>14913.25</v>
      </c>
      <c r="BT735" s="1683">
        <v>0</v>
      </c>
      <c r="BU735" s="1683">
        <v>2631.75</v>
      </c>
      <c r="BV735" s="1683">
        <v>0</v>
      </c>
      <c r="BW735" s="1683">
        <v>2631.75</v>
      </c>
      <c r="BX735" s="1683">
        <v>0</v>
      </c>
      <c r="BY735" s="1683">
        <v>0</v>
      </c>
      <c r="BZ735" s="1683">
        <v>0</v>
      </c>
      <c r="CA735" s="1683">
        <v>0</v>
      </c>
      <c r="CB735" s="1682"/>
      <c r="CC735" s="1682"/>
      <c r="CD735" s="1683">
        <v>0</v>
      </c>
      <c r="CE735" s="1683">
        <v>0</v>
      </c>
      <c r="CF735" s="1683">
        <v>0</v>
      </c>
      <c r="CG735" s="1683">
        <v>0</v>
      </c>
      <c r="CH735" s="1683">
        <v>0</v>
      </c>
      <c r="CI735" s="1683">
        <v>0</v>
      </c>
      <c r="CJ735" s="1683">
        <v>0</v>
      </c>
      <c r="CK735" s="1683">
        <v>0</v>
      </c>
      <c r="CL735" s="1682"/>
      <c r="CM735" s="1683">
        <v>17545</v>
      </c>
      <c r="CN735" s="1683">
        <v>17545</v>
      </c>
      <c r="CO735" s="1683">
        <v>14913.25</v>
      </c>
      <c r="CP735" s="1683">
        <v>14913.25</v>
      </c>
      <c r="CQ735" s="1683">
        <v>0</v>
      </c>
      <c r="CR735" s="1683">
        <v>2631.75</v>
      </c>
      <c r="CS735" s="1683">
        <v>0</v>
      </c>
      <c r="CT735" s="1683">
        <v>2631.75</v>
      </c>
      <c r="CU735" s="1683">
        <v>0</v>
      </c>
      <c r="CV735" s="1683">
        <v>0</v>
      </c>
      <c r="CW735" s="1682"/>
      <c r="CX735" s="1683">
        <v>0</v>
      </c>
      <c r="CY735" s="1683">
        <v>0</v>
      </c>
      <c r="CZ735" s="1683">
        <v>17545</v>
      </c>
      <c r="DA735" s="1683">
        <v>17545</v>
      </c>
      <c r="DB735" s="1682"/>
      <c r="DC735" s="1326"/>
      <c r="DD735" s="1683">
        <v>0</v>
      </c>
      <c r="DE735" s="1683">
        <v>0</v>
      </c>
      <c r="DF735" s="1683">
        <v>0</v>
      </c>
      <c r="DG735" s="1683">
        <v>0</v>
      </c>
      <c r="DH735" s="1683">
        <v>0</v>
      </c>
    </row>
    <row r="736" spans="1:112" ht="33.75">
      <c r="A736" s="1326" t="s">
        <v>1707</v>
      </c>
      <c r="B736" s="1326" t="s">
        <v>1690</v>
      </c>
      <c r="C736" s="1326" t="s">
        <v>2537</v>
      </c>
      <c r="D736" s="1326" t="s">
        <v>2538</v>
      </c>
      <c r="E736" s="1326" t="s">
        <v>269</v>
      </c>
      <c r="F736" s="1326" t="s">
        <v>2539</v>
      </c>
      <c r="G736" s="1326" t="s">
        <v>2540</v>
      </c>
      <c r="H736" s="1326" t="s">
        <v>2541</v>
      </c>
      <c r="I736" s="1326" t="s">
        <v>3926</v>
      </c>
      <c r="J736" s="1326" t="s">
        <v>3927</v>
      </c>
      <c r="K736" s="1326" t="s">
        <v>3928</v>
      </c>
      <c r="L736" s="1326" t="s">
        <v>2137</v>
      </c>
      <c r="M736" s="1400"/>
      <c r="N736" s="1400"/>
      <c r="O736" s="1400"/>
      <c r="P736" s="1400"/>
      <c r="Q736" s="1400"/>
      <c r="R736" s="1400"/>
      <c r="S736" s="1400"/>
      <c r="T736" s="1400"/>
      <c r="U736" s="1400"/>
      <c r="V736" s="1400"/>
      <c r="W736" s="1400"/>
      <c r="X736" s="1400"/>
      <c r="Y736" s="1685">
        <v>42789</v>
      </c>
      <c r="Z736" s="1326" t="s">
        <v>2062</v>
      </c>
      <c r="AA736" s="1683">
        <v>0</v>
      </c>
      <c r="AB736" s="1683">
        <v>0</v>
      </c>
      <c r="AC736" s="1683">
        <v>0</v>
      </c>
      <c r="AD736" s="1685">
        <v>42811</v>
      </c>
      <c r="AE736" s="1326" t="s">
        <v>2073</v>
      </c>
      <c r="AF736" s="1326" t="s">
        <v>2064</v>
      </c>
      <c r="AG736" s="1410"/>
      <c r="AH736" s="1683">
        <v>10527</v>
      </c>
      <c r="AI736" s="1683">
        <v>10527</v>
      </c>
      <c r="AJ736" s="1683">
        <v>8947.9500000000007</v>
      </c>
      <c r="AK736" s="1683">
        <v>8947.9500000000007</v>
      </c>
      <c r="AL736" s="1683">
        <v>0</v>
      </c>
      <c r="AM736" s="1685">
        <v>42811</v>
      </c>
      <c r="AN736" s="1683">
        <v>10527</v>
      </c>
      <c r="AO736" s="1683">
        <v>10527</v>
      </c>
      <c r="AP736" s="1683">
        <v>8947.9500000000007</v>
      </c>
      <c r="AQ736" s="1683">
        <v>8947.9500000000007</v>
      </c>
      <c r="AR736" s="1683">
        <v>0</v>
      </c>
      <c r="AS736" s="1683">
        <v>1579.05</v>
      </c>
      <c r="AT736" s="1683">
        <v>0</v>
      </c>
      <c r="AU736" s="1683">
        <v>1579.05</v>
      </c>
      <c r="AV736" s="1683">
        <v>0</v>
      </c>
      <c r="AW736" s="1683">
        <v>0</v>
      </c>
      <c r="AX736" s="1400"/>
      <c r="AY736" s="1400"/>
      <c r="AZ736" s="1400"/>
      <c r="BA736" s="1682"/>
      <c r="BB736" s="1682"/>
      <c r="BC736" s="1400"/>
      <c r="BD736" s="1400"/>
      <c r="BE736" s="1683">
        <v>10527</v>
      </c>
      <c r="BF736" s="1683">
        <v>10527</v>
      </c>
      <c r="BG736" s="1683">
        <v>8947.9500000000007</v>
      </c>
      <c r="BH736" s="1683">
        <v>8947.9500000000007</v>
      </c>
      <c r="BI736" s="1683">
        <v>0</v>
      </c>
      <c r="BJ736" s="1683">
        <v>1579.05</v>
      </c>
      <c r="BK736" s="1683">
        <v>0</v>
      </c>
      <c r="BL736" s="1683">
        <v>1579.05</v>
      </c>
      <c r="BM736" s="1683">
        <v>0</v>
      </c>
      <c r="BN736" s="1683">
        <v>0</v>
      </c>
      <c r="BO736" s="1685">
        <v>42866</v>
      </c>
      <c r="BP736" s="1683">
        <v>10527</v>
      </c>
      <c r="BQ736" s="1683">
        <v>10527</v>
      </c>
      <c r="BR736" s="1683">
        <v>8947.9500000000007</v>
      </c>
      <c r="BS736" s="1683">
        <v>8947.9500000000007</v>
      </c>
      <c r="BT736" s="1683">
        <v>0</v>
      </c>
      <c r="BU736" s="1683">
        <v>1579.05</v>
      </c>
      <c r="BV736" s="1683">
        <v>0</v>
      </c>
      <c r="BW736" s="1683">
        <v>1579.05</v>
      </c>
      <c r="BX736" s="1683">
        <v>0</v>
      </c>
      <c r="BY736" s="1683">
        <v>0</v>
      </c>
      <c r="BZ736" s="1683">
        <v>0</v>
      </c>
      <c r="CA736" s="1400"/>
      <c r="CB736" s="1682"/>
      <c r="CC736" s="1682"/>
      <c r="CD736" s="1400"/>
      <c r="CE736" s="1400"/>
      <c r="CF736" s="1683">
        <v>0</v>
      </c>
      <c r="CG736" s="1683">
        <v>0</v>
      </c>
      <c r="CH736" s="1683">
        <v>0</v>
      </c>
      <c r="CI736" s="1683">
        <v>0</v>
      </c>
      <c r="CJ736" s="1683">
        <v>0</v>
      </c>
      <c r="CK736" s="1683">
        <v>0</v>
      </c>
      <c r="CL736" s="1685">
        <v>43144</v>
      </c>
      <c r="CM736" s="1683">
        <v>10527</v>
      </c>
      <c r="CN736" s="1683">
        <v>10527</v>
      </c>
      <c r="CO736" s="1683">
        <v>8947.9500000000007</v>
      </c>
      <c r="CP736" s="1683">
        <v>8947.9500000000007</v>
      </c>
      <c r="CQ736" s="1683">
        <v>0</v>
      </c>
      <c r="CR736" s="1683">
        <v>1579.05</v>
      </c>
      <c r="CS736" s="1683">
        <v>0</v>
      </c>
      <c r="CT736" s="1683">
        <v>1579.05</v>
      </c>
      <c r="CU736" s="1683">
        <v>0</v>
      </c>
      <c r="CV736" s="1683">
        <v>0</v>
      </c>
      <c r="CW736" s="1682"/>
      <c r="CX736" s="1400"/>
      <c r="CY736" s="1400"/>
      <c r="CZ736" s="1400"/>
      <c r="DA736" s="1400"/>
      <c r="DB736" s="1682"/>
      <c r="DC736" s="1326"/>
      <c r="DD736" s="1683">
        <v>0</v>
      </c>
      <c r="DE736" s="1400"/>
      <c r="DF736" s="1400"/>
      <c r="DG736" s="1683">
        <v>0</v>
      </c>
      <c r="DH736" s="1683">
        <v>0</v>
      </c>
    </row>
    <row r="737" spans="1:112" ht="33.75">
      <c r="A737" s="1326" t="s">
        <v>1709</v>
      </c>
      <c r="B737" s="1326" t="s">
        <v>1690</v>
      </c>
      <c r="C737" s="1326" t="s">
        <v>2537</v>
      </c>
      <c r="D737" s="1326" t="s">
        <v>2538</v>
      </c>
      <c r="E737" s="1326" t="s">
        <v>269</v>
      </c>
      <c r="F737" s="1326" t="s">
        <v>2539</v>
      </c>
      <c r="G737" s="1326" t="s">
        <v>2540</v>
      </c>
      <c r="H737" s="1326" t="s">
        <v>2541</v>
      </c>
      <c r="I737" s="1326" t="s">
        <v>3926</v>
      </c>
      <c r="J737" s="1326" t="s">
        <v>3927</v>
      </c>
      <c r="K737" s="1326" t="s">
        <v>3928</v>
      </c>
      <c r="L737" s="1326" t="s">
        <v>2137</v>
      </c>
      <c r="M737" s="1400"/>
      <c r="N737" s="1400"/>
      <c r="O737" s="1400"/>
      <c r="P737" s="1400"/>
      <c r="Q737" s="1400"/>
      <c r="R737" s="1400"/>
      <c r="S737" s="1400"/>
      <c r="T737" s="1400"/>
      <c r="U737" s="1400"/>
      <c r="V737" s="1400"/>
      <c r="W737" s="1400"/>
      <c r="X737" s="1400"/>
      <c r="Y737" s="1685">
        <v>42921</v>
      </c>
      <c r="Z737" s="1326" t="s">
        <v>2145</v>
      </c>
      <c r="AA737" s="1683">
        <v>0</v>
      </c>
      <c r="AB737" s="1683">
        <v>0</v>
      </c>
      <c r="AC737" s="1683">
        <v>0</v>
      </c>
      <c r="AD737" s="1685">
        <v>42947</v>
      </c>
      <c r="AE737" s="1326" t="s">
        <v>2063</v>
      </c>
      <c r="AF737" s="1326" t="s">
        <v>2067</v>
      </c>
      <c r="AG737" s="1410"/>
      <c r="AH737" s="1683">
        <v>7018</v>
      </c>
      <c r="AI737" s="1683">
        <v>7018</v>
      </c>
      <c r="AJ737" s="1683">
        <v>5965.3</v>
      </c>
      <c r="AK737" s="1683">
        <v>5965.3</v>
      </c>
      <c r="AL737" s="1683">
        <v>0</v>
      </c>
      <c r="AM737" s="1685">
        <v>42956</v>
      </c>
      <c r="AN737" s="1683">
        <v>7018</v>
      </c>
      <c r="AO737" s="1683">
        <v>7018</v>
      </c>
      <c r="AP737" s="1683">
        <v>5965.3</v>
      </c>
      <c r="AQ737" s="1683">
        <v>5965.3</v>
      </c>
      <c r="AR737" s="1683">
        <v>0</v>
      </c>
      <c r="AS737" s="1683">
        <v>1052.7</v>
      </c>
      <c r="AT737" s="1683">
        <v>0</v>
      </c>
      <c r="AU737" s="1683">
        <v>1052.7</v>
      </c>
      <c r="AV737" s="1683">
        <v>0</v>
      </c>
      <c r="AW737" s="1683">
        <v>0</v>
      </c>
      <c r="AX737" s="1400"/>
      <c r="AY737" s="1400"/>
      <c r="AZ737" s="1400"/>
      <c r="BA737" s="1682"/>
      <c r="BB737" s="1682"/>
      <c r="BC737" s="1400"/>
      <c r="BD737" s="1400"/>
      <c r="BE737" s="1683">
        <v>7018</v>
      </c>
      <c r="BF737" s="1683">
        <v>7018</v>
      </c>
      <c r="BG737" s="1683">
        <v>5965.3</v>
      </c>
      <c r="BH737" s="1683">
        <v>5965.3</v>
      </c>
      <c r="BI737" s="1683">
        <v>0</v>
      </c>
      <c r="BJ737" s="1683">
        <v>1052.7</v>
      </c>
      <c r="BK737" s="1683">
        <v>0</v>
      </c>
      <c r="BL737" s="1683">
        <v>1052.7</v>
      </c>
      <c r="BM737" s="1683">
        <v>0</v>
      </c>
      <c r="BN737" s="1683">
        <v>0</v>
      </c>
      <c r="BO737" s="1685">
        <v>43039</v>
      </c>
      <c r="BP737" s="1683">
        <v>7018</v>
      </c>
      <c r="BQ737" s="1683">
        <v>7018</v>
      </c>
      <c r="BR737" s="1683">
        <v>5965.3</v>
      </c>
      <c r="BS737" s="1683">
        <v>5965.3</v>
      </c>
      <c r="BT737" s="1683">
        <v>0</v>
      </c>
      <c r="BU737" s="1683">
        <v>1052.7</v>
      </c>
      <c r="BV737" s="1683">
        <v>0</v>
      </c>
      <c r="BW737" s="1683">
        <v>1052.7</v>
      </c>
      <c r="BX737" s="1683">
        <v>0</v>
      </c>
      <c r="BY737" s="1683">
        <v>0</v>
      </c>
      <c r="BZ737" s="1683">
        <v>0</v>
      </c>
      <c r="CA737" s="1400"/>
      <c r="CB737" s="1682"/>
      <c r="CC737" s="1682"/>
      <c r="CD737" s="1400"/>
      <c r="CE737" s="1400"/>
      <c r="CF737" s="1683">
        <v>0</v>
      </c>
      <c r="CG737" s="1683">
        <v>0</v>
      </c>
      <c r="CH737" s="1683">
        <v>0</v>
      </c>
      <c r="CI737" s="1683">
        <v>0</v>
      </c>
      <c r="CJ737" s="1683">
        <v>0</v>
      </c>
      <c r="CK737" s="1683">
        <v>0</v>
      </c>
      <c r="CL737" s="1682"/>
      <c r="CM737" s="1683">
        <v>7018</v>
      </c>
      <c r="CN737" s="1683">
        <v>7018</v>
      </c>
      <c r="CO737" s="1683">
        <v>5965.3</v>
      </c>
      <c r="CP737" s="1683">
        <v>5965.3</v>
      </c>
      <c r="CQ737" s="1683">
        <v>0</v>
      </c>
      <c r="CR737" s="1683">
        <v>1052.7</v>
      </c>
      <c r="CS737" s="1683">
        <v>0</v>
      </c>
      <c r="CT737" s="1683">
        <v>1052.7</v>
      </c>
      <c r="CU737" s="1683">
        <v>0</v>
      </c>
      <c r="CV737" s="1683">
        <v>0</v>
      </c>
      <c r="CW737" s="1682"/>
      <c r="CX737" s="1400"/>
      <c r="CY737" s="1400"/>
      <c r="CZ737" s="1400"/>
      <c r="DA737" s="1400"/>
      <c r="DB737" s="1682"/>
      <c r="DC737" s="1326"/>
      <c r="DD737" s="1683">
        <v>0</v>
      </c>
      <c r="DE737" s="1400"/>
      <c r="DF737" s="1400"/>
      <c r="DG737" s="1683">
        <v>0</v>
      </c>
      <c r="DH737" s="1683">
        <v>0</v>
      </c>
    </row>
    <row r="738" spans="1:112" ht="33.75">
      <c r="A738" s="1326" t="s">
        <v>1710</v>
      </c>
      <c r="B738" s="1326" t="s">
        <v>1690</v>
      </c>
      <c r="C738" s="1326" t="s">
        <v>2537</v>
      </c>
      <c r="D738" s="1326" t="s">
        <v>2538</v>
      </c>
      <c r="E738" s="1326" t="s">
        <v>269</v>
      </c>
      <c r="F738" s="1326" t="s">
        <v>2539</v>
      </c>
      <c r="G738" s="1326" t="s">
        <v>2540</v>
      </c>
      <c r="H738" s="1326" t="s">
        <v>2541</v>
      </c>
      <c r="I738" s="1326" t="s">
        <v>3929</v>
      </c>
      <c r="J738" s="1326" t="s">
        <v>3930</v>
      </c>
      <c r="K738" s="1326" t="s">
        <v>3931</v>
      </c>
      <c r="L738" s="1326" t="s">
        <v>2137</v>
      </c>
      <c r="M738" s="1683">
        <v>11900</v>
      </c>
      <c r="N738" s="1683">
        <v>0</v>
      </c>
      <c r="O738" s="1683">
        <v>11900</v>
      </c>
      <c r="P738" s="1683">
        <v>11900</v>
      </c>
      <c r="Q738" s="1683">
        <v>10115</v>
      </c>
      <c r="R738" s="1683">
        <v>10115</v>
      </c>
      <c r="S738" s="1683">
        <v>0</v>
      </c>
      <c r="T738" s="1683">
        <v>1785</v>
      </c>
      <c r="U738" s="1683">
        <v>0</v>
      </c>
      <c r="V738" s="1683">
        <v>1785</v>
      </c>
      <c r="W738" s="1683">
        <v>0</v>
      </c>
      <c r="X738" s="1683">
        <v>0</v>
      </c>
      <c r="Y738" s="1682"/>
      <c r="Z738" s="1326"/>
      <c r="AA738" s="1683">
        <v>0</v>
      </c>
      <c r="AB738" s="1683">
        <v>0</v>
      </c>
      <c r="AC738" s="1683">
        <v>0</v>
      </c>
      <c r="AD738" s="1682"/>
      <c r="AE738" s="1326"/>
      <c r="AF738" s="1326"/>
      <c r="AG738" s="1410"/>
      <c r="AH738" s="1683">
        <v>11900</v>
      </c>
      <c r="AI738" s="1683">
        <v>11900</v>
      </c>
      <c r="AJ738" s="1683">
        <v>10115</v>
      </c>
      <c r="AK738" s="1683">
        <v>10115</v>
      </c>
      <c r="AL738" s="1683">
        <v>0</v>
      </c>
      <c r="AM738" s="1682"/>
      <c r="AN738" s="1683">
        <v>11900</v>
      </c>
      <c r="AO738" s="1683">
        <v>11900</v>
      </c>
      <c r="AP738" s="1683">
        <v>10115</v>
      </c>
      <c r="AQ738" s="1683">
        <v>10115</v>
      </c>
      <c r="AR738" s="1683">
        <v>0</v>
      </c>
      <c r="AS738" s="1683">
        <v>1785</v>
      </c>
      <c r="AT738" s="1683">
        <v>0</v>
      </c>
      <c r="AU738" s="1683">
        <v>1785</v>
      </c>
      <c r="AV738" s="1683">
        <v>0</v>
      </c>
      <c r="AW738" s="1683">
        <v>0</v>
      </c>
      <c r="AX738" s="1683">
        <v>0</v>
      </c>
      <c r="AY738" s="1683">
        <v>0</v>
      </c>
      <c r="AZ738" s="1683">
        <v>0</v>
      </c>
      <c r="BA738" s="1682"/>
      <c r="BB738" s="1682"/>
      <c r="BC738" s="1683">
        <v>0</v>
      </c>
      <c r="BD738" s="1683">
        <v>0</v>
      </c>
      <c r="BE738" s="1683">
        <v>11900</v>
      </c>
      <c r="BF738" s="1683">
        <v>11900</v>
      </c>
      <c r="BG738" s="1683">
        <v>10115</v>
      </c>
      <c r="BH738" s="1683">
        <v>10115</v>
      </c>
      <c r="BI738" s="1683">
        <v>0</v>
      </c>
      <c r="BJ738" s="1683">
        <v>1785</v>
      </c>
      <c r="BK738" s="1683">
        <v>0</v>
      </c>
      <c r="BL738" s="1683">
        <v>1785</v>
      </c>
      <c r="BM738" s="1683">
        <v>0</v>
      </c>
      <c r="BN738" s="1683">
        <v>0</v>
      </c>
      <c r="BO738" s="1682"/>
      <c r="BP738" s="1683">
        <v>11900</v>
      </c>
      <c r="BQ738" s="1683">
        <v>11900</v>
      </c>
      <c r="BR738" s="1683">
        <v>10115</v>
      </c>
      <c r="BS738" s="1683">
        <v>10115</v>
      </c>
      <c r="BT738" s="1683">
        <v>0</v>
      </c>
      <c r="BU738" s="1683">
        <v>1785</v>
      </c>
      <c r="BV738" s="1683">
        <v>0</v>
      </c>
      <c r="BW738" s="1683">
        <v>1785</v>
      </c>
      <c r="BX738" s="1683">
        <v>0</v>
      </c>
      <c r="BY738" s="1683">
        <v>0</v>
      </c>
      <c r="BZ738" s="1683">
        <v>0</v>
      </c>
      <c r="CA738" s="1683">
        <v>0</v>
      </c>
      <c r="CB738" s="1682"/>
      <c r="CC738" s="1682"/>
      <c r="CD738" s="1683">
        <v>0</v>
      </c>
      <c r="CE738" s="1683">
        <v>0</v>
      </c>
      <c r="CF738" s="1683">
        <v>0</v>
      </c>
      <c r="CG738" s="1683">
        <v>0</v>
      </c>
      <c r="CH738" s="1683">
        <v>0</v>
      </c>
      <c r="CI738" s="1683">
        <v>0</v>
      </c>
      <c r="CJ738" s="1683">
        <v>0</v>
      </c>
      <c r="CK738" s="1683">
        <v>0</v>
      </c>
      <c r="CL738" s="1682"/>
      <c r="CM738" s="1683">
        <v>11900</v>
      </c>
      <c r="CN738" s="1683">
        <v>11900</v>
      </c>
      <c r="CO738" s="1683">
        <v>10115</v>
      </c>
      <c r="CP738" s="1683">
        <v>10115</v>
      </c>
      <c r="CQ738" s="1683">
        <v>0</v>
      </c>
      <c r="CR738" s="1683">
        <v>1785</v>
      </c>
      <c r="CS738" s="1683">
        <v>0</v>
      </c>
      <c r="CT738" s="1683">
        <v>1785</v>
      </c>
      <c r="CU738" s="1683">
        <v>0</v>
      </c>
      <c r="CV738" s="1683">
        <v>0</v>
      </c>
      <c r="CW738" s="1682"/>
      <c r="CX738" s="1683">
        <v>0</v>
      </c>
      <c r="CY738" s="1683">
        <v>0</v>
      </c>
      <c r="CZ738" s="1683">
        <v>11900</v>
      </c>
      <c r="DA738" s="1683">
        <v>11900</v>
      </c>
      <c r="DB738" s="1682"/>
      <c r="DC738" s="1326"/>
      <c r="DD738" s="1683">
        <v>0</v>
      </c>
      <c r="DE738" s="1683">
        <v>0</v>
      </c>
      <c r="DF738" s="1683">
        <v>0</v>
      </c>
      <c r="DG738" s="1683">
        <v>0</v>
      </c>
      <c r="DH738" s="1683">
        <v>0</v>
      </c>
    </row>
    <row r="739" spans="1:112" ht="33.75">
      <c r="A739" s="1326" t="s">
        <v>1711</v>
      </c>
      <c r="B739" s="1326" t="s">
        <v>1690</v>
      </c>
      <c r="C739" s="1326" t="s">
        <v>2537</v>
      </c>
      <c r="D739" s="1326" t="s">
        <v>2538</v>
      </c>
      <c r="E739" s="1326" t="s">
        <v>269</v>
      </c>
      <c r="F739" s="1326" t="s">
        <v>2539</v>
      </c>
      <c r="G739" s="1326" t="s">
        <v>2540</v>
      </c>
      <c r="H739" s="1326" t="s">
        <v>2541</v>
      </c>
      <c r="I739" s="1326" t="s">
        <v>3929</v>
      </c>
      <c r="J739" s="1326" t="s">
        <v>3930</v>
      </c>
      <c r="K739" s="1326" t="s">
        <v>3931</v>
      </c>
      <c r="L739" s="1326" t="s">
        <v>2137</v>
      </c>
      <c r="M739" s="1400"/>
      <c r="N739" s="1400"/>
      <c r="O739" s="1400"/>
      <c r="P739" s="1400"/>
      <c r="Q739" s="1400"/>
      <c r="R739" s="1400"/>
      <c r="S739" s="1400"/>
      <c r="T739" s="1400"/>
      <c r="U739" s="1400"/>
      <c r="V739" s="1400"/>
      <c r="W739" s="1400"/>
      <c r="X739" s="1400"/>
      <c r="Y739" s="1685">
        <v>42923</v>
      </c>
      <c r="Z739" s="1326" t="s">
        <v>2062</v>
      </c>
      <c r="AA739" s="1683">
        <v>0</v>
      </c>
      <c r="AB739" s="1683">
        <v>0</v>
      </c>
      <c r="AC739" s="1683">
        <v>0</v>
      </c>
      <c r="AD739" s="1685">
        <v>42955</v>
      </c>
      <c r="AE739" s="1326" t="s">
        <v>2073</v>
      </c>
      <c r="AF739" s="1326" t="s">
        <v>2064</v>
      </c>
      <c r="AG739" s="1410"/>
      <c r="AH739" s="1683">
        <v>7140</v>
      </c>
      <c r="AI739" s="1683">
        <v>7140</v>
      </c>
      <c r="AJ739" s="1683">
        <v>6069</v>
      </c>
      <c r="AK739" s="1683">
        <v>6069</v>
      </c>
      <c r="AL739" s="1683">
        <v>0</v>
      </c>
      <c r="AM739" s="1685">
        <v>42955</v>
      </c>
      <c r="AN739" s="1683">
        <v>7140</v>
      </c>
      <c r="AO739" s="1683">
        <v>7140</v>
      </c>
      <c r="AP739" s="1683">
        <v>6069</v>
      </c>
      <c r="AQ739" s="1683">
        <v>6069</v>
      </c>
      <c r="AR739" s="1683">
        <v>0</v>
      </c>
      <c r="AS739" s="1683">
        <v>1071</v>
      </c>
      <c r="AT739" s="1683">
        <v>0</v>
      </c>
      <c r="AU739" s="1683">
        <v>1071</v>
      </c>
      <c r="AV739" s="1683">
        <v>0</v>
      </c>
      <c r="AW739" s="1683">
        <v>0</v>
      </c>
      <c r="AX739" s="1400"/>
      <c r="AY739" s="1400"/>
      <c r="AZ739" s="1400"/>
      <c r="BA739" s="1682"/>
      <c r="BB739" s="1682"/>
      <c r="BC739" s="1400"/>
      <c r="BD739" s="1400"/>
      <c r="BE739" s="1683">
        <v>7140</v>
      </c>
      <c r="BF739" s="1683">
        <v>7140</v>
      </c>
      <c r="BG739" s="1683">
        <v>6069</v>
      </c>
      <c r="BH739" s="1683">
        <v>6069</v>
      </c>
      <c r="BI739" s="1683">
        <v>0</v>
      </c>
      <c r="BJ739" s="1683">
        <v>1071</v>
      </c>
      <c r="BK739" s="1683">
        <v>0</v>
      </c>
      <c r="BL739" s="1683">
        <v>1071</v>
      </c>
      <c r="BM739" s="1683">
        <v>0</v>
      </c>
      <c r="BN739" s="1683">
        <v>0</v>
      </c>
      <c r="BO739" s="1685">
        <v>43039</v>
      </c>
      <c r="BP739" s="1683">
        <v>7140</v>
      </c>
      <c r="BQ739" s="1683">
        <v>7140</v>
      </c>
      <c r="BR739" s="1683">
        <v>6069</v>
      </c>
      <c r="BS739" s="1683">
        <v>6069</v>
      </c>
      <c r="BT739" s="1683">
        <v>0</v>
      </c>
      <c r="BU739" s="1683">
        <v>1071</v>
      </c>
      <c r="BV739" s="1683">
        <v>0</v>
      </c>
      <c r="BW739" s="1683">
        <v>1071</v>
      </c>
      <c r="BX739" s="1683">
        <v>0</v>
      </c>
      <c r="BY739" s="1683">
        <v>0</v>
      </c>
      <c r="BZ739" s="1683">
        <v>0</v>
      </c>
      <c r="CA739" s="1400"/>
      <c r="CB739" s="1682"/>
      <c r="CC739" s="1682"/>
      <c r="CD739" s="1400"/>
      <c r="CE739" s="1400"/>
      <c r="CF739" s="1683">
        <v>0</v>
      </c>
      <c r="CG739" s="1683">
        <v>0</v>
      </c>
      <c r="CH739" s="1683">
        <v>0</v>
      </c>
      <c r="CI739" s="1683">
        <v>0</v>
      </c>
      <c r="CJ739" s="1683">
        <v>0</v>
      </c>
      <c r="CK739" s="1683">
        <v>0</v>
      </c>
      <c r="CL739" s="1682"/>
      <c r="CM739" s="1683">
        <v>7140</v>
      </c>
      <c r="CN739" s="1683">
        <v>7140</v>
      </c>
      <c r="CO739" s="1683">
        <v>6069</v>
      </c>
      <c r="CP739" s="1683">
        <v>6069</v>
      </c>
      <c r="CQ739" s="1683">
        <v>0</v>
      </c>
      <c r="CR739" s="1683">
        <v>1071</v>
      </c>
      <c r="CS739" s="1683">
        <v>0</v>
      </c>
      <c r="CT739" s="1683">
        <v>1071</v>
      </c>
      <c r="CU739" s="1683">
        <v>0</v>
      </c>
      <c r="CV739" s="1683">
        <v>0</v>
      </c>
      <c r="CW739" s="1682"/>
      <c r="CX739" s="1400"/>
      <c r="CY739" s="1400"/>
      <c r="CZ739" s="1400"/>
      <c r="DA739" s="1400"/>
      <c r="DB739" s="1682"/>
      <c r="DC739" s="1326"/>
      <c r="DD739" s="1683">
        <v>0</v>
      </c>
      <c r="DE739" s="1400"/>
      <c r="DF739" s="1400"/>
      <c r="DG739" s="1683">
        <v>0</v>
      </c>
      <c r="DH739" s="1683">
        <v>0</v>
      </c>
    </row>
    <row r="740" spans="1:112" ht="33.75">
      <c r="A740" s="1326" t="s">
        <v>1713</v>
      </c>
      <c r="B740" s="1326" t="s">
        <v>1690</v>
      </c>
      <c r="C740" s="1326" t="s">
        <v>2537</v>
      </c>
      <c r="D740" s="1326" t="s">
        <v>2538</v>
      </c>
      <c r="E740" s="1326" t="s">
        <v>269</v>
      </c>
      <c r="F740" s="1326" t="s">
        <v>2539</v>
      </c>
      <c r="G740" s="1326" t="s">
        <v>2540</v>
      </c>
      <c r="H740" s="1326" t="s">
        <v>2541</v>
      </c>
      <c r="I740" s="1326" t="s">
        <v>3929</v>
      </c>
      <c r="J740" s="1326" t="s">
        <v>3930</v>
      </c>
      <c r="K740" s="1326" t="s">
        <v>3931</v>
      </c>
      <c r="L740" s="1326" t="s">
        <v>2137</v>
      </c>
      <c r="M740" s="1400"/>
      <c r="N740" s="1400"/>
      <c r="O740" s="1400"/>
      <c r="P740" s="1400"/>
      <c r="Q740" s="1400"/>
      <c r="R740" s="1400"/>
      <c r="S740" s="1400"/>
      <c r="T740" s="1400"/>
      <c r="U740" s="1400"/>
      <c r="V740" s="1400"/>
      <c r="W740" s="1400"/>
      <c r="X740" s="1400"/>
      <c r="Y740" s="1685">
        <v>42993</v>
      </c>
      <c r="Z740" s="1326" t="s">
        <v>2145</v>
      </c>
      <c r="AA740" s="1683">
        <v>0</v>
      </c>
      <c r="AB740" s="1683">
        <v>0</v>
      </c>
      <c r="AC740" s="1683">
        <v>0</v>
      </c>
      <c r="AD740" s="1685">
        <v>43017</v>
      </c>
      <c r="AE740" s="1326" t="s">
        <v>2063</v>
      </c>
      <c r="AF740" s="1326" t="s">
        <v>2064</v>
      </c>
      <c r="AG740" s="1410"/>
      <c r="AH740" s="1683">
        <v>4760</v>
      </c>
      <c r="AI740" s="1683">
        <v>4760</v>
      </c>
      <c r="AJ740" s="1683">
        <v>4046</v>
      </c>
      <c r="AK740" s="1683">
        <v>4046</v>
      </c>
      <c r="AL740" s="1683">
        <v>0</v>
      </c>
      <c r="AM740" s="1685">
        <v>43017</v>
      </c>
      <c r="AN740" s="1683">
        <v>4760</v>
      </c>
      <c r="AO740" s="1683">
        <v>4760</v>
      </c>
      <c r="AP740" s="1683">
        <v>4046</v>
      </c>
      <c r="AQ740" s="1683">
        <v>4046</v>
      </c>
      <c r="AR740" s="1683">
        <v>0</v>
      </c>
      <c r="AS740" s="1683">
        <v>714</v>
      </c>
      <c r="AT740" s="1683">
        <v>0</v>
      </c>
      <c r="AU740" s="1683">
        <v>714</v>
      </c>
      <c r="AV740" s="1683">
        <v>0</v>
      </c>
      <c r="AW740" s="1683">
        <v>0</v>
      </c>
      <c r="AX740" s="1400"/>
      <c r="AY740" s="1400"/>
      <c r="AZ740" s="1400"/>
      <c r="BA740" s="1682"/>
      <c r="BB740" s="1682"/>
      <c r="BC740" s="1400"/>
      <c r="BD740" s="1400"/>
      <c r="BE740" s="1683">
        <v>4760</v>
      </c>
      <c r="BF740" s="1683">
        <v>4760</v>
      </c>
      <c r="BG740" s="1683">
        <v>4046</v>
      </c>
      <c r="BH740" s="1683">
        <v>4046</v>
      </c>
      <c r="BI740" s="1683">
        <v>0</v>
      </c>
      <c r="BJ740" s="1683">
        <v>714</v>
      </c>
      <c r="BK740" s="1683">
        <v>0</v>
      </c>
      <c r="BL740" s="1683">
        <v>714</v>
      </c>
      <c r="BM740" s="1683">
        <v>0</v>
      </c>
      <c r="BN740" s="1683">
        <v>0</v>
      </c>
      <c r="BO740" s="1685">
        <v>43159</v>
      </c>
      <c r="BP740" s="1683">
        <v>4760</v>
      </c>
      <c r="BQ740" s="1683">
        <v>4760</v>
      </c>
      <c r="BR740" s="1683">
        <v>4046</v>
      </c>
      <c r="BS740" s="1683">
        <v>4046</v>
      </c>
      <c r="BT740" s="1683">
        <v>0</v>
      </c>
      <c r="BU740" s="1683">
        <v>714</v>
      </c>
      <c r="BV740" s="1683">
        <v>0</v>
      </c>
      <c r="BW740" s="1683">
        <v>714</v>
      </c>
      <c r="BX740" s="1683">
        <v>0</v>
      </c>
      <c r="BY740" s="1683">
        <v>0</v>
      </c>
      <c r="BZ740" s="1683">
        <v>0</v>
      </c>
      <c r="CA740" s="1400"/>
      <c r="CB740" s="1682"/>
      <c r="CC740" s="1682"/>
      <c r="CD740" s="1400"/>
      <c r="CE740" s="1400"/>
      <c r="CF740" s="1683">
        <v>0</v>
      </c>
      <c r="CG740" s="1683">
        <v>0</v>
      </c>
      <c r="CH740" s="1683">
        <v>0</v>
      </c>
      <c r="CI740" s="1683">
        <v>0</v>
      </c>
      <c r="CJ740" s="1683">
        <v>0</v>
      </c>
      <c r="CK740" s="1683">
        <v>0</v>
      </c>
      <c r="CL740" s="1682"/>
      <c r="CM740" s="1683">
        <v>4760</v>
      </c>
      <c r="CN740" s="1683">
        <v>4760</v>
      </c>
      <c r="CO740" s="1683">
        <v>4046</v>
      </c>
      <c r="CP740" s="1683">
        <v>4046</v>
      </c>
      <c r="CQ740" s="1683">
        <v>0</v>
      </c>
      <c r="CR740" s="1683">
        <v>714</v>
      </c>
      <c r="CS740" s="1683">
        <v>0</v>
      </c>
      <c r="CT740" s="1683">
        <v>714</v>
      </c>
      <c r="CU740" s="1683">
        <v>0</v>
      </c>
      <c r="CV740" s="1683">
        <v>0</v>
      </c>
      <c r="CW740" s="1682"/>
      <c r="CX740" s="1400"/>
      <c r="CY740" s="1400"/>
      <c r="CZ740" s="1400"/>
      <c r="DA740" s="1400"/>
      <c r="DB740" s="1682"/>
      <c r="DC740" s="1326"/>
      <c r="DD740" s="1683">
        <v>0</v>
      </c>
      <c r="DE740" s="1400"/>
      <c r="DF740" s="1400"/>
      <c r="DG740" s="1683">
        <v>0</v>
      </c>
      <c r="DH740" s="1683">
        <v>0</v>
      </c>
    </row>
    <row r="741" spans="1:112" ht="33.75">
      <c r="A741" s="1326" t="s">
        <v>1714</v>
      </c>
      <c r="B741" s="1326" t="s">
        <v>1690</v>
      </c>
      <c r="C741" s="1326" t="s">
        <v>2537</v>
      </c>
      <c r="D741" s="1326" t="s">
        <v>2538</v>
      </c>
      <c r="E741" s="1326" t="s">
        <v>269</v>
      </c>
      <c r="F741" s="1326" t="s">
        <v>2539</v>
      </c>
      <c r="G741" s="1326" t="s">
        <v>2540</v>
      </c>
      <c r="H741" s="1326" t="s">
        <v>2541</v>
      </c>
      <c r="I741" s="1326" t="s">
        <v>3932</v>
      </c>
      <c r="J741" s="1326" t="s">
        <v>3933</v>
      </c>
      <c r="K741" s="1326" t="s">
        <v>3934</v>
      </c>
      <c r="L741" s="1326" t="s">
        <v>2137</v>
      </c>
      <c r="M741" s="1683">
        <v>41745</v>
      </c>
      <c r="N741" s="1683">
        <v>0</v>
      </c>
      <c r="O741" s="1683">
        <v>41745</v>
      </c>
      <c r="P741" s="1683">
        <v>41745</v>
      </c>
      <c r="Q741" s="1683">
        <v>21100</v>
      </c>
      <c r="R741" s="1683">
        <v>21100</v>
      </c>
      <c r="S741" s="1683">
        <v>0</v>
      </c>
      <c r="T741" s="1683">
        <v>20645</v>
      </c>
      <c r="U741" s="1683">
        <v>0</v>
      </c>
      <c r="V741" s="1683">
        <v>20645</v>
      </c>
      <c r="W741" s="1683">
        <v>0</v>
      </c>
      <c r="X741" s="1683">
        <v>0</v>
      </c>
      <c r="Y741" s="1682"/>
      <c r="Z741" s="1326"/>
      <c r="AA741" s="1683">
        <v>0</v>
      </c>
      <c r="AB741" s="1683">
        <v>0</v>
      </c>
      <c r="AC741" s="1683">
        <v>0</v>
      </c>
      <c r="AD741" s="1682"/>
      <c r="AE741" s="1326"/>
      <c r="AF741" s="1326"/>
      <c r="AG741" s="1410"/>
      <c r="AH741" s="1683">
        <v>41745</v>
      </c>
      <c r="AI741" s="1683">
        <v>41745</v>
      </c>
      <c r="AJ741" s="1683">
        <v>21100</v>
      </c>
      <c r="AK741" s="1683">
        <v>21100</v>
      </c>
      <c r="AL741" s="1683">
        <v>0</v>
      </c>
      <c r="AM741" s="1682"/>
      <c r="AN741" s="1683">
        <v>41745</v>
      </c>
      <c r="AO741" s="1683">
        <v>41745</v>
      </c>
      <c r="AP741" s="1683">
        <v>21100</v>
      </c>
      <c r="AQ741" s="1683">
        <v>21100</v>
      </c>
      <c r="AR741" s="1683">
        <v>0</v>
      </c>
      <c r="AS741" s="1683">
        <v>20645</v>
      </c>
      <c r="AT741" s="1683">
        <v>0</v>
      </c>
      <c r="AU741" s="1683">
        <v>20645</v>
      </c>
      <c r="AV741" s="1683">
        <v>0</v>
      </c>
      <c r="AW741" s="1683">
        <v>0</v>
      </c>
      <c r="AX741" s="1683">
        <v>0</v>
      </c>
      <c r="AY741" s="1683">
        <v>0</v>
      </c>
      <c r="AZ741" s="1683">
        <v>0</v>
      </c>
      <c r="BA741" s="1682"/>
      <c r="BB741" s="1682"/>
      <c r="BC741" s="1683">
        <v>0</v>
      </c>
      <c r="BD741" s="1683">
        <v>0</v>
      </c>
      <c r="BE741" s="1683">
        <v>41745</v>
      </c>
      <c r="BF741" s="1683">
        <v>41745</v>
      </c>
      <c r="BG741" s="1683">
        <v>21100</v>
      </c>
      <c r="BH741" s="1683">
        <v>21100</v>
      </c>
      <c r="BI741" s="1683">
        <v>0</v>
      </c>
      <c r="BJ741" s="1683">
        <v>20645</v>
      </c>
      <c r="BK741" s="1683">
        <v>0</v>
      </c>
      <c r="BL741" s="1683">
        <v>20645</v>
      </c>
      <c r="BM741" s="1683">
        <v>0</v>
      </c>
      <c r="BN741" s="1683">
        <v>0</v>
      </c>
      <c r="BO741" s="1682"/>
      <c r="BP741" s="1683">
        <v>41745</v>
      </c>
      <c r="BQ741" s="1683">
        <v>41745</v>
      </c>
      <c r="BR741" s="1683">
        <v>21100</v>
      </c>
      <c r="BS741" s="1683">
        <v>21100</v>
      </c>
      <c r="BT741" s="1683">
        <v>0</v>
      </c>
      <c r="BU741" s="1683">
        <v>20645</v>
      </c>
      <c r="BV741" s="1683">
        <v>0</v>
      </c>
      <c r="BW741" s="1683">
        <v>15483.75</v>
      </c>
      <c r="BX741" s="1683">
        <v>0</v>
      </c>
      <c r="BY741" s="1683">
        <v>0</v>
      </c>
      <c r="BZ741" s="1683">
        <v>0</v>
      </c>
      <c r="CA741" s="1683">
        <v>0</v>
      </c>
      <c r="CB741" s="1682"/>
      <c r="CC741" s="1682"/>
      <c r="CD741" s="1683">
        <v>0</v>
      </c>
      <c r="CE741" s="1683">
        <v>0</v>
      </c>
      <c r="CF741" s="1683">
        <v>0</v>
      </c>
      <c r="CG741" s="1683">
        <v>0</v>
      </c>
      <c r="CH741" s="1683">
        <v>0</v>
      </c>
      <c r="CI741" s="1683">
        <v>0</v>
      </c>
      <c r="CJ741" s="1683">
        <v>0</v>
      </c>
      <c r="CK741" s="1683">
        <v>0</v>
      </c>
      <c r="CL741" s="1682"/>
      <c r="CM741" s="1683">
        <v>31308.75</v>
      </c>
      <c r="CN741" s="1683">
        <v>31308.75</v>
      </c>
      <c r="CO741" s="1683">
        <v>15825</v>
      </c>
      <c r="CP741" s="1683">
        <v>15825</v>
      </c>
      <c r="CQ741" s="1683">
        <v>0</v>
      </c>
      <c r="CR741" s="1683">
        <v>15483.75</v>
      </c>
      <c r="CS741" s="1683">
        <v>0</v>
      </c>
      <c r="CT741" s="1683">
        <v>15483.75</v>
      </c>
      <c r="CU741" s="1683">
        <v>0</v>
      </c>
      <c r="CV741" s="1683">
        <v>0</v>
      </c>
      <c r="CW741" s="1682"/>
      <c r="CX741" s="1683">
        <v>0</v>
      </c>
      <c r="CY741" s="1683">
        <v>0</v>
      </c>
      <c r="CZ741" s="1683">
        <v>31308.75</v>
      </c>
      <c r="DA741" s="1683">
        <v>31308.75</v>
      </c>
      <c r="DB741" s="1682"/>
      <c r="DC741" s="1326"/>
      <c r="DD741" s="1683">
        <v>0</v>
      </c>
      <c r="DE741" s="1683">
        <v>0</v>
      </c>
      <c r="DF741" s="1683">
        <v>0</v>
      </c>
      <c r="DG741" s="1683">
        <v>0</v>
      </c>
      <c r="DH741" s="1683">
        <v>0</v>
      </c>
    </row>
    <row r="742" spans="1:112" ht="33.75">
      <c r="A742" s="1326" t="s">
        <v>1716</v>
      </c>
      <c r="B742" s="1326" t="s">
        <v>1690</v>
      </c>
      <c r="C742" s="1326" t="s">
        <v>2537</v>
      </c>
      <c r="D742" s="1326" t="s">
        <v>2538</v>
      </c>
      <c r="E742" s="1326" t="s">
        <v>269</v>
      </c>
      <c r="F742" s="1326" t="s">
        <v>2539</v>
      </c>
      <c r="G742" s="1326" t="s">
        <v>2540</v>
      </c>
      <c r="H742" s="1326" t="s">
        <v>2541</v>
      </c>
      <c r="I742" s="1326" t="s">
        <v>3932</v>
      </c>
      <c r="J742" s="1326" t="s">
        <v>3933</v>
      </c>
      <c r="K742" s="1326" t="s">
        <v>3934</v>
      </c>
      <c r="L742" s="1326" t="s">
        <v>2137</v>
      </c>
      <c r="M742" s="1400"/>
      <c r="N742" s="1400"/>
      <c r="O742" s="1400"/>
      <c r="P742" s="1400"/>
      <c r="Q742" s="1400"/>
      <c r="R742" s="1400"/>
      <c r="S742" s="1400"/>
      <c r="T742" s="1400"/>
      <c r="U742" s="1400"/>
      <c r="V742" s="1400"/>
      <c r="W742" s="1400"/>
      <c r="X742" s="1400"/>
      <c r="Y742" s="1685">
        <v>42888</v>
      </c>
      <c r="Z742" s="1326" t="s">
        <v>2062</v>
      </c>
      <c r="AA742" s="1683">
        <v>0</v>
      </c>
      <c r="AB742" s="1683">
        <v>0</v>
      </c>
      <c r="AC742" s="1683">
        <v>0</v>
      </c>
      <c r="AD742" s="1685">
        <v>42926</v>
      </c>
      <c r="AE742" s="1326" t="s">
        <v>2073</v>
      </c>
      <c r="AF742" s="1326" t="s">
        <v>2067</v>
      </c>
      <c r="AG742" s="1410"/>
      <c r="AH742" s="1683">
        <v>10436.25</v>
      </c>
      <c r="AI742" s="1683">
        <v>10436.25</v>
      </c>
      <c r="AJ742" s="1683">
        <v>5275</v>
      </c>
      <c r="AK742" s="1683">
        <v>5275</v>
      </c>
      <c r="AL742" s="1683">
        <v>0</v>
      </c>
      <c r="AM742" s="1685">
        <v>42927</v>
      </c>
      <c r="AN742" s="1683">
        <v>10436.25</v>
      </c>
      <c r="AO742" s="1683">
        <v>10436.25</v>
      </c>
      <c r="AP742" s="1683">
        <v>5275</v>
      </c>
      <c r="AQ742" s="1683">
        <v>5275</v>
      </c>
      <c r="AR742" s="1683">
        <v>0</v>
      </c>
      <c r="AS742" s="1683">
        <v>5161.25</v>
      </c>
      <c r="AT742" s="1683">
        <v>0</v>
      </c>
      <c r="AU742" s="1683">
        <v>5161.25</v>
      </c>
      <c r="AV742" s="1683">
        <v>0</v>
      </c>
      <c r="AW742" s="1683">
        <v>0</v>
      </c>
      <c r="AX742" s="1400"/>
      <c r="AY742" s="1400"/>
      <c r="AZ742" s="1400"/>
      <c r="BA742" s="1682"/>
      <c r="BB742" s="1682"/>
      <c r="BC742" s="1400"/>
      <c r="BD742" s="1400"/>
      <c r="BE742" s="1683">
        <v>10436.25</v>
      </c>
      <c r="BF742" s="1683">
        <v>10436.25</v>
      </c>
      <c r="BG742" s="1683">
        <v>5275</v>
      </c>
      <c r="BH742" s="1683">
        <v>5275</v>
      </c>
      <c r="BI742" s="1683">
        <v>0</v>
      </c>
      <c r="BJ742" s="1683">
        <v>5161.25</v>
      </c>
      <c r="BK742" s="1683">
        <v>0</v>
      </c>
      <c r="BL742" s="1683">
        <v>5161.25</v>
      </c>
      <c r="BM742" s="1683">
        <v>0</v>
      </c>
      <c r="BN742" s="1683">
        <v>0</v>
      </c>
      <c r="BO742" s="1685">
        <v>42993</v>
      </c>
      <c r="BP742" s="1683">
        <v>10436.25</v>
      </c>
      <c r="BQ742" s="1683">
        <v>10436.25</v>
      </c>
      <c r="BR742" s="1683">
        <v>5275</v>
      </c>
      <c r="BS742" s="1683">
        <v>5275</v>
      </c>
      <c r="BT742" s="1683">
        <v>0</v>
      </c>
      <c r="BU742" s="1683">
        <v>5161.25</v>
      </c>
      <c r="BV742" s="1683">
        <v>0</v>
      </c>
      <c r="BW742" s="1683">
        <v>5161.25</v>
      </c>
      <c r="BX742" s="1683">
        <v>0</v>
      </c>
      <c r="BY742" s="1683">
        <v>0</v>
      </c>
      <c r="BZ742" s="1683">
        <v>0</v>
      </c>
      <c r="CA742" s="1400"/>
      <c r="CB742" s="1682"/>
      <c r="CC742" s="1682"/>
      <c r="CD742" s="1400"/>
      <c r="CE742" s="1400"/>
      <c r="CF742" s="1683">
        <v>0</v>
      </c>
      <c r="CG742" s="1683">
        <v>0</v>
      </c>
      <c r="CH742" s="1683">
        <v>0</v>
      </c>
      <c r="CI742" s="1683">
        <v>0</v>
      </c>
      <c r="CJ742" s="1683">
        <v>0</v>
      </c>
      <c r="CK742" s="1683">
        <v>0</v>
      </c>
      <c r="CL742" s="1682"/>
      <c r="CM742" s="1683">
        <v>10436.25</v>
      </c>
      <c r="CN742" s="1683">
        <v>10436.25</v>
      </c>
      <c r="CO742" s="1683">
        <v>5275</v>
      </c>
      <c r="CP742" s="1683">
        <v>5275</v>
      </c>
      <c r="CQ742" s="1683">
        <v>0</v>
      </c>
      <c r="CR742" s="1683">
        <v>5161.25</v>
      </c>
      <c r="CS742" s="1683">
        <v>0</v>
      </c>
      <c r="CT742" s="1683">
        <v>5161.25</v>
      </c>
      <c r="CU742" s="1683">
        <v>0</v>
      </c>
      <c r="CV742" s="1683">
        <v>0</v>
      </c>
      <c r="CW742" s="1682"/>
      <c r="CX742" s="1400"/>
      <c r="CY742" s="1400"/>
      <c r="CZ742" s="1400"/>
      <c r="DA742" s="1400"/>
      <c r="DB742" s="1682"/>
      <c r="DC742" s="1326"/>
      <c r="DD742" s="1683">
        <v>0</v>
      </c>
      <c r="DE742" s="1400"/>
      <c r="DF742" s="1400"/>
      <c r="DG742" s="1683">
        <v>0</v>
      </c>
      <c r="DH742" s="1683">
        <v>0</v>
      </c>
    </row>
    <row r="743" spans="1:112" ht="33.75">
      <c r="A743" s="1326" t="s">
        <v>1718</v>
      </c>
      <c r="B743" s="1326" t="s">
        <v>1690</v>
      </c>
      <c r="C743" s="1326" t="s">
        <v>2537</v>
      </c>
      <c r="D743" s="1326" t="s">
        <v>2538</v>
      </c>
      <c r="E743" s="1326" t="s">
        <v>269</v>
      </c>
      <c r="F743" s="1326" t="s">
        <v>2539</v>
      </c>
      <c r="G743" s="1326" t="s">
        <v>2540</v>
      </c>
      <c r="H743" s="1326" t="s">
        <v>2541</v>
      </c>
      <c r="I743" s="1326" t="s">
        <v>3932</v>
      </c>
      <c r="J743" s="1326" t="s">
        <v>3933</v>
      </c>
      <c r="K743" s="1326" t="s">
        <v>3934</v>
      </c>
      <c r="L743" s="1326" t="s">
        <v>2137</v>
      </c>
      <c r="M743" s="1400"/>
      <c r="N743" s="1400"/>
      <c r="O743" s="1400"/>
      <c r="P743" s="1400"/>
      <c r="Q743" s="1400"/>
      <c r="R743" s="1400"/>
      <c r="S743" s="1400"/>
      <c r="T743" s="1400"/>
      <c r="U743" s="1400"/>
      <c r="V743" s="1400"/>
      <c r="W743" s="1400"/>
      <c r="X743" s="1400"/>
      <c r="Y743" s="1685">
        <v>43069</v>
      </c>
      <c r="Z743" s="1326" t="s">
        <v>2062</v>
      </c>
      <c r="AA743" s="1683">
        <v>0</v>
      </c>
      <c r="AB743" s="1683">
        <v>0</v>
      </c>
      <c r="AC743" s="1683">
        <v>0</v>
      </c>
      <c r="AD743" s="1685">
        <v>43091</v>
      </c>
      <c r="AE743" s="1326" t="s">
        <v>2066</v>
      </c>
      <c r="AF743" s="1326" t="s">
        <v>2067</v>
      </c>
      <c r="AG743" s="1410"/>
      <c r="AH743" s="1683">
        <v>20872.5</v>
      </c>
      <c r="AI743" s="1683">
        <v>20872.5</v>
      </c>
      <c r="AJ743" s="1683">
        <v>10550</v>
      </c>
      <c r="AK743" s="1683">
        <v>10550</v>
      </c>
      <c r="AL743" s="1683">
        <v>0</v>
      </c>
      <c r="AM743" s="1685">
        <v>43091</v>
      </c>
      <c r="AN743" s="1683">
        <v>20872.5</v>
      </c>
      <c r="AO743" s="1683">
        <v>20872.5</v>
      </c>
      <c r="AP743" s="1683">
        <v>10550</v>
      </c>
      <c r="AQ743" s="1683">
        <v>10550</v>
      </c>
      <c r="AR743" s="1683">
        <v>0</v>
      </c>
      <c r="AS743" s="1683">
        <v>10322.5</v>
      </c>
      <c r="AT743" s="1683">
        <v>0</v>
      </c>
      <c r="AU743" s="1683">
        <v>10322.5</v>
      </c>
      <c r="AV743" s="1683">
        <v>0</v>
      </c>
      <c r="AW743" s="1683">
        <v>0</v>
      </c>
      <c r="AX743" s="1400"/>
      <c r="AY743" s="1400"/>
      <c r="AZ743" s="1400"/>
      <c r="BA743" s="1682"/>
      <c r="BB743" s="1682"/>
      <c r="BC743" s="1400"/>
      <c r="BD743" s="1400"/>
      <c r="BE743" s="1683">
        <v>20872.5</v>
      </c>
      <c r="BF743" s="1683">
        <v>20872.5</v>
      </c>
      <c r="BG743" s="1683">
        <v>10550</v>
      </c>
      <c r="BH743" s="1683">
        <v>10550</v>
      </c>
      <c r="BI743" s="1683">
        <v>0</v>
      </c>
      <c r="BJ743" s="1683">
        <v>10322.5</v>
      </c>
      <c r="BK743" s="1683">
        <v>0</v>
      </c>
      <c r="BL743" s="1683">
        <v>10322.5</v>
      </c>
      <c r="BM743" s="1683">
        <v>0</v>
      </c>
      <c r="BN743" s="1683">
        <v>0</v>
      </c>
      <c r="BO743" s="1685">
        <v>43206</v>
      </c>
      <c r="BP743" s="1683">
        <v>20872.5</v>
      </c>
      <c r="BQ743" s="1683">
        <v>20872.5</v>
      </c>
      <c r="BR743" s="1683">
        <v>10550</v>
      </c>
      <c r="BS743" s="1683">
        <v>10550</v>
      </c>
      <c r="BT743" s="1683">
        <v>0</v>
      </c>
      <c r="BU743" s="1683">
        <v>10322.5</v>
      </c>
      <c r="BV743" s="1683">
        <v>0</v>
      </c>
      <c r="BW743" s="1683">
        <v>10322.5</v>
      </c>
      <c r="BX743" s="1683">
        <v>0</v>
      </c>
      <c r="BY743" s="1683">
        <v>0</v>
      </c>
      <c r="BZ743" s="1683">
        <v>0</v>
      </c>
      <c r="CA743" s="1400"/>
      <c r="CB743" s="1682"/>
      <c r="CC743" s="1682"/>
      <c r="CD743" s="1400"/>
      <c r="CE743" s="1400"/>
      <c r="CF743" s="1683">
        <v>0</v>
      </c>
      <c r="CG743" s="1683">
        <v>0</v>
      </c>
      <c r="CH743" s="1683">
        <v>0</v>
      </c>
      <c r="CI743" s="1683">
        <v>0</v>
      </c>
      <c r="CJ743" s="1683">
        <v>0</v>
      </c>
      <c r="CK743" s="1683">
        <v>0</v>
      </c>
      <c r="CL743" s="1682"/>
      <c r="CM743" s="1683">
        <v>20872.5</v>
      </c>
      <c r="CN743" s="1683">
        <v>20872.5</v>
      </c>
      <c r="CO743" s="1683">
        <v>10550</v>
      </c>
      <c r="CP743" s="1683">
        <v>10550</v>
      </c>
      <c r="CQ743" s="1683">
        <v>0</v>
      </c>
      <c r="CR743" s="1683">
        <v>10322.5</v>
      </c>
      <c r="CS743" s="1683">
        <v>0</v>
      </c>
      <c r="CT743" s="1683">
        <v>10322.5</v>
      </c>
      <c r="CU743" s="1683">
        <v>0</v>
      </c>
      <c r="CV743" s="1683">
        <v>0</v>
      </c>
      <c r="CW743" s="1682"/>
      <c r="CX743" s="1400"/>
      <c r="CY743" s="1400"/>
      <c r="CZ743" s="1400"/>
      <c r="DA743" s="1400"/>
      <c r="DB743" s="1682"/>
      <c r="DC743" s="1326"/>
      <c r="DD743" s="1683">
        <v>0</v>
      </c>
      <c r="DE743" s="1400"/>
      <c r="DF743" s="1400"/>
      <c r="DG743" s="1683">
        <v>0</v>
      </c>
      <c r="DH743" s="1683">
        <v>0</v>
      </c>
    </row>
    <row r="744" spans="1:112" ht="33.75">
      <c r="A744" s="1326" t="s">
        <v>1719</v>
      </c>
      <c r="B744" s="1326" t="s">
        <v>1690</v>
      </c>
      <c r="C744" s="1326" t="s">
        <v>2537</v>
      </c>
      <c r="D744" s="1326" t="s">
        <v>2538</v>
      </c>
      <c r="E744" s="1326" t="s">
        <v>269</v>
      </c>
      <c r="F744" s="1326" t="s">
        <v>2539</v>
      </c>
      <c r="G744" s="1326" t="s">
        <v>2540</v>
      </c>
      <c r="H744" s="1326" t="s">
        <v>2541</v>
      </c>
      <c r="I744" s="1326" t="s">
        <v>3932</v>
      </c>
      <c r="J744" s="1326" t="s">
        <v>3933</v>
      </c>
      <c r="K744" s="1326" t="s">
        <v>3934</v>
      </c>
      <c r="L744" s="1326" t="s">
        <v>2137</v>
      </c>
      <c r="M744" s="1400"/>
      <c r="N744" s="1400"/>
      <c r="O744" s="1400"/>
      <c r="P744" s="1400"/>
      <c r="Q744" s="1400"/>
      <c r="R744" s="1400"/>
      <c r="S744" s="1400"/>
      <c r="T744" s="1400"/>
      <c r="U744" s="1400"/>
      <c r="V744" s="1400"/>
      <c r="W744" s="1400"/>
      <c r="X744" s="1400"/>
      <c r="Y744" s="1685">
        <v>43264</v>
      </c>
      <c r="Z744" s="1326" t="s">
        <v>2145</v>
      </c>
      <c r="AA744" s="1683">
        <v>0</v>
      </c>
      <c r="AB744" s="1683">
        <v>0</v>
      </c>
      <c r="AC744" s="1683">
        <v>0</v>
      </c>
      <c r="AD744" s="1685">
        <v>43374</v>
      </c>
      <c r="AE744" s="1326" t="s">
        <v>2079</v>
      </c>
      <c r="AF744" s="1326" t="s">
        <v>2067</v>
      </c>
      <c r="AG744" s="1410"/>
      <c r="AH744" s="1683">
        <v>10436.25</v>
      </c>
      <c r="AI744" s="1683">
        <v>10436.25</v>
      </c>
      <c r="AJ744" s="1683">
        <v>5275</v>
      </c>
      <c r="AK744" s="1683">
        <v>5275</v>
      </c>
      <c r="AL744" s="1683">
        <v>0</v>
      </c>
      <c r="AM744" s="1685">
        <v>43375</v>
      </c>
      <c r="AN744" s="1683">
        <v>10436.25</v>
      </c>
      <c r="AO744" s="1683">
        <v>10436.25</v>
      </c>
      <c r="AP744" s="1683">
        <v>5275</v>
      </c>
      <c r="AQ744" s="1683">
        <v>5275</v>
      </c>
      <c r="AR744" s="1683">
        <v>0</v>
      </c>
      <c r="AS744" s="1683">
        <v>5161.25</v>
      </c>
      <c r="AT744" s="1683">
        <v>0</v>
      </c>
      <c r="AU744" s="1683">
        <v>5161.25</v>
      </c>
      <c r="AV744" s="1683">
        <v>0</v>
      </c>
      <c r="AW744" s="1683">
        <v>0</v>
      </c>
      <c r="AX744" s="1400"/>
      <c r="AY744" s="1400"/>
      <c r="AZ744" s="1400"/>
      <c r="BA744" s="1682"/>
      <c r="BB744" s="1682"/>
      <c r="BC744" s="1400"/>
      <c r="BD744" s="1400"/>
      <c r="BE744" s="1683">
        <v>10436.25</v>
      </c>
      <c r="BF744" s="1683">
        <v>10436.25</v>
      </c>
      <c r="BG744" s="1683">
        <v>5275</v>
      </c>
      <c r="BH744" s="1683">
        <v>5275</v>
      </c>
      <c r="BI744" s="1683">
        <v>0</v>
      </c>
      <c r="BJ744" s="1683">
        <v>5161.25</v>
      </c>
      <c r="BK744" s="1683">
        <v>0</v>
      </c>
      <c r="BL744" s="1683">
        <v>5161.25</v>
      </c>
      <c r="BM744" s="1683">
        <v>0</v>
      </c>
      <c r="BN744" s="1683">
        <v>0</v>
      </c>
      <c r="BO744" s="1685">
        <v>43453</v>
      </c>
      <c r="BP744" s="1683">
        <v>10436.25</v>
      </c>
      <c r="BQ744" s="1683">
        <v>10436.25</v>
      </c>
      <c r="BR744" s="1683">
        <v>5275</v>
      </c>
      <c r="BS744" s="1683">
        <v>5275</v>
      </c>
      <c r="BT744" s="1683">
        <v>0</v>
      </c>
      <c r="BU744" s="1683">
        <v>5161.25</v>
      </c>
      <c r="BV744" s="1683">
        <v>0</v>
      </c>
      <c r="BW744" s="1683">
        <v>0</v>
      </c>
      <c r="BX744" s="1683">
        <v>0</v>
      </c>
      <c r="BY744" s="1683">
        <v>0</v>
      </c>
      <c r="BZ744" s="1683">
        <v>0</v>
      </c>
      <c r="CA744" s="1400"/>
      <c r="CB744" s="1682"/>
      <c r="CC744" s="1682"/>
      <c r="CD744" s="1400"/>
      <c r="CE744" s="1400"/>
      <c r="CF744" s="1683">
        <v>0</v>
      </c>
      <c r="CG744" s="1683">
        <v>0</v>
      </c>
      <c r="CH744" s="1683">
        <v>0</v>
      </c>
      <c r="CI744" s="1683">
        <v>0</v>
      </c>
      <c r="CJ744" s="1683">
        <v>0</v>
      </c>
      <c r="CK744" s="1683">
        <v>0</v>
      </c>
      <c r="CL744" s="1682"/>
      <c r="CM744" s="1683">
        <v>0</v>
      </c>
      <c r="CN744" s="1683">
        <v>0</v>
      </c>
      <c r="CO744" s="1683">
        <v>0</v>
      </c>
      <c r="CP744" s="1683">
        <v>0</v>
      </c>
      <c r="CQ744" s="1683">
        <v>0</v>
      </c>
      <c r="CR744" s="1683">
        <v>0</v>
      </c>
      <c r="CS744" s="1683">
        <v>0</v>
      </c>
      <c r="CT744" s="1683">
        <v>0</v>
      </c>
      <c r="CU744" s="1683">
        <v>0</v>
      </c>
      <c r="CV744" s="1683">
        <v>0</v>
      </c>
      <c r="CW744" s="1682"/>
      <c r="CX744" s="1400"/>
      <c r="CY744" s="1400"/>
      <c r="CZ744" s="1400"/>
      <c r="DA744" s="1400"/>
      <c r="DB744" s="1682"/>
      <c r="DC744" s="1326"/>
      <c r="DD744" s="1683">
        <v>0</v>
      </c>
      <c r="DE744" s="1400"/>
      <c r="DF744" s="1400"/>
      <c r="DG744" s="1683">
        <v>0</v>
      </c>
      <c r="DH744" s="1683">
        <v>0</v>
      </c>
    </row>
    <row r="745" spans="1:112" ht="33.75">
      <c r="A745" s="1326" t="s">
        <v>1720</v>
      </c>
      <c r="B745" s="1326" t="s">
        <v>1690</v>
      </c>
      <c r="C745" s="1326" t="s">
        <v>2537</v>
      </c>
      <c r="D745" s="1326" t="s">
        <v>2538</v>
      </c>
      <c r="E745" s="1326" t="s">
        <v>269</v>
      </c>
      <c r="F745" s="1326" t="s">
        <v>2539</v>
      </c>
      <c r="G745" s="1326" t="s">
        <v>2540</v>
      </c>
      <c r="H745" s="1326" t="s">
        <v>2541</v>
      </c>
      <c r="I745" s="1326" t="s">
        <v>714</v>
      </c>
      <c r="J745" s="1326" t="s">
        <v>268</v>
      </c>
      <c r="K745" s="1326" t="s">
        <v>2110</v>
      </c>
      <c r="L745" s="1326" t="s">
        <v>2137</v>
      </c>
      <c r="M745" s="1683">
        <v>17000</v>
      </c>
      <c r="N745" s="1683">
        <v>0</v>
      </c>
      <c r="O745" s="1683">
        <v>17000</v>
      </c>
      <c r="P745" s="1683">
        <v>17000</v>
      </c>
      <c r="Q745" s="1683">
        <v>14450</v>
      </c>
      <c r="R745" s="1683">
        <v>14450</v>
      </c>
      <c r="S745" s="1683">
        <v>0</v>
      </c>
      <c r="T745" s="1683">
        <v>2550</v>
      </c>
      <c r="U745" s="1683">
        <v>0</v>
      </c>
      <c r="V745" s="1683">
        <v>2550</v>
      </c>
      <c r="W745" s="1683">
        <v>0</v>
      </c>
      <c r="X745" s="1683">
        <v>0</v>
      </c>
      <c r="Y745" s="1682"/>
      <c r="Z745" s="1326"/>
      <c r="AA745" s="1683">
        <v>0</v>
      </c>
      <c r="AB745" s="1683">
        <v>0</v>
      </c>
      <c r="AC745" s="1683">
        <v>0</v>
      </c>
      <c r="AD745" s="1682"/>
      <c r="AE745" s="1326"/>
      <c r="AF745" s="1326"/>
      <c r="AG745" s="1410"/>
      <c r="AH745" s="1683">
        <v>17000</v>
      </c>
      <c r="AI745" s="1683">
        <v>17000</v>
      </c>
      <c r="AJ745" s="1683">
        <v>14450</v>
      </c>
      <c r="AK745" s="1683">
        <v>14450</v>
      </c>
      <c r="AL745" s="1683">
        <v>0</v>
      </c>
      <c r="AM745" s="1682"/>
      <c r="AN745" s="1683">
        <v>17000</v>
      </c>
      <c r="AO745" s="1683">
        <v>17000</v>
      </c>
      <c r="AP745" s="1683">
        <v>14450</v>
      </c>
      <c r="AQ745" s="1683">
        <v>14450</v>
      </c>
      <c r="AR745" s="1683">
        <v>0</v>
      </c>
      <c r="AS745" s="1683">
        <v>2550</v>
      </c>
      <c r="AT745" s="1683">
        <v>0</v>
      </c>
      <c r="AU745" s="1683">
        <v>2550</v>
      </c>
      <c r="AV745" s="1683">
        <v>0</v>
      </c>
      <c r="AW745" s="1683">
        <v>0</v>
      </c>
      <c r="AX745" s="1683">
        <v>0</v>
      </c>
      <c r="AY745" s="1683">
        <v>0</v>
      </c>
      <c r="AZ745" s="1683">
        <v>0</v>
      </c>
      <c r="BA745" s="1682"/>
      <c r="BB745" s="1682"/>
      <c r="BC745" s="1683">
        <v>0</v>
      </c>
      <c r="BD745" s="1683">
        <v>0</v>
      </c>
      <c r="BE745" s="1683">
        <v>17000</v>
      </c>
      <c r="BF745" s="1683">
        <v>17000</v>
      </c>
      <c r="BG745" s="1683">
        <v>14450</v>
      </c>
      <c r="BH745" s="1683">
        <v>14450</v>
      </c>
      <c r="BI745" s="1683">
        <v>0</v>
      </c>
      <c r="BJ745" s="1683">
        <v>2550</v>
      </c>
      <c r="BK745" s="1683">
        <v>0</v>
      </c>
      <c r="BL745" s="1683">
        <v>2550</v>
      </c>
      <c r="BM745" s="1683">
        <v>0</v>
      </c>
      <c r="BN745" s="1683">
        <v>0</v>
      </c>
      <c r="BO745" s="1682"/>
      <c r="BP745" s="1683">
        <v>17000</v>
      </c>
      <c r="BQ745" s="1683">
        <v>17000</v>
      </c>
      <c r="BR745" s="1683">
        <v>14450</v>
      </c>
      <c r="BS745" s="1683">
        <v>14450</v>
      </c>
      <c r="BT745" s="1683">
        <v>0</v>
      </c>
      <c r="BU745" s="1683">
        <v>2550</v>
      </c>
      <c r="BV745" s="1683">
        <v>0</v>
      </c>
      <c r="BW745" s="1683">
        <v>2550</v>
      </c>
      <c r="BX745" s="1683">
        <v>0</v>
      </c>
      <c r="BY745" s="1683">
        <v>0</v>
      </c>
      <c r="BZ745" s="1683">
        <v>0</v>
      </c>
      <c r="CA745" s="1683">
        <v>0</v>
      </c>
      <c r="CB745" s="1682"/>
      <c r="CC745" s="1682"/>
      <c r="CD745" s="1683">
        <v>0</v>
      </c>
      <c r="CE745" s="1683">
        <v>0</v>
      </c>
      <c r="CF745" s="1683">
        <v>0</v>
      </c>
      <c r="CG745" s="1683">
        <v>0</v>
      </c>
      <c r="CH745" s="1683">
        <v>0</v>
      </c>
      <c r="CI745" s="1683">
        <v>0</v>
      </c>
      <c r="CJ745" s="1683">
        <v>0</v>
      </c>
      <c r="CK745" s="1683">
        <v>0</v>
      </c>
      <c r="CL745" s="1682"/>
      <c r="CM745" s="1683">
        <v>17000</v>
      </c>
      <c r="CN745" s="1683">
        <v>17000</v>
      </c>
      <c r="CO745" s="1683">
        <v>14450</v>
      </c>
      <c r="CP745" s="1683">
        <v>14450</v>
      </c>
      <c r="CQ745" s="1683">
        <v>0</v>
      </c>
      <c r="CR745" s="1683">
        <v>2550</v>
      </c>
      <c r="CS745" s="1683">
        <v>0</v>
      </c>
      <c r="CT745" s="1683">
        <v>2550</v>
      </c>
      <c r="CU745" s="1683">
        <v>0</v>
      </c>
      <c r="CV745" s="1683">
        <v>0</v>
      </c>
      <c r="CW745" s="1682"/>
      <c r="CX745" s="1683">
        <v>0</v>
      </c>
      <c r="CY745" s="1683">
        <v>0</v>
      </c>
      <c r="CZ745" s="1683">
        <v>17000</v>
      </c>
      <c r="DA745" s="1683">
        <v>17000</v>
      </c>
      <c r="DB745" s="1682"/>
      <c r="DC745" s="1326"/>
      <c r="DD745" s="1683">
        <v>0</v>
      </c>
      <c r="DE745" s="1683">
        <v>0</v>
      </c>
      <c r="DF745" s="1683">
        <v>0</v>
      </c>
      <c r="DG745" s="1683">
        <v>0</v>
      </c>
      <c r="DH745" s="1683">
        <v>0</v>
      </c>
    </row>
    <row r="746" spans="1:112" ht="33.75">
      <c r="A746" s="1326" t="s">
        <v>1721</v>
      </c>
      <c r="B746" s="1326" t="s">
        <v>1690</v>
      </c>
      <c r="C746" s="1326" t="s">
        <v>2537</v>
      </c>
      <c r="D746" s="1326" t="s">
        <v>2538</v>
      </c>
      <c r="E746" s="1326" t="s">
        <v>269</v>
      </c>
      <c r="F746" s="1326" t="s">
        <v>2539</v>
      </c>
      <c r="G746" s="1326" t="s">
        <v>2540</v>
      </c>
      <c r="H746" s="1326" t="s">
        <v>2541</v>
      </c>
      <c r="I746" s="1326" t="s">
        <v>714</v>
      </c>
      <c r="J746" s="1326" t="s">
        <v>268</v>
      </c>
      <c r="K746" s="1326" t="s">
        <v>2110</v>
      </c>
      <c r="L746" s="1326" t="s">
        <v>2137</v>
      </c>
      <c r="M746" s="1400"/>
      <c r="N746" s="1400"/>
      <c r="O746" s="1400"/>
      <c r="P746" s="1400"/>
      <c r="Q746" s="1400"/>
      <c r="R746" s="1400"/>
      <c r="S746" s="1400"/>
      <c r="T746" s="1400"/>
      <c r="U746" s="1400"/>
      <c r="V746" s="1400"/>
      <c r="W746" s="1400"/>
      <c r="X746" s="1400"/>
      <c r="Y746" s="1685">
        <v>42878</v>
      </c>
      <c r="Z746" s="1326" t="s">
        <v>2062</v>
      </c>
      <c r="AA746" s="1683">
        <v>0</v>
      </c>
      <c r="AB746" s="1683">
        <v>0</v>
      </c>
      <c r="AC746" s="1683">
        <v>0</v>
      </c>
      <c r="AD746" s="1685">
        <v>42908</v>
      </c>
      <c r="AE746" s="1326" t="s">
        <v>2073</v>
      </c>
      <c r="AF746" s="1326" t="s">
        <v>2067</v>
      </c>
      <c r="AG746" s="1410"/>
      <c r="AH746" s="1683">
        <v>10200</v>
      </c>
      <c r="AI746" s="1683">
        <v>10200</v>
      </c>
      <c r="AJ746" s="1683">
        <v>8670</v>
      </c>
      <c r="AK746" s="1683">
        <v>8670</v>
      </c>
      <c r="AL746" s="1683">
        <v>0</v>
      </c>
      <c r="AM746" s="1685">
        <v>42915</v>
      </c>
      <c r="AN746" s="1683">
        <v>10200</v>
      </c>
      <c r="AO746" s="1683">
        <v>10200</v>
      </c>
      <c r="AP746" s="1683">
        <v>8670</v>
      </c>
      <c r="AQ746" s="1683">
        <v>8670</v>
      </c>
      <c r="AR746" s="1683">
        <v>0</v>
      </c>
      <c r="AS746" s="1683">
        <v>1530</v>
      </c>
      <c r="AT746" s="1683">
        <v>0</v>
      </c>
      <c r="AU746" s="1683">
        <v>1530</v>
      </c>
      <c r="AV746" s="1683">
        <v>0</v>
      </c>
      <c r="AW746" s="1683">
        <v>0</v>
      </c>
      <c r="AX746" s="1400"/>
      <c r="AY746" s="1400"/>
      <c r="AZ746" s="1400"/>
      <c r="BA746" s="1682"/>
      <c r="BB746" s="1682"/>
      <c r="BC746" s="1400"/>
      <c r="BD746" s="1400"/>
      <c r="BE746" s="1683">
        <v>10200</v>
      </c>
      <c r="BF746" s="1683">
        <v>10200</v>
      </c>
      <c r="BG746" s="1683">
        <v>8670</v>
      </c>
      <c r="BH746" s="1683">
        <v>8670</v>
      </c>
      <c r="BI746" s="1683">
        <v>0</v>
      </c>
      <c r="BJ746" s="1683">
        <v>1530</v>
      </c>
      <c r="BK746" s="1683">
        <v>0</v>
      </c>
      <c r="BL746" s="1683">
        <v>1530</v>
      </c>
      <c r="BM746" s="1683">
        <v>0</v>
      </c>
      <c r="BN746" s="1683">
        <v>0</v>
      </c>
      <c r="BO746" s="1685">
        <v>42993</v>
      </c>
      <c r="BP746" s="1683">
        <v>10200</v>
      </c>
      <c r="BQ746" s="1683">
        <v>10200</v>
      </c>
      <c r="BR746" s="1683">
        <v>8670</v>
      </c>
      <c r="BS746" s="1683">
        <v>8670</v>
      </c>
      <c r="BT746" s="1683">
        <v>0</v>
      </c>
      <c r="BU746" s="1683">
        <v>1530</v>
      </c>
      <c r="BV746" s="1683">
        <v>0</v>
      </c>
      <c r="BW746" s="1683">
        <v>1530</v>
      </c>
      <c r="BX746" s="1683">
        <v>0</v>
      </c>
      <c r="BY746" s="1683">
        <v>0</v>
      </c>
      <c r="BZ746" s="1683">
        <v>0</v>
      </c>
      <c r="CA746" s="1400"/>
      <c r="CB746" s="1682"/>
      <c r="CC746" s="1682"/>
      <c r="CD746" s="1400"/>
      <c r="CE746" s="1400"/>
      <c r="CF746" s="1683">
        <v>0</v>
      </c>
      <c r="CG746" s="1683">
        <v>0</v>
      </c>
      <c r="CH746" s="1683">
        <v>0</v>
      </c>
      <c r="CI746" s="1683">
        <v>0</v>
      </c>
      <c r="CJ746" s="1683">
        <v>0</v>
      </c>
      <c r="CK746" s="1683">
        <v>0</v>
      </c>
      <c r="CL746" s="1682"/>
      <c r="CM746" s="1683">
        <v>10200</v>
      </c>
      <c r="CN746" s="1683">
        <v>10200</v>
      </c>
      <c r="CO746" s="1683">
        <v>8670</v>
      </c>
      <c r="CP746" s="1683">
        <v>8670</v>
      </c>
      <c r="CQ746" s="1683">
        <v>0</v>
      </c>
      <c r="CR746" s="1683">
        <v>1530</v>
      </c>
      <c r="CS746" s="1683">
        <v>0</v>
      </c>
      <c r="CT746" s="1683">
        <v>1530</v>
      </c>
      <c r="CU746" s="1683">
        <v>0</v>
      </c>
      <c r="CV746" s="1683">
        <v>0</v>
      </c>
      <c r="CW746" s="1682"/>
      <c r="CX746" s="1400"/>
      <c r="CY746" s="1400"/>
      <c r="CZ746" s="1400"/>
      <c r="DA746" s="1400"/>
      <c r="DB746" s="1682"/>
      <c r="DC746" s="1326"/>
      <c r="DD746" s="1683">
        <v>0</v>
      </c>
      <c r="DE746" s="1400"/>
      <c r="DF746" s="1400"/>
      <c r="DG746" s="1683">
        <v>0</v>
      </c>
      <c r="DH746" s="1683">
        <v>0</v>
      </c>
    </row>
    <row r="747" spans="1:112" ht="33.75">
      <c r="A747" s="1326" t="s">
        <v>1722</v>
      </c>
      <c r="B747" s="1326" t="s">
        <v>1690</v>
      </c>
      <c r="C747" s="1326" t="s">
        <v>2537</v>
      </c>
      <c r="D747" s="1326" t="s">
        <v>2538</v>
      </c>
      <c r="E747" s="1326" t="s">
        <v>269</v>
      </c>
      <c r="F747" s="1326" t="s">
        <v>2539</v>
      </c>
      <c r="G747" s="1326" t="s">
        <v>2540</v>
      </c>
      <c r="H747" s="1326" t="s">
        <v>2541</v>
      </c>
      <c r="I747" s="1326" t="s">
        <v>714</v>
      </c>
      <c r="J747" s="1326" t="s">
        <v>268</v>
      </c>
      <c r="K747" s="1326" t="s">
        <v>2110</v>
      </c>
      <c r="L747" s="1326" t="s">
        <v>2137</v>
      </c>
      <c r="M747" s="1400"/>
      <c r="N747" s="1400"/>
      <c r="O747" s="1400"/>
      <c r="P747" s="1400"/>
      <c r="Q747" s="1400"/>
      <c r="R747" s="1400"/>
      <c r="S747" s="1400"/>
      <c r="T747" s="1400"/>
      <c r="U747" s="1400"/>
      <c r="V747" s="1400"/>
      <c r="W747" s="1400"/>
      <c r="X747" s="1400"/>
      <c r="Y747" s="1685">
        <v>42977</v>
      </c>
      <c r="Z747" s="1326" t="s">
        <v>2145</v>
      </c>
      <c r="AA747" s="1683">
        <v>0</v>
      </c>
      <c r="AB747" s="1683">
        <v>0</v>
      </c>
      <c r="AC747" s="1683">
        <v>0</v>
      </c>
      <c r="AD747" s="1685">
        <v>43004</v>
      </c>
      <c r="AE747" s="1326" t="s">
        <v>2063</v>
      </c>
      <c r="AF747" s="1326" t="s">
        <v>2067</v>
      </c>
      <c r="AG747" s="1410"/>
      <c r="AH747" s="1683">
        <v>6800</v>
      </c>
      <c r="AI747" s="1683">
        <v>6800</v>
      </c>
      <c r="AJ747" s="1683">
        <v>5780</v>
      </c>
      <c r="AK747" s="1683">
        <v>5780</v>
      </c>
      <c r="AL747" s="1683">
        <v>0</v>
      </c>
      <c r="AM747" s="1685">
        <v>43004</v>
      </c>
      <c r="AN747" s="1683">
        <v>6800</v>
      </c>
      <c r="AO747" s="1683">
        <v>6800</v>
      </c>
      <c r="AP747" s="1683">
        <v>5780</v>
      </c>
      <c r="AQ747" s="1683">
        <v>5780</v>
      </c>
      <c r="AR747" s="1683">
        <v>0</v>
      </c>
      <c r="AS747" s="1683">
        <v>1020</v>
      </c>
      <c r="AT747" s="1683">
        <v>0</v>
      </c>
      <c r="AU747" s="1683">
        <v>1020</v>
      </c>
      <c r="AV747" s="1683">
        <v>0</v>
      </c>
      <c r="AW747" s="1683">
        <v>0</v>
      </c>
      <c r="AX747" s="1400"/>
      <c r="AY747" s="1400"/>
      <c r="AZ747" s="1400"/>
      <c r="BA747" s="1682"/>
      <c r="BB747" s="1682"/>
      <c r="BC747" s="1400"/>
      <c r="BD747" s="1400"/>
      <c r="BE747" s="1683">
        <v>6800</v>
      </c>
      <c r="BF747" s="1683">
        <v>6800</v>
      </c>
      <c r="BG747" s="1683">
        <v>5780</v>
      </c>
      <c r="BH747" s="1683">
        <v>5780</v>
      </c>
      <c r="BI747" s="1683">
        <v>0</v>
      </c>
      <c r="BJ747" s="1683">
        <v>1020</v>
      </c>
      <c r="BK747" s="1683">
        <v>0</v>
      </c>
      <c r="BL747" s="1683">
        <v>1020</v>
      </c>
      <c r="BM747" s="1683">
        <v>0</v>
      </c>
      <c r="BN747" s="1683">
        <v>0</v>
      </c>
      <c r="BO747" s="1685">
        <v>43039</v>
      </c>
      <c r="BP747" s="1683">
        <v>6800</v>
      </c>
      <c r="BQ747" s="1683">
        <v>6800</v>
      </c>
      <c r="BR747" s="1683">
        <v>5780</v>
      </c>
      <c r="BS747" s="1683">
        <v>5780</v>
      </c>
      <c r="BT747" s="1683">
        <v>0</v>
      </c>
      <c r="BU747" s="1683">
        <v>1020</v>
      </c>
      <c r="BV747" s="1683">
        <v>0</v>
      </c>
      <c r="BW747" s="1683">
        <v>1020</v>
      </c>
      <c r="BX747" s="1683">
        <v>0</v>
      </c>
      <c r="BY747" s="1683">
        <v>0</v>
      </c>
      <c r="BZ747" s="1683">
        <v>0</v>
      </c>
      <c r="CA747" s="1400"/>
      <c r="CB747" s="1682"/>
      <c r="CC747" s="1682"/>
      <c r="CD747" s="1400"/>
      <c r="CE747" s="1400"/>
      <c r="CF747" s="1683">
        <v>0</v>
      </c>
      <c r="CG747" s="1683">
        <v>0</v>
      </c>
      <c r="CH747" s="1683">
        <v>0</v>
      </c>
      <c r="CI747" s="1683">
        <v>0</v>
      </c>
      <c r="CJ747" s="1683">
        <v>0</v>
      </c>
      <c r="CK747" s="1683">
        <v>0</v>
      </c>
      <c r="CL747" s="1682"/>
      <c r="CM747" s="1683">
        <v>6800</v>
      </c>
      <c r="CN747" s="1683">
        <v>6800</v>
      </c>
      <c r="CO747" s="1683">
        <v>5780</v>
      </c>
      <c r="CP747" s="1683">
        <v>5780</v>
      </c>
      <c r="CQ747" s="1683">
        <v>0</v>
      </c>
      <c r="CR747" s="1683">
        <v>1020</v>
      </c>
      <c r="CS747" s="1683">
        <v>0</v>
      </c>
      <c r="CT747" s="1683">
        <v>1020</v>
      </c>
      <c r="CU747" s="1683">
        <v>0</v>
      </c>
      <c r="CV747" s="1683">
        <v>0</v>
      </c>
      <c r="CW747" s="1682"/>
      <c r="CX747" s="1400"/>
      <c r="CY747" s="1400"/>
      <c r="CZ747" s="1400"/>
      <c r="DA747" s="1400"/>
      <c r="DB747" s="1682"/>
      <c r="DC747" s="1326"/>
      <c r="DD747" s="1683">
        <v>0</v>
      </c>
      <c r="DE747" s="1400"/>
      <c r="DF747" s="1400"/>
      <c r="DG747" s="1683">
        <v>0</v>
      </c>
      <c r="DH747" s="1683">
        <v>0</v>
      </c>
    </row>
    <row r="748" spans="1:112" ht="33.75">
      <c r="A748" s="1326" t="s">
        <v>1723</v>
      </c>
      <c r="B748" s="1326" t="s">
        <v>1690</v>
      </c>
      <c r="C748" s="1326" t="s">
        <v>2537</v>
      </c>
      <c r="D748" s="1326" t="s">
        <v>2538</v>
      </c>
      <c r="E748" s="1326" t="s">
        <v>269</v>
      </c>
      <c r="F748" s="1326" t="s">
        <v>2539</v>
      </c>
      <c r="G748" s="1326" t="s">
        <v>2540</v>
      </c>
      <c r="H748" s="1326" t="s">
        <v>2541</v>
      </c>
      <c r="I748" s="1326" t="s">
        <v>3935</v>
      </c>
      <c r="J748" s="1326" t="s">
        <v>3936</v>
      </c>
      <c r="K748" s="1326" t="s">
        <v>3937</v>
      </c>
      <c r="L748" s="1326" t="s">
        <v>2137</v>
      </c>
      <c r="M748" s="1683">
        <v>20000</v>
      </c>
      <c r="N748" s="1683">
        <v>0</v>
      </c>
      <c r="O748" s="1683">
        <v>20000</v>
      </c>
      <c r="P748" s="1683">
        <v>20000</v>
      </c>
      <c r="Q748" s="1683">
        <v>17000</v>
      </c>
      <c r="R748" s="1683">
        <v>17000</v>
      </c>
      <c r="S748" s="1683">
        <v>0</v>
      </c>
      <c r="T748" s="1683">
        <v>3000</v>
      </c>
      <c r="U748" s="1683">
        <v>0</v>
      </c>
      <c r="V748" s="1683">
        <v>3000</v>
      </c>
      <c r="W748" s="1683">
        <v>0</v>
      </c>
      <c r="X748" s="1683">
        <v>0</v>
      </c>
      <c r="Y748" s="1682"/>
      <c r="Z748" s="1326"/>
      <c r="AA748" s="1683">
        <v>0</v>
      </c>
      <c r="AB748" s="1683">
        <v>0</v>
      </c>
      <c r="AC748" s="1683">
        <v>0</v>
      </c>
      <c r="AD748" s="1682"/>
      <c r="AE748" s="1326"/>
      <c r="AF748" s="1326"/>
      <c r="AG748" s="1410"/>
      <c r="AH748" s="1683">
        <v>20000</v>
      </c>
      <c r="AI748" s="1683">
        <v>20000</v>
      </c>
      <c r="AJ748" s="1683">
        <v>17000</v>
      </c>
      <c r="AK748" s="1683">
        <v>17000</v>
      </c>
      <c r="AL748" s="1683">
        <v>0</v>
      </c>
      <c r="AM748" s="1682"/>
      <c r="AN748" s="1683">
        <v>20000</v>
      </c>
      <c r="AO748" s="1683">
        <v>20000</v>
      </c>
      <c r="AP748" s="1683">
        <v>17000</v>
      </c>
      <c r="AQ748" s="1683">
        <v>17000</v>
      </c>
      <c r="AR748" s="1683">
        <v>0</v>
      </c>
      <c r="AS748" s="1683">
        <v>3000</v>
      </c>
      <c r="AT748" s="1683">
        <v>0</v>
      </c>
      <c r="AU748" s="1683">
        <v>3000</v>
      </c>
      <c r="AV748" s="1683">
        <v>0</v>
      </c>
      <c r="AW748" s="1683">
        <v>0</v>
      </c>
      <c r="AX748" s="1683">
        <v>0</v>
      </c>
      <c r="AY748" s="1683">
        <v>0</v>
      </c>
      <c r="AZ748" s="1683">
        <v>0</v>
      </c>
      <c r="BA748" s="1682"/>
      <c r="BB748" s="1682"/>
      <c r="BC748" s="1683">
        <v>0</v>
      </c>
      <c r="BD748" s="1683">
        <v>0</v>
      </c>
      <c r="BE748" s="1683">
        <v>20000</v>
      </c>
      <c r="BF748" s="1683">
        <v>20000</v>
      </c>
      <c r="BG748" s="1683">
        <v>17000</v>
      </c>
      <c r="BH748" s="1683">
        <v>17000</v>
      </c>
      <c r="BI748" s="1683">
        <v>0</v>
      </c>
      <c r="BJ748" s="1683">
        <v>3000</v>
      </c>
      <c r="BK748" s="1683">
        <v>0</v>
      </c>
      <c r="BL748" s="1683">
        <v>3000</v>
      </c>
      <c r="BM748" s="1683">
        <v>0</v>
      </c>
      <c r="BN748" s="1683">
        <v>0</v>
      </c>
      <c r="BO748" s="1682"/>
      <c r="BP748" s="1683">
        <v>20000</v>
      </c>
      <c r="BQ748" s="1683">
        <v>20000</v>
      </c>
      <c r="BR748" s="1683">
        <v>17000</v>
      </c>
      <c r="BS748" s="1683">
        <v>17000</v>
      </c>
      <c r="BT748" s="1683">
        <v>0</v>
      </c>
      <c r="BU748" s="1683">
        <v>3000</v>
      </c>
      <c r="BV748" s="1683">
        <v>0</v>
      </c>
      <c r="BW748" s="1683">
        <v>3000</v>
      </c>
      <c r="BX748" s="1683">
        <v>0</v>
      </c>
      <c r="BY748" s="1683">
        <v>0</v>
      </c>
      <c r="BZ748" s="1683">
        <v>0</v>
      </c>
      <c r="CA748" s="1683">
        <v>0</v>
      </c>
      <c r="CB748" s="1682"/>
      <c r="CC748" s="1682"/>
      <c r="CD748" s="1683">
        <v>0</v>
      </c>
      <c r="CE748" s="1683">
        <v>0</v>
      </c>
      <c r="CF748" s="1683">
        <v>0</v>
      </c>
      <c r="CG748" s="1683">
        <v>0</v>
      </c>
      <c r="CH748" s="1683">
        <v>0</v>
      </c>
      <c r="CI748" s="1683">
        <v>0</v>
      </c>
      <c r="CJ748" s="1683">
        <v>0</v>
      </c>
      <c r="CK748" s="1683">
        <v>0</v>
      </c>
      <c r="CL748" s="1682"/>
      <c r="CM748" s="1683">
        <v>20000</v>
      </c>
      <c r="CN748" s="1683">
        <v>20000</v>
      </c>
      <c r="CO748" s="1683">
        <v>17000</v>
      </c>
      <c r="CP748" s="1683">
        <v>17000</v>
      </c>
      <c r="CQ748" s="1683">
        <v>0</v>
      </c>
      <c r="CR748" s="1683">
        <v>3000</v>
      </c>
      <c r="CS748" s="1683">
        <v>0</v>
      </c>
      <c r="CT748" s="1683">
        <v>3000</v>
      </c>
      <c r="CU748" s="1683">
        <v>0</v>
      </c>
      <c r="CV748" s="1683">
        <v>0</v>
      </c>
      <c r="CW748" s="1682"/>
      <c r="CX748" s="1683">
        <v>0</v>
      </c>
      <c r="CY748" s="1683">
        <v>0</v>
      </c>
      <c r="CZ748" s="1683">
        <v>20000</v>
      </c>
      <c r="DA748" s="1683">
        <v>20000</v>
      </c>
      <c r="DB748" s="1682"/>
      <c r="DC748" s="1326"/>
      <c r="DD748" s="1683">
        <v>0</v>
      </c>
      <c r="DE748" s="1683">
        <v>0</v>
      </c>
      <c r="DF748" s="1683">
        <v>0</v>
      </c>
      <c r="DG748" s="1683">
        <v>0</v>
      </c>
      <c r="DH748" s="1683">
        <v>0</v>
      </c>
    </row>
    <row r="749" spans="1:112" ht="33.75">
      <c r="A749" s="1326" t="s">
        <v>1724</v>
      </c>
      <c r="B749" s="1326" t="s">
        <v>1690</v>
      </c>
      <c r="C749" s="1326" t="s">
        <v>2537</v>
      </c>
      <c r="D749" s="1326" t="s">
        <v>2538</v>
      </c>
      <c r="E749" s="1326" t="s">
        <v>269</v>
      </c>
      <c r="F749" s="1326" t="s">
        <v>2539</v>
      </c>
      <c r="G749" s="1326" t="s">
        <v>2540</v>
      </c>
      <c r="H749" s="1326" t="s">
        <v>2541</v>
      </c>
      <c r="I749" s="1326" t="s">
        <v>3935</v>
      </c>
      <c r="J749" s="1326" t="s">
        <v>3936</v>
      </c>
      <c r="K749" s="1326" t="s">
        <v>3937</v>
      </c>
      <c r="L749" s="1326" t="s">
        <v>2137</v>
      </c>
      <c r="M749" s="1400"/>
      <c r="N749" s="1400"/>
      <c r="O749" s="1400"/>
      <c r="P749" s="1400"/>
      <c r="Q749" s="1400"/>
      <c r="R749" s="1400"/>
      <c r="S749" s="1400"/>
      <c r="T749" s="1400"/>
      <c r="U749" s="1400"/>
      <c r="V749" s="1400"/>
      <c r="W749" s="1400"/>
      <c r="X749" s="1400"/>
      <c r="Y749" s="1685">
        <v>43053</v>
      </c>
      <c r="Z749" s="1326" t="s">
        <v>2145</v>
      </c>
      <c r="AA749" s="1683">
        <v>0</v>
      </c>
      <c r="AB749" s="1683">
        <v>0</v>
      </c>
      <c r="AC749" s="1683">
        <v>0</v>
      </c>
      <c r="AD749" s="1685">
        <v>43080</v>
      </c>
      <c r="AE749" s="1326" t="s">
        <v>2063</v>
      </c>
      <c r="AF749" s="1326" t="s">
        <v>2067</v>
      </c>
      <c r="AG749" s="1410"/>
      <c r="AH749" s="1683">
        <v>17000</v>
      </c>
      <c r="AI749" s="1683">
        <v>17000</v>
      </c>
      <c r="AJ749" s="1683">
        <v>14450</v>
      </c>
      <c r="AK749" s="1683">
        <v>14450</v>
      </c>
      <c r="AL749" s="1683">
        <v>0</v>
      </c>
      <c r="AM749" s="1685">
        <v>43091</v>
      </c>
      <c r="AN749" s="1683">
        <v>17000</v>
      </c>
      <c r="AO749" s="1683">
        <v>17000</v>
      </c>
      <c r="AP749" s="1683">
        <v>14450</v>
      </c>
      <c r="AQ749" s="1683">
        <v>14450</v>
      </c>
      <c r="AR749" s="1683">
        <v>0</v>
      </c>
      <c r="AS749" s="1683">
        <v>2550</v>
      </c>
      <c r="AT749" s="1683">
        <v>0</v>
      </c>
      <c r="AU749" s="1683">
        <v>2550</v>
      </c>
      <c r="AV749" s="1683">
        <v>0</v>
      </c>
      <c r="AW749" s="1683">
        <v>0</v>
      </c>
      <c r="AX749" s="1400"/>
      <c r="AY749" s="1400"/>
      <c r="AZ749" s="1400"/>
      <c r="BA749" s="1682"/>
      <c r="BB749" s="1682"/>
      <c r="BC749" s="1400"/>
      <c r="BD749" s="1400"/>
      <c r="BE749" s="1683">
        <v>17000</v>
      </c>
      <c r="BF749" s="1683">
        <v>17000</v>
      </c>
      <c r="BG749" s="1683">
        <v>14450</v>
      </c>
      <c r="BH749" s="1683">
        <v>14450</v>
      </c>
      <c r="BI749" s="1683">
        <v>0</v>
      </c>
      <c r="BJ749" s="1683">
        <v>2550</v>
      </c>
      <c r="BK749" s="1683">
        <v>0</v>
      </c>
      <c r="BL749" s="1683">
        <v>2550</v>
      </c>
      <c r="BM749" s="1683">
        <v>0</v>
      </c>
      <c r="BN749" s="1683">
        <v>0</v>
      </c>
      <c r="BO749" s="1685">
        <v>43206</v>
      </c>
      <c r="BP749" s="1683">
        <v>17000</v>
      </c>
      <c r="BQ749" s="1683">
        <v>17000</v>
      </c>
      <c r="BR749" s="1683">
        <v>14450</v>
      </c>
      <c r="BS749" s="1683">
        <v>14450</v>
      </c>
      <c r="BT749" s="1683">
        <v>0</v>
      </c>
      <c r="BU749" s="1683">
        <v>2550</v>
      </c>
      <c r="BV749" s="1683">
        <v>0</v>
      </c>
      <c r="BW749" s="1683">
        <v>2550</v>
      </c>
      <c r="BX749" s="1683">
        <v>0</v>
      </c>
      <c r="BY749" s="1683">
        <v>0</v>
      </c>
      <c r="BZ749" s="1683">
        <v>0</v>
      </c>
      <c r="CA749" s="1400"/>
      <c r="CB749" s="1682"/>
      <c r="CC749" s="1682"/>
      <c r="CD749" s="1400"/>
      <c r="CE749" s="1400"/>
      <c r="CF749" s="1683">
        <v>0</v>
      </c>
      <c r="CG749" s="1683">
        <v>0</v>
      </c>
      <c r="CH749" s="1683">
        <v>0</v>
      </c>
      <c r="CI749" s="1683">
        <v>0</v>
      </c>
      <c r="CJ749" s="1683">
        <v>0</v>
      </c>
      <c r="CK749" s="1683">
        <v>0</v>
      </c>
      <c r="CL749" s="1682"/>
      <c r="CM749" s="1683">
        <v>17000</v>
      </c>
      <c r="CN749" s="1683">
        <v>17000</v>
      </c>
      <c r="CO749" s="1683">
        <v>14450</v>
      </c>
      <c r="CP749" s="1683">
        <v>14450</v>
      </c>
      <c r="CQ749" s="1683">
        <v>0</v>
      </c>
      <c r="CR749" s="1683">
        <v>2550</v>
      </c>
      <c r="CS749" s="1683">
        <v>0</v>
      </c>
      <c r="CT749" s="1683">
        <v>2550</v>
      </c>
      <c r="CU749" s="1683">
        <v>0</v>
      </c>
      <c r="CV749" s="1683">
        <v>0</v>
      </c>
      <c r="CW749" s="1682"/>
      <c r="CX749" s="1400"/>
      <c r="CY749" s="1400"/>
      <c r="CZ749" s="1400"/>
      <c r="DA749" s="1400"/>
      <c r="DB749" s="1682"/>
      <c r="DC749" s="1326"/>
      <c r="DD749" s="1683">
        <v>0</v>
      </c>
      <c r="DE749" s="1400"/>
      <c r="DF749" s="1400"/>
      <c r="DG749" s="1683">
        <v>0</v>
      </c>
      <c r="DH749" s="1683">
        <v>0</v>
      </c>
    </row>
    <row r="750" spans="1:112" ht="33.75">
      <c r="A750" s="1326" t="s">
        <v>1725</v>
      </c>
      <c r="B750" s="1326" t="s">
        <v>1690</v>
      </c>
      <c r="C750" s="1326" t="s">
        <v>2537</v>
      </c>
      <c r="D750" s="1326" t="s">
        <v>2538</v>
      </c>
      <c r="E750" s="1326" t="s">
        <v>269</v>
      </c>
      <c r="F750" s="1326" t="s">
        <v>2539</v>
      </c>
      <c r="G750" s="1326" t="s">
        <v>2540</v>
      </c>
      <c r="H750" s="1326" t="s">
        <v>2541</v>
      </c>
      <c r="I750" s="1326" t="s">
        <v>3935</v>
      </c>
      <c r="J750" s="1326" t="s">
        <v>3936</v>
      </c>
      <c r="K750" s="1326" t="s">
        <v>3937</v>
      </c>
      <c r="L750" s="1326" t="s">
        <v>2137</v>
      </c>
      <c r="M750" s="1400"/>
      <c r="N750" s="1400"/>
      <c r="O750" s="1400"/>
      <c r="P750" s="1400"/>
      <c r="Q750" s="1400"/>
      <c r="R750" s="1400"/>
      <c r="S750" s="1400"/>
      <c r="T750" s="1400"/>
      <c r="U750" s="1400"/>
      <c r="V750" s="1400"/>
      <c r="W750" s="1400"/>
      <c r="X750" s="1400"/>
      <c r="Y750" s="1685">
        <v>43053</v>
      </c>
      <c r="Z750" s="1326" t="s">
        <v>2145</v>
      </c>
      <c r="AA750" s="1683">
        <v>0</v>
      </c>
      <c r="AB750" s="1683">
        <v>0</v>
      </c>
      <c r="AC750" s="1683">
        <v>0</v>
      </c>
      <c r="AD750" s="1685">
        <v>43080</v>
      </c>
      <c r="AE750" s="1326" t="s">
        <v>2063</v>
      </c>
      <c r="AF750" s="1326" t="s">
        <v>2064</v>
      </c>
      <c r="AG750" s="1410"/>
      <c r="AH750" s="1683">
        <v>3000</v>
      </c>
      <c r="AI750" s="1683">
        <v>3000</v>
      </c>
      <c r="AJ750" s="1683">
        <v>2550</v>
      </c>
      <c r="AK750" s="1683">
        <v>2550</v>
      </c>
      <c r="AL750" s="1683">
        <v>0</v>
      </c>
      <c r="AM750" s="1685">
        <v>43080</v>
      </c>
      <c r="AN750" s="1683">
        <v>3000</v>
      </c>
      <c r="AO750" s="1683">
        <v>3000</v>
      </c>
      <c r="AP750" s="1683">
        <v>2550</v>
      </c>
      <c r="AQ750" s="1683">
        <v>2550</v>
      </c>
      <c r="AR750" s="1683">
        <v>0</v>
      </c>
      <c r="AS750" s="1683">
        <v>450</v>
      </c>
      <c r="AT750" s="1683">
        <v>0</v>
      </c>
      <c r="AU750" s="1683">
        <v>450</v>
      </c>
      <c r="AV750" s="1683">
        <v>0</v>
      </c>
      <c r="AW750" s="1683">
        <v>0</v>
      </c>
      <c r="AX750" s="1400"/>
      <c r="AY750" s="1400"/>
      <c r="AZ750" s="1400"/>
      <c r="BA750" s="1682"/>
      <c r="BB750" s="1682"/>
      <c r="BC750" s="1400"/>
      <c r="BD750" s="1400"/>
      <c r="BE750" s="1683">
        <v>3000</v>
      </c>
      <c r="BF750" s="1683">
        <v>3000</v>
      </c>
      <c r="BG750" s="1683">
        <v>2550</v>
      </c>
      <c r="BH750" s="1683">
        <v>2550</v>
      </c>
      <c r="BI750" s="1683">
        <v>0</v>
      </c>
      <c r="BJ750" s="1683">
        <v>450</v>
      </c>
      <c r="BK750" s="1683">
        <v>0</v>
      </c>
      <c r="BL750" s="1683">
        <v>450</v>
      </c>
      <c r="BM750" s="1683">
        <v>0</v>
      </c>
      <c r="BN750" s="1683">
        <v>0</v>
      </c>
      <c r="BO750" s="1685">
        <v>43206</v>
      </c>
      <c r="BP750" s="1683">
        <v>3000</v>
      </c>
      <c r="BQ750" s="1683">
        <v>3000</v>
      </c>
      <c r="BR750" s="1683">
        <v>2550</v>
      </c>
      <c r="BS750" s="1683">
        <v>2550</v>
      </c>
      <c r="BT750" s="1683">
        <v>0</v>
      </c>
      <c r="BU750" s="1683">
        <v>450</v>
      </c>
      <c r="BV750" s="1683">
        <v>0</v>
      </c>
      <c r="BW750" s="1683">
        <v>450</v>
      </c>
      <c r="BX750" s="1683">
        <v>0</v>
      </c>
      <c r="BY750" s="1683">
        <v>0</v>
      </c>
      <c r="BZ750" s="1683">
        <v>0</v>
      </c>
      <c r="CA750" s="1400"/>
      <c r="CB750" s="1682"/>
      <c r="CC750" s="1682"/>
      <c r="CD750" s="1400"/>
      <c r="CE750" s="1400"/>
      <c r="CF750" s="1683">
        <v>0</v>
      </c>
      <c r="CG750" s="1683">
        <v>0</v>
      </c>
      <c r="CH750" s="1683">
        <v>0</v>
      </c>
      <c r="CI750" s="1683">
        <v>0</v>
      </c>
      <c r="CJ750" s="1683">
        <v>0</v>
      </c>
      <c r="CK750" s="1683">
        <v>0</v>
      </c>
      <c r="CL750" s="1682"/>
      <c r="CM750" s="1683">
        <v>3000</v>
      </c>
      <c r="CN750" s="1683">
        <v>3000</v>
      </c>
      <c r="CO750" s="1683">
        <v>2550</v>
      </c>
      <c r="CP750" s="1683">
        <v>2550</v>
      </c>
      <c r="CQ750" s="1683">
        <v>0</v>
      </c>
      <c r="CR750" s="1683">
        <v>450</v>
      </c>
      <c r="CS750" s="1683">
        <v>0</v>
      </c>
      <c r="CT750" s="1683">
        <v>450</v>
      </c>
      <c r="CU750" s="1683">
        <v>0</v>
      </c>
      <c r="CV750" s="1683">
        <v>0</v>
      </c>
      <c r="CW750" s="1682"/>
      <c r="CX750" s="1400"/>
      <c r="CY750" s="1400"/>
      <c r="CZ750" s="1400"/>
      <c r="DA750" s="1400"/>
      <c r="DB750" s="1682"/>
      <c r="DC750" s="1326"/>
      <c r="DD750" s="1683">
        <v>0</v>
      </c>
      <c r="DE750" s="1400"/>
      <c r="DF750" s="1400"/>
      <c r="DG750" s="1683">
        <v>0</v>
      </c>
      <c r="DH750" s="1683">
        <v>0</v>
      </c>
    </row>
    <row r="751" spans="1:112" ht="33.75">
      <c r="A751" s="1326" t="s">
        <v>1726</v>
      </c>
      <c r="B751" s="1326" t="s">
        <v>1690</v>
      </c>
      <c r="C751" s="1326" t="s">
        <v>2537</v>
      </c>
      <c r="D751" s="1326" t="s">
        <v>2538</v>
      </c>
      <c r="E751" s="1326" t="s">
        <v>269</v>
      </c>
      <c r="F751" s="1326" t="s">
        <v>2539</v>
      </c>
      <c r="G751" s="1326" t="s">
        <v>2540</v>
      </c>
      <c r="H751" s="1326" t="s">
        <v>2541</v>
      </c>
      <c r="I751" s="1326" t="s">
        <v>3938</v>
      </c>
      <c r="J751" s="1326" t="s">
        <v>3939</v>
      </c>
      <c r="K751" s="1326" t="s">
        <v>3940</v>
      </c>
      <c r="L751" s="1326" t="s">
        <v>2137</v>
      </c>
      <c r="M751" s="1683">
        <v>38899.08</v>
      </c>
      <c r="N751" s="1683">
        <v>0</v>
      </c>
      <c r="O751" s="1683">
        <v>38899.08</v>
      </c>
      <c r="P751" s="1683">
        <v>38899.08</v>
      </c>
      <c r="Q751" s="1683">
        <v>30500</v>
      </c>
      <c r="R751" s="1683">
        <v>30500</v>
      </c>
      <c r="S751" s="1683">
        <v>0</v>
      </c>
      <c r="T751" s="1683">
        <v>8399.08</v>
      </c>
      <c r="U751" s="1683">
        <v>0</v>
      </c>
      <c r="V751" s="1683">
        <v>8399.08</v>
      </c>
      <c r="W751" s="1683">
        <v>0</v>
      </c>
      <c r="X751" s="1683">
        <v>0</v>
      </c>
      <c r="Y751" s="1682"/>
      <c r="Z751" s="1326"/>
      <c r="AA751" s="1683">
        <v>0</v>
      </c>
      <c r="AB751" s="1683">
        <v>0</v>
      </c>
      <c r="AC751" s="1683">
        <v>0</v>
      </c>
      <c r="AD751" s="1682"/>
      <c r="AE751" s="1326"/>
      <c r="AF751" s="1326"/>
      <c r="AG751" s="1410"/>
      <c r="AH751" s="1683">
        <v>38899.08</v>
      </c>
      <c r="AI751" s="1683">
        <v>38899.08</v>
      </c>
      <c r="AJ751" s="1683">
        <v>30500</v>
      </c>
      <c r="AK751" s="1683">
        <v>30500</v>
      </c>
      <c r="AL751" s="1683">
        <v>0</v>
      </c>
      <c r="AM751" s="1682"/>
      <c r="AN751" s="1683">
        <v>38899.08</v>
      </c>
      <c r="AO751" s="1683">
        <v>38899.08</v>
      </c>
      <c r="AP751" s="1683">
        <v>30500</v>
      </c>
      <c r="AQ751" s="1683">
        <v>30500</v>
      </c>
      <c r="AR751" s="1683">
        <v>0</v>
      </c>
      <c r="AS751" s="1683">
        <v>8399.08</v>
      </c>
      <c r="AT751" s="1683">
        <v>0</v>
      </c>
      <c r="AU751" s="1683">
        <v>8399.08</v>
      </c>
      <c r="AV751" s="1683">
        <v>0</v>
      </c>
      <c r="AW751" s="1683">
        <v>0</v>
      </c>
      <c r="AX751" s="1683">
        <v>0</v>
      </c>
      <c r="AY751" s="1683">
        <v>0</v>
      </c>
      <c r="AZ751" s="1683">
        <v>0</v>
      </c>
      <c r="BA751" s="1682"/>
      <c r="BB751" s="1682"/>
      <c r="BC751" s="1683">
        <v>0</v>
      </c>
      <c r="BD751" s="1683">
        <v>0</v>
      </c>
      <c r="BE751" s="1683">
        <v>38899.08</v>
      </c>
      <c r="BF751" s="1683">
        <v>38899.08</v>
      </c>
      <c r="BG751" s="1683">
        <v>30500</v>
      </c>
      <c r="BH751" s="1683">
        <v>30500</v>
      </c>
      <c r="BI751" s="1683">
        <v>0</v>
      </c>
      <c r="BJ751" s="1683">
        <v>8399.08</v>
      </c>
      <c r="BK751" s="1683">
        <v>0</v>
      </c>
      <c r="BL751" s="1683">
        <v>8399.08</v>
      </c>
      <c r="BM751" s="1683">
        <v>0</v>
      </c>
      <c r="BN751" s="1683">
        <v>0</v>
      </c>
      <c r="BO751" s="1682"/>
      <c r="BP751" s="1683">
        <v>38899.08</v>
      </c>
      <c r="BQ751" s="1683">
        <v>38899.08</v>
      </c>
      <c r="BR751" s="1683">
        <v>30500</v>
      </c>
      <c r="BS751" s="1683">
        <v>30500</v>
      </c>
      <c r="BT751" s="1683">
        <v>0</v>
      </c>
      <c r="BU751" s="1683">
        <v>8399.08</v>
      </c>
      <c r="BV751" s="1683">
        <v>0</v>
      </c>
      <c r="BW751" s="1683">
        <v>8399.08</v>
      </c>
      <c r="BX751" s="1683">
        <v>0</v>
      </c>
      <c r="BY751" s="1683">
        <v>0</v>
      </c>
      <c r="BZ751" s="1683">
        <v>0</v>
      </c>
      <c r="CA751" s="1683">
        <v>0</v>
      </c>
      <c r="CB751" s="1682"/>
      <c r="CC751" s="1682"/>
      <c r="CD751" s="1683">
        <v>0</v>
      </c>
      <c r="CE751" s="1683">
        <v>0</v>
      </c>
      <c r="CF751" s="1683">
        <v>0</v>
      </c>
      <c r="CG751" s="1683">
        <v>0</v>
      </c>
      <c r="CH751" s="1683">
        <v>0</v>
      </c>
      <c r="CI751" s="1683">
        <v>0</v>
      </c>
      <c r="CJ751" s="1683">
        <v>0</v>
      </c>
      <c r="CK751" s="1683">
        <v>0</v>
      </c>
      <c r="CL751" s="1682"/>
      <c r="CM751" s="1683">
        <v>38899.08</v>
      </c>
      <c r="CN751" s="1683">
        <v>38899.08</v>
      </c>
      <c r="CO751" s="1683">
        <v>30500</v>
      </c>
      <c r="CP751" s="1683">
        <v>30500</v>
      </c>
      <c r="CQ751" s="1683">
        <v>0</v>
      </c>
      <c r="CR751" s="1683">
        <v>8399.08</v>
      </c>
      <c r="CS751" s="1683">
        <v>0</v>
      </c>
      <c r="CT751" s="1683">
        <v>8399.08</v>
      </c>
      <c r="CU751" s="1683">
        <v>0</v>
      </c>
      <c r="CV751" s="1683">
        <v>0</v>
      </c>
      <c r="CW751" s="1682"/>
      <c r="CX751" s="1683">
        <v>0</v>
      </c>
      <c r="CY751" s="1683">
        <v>0</v>
      </c>
      <c r="CZ751" s="1683">
        <v>38899.08</v>
      </c>
      <c r="DA751" s="1683">
        <v>38899.08</v>
      </c>
      <c r="DB751" s="1682"/>
      <c r="DC751" s="1326"/>
      <c r="DD751" s="1683">
        <v>0</v>
      </c>
      <c r="DE751" s="1683">
        <v>0</v>
      </c>
      <c r="DF751" s="1683">
        <v>0</v>
      </c>
      <c r="DG751" s="1683">
        <v>0</v>
      </c>
      <c r="DH751" s="1683">
        <v>0</v>
      </c>
    </row>
    <row r="752" spans="1:112" ht="33.75">
      <c r="A752" s="1326" t="s">
        <v>1727</v>
      </c>
      <c r="B752" s="1326" t="s">
        <v>1690</v>
      </c>
      <c r="C752" s="1326" t="s">
        <v>2537</v>
      </c>
      <c r="D752" s="1326" t="s">
        <v>2538</v>
      </c>
      <c r="E752" s="1326" t="s">
        <v>269</v>
      </c>
      <c r="F752" s="1326" t="s">
        <v>2539</v>
      </c>
      <c r="G752" s="1326" t="s">
        <v>2540</v>
      </c>
      <c r="H752" s="1326" t="s">
        <v>2541</v>
      </c>
      <c r="I752" s="1326" t="s">
        <v>3938</v>
      </c>
      <c r="J752" s="1326" t="s">
        <v>3939</v>
      </c>
      <c r="K752" s="1326" t="s">
        <v>3940</v>
      </c>
      <c r="L752" s="1326" t="s">
        <v>2137</v>
      </c>
      <c r="M752" s="1400"/>
      <c r="N752" s="1400"/>
      <c r="O752" s="1400"/>
      <c r="P752" s="1400"/>
      <c r="Q752" s="1400"/>
      <c r="R752" s="1400"/>
      <c r="S752" s="1400"/>
      <c r="T752" s="1400"/>
      <c r="U752" s="1400"/>
      <c r="V752" s="1400"/>
      <c r="W752" s="1400"/>
      <c r="X752" s="1400"/>
      <c r="Y752" s="1685">
        <v>42829</v>
      </c>
      <c r="Z752" s="1326" t="s">
        <v>2062</v>
      </c>
      <c r="AA752" s="1683">
        <v>0</v>
      </c>
      <c r="AB752" s="1683">
        <v>0</v>
      </c>
      <c r="AC752" s="1683">
        <v>0</v>
      </c>
      <c r="AD752" s="1685">
        <v>42850</v>
      </c>
      <c r="AE752" s="1326" t="s">
        <v>2073</v>
      </c>
      <c r="AF752" s="1326" t="s">
        <v>2064</v>
      </c>
      <c r="AG752" s="1410"/>
      <c r="AH752" s="1683">
        <v>19449.54</v>
      </c>
      <c r="AI752" s="1683">
        <v>19449.54</v>
      </c>
      <c r="AJ752" s="1683">
        <v>15250</v>
      </c>
      <c r="AK752" s="1683">
        <v>15250</v>
      </c>
      <c r="AL752" s="1683">
        <v>0</v>
      </c>
      <c r="AM752" s="1685">
        <v>42850</v>
      </c>
      <c r="AN752" s="1683">
        <v>19449.54</v>
      </c>
      <c r="AO752" s="1683">
        <v>19449.54</v>
      </c>
      <c r="AP752" s="1683">
        <v>15250</v>
      </c>
      <c r="AQ752" s="1683">
        <v>15250</v>
      </c>
      <c r="AR752" s="1683">
        <v>0</v>
      </c>
      <c r="AS752" s="1683">
        <v>4199.54</v>
      </c>
      <c r="AT752" s="1683">
        <v>0</v>
      </c>
      <c r="AU752" s="1683">
        <v>4199.54</v>
      </c>
      <c r="AV752" s="1683">
        <v>0</v>
      </c>
      <c r="AW752" s="1683">
        <v>0</v>
      </c>
      <c r="AX752" s="1400"/>
      <c r="AY752" s="1400"/>
      <c r="AZ752" s="1400"/>
      <c r="BA752" s="1682"/>
      <c r="BB752" s="1682"/>
      <c r="BC752" s="1400"/>
      <c r="BD752" s="1400"/>
      <c r="BE752" s="1683">
        <v>19449.54</v>
      </c>
      <c r="BF752" s="1683">
        <v>19449.54</v>
      </c>
      <c r="BG752" s="1683">
        <v>15250</v>
      </c>
      <c r="BH752" s="1683">
        <v>15250</v>
      </c>
      <c r="BI752" s="1683">
        <v>0</v>
      </c>
      <c r="BJ752" s="1683">
        <v>4199.54</v>
      </c>
      <c r="BK752" s="1683">
        <v>0</v>
      </c>
      <c r="BL752" s="1683">
        <v>4199.54</v>
      </c>
      <c r="BM752" s="1683">
        <v>0</v>
      </c>
      <c r="BN752" s="1683">
        <v>0</v>
      </c>
      <c r="BO752" s="1685">
        <v>42993</v>
      </c>
      <c r="BP752" s="1683">
        <v>19449.54</v>
      </c>
      <c r="BQ752" s="1683">
        <v>19449.54</v>
      </c>
      <c r="BR752" s="1683">
        <v>15250</v>
      </c>
      <c r="BS752" s="1683">
        <v>15250</v>
      </c>
      <c r="BT752" s="1683">
        <v>0</v>
      </c>
      <c r="BU752" s="1683">
        <v>4199.54</v>
      </c>
      <c r="BV752" s="1683">
        <v>0</v>
      </c>
      <c r="BW752" s="1683">
        <v>4199.54</v>
      </c>
      <c r="BX752" s="1683">
        <v>0</v>
      </c>
      <c r="BY752" s="1683">
        <v>0</v>
      </c>
      <c r="BZ752" s="1683">
        <v>0</v>
      </c>
      <c r="CA752" s="1400"/>
      <c r="CB752" s="1682"/>
      <c r="CC752" s="1682"/>
      <c r="CD752" s="1400"/>
      <c r="CE752" s="1400"/>
      <c r="CF752" s="1683">
        <v>0</v>
      </c>
      <c r="CG752" s="1683">
        <v>0</v>
      </c>
      <c r="CH752" s="1683">
        <v>0</v>
      </c>
      <c r="CI752" s="1683">
        <v>0</v>
      </c>
      <c r="CJ752" s="1683">
        <v>0</v>
      </c>
      <c r="CK752" s="1683">
        <v>0</v>
      </c>
      <c r="CL752" s="1682"/>
      <c r="CM752" s="1683">
        <v>19449.54</v>
      </c>
      <c r="CN752" s="1683">
        <v>19449.54</v>
      </c>
      <c r="CO752" s="1683">
        <v>15250</v>
      </c>
      <c r="CP752" s="1683">
        <v>15250</v>
      </c>
      <c r="CQ752" s="1683">
        <v>0</v>
      </c>
      <c r="CR752" s="1683">
        <v>4199.54</v>
      </c>
      <c r="CS752" s="1683">
        <v>0</v>
      </c>
      <c r="CT752" s="1683">
        <v>4199.54</v>
      </c>
      <c r="CU752" s="1683">
        <v>0</v>
      </c>
      <c r="CV752" s="1683">
        <v>0</v>
      </c>
      <c r="CW752" s="1682"/>
      <c r="CX752" s="1400"/>
      <c r="CY752" s="1400"/>
      <c r="CZ752" s="1400"/>
      <c r="DA752" s="1400"/>
      <c r="DB752" s="1682"/>
      <c r="DC752" s="1326"/>
      <c r="DD752" s="1683">
        <v>0</v>
      </c>
      <c r="DE752" s="1400"/>
      <c r="DF752" s="1400"/>
      <c r="DG752" s="1683">
        <v>0</v>
      </c>
      <c r="DH752" s="1683">
        <v>0</v>
      </c>
    </row>
    <row r="753" spans="1:112" ht="33.75">
      <c r="A753" s="1326" t="s">
        <v>1728</v>
      </c>
      <c r="B753" s="1326" t="s">
        <v>1690</v>
      </c>
      <c r="C753" s="1326" t="s">
        <v>2537</v>
      </c>
      <c r="D753" s="1326" t="s">
        <v>2538</v>
      </c>
      <c r="E753" s="1326" t="s">
        <v>269</v>
      </c>
      <c r="F753" s="1326" t="s">
        <v>2539</v>
      </c>
      <c r="G753" s="1326" t="s">
        <v>2540</v>
      </c>
      <c r="H753" s="1326" t="s">
        <v>2541</v>
      </c>
      <c r="I753" s="1326" t="s">
        <v>3938</v>
      </c>
      <c r="J753" s="1326" t="s">
        <v>3939</v>
      </c>
      <c r="K753" s="1326" t="s">
        <v>3940</v>
      </c>
      <c r="L753" s="1326" t="s">
        <v>2137</v>
      </c>
      <c r="M753" s="1400"/>
      <c r="N753" s="1400"/>
      <c r="O753" s="1400"/>
      <c r="P753" s="1400"/>
      <c r="Q753" s="1400"/>
      <c r="R753" s="1400"/>
      <c r="S753" s="1400"/>
      <c r="T753" s="1400"/>
      <c r="U753" s="1400"/>
      <c r="V753" s="1400"/>
      <c r="W753" s="1400"/>
      <c r="X753" s="1400"/>
      <c r="Y753" s="1685">
        <v>42858</v>
      </c>
      <c r="Z753" s="1326" t="s">
        <v>2062</v>
      </c>
      <c r="AA753" s="1683">
        <v>0</v>
      </c>
      <c r="AB753" s="1683">
        <v>0</v>
      </c>
      <c r="AC753" s="1683">
        <v>0</v>
      </c>
      <c r="AD753" s="1685">
        <v>42873</v>
      </c>
      <c r="AE753" s="1326" t="s">
        <v>2063</v>
      </c>
      <c r="AF753" s="1326" t="s">
        <v>2067</v>
      </c>
      <c r="AG753" s="1410"/>
      <c r="AH753" s="1683">
        <v>9724.77</v>
      </c>
      <c r="AI753" s="1683">
        <v>9724.77</v>
      </c>
      <c r="AJ753" s="1683">
        <v>7625</v>
      </c>
      <c r="AK753" s="1683">
        <v>7625</v>
      </c>
      <c r="AL753" s="1683">
        <v>0</v>
      </c>
      <c r="AM753" s="1685">
        <v>42874</v>
      </c>
      <c r="AN753" s="1683">
        <v>9724.77</v>
      </c>
      <c r="AO753" s="1683">
        <v>9724.77</v>
      </c>
      <c r="AP753" s="1683">
        <v>7625</v>
      </c>
      <c r="AQ753" s="1683">
        <v>7625</v>
      </c>
      <c r="AR753" s="1683">
        <v>0</v>
      </c>
      <c r="AS753" s="1683">
        <v>2099.77</v>
      </c>
      <c r="AT753" s="1683">
        <v>0</v>
      </c>
      <c r="AU753" s="1683">
        <v>2099.77</v>
      </c>
      <c r="AV753" s="1683">
        <v>0</v>
      </c>
      <c r="AW753" s="1683">
        <v>0</v>
      </c>
      <c r="AX753" s="1400"/>
      <c r="AY753" s="1400"/>
      <c r="AZ753" s="1400"/>
      <c r="BA753" s="1682"/>
      <c r="BB753" s="1682"/>
      <c r="BC753" s="1400"/>
      <c r="BD753" s="1400"/>
      <c r="BE753" s="1683">
        <v>9724.77</v>
      </c>
      <c r="BF753" s="1683">
        <v>9724.77</v>
      </c>
      <c r="BG753" s="1683">
        <v>7625</v>
      </c>
      <c r="BH753" s="1683">
        <v>7625</v>
      </c>
      <c r="BI753" s="1683">
        <v>0</v>
      </c>
      <c r="BJ753" s="1683">
        <v>2099.77</v>
      </c>
      <c r="BK753" s="1683">
        <v>0</v>
      </c>
      <c r="BL753" s="1683">
        <v>2099.77</v>
      </c>
      <c r="BM753" s="1683">
        <v>0</v>
      </c>
      <c r="BN753" s="1683">
        <v>0</v>
      </c>
      <c r="BO753" s="1685">
        <v>42993</v>
      </c>
      <c r="BP753" s="1683">
        <v>9724.77</v>
      </c>
      <c r="BQ753" s="1683">
        <v>9724.77</v>
      </c>
      <c r="BR753" s="1683">
        <v>7625</v>
      </c>
      <c r="BS753" s="1683">
        <v>7625</v>
      </c>
      <c r="BT753" s="1683">
        <v>0</v>
      </c>
      <c r="BU753" s="1683">
        <v>2099.77</v>
      </c>
      <c r="BV753" s="1683">
        <v>0</v>
      </c>
      <c r="BW753" s="1683">
        <v>2099.77</v>
      </c>
      <c r="BX753" s="1683">
        <v>0</v>
      </c>
      <c r="BY753" s="1683">
        <v>0</v>
      </c>
      <c r="BZ753" s="1683">
        <v>0</v>
      </c>
      <c r="CA753" s="1400"/>
      <c r="CB753" s="1682"/>
      <c r="CC753" s="1682"/>
      <c r="CD753" s="1400"/>
      <c r="CE753" s="1400"/>
      <c r="CF753" s="1683">
        <v>0</v>
      </c>
      <c r="CG753" s="1683">
        <v>0</v>
      </c>
      <c r="CH753" s="1683">
        <v>0</v>
      </c>
      <c r="CI753" s="1683">
        <v>0</v>
      </c>
      <c r="CJ753" s="1683">
        <v>0</v>
      </c>
      <c r="CK753" s="1683">
        <v>0</v>
      </c>
      <c r="CL753" s="1682"/>
      <c r="CM753" s="1683">
        <v>9724.77</v>
      </c>
      <c r="CN753" s="1683">
        <v>9724.77</v>
      </c>
      <c r="CO753" s="1683">
        <v>7625</v>
      </c>
      <c r="CP753" s="1683">
        <v>7625</v>
      </c>
      <c r="CQ753" s="1683">
        <v>0</v>
      </c>
      <c r="CR753" s="1683">
        <v>2099.77</v>
      </c>
      <c r="CS753" s="1683">
        <v>0</v>
      </c>
      <c r="CT753" s="1683">
        <v>2099.77</v>
      </c>
      <c r="CU753" s="1683">
        <v>0</v>
      </c>
      <c r="CV753" s="1683">
        <v>0</v>
      </c>
      <c r="CW753" s="1682"/>
      <c r="CX753" s="1400"/>
      <c r="CY753" s="1400"/>
      <c r="CZ753" s="1400"/>
      <c r="DA753" s="1400"/>
      <c r="DB753" s="1682"/>
      <c r="DC753" s="1326"/>
      <c r="DD753" s="1683">
        <v>0</v>
      </c>
      <c r="DE753" s="1400"/>
      <c r="DF753" s="1400"/>
      <c r="DG753" s="1683">
        <v>0</v>
      </c>
      <c r="DH753" s="1683">
        <v>0</v>
      </c>
    </row>
    <row r="754" spans="1:112" ht="33.75">
      <c r="A754" s="1326" t="s">
        <v>1729</v>
      </c>
      <c r="B754" s="1326" t="s">
        <v>1690</v>
      </c>
      <c r="C754" s="1326" t="s">
        <v>2537</v>
      </c>
      <c r="D754" s="1326" t="s">
        <v>2538</v>
      </c>
      <c r="E754" s="1326" t="s">
        <v>269</v>
      </c>
      <c r="F754" s="1326" t="s">
        <v>2539</v>
      </c>
      <c r="G754" s="1326" t="s">
        <v>2540</v>
      </c>
      <c r="H754" s="1326" t="s">
        <v>2541</v>
      </c>
      <c r="I754" s="1326" t="s">
        <v>3938</v>
      </c>
      <c r="J754" s="1326" t="s">
        <v>3939</v>
      </c>
      <c r="K754" s="1326" t="s">
        <v>3940</v>
      </c>
      <c r="L754" s="1326" t="s">
        <v>2137</v>
      </c>
      <c r="M754" s="1400"/>
      <c r="N754" s="1400"/>
      <c r="O754" s="1400"/>
      <c r="P754" s="1400"/>
      <c r="Q754" s="1400"/>
      <c r="R754" s="1400"/>
      <c r="S754" s="1400"/>
      <c r="T754" s="1400"/>
      <c r="U754" s="1400"/>
      <c r="V754" s="1400"/>
      <c r="W754" s="1400"/>
      <c r="X754" s="1400"/>
      <c r="Y754" s="1685">
        <v>43042</v>
      </c>
      <c r="Z754" s="1326" t="s">
        <v>2145</v>
      </c>
      <c r="AA754" s="1683">
        <v>0</v>
      </c>
      <c r="AB754" s="1683">
        <v>0</v>
      </c>
      <c r="AC754" s="1683">
        <v>0</v>
      </c>
      <c r="AD754" s="1685">
        <v>43067</v>
      </c>
      <c r="AE754" s="1326" t="s">
        <v>2066</v>
      </c>
      <c r="AF754" s="1326" t="s">
        <v>2064</v>
      </c>
      <c r="AG754" s="1410"/>
      <c r="AH754" s="1683">
        <v>9724.77</v>
      </c>
      <c r="AI754" s="1683">
        <v>9724.77</v>
      </c>
      <c r="AJ754" s="1683">
        <v>7625</v>
      </c>
      <c r="AK754" s="1683">
        <v>7625</v>
      </c>
      <c r="AL754" s="1683">
        <v>0</v>
      </c>
      <c r="AM754" s="1685">
        <v>43067</v>
      </c>
      <c r="AN754" s="1683">
        <v>9724.77</v>
      </c>
      <c r="AO754" s="1683">
        <v>9724.77</v>
      </c>
      <c r="AP754" s="1683">
        <v>7625</v>
      </c>
      <c r="AQ754" s="1683">
        <v>7625</v>
      </c>
      <c r="AR754" s="1683">
        <v>0</v>
      </c>
      <c r="AS754" s="1683">
        <v>2099.77</v>
      </c>
      <c r="AT754" s="1683">
        <v>0</v>
      </c>
      <c r="AU754" s="1683">
        <v>2099.77</v>
      </c>
      <c r="AV754" s="1683">
        <v>0</v>
      </c>
      <c r="AW754" s="1683">
        <v>0</v>
      </c>
      <c r="AX754" s="1400"/>
      <c r="AY754" s="1400"/>
      <c r="AZ754" s="1400"/>
      <c r="BA754" s="1682"/>
      <c r="BB754" s="1682"/>
      <c r="BC754" s="1400"/>
      <c r="BD754" s="1400"/>
      <c r="BE754" s="1683">
        <v>9724.77</v>
      </c>
      <c r="BF754" s="1683">
        <v>9724.77</v>
      </c>
      <c r="BG754" s="1683">
        <v>7625</v>
      </c>
      <c r="BH754" s="1683">
        <v>7625</v>
      </c>
      <c r="BI754" s="1683">
        <v>0</v>
      </c>
      <c r="BJ754" s="1683">
        <v>2099.77</v>
      </c>
      <c r="BK754" s="1683">
        <v>0</v>
      </c>
      <c r="BL754" s="1683">
        <v>2099.77</v>
      </c>
      <c r="BM754" s="1683">
        <v>0</v>
      </c>
      <c r="BN754" s="1683">
        <v>0</v>
      </c>
      <c r="BO754" s="1685">
        <v>43159</v>
      </c>
      <c r="BP754" s="1683">
        <v>9724.77</v>
      </c>
      <c r="BQ754" s="1683">
        <v>9724.77</v>
      </c>
      <c r="BR754" s="1683">
        <v>7625</v>
      </c>
      <c r="BS754" s="1683">
        <v>7625</v>
      </c>
      <c r="BT754" s="1683">
        <v>0</v>
      </c>
      <c r="BU754" s="1683">
        <v>2099.77</v>
      </c>
      <c r="BV754" s="1683">
        <v>0</v>
      </c>
      <c r="BW754" s="1683">
        <v>2099.77</v>
      </c>
      <c r="BX754" s="1683">
        <v>0</v>
      </c>
      <c r="BY754" s="1683">
        <v>0</v>
      </c>
      <c r="BZ754" s="1683">
        <v>0</v>
      </c>
      <c r="CA754" s="1400"/>
      <c r="CB754" s="1682"/>
      <c r="CC754" s="1682"/>
      <c r="CD754" s="1400"/>
      <c r="CE754" s="1400"/>
      <c r="CF754" s="1683">
        <v>0</v>
      </c>
      <c r="CG754" s="1683">
        <v>0</v>
      </c>
      <c r="CH754" s="1683">
        <v>0</v>
      </c>
      <c r="CI754" s="1683">
        <v>0</v>
      </c>
      <c r="CJ754" s="1683">
        <v>0</v>
      </c>
      <c r="CK754" s="1683">
        <v>0</v>
      </c>
      <c r="CL754" s="1682"/>
      <c r="CM754" s="1683">
        <v>9724.77</v>
      </c>
      <c r="CN754" s="1683">
        <v>9724.77</v>
      </c>
      <c r="CO754" s="1683">
        <v>7625</v>
      </c>
      <c r="CP754" s="1683">
        <v>7625</v>
      </c>
      <c r="CQ754" s="1683">
        <v>0</v>
      </c>
      <c r="CR754" s="1683">
        <v>2099.77</v>
      </c>
      <c r="CS754" s="1683">
        <v>0</v>
      </c>
      <c r="CT754" s="1683">
        <v>2099.77</v>
      </c>
      <c r="CU754" s="1683">
        <v>0</v>
      </c>
      <c r="CV754" s="1683">
        <v>0</v>
      </c>
      <c r="CW754" s="1682"/>
      <c r="CX754" s="1400"/>
      <c r="CY754" s="1400"/>
      <c r="CZ754" s="1400"/>
      <c r="DA754" s="1400"/>
      <c r="DB754" s="1682"/>
      <c r="DC754" s="1326"/>
      <c r="DD754" s="1683">
        <v>0</v>
      </c>
      <c r="DE754" s="1400"/>
      <c r="DF754" s="1400"/>
      <c r="DG754" s="1683">
        <v>0</v>
      </c>
      <c r="DH754" s="1683">
        <v>0</v>
      </c>
    </row>
    <row r="755" spans="1:112" ht="33.75">
      <c r="A755" s="1326" t="s">
        <v>1730</v>
      </c>
      <c r="B755" s="1326" t="s">
        <v>1690</v>
      </c>
      <c r="C755" s="1326" t="s">
        <v>2537</v>
      </c>
      <c r="D755" s="1326" t="s">
        <v>2538</v>
      </c>
      <c r="E755" s="1326" t="s">
        <v>269</v>
      </c>
      <c r="F755" s="1326" t="s">
        <v>2539</v>
      </c>
      <c r="G755" s="1326" t="s">
        <v>2540</v>
      </c>
      <c r="H755" s="1326" t="s">
        <v>2541</v>
      </c>
      <c r="I755" s="1326" t="s">
        <v>3941</v>
      </c>
      <c r="J755" s="1326" t="s">
        <v>3942</v>
      </c>
      <c r="K755" s="1326" t="s">
        <v>3943</v>
      </c>
      <c r="L755" s="1326" t="s">
        <v>2137</v>
      </c>
      <c r="M755" s="1683">
        <v>15609</v>
      </c>
      <c r="N755" s="1683">
        <v>0</v>
      </c>
      <c r="O755" s="1683">
        <v>15609</v>
      </c>
      <c r="P755" s="1683">
        <v>15609</v>
      </c>
      <c r="Q755" s="1683">
        <v>13267.65</v>
      </c>
      <c r="R755" s="1683">
        <v>13267.65</v>
      </c>
      <c r="S755" s="1683">
        <v>0</v>
      </c>
      <c r="T755" s="1683">
        <v>2341.35</v>
      </c>
      <c r="U755" s="1683">
        <v>0</v>
      </c>
      <c r="V755" s="1683">
        <v>2341.35</v>
      </c>
      <c r="W755" s="1683">
        <v>0</v>
      </c>
      <c r="X755" s="1683">
        <v>0</v>
      </c>
      <c r="Y755" s="1682"/>
      <c r="Z755" s="1326"/>
      <c r="AA755" s="1683">
        <v>0</v>
      </c>
      <c r="AB755" s="1683">
        <v>0</v>
      </c>
      <c r="AC755" s="1683">
        <v>0</v>
      </c>
      <c r="AD755" s="1682"/>
      <c r="AE755" s="1326"/>
      <c r="AF755" s="1326"/>
      <c r="AG755" s="1410"/>
      <c r="AH755" s="1683">
        <v>15609</v>
      </c>
      <c r="AI755" s="1683">
        <v>15609</v>
      </c>
      <c r="AJ755" s="1683">
        <v>13267.65</v>
      </c>
      <c r="AK755" s="1683">
        <v>13267.65</v>
      </c>
      <c r="AL755" s="1683">
        <v>0</v>
      </c>
      <c r="AM755" s="1682"/>
      <c r="AN755" s="1683">
        <v>15609</v>
      </c>
      <c r="AO755" s="1683">
        <v>15609</v>
      </c>
      <c r="AP755" s="1683">
        <v>13267.65</v>
      </c>
      <c r="AQ755" s="1683">
        <v>13267.65</v>
      </c>
      <c r="AR755" s="1683">
        <v>0</v>
      </c>
      <c r="AS755" s="1683">
        <v>2341.35</v>
      </c>
      <c r="AT755" s="1683">
        <v>0</v>
      </c>
      <c r="AU755" s="1683">
        <v>2341.35</v>
      </c>
      <c r="AV755" s="1683">
        <v>0</v>
      </c>
      <c r="AW755" s="1683">
        <v>0</v>
      </c>
      <c r="AX755" s="1683">
        <v>0</v>
      </c>
      <c r="AY755" s="1683">
        <v>0</v>
      </c>
      <c r="AZ755" s="1683">
        <v>0</v>
      </c>
      <c r="BA755" s="1682"/>
      <c r="BB755" s="1682"/>
      <c r="BC755" s="1683">
        <v>0</v>
      </c>
      <c r="BD755" s="1683">
        <v>0</v>
      </c>
      <c r="BE755" s="1683">
        <v>15609</v>
      </c>
      <c r="BF755" s="1683">
        <v>15609</v>
      </c>
      <c r="BG755" s="1683">
        <v>13267.65</v>
      </c>
      <c r="BH755" s="1683">
        <v>13267.65</v>
      </c>
      <c r="BI755" s="1683">
        <v>0</v>
      </c>
      <c r="BJ755" s="1683">
        <v>2341.35</v>
      </c>
      <c r="BK755" s="1683">
        <v>0</v>
      </c>
      <c r="BL755" s="1683">
        <v>2341.35</v>
      </c>
      <c r="BM755" s="1683">
        <v>0</v>
      </c>
      <c r="BN755" s="1683">
        <v>0</v>
      </c>
      <c r="BO755" s="1682"/>
      <c r="BP755" s="1683">
        <v>15609</v>
      </c>
      <c r="BQ755" s="1683">
        <v>15609</v>
      </c>
      <c r="BR755" s="1683">
        <v>13267.65</v>
      </c>
      <c r="BS755" s="1683">
        <v>13267.65</v>
      </c>
      <c r="BT755" s="1683">
        <v>0</v>
      </c>
      <c r="BU755" s="1683">
        <v>2341.35</v>
      </c>
      <c r="BV755" s="1683">
        <v>0</v>
      </c>
      <c r="BW755" s="1683">
        <v>2341.35</v>
      </c>
      <c r="BX755" s="1683">
        <v>0</v>
      </c>
      <c r="BY755" s="1683">
        <v>0</v>
      </c>
      <c r="BZ755" s="1683">
        <v>0</v>
      </c>
      <c r="CA755" s="1683">
        <v>0</v>
      </c>
      <c r="CB755" s="1682"/>
      <c r="CC755" s="1682"/>
      <c r="CD755" s="1683">
        <v>0</v>
      </c>
      <c r="CE755" s="1683">
        <v>0</v>
      </c>
      <c r="CF755" s="1683">
        <v>0</v>
      </c>
      <c r="CG755" s="1683">
        <v>0</v>
      </c>
      <c r="CH755" s="1683">
        <v>0</v>
      </c>
      <c r="CI755" s="1683">
        <v>0</v>
      </c>
      <c r="CJ755" s="1683">
        <v>0</v>
      </c>
      <c r="CK755" s="1683">
        <v>0</v>
      </c>
      <c r="CL755" s="1682"/>
      <c r="CM755" s="1683">
        <v>15609</v>
      </c>
      <c r="CN755" s="1683">
        <v>15609</v>
      </c>
      <c r="CO755" s="1683">
        <v>13267.65</v>
      </c>
      <c r="CP755" s="1683">
        <v>13267.65</v>
      </c>
      <c r="CQ755" s="1683">
        <v>0</v>
      </c>
      <c r="CR755" s="1683">
        <v>2341.35</v>
      </c>
      <c r="CS755" s="1683">
        <v>0</v>
      </c>
      <c r="CT755" s="1683">
        <v>2341.35</v>
      </c>
      <c r="CU755" s="1683">
        <v>0</v>
      </c>
      <c r="CV755" s="1683">
        <v>0</v>
      </c>
      <c r="CW755" s="1682"/>
      <c r="CX755" s="1683">
        <v>0</v>
      </c>
      <c r="CY755" s="1683">
        <v>0</v>
      </c>
      <c r="CZ755" s="1683">
        <v>15609</v>
      </c>
      <c r="DA755" s="1683">
        <v>15609</v>
      </c>
      <c r="DB755" s="1682"/>
      <c r="DC755" s="1326"/>
      <c r="DD755" s="1683">
        <v>0</v>
      </c>
      <c r="DE755" s="1683">
        <v>0</v>
      </c>
      <c r="DF755" s="1683">
        <v>0</v>
      </c>
      <c r="DG755" s="1683">
        <v>0</v>
      </c>
      <c r="DH755" s="1683">
        <v>0</v>
      </c>
    </row>
    <row r="756" spans="1:112" ht="33.75">
      <c r="A756" s="1326" t="s">
        <v>1731</v>
      </c>
      <c r="B756" s="1326" t="s">
        <v>1690</v>
      </c>
      <c r="C756" s="1326" t="s">
        <v>2537</v>
      </c>
      <c r="D756" s="1326" t="s">
        <v>2538</v>
      </c>
      <c r="E756" s="1326" t="s">
        <v>269</v>
      </c>
      <c r="F756" s="1326" t="s">
        <v>2539</v>
      </c>
      <c r="G756" s="1326" t="s">
        <v>2540</v>
      </c>
      <c r="H756" s="1326" t="s">
        <v>2541</v>
      </c>
      <c r="I756" s="1326" t="s">
        <v>3941</v>
      </c>
      <c r="J756" s="1326" t="s">
        <v>3942</v>
      </c>
      <c r="K756" s="1326" t="s">
        <v>3943</v>
      </c>
      <c r="L756" s="1326" t="s">
        <v>2137</v>
      </c>
      <c r="M756" s="1400"/>
      <c r="N756" s="1400"/>
      <c r="O756" s="1400"/>
      <c r="P756" s="1400"/>
      <c r="Q756" s="1400"/>
      <c r="R756" s="1400"/>
      <c r="S756" s="1400"/>
      <c r="T756" s="1400"/>
      <c r="U756" s="1400"/>
      <c r="V756" s="1400"/>
      <c r="W756" s="1400"/>
      <c r="X756" s="1400"/>
      <c r="Y756" s="1685">
        <v>42905</v>
      </c>
      <c r="Z756" s="1326" t="s">
        <v>2062</v>
      </c>
      <c r="AA756" s="1683">
        <v>0</v>
      </c>
      <c r="AB756" s="1683">
        <v>0</v>
      </c>
      <c r="AC756" s="1683">
        <v>0</v>
      </c>
      <c r="AD756" s="1685">
        <v>42929</v>
      </c>
      <c r="AE756" s="1326" t="s">
        <v>2073</v>
      </c>
      <c r="AF756" s="1326" t="s">
        <v>2067</v>
      </c>
      <c r="AG756" s="1410"/>
      <c r="AH756" s="1683">
        <v>9365.4</v>
      </c>
      <c r="AI756" s="1683">
        <v>9365.4</v>
      </c>
      <c r="AJ756" s="1683">
        <v>7960.59</v>
      </c>
      <c r="AK756" s="1683">
        <v>7960.59</v>
      </c>
      <c r="AL756" s="1683">
        <v>0</v>
      </c>
      <c r="AM756" s="1685">
        <v>42930</v>
      </c>
      <c r="AN756" s="1683">
        <v>9365.4</v>
      </c>
      <c r="AO756" s="1683">
        <v>9365.4</v>
      </c>
      <c r="AP756" s="1683">
        <v>7960.59</v>
      </c>
      <c r="AQ756" s="1683">
        <v>7960.59</v>
      </c>
      <c r="AR756" s="1683">
        <v>0</v>
      </c>
      <c r="AS756" s="1683">
        <v>1404.81</v>
      </c>
      <c r="AT756" s="1683">
        <v>0</v>
      </c>
      <c r="AU756" s="1683">
        <v>1404.81</v>
      </c>
      <c r="AV756" s="1683">
        <v>0</v>
      </c>
      <c r="AW756" s="1683">
        <v>0</v>
      </c>
      <c r="AX756" s="1400"/>
      <c r="AY756" s="1400"/>
      <c r="AZ756" s="1400"/>
      <c r="BA756" s="1682"/>
      <c r="BB756" s="1682"/>
      <c r="BC756" s="1400"/>
      <c r="BD756" s="1400"/>
      <c r="BE756" s="1683">
        <v>9365.4</v>
      </c>
      <c r="BF756" s="1683">
        <v>9365.4</v>
      </c>
      <c r="BG756" s="1683">
        <v>7960.59</v>
      </c>
      <c r="BH756" s="1683">
        <v>7960.59</v>
      </c>
      <c r="BI756" s="1683">
        <v>0</v>
      </c>
      <c r="BJ756" s="1683">
        <v>1404.81</v>
      </c>
      <c r="BK756" s="1683">
        <v>0</v>
      </c>
      <c r="BL756" s="1683">
        <v>1404.81</v>
      </c>
      <c r="BM756" s="1683">
        <v>0</v>
      </c>
      <c r="BN756" s="1683">
        <v>0</v>
      </c>
      <c r="BO756" s="1685">
        <v>42993</v>
      </c>
      <c r="BP756" s="1683">
        <v>9365.4</v>
      </c>
      <c r="BQ756" s="1683">
        <v>9365.4</v>
      </c>
      <c r="BR756" s="1683">
        <v>7960.59</v>
      </c>
      <c r="BS756" s="1683">
        <v>7960.59</v>
      </c>
      <c r="BT756" s="1683">
        <v>0</v>
      </c>
      <c r="BU756" s="1683">
        <v>1404.81</v>
      </c>
      <c r="BV756" s="1683">
        <v>0</v>
      </c>
      <c r="BW756" s="1683">
        <v>1404.81</v>
      </c>
      <c r="BX756" s="1683">
        <v>0</v>
      </c>
      <c r="BY756" s="1683">
        <v>0</v>
      </c>
      <c r="BZ756" s="1683">
        <v>0</v>
      </c>
      <c r="CA756" s="1400"/>
      <c r="CB756" s="1682"/>
      <c r="CC756" s="1682"/>
      <c r="CD756" s="1400"/>
      <c r="CE756" s="1400"/>
      <c r="CF756" s="1683">
        <v>0</v>
      </c>
      <c r="CG756" s="1683">
        <v>0</v>
      </c>
      <c r="CH756" s="1683">
        <v>0</v>
      </c>
      <c r="CI756" s="1683">
        <v>0</v>
      </c>
      <c r="CJ756" s="1683">
        <v>0</v>
      </c>
      <c r="CK756" s="1683">
        <v>0</v>
      </c>
      <c r="CL756" s="1682"/>
      <c r="CM756" s="1683">
        <v>9365.4</v>
      </c>
      <c r="CN756" s="1683">
        <v>9365.4</v>
      </c>
      <c r="CO756" s="1683">
        <v>7960.59</v>
      </c>
      <c r="CP756" s="1683">
        <v>7960.59</v>
      </c>
      <c r="CQ756" s="1683">
        <v>0</v>
      </c>
      <c r="CR756" s="1683">
        <v>1404.81</v>
      </c>
      <c r="CS756" s="1683">
        <v>0</v>
      </c>
      <c r="CT756" s="1683">
        <v>1404.81</v>
      </c>
      <c r="CU756" s="1683">
        <v>0</v>
      </c>
      <c r="CV756" s="1683">
        <v>0</v>
      </c>
      <c r="CW756" s="1682"/>
      <c r="CX756" s="1400"/>
      <c r="CY756" s="1400"/>
      <c r="CZ756" s="1400"/>
      <c r="DA756" s="1400"/>
      <c r="DB756" s="1682"/>
      <c r="DC756" s="1326"/>
      <c r="DD756" s="1683">
        <v>0</v>
      </c>
      <c r="DE756" s="1400"/>
      <c r="DF756" s="1400"/>
      <c r="DG756" s="1683">
        <v>0</v>
      </c>
      <c r="DH756" s="1683">
        <v>0</v>
      </c>
    </row>
    <row r="757" spans="1:112" ht="33.75">
      <c r="A757" s="1326" t="s">
        <v>1732</v>
      </c>
      <c r="B757" s="1326" t="s">
        <v>1690</v>
      </c>
      <c r="C757" s="1326" t="s">
        <v>2537</v>
      </c>
      <c r="D757" s="1326" t="s">
        <v>2538</v>
      </c>
      <c r="E757" s="1326" t="s">
        <v>269</v>
      </c>
      <c r="F757" s="1326" t="s">
        <v>2539</v>
      </c>
      <c r="G757" s="1326" t="s">
        <v>2540</v>
      </c>
      <c r="H757" s="1326" t="s">
        <v>2541</v>
      </c>
      <c r="I757" s="1326" t="s">
        <v>3941</v>
      </c>
      <c r="J757" s="1326" t="s">
        <v>3942</v>
      </c>
      <c r="K757" s="1326" t="s">
        <v>3943</v>
      </c>
      <c r="L757" s="1326" t="s">
        <v>2137</v>
      </c>
      <c r="M757" s="1400"/>
      <c r="N757" s="1400"/>
      <c r="O757" s="1400"/>
      <c r="P757" s="1400"/>
      <c r="Q757" s="1400"/>
      <c r="R757" s="1400"/>
      <c r="S757" s="1400"/>
      <c r="T757" s="1400"/>
      <c r="U757" s="1400"/>
      <c r="V757" s="1400"/>
      <c r="W757" s="1400"/>
      <c r="X757" s="1400"/>
      <c r="Y757" s="1685">
        <v>43080</v>
      </c>
      <c r="Z757" s="1326" t="s">
        <v>2145</v>
      </c>
      <c r="AA757" s="1683">
        <v>0</v>
      </c>
      <c r="AB757" s="1683">
        <v>0</v>
      </c>
      <c r="AC757" s="1683">
        <v>0</v>
      </c>
      <c r="AD757" s="1685">
        <v>43096</v>
      </c>
      <c r="AE757" s="1326" t="s">
        <v>2063</v>
      </c>
      <c r="AF757" s="1326" t="s">
        <v>2067</v>
      </c>
      <c r="AG757" s="1410"/>
      <c r="AH757" s="1683">
        <v>6243.6</v>
      </c>
      <c r="AI757" s="1683">
        <v>6243.6</v>
      </c>
      <c r="AJ757" s="1683">
        <v>5307.06</v>
      </c>
      <c r="AK757" s="1683">
        <v>5307.06</v>
      </c>
      <c r="AL757" s="1683">
        <v>0</v>
      </c>
      <c r="AM757" s="1685">
        <v>43097</v>
      </c>
      <c r="AN757" s="1683">
        <v>6243.6</v>
      </c>
      <c r="AO757" s="1683">
        <v>6243.6</v>
      </c>
      <c r="AP757" s="1683">
        <v>5307.06</v>
      </c>
      <c r="AQ757" s="1683">
        <v>5307.06</v>
      </c>
      <c r="AR757" s="1683">
        <v>0</v>
      </c>
      <c r="AS757" s="1683">
        <v>936.54</v>
      </c>
      <c r="AT757" s="1683">
        <v>0</v>
      </c>
      <c r="AU757" s="1683">
        <v>936.54</v>
      </c>
      <c r="AV757" s="1683">
        <v>0</v>
      </c>
      <c r="AW757" s="1683">
        <v>0</v>
      </c>
      <c r="AX757" s="1400"/>
      <c r="AY757" s="1400"/>
      <c r="AZ757" s="1400"/>
      <c r="BA757" s="1682"/>
      <c r="BB757" s="1682"/>
      <c r="BC757" s="1400"/>
      <c r="BD757" s="1400"/>
      <c r="BE757" s="1683">
        <v>6243.6</v>
      </c>
      <c r="BF757" s="1683">
        <v>6243.6</v>
      </c>
      <c r="BG757" s="1683">
        <v>5307.06</v>
      </c>
      <c r="BH757" s="1683">
        <v>5307.06</v>
      </c>
      <c r="BI757" s="1683">
        <v>0</v>
      </c>
      <c r="BJ757" s="1683">
        <v>936.54</v>
      </c>
      <c r="BK757" s="1683">
        <v>0</v>
      </c>
      <c r="BL757" s="1683">
        <v>936.54</v>
      </c>
      <c r="BM757" s="1683">
        <v>0</v>
      </c>
      <c r="BN757" s="1683">
        <v>0</v>
      </c>
      <c r="BO757" s="1685">
        <v>43206</v>
      </c>
      <c r="BP757" s="1683">
        <v>6243.6</v>
      </c>
      <c r="BQ757" s="1683">
        <v>6243.6</v>
      </c>
      <c r="BR757" s="1683">
        <v>5307.06</v>
      </c>
      <c r="BS757" s="1683">
        <v>5307.06</v>
      </c>
      <c r="BT757" s="1683">
        <v>0</v>
      </c>
      <c r="BU757" s="1683">
        <v>936.54</v>
      </c>
      <c r="BV757" s="1683">
        <v>0</v>
      </c>
      <c r="BW757" s="1683">
        <v>936.54</v>
      </c>
      <c r="BX757" s="1683">
        <v>0</v>
      </c>
      <c r="BY757" s="1683">
        <v>0</v>
      </c>
      <c r="BZ757" s="1683">
        <v>0</v>
      </c>
      <c r="CA757" s="1400"/>
      <c r="CB757" s="1682"/>
      <c r="CC757" s="1682"/>
      <c r="CD757" s="1400"/>
      <c r="CE757" s="1400"/>
      <c r="CF757" s="1683">
        <v>0</v>
      </c>
      <c r="CG757" s="1683">
        <v>0</v>
      </c>
      <c r="CH757" s="1683">
        <v>0</v>
      </c>
      <c r="CI757" s="1683">
        <v>0</v>
      </c>
      <c r="CJ757" s="1683">
        <v>0</v>
      </c>
      <c r="CK757" s="1683">
        <v>0</v>
      </c>
      <c r="CL757" s="1682"/>
      <c r="CM757" s="1683">
        <v>6243.6</v>
      </c>
      <c r="CN757" s="1683">
        <v>6243.6</v>
      </c>
      <c r="CO757" s="1683">
        <v>5307.06</v>
      </c>
      <c r="CP757" s="1683">
        <v>5307.06</v>
      </c>
      <c r="CQ757" s="1683">
        <v>0</v>
      </c>
      <c r="CR757" s="1683">
        <v>936.54</v>
      </c>
      <c r="CS757" s="1683">
        <v>0</v>
      </c>
      <c r="CT757" s="1683">
        <v>936.54</v>
      </c>
      <c r="CU757" s="1683">
        <v>0</v>
      </c>
      <c r="CV757" s="1683">
        <v>0</v>
      </c>
      <c r="CW757" s="1682"/>
      <c r="CX757" s="1400"/>
      <c r="CY757" s="1400"/>
      <c r="CZ757" s="1400"/>
      <c r="DA757" s="1400"/>
      <c r="DB757" s="1682"/>
      <c r="DC757" s="1326"/>
      <c r="DD757" s="1683">
        <v>0</v>
      </c>
      <c r="DE757" s="1400"/>
      <c r="DF757" s="1400"/>
      <c r="DG757" s="1683">
        <v>0</v>
      </c>
      <c r="DH757" s="1683">
        <v>0</v>
      </c>
    </row>
    <row r="758" spans="1:112" ht="33.75">
      <c r="A758" s="1326" t="s">
        <v>1733</v>
      </c>
      <c r="B758" s="1326" t="s">
        <v>1690</v>
      </c>
      <c r="C758" s="1326" t="s">
        <v>2537</v>
      </c>
      <c r="D758" s="1326" t="s">
        <v>2538</v>
      </c>
      <c r="E758" s="1326" t="s">
        <v>269</v>
      </c>
      <c r="F758" s="1326" t="s">
        <v>2539</v>
      </c>
      <c r="G758" s="1326" t="s">
        <v>2540</v>
      </c>
      <c r="H758" s="1326" t="s">
        <v>2541</v>
      </c>
      <c r="I758" s="1326" t="s">
        <v>3944</v>
      </c>
      <c r="J758" s="1326" t="s">
        <v>3945</v>
      </c>
      <c r="K758" s="1326" t="s">
        <v>3946</v>
      </c>
      <c r="L758" s="1326" t="s">
        <v>2137</v>
      </c>
      <c r="M758" s="1683">
        <v>109747</v>
      </c>
      <c r="N758" s="1683">
        <v>0</v>
      </c>
      <c r="O758" s="1683">
        <v>109747</v>
      </c>
      <c r="P758" s="1683">
        <v>109747</v>
      </c>
      <c r="Q758" s="1683">
        <v>93284.95</v>
      </c>
      <c r="R758" s="1683">
        <v>93284.95</v>
      </c>
      <c r="S758" s="1683">
        <v>0</v>
      </c>
      <c r="T758" s="1683">
        <v>16462.05</v>
      </c>
      <c r="U758" s="1683">
        <v>0</v>
      </c>
      <c r="V758" s="1683">
        <v>16462.05</v>
      </c>
      <c r="W758" s="1683">
        <v>0</v>
      </c>
      <c r="X758" s="1683">
        <v>0</v>
      </c>
      <c r="Y758" s="1682"/>
      <c r="Z758" s="1326"/>
      <c r="AA758" s="1683">
        <v>0</v>
      </c>
      <c r="AB758" s="1683">
        <v>0</v>
      </c>
      <c r="AC758" s="1683">
        <v>0</v>
      </c>
      <c r="AD758" s="1682"/>
      <c r="AE758" s="1326"/>
      <c r="AF758" s="1326"/>
      <c r="AG758" s="1410"/>
      <c r="AH758" s="1683">
        <v>109747</v>
      </c>
      <c r="AI758" s="1683">
        <v>109747</v>
      </c>
      <c r="AJ758" s="1683">
        <v>93284.95</v>
      </c>
      <c r="AK758" s="1683">
        <v>93284.95</v>
      </c>
      <c r="AL758" s="1683">
        <v>0</v>
      </c>
      <c r="AM758" s="1682"/>
      <c r="AN758" s="1683">
        <v>109747</v>
      </c>
      <c r="AO758" s="1683">
        <v>109747</v>
      </c>
      <c r="AP758" s="1683">
        <v>93284.95</v>
      </c>
      <c r="AQ758" s="1683">
        <v>93284.95</v>
      </c>
      <c r="AR758" s="1683">
        <v>0</v>
      </c>
      <c r="AS758" s="1683">
        <v>16462.05</v>
      </c>
      <c r="AT758" s="1683">
        <v>0</v>
      </c>
      <c r="AU758" s="1683">
        <v>16462.05</v>
      </c>
      <c r="AV758" s="1683">
        <v>0</v>
      </c>
      <c r="AW758" s="1683">
        <v>0</v>
      </c>
      <c r="AX758" s="1683">
        <v>0</v>
      </c>
      <c r="AY758" s="1683">
        <v>0</v>
      </c>
      <c r="AZ758" s="1683">
        <v>0</v>
      </c>
      <c r="BA758" s="1682"/>
      <c r="BB758" s="1682"/>
      <c r="BC758" s="1683">
        <v>0</v>
      </c>
      <c r="BD758" s="1683">
        <v>0</v>
      </c>
      <c r="BE758" s="1683">
        <v>109747</v>
      </c>
      <c r="BF758" s="1683">
        <v>109747</v>
      </c>
      <c r="BG758" s="1683">
        <v>93284.95</v>
      </c>
      <c r="BH758" s="1683">
        <v>93284.95</v>
      </c>
      <c r="BI758" s="1683">
        <v>0</v>
      </c>
      <c r="BJ758" s="1683">
        <v>16462.05</v>
      </c>
      <c r="BK758" s="1683">
        <v>0</v>
      </c>
      <c r="BL758" s="1683">
        <v>16462.05</v>
      </c>
      <c r="BM758" s="1683">
        <v>0</v>
      </c>
      <c r="BN758" s="1683">
        <v>0</v>
      </c>
      <c r="BO758" s="1682"/>
      <c r="BP758" s="1683">
        <v>109747</v>
      </c>
      <c r="BQ758" s="1683">
        <v>109747</v>
      </c>
      <c r="BR758" s="1683">
        <v>93284.95</v>
      </c>
      <c r="BS758" s="1683">
        <v>93284.95</v>
      </c>
      <c r="BT758" s="1683">
        <v>0</v>
      </c>
      <c r="BU758" s="1683">
        <v>16462.05</v>
      </c>
      <c r="BV758" s="1683">
        <v>0</v>
      </c>
      <c r="BW758" s="1683">
        <v>0</v>
      </c>
      <c r="BX758" s="1683">
        <v>0</v>
      </c>
      <c r="BY758" s="1683">
        <v>0</v>
      </c>
      <c r="BZ758" s="1683">
        <v>0</v>
      </c>
      <c r="CA758" s="1683">
        <v>0</v>
      </c>
      <c r="CB758" s="1682"/>
      <c r="CC758" s="1682"/>
      <c r="CD758" s="1683">
        <v>0</v>
      </c>
      <c r="CE758" s="1683">
        <v>0</v>
      </c>
      <c r="CF758" s="1683">
        <v>0</v>
      </c>
      <c r="CG758" s="1683">
        <v>0</v>
      </c>
      <c r="CH758" s="1683">
        <v>0</v>
      </c>
      <c r="CI758" s="1683">
        <v>0</v>
      </c>
      <c r="CJ758" s="1683">
        <v>0</v>
      </c>
      <c r="CK758" s="1683">
        <v>0</v>
      </c>
      <c r="CL758" s="1682"/>
      <c r="CM758" s="1683">
        <v>0</v>
      </c>
      <c r="CN758" s="1683">
        <v>0</v>
      </c>
      <c r="CO758" s="1683">
        <v>0</v>
      </c>
      <c r="CP758" s="1683">
        <v>0</v>
      </c>
      <c r="CQ758" s="1683">
        <v>0</v>
      </c>
      <c r="CR758" s="1683">
        <v>0</v>
      </c>
      <c r="CS758" s="1683">
        <v>0</v>
      </c>
      <c r="CT758" s="1683">
        <v>0</v>
      </c>
      <c r="CU758" s="1683">
        <v>0</v>
      </c>
      <c r="CV758" s="1683">
        <v>0</v>
      </c>
      <c r="CW758" s="1682"/>
      <c r="CX758" s="1683">
        <v>0</v>
      </c>
      <c r="CY758" s="1683">
        <v>0</v>
      </c>
      <c r="CZ758" s="1683">
        <v>0</v>
      </c>
      <c r="DA758" s="1683">
        <v>0</v>
      </c>
      <c r="DB758" s="1682"/>
      <c r="DC758" s="1326"/>
      <c r="DD758" s="1683">
        <v>0</v>
      </c>
      <c r="DE758" s="1683">
        <v>0</v>
      </c>
      <c r="DF758" s="1683">
        <v>0</v>
      </c>
      <c r="DG758" s="1683">
        <v>0</v>
      </c>
      <c r="DH758" s="1683">
        <v>0</v>
      </c>
    </row>
    <row r="759" spans="1:112" ht="33.75">
      <c r="A759" s="1326" t="s">
        <v>1734</v>
      </c>
      <c r="B759" s="1326" t="s">
        <v>1690</v>
      </c>
      <c r="C759" s="1326" t="s">
        <v>2537</v>
      </c>
      <c r="D759" s="1326" t="s">
        <v>2538</v>
      </c>
      <c r="E759" s="1326" t="s">
        <v>269</v>
      </c>
      <c r="F759" s="1326" t="s">
        <v>2539</v>
      </c>
      <c r="G759" s="1326" t="s">
        <v>2540</v>
      </c>
      <c r="H759" s="1326" t="s">
        <v>2541</v>
      </c>
      <c r="I759" s="1326" t="s">
        <v>3944</v>
      </c>
      <c r="J759" s="1326" t="s">
        <v>3945</v>
      </c>
      <c r="K759" s="1326" t="s">
        <v>3946</v>
      </c>
      <c r="L759" s="1326" t="s">
        <v>2137</v>
      </c>
      <c r="M759" s="1400"/>
      <c r="N759" s="1400"/>
      <c r="O759" s="1400"/>
      <c r="P759" s="1400"/>
      <c r="Q759" s="1400"/>
      <c r="R759" s="1400"/>
      <c r="S759" s="1400"/>
      <c r="T759" s="1400"/>
      <c r="U759" s="1400"/>
      <c r="V759" s="1400"/>
      <c r="W759" s="1400"/>
      <c r="X759" s="1400"/>
      <c r="Y759" s="1685">
        <v>43336</v>
      </c>
      <c r="Z759" s="1326" t="s">
        <v>2145</v>
      </c>
      <c r="AA759" s="1683">
        <v>0</v>
      </c>
      <c r="AB759" s="1683">
        <v>0</v>
      </c>
      <c r="AC759" s="1683">
        <v>0</v>
      </c>
      <c r="AD759" s="1685">
        <v>43396</v>
      </c>
      <c r="AE759" s="1326" t="s">
        <v>2073</v>
      </c>
      <c r="AF759" s="1326" t="s">
        <v>2064</v>
      </c>
      <c r="AG759" s="1410"/>
      <c r="AH759" s="1683">
        <v>109747</v>
      </c>
      <c r="AI759" s="1683">
        <v>109747</v>
      </c>
      <c r="AJ759" s="1683">
        <v>93284.95</v>
      </c>
      <c r="AK759" s="1683">
        <v>93284.95</v>
      </c>
      <c r="AL759" s="1683">
        <v>0</v>
      </c>
      <c r="AM759" s="1685">
        <v>43396</v>
      </c>
      <c r="AN759" s="1683">
        <v>109747</v>
      </c>
      <c r="AO759" s="1683">
        <v>109747</v>
      </c>
      <c r="AP759" s="1683">
        <v>93284.95</v>
      </c>
      <c r="AQ759" s="1683">
        <v>93284.95</v>
      </c>
      <c r="AR759" s="1683">
        <v>0</v>
      </c>
      <c r="AS759" s="1683">
        <v>16462.05</v>
      </c>
      <c r="AT759" s="1683">
        <v>0</v>
      </c>
      <c r="AU759" s="1683">
        <v>16462.05</v>
      </c>
      <c r="AV759" s="1683">
        <v>0</v>
      </c>
      <c r="AW759" s="1683">
        <v>0</v>
      </c>
      <c r="AX759" s="1400"/>
      <c r="AY759" s="1400"/>
      <c r="AZ759" s="1400"/>
      <c r="BA759" s="1682"/>
      <c r="BB759" s="1682"/>
      <c r="BC759" s="1400"/>
      <c r="BD759" s="1400"/>
      <c r="BE759" s="1683">
        <v>109747</v>
      </c>
      <c r="BF759" s="1683">
        <v>109747</v>
      </c>
      <c r="BG759" s="1683">
        <v>93284.95</v>
      </c>
      <c r="BH759" s="1683">
        <v>93284.95</v>
      </c>
      <c r="BI759" s="1683">
        <v>0</v>
      </c>
      <c r="BJ759" s="1683">
        <v>16462.05</v>
      </c>
      <c r="BK759" s="1683">
        <v>0</v>
      </c>
      <c r="BL759" s="1683">
        <v>16462.05</v>
      </c>
      <c r="BM759" s="1683">
        <v>0</v>
      </c>
      <c r="BN759" s="1683">
        <v>0</v>
      </c>
      <c r="BO759" s="1685">
        <v>43453</v>
      </c>
      <c r="BP759" s="1683">
        <v>109747</v>
      </c>
      <c r="BQ759" s="1683">
        <v>109747</v>
      </c>
      <c r="BR759" s="1683">
        <v>93284.95</v>
      </c>
      <c r="BS759" s="1683">
        <v>93284.95</v>
      </c>
      <c r="BT759" s="1683">
        <v>0</v>
      </c>
      <c r="BU759" s="1683">
        <v>16462.05</v>
      </c>
      <c r="BV759" s="1683">
        <v>0</v>
      </c>
      <c r="BW759" s="1683">
        <v>0</v>
      </c>
      <c r="BX759" s="1683">
        <v>0</v>
      </c>
      <c r="BY759" s="1683">
        <v>0</v>
      </c>
      <c r="BZ759" s="1683">
        <v>0</v>
      </c>
      <c r="CA759" s="1400"/>
      <c r="CB759" s="1682"/>
      <c r="CC759" s="1682"/>
      <c r="CD759" s="1400"/>
      <c r="CE759" s="1400"/>
      <c r="CF759" s="1683">
        <v>0</v>
      </c>
      <c r="CG759" s="1683">
        <v>0</v>
      </c>
      <c r="CH759" s="1683">
        <v>0</v>
      </c>
      <c r="CI759" s="1683">
        <v>0</v>
      </c>
      <c r="CJ759" s="1683">
        <v>0</v>
      </c>
      <c r="CK759" s="1683">
        <v>0</v>
      </c>
      <c r="CL759" s="1682"/>
      <c r="CM759" s="1683">
        <v>0</v>
      </c>
      <c r="CN759" s="1683">
        <v>0</v>
      </c>
      <c r="CO759" s="1683">
        <v>0</v>
      </c>
      <c r="CP759" s="1683">
        <v>0</v>
      </c>
      <c r="CQ759" s="1683">
        <v>0</v>
      </c>
      <c r="CR759" s="1683">
        <v>0</v>
      </c>
      <c r="CS759" s="1683">
        <v>0</v>
      </c>
      <c r="CT759" s="1683">
        <v>0</v>
      </c>
      <c r="CU759" s="1683">
        <v>0</v>
      </c>
      <c r="CV759" s="1683">
        <v>0</v>
      </c>
      <c r="CW759" s="1682"/>
      <c r="CX759" s="1400"/>
      <c r="CY759" s="1400"/>
      <c r="CZ759" s="1400"/>
      <c r="DA759" s="1400"/>
      <c r="DB759" s="1682"/>
      <c r="DC759" s="1326"/>
      <c r="DD759" s="1683">
        <v>0</v>
      </c>
      <c r="DE759" s="1400"/>
      <c r="DF759" s="1400"/>
      <c r="DG759" s="1683">
        <v>0</v>
      </c>
      <c r="DH759" s="1683">
        <v>0</v>
      </c>
    </row>
    <row r="760" spans="1:112" ht="33.75">
      <c r="A760" s="1326" t="s">
        <v>1735</v>
      </c>
      <c r="B760" s="1326" t="s">
        <v>1690</v>
      </c>
      <c r="C760" s="1326" t="s">
        <v>2537</v>
      </c>
      <c r="D760" s="1326" t="s">
        <v>2538</v>
      </c>
      <c r="E760" s="1326" t="s">
        <v>269</v>
      </c>
      <c r="F760" s="1326" t="s">
        <v>2539</v>
      </c>
      <c r="G760" s="1326" t="s">
        <v>2540</v>
      </c>
      <c r="H760" s="1326" t="s">
        <v>2541</v>
      </c>
      <c r="I760" s="1326" t="s">
        <v>3947</v>
      </c>
      <c r="J760" s="1326" t="s">
        <v>3948</v>
      </c>
      <c r="K760" s="1326" t="s">
        <v>3949</v>
      </c>
      <c r="L760" s="1326" t="s">
        <v>2137</v>
      </c>
      <c r="M760" s="1683">
        <v>84400</v>
      </c>
      <c r="N760" s="1683">
        <v>0</v>
      </c>
      <c r="O760" s="1683">
        <v>84400</v>
      </c>
      <c r="P760" s="1683">
        <v>84400</v>
      </c>
      <c r="Q760" s="1683">
        <v>71740</v>
      </c>
      <c r="R760" s="1683">
        <v>71740</v>
      </c>
      <c r="S760" s="1683">
        <v>0</v>
      </c>
      <c r="T760" s="1683">
        <v>12660</v>
      </c>
      <c r="U760" s="1683">
        <v>0</v>
      </c>
      <c r="V760" s="1683">
        <v>12660</v>
      </c>
      <c r="W760" s="1683">
        <v>0</v>
      </c>
      <c r="X760" s="1683">
        <v>0</v>
      </c>
      <c r="Y760" s="1682"/>
      <c r="Z760" s="1326"/>
      <c r="AA760" s="1683">
        <v>0</v>
      </c>
      <c r="AB760" s="1683">
        <v>0</v>
      </c>
      <c r="AC760" s="1683">
        <v>0</v>
      </c>
      <c r="AD760" s="1682"/>
      <c r="AE760" s="1326"/>
      <c r="AF760" s="1326"/>
      <c r="AG760" s="1410"/>
      <c r="AH760" s="1683">
        <v>84400</v>
      </c>
      <c r="AI760" s="1683">
        <v>84400</v>
      </c>
      <c r="AJ760" s="1683">
        <v>71740</v>
      </c>
      <c r="AK760" s="1683">
        <v>71740</v>
      </c>
      <c r="AL760" s="1683">
        <v>0</v>
      </c>
      <c r="AM760" s="1682"/>
      <c r="AN760" s="1683">
        <v>84400</v>
      </c>
      <c r="AO760" s="1683">
        <v>84400</v>
      </c>
      <c r="AP760" s="1683">
        <v>71740</v>
      </c>
      <c r="AQ760" s="1683">
        <v>71740</v>
      </c>
      <c r="AR760" s="1683">
        <v>0</v>
      </c>
      <c r="AS760" s="1683">
        <v>12660</v>
      </c>
      <c r="AT760" s="1683">
        <v>0</v>
      </c>
      <c r="AU760" s="1683">
        <v>12660</v>
      </c>
      <c r="AV760" s="1683">
        <v>0</v>
      </c>
      <c r="AW760" s="1683">
        <v>0</v>
      </c>
      <c r="AX760" s="1683">
        <v>0</v>
      </c>
      <c r="AY760" s="1683">
        <v>0</v>
      </c>
      <c r="AZ760" s="1683">
        <v>0</v>
      </c>
      <c r="BA760" s="1682"/>
      <c r="BB760" s="1682"/>
      <c r="BC760" s="1683">
        <v>0</v>
      </c>
      <c r="BD760" s="1683">
        <v>0</v>
      </c>
      <c r="BE760" s="1683">
        <v>84400</v>
      </c>
      <c r="BF760" s="1683">
        <v>84400</v>
      </c>
      <c r="BG760" s="1683">
        <v>71740</v>
      </c>
      <c r="BH760" s="1683">
        <v>71740</v>
      </c>
      <c r="BI760" s="1683">
        <v>0</v>
      </c>
      <c r="BJ760" s="1683">
        <v>12660</v>
      </c>
      <c r="BK760" s="1683">
        <v>0</v>
      </c>
      <c r="BL760" s="1683">
        <v>12660</v>
      </c>
      <c r="BM760" s="1683">
        <v>0</v>
      </c>
      <c r="BN760" s="1683">
        <v>0</v>
      </c>
      <c r="BO760" s="1682"/>
      <c r="BP760" s="1683">
        <v>84400</v>
      </c>
      <c r="BQ760" s="1683">
        <v>84400</v>
      </c>
      <c r="BR760" s="1683">
        <v>71740</v>
      </c>
      <c r="BS760" s="1683">
        <v>71740</v>
      </c>
      <c r="BT760" s="1683">
        <v>0</v>
      </c>
      <c r="BU760" s="1683">
        <v>12660</v>
      </c>
      <c r="BV760" s="1683">
        <v>0</v>
      </c>
      <c r="BW760" s="1683">
        <v>8862</v>
      </c>
      <c r="BX760" s="1683">
        <v>0</v>
      </c>
      <c r="BY760" s="1683">
        <v>0</v>
      </c>
      <c r="BZ760" s="1683">
        <v>0</v>
      </c>
      <c r="CA760" s="1683">
        <v>0</v>
      </c>
      <c r="CB760" s="1682"/>
      <c r="CC760" s="1682"/>
      <c r="CD760" s="1683">
        <v>0</v>
      </c>
      <c r="CE760" s="1683">
        <v>0</v>
      </c>
      <c r="CF760" s="1683">
        <v>0</v>
      </c>
      <c r="CG760" s="1683">
        <v>0</v>
      </c>
      <c r="CH760" s="1683">
        <v>0</v>
      </c>
      <c r="CI760" s="1683">
        <v>0</v>
      </c>
      <c r="CJ760" s="1683">
        <v>0</v>
      </c>
      <c r="CK760" s="1683">
        <v>0</v>
      </c>
      <c r="CL760" s="1682"/>
      <c r="CM760" s="1683">
        <v>59080</v>
      </c>
      <c r="CN760" s="1683">
        <v>59080</v>
      </c>
      <c r="CO760" s="1683">
        <v>50218</v>
      </c>
      <c r="CP760" s="1683">
        <v>50218</v>
      </c>
      <c r="CQ760" s="1683">
        <v>0</v>
      </c>
      <c r="CR760" s="1683">
        <v>8862</v>
      </c>
      <c r="CS760" s="1683">
        <v>0</v>
      </c>
      <c r="CT760" s="1683">
        <v>8862</v>
      </c>
      <c r="CU760" s="1683">
        <v>0</v>
      </c>
      <c r="CV760" s="1683">
        <v>0</v>
      </c>
      <c r="CW760" s="1682"/>
      <c r="CX760" s="1683">
        <v>0</v>
      </c>
      <c r="CY760" s="1683">
        <v>0</v>
      </c>
      <c r="CZ760" s="1683">
        <v>59080</v>
      </c>
      <c r="DA760" s="1683">
        <v>59080</v>
      </c>
      <c r="DB760" s="1682"/>
      <c r="DC760" s="1326"/>
      <c r="DD760" s="1683">
        <v>0</v>
      </c>
      <c r="DE760" s="1683">
        <v>0</v>
      </c>
      <c r="DF760" s="1683">
        <v>0</v>
      </c>
      <c r="DG760" s="1683">
        <v>0</v>
      </c>
      <c r="DH760" s="1683">
        <v>0</v>
      </c>
    </row>
    <row r="761" spans="1:112" ht="33.75">
      <c r="A761" s="1326" t="s">
        <v>1736</v>
      </c>
      <c r="B761" s="1326" t="s">
        <v>1690</v>
      </c>
      <c r="C761" s="1326" t="s">
        <v>2537</v>
      </c>
      <c r="D761" s="1326" t="s">
        <v>2538</v>
      </c>
      <c r="E761" s="1326" t="s">
        <v>269</v>
      </c>
      <c r="F761" s="1326" t="s">
        <v>2539</v>
      </c>
      <c r="G761" s="1326" t="s">
        <v>2540</v>
      </c>
      <c r="H761" s="1326" t="s">
        <v>2541</v>
      </c>
      <c r="I761" s="1326" t="s">
        <v>3947</v>
      </c>
      <c r="J761" s="1326" t="s">
        <v>3948</v>
      </c>
      <c r="K761" s="1326" t="s">
        <v>3949</v>
      </c>
      <c r="L761" s="1326" t="s">
        <v>2137</v>
      </c>
      <c r="M761" s="1400"/>
      <c r="N761" s="1400"/>
      <c r="O761" s="1400"/>
      <c r="P761" s="1400"/>
      <c r="Q761" s="1400"/>
      <c r="R761" s="1400"/>
      <c r="S761" s="1400"/>
      <c r="T761" s="1400"/>
      <c r="U761" s="1400"/>
      <c r="V761" s="1400"/>
      <c r="W761" s="1400"/>
      <c r="X761" s="1400"/>
      <c r="Y761" s="1685">
        <v>42900</v>
      </c>
      <c r="Z761" s="1326" t="s">
        <v>2062</v>
      </c>
      <c r="AA761" s="1683">
        <v>0</v>
      </c>
      <c r="AB761" s="1683">
        <v>0</v>
      </c>
      <c r="AC761" s="1683">
        <v>0</v>
      </c>
      <c r="AD761" s="1685">
        <v>42929</v>
      </c>
      <c r="AE761" s="1326" t="s">
        <v>2073</v>
      </c>
      <c r="AF761" s="1326" t="s">
        <v>2067</v>
      </c>
      <c r="AG761" s="1410"/>
      <c r="AH761" s="1683">
        <v>16880</v>
      </c>
      <c r="AI761" s="1683">
        <v>16880</v>
      </c>
      <c r="AJ761" s="1683">
        <v>14348</v>
      </c>
      <c r="AK761" s="1683">
        <v>14348</v>
      </c>
      <c r="AL761" s="1683">
        <v>0</v>
      </c>
      <c r="AM761" s="1685">
        <v>42934</v>
      </c>
      <c r="AN761" s="1683">
        <v>16880</v>
      </c>
      <c r="AO761" s="1683">
        <v>16880</v>
      </c>
      <c r="AP761" s="1683">
        <v>14348</v>
      </c>
      <c r="AQ761" s="1683">
        <v>14348</v>
      </c>
      <c r="AR761" s="1683">
        <v>0</v>
      </c>
      <c r="AS761" s="1683">
        <v>2532</v>
      </c>
      <c r="AT761" s="1683">
        <v>0</v>
      </c>
      <c r="AU761" s="1683">
        <v>2532</v>
      </c>
      <c r="AV761" s="1683">
        <v>0</v>
      </c>
      <c r="AW761" s="1683">
        <v>0</v>
      </c>
      <c r="AX761" s="1400"/>
      <c r="AY761" s="1400"/>
      <c r="AZ761" s="1400"/>
      <c r="BA761" s="1682"/>
      <c r="BB761" s="1682"/>
      <c r="BC761" s="1400"/>
      <c r="BD761" s="1400"/>
      <c r="BE761" s="1683">
        <v>16880</v>
      </c>
      <c r="BF761" s="1683">
        <v>16880</v>
      </c>
      <c r="BG761" s="1683">
        <v>14348</v>
      </c>
      <c r="BH761" s="1683">
        <v>14348</v>
      </c>
      <c r="BI761" s="1683">
        <v>0</v>
      </c>
      <c r="BJ761" s="1683">
        <v>2532</v>
      </c>
      <c r="BK761" s="1683">
        <v>0</v>
      </c>
      <c r="BL761" s="1683">
        <v>2532</v>
      </c>
      <c r="BM761" s="1683">
        <v>0</v>
      </c>
      <c r="BN761" s="1683">
        <v>0</v>
      </c>
      <c r="BO761" s="1685">
        <v>42993</v>
      </c>
      <c r="BP761" s="1683">
        <v>16880</v>
      </c>
      <c r="BQ761" s="1683">
        <v>16880</v>
      </c>
      <c r="BR761" s="1683">
        <v>14348</v>
      </c>
      <c r="BS761" s="1683">
        <v>14348</v>
      </c>
      <c r="BT761" s="1683">
        <v>0</v>
      </c>
      <c r="BU761" s="1683">
        <v>2532</v>
      </c>
      <c r="BV761" s="1683">
        <v>0</v>
      </c>
      <c r="BW761" s="1683">
        <v>2532</v>
      </c>
      <c r="BX761" s="1683">
        <v>0</v>
      </c>
      <c r="BY761" s="1683">
        <v>0</v>
      </c>
      <c r="BZ761" s="1683">
        <v>0</v>
      </c>
      <c r="CA761" s="1400"/>
      <c r="CB761" s="1682"/>
      <c r="CC761" s="1682"/>
      <c r="CD761" s="1400"/>
      <c r="CE761" s="1400"/>
      <c r="CF761" s="1683">
        <v>0</v>
      </c>
      <c r="CG761" s="1683">
        <v>0</v>
      </c>
      <c r="CH761" s="1683">
        <v>0</v>
      </c>
      <c r="CI761" s="1683">
        <v>0</v>
      </c>
      <c r="CJ761" s="1683">
        <v>0</v>
      </c>
      <c r="CK761" s="1683">
        <v>0</v>
      </c>
      <c r="CL761" s="1682"/>
      <c r="CM761" s="1683">
        <v>16880</v>
      </c>
      <c r="CN761" s="1683">
        <v>16880</v>
      </c>
      <c r="CO761" s="1683">
        <v>14348</v>
      </c>
      <c r="CP761" s="1683">
        <v>14348</v>
      </c>
      <c r="CQ761" s="1683">
        <v>0</v>
      </c>
      <c r="CR761" s="1683">
        <v>2532</v>
      </c>
      <c r="CS761" s="1683">
        <v>0</v>
      </c>
      <c r="CT761" s="1683">
        <v>2532</v>
      </c>
      <c r="CU761" s="1683">
        <v>0</v>
      </c>
      <c r="CV761" s="1683">
        <v>0</v>
      </c>
      <c r="CW761" s="1682"/>
      <c r="CX761" s="1400"/>
      <c r="CY761" s="1400"/>
      <c r="CZ761" s="1400"/>
      <c r="DA761" s="1400"/>
      <c r="DB761" s="1682"/>
      <c r="DC761" s="1326"/>
      <c r="DD761" s="1683">
        <v>0</v>
      </c>
      <c r="DE761" s="1400"/>
      <c r="DF761" s="1400"/>
      <c r="DG761" s="1683">
        <v>0</v>
      </c>
      <c r="DH761" s="1683">
        <v>0</v>
      </c>
    </row>
    <row r="762" spans="1:112" ht="33.75">
      <c r="A762" s="1326" t="s">
        <v>1737</v>
      </c>
      <c r="B762" s="1326" t="s">
        <v>1690</v>
      </c>
      <c r="C762" s="1326" t="s">
        <v>2537</v>
      </c>
      <c r="D762" s="1326" t="s">
        <v>2538</v>
      </c>
      <c r="E762" s="1326" t="s">
        <v>269</v>
      </c>
      <c r="F762" s="1326" t="s">
        <v>2539</v>
      </c>
      <c r="G762" s="1326" t="s">
        <v>2540</v>
      </c>
      <c r="H762" s="1326" t="s">
        <v>2541</v>
      </c>
      <c r="I762" s="1326" t="s">
        <v>3947</v>
      </c>
      <c r="J762" s="1326" t="s">
        <v>3948</v>
      </c>
      <c r="K762" s="1326" t="s">
        <v>3949</v>
      </c>
      <c r="L762" s="1326" t="s">
        <v>2137</v>
      </c>
      <c r="M762" s="1400"/>
      <c r="N762" s="1400"/>
      <c r="O762" s="1400"/>
      <c r="P762" s="1400"/>
      <c r="Q762" s="1400"/>
      <c r="R762" s="1400"/>
      <c r="S762" s="1400"/>
      <c r="T762" s="1400"/>
      <c r="U762" s="1400"/>
      <c r="V762" s="1400"/>
      <c r="W762" s="1400"/>
      <c r="X762" s="1400"/>
      <c r="Y762" s="1685">
        <v>42958</v>
      </c>
      <c r="Z762" s="1326" t="s">
        <v>2062</v>
      </c>
      <c r="AA762" s="1683">
        <v>0</v>
      </c>
      <c r="AB762" s="1683">
        <v>0</v>
      </c>
      <c r="AC762" s="1683">
        <v>0</v>
      </c>
      <c r="AD762" s="1685">
        <v>42979</v>
      </c>
      <c r="AE762" s="1326" t="s">
        <v>2063</v>
      </c>
      <c r="AF762" s="1326" t="s">
        <v>2067</v>
      </c>
      <c r="AG762" s="1410"/>
      <c r="AH762" s="1683">
        <v>25320</v>
      </c>
      <c r="AI762" s="1683">
        <v>25320</v>
      </c>
      <c r="AJ762" s="1683">
        <v>21522</v>
      </c>
      <c r="AK762" s="1683">
        <v>21522</v>
      </c>
      <c r="AL762" s="1683">
        <v>0</v>
      </c>
      <c r="AM762" s="1685">
        <v>42990</v>
      </c>
      <c r="AN762" s="1683">
        <v>25320</v>
      </c>
      <c r="AO762" s="1683">
        <v>25320</v>
      </c>
      <c r="AP762" s="1683">
        <v>21522</v>
      </c>
      <c r="AQ762" s="1683">
        <v>21522</v>
      </c>
      <c r="AR762" s="1683">
        <v>0</v>
      </c>
      <c r="AS762" s="1683">
        <v>3798</v>
      </c>
      <c r="AT762" s="1683">
        <v>0</v>
      </c>
      <c r="AU762" s="1683">
        <v>3798</v>
      </c>
      <c r="AV762" s="1683">
        <v>0</v>
      </c>
      <c r="AW762" s="1683">
        <v>0</v>
      </c>
      <c r="AX762" s="1400"/>
      <c r="AY762" s="1400"/>
      <c r="AZ762" s="1400"/>
      <c r="BA762" s="1682"/>
      <c r="BB762" s="1682"/>
      <c r="BC762" s="1400"/>
      <c r="BD762" s="1400"/>
      <c r="BE762" s="1683">
        <v>25320</v>
      </c>
      <c r="BF762" s="1683">
        <v>25320</v>
      </c>
      <c r="BG762" s="1683">
        <v>21522</v>
      </c>
      <c r="BH762" s="1683">
        <v>21522</v>
      </c>
      <c r="BI762" s="1683">
        <v>0</v>
      </c>
      <c r="BJ762" s="1683">
        <v>3798</v>
      </c>
      <c r="BK762" s="1683">
        <v>0</v>
      </c>
      <c r="BL762" s="1683">
        <v>3798</v>
      </c>
      <c r="BM762" s="1683">
        <v>0</v>
      </c>
      <c r="BN762" s="1683">
        <v>0</v>
      </c>
      <c r="BO762" s="1685">
        <v>43039</v>
      </c>
      <c r="BP762" s="1683">
        <v>25320</v>
      </c>
      <c r="BQ762" s="1683">
        <v>25320</v>
      </c>
      <c r="BR762" s="1683">
        <v>21522</v>
      </c>
      <c r="BS762" s="1683">
        <v>21522</v>
      </c>
      <c r="BT762" s="1683">
        <v>0</v>
      </c>
      <c r="BU762" s="1683">
        <v>3798</v>
      </c>
      <c r="BV762" s="1683">
        <v>0</v>
      </c>
      <c r="BW762" s="1683">
        <v>3798</v>
      </c>
      <c r="BX762" s="1683">
        <v>0</v>
      </c>
      <c r="BY762" s="1683">
        <v>0</v>
      </c>
      <c r="BZ762" s="1683">
        <v>0</v>
      </c>
      <c r="CA762" s="1400"/>
      <c r="CB762" s="1682"/>
      <c r="CC762" s="1682"/>
      <c r="CD762" s="1400"/>
      <c r="CE762" s="1400"/>
      <c r="CF762" s="1683">
        <v>0</v>
      </c>
      <c r="CG762" s="1683">
        <v>0</v>
      </c>
      <c r="CH762" s="1683">
        <v>0</v>
      </c>
      <c r="CI762" s="1683">
        <v>0</v>
      </c>
      <c r="CJ762" s="1683">
        <v>0</v>
      </c>
      <c r="CK762" s="1683">
        <v>0</v>
      </c>
      <c r="CL762" s="1682"/>
      <c r="CM762" s="1683">
        <v>25320</v>
      </c>
      <c r="CN762" s="1683">
        <v>25320</v>
      </c>
      <c r="CO762" s="1683">
        <v>21522</v>
      </c>
      <c r="CP762" s="1683">
        <v>21522</v>
      </c>
      <c r="CQ762" s="1683">
        <v>0</v>
      </c>
      <c r="CR762" s="1683">
        <v>3798</v>
      </c>
      <c r="CS762" s="1683">
        <v>0</v>
      </c>
      <c r="CT762" s="1683">
        <v>3798</v>
      </c>
      <c r="CU762" s="1683">
        <v>0</v>
      </c>
      <c r="CV762" s="1683">
        <v>0</v>
      </c>
      <c r="CW762" s="1682"/>
      <c r="CX762" s="1400"/>
      <c r="CY762" s="1400"/>
      <c r="CZ762" s="1400"/>
      <c r="DA762" s="1400"/>
      <c r="DB762" s="1682"/>
      <c r="DC762" s="1326"/>
      <c r="DD762" s="1683">
        <v>0</v>
      </c>
      <c r="DE762" s="1400"/>
      <c r="DF762" s="1400"/>
      <c r="DG762" s="1683">
        <v>0</v>
      </c>
      <c r="DH762" s="1683">
        <v>0</v>
      </c>
    </row>
    <row r="763" spans="1:112" ht="33.75">
      <c r="A763" s="1326" t="s">
        <v>1738</v>
      </c>
      <c r="B763" s="1326" t="s">
        <v>1690</v>
      </c>
      <c r="C763" s="1326" t="s">
        <v>2537</v>
      </c>
      <c r="D763" s="1326" t="s">
        <v>2538</v>
      </c>
      <c r="E763" s="1326" t="s">
        <v>269</v>
      </c>
      <c r="F763" s="1326" t="s">
        <v>2539</v>
      </c>
      <c r="G763" s="1326" t="s">
        <v>2540</v>
      </c>
      <c r="H763" s="1326" t="s">
        <v>2541</v>
      </c>
      <c r="I763" s="1326" t="s">
        <v>3947</v>
      </c>
      <c r="J763" s="1326" t="s">
        <v>3948</v>
      </c>
      <c r="K763" s="1326" t="s">
        <v>3949</v>
      </c>
      <c r="L763" s="1326" t="s">
        <v>2137</v>
      </c>
      <c r="M763" s="1400"/>
      <c r="N763" s="1400"/>
      <c r="O763" s="1400"/>
      <c r="P763" s="1400"/>
      <c r="Q763" s="1400"/>
      <c r="R763" s="1400"/>
      <c r="S763" s="1400"/>
      <c r="T763" s="1400"/>
      <c r="U763" s="1400"/>
      <c r="V763" s="1400"/>
      <c r="W763" s="1400"/>
      <c r="X763" s="1400"/>
      <c r="Y763" s="1685">
        <v>43056</v>
      </c>
      <c r="Z763" s="1326" t="s">
        <v>2062</v>
      </c>
      <c r="AA763" s="1683">
        <v>0</v>
      </c>
      <c r="AB763" s="1683">
        <v>0</v>
      </c>
      <c r="AC763" s="1683">
        <v>0</v>
      </c>
      <c r="AD763" s="1685">
        <v>43080</v>
      </c>
      <c r="AE763" s="1326" t="s">
        <v>2066</v>
      </c>
      <c r="AF763" s="1326" t="s">
        <v>2067</v>
      </c>
      <c r="AG763" s="1410"/>
      <c r="AH763" s="1683">
        <v>16880</v>
      </c>
      <c r="AI763" s="1683">
        <v>16880</v>
      </c>
      <c r="AJ763" s="1683">
        <v>14348</v>
      </c>
      <c r="AK763" s="1683">
        <v>14348</v>
      </c>
      <c r="AL763" s="1683">
        <v>0</v>
      </c>
      <c r="AM763" s="1685">
        <v>43097</v>
      </c>
      <c r="AN763" s="1683">
        <v>16880</v>
      </c>
      <c r="AO763" s="1683">
        <v>16880</v>
      </c>
      <c r="AP763" s="1683">
        <v>14348</v>
      </c>
      <c r="AQ763" s="1683">
        <v>14348</v>
      </c>
      <c r="AR763" s="1683">
        <v>0</v>
      </c>
      <c r="AS763" s="1683">
        <v>2532</v>
      </c>
      <c r="AT763" s="1683">
        <v>0</v>
      </c>
      <c r="AU763" s="1683">
        <v>2532</v>
      </c>
      <c r="AV763" s="1683">
        <v>0</v>
      </c>
      <c r="AW763" s="1683">
        <v>0</v>
      </c>
      <c r="AX763" s="1400"/>
      <c r="AY763" s="1400"/>
      <c r="AZ763" s="1400"/>
      <c r="BA763" s="1682"/>
      <c r="BB763" s="1682"/>
      <c r="BC763" s="1400"/>
      <c r="BD763" s="1400"/>
      <c r="BE763" s="1683">
        <v>16880</v>
      </c>
      <c r="BF763" s="1683">
        <v>16880</v>
      </c>
      <c r="BG763" s="1683">
        <v>14348</v>
      </c>
      <c r="BH763" s="1683">
        <v>14348</v>
      </c>
      <c r="BI763" s="1683">
        <v>0</v>
      </c>
      <c r="BJ763" s="1683">
        <v>2532</v>
      </c>
      <c r="BK763" s="1683">
        <v>0</v>
      </c>
      <c r="BL763" s="1683">
        <v>2532</v>
      </c>
      <c r="BM763" s="1683">
        <v>0</v>
      </c>
      <c r="BN763" s="1683">
        <v>0</v>
      </c>
      <c r="BO763" s="1685">
        <v>43206</v>
      </c>
      <c r="BP763" s="1683">
        <v>16880</v>
      </c>
      <c r="BQ763" s="1683">
        <v>16880</v>
      </c>
      <c r="BR763" s="1683">
        <v>14348</v>
      </c>
      <c r="BS763" s="1683">
        <v>14348</v>
      </c>
      <c r="BT763" s="1683">
        <v>0</v>
      </c>
      <c r="BU763" s="1683">
        <v>2532</v>
      </c>
      <c r="BV763" s="1683">
        <v>0</v>
      </c>
      <c r="BW763" s="1683">
        <v>2532</v>
      </c>
      <c r="BX763" s="1683">
        <v>0</v>
      </c>
      <c r="BY763" s="1683">
        <v>0</v>
      </c>
      <c r="BZ763" s="1683">
        <v>0</v>
      </c>
      <c r="CA763" s="1400"/>
      <c r="CB763" s="1682"/>
      <c r="CC763" s="1682"/>
      <c r="CD763" s="1400"/>
      <c r="CE763" s="1400"/>
      <c r="CF763" s="1683">
        <v>0</v>
      </c>
      <c r="CG763" s="1683">
        <v>0</v>
      </c>
      <c r="CH763" s="1683">
        <v>0</v>
      </c>
      <c r="CI763" s="1683">
        <v>0</v>
      </c>
      <c r="CJ763" s="1683">
        <v>0</v>
      </c>
      <c r="CK763" s="1683">
        <v>0</v>
      </c>
      <c r="CL763" s="1682"/>
      <c r="CM763" s="1683">
        <v>16880</v>
      </c>
      <c r="CN763" s="1683">
        <v>16880</v>
      </c>
      <c r="CO763" s="1683">
        <v>14348</v>
      </c>
      <c r="CP763" s="1683">
        <v>14348</v>
      </c>
      <c r="CQ763" s="1683">
        <v>0</v>
      </c>
      <c r="CR763" s="1683">
        <v>2532</v>
      </c>
      <c r="CS763" s="1683">
        <v>0</v>
      </c>
      <c r="CT763" s="1683">
        <v>2532</v>
      </c>
      <c r="CU763" s="1683">
        <v>0</v>
      </c>
      <c r="CV763" s="1683">
        <v>0</v>
      </c>
      <c r="CW763" s="1682"/>
      <c r="CX763" s="1400"/>
      <c r="CY763" s="1400"/>
      <c r="CZ763" s="1400"/>
      <c r="DA763" s="1400"/>
      <c r="DB763" s="1682"/>
      <c r="DC763" s="1326"/>
      <c r="DD763" s="1683">
        <v>0</v>
      </c>
      <c r="DE763" s="1400"/>
      <c r="DF763" s="1400"/>
      <c r="DG763" s="1683">
        <v>0</v>
      </c>
      <c r="DH763" s="1683">
        <v>0</v>
      </c>
    </row>
    <row r="764" spans="1:112" ht="33.75">
      <c r="A764" s="1326" t="s">
        <v>1739</v>
      </c>
      <c r="B764" s="1326" t="s">
        <v>1690</v>
      </c>
      <c r="C764" s="1326" t="s">
        <v>2537</v>
      </c>
      <c r="D764" s="1326" t="s">
        <v>2538</v>
      </c>
      <c r="E764" s="1326" t="s">
        <v>269</v>
      </c>
      <c r="F764" s="1326" t="s">
        <v>2539</v>
      </c>
      <c r="G764" s="1326" t="s">
        <v>2540</v>
      </c>
      <c r="H764" s="1326" t="s">
        <v>2541</v>
      </c>
      <c r="I764" s="1326" t="s">
        <v>3947</v>
      </c>
      <c r="J764" s="1326" t="s">
        <v>3948</v>
      </c>
      <c r="K764" s="1326" t="s">
        <v>3949</v>
      </c>
      <c r="L764" s="1326" t="s">
        <v>2137</v>
      </c>
      <c r="M764" s="1400"/>
      <c r="N764" s="1400"/>
      <c r="O764" s="1400"/>
      <c r="P764" s="1400"/>
      <c r="Q764" s="1400"/>
      <c r="R764" s="1400"/>
      <c r="S764" s="1400"/>
      <c r="T764" s="1400"/>
      <c r="U764" s="1400"/>
      <c r="V764" s="1400"/>
      <c r="W764" s="1400"/>
      <c r="X764" s="1400"/>
      <c r="Y764" s="1685">
        <v>43364</v>
      </c>
      <c r="Z764" s="1326" t="s">
        <v>2145</v>
      </c>
      <c r="AA764" s="1683">
        <v>0</v>
      </c>
      <c r="AB764" s="1683">
        <v>0</v>
      </c>
      <c r="AC764" s="1683">
        <v>0</v>
      </c>
      <c r="AD764" s="1685">
        <v>43409</v>
      </c>
      <c r="AE764" s="1326" t="s">
        <v>2079</v>
      </c>
      <c r="AF764" s="1326" t="s">
        <v>2067</v>
      </c>
      <c r="AG764" s="1410"/>
      <c r="AH764" s="1683">
        <v>25320</v>
      </c>
      <c r="AI764" s="1683">
        <v>25320</v>
      </c>
      <c r="AJ764" s="1683">
        <v>21522</v>
      </c>
      <c r="AK764" s="1683">
        <v>21522</v>
      </c>
      <c r="AL764" s="1683">
        <v>0</v>
      </c>
      <c r="AM764" s="1685">
        <v>43411</v>
      </c>
      <c r="AN764" s="1683">
        <v>25320</v>
      </c>
      <c r="AO764" s="1683">
        <v>25320</v>
      </c>
      <c r="AP764" s="1683">
        <v>21522</v>
      </c>
      <c r="AQ764" s="1683">
        <v>21522</v>
      </c>
      <c r="AR764" s="1683">
        <v>0</v>
      </c>
      <c r="AS764" s="1683">
        <v>3798</v>
      </c>
      <c r="AT764" s="1683">
        <v>0</v>
      </c>
      <c r="AU764" s="1683">
        <v>3798</v>
      </c>
      <c r="AV764" s="1683">
        <v>0</v>
      </c>
      <c r="AW764" s="1683">
        <v>0</v>
      </c>
      <c r="AX764" s="1400"/>
      <c r="AY764" s="1400"/>
      <c r="AZ764" s="1400"/>
      <c r="BA764" s="1682"/>
      <c r="BB764" s="1682"/>
      <c r="BC764" s="1400"/>
      <c r="BD764" s="1400"/>
      <c r="BE764" s="1683">
        <v>25320</v>
      </c>
      <c r="BF764" s="1683">
        <v>25320</v>
      </c>
      <c r="BG764" s="1683">
        <v>21522</v>
      </c>
      <c r="BH764" s="1683">
        <v>21522</v>
      </c>
      <c r="BI764" s="1683">
        <v>0</v>
      </c>
      <c r="BJ764" s="1683">
        <v>3798</v>
      </c>
      <c r="BK764" s="1683">
        <v>0</v>
      </c>
      <c r="BL764" s="1683">
        <v>3798</v>
      </c>
      <c r="BM764" s="1683">
        <v>0</v>
      </c>
      <c r="BN764" s="1683">
        <v>0</v>
      </c>
      <c r="BO764" s="1685">
        <v>43453</v>
      </c>
      <c r="BP764" s="1683">
        <v>25320</v>
      </c>
      <c r="BQ764" s="1683">
        <v>25320</v>
      </c>
      <c r="BR764" s="1683">
        <v>21522</v>
      </c>
      <c r="BS764" s="1683">
        <v>21522</v>
      </c>
      <c r="BT764" s="1683">
        <v>0</v>
      </c>
      <c r="BU764" s="1683">
        <v>3798</v>
      </c>
      <c r="BV764" s="1683">
        <v>0</v>
      </c>
      <c r="BW764" s="1683">
        <v>0</v>
      </c>
      <c r="BX764" s="1683">
        <v>0</v>
      </c>
      <c r="BY764" s="1683">
        <v>0</v>
      </c>
      <c r="BZ764" s="1683">
        <v>0</v>
      </c>
      <c r="CA764" s="1400"/>
      <c r="CB764" s="1682"/>
      <c r="CC764" s="1682"/>
      <c r="CD764" s="1400"/>
      <c r="CE764" s="1400"/>
      <c r="CF764" s="1683">
        <v>0</v>
      </c>
      <c r="CG764" s="1683">
        <v>0</v>
      </c>
      <c r="CH764" s="1683">
        <v>0</v>
      </c>
      <c r="CI764" s="1683">
        <v>0</v>
      </c>
      <c r="CJ764" s="1683">
        <v>0</v>
      </c>
      <c r="CK764" s="1683">
        <v>0</v>
      </c>
      <c r="CL764" s="1682"/>
      <c r="CM764" s="1683">
        <v>0</v>
      </c>
      <c r="CN764" s="1683">
        <v>0</v>
      </c>
      <c r="CO764" s="1683">
        <v>0</v>
      </c>
      <c r="CP764" s="1683">
        <v>0</v>
      </c>
      <c r="CQ764" s="1683">
        <v>0</v>
      </c>
      <c r="CR764" s="1683">
        <v>0</v>
      </c>
      <c r="CS764" s="1683">
        <v>0</v>
      </c>
      <c r="CT764" s="1683">
        <v>0</v>
      </c>
      <c r="CU764" s="1683">
        <v>0</v>
      </c>
      <c r="CV764" s="1683">
        <v>0</v>
      </c>
      <c r="CW764" s="1682"/>
      <c r="CX764" s="1400"/>
      <c r="CY764" s="1400"/>
      <c r="CZ764" s="1400"/>
      <c r="DA764" s="1400"/>
      <c r="DB764" s="1682"/>
      <c r="DC764" s="1326"/>
      <c r="DD764" s="1683">
        <v>0</v>
      </c>
      <c r="DE764" s="1400"/>
      <c r="DF764" s="1400"/>
      <c r="DG764" s="1683">
        <v>0</v>
      </c>
      <c r="DH764" s="1683">
        <v>0</v>
      </c>
    </row>
    <row r="765" spans="1:112" ht="56.25">
      <c r="A765" s="1326" t="s">
        <v>1740</v>
      </c>
      <c r="B765" s="1326" t="s">
        <v>1690</v>
      </c>
      <c r="C765" s="1326" t="s">
        <v>2537</v>
      </c>
      <c r="D765" s="1326" t="s">
        <v>2538</v>
      </c>
      <c r="E765" s="1326" t="s">
        <v>269</v>
      </c>
      <c r="F765" s="1326" t="s">
        <v>2539</v>
      </c>
      <c r="G765" s="1326" t="s">
        <v>2540</v>
      </c>
      <c r="H765" s="1326" t="s">
        <v>2541</v>
      </c>
      <c r="I765" s="1326" t="s">
        <v>3950</v>
      </c>
      <c r="J765" s="1326" t="s">
        <v>3951</v>
      </c>
      <c r="K765" s="1326" t="s">
        <v>3952</v>
      </c>
      <c r="L765" s="1326" t="s">
        <v>2137</v>
      </c>
      <c r="M765" s="1683">
        <v>16940</v>
      </c>
      <c r="N765" s="1683">
        <v>0</v>
      </c>
      <c r="O765" s="1683">
        <v>16940</v>
      </c>
      <c r="P765" s="1683">
        <v>16940</v>
      </c>
      <c r="Q765" s="1683">
        <v>14399</v>
      </c>
      <c r="R765" s="1683">
        <v>14399</v>
      </c>
      <c r="S765" s="1683">
        <v>0</v>
      </c>
      <c r="T765" s="1683">
        <v>2541</v>
      </c>
      <c r="U765" s="1683">
        <v>0</v>
      </c>
      <c r="V765" s="1683">
        <v>2541</v>
      </c>
      <c r="W765" s="1683">
        <v>0</v>
      </c>
      <c r="X765" s="1683">
        <v>0</v>
      </c>
      <c r="Y765" s="1682"/>
      <c r="Z765" s="1326"/>
      <c r="AA765" s="1683">
        <v>0</v>
      </c>
      <c r="AB765" s="1683">
        <v>0</v>
      </c>
      <c r="AC765" s="1683">
        <v>0</v>
      </c>
      <c r="AD765" s="1682"/>
      <c r="AE765" s="1326"/>
      <c r="AF765" s="1326"/>
      <c r="AG765" s="1410"/>
      <c r="AH765" s="1683">
        <v>16940</v>
      </c>
      <c r="AI765" s="1683">
        <v>16940</v>
      </c>
      <c r="AJ765" s="1683">
        <v>14399</v>
      </c>
      <c r="AK765" s="1683">
        <v>14399</v>
      </c>
      <c r="AL765" s="1683">
        <v>0</v>
      </c>
      <c r="AM765" s="1682"/>
      <c r="AN765" s="1683">
        <v>16940</v>
      </c>
      <c r="AO765" s="1683">
        <v>16940</v>
      </c>
      <c r="AP765" s="1683">
        <v>14399</v>
      </c>
      <c r="AQ765" s="1683">
        <v>14399</v>
      </c>
      <c r="AR765" s="1683">
        <v>0</v>
      </c>
      <c r="AS765" s="1683">
        <v>2541</v>
      </c>
      <c r="AT765" s="1683">
        <v>0</v>
      </c>
      <c r="AU765" s="1683">
        <v>2541</v>
      </c>
      <c r="AV765" s="1683">
        <v>0</v>
      </c>
      <c r="AW765" s="1683">
        <v>0</v>
      </c>
      <c r="AX765" s="1683">
        <v>0</v>
      </c>
      <c r="AY765" s="1683">
        <v>0</v>
      </c>
      <c r="AZ765" s="1683">
        <v>0</v>
      </c>
      <c r="BA765" s="1682"/>
      <c r="BB765" s="1682"/>
      <c r="BC765" s="1683">
        <v>0</v>
      </c>
      <c r="BD765" s="1683">
        <v>0</v>
      </c>
      <c r="BE765" s="1683">
        <v>16940</v>
      </c>
      <c r="BF765" s="1683">
        <v>16940</v>
      </c>
      <c r="BG765" s="1683">
        <v>14399</v>
      </c>
      <c r="BH765" s="1683">
        <v>14399</v>
      </c>
      <c r="BI765" s="1683">
        <v>0</v>
      </c>
      <c r="BJ765" s="1683">
        <v>2541</v>
      </c>
      <c r="BK765" s="1683">
        <v>0</v>
      </c>
      <c r="BL765" s="1683">
        <v>2541</v>
      </c>
      <c r="BM765" s="1683">
        <v>0</v>
      </c>
      <c r="BN765" s="1683">
        <v>0</v>
      </c>
      <c r="BO765" s="1682"/>
      <c r="BP765" s="1683">
        <v>16940</v>
      </c>
      <c r="BQ765" s="1683">
        <v>16940</v>
      </c>
      <c r="BR765" s="1683">
        <v>14399</v>
      </c>
      <c r="BS765" s="1683">
        <v>14399</v>
      </c>
      <c r="BT765" s="1683">
        <v>0</v>
      </c>
      <c r="BU765" s="1683">
        <v>2541</v>
      </c>
      <c r="BV765" s="1683">
        <v>0</v>
      </c>
      <c r="BW765" s="1683">
        <v>0</v>
      </c>
      <c r="BX765" s="1683">
        <v>0</v>
      </c>
      <c r="BY765" s="1683">
        <v>0</v>
      </c>
      <c r="BZ765" s="1683">
        <v>0</v>
      </c>
      <c r="CA765" s="1683">
        <v>0</v>
      </c>
      <c r="CB765" s="1682"/>
      <c r="CC765" s="1682"/>
      <c r="CD765" s="1683">
        <v>0</v>
      </c>
      <c r="CE765" s="1683">
        <v>0</v>
      </c>
      <c r="CF765" s="1683">
        <v>0</v>
      </c>
      <c r="CG765" s="1683">
        <v>0</v>
      </c>
      <c r="CH765" s="1683">
        <v>0</v>
      </c>
      <c r="CI765" s="1683">
        <v>0</v>
      </c>
      <c r="CJ765" s="1683">
        <v>0</v>
      </c>
      <c r="CK765" s="1683">
        <v>0</v>
      </c>
      <c r="CL765" s="1682"/>
      <c r="CM765" s="1683">
        <v>0</v>
      </c>
      <c r="CN765" s="1683">
        <v>0</v>
      </c>
      <c r="CO765" s="1683">
        <v>0</v>
      </c>
      <c r="CP765" s="1683">
        <v>0</v>
      </c>
      <c r="CQ765" s="1683">
        <v>0</v>
      </c>
      <c r="CR765" s="1683">
        <v>0</v>
      </c>
      <c r="CS765" s="1683">
        <v>0</v>
      </c>
      <c r="CT765" s="1683">
        <v>0</v>
      </c>
      <c r="CU765" s="1683">
        <v>0</v>
      </c>
      <c r="CV765" s="1683">
        <v>0</v>
      </c>
      <c r="CW765" s="1682"/>
      <c r="CX765" s="1683">
        <v>0</v>
      </c>
      <c r="CY765" s="1683">
        <v>0</v>
      </c>
      <c r="CZ765" s="1683">
        <v>0</v>
      </c>
      <c r="DA765" s="1683">
        <v>0</v>
      </c>
      <c r="DB765" s="1682"/>
      <c r="DC765" s="1326"/>
      <c r="DD765" s="1683">
        <v>0</v>
      </c>
      <c r="DE765" s="1683">
        <v>0</v>
      </c>
      <c r="DF765" s="1683">
        <v>0</v>
      </c>
      <c r="DG765" s="1683">
        <v>0</v>
      </c>
      <c r="DH765" s="1683">
        <v>0</v>
      </c>
    </row>
    <row r="766" spans="1:112" ht="56.25">
      <c r="A766" s="1326" t="s">
        <v>1741</v>
      </c>
      <c r="B766" s="1326" t="s">
        <v>1690</v>
      </c>
      <c r="C766" s="1326" t="s">
        <v>2537</v>
      </c>
      <c r="D766" s="1326" t="s">
        <v>2538</v>
      </c>
      <c r="E766" s="1326" t="s">
        <v>269</v>
      </c>
      <c r="F766" s="1326" t="s">
        <v>2539</v>
      </c>
      <c r="G766" s="1326" t="s">
        <v>2540</v>
      </c>
      <c r="H766" s="1326" t="s">
        <v>2541</v>
      </c>
      <c r="I766" s="1326" t="s">
        <v>3950</v>
      </c>
      <c r="J766" s="1326" t="s">
        <v>3951</v>
      </c>
      <c r="K766" s="1326" t="s">
        <v>3952</v>
      </c>
      <c r="L766" s="1326" t="s">
        <v>2137</v>
      </c>
      <c r="M766" s="1400"/>
      <c r="N766" s="1400"/>
      <c r="O766" s="1400"/>
      <c r="P766" s="1400"/>
      <c r="Q766" s="1400"/>
      <c r="R766" s="1400"/>
      <c r="S766" s="1400"/>
      <c r="T766" s="1400"/>
      <c r="U766" s="1400"/>
      <c r="V766" s="1400"/>
      <c r="W766" s="1400"/>
      <c r="X766" s="1400"/>
      <c r="Y766" s="1685">
        <v>43179</v>
      </c>
      <c r="Z766" s="1326" t="s">
        <v>2062</v>
      </c>
      <c r="AA766" s="1683">
        <v>0</v>
      </c>
      <c r="AB766" s="1683">
        <v>0</v>
      </c>
      <c r="AC766" s="1683">
        <v>0</v>
      </c>
      <c r="AD766" s="1685">
        <v>43208</v>
      </c>
      <c r="AE766" s="1326" t="s">
        <v>2073</v>
      </c>
      <c r="AF766" s="1326" t="s">
        <v>2067</v>
      </c>
      <c r="AG766" s="1410"/>
      <c r="AH766" s="1683">
        <v>8470</v>
      </c>
      <c r="AI766" s="1683">
        <v>8470</v>
      </c>
      <c r="AJ766" s="1683">
        <v>7199.5</v>
      </c>
      <c r="AK766" s="1683">
        <v>7199.5</v>
      </c>
      <c r="AL766" s="1683">
        <v>0</v>
      </c>
      <c r="AM766" s="1685">
        <v>43210</v>
      </c>
      <c r="AN766" s="1683">
        <v>8470</v>
      </c>
      <c r="AO766" s="1683">
        <v>8470</v>
      </c>
      <c r="AP766" s="1683">
        <v>7199.5</v>
      </c>
      <c r="AQ766" s="1683">
        <v>7199.5</v>
      </c>
      <c r="AR766" s="1683">
        <v>0</v>
      </c>
      <c r="AS766" s="1683">
        <v>1270.5</v>
      </c>
      <c r="AT766" s="1683">
        <v>0</v>
      </c>
      <c r="AU766" s="1683">
        <v>1270.5</v>
      </c>
      <c r="AV766" s="1683">
        <v>0</v>
      </c>
      <c r="AW766" s="1683">
        <v>0</v>
      </c>
      <c r="AX766" s="1400"/>
      <c r="AY766" s="1400"/>
      <c r="AZ766" s="1400"/>
      <c r="BA766" s="1682"/>
      <c r="BB766" s="1682"/>
      <c r="BC766" s="1400"/>
      <c r="BD766" s="1400"/>
      <c r="BE766" s="1683">
        <v>8470</v>
      </c>
      <c r="BF766" s="1683">
        <v>8470</v>
      </c>
      <c r="BG766" s="1683">
        <v>7199.5</v>
      </c>
      <c r="BH766" s="1683">
        <v>7199.5</v>
      </c>
      <c r="BI766" s="1683">
        <v>0</v>
      </c>
      <c r="BJ766" s="1683">
        <v>1270.5</v>
      </c>
      <c r="BK766" s="1683">
        <v>0</v>
      </c>
      <c r="BL766" s="1683">
        <v>1270.5</v>
      </c>
      <c r="BM766" s="1683">
        <v>0</v>
      </c>
      <c r="BN766" s="1683">
        <v>0</v>
      </c>
      <c r="BO766" s="1685">
        <v>43364</v>
      </c>
      <c r="BP766" s="1683">
        <v>8470</v>
      </c>
      <c r="BQ766" s="1683">
        <v>8470</v>
      </c>
      <c r="BR766" s="1683">
        <v>7199.5</v>
      </c>
      <c r="BS766" s="1683">
        <v>7199.5</v>
      </c>
      <c r="BT766" s="1683">
        <v>0</v>
      </c>
      <c r="BU766" s="1683">
        <v>1270.5</v>
      </c>
      <c r="BV766" s="1683">
        <v>0</v>
      </c>
      <c r="BW766" s="1683">
        <v>0</v>
      </c>
      <c r="BX766" s="1683">
        <v>0</v>
      </c>
      <c r="BY766" s="1683">
        <v>0</v>
      </c>
      <c r="BZ766" s="1683">
        <v>0</v>
      </c>
      <c r="CA766" s="1400"/>
      <c r="CB766" s="1682"/>
      <c r="CC766" s="1682"/>
      <c r="CD766" s="1400"/>
      <c r="CE766" s="1400"/>
      <c r="CF766" s="1683">
        <v>0</v>
      </c>
      <c r="CG766" s="1683">
        <v>0</v>
      </c>
      <c r="CH766" s="1683">
        <v>0</v>
      </c>
      <c r="CI766" s="1683">
        <v>0</v>
      </c>
      <c r="CJ766" s="1683">
        <v>0</v>
      </c>
      <c r="CK766" s="1683">
        <v>0</v>
      </c>
      <c r="CL766" s="1682"/>
      <c r="CM766" s="1683">
        <v>0</v>
      </c>
      <c r="CN766" s="1683">
        <v>0</v>
      </c>
      <c r="CO766" s="1683">
        <v>0</v>
      </c>
      <c r="CP766" s="1683">
        <v>0</v>
      </c>
      <c r="CQ766" s="1683">
        <v>0</v>
      </c>
      <c r="CR766" s="1683">
        <v>0</v>
      </c>
      <c r="CS766" s="1683">
        <v>0</v>
      </c>
      <c r="CT766" s="1683">
        <v>0</v>
      </c>
      <c r="CU766" s="1683">
        <v>0</v>
      </c>
      <c r="CV766" s="1683">
        <v>0</v>
      </c>
      <c r="CW766" s="1682"/>
      <c r="CX766" s="1400"/>
      <c r="CY766" s="1400"/>
      <c r="CZ766" s="1400"/>
      <c r="DA766" s="1400"/>
      <c r="DB766" s="1682"/>
      <c r="DC766" s="1326"/>
      <c r="DD766" s="1683">
        <v>0</v>
      </c>
      <c r="DE766" s="1400"/>
      <c r="DF766" s="1400"/>
      <c r="DG766" s="1683">
        <v>0</v>
      </c>
      <c r="DH766" s="1683">
        <v>0</v>
      </c>
    </row>
    <row r="767" spans="1:112" ht="56.25">
      <c r="A767" s="1326" t="s">
        <v>1742</v>
      </c>
      <c r="B767" s="1326" t="s">
        <v>1690</v>
      </c>
      <c r="C767" s="1326" t="s">
        <v>2537</v>
      </c>
      <c r="D767" s="1326" t="s">
        <v>2538</v>
      </c>
      <c r="E767" s="1326" t="s">
        <v>269</v>
      </c>
      <c r="F767" s="1326" t="s">
        <v>2539</v>
      </c>
      <c r="G767" s="1326" t="s">
        <v>2540</v>
      </c>
      <c r="H767" s="1326" t="s">
        <v>2541</v>
      </c>
      <c r="I767" s="1326" t="s">
        <v>3950</v>
      </c>
      <c r="J767" s="1326" t="s">
        <v>3951</v>
      </c>
      <c r="K767" s="1326" t="s">
        <v>3952</v>
      </c>
      <c r="L767" s="1326" t="s">
        <v>2137</v>
      </c>
      <c r="M767" s="1400"/>
      <c r="N767" s="1400"/>
      <c r="O767" s="1400"/>
      <c r="P767" s="1400"/>
      <c r="Q767" s="1400"/>
      <c r="R767" s="1400"/>
      <c r="S767" s="1400"/>
      <c r="T767" s="1400"/>
      <c r="U767" s="1400"/>
      <c r="V767" s="1400"/>
      <c r="W767" s="1400"/>
      <c r="X767" s="1400"/>
      <c r="Y767" s="1685">
        <v>43213</v>
      </c>
      <c r="Z767" s="1326" t="s">
        <v>2145</v>
      </c>
      <c r="AA767" s="1683">
        <v>0</v>
      </c>
      <c r="AB767" s="1683">
        <v>0</v>
      </c>
      <c r="AC767" s="1683">
        <v>0</v>
      </c>
      <c r="AD767" s="1685">
        <v>43249</v>
      </c>
      <c r="AE767" s="1326" t="s">
        <v>2063</v>
      </c>
      <c r="AF767" s="1326" t="s">
        <v>2067</v>
      </c>
      <c r="AG767" s="1410"/>
      <c r="AH767" s="1683">
        <v>8470</v>
      </c>
      <c r="AI767" s="1683">
        <v>8470</v>
      </c>
      <c r="AJ767" s="1683">
        <v>7199.5</v>
      </c>
      <c r="AK767" s="1683">
        <v>7199.5</v>
      </c>
      <c r="AL767" s="1683">
        <v>0</v>
      </c>
      <c r="AM767" s="1685">
        <v>43255</v>
      </c>
      <c r="AN767" s="1683">
        <v>8470</v>
      </c>
      <c r="AO767" s="1683">
        <v>8470</v>
      </c>
      <c r="AP767" s="1683">
        <v>7199.5</v>
      </c>
      <c r="AQ767" s="1683">
        <v>7199.5</v>
      </c>
      <c r="AR767" s="1683">
        <v>0</v>
      </c>
      <c r="AS767" s="1683">
        <v>1270.5</v>
      </c>
      <c r="AT767" s="1683">
        <v>0</v>
      </c>
      <c r="AU767" s="1683">
        <v>1270.5</v>
      </c>
      <c r="AV767" s="1683">
        <v>0</v>
      </c>
      <c r="AW767" s="1683">
        <v>0</v>
      </c>
      <c r="AX767" s="1400"/>
      <c r="AY767" s="1400"/>
      <c r="AZ767" s="1400"/>
      <c r="BA767" s="1682"/>
      <c r="BB767" s="1682"/>
      <c r="BC767" s="1400"/>
      <c r="BD767" s="1400"/>
      <c r="BE767" s="1683">
        <v>8470</v>
      </c>
      <c r="BF767" s="1683">
        <v>8470</v>
      </c>
      <c r="BG767" s="1683">
        <v>7199.5</v>
      </c>
      <c r="BH767" s="1683">
        <v>7199.5</v>
      </c>
      <c r="BI767" s="1683">
        <v>0</v>
      </c>
      <c r="BJ767" s="1683">
        <v>1270.5</v>
      </c>
      <c r="BK767" s="1683">
        <v>0</v>
      </c>
      <c r="BL767" s="1683">
        <v>1270.5</v>
      </c>
      <c r="BM767" s="1683">
        <v>0</v>
      </c>
      <c r="BN767" s="1683">
        <v>0</v>
      </c>
      <c r="BO767" s="1685">
        <v>43364</v>
      </c>
      <c r="BP767" s="1683">
        <v>8470</v>
      </c>
      <c r="BQ767" s="1683">
        <v>8470</v>
      </c>
      <c r="BR767" s="1683">
        <v>7199.5</v>
      </c>
      <c r="BS767" s="1683">
        <v>7199.5</v>
      </c>
      <c r="BT767" s="1683">
        <v>0</v>
      </c>
      <c r="BU767" s="1683">
        <v>1270.5</v>
      </c>
      <c r="BV767" s="1683">
        <v>0</v>
      </c>
      <c r="BW767" s="1683">
        <v>0</v>
      </c>
      <c r="BX767" s="1683">
        <v>0</v>
      </c>
      <c r="BY767" s="1683">
        <v>0</v>
      </c>
      <c r="BZ767" s="1683">
        <v>0</v>
      </c>
      <c r="CA767" s="1400"/>
      <c r="CB767" s="1682"/>
      <c r="CC767" s="1682"/>
      <c r="CD767" s="1400"/>
      <c r="CE767" s="1400"/>
      <c r="CF767" s="1683">
        <v>0</v>
      </c>
      <c r="CG767" s="1683">
        <v>0</v>
      </c>
      <c r="CH767" s="1683">
        <v>0</v>
      </c>
      <c r="CI767" s="1683">
        <v>0</v>
      </c>
      <c r="CJ767" s="1683">
        <v>0</v>
      </c>
      <c r="CK767" s="1683">
        <v>0</v>
      </c>
      <c r="CL767" s="1682"/>
      <c r="CM767" s="1683">
        <v>0</v>
      </c>
      <c r="CN767" s="1683">
        <v>0</v>
      </c>
      <c r="CO767" s="1683">
        <v>0</v>
      </c>
      <c r="CP767" s="1683">
        <v>0</v>
      </c>
      <c r="CQ767" s="1683">
        <v>0</v>
      </c>
      <c r="CR767" s="1683">
        <v>0</v>
      </c>
      <c r="CS767" s="1683">
        <v>0</v>
      </c>
      <c r="CT767" s="1683">
        <v>0</v>
      </c>
      <c r="CU767" s="1683">
        <v>0</v>
      </c>
      <c r="CV767" s="1683">
        <v>0</v>
      </c>
      <c r="CW767" s="1682"/>
      <c r="CX767" s="1400"/>
      <c r="CY767" s="1400"/>
      <c r="CZ767" s="1400"/>
      <c r="DA767" s="1400"/>
      <c r="DB767" s="1682"/>
      <c r="DC767" s="1326"/>
      <c r="DD767" s="1683">
        <v>0</v>
      </c>
      <c r="DE767" s="1400"/>
      <c r="DF767" s="1400"/>
      <c r="DG767" s="1683">
        <v>0</v>
      </c>
      <c r="DH767" s="1683">
        <v>0</v>
      </c>
    </row>
    <row r="768" spans="1:112" ht="33.75">
      <c r="A768" s="1326" t="s">
        <v>1743</v>
      </c>
      <c r="B768" s="1326" t="s">
        <v>1690</v>
      </c>
      <c r="C768" s="1326" t="s">
        <v>2537</v>
      </c>
      <c r="D768" s="1326" t="s">
        <v>2538</v>
      </c>
      <c r="E768" s="1326" t="s">
        <v>269</v>
      </c>
      <c r="F768" s="1326" t="s">
        <v>2539</v>
      </c>
      <c r="G768" s="1326" t="s">
        <v>2540</v>
      </c>
      <c r="H768" s="1326" t="s">
        <v>2541</v>
      </c>
      <c r="I768" s="1326" t="s">
        <v>3953</v>
      </c>
      <c r="J768" s="1326" t="s">
        <v>3954</v>
      </c>
      <c r="K768" s="1326" t="s">
        <v>3955</v>
      </c>
      <c r="L768" s="1326" t="s">
        <v>2137</v>
      </c>
      <c r="M768" s="1683">
        <v>75020</v>
      </c>
      <c r="N768" s="1683">
        <v>0</v>
      </c>
      <c r="O768" s="1683">
        <v>75020</v>
      </c>
      <c r="P768" s="1683">
        <v>75020</v>
      </c>
      <c r="Q768" s="1683">
        <v>63767</v>
      </c>
      <c r="R768" s="1683">
        <v>63767</v>
      </c>
      <c r="S768" s="1683">
        <v>0</v>
      </c>
      <c r="T768" s="1683">
        <v>11253</v>
      </c>
      <c r="U768" s="1683">
        <v>0</v>
      </c>
      <c r="V768" s="1683">
        <v>11253</v>
      </c>
      <c r="W768" s="1683">
        <v>0</v>
      </c>
      <c r="X768" s="1683">
        <v>0</v>
      </c>
      <c r="Y768" s="1682"/>
      <c r="Z768" s="1326"/>
      <c r="AA768" s="1683">
        <v>0</v>
      </c>
      <c r="AB768" s="1683">
        <v>0</v>
      </c>
      <c r="AC768" s="1683">
        <v>0</v>
      </c>
      <c r="AD768" s="1682"/>
      <c r="AE768" s="1326"/>
      <c r="AF768" s="1326"/>
      <c r="AG768" s="1410"/>
      <c r="AH768" s="1683">
        <v>75020</v>
      </c>
      <c r="AI768" s="1683">
        <v>75020</v>
      </c>
      <c r="AJ768" s="1683">
        <v>63767</v>
      </c>
      <c r="AK768" s="1683">
        <v>63767</v>
      </c>
      <c r="AL768" s="1683">
        <v>0</v>
      </c>
      <c r="AM768" s="1682"/>
      <c r="AN768" s="1683">
        <v>75020</v>
      </c>
      <c r="AO768" s="1683">
        <v>75020</v>
      </c>
      <c r="AP768" s="1683">
        <v>63767</v>
      </c>
      <c r="AQ768" s="1683">
        <v>63767</v>
      </c>
      <c r="AR768" s="1683">
        <v>0</v>
      </c>
      <c r="AS768" s="1683">
        <v>11253</v>
      </c>
      <c r="AT768" s="1683">
        <v>0</v>
      </c>
      <c r="AU768" s="1683">
        <v>11253</v>
      </c>
      <c r="AV768" s="1683">
        <v>0</v>
      </c>
      <c r="AW768" s="1683">
        <v>0</v>
      </c>
      <c r="AX768" s="1683">
        <v>0</v>
      </c>
      <c r="AY768" s="1683">
        <v>0</v>
      </c>
      <c r="AZ768" s="1683">
        <v>0</v>
      </c>
      <c r="BA768" s="1682"/>
      <c r="BB768" s="1682"/>
      <c r="BC768" s="1683">
        <v>0</v>
      </c>
      <c r="BD768" s="1683">
        <v>0</v>
      </c>
      <c r="BE768" s="1683">
        <v>75020</v>
      </c>
      <c r="BF768" s="1683">
        <v>75020</v>
      </c>
      <c r="BG768" s="1683">
        <v>63767</v>
      </c>
      <c r="BH768" s="1683">
        <v>63767</v>
      </c>
      <c r="BI768" s="1683">
        <v>0</v>
      </c>
      <c r="BJ768" s="1683">
        <v>11253</v>
      </c>
      <c r="BK768" s="1683">
        <v>0</v>
      </c>
      <c r="BL768" s="1683">
        <v>11253</v>
      </c>
      <c r="BM768" s="1683">
        <v>0</v>
      </c>
      <c r="BN768" s="1683">
        <v>0</v>
      </c>
      <c r="BO768" s="1682"/>
      <c r="BP768" s="1683">
        <v>75020</v>
      </c>
      <c r="BQ768" s="1683">
        <v>75020</v>
      </c>
      <c r="BR768" s="1683">
        <v>63767</v>
      </c>
      <c r="BS768" s="1683">
        <v>63767</v>
      </c>
      <c r="BT768" s="1683">
        <v>0</v>
      </c>
      <c r="BU768" s="1683">
        <v>11253</v>
      </c>
      <c r="BV768" s="1683">
        <v>0</v>
      </c>
      <c r="BW768" s="1683">
        <v>0</v>
      </c>
      <c r="BX768" s="1683">
        <v>0</v>
      </c>
      <c r="BY768" s="1683">
        <v>0</v>
      </c>
      <c r="BZ768" s="1683">
        <v>0</v>
      </c>
      <c r="CA768" s="1683">
        <v>0</v>
      </c>
      <c r="CB768" s="1682"/>
      <c r="CC768" s="1682"/>
      <c r="CD768" s="1683">
        <v>0</v>
      </c>
      <c r="CE768" s="1683">
        <v>0</v>
      </c>
      <c r="CF768" s="1683">
        <v>0</v>
      </c>
      <c r="CG768" s="1683">
        <v>0</v>
      </c>
      <c r="CH768" s="1683">
        <v>0</v>
      </c>
      <c r="CI768" s="1683">
        <v>0</v>
      </c>
      <c r="CJ768" s="1683">
        <v>0</v>
      </c>
      <c r="CK768" s="1683">
        <v>0</v>
      </c>
      <c r="CL768" s="1682"/>
      <c r="CM768" s="1683">
        <v>0</v>
      </c>
      <c r="CN768" s="1683">
        <v>0</v>
      </c>
      <c r="CO768" s="1683">
        <v>0</v>
      </c>
      <c r="CP768" s="1683">
        <v>0</v>
      </c>
      <c r="CQ768" s="1683">
        <v>0</v>
      </c>
      <c r="CR768" s="1683">
        <v>0</v>
      </c>
      <c r="CS768" s="1683">
        <v>0</v>
      </c>
      <c r="CT768" s="1683">
        <v>0</v>
      </c>
      <c r="CU768" s="1683">
        <v>0</v>
      </c>
      <c r="CV768" s="1683">
        <v>0</v>
      </c>
      <c r="CW768" s="1682"/>
      <c r="CX768" s="1683">
        <v>0</v>
      </c>
      <c r="CY768" s="1683">
        <v>0</v>
      </c>
      <c r="CZ768" s="1683">
        <v>0</v>
      </c>
      <c r="DA768" s="1683">
        <v>0</v>
      </c>
      <c r="DB768" s="1682"/>
      <c r="DC768" s="1326"/>
      <c r="DD768" s="1683">
        <v>0</v>
      </c>
      <c r="DE768" s="1683">
        <v>0</v>
      </c>
      <c r="DF768" s="1683">
        <v>0</v>
      </c>
      <c r="DG768" s="1683">
        <v>0</v>
      </c>
      <c r="DH768" s="1683">
        <v>0</v>
      </c>
    </row>
    <row r="769" spans="1:112" ht="33.75">
      <c r="A769" s="1326" t="s">
        <v>1744</v>
      </c>
      <c r="B769" s="1326" t="s">
        <v>1690</v>
      </c>
      <c r="C769" s="1326" t="s">
        <v>2537</v>
      </c>
      <c r="D769" s="1326" t="s">
        <v>2538</v>
      </c>
      <c r="E769" s="1326" t="s">
        <v>269</v>
      </c>
      <c r="F769" s="1326" t="s">
        <v>2539</v>
      </c>
      <c r="G769" s="1326" t="s">
        <v>2540</v>
      </c>
      <c r="H769" s="1326" t="s">
        <v>2541</v>
      </c>
      <c r="I769" s="1326" t="s">
        <v>3953</v>
      </c>
      <c r="J769" s="1326" t="s">
        <v>3954</v>
      </c>
      <c r="K769" s="1326" t="s">
        <v>3955</v>
      </c>
      <c r="L769" s="1326" t="s">
        <v>2137</v>
      </c>
      <c r="M769" s="1400"/>
      <c r="N769" s="1400"/>
      <c r="O769" s="1400"/>
      <c r="P769" s="1400"/>
      <c r="Q769" s="1400"/>
      <c r="R769" s="1400"/>
      <c r="S769" s="1400"/>
      <c r="T769" s="1400"/>
      <c r="U769" s="1400"/>
      <c r="V769" s="1400"/>
      <c r="W769" s="1400"/>
      <c r="X769" s="1400"/>
      <c r="Y769" s="1685">
        <v>43315</v>
      </c>
      <c r="Z769" s="1326" t="s">
        <v>2145</v>
      </c>
      <c r="AA769" s="1683">
        <v>0</v>
      </c>
      <c r="AB769" s="1683">
        <v>0</v>
      </c>
      <c r="AC769" s="1683">
        <v>0</v>
      </c>
      <c r="AD769" s="1685">
        <v>43384</v>
      </c>
      <c r="AE769" s="1326" t="s">
        <v>2080</v>
      </c>
      <c r="AF769" s="1326" t="s">
        <v>2067</v>
      </c>
      <c r="AG769" s="1410"/>
      <c r="AH769" s="1683">
        <v>75020</v>
      </c>
      <c r="AI769" s="1683">
        <v>75020</v>
      </c>
      <c r="AJ769" s="1683">
        <v>63767</v>
      </c>
      <c r="AK769" s="1683">
        <v>63767</v>
      </c>
      <c r="AL769" s="1683">
        <v>0</v>
      </c>
      <c r="AM769" s="1685">
        <v>43388</v>
      </c>
      <c r="AN769" s="1683">
        <v>75020</v>
      </c>
      <c r="AO769" s="1683">
        <v>75020</v>
      </c>
      <c r="AP769" s="1683">
        <v>63767</v>
      </c>
      <c r="AQ769" s="1683">
        <v>63767</v>
      </c>
      <c r="AR769" s="1683">
        <v>0</v>
      </c>
      <c r="AS769" s="1683">
        <v>11253</v>
      </c>
      <c r="AT769" s="1683">
        <v>0</v>
      </c>
      <c r="AU769" s="1683">
        <v>11253</v>
      </c>
      <c r="AV769" s="1683">
        <v>0</v>
      </c>
      <c r="AW769" s="1683">
        <v>0</v>
      </c>
      <c r="AX769" s="1400"/>
      <c r="AY769" s="1400"/>
      <c r="AZ769" s="1400"/>
      <c r="BA769" s="1682"/>
      <c r="BB769" s="1682"/>
      <c r="BC769" s="1400"/>
      <c r="BD769" s="1400"/>
      <c r="BE769" s="1683">
        <v>75020</v>
      </c>
      <c r="BF769" s="1683">
        <v>75020</v>
      </c>
      <c r="BG769" s="1683">
        <v>63767</v>
      </c>
      <c r="BH769" s="1683">
        <v>63767</v>
      </c>
      <c r="BI769" s="1683">
        <v>0</v>
      </c>
      <c r="BJ769" s="1683">
        <v>11253</v>
      </c>
      <c r="BK769" s="1683">
        <v>0</v>
      </c>
      <c r="BL769" s="1683">
        <v>11253</v>
      </c>
      <c r="BM769" s="1683">
        <v>0</v>
      </c>
      <c r="BN769" s="1683">
        <v>0</v>
      </c>
      <c r="BO769" s="1685">
        <v>43453</v>
      </c>
      <c r="BP769" s="1683">
        <v>75020</v>
      </c>
      <c r="BQ769" s="1683">
        <v>75020</v>
      </c>
      <c r="BR769" s="1683">
        <v>63767</v>
      </c>
      <c r="BS769" s="1683">
        <v>63767</v>
      </c>
      <c r="BT769" s="1683">
        <v>0</v>
      </c>
      <c r="BU769" s="1683">
        <v>11253</v>
      </c>
      <c r="BV769" s="1683">
        <v>0</v>
      </c>
      <c r="BW769" s="1683">
        <v>0</v>
      </c>
      <c r="BX769" s="1683">
        <v>0</v>
      </c>
      <c r="BY769" s="1683">
        <v>0</v>
      </c>
      <c r="BZ769" s="1683">
        <v>0</v>
      </c>
      <c r="CA769" s="1400"/>
      <c r="CB769" s="1682"/>
      <c r="CC769" s="1682"/>
      <c r="CD769" s="1400"/>
      <c r="CE769" s="1400"/>
      <c r="CF769" s="1683">
        <v>0</v>
      </c>
      <c r="CG769" s="1683">
        <v>0</v>
      </c>
      <c r="CH769" s="1683">
        <v>0</v>
      </c>
      <c r="CI769" s="1683">
        <v>0</v>
      </c>
      <c r="CJ769" s="1683">
        <v>0</v>
      </c>
      <c r="CK769" s="1683">
        <v>0</v>
      </c>
      <c r="CL769" s="1682"/>
      <c r="CM769" s="1683">
        <v>0</v>
      </c>
      <c r="CN769" s="1683">
        <v>0</v>
      </c>
      <c r="CO769" s="1683">
        <v>0</v>
      </c>
      <c r="CP769" s="1683">
        <v>0</v>
      </c>
      <c r="CQ769" s="1683">
        <v>0</v>
      </c>
      <c r="CR769" s="1683">
        <v>0</v>
      </c>
      <c r="CS769" s="1683">
        <v>0</v>
      </c>
      <c r="CT769" s="1683">
        <v>0</v>
      </c>
      <c r="CU769" s="1683">
        <v>0</v>
      </c>
      <c r="CV769" s="1683">
        <v>0</v>
      </c>
      <c r="CW769" s="1682"/>
      <c r="CX769" s="1400"/>
      <c r="CY769" s="1400"/>
      <c r="CZ769" s="1400"/>
      <c r="DA769" s="1400"/>
      <c r="DB769" s="1682"/>
      <c r="DC769" s="1326"/>
      <c r="DD769" s="1683">
        <v>0</v>
      </c>
      <c r="DE769" s="1400"/>
      <c r="DF769" s="1400"/>
      <c r="DG769" s="1683">
        <v>0</v>
      </c>
      <c r="DH769" s="1683">
        <v>0</v>
      </c>
    </row>
    <row r="770" spans="1:112" ht="33.75">
      <c r="A770" s="1326" t="s">
        <v>1745</v>
      </c>
      <c r="B770" s="1326" t="s">
        <v>1690</v>
      </c>
      <c r="C770" s="1326" t="s">
        <v>2537</v>
      </c>
      <c r="D770" s="1326" t="s">
        <v>2538</v>
      </c>
      <c r="E770" s="1326" t="s">
        <v>269</v>
      </c>
      <c r="F770" s="1326" t="s">
        <v>2539</v>
      </c>
      <c r="G770" s="1326" t="s">
        <v>2540</v>
      </c>
      <c r="H770" s="1326" t="s">
        <v>2541</v>
      </c>
      <c r="I770" s="1326" t="s">
        <v>3956</v>
      </c>
      <c r="J770" s="1326" t="s">
        <v>3957</v>
      </c>
      <c r="K770" s="1326" t="s">
        <v>3958</v>
      </c>
      <c r="L770" s="1326" t="s">
        <v>2137</v>
      </c>
      <c r="M770" s="1683">
        <v>13400</v>
      </c>
      <c r="N770" s="1683">
        <v>0</v>
      </c>
      <c r="O770" s="1683">
        <v>13400</v>
      </c>
      <c r="P770" s="1683">
        <v>13400</v>
      </c>
      <c r="Q770" s="1683">
        <v>11390</v>
      </c>
      <c r="R770" s="1683">
        <v>11390</v>
      </c>
      <c r="S770" s="1683">
        <v>0</v>
      </c>
      <c r="T770" s="1683">
        <v>2010</v>
      </c>
      <c r="U770" s="1683">
        <v>0</v>
      </c>
      <c r="V770" s="1683">
        <v>2010</v>
      </c>
      <c r="W770" s="1683">
        <v>0</v>
      </c>
      <c r="X770" s="1683">
        <v>0</v>
      </c>
      <c r="Y770" s="1682"/>
      <c r="Z770" s="1326"/>
      <c r="AA770" s="1683">
        <v>0</v>
      </c>
      <c r="AB770" s="1683">
        <v>0</v>
      </c>
      <c r="AC770" s="1683">
        <v>0</v>
      </c>
      <c r="AD770" s="1682"/>
      <c r="AE770" s="1326"/>
      <c r="AF770" s="1326"/>
      <c r="AG770" s="1410"/>
      <c r="AH770" s="1683">
        <v>13400</v>
      </c>
      <c r="AI770" s="1683">
        <v>13400</v>
      </c>
      <c r="AJ770" s="1683">
        <v>11390</v>
      </c>
      <c r="AK770" s="1683">
        <v>11390</v>
      </c>
      <c r="AL770" s="1683">
        <v>0</v>
      </c>
      <c r="AM770" s="1682"/>
      <c r="AN770" s="1683">
        <v>13400</v>
      </c>
      <c r="AO770" s="1683">
        <v>13400</v>
      </c>
      <c r="AP770" s="1683">
        <v>11390</v>
      </c>
      <c r="AQ770" s="1683">
        <v>11390</v>
      </c>
      <c r="AR770" s="1683">
        <v>0</v>
      </c>
      <c r="AS770" s="1683">
        <v>2010</v>
      </c>
      <c r="AT770" s="1683">
        <v>0</v>
      </c>
      <c r="AU770" s="1683">
        <v>2010</v>
      </c>
      <c r="AV770" s="1683">
        <v>0</v>
      </c>
      <c r="AW770" s="1683">
        <v>0</v>
      </c>
      <c r="AX770" s="1683">
        <v>0</v>
      </c>
      <c r="AY770" s="1683">
        <v>0</v>
      </c>
      <c r="AZ770" s="1683">
        <v>0</v>
      </c>
      <c r="BA770" s="1682"/>
      <c r="BB770" s="1682"/>
      <c r="BC770" s="1683">
        <v>0</v>
      </c>
      <c r="BD770" s="1683">
        <v>0</v>
      </c>
      <c r="BE770" s="1683">
        <v>13400</v>
      </c>
      <c r="BF770" s="1683">
        <v>13400</v>
      </c>
      <c r="BG770" s="1683">
        <v>11390</v>
      </c>
      <c r="BH770" s="1683">
        <v>11390</v>
      </c>
      <c r="BI770" s="1683">
        <v>0</v>
      </c>
      <c r="BJ770" s="1683">
        <v>2010</v>
      </c>
      <c r="BK770" s="1683">
        <v>0</v>
      </c>
      <c r="BL770" s="1683">
        <v>2010</v>
      </c>
      <c r="BM770" s="1683">
        <v>0</v>
      </c>
      <c r="BN770" s="1683">
        <v>0</v>
      </c>
      <c r="BO770" s="1682"/>
      <c r="BP770" s="1683">
        <v>13400</v>
      </c>
      <c r="BQ770" s="1683">
        <v>13400</v>
      </c>
      <c r="BR770" s="1683">
        <v>11390</v>
      </c>
      <c r="BS770" s="1683">
        <v>11390</v>
      </c>
      <c r="BT770" s="1683">
        <v>0</v>
      </c>
      <c r="BU770" s="1683">
        <v>2010</v>
      </c>
      <c r="BV770" s="1683">
        <v>0</v>
      </c>
      <c r="BW770" s="1683">
        <v>2010</v>
      </c>
      <c r="BX770" s="1683">
        <v>0</v>
      </c>
      <c r="BY770" s="1683">
        <v>0</v>
      </c>
      <c r="BZ770" s="1683">
        <v>0</v>
      </c>
      <c r="CA770" s="1683">
        <v>0</v>
      </c>
      <c r="CB770" s="1682"/>
      <c r="CC770" s="1682"/>
      <c r="CD770" s="1683">
        <v>0</v>
      </c>
      <c r="CE770" s="1683">
        <v>0</v>
      </c>
      <c r="CF770" s="1683">
        <v>0</v>
      </c>
      <c r="CG770" s="1683">
        <v>0</v>
      </c>
      <c r="CH770" s="1683">
        <v>0</v>
      </c>
      <c r="CI770" s="1683">
        <v>0</v>
      </c>
      <c r="CJ770" s="1683">
        <v>0</v>
      </c>
      <c r="CK770" s="1683">
        <v>0</v>
      </c>
      <c r="CL770" s="1682"/>
      <c r="CM770" s="1683">
        <v>13400</v>
      </c>
      <c r="CN770" s="1683">
        <v>13400</v>
      </c>
      <c r="CO770" s="1683">
        <v>11390</v>
      </c>
      <c r="CP770" s="1683">
        <v>11390</v>
      </c>
      <c r="CQ770" s="1683">
        <v>0</v>
      </c>
      <c r="CR770" s="1683">
        <v>2010</v>
      </c>
      <c r="CS770" s="1683">
        <v>0</v>
      </c>
      <c r="CT770" s="1683">
        <v>2010</v>
      </c>
      <c r="CU770" s="1683">
        <v>0</v>
      </c>
      <c r="CV770" s="1683">
        <v>0</v>
      </c>
      <c r="CW770" s="1682"/>
      <c r="CX770" s="1683">
        <v>0</v>
      </c>
      <c r="CY770" s="1683">
        <v>0</v>
      </c>
      <c r="CZ770" s="1683">
        <v>13400</v>
      </c>
      <c r="DA770" s="1683">
        <v>13400</v>
      </c>
      <c r="DB770" s="1682"/>
      <c r="DC770" s="1326"/>
      <c r="DD770" s="1683">
        <v>0</v>
      </c>
      <c r="DE770" s="1683">
        <v>0</v>
      </c>
      <c r="DF770" s="1683">
        <v>0</v>
      </c>
      <c r="DG770" s="1683">
        <v>0</v>
      </c>
      <c r="DH770" s="1683">
        <v>0</v>
      </c>
    </row>
    <row r="771" spans="1:112" ht="33.75">
      <c r="A771" s="1326" t="s">
        <v>1746</v>
      </c>
      <c r="B771" s="1326" t="s">
        <v>1690</v>
      </c>
      <c r="C771" s="1326" t="s">
        <v>2537</v>
      </c>
      <c r="D771" s="1326" t="s">
        <v>2538</v>
      </c>
      <c r="E771" s="1326" t="s">
        <v>269</v>
      </c>
      <c r="F771" s="1326" t="s">
        <v>2539</v>
      </c>
      <c r="G771" s="1326" t="s">
        <v>2540</v>
      </c>
      <c r="H771" s="1326" t="s">
        <v>2541</v>
      </c>
      <c r="I771" s="1326" t="s">
        <v>3956</v>
      </c>
      <c r="J771" s="1326" t="s">
        <v>3957</v>
      </c>
      <c r="K771" s="1326" t="s">
        <v>3958</v>
      </c>
      <c r="L771" s="1326" t="s">
        <v>2137</v>
      </c>
      <c r="M771" s="1400"/>
      <c r="N771" s="1400"/>
      <c r="O771" s="1400"/>
      <c r="P771" s="1400"/>
      <c r="Q771" s="1400"/>
      <c r="R771" s="1400"/>
      <c r="S771" s="1400"/>
      <c r="T771" s="1400"/>
      <c r="U771" s="1400"/>
      <c r="V771" s="1400"/>
      <c r="W771" s="1400"/>
      <c r="X771" s="1400"/>
      <c r="Y771" s="1685">
        <v>43097</v>
      </c>
      <c r="Z771" s="1326" t="s">
        <v>2145</v>
      </c>
      <c r="AA771" s="1683">
        <v>0</v>
      </c>
      <c r="AB771" s="1683">
        <v>0</v>
      </c>
      <c r="AC771" s="1683">
        <v>0</v>
      </c>
      <c r="AD771" s="1685">
        <v>43161</v>
      </c>
      <c r="AE771" s="1326" t="s">
        <v>2063</v>
      </c>
      <c r="AF771" s="1326" t="s">
        <v>2067</v>
      </c>
      <c r="AG771" s="1410"/>
      <c r="AH771" s="1683">
        <v>13400</v>
      </c>
      <c r="AI771" s="1683">
        <v>13400</v>
      </c>
      <c r="AJ771" s="1683">
        <v>11390</v>
      </c>
      <c r="AK771" s="1683">
        <v>11390</v>
      </c>
      <c r="AL771" s="1683">
        <v>0</v>
      </c>
      <c r="AM771" s="1685">
        <v>43161</v>
      </c>
      <c r="AN771" s="1683">
        <v>13400</v>
      </c>
      <c r="AO771" s="1683">
        <v>13400</v>
      </c>
      <c r="AP771" s="1683">
        <v>11390</v>
      </c>
      <c r="AQ771" s="1683">
        <v>11390</v>
      </c>
      <c r="AR771" s="1683">
        <v>0</v>
      </c>
      <c r="AS771" s="1683">
        <v>2010</v>
      </c>
      <c r="AT771" s="1683">
        <v>0</v>
      </c>
      <c r="AU771" s="1683">
        <v>2010</v>
      </c>
      <c r="AV771" s="1683">
        <v>0</v>
      </c>
      <c r="AW771" s="1683">
        <v>0</v>
      </c>
      <c r="AX771" s="1400"/>
      <c r="AY771" s="1400"/>
      <c r="AZ771" s="1400"/>
      <c r="BA771" s="1682"/>
      <c r="BB771" s="1682"/>
      <c r="BC771" s="1400"/>
      <c r="BD771" s="1400"/>
      <c r="BE771" s="1683">
        <v>13400</v>
      </c>
      <c r="BF771" s="1683">
        <v>13400</v>
      </c>
      <c r="BG771" s="1683">
        <v>11390</v>
      </c>
      <c r="BH771" s="1683">
        <v>11390</v>
      </c>
      <c r="BI771" s="1683">
        <v>0</v>
      </c>
      <c r="BJ771" s="1683">
        <v>2010</v>
      </c>
      <c r="BK771" s="1683">
        <v>0</v>
      </c>
      <c r="BL771" s="1683">
        <v>2010</v>
      </c>
      <c r="BM771" s="1683">
        <v>0</v>
      </c>
      <c r="BN771" s="1683">
        <v>0</v>
      </c>
      <c r="BO771" s="1685">
        <v>43236</v>
      </c>
      <c r="BP771" s="1683">
        <v>13400</v>
      </c>
      <c r="BQ771" s="1683">
        <v>13400</v>
      </c>
      <c r="BR771" s="1683">
        <v>11390</v>
      </c>
      <c r="BS771" s="1683">
        <v>11390</v>
      </c>
      <c r="BT771" s="1683">
        <v>0</v>
      </c>
      <c r="BU771" s="1683">
        <v>2010</v>
      </c>
      <c r="BV771" s="1683">
        <v>0</v>
      </c>
      <c r="BW771" s="1683">
        <v>2010</v>
      </c>
      <c r="BX771" s="1683">
        <v>0</v>
      </c>
      <c r="BY771" s="1683">
        <v>0</v>
      </c>
      <c r="BZ771" s="1683">
        <v>0</v>
      </c>
      <c r="CA771" s="1400"/>
      <c r="CB771" s="1682"/>
      <c r="CC771" s="1682"/>
      <c r="CD771" s="1400"/>
      <c r="CE771" s="1400"/>
      <c r="CF771" s="1683">
        <v>0</v>
      </c>
      <c r="CG771" s="1683">
        <v>0</v>
      </c>
      <c r="CH771" s="1683">
        <v>0</v>
      </c>
      <c r="CI771" s="1683">
        <v>0</v>
      </c>
      <c r="CJ771" s="1683">
        <v>0</v>
      </c>
      <c r="CK771" s="1683">
        <v>0</v>
      </c>
      <c r="CL771" s="1682"/>
      <c r="CM771" s="1683">
        <v>13400</v>
      </c>
      <c r="CN771" s="1683">
        <v>13400</v>
      </c>
      <c r="CO771" s="1683">
        <v>11390</v>
      </c>
      <c r="CP771" s="1683">
        <v>11390</v>
      </c>
      <c r="CQ771" s="1683">
        <v>0</v>
      </c>
      <c r="CR771" s="1683">
        <v>2010</v>
      </c>
      <c r="CS771" s="1683">
        <v>0</v>
      </c>
      <c r="CT771" s="1683">
        <v>2010</v>
      </c>
      <c r="CU771" s="1683">
        <v>0</v>
      </c>
      <c r="CV771" s="1683">
        <v>0</v>
      </c>
      <c r="CW771" s="1682"/>
      <c r="CX771" s="1400"/>
      <c r="CY771" s="1400"/>
      <c r="CZ771" s="1400"/>
      <c r="DA771" s="1400"/>
      <c r="DB771" s="1682"/>
      <c r="DC771" s="1326"/>
      <c r="DD771" s="1683">
        <v>0</v>
      </c>
      <c r="DE771" s="1400"/>
      <c r="DF771" s="1400"/>
      <c r="DG771" s="1683">
        <v>0</v>
      </c>
      <c r="DH771" s="1683">
        <v>0</v>
      </c>
    </row>
    <row r="772" spans="1:112" ht="33.75">
      <c r="A772" s="1326" t="s">
        <v>1433</v>
      </c>
      <c r="B772" s="1326" t="s">
        <v>1690</v>
      </c>
      <c r="C772" s="1326" t="s">
        <v>2537</v>
      </c>
      <c r="D772" s="1326" t="s">
        <v>2538</v>
      </c>
      <c r="E772" s="1326" t="s">
        <v>269</v>
      </c>
      <c r="F772" s="1326" t="s">
        <v>2539</v>
      </c>
      <c r="G772" s="1326" t="s">
        <v>2540</v>
      </c>
      <c r="H772" s="1326" t="s">
        <v>2541</v>
      </c>
      <c r="I772" s="1326" t="s">
        <v>715</v>
      </c>
      <c r="J772" s="1326" t="s">
        <v>632</v>
      </c>
      <c r="K772" s="1326" t="s">
        <v>2071</v>
      </c>
      <c r="L772" s="1326" t="s">
        <v>2137</v>
      </c>
      <c r="M772" s="1683">
        <v>33638</v>
      </c>
      <c r="N772" s="1683">
        <v>0</v>
      </c>
      <c r="O772" s="1683">
        <v>33638</v>
      </c>
      <c r="P772" s="1683">
        <v>33638</v>
      </c>
      <c r="Q772" s="1683">
        <v>28592.3</v>
      </c>
      <c r="R772" s="1683">
        <v>28592.3</v>
      </c>
      <c r="S772" s="1683">
        <v>0</v>
      </c>
      <c r="T772" s="1683">
        <v>5045.7</v>
      </c>
      <c r="U772" s="1683">
        <v>0</v>
      </c>
      <c r="V772" s="1683">
        <v>5045.7</v>
      </c>
      <c r="W772" s="1683">
        <v>0</v>
      </c>
      <c r="X772" s="1683">
        <v>0</v>
      </c>
      <c r="Y772" s="1682"/>
      <c r="Z772" s="1326"/>
      <c r="AA772" s="1683">
        <v>0</v>
      </c>
      <c r="AB772" s="1683">
        <v>0</v>
      </c>
      <c r="AC772" s="1683">
        <v>0</v>
      </c>
      <c r="AD772" s="1682"/>
      <c r="AE772" s="1326"/>
      <c r="AF772" s="1326"/>
      <c r="AG772" s="1410"/>
      <c r="AH772" s="1683">
        <v>33638</v>
      </c>
      <c r="AI772" s="1683">
        <v>33638</v>
      </c>
      <c r="AJ772" s="1683">
        <v>28592.3</v>
      </c>
      <c r="AK772" s="1683">
        <v>28592.3</v>
      </c>
      <c r="AL772" s="1683">
        <v>0</v>
      </c>
      <c r="AM772" s="1682"/>
      <c r="AN772" s="1683">
        <v>33638</v>
      </c>
      <c r="AO772" s="1683">
        <v>33638</v>
      </c>
      <c r="AP772" s="1683">
        <v>28592.3</v>
      </c>
      <c r="AQ772" s="1683">
        <v>28592.3</v>
      </c>
      <c r="AR772" s="1683">
        <v>0</v>
      </c>
      <c r="AS772" s="1683">
        <v>5045.7</v>
      </c>
      <c r="AT772" s="1683">
        <v>0</v>
      </c>
      <c r="AU772" s="1683">
        <v>5045.7</v>
      </c>
      <c r="AV772" s="1683">
        <v>0</v>
      </c>
      <c r="AW772" s="1683">
        <v>0</v>
      </c>
      <c r="AX772" s="1683">
        <v>0</v>
      </c>
      <c r="AY772" s="1683">
        <v>0</v>
      </c>
      <c r="AZ772" s="1683">
        <v>0</v>
      </c>
      <c r="BA772" s="1682"/>
      <c r="BB772" s="1682"/>
      <c r="BC772" s="1683">
        <v>0</v>
      </c>
      <c r="BD772" s="1683">
        <v>0</v>
      </c>
      <c r="BE772" s="1683">
        <v>33638</v>
      </c>
      <c r="BF772" s="1683">
        <v>33638</v>
      </c>
      <c r="BG772" s="1683">
        <v>28592.3</v>
      </c>
      <c r="BH772" s="1683">
        <v>28592.3</v>
      </c>
      <c r="BI772" s="1683">
        <v>0</v>
      </c>
      <c r="BJ772" s="1683">
        <v>5045.7</v>
      </c>
      <c r="BK772" s="1683">
        <v>0</v>
      </c>
      <c r="BL772" s="1683">
        <v>5045.7</v>
      </c>
      <c r="BM772" s="1683">
        <v>0</v>
      </c>
      <c r="BN772" s="1683">
        <v>0</v>
      </c>
      <c r="BO772" s="1682"/>
      <c r="BP772" s="1683">
        <v>33638</v>
      </c>
      <c r="BQ772" s="1683">
        <v>33638</v>
      </c>
      <c r="BR772" s="1683">
        <v>28592.3</v>
      </c>
      <c r="BS772" s="1683">
        <v>28592.3</v>
      </c>
      <c r="BT772" s="1683">
        <v>0</v>
      </c>
      <c r="BU772" s="1683">
        <v>5045.7</v>
      </c>
      <c r="BV772" s="1683">
        <v>0</v>
      </c>
      <c r="BW772" s="1683">
        <v>3027.42</v>
      </c>
      <c r="BX772" s="1683">
        <v>0</v>
      </c>
      <c r="BY772" s="1683">
        <v>0</v>
      </c>
      <c r="BZ772" s="1683">
        <v>0</v>
      </c>
      <c r="CA772" s="1683">
        <v>0</v>
      </c>
      <c r="CB772" s="1682"/>
      <c r="CC772" s="1682"/>
      <c r="CD772" s="1683">
        <v>0</v>
      </c>
      <c r="CE772" s="1683">
        <v>0</v>
      </c>
      <c r="CF772" s="1683">
        <v>0</v>
      </c>
      <c r="CG772" s="1683">
        <v>0</v>
      </c>
      <c r="CH772" s="1683">
        <v>0</v>
      </c>
      <c r="CI772" s="1683">
        <v>0</v>
      </c>
      <c r="CJ772" s="1683">
        <v>0</v>
      </c>
      <c r="CK772" s="1683">
        <v>0</v>
      </c>
      <c r="CL772" s="1682"/>
      <c r="CM772" s="1683">
        <v>20182.8</v>
      </c>
      <c r="CN772" s="1683">
        <v>20182.8</v>
      </c>
      <c r="CO772" s="1683">
        <v>17155.38</v>
      </c>
      <c r="CP772" s="1683">
        <v>17155.38</v>
      </c>
      <c r="CQ772" s="1683">
        <v>0</v>
      </c>
      <c r="CR772" s="1683">
        <v>3027.42</v>
      </c>
      <c r="CS772" s="1683">
        <v>0</v>
      </c>
      <c r="CT772" s="1683">
        <v>3027.42</v>
      </c>
      <c r="CU772" s="1683">
        <v>0</v>
      </c>
      <c r="CV772" s="1683">
        <v>0</v>
      </c>
      <c r="CW772" s="1682"/>
      <c r="CX772" s="1683">
        <v>0</v>
      </c>
      <c r="CY772" s="1683">
        <v>0</v>
      </c>
      <c r="CZ772" s="1683">
        <v>20182.8</v>
      </c>
      <c r="DA772" s="1683">
        <v>20182.8</v>
      </c>
      <c r="DB772" s="1682"/>
      <c r="DC772" s="1326"/>
      <c r="DD772" s="1683">
        <v>0</v>
      </c>
      <c r="DE772" s="1683">
        <v>0</v>
      </c>
      <c r="DF772" s="1683">
        <v>0</v>
      </c>
      <c r="DG772" s="1683">
        <v>0</v>
      </c>
      <c r="DH772" s="1683">
        <v>0</v>
      </c>
    </row>
    <row r="773" spans="1:112" ht="33.75">
      <c r="A773" s="1326" t="s">
        <v>1747</v>
      </c>
      <c r="B773" s="1326" t="s">
        <v>1690</v>
      </c>
      <c r="C773" s="1326" t="s">
        <v>2537</v>
      </c>
      <c r="D773" s="1326" t="s">
        <v>2538</v>
      </c>
      <c r="E773" s="1326" t="s">
        <v>269</v>
      </c>
      <c r="F773" s="1326" t="s">
        <v>2539</v>
      </c>
      <c r="G773" s="1326" t="s">
        <v>2540</v>
      </c>
      <c r="H773" s="1326" t="s">
        <v>2541</v>
      </c>
      <c r="I773" s="1326" t="s">
        <v>715</v>
      </c>
      <c r="J773" s="1326" t="s">
        <v>632</v>
      </c>
      <c r="K773" s="1326" t="s">
        <v>2071</v>
      </c>
      <c r="L773" s="1326" t="s">
        <v>2137</v>
      </c>
      <c r="M773" s="1400"/>
      <c r="N773" s="1400"/>
      <c r="O773" s="1400"/>
      <c r="P773" s="1400"/>
      <c r="Q773" s="1400"/>
      <c r="R773" s="1400"/>
      <c r="S773" s="1400"/>
      <c r="T773" s="1400"/>
      <c r="U773" s="1400"/>
      <c r="V773" s="1400"/>
      <c r="W773" s="1400"/>
      <c r="X773" s="1400"/>
      <c r="Y773" s="1685">
        <v>43021</v>
      </c>
      <c r="Z773" s="1326" t="s">
        <v>2062</v>
      </c>
      <c r="AA773" s="1683">
        <v>0</v>
      </c>
      <c r="AB773" s="1683">
        <v>0</v>
      </c>
      <c r="AC773" s="1683">
        <v>0</v>
      </c>
      <c r="AD773" s="1685">
        <v>43052</v>
      </c>
      <c r="AE773" s="1326" t="s">
        <v>2073</v>
      </c>
      <c r="AF773" s="1326" t="s">
        <v>2067</v>
      </c>
      <c r="AG773" s="1410"/>
      <c r="AH773" s="1683">
        <v>20182.8</v>
      </c>
      <c r="AI773" s="1683">
        <v>20182.8</v>
      </c>
      <c r="AJ773" s="1683">
        <v>17155.38</v>
      </c>
      <c r="AK773" s="1683">
        <v>17155.38</v>
      </c>
      <c r="AL773" s="1683">
        <v>0</v>
      </c>
      <c r="AM773" s="1685">
        <v>43055</v>
      </c>
      <c r="AN773" s="1683">
        <v>20182.8</v>
      </c>
      <c r="AO773" s="1683">
        <v>20182.8</v>
      </c>
      <c r="AP773" s="1683">
        <v>17155.38</v>
      </c>
      <c r="AQ773" s="1683">
        <v>17155.38</v>
      </c>
      <c r="AR773" s="1683">
        <v>0</v>
      </c>
      <c r="AS773" s="1683">
        <v>3027.42</v>
      </c>
      <c r="AT773" s="1683">
        <v>0</v>
      </c>
      <c r="AU773" s="1683">
        <v>3027.42</v>
      </c>
      <c r="AV773" s="1683">
        <v>0</v>
      </c>
      <c r="AW773" s="1683">
        <v>0</v>
      </c>
      <c r="AX773" s="1400"/>
      <c r="AY773" s="1400"/>
      <c r="AZ773" s="1400"/>
      <c r="BA773" s="1682"/>
      <c r="BB773" s="1682"/>
      <c r="BC773" s="1400"/>
      <c r="BD773" s="1400"/>
      <c r="BE773" s="1683">
        <v>20182.8</v>
      </c>
      <c r="BF773" s="1683">
        <v>20182.8</v>
      </c>
      <c r="BG773" s="1683">
        <v>17155.38</v>
      </c>
      <c r="BH773" s="1683">
        <v>17155.38</v>
      </c>
      <c r="BI773" s="1683">
        <v>0</v>
      </c>
      <c r="BJ773" s="1683">
        <v>3027.42</v>
      </c>
      <c r="BK773" s="1683">
        <v>0</v>
      </c>
      <c r="BL773" s="1683">
        <v>3027.42</v>
      </c>
      <c r="BM773" s="1683">
        <v>0</v>
      </c>
      <c r="BN773" s="1683">
        <v>0</v>
      </c>
      <c r="BO773" s="1685">
        <v>43159</v>
      </c>
      <c r="BP773" s="1683">
        <v>20182.8</v>
      </c>
      <c r="BQ773" s="1683">
        <v>20182.8</v>
      </c>
      <c r="BR773" s="1683">
        <v>17155.38</v>
      </c>
      <c r="BS773" s="1683">
        <v>17155.38</v>
      </c>
      <c r="BT773" s="1683">
        <v>0</v>
      </c>
      <c r="BU773" s="1683">
        <v>3027.42</v>
      </c>
      <c r="BV773" s="1683">
        <v>0</v>
      </c>
      <c r="BW773" s="1683">
        <v>3027.42</v>
      </c>
      <c r="BX773" s="1683">
        <v>0</v>
      </c>
      <c r="BY773" s="1683">
        <v>0</v>
      </c>
      <c r="BZ773" s="1683">
        <v>0</v>
      </c>
      <c r="CA773" s="1400"/>
      <c r="CB773" s="1682"/>
      <c r="CC773" s="1682"/>
      <c r="CD773" s="1400"/>
      <c r="CE773" s="1400"/>
      <c r="CF773" s="1683">
        <v>0</v>
      </c>
      <c r="CG773" s="1683">
        <v>0</v>
      </c>
      <c r="CH773" s="1683">
        <v>0</v>
      </c>
      <c r="CI773" s="1683">
        <v>0</v>
      </c>
      <c r="CJ773" s="1683">
        <v>0</v>
      </c>
      <c r="CK773" s="1683">
        <v>0</v>
      </c>
      <c r="CL773" s="1682"/>
      <c r="CM773" s="1683">
        <v>20182.8</v>
      </c>
      <c r="CN773" s="1683">
        <v>20182.8</v>
      </c>
      <c r="CO773" s="1683">
        <v>17155.38</v>
      </c>
      <c r="CP773" s="1683">
        <v>17155.38</v>
      </c>
      <c r="CQ773" s="1683">
        <v>0</v>
      </c>
      <c r="CR773" s="1683">
        <v>3027.42</v>
      </c>
      <c r="CS773" s="1683">
        <v>0</v>
      </c>
      <c r="CT773" s="1683">
        <v>3027.42</v>
      </c>
      <c r="CU773" s="1683">
        <v>0</v>
      </c>
      <c r="CV773" s="1683">
        <v>0</v>
      </c>
      <c r="CW773" s="1682"/>
      <c r="CX773" s="1400"/>
      <c r="CY773" s="1400"/>
      <c r="CZ773" s="1400"/>
      <c r="DA773" s="1400"/>
      <c r="DB773" s="1682"/>
      <c r="DC773" s="1326"/>
      <c r="DD773" s="1683">
        <v>0</v>
      </c>
      <c r="DE773" s="1400"/>
      <c r="DF773" s="1400"/>
      <c r="DG773" s="1683">
        <v>0</v>
      </c>
      <c r="DH773" s="1683">
        <v>0</v>
      </c>
    </row>
    <row r="774" spans="1:112" ht="33.75">
      <c r="A774" s="1326" t="s">
        <v>1748</v>
      </c>
      <c r="B774" s="1326" t="s">
        <v>1690</v>
      </c>
      <c r="C774" s="1326" t="s">
        <v>2537</v>
      </c>
      <c r="D774" s="1326" t="s">
        <v>2538</v>
      </c>
      <c r="E774" s="1326" t="s">
        <v>269</v>
      </c>
      <c r="F774" s="1326" t="s">
        <v>2539</v>
      </c>
      <c r="G774" s="1326" t="s">
        <v>2540</v>
      </c>
      <c r="H774" s="1326" t="s">
        <v>2541</v>
      </c>
      <c r="I774" s="1326" t="s">
        <v>715</v>
      </c>
      <c r="J774" s="1326" t="s">
        <v>632</v>
      </c>
      <c r="K774" s="1326" t="s">
        <v>2071</v>
      </c>
      <c r="L774" s="1326" t="s">
        <v>2137</v>
      </c>
      <c r="M774" s="1400"/>
      <c r="N774" s="1400"/>
      <c r="O774" s="1400"/>
      <c r="P774" s="1400"/>
      <c r="Q774" s="1400"/>
      <c r="R774" s="1400"/>
      <c r="S774" s="1400"/>
      <c r="T774" s="1400"/>
      <c r="U774" s="1400"/>
      <c r="V774" s="1400"/>
      <c r="W774" s="1400"/>
      <c r="X774" s="1400"/>
      <c r="Y774" s="1685">
        <v>43266</v>
      </c>
      <c r="Z774" s="1326" t="s">
        <v>2145</v>
      </c>
      <c r="AA774" s="1683">
        <v>0</v>
      </c>
      <c r="AB774" s="1683">
        <v>0</v>
      </c>
      <c r="AC774" s="1683">
        <v>0</v>
      </c>
      <c r="AD774" s="1685">
        <v>43396</v>
      </c>
      <c r="AE774" s="1326" t="s">
        <v>2066</v>
      </c>
      <c r="AF774" s="1326" t="s">
        <v>2064</v>
      </c>
      <c r="AG774" s="1410"/>
      <c r="AH774" s="1683">
        <v>13455.2</v>
      </c>
      <c r="AI774" s="1683">
        <v>13455.2</v>
      </c>
      <c r="AJ774" s="1683">
        <v>11436.92</v>
      </c>
      <c r="AK774" s="1683">
        <v>11436.92</v>
      </c>
      <c r="AL774" s="1683">
        <v>0</v>
      </c>
      <c r="AM774" s="1685">
        <v>43396</v>
      </c>
      <c r="AN774" s="1683">
        <v>13455.2</v>
      </c>
      <c r="AO774" s="1683">
        <v>13455.2</v>
      </c>
      <c r="AP774" s="1683">
        <v>11436.92</v>
      </c>
      <c r="AQ774" s="1683">
        <v>11436.92</v>
      </c>
      <c r="AR774" s="1683">
        <v>0</v>
      </c>
      <c r="AS774" s="1683">
        <v>2018.28</v>
      </c>
      <c r="AT774" s="1683">
        <v>0</v>
      </c>
      <c r="AU774" s="1683">
        <v>2018.28</v>
      </c>
      <c r="AV774" s="1683">
        <v>0</v>
      </c>
      <c r="AW774" s="1683">
        <v>0</v>
      </c>
      <c r="AX774" s="1400"/>
      <c r="AY774" s="1400"/>
      <c r="AZ774" s="1400"/>
      <c r="BA774" s="1682"/>
      <c r="BB774" s="1682"/>
      <c r="BC774" s="1400"/>
      <c r="BD774" s="1400"/>
      <c r="BE774" s="1683">
        <v>13455.2</v>
      </c>
      <c r="BF774" s="1683">
        <v>13455.2</v>
      </c>
      <c r="BG774" s="1683">
        <v>11436.92</v>
      </c>
      <c r="BH774" s="1683">
        <v>11436.92</v>
      </c>
      <c r="BI774" s="1683">
        <v>0</v>
      </c>
      <c r="BJ774" s="1683">
        <v>2018.28</v>
      </c>
      <c r="BK774" s="1683">
        <v>0</v>
      </c>
      <c r="BL774" s="1683">
        <v>2018.28</v>
      </c>
      <c r="BM774" s="1683">
        <v>0</v>
      </c>
      <c r="BN774" s="1683">
        <v>0</v>
      </c>
      <c r="BO774" s="1685">
        <v>43453</v>
      </c>
      <c r="BP774" s="1683">
        <v>13455.2</v>
      </c>
      <c r="BQ774" s="1683">
        <v>13455.2</v>
      </c>
      <c r="BR774" s="1683">
        <v>11436.92</v>
      </c>
      <c r="BS774" s="1683">
        <v>11436.92</v>
      </c>
      <c r="BT774" s="1683">
        <v>0</v>
      </c>
      <c r="BU774" s="1683">
        <v>2018.28</v>
      </c>
      <c r="BV774" s="1683">
        <v>0</v>
      </c>
      <c r="BW774" s="1683">
        <v>0</v>
      </c>
      <c r="BX774" s="1683">
        <v>0</v>
      </c>
      <c r="BY774" s="1683">
        <v>0</v>
      </c>
      <c r="BZ774" s="1683">
        <v>0</v>
      </c>
      <c r="CA774" s="1400"/>
      <c r="CB774" s="1682"/>
      <c r="CC774" s="1682"/>
      <c r="CD774" s="1400"/>
      <c r="CE774" s="1400"/>
      <c r="CF774" s="1683">
        <v>0</v>
      </c>
      <c r="CG774" s="1683">
        <v>0</v>
      </c>
      <c r="CH774" s="1683">
        <v>0</v>
      </c>
      <c r="CI774" s="1683">
        <v>0</v>
      </c>
      <c r="CJ774" s="1683">
        <v>0</v>
      </c>
      <c r="CK774" s="1683">
        <v>0</v>
      </c>
      <c r="CL774" s="1682"/>
      <c r="CM774" s="1683">
        <v>0</v>
      </c>
      <c r="CN774" s="1683">
        <v>0</v>
      </c>
      <c r="CO774" s="1683">
        <v>0</v>
      </c>
      <c r="CP774" s="1683">
        <v>0</v>
      </c>
      <c r="CQ774" s="1683">
        <v>0</v>
      </c>
      <c r="CR774" s="1683">
        <v>0</v>
      </c>
      <c r="CS774" s="1683">
        <v>0</v>
      </c>
      <c r="CT774" s="1683">
        <v>0</v>
      </c>
      <c r="CU774" s="1683">
        <v>0</v>
      </c>
      <c r="CV774" s="1683">
        <v>0</v>
      </c>
      <c r="CW774" s="1682"/>
      <c r="CX774" s="1400"/>
      <c r="CY774" s="1400"/>
      <c r="CZ774" s="1400"/>
      <c r="DA774" s="1400"/>
      <c r="DB774" s="1682"/>
      <c r="DC774" s="1326"/>
      <c r="DD774" s="1683">
        <v>0</v>
      </c>
      <c r="DE774" s="1400"/>
      <c r="DF774" s="1400"/>
      <c r="DG774" s="1683">
        <v>0</v>
      </c>
      <c r="DH774" s="1683">
        <v>0</v>
      </c>
    </row>
    <row r="775" spans="1:112" ht="45">
      <c r="A775" s="1326" t="s">
        <v>1749</v>
      </c>
      <c r="B775" s="1326" t="s">
        <v>1690</v>
      </c>
      <c r="C775" s="1326" t="s">
        <v>2537</v>
      </c>
      <c r="D775" s="1326" t="s">
        <v>2538</v>
      </c>
      <c r="E775" s="1326" t="s">
        <v>269</v>
      </c>
      <c r="F775" s="1326" t="s">
        <v>2539</v>
      </c>
      <c r="G775" s="1326" t="s">
        <v>2540</v>
      </c>
      <c r="H775" s="1326" t="s">
        <v>2541</v>
      </c>
      <c r="I775" s="1326" t="s">
        <v>3959</v>
      </c>
      <c r="J775" s="1326" t="s">
        <v>3960</v>
      </c>
      <c r="K775" s="1326" t="s">
        <v>3961</v>
      </c>
      <c r="L775" s="1326" t="s">
        <v>2061</v>
      </c>
      <c r="M775" s="1683">
        <v>529400</v>
      </c>
      <c r="N775" s="1683">
        <v>0</v>
      </c>
      <c r="O775" s="1683">
        <v>529400</v>
      </c>
      <c r="P775" s="1683">
        <v>529400</v>
      </c>
      <c r="Q775" s="1683">
        <v>450000</v>
      </c>
      <c r="R775" s="1683">
        <v>450000</v>
      </c>
      <c r="S775" s="1683">
        <v>0</v>
      </c>
      <c r="T775" s="1683">
        <v>79400</v>
      </c>
      <c r="U775" s="1683">
        <v>0</v>
      </c>
      <c r="V775" s="1683">
        <v>79400</v>
      </c>
      <c r="W775" s="1683">
        <v>0</v>
      </c>
      <c r="X775" s="1683">
        <v>0</v>
      </c>
      <c r="Y775" s="1682"/>
      <c r="Z775" s="1326"/>
      <c r="AA775" s="1683">
        <v>0</v>
      </c>
      <c r="AB775" s="1683">
        <v>0</v>
      </c>
      <c r="AC775" s="1683">
        <v>0</v>
      </c>
      <c r="AD775" s="1682"/>
      <c r="AE775" s="1326"/>
      <c r="AF775" s="1326"/>
      <c r="AG775" s="1410"/>
      <c r="AH775" s="1683">
        <v>423520</v>
      </c>
      <c r="AI775" s="1683">
        <v>423520</v>
      </c>
      <c r="AJ775" s="1683">
        <v>360000</v>
      </c>
      <c r="AK775" s="1683">
        <v>360000</v>
      </c>
      <c r="AL775" s="1683">
        <v>0</v>
      </c>
      <c r="AM775" s="1682"/>
      <c r="AN775" s="1683">
        <v>423520</v>
      </c>
      <c r="AO775" s="1683">
        <v>423520</v>
      </c>
      <c r="AP775" s="1683">
        <v>360000</v>
      </c>
      <c r="AQ775" s="1683">
        <v>360000</v>
      </c>
      <c r="AR775" s="1683">
        <v>0</v>
      </c>
      <c r="AS775" s="1683">
        <v>63520</v>
      </c>
      <c r="AT775" s="1683">
        <v>0</v>
      </c>
      <c r="AU775" s="1683">
        <v>63520</v>
      </c>
      <c r="AV775" s="1683">
        <v>0</v>
      </c>
      <c r="AW775" s="1683">
        <v>0</v>
      </c>
      <c r="AX775" s="1683">
        <v>0</v>
      </c>
      <c r="AY775" s="1683">
        <v>0</v>
      </c>
      <c r="AZ775" s="1683">
        <v>0</v>
      </c>
      <c r="BA775" s="1682"/>
      <c r="BB775" s="1682"/>
      <c r="BC775" s="1683">
        <v>0</v>
      </c>
      <c r="BD775" s="1683">
        <v>0</v>
      </c>
      <c r="BE775" s="1683">
        <v>423520</v>
      </c>
      <c r="BF775" s="1683">
        <v>423520</v>
      </c>
      <c r="BG775" s="1683">
        <v>360000</v>
      </c>
      <c r="BH775" s="1683">
        <v>360000</v>
      </c>
      <c r="BI775" s="1683">
        <v>0</v>
      </c>
      <c r="BJ775" s="1683">
        <v>63520</v>
      </c>
      <c r="BK775" s="1683">
        <v>0</v>
      </c>
      <c r="BL775" s="1683">
        <v>63520</v>
      </c>
      <c r="BM775" s="1683">
        <v>0</v>
      </c>
      <c r="BN775" s="1683">
        <v>0</v>
      </c>
      <c r="BO775" s="1682"/>
      <c r="BP775" s="1683">
        <v>423520</v>
      </c>
      <c r="BQ775" s="1683">
        <v>423520</v>
      </c>
      <c r="BR775" s="1683">
        <v>360000</v>
      </c>
      <c r="BS775" s="1683">
        <v>360000</v>
      </c>
      <c r="BT775" s="1683">
        <v>0</v>
      </c>
      <c r="BU775" s="1683">
        <v>63520</v>
      </c>
      <c r="BV775" s="1683">
        <v>0</v>
      </c>
      <c r="BW775" s="1683">
        <v>35730</v>
      </c>
      <c r="BX775" s="1683">
        <v>0</v>
      </c>
      <c r="BY775" s="1683">
        <v>0</v>
      </c>
      <c r="BZ775" s="1683">
        <v>0</v>
      </c>
      <c r="CA775" s="1683">
        <v>0</v>
      </c>
      <c r="CB775" s="1682"/>
      <c r="CC775" s="1682"/>
      <c r="CD775" s="1683">
        <v>0</v>
      </c>
      <c r="CE775" s="1683">
        <v>0</v>
      </c>
      <c r="CF775" s="1683">
        <v>0</v>
      </c>
      <c r="CG775" s="1683">
        <v>0</v>
      </c>
      <c r="CH775" s="1683">
        <v>0</v>
      </c>
      <c r="CI775" s="1683">
        <v>0</v>
      </c>
      <c r="CJ775" s="1683">
        <v>0</v>
      </c>
      <c r="CK775" s="1683">
        <v>0</v>
      </c>
      <c r="CL775" s="1682"/>
      <c r="CM775" s="1683">
        <v>238230</v>
      </c>
      <c r="CN775" s="1683">
        <v>238230</v>
      </c>
      <c r="CO775" s="1683">
        <v>202500</v>
      </c>
      <c r="CP775" s="1683">
        <v>202500</v>
      </c>
      <c r="CQ775" s="1683">
        <v>0</v>
      </c>
      <c r="CR775" s="1683">
        <v>35730</v>
      </c>
      <c r="CS775" s="1683">
        <v>0</v>
      </c>
      <c r="CT775" s="1683">
        <v>35730</v>
      </c>
      <c r="CU775" s="1683">
        <v>0</v>
      </c>
      <c r="CV775" s="1683">
        <v>0</v>
      </c>
      <c r="CW775" s="1682"/>
      <c r="CX775" s="1683">
        <v>0</v>
      </c>
      <c r="CY775" s="1683">
        <v>0</v>
      </c>
      <c r="CZ775" s="1683">
        <v>238230</v>
      </c>
      <c r="DA775" s="1683">
        <v>238230</v>
      </c>
      <c r="DB775" s="1682"/>
      <c r="DC775" s="1326"/>
      <c r="DD775" s="1683">
        <v>0</v>
      </c>
      <c r="DE775" s="1683">
        <v>0</v>
      </c>
      <c r="DF775" s="1683">
        <v>0</v>
      </c>
      <c r="DG775" s="1683">
        <v>0</v>
      </c>
      <c r="DH775" s="1683">
        <v>0</v>
      </c>
    </row>
    <row r="776" spans="1:112" ht="45">
      <c r="A776" s="1326" t="s">
        <v>1750</v>
      </c>
      <c r="B776" s="1326" t="s">
        <v>1690</v>
      </c>
      <c r="C776" s="1326" t="s">
        <v>2537</v>
      </c>
      <c r="D776" s="1326" t="s">
        <v>2538</v>
      </c>
      <c r="E776" s="1326" t="s">
        <v>269</v>
      </c>
      <c r="F776" s="1326" t="s">
        <v>2539</v>
      </c>
      <c r="G776" s="1326" t="s">
        <v>2540</v>
      </c>
      <c r="H776" s="1326" t="s">
        <v>2541</v>
      </c>
      <c r="I776" s="1326" t="s">
        <v>3959</v>
      </c>
      <c r="J776" s="1326" t="s">
        <v>3960</v>
      </c>
      <c r="K776" s="1326" t="s">
        <v>3961</v>
      </c>
      <c r="L776" s="1326" t="s">
        <v>2061</v>
      </c>
      <c r="M776" s="1400"/>
      <c r="N776" s="1400"/>
      <c r="O776" s="1400"/>
      <c r="P776" s="1400"/>
      <c r="Q776" s="1400"/>
      <c r="R776" s="1400"/>
      <c r="S776" s="1400"/>
      <c r="T776" s="1400"/>
      <c r="U776" s="1400"/>
      <c r="V776" s="1400"/>
      <c r="W776" s="1400"/>
      <c r="X776" s="1400"/>
      <c r="Y776" s="1685">
        <v>43046</v>
      </c>
      <c r="Z776" s="1326" t="s">
        <v>2062</v>
      </c>
      <c r="AA776" s="1683">
        <v>0</v>
      </c>
      <c r="AB776" s="1683">
        <v>0</v>
      </c>
      <c r="AC776" s="1683">
        <v>0</v>
      </c>
      <c r="AD776" s="1685">
        <v>43076</v>
      </c>
      <c r="AE776" s="1326" t="s">
        <v>2073</v>
      </c>
      <c r="AF776" s="1326" t="s">
        <v>2067</v>
      </c>
      <c r="AG776" s="1410"/>
      <c r="AH776" s="1683">
        <v>132350</v>
      </c>
      <c r="AI776" s="1683">
        <v>132350</v>
      </c>
      <c r="AJ776" s="1683">
        <v>112500</v>
      </c>
      <c r="AK776" s="1683">
        <v>112500</v>
      </c>
      <c r="AL776" s="1683">
        <v>0</v>
      </c>
      <c r="AM776" s="1685">
        <v>43080</v>
      </c>
      <c r="AN776" s="1683">
        <v>132350</v>
      </c>
      <c r="AO776" s="1683">
        <v>132350</v>
      </c>
      <c r="AP776" s="1683">
        <v>112500</v>
      </c>
      <c r="AQ776" s="1683">
        <v>112500</v>
      </c>
      <c r="AR776" s="1683">
        <v>0</v>
      </c>
      <c r="AS776" s="1683">
        <v>19850</v>
      </c>
      <c r="AT776" s="1683">
        <v>0</v>
      </c>
      <c r="AU776" s="1683">
        <v>19850</v>
      </c>
      <c r="AV776" s="1683">
        <v>0</v>
      </c>
      <c r="AW776" s="1683">
        <v>0</v>
      </c>
      <c r="AX776" s="1400"/>
      <c r="AY776" s="1400"/>
      <c r="AZ776" s="1400"/>
      <c r="BA776" s="1682"/>
      <c r="BB776" s="1682"/>
      <c r="BC776" s="1400"/>
      <c r="BD776" s="1400"/>
      <c r="BE776" s="1683">
        <v>132350</v>
      </c>
      <c r="BF776" s="1683">
        <v>132350</v>
      </c>
      <c r="BG776" s="1683">
        <v>112500</v>
      </c>
      <c r="BH776" s="1683">
        <v>112500</v>
      </c>
      <c r="BI776" s="1683">
        <v>0</v>
      </c>
      <c r="BJ776" s="1683">
        <v>19850</v>
      </c>
      <c r="BK776" s="1683">
        <v>0</v>
      </c>
      <c r="BL776" s="1683">
        <v>19850</v>
      </c>
      <c r="BM776" s="1683">
        <v>0</v>
      </c>
      <c r="BN776" s="1683">
        <v>0</v>
      </c>
      <c r="BO776" s="1685">
        <v>43206</v>
      </c>
      <c r="BP776" s="1683">
        <v>132350</v>
      </c>
      <c r="BQ776" s="1683">
        <v>132350</v>
      </c>
      <c r="BR776" s="1683">
        <v>112500</v>
      </c>
      <c r="BS776" s="1683">
        <v>112500</v>
      </c>
      <c r="BT776" s="1683">
        <v>0</v>
      </c>
      <c r="BU776" s="1683">
        <v>19850</v>
      </c>
      <c r="BV776" s="1683">
        <v>0</v>
      </c>
      <c r="BW776" s="1683">
        <v>19850</v>
      </c>
      <c r="BX776" s="1683">
        <v>0</v>
      </c>
      <c r="BY776" s="1683">
        <v>0</v>
      </c>
      <c r="BZ776" s="1683">
        <v>0</v>
      </c>
      <c r="CA776" s="1400"/>
      <c r="CB776" s="1682"/>
      <c r="CC776" s="1682"/>
      <c r="CD776" s="1400"/>
      <c r="CE776" s="1400"/>
      <c r="CF776" s="1683">
        <v>0</v>
      </c>
      <c r="CG776" s="1683">
        <v>0</v>
      </c>
      <c r="CH776" s="1683">
        <v>0</v>
      </c>
      <c r="CI776" s="1683">
        <v>0</v>
      </c>
      <c r="CJ776" s="1683">
        <v>0</v>
      </c>
      <c r="CK776" s="1683">
        <v>0</v>
      </c>
      <c r="CL776" s="1682"/>
      <c r="CM776" s="1683">
        <v>132350</v>
      </c>
      <c r="CN776" s="1683">
        <v>132350</v>
      </c>
      <c r="CO776" s="1683">
        <v>112500</v>
      </c>
      <c r="CP776" s="1683">
        <v>112500</v>
      </c>
      <c r="CQ776" s="1683">
        <v>0</v>
      </c>
      <c r="CR776" s="1683">
        <v>19850</v>
      </c>
      <c r="CS776" s="1683">
        <v>0</v>
      </c>
      <c r="CT776" s="1683">
        <v>19850</v>
      </c>
      <c r="CU776" s="1683">
        <v>0</v>
      </c>
      <c r="CV776" s="1683">
        <v>0</v>
      </c>
      <c r="CW776" s="1682"/>
      <c r="CX776" s="1400"/>
      <c r="CY776" s="1400"/>
      <c r="CZ776" s="1400"/>
      <c r="DA776" s="1400"/>
      <c r="DB776" s="1682"/>
      <c r="DC776" s="1326"/>
      <c r="DD776" s="1683">
        <v>0</v>
      </c>
      <c r="DE776" s="1400"/>
      <c r="DF776" s="1400"/>
      <c r="DG776" s="1683">
        <v>0</v>
      </c>
      <c r="DH776" s="1683">
        <v>0</v>
      </c>
    </row>
    <row r="777" spans="1:112" ht="45">
      <c r="A777" s="1326" t="s">
        <v>1751</v>
      </c>
      <c r="B777" s="1326" t="s">
        <v>1690</v>
      </c>
      <c r="C777" s="1326" t="s">
        <v>2537</v>
      </c>
      <c r="D777" s="1326" t="s">
        <v>2538</v>
      </c>
      <c r="E777" s="1326" t="s">
        <v>269</v>
      </c>
      <c r="F777" s="1326" t="s">
        <v>2539</v>
      </c>
      <c r="G777" s="1326" t="s">
        <v>2540</v>
      </c>
      <c r="H777" s="1326" t="s">
        <v>2541</v>
      </c>
      <c r="I777" s="1326" t="s">
        <v>3959</v>
      </c>
      <c r="J777" s="1326" t="s">
        <v>3960</v>
      </c>
      <c r="K777" s="1326" t="s">
        <v>3961</v>
      </c>
      <c r="L777" s="1326" t="s">
        <v>2061</v>
      </c>
      <c r="M777" s="1400"/>
      <c r="N777" s="1400"/>
      <c r="O777" s="1400"/>
      <c r="P777" s="1400"/>
      <c r="Q777" s="1400"/>
      <c r="R777" s="1400"/>
      <c r="S777" s="1400"/>
      <c r="T777" s="1400"/>
      <c r="U777" s="1400"/>
      <c r="V777" s="1400"/>
      <c r="W777" s="1400"/>
      <c r="X777" s="1400"/>
      <c r="Y777" s="1685">
        <v>43119</v>
      </c>
      <c r="Z777" s="1326" t="s">
        <v>2062</v>
      </c>
      <c r="AA777" s="1683">
        <v>0</v>
      </c>
      <c r="AB777" s="1683">
        <v>0</v>
      </c>
      <c r="AC777" s="1683">
        <v>0</v>
      </c>
      <c r="AD777" s="1685">
        <v>43161</v>
      </c>
      <c r="AE777" s="1326" t="s">
        <v>2063</v>
      </c>
      <c r="AF777" s="1326" t="s">
        <v>2067</v>
      </c>
      <c r="AG777" s="1410"/>
      <c r="AH777" s="1683">
        <v>105880</v>
      </c>
      <c r="AI777" s="1683">
        <v>105880</v>
      </c>
      <c r="AJ777" s="1683">
        <v>90000</v>
      </c>
      <c r="AK777" s="1683">
        <v>90000</v>
      </c>
      <c r="AL777" s="1683">
        <v>0</v>
      </c>
      <c r="AM777" s="1685">
        <v>43167</v>
      </c>
      <c r="AN777" s="1683">
        <v>105880</v>
      </c>
      <c r="AO777" s="1683">
        <v>105880</v>
      </c>
      <c r="AP777" s="1683">
        <v>90000</v>
      </c>
      <c r="AQ777" s="1683">
        <v>90000</v>
      </c>
      <c r="AR777" s="1683">
        <v>0</v>
      </c>
      <c r="AS777" s="1683">
        <v>15880</v>
      </c>
      <c r="AT777" s="1683">
        <v>0</v>
      </c>
      <c r="AU777" s="1683">
        <v>15880</v>
      </c>
      <c r="AV777" s="1683">
        <v>0</v>
      </c>
      <c r="AW777" s="1683">
        <v>0</v>
      </c>
      <c r="AX777" s="1400"/>
      <c r="AY777" s="1400"/>
      <c r="AZ777" s="1400"/>
      <c r="BA777" s="1682"/>
      <c r="BB777" s="1682"/>
      <c r="BC777" s="1400"/>
      <c r="BD777" s="1400"/>
      <c r="BE777" s="1683">
        <v>105880</v>
      </c>
      <c r="BF777" s="1683">
        <v>105880</v>
      </c>
      <c r="BG777" s="1683">
        <v>90000</v>
      </c>
      <c r="BH777" s="1683">
        <v>90000</v>
      </c>
      <c r="BI777" s="1683">
        <v>0</v>
      </c>
      <c r="BJ777" s="1683">
        <v>15880</v>
      </c>
      <c r="BK777" s="1683">
        <v>0</v>
      </c>
      <c r="BL777" s="1683">
        <v>15880</v>
      </c>
      <c r="BM777" s="1683">
        <v>0</v>
      </c>
      <c r="BN777" s="1683">
        <v>0</v>
      </c>
      <c r="BO777" s="1685">
        <v>43236</v>
      </c>
      <c r="BP777" s="1683">
        <v>105880</v>
      </c>
      <c r="BQ777" s="1683">
        <v>105880</v>
      </c>
      <c r="BR777" s="1683">
        <v>90000</v>
      </c>
      <c r="BS777" s="1683">
        <v>90000</v>
      </c>
      <c r="BT777" s="1683">
        <v>0</v>
      </c>
      <c r="BU777" s="1683">
        <v>15880</v>
      </c>
      <c r="BV777" s="1683">
        <v>0</v>
      </c>
      <c r="BW777" s="1683">
        <v>15880</v>
      </c>
      <c r="BX777" s="1683">
        <v>0</v>
      </c>
      <c r="BY777" s="1683">
        <v>0</v>
      </c>
      <c r="BZ777" s="1683">
        <v>0</v>
      </c>
      <c r="CA777" s="1400"/>
      <c r="CB777" s="1682"/>
      <c r="CC777" s="1682"/>
      <c r="CD777" s="1400"/>
      <c r="CE777" s="1400"/>
      <c r="CF777" s="1683">
        <v>0</v>
      </c>
      <c r="CG777" s="1683">
        <v>0</v>
      </c>
      <c r="CH777" s="1683">
        <v>0</v>
      </c>
      <c r="CI777" s="1683">
        <v>0</v>
      </c>
      <c r="CJ777" s="1683">
        <v>0</v>
      </c>
      <c r="CK777" s="1683">
        <v>0</v>
      </c>
      <c r="CL777" s="1682"/>
      <c r="CM777" s="1683">
        <v>105880</v>
      </c>
      <c r="CN777" s="1683">
        <v>105880</v>
      </c>
      <c r="CO777" s="1683">
        <v>90000</v>
      </c>
      <c r="CP777" s="1683">
        <v>90000</v>
      </c>
      <c r="CQ777" s="1683">
        <v>0</v>
      </c>
      <c r="CR777" s="1683">
        <v>15880</v>
      </c>
      <c r="CS777" s="1683">
        <v>0</v>
      </c>
      <c r="CT777" s="1683">
        <v>15880</v>
      </c>
      <c r="CU777" s="1683">
        <v>0</v>
      </c>
      <c r="CV777" s="1683">
        <v>0</v>
      </c>
      <c r="CW777" s="1682"/>
      <c r="CX777" s="1400"/>
      <c r="CY777" s="1400"/>
      <c r="CZ777" s="1400"/>
      <c r="DA777" s="1400"/>
      <c r="DB777" s="1682"/>
      <c r="DC777" s="1326"/>
      <c r="DD777" s="1683">
        <v>0</v>
      </c>
      <c r="DE777" s="1400"/>
      <c r="DF777" s="1400"/>
      <c r="DG777" s="1683">
        <v>0</v>
      </c>
      <c r="DH777" s="1683">
        <v>0</v>
      </c>
    </row>
    <row r="778" spans="1:112" ht="45">
      <c r="A778" s="1326" t="s">
        <v>2089</v>
      </c>
      <c r="B778" s="1326" t="s">
        <v>1690</v>
      </c>
      <c r="C778" s="1326" t="s">
        <v>2537</v>
      </c>
      <c r="D778" s="1326" t="s">
        <v>2538</v>
      </c>
      <c r="E778" s="1326" t="s">
        <v>269</v>
      </c>
      <c r="F778" s="1326" t="s">
        <v>2539</v>
      </c>
      <c r="G778" s="1326" t="s">
        <v>2540</v>
      </c>
      <c r="H778" s="1326" t="s">
        <v>2541</v>
      </c>
      <c r="I778" s="1326" t="s">
        <v>3959</v>
      </c>
      <c r="J778" s="1326" t="s">
        <v>3960</v>
      </c>
      <c r="K778" s="1326" t="s">
        <v>3961</v>
      </c>
      <c r="L778" s="1326" t="s">
        <v>2061</v>
      </c>
      <c r="M778" s="1400"/>
      <c r="N778" s="1400"/>
      <c r="O778" s="1400"/>
      <c r="P778" s="1400"/>
      <c r="Q778" s="1400"/>
      <c r="R778" s="1400"/>
      <c r="S778" s="1400"/>
      <c r="T778" s="1400"/>
      <c r="U778" s="1400"/>
      <c r="V778" s="1400"/>
      <c r="W778" s="1400"/>
      <c r="X778" s="1400"/>
      <c r="Y778" s="1685">
        <v>43371</v>
      </c>
      <c r="Z778" s="1326" t="s">
        <v>2062</v>
      </c>
      <c r="AA778" s="1683">
        <v>0</v>
      </c>
      <c r="AB778" s="1683">
        <v>0</v>
      </c>
      <c r="AC778" s="1683">
        <v>0</v>
      </c>
      <c r="AD778" s="1685">
        <v>43409</v>
      </c>
      <c r="AE778" s="1326" t="s">
        <v>2066</v>
      </c>
      <c r="AF778" s="1326" t="s">
        <v>2067</v>
      </c>
      <c r="AG778" s="1410"/>
      <c r="AH778" s="1683">
        <v>185290</v>
      </c>
      <c r="AI778" s="1683">
        <v>185290</v>
      </c>
      <c r="AJ778" s="1683">
        <v>157500</v>
      </c>
      <c r="AK778" s="1683">
        <v>157500</v>
      </c>
      <c r="AL778" s="1683">
        <v>0</v>
      </c>
      <c r="AM778" s="1685">
        <v>43411</v>
      </c>
      <c r="AN778" s="1683">
        <v>185290</v>
      </c>
      <c r="AO778" s="1683">
        <v>185290</v>
      </c>
      <c r="AP778" s="1683">
        <v>157500</v>
      </c>
      <c r="AQ778" s="1683">
        <v>157500</v>
      </c>
      <c r="AR778" s="1683">
        <v>0</v>
      </c>
      <c r="AS778" s="1683">
        <v>27790</v>
      </c>
      <c r="AT778" s="1683">
        <v>0</v>
      </c>
      <c r="AU778" s="1683">
        <v>27790</v>
      </c>
      <c r="AV778" s="1683">
        <v>0</v>
      </c>
      <c r="AW778" s="1683">
        <v>0</v>
      </c>
      <c r="AX778" s="1400"/>
      <c r="AY778" s="1400"/>
      <c r="AZ778" s="1400"/>
      <c r="BA778" s="1682"/>
      <c r="BB778" s="1682"/>
      <c r="BC778" s="1400"/>
      <c r="BD778" s="1400"/>
      <c r="BE778" s="1683">
        <v>185290</v>
      </c>
      <c r="BF778" s="1683">
        <v>185290</v>
      </c>
      <c r="BG778" s="1683">
        <v>157500</v>
      </c>
      <c r="BH778" s="1683">
        <v>157500</v>
      </c>
      <c r="BI778" s="1683">
        <v>0</v>
      </c>
      <c r="BJ778" s="1683">
        <v>27790</v>
      </c>
      <c r="BK778" s="1683">
        <v>0</v>
      </c>
      <c r="BL778" s="1683">
        <v>27790</v>
      </c>
      <c r="BM778" s="1683">
        <v>0</v>
      </c>
      <c r="BN778" s="1683">
        <v>0</v>
      </c>
      <c r="BO778" s="1685">
        <v>43453</v>
      </c>
      <c r="BP778" s="1683">
        <v>185290</v>
      </c>
      <c r="BQ778" s="1683">
        <v>185290</v>
      </c>
      <c r="BR778" s="1683">
        <v>157500</v>
      </c>
      <c r="BS778" s="1683">
        <v>157500</v>
      </c>
      <c r="BT778" s="1683">
        <v>0</v>
      </c>
      <c r="BU778" s="1683">
        <v>27790</v>
      </c>
      <c r="BV778" s="1683">
        <v>0</v>
      </c>
      <c r="BW778" s="1683">
        <v>0</v>
      </c>
      <c r="BX778" s="1683">
        <v>0</v>
      </c>
      <c r="BY778" s="1683">
        <v>0</v>
      </c>
      <c r="BZ778" s="1683">
        <v>0</v>
      </c>
      <c r="CA778" s="1400"/>
      <c r="CB778" s="1682"/>
      <c r="CC778" s="1682"/>
      <c r="CD778" s="1400"/>
      <c r="CE778" s="1400"/>
      <c r="CF778" s="1683">
        <v>0</v>
      </c>
      <c r="CG778" s="1683">
        <v>0</v>
      </c>
      <c r="CH778" s="1683">
        <v>0</v>
      </c>
      <c r="CI778" s="1683">
        <v>0</v>
      </c>
      <c r="CJ778" s="1683">
        <v>0</v>
      </c>
      <c r="CK778" s="1683">
        <v>0</v>
      </c>
      <c r="CL778" s="1682"/>
      <c r="CM778" s="1683">
        <v>0</v>
      </c>
      <c r="CN778" s="1683">
        <v>0</v>
      </c>
      <c r="CO778" s="1683">
        <v>0</v>
      </c>
      <c r="CP778" s="1683">
        <v>0</v>
      </c>
      <c r="CQ778" s="1683">
        <v>0</v>
      </c>
      <c r="CR778" s="1683">
        <v>0</v>
      </c>
      <c r="CS778" s="1683">
        <v>0</v>
      </c>
      <c r="CT778" s="1683">
        <v>0</v>
      </c>
      <c r="CU778" s="1683">
        <v>0</v>
      </c>
      <c r="CV778" s="1683">
        <v>0</v>
      </c>
      <c r="CW778" s="1682"/>
      <c r="CX778" s="1400"/>
      <c r="CY778" s="1400"/>
      <c r="CZ778" s="1400"/>
      <c r="DA778" s="1400"/>
      <c r="DB778" s="1682"/>
      <c r="DC778" s="1326"/>
      <c r="DD778" s="1683">
        <v>0</v>
      </c>
      <c r="DE778" s="1400"/>
      <c r="DF778" s="1400"/>
      <c r="DG778" s="1683">
        <v>0</v>
      </c>
      <c r="DH778" s="1683">
        <v>0</v>
      </c>
    </row>
    <row r="779" spans="1:112" ht="33.75">
      <c r="A779" s="1326" t="s">
        <v>2090</v>
      </c>
      <c r="B779" s="1326" t="s">
        <v>1690</v>
      </c>
      <c r="C779" s="1326" t="s">
        <v>2537</v>
      </c>
      <c r="D779" s="1326" t="s">
        <v>2538</v>
      </c>
      <c r="E779" s="1326" t="s">
        <v>269</v>
      </c>
      <c r="F779" s="1326" t="s">
        <v>2539</v>
      </c>
      <c r="G779" s="1326" t="s">
        <v>2540</v>
      </c>
      <c r="H779" s="1326" t="s">
        <v>2541</v>
      </c>
      <c r="I779" s="1326" t="s">
        <v>3962</v>
      </c>
      <c r="J779" s="1326" t="s">
        <v>3963</v>
      </c>
      <c r="K779" s="1326" t="s">
        <v>2370</v>
      </c>
      <c r="L779" s="1326" t="s">
        <v>2061</v>
      </c>
      <c r="M779" s="1683">
        <v>239943</v>
      </c>
      <c r="N779" s="1683">
        <v>0</v>
      </c>
      <c r="O779" s="1683">
        <v>239943</v>
      </c>
      <c r="P779" s="1683">
        <v>239943</v>
      </c>
      <c r="Q779" s="1683">
        <v>203951.55</v>
      </c>
      <c r="R779" s="1683">
        <v>203951.55</v>
      </c>
      <c r="S779" s="1683">
        <v>0</v>
      </c>
      <c r="T779" s="1683">
        <v>35991.449999999997</v>
      </c>
      <c r="U779" s="1683">
        <v>0</v>
      </c>
      <c r="V779" s="1683">
        <v>35991.449999999997</v>
      </c>
      <c r="W779" s="1683">
        <v>0</v>
      </c>
      <c r="X779" s="1683">
        <v>0</v>
      </c>
      <c r="Y779" s="1682"/>
      <c r="Z779" s="1326"/>
      <c r="AA779" s="1683">
        <v>0</v>
      </c>
      <c r="AB779" s="1683">
        <v>0</v>
      </c>
      <c r="AC779" s="1683">
        <v>0</v>
      </c>
      <c r="AD779" s="1682"/>
      <c r="AE779" s="1326"/>
      <c r="AF779" s="1326"/>
      <c r="AG779" s="1410"/>
      <c r="AH779" s="1683">
        <v>95977.2</v>
      </c>
      <c r="AI779" s="1683">
        <v>95977.2</v>
      </c>
      <c r="AJ779" s="1683">
        <v>81580.62</v>
      </c>
      <c r="AK779" s="1683">
        <v>81580.62</v>
      </c>
      <c r="AL779" s="1683">
        <v>0</v>
      </c>
      <c r="AM779" s="1682"/>
      <c r="AN779" s="1683">
        <v>95977.2</v>
      </c>
      <c r="AO779" s="1683">
        <v>95977.2</v>
      </c>
      <c r="AP779" s="1683">
        <v>81580.62</v>
      </c>
      <c r="AQ779" s="1683">
        <v>81580.62</v>
      </c>
      <c r="AR779" s="1683">
        <v>0</v>
      </c>
      <c r="AS779" s="1683">
        <v>14396.58</v>
      </c>
      <c r="AT779" s="1683">
        <v>0</v>
      </c>
      <c r="AU779" s="1683">
        <v>14396.58</v>
      </c>
      <c r="AV779" s="1683">
        <v>0</v>
      </c>
      <c r="AW779" s="1683">
        <v>0</v>
      </c>
      <c r="AX779" s="1683">
        <v>0</v>
      </c>
      <c r="AY779" s="1683">
        <v>0</v>
      </c>
      <c r="AZ779" s="1683">
        <v>0</v>
      </c>
      <c r="BA779" s="1682"/>
      <c r="BB779" s="1682"/>
      <c r="BC779" s="1683">
        <v>0</v>
      </c>
      <c r="BD779" s="1683">
        <v>0</v>
      </c>
      <c r="BE779" s="1683">
        <v>95977.2</v>
      </c>
      <c r="BF779" s="1683">
        <v>95977.2</v>
      </c>
      <c r="BG779" s="1683">
        <v>81580.62</v>
      </c>
      <c r="BH779" s="1683">
        <v>81580.62</v>
      </c>
      <c r="BI779" s="1683">
        <v>0</v>
      </c>
      <c r="BJ779" s="1683">
        <v>14396.58</v>
      </c>
      <c r="BK779" s="1683">
        <v>0</v>
      </c>
      <c r="BL779" s="1683">
        <v>14396.58</v>
      </c>
      <c r="BM779" s="1683">
        <v>0</v>
      </c>
      <c r="BN779" s="1683">
        <v>0</v>
      </c>
      <c r="BO779" s="1682"/>
      <c r="BP779" s="1683">
        <v>0</v>
      </c>
      <c r="BQ779" s="1683">
        <v>0</v>
      </c>
      <c r="BR779" s="1683">
        <v>0</v>
      </c>
      <c r="BS779" s="1683">
        <v>0</v>
      </c>
      <c r="BT779" s="1683">
        <v>0</v>
      </c>
      <c r="BU779" s="1683">
        <v>0</v>
      </c>
      <c r="BV779" s="1683">
        <v>0</v>
      </c>
      <c r="BW779" s="1683">
        <v>0</v>
      </c>
      <c r="BX779" s="1683">
        <v>0</v>
      </c>
      <c r="BY779" s="1683">
        <v>0</v>
      </c>
      <c r="BZ779" s="1400"/>
      <c r="CA779" s="1683">
        <v>0</v>
      </c>
      <c r="CB779" s="1682"/>
      <c r="CC779" s="1682"/>
      <c r="CD779" s="1683">
        <v>0</v>
      </c>
      <c r="CE779" s="1683">
        <v>0</v>
      </c>
      <c r="CF779" s="1683">
        <v>0</v>
      </c>
      <c r="CG779" s="1683">
        <v>0</v>
      </c>
      <c r="CH779" s="1683">
        <v>0</v>
      </c>
      <c r="CI779" s="1683">
        <v>0</v>
      </c>
      <c r="CJ779" s="1683">
        <v>0</v>
      </c>
      <c r="CK779" s="1683">
        <v>0</v>
      </c>
      <c r="CL779" s="1682"/>
      <c r="CM779" s="1683">
        <v>0</v>
      </c>
      <c r="CN779" s="1683">
        <v>0</v>
      </c>
      <c r="CO779" s="1683">
        <v>0</v>
      </c>
      <c r="CP779" s="1683">
        <v>0</v>
      </c>
      <c r="CQ779" s="1683">
        <v>0</v>
      </c>
      <c r="CR779" s="1683">
        <v>0</v>
      </c>
      <c r="CS779" s="1683">
        <v>0</v>
      </c>
      <c r="CT779" s="1683">
        <v>0</v>
      </c>
      <c r="CU779" s="1683">
        <v>0</v>
      </c>
      <c r="CV779" s="1683">
        <v>0</v>
      </c>
      <c r="CW779" s="1682"/>
      <c r="CX779" s="1683">
        <v>0</v>
      </c>
      <c r="CY779" s="1683">
        <v>0</v>
      </c>
      <c r="CZ779" s="1683">
        <v>0</v>
      </c>
      <c r="DA779" s="1683">
        <v>0</v>
      </c>
      <c r="DB779" s="1682"/>
      <c r="DC779" s="1326"/>
      <c r="DD779" s="1683">
        <v>0</v>
      </c>
      <c r="DE779" s="1683">
        <v>0</v>
      </c>
      <c r="DF779" s="1683">
        <v>0</v>
      </c>
      <c r="DG779" s="1683">
        <v>0</v>
      </c>
      <c r="DH779" s="1683">
        <v>0</v>
      </c>
    </row>
    <row r="780" spans="1:112" ht="33.75">
      <c r="A780" s="1326" t="s">
        <v>2091</v>
      </c>
      <c r="B780" s="1326" t="s">
        <v>1690</v>
      </c>
      <c r="C780" s="1326" t="s">
        <v>2537</v>
      </c>
      <c r="D780" s="1326" t="s">
        <v>2538</v>
      </c>
      <c r="E780" s="1326" t="s">
        <v>269</v>
      </c>
      <c r="F780" s="1326" t="s">
        <v>2539</v>
      </c>
      <c r="G780" s="1326" t="s">
        <v>2540</v>
      </c>
      <c r="H780" s="1326" t="s">
        <v>2541</v>
      </c>
      <c r="I780" s="1326" t="s">
        <v>3962</v>
      </c>
      <c r="J780" s="1326" t="s">
        <v>3963</v>
      </c>
      <c r="K780" s="1326" t="s">
        <v>2370</v>
      </c>
      <c r="L780" s="1326" t="s">
        <v>2061</v>
      </c>
      <c r="M780" s="1400"/>
      <c r="N780" s="1400"/>
      <c r="O780" s="1400"/>
      <c r="P780" s="1400"/>
      <c r="Q780" s="1400"/>
      <c r="R780" s="1400"/>
      <c r="S780" s="1400"/>
      <c r="T780" s="1400"/>
      <c r="U780" s="1400"/>
      <c r="V780" s="1400"/>
      <c r="W780" s="1400"/>
      <c r="X780" s="1400"/>
      <c r="Y780" s="1685">
        <v>43425</v>
      </c>
      <c r="Z780" s="1326" t="s">
        <v>2062</v>
      </c>
      <c r="AA780" s="1683">
        <v>0</v>
      </c>
      <c r="AB780" s="1683">
        <v>0</v>
      </c>
      <c r="AC780" s="1683">
        <v>0</v>
      </c>
      <c r="AD780" s="1685">
        <v>43462</v>
      </c>
      <c r="AE780" s="1326" t="s">
        <v>2073</v>
      </c>
      <c r="AF780" s="1326" t="s">
        <v>2067</v>
      </c>
      <c r="AG780" s="1410"/>
      <c r="AH780" s="1683">
        <v>95977.2</v>
      </c>
      <c r="AI780" s="1683">
        <v>95977.2</v>
      </c>
      <c r="AJ780" s="1683">
        <v>81580.62</v>
      </c>
      <c r="AK780" s="1683">
        <v>81580.62</v>
      </c>
      <c r="AL780" s="1683">
        <v>0</v>
      </c>
      <c r="AM780" s="1685">
        <v>43462</v>
      </c>
      <c r="AN780" s="1683">
        <v>95977.2</v>
      </c>
      <c r="AO780" s="1683">
        <v>95977.2</v>
      </c>
      <c r="AP780" s="1683">
        <v>81580.62</v>
      </c>
      <c r="AQ780" s="1683">
        <v>81580.62</v>
      </c>
      <c r="AR780" s="1683">
        <v>0</v>
      </c>
      <c r="AS780" s="1683">
        <v>14396.58</v>
      </c>
      <c r="AT780" s="1683">
        <v>0</v>
      </c>
      <c r="AU780" s="1683">
        <v>14396.58</v>
      </c>
      <c r="AV780" s="1683">
        <v>0</v>
      </c>
      <c r="AW780" s="1683">
        <v>0</v>
      </c>
      <c r="AX780" s="1400"/>
      <c r="AY780" s="1400"/>
      <c r="AZ780" s="1400"/>
      <c r="BA780" s="1682"/>
      <c r="BB780" s="1682"/>
      <c r="BC780" s="1400"/>
      <c r="BD780" s="1400"/>
      <c r="BE780" s="1683">
        <v>95977.2</v>
      </c>
      <c r="BF780" s="1683">
        <v>95977.2</v>
      </c>
      <c r="BG780" s="1683">
        <v>81580.62</v>
      </c>
      <c r="BH780" s="1683">
        <v>81580.62</v>
      </c>
      <c r="BI780" s="1683">
        <v>0</v>
      </c>
      <c r="BJ780" s="1683">
        <v>14396.58</v>
      </c>
      <c r="BK780" s="1683">
        <v>0</v>
      </c>
      <c r="BL780" s="1683">
        <v>14396.58</v>
      </c>
      <c r="BM780" s="1683">
        <v>0</v>
      </c>
      <c r="BN780" s="1683">
        <v>0</v>
      </c>
      <c r="BO780" s="1682"/>
      <c r="BP780" s="1683">
        <v>0</v>
      </c>
      <c r="BQ780" s="1683">
        <v>0</v>
      </c>
      <c r="BR780" s="1683">
        <v>0</v>
      </c>
      <c r="BS780" s="1683">
        <v>0</v>
      </c>
      <c r="BT780" s="1683">
        <v>0</v>
      </c>
      <c r="BU780" s="1683">
        <v>0</v>
      </c>
      <c r="BV780" s="1683">
        <v>0</v>
      </c>
      <c r="BW780" s="1683">
        <v>0</v>
      </c>
      <c r="BX780" s="1683">
        <v>0</v>
      </c>
      <c r="BY780" s="1683">
        <v>0</v>
      </c>
      <c r="BZ780" s="1400"/>
      <c r="CA780" s="1400"/>
      <c r="CB780" s="1682"/>
      <c r="CC780" s="1682"/>
      <c r="CD780" s="1400"/>
      <c r="CE780" s="1400"/>
      <c r="CF780" s="1683">
        <v>0</v>
      </c>
      <c r="CG780" s="1683">
        <v>0</v>
      </c>
      <c r="CH780" s="1683">
        <v>0</v>
      </c>
      <c r="CI780" s="1683">
        <v>0</v>
      </c>
      <c r="CJ780" s="1683">
        <v>0</v>
      </c>
      <c r="CK780" s="1683">
        <v>0</v>
      </c>
      <c r="CL780" s="1682"/>
      <c r="CM780" s="1683">
        <v>0</v>
      </c>
      <c r="CN780" s="1683">
        <v>0</v>
      </c>
      <c r="CO780" s="1683">
        <v>0</v>
      </c>
      <c r="CP780" s="1683">
        <v>0</v>
      </c>
      <c r="CQ780" s="1683">
        <v>0</v>
      </c>
      <c r="CR780" s="1683">
        <v>0</v>
      </c>
      <c r="CS780" s="1683">
        <v>0</v>
      </c>
      <c r="CT780" s="1683">
        <v>0</v>
      </c>
      <c r="CU780" s="1683">
        <v>0</v>
      </c>
      <c r="CV780" s="1683">
        <v>0</v>
      </c>
      <c r="CW780" s="1682"/>
      <c r="CX780" s="1400"/>
      <c r="CY780" s="1400"/>
      <c r="CZ780" s="1400"/>
      <c r="DA780" s="1400"/>
      <c r="DB780" s="1682"/>
      <c r="DC780" s="1326"/>
      <c r="DD780" s="1683">
        <v>0</v>
      </c>
      <c r="DE780" s="1400"/>
      <c r="DF780" s="1400"/>
      <c r="DG780" s="1683">
        <v>0</v>
      </c>
      <c r="DH780" s="1683">
        <v>0</v>
      </c>
    </row>
  </sheetData>
  <mergeCells count="49">
    <mergeCell ref="A5:C5"/>
    <mergeCell ref="D5:O5"/>
    <mergeCell ref="B7:L7"/>
    <mergeCell ref="M7:X7"/>
    <mergeCell ref="Y7:AI7"/>
    <mergeCell ref="A1:O1"/>
    <mergeCell ref="A2:O2"/>
    <mergeCell ref="A3:C3"/>
    <mergeCell ref="D3:O3"/>
    <mergeCell ref="A4:C4"/>
    <mergeCell ref="D4:O4"/>
    <mergeCell ref="DB7:DC7"/>
    <mergeCell ref="DD7:DH7"/>
    <mergeCell ref="Q8:S8"/>
    <mergeCell ref="T8:X8"/>
    <mergeCell ref="AA8:AC8"/>
    <mergeCell ref="CW8:CY8"/>
    <mergeCell ref="DB8:DC8"/>
    <mergeCell ref="DD8:DH8"/>
    <mergeCell ref="CF8:CG8"/>
    <mergeCell ref="CH8:CI8"/>
    <mergeCell ref="CJ8:CK8"/>
    <mergeCell ref="CZ7:DA7"/>
    <mergeCell ref="CZ8:DA8"/>
    <mergeCell ref="AJ7:CY7"/>
    <mergeCell ref="CL8:CV8"/>
    <mergeCell ref="U9:W9"/>
    <mergeCell ref="AA9:AC9"/>
    <mergeCell ref="AP9:AR9"/>
    <mergeCell ref="BO8:BZ8"/>
    <mergeCell ref="CA8:CE8"/>
    <mergeCell ref="AJ8:AL8"/>
    <mergeCell ref="AM8:AY8"/>
    <mergeCell ref="AZ8:BD8"/>
    <mergeCell ref="BE8:BN8"/>
    <mergeCell ref="DB9:DC9"/>
    <mergeCell ref="DD9:DH9"/>
    <mergeCell ref="AA10:AC10"/>
    <mergeCell ref="AT10:AV10"/>
    <mergeCell ref="BK10:BM10"/>
    <mergeCell ref="AS9:AW9"/>
    <mergeCell ref="BR9:BT9"/>
    <mergeCell ref="BU9:BY9"/>
    <mergeCell ref="BG9:BI9"/>
    <mergeCell ref="BJ9:BN9"/>
    <mergeCell ref="CO9:CQ9"/>
    <mergeCell ref="CR9:CV9"/>
    <mergeCell ref="CS10:CU10"/>
    <mergeCell ref="BV10:BX10"/>
  </mergeCell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DV229"/>
  <sheetViews>
    <sheetView workbookViewId="0">
      <selection activeCell="J16" sqref="J16:J17"/>
    </sheetView>
  </sheetViews>
  <sheetFormatPr defaultRowHeight="15"/>
  <cols>
    <col min="1" max="1" width="6.42578125" style="21" customWidth="1"/>
    <col min="2" max="2" width="19.5703125" style="21" customWidth="1"/>
    <col min="3" max="3" width="13.42578125" style="21" customWidth="1"/>
    <col min="4" max="4" width="13.5703125" style="21" customWidth="1"/>
    <col min="5" max="6" width="20.85546875" style="21" customWidth="1"/>
    <col min="7" max="7" width="16.5703125" style="21" customWidth="1"/>
    <col min="8" max="8" width="21" style="21" customWidth="1"/>
    <col min="9" max="9" width="18.85546875" style="21" customWidth="1"/>
    <col min="10" max="10" width="19.42578125" style="21" customWidth="1"/>
    <col min="11" max="11" width="18.85546875" style="21" customWidth="1"/>
    <col min="12" max="12" width="18.140625" style="21" customWidth="1"/>
    <col min="13" max="14" width="20.85546875" style="21" customWidth="1"/>
    <col min="15" max="15" width="133.7109375" style="21" customWidth="1"/>
    <col min="16" max="16" width="19.7109375" style="21" customWidth="1"/>
    <col min="17" max="17" width="13.28515625" style="21" customWidth="1"/>
    <col min="18" max="18" width="14.42578125" style="21" customWidth="1"/>
    <col min="19" max="19" width="11" style="21" customWidth="1"/>
    <col min="20" max="20" width="13.42578125" style="21" customWidth="1"/>
    <col min="21" max="21" width="13.5703125" style="21" customWidth="1"/>
    <col min="22" max="22" width="17.5703125" style="21" customWidth="1"/>
    <col min="23" max="25" width="13.42578125" style="21" customWidth="1"/>
    <col min="26" max="26" width="12.7109375" style="21" customWidth="1"/>
    <col min="27" max="27" width="13.28515625" style="21" customWidth="1"/>
    <col min="28" max="28" width="17.140625" style="21" customWidth="1"/>
    <col min="29" max="30" width="13.42578125" style="21" customWidth="1"/>
    <col min="31" max="31" width="14.85546875" style="21" customWidth="1"/>
    <col min="32" max="32" width="13.140625" style="21" customWidth="1"/>
    <col min="33" max="33" width="14.85546875" style="21" customWidth="1"/>
    <col min="34" max="34" width="13" style="21" customWidth="1"/>
    <col min="35" max="36" width="15.5703125" style="21" customWidth="1"/>
    <col min="37" max="37" width="25.140625" style="21" customWidth="1"/>
    <col min="38" max="38" width="40.42578125" style="21" customWidth="1"/>
    <col min="39" max="39" width="19.140625" style="21" customWidth="1"/>
    <col min="40" max="40" width="17.85546875" style="21" customWidth="1"/>
    <col min="41" max="41" width="13.140625" style="21" customWidth="1"/>
    <col min="42" max="42" width="12" style="21" customWidth="1"/>
    <col min="43" max="43" width="13.85546875" style="21" customWidth="1"/>
    <col min="44" max="44" width="13.42578125" style="21" customWidth="1"/>
    <col min="45" max="45" width="19.5703125" style="21" customWidth="1"/>
    <col min="46" max="46" width="14.28515625" style="21" customWidth="1"/>
    <col min="47" max="47" width="22.85546875" style="21" customWidth="1"/>
    <col min="48" max="48" width="16" style="21" customWidth="1"/>
    <col min="49" max="49" width="14.5703125" style="21" customWidth="1"/>
    <col min="50" max="50" width="17.85546875" style="21" customWidth="1"/>
    <col min="51" max="51" width="13.42578125" style="21" customWidth="1"/>
    <col min="52" max="52" width="21.7109375" style="21" customWidth="1"/>
    <col min="53" max="53" width="18" style="21" customWidth="1"/>
    <col min="54" max="54" width="13.5703125" style="21" customWidth="1"/>
    <col min="55" max="55" width="16.42578125" style="21" customWidth="1"/>
    <col min="56" max="60" width="13.42578125" style="21" customWidth="1"/>
    <col min="61" max="61" width="12.7109375" style="21" customWidth="1"/>
    <col min="62" max="64" width="13.42578125" style="21" customWidth="1"/>
    <col min="65" max="65" width="14.5703125" style="21" customWidth="1"/>
    <col min="66" max="66" width="12.140625" style="21" customWidth="1"/>
    <col min="67" max="80" width="13.42578125" style="21" customWidth="1"/>
    <col min="81" max="81" width="17.42578125" style="21" customWidth="1"/>
    <col min="82" max="82" width="14.5703125" style="21" customWidth="1"/>
    <col min="83" max="91" width="13.42578125" style="21" customWidth="1"/>
    <col min="92" max="92" width="10.28515625" style="21" customWidth="1"/>
    <col min="93" max="98" width="13.42578125" style="21" customWidth="1"/>
    <col min="99" max="99" width="13.140625" style="21" customWidth="1"/>
    <col min="100" max="100" width="15.42578125" style="21" customWidth="1"/>
    <col min="101" max="120" width="13.42578125" style="21" customWidth="1"/>
    <col min="121" max="121" width="20.85546875" style="21" customWidth="1"/>
    <col min="122" max="122" width="15.5703125" style="21" customWidth="1"/>
    <col min="123" max="126" width="13.42578125" style="21" customWidth="1"/>
    <col min="127" max="127" width="20.85546875" style="21" customWidth="1"/>
    <col min="128" max="256" width="9.140625" style="21"/>
    <col min="257" max="257" width="6.42578125" style="21" customWidth="1"/>
    <col min="258" max="258" width="19.5703125" style="21" customWidth="1"/>
    <col min="259" max="259" width="13.42578125" style="21" customWidth="1"/>
    <col min="260" max="260" width="13.5703125" style="21" customWidth="1"/>
    <col min="261" max="262" width="20.85546875" style="21" customWidth="1"/>
    <col min="263" max="263" width="16.5703125" style="21" customWidth="1"/>
    <col min="264" max="264" width="21" style="21" customWidth="1"/>
    <col min="265" max="265" width="18.85546875" style="21" customWidth="1"/>
    <col min="266" max="266" width="19.42578125" style="21" customWidth="1"/>
    <col min="267" max="267" width="18.85546875" style="21" customWidth="1"/>
    <col min="268" max="268" width="18.140625" style="21" customWidth="1"/>
    <col min="269" max="270" width="20.85546875" style="21" customWidth="1"/>
    <col min="271" max="271" width="133.7109375" style="21" customWidth="1"/>
    <col min="272" max="272" width="19.7109375" style="21" customWidth="1"/>
    <col min="273" max="273" width="13.28515625" style="21" customWidth="1"/>
    <col min="274" max="274" width="14.42578125" style="21" customWidth="1"/>
    <col min="275" max="275" width="11" style="21" customWidth="1"/>
    <col min="276" max="276" width="13.42578125" style="21" customWidth="1"/>
    <col min="277" max="277" width="13.5703125" style="21" customWidth="1"/>
    <col min="278" max="278" width="17.5703125" style="21" customWidth="1"/>
    <col min="279" max="281" width="13.42578125" style="21" customWidth="1"/>
    <col min="282" max="282" width="12.7109375" style="21" customWidth="1"/>
    <col min="283" max="283" width="13.28515625" style="21" customWidth="1"/>
    <col min="284" max="284" width="17.140625" style="21" customWidth="1"/>
    <col min="285" max="286" width="13.42578125" style="21" customWidth="1"/>
    <col min="287" max="287" width="14.85546875" style="21" customWidth="1"/>
    <col min="288" max="288" width="13.140625" style="21" customWidth="1"/>
    <col min="289" max="289" width="14.85546875" style="21" customWidth="1"/>
    <col min="290" max="290" width="13" style="21" customWidth="1"/>
    <col min="291" max="292" width="15.5703125" style="21" customWidth="1"/>
    <col min="293" max="293" width="25.140625" style="21" customWidth="1"/>
    <col min="294" max="294" width="40.42578125" style="21" customWidth="1"/>
    <col min="295" max="295" width="19.140625" style="21" customWidth="1"/>
    <col min="296" max="296" width="17.85546875" style="21" customWidth="1"/>
    <col min="297" max="297" width="13.140625" style="21" customWidth="1"/>
    <col min="298" max="298" width="12" style="21" customWidth="1"/>
    <col min="299" max="299" width="13.85546875" style="21" customWidth="1"/>
    <col min="300" max="300" width="13.42578125" style="21" customWidth="1"/>
    <col min="301" max="301" width="19.5703125" style="21" customWidth="1"/>
    <col min="302" max="302" width="14.28515625" style="21" customWidth="1"/>
    <col min="303" max="303" width="22.85546875" style="21" customWidth="1"/>
    <col min="304" max="304" width="16" style="21" customWidth="1"/>
    <col min="305" max="305" width="14.5703125" style="21" customWidth="1"/>
    <col min="306" max="306" width="17.85546875" style="21" customWidth="1"/>
    <col min="307" max="307" width="13.42578125" style="21" customWidth="1"/>
    <col min="308" max="308" width="21.7109375" style="21" customWidth="1"/>
    <col min="309" max="309" width="18" style="21" customWidth="1"/>
    <col min="310" max="310" width="13.5703125" style="21" customWidth="1"/>
    <col min="311" max="311" width="16.42578125" style="21" customWidth="1"/>
    <col min="312" max="316" width="13.42578125" style="21" customWidth="1"/>
    <col min="317" max="317" width="12.7109375" style="21" customWidth="1"/>
    <col min="318" max="320" width="13.42578125" style="21" customWidth="1"/>
    <col min="321" max="321" width="14.5703125" style="21" customWidth="1"/>
    <col min="322" max="322" width="12.140625" style="21" customWidth="1"/>
    <col min="323" max="336" width="13.42578125" style="21" customWidth="1"/>
    <col min="337" max="337" width="17.42578125" style="21" customWidth="1"/>
    <col min="338" max="338" width="14.5703125" style="21" customWidth="1"/>
    <col min="339" max="347" width="13.42578125" style="21" customWidth="1"/>
    <col min="348" max="348" width="10.28515625" style="21" customWidth="1"/>
    <col min="349" max="354" width="13.42578125" style="21" customWidth="1"/>
    <col min="355" max="355" width="13.140625" style="21" customWidth="1"/>
    <col min="356" max="356" width="15.42578125" style="21" customWidth="1"/>
    <col min="357" max="376" width="13.42578125" style="21" customWidth="1"/>
    <col min="377" max="377" width="20.85546875" style="21" customWidth="1"/>
    <col min="378" max="378" width="15.5703125" style="21" customWidth="1"/>
    <col min="379" max="382" width="13.42578125" style="21" customWidth="1"/>
    <col min="383" max="383" width="20.85546875" style="21" customWidth="1"/>
    <col min="384" max="512" width="9.140625" style="21"/>
    <col min="513" max="513" width="6.42578125" style="21" customWidth="1"/>
    <col min="514" max="514" width="19.5703125" style="21" customWidth="1"/>
    <col min="515" max="515" width="13.42578125" style="21" customWidth="1"/>
    <col min="516" max="516" width="13.5703125" style="21" customWidth="1"/>
    <col min="517" max="518" width="20.85546875" style="21" customWidth="1"/>
    <col min="519" max="519" width="16.5703125" style="21" customWidth="1"/>
    <col min="520" max="520" width="21" style="21" customWidth="1"/>
    <col min="521" max="521" width="18.85546875" style="21" customWidth="1"/>
    <col min="522" max="522" width="19.42578125" style="21" customWidth="1"/>
    <col min="523" max="523" width="18.85546875" style="21" customWidth="1"/>
    <col min="524" max="524" width="18.140625" style="21" customWidth="1"/>
    <col min="525" max="526" width="20.85546875" style="21" customWidth="1"/>
    <col min="527" max="527" width="133.7109375" style="21" customWidth="1"/>
    <col min="528" max="528" width="19.7109375" style="21" customWidth="1"/>
    <col min="529" max="529" width="13.28515625" style="21" customWidth="1"/>
    <col min="530" max="530" width="14.42578125" style="21" customWidth="1"/>
    <col min="531" max="531" width="11" style="21" customWidth="1"/>
    <col min="532" max="532" width="13.42578125" style="21" customWidth="1"/>
    <col min="533" max="533" width="13.5703125" style="21" customWidth="1"/>
    <col min="534" max="534" width="17.5703125" style="21" customWidth="1"/>
    <col min="535" max="537" width="13.42578125" style="21" customWidth="1"/>
    <col min="538" max="538" width="12.7109375" style="21" customWidth="1"/>
    <col min="539" max="539" width="13.28515625" style="21" customWidth="1"/>
    <col min="540" max="540" width="17.140625" style="21" customWidth="1"/>
    <col min="541" max="542" width="13.42578125" style="21" customWidth="1"/>
    <col min="543" max="543" width="14.85546875" style="21" customWidth="1"/>
    <col min="544" max="544" width="13.140625" style="21" customWidth="1"/>
    <col min="545" max="545" width="14.85546875" style="21" customWidth="1"/>
    <col min="546" max="546" width="13" style="21" customWidth="1"/>
    <col min="547" max="548" width="15.5703125" style="21" customWidth="1"/>
    <col min="549" max="549" width="25.140625" style="21" customWidth="1"/>
    <col min="550" max="550" width="40.42578125" style="21" customWidth="1"/>
    <col min="551" max="551" width="19.140625" style="21" customWidth="1"/>
    <col min="552" max="552" width="17.85546875" style="21" customWidth="1"/>
    <col min="553" max="553" width="13.140625" style="21" customWidth="1"/>
    <col min="554" max="554" width="12" style="21" customWidth="1"/>
    <col min="555" max="555" width="13.85546875" style="21" customWidth="1"/>
    <col min="556" max="556" width="13.42578125" style="21" customWidth="1"/>
    <col min="557" max="557" width="19.5703125" style="21" customWidth="1"/>
    <col min="558" max="558" width="14.28515625" style="21" customWidth="1"/>
    <col min="559" max="559" width="22.85546875" style="21" customWidth="1"/>
    <col min="560" max="560" width="16" style="21" customWidth="1"/>
    <col min="561" max="561" width="14.5703125" style="21" customWidth="1"/>
    <col min="562" max="562" width="17.85546875" style="21" customWidth="1"/>
    <col min="563" max="563" width="13.42578125" style="21" customWidth="1"/>
    <col min="564" max="564" width="21.7109375" style="21" customWidth="1"/>
    <col min="565" max="565" width="18" style="21" customWidth="1"/>
    <col min="566" max="566" width="13.5703125" style="21" customWidth="1"/>
    <col min="567" max="567" width="16.42578125" style="21" customWidth="1"/>
    <col min="568" max="572" width="13.42578125" style="21" customWidth="1"/>
    <col min="573" max="573" width="12.7109375" style="21" customWidth="1"/>
    <col min="574" max="576" width="13.42578125" style="21" customWidth="1"/>
    <col min="577" max="577" width="14.5703125" style="21" customWidth="1"/>
    <col min="578" max="578" width="12.140625" style="21" customWidth="1"/>
    <col min="579" max="592" width="13.42578125" style="21" customWidth="1"/>
    <col min="593" max="593" width="17.42578125" style="21" customWidth="1"/>
    <col min="594" max="594" width="14.5703125" style="21" customWidth="1"/>
    <col min="595" max="603" width="13.42578125" style="21" customWidth="1"/>
    <col min="604" max="604" width="10.28515625" style="21" customWidth="1"/>
    <col min="605" max="610" width="13.42578125" style="21" customWidth="1"/>
    <col min="611" max="611" width="13.140625" style="21" customWidth="1"/>
    <col min="612" max="612" width="15.42578125" style="21" customWidth="1"/>
    <col min="613" max="632" width="13.42578125" style="21" customWidth="1"/>
    <col min="633" max="633" width="20.85546875" style="21" customWidth="1"/>
    <col min="634" max="634" width="15.5703125" style="21" customWidth="1"/>
    <col min="635" max="638" width="13.42578125" style="21" customWidth="1"/>
    <col min="639" max="639" width="20.85546875" style="21" customWidth="1"/>
    <col min="640" max="768" width="9.140625" style="21"/>
    <col min="769" max="769" width="6.42578125" style="21" customWidth="1"/>
    <col min="770" max="770" width="19.5703125" style="21" customWidth="1"/>
    <col min="771" max="771" width="13.42578125" style="21" customWidth="1"/>
    <col min="772" max="772" width="13.5703125" style="21" customWidth="1"/>
    <col min="773" max="774" width="20.85546875" style="21" customWidth="1"/>
    <col min="775" max="775" width="16.5703125" style="21" customWidth="1"/>
    <col min="776" max="776" width="21" style="21" customWidth="1"/>
    <col min="777" max="777" width="18.85546875" style="21" customWidth="1"/>
    <col min="778" max="778" width="19.42578125" style="21" customWidth="1"/>
    <col min="779" max="779" width="18.85546875" style="21" customWidth="1"/>
    <col min="780" max="780" width="18.140625" style="21" customWidth="1"/>
    <col min="781" max="782" width="20.85546875" style="21" customWidth="1"/>
    <col min="783" max="783" width="133.7109375" style="21" customWidth="1"/>
    <col min="784" max="784" width="19.7109375" style="21" customWidth="1"/>
    <col min="785" max="785" width="13.28515625" style="21" customWidth="1"/>
    <col min="786" max="786" width="14.42578125" style="21" customWidth="1"/>
    <col min="787" max="787" width="11" style="21" customWidth="1"/>
    <col min="788" max="788" width="13.42578125" style="21" customWidth="1"/>
    <col min="789" max="789" width="13.5703125" style="21" customWidth="1"/>
    <col min="790" max="790" width="17.5703125" style="21" customWidth="1"/>
    <col min="791" max="793" width="13.42578125" style="21" customWidth="1"/>
    <col min="794" max="794" width="12.7109375" style="21" customWidth="1"/>
    <col min="795" max="795" width="13.28515625" style="21" customWidth="1"/>
    <col min="796" max="796" width="17.140625" style="21" customWidth="1"/>
    <col min="797" max="798" width="13.42578125" style="21" customWidth="1"/>
    <col min="799" max="799" width="14.85546875" style="21" customWidth="1"/>
    <col min="800" max="800" width="13.140625" style="21" customWidth="1"/>
    <col min="801" max="801" width="14.85546875" style="21" customWidth="1"/>
    <col min="802" max="802" width="13" style="21" customWidth="1"/>
    <col min="803" max="804" width="15.5703125" style="21" customWidth="1"/>
    <col min="805" max="805" width="25.140625" style="21" customWidth="1"/>
    <col min="806" max="806" width="40.42578125" style="21" customWidth="1"/>
    <col min="807" max="807" width="19.140625" style="21" customWidth="1"/>
    <col min="808" max="808" width="17.85546875" style="21" customWidth="1"/>
    <col min="809" max="809" width="13.140625" style="21" customWidth="1"/>
    <col min="810" max="810" width="12" style="21" customWidth="1"/>
    <col min="811" max="811" width="13.85546875" style="21" customWidth="1"/>
    <col min="812" max="812" width="13.42578125" style="21" customWidth="1"/>
    <col min="813" max="813" width="19.5703125" style="21" customWidth="1"/>
    <col min="814" max="814" width="14.28515625" style="21" customWidth="1"/>
    <col min="815" max="815" width="22.85546875" style="21" customWidth="1"/>
    <col min="816" max="816" width="16" style="21" customWidth="1"/>
    <col min="817" max="817" width="14.5703125" style="21" customWidth="1"/>
    <col min="818" max="818" width="17.85546875" style="21" customWidth="1"/>
    <col min="819" max="819" width="13.42578125" style="21" customWidth="1"/>
    <col min="820" max="820" width="21.7109375" style="21" customWidth="1"/>
    <col min="821" max="821" width="18" style="21" customWidth="1"/>
    <col min="822" max="822" width="13.5703125" style="21" customWidth="1"/>
    <col min="823" max="823" width="16.42578125" style="21" customWidth="1"/>
    <col min="824" max="828" width="13.42578125" style="21" customWidth="1"/>
    <col min="829" max="829" width="12.7109375" style="21" customWidth="1"/>
    <col min="830" max="832" width="13.42578125" style="21" customWidth="1"/>
    <col min="833" max="833" width="14.5703125" style="21" customWidth="1"/>
    <col min="834" max="834" width="12.140625" style="21" customWidth="1"/>
    <col min="835" max="848" width="13.42578125" style="21" customWidth="1"/>
    <col min="849" max="849" width="17.42578125" style="21" customWidth="1"/>
    <col min="850" max="850" width="14.5703125" style="21" customWidth="1"/>
    <col min="851" max="859" width="13.42578125" style="21" customWidth="1"/>
    <col min="860" max="860" width="10.28515625" style="21" customWidth="1"/>
    <col min="861" max="866" width="13.42578125" style="21" customWidth="1"/>
    <col min="867" max="867" width="13.140625" style="21" customWidth="1"/>
    <col min="868" max="868" width="15.42578125" style="21" customWidth="1"/>
    <col min="869" max="888" width="13.42578125" style="21" customWidth="1"/>
    <col min="889" max="889" width="20.85546875" style="21" customWidth="1"/>
    <col min="890" max="890" width="15.5703125" style="21" customWidth="1"/>
    <col min="891" max="894" width="13.42578125" style="21" customWidth="1"/>
    <col min="895" max="895" width="20.85546875" style="21" customWidth="1"/>
    <col min="896" max="1024" width="9.140625" style="21"/>
    <col min="1025" max="1025" width="6.42578125" style="21" customWidth="1"/>
    <col min="1026" max="1026" width="19.5703125" style="21" customWidth="1"/>
    <col min="1027" max="1027" width="13.42578125" style="21" customWidth="1"/>
    <col min="1028" max="1028" width="13.5703125" style="21" customWidth="1"/>
    <col min="1029" max="1030" width="20.85546875" style="21" customWidth="1"/>
    <col min="1031" max="1031" width="16.5703125" style="21" customWidth="1"/>
    <col min="1032" max="1032" width="21" style="21" customWidth="1"/>
    <col min="1033" max="1033" width="18.85546875" style="21" customWidth="1"/>
    <col min="1034" max="1034" width="19.42578125" style="21" customWidth="1"/>
    <col min="1035" max="1035" width="18.85546875" style="21" customWidth="1"/>
    <col min="1036" max="1036" width="18.140625" style="21" customWidth="1"/>
    <col min="1037" max="1038" width="20.85546875" style="21" customWidth="1"/>
    <col min="1039" max="1039" width="133.7109375" style="21" customWidth="1"/>
    <col min="1040" max="1040" width="19.7109375" style="21" customWidth="1"/>
    <col min="1041" max="1041" width="13.28515625" style="21" customWidth="1"/>
    <col min="1042" max="1042" width="14.42578125" style="21" customWidth="1"/>
    <col min="1043" max="1043" width="11" style="21" customWidth="1"/>
    <col min="1044" max="1044" width="13.42578125" style="21" customWidth="1"/>
    <col min="1045" max="1045" width="13.5703125" style="21" customWidth="1"/>
    <col min="1046" max="1046" width="17.5703125" style="21" customWidth="1"/>
    <col min="1047" max="1049" width="13.42578125" style="21" customWidth="1"/>
    <col min="1050" max="1050" width="12.7109375" style="21" customWidth="1"/>
    <col min="1051" max="1051" width="13.28515625" style="21" customWidth="1"/>
    <col min="1052" max="1052" width="17.140625" style="21" customWidth="1"/>
    <col min="1053" max="1054" width="13.42578125" style="21" customWidth="1"/>
    <col min="1055" max="1055" width="14.85546875" style="21" customWidth="1"/>
    <col min="1056" max="1056" width="13.140625" style="21" customWidth="1"/>
    <col min="1057" max="1057" width="14.85546875" style="21" customWidth="1"/>
    <col min="1058" max="1058" width="13" style="21" customWidth="1"/>
    <col min="1059" max="1060" width="15.5703125" style="21" customWidth="1"/>
    <col min="1061" max="1061" width="25.140625" style="21" customWidth="1"/>
    <col min="1062" max="1062" width="40.42578125" style="21" customWidth="1"/>
    <col min="1063" max="1063" width="19.140625" style="21" customWidth="1"/>
    <col min="1064" max="1064" width="17.85546875" style="21" customWidth="1"/>
    <col min="1065" max="1065" width="13.140625" style="21" customWidth="1"/>
    <col min="1066" max="1066" width="12" style="21" customWidth="1"/>
    <col min="1067" max="1067" width="13.85546875" style="21" customWidth="1"/>
    <col min="1068" max="1068" width="13.42578125" style="21" customWidth="1"/>
    <col min="1069" max="1069" width="19.5703125" style="21" customWidth="1"/>
    <col min="1070" max="1070" width="14.28515625" style="21" customWidth="1"/>
    <col min="1071" max="1071" width="22.85546875" style="21" customWidth="1"/>
    <col min="1072" max="1072" width="16" style="21" customWidth="1"/>
    <col min="1073" max="1073" width="14.5703125" style="21" customWidth="1"/>
    <col min="1074" max="1074" width="17.85546875" style="21" customWidth="1"/>
    <col min="1075" max="1075" width="13.42578125" style="21" customWidth="1"/>
    <col min="1076" max="1076" width="21.7109375" style="21" customWidth="1"/>
    <col min="1077" max="1077" width="18" style="21" customWidth="1"/>
    <col min="1078" max="1078" width="13.5703125" style="21" customWidth="1"/>
    <col min="1079" max="1079" width="16.42578125" style="21" customWidth="1"/>
    <col min="1080" max="1084" width="13.42578125" style="21" customWidth="1"/>
    <col min="1085" max="1085" width="12.7109375" style="21" customWidth="1"/>
    <col min="1086" max="1088" width="13.42578125" style="21" customWidth="1"/>
    <col min="1089" max="1089" width="14.5703125" style="21" customWidth="1"/>
    <col min="1090" max="1090" width="12.140625" style="21" customWidth="1"/>
    <col min="1091" max="1104" width="13.42578125" style="21" customWidth="1"/>
    <col min="1105" max="1105" width="17.42578125" style="21" customWidth="1"/>
    <col min="1106" max="1106" width="14.5703125" style="21" customWidth="1"/>
    <col min="1107" max="1115" width="13.42578125" style="21" customWidth="1"/>
    <col min="1116" max="1116" width="10.28515625" style="21" customWidth="1"/>
    <col min="1117" max="1122" width="13.42578125" style="21" customWidth="1"/>
    <col min="1123" max="1123" width="13.140625" style="21" customWidth="1"/>
    <col min="1124" max="1124" width="15.42578125" style="21" customWidth="1"/>
    <col min="1125" max="1144" width="13.42578125" style="21" customWidth="1"/>
    <col min="1145" max="1145" width="20.85546875" style="21" customWidth="1"/>
    <col min="1146" max="1146" width="15.5703125" style="21" customWidth="1"/>
    <col min="1147" max="1150" width="13.42578125" style="21" customWidth="1"/>
    <col min="1151" max="1151" width="20.85546875" style="21" customWidth="1"/>
    <col min="1152" max="1280" width="9.140625" style="21"/>
    <col min="1281" max="1281" width="6.42578125" style="21" customWidth="1"/>
    <col min="1282" max="1282" width="19.5703125" style="21" customWidth="1"/>
    <col min="1283" max="1283" width="13.42578125" style="21" customWidth="1"/>
    <col min="1284" max="1284" width="13.5703125" style="21" customWidth="1"/>
    <col min="1285" max="1286" width="20.85546875" style="21" customWidth="1"/>
    <col min="1287" max="1287" width="16.5703125" style="21" customWidth="1"/>
    <col min="1288" max="1288" width="21" style="21" customWidth="1"/>
    <col min="1289" max="1289" width="18.85546875" style="21" customWidth="1"/>
    <col min="1290" max="1290" width="19.42578125" style="21" customWidth="1"/>
    <col min="1291" max="1291" width="18.85546875" style="21" customWidth="1"/>
    <col min="1292" max="1292" width="18.140625" style="21" customWidth="1"/>
    <col min="1293" max="1294" width="20.85546875" style="21" customWidth="1"/>
    <col min="1295" max="1295" width="133.7109375" style="21" customWidth="1"/>
    <col min="1296" max="1296" width="19.7109375" style="21" customWidth="1"/>
    <col min="1297" max="1297" width="13.28515625" style="21" customWidth="1"/>
    <col min="1298" max="1298" width="14.42578125" style="21" customWidth="1"/>
    <col min="1299" max="1299" width="11" style="21" customWidth="1"/>
    <col min="1300" max="1300" width="13.42578125" style="21" customWidth="1"/>
    <col min="1301" max="1301" width="13.5703125" style="21" customWidth="1"/>
    <col min="1302" max="1302" width="17.5703125" style="21" customWidth="1"/>
    <col min="1303" max="1305" width="13.42578125" style="21" customWidth="1"/>
    <col min="1306" max="1306" width="12.7109375" style="21" customWidth="1"/>
    <col min="1307" max="1307" width="13.28515625" style="21" customWidth="1"/>
    <col min="1308" max="1308" width="17.140625" style="21" customWidth="1"/>
    <col min="1309" max="1310" width="13.42578125" style="21" customWidth="1"/>
    <col min="1311" max="1311" width="14.85546875" style="21" customWidth="1"/>
    <col min="1312" max="1312" width="13.140625" style="21" customWidth="1"/>
    <col min="1313" max="1313" width="14.85546875" style="21" customWidth="1"/>
    <col min="1314" max="1314" width="13" style="21" customWidth="1"/>
    <col min="1315" max="1316" width="15.5703125" style="21" customWidth="1"/>
    <col min="1317" max="1317" width="25.140625" style="21" customWidth="1"/>
    <col min="1318" max="1318" width="40.42578125" style="21" customWidth="1"/>
    <col min="1319" max="1319" width="19.140625" style="21" customWidth="1"/>
    <col min="1320" max="1320" width="17.85546875" style="21" customWidth="1"/>
    <col min="1321" max="1321" width="13.140625" style="21" customWidth="1"/>
    <col min="1322" max="1322" width="12" style="21" customWidth="1"/>
    <col min="1323" max="1323" width="13.85546875" style="21" customWidth="1"/>
    <col min="1324" max="1324" width="13.42578125" style="21" customWidth="1"/>
    <col min="1325" max="1325" width="19.5703125" style="21" customWidth="1"/>
    <col min="1326" max="1326" width="14.28515625" style="21" customWidth="1"/>
    <col min="1327" max="1327" width="22.85546875" style="21" customWidth="1"/>
    <col min="1328" max="1328" width="16" style="21" customWidth="1"/>
    <col min="1329" max="1329" width="14.5703125" style="21" customWidth="1"/>
    <col min="1330" max="1330" width="17.85546875" style="21" customWidth="1"/>
    <col min="1331" max="1331" width="13.42578125" style="21" customWidth="1"/>
    <col min="1332" max="1332" width="21.7109375" style="21" customWidth="1"/>
    <col min="1333" max="1333" width="18" style="21" customWidth="1"/>
    <col min="1334" max="1334" width="13.5703125" style="21" customWidth="1"/>
    <col min="1335" max="1335" width="16.42578125" style="21" customWidth="1"/>
    <col min="1336" max="1340" width="13.42578125" style="21" customWidth="1"/>
    <col min="1341" max="1341" width="12.7109375" style="21" customWidth="1"/>
    <col min="1342" max="1344" width="13.42578125" style="21" customWidth="1"/>
    <col min="1345" max="1345" width="14.5703125" style="21" customWidth="1"/>
    <col min="1346" max="1346" width="12.140625" style="21" customWidth="1"/>
    <col min="1347" max="1360" width="13.42578125" style="21" customWidth="1"/>
    <col min="1361" max="1361" width="17.42578125" style="21" customWidth="1"/>
    <col min="1362" max="1362" width="14.5703125" style="21" customWidth="1"/>
    <col min="1363" max="1371" width="13.42578125" style="21" customWidth="1"/>
    <col min="1372" max="1372" width="10.28515625" style="21" customWidth="1"/>
    <col min="1373" max="1378" width="13.42578125" style="21" customWidth="1"/>
    <col min="1379" max="1379" width="13.140625" style="21" customWidth="1"/>
    <col min="1380" max="1380" width="15.42578125" style="21" customWidth="1"/>
    <col min="1381" max="1400" width="13.42578125" style="21" customWidth="1"/>
    <col min="1401" max="1401" width="20.85546875" style="21" customWidth="1"/>
    <col min="1402" max="1402" width="15.5703125" style="21" customWidth="1"/>
    <col min="1403" max="1406" width="13.42578125" style="21" customWidth="1"/>
    <col min="1407" max="1407" width="20.85546875" style="21" customWidth="1"/>
    <col min="1408" max="1536" width="9.140625" style="21"/>
    <col min="1537" max="1537" width="6.42578125" style="21" customWidth="1"/>
    <col min="1538" max="1538" width="19.5703125" style="21" customWidth="1"/>
    <col min="1539" max="1539" width="13.42578125" style="21" customWidth="1"/>
    <col min="1540" max="1540" width="13.5703125" style="21" customWidth="1"/>
    <col min="1541" max="1542" width="20.85546875" style="21" customWidth="1"/>
    <col min="1543" max="1543" width="16.5703125" style="21" customWidth="1"/>
    <col min="1544" max="1544" width="21" style="21" customWidth="1"/>
    <col min="1545" max="1545" width="18.85546875" style="21" customWidth="1"/>
    <col min="1546" max="1546" width="19.42578125" style="21" customWidth="1"/>
    <col min="1547" max="1547" width="18.85546875" style="21" customWidth="1"/>
    <col min="1548" max="1548" width="18.140625" style="21" customWidth="1"/>
    <col min="1549" max="1550" width="20.85546875" style="21" customWidth="1"/>
    <col min="1551" max="1551" width="133.7109375" style="21" customWidth="1"/>
    <col min="1552" max="1552" width="19.7109375" style="21" customWidth="1"/>
    <col min="1553" max="1553" width="13.28515625" style="21" customWidth="1"/>
    <col min="1554" max="1554" width="14.42578125" style="21" customWidth="1"/>
    <col min="1555" max="1555" width="11" style="21" customWidth="1"/>
    <col min="1556" max="1556" width="13.42578125" style="21" customWidth="1"/>
    <col min="1557" max="1557" width="13.5703125" style="21" customWidth="1"/>
    <col min="1558" max="1558" width="17.5703125" style="21" customWidth="1"/>
    <col min="1559" max="1561" width="13.42578125" style="21" customWidth="1"/>
    <col min="1562" max="1562" width="12.7109375" style="21" customWidth="1"/>
    <col min="1563" max="1563" width="13.28515625" style="21" customWidth="1"/>
    <col min="1564" max="1564" width="17.140625" style="21" customWidth="1"/>
    <col min="1565" max="1566" width="13.42578125" style="21" customWidth="1"/>
    <col min="1567" max="1567" width="14.85546875" style="21" customWidth="1"/>
    <col min="1568" max="1568" width="13.140625" style="21" customWidth="1"/>
    <col min="1569" max="1569" width="14.85546875" style="21" customWidth="1"/>
    <col min="1570" max="1570" width="13" style="21" customWidth="1"/>
    <col min="1571" max="1572" width="15.5703125" style="21" customWidth="1"/>
    <col min="1573" max="1573" width="25.140625" style="21" customWidth="1"/>
    <col min="1574" max="1574" width="40.42578125" style="21" customWidth="1"/>
    <col min="1575" max="1575" width="19.140625" style="21" customWidth="1"/>
    <col min="1576" max="1576" width="17.85546875" style="21" customWidth="1"/>
    <col min="1577" max="1577" width="13.140625" style="21" customWidth="1"/>
    <col min="1578" max="1578" width="12" style="21" customWidth="1"/>
    <col min="1579" max="1579" width="13.85546875" style="21" customWidth="1"/>
    <col min="1580" max="1580" width="13.42578125" style="21" customWidth="1"/>
    <col min="1581" max="1581" width="19.5703125" style="21" customWidth="1"/>
    <col min="1582" max="1582" width="14.28515625" style="21" customWidth="1"/>
    <col min="1583" max="1583" width="22.85546875" style="21" customWidth="1"/>
    <col min="1584" max="1584" width="16" style="21" customWidth="1"/>
    <col min="1585" max="1585" width="14.5703125" style="21" customWidth="1"/>
    <col min="1586" max="1586" width="17.85546875" style="21" customWidth="1"/>
    <col min="1587" max="1587" width="13.42578125" style="21" customWidth="1"/>
    <col min="1588" max="1588" width="21.7109375" style="21" customWidth="1"/>
    <col min="1589" max="1589" width="18" style="21" customWidth="1"/>
    <col min="1590" max="1590" width="13.5703125" style="21" customWidth="1"/>
    <col min="1591" max="1591" width="16.42578125" style="21" customWidth="1"/>
    <col min="1592" max="1596" width="13.42578125" style="21" customWidth="1"/>
    <col min="1597" max="1597" width="12.7109375" style="21" customWidth="1"/>
    <col min="1598" max="1600" width="13.42578125" style="21" customWidth="1"/>
    <col min="1601" max="1601" width="14.5703125" style="21" customWidth="1"/>
    <col min="1602" max="1602" width="12.140625" style="21" customWidth="1"/>
    <col min="1603" max="1616" width="13.42578125" style="21" customWidth="1"/>
    <col min="1617" max="1617" width="17.42578125" style="21" customWidth="1"/>
    <col min="1618" max="1618" width="14.5703125" style="21" customWidth="1"/>
    <col min="1619" max="1627" width="13.42578125" style="21" customWidth="1"/>
    <col min="1628" max="1628" width="10.28515625" style="21" customWidth="1"/>
    <col min="1629" max="1634" width="13.42578125" style="21" customWidth="1"/>
    <col min="1635" max="1635" width="13.140625" style="21" customWidth="1"/>
    <col min="1636" max="1636" width="15.42578125" style="21" customWidth="1"/>
    <col min="1637" max="1656" width="13.42578125" style="21" customWidth="1"/>
    <col min="1657" max="1657" width="20.85546875" style="21" customWidth="1"/>
    <col min="1658" max="1658" width="15.5703125" style="21" customWidth="1"/>
    <col min="1659" max="1662" width="13.42578125" style="21" customWidth="1"/>
    <col min="1663" max="1663" width="20.85546875" style="21" customWidth="1"/>
    <col min="1664" max="1792" width="9.140625" style="21"/>
    <col min="1793" max="1793" width="6.42578125" style="21" customWidth="1"/>
    <col min="1794" max="1794" width="19.5703125" style="21" customWidth="1"/>
    <col min="1795" max="1795" width="13.42578125" style="21" customWidth="1"/>
    <col min="1796" max="1796" width="13.5703125" style="21" customWidth="1"/>
    <col min="1797" max="1798" width="20.85546875" style="21" customWidth="1"/>
    <col min="1799" max="1799" width="16.5703125" style="21" customWidth="1"/>
    <col min="1800" max="1800" width="21" style="21" customWidth="1"/>
    <col min="1801" max="1801" width="18.85546875" style="21" customWidth="1"/>
    <col min="1802" max="1802" width="19.42578125" style="21" customWidth="1"/>
    <col min="1803" max="1803" width="18.85546875" style="21" customWidth="1"/>
    <col min="1804" max="1804" width="18.140625" style="21" customWidth="1"/>
    <col min="1805" max="1806" width="20.85546875" style="21" customWidth="1"/>
    <col min="1807" max="1807" width="133.7109375" style="21" customWidth="1"/>
    <col min="1808" max="1808" width="19.7109375" style="21" customWidth="1"/>
    <col min="1809" max="1809" width="13.28515625" style="21" customWidth="1"/>
    <col min="1810" max="1810" width="14.42578125" style="21" customWidth="1"/>
    <col min="1811" max="1811" width="11" style="21" customWidth="1"/>
    <col min="1812" max="1812" width="13.42578125" style="21" customWidth="1"/>
    <col min="1813" max="1813" width="13.5703125" style="21" customWidth="1"/>
    <col min="1814" max="1814" width="17.5703125" style="21" customWidth="1"/>
    <col min="1815" max="1817" width="13.42578125" style="21" customWidth="1"/>
    <col min="1818" max="1818" width="12.7109375" style="21" customWidth="1"/>
    <col min="1819" max="1819" width="13.28515625" style="21" customWidth="1"/>
    <col min="1820" max="1820" width="17.140625" style="21" customWidth="1"/>
    <col min="1821" max="1822" width="13.42578125" style="21" customWidth="1"/>
    <col min="1823" max="1823" width="14.85546875" style="21" customWidth="1"/>
    <col min="1824" max="1824" width="13.140625" style="21" customWidth="1"/>
    <col min="1825" max="1825" width="14.85546875" style="21" customWidth="1"/>
    <col min="1826" max="1826" width="13" style="21" customWidth="1"/>
    <col min="1827" max="1828" width="15.5703125" style="21" customWidth="1"/>
    <col min="1829" max="1829" width="25.140625" style="21" customWidth="1"/>
    <col min="1830" max="1830" width="40.42578125" style="21" customWidth="1"/>
    <col min="1831" max="1831" width="19.140625" style="21" customWidth="1"/>
    <col min="1832" max="1832" width="17.85546875" style="21" customWidth="1"/>
    <col min="1833" max="1833" width="13.140625" style="21" customWidth="1"/>
    <col min="1834" max="1834" width="12" style="21" customWidth="1"/>
    <col min="1835" max="1835" width="13.85546875" style="21" customWidth="1"/>
    <col min="1836" max="1836" width="13.42578125" style="21" customWidth="1"/>
    <col min="1837" max="1837" width="19.5703125" style="21" customWidth="1"/>
    <col min="1838" max="1838" width="14.28515625" style="21" customWidth="1"/>
    <col min="1839" max="1839" width="22.85546875" style="21" customWidth="1"/>
    <col min="1840" max="1840" width="16" style="21" customWidth="1"/>
    <col min="1841" max="1841" width="14.5703125" style="21" customWidth="1"/>
    <col min="1842" max="1842" width="17.85546875" style="21" customWidth="1"/>
    <col min="1843" max="1843" width="13.42578125" style="21" customWidth="1"/>
    <col min="1844" max="1844" width="21.7109375" style="21" customWidth="1"/>
    <col min="1845" max="1845" width="18" style="21" customWidth="1"/>
    <col min="1846" max="1846" width="13.5703125" style="21" customWidth="1"/>
    <col min="1847" max="1847" width="16.42578125" style="21" customWidth="1"/>
    <col min="1848" max="1852" width="13.42578125" style="21" customWidth="1"/>
    <col min="1853" max="1853" width="12.7109375" style="21" customWidth="1"/>
    <col min="1854" max="1856" width="13.42578125" style="21" customWidth="1"/>
    <col min="1857" max="1857" width="14.5703125" style="21" customWidth="1"/>
    <col min="1858" max="1858" width="12.140625" style="21" customWidth="1"/>
    <col min="1859" max="1872" width="13.42578125" style="21" customWidth="1"/>
    <col min="1873" max="1873" width="17.42578125" style="21" customWidth="1"/>
    <col min="1874" max="1874" width="14.5703125" style="21" customWidth="1"/>
    <col min="1875" max="1883" width="13.42578125" style="21" customWidth="1"/>
    <col min="1884" max="1884" width="10.28515625" style="21" customWidth="1"/>
    <col min="1885" max="1890" width="13.42578125" style="21" customWidth="1"/>
    <col min="1891" max="1891" width="13.140625" style="21" customWidth="1"/>
    <col min="1892" max="1892" width="15.42578125" style="21" customWidth="1"/>
    <col min="1893" max="1912" width="13.42578125" style="21" customWidth="1"/>
    <col min="1913" max="1913" width="20.85546875" style="21" customWidth="1"/>
    <col min="1914" max="1914" width="15.5703125" style="21" customWidth="1"/>
    <col min="1915" max="1918" width="13.42578125" style="21" customWidth="1"/>
    <col min="1919" max="1919" width="20.85546875" style="21" customWidth="1"/>
    <col min="1920" max="2048" width="9.140625" style="21"/>
    <col min="2049" max="2049" width="6.42578125" style="21" customWidth="1"/>
    <col min="2050" max="2050" width="19.5703125" style="21" customWidth="1"/>
    <col min="2051" max="2051" width="13.42578125" style="21" customWidth="1"/>
    <col min="2052" max="2052" width="13.5703125" style="21" customWidth="1"/>
    <col min="2053" max="2054" width="20.85546875" style="21" customWidth="1"/>
    <col min="2055" max="2055" width="16.5703125" style="21" customWidth="1"/>
    <col min="2056" max="2056" width="21" style="21" customWidth="1"/>
    <col min="2057" max="2057" width="18.85546875" style="21" customWidth="1"/>
    <col min="2058" max="2058" width="19.42578125" style="21" customWidth="1"/>
    <col min="2059" max="2059" width="18.85546875" style="21" customWidth="1"/>
    <col min="2060" max="2060" width="18.140625" style="21" customWidth="1"/>
    <col min="2061" max="2062" width="20.85546875" style="21" customWidth="1"/>
    <col min="2063" max="2063" width="133.7109375" style="21" customWidth="1"/>
    <col min="2064" max="2064" width="19.7109375" style="21" customWidth="1"/>
    <col min="2065" max="2065" width="13.28515625" style="21" customWidth="1"/>
    <col min="2066" max="2066" width="14.42578125" style="21" customWidth="1"/>
    <col min="2067" max="2067" width="11" style="21" customWidth="1"/>
    <col min="2068" max="2068" width="13.42578125" style="21" customWidth="1"/>
    <col min="2069" max="2069" width="13.5703125" style="21" customWidth="1"/>
    <col min="2070" max="2070" width="17.5703125" style="21" customWidth="1"/>
    <col min="2071" max="2073" width="13.42578125" style="21" customWidth="1"/>
    <col min="2074" max="2074" width="12.7109375" style="21" customWidth="1"/>
    <col min="2075" max="2075" width="13.28515625" style="21" customWidth="1"/>
    <col min="2076" max="2076" width="17.140625" style="21" customWidth="1"/>
    <col min="2077" max="2078" width="13.42578125" style="21" customWidth="1"/>
    <col min="2079" max="2079" width="14.85546875" style="21" customWidth="1"/>
    <col min="2080" max="2080" width="13.140625" style="21" customWidth="1"/>
    <col min="2081" max="2081" width="14.85546875" style="21" customWidth="1"/>
    <col min="2082" max="2082" width="13" style="21" customWidth="1"/>
    <col min="2083" max="2084" width="15.5703125" style="21" customWidth="1"/>
    <col min="2085" max="2085" width="25.140625" style="21" customWidth="1"/>
    <col min="2086" max="2086" width="40.42578125" style="21" customWidth="1"/>
    <col min="2087" max="2087" width="19.140625" style="21" customWidth="1"/>
    <col min="2088" max="2088" width="17.85546875" style="21" customWidth="1"/>
    <col min="2089" max="2089" width="13.140625" style="21" customWidth="1"/>
    <col min="2090" max="2090" width="12" style="21" customWidth="1"/>
    <col min="2091" max="2091" width="13.85546875" style="21" customWidth="1"/>
    <col min="2092" max="2092" width="13.42578125" style="21" customWidth="1"/>
    <col min="2093" max="2093" width="19.5703125" style="21" customWidth="1"/>
    <col min="2094" max="2094" width="14.28515625" style="21" customWidth="1"/>
    <col min="2095" max="2095" width="22.85546875" style="21" customWidth="1"/>
    <col min="2096" max="2096" width="16" style="21" customWidth="1"/>
    <col min="2097" max="2097" width="14.5703125" style="21" customWidth="1"/>
    <col min="2098" max="2098" width="17.85546875" style="21" customWidth="1"/>
    <col min="2099" max="2099" width="13.42578125" style="21" customWidth="1"/>
    <col min="2100" max="2100" width="21.7109375" style="21" customWidth="1"/>
    <col min="2101" max="2101" width="18" style="21" customWidth="1"/>
    <col min="2102" max="2102" width="13.5703125" style="21" customWidth="1"/>
    <col min="2103" max="2103" width="16.42578125" style="21" customWidth="1"/>
    <col min="2104" max="2108" width="13.42578125" style="21" customWidth="1"/>
    <col min="2109" max="2109" width="12.7109375" style="21" customWidth="1"/>
    <col min="2110" max="2112" width="13.42578125" style="21" customWidth="1"/>
    <col min="2113" max="2113" width="14.5703125" style="21" customWidth="1"/>
    <col min="2114" max="2114" width="12.140625" style="21" customWidth="1"/>
    <col min="2115" max="2128" width="13.42578125" style="21" customWidth="1"/>
    <col min="2129" max="2129" width="17.42578125" style="21" customWidth="1"/>
    <col min="2130" max="2130" width="14.5703125" style="21" customWidth="1"/>
    <col min="2131" max="2139" width="13.42578125" style="21" customWidth="1"/>
    <col min="2140" max="2140" width="10.28515625" style="21" customWidth="1"/>
    <col min="2141" max="2146" width="13.42578125" style="21" customWidth="1"/>
    <col min="2147" max="2147" width="13.140625" style="21" customWidth="1"/>
    <col min="2148" max="2148" width="15.42578125" style="21" customWidth="1"/>
    <col min="2149" max="2168" width="13.42578125" style="21" customWidth="1"/>
    <col min="2169" max="2169" width="20.85546875" style="21" customWidth="1"/>
    <col min="2170" max="2170" width="15.5703125" style="21" customWidth="1"/>
    <col min="2171" max="2174" width="13.42578125" style="21" customWidth="1"/>
    <col min="2175" max="2175" width="20.85546875" style="21" customWidth="1"/>
    <col min="2176" max="2304" width="9.140625" style="21"/>
    <col min="2305" max="2305" width="6.42578125" style="21" customWidth="1"/>
    <col min="2306" max="2306" width="19.5703125" style="21" customWidth="1"/>
    <col min="2307" max="2307" width="13.42578125" style="21" customWidth="1"/>
    <col min="2308" max="2308" width="13.5703125" style="21" customWidth="1"/>
    <col min="2309" max="2310" width="20.85546875" style="21" customWidth="1"/>
    <col min="2311" max="2311" width="16.5703125" style="21" customWidth="1"/>
    <col min="2312" max="2312" width="21" style="21" customWidth="1"/>
    <col min="2313" max="2313" width="18.85546875" style="21" customWidth="1"/>
    <col min="2314" max="2314" width="19.42578125" style="21" customWidth="1"/>
    <col min="2315" max="2315" width="18.85546875" style="21" customWidth="1"/>
    <col min="2316" max="2316" width="18.140625" style="21" customWidth="1"/>
    <col min="2317" max="2318" width="20.85546875" style="21" customWidth="1"/>
    <col min="2319" max="2319" width="133.7109375" style="21" customWidth="1"/>
    <col min="2320" max="2320" width="19.7109375" style="21" customWidth="1"/>
    <col min="2321" max="2321" width="13.28515625" style="21" customWidth="1"/>
    <col min="2322" max="2322" width="14.42578125" style="21" customWidth="1"/>
    <col min="2323" max="2323" width="11" style="21" customWidth="1"/>
    <col min="2324" max="2324" width="13.42578125" style="21" customWidth="1"/>
    <col min="2325" max="2325" width="13.5703125" style="21" customWidth="1"/>
    <col min="2326" max="2326" width="17.5703125" style="21" customWidth="1"/>
    <col min="2327" max="2329" width="13.42578125" style="21" customWidth="1"/>
    <col min="2330" max="2330" width="12.7109375" style="21" customWidth="1"/>
    <col min="2331" max="2331" width="13.28515625" style="21" customWidth="1"/>
    <col min="2332" max="2332" width="17.140625" style="21" customWidth="1"/>
    <col min="2333" max="2334" width="13.42578125" style="21" customWidth="1"/>
    <col min="2335" max="2335" width="14.85546875" style="21" customWidth="1"/>
    <col min="2336" max="2336" width="13.140625" style="21" customWidth="1"/>
    <col min="2337" max="2337" width="14.85546875" style="21" customWidth="1"/>
    <col min="2338" max="2338" width="13" style="21" customWidth="1"/>
    <col min="2339" max="2340" width="15.5703125" style="21" customWidth="1"/>
    <col min="2341" max="2341" width="25.140625" style="21" customWidth="1"/>
    <col min="2342" max="2342" width="40.42578125" style="21" customWidth="1"/>
    <col min="2343" max="2343" width="19.140625" style="21" customWidth="1"/>
    <col min="2344" max="2344" width="17.85546875" style="21" customWidth="1"/>
    <col min="2345" max="2345" width="13.140625" style="21" customWidth="1"/>
    <col min="2346" max="2346" width="12" style="21" customWidth="1"/>
    <col min="2347" max="2347" width="13.85546875" style="21" customWidth="1"/>
    <col min="2348" max="2348" width="13.42578125" style="21" customWidth="1"/>
    <col min="2349" max="2349" width="19.5703125" style="21" customWidth="1"/>
    <col min="2350" max="2350" width="14.28515625" style="21" customWidth="1"/>
    <col min="2351" max="2351" width="22.85546875" style="21" customWidth="1"/>
    <col min="2352" max="2352" width="16" style="21" customWidth="1"/>
    <col min="2353" max="2353" width="14.5703125" style="21" customWidth="1"/>
    <col min="2354" max="2354" width="17.85546875" style="21" customWidth="1"/>
    <col min="2355" max="2355" width="13.42578125" style="21" customWidth="1"/>
    <col min="2356" max="2356" width="21.7109375" style="21" customWidth="1"/>
    <col min="2357" max="2357" width="18" style="21" customWidth="1"/>
    <col min="2358" max="2358" width="13.5703125" style="21" customWidth="1"/>
    <col min="2359" max="2359" width="16.42578125" style="21" customWidth="1"/>
    <col min="2360" max="2364" width="13.42578125" style="21" customWidth="1"/>
    <col min="2365" max="2365" width="12.7109375" style="21" customWidth="1"/>
    <col min="2366" max="2368" width="13.42578125" style="21" customWidth="1"/>
    <col min="2369" max="2369" width="14.5703125" style="21" customWidth="1"/>
    <col min="2370" max="2370" width="12.140625" style="21" customWidth="1"/>
    <col min="2371" max="2384" width="13.42578125" style="21" customWidth="1"/>
    <col min="2385" max="2385" width="17.42578125" style="21" customWidth="1"/>
    <col min="2386" max="2386" width="14.5703125" style="21" customWidth="1"/>
    <col min="2387" max="2395" width="13.42578125" style="21" customWidth="1"/>
    <col min="2396" max="2396" width="10.28515625" style="21" customWidth="1"/>
    <col min="2397" max="2402" width="13.42578125" style="21" customWidth="1"/>
    <col min="2403" max="2403" width="13.140625" style="21" customWidth="1"/>
    <col min="2404" max="2404" width="15.42578125" style="21" customWidth="1"/>
    <col min="2405" max="2424" width="13.42578125" style="21" customWidth="1"/>
    <col min="2425" max="2425" width="20.85546875" style="21" customWidth="1"/>
    <col min="2426" max="2426" width="15.5703125" style="21" customWidth="1"/>
    <col min="2427" max="2430" width="13.42578125" style="21" customWidth="1"/>
    <col min="2431" max="2431" width="20.85546875" style="21" customWidth="1"/>
    <col min="2432" max="2560" width="9.140625" style="21"/>
    <col min="2561" max="2561" width="6.42578125" style="21" customWidth="1"/>
    <col min="2562" max="2562" width="19.5703125" style="21" customWidth="1"/>
    <col min="2563" max="2563" width="13.42578125" style="21" customWidth="1"/>
    <col min="2564" max="2564" width="13.5703125" style="21" customWidth="1"/>
    <col min="2565" max="2566" width="20.85546875" style="21" customWidth="1"/>
    <col min="2567" max="2567" width="16.5703125" style="21" customWidth="1"/>
    <col min="2568" max="2568" width="21" style="21" customWidth="1"/>
    <col min="2569" max="2569" width="18.85546875" style="21" customWidth="1"/>
    <col min="2570" max="2570" width="19.42578125" style="21" customWidth="1"/>
    <col min="2571" max="2571" width="18.85546875" style="21" customWidth="1"/>
    <col min="2572" max="2572" width="18.140625" style="21" customWidth="1"/>
    <col min="2573" max="2574" width="20.85546875" style="21" customWidth="1"/>
    <col min="2575" max="2575" width="133.7109375" style="21" customWidth="1"/>
    <col min="2576" max="2576" width="19.7109375" style="21" customWidth="1"/>
    <col min="2577" max="2577" width="13.28515625" style="21" customWidth="1"/>
    <col min="2578" max="2578" width="14.42578125" style="21" customWidth="1"/>
    <col min="2579" max="2579" width="11" style="21" customWidth="1"/>
    <col min="2580" max="2580" width="13.42578125" style="21" customWidth="1"/>
    <col min="2581" max="2581" width="13.5703125" style="21" customWidth="1"/>
    <col min="2582" max="2582" width="17.5703125" style="21" customWidth="1"/>
    <col min="2583" max="2585" width="13.42578125" style="21" customWidth="1"/>
    <col min="2586" max="2586" width="12.7109375" style="21" customWidth="1"/>
    <col min="2587" max="2587" width="13.28515625" style="21" customWidth="1"/>
    <col min="2588" max="2588" width="17.140625" style="21" customWidth="1"/>
    <col min="2589" max="2590" width="13.42578125" style="21" customWidth="1"/>
    <col min="2591" max="2591" width="14.85546875" style="21" customWidth="1"/>
    <col min="2592" max="2592" width="13.140625" style="21" customWidth="1"/>
    <col min="2593" max="2593" width="14.85546875" style="21" customWidth="1"/>
    <col min="2594" max="2594" width="13" style="21" customWidth="1"/>
    <col min="2595" max="2596" width="15.5703125" style="21" customWidth="1"/>
    <col min="2597" max="2597" width="25.140625" style="21" customWidth="1"/>
    <col min="2598" max="2598" width="40.42578125" style="21" customWidth="1"/>
    <col min="2599" max="2599" width="19.140625" style="21" customWidth="1"/>
    <col min="2600" max="2600" width="17.85546875" style="21" customWidth="1"/>
    <col min="2601" max="2601" width="13.140625" style="21" customWidth="1"/>
    <col min="2602" max="2602" width="12" style="21" customWidth="1"/>
    <col min="2603" max="2603" width="13.85546875" style="21" customWidth="1"/>
    <col min="2604" max="2604" width="13.42578125" style="21" customWidth="1"/>
    <col min="2605" max="2605" width="19.5703125" style="21" customWidth="1"/>
    <col min="2606" max="2606" width="14.28515625" style="21" customWidth="1"/>
    <col min="2607" max="2607" width="22.85546875" style="21" customWidth="1"/>
    <col min="2608" max="2608" width="16" style="21" customWidth="1"/>
    <col min="2609" max="2609" width="14.5703125" style="21" customWidth="1"/>
    <col min="2610" max="2610" width="17.85546875" style="21" customWidth="1"/>
    <col min="2611" max="2611" width="13.42578125" style="21" customWidth="1"/>
    <col min="2612" max="2612" width="21.7109375" style="21" customWidth="1"/>
    <col min="2613" max="2613" width="18" style="21" customWidth="1"/>
    <col min="2614" max="2614" width="13.5703125" style="21" customWidth="1"/>
    <col min="2615" max="2615" width="16.42578125" style="21" customWidth="1"/>
    <col min="2616" max="2620" width="13.42578125" style="21" customWidth="1"/>
    <col min="2621" max="2621" width="12.7109375" style="21" customWidth="1"/>
    <col min="2622" max="2624" width="13.42578125" style="21" customWidth="1"/>
    <col min="2625" max="2625" width="14.5703125" style="21" customWidth="1"/>
    <col min="2626" max="2626" width="12.140625" style="21" customWidth="1"/>
    <col min="2627" max="2640" width="13.42578125" style="21" customWidth="1"/>
    <col min="2641" max="2641" width="17.42578125" style="21" customWidth="1"/>
    <col min="2642" max="2642" width="14.5703125" style="21" customWidth="1"/>
    <col min="2643" max="2651" width="13.42578125" style="21" customWidth="1"/>
    <col min="2652" max="2652" width="10.28515625" style="21" customWidth="1"/>
    <col min="2653" max="2658" width="13.42578125" style="21" customWidth="1"/>
    <col min="2659" max="2659" width="13.140625" style="21" customWidth="1"/>
    <col min="2660" max="2660" width="15.42578125" style="21" customWidth="1"/>
    <col min="2661" max="2680" width="13.42578125" style="21" customWidth="1"/>
    <col min="2681" max="2681" width="20.85546875" style="21" customWidth="1"/>
    <col min="2682" max="2682" width="15.5703125" style="21" customWidth="1"/>
    <col min="2683" max="2686" width="13.42578125" style="21" customWidth="1"/>
    <col min="2687" max="2687" width="20.85546875" style="21" customWidth="1"/>
    <col min="2688" max="2816" width="9.140625" style="21"/>
    <col min="2817" max="2817" width="6.42578125" style="21" customWidth="1"/>
    <col min="2818" max="2818" width="19.5703125" style="21" customWidth="1"/>
    <col min="2819" max="2819" width="13.42578125" style="21" customWidth="1"/>
    <col min="2820" max="2820" width="13.5703125" style="21" customWidth="1"/>
    <col min="2821" max="2822" width="20.85546875" style="21" customWidth="1"/>
    <col min="2823" max="2823" width="16.5703125" style="21" customWidth="1"/>
    <col min="2824" max="2824" width="21" style="21" customWidth="1"/>
    <col min="2825" max="2825" width="18.85546875" style="21" customWidth="1"/>
    <col min="2826" max="2826" width="19.42578125" style="21" customWidth="1"/>
    <col min="2827" max="2827" width="18.85546875" style="21" customWidth="1"/>
    <col min="2828" max="2828" width="18.140625" style="21" customWidth="1"/>
    <col min="2829" max="2830" width="20.85546875" style="21" customWidth="1"/>
    <col min="2831" max="2831" width="133.7109375" style="21" customWidth="1"/>
    <col min="2832" max="2832" width="19.7109375" style="21" customWidth="1"/>
    <col min="2833" max="2833" width="13.28515625" style="21" customWidth="1"/>
    <col min="2834" max="2834" width="14.42578125" style="21" customWidth="1"/>
    <col min="2835" max="2835" width="11" style="21" customWidth="1"/>
    <col min="2836" max="2836" width="13.42578125" style="21" customWidth="1"/>
    <col min="2837" max="2837" width="13.5703125" style="21" customWidth="1"/>
    <col min="2838" max="2838" width="17.5703125" style="21" customWidth="1"/>
    <col min="2839" max="2841" width="13.42578125" style="21" customWidth="1"/>
    <col min="2842" max="2842" width="12.7109375" style="21" customWidth="1"/>
    <col min="2843" max="2843" width="13.28515625" style="21" customWidth="1"/>
    <col min="2844" max="2844" width="17.140625" style="21" customWidth="1"/>
    <col min="2845" max="2846" width="13.42578125" style="21" customWidth="1"/>
    <col min="2847" max="2847" width="14.85546875" style="21" customWidth="1"/>
    <col min="2848" max="2848" width="13.140625" style="21" customWidth="1"/>
    <col min="2849" max="2849" width="14.85546875" style="21" customWidth="1"/>
    <col min="2850" max="2850" width="13" style="21" customWidth="1"/>
    <col min="2851" max="2852" width="15.5703125" style="21" customWidth="1"/>
    <col min="2853" max="2853" width="25.140625" style="21" customWidth="1"/>
    <col min="2854" max="2854" width="40.42578125" style="21" customWidth="1"/>
    <col min="2855" max="2855" width="19.140625" style="21" customWidth="1"/>
    <col min="2856" max="2856" width="17.85546875" style="21" customWidth="1"/>
    <col min="2857" max="2857" width="13.140625" style="21" customWidth="1"/>
    <col min="2858" max="2858" width="12" style="21" customWidth="1"/>
    <col min="2859" max="2859" width="13.85546875" style="21" customWidth="1"/>
    <col min="2860" max="2860" width="13.42578125" style="21" customWidth="1"/>
    <col min="2861" max="2861" width="19.5703125" style="21" customWidth="1"/>
    <col min="2862" max="2862" width="14.28515625" style="21" customWidth="1"/>
    <col min="2863" max="2863" width="22.85546875" style="21" customWidth="1"/>
    <col min="2864" max="2864" width="16" style="21" customWidth="1"/>
    <col min="2865" max="2865" width="14.5703125" style="21" customWidth="1"/>
    <col min="2866" max="2866" width="17.85546875" style="21" customWidth="1"/>
    <col min="2867" max="2867" width="13.42578125" style="21" customWidth="1"/>
    <col min="2868" max="2868" width="21.7109375" style="21" customWidth="1"/>
    <col min="2869" max="2869" width="18" style="21" customWidth="1"/>
    <col min="2870" max="2870" width="13.5703125" style="21" customWidth="1"/>
    <col min="2871" max="2871" width="16.42578125" style="21" customWidth="1"/>
    <col min="2872" max="2876" width="13.42578125" style="21" customWidth="1"/>
    <col min="2877" max="2877" width="12.7109375" style="21" customWidth="1"/>
    <col min="2878" max="2880" width="13.42578125" style="21" customWidth="1"/>
    <col min="2881" max="2881" width="14.5703125" style="21" customWidth="1"/>
    <col min="2882" max="2882" width="12.140625" style="21" customWidth="1"/>
    <col min="2883" max="2896" width="13.42578125" style="21" customWidth="1"/>
    <col min="2897" max="2897" width="17.42578125" style="21" customWidth="1"/>
    <col min="2898" max="2898" width="14.5703125" style="21" customWidth="1"/>
    <col min="2899" max="2907" width="13.42578125" style="21" customWidth="1"/>
    <col min="2908" max="2908" width="10.28515625" style="21" customWidth="1"/>
    <col min="2909" max="2914" width="13.42578125" style="21" customWidth="1"/>
    <col min="2915" max="2915" width="13.140625" style="21" customWidth="1"/>
    <col min="2916" max="2916" width="15.42578125" style="21" customWidth="1"/>
    <col min="2917" max="2936" width="13.42578125" style="21" customWidth="1"/>
    <col min="2937" max="2937" width="20.85546875" style="21" customWidth="1"/>
    <col min="2938" max="2938" width="15.5703125" style="21" customWidth="1"/>
    <col min="2939" max="2942" width="13.42578125" style="21" customWidth="1"/>
    <col min="2943" max="2943" width="20.85546875" style="21" customWidth="1"/>
    <col min="2944" max="3072" width="9.140625" style="21"/>
    <col min="3073" max="3073" width="6.42578125" style="21" customWidth="1"/>
    <col min="3074" max="3074" width="19.5703125" style="21" customWidth="1"/>
    <col min="3075" max="3075" width="13.42578125" style="21" customWidth="1"/>
    <col min="3076" max="3076" width="13.5703125" style="21" customWidth="1"/>
    <col min="3077" max="3078" width="20.85546875" style="21" customWidth="1"/>
    <col min="3079" max="3079" width="16.5703125" style="21" customWidth="1"/>
    <col min="3080" max="3080" width="21" style="21" customWidth="1"/>
    <col min="3081" max="3081" width="18.85546875" style="21" customWidth="1"/>
    <col min="3082" max="3082" width="19.42578125" style="21" customWidth="1"/>
    <col min="3083" max="3083" width="18.85546875" style="21" customWidth="1"/>
    <col min="3084" max="3084" width="18.140625" style="21" customWidth="1"/>
    <col min="3085" max="3086" width="20.85546875" style="21" customWidth="1"/>
    <col min="3087" max="3087" width="133.7109375" style="21" customWidth="1"/>
    <col min="3088" max="3088" width="19.7109375" style="21" customWidth="1"/>
    <col min="3089" max="3089" width="13.28515625" style="21" customWidth="1"/>
    <col min="3090" max="3090" width="14.42578125" style="21" customWidth="1"/>
    <col min="3091" max="3091" width="11" style="21" customWidth="1"/>
    <col min="3092" max="3092" width="13.42578125" style="21" customWidth="1"/>
    <col min="3093" max="3093" width="13.5703125" style="21" customWidth="1"/>
    <col min="3094" max="3094" width="17.5703125" style="21" customWidth="1"/>
    <col min="3095" max="3097" width="13.42578125" style="21" customWidth="1"/>
    <col min="3098" max="3098" width="12.7109375" style="21" customWidth="1"/>
    <col min="3099" max="3099" width="13.28515625" style="21" customWidth="1"/>
    <col min="3100" max="3100" width="17.140625" style="21" customWidth="1"/>
    <col min="3101" max="3102" width="13.42578125" style="21" customWidth="1"/>
    <col min="3103" max="3103" width="14.85546875" style="21" customWidth="1"/>
    <col min="3104" max="3104" width="13.140625" style="21" customWidth="1"/>
    <col min="3105" max="3105" width="14.85546875" style="21" customWidth="1"/>
    <col min="3106" max="3106" width="13" style="21" customWidth="1"/>
    <col min="3107" max="3108" width="15.5703125" style="21" customWidth="1"/>
    <col min="3109" max="3109" width="25.140625" style="21" customWidth="1"/>
    <col min="3110" max="3110" width="40.42578125" style="21" customWidth="1"/>
    <col min="3111" max="3111" width="19.140625" style="21" customWidth="1"/>
    <col min="3112" max="3112" width="17.85546875" style="21" customWidth="1"/>
    <col min="3113" max="3113" width="13.140625" style="21" customWidth="1"/>
    <col min="3114" max="3114" width="12" style="21" customWidth="1"/>
    <col min="3115" max="3115" width="13.85546875" style="21" customWidth="1"/>
    <col min="3116" max="3116" width="13.42578125" style="21" customWidth="1"/>
    <col min="3117" max="3117" width="19.5703125" style="21" customWidth="1"/>
    <col min="3118" max="3118" width="14.28515625" style="21" customWidth="1"/>
    <col min="3119" max="3119" width="22.85546875" style="21" customWidth="1"/>
    <col min="3120" max="3120" width="16" style="21" customWidth="1"/>
    <col min="3121" max="3121" width="14.5703125" style="21" customWidth="1"/>
    <col min="3122" max="3122" width="17.85546875" style="21" customWidth="1"/>
    <col min="3123" max="3123" width="13.42578125" style="21" customWidth="1"/>
    <col min="3124" max="3124" width="21.7109375" style="21" customWidth="1"/>
    <col min="3125" max="3125" width="18" style="21" customWidth="1"/>
    <col min="3126" max="3126" width="13.5703125" style="21" customWidth="1"/>
    <col min="3127" max="3127" width="16.42578125" style="21" customWidth="1"/>
    <col min="3128" max="3132" width="13.42578125" style="21" customWidth="1"/>
    <col min="3133" max="3133" width="12.7109375" style="21" customWidth="1"/>
    <col min="3134" max="3136" width="13.42578125" style="21" customWidth="1"/>
    <col min="3137" max="3137" width="14.5703125" style="21" customWidth="1"/>
    <col min="3138" max="3138" width="12.140625" style="21" customWidth="1"/>
    <col min="3139" max="3152" width="13.42578125" style="21" customWidth="1"/>
    <col min="3153" max="3153" width="17.42578125" style="21" customWidth="1"/>
    <col min="3154" max="3154" width="14.5703125" style="21" customWidth="1"/>
    <col min="3155" max="3163" width="13.42578125" style="21" customWidth="1"/>
    <col min="3164" max="3164" width="10.28515625" style="21" customWidth="1"/>
    <col min="3165" max="3170" width="13.42578125" style="21" customWidth="1"/>
    <col min="3171" max="3171" width="13.140625" style="21" customWidth="1"/>
    <col min="3172" max="3172" width="15.42578125" style="21" customWidth="1"/>
    <col min="3173" max="3192" width="13.42578125" style="21" customWidth="1"/>
    <col min="3193" max="3193" width="20.85546875" style="21" customWidth="1"/>
    <col min="3194" max="3194" width="15.5703125" style="21" customWidth="1"/>
    <col min="3195" max="3198" width="13.42578125" style="21" customWidth="1"/>
    <col min="3199" max="3199" width="20.85546875" style="21" customWidth="1"/>
    <col min="3200" max="3328" width="9.140625" style="21"/>
    <col min="3329" max="3329" width="6.42578125" style="21" customWidth="1"/>
    <col min="3330" max="3330" width="19.5703125" style="21" customWidth="1"/>
    <col min="3331" max="3331" width="13.42578125" style="21" customWidth="1"/>
    <col min="3332" max="3332" width="13.5703125" style="21" customWidth="1"/>
    <col min="3333" max="3334" width="20.85546875" style="21" customWidth="1"/>
    <col min="3335" max="3335" width="16.5703125" style="21" customWidth="1"/>
    <col min="3336" max="3336" width="21" style="21" customWidth="1"/>
    <col min="3337" max="3337" width="18.85546875" style="21" customWidth="1"/>
    <col min="3338" max="3338" width="19.42578125" style="21" customWidth="1"/>
    <col min="3339" max="3339" width="18.85546875" style="21" customWidth="1"/>
    <col min="3340" max="3340" width="18.140625" style="21" customWidth="1"/>
    <col min="3341" max="3342" width="20.85546875" style="21" customWidth="1"/>
    <col min="3343" max="3343" width="133.7109375" style="21" customWidth="1"/>
    <col min="3344" max="3344" width="19.7109375" style="21" customWidth="1"/>
    <col min="3345" max="3345" width="13.28515625" style="21" customWidth="1"/>
    <col min="3346" max="3346" width="14.42578125" style="21" customWidth="1"/>
    <col min="3347" max="3347" width="11" style="21" customWidth="1"/>
    <col min="3348" max="3348" width="13.42578125" style="21" customWidth="1"/>
    <col min="3349" max="3349" width="13.5703125" style="21" customWidth="1"/>
    <col min="3350" max="3350" width="17.5703125" style="21" customWidth="1"/>
    <col min="3351" max="3353" width="13.42578125" style="21" customWidth="1"/>
    <col min="3354" max="3354" width="12.7109375" style="21" customWidth="1"/>
    <col min="3355" max="3355" width="13.28515625" style="21" customWidth="1"/>
    <col min="3356" max="3356" width="17.140625" style="21" customWidth="1"/>
    <col min="3357" max="3358" width="13.42578125" style="21" customWidth="1"/>
    <col min="3359" max="3359" width="14.85546875" style="21" customWidth="1"/>
    <col min="3360" max="3360" width="13.140625" style="21" customWidth="1"/>
    <col min="3361" max="3361" width="14.85546875" style="21" customWidth="1"/>
    <col min="3362" max="3362" width="13" style="21" customWidth="1"/>
    <col min="3363" max="3364" width="15.5703125" style="21" customWidth="1"/>
    <col min="3365" max="3365" width="25.140625" style="21" customWidth="1"/>
    <col min="3366" max="3366" width="40.42578125" style="21" customWidth="1"/>
    <col min="3367" max="3367" width="19.140625" style="21" customWidth="1"/>
    <col min="3368" max="3368" width="17.85546875" style="21" customWidth="1"/>
    <col min="3369" max="3369" width="13.140625" style="21" customWidth="1"/>
    <col min="3370" max="3370" width="12" style="21" customWidth="1"/>
    <col min="3371" max="3371" width="13.85546875" style="21" customWidth="1"/>
    <col min="3372" max="3372" width="13.42578125" style="21" customWidth="1"/>
    <col min="3373" max="3373" width="19.5703125" style="21" customWidth="1"/>
    <col min="3374" max="3374" width="14.28515625" style="21" customWidth="1"/>
    <col min="3375" max="3375" width="22.85546875" style="21" customWidth="1"/>
    <col min="3376" max="3376" width="16" style="21" customWidth="1"/>
    <col min="3377" max="3377" width="14.5703125" style="21" customWidth="1"/>
    <col min="3378" max="3378" width="17.85546875" style="21" customWidth="1"/>
    <col min="3379" max="3379" width="13.42578125" style="21" customWidth="1"/>
    <col min="3380" max="3380" width="21.7109375" style="21" customWidth="1"/>
    <col min="3381" max="3381" width="18" style="21" customWidth="1"/>
    <col min="3382" max="3382" width="13.5703125" style="21" customWidth="1"/>
    <col min="3383" max="3383" width="16.42578125" style="21" customWidth="1"/>
    <col min="3384" max="3388" width="13.42578125" style="21" customWidth="1"/>
    <col min="3389" max="3389" width="12.7109375" style="21" customWidth="1"/>
    <col min="3390" max="3392" width="13.42578125" style="21" customWidth="1"/>
    <col min="3393" max="3393" width="14.5703125" style="21" customWidth="1"/>
    <col min="3394" max="3394" width="12.140625" style="21" customWidth="1"/>
    <col min="3395" max="3408" width="13.42578125" style="21" customWidth="1"/>
    <col min="3409" max="3409" width="17.42578125" style="21" customWidth="1"/>
    <col min="3410" max="3410" width="14.5703125" style="21" customWidth="1"/>
    <col min="3411" max="3419" width="13.42578125" style="21" customWidth="1"/>
    <col min="3420" max="3420" width="10.28515625" style="21" customWidth="1"/>
    <col min="3421" max="3426" width="13.42578125" style="21" customWidth="1"/>
    <col min="3427" max="3427" width="13.140625" style="21" customWidth="1"/>
    <col min="3428" max="3428" width="15.42578125" style="21" customWidth="1"/>
    <col min="3429" max="3448" width="13.42578125" style="21" customWidth="1"/>
    <col min="3449" max="3449" width="20.85546875" style="21" customWidth="1"/>
    <col min="3450" max="3450" width="15.5703125" style="21" customWidth="1"/>
    <col min="3451" max="3454" width="13.42578125" style="21" customWidth="1"/>
    <col min="3455" max="3455" width="20.85546875" style="21" customWidth="1"/>
    <col min="3456" max="3584" width="9.140625" style="21"/>
    <col min="3585" max="3585" width="6.42578125" style="21" customWidth="1"/>
    <col min="3586" max="3586" width="19.5703125" style="21" customWidth="1"/>
    <col min="3587" max="3587" width="13.42578125" style="21" customWidth="1"/>
    <col min="3588" max="3588" width="13.5703125" style="21" customWidth="1"/>
    <col min="3589" max="3590" width="20.85546875" style="21" customWidth="1"/>
    <col min="3591" max="3591" width="16.5703125" style="21" customWidth="1"/>
    <col min="3592" max="3592" width="21" style="21" customWidth="1"/>
    <col min="3593" max="3593" width="18.85546875" style="21" customWidth="1"/>
    <col min="3594" max="3594" width="19.42578125" style="21" customWidth="1"/>
    <col min="3595" max="3595" width="18.85546875" style="21" customWidth="1"/>
    <col min="3596" max="3596" width="18.140625" style="21" customWidth="1"/>
    <col min="3597" max="3598" width="20.85546875" style="21" customWidth="1"/>
    <col min="3599" max="3599" width="133.7109375" style="21" customWidth="1"/>
    <col min="3600" max="3600" width="19.7109375" style="21" customWidth="1"/>
    <col min="3601" max="3601" width="13.28515625" style="21" customWidth="1"/>
    <col min="3602" max="3602" width="14.42578125" style="21" customWidth="1"/>
    <col min="3603" max="3603" width="11" style="21" customWidth="1"/>
    <col min="3604" max="3604" width="13.42578125" style="21" customWidth="1"/>
    <col min="3605" max="3605" width="13.5703125" style="21" customWidth="1"/>
    <col min="3606" max="3606" width="17.5703125" style="21" customWidth="1"/>
    <col min="3607" max="3609" width="13.42578125" style="21" customWidth="1"/>
    <col min="3610" max="3610" width="12.7109375" style="21" customWidth="1"/>
    <col min="3611" max="3611" width="13.28515625" style="21" customWidth="1"/>
    <col min="3612" max="3612" width="17.140625" style="21" customWidth="1"/>
    <col min="3613" max="3614" width="13.42578125" style="21" customWidth="1"/>
    <col min="3615" max="3615" width="14.85546875" style="21" customWidth="1"/>
    <col min="3616" max="3616" width="13.140625" style="21" customWidth="1"/>
    <col min="3617" max="3617" width="14.85546875" style="21" customWidth="1"/>
    <col min="3618" max="3618" width="13" style="21" customWidth="1"/>
    <col min="3619" max="3620" width="15.5703125" style="21" customWidth="1"/>
    <col min="3621" max="3621" width="25.140625" style="21" customWidth="1"/>
    <col min="3622" max="3622" width="40.42578125" style="21" customWidth="1"/>
    <col min="3623" max="3623" width="19.140625" style="21" customWidth="1"/>
    <col min="3624" max="3624" width="17.85546875" style="21" customWidth="1"/>
    <col min="3625" max="3625" width="13.140625" style="21" customWidth="1"/>
    <col min="3626" max="3626" width="12" style="21" customWidth="1"/>
    <col min="3627" max="3627" width="13.85546875" style="21" customWidth="1"/>
    <col min="3628" max="3628" width="13.42578125" style="21" customWidth="1"/>
    <col min="3629" max="3629" width="19.5703125" style="21" customWidth="1"/>
    <col min="3630" max="3630" width="14.28515625" style="21" customWidth="1"/>
    <col min="3631" max="3631" width="22.85546875" style="21" customWidth="1"/>
    <col min="3632" max="3632" width="16" style="21" customWidth="1"/>
    <col min="3633" max="3633" width="14.5703125" style="21" customWidth="1"/>
    <col min="3634" max="3634" width="17.85546875" style="21" customWidth="1"/>
    <col min="3635" max="3635" width="13.42578125" style="21" customWidth="1"/>
    <col min="3636" max="3636" width="21.7109375" style="21" customWidth="1"/>
    <col min="3637" max="3637" width="18" style="21" customWidth="1"/>
    <col min="3638" max="3638" width="13.5703125" style="21" customWidth="1"/>
    <col min="3639" max="3639" width="16.42578125" style="21" customWidth="1"/>
    <col min="3640" max="3644" width="13.42578125" style="21" customWidth="1"/>
    <col min="3645" max="3645" width="12.7109375" style="21" customWidth="1"/>
    <col min="3646" max="3648" width="13.42578125" style="21" customWidth="1"/>
    <col min="3649" max="3649" width="14.5703125" style="21" customWidth="1"/>
    <col min="3650" max="3650" width="12.140625" style="21" customWidth="1"/>
    <col min="3651" max="3664" width="13.42578125" style="21" customWidth="1"/>
    <col min="3665" max="3665" width="17.42578125" style="21" customWidth="1"/>
    <col min="3666" max="3666" width="14.5703125" style="21" customWidth="1"/>
    <col min="3667" max="3675" width="13.42578125" style="21" customWidth="1"/>
    <col min="3676" max="3676" width="10.28515625" style="21" customWidth="1"/>
    <col min="3677" max="3682" width="13.42578125" style="21" customWidth="1"/>
    <col min="3683" max="3683" width="13.140625" style="21" customWidth="1"/>
    <col min="3684" max="3684" width="15.42578125" style="21" customWidth="1"/>
    <col min="3685" max="3704" width="13.42578125" style="21" customWidth="1"/>
    <col min="3705" max="3705" width="20.85546875" style="21" customWidth="1"/>
    <col min="3706" max="3706" width="15.5703125" style="21" customWidth="1"/>
    <col min="3707" max="3710" width="13.42578125" style="21" customWidth="1"/>
    <col min="3711" max="3711" width="20.85546875" style="21" customWidth="1"/>
    <col min="3712" max="3840" width="9.140625" style="21"/>
    <col min="3841" max="3841" width="6.42578125" style="21" customWidth="1"/>
    <col min="3842" max="3842" width="19.5703125" style="21" customWidth="1"/>
    <col min="3843" max="3843" width="13.42578125" style="21" customWidth="1"/>
    <col min="3844" max="3844" width="13.5703125" style="21" customWidth="1"/>
    <col min="3845" max="3846" width="20.85546875" style="21" customWidth="1"/>
    <col min="3847" max="3847" width="16.5703125" style="21" customWidth="1"/>
    <col min="3848" max="3848" width="21" style="21" customWidth="1"/>
    <col min="3849" max="3849" width="18.85546875" style="21" customWidth="1"/>
    <col min="3850" max="3850" width="19.42578125" style="21" customWidth="1"/>
    <col min="3851" max="3851" width="18.85546875" style="21" customWidth="1"/>
    <col min="3852" max="3852" width="18.140625" style="21" customWidth="1"/>
    <col min="3853" max="3854" width="20.85546875" style="21" customWidth="1"/>
    <col min="3855" max="3855" width="133.7109375" style="21" customWidth="1"/>
    <col min="3856" max="3856" width="19.7109375" style="21" customWidth="1"/>
    <col min="3857" max="3857" width="13.28515625" style="21" customWidth="1"/>
    <col min="3858" max="3858" width="14.42578125" style="21" customWidth="1"/>
    <col min="3859" max="3859" width="11" style="21" customWidth="1"/>
    <col min="3860" max="3860" width="13.42578125" style="21" customWidth="1"/>
    <col min="3861" max="3861" width="13.5703125" style="21" customWidth="1"/>
    <col min="3862" max="3862" width="17.5703125" style="21" customWidth="1"/>
    <col min="3863" max="3865" width="13.42578125" style="21" customWidth="1"/>
    <col min="3866" max="3866" width="12.7109375" style="21" customWidth="1"/>
    <col min="3867" max="3867" width="13.28515625" style="21" customWidth="1"/>
    <col min="3868" max="3868" width="17.140625" style="21" customWidth="1"/>
    <col min="3869" max="3870" width="13.42578125" style="21" customWidth="1"/>
    <col min="3871" max="3871" width="14.85546875" style="21" customWidth="1"/>
    <col min="3872" max="3872" width="13.140625" style="21" customWidth="1"/>
    <col min="3873" max="3873" width="14.85546875" style="21" customWidth="1"/>
    <col min="3874" max="3874" width="13" style="21" customWidth="1"/>
    <col min="3875" max="3876" width="15.5703125" style="21" customWidth="1"/>
    <col min="3877" max="3877" width="25.140625" style="21" customWidth="1"/>
    <col min="3878" max="3878" width="40.42578125" style="21" customWidth="1"/>
    <col min="3879" max="3879" width="19.140625" style="21" customWidth="1"/>
    <col min="3880" max="3880" width="17.85546875" style="21" customWidth="1"/>
    <col min="3881" max="3881" width="13.140625" style="21" customWidth="1"/>
    <col min="3882" max="3882" width="12" style="21" customWidth="1"/>
    <col min="3883" max="3883" width="13.85546875" style="21" customWidth="1"/>
    <col min="3884" max="3884" width="13.42578125" style="21" customWidth="1"/>
    <col min="3885" max="3885" width="19.5703125" style="21" customWidth="1"/>
    <col min="3886" max="3886" width="14.28515625" style="21" customWidth="1"/>
    <col min="3887" max="3887" width="22.85546875" style="21" customWidth="1"/>
    <col min="3888" max="3888" width="16" style="21" customWidth="1"/>
    <col min="3889" max="3889" width="14.5703125" style="21" customWidth="1"/>
    <col min="3890" max="3890" width="17.85546875" style="21" customWidth="1"/>
    <col min="3891" max="3891" width="13.42578125" style="21" customWidth="1"/>
    <col min="3892" max="3892" width="21.7109375" style="21" customWidth="1"/>
    <col min="3893" max="3893" width="18" style="21" customWidth="1"/>
    <col min="3894" max="3894" width="13.5703125" style="21" customWidth="1"/>
    <col min="3895" max="3895" width="16.42578125" style="21" customWidth="1"/>
    <col min="3896" max="3900" width="13.42578125" style="21" customWidth="1"/>
    <col min="3901" max="3901" width="12.7109375" style="21" customWidth="1"/>
    <col min="3902" max="3904" width="13.42578125" style="21" customWidth="1"/>
    <col min="3905" max="3905" width="14.5703125" style="21" customWidth="1"/>
    <col min="3906" max="3906" width="12.140625" style="21" customWidth="1"/>
    <col min="3907" max="3920" width="13.42578125" style="21" customWidth="1"/>
    <col min="3921" max="3921" width="17.42578125" style="21" customWidth="1"/>
    <col min="3922" max="3922" width="14.5703125" style="21" customWidth="1"/>
    <col min="3923" max="3931" width="13.42578125" style="21" customWidth="1"/>
    <col min="3932" max="3932" width="10.28515625" style="21" customWidth="1"/>
    <col min="3933" max="3938" width="13.42578125" style="21" customWidth="1"/>
    <col min="3939" max="3939" width="13.140625" style="21" customWidth="1"/>
    <col min="3940" max="3940" width="15.42578125" style="21" customWidth="1"/>
    <col min="3941" max="3960" width="13.42578125" style="21" customWidth="1"/>
    <col min="3961" max="3961" width="20.85546875" style="21" customWidth="1"/>
    <col min="3962" max="3962" width="15.5703125" style="21" customWidth="1"/>
    <col min="3963" max="3966" width="13.42578125" style="21" customWidth="1"/>
    <col min="3967" max="3967" width="20.85546875" style="21" customWidth="1"/>
    <col min="3968" max="4096" width="9.140625" style="21"/>
    <col min="4097" max="4097" width="6.42578125" style="21" customWidth="1"/>
    <col min="4098" max="4098" width="19.5703125" style="21" customWidth="1"/>
    <col min="4099" max="4099" width="13.42578125" style="21" customWidth="1"/>
    <col min="4100" max="4100" width="13.5703125" style="21" customWidth="1"/>
    <col min="4101" max="4102" width="20.85546875" style="21" customWidth="1"/>
    <col min="4103" max="4103" width="16.5703125" style="21" customWidth="1"/>
    <col min="4104" max="4104" width="21" style="21" customWidth="1"/>
    <col min="4105" max="4105" width="18.85546875" style="21" customWidth="1"/>
    <col min="4106" max="4106" width="19.42578125" style="21" customWidth="1"/>
    <col min="4107" max="4107" width="18.85546875" style="21" customWidth="1"/>
    <col min="4108" max="4108" width="18.140625" style="21" customWidth="1"/>
    <col min="4109" max="4110" width="20.85546875" style="21" customWidth="1"/>
    <col min="4111" max="4111" width="133.7109375" style="21" customWidth="1"/>
    <col min="4112" max="4112" width="19.7109375" style="21" customWidth="1"/>
    <col min="4113" max="4113" width="13.28515625" style="21" customWidth="1"/>
    <col min="4114" max="4114" width="14.42578125" style="21" customWidth="1"/>
    <col min="4115" max="4115" width="11" style="21" customWidth="1"/>
    <col min="4116" max="4116" width="13.42578125" style="21" customWidth="1"/>
    <col min="4117" max="4117" width="13.5703125" style="21" customWidth="1"/>
    <col min="4118" max="4118" width="17.5703125" style="21" customWidth="1"/>
    <col min="4119" max="4121" width="13.42578125" style="21" customWidth="1"/>
    <col min="4122" max="4122" width="12.7109375" style="21" customWidth="1"/>
    <col min="4123" max="4123" width="13.28515625" style="21" customWidth="1"/>
    <col min="4124" max="4124" width="17.140625" style="21" customWidth="1"/>
    <col min="4125" max="4126" width="13.42578125" style="21" customWidth="1"/>
    <col min="4127" max="4127" width="14.85546875" style="21" customWidth="1"/>
    <col min="4128" max="4128" width="13.140625" style="21" customWidth="1"/>
    <col min="4129" max="4129" width="14.85546875" style="21" customWidth="1"/>
    <col min="4130" max="4130" width="13" style="21" customWidth="1"/>
    <col min="4131" max="4132" width="15.5703125" style="21" customWidth="1"/>
    <col min="4133" max="4133" width="25.140625" style="21" customWidth="1"/>
    <col min="4134" max="4134" width="40.42578125" style="21" customWidth="1"/>
    <col min="4135" max="4135" width="19.140625" style="21" customWidth="1"/>
    <col min="4136" max="4136" width="17.85546875" style="21" customWidth="1"/>
    <col min="4137" max="4137" width="13.140625" style="21" customWidth="1"/>
    <col min="4138" max="4138" width="12" style="21" customWidth="1"/>
    <col min="4139" max="4139" width="13.85546875" style="21" customWidth="1"/>
    <col min="4140" max="4140" width="13.42578125" style="21" customWidth="1"/>
    <col min="4141" max="4141" width="19.5703125" style="21" customWidth="1"/>
    <col min="4142" max="4142" width="14.28515625" style="21" customWidth="1"/>
    <col min="4143" max="4143" width="22.85546875" style="21" customWidth="1"/>
    <col min="4144" max="4144" width="16" style="21" customWidth="1"/>
    <col min="4145" max="4145" width="14.5703125" style="21" customWidth="1"/>
    <col min="4146" max="4146" width="17.85546875" style="21" customWidth="1"/>
    <col min="4147" max="4147" width="13.42578125" style="21" customWidth="1"/>
    <col min="4148" max="4148" width="21.7109375" style="21" customWidth="1"/>
    <col min="4149" max="4149" width="18" style="21" customWidth="1"/>
    <col min="4150" max="4150" width="13.5703125" style="21" customWidth="1"/>
    <col min="4151" max="4151" width="16.42578125" style="21" customWidth="1"/>
    <col min="4152" max="4156" width="13.42578125" style="21" customWidth="1"/>
    <col min="4157" max="4157" width="12.7109375" style="21" customWidth="1"/>
    <col min="4158" max="4160" width="13.42578125" style="21" customWidth="1"/>
    <col min="4161" max="4161" width="14.5703125" style="21" customWidth="1"/>
    <col min="4162" max="4162" width="12.140625" style="21" customWidth="1"/>
    <col min="4163" max="4176" width="13.42578125" style="21" customWidth="1"/>
    <col min="4177" max="4177" width="17.42578125" style="21" customWidth="1"/>
    <col min="4178" max="4178" width="14.5703125" style="21" customWidth="1"/>
    <col min="4179" max="4187" width="13.42578125" style="21" customWidth="1"/>
    <col min="4188" max="4188" width="10.28515625" style="21" customWidth="1"/>
    <col min="4189" max="4194" width="13.42578125" style="21" customWidth="1"/>
    <col min="4195" max="4195" width="13.140625" style="21" customWidth="1"/>
    <col min="4196" max="4196" width="15.42578125" style="21" customWidth="1"/>
    <col min="4197" max="4216" width="13.42578125" style="21" customWidth="1"/>
    <col min="4217" max="4217" width="20.85546875" style="21" customWidth="1"/>
    <col min="4218" max="4218" width="15.5703125" style="21" customWidth="1"/>
    <col min="4219" max="4222" width="13.42578125" style="21" customWidth="1"/>
    <col min="4223" max="4223" width="20.85546875" style="21" customWidth="1"/>
    <col min="4224" max="4352" width="9.140625" style="21"/>
    <col min="4353" max="4353" width="6.42578125" style="21" customWidth="1"/>
    <col min="4354" max="4354" width="19.5703125" style="21" customWidth="1"/>
    <col min="4355" max="4355" width="13.42578125" style="21" customWidth="1"/>
    <col min="4356" max="4356" width="13.5703125" style="21" customWidth="1"/>
    <col min="4357" max="4358" width="20.85546875" style="21" customWidth="1"/>
    <col min="4359" max="4359" width="16.5703125" style="21" customWidth="1"/>
    <col min="4360" max="4360" width="21" style="21" customWidth="1"/>
    <col min="4361" max="4361" width="18.85546875" style="21" customWidth="1"/>
    <col min="4362" max="4362" width="19.42578125" style="21" customWidth="1"/>
    <col min="4363" max="4363" width="18.85546875" style="21" customWidth="1"/>
    <col min="4364" max="4364" width="18.140625" style="21" customWidth="1"/>
    <col min="4365" max="4366" width="20.85546875" style="21" customWidth="1"/>
    <col min="4367" max="4367" width="133.7109375" style="21" customWidth="1"/>
    <col min="4368" max="4368" width="19.7109375" style="21" customWidth="1"/>
    <col min="4369" max="4369" width="13.28515625" style="21" customWidth="1"/>
    <col min="4370" max="4370" width="14.42578125" style="21" customWidth="1"/>
    <col min="4371" max="4371" width="11" style="21" customWidth="1"/>
    <col min="4372" max="4372" width="13.42578125" style="21" customWidth="1"/>
    <col min="4373" max="4373" width="13.5703125" style="21" customWidth="1"/>
    <col min="4374" max="4374" width="17.5703125" style="21" customWidth="1"/>
    <col min="4375" max="4377" width="13.42578125" style="21" customWidth="1"/>
    <col min="4378" max="4378" width="12.7109375" style="21" customWidth="1"/>
    <col min="4379" max="4379" width="13.28515625" style="21" customWidth="1"/>
    <col min="4380" max="4380" width="17.140625" style="21" customWidth="1"/>
    <col min="4381" max="4382" width="13.42578125" style="21" customWidth="1"/>
    <col min="4383" max="4383" width="14.85546875" style="21" customWidth="1"/>
    <col min="4384" max="4384" width="13.140625" style="21" customWidth="1"/>
    <col min="4385" max="4385" width="14.85546875" style="21" customWidth="1"/>
    <col min="4386" max="4386" width="13" style="21" customWidth="1"/>
    <col min="4387" max="4388" width="15.5703125" style="21" customWidth="1"/>
    <col min="4389" max="4389" width="25.140625" style="21" customWidth="1"/>
    <col min="4390" max="4390" width="40.42578125" style="21" customWidth="1"/>
    <col min="4391" max="4391" width="19.140625" style="21" customWidth="1"/>
    <col min="4392" max="4392" width="17.85546875" style="21" customWidth="1"/>
    <col min="4393" max="4393" width="13.140625" style="21" customWidth="1"/>
    <col min="4394" max="4394" width="12" style="21" customWidth="1"/>
    <col min="4395" max="4395" width="13.85546875" style="21" customWidth="1"/>
    <col min="4396" max="4396" width="13.42578125" style="21" customWidth="1"/>
    <col min="4397" max="4397" width="19.5703125" style="21" customWidth="1"/>
    <col min="4398" max="4398" width="14.28515625" style="21" customWidth="1"/>
    <col min="4399" max="4399" width="22.85546875" style="21" customWidth="1"/>
    <col min="4400" max="4400" width="16" style="21" customWidth="1"/>
    <col min="4401" max="4401" width="14.5703125" style="21" customWidth="1"/>
    <col min="4402" max="4402" width="17.85546875" style="21" customWidth="1"/>
    <col min="4403" max="4403" width="13.42578125" style="21" customWidth="1"/>
    <col min="4404" max="4404" width="21.7109375" style="21" customWidth="1"/>
    <col min="4405" max="4405" width="18" style="21" customWidth="1"/>
    <col min="4406" max="4406" width="13.5703125" style="21" customWidth="1"/>
    <col min="4407" max="4407" width="16.42578125" style="21" customWidth="1"/>
    <col min="4408" max="4412" width="13.42578125" style="21" customWidth="1"/>
    <col min="4413" max="4413" width="12.7109375" style="21" customWidth="1"/>
    <col min="4414" max="4416" width="13.42578125" style="21" customWidth="1"/>
    <col min="4417" max="4417" width="14.5703125" style="21" customWidth="1"/>
    <col min="4418" max="4418" width="12.140625" style="21" customWidth="1"/>
    <col min="4419" max="4432" width="13.42578125" style="21" customWidth="1"/>
    <col min="4433" max="4433" width="17.42578125" style="21" customWidth="1"/>
    <col min="4434" max="4434" width="14.5703125" style="21" customWidth="1"/>
    <col min="4435" max="4443" width="13.42578125" style="21" customWidth="1"/>
    <col min="4444" max="4444" width="10.28515625" style="21" customWidth="1"/>
    <col min="4445" max="4450" width="13.42578125" style="21" customWidth="1"/>
    <col min="4451" max="4451" width="13.140625" style="21" customWidth="1"/>
    <col min="4452" max="4452" width="15.42578125" style="21" customWidth="1"/>
    <col min="4453" max="4472" width="13.42578125" style="21" customWidth="1"/>
    <col min="4473" max="4473" width="20.85546875" style="21" customWidth="1"/>
    <col min="4474" max="4474" width="15.5703125" style="21" customWidth="1"/>
    <col min="4475" max="4478" width="13.42578125" style="21" customWidth="1"/>
    <col min="4479" max="4479" width="20.85546875" style="21" customWidth="1"/>
    <col min="4480" max="4608" width="9.140625" style="21"/>
    <col min="4609" max="4609" width="6.42578125" style="21" customWidth="1"/>
    <col min="4610" max="4610" width="19.5703125" style="21" customWidth="1"/>
    <col min="4611" max="4611" width="13.42578125" style="21" customWidth="1"/>
    <col min="4612" max="4612" width="13.5703125" style="21" customWidth="1"/>
    <col min="4613" max="4614" width="20.85546875" style="21" customWidth="1"/>
    <col min="4615" max="4615" width="16.5703125" style="21" customWidth="1"/>
    <col min="4616" max="4616" width="21" style="21" customWidth="1"/>
    <col min="4617" max="4617" width="18.85546875" style="21" customWidth="1"/>
    <col min="4618" max="4618" width="19.42578125" style="21" customWidth="1"/>
    <col min="4619" max="4619" width="18.85546875" style="21" customWidth="1"/>
    <col min="4620" max="4620" width="18.140625" style="21" customWidth="1"/>
    <col min="4621" max="4622" width="20.85546875" style="21" customWidth="1"/>
    <col min="4623" max="4623" width="133.7109375" style="21" customWidth="1"/>
    <col min="4624" max="4624" width="19.7109375" style="21" customWidth="1"/>
    <col min="4625" max="4625" width="13.28515625" style="21" customWidth="1"/>
    <col min="4626" max="4626" width="14.42578125" style="21" customWidth="1"/>
    <col min="4627" max="4627" width="11" style="21" customWidth="1"/>
    <col min="4628" max="4628" width="13.42578125" style="21" customWidth="1"/>
    <col min="4629" max="4629" width="13.5703125" style="21" customWidth="1"/>
    <col min="4630" max="4630" width="17.5703125" style="21" customWidth="1"/>
    <col min="4631" max="4633" width="13.42578125" style="21" customWidth="1"/>
    <col min="4634" max="4634" width="12.7109375" style="21" customWidth="1"/>
    <col min="4635" max="4635" width="13.28515625" style="21" customWidth="1"/>
    <col min="4636" max="4636" width="17.140625" style="21" customWidth="1"/>
    <col min="4637" max="4638" width="13.42578125" style="21" customWidth="1"/>
    <col min="4639" max="4639" width="14.85546875" style="21" customWidth="1"/>
    <col min="4640" max="4640" width="13.140625" style="21" customWidth="1"/>
    <col min="4641" max="4641" width="14.85546875" style="21" customWidth="1"/>
    <col min="4642" max="4642" width="13" style="21" customWidth="1"/>
    <col min="4643" max="4644" width="15.5703125" style="21" customWidth="1"/>
    <col min="4645" max="4645" width="25.140625" style="21" customWidth="1"/>
    <col min="4646" max="4646" width="40.42578125" style="21" customWidth="1"/>
    <col min="4647" max="4647" width="19.140625" style="21" customWidth="1"/>
    <col min="4648" max="4648" width="17.85546875" style="21" customWidth="1"/>
    <col min="4649" max="4649" width="13.140625" style="21" customWidth="1"/>
    <col min="4650" max="4650" width="12" style="21" customWidth="1"/>
    <col min="4651" max="4651" width="13.85546875" style="21" customWidth="1"/>
    <col min="4652" max="4652" width="13.42578125" style="21" customWidth="1"/>
    <col min="4653" max="4653" width="19.5703125" style="21" customWidth="1"/>
    <col min="4654" max="4654" width="14.28515625" style="21" customWidth="1"/>
    <col min="4655" max="4655" width="22.85546875" style="21" customWidth="1"/>
    <col min="4656" max="4656" width="16" style="21" customWidth="1"/>
    <col min="4657" max="4657" width="14.5703125" style="21" customWidth="1"/>
    <col min="4658" max="4658" width="17.85546875" style="21" customWidth="1"/>
    <col min="4659" max="4659" width="13.42578125" style="21" customWidth="1"/>
    <col min="4660" max="4660" width="21.7109375" style="21" customWidth="1"/>
    <col min="4661" max="4661" width="18" style="21" customWidth="1"/>
    <col min="4662" max="4662" width="13.5703125" style="21" customWidth="1"/>
    <col min="4663" max="4663" width="16.42578125" style="21" customWidth="1"/>
    <col min="4664" max="4668" width="13.42578125" style="21" customWidth="1"/>
    <col min="4669" max="4669" width="12.7109375" style="21" customWidth="1"/>
    <col min="4670" max="4672" width="13.42578125" style="21" customWidth="1"/>
    <col min="4673" max="4673" width="14.5703125" style="21" customWidth="1"/>
    <col min="4674" max="4674" width="12.140625" style="21" customWidth="1"/>
    <col min="4675" max="4688" width="13.42578125" style="21" customWidth="1"/>
    <col min="4689" max="4689" width="17.42578125" style="21" customWidth="1"/>
    <col min="4690" max="4690" width="14.5703125" style="21" customWidth="1"/>
    <col min="4691" max="4699" width="13.42578125" style="21" customWidth="1"/>
    <col min="4700" max="4700" width="10.28515625" style="21" customWidth="1"/>
    <col min="4701" max="4706" width="13.42578125" style="21" customWidth="1"/>
    <col min="4707" max="4707" width="13.140625" style="21" customWidth="1"/>
    <col min="4708" max="4708" width="15.42578125" style="21" customWidth="1"/>
    <col min="4709" max="4728" width="13.42578125" style="21" customWidth="1"/>
    <col min="4729" max="4729" width="20.85546875" style="21" customWidth="1"/>
    <col min="4730" max="4730" width="15.5703125" style="21" customWidth="1"/>
    <col min="4731" max="4734" width="13.42578125" style="21" customWidth="1"/>
    <col min="4735" max="4735" width="20.85546875" style="21" customWidth="1"/>
    <col min="4736" max="4864" width="9.140625" style="21"/>
    <col min="4865" max="4865" width="6.42578125" style="21" customWidth="1"/>
    <col min="4866" max="4866" width="19.5703125" style="21" customWidth="1"/>
    <col min="4867" max="4867" width="13.42578125" style="21" customWidth="1"/>
    <col min="4868" max="4868" width="13.5703125" style="21" customWidth="1"/>
    <col min="4869" max="4870" width="20.85546875" style="21" customWidth="1"/>
    <col min="4871" max="4871" width="16.5703125" style="21" customWidth="1"/>
    <col min="4872" max="4872" width="21" style="21" customWidth="1"/>
    <col min="4873" max="4873" width="18.85546875" style="21" customWidth="1"/>
    <col min="4874" max="4874" width="19.42578125" style="21" customWidth="1"/>
    <col min="4875" max="4875" width="18.85546875" style="21" customWidth="1"/>
    <col min="4876" max="4876" width="18.140625" style="21" customWidth="1"/>
    <col min="4877" max="4878" width="20.85546875" style="21" customWidth="1"/>
    <col min="4879" max="4879" width="133.7109375" style="21" customWidth="1"/>
    <col min="4880" max="4880" width="19.7109375" style="21" customWidth="1"/>
    <col min="4881" max="4881" width="13.28515625" style="21" customWidth="1"/>
    <col min="4882" max="4882" width="14.42578125" style="21" customWidth="1"/>
    <col min="4883" max="4883" width="11" style="21" customWidth="1"/>
    <col min="4884" max="4884" width="13.42578125" style="21" customWidth="1"/>
    <col min="4885" max="4885" width="13.5703125" style="21" customWidth="1"/>
    <col min="4886" max="4886" width="17.5703125" style="21" customWidth="1"/>
    <col min="4887" max="4889" width="13.42578125" style="21" customWidth="1"/>
    <col min="4890" max="4890" width="12.7109375" style="21" customWidth="1"/>
    <col min="4891" max="4891" width="13.28515625" style="21" customWidth="1"/>
    <col min="4892" max="4892" width="17.140625" style="21" customWidth="1"/>
    <col min="4893" max="4894" width="13.42578125" style="21" customWidth="1"/>
    <col min="4895" max="4895" width="14.85546875" style="21" customWidth="1"/>
    <col min="4896" max="4896" width="13.140625" style="21" customWidth="1"/>
    <col min="4897" max="4897" width="14.85546875" style="21" customWidth="1"/>
    <col min="4898" max="4898" width="13" style="21" customWidth="1"/>
    <col min="4899" max="4900" width="15.5703125" style="21" customWidth="1"/>
    <col min="4901" max="4901" width="25.140625" style="21" customWidth="1"/>
    <col min="4902" max="4902" width="40.42578125" style="21" customWidth="1"/>
    <col min="4903" max="4903" width="19.140625" style="21" customWidth="1"/>
    <col min="4904" max="4904" width="17.85546875" style="21" customWidth="1"/>
    <col min="4905" max="4905" width="13.140625" style="21" customWidth="1"/>
    <col min="4906" max="4906" width="12" style="21" customWidth="1"/>
    <col min="4907" max="4907" width="13.85546875" style="21" customWidth="1"/>
    <col min="4908" max="4908" width="13.42578125" style="21" customWidth="1"/>
    <col min="4909" max="4909" width="19.5703125" style="21" customWidth="1"/>
    <col min="4910" max="4910" width="14.28515625" style="21" customWidth="1"/>
    <col min="4911" max="4911" width="22.85546875" style="21" customWidth="1"/>
    <col min="4912" max="4912" width="16" style="21" customWidth="1"/>
    <col min="4913" max="4913" width="14.5703125" style="21" customWidth="1"/>
    <col min="4914" max="4914" width="17.85546875" style="21" customWidth="1"/>
    <col min="4915" max="4915" width="13.42578125" style="21" customWidth="1"/>
    <col min="4916" max="4916" width="21.7109375" style="21" customWidth="1"/>
    <col min="4917" max="4917" width="18" style="21" customWidth="1"/>
    <col min="4918" max="4918" width="13.5703125" style="21" customWidth="1"/>
    <col min="4919" max="4919" width="16.42578125" style="21" customWidth="1"/>
    <col min="4920" max="4924" width="13.42578125" style="21" customWidth="1"/>
    <col min="4925" max="4925" width="12.7109375" style="21" customWidth="1"/>
    <col min="4926" max="4928" width="13.42578125" style="21" customWidth="1"/>
    <col min="4929" max="4929" width="14.5703125" style="21" customWidth="1"/>
    <col min="4930" max="4930" width="12.140625" style="21" customWidth="1"/>
    <col min="4931" max="4944" width="13.42578125" style="21" customWidth="1"/>
    <col min="4945" max="4945" width="17.42578125" style="21" customWidth="1"/>
    <col min="4946" max="4946" width="14.5703125" style="21" customWidth="1"/>
    <col min="4947" max="4955" width="13.42578125" style="21" customWidth="1"/>
    <col min="4956" max="4956" width="10.28515625" style="21" customWidth="1"/>
    <col min="4957" max="4962" width="13.42578125" style="21" customWidth="1"/>
    <col min="4963" max="4963" width="13.140625" style="21" customWidth="1"/>
    <col min="4964" max="4964" width="15.42578125" style="21" customWidth="1"/>
    <col min="4965" max="4984" width="13.42578125" style="21" customWidth="1"/>
    <col min="4985" max="4985" width="20.85546875" style="21" customWidth="1"/>
    <col min="4986" max="4986" width="15.5703125" style="21" customWidth="1"/>
    <col min="4987" max="4990" width="13.42578125" style="21" customWidth="1"/>
    <col min="4991" max="4991" width="20.85546875" style="21" customWidth="1"/>
    <col min="4992" max="5120" width="9.140625" style="21"/>
    <col min="5121" max="5121" width="6.42578125" style="21" customWidth="1"/>
    <col min="5122" max="5122" width="19.5703125" style="21" customWidth="1"/>
    <col min="5123" max="5123" width="13.42578125" style="21" customWidth="1"/>
    <col min="5124" max="5124" width="13.5703125" style="21" customWidth="1"/>
    <col min="5125" max="5126" width="20.85546875" style="21" customWidth="1"/>
    <col min="5127" max="5127" width="16.5703125" style="21" customWidth="1"/>
    <col min="5128" max="5128" width="21" style="21" customWidth="1"/>
    <col min="5129" max="5129" width="18.85546875" style="21" customWidth="1"/>
    <col min="5130" max="5130" width="19.42578125" style="21" customWidth="1"/>
    <col min="5131" max="5131" width="18.85546875" style="21" customWidth="1"/>
    <col min="5132" max="5132" width="18.140625" style="21" customWidth="1"/>
    <col min="5133" max="5134" width="20.85546875" style="21" customWidth="1"/>
    <col min="5135" max="5135" width="133.7109375" style="21" customWidth="1"/>
    <col min="5136" max="5136" width="19.7109375" style="21" customWidth="1"/>
    <col min="5137" max="5137" width="13.28515625" style="21" customWidth="1"/>
    <col min="5138" max="5138" width="14.42578125" style="21" customWidth="1"/>
    <col min="5139" max="5139" width="11" style="21" customWidth="1"/>
    <col min="5140" max="5140" width="13.42578125" style="21" customWidth="1"/>
    <col min="5141" max="5141" width="13.5703125" style="21" customWidth="1"/>
    <col min="5142" max="5142" width="17.5703125" style="21" customWidth="1"/>
    <col min="5143" max="5145" width="13.42578125" style="21" customWidth="1"/>
    <col min="5146" max="5146" width="12.7109375" style="21" customWidth="1"/>
    <col min="5147" max="5147" width="13.28515625" style="21" customWidth="1"/>
    <col min="5148" max="5148" width="17.140625" style="21" customWidth="1"/>
    <col min="5149" max="5150" width="13.42578125" style="21" customWidth="1"/>
    <col min="5151" max="5151" width="14.85546875" style="21" customWidth="1"/>
    <col min="5152" max="5152" width="13.140625" style="21" customWidth="1"/>
    <col min="5153" max="5153" width="14.85546875" style="21" customWidth="1"/>
    <col min="5154" max="5154" width="13" style="21" customWidth="1"/>
    <col min="5155" max="5156" width="15.5703125" style="21" customWidth="1"/>
    <col min="5157" max="5157" width="25.140625" style="21" customWidth="1"/>
    <col min="5158" max="5158" width="40.42578125" style="21" customWidth="1"/>
    <col min="5159" max="5159" width="19.140625" style="21" customWidth="1"/>
    <col min="5160" max="5160" width="17.85546875" style="21" customWidth="1"/>
    <col min="5161" max="5161" width="13.140625" style="21" customWidth="1"/>
    <col min="5162" max="5162" width="12" style="21" customWidth="1"/>
    <col min="5163" max="5163" width="13.85546875" style="21" customWidth="1"/>
    <col min="5164" max="5164" width="13.42578125" style="21" customWidth="1"/>
    <col min="5165" max="5165" width="19.5703125" style="21" customWidth="1"/>
    <col min="5166" max="5166" width="14.28515625" style="21" customWidth="1"/>
    <col min="5167" max="5167" width="22.85546875" style="21" customWidth="1"/>
    <col min="5168" max="5168" width="16" style="21" customWidth="1"/>
    <col min="5169" max="5169" width="14.5703125" style="21" customWidth="1"/>
    <col min="5170" max="5170" width="17.85546875" style="21" customWidth="1"/>
    <col min="5171" max="5171" width="13.42578125" style="21" customWidth="1"/>
    <col min="5172" max="5172" width="21.7109375" style="21" customWidth="1"/>
    <col min="5173" max="5173" width="18" style="21" customWidth="1"/>
    <col min="5174" max="5174" width="13.5703125" style="21" customWidth="1"/>
    <col min="5175" max="5175" width="16.42578125" style="21" customWidth="1"/>
    <col min="5176" max="5180" width="13.42578125" style="21" customWidth="1"/>
    <col min="5181" max="5181" width="12.7109375" style="21" customWidth="1"/>
    <col min="5182" max="5184" width="13.42578125" style="21" customWidth="1"/>
    <col min="5185" max="5185" width="14.5703125" style="21" customWidth="1"/>
    <col min="5186" max="5186" width="12.140625" style="21" customWidth="1"/>
    <col min="5187" max="5200" width="13.42578125" style="21" customWidth="1"/>
    <col min="5201" max="5201" width="17.42578125" style="21" customWidth="1"/>
    <col min="5202" max="5202" width="14.5703125" style="21" customWidth="1"/>
    <col min="5203" max="5211" width="13.42578125" style="21" customWidth="1"/>
    <col min="5212" max="5212" width="10.28515625" style="21" customWidth="1"/>
    <col min="5213" max="5218" width="13.42578125" style="21" customWidth="1"/>
    <col min="5219" max="5219" width="13.140625" style="21" customWidth="1"/>
    <col min="5220" max="5220" width="15.42578125" style="21" customWidth="1"/>
    <col min="5221" max="5240" width="13.42578125" style="21" customWidth="1"/>
    <col min="5241" max="5241" width="20.85546875" style="21" customWidth="1"/>
    <col min="5242" max="5242" width="15.5703125" style="21" customWidth="1"/>
    <col min="5243" max="5246" width="13.42578125" style="21" customWidth="1"/>
    <col min="5247" max="5247" width="20.85546875" style="21" customWidth="1"/>
    <col min="5248" max="5376" width="9.140625" style="21"/>
    <col min="5377" max="5377" width="6.42578125" style="21" customWidth="1"/>
    <col min="5378" max="5378" width="19.5703125" style="21" customWidth="1"/>
    <col min="5379" max="5379" width="13.42578125" style="21" customWidth="1"/>
    <col min="5380" max="5380" width="13.5703125" style="21" customWidth="1"/>
    <col min="5381" max="5382" width="20.85546875" style="21" customWidth="1"/>
    <col min="5383" max="5383" width="16.5703125" style="21" customWidth="1"/>
    <col min="5384" max="5384" width="21" style="21" customWidth="1"/>
    <col min="5385" max="5385" width="18.85546875" style="21" customWidth="1"/>
    <col min="5386" max="5386" width="19.42578125" style="21" customWidth="1"/>
    <col min="5387" max="5387" width="18.85546875" style="21" customWidth="1"/>
    <col min="5388" max="5388" width="18.140625" style="21" customWidth="1"/>
    <col min="5389" max="5390" width="20.85546875" style="21" customWidth="1"/>
    <col min="5391" max="5391" width="133.7109375" style="21" customWidth="1"/>
    <col min="5392" max="5392" width="19.7109375" style="21" customWidth="1"/>
    <col min="5393" max="5393" width="13.28515625" style="21" customWidth="1"/>
    <col min="5394" max="5394" width="14.42578125" style="21" customWidth="1"/>
    <col min="5395" max="5395" width="11" style="21" customWidth="1"/>
    <col min="5396" max="5396" width="13.42578125" style="21" customWidth="1"/>
    <col min="5397" max="5397" width="13.5703125" style="21" customWidth="1"/>
    <col min="5398" max="5398" width="17.5703125" style="21" customWidth="1"/>
    <col min="5399" max="5401" width="13.42578125" style="21" customWidth="1"/>
    <col min="5402" max="5402" width="12.7109375" style="21" customWidth="1"/>
    <col min="5403" max="5403" width="13.28515625" style="21" customWidth="1"/>
    <col min="5404" max="5404" width="17.140625" style="21" customWidth="1"/>
    <col min="5405" max="5406" width="13.42578125" style="21" customWidth="1"/>
    <col min="5407" max="5407" width="14.85546875" style="21" customWidth="1"/>
    <col min="5408" max="5408" width="13.140625" style="21" customWidth="1"/>
    <col min="5409" max="5409" width="14.85546875" style="21" customWidth="1"/>
    <col min="5410" max="5410" width="13" style="21" customWidth="1"/>
    <col min="5411" max="5412" width="15.5703125" style="21" customWidth="1"/>
    <col min="5413" max="5413" width="25.140625" style="21" customWidth="1"/>
    <col min="5414" max="5414" width="40.42578125" style="21" customWidth="1"/>
    <col min="5415" max="5415" width="19.140625" style="21" customWidth="1"/>
    <col min="5416" max="5416" width="17.85546875" style="21" customWidth="1"/>
    <col min="5417" max="5417" width="13.140625" style="21" customWidth="1"/>
    <col min="5418" max="5418" width="12" style="21" customWidth="1"/>
    <col min="5419" max="5419" width="13.85546875" style="21" customWidth="1"/>
    <col min="5420" max="5420" width="13.42578125" style="21" customWidth="1"/>
    <col min="5421" max="5421" width="19.5703125" style="21" customWidth="1"/>
    <col min="5422" max="5422" width="14.28515625" style="21" customWidth="1"/>
    <col min="5423" max="5423" width="22.85546875" style="21" customWidth="1"/>
    <col min="5424" max="5424" width="16" style="21" customWidth="1"/>
    <col min="5425" max="5425" width="14.5703125" style="21" customWidth="1"/>
    <col min="5426" max="5426" width="17.85546875" style="21" customWidth="1"/>
    <col min="5427" max="5427" width="13.42578125" style="21" customWidth="1"/>
    <col min="5428" max="5428" width="21.7109375" style="21" customWidth="1"/>
    <col min="5429" max="5429" width="18" style="21" customWidth="1"/>
    <col min="5430" max="5430" width="13.5703125" style="21" customWidth="1"/>
    <col min="5431" max="5431" width="16.42578125" style="21" customWidth="1"/>
    <col min="5432" max="5436" width="13.42578125" style="21" customWidth="1"/>
    <col min="5437" max="5437" width="12.7109375" style="21" customWidth="1"/>
    <col min="5438" max="5440" width="13.42578125" style="21" customWidth="1"/>
    <col min="5441" max="5441" width="14.5703125" style="21" customWidth="1"/>
    <col min="5442" max="5442" width="12.140625" style="21" customWidth="1"/>
    <col min="5443" max="5456" width="13.42578125" style="21" customWidth="1"/>
    <col min="5457" max="5457" width="17.42578125" style="21" customWidth="1"/>
    <col min="5458" max="5458" width="14.5703125" style="21" customWidth="1"/>
    <col min="5459" max="5467" width="13.42578125" style="21" customWidth="1"/>
    <col min="5468" max="5468" width="10.28515625" style="21" customWidth="1"/>
    <col min="5469" max="5474" width="13.42578125" style="21" customWidth="1"/>
    <col min="5475" max="5475" width="13.140625" style="21" customWidth="1"/>
    <col min="5476" max="5476" width="15.42578125" style="21" customWidth="1"/>
    <col min="5477" max="5496" width="13.42578125" style="21" customWidth="1"/>
    <col min="5497" max="5497" width="20.85546875" style="21" customWidth="1"/>
    <col min="5498" max="5498" width="15.5703125" style="21" customWidth="1"/>
    <col min="5499" max="5502" width="13.42578125" style="21" customWidth="1"/>
    <col min="5503" max="5503" width="20.85546875" style="21" customWidth="1"/>
    <col min="5504" max="5632" width="9.140625" style="21"/>
    <col min="5633" max="5633" width="6.42578125" style="21" customWidth="1"/>
    <col min="5634" max="5634" width="19.5703125" style="21" customWidth="1"/>
    <col min="5635" max="5635" width="13.42578125" style="21" customWidth="1"/>
    <col min="5636" max="5636" width="13.5703125" style="21" customWidth="1"/>
    <col min="5637" max="5638" width="20.85546875" style="21" customWidth="1"/>
    <col min="5639" max="5639" width="16.5703125" style="21" customWidth="1"/>
    <col min="5640" max="5640" width="21" style="21" customWidth="1"/>
    <col min="5641" max="5641" width="18.85546875" style="21" customWidth="1"/>
    <col min="5642" max="5642" width="19.42578125" style="21" customWidth="1"/>
    <col min="5643" max="5643" width="18.85546875" style="21" customWidth="1"/>
    <col min="5644" max="5644" width="18.140625" style="21" customWidth="1"/>
    <col min="5645" max="5646" width="20.85546875" style="21" customWidth="1"/>
    <col min="5647" max="5647" width="133.7109375" style="21" customWidth="1"/>
    <col min="5648" max="5648" width="19.7109375" style="21" customWidth="1"/>
    <col min="5649" max="5649" width="13.28515625" style="21" customWidth="1"/>
    <col min="5650" max="5650" width="14.42578125" style="21" customWidth="1"/>
    <col min="5651" max="5651" width="11" style="21" customWidth="1"/>
    <col min="5652" max="5652" width="13.42578125" style="21" customWidth="1"/>
    <col min="5653" max="5653" width="13.5703125" style="21" customWidth="1"/>
    <col min="5654" max="5654" width="17.5703125" style="21" customWidth="1"/>
    <col min="5655" max="5657" width="13.42578125" style="21" customWidth="1"/>
    <col min="5658" max="5658" width="12.7109375" style="21" customWidth="1"/>
    <col min="5659" max="5659" width="13.28515625" style="21" customWidth="1"/>
    <col min="5660" max="5660" width="17.140625" style="21" customWidth="1"/>
    <col min="5661" max="5662" width="13.42578125" style="21" customWidth="1"/>
    <col min="5663" max="5663" width="14.85546875" style="21" customWidth="1"/>
    <col min="5664" max="5664" width="13.140625" style="21" customWidth="1"/>
    <col min="5665" max="5665" width="14.85546875" style="21" customWidth="1"/>
    <col min="5666" max="5666" width="13" style="21" customWidth="1"/>
    <col min="5667" max="5668" width="15.5703125" style="21" customWidth="1"/>
    <col min="5669" max="5669" width="25.140625" style="21" customWidth="1"/>
    <col min="5670" max="5670" width="40.42578125" style="21" customWidth="1"/>
    <col min="5671" max="5671" width="19.140625" style="21" customWidth="1"/>
    <col min="5672" max="5672" width="17.85546875" style="21" customWidth="1"/>
    <col min="5673" max="5673" width="13.140625" style="21" customWidth="1"/>
    <col min="5674" max="5674" width="12" style="21" customWidth="1"/>
    <col min="5675" max="5675" width="13.85546875" style="21" customWidth="1"/>
    <col min="5676" max="5676" width="13.42578125" style="21" customWidth="1"/>
    <col min="5677" max="5677" width="19.5703125" style="21" customWidth="1"/>
    <col min="5678" max="5678" width="14.28515625" style="21" customWidth="1"/>
    <col min="5679" max="5679" width="22.85546875" style="21" customWidth="1"/>
    <col min="5680" max="5680" width="16" style="21" customWidth="1"/>
    <col min="5681" max="5681" width="14.5703125" style="21" customWidth="1"/>
    <col min="5682" max="5682" width="17.85546875" style="21" customWidth="1"/>
    <col min="5683" max="5683" width="13.42578125" style="21" customWidth="1"/>
    <col min="5684" max="5684" width="21.7109375" style="21" customWidth="1"/>
    <col min="5685" max="5685" width="18" style="21" customWidth="1"/>
    <col min="5686" max="5686" width="13.5703125" style="21" customWidth="1"/>
    <col min="5687" max="5687" width="16.42578125" style="21" customWidth="1"/>
    <col min="5688" max="5692" width="13.42578125" style="21" customWidth="1"/>
    <col min="5693" max="5693" width="12.7109375" style="21" customWidth="1"/>
    <col min="5694" max="5696" width="13.42578125" style="21" customWidth="1"/>
    <col min="5697" max="5697" width="14.5703125" style="21" customWidth="1"/>
    <col min="5698" max="5698" width="12.140625" style="21" customWidth="1"/>
    <col min="5699" max="5712" width="13.42578125" style="21" customWidth="1"/>
    <col min="5713" max="5713" width="17.42578125" style="21" customWidth="1"/>
    <col min="5714" max="5714" width="14.5703125" style="21" customWidth="1"/>
    <col min="5715" max="5723" width="13.42578125" style="21" customWidth="1"/>
    <col min="5724" max="5724" width="10.28515625" style="21" customWidth="1"/>
    <col min="5725" max="5730" width="13.42578125" style="21" customWidth="1"/>
    <col min="5731" max="5731" width="13.140625" style="21" customWidth="1"/>
    <col min="5732" max="5732" width="15.42578125" style="21" customWidth="1"/>
    <col min="5733" max="5752" width="13.42578125" style="21" customWidth="1"/>
    <col min="5753" max="5753" width="20.85546875" style="21" customWidth="1"/>
    <col min="5754" max="5754" width="15.5703125" style="21" customWidth="1"/>
    <col min="5755" max="5758" width="13.42578125" style="21" customWidth="1"/>
    <col min="5759" max="5759" width="20.85546875" style="21" customWidth="1"/>
    <col min="5760" max="5888" width="9.140625" style="21"/>
    <col min="5889" max="5889" width="6.42578125" style="21" customWidth="1"/>
    <col min="5890" max="5890" width="19.5703125" style="21" customWidth="1"/>
    <col min="5891" max="5891" width="13.42578125" style="21" customWidth="1"/>
    <col min="5892" max="5892" width="13.5703125" style="21" customWidth="1"/>
    <col min="5893" max="5894" width="20.85546875" style="21" customWidth="1"/>
    <col min="5895" max="5895" width="16.5703125" style="21" customWidth="1"/>
    <col min="5896" max="5896" width="21" style="21" customWidth="1"/>
    <col min="5897" max="5897" width="18.85546875" style="21" customWidth="1"/>
    <col min="5898" max="5898" width="19.42578125" style="21" customWidth="1"/>
    <col min="5899" max="5899" width="18.85546875" style="21" customWidth="1"/>
    <col min="5900" max="5900" width="18.140625" style="21" customWidth="1"/>
    <col min="5901" max="5902" width="20.85546875" style="21" customWidth="1"/>
    <col min="5903" max="5903" width="133.7109375" style="21" customWidth="1"/>
    <col min="5904" max="5904" width="19.7109375" style="21" customWidth="1"/>
    <col min="5905" max="5905" width="13.28515625" style="21" customWidth="1"/>
    <col min="5906" max="5906" width="14.42578125" style="21" customWidth="1"/>
    <col min="5907" max="5907" width="11" style="21" customWidth="1"/>
    <col min="5908" max="5908" width="13.42578125" style="21" customWidth="1"/>
    <col min="5909" max="5909" width="13.5703125" style="21" customWidth="1"/>
    <col min="5910" max="5910" width="17.5703125" style="21" customWidth="1"/>
    <col min="5911" max="5913" width="13.42578125" style="21" customWidth="1"/>
    <col min="5914" max="5914" width="12.7109375" style="21" customWidth="1"/>
    <col min="5915" max="5915" width="13.28515625" style="21" customWidth="1"/>
    <col min="5916" max="5916" width="17.140625" style="21" customWidth="1"/>
    <col min="5917" max="5918" width="13.42578125" style="21" customWidth="1"/>
    <col min="5919" max="5919" width="14.85546875" style="21" customWidth="1"/>
    <col min="5920" max="5920" width="13.140625" style="21" customWidth="1"/>
    <col min="5921" max="5921" width="14.85546875" style="21" customWidth="1"/>
    <col min="5922" max="5922" width="13" style="21" customWidth="1"/>
    <col min="5923" max="5924" width="15.5703125" style="21" customWidth="1"/>
    <col min="5925" max="5925" width="25.140625" style="21" customWidth="1"/>
    <col min="5926" max="5926" width="40.42578125" style="21" customWidth="1"/>
    <col min="5927" max="5927" width="19.140625" style="21" customWidth="1"/>
    <col min="5928" max="5928" width="17.85546875" style="21" customWidth="1"/>
    <col min="5929" max="5929" width="13.140625" style="21" customWidth="1"/>
    <col min="5930" max="5930" width="12" style="21" customWidth="1"/>
    <col min="5931" max="5931" width="13.85546875" style="21" customWidth="1"/>
    <col min="5932" max="5932" width="13.42578125" style="21" customWidth="1"/>
    <col min="5933" max="5933" width="19.5703125" style="21" customWidth="1"/>
    <col min="5934" max="5934" width="14.28515625" style="21" customWidth="1"/>
    <col min="5935" max="5935" width="22.85546875" style="21" customWidth="1"/>
    <col min="5936" max="5936" width="16" style="21" customWidth="1"/>
    <col min="5937" max="5937" width="14.5703125" style="21" customWidth="1"/>
    <col min="5938" max="5938" width="17.85546875" style="21" customWidth="1"/>
    <col min="5939" max="5939" width="13.42578125" style="21" customWidth="1"/>
    <col min="5940" max="5940" width="21.7109375" style="21" customWidth="1"/>
    <col min="5941" max="5941" width="18" style="21" customWidth="1"/>
    <col min="5942" max="5942" width="13.5703125" style="21" customWidth="1"/>
    <col min="5943" max="5943" width="16.42578125" style="21" customWidth="1"/>
    <col min="5944" max="5948" width="13.42578125" style="21" customWidth="1"/>
    <col min="5949" max="5949" width="12.7109375" style="21" customWidth="1"/>
    <col min="5950" max="5952" width="13.42578125" style="21" customWidth="1"/>
    <col min="5953" max="5953" width="14.5703125" style="21" customWidth="1"/>
    <col min="5954" max="5954" width="12.140625" style="21" customWidth="1"/>
    <col min="5955" max="5968" width="13.42578125" style="21" customWidth="1"/>
    <col min="5969" max="5969" width="17.42578125" style="21" customWidth="1"/>
    <col min="5970" max="5970" width="14.5703125" style="21" customWidth="1"/>
    <col min="5971" max="5979" width="13.42578125" style="21" customWidth="1"/>
    <col min="5980" max="5980" width="10.28515625" style="21" customWidth="1"/>
    <col min="5981" max="5986" width="13.42578125" style="21" customWidth="1"/>
    <col min="5987" max="5987" width="13.140625" style="21" customWidth="1"/>
    <col min="5988" max="5988" width="15.42578125" style="21" customWidth="1"/>
    <col min="5989" max="6008" width="13.42578125" style="21" customWidth="1"/>
    <col min="6009" max="6009" width="20.85546875" style="21" customWidth="1"/>
    <col min="6010" max="6010" width="15.5703125" style="21" customWidth="1"/>
    <col min="6011" max="6014" width="13.42578125" style="21" customWidth="1"/>
    <col min="6015" max="6015" width="20.85546875" style="21" customWidth="1"/>
    <col min="6016" max="6144" width="9.140625" style="21"/>
    <col min="6145" max="6145" width="6.42578125" style="21" customWidth="1"/>
    <col min="6146" max="6146" width="19.5703125" style="21" customWidth="1"/>
    <col min="6147" max="6147" width="13.42578125" style="21" customWidth="1"/>
    <col min="6148" max="6148" width="13.5703125" style="21" customWidth="1"/>
    <col min="6149" max="6150" width="20.85546875" style="21" customWidth="1"/>
    <col min="6151" max="6151" width="16.5703125" style="21" customWidth="1"/>
    <col min="6152" max="6152" width="21" style="21" customWidth="1"/>
    <col min="6153" max="6153" width="18.85546875" style="21" customWidth="1"/>
    <col min="6154" max="6154" width="19.42578125" style="21" customWidth="1"/>
    <col min="6155" max="6155" width="18.85546875" style="21" customWidth="1"/>
    <col min="6156" max="6156" width="18.140625" style="21" customWidth="1"/>
    <col min="6157" max="6158" width="20.85546875" style="21" customWidth="1"/>
    <col min="6159" max="6159" width="133.7109375" style="21" customWidth="1"/>
    <col min="6160" max="6160" width="19.7109375" style="21" customWidth="1"/>
    <col min="6161" max="6161" width="13.28515625" style="21" customWidth="1"/>
    <col min="6162" max="6162" width="14.42578125" style="21" customWidth="1"/>
    <col min="6163" max="6163" width="11" style="21" customWidth="1"/>
    <col min="6164" max="6164" width="13.42578125" style="21" customWidth="1"/>
    <col min="6165" max="6165" width="13.5703125" style="21" customWidth="1"/>
    <col min="6166" max="6166" width="17.5703125" style="21" customWidth="1"/>
    <col min="6167" max="6169" width="13.42578125" style="21" customWidth="1"/>
    <col min="6170" max="6170" width="12.7109375" style="21" customWidth="1"/>
    <col min="6171" max="6171" width="13.28515625" style="21" customWidth="1"/>
    <col min="6172" max="6172" width="17.140625" style="21" customWidth="1"/>
    <col min="6173" max="6174" width="13.42578125" style="21" customWidth="1"/>
    <col min="6175" max="6175" width="14.85546875" style="21" customWidth="1"/>
    <col min="6176" max="6176" width="13.140625" style="21" customWidth="1"/>
    <col min="6177" max="6177" width="14.85546875" style="21" customWidth="1"/>
    <col min="6178" max="6178" width="13" style="21" customWidth="1"/>
    <col min="6179" max="6180" width="15.5703125" style="21" customWidth="1"/>
    <col min="6181" max="6181" width="25.140625" style="21" customWidth="1"/>
    <col min="6182" max="6182" width="40.42578125" style="21" customWidth="1"/>
    <col min="6183" max="6183" width="19.140625" style="21" customWidth="1"/>
    <col min="6184" max="6184" width="17.85546875" style="21" customWidth="1"/>
    <col min="6185" max="6185" width="13.140625" style="21" customWidth="1"/>
    <col min="6186" max="6186" width="12" style="21" customWidth="1"/>
    <col min="6187" max="6187" width="13.85546875" style="21" customWidth="1"/>
    <col min="6188" max="6188" width="13.42578125" style="21" customWidth="1"/>
    <col min="6189" max="6189" width="19.5703125" style="21" customWidth="1"/>
    <col min="6190" max="6190" width="14.28515625" style="21" customWidth="1"/>
    <col min="6191" max="6191" width="22.85546875" style="21" customWidth="1"/>
    <col min="6192" max="6192" width="16" style="21" customWidth="1"/>
    <col min="6193" max="6193" width="14.5703125" style="21" customWidth="1"/>
    <col min="6194" max="6194" width="17.85546875" style="21" customWidth="1"/>
    <col min="6195" max="6195" width="13.42578125" style="21" customWidth="1"/>
    <col min="6196" max="6196" width="21.7109375" style="21" customWidth="1"/>
    <col min="6197" max="6197" width="18" style="21" customWidth="1"/>
    <col min="6198" max="6198" width="13.5703125" style="21" customWidth="1"/>
    <col min="6199" max="6199" width="16.42578125" style="21" customWidth="1"/>
    <col min="6200" max="6204" width="13.42578125" style="21" customWidth="1"/>
    <col min="6205" max="6205" width="12.7109375" style="21" customWidth="1"/>
    <col min="6206" max="6208" width="13.42578125" style="21" customWidth="1"/>
    <col min="6209" max="6209" width="14.5703125" style="21" customWidth="1"/>
    <col min="6210" max="6210" width="12.140625" style="21" customWidth="1"/>
    <col min="6211" max="6224" width="13.42578125" style="21" customWidth="1"/>
    <col min="6225" max="6225" width="17.42578125" style="21" customWidth="1"/>
    <col min="6226" max="6226" width="14.5703125" style="21" customWidth="1"/>
    <col min="6227" max="6235" width="13.42578125" style="21" customWidth="1"/>
    <col min="6236" max="6236" width="10.28515625" style="21" customWidth="1"/>
    <col min="6237" max="6242" width="13.42578125" style="21" customWidth="1"/>
    <col min="6243" max="6243" width="13.140625" style="21" customWidth="1"/>
    <col min="6244" max="6244" width="15.42578125" style="21" customWidth="1"/>
    <col min="6245" max="6264" width="13.42578125" style="21" customWidth="1"/>
    <col min="6265" max="6265" width="20.85546875" style="21" customWidth="1"/>
    <col min="6266" max="6266" width="15.5703125" style="21" customWidth="1"/>
    <col min="6267" max="6270" width="13.42578125" style="21" customWidth="1"/>
    <col min="6271" max="6271" width="20.85546875" style="21" customWidth="1"/>
    <col min="6272" max="6400" width="9.140625" style="21"/>
    <col min="6401" max="6401" width="6.42578125" style="21" customWidth="1"/>
    <col min="6402" max="6402" width="19.5703125" style="21" customWidth="1"/>
    <col min="6403" max="6403" width="13.42578125" style="21" customWidth="1"/>
    <col min="6404" max="6404" width="13.5703125" style="21" customWidth="1"/>
    <col min="6405" max="6406" width="20.85546875" style="21" customWidth="1"/>
    <col min="6407" max="6407" width="16.5703125" style="21" customWidth="1"/>
    <col min="6408" max="6408" width="21" style="21" customWidth="1"/>
    <col min="6409" max="6409" width="18.85546875" style="21" customWidth="1"/>
    <col min="6410" max="6410" width="19.42578125" style="21" customWidth="1"/>
    <col min="6411" max="6411" width="18.85546875" style="21" customWidth="1"/>
    <col min="6412" max="6412" width="18.140625" style="21" customWidth="1"/>
    <col min="6413" max="6414" width="20.85546875" style="21" customWidth="1"/>
    <col min="6415" max="6415" width="133.7109375" style="21" customWidth="1"/>
    <col min="6416" max="6416" width="19.7109375" style="21" customWidth="1"/>
    <col min="6417" max="6417" width="13.28515625" style="21" customWidth="1"/>
    <col min="6418" max="6418" width="14.42578125" style="21" customWidth="1"/>
    <col min="6419" max="6419" width="11" style="21" customWidth="1"/>
    <col min="6420" max="6420" width="13.42578125" style="21" customWidth="1"/>
    <col min="6421" max="6421" width="13.5703125" style="21" customWidth="1"/>
    <col min="6422" max="6422" width="17.5703125" style="21" customWidth="1"/>
    <col min="6423" max="6425" width="13.42578125" style="21" customWidth="1"/>
    <col min="6426" max="6426" width="12.7109375" style="21" customWidth="1"/>
    <col min="6427" max="6427" width="13.28515625" style="21" customWidth="1"/>
    <col min="6428" max="6428" width="17.140625" style="21" customWidth="1"/>
    <col min="6429" max="6430" width="13.42578125" style="21" customWidth="1"/>
    <col min="6431" max="6431" width="14.85546875" style="21" customWidth="1"/>
    <col min="6432" max="6432" width="13.140625" style="21" customWidth="1"/>
    <col min="6433" max="6433" width="14.85546875" style="21" customWidth="1"/>
    <col min="6434" max="6434" width="13" style="21" customWidth="1"/>
    <col min="6435" max="6436" width="15.5703125" style="21" customWidth="1"/>
    <col min="6437" max="6437" width="25.140625" style="21" customWidth="1"/>
    <col min="6438" max="6438" width="40.42578125" style="21" customWidth="1"/>
    <col min="6439" max="6439" width="19.140625" style="21" customWidth="1"/>
    <col min="6440" max="6440" width="17.85546875" style="21" customWidth="1"/>
    <col min="6441" max="6441" width="13.140625" style="21" customWidth="1"/>
    <col min="6442" max="6442" width="12" style="21" customWidth="1"/>
    <col min="6443" max="6443" width="13.85546875" style="21" customWidth="1"/>
    <col min="6444" max="6444" width="13.42578125" style="21" customWidth="1"/>
    <col min="6445" max="6445" width="19.5703125" style="21" customWidth="1"/>
    <col min="6446" max="6446" width="14.28515625" style="21" customWidth="1"/>
    <col min="6447" max="6447" width="22.85546875" style="21" customWidth="1"/>
    <col min="6448" max="6448" width="16" style="21" customWidth="1"/>
    <col min="6449" max="6449" width="14.5703125" style="21" customWidth="1"/>
    <col min="6450" max="6450" width="17.85546875" style="21" customWidth="1"/>
    <col min="6451" max="6451" width="13.42578125" style="21" customWidth="1"/>
    <col min="6452" max="6452" width="21.7109375" style="21" customWidth="1"/>
    <col min="6453" max="6453" width="18" style="21" customWidth="1"/>
    <col min="6454" max="6454" width="13.5703125" style="21" customWidth="1"/>
    <col min="6455" max="6455" width="16.42578125" style="21" customWidth="1"/>
    <col min="6456" max="6460" width="13.42578125" style="21" customWidth="1"/>
    <col min="6461" max="6461" width="12.7109375" style="21" customWidth="1"/>
    <col min="6462" max="6464" width="13.42578125" style="21" customWidth="1"/>
    <col min="6465" max="6465" width="14.5703125" style="21" customWidth="1"/>
    <col min="6466" max="6466" width="12.140625" style="21" customWidth="1"/>
    <col min="6467" max="6480" width="13.42578125" style="21" customWidth="1"/>
    <col min="6481" max="6481" width="17.42578125" style="21" customWidth="1"/>
    <col min="6482" max="6482" width="14.5703125" style="21" customWidth="1"/>
    <col min="6483" max="6491" width="13.42578125" style="21" customWidth="1"/>
    <col min="6492" max="6492" width="10.28515625" style="21" customWidth="1"/>
    <col min="6493" max="6498" width="13.42578125" style="21" customWidth="1"/>
    <col min="6499" max="6499" width="13.140625" style="21" customWidth="1"/>
    <col min="6500" max="6500" width="15.42578125" style="21" customWidth="1"/>
    <col min="6501" max="6520" width="13.42578125" style="21" customWidth="1"/>
    <col min="6521" max="6521" width="20.85546875" style="21" customWidth="1"/>
    <col min="6522" max="6522" width="15.5703125" style="21" customWidth="1"/>
    <col min="6523" max="6526" width="13.42578125" style="21" customWidth="1"/>
    <col min="6527" max="6527" width="20.85546875" style="21" customWidth="1"/>
    <col min="6528" max="6656" width="9.140625" style="21"/>
    <col min="6657" max="6657" width="6.42578125" style="21" customWidth="1"/>
    <col min="6658" max="6658" width="19.5703125" style="21" customWidth="1"/>
    <col min="6659" max="6659" width="13.42578125" style="21" customWidth="1"/>
    <col min="6660" max="6660" width="13.5703125" style="21" customWidth="1"/>
    <col min="6661" max="6662" width="20.85546875" style="21" customWidth="1"/>
    <col min="6663" max="6663" width="16.5703125" style="21" customWidth="1"/>
    <col min="6664" max="6664" width="21" style="21" customWidth="1"/>
    <col min="6665" max="6665" width="18.85546875" style="21" customWidth="1"/>
    <col min="6666" max="6666" width="19.42578125" style="21" customWidth="1"/>
    <col min="6667" max="6667" width="18.85546875" style="21" customWidth="1"/>
    <col min="6668" max="6668" width="18.140625" style="21" customWidth="1"/>
    <col min="6669" max="6670" width="20.85546875" style="21" customWidth="1"/>
    <col min="6671" max="6671" width="133.7109375" style="21" customWidth="1"/>
    <col min="6672" max="6672" width="19.7109375" style="21" customWidth="1"/>
    <col min="6673" max="6673" width="13.28515625" style="21" customWidth="1"/>
    <col min="6674" max="6674" width="14.42578125" style="21" customWidth="1"/>
    <col min="6675" max="6675" width="11" style="21" customWidth="1"/>
    <col min="6676" max="6676" width="13.42578125" style="21" customWidth="1"/>
    <col min="6677" max="6677" width="13.5703125" style="21" customWidth="1"/>
    <col min="6678" max="6678" width="17.5703125" style="21" customWidth="1"/>
    <col min="6679" max="6681" width="13.42578125" style="21" customWidth="1"/>
    <col min="6682" max="6682" width="12.7109375" style="21" customWidth="1"/>
    <col min="6683" max="6683" width="13.28515625" style="21" customWidth="1"/>
    <col min="6684" max="6684" width="17.140625" style="21" customWidth="1"/>
    <col min="6685" max="6686" width="13.42578125" style="21" customWidth="1"/>
    <col min="6687" max="6687" width="14.85546875" style="21" customWidth="1"/>
    <col min="6688" max="6688" width="13.140625" style="21" customWidth="1"/>
    <col min="6689" max="6689" width="14.85546875" style="21" customWidth="1"/>
    <col min="6690" max="6690" width="13" style="21" customWidth="1"/>
    <col min="6691" max="6692" width="15.5703125" style="21" customWidth="1"/>
    <col min="6693" max="6693" width="25.140625" style="21" customWidth="1"/>
    <col min="6694" max="6694" width="40.42578125" style="21" customWidth="1"/>
    <col min="6695" max="6695" width="19.140625" style="21" customWidth="1"/>
    <col min="6696" max="6696" width="17.85546875" style="21" customWidth="1"/>
    <col min="6697" max="6697" width="13.140625" style="21" customWidth="1"/>
    <col min="6698" max="6698" width="12" style="21" customWidth="1"/>
    <col min="6699" max="6699" width="13.85546875" style="21" customWidth="1"/>
    <col min="6700" max="6700" width="13.42578125" style="21" customWidth="1"/>
    <col min="6701" max="6701" width="19.5703125" style="21" customWidth="1"/>
    <col min="6702" max="6702" width="14.28515625" style="21" customWidth="1"/>
    <col min="6703" max="6703" width="22.85546875" style="21" customWidth="1"/>
    <col min="6704" max="6704" width="16" style="21" customWidth="1"/>
    <col min="6705" max="6705" width="14.5703125" style="21" customWidth="1"/>
    <col min="6706" max="6706" width="17.85546875" style="21" customWidth="1"/>
    <col min="6707" max="6707" width="13.42578125" style="21" customWidth="1"/>
    <col min="6708" max="6708" width="21.7109375" style="21" customWidth="1"/>
    <col min="6709" max="6709" width="18" style="21" customWidth="1"/>
    <col min="6710" max="6710" width="13.5703125" style="21" customWidth="1"/>
    <col min="6711" max="6711" width="16.42578125" style="21" customWidth="1"/>
    <col min="6712" max="6716" width="13.42578125" style="21" customWidth="1"/>
    <col min="6717" max="6717" width="12.7109375" style="21" customWidth="1"/>
    <col min="6718" max="6720" width="13.42578125" style="21" customWidth="1"/>
    <col min="6721" max="6721" width="14.5703125" style="21" customWidth="1"/>
    <col min="6722" max="6722" width="12.140625" style="21" customWidth="1"/>
    <col min="6723" max="6736" width="13.42578125" style="21" customWidth="1"/>
    <col min="6737" max="6737" width="17.42578125" style="21" customWidth="1"/>
    <col min="6738" max="6738" width="14.5703125" style="21" customWidth="1"/>
    <col min="6739" max="6747" width="13.42578125" style="21" customWidth="1"/>
    <col min="6748" max="6748" width="10.28515625" style="21" customWidth="1"/>
    <col min="6749" max="6754" width="13.42578125" style="21" customWidth="1"/>
    <col min="6755" max="6755" width="13.140625" style="21" customWidth="1"/>
    <col min="6756" max="6756" width="15.42578125" style="21" customWidth="1"/>
    <col min="6757" max="6776" width="13.42578125" style="21" customWidth="1"/>
    <col min="6777" max="6777" width="20.85546875" style="21" customWidth="1"/>
    <col min="6778" max="6778" width="15.5703125" style="21" customWidth="1"/>
    <col min="6779" max="6782" width="13.42578125" style="21" customWidth="1"/>
    <col min="6783" max="6783" width="20.85546875" style="21" customWidth="1"/>
    <col min="6784" max="6912" width="9.140625" style="21"/>
    <col min="6913" max="6913" width="6.42578125" style="21" customWidth="1"/>
    <col min="6914" max="6914" width="19.5703125" style="21" customWidth="1"/>
    <col min="6915" max="6915" width="13.42578125" style="21" customWidth="1"/>
    <col min="6916" max="6916" width="13.5703125" style="21" customWidth="1"/>
    <col min="6917" max="6918" width="20.85546875" style="21" customWidth="1"/>
    <col min="6919" max="6919" width="16.5703125" style="21" customWidth="1"/>
    <col min="6920" max="6920" width="21" style="21" customWidth="1"/>
    <col min="6921" max="6921" width="18.85546875" style="21" customWidth="1"/>
    <col min="6922" max="6922" width="19.42578125" style="21" customWidth="1"/>
    <col min="6923" max="6923" width="18.85546875" style="21" customWidth="1"/>
    <col min="6924" max="6924" width="18.140625" style="21" customWidth="1"/>
    <col min="6925" max="6926" width="20.85546875" style="21" customWidth="1"/>
    <col min="6927" max="6927" width="133.7109375" style="21" customWidth="1"/>
    <col min="6928" max="6928" width="19.7109375" style="21" customWidth="1"/>
    <col min="6929" max="6929" width="13.28515625" style="21" customWidth="1"/>
    <col min="6930" max="6930" width="14.42578125" style="21" customWidth="1"/>
    <col min="6931" max="6931" width="11" style="21" customWidth="1"/>
    <col min="6932" max="6932" width="13.42578125" style="21" customWidth="1"/>
    <col min="6933" max="6933" width="13.5703125" style="21" customWidth="1"/>
    <col min="6934" max="6934" width="17.5703125" style="21" customWidth="1"/>
    <col min="6935" max="6937" width="13.42578125" style="21" customWidth="1"/>
    <col min="6938" max="6938" width="12.7109375" style="21" customWidth="1"/>
    <col min="6939" max="6939" width="13.28515625" style="21" customWidth="1"/>
    <col min="6940" max="6940" width="17.140625" style="21" customWidth="1"/>
    <col min="6941" max="6942" width="13.42578125" style="21" customWidth="1"/>
    <col min="6943" max="6943" width="14.85546875" style="21" customWidth="1"/>
    <col min="6944" max="6944" width="13.140625" style="21" customWidth="1"/>
    <col min="6945" max="6945" width="14.85546875" style="21" customWidth="1"/>
    <col min="6946" max="6946" width="13" style="21" customWidth="1"/>
    <col min="6947" max="6948" width="15.5703125" style="21" customWidth="1"/>
    <col min="6949" max="6949" width="25.140625" style="21" customWidth="1"/>
    <col min="6950" max="6950" width="40.42578125" style="21" customWidth="1"/>
    <col min="6951" max="6951" width="19.140625" style="21" customWidth="1"/>
    <col min="6952" max="6952" width="17.85546875" style="21" customWidth="1"/>
    <col min="6953" max="6953" width="13.140625" style="21" customWidth="1"/>
    <col min="6954" max="6954" width="12" style="21" customWidth="1"/>
    <col min="6955" max="6955" width="13.85546875" style="21" customWidth="1"/>
    <col min="6956" max="6956" width="13.42578125" style="21" customWidth="1"/>
    <col min="6957" max="6957" width="19.5703125" style="21" customWidth="1"/>
    <col min="6958" max="6958" width="14.28515625" style="21" customWidth="1"/>
    <col min="6959" max="6959" width="22.85546875" style="21" customWidth="1"/>
    <col min="6960" max="6960" width="16" style="21" customWidth="1"/>
    <col min="6961" max="6961" width="14.5703125" style="21" customWidth="1"/>
    <col min="6962" max="6962" width="17.85546875" style="21" customWidth="1"/>
    <col min="6963" max="6963" width="13.42578125" style="21" customWidth="1"/>
    <col min="6964" max="6964" width="21.7109375" style="21" customWidth="1"/>
    <col min="6965" max="6965" width="18" style="21" customWidth="1"/>
    <col min="6966" max="6966" width="13.5703125" style="21" customWidth="1"/>
    <col min="6967" max="6967" width="16.42578125" style="21" customWidth="1"/>
    <col min="6968" max="6972" width="13.42578125" style="21" customWidth="1"/>
    <col min="6973" max="6973" width="12.7109375" style="21" customWidth="1"/>
    <col min="6974" max="6976" width="13.42578125" style="21" customWidth="1"/>
    <col min="6977" max="6977" width="14.5703125" style="21" customWidth="1"/>
    <col min="6978" max="6978" width="12.140625" style="21" customWidth="1"/>
    <col min="6979" max="6992" width="13.42578125" style="21" customWidth="1"/>
    <col min="6993" max="6993" width="17.42578125" style="21" customWidth="1"/>
    <col min="6994" max="6994" width="14.5703125" style="21" customWidth="1"/>
    <col min="6995" max="7003" width="13.42578125" style="21" customWidth="1"/>
    <col min="7004" max="7004" width="10.28515625" style="21" customWidth="1"/>
    <col min="7005" max="7010" width="13.42578125" style="21" customWidth="1"/>
    <col min="7011" max="7011" width="13.140625" style="21" customWidth="1"/>
    <col min="7012" max="7012" width="15.42578125" style="21" customWidth="1"/>
    <col min="7013" max="7032" width="13.42578125" style="21" customWidth="1"/>
    <col min="7033" max="7033" width="20.85546875" style="21" customWidth="1"/>
    <col min="7034" max="7034" width="15.5703125" style="21" customWidth="1"/>
    <col min="7035" max="7038" width="13.42578125" style="21" customWidth="1"/>
    <col min="7039" max="7039" width="20.85546875" style="21" customWidth="1"/>
    <col min="7040" max="7168" width="9.140625" style="21"/>
    <col min="7169" max="7169" width="6.42578125" style="21" customWidth="1"/>
    <col min="7170" max="7170" width="19.5703125" style="21" customWidth="1"/>
    <col min="7171" max="7171" width="13.42578125" style="21" customWidth="1"/>
    <col min="7172" max="7172" width="13.5703125" style="21" customWidth="1"/>
    <col min="7173" max="7174" width="20.85546875" style="21" customWidth="1"/>
    <col min="7175" max="7175" width="16.5703125" style="21" customWidth="1"/>
    <col min="7176" max="7176" width="21" style="21" customWidth="1"/>
    <col min="7177" max="7177" width="18.85546875" style="21" customWidth="1"/>
    <col min="7178" max="7178" width="19.42578125" style="21" customWidth="1"/>
    <col min="7179" max="7179" width="18.85546875" style="21" customWidth="1"/>
    <col min="7180" max="7180" width="18.140625" style="21" customWidth="1"/>
    <col min="7181" max="7182" width="20.85546875" style="21" customWidth="1"/>
    <col min="7183" max="7183" width="133.7109375" style="21" customWidth="1"/>
    <col min="7184" max="7184" width="19.7109375" style="21" customWidth="1"/>
    <col min="7185" max="7185" width="13.28515625" style="21" customWidth="1"/>
    <col min="7186" max="7186" width="14.42578125" style="21" customWidth="1"/>
    <col min="7187" max="7187" width="11" style="21" customWidth="1"/>
    <col min="7188" max="7188" width="13.42578125" style="21" customWidth="1"/>
    <col min="7189" max="7189" width="13.5703125" style="21" customWidth="1"/>
    <col min="7190" max="7190" width="17.5703125" style="21" customWidth="1"/>
    <col min="7191" max="7193" width="13.42578125" style="21" customWidth="1"/>
    <col min="7194" max="7194" width="12.7109375" style="21" customWidth="1"/>
    <col min="7195" max="7195" width="13.28515625" style="21" customWidth="1"/>
    <col min="7196" max="7196" width="17.140625" style="21" customWidth="1"/>
    <col min="7197" max="7198" width="13.42578125" style="21" customWidth="1"/>
    <col min="7199" max="7199" width="14.85546875" style="21" customWidth="1"/>
    <col min="7200" max="7200" width="13.140625" style="21" customWidth="1"/>
    <col min="7201" max="7201" width="14.85546875" style="21" customWidth="1"/>
    <col min="7202" max="7202" width="13" style="21" customWidth="1"/>
    <col min="7203" max="7204" width="15.5703125" style="21" customWidth="1"/>
    <col min="7205" max="7205" width="25.140625" style="21" customWidth="1"/>
    <col min="7206" max="7206" width="40.42578125" style="21" customWidth="1"/>
    <col min="7207" max="7207" width="19.140625" style="21" customWidth="1"/>
    <col min="7208" max="7208" width="17.85546875" style="21" customWidth="1"/>
    <col min="7209" max="7209" width="13.140625" style="21" customWidth="1"/>
    <col min="7210" max="7210" width="12" style="21" customWidth="1"/>
    <col min="7211" max="7211" width="13.85546875" style="21" customWidth="1"/>
    <col min="7212" max="7212" width="13.42578125" style="21" customWidth="1"/>
    <col min="7213" max="7213" width="19.5703125" style="21" customWidth="1"/>
    <col min="7214" max="7214" width="14.28515625" style="21" customWidth="1"/>
    <col min="7215" max="7215" width="22.85546875" style="21" customWidth="1"/>
    <col min="7216" max="7216" width="16" style="21" customWidth="1"/>
    <col min="7217" max="7217" width="14.5703125" style="21" customWidth="1"/>
    <col min="7218" max="7218" width="17.85546875" style="21" customWidth="1"/>
    <col min="7219" max="7219" width="13.42578125" style="21" customWidth="1"/>
    <col min="7220" max="7220" width="21.7109375" style="21" customWidth="1"/>
    <col min="7221" max="7221" width="18" style="21" customWidth="1"/>
    <col min="7222" max="7222" width="13.5703125" style="21" customWidth="1"/>
    <col min="7223" max="7223" width="16.42578125" style="21" customWidth="1"/>
    <col min="7224" max="7228" width="13.42578125" style="21" customWidth="1"/>
    <col min="7229" max="7229" width="12.7109375" style="21" customWidth="1"/>
    <col min="7230" max="7232" width="13.42578125" style="21" customWidth="1"/>
    <col min="7233" max="7233" width="14.5703125" style="21" customWidth="1"/>
    <col min="7234" max="7234" width="12.140625" style="21" customWidth="1"/>
    <col min="7235" max="7248" width="13.42578125" style="21" customWidth="1"/>
    <col min="7249" max="7249" width="17.42578125" style="21" customWidth="1"/>
    <col min="7250" max="7250" width="14.5703125" style="21" customWidth="1"/>
    <col min="7251" max="7259" width="13.42578125" style="21" customWidth="1"/>
    <col min="7260" max="7260" width="10.28515625" style="21" customWidth="1"/>
    <col min="7261" max="7266" width="13.42578125" style="21" customWidth="1"/>
    <col min="7267" max="7267" width="13.140625" style="21" customWidth="1"/>
    <col min="7268" max="7268" width="15.42578125" style="21" customWidth="1"/>
    <col min="7269" max="7288" width="13.42578125" style="21" customWidth="1"/>
    <col min="7289" max="7289" width="20.85546875" style="21" customWidth="1"/>
    <col min="7290" max="7290" width="15.5703125" style="21" customWidth="1"/>
    <col min="7291" max="7294" width="13.42578125" style="21" customWidth="1"/>
    <col min="7295" max="7295" width="20.85546875" style="21" customWidth="1"/>
    <col min="7296" max="7424" width="9.140625" style="21"/>
    <col min="7425" max="7425" width="6.42578125" style="21" customWidth="1"/>
    <col min="7426" max="7426" width="19.5703125" style="21" customWidth="1"/>
    <col min="7427" max="7427" width="13.42578125" style="21" customWidth="1"/>
    <col min="7428" max="7428" width="13.5703125" style="21" customWidth="1"/>
    <col min="7429" max="7430" width="20.85546875" style="21" customWidth="1"/>
    <col min="7431" max="7431" width="16.5703125" style="21" customWidth="1"/>
    <col min="7432" max="7432" width="21" style="21" customWidth="1"/>
    <col min="7433" max="7433" width="18.85546875" style="21" customWidth="1"/>
    <col min="7434" max="7434" width="19.42578125" style="21" customWidth="1"/>
    <col min="7435" max="7435" width="18.85546875" style="21" customWidth="1"/>
    <col min="7436" max="7436" width="18.140625" style="21" customWidth="1"/>
    <col min="7437" max="7438" width="20.85546875" style="21" customWidth="1"/>
    <col min="7439" max="7439" width="133.7109375" style="21" customWidth="1"/>
    <col min="7440" max="7440" width="19.7109375" style="21" customWidth="1"/>
    <col min="7441" max="7441" width="13.28515625" style="21" customWidth="1"/>
    <col min="7442" max="7442" width="14.42578125" style="21" customWidth="1"/>
    <col min="7443" max="7443" width="11" style="21" customWidth="1"/>
    <col min="7444" max="7444" width="13.42578125" style="21" customWidth="1"/>
    <col min="7445" max="7445" width="13.5703125" style="21" customWidth="1"/>
    <col min="7446" max="7446" width="17.5703125" style="21" customWidth="1"/>
    <col min="7447" max="7449" width="13.42578125" style="21" customWidth="1"/>
    <col min="7450" max="7450" width="12.7109375" style="21" customWidth="1"/>
    <col min="7451" max="7451" width="13.28515625" style="21" customWidth="1"/>
    <col min="7452" max="7452" width="17.140625" style="21" customWidth="1"/>
    <col min="7453" max="7454" width="13.42578125" style="21" customWidth="1"/>
    <col min="7455" max="7455" width="14.85546875" style="21" customWidth="1"/>
    <col min="7456" max="7456" width="13.140625" style="21" customWidth="1"/>
    <col min="7457" max="7457" width="14.85546875" style="21" customWidth="1"/>
    <col min="7458" max="7458" width="13" style="21" customWidth="1"/>
    <col min="7459" max="7460" width="15.5703125" style="21" customWidth="1"/>
    <col min="7461" max="7461" width="25.140625" style="21" customWidth="1"/>
    <col min="7462" max="7462" width="40.42578125" style="21" customWidth="1"/>
    <col min="7463" max="7463" width="19.140625" style="21" customWidth="1"/>
    <col min="7464" max="7464" width="17.85546875" style="21" customWidth="1"/>
    <col min="7465" max="7465" width="13.140625" style="21" customWidth="1"/>
    <col min="7466" max="7466" width="12" style="21" customWidth="1"/>
    <col min="7467" max="7467" width="13.85546875" style="21" customWidth="1"/>
    <col min="7468" max="7468" width="13.42578125" style="21" customWidth="1"/>
    <col min="7469" max="7469" width="19.5703125" style="21" customWidth="1"/>
    <col min="7470" max="7470" width="14.28515625" style="21" customWidth="1"/>
    <col min="7471" max="7471" width="22.85546875" style="21" customWidth="1"/>
    <col min="7472" max="7472" width="16" style="21" customWidth="1"/>
    <col min="7473" max="7473" width="14.5703125" style="21" customWidth="1"/>
    <col min="7474" max="7474" width="17.85546875" style="21" customWidth="1"/>
    <col min="7475" max="7475" width="13.42578125" style="21" customWidth="1"/>
    <col min="7476" max="7476" width="21.7109375" style="21" customWidth="1"/>
    <col min="7477" max="7477" width="18" style="21" customWidth="1"/>
    <col min="7478" max="7478" width="13.5703125" style="21" customWidth="1"/>
    <col min="7479" max="7479" width="16.42578125" style="21" customWidth="1"/>
    <col min="7480" max="7484" width="13.42578125" style="21" customWidth="1"/>
    <col min="7485" max="7485" width="12.7109375" style="21" customWidth="1"/>
    <col min="7486" max="7488" width="13.42578125" style="21" customWidth="1"/>
    <col min="7489" max="7489" width="14.5703125" style="21" customWidth="1"/>
    <col min="7490" max="7490" width="12.140625" style="21" customWidth="1"/>
    <col min="7491" max="7504" width="13.42578125" style="21" customWidth="1"/>
    <col min="7505" max="7505" width="17.42578125" style="21" customWidth="1"/>
    <col min="7506" max="7506" width="14.5703125" style="21" customWidth="1"/>
    <col min="7507" max="7515" width="13.42578125" style="21" customWidth="1"/>
    <col min="7516" max="7516" width="10.28515625" style="21" customWidth="1"/>
    <col min="7517" max="7522" width="13.42578125" style="21" customWidth="1"/>
    <col min="7523" max="7523" width="13.140625" style="21" customWidth="1"/>
    <col min="7524" max="7524" width="15.42578125" style="21" customWidth="1"/>
    <col min="7525" max="7544" width="13.42578125" style="21" customWidth="1"/>
    <col min="7545" max="7545" width="20.85546875" style="21" customWidth="1"/>
    <col min="7546" max="7546" width="15.5703125" style="21" customWidth="1"/>
    <col min="7547" max="7550" width="13.42578125" style="21" customWidth="1"/>
    <col min="7551" max="7551" width="20.85546875" style="21" customWidth="1"/>
    <col min="7552" max="7680" width="9.140625" style="21"/>
    <col min="7681" max="7681" width="6.42578125" style="21" customWidth="1"/>
    <col min="7682" max="7682" width="19.5703125" style="21" customWidth="1"/>
    <col min="7683" max="7683" width="13.42578125" style="21" customWidth="1"/>
    <col min="7684" max="7684" width="13.5703125" style="21" customWidth="1"/>
    <col min="7685" max="7686" width="20.85546875" style="21" customWidth="1"/>
    <col min="7687" max="7687" width="16.5703125" style="21" customWidth="1"/>
    <col min="7688" max="7688" width="21" style="21" customWidth="1"/>
    <col min="7689" max="7689" width="18.85546875" style="21" customWidth="1"/>
    <col min="7690" max="7690" width="19.42578125" style="21" customWidth="1"/>
    <col min="7691" max="7691" width="18.85546875" style="21" customWidth="1"/>
    <col min="7692" max="7692" width="18.140625" style="21" customWidth="1"/>
    <col min="7693" max="7694" width="20.85546875" style="21" customWidth="1"/>
    <col min="7695" max="7695" width="133.7109375" style="21" customWidth="1"/>
    <col min="7696" max="7696" width="19.7109375" style="21" customWidth="1"/>
    <col min="7697" max="7697" width="13.28515625" style="21" customWidth="1"/>
    <col min="7698" max="7698" width="14.42578125" style="21" customWidth="1"/>
    <col min="7699" max="7699" width="11" style="21" customWidth="1"/>
    <col min="7700" max="7700" width="13.42578125" style="21" customWidth="1"/>
    <col min="7701" max="7701" width="13.5703125" style="21" customWidth="1"/>
    <col min="7702" max="7702" width="17.5703125" style="21" customWidth="1"/>
    <col min="7703" max="7705" width="13.42578125" style="21" customWidth="1"/>
    <col min="7706" max="7706" width="12.7109375" style="21" customWidth="1"/>
    <col min="7707" max="7707" width="13.28515625" style="21" customWidth="1"/>
    <col min="7708" max="7708" width="17.140625" style="21" customWidth="1"/>
    <col min="7709" max="7710" width="13.42578125" style="21" customWidth="1"/>
    <col min="7711" max="7711" width="14.85546875" style="21" customWidth="1"/>
    <col min="7712" max="7712" width="13.140625" style="21" customWidth="1"/>
    <col min="7713" max="7713" width="14.85546875" style="21" customWidth="1"/>
    <col min="7714" max="7714" width="13" style="21" customWidth="1"/>
    <col min="7715" max="7716" width="15.5703125" style="21" customWidth="1"/>
    <col min="7717" max="7717" width="25.140625" style="21" customWidth="1"/>
    <col min="7718" max="7718" width="40.42578125" style="21" customWidth="1"/>
    <col min="7719" max="7719" width="19.140625" style="21" customWidth="1"/>
    <col min="7720" max="7720" width="17.85546875" style="21" customWidth="1"/>
    <col min="7721" max="7721" width="13.140625" style="21" customWidth="1"/>
    <col min="7722" max="7722" width="12" style="21" customWidth="1"/>
    <col min="7723" max="7723" width="13.85546875" style="21" customWidth="1"/>
    <col min="7724" max="7724" width="13.42578125" style="21" customWidth="1"/>
    <col min="7725" max="7725" width="19.5703125" style="21" customWidth="1"/>
    <col min="7726" max="7726" width="14.28515625" style="21" customWidth="1"/>
    <col min="7727" max="7727" width="22.85546875" style="21" customWidth="1"/>
    <col min="7728" max="7728" width="16" style="21" customWidth="1"/>
    <col min="7729" max="7729" width="14.5703125" style="21" customWidth="1"/>
    <col min="7730" max="7730" width="17.85546875" style="21" customWidth="1"/>
    <col min="7731" max="7731" width="13.42578125" style="21" customWidth="1"/>
    <col min="7732" max="7732" width="21.7109375" style="21" customWidth="1"/>
    <col min="7733" max="7733" width="18" style="21" customWidth="1"/>
    <col min="7734" max="7734" width="13.5703125" style="21" customWidth="1"/>
    <col min="7735" max="7735" width="16.42578125" style="21" customWidth="1"/>
    <col min="7736" max="7740" width="13.42578125" style="21" customWidth="1"/>
    <col min="7741" max="7741" width="12.7109375" style="21" customWidth="1"/>
    <col min="7742" max="7744" width="13.42578125" style="21" customWidth="1"/>
    <col min="7745" max="7745" width="14.5703125" style="21" customWidth="1"/>
    <col min="7746" max="7746" width="12.140625" style="21" customWidth="1"/>
    <col min="7747" max="7760" width="13.42578125" style="21" customWidth="1"/>
    <col min="7761" max="7761" width="17.42578125" style="21" customWidth="1"/>
    <col min="7762" max="7762" width="14.5703125" style="21" customWidth="1"/>
    <col min="7763" max="7771" width="13.42578125" style="21" customWidth="1"/>
    <col min="7772" max="7772" width="10.28515625" style="21" customWidth="1"/>
    <col min="7773" max="7778" width="13.42578125" style="21" customWidth="1"/>
    <col min="7779" max="7779" width="13.140625" style="21" customWidth="1"/>
    <col min="7780" max="7780" width="15.42578125" style="21" customWidth="1"/>
    <col min="7781" max="7800" width="13.42578125" style="21" customWidth="1"/>
    <col min="7801" max="7801" width="20.85546875" style="21" customWidth="1"/>
    <col min="7802" max="7802" width="15.5703125" style="21" customWidth="1"/>
    <col min="7803" max="7806" width="13.42578125" style="21" customWidth="1"/>
    <col min="7807" max="7807" width="20.85546875" style="21" customWidth="1"/>
    <col min="7808" max="7936" width="9.140625" style="21"/>
    <col min="7937" max="7937" width="6.42578125" style="21" customWidth="1"/>
    <col min="7938" max="7938" width="19.5703125" style="21" customWidth="1"/>
    <col min="7939" max="7939" width="13.42578125" style="21" customWidth="1"/>
    <col min="7940" max="7940" width="13.5703125" style="21" customWidth="1"/>
    <col min="7941" max="7942" width="20.85546875" style="21" customWidth="1"/>
    <col min="7943" max="7943" width="16.5703125" style="21" customWidth="1"/>
    <col min="7944" max="7944" width="21" style="21" customWidth="1"/>
    <col min="7945" max="7945" width="18.85546875" style="21" customWidth="1"/>
    <col min="7946" max="7946" width="19.42578125" style="21" customWidth="1"/>
    <col min="7947" max="7947" width="18.85546875" style="21" customWidth="1"/>
    <col min="7948" max="7948" width="18.140625" style="21" customWidth="1"/>
    <col min="7949" max="7950" width="20.85546875" style="21" customWidth="1"/>
    <col min="7951" max="7951" width="133.7109375" style="21" customWidth="1"/>
    <col min="7952" max="7952" width="19.7109375" style="21" customWidth="1"/>
    <col min="7953" max="7953" width="13.28515625" style="21" customWidth="1"/>
    <col min="7954" max="7954" width="14.42578125" style="21" customWidth="1"/>
    <col min="7955" max="7955" width="11" style="21" customWidth="1"/>
    <col min="7956" max="7956" width="13.42578125" style="21" customWidth="1"/>
    <col min="7957" max="7957" width="13.5703125" style="21" customWidth="1"/>
    <col min="7958" max="7958" width="17.5703125" style="21" customWidth="1"/>
    <col min="7959" max="7961" width="13.42578125" style="21" customWidth="1"/>
    <col min="7962" max="7962" width="12.7109375" style="21" customWidth="1"/>
    <col min="7963" max="7963" width="13.28515625" style="21" customWidth="1"/>
    <col min="7964" max="7964" width="17.140625" style="21" customWidth="1"/>
    <col min="7965" max="7966" width="13.42578125" style="21" customWidth="1"/>
    <col min="7967" max="7967" width="14.85546875" style="21" customWidth="1"/>
    <col min="7968" max="7968" width="13.140625" style="21" customWidth="1"/>
    <col min="7969" max="7969" width="14.85546875" style="21" customWidth="1"/>
    <col min="7970" max="7970" width="13" style="21" customWidth="1"/>
    <col min="7971" max="7972" width="15.5703125" style="21" customWidth="1"/>
    <col min="7973" max="7973" width="25.140625" style="21" customWidth="1"/>
    <col min="7974" max="7974" width="40.42578125" style="21" customWidth="1"/>
    <col min="7975" max="7975" width="19.140625" style="21" customWidth="1"/>
    <col min="7976" max="7976" width="17.85546875" style="21" customWidth="1"/>
    <col min="7977" max="7977" width="13.140625" style="21" customWidth="1"/>
    <col min="7978" max="7978" width="12" style="21" customWidth="1"/>
    <col min="7979" max="7979" width="13.85546875" style="21" customWidth="1"/>
    <col min="7980" max="7980" width="13.42578125" style="21" customWidth="1"/>
    <col min="7981" max="7981" width="19.5703125" style="21" customWidth="1"/>
    <col min="7982" max="7982" width="14.28515625" style="21" customWidth="1"/>
    <col min="7983" max="7983" width="22.85546875" style="21" customWidth="1"/>
    <col min="7984" max="7984" width="16" style="21" customWidth="1"/>
    <col min="7985" max="7985" width="14.5703125" style="21" customWidth="1"/>
    <col min="7986" max="7986" width="17.85546875" style="21" customWidth="1"/>
    <col min="7987" max="7987" width="13.42578125" style="21" customWidth="1"/>
    <col min="7988" max="7988" width="21.7109375" style="21" customWidth="1"/>
    <col min="7989" max="7989" width="18" style="21" customWidth="1"/>
    <col min="7990" max="7990" width="13.5703125" style="21" customWidth="1"/>
    <col min="7991" max="7991" width="16.42578125" style="21" customWidth="1"/>
    <col min="7992" max="7996" width="13.42578125" style="21" customWidth="1"/>
    <col min="7997" max="7997" width="12.7109375" style="21" customWidth="1"/>
    <col min="7998" max="8000" width="13.42578125" style="21" customWidth="1"/>
    <col min="8001" max="8001" width="14.5703125" style="21" customWidth="1"/>
    <col min="8002" max="8002" width="12.140625" style="21" customWidth="1"/>
    <col min="8003" max="8016" width="13.42578125" style="21" customWidth="1"/>
    <col min="8017" max="8017" width="17.42578125" style="21" customWidth="1"/>
    <col min="8018" max="8018" width="14.5703125" style="21" customWidth="1"/>
    <col min="8019" max="8027" width="13.42578125" style="21" customWidth="1"/>
    <col min="8028" max="8028" width="10.28515625" style="21" customWidth="1"/>
    <col min="8029" max="8034" width="13.42578125" style="21" customWidth="1"/>
    <col min="8035" max="8035" width="13.140625" style="21" customWidth="1"/>
    <col min="8036" max="8036" width="15.42578125" style="21" customWidth="1"/>
    <col min="8037" max="8056" width="13.42578125" style="21" customWidth="1"/>
    <col min="8057" max="8057" width="20.85546875" style="21" customWidth="1"/>
    <col min="8058" max="8058" width="15.5703125" style="21" customWidth="1"/>
    <col min="8059" max="8062" width="13.42578125" style="21" customWidth="1"/>
    <col min="8063" max="8063" width="20.85546875" style="21" customWidth="1"/>
    <col min="8064" max="8192" width="9.140625" style="21"/>
    <col min="8193" max="8193" width="6.42578125" style="21" customWidth="1"/>
    <col min="8194" max="8194" width="19.5703125" style="21" customWidth="1"/>
    <col min="8195" max="8195" width="13.42578125" style="21" customWidth="1"/>
    <col min="8196" max="8196" width="13.5703125" style="21" customWidth="1"/>
    <col min="8197" max="8198" width="20.85546875" style="21" customWidth="1"/>
    <col min="8199" max="8199" width="16.5703125" style="21" customWidth="1"/>
    <col min="8200" max="8200" width="21" style="21" customWidth="1"/>
    <col min="8201" max="8201" width="18.85546875" style="21" customWidth="1"/>
    <col min="8202" max="8202" width="19.42578125" style="21" customWidth="1"/>
    <col min="8203" max="8203" width="18.85546875" style="21" customWidth="1"/>
    <col min="8204" max="8204" width="18.140625" style="21" customWidth="1"/>
    <col min="8205" max="8206" width="20.85546875" style="21" customWidth="1"/>
    <col min="8207" max="8207" width="133.7109375" style="21" customWidth="1"/>
    <col min="8208" max="8208" width="19.7109375" style="21" customWidth="1"/>
    <col min="8209" max="8209" width="13.28515625" style="21" customWidth="1"/>
    <col min="8210" max="8210" width="14.42578125" style="21" customWidth="1"/>
    <col min="8211" max="8211" width="11" style="21" customWidth="1"/>
    <col min="8212" max="8212" width="13.42578125" style="21" customWidth="1"/>
    <col min="8213" max="8213" width="13.5703125" style="21" customWidth="1"/>
    <col min="8214" max="8214" width="17.5703125" style="21" customWidth="1"/>
    <col min="8215" max="8217" width="13.42578125" style="21" customWidth="1"/>
    <col min="8218" max="8218" width="12.7109375" style="21" customWidth="1"/>
    <col min="8219" max="8219" width="13.28515625" style="21" customWidth="1"/>
    <col min="8220" max="8220" width="17.140625" style="21" customWidth="1"/>
    <col min="8221" max="8222" width="13.42578125" style="21" customWidth="1"/>
    <col min="8223" max="8223" width="14.85546875" style="21" customWidth="1"/>
    <col min="8224" max="8224" width="13.140625" style="21" customWidth="1"/>
    <col min="8225" max="8225" width="14.85546875" style="21" customWidth="1"/>
    <col min="8226" max="8226" width="13" style="21" customWidth="1"/>
    <col min="8227" max="8228" width="15.5703125" style="21" customWidth="1"/>
    <col min="8229" max="8229" width="25.140625" style="21" customWidth="1"/>
    <col min="8230" max="8230" width="40.42578125" style="21" customWidth="1"/>
    <col min="8231" max="8231" width="19.140625" style="21" customWidth="1"/>
    <col min="8232" max="8232" width="17.85546875" style="21" customWidth="1"/>
    <col min="8233" max="8233" width="13.140625" style="21" customWidth="1"/>
    <col min="8234" max="8234" width="12" style="21" customWidth="1"/>
    <col min="8235" max="8235" width="13.85546875" style="21" customWidth="1"/>
    <col min="8236" max="8236" width="13.42578125" style="21" customWidth="1"/>
    <col min="8237" max="8237" width="19.5703125" style="21" customWidth="1"/>
    <col min="8238" max="8238" width="14.28515625" style="21" customWidth="1"/>
    <col min="8239" max="8239" width="22.85546875" style="21" customWidth="1"/>
    <col min="8240" max="8240" width="16" style="21" customWidth="1"/>
    <col min="8241" max="8241" width="14.5703125" style="21" customWidth="1"/>
    <col min="8242" max="8242" width="17.85546875" style="21" customWidth="1"/>
    <col min="8243" max="8243" width="13.42578125" style="21" customWidth="1"/>
    <col min="8244" max="8244" width="21.7109375" style="21" customWidth="1"/>
    <col min="8245" max="8245" width="18" style="21" customWidth="1"/>
    <col min="8246" max="8246" width="13.5703125" style="21" customWidth="1"/>
    <col min="8247" max="8247" width="16.42578125" style="21" customWidth="1"/>
    <col min="8248" max="8252" width="13.42578125" style="21" customWidth="1"/>
    <col min="8253" max="8253" width="12.7109375" style="21" customWidth="1"/>
    <col min="8254" max="8256" width="13.42578125" style="21" customWidth="1"/>
    <col min="8257" max="8257" width="14.5703125" style="21" customWidth="1"/>
    <col min="8258" max="8258" width="12.140625" style="21" customWidth="1"/>
    <col min="8259" max="8272" width="13.42578125" style="21" customWidth="1"/>
    <col min="8273" max="8273" width="17.42578125" style="21" customWidth="1"/>
    <col min="8274" max="8274" width="14.5703125" style="21" customWidth="1"/>
    <col min="8275" max="8283" width="13.42578125" style="21" customWidth="1"/>
    <col min="8284" max="8284" width="10.28515625" style="21" customWidth="1"/>
    <col min="8285" max="8290" width="13.42578125" style="21" customWidth="1"/>
    <col min="8291" max="8291" width="13.140625" style="21" customWidth="1"/>
    <col min="8292" max="8292" width="15.42578125" style="21" customWidth="1"/>
    <col min="8293" max="8312" width="13.42578125" style="21" customWidth="1"/>
    <col min="8313" max="8313" width="20.85546875" style="21" customWidth="1"/>
    <col min="8314" max="8314" width="15.5703125" style="21" customWidth="1"/>
    <col min="8315" max="8318" width="13.42578125" style="21" customWidth="1"/>
    <col min="8319" max="8319" width="20.85546875" style="21" customWidth="1"/>
    <col min="8320" max="8448" width="9.140625" style="21"/>
    <col min="8449" max="8449" width="6.42578125" style="21" customWidth="1"/>
    <col min="8450" max="8450" width="19.5703125" style="21" customWidth="1"/>
    <col min="8451" max="8451" width="13.42578125" style="21" customWidth="1"/>
    <col min="8452" max="8452" width="13.5703125" style="21" customWidth="1"/>
    <col min="8453" max="8454" width="20.85546875" style="21" customWidth="1"/>
    <col min="8455" max="8455" width="16.5703125" style="21" customWidth="1"/>
    <col min="8456" max="8456" width="21" style="21" customWidth="1"/>
    <col min="8457" max="8457" width="18.85546875" style="21" customWidth="1"/>
    <col min="8458" max="8458" width="19.42578125" style="21" customWidth="1"/>
    <col min="8459" max="8459" width="18.85546875" style="21" customWidth="1"/>
    <col min="8460" max="8460" width="18.140625" style="21" customWidth="1"/>
    <col min="8461" max="8462" width="20.85546875" style="21" customWidth="1"/>
    <col min="8463" max="8463" width="133.7109375" style="21" customWidth="1"/>
    <col min="8464" max="8464" width="19.7109375" style="21" customWidth="1"/>
    <col min="8465" max="8465" width="13.28515625" style="21" customWidth="1"/>
    <col min="8466" max="8466" width="14.42578125" style="21" customWidth="1"/>
    <col min="8467" max="8467" width="11" style="21" customWidth="1"/>
    <col min="8468" max="8468" width="13.42578125" style="21" customWidth="1"/>
    <col min="8469" max="8469" width="13.5703125" style="21" customWidth="1"/>
    <col min="8470" max="8470" width="17.5703125" style="21" customWidth="1"/>
    <col min="8471" max="8473" width="13.42578125" style="21" customWidth="1"/>
    <col min="8474" max="8474" width="12.7109375" style="21" customWidth="1"/>
    <col min="8475" max="8475" width="13.28515625" style="21" customWidth="1"/>
    <col min="8476" max="8476" width="17.140625" style="21" customWidth="1"/>
    <col min="8477" max="8478" width="13.42578125" style="21" customWidth="1"/>
    <col min="8479" max="8479" width="14.85546875" style="21" customWidth="1"/>
    <col min="8480" max="8480" width="13.140625" style="21" customWidth="1"/>
    <col min="8481" max="8481" width="14.85546875" style="21" customWidth="1"/>
    <col min="8482" max="8482" width="13" style="21" customWidth="1"/>
    <col min="8483" max="8484" width="15.5703125" style="21" customWidth="1"/>
    <col min="8485" max="8485" width="25.140625" style="21" customWidth="1"/>
    <col min="8486" max="8486" width="40.42578125" style="21" customWidth="1"/>
    <col min="8487" max="8487" width="19.140625" style="21" customWidth="1"/>
    <col min="8488" max="8488" width="17.85546875" style="21" customWidth="1"/>
    <col min="8489" max="8489" width="13.140625" style="21" customWidth="1"/>
    <col min="8490" max="8490" width="12" style="21" customWidth="1"/>
    <col min="8491" max="8491" width="13.85546875" style="21" customWidth="1"/>
    <col min="8492" max="8492" width="13.42578125" style="21" customWidth="1"/>
    <col min="8493" max="8493" width="19.5703125" style="21" customWidth="1"/>
    <col min="8494" max="8494" width="14.28515625" style="21" customWidth="1"/>
    <col min="8495" max="8495" width="22.85546875" style="21" customWidth="1"/>
    <col min="8496" max="8496" width="16" style="21" customWidth="1"/>
    <col min="8497" max="8497" width="14.5703125" style="21" customWidth="1"/>
    <col min="8498" max="8498" width="17.85546875" style="21" customWidth="1"/>
    <col min="8499" max="8499" width="13.42578125" style="21" customWidth="1"/>
    <col min="8500" max="8500" width="21.7109375" style="21" customWidth="1"/>
    <col min="8501" max="8501" width="18" style="21" customWidth="1"/>
    <col min="8502" max="8502" width="13.5703125" style="21" customWidth="1"/>
    <col min="8503" max="8503" width="16.42578125" style="21" customWidth="1"/>
    <col min="8504" max="8508" width="13.42578125" style="21" customWidth="1"/>
    <col min="8509" max="8509" width="12.7109375" style="21" customWidth="1"/>
    <col min="8510" max="8512" width="13.42578125" style="21" customWidth="1"/>
    <col min="8513" max="8513" width="14.5703125" style="21" customWidth="1"/>
    <col min="8514" max="8514" width="12.140625" style="21" customWidth="1"/>
    <col min="8515" max="8528" width="13.42578125" style="21" customWidth="1"/>
    <col min="8529" max="8529" width="17.42578125" style="21" customWidth="1"/>
    <col min="8530" max="8530" width="14.5703125" style="21" customWidth="1"/>
    <col min="8531" max="8539" width="13.42578125" style="21" customWidth="1"/>
    <col min="8540" max="8540" width="10.28515625" style="21" customWidth="1"/>
    <col min="8541" max="8546" width="13.42578125" style="21" customWidth="1"/>
    <col min="8547" max="8547" width="13.140625" style="21" customWidth="1"/>
    <col min="8548" max="8548" width="15.42578125" style="21" customWidth="1"/>
    <col min="8549" max="8568" width="13.42578125" style="21" customWidth="1"/>
    <col min="8569" max="8569" width="20.85546875" style="21" customWidth="1"/>
    <col min="8570" max="8570" width="15.5703125" style="21" customWidth="1"/>
    <col min="8571" max="8574" width="13.42578125" style="21" customWidth="1"/>
    <col min="8575" max="8575" width="20.85546875" style="21" customWidth="1"/>
    <col min="8576" max="8704" width="9.140625" style="21"/>
    <col min="8705" max="8705" width="6.42578125" style="21" customWidth="1"/>
    <col min="8706" max="8706" width="19.5703125" style="21" customWidth="1"/>
    <col min="8707" max="8707" width="13.42578125" style="21" customWidth="1"/>
    <col min="8708" max="8708" width="13.5703125" style="21" customWidth="1"/>
    <col min="8709" max="8710" width="20.85546875" style="21" customWidth="1"/>
    <col min="8711" max="8711" width="16.5703125" style="21" customWidth="1"/>
    <col min="8712" max="8712" width="21" style="21" customWidth="1"/>
    <col min="8713" max="8713" width="18.85546875" style="21" customWidth="1"/>
    <col min="8714" max="8714" width="19.42578125" style="21" customWidth="1"/>
    <col min="8715" max="8715" width="18.85546875" style="21" customWidth="1"/>
    <col min="8716" max="8716" width="18.140625" style="21" customWidth="1"/>
    <col min="8717" max="8718" width="20.85546875" style="21" customWidth="1"/>
    <col min="8719" max="8719" width="133.7109375" style="21" customWidth="1"/>
    <col min="8720" max="8720" width="19.7109375" style="21" customWidth="1"/>
    <col min="8721" max="8721" width="13.28515625" style="21" customWidth="1"/>
    <col min="8722" max="8722" width="14.42578125" style="21" customWidth="1"/>
    <col min="8723" max="8723" width="11" style="21" customWidth="1"/>
    <col min="8724" max="8724" width="13.42578125" style="21" customWidth="1"/>
    <col min="8725" max="8725" width="13.5703125" style="21" customWidth="1"/>
    <col min="8726" max="8726" width="17.5703125" style="21" customWidth="1"/>
    <col min="8727" max="8729" width="13.42578125" style="21" customWidth="1"/>
    <col min="8730" max="8730" width="12.7109375" style="21" customWidth="1"/>
    <col min="8731" max="8731" width="13.28515625" style="21" customWidth="1"/>
    <col min="8732" max="8732" width="17.140625" style="21" customWidth="1"/>
    <col min="8733" max="8734" width="13.42578125" style="21" customWidth="1"/>
    <col min="8735" max="8735" width="14.85546875" style="21" customWidth="1"/>
    <col min="8736" max="8736" width="13.140625" style="21" customWidth="1"/>
    <col min="8737" max="8737" width="14.85546875" style="21" customWidth="1"/>
    <col min="8738" max="8738" width="13" style="21" customWidth="1"/>
    <col min="8739" max="8740" width="15.5703125" style="21" customWidth="1"/>
    <col min="8741" max="8741" width="25.140625" style="21" customWidth="1"/>
    <col min="8742" max="8742" width="40.42578125" style="21" customWidth="1"/>
    <col min="8743" max="8743" width="19.140625" style="21" customWidth="1"/>
    <col min="8744" max="8744" width="17.85546875" style="21" customWidth="1"/>
    <col min="8745" max="8745" width="13.140625" style="21" customWidth="1"/>
    <col min="8746" max="8746" width="12" style="21" customWidth="1"/>
    <col min="8747" max="8747" width="13.85546875" style="21" customWidth="1"/>
    <col min="8748" max="8748" width="13.42578125" style="21" customWidth="1"/>
    <col min="8749" max="8749" width="19.5703125" style="21" customWidth="1"/>
    <col min="8750" max="8750" width="14.28515625" style="21" customWidth="1"/>
    <col min="8751" max="8751" width="22.85546875" style="21" customWidth="1"/>
    <col min="8752" max="8752" width="16" style="21" customWidth="1"/>
    <col min="8753" max="8753" width="14.5703125" style="21" customWidth="1"/>
    <col min="8754" max="8754" width="17.85546875" style="21" customWidth="1"/>
    <col min="8755" max="8755" width="13.42578125" style="21" customWidth="1"/>
    <col min="8756" max="8756" width="21.7109375" style="21" customWidth="1"/>
    <col min="8757" max="8757" width="18" style="21" customWidth="1"/>
    <col min="8758" max="8758" width="13.5703125" style="21" customWidth="1"/>
    <col min="8759" max="8759" width="16.42578125" style="21" customWidth="1"/>
    <col min="8760" max="8764" width="13.42578125" style="21" customWidth="1"/>
    <col min="8765" max="8765" width="12.7109375" style="21" customWidth="1"/>
    <col min="8766" max="8768" width="13.42578125" style="21" customWidth="1"/>
    <col min="8769" max="8769" width="14.5703125" style="21" customWidth="1"/>
    <col min="8770" max="8770" width="12.140625" style="21" customWidth="1"/>
    <col min="8771" max="8784" width="13.42578125" style="21" customWidth="1"/>
    <col min="8785" max="8785" width="17.42578125" style="21" customWidth="1"/>
    <col min="8786" max="8786" width="14.5703125" style="21" customWidth="1"/>
    <col min="8787" max="8795" width="13.42578125" style="21" customWidth="1"/>
    <col min="8796" max="8796" width="10.28515625" style="21" customWidth="1"/>
    <col min="8797" max="8802" width="13.42578125" style="21" customWidth="1"/>
    <col min="8803" max="8803" width="13.140625" style="21" customWidth="1"/>
    <col min="8804" max="8804" width="15.42578125" style="21" customWidth="1"/>
    <col min="8805" max="8824" width="13.42578125" style="21" customWidth="1"/>
    <col min="8825" max="8825" width="20.85546875" style="21" customWidth="1"/>
    <col min="8826" max="8826" width="15.5703125" style="21" customWidth="1"/>
    <col min="8827" max="8830" width="13.42578125" style="21" customWidth="1"/>
    <col min="8831" max="8831" width="20.85546875" style="21" customWidth="1"/>
    <col min="8832" max="8960" width="9.140625" style="21"/>
    <col min="8961" max="8961" width="6.42578125" style="21" customWidth="1"/>
    <col min="8962" max="8962" width="19.5703125" style="21" customWidth="1"/>
    <col min="8963" max="8963" width="13.42578125" style="21" customWidth="1"/>
    <col min="8964" max="8964" width="13.5703125" style="21" customWidth="1"/>
    <col min="8965" max="8966" width="20.85546875" style="21" customWidth="1"/>
    <col min="8967" max="8967" width="16.5703125" style="21" customWidth="1"/>
    <col min="8968" max="8968" width="21" style="21" customWidth="1"/>
    <col min="8969" max="8969" width="18.85546875" style="21" customWidth="1"/>
    <col min="8970" max="8970" width="19.42578125" style="21" customWidth="1"/>
    <col min="8971" max="8971" width="18.85546875" style="21" customWidth="1"/>
    <col min="8972" max="8972" width="18.140625" style="21" customWidth="1"/>
    <col min="8973" max="8974" width="20.85546875" style="21" customWidth="1"/>
    <col min="8975" max="8975" width="133.7109375" style="21" customWidth="1"/>
    <col min="8976" max="8976" width="19.7109375" style="21" customWidth="1"/>
    <col min="8977" max="8977" width="13.28515625" style="21" customWidth="1"/>
    <col min="8978" max="8978" width="14.42578125" style="21" customWidth="1"/>
    <col min="8979" max="8979" width="11" style="21" customWidth="1"/>
    <col min="8980" max="8980" width="13.42578125" style="21" customWidth="1"/>
    <col min="8981" max="8981" width="13.5703125" style="21" customWidth="1"/>
    <col min="8982" max="8982" width="17.5703125" style="21" customWidth="1"/>
    <col min="8983" max="8985" width="13.42578125" style="21" customWidth="1"/>
    <col min="8986" max="8986" width="12.7109375" style="21" customWidth="1"/>
    <col min="8987" max="8987" width="13.28515625" style="21" customWidth="1"/>
    <col min="8988" max="8988" width="17.140625" style="21" customWidth="1"/>
    <col min="8989" max="8990" width="13.42578125" style="21" customWidth="1"/>
    <col min="8991" max="8991" width="14.85546875" style="21" customWidth="1"/>
    <col min="8992" max="8992" width="13.140625" style="21" customWidth="1"/>
    <col min="8993" max="8993" width="14.85546875" style="21" customWidth="1"/>
    <col min="8994" max="8994" width="13" style="21" customWidth="1"/>
    <col min="8995" max="8996" width="15.5703125" style="21" customWidth="1"/>
    <col min="8997" max="8997" width="25.140625" style="21" customWidth="1"/>
    <col min="8998" max="8998" width="40.42578125" style="21" customWidth="1"/>
    <col min="8999" max="8999" width="19.140625" style="21" customWidth="1"/>
    <col min="9000" max="9000" width="17.85546875" style="21" customWidth="1"/>
    <col min="9001" max="9001" width="13.140625" style="21" customWidth="1"/>
    <col min="9002" max="9002" width="12" style="21" customWidth="1"/>
    <col min="9003" max="9003" width="13.85546875" style="21" customWidth="1"/>
    <col min="9004" max="9004" width="13.42578125" style="21" customWidth="1"/>
    <col min="9005" max="9005" width="19.5703125" style="21" customWidth="1"/>
    <col min="9006" max="9006" width="14.28515625" style="21" customWidth="1"/>
    <col min="9007" max="9007" width="22.85546875" style="21" customWidth="1"/>
    <col min="9008" max="9008" width="16" style="21" customWidth="1"/>
    <col min="9009" max="9009" width="14.5703125" style="21" customWidth="1"/>
    <col min="9010" max="9010" width="17.85546875" style="21" customWidth="1"/>
    <col min="9011" max="9011" width="13.42578125" style="21" customWidth="1"/>
    <col min="9012" max="9012" width="21.7109375" style="21" customWidth="1"/>
    <col min="9013" max="9013" width="18" style="21" customWidth="1"/>
    <col min="9014" max="9014" width="13.5703125" style="21" customWidth="1"/>
    <col min="9015" max="9015" width="16.42578125" style="21" customWidth="1"/>
    <col min="9016" max="9020" width="13.42578125" style="21" customWidth="1"/>
    <col min="9021" max="9021" width="12.7109375" style="21" customWidth="1"/>
    <col min="9022" max="9024" width="13.42578125" style="21" customWidth="1"/>
    <col min="9025" max="9025" width="14.5703125" style="21" customWidth="1"/>
    <col min="9026" max="9026" width="12.140625" style="21" customWidth="1"/>
    <col min="9027" max="9040" width="13.42578125" style="21" customWidth="1"/>
    <col min="9041" max="9041" width="17.42578125" style="21" customWidth="1"/>
    <col min="9042" max="9042" width="14.5703125" style="21" customWidth="1"/>
    <col min="9043" max="9051" width="13.42578125" style="21" customWidth="1"/>
    <col min="9052" max="9052" width="10.28515625" style="21" customWidth="1"/>
    <col min="9053" max="9058" width="13.42578125" style="21" customWidth="1"/>
    <col min="9059" max="9059" width="13.140625" style="21" customWidth="1"/>
    <col min="9060" max="9060" width="15.42578125" style="21" customWidth="1"/>
    <col min="9061" max="9080" width="13.42578125" style="21" customWidth="1"/>
    <col min="9081" max="9081" width="20.85546875" style="21" customWidth="1"/>
    <col min="9082" max="9082" width="15.5703125" style="21" customWidth="1"/>
    <col min="9083" max="9086" width="13.42578125" style="21" customWidth="1"/>
    <col min="9087" max="9087" width="20.85546875" style="21" customWidth="1"/>
    <col min="9088" max="9216" width="9.140625" style="21"/>
    <col min="9217" max="9217" width="6.42578125" style="21" customWidth="1"/>
    <col min="9218" max="9218" width="19.5703125" style="21" customWidth="1"/>
    <col min="9219" max="9219" width="13.42578125" style="21" customWidth="1"/>
    <col min="9220" max="9220" width="13.5703125" style="21" customWidth="1"/>
    <col min="9221" max="9222" width="20.85546875" style="21" customWidth="1"/>
    <col min="9223" max="9223" width="16.5703125" style="21" customWidth="1"/>
    <col min="9224" max="9224" width="21" style="21" customWidth="1"/>
    <col min="9225" max="9225" width="18.85546875" style="21" customWidth="1"/>
    <col min="9226" max="9226" width="19.42578125" style="21" customWidth="1"/>
    <col min="9227" max="9227" width="18.85546875" style="21" customWidth="1"/>
    <col min="9228" max="9228" width="18.140625" style="21" customWidth="1"/>
    <col min="9229" max="9230" width="20.85546875" style="21" customWidth="1"/>
    <col min="9231" max="9231" width="133.7109375" style="21" customWidth="1"/>
    <col min="9232" max="9232" width="19.7109375" style="21" customWidth="1"/>
    <col min="9233" max="9233" width="13.28515625" style="21" customWidth="1"/>
    <col min="9234" max="9234" width="14.42578125" style="21" customWidth="1"/>
    <col min="9235" max="9235" width="11" style="21" customWidth="1"/>
    <col min="9236" max="9236" width="13.42578125" style="21" customWidth="1"/>
    <col min="9237" max="9237" width="13.5703125" style="21" customWidth="1"/>
    <col min="9238" max="9238" width="17.5703125" style="21" customWidth="1"/>
    <col min="9239" max="9241" width="13.42578125" style="21" customWidth="1"/>
    <col min="9242" max="9242" width="12.7109375" style="21" customWidth="1"/>
    <col min="9243" max="9243" width="13.28515625" style="21" customWidth="1"/>
    <col min="9244" max="9244" width="17.140625" style="21" customWidth="1"/>
    <col min="9245" max="9246" width="13.42578125" style="21" customWidth="1"/>
    <col min="9247" max="9247" width="14.85546875" style="21" customWidth="1"/>
    <col min="9248" max="9248" width="13.140625" style="21" customWidth="1"/>
    <col min="9249" max="9249" width="14.85546875" style="21" customWidth="1"/>
    <col min="9250" max="9250" width="13" style="21" customWidth="1"/>
    <col min="9251" max="9252" width="15.5703125" style="21" customWidth="1"/>
    <col min="9253" max="9253" width="25.140625" style="21" customWidth="1"/>
    <col min="9254" max="9254" width="40.42578125" style="21" customWidth="1"/>
    <col min="9255" max="9255" width="19.140625" style="21" customWidth="1"/>
    <col min="9256" max="9256" width="17.85546875" style="21" customWidth="1"/>
    <col min="9257" max="9257" width="13.140625" style="21" customWidth="1"/>
    <col min="9258" max="9258" width="12" style="21" customWidth="1"/>
    <col min="9259" max="9259" width="13.85546875" style="21" customWidth="1"/>
    <col min="9260" max="9260" width="13.42578125" style="21" customWidth="1"/>
    <col min="9261" max="9261" width="19.5703125" style="21" customWidth="1"/>
    <col min="9262" max="9262" width="14.28515625" style="21" customWidth="1"/>
    <col min="9263" max="9263" width="22.85546875" style="21" customWidth="1"/>
    <col min="9264" max="9264" width="16" style="21" customWidth="1"/>
    <col min="9265" max="9265" width="14.5703125" style="21" customWidth="1"/>
    <col min="9266" max="9266" width="17.85546875" style="21" customWidth="1"/>
    <col min="9267" max="9267" width="13.42578125" style="21" customWidth="1"/>
    <col min="9268" max="9268" width="21.7109375" style="21" customWidth="1"/>
    <col min="9269" max="9269" width="18" style="21" customWidth="1"/>
    <col min="9270" max="9270" width="13.5703125" style="21" customWidth="1"/>
    <col min="9271" max="9271" width="16.42578125" style="21" customWidth="1"/>
    <col min="9272" max="9276" width="13.42578125" style="21" customWidth="1"/>
    <col min="9277" max="9277" width="12.7109375" style="21" customWidth="1"/>
    <col min="9278" max="9280" width="13.42578125" style="21" customWidth="1"/>
    <col min="9281" max="9281" width="14.5703125" style="21" customWidth="1"/>
    <col min="9282" max="9282" width="12.140625" style="21" customWidth="1"/>
    <col min="9283" max="9296" width="13.42578125" style="21" customWidth="1"/>
    <col min="9297" max="9297" width="17.42578125" style="21" customWidth="1"/>
    <col min="9298" max="9298" width="14.5703125" style="21" customWidth="1"/>
    <col min="9299" max="9307" width="13.42578125" style="21" customWidth="1"/>
    <col min="9308" max="9308" width="10.28515625" style="21" customWidth="1"/>
    <col min="9309" max="9314" width="13.42578125" style="21" customWidth="1"/>
    <col min="9315" max="9315" width="13.140625" style="21" customWidth="1"/>
    <col min="9316" max="9316" width="15.42578125" style="21" customWidth="1"/>
    <col min="9317" max="9336" width="13.42578125" style="21" customWidth="1"/>
    <col min="9337" max="9337" width="20.85546875" style="21" customWidth="1"/>
    <col min="9338" max="9338" width="15.5703125" style="21" customWidth="1"/>
    <col min="9339" max="9342" width="13.42578125" style="21" customWidth="1"/>
    <col min="9343" max="9343" width="20.85546875" style="21" customWidth="1"/>
    <col min="9344" max="9472" width="9.140625" style="21"/>
    <col min="9473" max="9473" width="6.42578125" style="21" customWidth="1"/>
    <col min="9474" max="9474" width="19.5703125" style="21" customWidth="1"/>
    <col min="9475" max="9475" width="13.42578125" style="21" customWidth="1"/>
    <col min="9476" max="9476" width="13.5703125" style="21" customWidth="1"/>
    <col min="9477" max="9478" width="20.85546875" style="21" customWidth="1"/>
    <col min="9479" max="9479" width="16.5703125" style="21" customWidth="1"/>
    <col min="9480" max="9480" width="21" style="21" customWidth="1"/>
    <col min="9481" max="9481" width="18.85546875" style="21" customWidth="1"/>
    <col min="9482" max="9482" width="19.42578125" style="21" customWidth="1"/>
    <col min="9483" max="9483" width="18.85546875" style="21" customWidth="1"/>
    <col min="9484" max="9484" width="18.140625" style="21" customWidth="1"/>
    <col min="9485" max="9486" width="20.85546875" style="21" customWidth="1"/>
    <col min="9487" max="9487" width="133.7109375" style="21" customWidth="1"/>
    <col min="9488" max="9488" width="19.7109375" style="21" customWidth="1"/>
    <col min="9489" max="9489" width="13.28515625" style="21" customWidth="1"/>
    <col min="9490" max="9490" width="14.42578125" style="21" customWidth="1"/>
    <col min="9491" max="9491" width="11" style="21" customWidth="1"/>
    <col min="9492" max="9492" width="13.42578125" style="21" customWidth="1"/>
    <col min="9493" max="9493" width="13.5703125" style="21" customWidth="1"/>
    <col min="9494" max="9494" width="17.5703125" style="21" customWidth="1"/>
    <col min="9495" max="9497" width="13.42578125" style="21" customWidth="1"/>
    <col min="9498" max="9498" width="12.7109375" style="21" customWidth="1"/>
    <col min="9499" max="9499" width="13.28515625" style="21" customWidth="1"/>
    <col min="9500" max="9500" width="17.140625" style="21" customWidth="1"/>
    <col min="9501" max="9502" width="13.42578125" style="21" customWidth="1"/>
    <col min="9503" max="9503" width="14.85546875" style="21" customWidth="1"/>
    <col min="9504" max="9504" width="13.140625" style="21" customWidth="1"/>
    <col min="9505" max="9505" width="14.85546875" style="21" customWidth="1"/>
    <col min="9506" max="9506" width="13" style="21" customWidth="1"/>
    <col min="9507" max="9508" width="15.5703125" style="21" customWidth="1"/>
    <col min="9509" max="9509" width="25.140625" style="21" customWidth="1"/>
    <col min="9510" max="9510" width="40.42578125" style="21" customWidth="1"/>
    <col min="9511" max="9511" width="19.140625" style="21" customWidth="1"/>
    <col min="9512" max="9512" width="17.85546875" style="21" customWidth="1"/>
    <col min="9513" max="9513" width="13.140625" style="21" customWidth="1"/>
    <col min="9514" max="9514" width="12" style="21" customWidth="1"/>
    <col min="9515" max="9515" width="13.85546875" style="21" customWidth="1"/>
    <col min="9516" max="9516" width="13.42578125" style="21" customWidth="1"/>
    <col min="9517" max="9517" width="19.5703125" style="21" customWidth="1"/>
    <col min="9518" max="9518" width="14.28515625" style="21" customWidth="1"/>
    <col min="9519" max="9519" width="22.85546875" style="21" customWidth="1"/>
    <col min="9520" max="9520" width="16" style="21" customWidth="1"/>
    <col min="9521" max="9521" width="14.5703125" style="21" customWidth="1"/>
    <col min="9522" max="9522" width="17.85546875" style="21" customWidth="1"/>
    <col min="9523" max="9523" width="13.42578125" style="21" customWidth="1"/>
    <col min="9524" max="9524" width="21.7109375" style="21" customWidth="1"/>
    <col min="9525" max="9525" width="18" style="21" customWidth="1"/>
    <col min="9526" max="9526" width="13.5703125" style="21" customWidth="1"/>
    <col min="9527" max="9527" width="16.42578125" style="21" customWidth="1"/>
    <col min="9528" max="9532" width="13.42578125" style="21" customWidth="1"/>
    <col min="9533" max="9533" width="12.7109375" style="21" customWidth="1"/>
    <col min="9534" max="9536" width="13.42578125" style="21" customWidth="1"/>
    <col min="9537" max="9537" width="14.5703125" style="21" customWidth="1"/>
    <col min="9538" max="9538" width="12.140625" style="21" customWidth="1"/>
    <col min="9539" max="9552" width="13.42578125" style="21" customWidth="1"/>
    <col min="9553" max="9553" width="17.42578125" style="21" customWidth="1"/>
    <col min="9554" max="9554" width="14.5703125" style="21" customWidth="1"/>
    <col min="9555" max="9563" width="13.42578125" style="21" customWidth="1"/>
    <col min="9564" max="9564" width="10.28515625" style="21" customWidth="1"/>
    <col min="9565" max="9570" width="13.42578125" style="21" customWidth="1"/>
    <col min="9571" max="9571" width="13.140625" style="21" customWidth="1"/>
    <col min="9572" max="9572" width="15.42578125" style="21" customWidth="1"/>
    <col min="9573" max="9592" width="13.42578125" style="21" customWidth="1"/>
    <col min="9593" max="9593" width="20.85546875" style="21" customWidth="1"/>
    <col min="9594" max="9594" width="15.5703125" style="21" customWidth="1"/>
    <col min="9595" max="9598" width="13.42578125" style="21" customWidth="1"/>
    <col min="9599" max="9599" width="20.85546875" style="21" customWidth="1"/>
    <col min="9600" max="9728" width="9.140625" style="21"/>
    <col min="9729" max="9729" width="6.42578125" style="21" customWidth="1"/>
    <col min="9730" max="9730" width="19.5703125" style="21" customWidth="1"/>
    <col min="9731" max="9731" width="13.42578125" style="21" customWidth="1"/>
    <col min="9732" max="9732" width="13.5703125" style="21" customWidth="1"/>
    <col min="9733" max="9734" width="20.85546875" style="21" customWidth="1"/>
    <col min="9735" max="9735" width="16.5703125" style="21" customWidth="1"/>
    <col min="9736" max="9736" width="21" style="21" customWidth="1"/>
    <col min="9737" max="9737" width="18.85546875" style="21" customWidth="1"/>
    <col min="9738" max="9738" width="19.42578125" style="21" customWidth="1"/>
    <col min="9739" max="9739" width="18.85546875" style="21" customWidth="1"/>
    <col min="9740" max="9740" width="18.140625" style="21" customWidth="1"/>
    <col min="9741" max="9742" width="20.85546875" style="21" customWidth="1"/>
    <col min="9743" max="9743" width="133.7109375" style="21" customWidth="1"/>
    <col min="9744" max="9744" width="19.7109375" style="21" customWidth="1"/>
    <col min="9745" max="9745" width="13.28515625" style="21" customWidth="1"/>
    <col min="9746" max="9746" width="14.42578125" style="21" customWidth="1"/>
    <col min="9747" max="9747" width="11" style="21" customWidth="1"/>
    <col min="9748" max="9748" width="13.42578125" style="21" customWidth="1"/>
    <col min="9749" max="9749" width="13.5703125" style="21" customWidth="1"/>
    <col min="9750" max="9750" width="17.5703125" style="21" customWidth="1"/>
    <col min="9751" max="9753" width="13.42578125" style="21" customWidth="1"/>
    <col min="9754" max="9754" width="12.7109375" style="21" customWidth="1"/>
    <col min="9755" max="9755" width="13.28515625" style="21" customWidth="1"/>
    <col min="9756" max="9756" width="17.140625" style="21" customWidth="1"/>
    <col min="9757" max="9758" width="13.42578125" style="21" customWidth="1"/>
    <col min="9759" max="9759" width="14.85546875" style="21" customWidth="1"/>
    <col min="9760" max="9760" width="13.140625" style="21" customWidth="1"/>
    <col min="9761" max="9761" width="14.85546875" style="21" customWidth="1"/>
    <col min="9762" max="9762" width="13" style="21" customWidth="1"/>
    <col min="9763" max="9764" width="15.5703125" style="21" customWidth="1"/>
    <col min="9765" max="9765" width="25.140625" style="21" customWidth="1"/>
    <col min="9766" max="9766" width="40.42578125" style="21" customWidth="1"/>
    <col min="9767" max="9767" width="19.140625" style="21" customWidth="1"/>
    <col min="9768" max="9768" width="17.85546875" style="21" customWidth="1"/>
    <col min="9769" max="9769" width="13.140625" style="21" customWidth="1"/>
    <col min="9770" max="9770" width="12" style="21" customWidth="1"/>
    <col min="9771" max="9771" width="13.85546875" style="21" customWidth="1"/>
    <col min="9772" max="9772" width="13.42578125" style="21" customWidth="1"/>
    <col min="9773" max="9773" width="19.5703125" style="21" customWidth="1"/>
    <col min="9774" max="9774" width="14.28515625" style="21" customWidth="1"/>
    <col min="9775" max="9775" width="22.85546875" style="21" customWidth="1"/>
    <col min="9776" max="9776" width="16" style="21" customWidth="1"/>
    <col min="9777" max="9777" width="14.5703125" style="21" customWidth="1"/>
    <col min="9778" max="9778" width="17.85546875" style="21" customWidth="1"/>
    <col min="9779" max="9779" width="13.42578125" style="21" customWidth="1"/>
    <col min="9780" max="9780" width="21.7109375" style="21" customWidth="1"/>
    <col min="9781" max="9781" width="18" style="21" customWidth="1"/>
    <col min="9782" max="9782" width="13.5703125" style="21" customWidth="1"/>
    <col min="9783" max="9783" width="16.42578125" style="21" customWidth="1"/>
    <col min="9784" max="9788" width="13.42578125" style="21" customWidth="1"/>
    <col min="9789" max="9789" width="12.7109375" style="21" customWidth="1"/>
    <col min="9790" max="9792" width="13.42578125" style="21" customWidth="1"/>
    <col min="9793" max="9793" width="14.5703125" style="21" customWidth="1"/>
    <col min="9794" max="9794" width="12.140625" style="21" customWidth="1"/>
    <col min="9795" max="9808" width="13.42578125" style="21" customWidth="1"/>
    <col min="9809" max="9809" width="17.42578125" style="21" customWidth="1"/>
    <col min="9810" max="9810" width="14.5703125" style="21" customWidth="1"/>
    <col min="9811" max="9819" width="13.42578125" style="21" customWidth="1"/>
    <col min="9820" max="9820" width="10.28515625" style="21" customWidth="1"/>
    <col min="9821" max="9826" width="13.42578125" style="21" customWidth="1"/>
    <col min="9827" max="9827" width="13.140625" style="21" customWidth="1"/>
    <col min="9828" max="9828" width="15.42578125" style="21" customWidth="1"/>
    <col min="9829" max="9848" width="13.42578125" style="21" customWidth="1"/>
    <col min="9849" max="9849" width="20.85546875" style="21" customWidth="1"/>
    <col min="9850" max="9850" width="15.5703125" style="21" customWidth="1"/>
    <col min="9851" max="9854" width="13.42578125" style="21" customWidth="1"/>
    <col min="9855" max="9855" width="20.85546875" style="21" customWidth="1"/>
    <col min="9856" max="9984" width="9.140625" style="21"/>
    <col min="9985" max="9985" width="6.42578125" style="21" customWidth="1"/>
    <col min="9986" max="9986" width="19.5703125" style="21" customWidth="1"/>
    <col min="9987" max="9987" width="13.42578125" style="21" customWidth="1"/>
    <col min="9988" max="9988" width="13.5703125" style="21" customWidth="1"/>
    <col min="9989" max="9990" width="20.85546875" style="21" customWidth="1"/>
    <col min="9991" max="9991" width="16.5703125" style="21" customWidth="1"/>
    <col min="9992" max="9992" width="21" style="21" customWidth="1"/>
    <col min="9993" max="9993" width="18.85546875" style="21" customWidth="1"/>
    <col min="9994" max="9994" width="19.42578125" style="21" customWidth="1"/>
    <col min="9995" max="9995" width="18.85546875" style="21" customWidth="1"/>
    <col min="9996" max="9996" width="18.140625" style="21" customWidth="1"/>
    <col min="9997" max="9998" width="20.85546875" style="21" customWidth="1"/>
    <col min="9999" max="9999" width="133.7109375" style="21" customWidth="1"/>
    <col min="10000" max="10000" width="19.7109375" style="21" customWidth="1"/>
    <col min="10001" max="10001" width="13.28515625" style="21" customWidth="1"/>
    <col min="10002" max="10002" width="14.42578125" style="21" customWidth="1"/>
    <col min="10003" max="10003" width="11" style="21" customWidth="1"/>
    <col min="10004" max="10004" width="13.42578125" style="21" customWidth="1"/>
    <col min="10005" max="10005" width="13.5703125" style="21" customWidth="1"/>
    <col min="10006" max="10006" width="17.5703125" style="21" customWidth="1"/>
    <col min="10007" max="10009" width="13.42578125" style="21" customWidth="1"/>
    <col min="10010" max="10010" width="12.7109375" style="21" customWidth="1"/>
    <col min="10011" max="10011" width="13.28515625" style="21" customWidth="1"/>
    <col min="10012" max="10012" width="17.140625" style="21" customWidth="1"/>
    <col min="10013" max="10014" width="13.42578125" style="21" customWidth="1"/>
    <col min="10015" max="10015" width="14.85546875" style="21" customWidth="1"/>
    <col min="10016" max="10016" width="13.140625" style="21" customWidth="1"/>
    <col min="10017" max="10017" width="14.85546875" style="21" customWidth="1"/>
    <col min="10018" max="10018" width="13" style="21" customWidth="1"/>
    <col min="10019" max="10020" width="15.5703125" style="21" customWidth="1"/>
    <col min="10021" max="10021" width="25.140625" style="21" customWidth="1"/>
    <col min="10022" max="10022" width="40.42578125" style="21" customWidth="1"/>
    <col min="10023" max="10023" width="19.140625" style="21" customWidth="1"/>
    <col min="10024" max="10024" width="17.85546875" style="21" customWidth="1"/>
    <col min="10025" max="10025" width="13.140625" style="21" customWidth="1"/>
    <col min="10026" max="10026" width="12" style="21" customWidth="1"/>
    <col min="10027" max="10027" width="13.85546875" style="21" customWidth="1"/>
    <col min="10028" max="10028" width="13.42578125" style="21" customWidth="1"/>
    <col min="10029" max="10029" width="19.5703125" style="21" customWidth="1"/>
    <col min="10030" max="10030" width="14.28515625" style="21" customWidth="1"/>
    <col min="10031" max="10031" width="22.85546875" style="21" customWidth="1"/>
    <col min="10032" max="10032" width="16" style="21" customWidth="1"/>
    <col min="10033" max="10033" width="14.5703125" style="21" customWidth="1"/>
    <col min="10034" max="10034" width="17.85546875" style="21" customWidth="1"/>
    <col min="10035" max="10035" width="13.42578125" style="21" customWidth="1"/>
    <col min="10036" max="10036" width="21.7109375" style="21" customWidth="1"/>
    <col min="10037" max="10037" width="18" style="21" customWidth="1"/>
    <col min="10038" max="10038" width="13.5703125" style="21" customWidth="1"/>
    <col min="10039" max="10039" width="16.42578125" style="21" customWidth="1"/>
    <col min="10040" max="10044" width="13.42578125" style="21" customWidth="1"/>
    <col min="10045" max="10045" width="12.7109375" style="21" customWidth="1"/>
    <col min="10046" max="10048" width="13.42578125" style="21" customWidth="1"/>
    <col min="10049" max="10049" width="14.5703125" style="21" customWidth="1"/>
    <col min="10050" max="10050" width="12.140625" style="21" customWidth="1"/>
    <col min="10051" max="10064" width="13.42578125" style="21" customWidth="1"/>
    <col min="10065" max="10065" width="17.42578125" style="21" customWidth="1"/>
    <col min="10066" max="10066" width="14.5703125" style="21" customWidth="1"/>
    <col min="10067" max="10075" width="13.42578125" style="21" customWidth="1"/>
    <col min="10076" max="10076" width="10.28515625" style="21" customWidth="1"/>
    <col min="10077" max="10082" width="13.42578125" style="21" customWidth="1"/>
    <col min="10083" max="10083" width="13.140625" style="21" customWidth="1"/>
    <col min="10084" max="10084" width="15.42578125" style="21" customWidth="1"/>
    <col min="10085" max="10104" width="13.42578125" style="21" customWidth="1"/>
    <col min="10105" max="10105" width="20.85546875" style="21" customWidth="1"/>
    <col min="10106" max="10106" width="15.5703125" style="21" customWidth="1"/>
    <col min="10107" max="10110" width="13.42578125" style="21" customWidth="1"/>
    <col min="10111" max="10111" width="20.85546875" style="21" customWidth="1"/>
    <col min="10112" max="10240" width="9.140625" style="21"/>
    <col min="10241" max="10241" width="6.42578125" style="21" customWidth="1"/>
    <col min="10242" max="10242" width="19.5703125" style="21" customWidth="1"/>
    <col min="10243" max="10243" width="13.42578125" style="21" customWidth="1"/>
    <col min="10244" max="10244" width="13.5703125" style="21" customWidth="1"/>
    <col min="10245" max="10246" width="20.85546875" style="21" customWidth="1"/>
    <col min="10247" max="10247" width="16.5703125" style="21" customWidth="1"/>
    <col min="10248" max="10248" width="21" style="21" customWidth="1"/>
    <col min="10249" max="10249" width="18.85546875" style="21" customWidth="1"/>
    <col min="10250" max="10250" width="19.42578125" style="21" customWidth="1"/>
    <col min="10251" max="10251" width="18.85546875" style="21" customWidth="1"/>
    <col min="10252" max="10252" width="18.140625" style="21" customWidth="1"/>
    <col min="10253" max="10254" width="20.85546875" style="21" customWidth="1"/>
    <col min="10255" max="10255" width="133.7109375" style="21" customWidth="1"/>
    <col min="10256" max="10256" width="19.7109375" style="21" customWidth="1"/>
    <col min="10257" max="10257" width="13.28515625" style="21" customWidth="1"/>
    <col min="10258" max="10258" width="14.42578125" style="21" customWidth="1"/>
    <col min="10259" max="10259" width="11" style="21" customWidth="1"/>
    <col min="10260" max="10260" width="13.42578125" style="21" customWidth="1"/>
    <col min="10261" max="10261" width="13.5703125" style="21" customWidth="1"/>
    <col min="10262" max="10262" width="17.5703125" style="21" customWidth="1"/>
    <col min="10263" max="10265" width="13.42578125" style="21" customWidth="1"/>
    <col min="10266" max="10266" width="12.7109375" style="21" customWidth="1"/>
    <col min="10267" max="10267" width="13.28515625" style="21" customWidth="1"/>
    <col min="10268" max="10268" width="17.140625" style="21" customWidth="1"/>
    <col min="10269" max="10270" width="13.42578125" style="21" customWidth="1"/>
    <col min="10271" max="10271" width="14.85546875" style="21" customWidth="1"/>
    <col min="10272" max="10272" width="13.140625" style="21" customWidth="1"/>
    <col min="10273" max="10273" width="14.85546875" style="21" customWidth="1"/>
    <col min="10274" max="10274" width="13" style="21" customWidth="1"/>
    <col min="10275" max="10276" width="15.5703125" style="21" customWidth="1"/>
    <col min="10277" max="10277" width="25.140625" style="21" customWidth="1"/>
    <col min="10278" max="10278" width="40.42578125" style="21" customWidth="1"/>
    <col min="10279" max="10279" width="19.140625" style="21" customWidth="1"/>
    <col min="10280" max="10280" width="17.85546875" style="21" customWidth="1"/>
    <col min="10281" max="10281" width="13.140625" style="21" customWidth="1"/>
    <col min="10282" max="10282" width="12" style="21" customWidth="1"/>
    <col min="10283" max="10283" width="13.85546875" style="21" customWidth="1"/>
    <col min="10284" max="10284" width="13.42578125" style="21" customWidth="1"/>
    <col min="10285" max="10285" width="19.5703125" style="21" customWidth="1"/>
    <col min="10286" max="10286" width="14.28515625" style="21" customWidth="1"/>
    <col min="10287" max="10287" width="22.85546875" style="21" customWidth="1"/>
    <col min="10288" max="10288" width="16" style="21" customWidth="1"/>
    <col min="10289" max="10289" width="14.5703125" style="21" customWidth="1"/>
    <col min="10290" max="10290" width="17.85546875" style="21" customWidth="1"/>
    <col min="10291" max="10291" width="13.42578125" style="21" customWidth="1"/>
    <col min="10292" max="10292" width="21.7109375" style="21" customWidth="1"/>
    <col min="10293" max="10293" width="18" style="21" customWidth="1"/>
    <col min="10294" max="10294" width="13.5703125" style="21" customWidth="1"/>
    <col min="10295" max="10295" width="16.42578125" style="21" customWidth="1"/>
    <col min="10296" max="10300" width="13.42578125" style="21" customWidth="1"/>
    <col min="10301" max="10301" width="12.7109375" style="21" customWidth="1"/>
    <col min="10302" max="10304" width="13.42578125" style="21" customWidth="1"/>
    <col min="10305" max="10305" width="14.5703125" style="21" customWidth="1"/>
    <col min="10306" max="10306" width="12.140625" style="21" customWidth="1"/>
    <col min="10307" max="10320" width="13.42578125" style="21" customWidth="1"/>
    <col min="10321" max="10321" width="17.42578125" style="21" customWidth="1"/>
    <col min="10322" max="10322" width="14.5703125" style="21" customWidth="1"/>
    <col min="10323" max="10331" width="13.42578125" style="21" customWidth="1"/>
    <col min="10332" max="10332" width="10.28515625" style="21" customWidth="1"/>
    <col min="10333" max="10338" width="13.42578125" style="21" customWidth="1"/>
    <col min="10339" max="10339" width="13.140625" style="21" customWidth="1"/>
    <col min="10340" max="10340" width="15.42578125" style="21" customWidth="1"/>
    <col min="10341" max="10360" width="13.42578125" style="21" customWidth="1"/>
    <col min="10361" max="10361" width="20.85546875" style="21" customWidth="1"/>
    <col min="10362" max="10362" width="15.5703125" style="21" customWidth="1"/>
    <col min="10363" max="10366" width="13.42578125" style="21" customWidth="1"/>
    <col min="10367" max="10367" width="20.85546875" style="21" customWidth="1"/>
    <col min="10368" max="10496" width="9.140625" style="21"/>
    <col min="10497" max="10497" width="6.42578125" style="21" customWidth="1"/>
    <col min="10498" max="10498" width="19.5703125" style="21" customWidth="1"/>
    <col min="10499" max="10499" width="13.42578125" style="21" customWidth="1"/>
    <col min="10500" max="10500" width="13.5703125" style="21" customWidth="1"/>
    <col min="10501" max="10502" width="20.85546875" style="21" customWidth="1"/>
    <col min="10503" max="10503" width="16.5703125" style="21" customWidth="1"/>
    <col min="10504" max="10504" width="21" style="21" customWidth="1"/>
    <col min="10505" max="10505" width="18.85546875" style="21" customWidth="1"/>
    <col min="10506" max="10506" width="19.42578125" style="21" customWidth="1"/>
    <col min="10507" max="10507" width="18.85546875" style="21" customWidth="1"/>
    <col min="10508" max="10508" width="18.140625" style="21" customWidth="1"/>
    <col min="10509" max="10510" width="20.85546875" style="21" customWidth="1"/>
    <col min="10511" max="10511" width="133.7109375" style="21" customWidth="1"/>
    <col min="10512" max="10512" width="19.7109375" style="21" customWidth="1"/>
    <col min="10513" max="10513" width="13.28515625" style="21" customWidth="1"/>
    <col min="10514" max="10514" width="14.42578125" style="21" customWidth="1"/>
    <col min="10515" max="10515" width="11" style="21" customWidth="1"/>
    <col min="10516" max="10516" width="13.42578125" style="21" customWidth="1"/>
    <col min="10517" max="10517" width="13.5703125" style="21" customWidth="1"/>
    <col min="10518" max="10518" width="17.5703125" style="21" customWidth="1"/>
    <col min="10519" max="10521" width="13.42578125" style="21" customWidth="1"/>
    <col min="10522" max="10522" width="12.7109375" style="21" customWidth="1"/>
    <col min="10523" max="10523" width="13.28515625" style="21" customWidth="1"/>
    <col min="10524" max="10524" width="17.140625" style="21" customWidth="1"/>
    <col min="10525" max="10526" width="13.42578125" style="21" customWidth="1"/>
    <col min="10527" max="10527" width="14.85546875" style="21" customWidth="1"/>
    <col min="10528" max="10528" width="13.140625" style="21" customWidth="1"/>
    <col min="10529" max="10529" width="14.85546875" style="21" customWidth="1"/>
    <col min="10530" max="10530" width="13" style="21" customWidth="1"/>
    <col min="10531" max="10532" width="15.5703125" style="21" customWidth="1"/>
    <col min="10533" max="10533" width="25.140625" style="21" customWidth="1"/>
    <col min="10534" max="10534" width="40.42578125" style="21" customWidth="1"/>
    <col min="10535" max="10535" width="19.140625" style="21" customWidth="1"/>
    <col min="10536" max="10536" width="17.85546875" style="21" customWidth="1"/>
    <col min="10537" max="10537" width="13.140625" style="21" customWidth="1"/>
    <col min="10538" max="10538" width="12" style="21" customWidth="1"/>
    <col min="10539" max="10539" width="13.85546875" style="21" customWidth="1"/>
    <col min="10540" max="10540" width="13.42578125" style="21" customWidth="1"/>
    <col min="10541" max="10541" width="19.5703125" style="21" customWidth="1"/>
    <col min="10542" max="10542" width="14.28515625" style="21" customWidth="1"/>
    <col min="10543" max="10543" width="22.85546875" style="21" customWidth="1"/>
    <col min="10544" max="10544" width="16" style="21" customWidth="1"/>
    <col min="10545" max="10545" width="14.5703125" style="21" customWidth="1"/>
    <col min="10546" max="10546" width="17.85546875" style="21" customWidth="1"/>
    <col min="10547" max="10547" width="13.42578125" style="21" customWidth="1"/>
    <col min="10548" max="10548" width="21.7109375" style="21" customWidth="1"/>
    <col min="10549" max="10549" width="18" style="21" customWidth="1"/>
    <col min="10550" max="10550" width="13.5703125" style="21" customWidth="1"/>
    <col min="10551" max="10551" width="16.42578125" style="21" customWidth="1"/>
    <col min="10552" max="10556" width="13.42578125" style="21" customWidth="1"/>
    <col min="10557" max="10557" width="12.7109375" style="21" customWidth="1"/>
    <col min="10558" max="10560" width="13.42578125" style="21" customWidth="1"/>
    <col min="10561" max="10561" width="14.5703125" style="21" customWidth="1"/>
    <col min="10562" max="10562" width="12.140625" style="21" customWidth="1"/>
    <col min="10563" max="10576" width="13.42578125" style="21" customWidth="1"/>
    <col min="10577" max="10577" width="17.42578125" style="21" customWidth="1"/>
    <col min="10578" max="10578" width="14.5703125" style="21" customWidth="1"/>
    <col min="10579" max="10587" width="13.42578125" style="21" customWidth="1"/>
    <col min="10588" max="10588" width="10.28515625" style="21" customWidth="1"/>
    <col min="10589" max="10594" width="13.42578125" style="21" customWidth="1"/>
    <col min="10595" max="10595" width="13.140625" style="21" customWidth="1"/>
    <col min="10596" max="10596" width="15.42578125" style="21" customWidth="1"/>
    <col min="10597" max="10616" width="13.42578125" style="21" customWidth="1"/>
    <col min="10617" max="10617" width="20.85546875" style="21" customWidth="1"/>
    <col min="10618" max="10618" width="15.5703125" style="21" customWidth="1"/>
    <col min="10619" max="10622" width="13.42578125" style="21" customWidth="1"/>
    <col min="10623" max="10623" width="20.85546875" style="21" customWidth="1"/>
    <col min="10624" max="10752" width="9.140625" style="21"/>
    <col min="10753" max="10753" width="6.42578125" style="21" customWidth="1"/>
    <col min="10754" max="10754" width="19.5703125" style="21" customWidth="1"/>
    <col min="10755" max="10755" width="13.42578125" style="21" customWidth="1"/>
    <col min="10756" max="10756" width="13.5703125" style="21" customWidth="1"/>
    <col min="10757" max="10758" width="20.85546875" style="21" customWidth="1"/>
    <col min="10759" max="10759" width="16.5703125" style="21" customWidth="1"/>
    <col min="10760" max="10760" width="21" style="21" customWidth="1"/>
    <col min="10761" max="10761" width="18.85546875" style="21" customWidth="1"/>
    <col min="10762" max="10762" width="19.42578125" style="21" customWidth="1"/>
    <col min="10763" max="10763" width="18.85546875" style="21" customWidth="1"/>
    <col min="10764" max="10764" width="18.140625" style="21" customWidth="1"/>
    <col min="10765" max="10766" width="20.85546875" style="21" customWidth="1"/>
    <col min="10767" max="10767" width="133.7109375" style="21" customWidth="1"/>
    <col min="10768" max="10768" width="19.7109375" style="21" customWidth="1"/>
    <col min="10769" max="10769" width="13.28515625" style="21" customWidth="1"/>
    <col min="10770" max="10770" width="14.42578125" style="21" customWidth="1"/>
    <col min="10771" max="10771" width="11" style="21" customWidth="1"/>
    <col min="10772" max="10772" width="13.42578125" style="21" customWidth="1"/>
    <col min="10773" max="10773" width="13.5703125" style="21" customWidth="1"/>
    <col min="10774" max="10774" width="17.5703125" style="21" customWidth="1"/>
    <col min="10775" max="10777" width="13.42578125" style="21" customWidth="1"/>
    <col min="10778" max="10778" width="12.7109375" style="21" customWidth="1"/>
    <col min="10779" max="10779" width="13.28515625" style="21" customWidth="1"/>
    <col min="10780" max="10780" width="17.140625" style="21" customWidth="1"/>
    <col min="10781" max="10782" width="13.42578125" style="21" customWidth="1"/>
    <col min="10783" max="10783" width="14.85546875" style="21" customWidth="1"/>
    <col min="10784" max="10784" width="13.140625" style="21" customWidth="1"/>
    <col min="10785" max="10785" width="14.85546875" style="21" customWidth="1"/>
    <col min="10786" max="10786" width="13" style="21" customWidth="1"/>
    <col min="10787" max="10788" width="15.5703125" style="21" customWidth="1"/>
    <col min="10789" max="10789" width="25.140625" style="21" customWidth="1"/>
    <col min="10790" max="10790" width="40.42578125" style="21" customWidth="1"/>
    <col min="10791" max="10791" width="19.140625" style="21" customWidth="1"/>
    <col min="10792" max="10792" width="17.85546875" style="21" customWidth="1"/>
    <col min="10793" max="10793" width="13.140625" style="21" customWidth="1"/>
    <col min="10794" max="10794" width="12" style="21" customWidth="1"/>
    <col min="10795" max="10795" width="13.85546875" style="21" customWidth="1"/>
    <col min="10796" max="10796" width="13.42578125" style="21" customWidth="1"/>
    <col min="10797" max="10797" width="19.5703125" style="21" customWidth="1"/>
    <col min="10798" max="10798" width="14.28515625" style="21" customWidth="1"/>
    <col min="10799" max="10799" width="22.85546875" style="21" customWidth="1"/>
    <col min="10800" max="10800" width="16" style="21" customWidth="1"/>
    <col min="10801" max="10801" width="14.5703125" style="21" customWidth="1"/>
    <col min="10802" max="10802" width="17.85546875" style="21" customWidth="1"/>
    <col min="10803" max="10803" width="13.42578125" style="21" customWidth="1"/>
    <col min="10804" max="10804" width="21.7109375" style="21" customWidth="1"/>
    <col min="10805" max="10805" width="18" style="21" customWidth="1"/>
    <col min="10806" max="10806" width="13.5703125" style="21" customWidth="1"/>
    <col min="10807" max="10807" width="16.42578125" style="21" customWidth="1"/>
    <col min="10808" max="10812" width="13.42578125" style="21" customWidth="1"/>
    <col min="10813" max="10813" width="12.7109375" style="21" customWidth="1"/>
    <col min="10814" max="10816" width="13.42578125" style="21" customWidth="1"/>
    <col min="10817" max="10817" width="14.5703125" style="21" customWidth="1"/>
    <col min="10818" max="10818" width="12.140625" style="21" customWidth="1"/>
    <col min="10819" max="10832" width="13.42578125" style="21" customWidth="1"/>
    <col min="10833" max="10833" width="17.42578125" style="21" customWidth="1"/>
    <col min="10834" max="10834" width="14.5703125" style="21" customWidth="1"/>
    <col min="10835" max="10843" width="13.42578125" style="21" customWidth="1"/>
    <col min="10844" max="10844" width="10.28515625" style="21" customWidth="1"/>
    <col min="10845" max="10850" width="13.42578125" style="21" customWidth="1"/>
    <col min="10851" max="10851" width="13.140625" style="21" customWidth="1"/>
    <col min="10852" max="10852" width="15.42578125" style="21" customWidth="1"/>
    <col min="10853" max="10872" width="13.42578125" style="21" customWidth="1"/>
    <col min="10873" max="10873" width="20.85546875" style="21" customWidth="1"/>
    <col min="10874" max="10874" width="15.5703125" style="21" customWidth="1"/>
    <col min="10875" max="10878" width="13.42578125" style="21" customWidth="1"/>
    <col min="10879" max="10879" width="20.85546875" style="21" customWidth="1"/>
    <col min="10880" max="11008" width="9.140625" style="21"/>
    <col min="11009" max="11009" width="6.42578125" style="21" customWidth="1"/>
    <col min="11010" max="11010" width="19.5703125" style="21" customWidth="1"/>
    <col min="11011" max="11011" width="13.42578125" style="21" customWidth="1"/>
    <col min="11012" max="11012" width="13.5703125" style="21" customWidth="1"/>
    <col min="11013" max="11014" width="20.85546875" style="21" customWidth="1"/>
    <col min="11015" max="11015" width="16.5703125" style="21" customWidth="1"/>
    <col min="11016" max="11016" width="21" style="21" customWidth="1"/>
    <col min="11017" max="11017" width="18.85546875" style="21" customWidth="1"/>
    <col min="11018" max="11018" width="19.42578125" style="21" customWidth="1"/>
    <col min="11019" max="11019" width="18.85546875" style="21" customWidth="1"/>
    <col min="11020" max="11020" width="18.140625" style="21" customWidth="1"/>
    <col min="11021" max="11022" width="20.85546875" style="21" customWidth="1"/>
    <col min="11023" max="11023" width="133.7109375" style="21" customWidth="1"/>
    <col min="11024" max="11024" width="19.7109375" style="21" customWidth="1"/>
    <col min="11025" max="11025" width="13.28515625" style="21" customWidth="1"/>
    <col min="11026" max="11026" width="14.42578125" style="21" customWidth="1"/>
    <col min="11027" max="11027" width="11" style="21" customWidth="1"/>
    <col min="11028" max="11028" width="13.42578125" style="21" customWidth="1"/>
    <col min="11029" max="11029" width="13.5703125" style="21" customWidth="1"/>
    <col min="11030" max="11030" width="17.5703125" style="21" customWidth="1"/>
    <col min="11031" max="11033" width="13.42578125" style="21" customWidth="1"/>
    <col min="11034" max="11034" width="12.7109375" style="21" customWidth="1"/>
    <col min="11035" max="11035" width="13.28515625" style="21" customWidth="1"/>
    <col min="11036" max="11036" width="17.140625" style="21" customWidth="1"/>
    <col min="11037" max="11038" width="13.42578125" style="21" customWidth="1"/>
    <col min="11039" max="11039" width="14.85546875" style="21" customWidth="1"/>
    <col min="11040" max="11040" width="13.140625" style="21" customWidth="1"/>
    <col min="11041" max="11041" width="14.85546875" style="21" customWidth="1"/>
    <col min="11042" max="11042" width="13" style="21" customWidth="1"/>
    <col min="11043" max="11044" width="15.5703125" style="21" customWidth="1"/>
    <col min="11045" max="11045" width="25.140625" style="21" customWidth="1"/>
    <col min="11046" max="11046" width="40.42578125" style="21" customWidth="1"/>
    <col min="11047" max="11047" width="19.140625" style="21" customWidth="1"/>
    <col min="11048" max="11048" width="17.85546875" style="21" customWidth="1"/>
    <col min="11049" max="11049" width="13.140625" style="21" customWidth="1"/>
    <col min="11050" max="11050" width="12" style="21" customWidth="1"/>
    <col min="11051" max="11051" width="13.85546875" style="21" customWidth="1"/>
    <col min="11052" max="11052" width="13.42578125" style="21" customWidth="1"/>
    <col min="11053" max="11053" width="19.5703125" style="21" customWidth="1"/>
    <col min="11054" max="11054" width="14.28515625" style="21" customWidth="1"/>
    <col min="11055" max="11055" width="22.85546875" style="21" customWidth="1"/>
    <col min="11056" max="11056" width="16" style="21" customWidth="1"/>
    <col min="11057" max="11057" width="14.5703125" style="21" customWidth="1"/>
    <col min="11058" max="11058" width="17.85546875" style="21" customWidth="1"/>
    <col min="11059" max="11059" width="13.42578125" style="21" customWidth="1"/>
    <col min="11060" max="11060" width="21.7109375" style="21" customWidth="1"/>
    <col min="11061" max="11061" width="18" style="21" customWidth="1"/>
    <col min="11062" max="11062" width="13.5703125" style="21" customWidth="1"/>
    <col min="11063" max="11063" width="16.42578125" style="21" customWidth="1"/>
    <col min="11064" max="11068" width="13.42578125" style="21" customWidth="1"/>
    <col min="11069" max="11069" width="12.7109375" style="21" customWidth="1"/>
    <col min="11070" max="11072" width="13.42578125" style="21" customWidth="1"/>
    <col min="11073" max="11073" width="14.5703125" style="21" customWidth="1"/>
    <col min="11074" max="11074" width="12.140625" style="21" customWidth="1"/>
    <col min="11075" max="11088" width="13.42578125" style="21" customWidth="1"/>
    <col min="11089" max="11089" width="17.42578125" style="21" customWidth="1"/>
    <col min="11090" max="11090" width="14.5703125" style="21" customWidth="1"/>
    <col min="11091" max="11099" width="13.42578125" style="21" customWidth="1"/>
    <col min="11100" max="11100" width="10.28515625" style="21" customWidth="1"/>
    <col min="11101" max="11106" width="13.42578125" style="21" customWidth="1"/>
    <col min="11107" max="11107" width="13.140625" style="21" customWidth="1"/>
    <col min="11108" max="11108" width="15.42578125" style="21" customWidth="1"/>
    <col min="11109" max="11128" width="13.42578125" style="21" customWidth="1"/>
    <col min="11129" max="11129" width="20.85546875" style="21" customWidth="1"/>
    <col min="11130" max="11130" width="15.5703125" style="21" customWidth="1"/>
    <col min="11131" max="11134" width="13.42578125" style="21" customWidth="1"/>
    <col min="11135" max="11135" width="20.85546875" style="21" customWidth="1"/>
    <col min="11136" max="11264" width="9.140625" style="21"/>
    <col min="11265" max="11265" width="6.42578125" style="21" customWidth="1"/>
    <col min="11266" max="11266" width="19.5703125" style="21" customWidth="1"/>
    <col min="11267" max="11267" width="13.42578125" style="21" customWidth="1"/>
    <col min="11268" max="11268" width="13.5703125" style="21" customWidth="1"/>
    <col min="11269" max="11270" width="20.85546875" style="21" customWidth="1"/>
    <col min="11271" max="11271" width="16.5703125" style="21" customWidth="1"/>
    <col min="11272" max="11272" width="21" style="21" customWidth="1"/>
    <col min="11273" max="11273" width="18.85546875" style="21" customWidth="1"/>
    <col min="11274" max="11274" width="19.42578125" style="21" customWidth="1"/>
    <col min="11275" max="11275" width="18.85546875" style="21" customWidth="1"/>
    <col min="11276" max="11276" width="18.140625" style="21" customWidth="1"/>
    <col min="11277" max="11278" width="20.85546875" style="21" customWidth="1"/>
    <col min="11279" max="11279" width="133.7109375" style="21" customWidth="1"/>
    <col min="11280" max="11280" width="19.7109375" style="21" customWidth="1"/>
    <col min="11281" max="11281" width="13.28515625" style="21" customWidth="1"/>
    <col min="11282" max="11282" width="14.42578125" style="21" customWidth="1"/>
    <col min="11283" max="11283" width="11" style="21" customWidth="1"/>
    <col min="11284" max="11284" width="13.42578125" style="21" customWidth="1"/>
    <col min="11285" max="11285" width="13.5703125" style="21" customWidth="1"/>
    <col min="11286" max="11286" width="17.5703125" style="21" customWidth="1"/>
    <col min="11287" max="11289" width="13.42578125" style="21" customWidth="1"/>
    <col min="11290" max="11290" width="12.7109375" style="21" customWidth="1"/>
    <col min="11291" max="11291" width="13.28515625" style="21" customWidth="1"/>
    <col min="11292" max="11292" width="17.140625" style="21" customWidth="1"/>
    <col min="11293" max="11294" width="13.42578125" style="21" customWidth="1"/>
    <col min="11295" max="11295" width="14.85546875" style="21" customWidth="1"/>
    <col min="11296" max="11296" width="13.140625" style="21" customWidth="1"/>
    <col min="11297" max="11297" width="14.85546875" style="21" customWidth="1"/>
    <col min="11298" max="11298" width="13" style="21" customWidth="1"/>
    <col min="11299" max="11300" width="15.5703125" style="21" customWidth="1"/>
    <col min="11301" max="11301" width="25.140625" style="21" customWidth="1"/>
    <col min="11302" max="11302" width="40.42578125" style="21" customWidth="1"/>
    <col min="11303" max="11303" width="19.140625" style="21" customWidth="1"/>
    <col min="11304" max="11304" width="17.85546875" style="21" customWidth="1"/>
    <col min="11305" max="11305" width="13.140625" style="21" customWidth="1"/>
    <col min="11306" max="11306" width="12" style="21" customWidth="1"/>
    <col min="11307" max="11307" width="13.85546875" style="21" customWidth="1"/>
    <col min="11308" max="11308" width="13.42578125" style="21" customWidth="1"/>
    <col min="11309" max="11309" width="19.5703125" style="21" customWidth="1"/>
    <col min="11310" max="11310" width="14.28515625" style="21" customWidth="1"/>
    <col min="11311" max="11311" width="22.85546875" style="21" customWidth="1"/>
    <col min="11312" max="11312" width="16" style="21" customWidth="1"/>
    <col min="11313" max="11313" width="14.5703125" style="21" customWidth="1"/>
    <col min="11314" max="11314" width="17.85546875" style="21" customWidth="1"/>
    <col min="11315" max="11315" width="13.42578125" style="21" customWidth="1"/>
    <col min="11316" max="11316" width="21.7109375" style="21" customWidth="1"/>
    <col min="11317" max="11317" width="18" style="21" customWidth="1"/>
    <col min="11318" max="11318" width="13.5703125" style="21" customWidth="1"/>
    <col min="11319" max="11319" width="16.42578125" style="21" customWidth="1"/>
    <col min="11320" max="11324" width="13.42578125" style="21" customWidth="1"/>
    <col min="11325" max="11325" width="12.7109375" style="21" customWidth="1"/>
    <col min="11326" max="11328" width="13.42578125" style="21" customWidth="1"/>
    <col min="11329" max="11329" width="14.5703125" style="21" customWidth="1"/>
    <col min="11330" max="11330" width="12.140625" style="21" customWidth="1"/>
    <col min="11331" max="11344" width="13.42578125" style="21" customWidth="1"/>
    <col min="11345" max="11345" width="17.42578125" style="21" customWidth="1"/>
    <col min="11346" max="11346" width="14.5703125" style="21" customWidth="1"/>
    <col min="11347" max="11355" width="13.42578125" style="21" customWidth="1"/>
    <col min="11356" max="11356" width="10.28515625" style="21" customWidth="1"/>
    <col min="11357" max="11362" width="13.42578125" style="21" customWidth="1"/>
    <col min="11363" max="11363" width="13.140625" style="21" customWidth="1"/>
    <col min="11364" max="11364" width="15.42578125" style="21" customWidth="1"/>
    <col min="11365" max="11384" width="13.42578125" style="21" customWidth="1"/>
    <col min="11385" max="11385" width="20.85546875" style="21" customWidth="1"/>
    <col min="11386" max="11386" width="15.5703125" style="21" customWidth="1"/>
    <col min="11387" max="11390" width="13.42578125" style="21" customWidth="1"/>
    <col min="11391" max="11391" width="20.85546875" style="21" customWidth="1"/>
    <col min="11392" max="11520" width="9.140625" style="21"/>
    <col min="11521" max="11521" width="6.42578125" style="21" customWidth="1"/>
    <col min="11522" max="11522" width="19.5703125" style="21" customWidth="1"/>
    <col min="11523" max="11523" width="13.42578125" style="21" customWidth="1"/>
    <col min="11524" max="11524" width="13.5703125" style="21" customWidth="1"/>
    <col min="11525" max="11526" width="20.85546875" style="21" customWidth="1"/>
    <col min="11527" max="11527" width="16.5703125" style="21" customWidth="1"/>
    <col min="11528" max="11528" width="21" style="21" customWidth="1"/>
    <col min="11529" max="11529" width="18.85546875" style="21" customWidth="1"/>
    <col min="11530" max="11530" width="19.42578125" style="21" customWidth="1"/>
    <col min="11531" max="11531" width="18.85546875" style="21" customWidth="1"/>
    <col min="11532" max="11532" width="18.140625" style="21" customWidth="1"/>
    <col min="11533" max="11534" width="20.85546875" style="21" customWidth="1"/>
    <col min="11535" max="11535" width="133.7109375" style="21" customWidth="1"/>
    <col min="11536" max="11536" width="19.7109375" style="21" customWidth="1"/>
    <col min="11537" max="11537" width="13.28515625" style="21" customWidth="1"/>
    <col min="11538" max="11538" width="14.42578125" style="21" customWidth="1"/>
    <col min="11539" max="11539" width="11" style="21" customWidth="1"/>
    <col min="11540" max="11540" width="13.42578125" style="21" customWidth="1"/>
    <col min="11541" max="11541" width="13.5703125" style="21" customWidth="1"/>
    <col min="11542" max="11542" width="17.5703125" style="21" customWidth="1"/>
    <col min="11543" max="11545" width="13.42578125" style="21" customWidth="1"/>
    <col min="11546" max="11546" width="12.7109375" style="21" customWidth="1"/>
    <col min="11547" max="11547" width="13.28515625" style="21" customWidth="1"/>
    <col min="11548" max="11548" width="17.140625" style="21" customWidth="1"/>
    <col min="11549" max="11550" width="13.42578125" style="21" customWidth="1"/>
    <col min="11551" max="11551" width="14.85546875" style="21" customWidth="1"/>
    <col min="11552" max="11552" width="13.140625" style="21" customWidth="1"/>
    <col min="11553" max="11553" width="14.85546875" style="21" customWidth="1"/>
    <col min="11554" max="11554" width="13" style="21" customWidth="1"/>
    <col min="11555" max="11556" width="15.5703125" style="21" customWidth="1"/>
    <col min="11557" max="11557" width="25.140625" style="21" customWidth="1"/>
    <col min="11558" max="11558" width="40.42578125" style="21" customWidth="1"/>
    <col min="11559" max="11559" width="19.140625" style="21" customWidth="1"/>
    <col min="11560" max="11560" width="17.85546875" style="21" customWidth="1"/>
    <col min="11561" max="11561" width="13.140625" style="21" customWidth="1"/>
    <col min="11562" max="11562" width="12" style="21" customWidth="1"/>
    <col min="11563" max="11563" width="13.85546875" style="21" customWidth="1"/>
    <col min="11564" max="11564" width="13.42578125" style="21" customWidth="1"/>
    <col min="11565" max="11565" width="19.5703125" style="21" customWidth="1"/>
    <col min="11566" max="11566" width="14.28515625" style="21" customWidth="1"/>
    <col min="11567" max="11567" width="22.85546875" style="21" customWidth="1"/>
    <col min="11568" max="11568" width="16" style="21" customWidth="1"/>
    <col min="11569" max="11569" width="14.5703125" style="21" customWidth="1"/>
    <col min="11570" max="11570" width="17.85546875" style="21" customWidth="1"/>
    <col min="11571" max="11571" width="13.42578125" style="21" customWidth="1"/>
    <col min="11572" max="11572" width="21.7109375" style="21" customWidth="1"/>
    <col min="11573" max="11573" width="18" style="21" customWidth="1"/>
    <col min="11574" max="11574" width="13.5703125" style="21" customWidth="1"/>
    <col min="11575" max="11575" width="16.42578125" style="21" customWidth="1"/>
    <col min="11576" max="11580" width="13.42578125" style="21" customWidth="1"/>
    <col min="11581" max="11581" width="12.7109375" style="21" customWidth="1"/>
    <col min="11582" max="11584" width="13.42578125" style="21" customWidth="1"/>
    <col min="11585" max="11585" width="14.5703125" style="21" customWidth="1"/>
    <col min="11586" max="11586" width="12.140625" style="21" customWidth="1"/>
    <col min="11587" max="11600" width="13.42578125" style="21" customWidth="1"/>
    <col min="11601" max="11601" width="17.42578125" style="21" customWidth="1"/>
    <col min="11602" max="11602" width="14.5703125" style="21" customWidth="1"/>
    <col min="11603" max="11611" width="13.42578125" style="21" customWidth="1"/>
    <col min="11612" max="11612" width="10.28515625" style="21" customWidth="1"/>
    <col min="11613" max="11618" width="13.42578125" style="21" customWidth="1"/>
    <col min="11619" max="11619" width="13.140625" style="21" customWidth="1"/>
    <col min="11620" max="11620" width="15.42578125" style="21" customWidth="1"/>
    <col min="11621" max="11640" width="13.42578125" style="21" customWidth="1"/>
    <col min="11641" max="11641" width="20.85546875" style="21" customWidth="1"/>
    <col min="11642" max="11642" width="15.5703125" style="21" customWidth="1"/>
    <col min="11643" max="11646" width="13.42578125" style="21" customWidth="1"/>
    <col min="11647" max="11647" width="20.85546875" style="21" customWidth="1"/>
    <col min="11648" max="11776" width="9.140625" style="21"/>
    <col min="11777" max="11777" width="6.42578125" style="21" customWidth="1"/>
    <col min="11778" max="11778" width="19.5703125" style="21" customWidth="1"/>
    <col min="11779" max="11779" width="13.42578125" style="21" customWidth="1"/>
    <col min="11780" max="11780" width="13.5703125" style="21" customWidth="1"/>
    <col min="11781" max="11782" width="20.85546875" style="21" customWidth="1"/>
    <col min="11783" max="11783" width="16.5703125" style="21" customWidth="1"/>
    <col min="11784" max="11784" width="21" style="21" customWidth="1"/>
    <col min="11785" max="11785" width="18.85546875" style="21" customWidth="1"/>
    <col min="11786" max="11786" width="19.42578125" style="21" customWidth="1"/>
    <col min="11787" max="11787" width="18.85546875" style="21" customWidth="1"/>
    <col min="11788" max="11788" width="18.140625" style="21" customWidth="1"/>
    <col min="11789" max="11790" width="20.85546875" style="21" customWidth="1"/>
    <col min="11791" max="11791" width="133.7109375" style="21" customWidth="1"/>
    <col min="11792" max="11792" width="19.7109375" style="21" customWidth="1"/>
    <col min="11793" max="11793" width="13.28515625" style="21" customWidth="1"/>
    <col min="11794" max="11794" width="14.42578125" style="21" customWidth="1"/>
    <col min="11795" max="11795" width="11" style="21" customWidth="1"/>
    <col min="11796" max="11796" width="13.42578125" style="21" customWidth="1"/>
    <col min="11797" max="11797" width="13.5703125" style="21" customWidth="1"/>
    <col min="11798" max="11798" width="17.5703125" style="21" customWidth="1"/>
    <col min="11799" max="11801" width="13.42578125" style="21" customWidth="1"/>
    <col min="11802" max="11802" width="12.7109375" style="21" customWidth="1"/>
    <col min="11803" max="11803" width="13.28515625" style="21" customWidth="1"/>
    <col min="11804" max="11804" width="17.140625" style="21" customWidth="1"/>
    <col min="11805" max="11806" width="13.42578125" style="21" customWidth="1"/>
    <col min="11807" max="11807" width="14.85546875" style="21" customWidth="1"/>
    <col min="11808" max="11808" width="13.140625" style="21" customWidth="1"/>
    <col min="11809" max="11809" width="14.85546875" style="21" customWidth="1"/>
    <col min="11810" max="11810" width="13" style="21" customWidth="1"/>
    <col min="11811" max="11812" width="15.5703125" style="21" customWidth="1"/>
    <col min="11813" max="11813" width="25.140625" style="21" customWidth="1"/>
    <col min="11814" max="11814" width="40.42578125" style="21" customWidth="1"/>
    <col min="11815" max="11815" width="19.140625" style="21" customWidth="1"/>
    <col min="11816" max="11816" width="17.85546875" style="21" customWidth="1"/>
    <col min="11817" max="11817" width="13.140625" style="21" customWidth="1"/>
    <col min="11818" max="11818" width="12" style="21" customWidth="1"/>
    <col min="11819" max="11819" width="13.85546875" style="21" customWidth="1"/>
    <col min="11820" max="11820" width="13.42578125" style="21" customWidth="1"/>
    <col min="11821" max="11821" width="19.5703125" style="21" customWidth="1"/>
    <col min="11822" max="11822" width="14.28515625" style="21" customWidth="1"/>
    <col min="11823" max="11823" width="22.85546875" style="21" customWidth="1"/>
    <col min="11824" max="11824" width="16" style="21" customWidth="1"/>
    <col min="11825" max="11825" width="14.5703125" style="21" customWidth="1"/>
    <col min="11826" max="11826" width="17.85546875" style="21" customWidth="1"/>
    <col min="11827" max="11827" width="13.42578125" style="21" customWidth="1"/>
    <col min="11828" max="11828" width="21.7109375" style="21" customWidth="1"/>
    <col min="11829" max="11829" width="18" style="21" customWidth="1"/>
    <col min="11830" max="11830" width="13.5703125" style="21" customWidth="1"/>
    <col min="11831" max="11831" width="16.42578125" style="21" customWidth="1"/>
    <col min="11832" max="11836" width="13.42578125" style="21" customWidth="1"/>
    <col min="11837" max="11837" width="12.7109375" style="21" customWidth="1"/>
    <col min="11838" max="11840" width="13.42578125" style="21" customWidth="1"/>
    <col min="11841" max="11841" width="14.5703125" style="21" customWidth="1"/>
    <col min="11842" max="11842" width="12.140625" style="21" customWidth="1"/>
    <col min="11843" max="11856" width="13.42578125" style="21" customWidth="1"/>
    <col min="11857" max="11857" width="17.42578125" style="21" customWidth="1"/>
    <col min="11858" max="11858" width="14.5703125" style="21" customWidth="1"/>
    <col min="11859" max="11867" width="13.42578125" style="21" customWidth="1"/>
    <col min="11868" max="11868" width="10.28515625" style="21" customWidth="1"/>
    <col min="11869" max="11874" width="13.42578125" style="21" customWidth="1"/>
    <col min="11875" max="11875" width="13.140625" style="21" customWidth="1"/>
    <col min="11876" max="11876" width="15.42578125" style="21" customWidth="1"/>
    <col min="11877" max="11896" width="13.42578125" style="21" customWidth="1"/>
    <col min="11897" max="11897" width="20.85546875" style="21" customWidth="1"/>
    <col min="11898" max="11898" width="15.5703125" style="21" customWidth="1"/>
    <col min="11899" max="11902" width="13.42578125" style="21" customWidth="1"/>
    <col min="11903" max="11903" width="20.85546875" style="21" customWidth="1"/>
    <col min="11904" max="12032" width="9.140625" style="21"/>
    <col min="12033" max="12033" width="6.42578125" style="21" customWidth="1"/>
    <col min="12034" max="12034" width="19.5703125" style="21" customWidth="1"/>
    <col min="12035" max="12035" width="13.42578125" style="21" customWidth="1"/>
    <col min="12036" max="12036" width="13.5703125" style="21" customWidth="1"/>
    <col min="12037" max="12038" width="20.85546875" style="21" customWidth="1"/>
    <col min="12039" max="12039" width="16.5703125" style="21" customWidth="1"/>
    <col min="12040" max="12040" width="21" style="21" customWidth="1"/>
    <col min="12041" max="12041" width="18.85546875" style="21" customWidth="1"/>
    <col min="12042" max="12042" width="19.42578125" style="21" customWidth="1"/>
    <col min="12043" max="12043" width="18.85546875" style="21" customWidth="1"/>
    <col min="12044" max="12044" width="18.140625" style="21" customWidth="1"/>
    <col min="12045" max="12046" width="20.85546875" style="21" customWidth="1"/>
    <col min="12047" max="12047" width="133.7109375" style="21" customWidth="1"/>
    <col min="12048" max="12048" width="19.7109375" style="21" customWidth="1"/>
    <col min="12049" max="12049" width="13.28515625" style="21" customWidth="1"/>
    <col min="12050" max="12050" width="14.42578125" style="21" customWidth="1"/>
    <col min="12051" max="12051" width="11" style="21" customWidth="1"/>
    <col min="12052" max="12052" width="13.42578125" style="21" customWidth="1"/>
    <col min="12053" max="12053" width="13.5703125" style="21" customWidth="1"/>
    <col min="12054" max="12054" width="17.5703125" style="21" customWidth="1"/>
    <col min="12055" max="12057" width="13.42578125" style="21" customWidth="1"/>
    <col min="12058" max="12058" width="12.7109375" style="21" customWidth="1"/>
    <col min="12059" max="12059" width="13.28515625" style="21" customWidth="1"/>
    <col min="12060" max="12060" width="17.140625" style="21" customWidth="1"/>
    <col min="12061" max="12062" width="13.42578125" style="21" customWidth="1"/>
    <col min="12063" max="12063" width="14.85546875" style="21" customWidth="1"/>
    <col min="12064" max="12064" width="13.140625" style="21" customWidth="1"/>
    <col min="12065" max="12065" width="14.85546875" style="21" customWidth="1"/>
    <col min="12066" max="12066" width="13" style="21" customWidth="1"/>
    <col min="12067" max="12068" width="15.5703125" style="21" customWidth="1"/>
    <col min="12069" max="12069" width="25.140625" style="21" customWidth="1"/>
    <col min="12070" max="12070" width="40.42578125" style="21" customWidth="1"/>
    <col min="12071" max="12071" width="19.140625" style="21" customWidth="1"/>
    <col min="12072" max="12072" width="17.85546875" style="21" customWidth="1"/>
    <col min="12073" max="12073" width="13.140625" style="21" customWidth="1"/>
    <col min="12074" max="12074" width="12" style="21" customWidth="1"/>
    <col min="12075" max="12075" width="13.85546875" style="21" customWidth="1"/>
    <col min="12076" max="12076" width="13.42578125" style="21" customWidth="1"/>
    <col min="12077" max="12077" width="19.5703125" style="21" customWidth="1"/>
    <col min="12078" max="12078" width="14.28515625" style="21" customWidth="1"/>
    <col min="12079" max="12079" width="22.85546875" style="21" customWidth="1"/>
    <col min="12080" max="12080" width="16" style="21" customWidth="1"/>
    <col min="12081" max="12081" width="14.5703125" style="21" customWidth="1"/>
    <col min="12082" max="12082" width="17.85546875" style="21" customWidth="1"/>
    <col min="12083" max="12083" width="13.42578125" style="21" customWidth="1"/>
    <col min="12084" max="12084" width="21.7109375" style="21" customWidth="1"/>
    <col min="12085" max="12085" width="18" style="21" customWidth="1"/>
    <col min="12086" max="12086" width="13.5703125" style="21" customWidth="1"/>
    <col min="12087" max="12087" width="16.42578125" style="21" customWidth="1"/>
    <col min="12088" max="12092" width="13.42578125" style="21" customWidth="1"/>
    <col min="12093" max="12093" width="12.7109375" style="21" customWidth="1"/>
    <col min="12094" max="12096" width="13.42578125" style="21" customWidth="1"/>
    <col min="12097" max="12097" width="14.5703125" style="21" customWidth="1"/>
    <col min="12098" max="12098" width="12.140625" style="21" customWidth="1"/>
    <col min="12099" max="12112" width="13.42578125" style="21" customWidth="1"/>
    <col min="12113" max="12113" width="17.42578125" style="21" customWidth="1"/>
    <col min="12114" max="12114" width="14.5703125" style="21" customWidth="1"/>
    <col min="12115" max="12123" width="13.42578125" style="21" customWidth="1"/>
    <col min="12124" max="12124" width="10.28515625" style="21" customWidth="1"/>
    <col min="12125" max="12130" width="13.42578125" style="21" customWidth="1"/>
    <col min="12131" max="12131" width="13.140625" style="21" customWidth="1"/>
    <col min="12132" max="12132" width="15.42578125" style="21" customWidth="1"/>
    <col min="12133" max="12152" width="13.42578125" style="21" customWidth="1"/>
    <col min="12153" max="12153" width="20.85546875" style="21" customWidth="1"/>
    <col min="12154" max="12154" width="15.5703125" style="21" customWidth="1"/>
    <col min="12155" max="12158" width="13.42578125" style="21" customWidth="1"/>
    <col min="12159" max="12159" width="20.85546875" style="21" customWidth="1"/>
    <col min="12160" max="12288" width="9.140625" style="21"/>
    <col min="12289" max="12289" width="6.42578125" style="21" customWidth="1"/>
    <col min="12290" max="12290" width="19.5703125" style="21" customWidth="1"/>
    <col min="12291" max="12291" width="13.42578125" style="21" customWidth="1"/>
    <col min="12292" max="12292" width="13.5703125" style="21" customWidth="1"/>
    <col min="12293" max="12294" width="20.85546875" style="21" customWidth="1"/>
    <col min="12295" max="12295" width="16.5703125" style="21" customWidth="1"/>
    <col min="12296" max="12296" width="21" style="21" customWidth="1"/>
    <col min="12297" max="12297" width="18.85546875" style="21" customWidth="1"/>
    <col min="12298" max="12298" width="19.42578125" style="21" customWidth="1"/>
    <col min="12299" max="12299" width="18.85546875" style="21" customWidth="1"/>
    <col min="12300" max="12300" width="18.140625" style="21" customWidth="1"/>
    <col min="12301" max="12302" width="20.85546875" style="21" customWidth="1"/>
    <col min="12303" max="12303" width="133.7109375" style="21" customWidth="1"/>
    <col min="12304" max="12304" width="19.7109375" style="21" customWidth="1"/>
    <col min="12305" max="12305" width="13.28515625" style="21" customWidth="1"/>
    <col min="12306" max="12306" width="14.42578125" style="21" customWidth="1"/>
    <col min="12307" max="12307" width="11" style="21" customWidth="1"/>
    <col min="12308" max="12308" width="13.42578125" style="21" customWidth="1"/>
    <col min="12309" max="12309" width="13.5703125" style="21" customWidth="1"/>
    <col min="12310" max="12310" width="17.5703125" style="21" customWidth="1"/>
    <col min="12311" max="12313" width="13.42578125" style="21" customWidth="1"/>
    <col min="12314" max="12314" width="12.7109375" style="21" customWidth="1"/>
    <col min="12315" max="12315" width="13.28515625" style="21" customWidth="1"/>
    <col min="12316" max="12316" width="17.140625" style="21" customWidth="1"/>
    <col min="12317" max="12318" width="13.42578125" style="21" customWidth="1"/>
    <col min="12319" max="12319" width="14.85546875" style="21" customWidth="1"/>
    <col min="12320" max="12320" width="13.140625" style="21" customWidth="1"/>
    <col min="12321" max="12321" width="14.85546875" style="21" customWidth="1"/>
    <col min="12322" max="12322" width="13" style="21" customWidth="1"/>
    <col min="12323" max="12324" width="15.5703125" style="21" customWidth="1"/>
    <col min="12325" max="12325" width="25.140625" style="21" customWidth="1"/>
    <col min="12326" max="12326" width="40.42578125" style="21" customWidth="1"/>
    <col min="12327" max="12327" width="19.140625" style="21" customWidth="1"/>
    <col min="12328" max="12328" width="17.85546875" style="21" customWidth="1"/>
    <col min="12329" max="12329" width="13.140625" style="21" customWidth="1"/>
    <col min="12330" max="12330" width="12" style="21" customWidth="1"/>
    <col min="12331" max="12331" width="13.85546875" style="21" customWidth="1"/>
    <col min="12332" max="12332" width="13.42578125" style="21" customWidth="1"/>
    <col min="12333" max="12333" width="19.5703125" style="21" customWidth="1"/>
    <col min="12334" max="12334" width="14.28515625" style="21" customWidth="1"/>
    <col min="12335" max="12335" width="22.85546875" style="21" customWidth="1"/>
    <col min="12336" max="12336" width="16" style="21" customWidth="1"/>
    <col min="12337" max="12337" width="14.5703125" style="21" customWidth="1"/>
    <col min="12338" max="12338" width="17.85546875" style="21" customWidth="1"/>
    <col min="12339" max="12339" width="13.42578125" style="21" customWidth="1"/>
    <col min="12340" max="12340" width="21.7109375" style="21" customWidth="1"/>
    <col min="12341" max="12341" width="18" style="21" customWidth="1"/>
    <col min="12342" max="12342" width="13.5703125" style="21" customWidth="1"/>
    <col min="12343" max="12343" width="16.42578125" style="21" customWidth="1"/>
    <col min="12344" max="12348" width="13.42578125" style="21" customWidth="1"/>
    <col min="12349" max="12349" width="12.7109375" style="21" customWidth="1"/>
    <col min="12350" max="12352" width="13.42578125" style="21" customWidth="1"/>
    <col min="12353" max="12353" width="14.5703125" style="21" customWidth="1"/>
    <col min="12354" max="12354" width="12.140625" style="21" customWidth="1"/>
    <col min="12355" max="12368" width="13.42578125" style="21" customWidth="1"/>
    <col min="12369" max="12369" width="17.42578125" style="21" customWidth="1"/>
    <col min="12370" max="12370" width="14.5703125" style="21" customWidth="1"/>
    <col min="12371" max="12379" width="13.42578125" style="21" customWidth="1"/>
    <col min="12380" max="12380" width="10.28515625" style="21" customWidth="1"/>
    <col min="12381" max="12386" width="13.42578125" style="21" customWidth="1"/>
    <col min="12387" max="12387" width="13.140625" style="21" customWidth="1"/>
    <col min="12388" max="12388" width="15.42578125" style="21" customWidth="1"/>
    <col min="12389" max="12408" width="13.42578125" style="21" customWidth="1"/>
    <col min="12409" max="12409" width="20.85546875" style="21" customWidth="1"/>
    <col min="12410" max="12410" width="15.5703125" style="21" customWidth="1"/>
    <col min="12411" max="12414" width="13.42578125" style="21" customWidth="1"/>
    <col min="12415" max="12415" width="20.85546875" style="21" customWidth="1"/>
    <col min="12416" max="12544" width="9.140625" style="21"/>
    <col min="12545" max="12545" width="6.42578125" style="21" customWidth="1"/>
    <col min="12546" max="12546" width="19.5703125" style="21" customWidth="1"/>
    <col min="12547" max="12547" width="13.42578125" style="21" customWidth="1"/>
    <col min="12548" max="12548" width="13.5703125" style="21" customWidth="1"/>
    <col min="12549" max="12550" width="20.85546875" style="21" customWidth="1"/>
    <col min="12551" max="12551" width="16.5703125" style="21" customWidth="1"/>
    <col min="12552" max="12552" width="21" style="21" customWidth="1"/>
    <col min="12553" max="12553" width="18.85546875" style="21" customWidth="1"/>
    <col min="12554" max="12554" width="19.42578125" style="21" customWidth="1"/>
    <col min="12555" max="12555" width="18.85546875" style="21" customWidth="1"/>
    <col min="12556" max="12556" width="18.140625" style="21" customWidth="1"/>
    <col min="12557" max="12558" width="20.85546875" style="21" customWidth="1"/>
    <col min="12559" max="12559" width="133.7109375" style="21" customWidth="1"/>
    <col min="12560" max="12560" width="19.7109375" style="21" customWidth="1"/>
    <col min="12561" max="12561" width="13.28515625" style="21" customWidth="1"/>
    <col min="12562" max="12562" width="14.42578125" style="21" customWidth="1"/>
    <col min="12563" max="12563" width="11" style="21" customWidth="1"/>
    <col min="12564" max="12564" width="13.42578125" style="21" customWidth="1"/>
    <col min="12565" max="12565" width="13.5703125" style="21" customWidth="1"/>
    <col min="12566" max="12566" width="17.5703125" style="21" customWidth="1"/>
    <col min="12567" max="12569" width="13.42578125" style="21" customWidth="1"/>
    <col min="12570" max="12570" width="12.7109375" style="21" customWidth="1"/>
    <col min="12571" max="12571" width="13.28515625" style="21" customWidth="1"/>
    <col min="12572" max="12572" width="17.140625" style="21" customWidth="1"/>
    <col min="12573" max="12574" width="13.42578125" style="21" customWidth="1"/>
    <col min="12575" max="12575" width="14.85546875" style="21" customWidth="1"/>
    <col min="12576" max="12576" width="13.140625" style="21" customWidth="1"/>
    <col min="12577" max="12577" width="14.85546875" style="21" customWidth="1"/>
    <col min="12578" max="12578" width="13" style="21" customWidth="1"/>
    <col min="12579" max="12580" width="15.5703125" style="21" customWidth="1"/>
    <col min="12581" max="12581" width="25.140625" style="21" customWidth="1"/>
    <col min="12582" max="12582" width="40.42578125" style="21" customWidth="1"/>
    <col min="12583" max="12583" width="19.140625" style="21" customWidth="1"/>
    <col min="12584" max="12584" width="17.85546875" style="21" customWidth="1"/>
    <col min="12585" max="12585" width="13.140625" style="21" customWidth="1"/>
    <col min="12586" max="12586" width="12" style="21" customWidth="1"/>
    <col min="12587" max="12587" width="13.85546875" style="21" customWidth="1"/>
    <col min="12588" max="12588" width="13.42578125" style="21" customWidth="1"/>
    <col min="12589" max="12589" width="19.5703125" style="21" customWidth="1"/>
    <col min="12590" max="12590" width="14.28515625" style="21" customWidth="1"/>
    <col min="12591" max="12591" width="22.85546875" style="21" customWidth="1"/>
    <col min="12592" max="12592" width="16" style="21" customWidth="1"/>
    <col min="12593" max="12593" width="14.5703125" style="21" customWidth="1"/>
    <col min="12594" max="12594" width="17.85546875" style="21" customWidth="1"/>
    <col min="12595" max="12595" width="13.42578125" style="21" customWidth="1"/>
    <col min="12596" max="12596" width="21.7109375" style="21" customWidth="1"/>
    <col min="12597" max="12597" width="18" style="21" customWidth="1"/>
    <col min="12598" max="12598" width="13.5703125" style="21" customWidth="1"/>
    <col min="12599" max="12599" width="16.42578125" style="21" customWidth="1"/>
    <col min="12600" max="12604" width="13.42578125" style="21" customWidth="1"/>
    <col min="12605" max="12605" width="12.7109375" style="21" customWidth="1"/>
    <col min="12606" max="12608" width="13.42578125" style="21" customWidth="1"/>
    <col min="12609" max="12609" width="14.5703125" style="21" customWidth="1"/>
    <col min="12610" max="12610" width="12.140625" style="21" customWidth="1"/>
    <col min="12611" max="12624" width="13.42578125" style="21" customWidth="1"/>
    <col min="12625" max="12625" width="17.42578125" style="21" customWidth="1"/>
    <col min="12626" max="12626" width="14.5703125" style="21" customWidth="1"/>
    <col min="12627" max="12635" width="13.42578125" style="21" customWidth="1"/>
    <col min="12636" max="12636" width="10.28515625" style="21" customWidth="1"/>
    <col min="12637" max="12642" width="13.42578125" style="21" customWidth="1"/>
    <col min="12643" max="12643" width="13.140625" style="21" customWidth="1"/>
    <col min="12644" max="12644" width="15.42578125" style="21" customWidth="1"/>
    <col min="12645" max="12664" width="13.42578125" style="21" customWidth="1"/>
    <col min="12665" max="12665" width="20.85546875" style="21" customWidth="1"/>
    <col min="12666" max="12666" width="15.5703125" style="21" customWidth="1"/>
    <col min="12667" max="12670" width="13.42578125" style="21" customWidth="1"/>
    <col min="12671" max="12671" width="20.85546875" style="21" customWidth="1"/>
    <col min="12672" max="12800" width="9.140625" style="21"/>
    <col min="12801" max="12801" width="6.42578125" style="21" customWidth="1"/>
    <col min="12802" max="12802" width="19.5703125" style="21" customWidth="1"/>
    <col min="12803" max="12803" width="13.42578125" style="21" customWidth="1"/>
    <col min="12804" max="12804" width="13.5703125" style="21" customWidth="1"/>
    <col min="12805" max="12806" width="20.85546875" style="21" customWidth="1"/>
    <col min="12807" max="12807" width="16.5703125" style="21" customWidth="1"/>
    <col min="12808" max="12808" width="21" style="21" customWidth="1"/>
    <col min="12809" max="12809" width="18.85546875" style="21" customWidth="1"/>
    <col min="12810" max="12810" width="19.42578125" style="21" customWidth="1"/>
    <col min="12811" max="12811" width="18.85546875" style="21" customWidth="1"/>
    <col min="12812" max="12812" width="18.140625" style="21" customWidth="1"/>
    <col min="12813" max="12814" width="20.85546875" style="21" customWidth="1"/>
    <col min="12815" max="12815" width="133.7109375" style="21" customWidth="1"/>
    <col min="12816" max="12816" width="19.7109375" style="21" customWidth="1"/>
    <col min="12817" max="12817" width="13.28515625" style="21" customWidth="1"/>
    <col min="12818" max="12818" width="14.42578125" style="21" customWidth="1"/>
    <col min="12819" max="12819" width="11" style="21" customWidth="1"/>
    <col min="12820" max="12820" width="13.42578125" style="21" customWidth="1"/>
    <col min="12821" max="12821" width="13.5703125" style="21" customWidth="1"/>
    <col min="12822" max="12822" width="17.5703125" style="21" customWidth="1"/>
    <col min="12823" max="12825" width="13.42578125" style="21" customWidth="1"/>
    <col min="12826" max="12826" width="12.7109375" style="21" customWidth="1"/>
    <col min="12827" max="12827" width="13.28515625" style="21" customWidth="1"/>
    <col min="12828" max="12828" width="17.140625" style="21" customWidth="1"/>
    <col min="12829" max="12830" width="13.42578125" style="21" customWidth="1"/>
    <col min="12831" max="12831" width="14.85546875" style="21" customWidth="1"/>
    <col min="12832" max="12832" width="13.140625" style="21" customWidth="1"/>
    <col min="12833" max="12833" width="14.85546875" style="21" customWidth="1"/>
    <col min="12834" max="12834" width="13" style="21" customWidth="1"/>
    <col min="12835" max="12836" width="15.5703125" style="21" customWidth="1"/>
    <col min="12837" max="12837" width="25.140625" style="21" customWidth="1"/>
    <col min="12838" max="12838" width="40.42578125" style="21" customWidth="1"/>
    <col min="12839" max="12839" width="19.140625" style="21" customWidth="1"/>
    <col min="12840" max="12840" width="17.85546875" style="21" customWidth="1"/>
    <col min="12841" max="12841" width="13.140625" style="21" customWidth="1"/>
    <col min="12842" max="12842" width="12" style="21" customWidth="1"/>
    <col min="12843" max="12843" width="13.85546875" style="21" customWidth="1"/>
    <col min="12844" max="12844" width="13.42578125" style="21" customWidth="1"/>
    <col min="12845" max="12845" width="19.5703125" style="21" customWidth="1"/>
    <col min="12846" max="12846" width="14.28515625" style="21" customWidth="1"/>
    <col min="12847" max="12847" width="22.85546875" style="21" customWidth="1"/>
    <col min="12848" max="12848" width="16" style="21" customWidth="1"/>
    <col min="12849" max="12849" width="14.5703125" style="21" customWidth="1"/>
    <col min="12850" max="12850" width="17.85546875" style="21" customWidth="1"/>
    <col min="12851" max="12851" width="13.42578125" style="21" customWidth="1"/>
    <col min="12852" max="12852" width="21.7109375" style="21" customWidth="1"/>
    <col min="12853" max="12853" width="18" style="21" customWidth="1"/>
    <col min="12854" max="12854" width="13.5703125" style="21" customWidth="1"/>
    <col min="12855" max="12855" width="16.42578125" style="21" customWidth="1"/>
    <col min="12856" max="12860" width="13.42578125" style="21" customWidth="1"/>
    <col min="12861" max="12861" width="12.7109375" style="21" customWidth="1"/>
    <col min="12862" max="12864" width="13.42578125" style="21" customWidth="1"/>
    <col min="12865" max="12865" width="14.5703125" style="21" customWidth="1"/>
    <col min="12866" max="12866" width="12.140625" style="21" customWidth="1"/>
    <col min="12867" max="12880" width="13.42578125" style="21" customWidth="1"/>
    <col min="12881" max="12881" width="17.42578125" style="21" customWidth="1"/>
    <col min="12882" max="12882" width="14.5703125" style="21" customWidth="1"/>
    <col min="12883" max="12891" width="13.42578125" style="21" customWidth="1"/>
    <col min="12892" max="12892" width="10.28515625" style="21" customWidth="1"/>
    <col min="12893" max="12898" width="13.42578125" style="21" customWidth="1"/>
    <col min="12899" max="12899" width="13.140625" style="21" customWidth="1"/>
    <col min="12900" max="12900" width="15.42578125" style="21" customWidth="1"/>
    <col min="12901" max="12920" width="13.42578125" style="21" customWidth="1"/>
    <col min="12921" max="12921" width="20.85546875" style="21" customWidth="1"/>
    <col min="12922" max="12922" width="15.5703125" style="21" customWidth="1"/>
    <col min="12923" max="12926" width="13.42578125" style="21" customWidth="1"/>
    <col min="12927" max="12927" width="20.85546875" style="21" customWidth="1"/>
    <col min="12928" max="13056" width="9.140625" style="21"/>
    <col min="13057" max="13057" width="6.42578125" style="21" customWidth="1"/>
    <col min="13058" max="13058" width="19.5703125" style="21" customWidth="1"/>
    <col min="13059" max="13059" width="13.42578125" style="21" customWidth="1"/>
    <col min="13060" max="13060" width="13.5703125" style="21" customWidth="1"/>
    <col min="13061" max="13062" width="20.85546875" style="21" customWidth="1"/>
    <col min="13063" max="13063" width="16.5703125" style="21" customWidth="1"/>
    <col min="13064" max="13064" width="21" style="21" customWidth="1"/>
    <col min="13065" max="13065" width="18.85546875" style="21" customWidth="1"/>
    <col min="13066" max="13066" width="19.42578125" style="21" customWidth="1"/>
    <col min="13067" max="13067" width="18.85546875" style="21" customWidth="1"/>
    <col min="13068" max="13068" width="18.140625" style="21" customWidth="1"/>
    <col min="13069" max="13070" width="20.85546875" style="21" customWidth="1"/>
    <col min="13071" max="13071" width="133.7109375" style="21" customWidth="1"/>
    <col min="13072" max="13072" width="19.7109375" style="21" customWidth="1"/>
    <col min="13073" max="13073" width="13.28515625" style="21" customWidth="1"/>
    <col min="13074" max="13074" width="14.42578125" style="21" customWidth="1"/>
    <col min="13075" max="13075" width="11" style="21" customWidth="1"/>
    <col min="13076" max="13076" width="13.42578125" style="21" customWidth="1"/>
    <col min="13077" max="13077" width="13.5703125" style="21" customWidth="1"/>
    <col min="13078" max="13078" width="17.5703125" style="21" customWidth="1"/>
    <col min="13079" max="13081" width="13.42578125" style="21" customWidth="1"/>
    <col min="13082" max="13082" width="12.7109375" style="21" customWidth="1"/>
    <col min="13083" max="13083" width="13.28515625" style="21" customWidth="1"/>
    <col min="13084" max="13084" width="17.140625" style="21" customWidth="1"/>
    <col min="13085" max="13086" width="13.42578125" style="21" customWidth="1"/>
    <col min="13087" max="13087" width="14.85546875" style="21" customWidth="1"/>
    <col min="13088" max="13088" width="13.140625" style="21" customWidth="1"/>
    <col min="13089" max="13089" width="14.85546875" style="21" customWidth="1"/>
    <col min="13090" max="13090" width="13" style="21" customWidth="1"/>
    <col min="13091" max="13092" width="15.5703125" style="21" customWidth="1"/>
    <col min="13093" max="13093" width="25.140625" style="21" customWidth="1"/>
    <col min="13094" max="13094" width="40.42578125" style="21" customWidth="1"/>
    <col min="13095" max="13095" width="19.140625" style="21" customWidth="1"/>
    <col min="13096" max="13096" width="17.85546875" style="21" customWidth="1"/>
    <col min="13097" max="13097" width="13.140625" style="21" customWidth="1"/>
    <col min="13098" max="13098" width="12" style="21" customWidth="1"/>
    <col min="13099" max="13099" width="13.85546875" style="21" customWidth="1"/>
    <col min="13100" max="13100" width="13.42578125" style="21" customWidth="1"/>
    <col min="13101" max="13101" width="19.5703125" style="21" customWidth="1"/>
    <col min="13102" max="13102" width="14.28515625" style="21" customWidth="1"/>
    <col min="13103" max="13103" width="22.85546875" style="21" customWidth="1"/>
    <col min="13104" max="13104" width="16" style="21" customWidth="1"/>
    <col min="13105" max="13105" width="14.5703125" style="21" customWidth="1"/>
    <col min="13106" max="13106" width="17.85546875" style="21" customWidth="1"/>
    <col min="13107" max="13107" width="13.42578125" style="21" customWidth="1"/>
    <col min="13108" max="13108" width="21.7109375" style="21" customWidth="1"/>
    <col min="13109" max="13109" width="18" style="21" customWidth="1"/>
    <col min="13110" max="13110" width="13.5703125" style="21" customWidth="1"/>
    <col min="13111" max="13111" width="16.42578125" style="21" customWidth="1"/>
    <col min="13112" max="13116" width="13.42578125" style="21" customWidth="1"/>
    <col min="13117" max="13117" width="12.7109375" style="21" customWidth="1"/>
    <col min="13118" max="13120" width="13.42578125" style="21" customWidth="1"/>
    <col min="13121" max="13121" width="14.5703125" style="21" customWidth="1"/>
    <col min="13122" max="13122" width="12.140625" style="21" customWidth="1"/>
    <col min="13123" max="13136" width="13.42578125" style="21" customWidth="1"/>
    <col min="13137" max="13137" width="17.42578125" style="21" customWidth="1"/>
    <col min="13138" max="13138" width="14.5703125" style="21" customWidth="1"/>
    <col min="13139" max="13147" width="13.42578125" style="21" customWidth="1"/>
    <col min="13148" max="13148" width="10.28515625" style="21" customWidth="1"/>
    <col min="13149" max="13154" width="13.42578125" style="21" customWidth="1"/>
    <col min="13155" max="13155" width="13.140625" style="21" customWidth="1"/>
    <col min="13156" max="13156" width="15.42578125" style="21" customWidth="1"/>
    <col min="13157" max="13176" width="13.42578125" style="21" customWidth="1"/>
    <col min="13177" max="13177" width="20.85546875" style="21" customWidth="1"/>
    <col min="13178" max="13178" width="15.5703125" style="21" customWidth="1"/>
    <col min="13179" max="13182" width="13.42578125" style="21" customWidth="1"/>
    <col min="13183" max="13183" width="20.85546875" style="21" customWidth="1"/>
    <col min="13184" max="13312" width="9.140625" style="21"/>
    <col min="13313" max="13313" width="6.42578125" style="21" customWidth="1"/>
    <col min="13314" max="13314" width="19.5703125" style="21" customWidth="1"/>
    <col min="13315" max="13315" width="13.42578125" style="21" customWidth="1"/>
    <col min="13316" max="13316" width="13.5703125" style="21" customWidth="1"/>
    <col min="13317" max="13318" width="20.85546875" style="21" customWidth="1"/>
    <col min="13319" max="13319" width="16.5703125" style="21" customWidth="1"/>
    <col min="13320" max="13320" width="21" style="21" customWidth="1"/>
    <col min="13321" max="13321" width="18.85546875" style="21" customWidth="1"/>
    <col min="13322" max="13322" width="19.42578125" style="21" customWidth="1"/>
    <col min="13323" max="13323" width="18.85546875" style="21" customWidth="1"/>
    <col min="13324" max="13324" width="18.140625" style="21" customWidth="1"/>
    <col min="13325" max="13326" width="20.85546875" style="21" customWidth="1"/>
    <col min="13327" max="13327" width="133.7109375" style="21" customWidth="1"/>
    <col min="13328" max="13328" width="19.7109375" style="21" customWidth="1"/>
    <col min="13329" max="13329" width="13.28515625" style="21" customWidth="1"/>
    <col min="13330" max="13330" width="14.42578125" style="21" customWidth="1"/>
    <col min="13331" max="13331" width="11" style="21" customWidth="1"/>
    <col min="13332" max="13332" width="13.42578125" style="21" customWidth="1"/>
    <col min="13333" max="13333" width="13.5703125" style="21" customWidth="1"/>
    <col min="13334" max="13334" width="17.5703125" style="21" customWidth="1"/>
    <col min="13335" max="13337" width="13.42578125" style="21" customWidth="1"/>
    <col min="13338" max="13338" width="12.7109375" style="21" customWidth="1"/>
    <col min="13339" max="13339" width="13.28515625" style="21" customWidth="1"/>
    <col min="13340" max="13340" width="17.140625" style="21" customWidth="1"/>
    <col min="13341" max="13342" width="13.42578125" style="21" customWidth="1"/>
    <col min="13343" max="13343" width="14.85546875" style="21" customWidth="1"/>
    <col min="13344" max="13344" width="13.140625" style="21" customWidth="1"/>
    <col min="13345" max="13345" width="14.85546875" style="21" customWidth="1"/>
    <col min="13346" max="13346" width="13" style="21" customWidth="1"/>
    <col min="13347" max="13348" width="15.5703125" style="21" customWidth="1"/>
    <col min="13349" max="13349" width="25.140625" style="21" customWidth="1"/>
    <col min="13350" max="13350" width="40.42578125" style="21" customWidth="1"/>
    <col min="13351" max="13351" width="19.140625" style="21" customWidth="1"/>
    <col min="13352" max="13352" width="17.85546875" style="21" customWidth="1"/>
    <col min="13353" max="13353" width="13.140625" style="21" customWidth="1"/>
    <col min="13354" max="13354" width="12" style="21" customWidth="1"/>
    <col min="13355" max="13355" width="13.85546875" style="21" customWidth="1"/>
    <col min="13356" max="13356" width="13.42578125" style="21" customWidth="1"/>
    <col min="13357" max="13357" width="19.5703125" style="21" customWidth="1"/>
    <col min="13358" max="13358" width="14.28515625" style="21" customWidth="1"/>
    <col min="13359" max="13359" width="22.85546875" style="21" customWidth="1"/>
    <col min="13360" max="13360" width="16" style="21" customWidth="1"/>
    <col min="13361" max="13361" width="14.5703125" style="21" customWidth="1"/>
    <col min="13362" max="13362" width="17.85546875" style="21" customWidth="1"/>
    <col min="13363" max="13363" width="13.42578125" style="21" customWidth="1"/>
    <col min="13364" max="13364" width="21.7109375" style="21" customWidth="1"/>
    <col min="13365" max="13365" width="18" style="21" customWidth="1"/>
    <col min="13366" max="13366" width="13.5703125" style="21" customWidth="1"/>
    <col min="13367" max="13367" width="16.42578125" style="21" customWidth="1"/>
    <col min="13368" max="13372" width="13.42578125" style="21" customWidth="1"/>
    <col min="13373" max="13373" width="12.7109375" style="21" customWidth="1"/>
    <col min="13374" max="13376" width="13.42578125" style="21" customWidth="1"/>
    <col min="13377" max="13377" width="14.5703125" style="21" customWidth="1"/>
    <col min="13378" max="13378" width="12.140625" style="21" customWidth="1"/>
    <col min="13379" max="13392" width="13.42578125" style="21" customWidth="1"/>
    <col min="13393" max="13393" width="17.42578125" style="21" customWidth="1"/>
    <col min="13394" max="13394" width="14.5703125" style="21" customWidth="1"/>
    <col min="13395" max="13403" width="13.42578125" style="21" customWidth="1"/>
    <col min="13404" max="13404" width="10.28515625" style="21" customWidth="1"/>
    <col min="13405" max="13410" width="13.42578125" style="21" customWidth="1"/>
    <col min="13411" max="13411" width="13.140625" style="21" customWidth="1"/>
    <col min="13412" max="13412" width="15.42578125" style="21" customWidth="1"/>
    <col min="13413" max="13432" width="13.42578125" style="21" customWidth="1"/>
    <col min="13433" max="13433" width="20.85546875" style="21" customWidth="1"/>
    <col min="13434" max="13434" width="15.5703125" style="21" customWidth="1"/>
    <col min="13435" max="13438" width="13.42578125" style="21" customWidth="1"/>
    <col min="13439" max="13439" width="20.85546875" style="21" customWidth="1"/>
    <col min="13440" max="13568" width="9.140625" style="21"/>
    <col min="13569" max="13569" width="6.42578125" style="21" customWidth="1"/>
    <col min="13570" max="13570" width="19.5703125" style="21" customWidth="1"/>
    <col min="13571" max="13571" width="13.42578125" style="21" customWidth="1"/>
    <col min="13572" max="13572" width="13.5703125" style="21" customWidth="1"/>
    <col min="13573" max="13574" width="20.85546875" style="21" customWidth="1"/>
    <col min="13575" max="13575" width="16.5703125" style="21" customWidth="1"/>
    <col min="13576" max="13576" width="21" style="21" customWidth="1"/>
    <col min="13577" max="13577" width="18.85546875" style="21" customWidth="1"/>
    <col min="13578" max="13578" width="19.42578125" style="21" customWidth="1"/>
    <col min="13579" max="13579" width="18.85546875" style="21" customWidth="1"/>
    <col min="13580" max="13580" width="18.140625" style="21" customWidth="1"/>
    <col min="13581" max="13582" width="20.85546875" style="21" customWidth="1"/>
    <col min="13583" max="13583" width="133.7109375" style="21" customWidth="1"/>
    <col min="13584" max="13584" width="19.7109375" style="21" customWidth="1"/>
    <col min="13585" max="13585" width="13.28515625" style="21" customWidth="1"/>
    <col min="13586" max="13586" width="14.42578125" style="21" customWidth="1"/>
    <col min="13587" max="13587" width="11" style="21" customWidth="1"/>
    <col min="13588" max="13588" width="13.42578125" style="21" customWidth="1"/>
    <col min="13589" max="13589" width="13.5703125" style="21" customWidth="1"/>
    <col min="13590" max="13590" width="17.5703125" style="21" customWidth="1"/>
    <col min="13591" max="13593" width="13.42578125" style="21" customWidth="1"/>
    <col min="13594" max="13594" width="12.7109375" style="21" customWidth="1"/>
    <col min="13595" max="13595" width="13.28515625" style="21" customWidth="1"/>
    <col min="13596" max="13596" width="17.140625" style="21" customWidth="1"/>
    <col min="13597" max="13598" width="13.42578125" style="21" customWidth="1"/>
    <col min="13599" max="13599" width="14.85546875" style="21" customWidth="1"/>
    <col min="13600" max="13600" width="13.140625" style="21" customWidth="1"/>
    <col min="13601" max="13601" width="14.85546875" style="21" customWidth="1"/>
    <col min="13602" max="13602" width="13" style="21" customWidth="1"/>
    <col min="13603" max="13604" width="15.5703125" style="21" customWidth="1"/>
    <col min="13605" max="13605" width="25.140625" style="21" customWidth="1"/>
    <col min="13606" max="13606" width="40.42578125" style="21" customWidth="1"/>
    <col min="13607" max="13607" width="19.140625" style="21" customWidth="1"/>
    <col min="13608" max="13608" width="17.85546875" style="21" customWidth="1"/>
    <col min="13609" max="13609" width="13.140625" style="21" customWidth="1"/>
    <col min="13610" max="13610" width="12" style="21" customWidth="1"/>
    <col min="13611" max="13611" width="13.85546875" style="21" customWidth="1"/>
    <col min="13612" max="13612" width="13.42578125" style="21" customWidth="1"/>
    <col min="13613" max="13613" width="19.5703125" style="21" customWidth="1"/>
    <col min="13614" max="13614" width="14.28515625" style="21" customWidth="1"/>
    <col min="13615" max="13615" width="22.85546875" style="21" customWidth="1"/>
    <col min="13616" max="13616" width="16" style="21" customWidth="1"/>
    <col min="13617" max="13617" width="14.5703125" style="21" customWidth="1"/>
    <col min="13618" max="13618" width="17.85546875" style="21" customWidth="1"/>
    <col min="13619" max="13619" width="13.42578125" style="21" customWidth="1"/>
    <col min="13620" max="13620" width="21.7109375" style="21" customWidth="1"/>
    <col min="13621" max="13621" width="18" style="21" customWidth="1"/>
    <col min="13622" max="13622" width="13.5703125" style="21" customWidth="1"/>
    <col min="13623" max="13623" width="16.42578125" style="21" customWidth="1"/>
    <col min="13624" max="13628" width="13.42578125" style="21" customWidth="1"/>
    <col min="13629" max="13629" width="12.7109375" style="21" customWidth="1"/>
    <col min="13630" max="13632" width="13.42578125" style="21" customWidth="1"/>
    <col min="13633" max="13633" width="14.5703125" style="21" customWidth="1"/>
    <col min="13634" max="13634" width="12.140625" style="21" customWidth="1"/>
    <col min="13635" max="13648" width="13.42578125" style="21" customWidth="1"/>
    <col min="13649" max="13649" width="17.42578125" style="21" customWidth="1"/>
    <col min="13650" max="13650" width="14.5703125" style="21" customWidth="1"/>
    <col min="13651" max="13659" width="13.42578125" style="21" customWidth="1"/>
    <col min="13660" max="13660" width="10.28515625" style="21" customWidth="1"/>
    <col min="13661" max="13666" width="13.42578125" style="21" customWidth="1"/>
    <col min="13667" max="13667" width="13.140625" style="21" customWidth="1"/>
    <col min="13668" max="13668" width="15.42578125" style="21" customWidth="1"/>
    <col min="13669" max="13688" width="13.42578125" style="21" customWidth="1"/>
    <col min="13689" max="13689" width="20.85546875" style="21" customWidth="1"/>
    <col min="13690" max="13690" width="15.5703125" style="21" customWidth="1"/>
    <col min="13691" max="13694" width="13.42578125" style="21" customWidth="1"/>
    <col min="13695" max="13695" width="20.85546875" style="21" customWidth="1"/>
    <col min="13696" max="13824" width="9.140625" style="21"/>
    <col min="13825" max="13825" width="6.42578125" style="21" customWidth="1"/>
    <col min="13826" max="13826" width="19.5703125" style="21" customWidth="1"/>
    <col min="13827" max="13827" width="13.42578125" style="21" customWidth="1"/>
    <col min="13828" max="13828" width="13.5703125" style="21" customWidth="1"/>
    <col min="13829" max="13830" width="20.85546875" style="21" customWidth="1"/>
    <col min="13831" max="13831" width="16.5703125" style="21" customWidth="1"/>
    <col min="13832" max="13832" width="21" style="21" customWidth="1"/>
    <col min="13833" max="13833" width="18.85546875" style="21" customWidth="1"/>
    <col min="13834" max="13834" width="19.42578125" style="21" customWidth="1"/>
    <col min="13835" max="13835" width="18.85546875" style="21" customWidth="1"/>
    <col min="13836" max="13836" width="18.140625" style="21" customWidth="1"/>
    <col min="13837" max="13838" width="20.85546875" style="21" customWidth="1"/>
    <col min="13839" max="13839" width="133.7109375" style="21" customWidth="1"/>
    <col min="13840" max="13840" width="19.7109375" style="21" customWidth="1"/>
    <col min="13841" max="13841" width="13.28515625" style="21" customWidth="1"/>
    <col min="13842" max="13842" width="14.42578125" style="21" customWidth="1"/>
    <col min="13843" max="13843" width="11" style="21" customWidth="1"/>
    <col min="13844" max="13844" width="13.42578125" style="21" customWidth="1"/>
    <col min="13845" max="13845" width="13.5703125" style="21" customWidth="1"/>
    <col min="13846" max="13846" width="17.5703125" style="21" customWidth="1"/>
    <col min="13847" max="13849" width="13.42578125" style="21" customWidth="1"/>
    <col min="13850" max="13850" width="12.7109375" style="21" customWidth="1"/>
    <col min="13851" max="13851" width="13.28515625" style="21" customWidth="1"/>
    <col min="13852" max="13852" width="17.140625" style="21" customWidth="1"/>
    <col min="13853" max="13854" width="13.42578125" style="21" customWidth="1"/>
    <col min="13855" max="13855" width="14.85546875" style="21" customWidth="1"/>
    <col min="13856" max="13856" width="13.140625" style="21" customWidth="1"/>
    <col min="13857" max="13857" width="14.85546875" style="21" customWidth="1"/>
    <col min="13858" max="13858" width="13" style="21" customWidth="1"/>
    <col min="13859" max="13860" width="15.5703125" style="21" customWidth="1"/>
    <col min="13861" max="13861" width="25.140625" style="21" customWidth="1"/>
    <col min="13862" max="13862" width="40.42578125" style="21" customWidth="1"/>
    <col min="13863" max="13863" width="19.140625" style="21" customWidth="1"/>
    <col min="13864" max="13864" width="17.85546875" style="21" customWidth="1"/>
    <col min="13865" max="13865" width="13.140625" style="21" customWidth="1"/>
    <col min="13866" max="13866" width="12" style="21" customWidth="1"/>
    <col min="13867" max="13867" width="13.85546875" style="21" customWidth="1"/>
    <col min="13868" max="13868" width="13.42578125" style="21" customWidth="1"/>
    <col min="13869" max="13869" width="19.5703125" style="21" customWidth="1"/>
    <col min="13870" max="13870" width="14.28515625" style="21" customWidth="1"/>
    <col min="13871" max="13871" width="22.85546875" style="21" customWidth="1"/>
    <col min="13872" max="13872" width="16" style="21" customWidth="1"/>
    <col min="13873" max="13873" width="14.5703125" style="21" customWidth="1"/>
    <col min="13874" max="13874" width="17.85546875" style="21" customWidth="1"/>
    <col min="13875" max="13875" width="13.42578125" style="21" customWidth="1"/>
    <col min="13876" max="13876" width="21.7109375" style="21" customWidth="1"/>
    <col min="13877" max="13877" width="18" style="21" customWidth="1"/>
    <col min="13878" max="13878" width="13.5703125" style="21" customWidth="1"/>
    <col min="13879" max="13879" width="16.42578125" style="21" customWidth="1"/>
    <col min="13880" max="13884" width="13.42578125" style="21" customWidth="1"/>
    <col min="13885" max="13885" width="12.7109375" style="21" customWidth="1"/>
    <col min="13886" max="13888" width="13.42578125" style="21" customWidth="1"/>
    <col min="13889" max="13889" width="14.5703125" style="21" customWidth="1"/>
    <col min="13890" max="13890" width="12.140625" style="21" customWidth="1"/>
    <col min="13891" max="13904" width="13.42578125" style="21" customWidth="1"/>
    <col min="13905" max="13905" width="17.42578125" style="21" customWidth="1"/>
    <col min="13906" max="13906" width="14.5703125" style="21" customWidth="1"/>
    <col min="13907" max="13915" width="13.42578125" style="21" customWidth="1"/>
    <col min="13916" max="13916" width="10.28515625" style="21" customWidth="1"/>
    <col min="13917" max="13922" width="13.42578125" style="21" customWidth="1"/>
    <col min="13923" max="13923" width="13.140625" style="21" customWidth="1"/>
    <col min="13924" max="13924" width="15.42578125" style="21" customWidth="1"/>
    <col min="13925" max="13944" width="13.42578125" style="21" customWidth="1"/>
    <col min="13945" max="13945" width="20.85546875" style="21" customWidth="1"/>
    <col min="13946" max="13946" width="15.5703125" style="21" customWidth="1"/>
    <col min="13947" max="13950" width="13.42578125" style="21" customWidth="1"/>
    <col min="13951" max="13951" width="20.85546875" style="21" customWidth="1"/>
    <col min="13952" max="14080" width="9.140625" style="21"/>
    <col min="14081" max="14081" width="6.42578125" style="21" customWidth="1"/>
    <col min="14082" max="14082" width="19.5703125" style="21" customWidth="1"/>
    <col min="14083" max="14083" width="13.42578125" style="21" customWidth="1"/>
    <col min="14084" max="14084" width="13.5703125" style="21" customWidth="1"/>
    <col min="14085" max="14086" width="20.85546875" style="21" customWidth="1"/>
    <col min="14087" max="14087" width="16.5703125" style="21" customWidth="1"/>
    <col min="14088" max="14088" width="21" style="21" customWidth="1"/>
    <col min="14089" max="14089" width="18.85546875" style="21" customWidth="1"/>
    <col min="14090" max="14090" width="19.42578125" style="21" customWidth="1"/>
    <col min="14091" max="14091" width="18.85546875" style="21" customWidth="1"/>
    <col min="14092" max="14092" width="18.140625" style="21" customWidth="1"/>
    <col min="14093" max="14094" width="20.85546875" style="21" customWidth="1"/>
    <col min="14095" max="14095" width="133.7109375" style="21" customWidth="1"/>
    <col min="14096" max="14096" width="19.7109375" style="21" customWidth="1"/>
    <col min="14097" max="14097" width="13.28515625" style="21" customWidth="1"/>
    <col min="14098" max="14098" width="14.42578125" style="21" customWidth="1"/>
    <col min="14099" max="14099" width="11" style="21" customWidth="1"/>
    <col min="14100" max="14100" width="13.42578125" style="21" customWidth="1"/>
    <col min="14101" max="14101" width="13.5703125" style="21" customWidth="1"/>
    <col min="14102" max="14102" width="17.5703125" style="21" customWidth="1"/>
    <col min="14103" max="14105" width="13.42578125" style="21" customWidth="1"/>
    <col min="14106" max="14106" width="12.7109375" style="21" customWidth="1"/>
    <col min="14107" max="14107" width="13.28515625" style="21" customWidth="1"/>
    <col min="14108" max="14108" width="17.140625" style="21" customWidth="1"/>
    <col min="14109" max="14110" width="13.42578125" style="21" customWidth="1"/>
    <col min="14111" max="14111" width="14.85546875" style="21" customWidth="1"/>
    <col min="14112" max="14112" width="13.140625" style="21" customWidth="1"/>
    <col min="14113" max="14113" width="14.85546875" style="21" customWidth="1"/>
    <col min="14114" max="14114" width="13" style="21" customWidth="1"/>
    <col min="14115" max="14116" width="15.5703125" style="21" customWidth="1"/>
    <col min="14117" max="14117" width="25.140625" style="21" customWidth="1"/>
    <col min="14118" max="14118" width="40.42578125" style="21" customWidth="1"/>
    <col min="14119" max="14119" width="19.140625" style="21" customWidth="1"/>
    <col min="14120" max="14120" width="17.85546875" style="21" customWidth="1"/>
    <col min="14121" max="14121" width="13.140625" style="21" customWidth="1"/>
    <col min="14122" max="14122" width="12" style="21" customWidth="1"/>
    <col min="14123" max="14123" width="13.85546875" style="21" customWidth="1"/>
    <col min="14124" max="14124" width="13.42578125" style="21" customWidth="1"/>
    <col min="14125" max="14125" width="19.5703125" style="21" customWidth="1"/>
    <col min="14126" max="14126" width="14.28515625" style="21" customWidth="1"/>
    <col min="14127" max="14127" width="22.85546875" style="21" customWidth="1"/>
    <col min="14128" max="14128" width="16" style="21" customWidth="1"/>
    <col min="14129" max="14129" width="14.5703125" style="21" customWidth="1"/>
    <col min="14130" max="14130" width="17.85546875" style="21" customWidth="1"/>
    <col min="14131" max="14131" width="13.42578125" style="21" customWidth="1"/>
    <col min="14132" max="14132" width="21.7109375" style="21" customWidth="1"/>
    <col min="14133" max="14133" width="18" style="21" customWidth="1"/>
    <col min="14134" max="14134" width="13.5703125" style="21" customWidth="1"/>
    <col min="14135" max="14135" width="16.42578125" style="21" customWidth="1"/>
    <col min="14136" max="14140" width="13.42578125" style="21" customWidth="1"/>
    <col min="14141" max="14141" width="12.7109375" style="21" customWidth="1"/>
    <col min="14142" max="14144" width="13.42578125" style="21" customWidth="1"/>
    <col min="14145" max="14145" width="14.5703125" style="21" customWidth="1"/>
    <col min="14146" max="14146" width="12.140625" style="21" customWidth="1"/>
    <col min="14147" max="14160" width="13.42578125" style="21" customWidth="1"/>
    <col min="14161" max="14161" width="17.42578125" style="21" customWidth="1"/>
    <col min="14162" max="14162" width="14.5703125" style="21" customWidth="1"/>
    <col min="14163" max="14171" width="13.42578125" style="21" customWidth="1"/>
    <col min="14172" max="14172" width="10.28515625" style="21" customWidth="1"/>
    <col min="14173" max="14178" width="13.42578125" style="21" customWidth="1"/>
    <col min="14179" max="14179" width="13.140625" style="21" customWidth="1"/>
    <col min="14180" max="14180" width="15.42578125" style="21" customWidth="1"/>
    <col min="14181" max="14200" width="13.42578125" style="21" customWidth="1"/>
    <col min="14201" max="14201" width="20.85546875" style="21" customWidth="1"/>
    <col min="14202" max="14202" width="15.5703125" style="21" customWidth="1"/>
    <col min="14203" max="14206" width="13.42578125" style="21" customWidth="1"/>
    <col min="14207" max="14207" width="20.85546875" style="21" customWidth="1"/>
    <col min="14208" max="14336" width="9.140625" style="21"/>
    <col min="14337" max="14337" width="6.42578125" style="21" customWidth="1"/>
    <col min="14338" max="14338" width="19.5703125" style="21" customWidth="1"/>
    <col min="14339" max="14339" width="13.42578125" style="21" customWidth="1"/>
    <col min="14340" max="14340" width="13.5703125" style="21" customWidth="1"/>
    <col min="14341" max="14342" width="20.85546875" style="21" customWidth="1"/>
    <col min="14343" max="14343" width="16.5703125" style="21" customWidth="1"/>
    <col min="14344" max="14344" width="21" style="21" customWidth="1"/>
    <col min="14345" max="14345" width="18.85546875" style="21" customWidth="1"/>
    <col min="14346" max="14346" width="19.42578125" style="21" customWidth="1"/>
    <col min="14347" max="14347" width="18.85546875" style="21" customWidth="1"/>
    <col min="14348" max="14348" width="18.140625" style="21" customWidth="1"/>
    <col min="14349" max="14350" width="20.85546875" style="21" customWidth="1"/>
    <col min="14351" max="14351" width="133.7109375" style="21" customWidth="1"/>
    <col min="14352" max="14352" width="19.7109375" style="21" customWidth="1"/>
    <col min="14353" max="14353" width="13.28515625" style="21" customWidth="1"/>
    <col min="14354" max="14354" width="14.42578125" style="21" customWidth="1"/>
    <col min="14355" max="14355" width="11" style="21" customWidth="1"/>
    <col min="14356" max="14356" width="13.42578125" style="21" customWidth="1"/>
    <col min="14357" max="14357" width="13.5703125" style="21" customWidth="1"/>
    <col min="14358" max="14358" width="17.5703125" style="21" customWidth="1"/>
    <col min="14359" max="14361" width="13.42578125" style="21" customWidth="1"/>
    <col min="14362" max="14362" width="12.7109375" style="21" customWidth="1"/>
    <col min="14363" max="14363" width="13.28515625" style="21" customWidth="1"/>
    <col min="14364" max="14364" width="17.140625" style="21" customWidth="1"/>
    <col min="14365" max="14366" width="13.42578125" style="21" customWidth="1"/>
    <col min="14367" max="14367" width="14.85546875" style="21" customWidth="1"/>
    <col min="14368" max="14368" width="13.140625" style="21" customWidth="1"/>
    <col min="14369" max="14369" width="14.85546875" style="21" customWidth="1"/>
    <col min="14370" max="14370" width="13" style="21" customWidth="1"/>
    <col min="14371" max="14372" width="15.5703125" style="21" customWidth="1"/>
    <col min="14373" max="14373" width="25.140625" style="21" customWidth="1"/>
    <col min="14374" max="14374" width="40.42578125" style="21" customWidth="1"/>
    <col min="14375" max="14375" width="19.140625" style="21" customWidth="1"/>
    <col min="14376" max="14376" width="17.85546875" style="21" customWidth="1"/>
    <col min="14377" max="14377" width="13.140625" style="21" customWidth="1"/>
    <col min="14378" max="14378" width="12" style="21" customWidth="1"/>
    <col min="14379" max="14379" width="13.85546875" style="21" customWidth="1"/>
    <col min="14380" max="14380" width="13.42578125" style="21" customWidth="1"/>
    <col min="14381" max="14381" width="19.5703125" style="21" customWidth="1"/>
    <col min="14382" max="14382" width="14.28515625" style="21" customWidth="1"/>
    <col min="14383" max="14383" width="22.85546875" style="21" customWidth="1"/>
    <col min="14384" max="14384" width="16" style="21" customWidth="1"/>
    <col min="14385" max="14385" width="14.5703125" style="21" customWidth="1"/>
    <col min="14386" max="14386" width="17.85546875" style="21" customWidth="1"/>
    <col min="14387" max="14387" width="13.42578125" style="21" customWidth="1"/>
    <col min="14388" max="14388" width="21.7109375" style="21" customWidth="1"/>
    <col min="14389" max="14389" width="18" style="21" customWidth="1"/>
    <col min="14390" max="14390" width="13.5703125" style="21" customWidth="1"/>
    <col min="14391" max="14391" width="16.42578125" style="21" customWidth="1"/>
    <col min="14392" max="14396" width="13.42578125" style="21" customWidth="1"/>
    <col min="14397" max="14397" width="12.7109375" style="21" customWidth="1"/>
    <col min="14398" max="14400" width="13.42578125" style="21" customWidth="1"/>
    <col min="14401" max="14401" width="14.5703125" style="21" customWidth="1"/>
    <col min="14402" max="14402" width="12.140625" style="21" customWidth="1"/>
    <col min="14403" max="14416" width="13.42578125" style="21" customWidth="1"/>
    <col min="14417" max="14417" width="17.42578125" style="21" customWidth="1"/>
    <col min="14418" max="14418" width="14.5703125" style="21" customWidth="1"/>
    <col min="14419" max="14427" width="13.42578125" style="21" customWidth="1"/>
    <col min="14428" max="14428" width="10.28515625" style="21" customWidth="1"/>
    <col min="14429" max="14434" width="13.42578125" style="21" customWidth="1"/>
    <col min="14435" max="14435" width="13.140625" style="21" customWidth="1"/>
    <col min="14436" max="14436" width="15.42578125" style="21" customWidth="1"/>
    <col min="14437" max="14456" width="13.42578125" style="21" customWidth="1"/>
    <col min="14457" max="14457" width="20.85546875" style="21" customWidth="1"/>
    <col min="14458" max="14458" width="15.5703125" style="21" customWidth="1"/>
    <col min="14459" max="14462" width="13.42578125" style="21" customWidth="1"/>
    <col min="14463" max="14463" width="20.85546875" style="21" customWidth="1"/>
    <col min="14464" max="14592" width="9.140625" style="21"/>
    <col min="14593" max="14593" width="6.42578125" style="21" customWidth="1"/>
    <col min="14594" max="14594" width="19.5703125" style="21" customWidth="1"/>
    <col min="14595" max="14595" width="13.42578125" style="21" customWidth="1"/>
    <col min="14596" max="14596" width="13.5703125" style="21" customWidth="1"/>
    <col min="14597" max="14598" width="20.85546875" style="21" customWidth="1"/>
    <col min="14599" max="14599" width="16.5703125" style="21" customWidth="1"/>
    <col min="14600" max="14600" width="21" style="21" customWidth="1"/>
    <col min="14601" max="14601" width="18.85546875" style="21" customWidth="1"/>
    <col min="14602" max="14602" width="19.42578125" style="21" customWidth="1"/>
    <col min="14603" max="14603" width="18.85546875" style="21" customWidth="1"/>
    <col min="14604" max="14604" width="18.140625" style="21" customWidth="1"/>
    <col min="14605" max="14606" width="20.85546875" style="21" customWidth="1"/>
    <col min="14607" max="14607" width="133.7109375" style="21" customWidth="1"/>
    <col min="14608" max="14608" width="19.7109375" style="21" customWidth="1"/>
    <col min="14609" max="14609" width="13.28515625" style="21" customWidth="1"/>
    <col min="14610" max="14610" width="14.42578125" style="21" customWidth="1"/>
    <col min="14611" max="14611" width="11" style="21" customWidth="1"/>
    <col min="14612" max="14612" width="13.42578125" style="21" customWidth="1"/>
    <col min="14613" max="14613" width="13.5703125" style="21" customWidth="1"/>
    <col min="14614" max="14614" width="17.5703125" style="21" customWidth="1"/>
    <col min="14615" max="14617" width="13.42578125" style="21" customWidth="1"/>
    <col min="14618" max="14618" width="12.7109375" style="21" customWidth="1"/>
    <col min="14619" max="14619" width="13.28515625" style="21" customWidth="1"/>
    <col min="14620" max="14620" width="17.140625" style="21" customWidth="1"/>
    <col min="14621" max="14622" width="13.42578125" style="21" customWidth="1"/>
    <col min="14623" max="14623" width="14.85546875" style="21" customWidth="1"/>
    <col min="14624" max="14624" width="13.140625" style="21" customWidth="1"/>
    <col min="14625" max="14625" width="14.85546875" style="21" customWidth="1"/>
    <col min="14626" max="14626" width="13" style="21" customWidth="1"/>
    <col min="14627" max="14628" width="15.5703125" style="21" customWidth="1"/>
    <col min="14629" max="14629" width="25.140625" style="21" customWidth="1"/>
    <col min="14630" max="14630" width="40.42578125" style="21" customWidth="1"/>
    <col min="14631" max="14631" width="19.140625" style="21" customWidth="1"/>
    <col min="14632" max="14632" width="17.85546875" style="21" customWidth="1"/>
    <col min="14633" max="14633" width="13.140625" style="21" customWidth="1"/>
    <col min="14634" max="14634" width="12" style="21" customWidth="1"/>
    <col min="14635" max="14635" width="13.85546875" style="21" customWidth="1"/>
    <col min="14636" max="14636" width="13.42578125" style="21" customWidth="1"/>
    <col min="14637" max="14637" width="19.5703125" style="21" customWidth="1"/>
    <col min="14638" max="14638" width="14.28515625" style="21" customWidth="1"/>
    <col min="14639" max="14639" width="22.85546875" style="21" customWidth="1"/>
    <col min="14640" max="14640" width="16" style="21" customWidth="1"/>
    <col min="14641" max="14641" width="14.5703125" style="21" customWidth="1"/>
    <col min="14642" max="14642" width="17.85546875" style="21" customWidth="1"/>
    <col min="14643" max="14643" width="13.42578125" style="21" customWidth="1"/>
    <col min="14644" max="14644" width="21.7109375" style="21" customWidth="1"/>
    <col min="14645" max="14645" width="18" style="21" customWidth="1"/>
    <col min="14646" max="14646" width="13.5703125" style="21" customWidth="1"/>
    <col min="14647" max="14647" width="16.42578125" style="21" customWidth="1"/>
    <col min="14648" max="14652" width="13.42578125" style="21" customWidth="1"/>
    <col min="14653" max="14653" width="12.7109375" style="21" customWidth="1"/>
    <col min="14654" max="14656" width="13.42578125" style="21" customWidth="1"/>
    <col min="14657" max="14657" width="14.5703125" style="21" customWidth="1"/>
    <col min="14658" max="14658" width="12.140625" style="21" customWidth="1"/>
    <col min="14659" max="14672" width="13.42578125" style="21" customWidth="1"/>
    <col min="14673" max="14673" width="17.42578125" style="21" customWidth="1"/>
    <col min="14674" max="14674" width="14.5703125" style="21" customWidth="1"/>
    <col min="14675" max="14683" width="13.42578125" style="21" customWidth="1"/>
    <col min="14684" max="14684" width="10.28515625" style="21" customWidth="1"/>
    <col min="14685" max="14690" width="13.42578125" style="21" customWidth="1"/>
    <col min="14691" max="14691" width="13.140625" style="21" customWidth="1"/>
    <col min="14692" max="14692" width="15.42578125" style="21" customWidth="1"/>
    <col min="14693" max="14712" width="13.42578125" style="21" customWidth="1"/>
    <col min="14713" max="14713" width="20.85546875" style="21" customWidth="1"/>
    <col min="14714" max="14714" width="15.5703125" style="21" customWidth="1"/>
    <col min="14715" max="14718" width="13.42578125" style="21" customWidth="1"/>
    <col min="14719" max="14719" width="20.85546875" style="21" customWidth="1"/>
    <col min="14720" max="14848" width="9.140625" style="21"/>
    <col min="14849" max="14849" width="6.42578125" style="21" customWidth="1"/>
    <col min="14850" max="14850" width="19.5703125" style="21" customWidth="1"/>
    <col min="14851" max="14851" width="13.42578125" style="21" customWidth="1"/>
    <col min="14852" max="14852" width="13.5703125" style="21" customWidth="1"/>
    <col min="14853" max="14854" width="20.85546875" style="21" customWidth="1"/>
    <col min="14855" max="14855" width="16.5703125" style="21" customWidth="1"/>
    <col min="14856" max="14856" width="21" style="21" customWidth="1"/>
    <col min="14857" max="14857" width="18.85546875" style="21" customWidth="1"/>
    <col min="14858" max="14858" width="19.42578125" style="21" customWidth="1"/>
    <col min="14859" max="14859" width="18.85546875" style="21" customWidth="1"/>
    <col min="14860" max="14860" width="18.140625" style="21" customWidth="1"/>
    <col min="14861" max="14862" width="20.85546875" style="21" customWidth="1"/>
    <col min="14863" max="14863" width="133.7109375" style="21" customWidth="1"/>
    <col min="14864" max="14864" width="19.7109375" style="21" customWidth="1"/>
    <col min="14865" max="14865" width="13.28515625" style="21" customWidth="1"/>
    <col min="14866" max="14866" width="14.42578125" style="21" customWidth="1"/>
    <col min="14867" max="14867" width="11" style="21" customWidth="1"/>
    <col min="14868" max="14868" width="13.42578125" style="21" customWidth="1"/>
    <col min="14869" max="14869" width="13.5703125" style="21" customWidth="1"/>
    <col min="14870" max="14870" width="17.5703125" style="21" customWidth="1"/>
    <col min="14871" max="14873" width="13.42578125" style="21" customWidth="1"/>
    <col min="14874" max="14874" width="12.7109375" style="21" customWidth="1"/>
    <col min="14875" max="14875" width="13.28515625" style="21" customWidth="1"/>
    <col min="14876" max="14876" width="17.140625" style="21" customWidth="1"/>
    <col min="14877" max="14878" width="13.42578125" style="21" customWidth="1"/>
    <col min="14879" max="14879" width="14.85546875" style="21" customWidth="1"/>
    <col min="14880" max="14880" width="13.140625" style="21" customWidth="1"/>
    <col min="14881" max="14881" width="14.85546875" style="21" customWidth="1"/>
    <col min="14882" max="14882" width="13" style="21" customWidth="1"/>
    <col min="14883" max="14884" width="15.5703125" style="21" customWidth="1"/>
    <col min="14885" max="14885" width="25.140625" style="21" customWidth="1"/>
    <col min="14886" max="14886" width="40.42578125" style="21" customWidth="1"/>
    <col min="14887" max="14887" width="19.140625" style="21" customWidth="1"/>
    <col min="14888" max="14888" width="17.85546875" style="21" customWidth="1"/>
    <col min="14889" max="14889" width="13.140625" style="21" customWidth="1"/>
    <col min="14890" max="14890" width="12" style="21" customWidth="1"/>
    <col min="14891" max="14891" width="13.85546875" style="21" customWidth="1"/>
    <col min="14892" max="14892" width="13.42578125" style="21" customWidth="1"/>
    <col min="14893" max="14893" width="19.5703125" style="21" customWidth="1"/>
    <col min="14894" max="14894" width="14.28515625" style="21" customWidth="1"/>
    <col min="14895" max="14895" width="22.85546875" style="21" customWidth="1"/>
    <col min="14896" max="14896" width="16" style="21" customWidth="1"/>
    <col min="14897" max="14897" width="14.5703125" style="21" customWidth="1"/>
    <col min="14898" max="14898" width="17.85546875" style="21" customWidth="1"/>
    <col min="14899" max="14899" width="13.42578125" style="21" customWidth="1"/>
    <col min="14900" max="14900" width="21.7109375" style="21" customWidth="1"/>
    <col min="14901" max="14901" width="18" style="21" customWidth="1"/>
    <col min="14902" max="14902" width="13.5703125" style="21" customWidth="1"/>
    <col min="14903" max="14903" width="16.42578125" style="21" customWidth="1"/>
    <col min="14904" max="14908" width="13.42578125" style="21" customWidth="1"/>
    <col min="14909" max="14909" width="12.7109375" style="21" customWidth="1"/>
    <col min="14910" max="14912" width="13.42578125" style="21" customWidth="1"/>
    <col min="14913" max="14913" width="14.5703125" style="21" customWidth="1"/>
    <col min="14914" max="14914" width="12.140625" style="21" customWidth="1"/>
    <col min="14915" max="14928" width="13.42578125" style="21" customWidth="1"/>
    <col min="14929" max="14929" width="17.42578125" style="21" customWidth="1"/>
    <col min="14930" max="14930" width="14.5703125" style="21" customWidth="1"/>
    <col min="14931" max="14939" width="13.42578125" style="21" customWidth="1"/>
    <col min="14940" max="14940" width="10.28515625" style="21" customWidth="1"/>
    <col min="14941" max="14946" width="13.42578125" style="21" customWidth="1"/>
    <col min="14947" max="14947" width="13.140625" style="21" customWidth="1"/>
    <col min="14948" max="14948" width="15.42578125" style="21" customWidth="1"/>
    <col min="14949" max="14968" width="13.42578125" style="21" customWidth="1"/>
    <col min="14969" max="14969" width="20.85546875" style="21" customWidth="1"/>
    <col min="14970" max="14970" width="15.5703125" style="21" customWidth="1"/>
    <col min="14971" max="14974" width="13.42578125" style="21" customWidth="1"/>
    <col min="14975" max="14975" width="20.85546875" style="21" customWidth="1"/>
    <col min="14976" max="15104" width="9.140625" style="21"/>
    <col min="15105" max="15105" width="6.42578125" style="21" customWidth="1"/>
    <col min="15106" max="15106" width="19.5703125" style="21" customWidth="1"/>
    <col min="15107" max="15107" width="13.42578125" style="21" customWidth="1"/>
    <col min="15108" max="15108" width="13.5703125" style="21" customWidth="1"/>
    <col min="15109" max="15110" width="20.85546875" style="21" customWidth="1"/>
    <col min="15111" max="15111" width="16.5703125" style="21" customWidth="1"/>
    <col min="15112" max="15112" width="21" style="21" customWidth="1"/>
    <col min="15113" max="15113" width="18.85546875" style="21" customWidth="1"/>
    <col min="15114" max="15114" width="19.42578125" style="21" customWidth="1"/>
    <col min="15115" max="15115" width="18.85546875" style="21" customWidth="1"/>
    <col min="15116" max="15116" width="18.140625" style="21" customWidth="1"/>
    <col min="15117" max="15118" width="20.85546875" style="21" customWidth="1"/>
    <col min="15119" max="15119" width="133.7109375" style="21" customWidth="1"/>
    <col min="15120" max="15120" width="19.7109375" style="21" customWidth="1"/>
    <col min="15121" max="15121" width="13.28515625" style="21" customWidth="1"/>
    <col min="15122" max="15122" width="14.42578125" style="21" customWidth="1"/>
    <col min="15123" max="15123" width="11" style="21" customWidth="1"/>
    <col min="15124" max="15124" width="13.42578125" style="21" customWidth="1"/>
    <col min="15125" max="15125" width="13.5703125" style="21" customWidth="1"/>
    <col min="15126" max="15126" width="17.5703125" style="21" customWidth="1"/>
    <col min="15127" max="15129" width="13.42578125" style="21" customWidth="1"/>
    <col min="15130" max="15130" width="12.7109375" style="21" customWidth="1"/>
    <col min="15131" max="15131" width="13.28515625" style="21" customWidth="1"/>
    <col min="15132" max="15132" width="17.140625" style="21" customWidth="1"/>
    <col min="15133" max="15134" width="13.42578125" style="21" customWidth="1"/>
    <col min="15135" max="15135" width="14.85546875" style="21" customWidth="1"/>
    <col min="15136" max="15136" width="13.140625" style="21" customWidth="1"/>
    <col min="15137" max="15137" width="14.85546875" style="21" customWidth="1"/>
    <col min="15138" max="15138" width="13" style="21" customWidth="1"/>
    <col min="15139" max="15140" width="15.5703125" style="21" customWidth="1"/>
    <col min="15141" max="15141" width="25.140625" style="21" customWidth="1"/>
    <col min="15142" max="15142" width="40.42578125" style="21" customWidth="1"/>
    <col min="15143" max="15143" width="19.140625" style="21" customWidth="1"/>
    <col min="15144" max="15144" width="17.85546875" style="21" customWidth="1"/>
    <col min="15145" max="15145" width="13.140625" style="21" customWidth="1"/>
    <col min="15146" max="15146" width="12" style="21" customWidth="1"/>
    <col min="15147" max="15147" width="13.85546875" style="21" customWidth="1"/>
    <col min="15148" max="15148" width="13.42578125" style="21" customWidth="1"/>
    <col min="15149" max="15149" width="19.5703125" style="21" customWidth="1"/>
    <col min="15150" max="15150" width="14.28515625" style="21" customWidth="1"/>
    <col min="15151" max="15151" width="22.85546875" style="21" customWidth="1"/>
    <col min="15152" max="15152" width="16" style="21" customWidth="1"/>
    <col min="15153" max="15153" width="14.5703125" style="21" customWidth="1"/>
    <col min="15154" max="15154" width="17.85546875" style="21" customWidth="1"/>
    <col min="15155" max="15155" width="13.42578125" style="21" customWidth="1"/>
    <col min="15156" max="15156" width="21.7109375" style="21" customWidth="1"/>
    <col min="15157" max="15157" width="18" style="21" customWidth="1"/>
    <col min="15158" max="15158" width="13.5703125" style="21" customWidth="1"/>
    <col min="15159" max="15159" width="16.42578125" style="21" customWidth="1"/>
    <col min="15160" max="15164" width="13.42578125" style="21" customWidth="1"/>
    <col min="15165" max="15165" width="12.7109375" style="21" customWidth="1"/>
    <col min="15166" max="15168" width="13.42578125" style="21" customWidth="1"/>
    <col min="15169" max="15169" width="14.5703125" style="21" customWidth="1"/>
    <col min="15170" max="15170" width="12.140625" style="21" customWidth="1"/>
    <col min="15171" max="15184" width="13.42578125" style="21" customWidth="1"/>
    <col min="15185" max="15185" width="17.42578125" style="21" customWidth="1"/>
    <col min="15186" max="15186" width="14.5703125" style="21" customWidth="1"/>
    <col min="15187" max="15195" width="13.42578125" style="21" customWidth="1"/>
    <col min="15196" max="15196" width="10.28515625" style="21" customWidth="1"/>
    <col min="15197" max="15202" width="13.42578125" style="21" customWidth="1"/>
    <col min="15203" max="15203" width="13.140625" style="21" customWidth="1"/>
    <col min="15204" max="15204" width="15.42578125" style="21" customWidth="1"/>
    <col min="15205" max="15224" width="13.42578125" style="21" customWidth="1"/>
    <col min="15225" max="15225" width="20.85546875" style="21" customWidth="1"/>
    <col min="15226" max="15226" width="15.5703125" style="21" customWidth="1"/>
    <col min="15227" max="15230" width="13.42578125" style="21" customWidth="1"/>
    <col min="15231" max="15231" width="20.85546875" style="21" customWidth="1"/>
    <col min="15232" max="15360" width="9.140625" style="21"/>
    <col min="15361" max="15361" width="6.42578125" style="21" customWidth="1"/>
    <col min="15362" max="15362" width="19.5703125" style="21" customWidth="1"/>
    <col min="15363" max="15363" width="13.42578125" style="21" customWidth="1"/>
    <col min="15364" max="15364" width="13.5703125" style="21" customWidth="1"/>
    <col min="15365" max="15366" width="20.85546875" style="21" customWidth="1"/>
    <col min="15367" max="15367" width="16.5703125" style="21" customWidth="1"/>
    <col min="15368" max="15368" width="21" style="21" customWidth="1"/>
    <col min="15369" max="15369" width="18.85546875" style="21" customWidth="1"/>
    <col min="15370" max="15370" width="19.42578125" style="21" customWidth="1"/>
    <col min="15371" max="15371" width="18.85546875" style="21" customWidth="1"/>
    <col min="15372" max="15372" width="18.140625" style="21" customWidth="1"/>
    <col min="15373" max="15374" width="20.85546875" style="21" customWidth="1"/>
    <col min="15375" max="15375" width="133.7109375" style="21" customWidth="1"/>
    <col min="15376" max="15376" width="19.7109375" style="21" customWidth="1"/>
    <col min="15377" max="15377" width="13.28515625" style="21" customWidth="1"/>
    <col min="15378" max="15378" width="14.42578125" style="21" customWidth="1"/>
    <col min="15379" max="15379" width="11" style="21" customWidth="1"/>
    <col min="15380" max="15380" width="13.42578125" style="21" customWidth="1"/>
    <col min="15381" max="15381" width="13.5703125" style="21" customWidth="1"/>
    <col min="15382" max="15382" width="17.5703125" style="21" customWidth="1"/>
    <col min="15383" max="15385" width="13.42578125" style="21" customWidth="1"/>
    <col min="15386" max="15386" width="12.7109375" style="21" customWidth="1"/>
    <col min="15387" max="15387" width="13.28515625" style="21" customWidth="1"/>
    <col min="15388" max="15388" width="17.140625" style="21" customWidth="1"/>
    <col min="15389" max="15390" width="13.42578125" style="21" customWidth="1"/>
    <col min="15391" max="15391" width="14.85546875" style="21" customWidth="1"/>
    <col min="15392" max="15392" width="13.140625" style="21" customWidth="1"/>
    <col min="15393" max="15393" width="14.85546875" style="21" customWidth="1"/>
    <col min="15394" max="15394" width="13" style="21" customWidth="1"/>
    <col min="15395" max="15396" width="15.5703125" style="21" customWidth="1"/>
    <col min="15397" max="15397" width="25.140625" style="21" customWidth="1"/>
    <col min="15398" max="15398" width="40.42578125" style="21" customWidth="1"/>
    <col min="15399" max="15399" width="19.140625" style="21" customWidth="1"/>
    <col min="15400" max="15400" width="17.85546875" style="21" customWidth="1"/>
    <col min="15401" max="15401" width="13.140625" style="21" customWidth="1"/>
    <col min="15402" max="15402" width="12" style="21" customWidth="1"/>
    <col min="15403" max="15403" width="13.85546875" style="21" customWidth="1"/>
    <col min="15404" max="15404" width="13.42578125" style="21" customWidth="1"/>
    <col min="15405" max="15405" width="19.5703125" style="21" customWidth="1"/>
    <col min="15406" max="15406" width="14.28515625" style="21" customWidth="1"/>
    <col min="15407" max="15407" width="22.85546875" style="21" customWidth="1"/>
    <col min="15408" max="15408" width="16" style="21" customWidth="1"/>
    <col min="15409" max="15409" width="14.5703125" style="21" customWidth="1"/>
    <col min="15410" max="15410" width="17.85546875" style="21" customWidth="1"/>
    <col min="15411" max="15411" width="13.42578125" style="21" customWidth="1"/>
    <col min="15412" max="15412" width="21.7109375" style="21" customWidth="1"/>
    <col min="15413" max="15413" width="18" style="21" customWidth="1"/>
    <col min="15414" max="15414" width="13.5703125" style="21" customWidth="1"/>
    <col min="15415" max="15415" width="16.42578125" style="21" customWidth="1"/>
    <col min="15416" max="15420" width="13.42578125" style="21" customWidth="1"/>
    <col min="15421" max="15421" width="12.7109375" style="21" customWidth="1"/>
    <col min="15422" max="15424" width="13.42578125" style="21" customWidth="1"/>
    <col min="15425" max="15425" width="14.5703125" style="21" customWidth="1"/>
    <col min="15426" max="15426" width="12.140625" style="21" customWidth="1"/>
    <col min="15427" max="15440" width="13.42578125" style="21" customWidth="1"/>
    <col min="15441" max="15441" width="17.42578125" style="21" customWidth="1"/>
    <col min="15442" max="15442" width="14.5703125" style="21" customWidth="1"/>
    <col min="15443" max="15451" width="13.42578125" style="21" customWidth="1"/>
    <col min="15452" max="15452" width="10.28515625" style="21" customWidth="1"/>
    <col min="15453" max="15458" width="13.42578125" style="21" customWidth="1"/>
    <col min="15459" max="15459" width="13.140625" style="21" customWidth="1"/>
    <col min="15460" max="15460" width="15.42578125" style="21" customWidth="1"/>
    <col min="15461" max="15480" width="13.42578125" style="21" customWidth="1"/>
    <col min="15481" max="15481" width="20.85546875" style="21" customWidth="1"/>
    <col min="15482" max="15482" width="15.5703125" style="21" customWidth="1"/>
    <col min="15483" max="15486" width="13.42578125" style="21" customWidth="1"/>
    <col min="15487" max="15487" width="20.85546875" style="21" customWidth="1"/>
    <col min="15488" max="15616" width="9.140625" style="21"/>
    <col min="15617" max="15617" width="6.42578125" style="21" customWidth="1"/>
    <col min="15618" max="15618" width="19.5703125" style="21" customWidth="1"/>
    <col min="15619" max="15619" width="13.42578125" style="21" customWidth="1"/>
    <col min="15620" max="15620" width="13.5703125" style="21" customWidth="1"/>
    <col min="15621" max="15622" width="20.85546875" style="21" customWidth="1"/>
    <col min="15623" max="15623" width="16.5703125" style="21" customWidth="1"/>
    <col min="15624" max="15624" width="21" style="21" customWidth="1"/>
    <col min="15625" max="15625" width="18.85546875" style="21" customWidth="1"/>
    <col min="15626" max="15626" width="19.42578125" style="21" customWidth="1"/>
    <col min="15627" max="15627" width="18.85546875" style="21" customWidth="1"/>
    <col min="15628" max="15628" width="18.140625" style="21" customWidth="1"/>
    <col min="15629" max="15630" width="20.85546875" style="21" customWidth="1"/>
    <col min="15631" max="15631" width="133.7109375" style="21" customWidth="1"/>
    <col min="15632" max="15632" width="19.7109375" style="21" customWidth="1"/>
    <col min="15633" max="15633" width="13.28515625" style="21" customWidth="1"/>
    <col min="15634" max="15634" width="14.42578125" style="21" customWidth="1"/>
    <col min="15635" max="15635" width="11" style="21" customWidth="1"/>
    <col min="15636" max="15636" width="13.42578125" style="21" customWidth="1"/>
    <col min="15637" max="15637" width="13.5703125" style="21" customWidth="1"/>
    <col min="15638" max="15638" width="17.5703125" style="21" customWidth="1"/>
    <col min="15639" max="15641" width="13.42578125" style="21" customWidth="1"/>
    <col min="15642" max="15642" width="12.7109375" style="21" customWidth="1"/>
    <col min="15643" max="15643" width="13.28515625" style="21" customWidth="1"/>
    <col min="15644" max="15644" width="17.140625" style="21" customWidth="1"/>
    <col min="15645" max="15646" width="13.42578125" style="21" customWidth="1"/>
    <col min="15647" max="15647" width="14.85546875" style="21" customWidth="1"/>
    <col min="15648" max="15648" width="13.140625" style="21" customWidth="1"/>
    <col min="15649" max="15649" width="14.85546875" style="21" customWidth="1"/>
    <col min="15650" max="15650" width="13" style="21" customWidth="1"/>
    <col min="15651" max="15652" width="15.5703125" style="21" customWidth="1"/>
    <col min="15653" max="15653" width="25.140625" style="21" customWidth="1"/>
    <col min="15654" max="15654" width="40.42578125" style="21" customWidth="1"/>
    <col min="15655" max="15655" width="19.140625" style="21" customWidth="1"/>
    <col min="15656" max="15656" width="17.85546875" style="21" customWidth="1"/>
    <col min="15657" max="15657" width="13.140625" style="21" customWidth="1"/>
    <col min="15658" max="15658" width="12" style="21" customWidth="1"/>
    <col min="15659" max="15659" width="13.85546875" style="21" customWidth="1"/>
    <col min="15660" max="15660" width="13.42578125" style="21" customWidth="1"/>
    <col min="15661" max="15661" width="19.5703125" style="21" customWidth="1"/>
    <col min="15662" max="15662" width="14.28515625" style="21" customWidth="1"/>
    <col min="15663" max="15663" width="22.85546875" style="21" customWidth="1"/>
    <col min="15664" max="15664" width="16" style="21" customWidth="1"/>
    <col min="15665" max="15665" width="14.5703125" style="21" customWidth="1"/>
    <col min="15666" max="15666" width="17.85546875" style="21" customWidth="1"/>
    <col min="15667" max="15667" width="13.42578125" style="21" customWidth="1"/>
    <col min="15668" max="15668" width="21.7109375" style="21" customWidth="1"/>
    <col min="15669" max="15669" width="18" style="21" customWidth="1"/>
    <col min="15670" max="15670" width="13.5703125" style="21" customWidth="1"/>
    <col min="15671" max="15671" width="16.42578125" style="21" customWidth="1"/>
    <col min="15672" max="15676" width="13.42578125" style="21" customWidth="1"/>
    <col min="15677" max="15677" width="12.7109375" style="21" customWidth="1"/>
    <col min="15678" max="15680" width="13.42578125" style="21" customWidth="1"/>
    <col min="15681" max="15681" width="14.5703125" style="21" customWidth="1"/>
    <col min="15682" max="15682" width="12.140625" style="21" customWidth="1"/>
    <col min="15683" max="15696" width="13.42578125" style="21" customWidth="1"/>
    <col min="15697" max="15697" width="17.42578125" style="21" customWidth="1"/>
    <col min="15698" max="15698" width="14.5703125" style="21" customWidth="1"/>
    <col min="15699" max="15707" width="13.42578125" style="21" customWidth="1"/>
    <col min="15708" max="15708" width="10.28515625" style="21" customWidth="1"/>
    <col min="15709" max="15714" width="13.42578125" style="21" customWidth="1"/>
    <col min="15715" max="15715" width="13.140625" style="21" customWidth="1"/>
    <col min="15716" max="15716" width="15.42578125" style="21" customWidth="1"/>
    <col min="15717" max="15736" width="13.42578125" style="21" customWidth="1"/>
    <col min="15737" max="15737" width="20.85546875" style="21" customWidth="1"/>
    <col min="15738" max="15738" width="15.5703125" style="21" customWidth="1"/>
    <col min="15739" max="15742" width="13.42578125" style="21" customWidth="1"/>
    <col min="15743" max="15743" width="20.85546875" style="21" customWidth="1"/>
    <col min="15744" max="15872" width="9.140625" style="21"/>
    <col min="15873" max="15873" width="6.42578125" style="21" customWidth="1"/>
    <col min="15874" max="15874" width="19.5703125" style="21" customWidth="1"/>
    <col min="15875" max="15875" width="13.42578125" style="21" customWidth="1"/>
    <col min="15876" max="15876" width="13.5703125" style="21" customWidth="1"/>
    <col min="15877" max="15878" width="20.85546875" style="21" customWidth="1"/>
    <col min="15879" max="15879" width="16.5703125" style="21" customWidth="1"/>
    <col min="15880" max="15880" width="21" style="21" customWidth="1"/>
    <col min="15881" max="15881" width="18.85546875" style="21" customWidth="1"/>
    <col min="15882" max="15882" width="19.42578125" style="21" customWidth="1"/>
    <col min="15883" max="15883" width="18.85546875" style="21" customWidth="1"/>
    <col min="15884" max="15884" width="18.140625" style="21" customWidth="1"/>
    <col min="15885" max="15886" width="20.85546875" style="21" customWidth="1"/>
    <col min="15887" max="15887" width="133.7109375" style="21" customWidth="1"/>
    <col min="15888" max="15888" width="19.7109375" style="21" customWidth="1"/>
    <col min="15889" max="15889" width="13.28515625" style="21" customWidth="1"/>
    <col min="15890" max="15890" width="14.42578125" style="21" customWidth="1"/>
    <col min="15891" max="15891" width="11" style="21" customWidth="1"/>
    <col min="15892" max="15892" width="13.42578125" style="21" customWidth="1"/>
    <col min="15893" max="15893" width="13.5703125" style="21" customWidth="1"/>
    <col min="15894" max="15894" width="17.5703125" style="21" customWidth="1"/>
    <col min="15895" max="15897" width="13.42578125" style="21" customWidth="1"/>
    <col min="15898" max="15898" width="12.7109375" style="21" customWidth="1"/>
    <col min="15899" max="15899" width="13.28515625" style="21" customWidth="1"/>
    <col min="15900" max="15900" width="17.140625" style="21" customWidth="1"/>
    <col min="15901" max="15902" width="13.42578125" style="21" customWidth="1"/>
    <col min="15903" max="15903" width="14.85546875" style="21" customWidth="1"/>
    <col min="15904" max="15904" width="13.140625" style="21" customWidth="1"/>
    <col min="15905" max="15905" width="14.85546875" style="21" customWidth="1"/>
    <col min="15906" max="15906" width="13" style="21" customWidth="1"/>
    <col min="15907" max="15908" width="15.5703125" style="21" customWidth="1"/>
    <col min="15909" max="15909" width="25.140625" style="21" customWidth="1"/>
    <col min="15910" max="15910" width="40.42578125" style="21" customWidth="1"/>
    <col min="15911" max="15911" width="19.140625" style="21" customWidth="1"/>
    <col min="15912" max="15912" width="17.85546875" style="21" customWidth="1"/>
    <col min="15913" max="15913" width="13.140625" style="21" customWidth="1"/>
    <col min="15914" max="15914" width="12" style="21" customWidth="1"/>
    <col min="15915" max="15915" width="13.85546875" style="21" customWidth="1"/>
    <col min="15916" max="15916" width="13.42578125" style="21" customWidth="1"/>
    <col min="15917" max="15917" width="19.5703125" style="21" customWidth="1"/>
    <col min="15918" max="15918" width="14.28515625" style="21" customWidth="1"/>
    <col min="15919" max="15919" width="22.85546875" style="21" customWidth="1"/>
    <col min="15920" max="15920" width="16" style="21" customWidth="1"/>
    <col min="15921" max="15921" width="14.5703125" style="21" customWidth="1"/>
    <col min="15922" max="15922" width="17.85546875" style="21" customWidth="1"/>
    <col min="15923" max="15923" width="13.42578125" style="21" customWidth="1"/>
    <col min="15924" max="15924" width="21.7109375" style="21" customWidth="1"/>
    <col min="15925" max="15925" width="18" style="21" customWidth="1"/>
    <col min="15926" max="15926" width="13.5703125" style="21" customWidth="1"/>
    <col min="15927" max="15927" width="16.42578125" style="21" customWidth="1"/>
    <col min="15928" max="15932" width="13.42578125" style="21" customWidth="1"/>
    <col min="15933" max="15933" width="12.7109375" style="21" customWidth="1"/>
    <col min="15934" max="15936" width="13.42578125" style="21" customWidth="1"/>
    <col min="15937" max="15937" width="14.5703125" style="21" customWidth="1"/>
    <col min="15938" max="15938" width="12.140625" style="21" customWidth="1"/>
    <col min="15939" max="15952" width="13.42578125" style="21" customWidth="1"/>
    <col min="15953" max="15953" width="17.42578125" style="21" customWidth="1"/>
    <col min="15954" max="15954" width="14.5703125" style="21" customWidth="1"/>
    <col min="15955" max="15963" width="13.42578125" style="21" customWidth="1"/>
    <col min="15964" max="15964" width="10.28515625" style="21" customWidth="1"/>
    <col min="15965" max="15970" width="13.42578125" style="21" customWidth="1"/>
    <col min="15971" max="15971" width="13.140625" style="21" customWidth="1"/>
    <col min="15972" max="15972" width="15.42578125" style="21" customWidth="1"/>
    <col min="15973" max="15992" width="13.42578125" style="21" customWidth="1"/>
    <col min="15993" max="15993" width="20.85546875" style="21" customWidth="1"/>
    <col min="15994" max="15994" width="15.5703125" style="21" customWidth="1"/>
    <col min="15995" max="15998" width="13.42578125" style="21" customWidth="1"/>
    <col min="15999" max="15999" width="20.85546875" style="21" customWidth="1"/>
    <col min="16000" max="16128" width="9.140625" style="21"/>
    <col min="16129" max="16129" width="6.42578125" style="21" customWidth="1"/>
    <col min="16130" max="16130" width="19.5703125" style="21" customWidth="1"/>
    <col min="16131" max="16131" width="13.42578125" style="21" customWidth="1"/>
    <col min="16132" max="16132" width="13.5703125" style="21" customWidth="1"/>
    <col min="16133" max="16134" width="20.85546875" style="21" customWidth="1"/>
    <col min="16135" max="16135" width="16.5703125" style="21" customWidth="1"/>
    <col min="16136" max="16136" width="21" style="21" customWidth="1"/>
    <col min="16137" max="16137" width="18.85546875" style="21" customWidth="1"/>
    <col min="16138" max="16138" width="19.42578125" style="21" customWidth="1"/>
    <col min="16139" max="16139" width="18.85546875" style="21" customWidth="1"/>
    <col min="16140" max="16140" width="18.140625" style="21" customWidth="1"/>
    <col min="16141" max="16142" width="20.85546875" style="21" customWidth="1"/>
    <col min="16143" max="16143" width="133.7109375" style="21" customWidth="1"/>
    <col min="16144" max="16144" width="19.7109375" style="21" customWidth="1"/>
    <col min="16145" max="16145" width="13.28515625" style="21" customWidth="1"/>
    <col min="16146" max="16146" width="14.42578125" style="21" customWidth="1"/>
    <col min="16147" max="16147" width="11" style="21" customWidth="1"/>
    <col min="16148" max="16148" width="13.42578125" style="21" customWidth="1"/>
    <col min="16149" max="16149" width="13.5703125" style="21" customWidth="1"/>
    <col min="16150" max="16150" width="17.5703125" style="21" customWidth="1"/>
    <col min="16151" max="16153" width="13.42578125" style="21" customWidth="1"/>
    <col min="16154" max="16154" width="12.7109375" style="21" customWidth="1"/>
    <col min="16155" max="16155" width="13.28515625" style="21" customWidth="1"/>
    <col min="16156" max="16156" width="17.140625" style="21" customWidth="1"/>
    <col min="16157" max="16158" width="13.42578125" style="21" customWidth="1"/>
    <col min="16159" max="16159" width="14.85546875" style="21" customWidth="1"/>
    <col min="16160" max="16160" width="13.140625" style="21" customWidth="1"/>
    <col min="16161" max="16161" width="14.85546875" style="21" customWidth="1"/>
    <col min="16162" max="16162" width="13" style="21" customWidth="1"/>
    <col min="16163" max="16164" width="15.5703125" style="21" customWidth="1"/>
    <col min="16165" max="16165" width="25.140625" style="21" customWidth="1"/>
    <col min="16166" max="16166" width="40.42578125" style="21" customWidth="1"/>
    <col min="16167" max="16167" width="19.140625" style="21" customWidth="1"/>
    <col min="16168" max="16168" width="17.85546875" style="21" customWidth="1"/>
    <col min="16169" max="16169" width="13.140625" style="21" customWidth="1"/>
    <col min="16170" max="16170" width="12" style="21" customWidth="1"/>
    <col min="16171" max="16171" width="13.85546875" style="21" customWidth="1"/>
    <col min="16172" max="16172" width="13.42578125" style="21" customWidth="1"/>
    <col min="16173" max="16173" width="19.5703125" style="21" customWidth="1"/>
    <col min="16174" max="16174" width="14.28515625" style="21" customWidth="1"/>
    <col min="16175" max="16175" width="22.85546875" style="21" customWidth="1"/>
    <col min="16176" max="16176" width="16" style="21" customWidth="1"/>
    <col min="16177" max="16177" width="14.5703125" style="21" customWidth="1"/>
    <col min="16178" max="16178" width="17.85546875" style="21" customWidth="1"/>
    <col min="16179" max="16179" width="13.42578125" style="21" customWidth="1"/>
    <col min="16180" max="16180" width="21.7109375" style="21" customWidth="1"/>
    <col min="16181" max="16181" width="18" style="21" customWidth="1"/>
    <col min="16182" max="16182" width="13.5703125" style="21" customWidth="1"/>
    <col min="16183" max="16183" width="16.42578125" style="21" customWidth="1"/>
    <col min="16184" max="16188" width="13.42578125" style="21" customWidth="1"/>
    <col min="16189" max="16189" width="12.7109375" style="21" customWidth="1"/>
    <col min="16190" max="16192" width="13.42578125" style="21" customWidth="1"/>
    <col min="16193" max="16193" width="14.5703125" style="21" customWidth="1"/>
    <col min="16194" max="16194" width="12.140625" style="21" customWidth="1"/>
    <col min="16195" max="16208" width="13.42578125" style="21" customWidth="1"/>
    <col min="16209" max="16209" width="17.42578125" style="21" customWidth="1"/>
    <col min="16210" max="16210" width="14.5703125" style="21" customWidth="1"/>
    <col min="16211" max="16219" width="13.42578125" style="21" customWidth="1"/>
    <col min="16220" max="16220" width="10.28515625" style="21" customWidth="1"/>
    <col min="16221" max="16226" width="13.42578125" style="21" customWidth="1"/>
    <col min="16227" max="16227" width="13.140625" style="21" customWidth="1"/>
    <col min="16228" max="16228" width="15.42578125" style="21" customWidth="1"/>
    <col min="16229" max="16248" width="13.42578125" style="21" customWidth="1"/>
    <col min="16249" max="16249" width="20.85546875" style="21" customWidth="1"/>
    <col min="16250" max="16250" width="15.5703125" style="21" customWidth="1"/>
    <col min="16251" max="16254" width="13.42578125" style="21" customWidth="1"/>
    <col min="16255" max="16255" width="20.85546875" style="21" customWidth="1"/>
    <col min="16256" max="16384" width="9.140625" style="21"/>
  </cols>
  <sheetData>
    <row r="1" spans="1:126" ht="21.95" customHeight="1">
      <c r="A1" s="2518" t="s">
        <v>4503</v>
      </c>
      <c r="B1" s="1846"/>
      <c r="C1" s="1846"/>
      <c r="D1" s="1846"/>
      <c r="E1" s="1846"/>
      <c r="F1" s="1846"/>
      <c r="G1" s="1846"/>
      <c r="H1" s="1846"/>
      <c r="I1" s="1846"/>
      <c r="J1" s="1846"/>
      <c r="K1" s="1846"/>
      <c r="L1" s="1846"/>
      <c r="M1" s="1846"/>
    </row>
    <row r="2" spans="1:126" ht="0.95" customHeight="1"/>
    <row r="3" spans="1:126" ht="18.2" customHeight="1">
      <c r="A3" s="2519" t="s">
        <v>1968</v>
      </c>
      <c r="B3" s="1846"/>
      <c r="C3" s="1846"/>
      <c r="D3" s="1846"/>
      <c r="E3" s="1846"/>
      <c r="F3" s="1846"/>
      <c r="G3" s="1846"/>
      <c r="H3" s="1846"/>
      <c r="I3" s="1846"/>
      <c r="J3" s="1846"/>
      <c r="K3" s="1846"/>
      <c r="L3" s="1846"/>
      <c r="M3" s="1846"/>
    </row>
    <row r="4" spans="1:126" ht="0.95" customHeight="1"/>
    <row r="5" spans="1:126" ht="14.45" customHeight="1">
      <c r="A5" s="2520"/>
      <c r="B5" s="1846"/>
      <c r="C5" s="1846"/>
      <c r="D5" s="1846"/>
      <c r="E5" s="1846"/>
      <c r="F5" s="2284"/>
      <c r="G5" s="1846"/>
      <c r="H5" s="1846"/>
      <c r="I5" s="1846"/>
      <c r="J5" s="1846"/>
      <c r="K5" s="1846"/>
      <c r="L5" s="1846"/>
      <c r="M5" s="1846"/>
    </row>
    <row r="6" spans="1:126" ht="15.4" customHeight="1">
      <c r="A6" s="2520" t="s">
        <v>1969</v>
      </c>
      <c r="B6" s="1846"/>
      <c r="C6" s="1846"/>
      <c r="D6" s="1846"/>
      <c r="E6" s="1846"/>
      <c r="F6" s="2521" t="s">
        <v>2512</v>
      </c>
      <c r="G6" s="1846"/>
      <c r="H6" s="1846"/>
      <c r="I6" s="1846"/>
      <c r="J6" s="1846"/>
      <c r="K6" s="1846"/>
      <c r="L6" s="1846"/>
      <c r="M6" s="1846"/>
    </row>
    <row r="7" spans="1:126" ht="7.7" customHeight="1">
      <c r="A7" s="2520"/>
      <c r="B7" s="1846"/>
      <c r="C7" s="1846"/>
      <c r="D7" s="1846"/>
      <c r="E7" s="1846"/>
      <c r="F7" s="2284"/>
      <c r="G7" s="1846"/>
      <c r="H7" s="1846"/>
      <c r="I7" s="1846"/>
      <c r="J7" s="1846"/>
      <c r="K7" s="1846"/>
      <c r="L7" s="1846"/>
      <c r="M7" s="1846"/>
    </row>
    <row r="8" spans="1:126" ht="2.65" customHeight="1"/>
    <row r="9" spans="1:126">
      <c r="A9" s="2517"/>
      <c r="B9" s="2517"/>
      <c r="C9" s="2517"/>
      <c r="D9" s="2517"/>
      <c r="E9" s="2517"/>
      <c r="F9" s="2517"/>
      <c r="G9" s="2517"/>
      <c r="H9" s="2517"/>
      <c r="I9" s="2517"/>
      <c r="J9" s="2526"/>
      <c r="K9" s="2553"/>
      <c r="L9" s="2526"/>
      <c r="M9" s="2517"/>
      <c r="N9" s="2517"/>
      <c r="O9" s="2517"/>
      <c r="P9" s="2517"/>
      <c r="Q9" s="2517"/>
      <c r="R9" s="2526"/>
      <c r="S9" s="2552"/>
      <c r="T9" s="2552"/>
      <c r="U9" s="2552"/>
      <c r="V9" s="2553"/>
      <c r="W9" s="2526"/>
      <c r="X9" s="2526"/>
      <c r="Y9" s="2526"/>
      <c r="Z9" s="2546" t="s">
        <v>2588</v>
      </c>
      <c r="AA9" s="2179"/>
      <c r="AB9" s="2546"/>
      <c r="AC9" s="2546"/>
      <c r="AD9" s="2546"/>
      <c r="AE9" s="2546"/>
      <c r="AF9" s="2546"/>
      <c r="AG9" s="2546"/>
      <c r="AH9" s="2546"/>
      <c r="AI9" s="2511" t="s">
        <v>2589</v>
      </c>
      <c r="AJ9" s="2179"/>
      <c r="AK9" s="2546"/>
      <c r="AL9" s="2546"/>
      <c r="AM9" s="2511" t="s">
        <v>2590</v>
      </c>
      <c r="AN9" s="2189"/>
      <c r="AO9" s="2189"/>
      <c r="AP9" s="2189"/>
      <c r="AQ9" s="2189"/>
      <c r="AR9" s="2189"/>
      <c r="AS9" s="2179"/>
      <c r="AT9" s="2546"/>
      <c r="AU9" s="2546"/>
      <c r="AV9" s="2546"/>
      <c r="AW9" s="2546"/>
      <c r="AX9" s="2546"/>
      <c r="AY9" s="2546"/>
      <c r="AZ9" s="2546"/>
      <c r="BA9" s="2546"/>
      <c r="BB9" s="2546"/>
      <c r="BC9" s="2546"/>
      <c r="BD9" s="2546"/>
      <c r="BE9" s="2511" t="s">
        <v>2591</v>
      </c>
      <c r="BF9" s="2189"/>
      <c r="BG9" s="2179"/>
      <c r="BH9" s="2546"/>
      <c r="BI9" s="2546"/>
      <c r="BJ9" s="2546"/>
      <c r="BK9" s="2546"/>
      <c r="BL9" s="2546"/>
      <c r="BM9" s="2546"/>
      <c r="BN9" s="2546"/>
      <c r="BO9" s="2546"/>
      <c r="BP9" s="2546"/>
      <c r="BQ9" s="2546"/>
      <c r="BR9" s="2546"/>
      <c r="BS9" s="2546"/>
      <c r="BT9" s="2546"/>
      <c r="BU9" s="2546"/>
      <c r="BV9" s="2546"/>
      <c r="BW9" s="2546"/>
      <c r="BX9" s="2546"/>
      <c r="BY9" s="2546"/>
      <c r="BZ9" s="2546"/>
      <c r="CA9" s="2546"/>
      <c r="CB9" s="2546"/>
      <c r="CC9" s="2546"/>
      <c r="CD9" s="2550" t="s">
        <v>2592</v>
      </c>
      <c r="CE9" s="2171"/>
      <c r="CF9" s="2171"/>
      <c r="CG9" s="2171"/>
      <c r="CH9" s="2171"/>
      <c r="CI9" s="2171"/>
      <c r="CJ9" s="2171"/>
      <c r="CK9" s="2171"/>
      <c r="CL9" s="2171"/>
      <c r="CM9" s="2171"/>
      <c r="CN9" s="2171"/>
      <c r="CO9" s="2171"/>
      <c r="CP9" s="2171"/>
      <c r="CQ9" s="2171"/>
      <c r="CR9" s="2171"/>
      <c r="CS9" s="2171"/>
      <c r="CT9" s="2171"/>
      <c r="CU9" s="2162"/>
      <c r="CV9" s="2546"/>
      <c r="CW9" s="2546" t="s">
        <v>2593</v>
      </c>
      <c r="CX9" s="2189"/>
      <c r="CY9" s="2189"/>
      <c r="CZ9" s="2189"/>
      <c r="DA9" s="2189"/>
      <c r="DB9" s="2189"/>
      <c r="DC9" s="2179"/>
      <c r="DD9" s="2546"/>
      <c r="DE9" s="2546" t="s">
        <v>2594</v>
      </c>
      <c r="DF9" s="2189"/>
      <c r="DG9" s="2189"/>
      <c r="DH9" s="2189"/>
      <c r="DI9" s="2189"/>
      <c r="DJ9" s="2189"/>
      <c r="DK9" s="2189"/>
      <c r="DL9" s="2189"/>
      <c r="DM9" s="2189"/>
      <c r="DN9" s="2189"/>
      <c r="DO9" s="2189"/>
      <c r="DP9" s="2179"/>
      <c r="DQ9" s="2546"/>
      <c r="DR9" s="2546"/>
      <c r="DS9" s="2546" t="s">
        <v>2595</v>
      </c>
      <c r="DT9" s="2179"/>
      <c r="DU9" s="2546" t="s">
        <v>2596</v>
      </c>
      <c r="DV9" s="2179"/>
    </row>
    <row r="10" spans="1:126">
      <c r="A10" s="2180"/>
      <c r="B10" s="2180"/>
      <c r="C10" s="2180"/>
      <c r="D10" s="2180"/>
      <c r="E10" s="2180"/>
      <c r="F10" s="2180"/>
      <c r="G10" s="2180"/>
      <c r="H10" s="2180"/>
      <c r="I10" s="2180"/>
      <c r="J10" s="2177"/>
      <c r="K10" s="2542"/>
      <c r="L10" s="2177"/>
      <c r="M10" s="2180"/>
      <c r="N10" s="2180"/>
      <c r="O10" s="2180"/>
      <c r="P10" s="2180"/>
      <c r="Q10" s="2180"/>
      <c r="R10" s="2177"/>
      <c r="S10" s="2181"/>
      <c r="T10" s="2181"/>
      <c r="U10" s="2181"/>
      <c r="V10" s="2542"/>
      <c r="W10" s="2177"/>
      <c r="X10" s="2177"/>
      <c r="Y10" s="2177"/>
      <c r="Z10" s="2180"/>
      <c r="AA10" s="2181"/>
      <c r="AB10" s="2177"/>
      <c r="AC10" s="2177"/>
      <c r="AD10" s="2177"/>
      <c r="AE10" s="2177"/>
      <c r="AF10" s="2177"/>
      <c r="AG10" s="2177"/>
      <c r="AH10" s="2177"/>
      <c r="AI10" s="2180"/>
      <c r="AJ10" s="2181"/>
      <c r="AK10" s="2177"/>
      <c r="AL10" s="2177"/>
      <c r="AM10" s="2180"/>
      <c r="AN10" s="1846"/>
      <c r="AO10" s="1846"/>
      <c r="AP10" s="1846"/>
      <c r="AQ10" s="1846"/>
      <c r="AR10" s="1846"/>
      <c r="AS10" s="2181"/>
      <c r="AT10" s="2177"/>
      <c r="AU10" s="2177"/>
      <c r="AV10" s="2177"/>
      <c r="AW10" s="2177"/>
      <c r="AX10" s="2177"/>
      <c r="AY10" s="2177"/>
      <c r="AZ10" s="2177"/>
      <c r="BA10" s="2177"/>
      <c r="BB10" s="2177"/>
      <c r="BC10" s="2177"/>
      <c r="BD10" s="2177"/>
      <c r="BE10" s="2180"/>
      <c r="BF10" s="1846"/>
      <c r="BG10" s="2181"/>
      <c r="BH10" s="2177"/>
      <c r="BI10" s="2177"/>
      <c r="BJ10" s="2177"/>
      <c r="BK10" s="2177"/>
      <c r="BL10" s="2177"/>
      <c r="BM10" s="2177"/>
      <c r="BN10" s="2177"/>
      <c r="BO10" s="2177"/>
      <c r="BP10" s="2177"/>
      <c r="BQ10" s="2177"/>
      <c r="BR10" s="2177"/>
      <c r="BS10" s="2177"/>
      <c r="BT10" s="2177"/>
      <c r="BU10" s="2177"/>
      <c r="BV10" s="2177"/>
      <c r="BW10" s="2177"/>
      <c r="BX10" s="2177"/>
      <c r="BY10" s="2177"/>
      <c r="BZ10" s="2177"/>
      <c r="CA10" s="2177"/>
      <c r="CB10" s="2177"/>
      <c r="CC10" s="2177"/>
      <c r="CD10" s="2532" t="s">
        <v>2597</v>
      </c>
      <c r="CE10" s="2171"/>
      <c r="CF10" s="2171"/>
      <c r="CG10" s="2171"/>
      <c r="CH10" s="2171"/>
      <c r="CI10" s="2171"/>
      <c r="CJ10" s="2171"/>
      <c r="CK10" s="2171"/>
      <c r="CL10" s="2171"/>
      <c r="CM10" s="2162"/>
      <c r="CN10" s="2551" t="s">
        <v>2598</v>
      </c>
      <c r="CO10" s="2171"/>
      <c r="CP10" s="2162"/>
      <c r="CQ10" s="2514" t="s">
        <v>2599</v>
      </c>
      <c r="CR10" s="2189"/>
      <c r="CS10" s="2189"/>
      <c r="CT10" s="2189"/>
      <c r="CU10" s="2179"/>
      <c r="CV10" s="2177"/>
      <c r="CW10" s="2180"/>
      <c r="CX10" s="1846"/>
      <c r="CY10" s="1846"/>
      <c r="CZ10" s="1846"/>
      <c r="DA10" s="1846"/>
      <c r="DB10" s="1846"/>
      <c r="DC10" s="2181"/>
      <c r="DD10" s="2177"/>
      <c r="DE10" s="2180"/>
      <c r="DF10" s="1846"/>
      <c r="DG10" s="1846"/>
      <c r="DH10" s="1846"/>
      <c r="DI10" s="1846"/>
      <c r="DJ10" s="1846"/>
      <c r="DK10" s="1846"/>
      <c r="DL10" s="1846"/>
      <c r="DM10" s="1846"/>
      <c r="DN10" s="1846"/>
      <c r="DO10" s="1846"/>
      <c r="DP10" s="2181"/>
      <c r="DQ10" s="2177"/>
      <c r="DR10" s="2177"/>
      <c r="DS10" s="2180"/>
      <c r="DT10" s="2181"/>
      <c r="DU10" s="2180"/>
      <c r="DV10" s="2181"/>
    </row>
    <row r="11" spans="1:126">
      <c r="A11" s="2180"/>
      <c r="B11" s="2180"/>
      <c r="C11" s="2180"/>
      <c r="D11" s="2180"/>
      <c r="E11" s="2180"/>
      <c r="F11" s="2180"/>
      <c r="G11" s="2180"/>
      <c r="H11" s="2180"/>
      <c r="I11" s="2180"/>
      <c r="J11" s="2177"/>
      <c r="K11" s="2542"/>
      <c r="L11" s="2177"/>
      <c r="M11" s="2180"/>
      <c r="N11" s="2180"/>
      <c r="O11" s="2180"/>
      <c r="P11" s="2180"/>
      <c r="Q11" s="2180"/>
      <c r="R11" s="2177"/>
      <c r="S11" s="2181"/>
      <c r="T11" s="2181"/>
      <c r="U11" s="2181"/>
      <c r="V11" s="2542"/>
      <c r="W11" s="2177"/>
      <c r="X11" s="2177"/>
      <c r="Y11" s="2177"/>
      <c r="Z11" s="2180"/>
      <c r="AA11" s="2181"/>
      <c r="AB11" s="2177"/>
      <c r="AC11" s="2177"/>
      <c r="AD11" s="2177"/>
      <c r="AE11" s="2177"/>
      <c r="AF11" s="2177"/>
      <c r="AG11" s="2177"/>
      <c r="AH11" s="2177"/>
      <c r="AI11" s="2182"/>
      <c r="AJ11" s="2183"/>
      <c r="AK11" s="2177"/>
      <c r="AL11" s="2177"/>
      <c r="AM11" s="2182"/>
      <c r="AN11" s="2190"/>
      <c r="AO11" s="2190"/>
      <c r="AP11" s="2190"/>
      <c r="AQ11" s="2190"/>
      <c r="AR11" s="2190"/>
      <c r="AS11" s="2183"/>
      <c r="AT11" s="2177"/>
      <c r="AU11" s="2177"/>
      <c r="AV11" s="2177"/>
      <c r="AW11" s="2177"/>
      <c r="AX11" s="2177"/>
      <c r="AY11" s="2177"/>
      <c r="AZ11" s="2177"/>
      <c r="BA11" s="2177"/>
      <c r="BB11" s="2177"/>
      <c r="BC11" s="2177"/>
      <c r="BD11" s="2177"/>
      <c r="BE11" s="2182"/>
      <c r="BF11" s="2190"/>
      <c r="BG11" s="2183"/>
      <c r="BH11" s="2177"/>
      <c r="BI11" s="2177"/>
      <c r="BJ11" s="2177"/>
      <c r="BK11" s="2177"/>
      <c r="BL11" s="2177"/>
      <c r="BM11" s="2177"/>
      <c r="BN11" s="2177"/>
      <c r="BO11" s="2177"/>
      <c r="BP11" s="2177"/>
      <c r="BQ11" s="2177"/>
      <c r="BR11" s="2177"/>
      <c r="BS11" s="2177"/>
      <c r="BT11" s="2177"/>
      <c r="BU11" s="2177"/>
      <c r="BV11" s="2177"/>
      <c r="BW11" s="2177"/>
      <c r="BX11" s="2177"/>
      <c r="BY11" s="2177"/>
      <c r="BZ11" s="2177"/>
      <c r="CA11" s="2177"/>
      <c r="CB11" s="2177"/>
      <c r="CC11" s="2177"/>
      <c r="CD11" s="2532" t="s">
        <v>2600</v>
      </c>
      <c r="CE11" s="2189"/>
      <c r="CF11" s="2189"/>
      <c r="CG11" s="2189"/>
      <c r="CH11" s="2189"/>
      <c r="CI11" s="2189"/>
      <c r="CJ11" s="2189"/>
      <c r="CK11" s="2179"/>
      <c r="CL11" s="2544"/>
      <c r="CM11" s="2544"/>
      <c r="CN11" s="2544"/>
      <c r="CO11" s="2544"/>
      <c r="CP11" s="2544"/>
      <c r="CQ11" s="2532" t="s">
        <v>2601</v>
      </c>
      <c r="CR11" s="2189"/>
      <c r="CS11" s="2179"/>
      <c r="CT11" s="2544"/>
      <c r="CU11" s="2549"/>
      <c r="CV11" s="2177"/>
      <c r="CW11" s="2180"/>
      <c r="CX11" s="1846"/>
      <c r="CY11" s="1846"/>
      <c r="CZ11" s="1846"/>
      <c r="DA11" s="1846"/>
      <c r="DB11" s="1846"/>
      <c r="DC11" s="2181"/>
      <c r="DD11" s="2177"/>
      <c r="DE11" s="2180"/>
      <c r="DF11" s="1846"/>
      <c r="DG11" s="1846"/>
      <c r="DH11" s="1846"/>
      <c r="DI11" s="1846"/>
      <c r="DJ11" s="1846"/>
      <c r="DK11" s="1846"/>
      <c r="DL11" s="1846"/>
      <c r="DM11" s="1846"/>
      <c r="DN11" s="1846"/>
      <c r="DO11" s="1846"/>
      <c r="DP11" s="2181"/>
      <c r="DQ11" s="2177"/>
      <c r="DR11" s="2177"/>
      <c r="DS11" s="2180"/>
      <c r="DT11" s="2181"/>
      <c r="DU11" s="2180"/>
      <c r="DV11" s="2181"/>
    </row>
    <row r="12" spans="1:126">
      <c r="A12" s="2548"/>
      <c r="B12" s="2548"/>
      <c r="C12" s="2548"/>
      <c r="D12" s="2548"/>
      <c r="E12" s="2548"/>
      <c r="F12" s="2548"/>
      <c r="G12" s="2548"/>
      <c r="H12" s="2548"/>
      <c r="I12" s="2548"/>
      <c r="J12" s="2513"/>
      <c r="K12" s="2547"/>
      <c r="L12" s="2513"/>
      <c r="M12" s="2548"/>
      <c r="N12" s="2548"/>
      <c r="O12" s="2548"/>
      <c r="P12" s="2548"/>
      <c r="Q12" s="2548"/>
      <c r="R12" s="2513" t="s">
        <v>2602</v>
      </c>
      <c r="S12" s="2545" t="s">
        <v>2603</v>
      </c>
      <c r="T12" s="2545" t="s">
        <v>2604</v>
      </c>
      <c r="U12" s="2545" t="s">
        <v>2605</v>
      </c>
      <c r="V12" s="2547"/>
      <c r="W12" s="2513" t="s">
        <v>2606</v>
      </c>
      <c r="X12" s="2513" t="s">
        <v>2607</v>
      </c>
      <c r="Y12" s="2513" t="s">
        <v>2608</v>
      </c>
      <c r="Z12" s="2526"/>
      <c r="AA12" s="2546"/>
      <c r="AB12" s="2513" t="s">
        <v>2609</v>
      </c>
      <c r="AC12" s="2513" t="s">
        <v>1996</v>
      </c>
      <c r="AD12" s="2513" t="s">
        <v>2610</v>
      </c>
      <c r="AE12" s="2513"/>
      <c r="AF12" s="2513" t="s">
        <v>2611</v>
      </c>
      <c r="AG12" s="2513"/>
      <c r="AH12" s="2513"/>
      <c r="AI12" s="2510"/>
      <c r="AJ12" s="2510"/>
      <c r="AK12" s="2513"/>
      <c r="AL12" s="2513"/>
      <c r="AM12" s="2513"/>
      <c r="AN12" s="2513"/>
      <c r="AO12" s="2513" t="s">
        <v>2612</v>
      </c>
      <c r="AP12" s="2513" t="s">
        <v>2613</v>
      </c>
      <c r="AQ12" s="2513" t="s">
        <v>2614</v>
      </c>
      <c r="AR12" s="2513" t="s">
        <v>2615</v>
      </c>
      <c r="AS12" s="2545"/>
      <c r="AT12" s="2513"/>
      <c r="AU12" s="2513" t="s">
        <v>2616</v>
      </c>
      <c r="AV12" s="2513"/>
      <c r="AW12" s="2513"/>
      <c r="AX12" s="2513"/>
      <c r="AY12" s="2513" t="s">
        <v>2617</v>
      </c>
      <c r="AZ12" s="2513"/>
      <c r="BA12" s="2513" t="s">
        <v>2618</v>
      </c>
      <c r="BB12" s="2513" t="s">
        <v>2619</v>
      </c>
      <c r="BC12" s="2513"/>
      <c r="BD12" s="2513"/>
      <c r="BE12" s="2513"/>
      <c r="BF12" s="2513"/>
      <c r="BG12" s="2513"/>
      <c r="BH12" s="2513" t="s">
        <v>1996</v>
      </c>
      <c r="BI12" s="2513" t="s">
        <v>2620</v>
      </c>
      <c r="BJ12" s="2513" t="s">
        <v>2621</v>
      </c>
      <c r="BK12" s="2513" t="s">
        <v>2622</v>
      </c>
      <c r="BL12" s="2513" t="s">
        <v>2623</v>
      </c>
      <c r="BM12" s="2513" t="s">
        <v>2624</v>
      </c>
      <c r="BN12" s="2513" t="s">
        <v>2625</v>
      </c>
      <c r="BO12" s="2513" t="s">
        <v>2626</v>
      </c>
      <c r="BP12" s="2513" t="s">
        <v>2626</v>
      </c>
      <c r="BQ12" s="2513" t="s">
        <v>2627</v>
      </c>
      <c r="BR12" s="2513" t="s">
        <v>2628</v>
      </c>
      <c r="BS12" s="2513"/>
      <c r="BT12" s="2513"/>
      <c r="BU12" s="2513" t="s">
        <v>2629</v>
      </c>
      <c r="BV12" s="2513" t="s">
        <v>2629</v>
      </c>
      <c r="BW12" s="2513" t="s">
        <v>2630</v>
      </c>
      <c r="BX12" s="2513" t="s">
        <v>1996</v>
      </c>
      <c r="BY12" s="2513" t="s">
        <v>1986</v>
      </c>
      <c r="BZ12" s="2513" t="s">
        <v>2631</v>
      </c>
      <c r="CA12" s="2513" t="s">
        <v>2632</v>
      </c>
      <c r="CB12" s="2513" t="s">
        <v>2633</v>
      </c>
      <c r="CC12" s="2513" t="s">
        <v>2634</v>
      </c>
      <c r="CD12" s="2182"/>
      <c r="CE12" s="2190"/>
      <c r="CF12" s="2190"/>
      <c r="CG12" s="2190"/>
      <c r="CH12" s="2190"/>
      <c r="CI12" s="2190"/>
      <c r="CJ12" s="2190"/>
      <c r="CK12" s="2183"/>
      <c r="CL12" s="2524"/>
      <c r="CM12" s="2524"/>
      <c r="CN12" s="2524"/>
      <c r="CO12" s="2524"/>
      <c r="CP12" s="2524"/>
      <c r="CQ12" s="2182"/>
      <c r="CR12" s="2190"/>
      <c r="CS12" s="2183"/>
      <c r="CT12" s="2524"/>
      <c r="CU12" s="2181"/>
      <c r="CV12" s="2513" t="s">
        <v>2635</v>
      </c>
      <c r="CW12" s="2525"/>
      <c r="CX12" s="2525"/>
      <c r="CY12" s="2525"/>
      <c r="CZ12" s="2525"/>
      <c r="DA12" s="2525"/>
      <c r="DB12" s="2525"/>
      <c r="DC12" s="2525"/>
      <c r="DD12" s="2513" t="s">
        <v>2636</v>
      </c>
      <c r="DE12" s="2525"/>
      <c r="DF12" s="2525"/>
      <c r="DG12" s="2525"/>
      <c r="DH12" s="2525"/>
      <c r="DI12" s="2525"/>
      <c r="DJ12" s="2525"/>
      <c r="DK12" s="2525"/>
      <c r="DL12" s="2525"/>
      <c r="DM12" s="2525"/>
      <c r="DN12" s="2525"/>
      <c r="DO12" s="2525"/>
      <c r="DP12" s="2525"/>
      <c r="DQ12" s="2529"/>
      <c r="DR12" s="2529"/>
      <c r="DS12" s="2525"/>
      <c r="DT12" s="2525"/>
      <c r="DU12" s="2525"/>
      <c r="DV12" s="2525"/>
    </row>
    <row r="13" spans="1:126" ht="15.75">
      <c r="A13" s="2180"/>
      <c r="B13" s="2180"/>
      <c r="C13" s="2180"/>
      <c r="D13" s="2180"/>
      <c r="E13" s="2180"/>
      <c r="F13" s="2180"/>
      <c r="G13" s="2180"/>
      <c r="H13" s="2180"/>
      <c r="I13" s="2180"/>
      <c r="J13" s="2177"/>
      <c r="K13" s="2542"/>
      <c r="L13" s="2177"/>
      <c r="M13" s="2180"/>
      <c r="N13" s="2180"/>
      <c r="O13" s="2180"/>
      <c r="P13" s="2180"/>
      <c r="Q13" s="2180"/>
      <c r="R13" s="2177"/>
      <c r="S13" s="2181"/>
      <c r="T13" s="2181"/>
      <c r="U13" s="2181"/>
      <c r="V13" s="2542"/>
      <c r="W13" s="2177"/>
      <c r="X13" s="2177"/>
      <c r="Y13" s="2177"/>
      <c r="Z13" s="2177"/>
      <c r="AA13" s="2177"/>
      <c r="AB13" s="2177"/>
      <c r="AC13" s="2177"/>
      <c r="AD13" s="2177"/>
      <c r="AE13" s="2177"/>
      <c r="AF13" s="2177"/>
      <c r="AG13" s="2177"/>
      <c r="AH13" s="2177"/>
      <c r="AI13" s="2177"/>
      <c r="AJ13" s="2177"/>
      <c r="AK13" s="2177"/>
      <c r="AL13" s="2177"/>
      <c r="AM13" s="2177"/>
      <c r="AN13" s="2177"/>
      <c r="AO13" s="2177"/>
      <c r="AP13" s="2177"/>
      <c r="AQ13" s="2177"/>
      <c r="AR13" s="2177"/>
      <c r="AS13" s="2181"/>
      <c r="AT13" s="2177"/>
      <c r="AU13" s="2177"/>
      <c r="AV13" s="2177"/>
      <c r="AW13" s="2177"/>
      <c r="AX13" s="2177"/>
      <c r="AY13" s="2177"/>
      <c r="AZ13" s="2177"/>
      <c r="BA13" s="2177"/>
      <c r="BB13" s="2177"/>
      <c r="BC13" s="2177"/>
      <c r="BD13" s="2177"/>
      <c r="BE13" s="2177"/>
      <c r="BF13" s="2177"/>
      <c r="BG13" s="2177"/>
      <c r="BH13" s="2177"/>
      <c r="BI13" s="2177"/>
      <c r="BJ13" s="2177"/>
      <c r="BK13" s="2177"/>
      <c r="BL13" s="2177"/>
      <c r="BM13" s="2177"/>
      <c r="BN13" s="2177"/>
      <c r="BO13" s="2177"/>
      <c r="BP13" s="2177"/>
      <c r="BQ13" s="2177"/>
      <c r="BR13" s="2177"/>
      <c r="BS13" s="2177"/>
      <c r="BT13" s="2177"/>
      <c r="BU13" s="2177"/>
      <c r="BV13" s="2177"/>
      <c r="BW13" s="2177"/>
      <c r="BX13" s="2177"/>
      <c r="BY13" s="2177"/>
      <c r="BZ13" s="2177"/>
      <c r="CA13" s="2177"/>
      <c r="CB13" s="2177"/>
      <c r="CC13" s="2177"/>
      <c r="CD13" s="1326"/>
      <c r="CE13" s="2532" t="s">
        <v>2637</v>
      </c>
      <c r="CF13" s="2171"/>
      <c r="CG13" s="2171"/>
      <c r="CH13" s="2171"/>
      <c r="CI13" s="2162"/>
      <c r="CJ13" s="2533" t="s">
        <v>2638</v>
      </c>
      <c r="CK13" s="2534"/>
      <c r="CL13" s="1824"/>
      <c r="CM13" s="1824"/>
      <c r="CN13" s="1824"/>
      <c r="CO13" s="1824"/>
      <c r="CP13" s="1824"/>
      <c r="CQ13" s="1825"/>
      <c r="CR13" s="2526" t="s">
        <v>2639</v>
      </c>
      <c r="CS13" s="2179"/>
      <c r="CT13" s="1824"/>
      <c r="CU13" s="1826"/>
      <c r="CV13" s="2177"/>
      <c r="CW13" s="2177"/>
      <c r="CX13" s="2177"/>
      <c r="CY13" s="2177"/>
      <c r="CZ13" s="2177"/>
      <c r="DA13" s="2177"/>
      <c r="DB13" s="2177"/>
      <c r="DC13" s="2177"/>
      <c r="DD13" s="2177"/>
      <c r="DE13" s="2177"/>
      <c r="DF13" s="2177"/>
      <c r="DG13" s="2177"/>
      <c r="DH13" s="2177"/>
      <c r="DI13" s="2177"/>
      <c r="DJ13" s="2177"/>
      <c r="DK13" s="2177"/>
      <c r="DL13" s="2177"/>
      <c r="DM13" s="2177"/>
      <c r="DN13" s="2177"/>
      <c r="DO13" s="2177"/>
      <c r="DP13" s="2177"/>
      <c r="DQ13" s="2177"/>
      <c r="DR13" s="2177"/>
      <c r="DS13" s="2177"/>
      <c r="DT13" s="2177"/>
      <c r="DU13" s="2177"/>
      <c r="DV13" s="2177"/>
    </row>
    <row r="14" spans="1:126">
      <c r="A14" s="2180"/>
      <c r="B14" s="2180"/>
      <c r="C14" s="2180"/>
      <c r="D14" s="2180"/>
      <c r="E14" s="2180"/>
      <c r="F14" s="2180"/>
      <c r="G14" s="2180"/>
      <c r="H14" s="2180"/>
      <c r="I14" s="2180"/>
      <c r="J14" s="2177"/>
      <c r="K14" s="2542"/>
      <c r="L14" s="2177"/>
      <c r="M14" s="2180"/>
      <c r="N14" s="2180"/>
      <c r="O14" s="2180"/>
      <c r="P14" s="2180"/>
      <c r="Q14" s="2180"/>
      <c r="R14" s="2177"/>
      <c r="S14" s="2181"/>
      <c r="T14" s="2181"/>
      <c r="U14" s="2181"/>
      <c r="V14" s="2542"/>
      <c r="W14" s="2177"/>
      <c r="X14" s="2177"/>
      <c r="Y14" s="2177"/>
      <c r="Z14" s="2177"/>
      <c r="AA14" s="2177"/>
      <c r="AB14" s="2177"/>
      <c r="AC14" s="2177"/>
      <c r="AD14" s="2177"/>
      <c r="AE14" s="2177"/>
      <c r="AF14" s="2177"/>
      <c r="AG14" s="2177"/>
      <c r="AH14" s="2177"/>
      <c r="AI14" s="2177"/>
      <c r="AJ14" s="2177"/>
      <c r="AK14" s="2177"/>
      <c r="AL14" s="2177"/>
      <c r="AM14" s="2177"/>
      <c r="AN14" s="2177"/>
      <c r="AO14" s="2177"/>
      <c r="AP14" s="2177"/>
      <c r="AQ14" s="2177"/>
      <c r="AR14" s="2177"/>
      <c r="AS14" s="2181"/>
      <c r="AT14" s="2177"/>
      <c r="AU14" s="2177"/>
      <c r="AV14" s="2177"/>
      <c r="AW14" s="2177"/>
      <c r="AX14" s="2177"/>
      <c r="AY14" s="2177"/>
      <c r="AZ14" s="2177"/>
      <c r="BA14" s="2177"/>
      <c r="BB14" s="2177"/>
      <c r="BC14" s="2177"/>
      <c r="BD14" s="2177"/>
      <c r="BE14" s="2177"/>
      <c r="BF14" s="2177"/>
      <c r="BG14" s="2177"/>
      <c r="BH14" s="2177"/>
      <c r="BI14" s="2177"/>
      <c r="BJ14" s="2177"/>
      <c r="BK14" s="2177"/>
      <c r="BL14" s="2177"/>
      <c r="BM14" s="2177"/>
      <c r="BN14" s="2177"/>
      <c r="BO14" s="2177"/>
      <c r="BP14" s="2177"/>
      <c r="BQ14" s="2177"/>
      <c r="BR14" s="2177"/>
      <c r="BS14" s="2177"/>
      <c r="BT14" s="2177"/>
      <c r="BU14" s="2177"/>
      <c r="BV14" s="2177"/>
      <c r="BW14" s="2177"/>
      <c r="BX14" s="2177"/>
      <c r="BY14" s="2177"/>
      <c r="BZ14" s="2177"/>
      <c r="CA14" s="2177"/>
      <c r="CB14" s="2177"/>
      <c r="CC14" s="2177"/>
      <c r="CD14" s="1825"/>
      <c r="CE14" s="1827"/>
      <c r="CF14" s="2535" t="s">
        <v>2640</v>
      </c>
      <c r="CG14" s="2171"/>
      <c r="CH14" s="2171"/>
      <c r="CI14" s="2536"/>
      <c r="CJ14" s="2537" t="s">
        <v>2641</v>
      </c>
      <c r="CK14" s="2528"/>
      <c r="CL14" s="1824"/>
      <c r="CM14" s="1824"/>
      <c r="CN14" s="1824"/>
      <c r="CO14" s="1824"/>
      <c r="CP14" s="1824"/>
      <c r="CQ14" s="1825"/>
      <c r="CR14" s="2527"/>
      <c r="CS14" s="2528"/>
      <c r="CT14" s="1824"/>
      <c r="CU14" s="1826"/>
      <c r="CV14" s="2177"/>
      <c r="CW14" s="2177"/>
      <c r="CX14" s="2177"/>
      <c r="CY14" s="2177"/>
      <c r="CZ14" s="2177"/>
      <c r="DA14" s="2177"/>
      <c r="DB14" s="2177"/>
      <c r="DC14" s="2177"/>
      <c r="DD14" s="2177"/>
      <c r="DE14" s="2177"/>
      <c r="DF14" s="2177"/>
      <c r="DG14" s="2177"/>
      <c r="DH14" s="2177"/>
      <c r="DI14" s="2177"/>
      <c r="DJ14" s="2177"/>
      <c r="DK14" s="2177"/>
      <c r="DL14" s="2177"/>
      <c r="DM14" s="2177"/>
      <c r="DN14" s="2177"/>
      <c r="DO14" s="2177"/>
      <c r="DP14" s="2177"/>
      <c r="DQ14" s="2177"/>
      <c r="DR14" s="2177"/>
      <c r="DS14" s="2177"/>
      <c r="DT14" s="2177"/>
      <c r="DU14" s="2177"/>
      <c r="DV14" s="2177"/>
    </row>
    <row r="15" spans="1:126">
      <c r="A15" s="2180"/>
      <c r="B15" s="2180"/>
      <c r="C15" s="2180"/>
      <c r="D15" s="2180"/>
      <c r="E15" s="2180"/>
      <c r="F15" s="2180"/>
      <c r="G15" s="2180"/>
      <c r="H15" s="2180"/>
      <c r="I15" s="2180"/>
      <c r="J15" s="2177"/>
      <c r="K15" s="2542"/>
      <c r="L15" s="2177"/>
      <c r="M15" s="2180"/>
      <c r="N15" s="2180"/>
      <c r="O15" s="2180"/>
      <c r="P15" s="2180"/>
      <c r="Q15" s="2180"/>
      <c r="R15" s="2177"/>
      <c r="S15" s="2181"/>
      <c r="T15" s="2181"/>
      <c r="U15" s="2181"/>
      <c r="V15" s="2542"/>
      <c r="W15" s="2177"/>
      <c r="X15" s="2177"/>
      <c r="Y15" s="2177"/>
      <c r="Z15" s="2177"/>
      <c r="AA15" s="2177"/>
      <c r="AB15" s="2177"/>
      <c r="AC15" s="2177"/>
      <c r="AD15" s="2177"/>
      <c r="AE15" s="2177"/>
      <c r="AF15" s="2177"/>
      <c r="AG15" s="2177"/>
      <c r="AH15" s="2177"/>
      <c r="AI15" s="2177"/>
      <c r="AJ15" s="2177"/>
      <c r="AK15" s="2177"/>
      <c r="AL15" s="2177"/>
      <c r="AM15" s="2177"/>
      <c r="AN15" s="2177"/>
      <c r="AO15" s="2177"/>
      <c r="AP15" s="2177"/>
      <c r="AQ15" s="2177"/>
      <c r="AR15" s="2177"/>
      <c r="AS15" s="2181"/>
      <c r="AT15" s="2177"/>
      <c r="AU15" s="2177"/>
      <c r="AV15" s="2177"/>
      <c r="AW15" s="2177"/>
      <c r="AX15" s="2177"/>
      <c r="AY15" s="2177"/>
      <c r="AZ15" s="2177"/>
      <c r="BA15" s="2177"/>
      <c r="BB15" s="2177"/>
      <c r="BC15" s="2177"/>
      <c r="BD15" s="2177"/>
      <c r="BE15" s="2177"/>
      <c r="BF15" s="2177"/>
      <c r="BG15" s="2177"/>
      <c r="BH15" s="2177"/>
      <c r="BI15" s="2177"/>
      <c r="BJ15" s="2177"/>
      <c r="BK15" s="2177"/>
      <c r="BL15" s="2177"/>
      <c r="BM15" s="2177"/>
      <c r="BN15" s="2177"/>
      <c r="BO15" s="2177"/>
      <c r="BP15" s="2177"/>
      <c r="BQ15" s="2177"/>
      <c r="BR15" s="2177"/>
      <c r="BS15" s="2177"/>
      <c r="BT15" s="2177"/>
      <c r="BU15" s="2177"/>
      <c r="BV15" s="2177"/>
      <c r="BW15" s="2177"/>
      <c r="BX15" s="2177"/>
      <c r="BY15" s="2177"/>
      <c r="BZ15" s="2177"/>
      <c r="CA15" s="2177"/>
      <c r="CB15" s="2177"/>
      <c r="CC15" s="2177"/>
      <c r="CD15" s="2538"/>
      <c r="CE15" s="2530"/>
      <c r="CF15" s="2530"/>
      <c r="CG15" s="2530"/>
      <c r="CH15" s="2530"/>
      <c r="CI15" s="2530"/>
      <c r="CJ15" s="2530"/>
      <c r="CK15" s="2530"/>
      <c r="CL15" s="2523"/>
      <c r="CM15" s="2523"/>
      <c r="CN15" s="2523"/>
      <c r="CO15" s="2523"/>
      <c r="CP15" s="2523"/>
      <c r="CQ15" s="2538"/>
      <c r="CR15" s="2544"/>
      <c r="CS15" s="2544"/>
      <c r="CT15" s="2523"/>
      <c r="CU15" s="2543"/>
      <c r="CV15" s="2177"/>
      <c r="CW15" s="2177"/>
      <c r="CX15" s="2177"/>
      <c r="CY15" s="2177"/>
      <c r="CZ15" s="2177"/>
      <c r="DA15" s="2177"/>
      <c r="DB15" s="2177"/>
      <c r="DC15" s="2177"/>
      <c r="DD15" s="2177"/>
      <c r="DE15" s="2177"/>
      <c r="DF15" s="2177"/>
      <c r="DG15" s="2177"/>
      <c r="DH15" s="2177"/>
      <c r="DI15" s="2177"/>
      <c r="DJ15" s="2177"/>
      <c r="DK15" s="2177"/>
      <c r="DL15" s="2177"/>
      <c r="DM15" s="2177"/>
      <c r="DN15" s="2177"/>
      <c r="DO15" s="2177"/>
      <c r="DP15" s="2177"/>
      <c r="DQ15" s="2177"/>
      <c r="DR15" s="2177"/>
      <c r="DS15" s="2177"/>
      <c r="DT15" s="2177"/>
      <c r="DU15" s="2177"/>
      <c r="DV15" s="2177"/>
    </row>
    <row r="16" spans="1:126">
      <c r="A16" s="2540" t="s">
        <v>1045</v>
      </c>
      <c r="B16" s="2540" t="s">
        <v>2514</v>
      </c>
      <c r="C16" s="2540" t="s">
        <v>2642</v>
      </c>
      <c r="D16" s="2540" t="s">
        <v>2516</v>
      </c>
      <c r="E16" s="2540" t="s">
        <v>1829</v>
      </c>
      <c r="F16" s="2540" t="s">
        <v>2643</v>
      </c>
      <c r="G16" s="2540" t="s">
        <v>2517</v>
      </c>
      <c r="H16" s="2540" t="s">
        <v>2518</v>
      </c>
      <c r="I16" s="2540" t="s">
        <v>2519</v>
      </c>
      <c r="J16" s="2515" t="s">
        <v>690</v>
      </c>
      <c r="K16" s="2541" t="s">
        <v>2644</v>
      </c>
      <c r="L16" s="2515" t="s">
        <v>2645</v>
      </c>
      <c r="M16" s="2540" t="s">
        <v>1816</v>
      </c>
      <c r="N16" s="2540" t="s">
        <v>1998</v>
      </c>
      <c r="O16" s="2540" t="s">
        <v>2646</v>
      </c>
      <c r="P16" s="2540" t="s">
        <v>2647</v>
      </c>
      <c r="Q16" s="2540" t="s">
        <v>2648</v>
      </c>
      <c r="R16" s="2515" t="s">
        <v>2649</v>
      </c>
      <c r="S16" s="2539" t="s">
        <v>2650</v>
      </c>
      <c r="T16" s="2539" t="s">
        <v>2651</v>
      </c>
      <c r="U16" s="2539" t="s">
        <v>2652</v>
      </c>
      <c r="V16" s="2541" t="s">
        <v>2653</v>
      </c>
      <c r="W16" s="2515" t="s">
        <v>2654</v>
      </c>
      <c r="X16" s="2515" t="s">
        <v>2655</v>
      </c>
      <c r="Y16" s="2515" t="s">
        <v>2656</v>
      </c>
      <c r="Z16" s="2515" t="s">
        <v>2657</v>
      </c>
      <c r="AA16" s="2515" t="s">
        <v>2658</v>
      </c>
      <c r="AB16" s="2515" t="s">
        <v>2659</v>
      </c>
      <c r="AC16" s="2515" t="s">
        <v>2660</v>
      </c>
      <c r="AD16" s="2515" t="s">
        <v>2661</v>
      </c>
      <c r="AE16" s="2515" t="s">
        <v>2662</v>
      </c>
      <c r="AF16" s="2515" t="s">
        <v>2663</v>
      </c>
      <c r="AG16" s="2515" t="s">
        <v>2664</v>
      </c>
      <c r="AH16" s="2515" t="s">
        <v>2665</v>
      </c>
      <c r="AI16" s="2515" t="s">
        <v>2666</v>
      </c>
      <c r="AJ16" s="2515" t="s">
        <v>2667</v>
      </c>
      <c r="AK16" s="2515" t="s">
        <v>2668</v>
      </c>
      <c r="AL16" s="2515" t="s">
        <v>2669</v>
      </c>
      <c r="AM16" s="2515" t="s">
        <v>2670</v>
      </c>
      <c r="AN16" s="2515" t="s">
        <v>2671</v>
      </c>
      <c r="AO16" s="2515" t="s">
        <v>2672</v>
      </c>
      <c r="AP16" s="2515" t="s">
        <v>2673</v>
      </c>
      <c r="AQ16" s="2515" t="s">
        <v>2674</v>
      </c>
      <c r="AR16" s="2515" t="s">
        <v>2675</v>
      </c>
      <c r="AS16" s="2539" t="s">
        <v>4178</v>
      </c>
      <c r="AT16" s="2515" t="s">
        <v>2676</v>
      </c>
      <c r="AU16" s="2515" t="s">
        <v>2677</v>
      </c>
      <c r="AV16" s="2515" t="s">
        <v>2678</v>
      </c>
      <c r="AW16" s="2515" t="s">
        <v>2679</v>
      </c>
      <c r="AX16" s="2515" t="s">
        <v>2680</v>
      </c>
      <c r="AY16" s="2515" t="s">
        <v>2681</v>
      </c>
      <c r="AZ16" s="2515" t="s">
        <v>2682</v>
      </c>
      <c r="BA16" s="2515" t="s">
        <v>2683</v>
      </c>
      <c r="BB16" s="2515" t="s">
        <v>2684</v>
      </c>
      <c r="BC16" s="2515" t="s">
        <v>2685</v>
      </c>
      <c r="BD16" s="2515" t="s">
        <v>2686</v>
      </c>
      <c r="BE16" s="2515" t="s">
        <v>2687</v>
      </c>
      <c r="BF16" s="2515" t="s">
        <v>2688</v>
      </c>
      <c r="BG16" s="2515" t="s">
        <v>2689</v>
      </c>
      <c r="BH16" s="2515" t="s">
        <v>2690</v>
      </c>
      <c r="BI16" s="2515" t="s">
        <v>2691</v>
      </c>
      <c r="BJ16" s="2515" t="s">
        <v>2691</v>
      </c>
      <c r="BK16" s="2515" t="s">
        <v>2692</v>
      </c>
      <c r="BL16" s="2515" t="s">
        <v>2693</v>
      </c>
      <c r="BM16" s="2515" t="s">
        <v>2694</v>
      </c>
      <c r="BN16" s="2515" t="s">
        <v>2695</v>
      </c>
      <c r="BO16" s="2515" t="s">
        <v>2696</v>
      </c>
      <c r="BP16" s="2515" t="s">
        <v>2697</v>
      </c>
      <c r="BQ16" s="2515" t="s">
        <v>2698</v>
      </c>
      <c r="BR16" s="2515" t="s">
        <v>2699</v>
      </c>
      <c r="BS16" s="2515" t="s">
        <v>2700</v>
      </c>
      <c r="BT16" s="2515" t="s">
        <v>2701</v>
      </c>
      <c r="BU16" s="2515" t="s">
        <v>2702</v>
      </c>
      <c r="BV16" s="2515" t="s">
        <v>2703</v>
      </c>
      <c r="BW16" s="2515" t="s">
        <v>2704</v>
      </c>
      <c r="BX16" s="2515" t="s">
        <v>2705</v>
      </c>
      <c r="BY16" s="2515" t="s">
        <v>2706</v>
      </c>
      <c r="BZ16" s="2515" t="s">
        <v>2707</v>
      </c>
      <c r="CA16" s="2515" t="s">
        <v>2708</v>
      </c>
      <c r="CB16" s="2515" t="s">
        <v>2709</v>
      </c>
      <c r="CC16" s="2515" t="s">
        <v>2710</v>
      </c>
      <c r="CD16" s="2531"/>
      <c r="CE16" s="2531"/>
      <c r="CF16" s="2531"/>
      <c r="CG16" s="2531"/>
      <c r="CH16" s="2531"/>
      <c r="CI16" s="2531"/>
      <c r="CJ16" s="2531"/>
      <c r="CK16" s="2531"/>
      <c r="CL16" s="2524"/>
      <c r="CM16" s="2524"/>
      <c r="CN16" s="2524"/>
      <c r="CO16" s="2524"/>
      <c r="CP16" s="2524"/>
      <c r="CQ16" s="2531"/>
      <c r="CR16" s="2524"/>
      <c r="CS16" s="2524"/>
      <c r="CT16" s="2524"/>
      <c r="CU16" s="2177"/>
      <c r="CV16" s="2522" t="s">
        <v>2711</v>
      </c>
      <c r="CW16" s="2515" t="s">
        <v>2712</v>
      </c>
      <c r="CX16" s="2515" t="s">
        <v>2713</v>
      </c>
      <c r="CY16" s="2515" t="s">
        <v>2714</v>
      </c>
      <c r="CZ16" s="2515" t="s">
        <v>2715</v>
      </c>
      <c r="DA16" s="2515" t="s">
        <v>2716</v>
      </c>
      <c r="DB16" s="2515" t="s">
        <v>2717</v>
      </c>
      <c r="DC16" s="2515" t="s">
        <v>2718</v>
      </c>
      <c r="DD16" s="2515" t="s">
        <v>2719</v>
      </c>
      <c r="DE16" s="2515" t="s">
        <v>2720</v>
      </c>
      <c r="DF16" s="2515" t="s">
        <v>2721</v>
      </c>
      <c r="DG16" s="2515" t="s">
        <v>2722</v>
      </c>
      <c r="DH16" s="2515" t="s">
        <v>2723</v>
      </c>
      <c r="DI16" s="2515" t="s">
        <v>2724</v>
      </c>
      <c r="DJ16" s="2515" t="s">
        <v>2725</v>
      </c>
      <c r="DK16" s="2515" t="s">
        <v>2726</v>
      </c>
      <c r="DL16" s="2515" t="s">
        <v>2727</v>
      </c>
      <c r="DM16" s="2515" t="s">
        <v>2728</v>
      </c>
      <c r="DN16" s="2515" t="s">
        <v>2729</v>
      </c>
      <c r="DO16" s="2515" t="s">
        <v>2730</v>
      </c>
      <c r="DP16" s="2515" t="s">
        <v>2731</v>
      </c>
      <c r="DQ16" s="2515" t="s">
        <v>2732</v>
      </c>
      <c r="DR16" s="2515" t="s">
        <v>2733</v>
      </c>
      <c r="DS16" s="2515" t="s">
        <v>2734</v>
      </c>
      <c r="DT16" s="2515" t="s">
        <v>2735</v>
      </c>
      <c r="DU16" s="2515" t="s">
        <v>2736</v>
      </c>
      <c r="DV16" s="2515" t="s">
        <v>2735</v>
      </c>
    </row>
    <row r="17" spans="1:126" ht="105.6" customHeight="1">
      <c r="A17" s="2180"/>
      <c r="B17" s="2180"/>
      <c r="C17" s="2180"/>
      <c r="D17" s="2180"/>
      <c r="E17" s="2180"/>
      <c r="F17" s="2180"/>
      <c r="G17" s="2180"/>
      <c r="H17" s="2180"/>
      <c r="I17" s="2180"/>
      <c r="J17" s="2177"/>
      <c r="K17" s="2542"/>
      <c r="L17" s="2177"/>
      <c r="M17" s="2180"/>
      <c r="N17" s="2180"/>
      <c r="O17" s="2180"/>
      <c r="P17" s="2180"/>
      <c r="Q17" s="2180"/>
      <c r="R17" s="2177"/>
      <c r="S17" s="2181"/>
      <c r="T17" s="2181"/>
      <c r="U17" s="2181"/>
      <c r="V17" s="2542"/>
      <c r="W17" s="2177"/>
      <c r="X17" s="2177"/>
      <c r="Y17" s="2177"/>
      <c r="Z17" s="2177"/>
      <c r="AA17" s="2177"/>
      <c r="AB17" s="2177"/>
      <c r="AC17" s="2177"/>
      <c r="AD17" s="2177"/>
      <c r="AE17" s="2177"/>
      <c r="AF17" s="2177"/>
      <c r="AG17" s="2177"/>
      <c r="AH17" s="2177"/>
      <c r="AI17" s="2177"/>
      <c r="AJ17" s="2177"/>
      <c r="AK17" s="2177"/>
      <c r="AL17" s="2177"/>
      <c r="AM17" s="2177"/>
      <c r="AN17" s="2177"/>
      <c r="AO17" s="2177"/>
      <c r="AP17" s="2177"/>
      <c r="AQ17" s="2177"/>
      <c r="AR17" s="2177"/>
      <c r="AS17" s="2181"/>
      <c r="AT17" s="2177"/>
      <c r="AU17" s="2177"/>
      <c r="AV17" s="2177"/>
      <c r="AW17" s="2177"/>
      <c r="AX17" s="2177"/>
      <c r="AY17" s="2177"/>
      <c r="AZ17" s="2177"/>
      <c r="BA17" s="2177"/>
      <c r="BB17" s="2177"/>
      <c r="BC17" s="2177"/>
      <c r="BD17" s="2177"/>
      <c r="BE17" s="2177"/>
      <c r="BF17" s="2177"/>
      <c r="BG17" s="2177"/>
      <c r="BH17" s="2177"/>
      <c r="BI17" s="2177"/>
      <c r="BJ17" s="2177"/>
      <c r="BK17" s="2177"/>
      <c r="BL17" s="2177"/>
      <c r="BM17" s="2177"/>
      <c r="BN17" s="2177"/>
      <c r="BO17" s="2177"/>
      <c r="BP17" s="2177"/>
      <c r="BQ17" s="2177"/>
      <c r="BR17" s="2177"/>
      <c r="BS17" s="2177"/>
      <c r="BT17" s="2177"/>
      <c r="BU17" s="2177"/>
      <c r="BV17" s="2177"/>
      <c r="BW17" s="2177"/>
      <c r="BX17" s="2177"/>
      <c r="BY17" s="2177"/>
      <c r="BZ17" s="2177"/>
      <c r="CA17" s="2177"/>
      <c r="CB17" s="2177"/>
      <c r="CC17" s="2177"/>
      <c r="CD17" s="1830" t="s">
        <v>2737</v>
      </c>
      <c r="CE17" s="1830" t="s">
        <v>2738</v>
      </c>
      <c r="CF17" s="1830" t="s">
        <v>2739</v>
      </c>
      <c r="CG17" s="1830" t="s">
        <v>2740</v>
      </c>
      <c r="CH17" s="1830" t="s">
        <v>2741</v>
      </c>
      <c r="CI17" s="1830" t="s">
        <v>2742</v>
      </c>
      <c r="CJ17" s="1830" t="s">
        <v>2014</v>
      </c>
      <c r="CK17" s="1830" t="s">
        <v>2743</v>
      </c>
      <c r="CL17" s="1831" t="s">
        <v>2744</v>
      </c>
      <c r="CM17" s="1831" t="s">
        <v>2745</v>
      </c>
      <c r="CN17" s="1831" t="s">
        <v>2746</v>
      </c>
      <c r="CO17" s="1831" t="s">
        <v>2744</v>
      </c>
      <c r="CP17" s="1831" t="s">
        <v>2745</v>
      </c>
      <c r="CQ17" s="1830" t="s">
        <v>2747</v>
      </c>
      <c r="CR17" s="1831" t="s">
        <v>2748</v>
      </c>
      <c r="CS17" s="1831" t="s">
        <v>2749</v>
      </c>
      <c r="CT17" s="1831" t="s">
        <v>2744</v>
      </c>
      <c r="CU17" s="1829" t="s">
        <v>2745</v>
      </c>
      <c r="CV17" s="2178"/>
      <c r="CW17" s="2177"/>
      <c r="CX17" s="2177"/>
      <c r="CY17" s="2177"/>
      <c r="CZ17" s="2177"/>
      <c r="DA17" s="2177"/>
      <c r="DB17" s="2177"/>
      <c r="DC17" s="2177"/>
      <c r="DD17" s="2177"/>
      <c r="DE17" s="2177"/>
      <c r="DF17" s="2177"/>
      <c r="DG17" s="2177"/>
      <c r="DH17" s="2177"/>
      <c r="DI17" s="2177"/>
      <c r="DJ17" s="2177"/>
      <c r="DK17" s="2177"/>
      <c r="DL17" s="2177"/>
      <c r="DM17" s="2177"/>
      <c r="DN17" s="2177"/>
      <c r="DO17" s="2177"/>
      <c r="DP17" s="2177"/>
      <c r="DQ17" s="2177"/>
      <c r="DR17" s="2177"/>
      <c r="DS17" s="2177"/>
      <c r="DT17" s="2177"/>
      <c r="DU17" s="2177"/>
      <c r="DV17" s="2177"/>
    </row>
    <row r="18" spans="1:126">
      <c r="A18" s="1689" t="s">
        <v>2024</v>
      </c>
      <c r="B18" s="1689" t="s">
        <v>2534</v>
      </c>
      <c r="C18" s="1689" t="s">
        <v>2535</v>
      </c>
      <c r="D18" s="1689" t="s">
        <v>2536</v>
      </c>
      <c r="E18" s="1689" t="s">
        <v>2025</v>
      </c>
      <c r="F18" s="1689" t="s">
        <v>2072</v>
      </c>
      <c r="G18" s="1689" t="s">
        <v>2074</v>
      </c>
      <c r="H18" s="1689" t="s">
        <v>2075</v>
      </c>
      <c r="I18" s="1689" t="s">
        <v>2026</v>
      </c>
      <c r="J18" s="1689" t="s">
        <v>1706</v>
      </c>
      <c r="K18" s="1689" t="s">
        <v>1707</v>
      </c>
      <c r="L18" s="1689" t="s">
        <v>1709</v>
      </c>
      <c r="M18" s="1689" t="s">
        <v>1710</v>
      </c>
      <c r="N18" s="1689" t="s">
        <v>1711</v>
      </c>
      <c r="O18" s="1689" t="s">
        <v>1713</v>
      </c>
      <c r="P18" s="1689" t="s">
        <v>1714</v>
      </c>
      <c r="Q18" s="1689" t="s">
        <v>1716</v>
      </c>
      <c r="R18" s="1689" t="s">
        <v>1718</v>
      </c>
      <c r="S18" s="1689" t="s">
        <v>1719</v>
      </c>
      <c r="T18" s="1689" t="s">
        <v>1720</v>
      </c>
      <c r="U18" s="1689" t="s">
        <v>1721</v>
      </c>
      <c r="V18" s="1689" t="s">
        <v>1722</v>
      </c>
      <c r="W18" s="1689" t="s">
        <v>1723</v>
      </c>
      <c r="X18" s="1689" t="s">
        <v>1724</v>
      </c>
      <c r="Y18" s="1689" t="s">
        <v>1725</v>
      </c>
      <c r="Z18" s="1689" t="s">
        <v>1726</v>
      </c>
      <c r="AA18" s="1689" t="s">
        <v>1727</v>
      </c>
      <c r="AB18" s="1689" t="s">
        <v>1728</v>
      </c>
      <c r="AC18" s="1689" t="s">
        <v>1729</v>
      </c>
      <c r="AD18" s="1689" t="s">
        <v>1730</v>
      </c>
      <c r="AE18" s="1689" t="s">
        <v>1731</v>
      </c>
      <c r="AF18" s="1689" t="s">
        <v>1732</v>
      </c>
      <c r="AG18" s="1689" t="s">
        <v>1733</v>
      </c>
      <c r="AH18" s="1689" t="s">
        <v>1734</v>
      </c>
      <c r="AI18" s="1689" t="s">
        <v>1735</v>
      </c>
      <c r="AJ18" s="1689" t="s">
        <v>1736</v>
      </c>
      <c r="AK18" s="1689" t="s">
        <v>1737</v>
      </c>
      <c r="AL18" s="1689" t="s">
        <v>1738</v>
      </c>
      <c r="AM18" s="1689" t="s">
        <v>1739</v>
      </c>
      <c r="AN18" s="1689" t="s">
        <v>1740</v>
      </c>
      <c r="AO18" s="1689" t="s">
        <v>1741</v>
      </c>
      <c r="AP18" s="1689" t="s">
        <v>1742</v>
      </c>
      <c r="AQ18" s="1689" t="s">
        <v>1743</v>
      </c>
      <c r="AR18" s="1689" t="s">
        <v>1744</v>
      </c>
      <c r="AS18" s="1689" t="s">
        <v>1745</v>
      </c>
      <c r="AT18" s="1689" t="s">
        <v>1746</v>
      </c>
      <c r="AU18" s="1689" t="s">
        <v>1433</v>
      </c>
      <c r="AV18" s="1689" t="s">
        <v>1747</v>
      </c>
      <c r="AW18" s="1689" t="s">
        <v>1748</v>
      </c>
      <c r="AX18" s="1689" t="s">
        <v>1749</v>
      </c>
      <c r="AY18" s="1689" t="s">
        <v>1750</v>
      </c>
      <c r="AZ18" s="1689" t="s">
        <v>1751</v>
      </c>
      <c r="BA18" s="1689" t="s">
        <v>2089</v>
      </c>
      <c r="BB18" s="1689" t="s">
        <v>2090</v>
      </c>
      <c r="BC18" s="1689" t="s">
        <v>2091</v>
      </c>
      <c r="BD18" s="1689" t="s">
        <v>2092</v>
      </c>
      <c r="BE18" s="1689" t="s">
        <v>2093</v>
      </c>
      <c r="BF18" s="1689" t="s">
        <v>2094</v>
      </c>
      <c r="BG18" s="1689" t="s">
        <v>2095</v>
      </c>
      <c r="BH18" s="1689" t="s">
        <v>2027</v>
      </c>
      <c r="BI18" s="1689" t="s">
        <v>2028</v>
      </c>
      <c r="BJ18" s="1689" t="s">
        <v>2097</v>
      </c>
      <c r="BK18" s="1689" t="s">
        <v>2029</v>
      </c>
      <c r="BL18" s="1689" t="s">
        <v>2030</v>
      </c>
      <c r="BM18" s="1689" t="s">
        <v>2031</v>
      </c>
      <c r="BN18" s="1689" t="s">
        <v>2032</v>
      </c>
      <c r="BO18" s="1689" t="s">
        <v>2033</v>
      </c>
      <c r="BP18" s="1689" t="s">
        <v>2098</v>
      </c>
      <c r="BQ18" s="1689" t="s">
        <v>2099</v>
      </c>
      <c r="BR18" s="1689" t="s">
        <v>2100</v>
      </c>
      <c r="BS18" s="1689" t="s">
        <v>2034</v>
      </c>
      <c r="BT18" s="1689" t="s">
        <v>2035</v>
      </c>
      <c r="BU18" s="1689" t="s">
        <v>2102</v>
      </c>
      <c r="BV18" s="1689" t="s">
        <v>2036</v>
      </c>
      <c r="BW18" s="1689" t="s">
        <v>2037</v>
      </c>
      <c r="BX18" s="1689" t="s">
        <v>2038</v>
      </c>
      <c r="BY18" s="1689" t="s">
        <v>2039</v>
      </c>
      <c r="BZ18" s="1689" t="s">
        <v>2040</v>
      </c>
      <c r="CA18" s="1689" t="s">
        <v>2041</v>
      </c>
      <c r="CB18" s="1689" t="s">
        <v>2042</v>
      </c>
      <c r="CC18" s="1689" t="s">
        <v>2043</v>
      </c>
      <c r="CD18" s="1689" t="s">
        <v>2044</v>
      </c>
      <c r="CE18" s="1689" t="s">
        <v>2045</v>
      </c>
      <c r="CF18" s="1689" t="s">
        <v>2046</v>
      </c>
      <c r="CG18" s="1689" t="s">
        <v>2047</v>
      </c>
      <c r="CH18" s="1689" t="s">
        <v>2048</v>
      </c>
      <c r="CI18" s="1689" t="s">
        <v>2049</v>
      </c>
      <c r="CJ18" s="1689" t="s">
        <v>2050</v>
      </c>
      <c r="CK18" s="1689" t="s">
        <v>2051</v>
      </c>
      <c r="CL18" s="1689" t="s">
        <v>2052</v>
      </c>
      <c r="CM18" s="1689" t="s">
        <v>2105</v>
      </c>
      <c r="CN18" s="1689" t="s">
        <v>2106</v>
      </c>
      <c r="CO18" s="1689" t="s">
        <v>2107</v>
      </c>
      <c r="CP18" s="1689" t="s">
        <v>2053</v>
      </c>
      <c r="CQ18" s="1689" t="s">
        <v>2054</v>
      </c>
      <c r="CR18" s="1689" t="s">
        <v>2109</v>
      </c>
      <c r="CS18" s="1689" t="s">
        <v>2055</v>
      </c>
      <c r="CT18" s="1689" t="s">
        <v>2056</v>
      </c>
      <c r="CU18" s="1689" t="s">
        <v>2057</v>
      </c>
      <c r="CV18" s="1689" t="s">
        <v>2058</v>
      </c>
      <c r="CW18" s="1689" t="s">
        <v>2111</v>
      </c>
      <c r="CX18" s="1689" t="s">
        <v>2112</v>
      </c>
      <c r="CY18" s="1689" t="s">
        <v>2113</v>
      </c>
      <c r="CZ18" s="1689" t="s">
        <v>2114</v>
      </c>
      <c r="DA18" s="1689" t="s">
        <v>2115</v>
      </c>
      <c r="DB18" s="1689" t="s">
        <v>2116</v>
      </c>
      <c r="DC18" s="1689" t="s">
        <v>2117</v>
      </c>
      <c r="DD18" s="1689" t="s">
        <v>2118</v>
      </c>
      <c r="DE18" s="1689" t="s">
        <v>2119</v>
      </c>
      <c r="DF18" s="1689" t="s">
        <v>2120</v>
      </c>
      <c r="DG18" s="1689" t="s">
        <v>2121</v>
      </c>
      <c r="DH18" s="1689" t="s">
        <v>2122</v>
      </c>
      <c r="DI18" s="1689" t="s">
        <v>2123</v>
      </c>
      <c r="DJ18" s="1689" t="s">
        <v>2124</v>
      </c>
      <c r="DK18" s="1689" t="s">
        <v>2125</v>
      </c>
      <c r="DL18" s="1689" t="s">
        <v>2126</v>
      </c>
      <c r="DM18" s="1689" t="s">
        <v>2127</v>
      </c>
      <c r="DN18" s="1689" t="s">
        <v>2128</v>
      </c>
      <c r="DO18" s="1689" t="s">
        <v>2129</v>
      </c>
      <c r="DP18" s="1689" t="s">
        <v>2130</v>
      </c>
      <c r="DQ18" s="1689" t="s">
        <v>2131</v>
      </c>
      <c r="DR18" s="1689" t="s">
        <v>2132</v>
      </c>
      <c r="DS18" s="1689" t="s">
        <v>2133</v>
      </c>
      <c r="DT18" s="1689" t="s">
        <v>2134</v>
      </c>
      <c r="DU18" s="1689" t="s">
        <v>2135</v>
      </c>
      <c r="DV18" s="1689" t="s">
        <v>2136</v>
      </c>
    </row>
    <row r="19" spans="1:126">
      <c r="A19" s="1326"/>
      <c r="B19" s="1326" t="s">
        <v>57</v>
      </c>
      <c r="C19" s="1326"/>
      <c r="D19" s="1326"/>
      <c r="E19" s="1326"/>
      <c r="F19" s="1326"/>
      <c r="G19" s="1326"/>
      <c r="H19" s="1326"/>
      <c r="I19" s="1326"/>
      <c r="J19" s="1326"/>
      <c r="K19" s="1682"/>
      <c r="L19" s="1682"/>
      <c r="M19" s="1326"/>
      <c r="N19" s="1326"/>
      <c r="O19" s="1326"/>
      <c r="P19" s="1326"/>
      <c r="Q19" s="1326"/>
      <c r="R19" s="1326"/>
      <c r="S19" s="1326"/>
      <c r="T19" s="1326"/>
      <c r="U19" s="1326"/>
      <c r="V19" s="1326"/>
      <c r="W19" s="1326"/>
      <c r="X19" s="1326"/>
      <c r="Y19" s="1326"/>
      <c r="Z19" s="1326"/>
      <c r="AA19" s="1326"/>
      <c r="AB19" s="1326"/>
      <c r="AC19" s="1326"/>
      <c r="AD19" s="1326"/>
      <c r="AE19" s="1326"/>
      <c r="AF19" s="1326"/>
      <c r="AG19" s="1326"/>
      <c r="AH19" s="1326"/>
      <c r="AI19" s="1326"/>
      <c r="AJ19" s="1326"/>
      <c r="AK19" s="1326"/>
      <c r="AL19" s="1326"/>
      <c r="AM19" s="1400"/>
      <c r="AN19" s="1326"/>
      <c r="AO19" s="1326"/>
      <c r="AP19" s="1326"/>
      <c r="AQ19" s="1326"/>
      <c r="AR19" s="1326"/>
      <c r="AS19" s="1326"/>
      <c r="AT19" s="1326"/>
      <c r="AU19" s="1326"/>
      <c r="AV19" s="1326"/>
      <c r="AW19" s="1326"/>
      <c r="AX19" s="1326"/>
      <c r="AY19" s="1326"/>
      <c r="AZ19" s="1326"/>
      <c r="BA19" s="1326"/>
      <c r="BB19" s="1326"/>
      <c r="BC19" s="1326"/>
      <c r="BD19" s="1326"/>
      <c r="BE19" s="1326"/>
      <c r="BF19" s="1326"/>
      <c r="BG19" s="1326"/>
      <c r="BH19" s="1326"/>
      <c r="BI19" s="1326"/>
      <c r="BJ19" s="1326"/>
      <c r="BK19" s="1326"/>
      <c r="BL19" s="1326"/>
      <c r="BM19" s="1326"/>
      <c r="BN19" s="1400"/>
      <c r="BO19" s="1682"/>
      <c r="BP19" s="1682"/>
      <c r="BQ19" s="1326"/>
      <c r="BR19" s="1682"/>
      <c r="BS19" s="1326"/>
      <c r="BT19" s="1326"/>
      <c r="BU19" s="1400"/>
      <c r="BV19" s="1683">
        <v>10876505.02</v>
      </c>
      <c r="BW19" s="1682"/>
      <c r="BX19" s="1682"/>
      <c r="BY19" s="1326"/>
      <c r="BZ19" s="1326"/>
      <c r="CA19" s="1326"/>
      <c r="CB19" s="1326"/>
      <c r="CC19" s="1326"/>
      <c r="CD19" s="1684">
        <v>67201223.040000007</v>
      </c>
      <c r="CE19" s="1684">
        <v>59902740.799999997</v>
      </c>
      <c r="CF19" s="1684">
        <v>46032718.030000001</v>
      </c>
      <c r="CG19" s="1684">
        <v>76.849999999999994</v>
      </c>
      <c r="CH19" s="1684">
        <v>13870022.77</v>
      </c>
      <c r="CI19" s="1684">
        <v>23.15</v>
      </c>
      <c r="CJ19" s="1684">
        <v>59902740.799999997</v>
      </c>
      <c r="CK19" s="1684">
        <v>100</v>
      </c>
      <c r="CL19" s="1410"/>
      <c r="CM19" s="1682"/>
      <c r="CN19" s="1400"/>
      <c r="CO19" s="1326"/>
      <c r="CP19" s="1682"/>
      <c r="CQ19" s="1684">
        <v>48507703.840000004</v>
      </c>
      <c r="CR19" s="1684">
        <v>47002958.049999997</v>
      </c>
      <c r="CS19" s="1684">
        <v>1504745.79</v>
      </c>
      <c r="CT19" s="1326"/>
      <c r="CU19" s="1682"/>
      <c r="CV19" s="1684">
        <v>63272358.810000002</v>
      </c>
      <c r="CW19" s="1684">
        <v>620</v>
      </c>
      <c r="CX19" s="1684">
        <v>2428164.25</v>
      </c>
      <c r="CY19" s="1684">
        <v>43640761.119999997</v>
      </c>
      <c r="CZ19" s="1684">
        <v>12518927.699999999</v>
      </c>
      <c r="DA19" s="1684">
        <v>3556789.09</v>
      </c>
      <c r="DB19" s="1684">
        <v>12996.32</v>
      </c>
      <c r="DC19" s="1684">
        <v>1114100.33</v>
      </c>
      <c r="DD19" s="1684">
        <v>54303673.350000001</v>
      </c>
      <c r="DE19" s="1684">
        <v>48177431.530000001</v>
      </c>
      <c r="DF19" s="1684">
        <v>46733427.93</v>
      </c>
      <c r="DG19" s="1684">
        <v>1444003.6</v>
      </c>
      <c r="DH19" s="1684">
        <v>15094927.279999999</v>
      </c>
      <c r="DI19" s="1684">
        <v>6126241.8200000003</v>
      </c>
      <c r="DJ19" s="1684">
        <v>415060.82</v>
      </c>
      <c r="DK19" s="1684">
        <v>5637510.6600000001</v>
      </c>
      <c r="DL19" s="1684">
        <v>73670.34</v>
      </c>
      <c r="DM19" s="1684">
        <v>8968685.4600000009</v>
      </c>
      <c r="DN19" s="1684">
        <v>7612685.46</v>
      </c>
      <c r="DO19" s="1684">
        <v>1356000</v>
      </c>
      <c r="DP19" s="1684">
        <v>0</v>
      </c>
      <c r="DQ19" s="1326"/>
      <c r="DR19" s="1400"/>
      <c r="DS19" s="1326"/>
      <c r="DT19" s="1682"/>
      <c r="DU19" s="1326"/>
      <c r="DV19" s="1682"/>
    </row>
    <row r="20" spans="1:126">
      <c r="A20" s="1326" t="s">
        <v>2024</v>
      </c>
      <c r="B20" s="1326" t="s">
        <v>1681</v>
      </c>
      <c r="C20" s="1326"/>
      <c r="D20" s="1326"/>
      <c r="E20" s="1326"/>
      <c r="F20" s="1326"/>
      <c r="G20" s="1326"/>
      <c r="H20" s="1326"/>
      <c r="I20" s="1326"/>
      <c r="J20" s="1326"/>
      <c r="K20" s="1682"/>
      <c r="L20" s="1682"/>
      <c r="M20" s="1326"/>
      <c r="N20" s="1326"/>
      <c r="O20" s="1326"/>
      <c r="P20" s="1326"/>
      <c r="Q20" s="1326"/>
      <c r="R20" s="1326"/>
      <c r="S20" s="1326"/>
      <c r="T20" s="1326"/>
      <c r="U20" s="1326"/>
      <c r="V20" s="1326"/>
      <c r="W20" s="1326"/>
      <c r="X20" s="1326"/>
      <c r="Y20" s="1326"/>
      <c r="Z20" s="1326"/>
      <c r="AA20" s="1326"/>
      <c r="AB20" s="1326"/>
      <c r="AC20" s="1326"/>
      <c r="AD20" s="1326"/>
      <c r="AE20" s="1326"/>
      <c r="AF20" s="1326"/>
      <c r="AG20" s="1326"/>
      <c r="AH20" s="1326"/>
      <c r="AI20" s="1326"/>
      <c r="AJ20" s="1326"/>
      <c r="AK20" s="1326"/>
      <c r="AL20" s="1326"/>
      <c r="AM20" s="1400"/>
      <c r="AN20" s="1326"/>
      <c r="AO20" s="1326"/>
      <c r="AP20" s="1326"/>
      <c r="AQ20" s="1326"/>
      <c r="AR20" s="1326"/>
      <c r="AS20" s="1326"/>
      <c r="AT20" s="1326"/>
      <c r="AU20" s="1326"/>
      <c r="AV20" s="1326"/>
      <c r="AW20" s="1326"/>
      <c r="AX20" s="1326"/>
      <c r="AY20" s="1326"/>
      <c r="AZ20" s="1326"/>
      <c r="BA20" s="1326"/>
      <c r="BB20" s="1326"/>
      <c r="BC20" s="1326"/>
      <c r="BD20" s="1326"/>
      <c r="BE20" s="1326"/>
      <c r="BF20" s="1326"/>
      <c r="BG20" s="1326"/>
      <c r="BH20" s="1326"/>
      <c r="BI20" s="1326"/>
      <c r="BJ20" s="1326"/>
      <c r="BK20" s="1326"/>
      <c r="BL20" s="1326"/>
      <c r="BM20" s="1326"/>
      <c r="BN20" s="1400"/>
      <c r="BO20" s="1682"/>
      <c r="BP20" s="1682"/>
      <c r="BQ20" s="1326"/>
      <c r="BR20" s="1682"/>
      <c r="BS20" s="1326"/>
      <c r="BT20" s="1326"/>
      <c r="BU20" s="1400"/>
      <c r="BV20" s="1683">
        <v>1800000</v>
      </c>
      <c r="BW20" s="1682"/>
      <c r="BX20" s="1682"/>
      <c r="BY20" s="1326"/>
      <c r="BZ20" s="1326"/>
      <c r="CA20" s="1326"/>
      <c r="CB20" s="1326"/>
      <c r="CC20" s="1326"/>
      <c r="CD20" s="1684">
        <v>7126609.5999999996</v>
      </c>
      <c r="CE20" s="1684">
        <v>6000000</v>
      </c>
      <c r="CF20" s="1684">
        <v>6000000</v>
      </c>
      <c r="CG20" s="1684">
        <v>100</v>
      </c>
      <c r="CH20" s="1684">
        <v>0</v>
      </c>
      <c r="CI20" s="1684">
        <v>0</v>
      </c>
      <c r="CJ20" s="1684">
        <v>6000000</v>
      </c>
      <c r="CK20" s="1684">
        <v>100</v>
      </c>
      <c r="CL20" s="1410"/>
      <c r="CM20" s="1682"/>
      <c r="CN20" s="1400"/>
      <c r="CO20" s="1326"/>
      <c r="CP20" s="1682"/>
      <c r="CQ20" s="1684">
        <v>6000000</v>
      </c>
      <c r="CR20" s="1684">
        <v>6000000</v>
      </c>
      <c r="CS20" s="1684">
        <v>0</v>
      </c>
      <c r="CT20" s="1326"/>
      <c r="CU20" s="1682"/>
      <c r="CV20" s="1684">
        <v>6000000</v>
      </c>
      <c r="CW20" s="1684">
        <v>0</v>
      </c>
      <c r="CX20" s="1684">
        <v>0</v>
      </c>
      <c r="CY20" s="1684">
        <v>145712.13</v>
      </c>
      <c r="CZ20" s="1684">
        <v>5215687.5</v>
      </c>
      <c r="DA20" s="1684">
        <v>603100</v>
      </c>
      <c r="DB20" s="1684">
        <v>308</v>
      </c>
      <c r="DC20" s="1684">
        <v>35192.370000000003</v>
      </c>
      <c r="DD20" s="1684">
        <v>6000000</v>
      </c>
      <c r="DE20" s="1684">
        <v>6000000</v>
      </c>
      <c r="DF20" s="1684">
        <v>6000000</v>
      </c>
      <c r="DG20" s="1684">
        <v>0</v>
      </c>
      <c r="DH20" s="1684">
        <v>0</v>
      </c>
      <c r="DI20" s="1684">
        <v>0</v>
      </c>
      <c r="DJ20" s="1684">
        <v>0</v>
      </c>
      <c r="DK20" s="1684">
        <v>0</v>
      </c>
      <c r="DL20" s="1684">
        <v>0</v>
      </c>
      <c r="DM20" s="1684">
        <v>0</v>
      </c>
      <c r="DN20" s="1684">
        <v>0</v>
      </c>
      <c r="DO20" s="1684">
        <v>0</v>
      </c>
      <c r="DP20" s="1684">
        <v>0</v>
      </c>
      <c r="DQ20" s="1326"/>
      <c r="DR20" s="1400"/>
      <c r="DS20" s="1326"/>
      <c r="DT20" s="1682"/>
      <c r="DU20" s="1326"/>
      <c r="DV20" s="1682"/>
    </row>
    <row r="21" spans="1:126">
      <c r="A21" s="1326" t="s">
        <v>2534</v>
      </c>
      <c r="B21" s="1326" t="s">
        <v>1681</v>
      </c>
      <c r="C21" s="1326" t="s">
        <v>2750</v>
      </c>
      <c r="D21" s="1326"/>
      <c r="E21" s="1326"/>
      <c r="F21" s="1326"/>
      <c r="G21" s="1326"/>
      <c r="H21" s="1326"/>
      <c r="I21" s="1326"/>
      <c r="J21" s="1326"/>
      <c r="K21" s="1682"/>
      <c r="L21" s="1682"/>
      <c r="M21" s="1326"/>
      <c r="N21" s="1326"/>
      <c r="O21" s="1326"/>
      <c r="P21" s="1326"/>
      <c r="Q21" s="1326"/>
      <c r="R21" s="1326"/>
      <c r="S21" s="1326"/>
      <c r="T21" s="1326"/>
      <c r="U21" s="1326"/>
      <c r="V21" s="1326"/>
      <c r="W21" s="1326"/>
      <c r="X21" s="1326"/>
      <c r="Y21" s="1326"/>
      <c r="Z21" s="1326"/>
      <c r="AA21" s="1326"/>
      <c r="AB21" s="1326"/>
      <c r="AC21" s="1326"/>
      <c r="AD21" s="1326"/>
      <c r="AE21" s="1326"/>
      <c r="AF21" s="1326"/>
      <c r="AG21" s="1326"/>
      <c r="AH21" s="1326"/>
      <c r="AI21" s="1326"/>
      <c r="AJ21" s="1326"/>
      <c r="AK21" s="1326"/>
      <c r="AL21" s="1326"/>
      <c r="AM21" s="1400"/>
      <c r="AN21" s="1326"/>
      <c r="AO21" s="1326"/>
      <c r="AP21" s="1326"/>
      <c r="AQ21" s="1326"/>
      <c r="AR21" s="1326"/>
      <c r="AS21" s="1326"/>
      <c r="AT21" s="1326"/>
      <c r="AU21" s="1326"/>
      <c r="AV21" s="1326"/>
      <c r="AW21" s="1326"/>
      <c r="AX21" s="1326"/>
      <c r="AY21" s="1326"/>
      <c r="AZ21" s="1326"/>
      <c r="BA21" s="1326"/>
      <c r="BB21" s="1326"/>
      <c r="BC21" s="1326"/>
      <c r="BD21" s="1326"/>
      <c r="BE21" s="1326"/>
      <c r="BF21" s="1326"/>
      <c r="BG21" s="1326"/>
      <c r="BH21" s="1326"/>
      <c r="BI21" s="1326"/>
      <c r="BJ21" s="1326"/>
      <c r="BK21" s="1326"/>
      <c r="BL21" s="1326"/>
      <c r="BM21" s="1326"/>
      <c r="BN21" s="1400"/>
      <c r="BO21" s="1682"/>
      <c r="BP21" s="1682"/>
      <c r="BQ21" s="1326"/>
      <c r="BR21" s="1682"/>
      <c r="BS21" s="1326"/>
      <c r="BT21" s="1326"/>
      <c r="BU21" s="1400"/>
      <c r="BV21" s="1683">
        <v>1800000</v>
      </c>
      <c r="BW21" s="1682"/>
      <c r="BX21" s="1682"/>
      <c r="BY21" s="1326"/>
      <c r="BZ21" s="1326"/>
      <c r="CA21" s="1326"/>
      <c r="CB21" s="1326"/>
      <c r="CC21" s="1326"/>
      <c r="CD21" s="1684">
        <v>7126609.5999999996</v>
      </c>
      <c r="CE21" s="1684">
        <v>6000000</v>
      </c>
      <c r="CF21" s="1684">
        <v>6000000</v>
      </c>
      <c r="CG21" s="1684">
        <v>100</v>
      </c>
      <c r="CH21" s="1684">
        <v>0</v>
      </c>
      <c r="CI21" s="1684">
        <v>0</v>
      </c>
      <c r="CJ21" s="1684">
        <v>6000000</v>
      </c>
      <c r="CK21" s="1684">
        <v>100</v>
      </c>
      <c r="CL21" s="1410"/>
      <c r="CM21" s="1682"/>
      <c r="CN21" s="1400"/>
      <c r="CO21" s="1326"/>
      <c r="CP21" s="1682"/>
      <c r="CQ21" s="1684">
        <v>6000000</v>
      </c>
      <c r="CR21" s="1684">
        <v>6000000</v>
      </c>
      <c r="CS21" s="1684">
        <v>0</v>
      </c>
      <c r="CT21" s="1326"/>
      <c r="CU21" s="1682"/>
      <c r="CV21" s="1684">
        <v>6000000</v>
      </c>
      <c r="CW21" s="1684">
        <v>0</v>
      </c>
      <c r="CX21" s="1684">
        <v>0</v>
      </c>
      <c r="CY21" s="1684">
        <v>145712.13</v>
      </c>
      <c r="CZ21" s="1684">
        <v>5215687.5</v>
      </c>
      <c r="DA21" s="1684">
        <v>603100</v>
      </c>
      <c r="DB21" s="1684">
        <v>308</v>
      </c>
      <c r="DC21" s="1684">
        <v>35192.370000000003</v>
      </c>
      <c r="DD21" s="1684">
        <v>6000000</v>
      </c>
      <c r="DE21" s="1684">
        <v>6000000</v>
      </c>
      <c r="DF21" s="1684">
        <v>6000000</v>
      </c>
      <c r="DG21" s="1684">
        <v>0</v>
      </c>
      <c r="DH21" s="1684">
        <v>0</v>
      </c>
      <c r="DI21" s="1684">
        <v>0</v>
      </c>
      <c r="DJ21" s="1684">
        <v>0</v>
      </c>
      <c r="DK21" s="1684">
        <v>0</v>
      </c>
      <c r="DL21" s="1684">
        <v>0</v>
      </c>
      <c r="DM21" s="1684">
        <v>0</v>
      </c>
      <c r="DN21" s="1684">
        <v>0</v>
      </c>
      <c r="DO21" s="1684">
        <v>0</v>
      </c>
      <c r="DP21" s="1684">
        <v>0</v>
      </c>
      <c r="DQ21" s="1326"/>
      <c r="DR21" s="1400"/>
      <c r="DS21" s="1326"/>
      <c r="DT21" s="1682"/>
      <c r="DU21" s="1326"/>
      <c r="DV21" s="1682"/>
    </row>
    <row r="22" spans="1:126">
      <c r="A22" s="1326" t="s">
        <v>2535</v>
      </c>
      <c r="B22" s="1326" t="s">
        <v>1681</v>
      </c>
      <c r="C22" s="1326" t="s">
        <v>2750</v>
      </c>
      <c r="D22" s="1326" t="s">
        <v>2751</v>
      </c>
      <c r="E22" s="1326"/>
      <c r="F22" s="1326"/>
      <c r="G22" s="1326"/>
      <c r="H22" s="1326"/>
      <c r="I22" s="1326"/>
      <c r="J22" s="1326"/>
      <c r="K22" s="1682"/>
      <c r="L22" s="1682"/>
      <c r="M22" s="1326"/>
      <c r="N22" s="1326"/>
      <c r="O22" s="1326"/>
      <c r="P22" s="1326"/>
      <c r="Q22" s="1326"/>
      <c r="R22" s="1326"/>
      <c r="S22" s="1326"/>
      <c r="T22" s="1326"/>
      <c r="U22" s="1326"/>
      <c r="V22" s="1326"/>
      <c r="W22" s="1326"/>
      <c r="X22" s="1326"/>
      <c r="Y22" s="1326"/>
      <c r="Z22" s="1326"/>
      <c r="AA22" s="1326"/>
      <c r="AB22" s="1326"/>
      <c r="AC22" s="1326"/>
      <c r="AD22" s="1326"/>
      <c r="AE22" s="1326"/>
      <c r="AF22" s="1326"/>
      <c r="AG22" s="1326"/>
      <c r="AH22" s="1326"/>
      <c r="AI22" s="1326"/>
      <c r="AJ22" s="1326"/>
      <c r="AK22" s="1326"/>
      <c r="AL22" s="1326"/>
      <c r="AM22" s="1400"/>
      <c r="AN22" s="1326"/>
      <c r="AO22" s="1326"/>
      <c r="AP22" s="1326"/>
      <c r="AQ22" s="1326"/>
      <c r="AR22" s="1326"/>
      <c r="AS22" s="1326"/>
      <c r="AT22" s="1326"/>
      <c r="AU22" s="1326"/>
      <c r="AV22" s="1326"/>
      <c r="AW22" s="1326"/>
      <c r="AX22" s="1326"/>
      <c r="AY22" s="1326"/>
      <c r="AZ22" s="1326"/>
      <c r="BA22" s="1326"/>
      <c r="BB22" s="1326"/>
      <c r="BC22" s="1326"/>
      <c r="BD22" s="1326"/>
      <c r="BE22" s="1326"/>
      <c r="BF22" s="1326"/>
      <c r="BG22" s="1326"/>
      <c r="BH22" s="1326"/>
      <c r="BI22" s="1326"/>
      <c r="BJ22" s="1326"/>
      <c r="BK22" s="1326"/>
      <c r="BL22" s="1326"/>
      <c r="BM22" s="1326"/>
      <c r="BN22" s="1400"/>
      <c r="BO22" s="1682"/>
      <c r="BP22" s="1682"/>
      <c r="BQ22" s="1326"/>
      <c r="BR22" s="1682"/>
      <c r="BS22" s="1326"/>
      <c r="BT22" s="1326"/>
      <c r="BU22" s="1400"/>
      <c r="BV22" s="1683">
        <v>1800000</v>
      </c>
      <c r="BW22" s="1682"/>
      <c r="BX22" s="1682"/>
      <c r="BY22" s="1326"/>
      <c r="BZ22" s="1326"/>
      <c r="CA22" s="1326"/>
      <c r="CB22" s="1326"/>
      <c r="CC22" s="1326"/>
      <c r="CD22" s="1684">
        <v>7126609.5999999996</v>
      </c>
      <c r="CE22" s="1684">
        <v>6000000</v>
      </c>
      <c r="CF22" s="1684">
        <v>6000000</v>
      </c>
      <c r="CG22" s="1684">
        <v>100</v>
      </c>
      <c r="CH22" s="1684">
        <v>0</v>
      </c>
      <c r="CI22" s="1684">
        <v>0</v>
      </c>
      <c r="CJ22" s="1684">
        <v>6000000</v>
      </c>
      <c r="CK22" s="1684">
        <v>100</v>
      </c>
      <c r="CL22" s="1410"/>
      <c r="CM22" s="1682"/>
      <c r="CN22" s="1400"/>
      <c r="CO22" s="1326"/>
      <c r="CP22" s="1682"/>
      <c r="CQ22" s="1684">
        <v>6000000</v>
      </c>
      <c r="CR22" s="1684">
        <v>6000000</v>
      </c>
      <c r="CS22" s="1684">
        <v>0</v>
      </c>
      <c r="CT22" s="1326"/>
      <c r="CU22" s="1682"/>
      <c r="CV22" s="1684">
        <v>6000000</v>
      </c>
      <c r="CW22" s="1684">
        <v>0</v>
      </c>
      <c r="CX22" s="1684">
        <v>0</v>
      </c>
      <c r="CY22" s="1684">
        <v>145712.13</v>
      </c>
      <c r="CZ22" s="1684">
        <v>5215687.5</v>
      </c>
      <c r="DA22" s="1684">
        <v>603100</v>
      </c>
      <c r="DB22" s="1684">
        <v>308</v>
      </c>
      <c r="DC22" s="1684">
        <v>35192.370000000003</v>
      </c>
      <c r="DD22" s="1684">
        <v>6000000</v>
      </c>
      <c r="DE22" s="1684">
        <v>6000000</v>
      </c>
      <c r="DF22" s="1684">
        <v>6000000</v>
      </c>
      <c r="DG22" s="1684">
        <v>0</v>
      </c>
      <c r="DH22" s="1684">
        <v>0</v>
      </c>
      <c r="DI22" s="1684">
        <v>0</v>
      </c>
      <c r="DJ22" s="1684">
        <v>0</v>
      </c>
      <c r="DK22" s="1684">
        <v>0</v>
      </c>
      <c r="DL22" s="1684">
        <v>0</v>
      </c>
      <c r="DM22" s="1684">
        <v>0</v>
      </c>
      <c r="DN22" s="1684">
        <v>0</v>
      </c>
      <c r="DO22" s="1684">
        <v>0</v>
      </c>
      <c r="DP22" s="1684">
        <v>0</v>
      </c>
      <c r="DQ22" s="1326"/>
      <c r="DR22" s="1400"/>
      <c r="DS22" s="1326"/>
      <c r="DT22" s="1682"/>
      <c r="DU22" s="1326"/>
      <c r="DV22" s="1682"/>
    </row>
    <row r="23" spans="1:126" ht="56.25">
      <c r="A23" s="1326" t="s">
        <v>2536</v>
      </c>
      <c r="B23" s="1326" t="s">
        <v>1681</v>
      </c>
      <c r="C23" s="1326" t="s">
        <v>2750</v>
      </c>
      <c r="D23" s="1326" t="s">
        <v>2751</v>
      </c>
      <c r="E23" s="1326" t="s">
        <v>2752</v>
      </c>
      <c r="F23" s="1326" t="s">
        <v>2753</v>
      </c>
      <c r="G23" s="1326"/>
      <c r="H23" s="1326"/>
      <c r="I23" s="1326"/>
      <c r="J23" s="1326"/>
      <c r="K23" s="1682"/>
      <c r="L23" s="1682"/>
      <c r="M23" s="1326"/>
      <c r="N23" s="1326"/>
      <c r="O23" s="1326"/>
      <c r="P23" s="1326"/>
      <c r="Q23" s="1326"/>
      <c r="R23" s="1326"/>
      <c r="S23" s="1326"/>
      <c r="T23" s="1326"/>
      <c r="U23" s="1326"/>
      <c r="V23" s="1326"/>
      <c r="W23" s="1326"/>
      <c r="X23" s="1326"/>
      <c r="Y23" s="1326"/>
      <c r="Z23" s="1326"/>
      <c r="AA23" s="1326"/>
      <c r="AB23" s="1326"/>
      <c r="AC23" s="1326"/>
      <c r="AD23" s="1326"/>
      <c r="AE23" s="1326"/>
      <c r="AF23" s="1326"/>
      <c r="AG23" s="1326"/>
      <c r="AH23" s="1326"/>
      <c r="AI23" s="1326"/>
      <c r="AJ23" s="1326"/>
      <c r="AK23" s="1326"/>
      <c r="AL23" s="1326"/>
      <c r="AM23" s="1400"/>
      <c r="AN23" s="1326"/>
      <c r="AO23" s="1326"/>
      <c r="AP23" s="1326"/>
      <c r="AQ23" s="1326"/>
      <c r="AR23" s="1326"/>
      <c r="AS23" s="1326"/>
      <c r="AT23" s="1326"/>
      <c r="AU23" s="1326"/>
      <c r="AV23" s="1326"/>
      <c r="AW23" s="1326"/>
      <c r="AX23" s="1326"/>
      <c r="AY23" s="1326"/>
      <c r="AZ23" s="1326"/>
      <c r="BA23" s="1326"/>
      <c r="BB23" s="1326"/>
      <c r="BC23" s="1326"/>
      <c r="BD23" s="1326"/>
      <c r="BE23" s="1326"/>
      <c r="BF23" s="1326"/>
      <c r="BG23" s="1326"/>
      <c r="BH23" s="1326"/>
      <c r="BI23" s="1326"/>
      <c r="BJ23" s="1326"/>
      <c r="BK23" s="1326"/>
      <c r="BL23" s="1326"/>
      <c r="BM23" s="1326"/>
      <c r="BN23" s="1400"/>
      <c r="BO23" s="1682"/>
      <c r="BP23" s="1682"/>
      <c r="BQ23" s="1326"/>
      <c r="BR23" s="1682"/>
      <c r="BS23" s="1326"/>
      <c r="BT23" s="1326"/>
      <c r="BU23" s="1400"/>
      <c r="BV23" s="1683">
        <v>1800000</v>
      </c>
      <c r="BW23" s="1682"/>
      <c r="BX23" s="1682"/>
      <c r="BY23" s="1326"/>
      <c r="BZ23" s="1326"/>
      <c r="CA23" s="1326"/>
      <c r="CB23" s="1326"/>
      <c r="CC23" s="1326"/>
      <c r="CD23" s="1684">
        <v>7126609.5999999996</v>
      </c>
      <c r="CE23" s="1684">
        <v>6000000</v>
      </c>
      <c r="CF23" s="1684">
        <v>6000000</v>
      </c>
      <c r="CG23" s="1684">
        <v>100</v>
      </c>
      <c r="CH23" s="1684">
        <v>0</v>
      </c>
      <c r="CI23" s="1684">
        <v>0</v>
      </c>
      <c r="CJ23" s="1684">
        <v>6000000</v>
      </c>
      <c r="CK23" s="1684">
        <v>100</v>
      </c>
      <c r="CL23" s="1410"/>
      <c r="CM23" s="1682"/>
      <c r="CN23" s="1400"/>
      <c r="CO23" s="1326"/>
      <c r="CP23" s="1682"/>
      <c r="CQ23" s="1684">
        <v>6000000</v>
      </c>
      <c r="CR23" s="1684">
        <v>6000000</v>
      </c>
      <c r="CS23" s="1684">
        <v>0</v>
      </c>
      <c r="CT23" s="1326"/>
      <c r="CU23" s="1682"/>
      <c r="CV23" s="1684">
        <v>6000000</v>
      </c>
      <c r="CW23" s="1684">
        <v>0</v>
      </c>
      <c r="CX23" s="1684">
        <v>0</v>
      </c>
      <c r="CY23" s="1684">
        <v>145712.13</v>
      </c>
      <c r="CZ23" s="1684">
        <v>5215687.5</v>
      </c>
      <c r="DA23" s="1684">
        <v>603100</v>
      </c>
      <c r="DB23" s="1684">
        <v>308</v>
      </c>
      <c r="DC23" s="1684">
        <v>35192.370000000003</v>
      </c>
      <c r="DD23" s="1684">
        <v>6000000</v>
      </c>
      <c r="DE23" s="1684">
        <v>6000000</v>
      </c>
      <c r="DF23" s="1684">
        <v>6000000</v>
      </c>
      <c r="DG23" s="1684">
        <v>0</v>
      </c>
      <c r="DH23" s="1684">
        <v>0</v>
      </c>
      <c r="DI23" s="1684">
        <v>0</v>
      </c>
      <c r="DJ23" s="1684">
        <v>0</v>
      </c>
      <c r="DK23" s="1684">
        <v>0</v>
      </c>
      <c r="DL23" s="1684">
        <v>0</v>
      </c>
      <c r="DM23" s="1684">
        <v>0</v>
      </c>
      <c r="DN23" s="1684">
        <v>0</v>
      </c>
      <c r="DO23" s="1684">
        <v>0</v>
      </c>
      <c r="DP23" s="1684">
        <v>0</v>
      </c>
      <c r="DQ23" s="1326"/>
      <c r="DR23" s="1400"/>
      <c r="DS23" s="1326"/>
      <c r="DT23" s="1682"/>
      <c r="DU23" s="1326"/>
      <c r="DV23" s="1682"/>
    </row>
    <row r="24" spans="1:126" ht="123.75">
      <c r="A24" s="1326" t="s">
        <v>2025</v>
      </c>
      <c r="B24" s="1326" t="s">
        <v>1681</v>
      </c>
      <c r="C24" s="1326" t="s">
        <v>2750</v>
      </c>
      <c r="D24" s="1326" t="s">
        <v>2751</v>
      </c>
      <c r="E24" s="1326" t="s">
        <v>2752</v>
      </c>
      <c r="F24" s="1326" t="s">
        <v>2753</v>
      </c>
      <c r="G24" s="1326" t="s">
        <v>2582</v>
      </c>
      <c r="H24" s="1326" t="s">
        <v>2556</v>
      </c>
      <c r="I24" s="1326" t="s">
        <v>2541</v>
      </c>
      <c r="J24" s="1326" t="s">
        <v>2754</v>
      </c>
      <c r="K24" s="1685">
        <v>43245</v>
      </c>
      <c r="L24" s="1685">
        <v>43340</v>
      </c>
      <c r="M24" s="1326" t="s">
        <v>2755</v>
      </c>
      <c r="N24" s="1326" t="s">
        <v>2061</v>
      </c>
      <c r="O24" s="1326" t="s">
        <v>2756</v>
      </c>
      <c r="P24" s="1326" t="s">
        <v>2757</v>
      </c>
      <c r="Q24" s="1326" t="s">
        <v>1736</v>
      </c>
      <c r="R24" s="1326" t="s">
        <v>2757</v>
      </c>
      <c r="S24" s="1326" t="s">
        <v>2757</v>
      </c>
      <c r="T24" s="1326"/>
      <c r="U24" s="1326" t="s">
        <v>2758</v>
      </c>
      <c r="V24" s="1326" t="s">
        <v>2757</v>
      </c>
      <c r="W24" s="1326" t="s">
        <v>2757</v>
      </c>
      <c r="X24" s="1326"/>
      <c r="Y24" s="1326" t="s">
        <v>2757</v>
      </c>
      <c r="Z24" s="1326"/>
      <c r="AA24" s="1326"/>
      <c r="AB24" s="1326" t="s">
        <v>2757</v>
      </c>
      <c r="AC24" s="1326" t="s">
        <v>2757</v>
      </c>
      <c r="AD24" s="1326" t="s">
        <v>2757</v>
      </c>
      <c r="AE24" s="1326"/>
      <c r="AF24" s="1326" t="s">
        <v>2759</v>
      </c>
      <c r="AG24" s="1326" t="s">
        <v>2760</v>
      </c>
      <c r="AH24" s="1326" t="s">
        <v>2761</v>
      </c>
      <c r="AI24" s="1326" t="s">
        <v>2762</v>
      </c>
      <c r="AJ24" s="1326" t="s">
        <v>2763</v>
      </c>
      <c r="AK24" s="1326" t="s">
        <v>2764</v>
      </c>
      <c r="AL24" s="1326" t="s">
        <v>2765</v>
      </c>
      <c r="AM24" s="1683">
        <v>100</v>
      </c>
      <c r="AN24" s="1326"/>
      <c r="AO24" s="1326"/>
      <c r="AP24" s="1326"/>
      <c r="AQ24" s="1326"/>
      <c r="AR24" s="1326"/>
      <c r="AS24" s="1326"/>
      <c r="AT24" s="1326" t="s">
        <v>2766</v>
      </c>
      <c r="AU24" s="1326" t="s">
        <v>2766</v>
      </c>
      <c r="AV24" s="1326" t="s">
        <v>2767</v>
      </c>
      <c r="AW24" s="1326"/>
      <c r="AX24" s="1326" t="s">
        <v>2768</v>
      </c>
      <c r="AY24" s="1326" t="s">
        <v>2769</v>
      </c>
      <c r="AZ24" s="1326" t="s">
        <v>2770</v>
      </c>
      <c r="BA24" s="1326" t="s">
        <v>2771</v>
      </c>
      <c r="BB24" s="1326" t="s">
        <v>2757</v>
      </c>
      <c r="BC24" s="1326" t="s">
        <v>2772</v>
      </c>
      <c r="BD24" s="1326" t="s">
        <v>2773</v>
      </c>
      <c r="BE24" s="1326" t="s">
        <v>2774</v>
      </c>
      <c r="BF24" s="1326" t="s">
        <v>2775</v>
      </c>
      <c r="BG24" s="1326" t="s">
        <v>2776</v>
      </c>
      <c r="BH24" s="1326" t="s">
        <v>2024</v>
      </c>
      <c r="BI24" s="1326" t="s">
        <v>2777</v>
      </c>
      <c r="BJ24" s="1326" t="s">
        <v>2778</v>
      </c>
      <c r="BK24" s="1326" t="s">
        <v>2766</v>
      </c>
      <c r="BL24" s="1326" t="s">
        <v>2757</v>
      </c>
      <c r="BM24" s="1326" t="s">
        <v>2757</v>
      </c>
      <c r="BN24" s="1683">
        <v>0</v>
      </c>
      <c r="BO24" s="1685">
        <v>42695</v>
      </c>
      <c r="BP24" s="1685">
        <v>44439</v>
      </c>
      <c r="BQ24" s="1326" t="s">
        <v>2779</v>
      </c>
      <c r="BR24" s="1685">
        <v>46752</v>
      </c>
      <c r="BS24" s="1326" t="s">
        <v>2780</v>
      </c>
      <c r="BT24" s="1326" t="s">
        <v>2781</v>
      </c>
      <c r="BU24" s="1683">
        <v>30</v>
      </c>
      <c r="BV24" s="1683">
        <v>1800000</v>
      </c>
      <c r="BW24" s="1685">
        <v>44469</v>
      </c>
      <c r="BX24" s="1682"/>
      <c r="BY24" s="1326" t="s">
        <v>2052</v>
      </c>
      <c r="BZ24" s="1326" t="s">
        <v>2782</v>
      </c>
      <c r="CA24" s="1326" t="s">
        <v>2783</v>
      </c>
      <c r="CB24" s="1326" t="s">
        <v>2783</v>
      </c>
      <c r="CC24" s="1326" t="s">
        <v>2784</v>
      </c>
      <c r="CD24" s="1684">
        <v>7126609.5999999996</v>
      </c>
      <c r="CE24" s="1684">
        <v>6000000</v>
      </c>
      <c r="CF24" s="1684">
        <v>6000000</v>
      </c>
      <c r="CG24" s="1684">
        <v>100</v>
      </c>
      <c r="CH24" s="1684">
        <v>0</v>
      </c>
      <c r="CI24" s="1684">
        <v>0</v>
      </c>
      <c r="CJ24" s="1684">
        <v>6000000</v>
      </c>
      <c r="CK24" s="1684">
        <v>100</v>
      </c>
      <c r="CL24" s="1410" t="s">
        <v>2785</v>
      </c>
      <c r="CM24" s="1686">
        <v>43301</v>
      </c>
      <c r="CN24" s="1400"/>
      <c r="CO24" s="1326"/>
      <c r="CP24" s="1682"/>
      <c r="CQ24" s="1684">
        <v>6000000</v>
      </c>
      <c r="CR24" s="1684">
        <v>6000000</v>
      </c>
      <c r="CS24" s="1684">
        <v>0</v>
      </c>
      <c r="CT24" s="1326" t="s">
        <v>2785</v>
      </c>
      <c r="CU24" s="1686">
        <v>43312</v>
      </c>
      <c r="CV24" s="1684">
        <v>6000000</v>
      </c>
      <c r="CW24" s="1684">
        <v>0</v>
      </c>
      <c r="CX24" s="1684">
        <v>0</v>
      </c>
      <c r="CY24" s="1684">
        <v>145712.13</v>
      </c>
      <c r="CZ24" s="1684">
        <v>5215687.5</v>
      </c>
      <c r="DA24" s="1684">
        <v>603100</v>
      </c>
      <c r="DB24" s="1684">
        <v>308</v>
      </c>
      <c r="DC24" s="1684">
        <v>35192.370000000003</v>
      </c>
      <c r="DD24" s="1684">
        <v>6000000</v>
      </c>
      <c r="DE24" s="1684">
        <v>6000000</v>
      </c>
      <c r="DF24" s="1684">
        <v>6000000</v>
      </c>
      <c r="DG24" s="1684">
        <v>0</v>
      </c>
      <c r="DH24" s="1684">
        <v>0</v>
      </c>
      <c r="DI24" s="1684">
        <v>0</v>
      </c>
      <c r="DJ24" s="1684">
        <v>0</v>
      </c>
      <c r="DK24" s="1684">
        <v>0</v>
      </c>
      <c r="DL24" s="1684">
        <v>0</v>
      </c>
      <c r="DM24" s="1684">
        <v>0</v>
      </c>
      <c r="DN24" s="1684">
        <v>0</v>
      </c>
      <c r="DO24" s="1684">
        <v>0</v>
      </c>
      <c r="DP24" s="1684">
        <v>0</v>
      </c>
      <c r="DQ24" s="1326" t="s">
        <v>2786</v>
      </c>
      <c r="DR24" s="1684">
        <v>1126609.6000000001</v>
      </c>
      <c r="DS24" s="1326" t="s">
        <v>2785</v>
      </c>
      <c r="DT24" s="1682" t="s">
        <v>2787</v>
      </c>
      <c r="DU24" s="1326" t="s">
        <v>2785</v>
      </c>
      <c r="DV24" s="1686">
        <v>43704</v>
      </c>
    </row>
    <row r="25" spans="1:126">
      <c r="A25" s="1326" t="s">
        <v>2072</v>
      </c>
      <c r="B25" s="1326" t="s">
        <v>1690</v>
      </c>
      <c r="C25" s="1326"/>
      <c r="D25" s="1326"/>
      <c r="E25" s="1326"/>
      <c r="F25" s="1326"/>
      <c r="G25" s="1326"/>
      <c r="H25" s="1326"/>
      <c r="I25" s="1326"/>
      <c r="J25" s="1326"/>
      <c r="K25" s="1682"/>
      <c r="L25" s="1682"/>
      <c r="M25" s="1326"/>
      <c r="N25" s="1326"/>
      <c r="O25" s="1326"/>
      <c r="P25" s="1326"/>
      <c r="Q25" s="1326"/>
      <c r="R25" s="1326"/>
      <c r="S25" s="1326"/>
      <c r="T25" s="1326"/>
      <c r="U25" s="1326"/>
      <c r="V25" s="1326"/>
      <c r="W25" s="1326"/>
      <c r="X25" s="1326"/>
      <c r="Y25" s="1326"/>
      <c r="Z25" s="1326"/>
      <c r="AA25" s="1326"/>
      <c r="AB25" s="1326"/>
      <c r="AC25" s="1326"/>
      <c r="AD25" s="1326"/>
      <c r="AE25" s="1326"/>
      <c r="AF25" s="1326"/>
      <c r="AG25" s="1326"/>
      <c r="AH25" s="1326"/>
      <c r="AI25" s="1326"/>
      <c r="AJ25" s="1326"/>
      <c r="AK25" s="1326"/>
      <c r="AL25" s="1326"/>
      <c r="AM25" s="1400"/>
      <c r="AN25" s="1326"/>
      <c r="AO25" s="1326"/>
      <c r="AP25" s="1326"/>
      <c r="AQ25" s="1326"/>
      <c r="AR25" s="1326"/>
      <c r="AS25" s="1326"/>
      <c r="AT25" s="1326"/>
      <c r="AU25" s="1326"/>
      <c r="AV25" s="1326"/>
      <c r="AW25" s="1326"/>
      <c r="AX25" s="1326"/>
      <c r="AY25" s="1326"/>
      <c r="AZ25" s="1326"/>
      <c r="BA25" s="1326"/>
      <c r="BB25" s="1326"/>
      <c r="BC25" s="1326"/>
      <c r="BD25" s="1326"/>
      <c r="BE25" s="1326"/>
      <c r="BF25" s="1326"/>
      <c r="BG25" s="1326"/>
      <c r="BH25" s="1326"/>
      <c r="BI25" s="1326"/>
      <c r="BJ25" s="1326"/>
      <c r="BK25" s="1326"/>
      <c r="BL25" s="1326"/>
      <c r="BM25" s="1326"/>
      <c r="BN25" s="1400"/>
      <c r="BO25" s="1682"/>
      <c r="BP25" s="1682"/>
      <c r="BQ25" s="1326"/>
      <c r="BR25" s="1682"/>
      <c r="BS25" s="1326"/>
      <c r="BT25" s="1326"/>
      <c r="BU25" s="1400"/>
      <c r="BV25" s="1683">
        <v>180895.2</v>
      </c>
      <c r="BW25" s="1682"/>
      <c r="BX25" s="1682"/>
      <c r="BY25" s="1326"/>
      <c r="BZ25" s="1326"/>
      <c r="CA25" s="1326"/>
      <c r="CB25" s="1326"/>
      <c r="CC25" s="1326"/>
      <c r="CD25" s="1684">
        <v>1639477.44</v>
      </c>
      <c r="CE25" s="1684">
        <v>1334043.05</v>
      </c>
      <c r="CF25" s="1684">
        <v>955021.69</v>
      </c>
      <c r="CG25" s="1684">
        <v>71.59</v>
      </c>
      <c r="CH25" s="1684">
        <v>379021.36</v>
      </c>
      <c r="CI25" s="1684">
        <v>28.41</v>
      </c>
      <c r="CJ25" s="1684">
        <v>1334043.05</v>
      </c>
      <c r="CK25" s="1684">
        <v>100</v>
      </c>
      <c r="CL25" s="1410"/>
      <c r="CM25" s="1682"/>
      <c r="CN25" s="1400"/>
      <c r="CO25" s="1326"/>
      <c r="CP25" s="1682"/>
      <c r="CQ25" s="1684">
        <v>955021.69</v>
      </c>
      <c r="CR25" s="1684">
        <v>955021.69</v>
      </c>
      <c r="CS25" s="1684">
        <v>0</v>
      </c>
      <c r="CT25" s="1326"/>
      <c r="CU25" s="1682"/>
      <c r="CV25" s="1684">
        <v>1334043.05</v>
      </c>
      <c r="CW25" s="1684">
        <v>0</v>
      </c>
      <c r="CX25" s="1684">
        <v>0</v>
      </c>
      <c r="CY25" s="1684">
        <v>421638.05</v>
      </c>
      <c r="CZ25" s="1684">
        <v>906110</v>
      </c>
      <c r="DA25" s="1684">
        <v>6050</v>
      </c>
      <c r="DB25" s="1684">
        <v>245</v>
      </c>
      <c r="DC25" s="1684">
        <v>0</v>
      </c>
      <c r="DD25" s="1684">
        <v>1057346.05</v>
      </c>
      <c r="DE25" s="1684">
        <v>955021.69</v>
      </c>
      <c r="DF25" s="1684">
        <v>955021.69</v>
      </c>
      <c r="DG25" s="1684">
        <v>0</v>
      </c>
      <c r="DH25" s="1684">
        <v>379021.36</v>
      </c>
      <c r="DI25" s="1684">
        <v>102324.36</v>
      </c>
      <c r="DJ25" s="1684">
        <v>0</v>
      </c>
      <c r="DK25" s="1684">
        <v>102324.36</v>
      </c>
      <c r="DL25" s="1684">
        <v>0</v>
      </c>
      <c r="DM25" s="1684">
        <v>276697</v>
      </c>
      <c r="DN25" s="1684">
        <v>276697</v>
      </c>
      <c r="DO25" s="1684">
        <v>0</v>
      </c>
      <c r="DP25" s="1684">
        <v>0</v>
      </c>
      <c r="DQ25" s="1326"/>
      <c r="DR25" s="1400"/>
      <c r="DS25" s="1326"/>
      <c r="DT25" s="1682"/>
      <c r="DU25" s="1326"/>
      <c r="DV25" s="1682"/>
    </row>
    <row r="26" spans="1:126">
      <c r="A26" s="1326" t="s">
        <v>2074</v>
      </c>
      <c r="B26" s="1326" t="s">
        <v>1690</v>
      </c>
      <c r="C26" s="1326" t="s">
        <v>2537</v>
      </c>
      <c r="D26" s="1326"/>
      <c r="E26" s="1326"/>
      <c r="F26" s="1326"/>
      <c r="G26" s="1326"/>
      <c r="H26" s="1326"/>
      <c r="I26" s="1326"/>
      <c r="J26" s="1326"/>
      <c r="K26" s="1682"/>
      <c r="L26" s="1682"/>
      <c r="M26" s="1326"/>
      <c r="N26" s="1326"/>
      <c r="O26" s="1326"/>
      <c r="P26" s="1326"/>
      <c r="Q26" s="1326"/>
      <c r="R26" s="1326"/>
      <c r="S26" s="1326"/>
      <c r="T26" s="1326"/>
      <c r="U26" s="1326"/>
      <c r="V26" s="1326"/>
      <c r="W26" s="1326"/>
      <c r="X26" s="1326"/>
      <c r="Y26" s="1326"/>
      <c r="Z26" s="1326"/>
      <c r="AA26" s="1326"/>
      <c r="AB26" s="1326"/>
      <c r="AC26" s="1326"/>
      <c r="AD26" s="1326"/>
      <c r="AE26" s="1326"/>
      <c r="AF26" s="1326"/>
      <c r="AG26" s="1326"/>
      <c r="AH26" s="1326"/>
      <c r="AI26" s="1326"/>
      <c r="AJ26" s="1326"/>
      <c r="AK26" s="1326"/>
      <c r="AL26" s="1326"/>
      <c r="AM26" s="1400"/>
      <c r="AN26" s="1326"/>
      <c r="AO26" s="1326"/>
      <c r="AP26" s="1326"/>
      <c r="AQ26" s="1326"/>
      <c r="AR26" s="1326"/>
      <c r="AS26" s="1326"/>
      <c r="AT26" s="1326"/>
      <c r="AU26" s="1326"/>
      <c r="AV26" s="1326"/>
      <c r="AW26" s="1326"/>
      <c r="AX26" s="1326"/>
      <c r="AY26" s="1326"/>
      <c r="AZ26" s="1326"/>
      <c r="BA26" s="1326"/>
      <c r="BB26" s="1326"/>
      <c r="BC26" s="1326"/>
      <c r="BD26" s="1326"/>
      <c r="BE26" s="1326"/>
      <c r="BF26" s="1326"/>
      <c r="BG26" s="1326"/>
      <c r="BH26" s="1326"/>
      <c r="BI26" s="1326"/>
      <c r="BJ26" s="1326"/>
      <c r="BK26" s="1326"/>
      <c r="BL26" s="1326"/>
      <c r="BM26" s="1326"/>
      <c r="BN26" s="1400"/>
      <c r="BO26" s="1682"/>
      <c r="BP26" s="1682"/>
      <c r="BQ26" s="1326"/>
      <c r="BR26" s="1682"/>
      <c r="BS26" s="1326"/>
      <c r="BT26" s="1326"/>
      <c r="BU26" s="1400"/>
      <c r="BV26" s="1683">
        <v>180895.2</v>
      </c>
      <c r="BW26" s="1682"/>
      <c r="BX26" s="1682"/>
      <c r="BY26" s="1326"/>
      <c r="BZ26" s="1326"/>
      <c r="CA26" s="1326"/>
      <c r="CB26" s="1326"/>
      <c r="CC26" s="1326"/>
      <c r="CD26" s="1684">
        <v>1639477.44</v>
      </c>
      <c r="CE26" s="1684">
        <v>1334043.05</v>
      </c>
      <c r="CF26" s="1684">
        <v>955021.69</v>
      </c>
      <c r="CG26" s="1684">
        <v>71.59</v>
      </c>
      <c r="CH26" s="1684">
        <v>379021.36</v>
      </c>
      <c r="CI26" s="1684">
        <v>28.41</v>
      </c>
      <c r="CJ26" s="1684">
        <v>1334043.05</v>
      </c>
      <c r="CK26" s="1684">
        <v>100</v>
      </c>
      <c r="CL26" s="1410"/>
      <c r="CM26" s="1682"/>
      <c r="CN26" s="1400"/>
      <c r="CO26" s="1326"/>
      <c r="CP26" s="1682"/>
      <c r="CQ26" s="1684">
        <v>955021.69</v>
      </c>
      <c r="CR26" s="1684">
        <v>955021.69</v>
      </c>
      <c r="CS26" s="1684">
        <v>0</v>
      </c>
      <c r="CT26" s="1326"/>
      <c r="CU26" s="1682"/>
      <c r="CV26" s="1684">
        <v>1334043.05</v>
      </c>
      <c r="CW26" s="1684">
        <v>0</v>
      </c>
      <c r="CX26" s="1684">
        <v>0</v>
      </c>
      <c r="CY26" s="1684">
        <v>421638.05</v>
      </c>
      <c r="CZ26" s="1684">
        <v>906110</v>
      </c>
      <c r="DA26" s="1684">
        <v>6050</v>
      </c>
      <c r="DB26" s="1684">
        <v>245</v>
      </c>
      <c r="DC26" s="1684">
        <v>0</v>
      </c>
      <c r="DD26" s="1684">
        <v>1057346.05</v>
      </c>
      <c r="DE26" s="1684">
        <v>955021.69</v>
      </c>
      <c r="DF26" s="1684">
        <v>955021.69</v>
      </c>
      <c r="DG26" s="1684">
        <v>0</v>
      </c>
      <c r="DH26" s="1684">
        <v>379021.36</v>
      </c>
      <c r="DI26" s="1684">
        <v>102324.36</v>
      </c>
      <c r="DJ26" s="1684">
        <v>0</v>
      </c>
      <c r="DK26" s="1684">
        <v>102324.36</v>
      </c>
      <c r="DL26" s="1684">
        <v>0</v>
      </c>
      <c r="DM26" s="1684">
        <v>276697</v>
      </c>
      <c r="DN26" s="1684">
        <v>276697</v>
      </c>
      <c r="DO26" s="1684">
        <v>0</v>
      </c>
      <c r="DP26" s="1684">
        <v>0</v>
      </c>
      <c r="DQ26" s="1326"/>
      <c r="DR26" s="1400"/>
      <c r="DS26" s="1326"/>
      <c r="DT26" s="1682"/>
      <c r="DU26" s="1326"/>
      <c r="DV26" s="1682"/>
    </row>
    <row r="27" spans="1:126">
      <c r="A27" s="1326" t="s">
        <v>2075</v>
      </c>
      <c r="B27" s="1326" t="s">
        <v>1690</v>
      </c>
      <c r="C27" s="1326" t="s">
        <v>2537</v>
      </c>
      <c r="D27" s="1326" t="s">
        <v>2538</v>
      </c>
      <c r="E27" s="1326"/>
      <c r="F27" s="1326"/>
      <c r="G27" s="1326"/>
      <c r="H27" s="1326"/>
      <c r="I27" s="1326"/>
      <c r="J27" s="1326"/>
      <c r="K27" s="1682"/>
      <c r="L27" s="1682"/>
      <c r="M27" s="1326"/>
      <c r="N27" s="1326"/>
      <c r="O27" s="1326"/>
      <c r="P27" s="1326"/>
      <c r="Q27" s="1326"/>
      <c r="R27" s="1326"/>
      <c r="S27" s="1326"/>
      <c r="T27" s="1326"/>
      <c r="U27" s="1326"/>
      <c r="V27" s="1326"/>
      <c r="W27" s="1326"/>
      <c r="X27" s="1326"/>
      <c r="Y27" s="1326"/>
      <c r="Z27" s="1326"/>
      <c r="AA27" s="1326"/>
      <c r="AB27" s="1326"/>
      <c r="AC27" s="1326"/>
      <c r="AD27" s="1326"/>
      <c r="AE27" s="1326"/>
      <c r="AF27" s="1326"/>
      <c r="AG27" s="1326"/>
      <c r="AH27" s="1326"/>
      <c r="AI27" s="1326"/>
      <c r="AJ27" s="1326"/>
      <c r="AK27" s="1326"/>
      <c r="AL27" s="1326"/>
      <c r="AM27" s="1400"/>
      <c r="AN27" s="1326"/>
      <c r="AO27" s="1326"/>
      <c r="AP27" s="1326"/>
      <c r="AQ27" s="1326"/>
      <c r="AR27" s="1326"/>
      <c r="AS27" s="1326"/>
      <c r="AT27" s="1326"/>
      <c r="AU27" s="1326"/>
      <c r="AV27" s="1326"/>
      <c r="AW27" s="1326"/>
      <c r="AX27" s="1326"/>
      <c r="AY27" s="1326"/>
      <c r="AZ27" s="1326"/>
      <c r="BA27" s="1326"/>
      <c r="BB27" s="1326"/>
      <c r="BC27" s="1326"/>
      <c r="BD27" s="1326"/>
      <c r="BE27" s="1326"/>
      <c r="BF27" s="1326"/>
      <c r="BG27" s="1326"/>
      <c r="BH27" s="1326"/>
      <c r="BI27" s="1326"/>
      <c r="BJ27" s="1326"/>
      <c r="BK27" s="1326"/>
      <c r="BL27" s="1326"/>
      <c r="BM27" s="1326"/>
      <c r="BN27" s="1400"/>
      <c r="BO27" s="1682"/>
      <c r="BP27" s="1682"/>
      <c r="BQ27" s="1326"/>
      <c r="BR27" s="1682"/>
      <c r="BS27" s="1326"/>
      <c r="BT27" s="1326"/>
      <c r="BU27" s="1400"/>
      <c r="BV27" s="1683">
        <v>180895.2</v>
      </c>
      <c r="BW27" s="1682"/>
      <c r="BX27" s="1682"/>
      <c r="BY27" s="1326"/>
      <c r="BZ27" s="1326"/>
      <c r="CA27" s="1326"/>
      <c r="CB27" s="1326"/>
      <c r="CC27" s="1326"/>
      <c r="CD27" s="1684">
        <v>1639477.44</v>
      </c>
      <c r="CE27" s="1684">
        <v>1334043.05</v>
      </c>
      <c r="CF27" s="1684">
        <v>955021.69</v>
      </c>
      <c r="CG27" s="1684">
        <v>71.59</v>
      </c>
      <c r="CH27" s="1684">
        <v>379021.36</v>
      </c>
      <c r="CI27" s="1684">
        <v>28.41</v>
      </c>
      <c r="CJ27" s="1684">
        <v>1334043.05</v>
      </c>
      <c r="CK27" s="1684">
        <v>100</v>
      </c>
      <c r="CL27" s="1410"/>
      <c r="CM27" s="1682"/>
      <c r="CN27" s="1400"/>
      <c r="CO27" s="1326"/>
      <c r="CP27" s="1682"/>
      <c r="CQ27" s="1684">
        <v>955021.69</v>
      </c>
      <c r="CR27" s="1684">
        <v>955021.69</v>
      </c>
      <c r="CS27" s="1684">
        <v>0</v>
      </c>
      <c r="CT27" s="1326"/>
      <c r="CU27" s="1682"/>
      <c r="CV27" s="1684">
        <v>1334043.05</v>
      </c>
      <c r="CW27" s="1684">
        <v>0</v>
      </c>
      <c r="CX27" s="1684">
        <v>0</v>
      </c>
      <c r="CY27" s="1684">
        <v>421638.05</v>
      </c>
      <c r="CZ27" s="1684">
        <v>906110</v>
      </c>
      <c r="DA27" s="1684">
        <v>6050</v>
      </c>
      <c r="DB27" s="1684">
        <v>245</v>
      </c>
      <c r="DC27" s="1684">
        <v>0</v>
      </c>
      <c r="DD27" s="1684">
        <v>1057346.05</v>
      </c>
      <c r="DE27" s="1684">
        <v>955021.69</v>
      </c>
      <c r="DF27" s="1684">
        <v>955021.69</v>
      </c>
      <c r="DG27" s="1684">
        <v>0</v>
      </c>
      <c r="DH27" s="1684">
        <v>379021.36</v>
      </c>
      <c r="DI27" s="1684">
        <v>102324.36</v>
      </c>
      <c r="DJ27" s="1684">
        <v>0</v>
      </c>
      <c r="DK27" s="1684">
        <v>102324.36</v>
      </c>
      <c r="DL27" s="1684">
        <v>0</v>
      </c>
      <c r="DM27" s="1684">
        <v>276697</v>
      </c>
      <c r="DN27" s="1684">
        <v>276697</v>
      </c>
      <c r="DO27" s="1684">
        <v>0</v>
      </c>
      <c r="DP27" s="1684">
        <v>0</v>
      </c>
      <c r="DQ27" s="1326"/>
      <c r="DR27" s="1400"/>
      <c r="DS27" s="1326"/>
      <c r="DT27" s="1682"/>
      <c r="DU27" s="1326"/>
      <c r="DV27" s="1682"/>
    </row>
    <row r="28" spans="1:126" ht="22.5">
      <c r="A28" s="1326" t="s">
        <v>2026</v>
      </c>
      <c r="B28" s="1326" t="s">
        <v>1690</v>
      </c>
      <c r="C28" s="1326" t="s">
        <v>2537</v>
      </c>
      <c r="D28" s="1326" t="s">
        <v>2538</v>
      </c>
      <c r="E28" s="1326" t="s">
        <v>148</v>
      </c>
      <c r="F28" s="1326" t="s">
        <v>258</v>
      </c>
      <c r="G28" s="1326"/>
      <c r="H28" s="1326"/>
      <c r="I28" s="1326"/>
      <c r="J28" s="1326"/>
      <c r="K28" s="1682"/>
      <c r="L28" s="1682"/>
      <c r="M28" s="1326"/>
      <c r="N28" s="1326"/>
      <c r="O28" s="1326"/>
      <c r="P28" s="1326"/>
      <c r="Q28" s="1326"/>
      <c r="R28" s="1326"/>
      <c r="S28" s="1326"/>
      <c r="T28" s="1326"/>
      <c r="U28" s="1326"/>
      <c r="V28" s="1326"/>
      <c r="W28" s="1326"/>
      <c r="X28" s="1326"/>
      <c r="Y28" s="1326"/>
      <c r="Z28" s="1326"/>
      <c r="AA28" s="1326"/>
      <c r="AB28" s="1326"/>
      <c r="AC28" s="1326"/>
      <c r="AD28" s="1326"/>
      <c r="AE28" s="1326"/>
      <c r="AF28" s="1326"/>
      <c r="AG28" s="1326"/>
      <c r="AH28" s="1326"/>
      <c r="AI28" s="1326"/>
      <c r="AJ28" s="1326"/>
      <c r="AK28" s="1326"/>
      <c r="AL28" s="1326"/>
      <c r="AM28" s="1400"/>
      <c r="AN28" s="1326"/>
      <c r="AO28" s="1326"/>
      <c r="AP28" s="1326"/>
      <c r="AQ28" s="1326"/>
      <c r="AR28" s="1326"/>
      <c r="AS28" s="1326"/>
      <c r="AT28" s="1326"/>
      <c r="AU28" s="1326"/>
      <c r="AV28" s="1326"/>
      <c r="AW28" s="1326"/>
      <c r="AX28" s="1326"/>
      <c r="AY28" s="1326"/>
      <c r="AZ28" s="1326"/>
      <c r="BA28" s="1326"/>
      <c r="BB28" s="1326"/>
      <c r="BC28" s="1326"/>
      <c r="BD28" s="1326"/>
      <c r="BE28" s="1326"/>
      <c r="BF28" s="1326"/>
      <c r="BG28" s="1326"/>
      <c r="BH28" s="1326"/>
      <c r="BI28" s="1326"/>
      <c r="BJ28" s="1326"/>
      <c r="BK28" s="1326"/>
      <c r="BL28" s="1326"/>
      <c r="BM28" s="1326"/>
      <c r="BN28" s="1400"/>
      <c r="BO28" s="1682"/>
      <c r="BP28" s="1682"/>
      <c r="BQ28" s="1326"/>
      <c r="BR28" s="1682"/>
      <c r="BS28" s="1326"/>
      <c r="BT28" s="1326"/>
      <c r="BU28" s="1400"/>
      <c r="BV28" s="1683">
        <v>0</v>
      </c>
      <c r="BW28" s="1682"/>
      <c r="BX28" s="1682"/>
      <c r="BY28" s="1326"/>
      <c r="BZ28" s="1326"/>
      <c r="CA28" s="1326"/>
      <c r="CB28" s="1326"/>
      <c r="CC28" s="1326"/>
      <c r="CD28" s="1684">
        <v>536737.89</v>
      </c>
      <c r="CE28" s="1684">
        <v>421638.05</v>
      </c>
      <c r="CF28" s="1684">
        <v>352037.69</v>
      </c>
      <c r="CG28" s="1684">
        <v>83.49</v>
      </c>
      <c r="CH28" s="1684">
        <v>69600.36</v>
      </c>
      <c r="CI28" s="1684">
        <v>16.510000000000002</v>
      </c>
      <c r="CJ28" s="1684">
        <v>421638.05</v>
      </c>
      <c r="CK28" s="1684">
        <v>100</v>
      </c>
      <c r="CL28" s="1410"/>
      <c r="CM28" s="1682"/>
      <c r="CN28" s="1400"/>
      <c r="CO28" s="1326"/>
      <c r="CP28" s="1682"/>
      <c r="CQ28" s="1684">
        <v>352037.69</v>
      </c>
      <c r="CR28" s="1684">
        <v>352037.69</v>
      </c>
      <c r="CS28" s="1684">
        <v>0</v>
      </c>
      <c r="CT28" s="1326"/>
      <c r="CU28" s="1682"/>
      <c r="CV28" s="1684">
        <v>421638.05</v>
      </c>
      <c r="CW28" s="1684">
        <v>0</v>
      </c>
      <c r="CX28" s="1684">
        <v>0</v>
      </c>
      <c r="CY28" s="1684">
        <v>421638.05</v>
      </c>
      <c r="CZ28" s="1684">
        <v>0</v>
      </c>
      <c r="DA28" s="1684">
        <v>0</v>
      </c>
      <c r="DB28" s="1684">
        <v>0</v>
      </c>
      <c r="DC28" s="1684">
        <v>0</v>
      </c>
      <c r="DD28" s="1684">
        <v>421638.05</v>
      </c>
      <c r="DE28" s="1684">
        <v>352037.69</v>
      </c>
      <c r="DF28" s="1684">
        <v>352037.69</v>
      </c>
      <c r="DG28" s="1684">
        <v>0</v>
      </c>
      <c r="DH28" s="1684">
        <v>69600.36</v>
      </c>
      <c r="DI28" s="1684">
        <v>69600.36</v>
      </c>
      <c r="DJ28" s="1684">
        <v>0</v>
      </c>
      <c r="DK28" s="1684">
        <v>69600.36</v>
      </c>
      <c r="DL28" s="1684">
        <v>0</v>
      </c>
      <c r="DM28" s="1684">
        <v>0</v>
      </c>
      <c r="DN28" s="1684">
        <v>0</v>
      </c>
      <c r="DO28" s="1684">
        <v>0</v>
      </c>
      <c r="DP28" s="1684">
        <v>0</v>
      </c>
      <c r="DQ28" s="1326"/>
      <c r="DR28" s="1400"/>
      <c r="DS28" s="1326"/>
      <c r="DT28" s="1682"/>
      <c r="DU28" s="1326"/>
      <c r="DV28" s="1682"/>
    </row>
    <row r="29" spans="1:126" ht="78.75">
      <c r="A29" s="1326" t="s">
        <v>1706</v>
      </c>
      <c r="B29" s="1326" t="s">
        <v>1690</v>
      </c>
      <c r="C29" s="1326" t="s">
        <v>2537</v>
      </c>
      <c r="D29" s="1326" t="s">
        <v>2538</v>
      </c>
      <c r="E29" s="1326" t="s">
        <v>148</v>
      </c>
      <c r="F29" s="1326" t="s">
        <v>258</v>
      </c>
      <c r="G29" s="1326" t="s">
        <v>2539</v>
      </c>
      <c r="H29" s="1326" t="s">
        <v>2540</v>
      </c>
      <c r="I29" s="1326" t="s">
        <v>2541</v>
      </c>
      <c r="J29" s="1326" t="s">
        <v>716</v>
      </c>
      <c r="K29" s="1685">
        <v>42914</v>
      </c>
      <c r="L29" s="1685">
        <v>42991</v>
      </c>
      <c r="M29" s="1326" t="s">
        <v>633</v>
      </c>
      <c r="N29" s="1326" t="s">
        <v>2137</v>
      </c>
      <c r="O29" s="1326" t="s">
        <v>2788</v>
      </c>
      <c r="P29" s="1326" t="s">
        <v>2757</v>
      </c>
      <c r="Q29" s="1326" t="s">
        <v>1707</v>
      </c>
      <c r="R29" s="1326" t="s">
        <v>2757</v>
      </c>
      <c r="S29" s="1326" t="s">
        <v>2757</v>
      </c>
      <c r="T29" s="1326"/>
      <c r="U29" s="1326" t="s">
        <v>2758</v>
      </c>
      <c r="V29" s="1326" t="s">
        <v>2785</v>
      </c>
      <c r="W29" s="1326" t="s">
        <v>2757</v>
      </c>
      <c r="X29" s="1326"/>
      <c r="Y29" s="1326" t="s">
        <v>2757</v>
      </c>
      <c r="Z29" s="1326"/>
      <c r="AA29" s="1326"/>
      <c r="AB29" s="1326" t="s">
        <v>2757</v>
      </c>
      <c r="AC29" s="1326" t="s">
        <v>2757</v>
      </c>
      <c r="AD29" s="1326" t="s">
        <v>2757</v>
      </c>
      <c r="AE29" s="1326"/>
      <c r="AF29" s="1326" t="s">
        <v>2789</v>
      </c>
      <c r="AG29" s="1326" t="s">
        <v>2790</v>
      </c>
      <c r="AH29" s="1326" t="s">
        <v>2791</v>
      </c>
      <c r="AI29" s="1326" t="s">
        <v>2762</v>
      </c>
      <c r="AJ29" s="1326" t="s">
        <v>2763</v>
      </c>
      <c r="AK29" s="1326" t="s">
        <v>2792</v>
      </c>
      <c r="AL29" s="1326" t="s">
        <v>2793</v>
      </c>
      <c r="AM29" s="1683">
        <v>100</v>
      </c>
      <c r="AN29" s="1326"/>
      <c r="AO29" s="1326"/>
      <c r="AP29" s="1326"/>
      <c r="AQ29" s="1326"/>
      <c r="AR29" s="1326"/>
      <c r="AS29" s="1326"/>
      <c r="AT29" s="1326" t="s">
        <v>2794</v>
      </c>
      <c r="AU29" s="1326" t="s">
        <v>2795</v>
      </c>
      <c r="AV29" s="1326" t="s">
        <v>2796</v>
      </c>
      <c r="AW29" s="1326"/>
      <c r="AX29" s="1326" t="s">
        <v>2797</v>
      </c>
      <c r="AY29" s="1326" t="s">
        <v>2798</v>
      </c>
      <c r="AZ29" s="1326" t="s">
        <v>345</v>
      </c>
      <c r="BA29" s="1326" t="s">
        <v>2799</v>
      </c>
      <c r="BB29" s="1326" t="s">
        <v>2757</v>
      </c>
      <c r="BC29" s="1326" t="s">
        <v>2800</v>
      </c>
      <c r="BD29" s="1326" t="s">
        <v>2773</v>
      </c>
      <c r="BE29" s="1326" t="s">
        <v>2801</v>
      </c>
      <c r="BF29" s="1326" t="s">
        <v>2802</v>
      </c>
      <c r="BG29" s="1326" t="s">
        <v>2803</v>
      </c>
      <c r="BH29" s="1326" t="s">
        <v>2804</v>
      </c>
      <c r="BI29" s="1326" t="s">
        <v>2805</v>
      </c>
      <c r="BJ29" s="1326" t="s">
        <v>2806</v>
      </c>
      <c r="BK29" s="1326" t="s">
        <v>2794</v>
      </c>
      <c r="BL29" s="1326" t="s">
        <v>2757</v>
      </c>
      <c r="BM29" s="1326" t="s">
        <v>2757</v>
      </c>
      <c r="BN29" s="1683">
        <v>0</v>
      </c>
      <c r="BO29" s="1685">
        <v>42905</v>
      </c>
      <c r="BP29" s="1685">
        <v>43343</v>
      </c>
      <c r="BQ29" s="1326" t="s">
        <v>2779</v>
      </c>
      <c r="BR29" s="1685">
        <v>45657</v>
      </c>
      <c r="BS29" s="1326" t="s">
        <v>2807</v>
      </c>
      <c r="BT29" s="1326" t="s">
        <v>2808</v>
      </c>
      <c r="BU29" s="1400"/>
      <c r="BV29" s="1683">
        <v>0</v>
      </c>
      <c r="BW29" s="1685">
        <v>43374</v>
      </c>
      <c r="BX29" s="1685">
        <v>43410</v>
      </c>
      <c r="BY29" s="1326" t="s">
        <v>2052</v>
      </c>
      <c r="BZ29" s="1326" t="s">
        <v>2783</v>
      </c>
      <c r="CA29" s="1326" t="s">
        <v>2783</v>
      </c>
      <c r="CB29" s="1326" t="s">
        <v>2783</v>
      </c>
      <c r="CC29" s="1326" t="s">
        <v>2809</v>
      </c>
      <c r="CD29" s="1684">
        <v>163528.06</v>
      </c>
      <c r="CE29" s="1684">
        <v>133670.07</v>
      </c>
      <c r="CF29" s="1684">
        <v>113619.56</v>
      </c>
      <c r="CG29" s="1684">
        <v>85</v>
      </c>
      <c r="CH29" s="1684">
        <v>20050.509999999998</v>
      </c>
      <c r="CI29" s="1684">
        <v>15</v>
      </c>
      <c r="CJ29" s="1684">
        <v>133670.07</v>
      </c>
      <c r="CK29" s="1684">
        <v>100</v>
      </c>
      <c r="CL29" s="1410" t="s">
        <v>2785</v>
      </c>
      <c r="CM29" s="1686">
        <v>42965</v>
      </c>
      <c r="CN29" s="1400"/>
      <c r="CO29" s="1326"/>
      <c r="CP29" s="1682"/>
      <c r="CQ29" s="1684">
        <v>113619.56</v>
      </c>
      <c r="CR29" s="1684">
        <v>113619.56</v>
      </c>
      <c r="CS29" s="1684">
        <v>0</v>
      </c>
      <c r="CT29" s="1326" t="s">
        <v>2785</v>
      </c>
      <c r="CU29" s="1686">
        <v>42972</v>
      </c>
      <c r="CV29" s="1684">
        <v>133670.07</v>
      </c>
      <c r="CW29" s="1684">
        <v>0</v>
      </c>
      <c r="CX29" s="1684">
        <v>0</v>
      </c>
      <c r="CY29" s="1684">
        <v>133670.07</v>
      </c>
      <c r="CZ29" s="1684">
        <v>0</v>
      </c>
      <c r="DA29" s="1684">
        <v>0</v>
      </c>
      <c r="DB29" s="1684">
        <v>0</v>
      </c>
      <c r="DC29" s="1684">
        <v>0</v>
      </c>
      <c r="DD29" s="1684">
        <v>133670.07</v>
      </c>
      <c r="DE29" s="1684">
        <v>113619.56</v>
      </c>
      <c r="DF29" s="1684">
        <v>113619.56</v>
      </c>
      <c r="DG29" s="1684">
        <v>0</v>
      </c>
      <c r="DH29" s="1684">
        <v>20050.509999999998</v>
      </c>
      <c r="DI29" s="1684">
        <v>20050.509999999998</v>
      </c>
      <c r="DJ29" s="1684">
        <v>0</v>
      </c>
      <c r="DK29" s="1684">
        <v>20050.509999999998</v>
      </c>
      <c r="DL29" s="1684">
        <v>0</v>
      </c>
      <c r="DM29" s="1684">
        <v>0</v>
      </c>
      <c r="DN29" s="1684">
        <v>0</v>
      </c>
      <c r="DO29" s="1684">
        <v>0</v>
      </c>
      <c r="DP29" s="1684">
        <v>0</v>
      </c>
      <c r="DQ29" s="1326" t="s">
        <v>2810</v>
      </c>
      <c r="DR29" s="1684">
        <v>0</v>
      </c>
      <c r="DS29" s="1326" t="s">
        <v>2757</v>
      </c>
      <c r="DT29" s="1682"/>
      <c r="DU29" s="1326" t="s">
        <v>2757</v>
      </c>
      <c r="DV29" s="1682"/>
    </row>
    <row r="30" spans="1:126" ht="78.75">
      <c r="A30" s="1326" t="s">
        <v>1707</v>
      </c>
      <c r="B30" s="1326" t="s">
        <v>1690</v>
      </c>
      <c r="C30" s="1326" t="s">
        <v>2537</v>
      </c>
      <c r="D30" s="1326" t="s">
        <v>2538</v>
      </c>
      <c r="E30" s="1326" t="s">
        <v>148</v>
      </c>
      <c r="F30" s="1326" t="s">
        <v>258</v>
      </c>
      <c r="G30" s="1326" t="s">
        <v>2539</v>
      </c>
      <c r="H30" s="1326" t="s">
        <v>2540</v>
      </c>
      <c r="I30" s="1326" t="s">
        <v>2541</v>
      </c>
      <c r="J30" s="1326" t="s">
        <v>1208</v>
      </c>
      <c r="K30" s="1685">
        <v>43007</v>
      </c>
      <c r="L30" s="1685">
        <v>43119</v>
      </c>
      <c r="M30" s="1326" t="s">
        <v>2076</v>
      </c>
      <c r="N30" s="1326" t="s">
        <v>2061</v>
      </c>
      <c r="O30" s="1326" t="s">
        <v>2811</v>
      </c>
      <c r="P30" s="1326" t="s">
        <v>2757</v>
      </c>
      <c r="Q30" s="1326" t="s">
        <v>1707</v>
      </c>
      <c r="R30" s="1326" t="s">
        <v>2757</v>
      </c>
      <c r="S30" s="1326" t="s">
        <v>2757</v>
      </c>
      <c r="T30" s="1326"/>
      <c r="U30" s="1326" t="s">
        <v>2758</v>
      </c>
      <c r="V30" s="1326" t="s">
        <v>2785</v>
      </c>
      <c r="W30" s="1326" t="s">
        <v>2757</v>
      </c>
      <c r="X30" s="1326"/>
      <c r="Y30" s="1326" t="s">
        <v>2757</v>
      </c>
      <c r="Z30" s="1326"/>
      <c r="AA30" s="1326"/>
      <c r="AB30" s="1326" t="s">
        <v>2757</v>
      </c>
      <c r="AC30" s="1326" t="s">
        <v>2757</v>
      </c>
      <c r="AD30" s="1326" t="s">
        <v>2757</v>
      </c>
      <c r="AE30" s="1326"/>
      <c r="AF30" s="1326" t="s">
        <v>2789</v>
      </c>
      <c r="AG30" s="1326" t="s">
        <v>2790</v>
      </c>
      <c r="AH30" s="1326" t="s">
        <v>2791</v>
      </c>
      <c r="AI30" s="1326" t="s">
        <v>2762</v>
      </c>
      <c r="AJ30" s="1326" t="s">
        <v>2763</v>
      </c>
      <c r="AK30" s="1326" t="s">
        <v>2792</v>
      </c>
      <c r="AL30" s="1326" t="s">
        <v>2793</v>
      </c>
      <c r="AM30" s="1683">
        <v>100</v>
      </c>
      <c r="AN30" s="1326"/>
      <c r="AO30" s="1326"/>
      <c r="AP30" s="1326"/>
      <c r="AQ30" s="1326"/>
      <c r="AR30" s="1326"/>
      <c r="AS30" s="1326"/>
      <c r="AT30" s="1326" t="s">
        <v>2766</v>
      </c>
      <c r="AU30" s="1326" t="s">
        <v>2795</v>
      </c>
      <c r="AV30" s="1326" t="s">
        <v>2796</v>
      </c>
      <c r="AW30" s="1326"/>
      <c r="AX30" s="1326" t="s">
        <v>2797</v>
      </c>
      <c r="AY30" s="1326" t="s">
        <v>2798</v>
      </c>
      <c r="AZ30" s="1326" t="s">
        <v>161</v>
      </c>
      <c r="BA30" s="1326" t="s">
        <v>2812</v>
      </c>
      <c r="BB30" s="1326" t="s">
        <v>2757</v>
      </c>
      <c r="BC30" s="1326" t="s">
        <v>2800</v>
      </c>
      <c r="BD30" s="1326" t="s">
        <v>2773</v>
      </c>
      <c r="BE30" s="1326" t="s">
        <v>2813</v>
      </c>
      <c r="BF30" s="1326" t="s">
        <v>2814</v>
      </c>
      <c r="BG30" s="1326" t="s">
        <v>2815</v>
      </c>
      <c r="BH30" s="1326" t="s">
        <v>2804</v>
      </c>
      <c r="BI30" s="1326" t="s">
        <v>2805</v>
      </c>
      <c r="BJ30" s="1326" t="s">
        <v>2816</v>
      </c>
      <c r="BK30" s="1326" t="s">
        <v>2766</v>
      </c>
      <c r="BL30" s="1326" t="s">
        <v>2757</v>
      </c>
      <c r="BM30" s="1326" t="s">
        <v>2757</v>
      </c>
      <c r="BN30" s="1683">
        <v>0</v>
      </c>
      <c r="BO30" s="1685">
        <v>42773</v>
      </c>
      <c r="BP30" s="1685">
        <v>43465</v>
      </c>
      <c r="BQ30" s="1326" t="s">
        <v>2779</v>
      </c>
      <c r="BR30" s="1685">
        <v>46022</v>
      </c>
      <c r="BS30" s="1326" t="s">
        <v>2817</v>
      </c>
      <c r="BT30" s="1326" t="s">
        <v>2818</v>
      </c>
      <c r="BU30" s="1400"/>
      <c r="BV30" s="1683">
        <v>0</v>
      </c>
      <c r="BW30" s="1685">
        <v>43496</v>
      </c>
      <c r="BX30" s="1682"/>
      <c r="BY30" s="1326" t="s">
        <v>2052</v>
      </c>
      <c r="BZ30" s="1326" t="s">
        <v>2783</v>
      </c>
      <c r="CA30" s="1326" t="s">
        <v>2783</v>
      </c>
      <c r="CB30" s="1326" t="s">
        <v>2783</v>
      </c>
      <c r="CC30" s="1326" t="s">
        <v>2809</v>
      </c>
      <c r="CD30" s="1684">
        <v>97868.08</v>
      </c>
      <c r="CE30" s="1684">
        <v>93938.42</v>
      </c>
      <c r="CF30" s="1684">
        <v>73501</v>
      </c>
      <c r="CG30" s="1684">
        <v>78.239999999999995</v>
      </c>
      <c r="CH30" s="1684">
        <v>20437.419999999998</v>
      </c>
      <c r="CI30" s="1684">
        <v>21.76</v>
      </c>
      <c r="CJ30" s="1684">
        <v>93938.42</v>
      </c>
      <c r="CK30" s="1684">
        <v>100</v>
      </c>
      <c r="CL30" s="1410" t="s">
        <v>2785</v>
      </c>
      <c r="CM30" s="1686">
        <v>43063</v>
      </c>
      <c r="CN30" s="1400"/>
      <c r="CO30" s="1326"/>
      <c r="CP30" s="1682"/>
      <c r="CQ30" s="1684">
        <v>73501</v>
      </c>
      <c r="CR30" s="1684">
        <v>73501</v>
      </c>
      <c r="CS30" s="1684">
        <v>0</v>
      </c>
      <c r="CT30" s="1326" t="s">
        <v>2785</v>
      </c>
      <c r="CU30" s="1686">
        <v>43081</v>
      </c>
      <c r="CV30" s="1684">
        <v>93938.42</v>
      </c>
      <c r="CW30" s="1684">
        <v>0</v>
      </c>
      <c r="CX30" s="1684">
        <v>0</v>
      </c>
      <c r="CY30" s="1684">
        <v>93938.42</v>
      </c>
      <c r="CZ30" s="1684">
        <v>0</v>
      </c>
      <c r="DA30" s="1684">
        <v>0</v>
      </c>
      <c r="DB30" s="1684">
        <v>0</v>
      </c>
      <c r="DC30" s="1684">
        <v>0</v>
      </c>
      <c r="DD30" s="1684">
        <v>93938.42</v>
      </c>
      <c r="DE30" s="1684">
        <v>73501</v>
      </c>
      <c r="DF30" s="1684">
        <v>73501</v>
      </c>
      <c r="DG30" s="1684">
        <v>0</v>
      </c>
      <c r="DH30" s="1684">
        <v>20437.419999999998</v>
      </c>
      <c r="DI30" s="1684">
        <v>20437.419999999998</v>
      </c>
      <c r="DJ30" s="1684">
        <v>0</v>
      </c>
      <c r="DK30" s="1684">
        <v>20437.419999999998</v>
      </c>
      <c r="DL30" s="1684">
        <v>0</v>
      </c>
      <c r="DM30" s="1684">
        <v>0</v>
      </c>
      <c r="DN30" s="1684">
        <v>0</v>
      </c>
      <c r="DO30" s="1684">
        <v>0</v>
      </c>
      <c r="DP30" s="1684">
        <v>0</v>
      </c>
      <c r="DQ30" s="1326" t="s">
        <v>2810</v>
      </c>
      <c r="DR30" s="1684">
        <v>0</v>
      </c>
      <c r="DS30" s="1326" t="s">
        <v>2757</v>
      </c>
      <c r="DT30" s="1682"/>
      <c r="DU30" s="1326" t="s">
        <v>2757</v>
      </c>
      <c r="DV30" s="1682"/>
    </row>
    <row r="31" spans="1:126" ht="78.75">
      <c r="A31" s="1326" t="s">
        <v>1709</v>
      </c>
      <c r="B31" s="1326" t="s">
        <v>1690</v>
      </c>
      <c r="C31" s="1326" t="s">
        <v>2537</v>
      </c>
      <c r="D31" s="1326" t="s">
        <v>2538</v>
      </c>
      <c r="E31" s="1326" t="s">
        <v>148</v>
      </c>
      <c r="F31" s="1326" t="s">
        <v>258</v>
      </c>
      <c r="G31" s="1326" t="s">
        <v>2539</v>
      </c>
      <c r="H31" s="1326" t="s">
        <v>2540</v>
      </c>
      <c r="I31" s="1326" t="s">
        <v>2541</v>
      </c>
      <c r="J31" s="1326" t="s">
        <v>1237</v>
      </c>
      <c r="K31" s="1685">
        <v>43098</v>
      </c>
      <c r="L31" s="1685">
        <v>43193</v>
      </c>
      <c r="M31" s="1326" t="s">
        <v>642</v>
      </c>
      <c r="N31" s="1326" t="s">
        <v>2061</v>
      </c>
      <c r="O31" s="1326" t="s">
        <v>2819</v>
      </c>
      <c r="P31" s="1326" t="s">
        <v>2757</v>
      </c>
      <c r="Q31" s="1326" t="s">
        <v>1730</v>
      </c>
      <c r="R31" s="1326" t="s">
        <v>2757</v>
      </c>
      <c r="S31" s="1326" t="s">
        <v>2757</v>
      </c>
      <c r="T31" s="1326"/>
      <c r="U31" s="1326" t="s">
        <v>2758</v>
      </c>
      <c r="V31" s="1326" t="s">
        <v>2785</v>
      </c>
      <c r="W31" s="1326" t="s">
        <v>2757</v>
      </c>
      <c r="X31" s="1326"/>
      <c r="Y31" s="1326" t="s">
        <v>2757</v>
      </c>
      <c r="Z31" s="1326"/>
      <c r="AA31" s="1326"/>
      <c r="AB31" s="1326" t="s">
        <v>2757</v>
      </c>
      <c r="AC31" s="1326" t="s">
        <v>2757</v>
      </c>
      <c r="AD31" s="1326" t="s">
        <v>2757</v>
      </c>
      <c r="AE31" s="1326"/>
      <c r="AF31" s="1326" t="s">
        <v>2789</v>
      </c>
      <c r="AG31" s="1326" t="s">
        <v>2790</v>
      </c>
      <c r="AH31" s="1326" t="s">
        <v>2791</v>
      </c>
      <c r="AI31" s="1326" t="s">
        <v>2762</v>
      </c>
      <c r="AJ31" s="1326" t="s">
        <v>2763</v>
      </c>
      <c r="AK31" s="1326" t="s">
        <v>2792</v>
      </c>
      <c r="AL31" s="1326" t="s">
        <v>2793</v>
      </c>
      <c r="AM31" s="1683">
        <v>100</v>
      </c>
      <c r="AN31" s="1326"/>
      <c r="AO31" s="1326"/>
      <c r="AP31" s="1326"/>
      <c r="AQ31" s="1326"/>
      <c r="AR31" s="1326"/>
      <c r="AS31" s="1326"/>
      <c r="AT31" s="1326" t="s">
        <v>2766</v>
      </c>
      <c r="AU31" s="1326" t="s">
        <v>2795</v>
      </c>
      <c r="AV31" s="1326" t="s">
        <v>2796</v>
      </c>
      <c r="AW31" s="1326"/>
      <c r="AX31" s="1326" t="s">
        <v>2797</v>
      </c>
      <c r="AY31" s="1326" t="s">
        <v>2798</v>
      </c>
      <c r="AZ31" s="1326" t="s">
        <v>282</v>
      </c>
      <c r="BA31" s="1326" t="s">
        <v>2820</v>
      </c>
      <c r="BB31" s="1326" t="s">
        <v>2757</v>
      </c>
      <c r="BC31" s="1326" t="s">
        <v>2800</v>
      </c>
      <c r="BD31" s="1326" t="s">
        <v>2773</v>
      </c>
      <c r="BE31" s="1326" t="s">
        <v>2821</v>
      </c>
      <c r="BF31" s="1326" t="s">
        <v>2822</v>
      </c>
      <c r="BG31" s="1326" t="s">
        <v>2823</v>
      </c>
      <c r="BH31" s="1326" t="s">
        <v>2804</v>
      </c>
      <c r="BI31" s="1326" t="s">
        <v>2805</v>
      </c>
      <c r="BJ31" s="1326" t="s">
        <v>2824</v>
      </c>
      <c r="BK31" s="1326" t="s">
        <v>2766</v>
      </c>
      <c r="BL31" s="1326" t="s">
        <v>2757</v>
      </c>
      <c r="BM31" s="1326" t="s">
        <v>2757</v>
      </c>
      <c r="BN31" s="1683">
        <v>0</v>
      </c>
      <c r="BO31" s="1685">
        <v>42878</v>
      </c>
      <c r="BP31" s="1685">
        <v>44104</v>
      </c>
      <c r="BQ31" s="1326" t="s">
        <v>2779</v>
      </c>
      <c r="BR31" s="1685">
        <v>46387</v>
      </c>
      <c r="BS31" s="1326" t="s">
        <v>2825</v>
      </c>
      <c r="BT31" s="1326" t="s">
        <v>2826</v>
      </c>
      <c r="BU31" s="1683">
        <v>0</v>
      </c>
      <c r="BV31" s="1683">
        <v>0</v>
      </c>
      <c r="BW31" s="1685">
        <v>44134</v>
      </c>
      <c r="BX31" s="1682"/>
      <c r="BY31" s="1326" t="s">
        <v>2052</v>
      </c>
      <c r="BZ31" s="1326" t="s">
        <v>2783</v>
      </c>
      <c r="CA31" s="1326" t="s">
        <v>2783</v>
      </c>
      <c r="CB31" s="1326" t="s">
        <v>2783</v>
      </c>
      <c r="CC31" s="1326" t="s">
        <v>2809</v>
      </c>
      <c r="CD31" s="1684">
        <v>151097.46</v>
      </c>
      <c r="CE31" s="1684">
        <v>95080</v>
      </c>
      <c r="CF31" s="1684">
        <v>80810</v>
      </c>
      <c r="CG31" s="1684">
        <v>84.99</v>
      </c>
      <c r="CH31" s="1684">
        <v>14270</v>
      </c>
      <c r="CI31" s="1684">
        <v>15.01</v>
      </c>
      <c r="CJ31" s="1684">
        <v>95080</v>
      </c>
      <c r="CK31" s="1684">
        <v>100</v>
      </c>
      <c r="CL31" s="1410" t="s">
        <v>2785</v>
      </c>
      <c r="CM31" s="1686">
        <v>43146</v>
      </c>
      <c r="CN31" s="1400"/>
      <c r="CO31" s="1326"/>
      <c r="CP31" s="1682"/>
      <c r="CQ31" s="1684">
        <v>80810</v>
      </c>
      <c r="CR31" s="1684">
        <v>80810</v>
      </c>
      <c r="CS31" s="1684">
        <v>0</v>
      </c>
      <c r="CT31" s="1326" t="s">
        <v>2785</v>
      </c>
      <c r="CU31" s="1686">
        <v>43159</v>
      </c>
      <c r="CV31" s="1684">
        <v>95080</v>
      </c>
      <c r="CW31" s="1684">
        <v>0</v>
      </c>
      <c r="CX31" s="1684">
        <v>0</v>
      </c>
      <c r="CY31" s="1684">
        <v>95080</v>
      </c>
      <c r="CZ31" s="1684">
        <v>0</v>
      </c>
      <c r="DA31" s="1684">
        <v>0</v>
      </c>
      <c r="DB31" s="1684">
        <v>0</v>
      </c>
      <c r="DC31" s="1684">
        <v>0</v>
      </c>
      <c r="DD31" s="1684">
        <v>95080</v>
      </c>
      <c r="DE31" s="1684">
        <v>80810</v>
      </c>
      <c r="DF31" s="1684">
        <v>80810</v>
      </c>
      <c r="DG31" s="1684">
        <v>0</v>
      </c>
      <c r="DH31" s="1684">
        <v>14270</v>
      </c>
      <c r="DI31" s="1684">
        <v>14270</v>
      </c>
      <c r="DJ31" s="1684">
        <v>0</v>
      </c>
      <c r="DK31" s="1684">
        <v>14270</v>
      </c>
      <c r="DL31" s="1684">
        <v>0</v>
      </c>
      <c r="DM31" s="1684">
        <v>0</v>
      </c>
      <c r="DN31" s="1684">
        <v>0</v>
      </c>
      <c r="DO31" s="1684">
        <v>0</v>
      </c>
      <c r="DP31" s="1684">
        <v>0</v>
      </c>
      <c r="DQ31" s="1326" t="s">
        <v>2810</v>
      </c>
      <c r="DR31" s="1684">
        <v>0</v>
      </c>
      <c r="DS31" s="1326" t="s">
        <v>2757</v>
      </c>
      <c r="DT31" s="1682"/>
      <c r="DU31" s="1326" t="s">
        <v>2757</v>
      </c>
      <c r="DV31" s="1682"/>
    </row>
    <row r="32" spans="1:126" ht="78.75">
      <c r="A32" s="1326" t="s">
        <v>1710</v>
      </c>
      <c r="B32" s="1326" t="s">
        <v>1690</v>
      </c>
      <c r="C32" s="1326" t="s">
        <v>2537</v>
      </c>
      <c r="D32" s="1326" t="s">
        <v>2538</v>
      </c>
      <c r="E32" s="1326" t="s">
        <v>148</v>
      </c>
      <c r="F32" s="1326" t="s">
        <v>258</v>
      </c>
      <c r="G32" s="1326" t="s">
        <v>2539</v>
      </c>
      <c r="H32" s="1326" t="s">
        <v>2540</v>
      </c>
      <c r="I32" s="1326" t="s">
        <v>2541</v>
      </c>
      <c r="J32" s="1326" t="s">
        <v>1591</v>
      </c>
      <c r="K32" s="1685">
        <v>43131</v>
      </c>
      <c r="L32" s="1685">
        <v>43243</v>
      </c>
      <c r="M32" s="1326" t="s">
        <v>380</v>
      </c>
      <c r="N32" s="1326" t="s">
        <v>2061</v>
      </c>
      <c r="O32" s="1326" t="s">
        <v>2827</v>
      </c>
      <c r="P32" s="1326" t="s">
        <v>2757</v>
      </c>
      <c r="Q32" s="1326" t="s">
        <v>1707</v>
      </c>
      <c r="R32" s="1326" t="s">
        <v>2757</v>
      </c>
      <c r="S32" s="1326" t="s">
        <v>2757</v>
      </c>
      <c r="T32" s="1326"/>
      <c r="U32" s="1326" t="s">
        <v>2758</v>
      </c>
      <c r="V32" s="1326" t="s">
        <v>2757</v>
      </c>
      <c r="W32" s="1326" t="s">
        <v>2757</v>
      </c>
      <c r="X32" s="1326"/>
      <c r="Y32" s="1326" t="s">
        <v>2757</v>
      </c>
      <c r="Z32" s="1326"/>
      <c r="AA32" s="1326"/>
      <c r="AB32" s="1326" t="s">
        <v>2757</v>
      </c>
      <c r="AC32" s="1326" t="s">
        <v>2757</v>
      </c>
      <c r="AD32" s="1326" t="s">
        <v>2757</v>
      </c>
      <c r="AE32" s="1326"/>
      <c r="AF32" s="1326" t="s">
        <v>2789</v>
      </c>
      <c r="AG32" s="1326" t="s">
        <v>2790</v>
      </c>
      <c r="AH32" s="1326" t="s">
        <v>2791</v>
      </c>
      <c r="AI32" s="1326" t="s">
        <v>2762</v>
      </c>
      <c r="AJ32" s="1326" t="s">
        <v>2763</v>
      </c>
      <c r="AK32" s="1326" t="s">
        <v>2792</v>
      </c>
      <c r="AL32" s="1326" t="s">
        <v>2793</v>
      </c>
      <c r="AM32" s="1683">
        <v>100</v>
      </c>
      <c r="AN32" s="1326"/>
      <c r="AO32" s="1326"/>
      <c r="AP32" s="1326"/>
      <c r="AQ32" s="1326"/>
      <c r="AR32" s="1326"/>
      <c r="AS32" s="1326"/>
      <c r="AT32" s="1326" t="s">
        <v>2766</v>
      </c>
      <c r="AU32" s="1326" t="s">
        <v>2766</v>
      </c>
      <c r="AV32" s="1326" t="s">
        <v>2796</v>
      </c>
      <c r="AW32" s="1326"/>
      <c r="AX32" s="1326" t="s">
        <v>2797</v>
      </c>
      <c r="AY32" s="1326" t="s">
        <v>2798</v>
      </c>
      <c r="AZ32" s="1326" t="s">
        <v>184</v>
      </c>
      <c r="BA32" s="1326" t="s">
        <v>2828</v>
      </c>
      <c r="BB32" s="1326" t="s">
        <v>2757</v>
      </c>
      <c r="BC32" s="1326" t="s">
        <v>2800</v>
      </c>
      <c r="BD32" s="1326" t="s">
        <v>2773</v>
      </c>
      <c r="BE32" s="1326" t="s">
        <v>2829</v>
      </c>
      <c r="BF32" s="1326" t="s">
        <v>2830</v>
      </c>
      <c r="BG32" s="1326" t="s">
        <v>2831</v>
      </c>
      <c r="BH32" s="1326" t="s">
        <v>2804</v>
      </c>
      <c r="BI32" s="1326" t="s">
        <v>2805</v>
      </c>
      <c r="BJ32" s="1326" t="s">
        <v>2832</v>
      </c>
      <c r="BK32" s="1326" t="s">
        <v>2766</v>
      </c>
      <c r="BL32" s="1326" t="s">
        <v>2757</v>
      </c>
      <c r="BM32" s="1326" t="s">
        <v>2757</v>
      </c>
      <c r="BN32" s="1683">
        <v>0</v>
      </c>
      <c r="BO32" s="1685">
        <v>43126</v>
      </c>
      <c r="BP32" s="1685">
        <v>43585</v>
      </c>
      <c r="BQ32" s="1326" t="s">
        <v>2779</v>
      </c>
      <c r="BR32" s="1685">
        <v>46022</v>
      </c>
      <c r="BS32" s="1326" t="s">
        <v>2807</v>
      </c>
      <c r="BT32" s="1326" t="s">
        <v>3480</v>
      </c>
      <c r="BU32" s="1683">
        <v>0</v>
      </c>
      <c r="BV32" s="1683">
        <v>0</v>
      </c>
      <c r="BW32" s="1685">
        <v>43615</v>
      </c>
      <c r="BX32" s="1682"/>
      <c r="BY32" s="1326" t="s">
        <v>2052</v>
      </c>
      <c r="BZ32" s="1326" t="s">
        <v>2783</v>
      </c>
      <c r="CA32" s="1326" t="s">
        <v>2783</v>
      </c>
      <c r="CB32" s="1326" t="s">
        <v>2783</v>
      </c>
      <c r="CC32" s="1326" t="s">
        <v>2809</v>
      </c>
      <c r="CD32" s="1684">
        <v>124244.29</v>
      </c>
      <c r="CE32" s="1684">
        <v>98949.56</v>
      </c>
      <c r="CF32" s="1684">
        <v>84107.13</v>
      </c>
      <c r="CG32" s="1684">
        <v>85</v>
      </c>
      <c r="CH32" s="1684">
        <v>14842.43</v>
      </c>
      <c r="CI32" s="1684">
        <v>15</v>
      </c>
      <c r="CJ32" s="1684">
        <v>98949.56</v>
      </c>
      <c r="CK32" s="1684">
        <v>100</v>
      </c>
      <c r="CL32" s="1410" t="s">
        <v>2785</v>
      </c>
      <c r="CM32" s="1686">
        <v>43185</v>
      </c>
      <c r="CN32" s="1400"/>
      <c r="CO32" s="1326"/>
      <c r="CP32" s="1682"/>
      <c r="CQ32" s="1684">
        <v>84107.13</v>
      </c>
      <c r="CR32" s="1684">
        <v>84107.13</v>
      </c>
      <c r="CS32" s="1684">
        <v>0</v>
      </c>
      <c r="CT32" s="1326" t="s">
        <v>2785</v>
      </c>
      <c r="CU32" s="1686">
        <v>43195</v>
      </c>
      <c r="CV32" s="1684">
        <v>98949.56</v>
      </c>
      <c r="CW32" s="1684">
        <v>0</v>
      </c>
      <c r="CX32" s="1684">
        <v>0</v>
      </c>
      <c r="CY32" s="1684">
        <v>98949.56</v>
      </c>
      <c r="CZ32" s="1684">
        <v>0</v>
      </c>
      <c r="DA32" s="1684">
        <v>0</v>
      </c>
      <c r="DB32" s="1684">
        <v>0</v>
      </c>
      <c r="DC32" s="1684">
        <v>0</v>
      </c>
      <c r="DD32" s="1684">
        <v>98949.56</v>
      </c>
      <c r="DE32" s="1684">
        <v>84107.13</v>
      </c>
      <c r="DF32" s="1684">
        <v>84107.13</v>
      </c>
      <c r="DG32" s="1684">
        <v>0</v>
      </c>
      <c r="DH32" s="1684">
        <v>14842.43</v>
      </c>
      <c r="DI32" s="1684">
        <v>14842.43</v>
      </c>
      <c r="DJ32" s="1684">
        <v>0</v>
      </c>
      <c r="DK32" s="1684">
        <v>14842.43</v>
      </c>
      <c r="DL32" s="1684">
        <v>0</v>
      </c>
      <c r="DM32" s="1684">
        <v>0</v>
      </c>
      <c r="DN32" s="1684">
        <v>0</v>
      </c>
      <c r="DO32" s="1684">
        <v>0</v>
      </c>
      <c r="DP32" s="1684">
        <v>0</v>
      </c>
      <c r="DQ32" s="1326" t="s">
        <v>2810</v>
      </c>
      <c r="DR32" s="1684">
        <v>0</v>
      </c>
      <c r="DS32" s="1326" t="s">
        <v>2757</v>
      </c>
      <c r="DT32" s="1682"/>
      <c r="DU32" s="1326" t="s">
        <v>2757</v>
      </c>
      <c r="DV32" s="1682"/>
    </row>
    <row r="33" spans="1:126" ht="33.75">
      <c r="A33" s="1326" t="s">
        <v>1711</v>
      </c>
      <c r="B33" s="1326" t="s">
        <v>1690</v>
      </c>
      <c r="C33" s="1326" t="s">
        <v>2537</v>
      </c>
      <c r="D33" s="1326" t="s">
        <v>2538</v>
      </c>
      <c r="E33" s="1326" t="s">
        <v>135</v>
      </c>
      <c r="F33" s="1326" t="s">
        <v>256</v>
      </c>
      <c r="G33" s="1326"/>
      <c r="H33" s="1326"/>
      <c r="I33" s="1326"/>
      <c r="J33" s="1326"/>
      <c r="K33" s="1682"/>
      <c r="L33" s="1682"/>
      <c r="M33" s="1326"/>
      <c r="N33" s="1326"/>
      <c r="O33" s="1326"/>
      <c r="P33" s="1326"/>
      <c r="Q33" s="1326"/>
      <c r="R33" s="1326"/>
      <c r="S33" s="1326"/>
      <c r="T33" s="1326"/>
      <c r="U33" s="1326"/>
      <c r="V33" s="1326"/>
      <c r="W33" s="1326"/>
      <c r="X33" s="1326"/>
      <c r="Y33" s="1326"/>
      <c r="Z33" s="1326"/>
      <c r="AA33" s="1326"/>
      <c r="AB33" s="1326"/>
      <c r="AC33" s="1326"/>
      <c r="AD33" s="1326"/>
      <c r="AE33" s="1326"/>
      <c r="AF33" s="1326"/>
      <c r="AG33" s="1326"/>
      <c r="AH33" s="1326"/>
      <c r="AI33" s="1326"/>
      <c r="AJ33" s="1326"/>
      <c r="AK33" s="1326"/>
      <c r="AL33" s="1326"/>
      <c r="AM33" s="1400"/>
      <c r="AN33" s="1326"/>
      <c r="AO33" s="1326"/>
      <c r="AP33" s="1326"/>
      <c r="AQ33" s="1326"/>
      <c r="AR33" s="1326"/>
      <c r="AS33" s="1326"/>
      <c r="AT33" s="1326"/>
      <c r="AU33" s="1326"/>
      <c r="AV33" s="1326"/>
      <c r="AW33" s="1326"/>
      <c r="AX33" s="1326"/>
      <c r="AY33" s="1326"/>
      <c r="AZ33" s="1326"/>
      <c r="BA33" s="1326"/>
      <c r="BB33" s="1326"/>
      <c r="BC33" s="1326"/>
      <c r="BD33" s="1326"/>
      <c r="BE33" s="1326"/>
      <c r="BF33" s="1326"/>
      <c r="BG33" s="1326"/>
      <c r="BH33" s="1326"/>
      <c r="BI33" s="1326"/>
      <c r="BJ33" s="1326"/>
      <c r="BK33" s="1326"/>
      <c r="BL33" s="1326"/>
      <c r="BM33" s="1326"/>
      <c r="BN33" s="1400"/>
      <c r="BO33" s="1682"/>
      <c r="BP33" s="1682"/>
      <c r="BQ33" s="1326"/>
      <c r="BR33" s="1682"/>
      <c r="BS33" s="1326"/>
      <c r="BT33" s="1326"/>
      <c r="BU33" s="1400"/>
      <c r="BV33" s="1683">
        <v>180895.2</v>
      </c>
      <c r="BW33" s="1682"/>
      <c r="BX33" s="1682"/>
      <c r="BY33" s="1326"/>
      <c r="BZ33" s="1326"/>
      <c r="CA33" s="1326"/>
      <c r="CB33" s="1326"/>
      <c r="CC33" s="1326"/>
      <c r="CD33" s="1684">
        <v>1102739.55</v>
      </c>
      <c r="CE33" s="1684">
        <v>912405</v>
      </c>
      <c r="CF33" s="1684">
        <v>602984</v>
      </c>
      <c r="CG33" s="1684">
        <v>66.09</v>
      </c>
      <c r="CH33" s="1684">
        <v>309421</v>
      </c>
      <c r="CI33" s="1684">
        <v>33.909999999999997</v>
      </c>
      <c r="CJ33" s="1684">
        <v>912405</v>
      </c>
      <c r="CK33" s="1684">
        <v>100</v>
      </c>
      <c r="CL33" s="1410"/>
      <c r="CM33" s="1682"/>
      <c r="CN33" s="1400"/>
      <c r="CO33" s="1326"/>
      <c r="CP33" s="1682"/>
      <c r="CQ33" s="1684">
        <v>602984</v>
      </c>
      <c r="CR33" s="1684">
        <v>602984</v>
      </c>
      <c r="CS33" s="1684">
        <v>0</v>
      </c>
      <c r="CT33" s="1326"/>
      <c r="CU33" s="1682"/>
      <c r="CV33" s="1684">
        <v>912405</v>
      </c>
      <c r="CW33" s="1684">
        <v>0</v>
      </c>
      <c r="CX33" s="1684">
        <v>0</v>
      </c>
      <c r="CY33" s="1684">
        <v>0</v>
      </c>
      <c r="CZ33" s="1684">
        <v>906110</v>
      </c>
      <c r="DA33" s="1684">
        <v>6050</v>
      </c>
      <c r="DB33" s="1684">
        <v>245</v>
      </c>
      <c r="DC33" s="1684">
        <v>0</v>
      </c>
      <c r="DD33" s="1684">
        <v>635708</v>
      </c>
      <c r="DE33" s="1684">
        <v>602984</v>
      </c>
      <c r="DF33" s="1684">
        <v>602984</v>
      </c>
      <c r="DG33" s="1684">
        <v>0</v>
      </c>
      <c r="DH33" s="1684">
        <v>309421</v>
      </c>
      <c r="DI33" s="1684">
        <v>32724</v>
      </c>
      <c r="DJ33" s="1684">
        <v>0</v>
      </c>
      <c r="DK33" s="1684">
        <v>32724</v>
      </c>
      <c r="DL33" s="1684">
        <v>0</v>
      </c>
      <c r="DM33" s="1684">
        <v>276697</v>
      </c>
      <c r="DN33" s="1684">
        <v>276697</v>
      </c>
      <c r="DO33" s="1684">
        <v>0</v>
      </c>
      <c r="DP33" s="1684">
        <v>0</v>
      </c>
      <c r="DQ33" s="1326"/>
      <c r="DR33" s="1400"/>
      <c r="DS33" s="1326"/>
      <c r="DT33" s="1682"/>
      <c r="DU33" s="1326"/>
      <c r="DV33" s="1682"/>
    </row>
    <row r="34" spans="1:126" ht="90">
      <c r="A34" s="1326" t="s">
        <v>1713</v>
      </c>
      <c r="B34" s="1326" t="s">
        <v>1690</v>
      </c>
      <c r="C34" s="1326" t="s">
        <v>2537</v>
      </c>
      <c r="D34" s="1326" t="s">
        <v>2538</v>
      </c>
      <c r="E34" s="1326" t="s">
        <v>135</v>
      </c>
      <c r="F34" s="1326" t="s">
        <v>256</v>
      </c>
      <c r="G34" s="1326" t="s">
        <v>2539</v>
      </c>
      <c r="H34" s="1326" t="s">
        <v>2540</v>
      </c>
      <c r="I34" s="1326" t="s">
        <v>2546</v>
      </c>
      <c r="J34" s="1326" t="s">
        <v>1653</v>
      </c>
      <c r="K34" s="1685">
        <v>43342</v>
      </c>
      <c r="L34" s="1685">
        <v>43514</v>
      </c>
      <c r="M34" s="1326" t="s">
        <v>3423</v>
      </c>
      <c r="N34" s="1326" t="s">
        <v>2061</v>
      </c>
      <c r="O34" s="1326" t="s">
        <v>4358</v>
      </c>
      <c r="P34" s="1326" t="s">
        <v>2757</v>
      </c>
      <c r="Q34" s="1326" t="s">
        <v>1720</v>
      </c>
      <c r="R34" s="1326" t="s">
        <v>2785</v>
      </c>
      <c r="S34" s="1326" t="s">
        <v>2757</v>
      </c>
      <c r="T34" s="1326"/>
      <c r="U34" s="1326" t="s">
        <v>2758</v>
      </c>
      <c r="V34" s="1326" t="s">
        <v>2757</v>
      </c>
      <c r="W34" s="1326" t="s">
        <v>2757</v>
      </c>
      <c r="X34" s="1326"/>
      <c r="Y34" s="1326" t="s">
        <v>2757</v>
      </c>
      <c r="Z34" s="1326"/>
      <c r="AA34" s="1326"/>
      <c r="AB34" s="1326" t="s">
        <v>2757</v>
      </c>
      <c r="AC34" s="1326" t="s">
        <v>2757</v>
      </c>
      <c r="AD34" s="1326" t="s">
        <v>2757</v>
      </c>
      <c r="AE34" s="1326"/>
      <c r="AF34" s="1326" t="s">
        <v>2789</v>
      </c>
      <c r="AG34" s="1326" t="s">
        <v>2790</v>
      </c>
      <c r="AH34" s="1326" t="s">
        <v>2791</v>
      </c>
      <c r="AI34" s="1326" t="s">
        <v>2762</v>
      </c>
      <c r="AJ34" s="1326" t="s">
        <v>2763</v>
      </c>
      <c r="AK34" s="1326" t="s">
        <v>2792</v>
      </c>
      <c r="AL34" s="1326" t="s">
        <v>2793</v>
      </c>
      <c r="AM34" s="1683">
        <v>100</v>
      </c>
      <c r="AN34" s="1326"/>
      <c r="AO34" s="1326"/>
      <c r="AP34" s="1326"/>
      <c r="AQ34" s="1326"/>
      <c r="AR34" s="1326"/>
      <c r="AS34" s="1326"/>
      <c r="AT34" s="1326" t="s">
        <v>2867</v>
      </c>
      <c r="AU34" s="1326" t="s">
        <v>2766</v>
      </c>
      <c r="AV34" s="1326" t="s">
        <v>2796</v>
      </c>
      <c r="AW34" s="1326"/>
      <c r="AX34" s="1326" t="s">
        <v>4359</v>
      </c>
      <c r="AY34" s="1326" t="s">
        <v>2798</v>
      </c>
      <c r="AZ34" s="1326" t="s">
        <v>161</v>
      </c>
      <c r="BA34" s="1326" t="s">
        <v>2812</v>
      </c>
      <c r="BB34" s="1326" t="s">
        <v>2757</v>
      </c>
      <c r="BC34" s="1326" t="s">
        <v>2800</v>
      </c>
      <c r="BD34" s="1326" t="s">
        <v>2773</v>
      </c>
      <c r="BE34" s="1326" t="s">
        <v>4360</v>
      </c>
      <c r="BF34" s="1326" t="s">
        <v>4361</v>
      </c>
      <c r="BG34" s="1326" t="s">
        <v>2815</v>
      </c>
      <c r="BH34" s="1326" t="s">
        <v>2024</v>
      </c>
      <c r="BI34" s="1326" t="s">
        <v>2805</v>
      </c>
      <c r="BJ34" s="1326" t="s">
        <v>2816</v>
      </c>
      <c r="BK34" s="1326" t="s">
        <v>2867</v>
      </c>
      <c r="BL34" s="1326" t="s">
        <v>2757</v>
      </c>
      <c r="BM34" s="1326" t="s">
        <v>2757</v>
      </c>
      <c r="BN34" s="1683">
        <v>0</v>
      </c>
      <c r="BO34" s="1685">
        <v>42817</v>
      </c>
      <c r="BP34" s="1685">
        <v>44135</v>
      </c>
      <c r="BQ34" s="1326" t="s">
        <v>2779</v>
      </c>
      <c r="BR34" s="1685">
        <v>47848</v>
      </c>
      <c r="BS34" s="1326" t="s">
        <v>2817</v>
      </c>
      <c r="BT34" s="1326" t="s">
        <v>4362</v>
      </c>
      <c r="BU34" s="1683">
        <v>30</v>
      </c>
      <c r="BV34" s="1683">
        <v>55630.8</v>
      </c>
      <c r="BW34" s="1685">
        <v>44165</v>
      </c>
      <c r="BX34" s="1682"/>
      <c r="BY34" s="1326" t="s">
        <v>2052</v>
      </c>
      <c r="BZ34" s="1326" t="s">
        <v>2783</v>
      </c>
      <c r="CA34" s="1326" t="s">
        <v>2783</v>
      </c>
      <c r="CB34" s="1326" t="s">
        <v>2783</v>
      </c>
      <c r="CC34" s="1326" t="s">
        <v>2913</v>
      </c>
      <c r="CD34" s="1684">
        <v>262703.09999999998</v>
      </c>
      <c r="CE34" s="1684">
        <v>218160</v>
      </c>
      <c r="CF34" s="1684">
        <v>185436</v>
      </c>
      <c r="CG34" s="1684">
        <v>85</v>
      </c>
      <c r="CH34" s="1684">
        <v>32724</v>
      </c>
      <c r="CI34" s="1684">
        <v>15</v>
      </c>
      <c r="CJ34" s="1684">
        <v>218160</v>
      </c>
      <c r="CK34" s="1684">
        <v>100</v>
      </c>
      <c r="CL34" s="1410" t="s">
        <v>2785</v>
      </c>
      <c r="CM34" s="1686">
        <v>43486</v>
      </c>
      <c r="CN34" s="1400"/>
      <c r="CO34" s="1326"/>
      <c r="CP34" s="1682"/>
      <c r="CQ34" s="1684">
        <v>185436</v>
      </c>
      <c r="CR34" s="1684">
        <v>185436</v>
      </c>
      <c r="CS34" s="1684">
        <v>0</v>
      </c>
      <c r="CT34" s="1326" t="s">
        <v>2785</v>
      </c>
      <c r="CU34" s="1686">
        <v>43490</v>
      </c>
      <c r="CV34" s="1684">
        <v>218160</v>
      </c>
      <c r="CW34" s="1684">
        <v>0</v>
      </c>
      <c r="CX34" s="1684">
        <v>0</v>
      </c>
      <c r="CY34" s="1684">
        <v>0</v>
      </c>
      <c r="CZ34" s="1684">
        <v>212110</v>
      </c>
      <c r="DA34" s="1684">
        <v>6050</v>
      </c>
      <c r="DB34" s="1684">
        <v>0</v>
      </c>
      <c r="DC34" s="1684">
        <v>0</v>
      </c>
      <c r="DD34" s="1684">
        <v>218160</v>
      </c>
      <c r="DE34" s="1684">
        <v>185436</v>
      </c>
      <c r="DF34" s="1684">
        <v>185436</v>
      </c>
      <c r="DG34" s="1684">
        <v>0</v>
      </c>
      <c r="DH34" s="1684">
        <v>32724</v>
      </c>
      <c r="DI34" s="1684">
        <v>32724</v>
      </c>
      <c r="DJ34" s="1684">
        <v>0</v>
      </c>
      <c r="DK34" s="1684">
        <v>32724</v>
      </c>
      <c r="DL34" s="1684">
        <v>0</v>
      </c>
      <c r="DM34" s="1684">
        <v>0</v>
      </c>
      <c r="DN34" s="1684">
        <v>0</v>
      </c>
      <c r="DO34" s="1684">
        <v>0</v>
      </c>
      <c r="DP34" s="1684">
        <v>0</v>
      </c>
      <c r="DQ34" s="1326" t="s">
        <v>4363</v>
      </c>
      <c r="DR34" s="1684">
        <v>0</v>
      </c>
      <c r="DS34" s="1326" t="s">
        <v>2757</v>
      </c>
      <c r="DT34" s="1682"/>
      <c r="DU34" s="1326" t="s">
        <v>2785</v>
      </c>
      <c r="DV34" s="1686">
        <v>44135</v>
      </c>
    </row>
    <row r="35" spans="1:126" ht="78.75">
      <c r="A35" s="1326" t="s">
        <v>1714</v>
      </c>
      <c r="B35" s="1326" t="s">
        <v>1690</v>
      </c>
      <c r="C35" s="1326" t="s">
        <v>2537</v>
      </c>
      <c r="D35" s="1326" t="s">
        <v>2538</v>
      </c>
      <c r="E35" s="1326" t="s">
        <v>135</v>
      </c>
      <c r="F35" s="1326" t="s">
        <v>256</v>
      </c>
      <c r="G35" s="1326" t="s">
        <v>2539</v>
      </c>
      <c r="H35" s="1326" t="s">
        <v>2540</v>
      </c>
      <c r="I35" s="1326" t="s">
        <v>2546</v>
      </c>
      <c r="J35" s="1326" t="s">
        <v>1654</v>
      </c>
      <c r="K35" s="1685">
        <v>43343</v>
      </c>
      <c r="L35" s="1685">
        <v>43514</v>
      </c>
      <c r="M35" s="1326" t="s">
        <v>3424</v>
      </c>
      <c r="N35" s="1326" t="s">
        <v>2061</v>
      </c>
      <c r="O35" s="1326" t="s">
        <v>4364</v>
      </c>
      <c r="P35" s="1326" t="s">
        <v>2757</v>
      </c>
      <c r="Q35" s="1326" t="s">
        <v>1724</v>
      </c>
      <c r="R35" s="1326" t="s">
        <v>2785</v>
      </c>
      <c r="S35" s="1326" t="s">
        <v>2757</v>
      </c>
      <c r="T35" s="1326"/>
      <c r="U35" s="1326" t="s">
        <v>2758</v>
      </c>
      <c r="V35" s="1326" t="s">
        <v>2757</v>
      </c>
      <c r="W35" s="1326" t="s">
        <v>2757</v>
      </c>
      <c r="X35" s="1326"/>
      <c r="Y35" s="1326" t="s">
        <v>2757</v>
      </c>
      <c r="Z35" s="1326"/>
      <c r="AA35" s="1326"/>
      <c r="AB35" s="1326" t="s">
        <v>2757</v>
      </c>
      <c r="AC35" s="1326" t="s">
        <v>2757</v>
      </c>
      <c r="AD35" s="1326" t="s">
        <v>2757</v>
      </c>
      <c r="AE35" s="1326"/>
      <c r="AF35" s="1326" t="s">
        <v>2789</v>
      </c>
      <c r="AG35" s="1326" t="s">
        <v>2790</v>
      </c>
      <c r="AH35" s="1326" t="s">
        <v>2791</v>
      </c>
      <c r="AI35" s="1326" t="s">
        <v>2762</v>
      </c>
      <c r="AJ35" s="1326" t="s">
        <v>2763</v>
      </c>
      <c r="AK35" s="1326" t="s">
        <v>2792</v>
      </c>
      <c r="AL35" s="1326" t="s">
        <v>2793</v>
      </c>
      <c r="AM35" s="1683">
        <v>100</v>
      </c>
      <c r="AN35" s="1326"/>
      <c r="AO35" s="1326"/>
      <c r="AP35" s="1326"/>
      <c r="AQ35" s="1326"/>
      <c r="AR35" s="1326"/>
      <c r="AS35" s="1326"/>
      <c r="AT35" s="1326" t="s">
        <v>2880</v>
      </c>
      <c r="AU35" s="1326" t="s">
        <v>2766</v>
      </c>
      <c r="AV35" s="1326" t="s">
        <v>2796</v>
      </c>
      <c r="AW35" s="1326"/>
      <c r="AX35" s="1326" t="s">
        <v>4359</v>
      </c>
      <c r="AY35" s="1326" t="s">
        <v>2798</v>
      </c>
      <c r="AZ35" s="1326" t="s">
        <v>235</v>
      </c>
      <c r="BA35" s="1326" t="s">
        <v>2929</v>
      </c>
      <c r="BB35" s="1326" t="s">
        <v>2757</v>
      </c>
      <c r="BC35" s="1326" t="s">
        <v>2800</v>
      </c>
      <c r="BD35" s="1326" t="s">
        <v>2773</v>
      </c>
      <c r="BE35" s="1326" t="s">
        <v>2930</v>
      </c>
      <c r="BF35" s="1326" t="s">
        <v>3062</v>
      </c>
      <c r="BG35" s="1326" t="s">
        <v>2932</v>
      </c>
      <c r="BH35" s="1326" t="s">
        <v>2024</v>
      </c>
      <c r="BI35" s="1326" t="s">
        <v>2805</v>
      </c>
      <c r="BJ35" s="1326" t="s">
        <v>2885</v>
      </c>
      <c r="BK35" s="1326" t="s">
        <v>2880</v>
      </c>
      <c r="BL35" s="1326" t="s">
        <v>2757</v>
      </c>
      <c r="BM35" s="1326" t="s">
        <v>2757</v>
      </c>
      <c r="BN35" s="1683">
        <v>0</v>
      </c>
      <c r="BO35" s="1685">
        <v>43509</v>
      </c>
      <c r="BP35" s="1685">
        <v>44255</v>
      </c>
      <c r="BQ35" s="1326" t="s">
        <v>2779</v>
      </c>
      <c r="BR35" s="1685">
        <v>46752</v>
      </c>
      <c r="BS35" s="1326" t="s">
        <v>3258</v>
      </c>
      <c r="BT35" s="1326" t="s">
        <v>4365</v>
      </c>
      <c r="BU35" s="1683">
        <v>30</v>
      </c>
      <c r="BV35" s="1683">
        <v>125264.4</v>
      </c>
      <c r="BW35" s="1685">
        <v>44285</v>
      </c>
      <c r="BX35" s="1682"/>
      <c r="BY35" s="1326" t="s">
        <v>2052</v>
      </c>
      <c r="BZ35" s="1326" t="s">
        <v>2783</v>
      </c>
      <c r="CA35" s="1326" t="s">
        <v>2783</v>
      </c>
      <c r="CB35" s="1326" t="s">
        <v>2783</v>
      </c>
      <c r="CC35" s="1326" t="s">
        <v>2913</v>
      </c>
      <c r="CD35" s="1684">
        <v>840036.45</v>
      </c>
      <c r="CE35" s="1684">
        <v>694245</v>
      </c>
      <c r="CF35" s="1684">
        <v>417548</v>
      </c>
      <c r="CG35" s="1684">
        <v>60.14</v>
      </c>
      <c r="CH35" s="1684">
        <v>276697</v>
      </c>
      <c r="CI35" s="1684">
        <v>39.86</v>
      </c>
      <c r="CJ35" s="1684">
        <v>694245</v>
      </c>
      <c r="CK35" s="1684">
        <v>100</v>
      </c>
      <c r="CL35" s="1410" t="s">
        <v>2785</v>
      </c>
      <c r="CM35" s="1686">
        <v>43482</v>
      </c>
      <c r="CN35" s="1400"/>
      <c r="CO35" s="1326"/>
      <c r="CP35" s="1682"/>
      <c r="CQ35" s="1684">
        <v>417548</v>
      </c>
      <c r="CR35" s="1684">
        <v>417548</v>
      </c>
      <c r="CS35" s="1684">
        <v>0</v>
      </c>
      <c r="CT35" s="1326" t="s">
        <v>2785</v>
      </c>
      <c r="CU35" s="1686">
        <v>43486</v>
      </c>
      <c r="CV35" s="1684">
        <v>694245</v>
      </c>
      <c r="CW35" s="1684">
        <v>0</v>
      </c>
      <c r="CX35" s="1684">
        <v>0</v>
      </c>
      <c r="CY35" s="1684">
        <v>0</v>
      </c>
      <c r="CZ35" s="1684">
        <v>694000</v>
      </c>
      <c r="DA35" s="1684">
        <v>0</v>
      </c>
      <c r="DB35" s="1684">
        <v>245</v>
      </c>
      <c r="DC35" s="1684">
        <v>0</v>
      </c>
      <c r="DD35" s="1684">
        <v>417548</v>
      </c>
      <c r="DE35" s="1684">
        <v>417548</v>
      </c>
      <c r="DF35" s="1684">
        <v>417548</v>
      </c>
      <c r="DG35" s="1684">
        <v>0</v>
      </c>
      <c r="DH35" s="1684">
        <v>276697</v>
      </c>
      <c r="DI35" s="1684">
        <v>0</v>
      </c>
      <c r="DJ35" s="1684">
        <v>0</v>
      </c>
      <c r="DK35" s="1684">
        <v>0</v>
      </c>
      <c r="DL35" s="1684">
        <v>0</v>
      </c>
      <c r="DM35" s="1684">
        <v>276697</v>
      </c>
      <c r="DN35" s="1684">
        <v>276697</v>
      </c>
      <c r="DO35" s="1684">
        <v>0</v>
      </c>
      <c r="DP35" s="1684">
        <v>0</v>
      </c>
      <c r="DQ35" s="1326" t="s">
        <v>2850</v>
      </c>
      <c r="DR35" s="1684">
        <v>0</v>
      </c>
      <c r="DS35" s="1326" t="s">
        <v>2757</v>
      </c>
      <c r="DT35" s="1682"/>
      <c r="DU35" s="1326" t="s">
        <v>2785</v>
      </c>
      <c r="DV35" s="1686">
        <v>44255</v>
      </c>
    </row>
    <row r="36" spans="1:126">
      <c r="A36" s="1326" t="s">
        <v>1716</v>
      </c>
      <c r="B36" s="1326" t="s">
        <v>1694</v>
      </c>
      <c r="C36" s="1326"/>
      <c r="D36" s="1326"/>
      <c r="E36" s="1326"/>
      <c r="F36" s="1326"/>
      <c r="G36" s="1326"/>
      <c r="H36" s="1326"/>
      <c r="I36" s="1326"/>
      <c r="J36" s="1326"/>
      <c r="K36" s="1682"/>
      <c r="L36" s="1682"/>
      <c r="M36" s="1326"/>
      <c r="N36" s="1326"/>
      <c r="O36" s="1326"/>
      <c r="P36" s="1326"/>
      <c r="Q36" s="1326"/>
      <c r="R36" s="1326"/>
      <c r="S36" s="1326"/>
      <c r="T36" s="1326"/>
      <c r="U36" s="1326"/>
      <c r="V36" s="1326"/>
      <c r="W36" s="1326"/>
      <c r="X36" s="1326"/>
      <c r="Y36" s="1326"/>
      <c r="Z36" s="1326"/>
      <c r="AA36" s="1326"/>
      <c r="AB36" s="1326"/>
      <c r="AC36" s="1326"/>
      <c r="AD36" s="1326"/>
      <c r="AE36" s="1326"/>
      <c r="AF36" s="1326"/>
      <c r="AG36" s="1326"/>
      <c r="AH36" s="1326"/>
      <c r="AI36" s="1326"/>
      <c r="AJ36" s="1326"/>
      <c r="AK36" s="1326"/>
      <c r="AL36" s="1326"/>
      <c r="AM36" s="1400"/>
      <c r="AN36" s="1326"/>
      <c r="AO36" s="1326"/>
      <c r="AP36" s="1326"/>
      <c r="AQ36" s="1326"/>
      <c r="AR36" s="1326"/>
      <c r="AS36" s="1326"/>
      <c r="AT36" s="1326"/>
      <c r="AU36" s="1326"/>
      <c r="AV36" s="1326"/>
      <c r="AW36" s="1326"/>
      <c r="AX36" s="1326"/>
      <c r="AY36" s="1326"/>
      <c r="AZ36" s="1326"/>
      <c r="BA36" s="1326"/>
      <c r="BB36" s="1326"/>
      <c r="BC36" s="1326"/>
      <c r="BD36" s="1326"/>
      <c r="BE36" s="1326"/>
      <c r="BF36" s="1326"/>
      <c r="BG36" s="1326"/>
      <c r="BH36" s="1326"/>
      <c r="BI36" s="1326"/>
      <c r="BJ36" s="1326"/>
      <c r="BK36" s="1326"/>
      <c r="BL36" s="1326"/>
      <c r="BM36" s="1326"/>
      <c r="BN36" s="1400"/>
      <c r="BO36" s="1682"/>
      <c r="BP36" s="1682"/>
      <c r="BQ36" s="1326"/>
      <c r="BR36" s="1682"/>
      <c r="BS36" s="1326"/>
      <c r="BT36" s="1326"/>
      <c r="BU36" s="1400"/>
      <c r="BV36" s="1683">
        <v>2414267.88</v>
      </c>
      <c r="BW36" s="1682"/>
      <c r="BX36" s="1682"/>
      <c r="BY36" s="1326"/>
      <c r="BZ36" s="1326"/>
      <c r="CA36" s="1326"/>
      <c r="CB36" s="1326"/>
      <c r="CC36" s="1326"/>
      <c r="CD36" s="1684">
        <v>28493300.719999999</v>
      </c>
      <c r="CE36" s="1684">
        <v>23716983.27</v>
      </c>
      <c r="CF36" s="1684">
        <v>15619526.810000001</v>
      </c>
      <c r="CG36" s="1684">
        <v>65.86</v>
      </c>
      <c r="CH36" s="1684">
        <v>8097456.46</v>
      </c>
      <c r="CI36" s="1684">
        <v>34.14</v>
      </c>
      <c r="CJ36" s="1684">
        <v>23716983.27</v>
      </c>
      <c r="CK36" s="1684">
        <v>100</v>
      </c>
      <c r="CL36" s="1410"/>
      <c r="CM36" s="1682"/>
      <c r="CN36" s="1400"/>
      <c r="CO36" s="1326"/>
      <c r="CP36" s="1682"/>
      <c r="CQ36" s="1684">
        <v>18024916.960000001</v>
      </c>
      <c r="CR36" s="1684">
        <v>18024916.960000001</v>
      </c>
      <c r="CS36" s="1684">
        <v>0</v>
      </c>
      <c r="CT36" s="1326"/>
      <c r="CU36" s="1682"/>
      <c r="CV36" s="1684">
        <v>27298859.989999998</v>
      </c>
      <c r="CW36" s="1684">
        <v>620</v>
      </c>
      <c r="CX36" s="1684">
        <v>23723.77</v>
      </c>
      <c r="CY36" s="1684">
        <v>23849532.609999999</v>
      </c>
      <c r="CZ36" s="1684">
        <v>3283123.08</v>
      </c>
      <c r="DA36" s="1684">
        <v>42770.400000000001</v>
      </c>
      <c r="DB36" s="1684">
        <v>1200</v>
      </c>
      <c r="DC36" s="1684">
        <v>97890.13</v>
      </c>
      <c r="DD36" s="1684">
        <v>18707388.489999998</v>
      </c>
      <c r="DE36" s="1684">
        <v>18014000.809999999</v>
      </c>
      <c r="DF36" s="1684">
        <v>18014000.809999999</v>
      </c>
      <c r="DG36" s="1684">
        <v>0</v>
      </c>
      <c r="DH36" s="1684">
        <v>9284859.1799999997</v>
      </c>
      <c r="DI36" s="1684">
        <v>693387.68</v>
      </c>
      <c r="DJ36" s="1684">
        <v>0</v>
      </c>
      <c r="DK36" s="1684">
        <v>693387.68</v>
      </c>
      <c r="DL36" s="1684">
        <v>0</v>
      </c>
      <c r="DM36" s="1684">
        <v>8591471.5</v>
      </c>
      <c r="DN36" s="1684">
        <v>7235471.5</v>
      </c>
      <c r="DO36" s="1684">
        <v>1356000</v>
      </c>
      <c r="DP36" s="1684">
        <v>0</v>
      </c>
      <c r="DQ36" s="1326"/>
      <c r="DR36" s="1400"/>
      <c r="DS36" s="1326"/>
      <c r="DT36" s="1682"/>
      <c r="DU36" s="1326"/>
      <c r="DV36" s="1682"/>
    </row>
    <row r="37" spans="1:126">
      <c r="A37" s="1326" t="s">
        <v>1718</v>
      </c>
      <c r="B37" s="1326" t="s">
        <v>1694</v>
      </c>
      <c r="C37" s="1326" t="s">
        <v>2542</v>
      </c>
      <c r="D37" s="1326"/>
      <c r="E37" s="1326"/>
      <c r="F37" s="1326"/>
      <c r="G37" s="1326"/>
      <c r="H37" s="1326"/>
      <c r="I37" s="1326"/>
      <c r="J37" s="1326"/>
      <c r="K37" s="1682"/>
      <c r="L37" s="1682"/>
      <c r="M37" s="1326"/>
      <c r="N37" s="1326"/>
      <c r="O37" s="1326"/>
      <c r="P37" s="1326"/>
      <c r="Q37" s="1326"/>
      <c r="R37" s="1326"/>
      <c r="S37" s="1326"/>
      <c r="T37" s="1326"/>
      <c r="U37" s="1326"/>
      <c r="V37" s="1326"/>
      <c r="W37" s="1326"/>
      <c r="X37" s="1326"/>
      <c r="Y37" s="1326"/>
      <c r="Z37" s="1326"/>
      <c r="AA37" s="1326"/>
      <c r="AB37" s="1326"/>
      <c r="AC37" s="1326"/>
      <c r="AD37" s="1326"/>
      <c r="AE37" s="1326"/>
      <c r="AF37" s="1326"/>
      <c r="AG37" s="1326"/>
      <c r="AH37" s="1326"/>
      <c r="AI37" s="1326"/>
      <c r="AJ37" s="1326"/>
      <c r="AK37" s="1326"/>
      <c r="AL37" s="1326"/>
      <c r="AM37" s="1400"/>
      <c r="AN37" s="1326"/>
      <c r="AO37" s="1326"/>
      <c r="AP37" s="1326"/>
      <c r="AQ37" s="1326"/>
      <c r="AR37" s="1326"/>
      <c r="AS37" s="1326"/>
      <c r="AT37" s="1326"/>
      <c r="AU37" s="1326"/>
      <c r="AV37" s="1326"/>
      <c r="AW37" s="1326"/>
      <c r="AX37" s="1326"/>
      <c r="AY37" s="1326"/>
      <c r="AZ37" s="1326"/>
      <c r="BA37" s="1326"/>
      <c r="BB37" s="1326"/>
      <c r="BC37" s="1326"/>
      <c r="BD37" s="1326"/>
      <c r="BE37" s="1326"/>
      <c r="BF37" s="1326"/>
      <c r="BG37" s="1326"/>
      <c r="BH37" s="1326"/>
      <c r="BI37" s="1326"/>
      <c r="BJ37" s="1326"/>
      <c r="BK37" s="1326"/>
      <c r="BL37" s="1326"/>
      <c r="BM37" s="1326"/>
      <c r="BN37" s="1400"/>
      <c r="BO37" s="1682"/>
      <c r="BP37" s="1682"/>
      <c r="BQ37" s="1326"/>
      <c r="BR37" s="1682"/>
      <c r="BS37" s="1326"/>
      <c r="BT37" s="1326"/>
      <c r="BU37" s="1400"/>
      <c r="BV37" s="1683">
        <v>0</v>
      </c>
      <c r="BW37" s="1682"/>
      <c r="BX37" s="1682"/>
      <c r="BY37" s="1326"/>
      <c r="BZ37" s="1326"/>
      <c r="CA37" s="1326"/>
      <c r="CB37" s="1326"/>
      <c r="CC37" s="1326"/>
      <c r="CD37" s="1684">
        <v>3399378.95</v>
      </c>
      <c r="CE37" s="1684">
        <v>2809404.09</v>
      </c>
      <c r="CF37" s="1684">
        <v>2387993.48</v>
      </c>
      <c r="CG37" s="1684">
        <v>85</v>
      </c>
      <c r="CH37" s="1684">
        <v>421410.61</v>
      </c>
      <c r="CI37" s="1684">
        <v>15</v>
      </c>
      <c r="CJ37" s="1684">
        <v>2809404.09</v>
      </c>
      <c r="CK37" s="1684">
        <v>100</v>
      </c>
      <c r="CL37" s="1410"/>
      <c r="CM37" s="1682"/>
      <c r="CN37" s="1400"/>
      <c r="CO37" s="1326"/>
      <c r="CP37" s="1682"/>
      <c r="CQ37" s="1684">
        <v>3392312.19</v>
      </c>
      <c r="CR37" s="1684">
        <v>3392312.19</v>
      </c>
      <c r="CS37" s="1684">
        <v>0</v>
      </c>
      <c r="CT37" s="1326"/>
      <c r="CU37" s="1682"/>
      <c r="CV37" s="1684">
        <v>3990955.51</v>
      </c>
      <c r="CW37" s="1684">
        <v>0</v>
      </c>
      <c r="CX37" s="1684">
        <v>13178.03</v>
      </c>
      <c r="CY37" s="1684">
        <v>3797778.48</v>
      </c>
      <c r="CZ37" s="1684">
        <v>179999</v>
      </c>
      <c r="DA37" s="1684">
        <v>0</v>
      </c>
      <c r="DB37" s="1684">
        <v>0</v>
      </c>
      <c r="DC37" s="1684">
        <v>0</v>
      </c>
      <c r="DD37" s="1684">
        <v>3392312.19</v>
      </c>
      <c r="DE37" s="1684">
        <v>3392312.19</v>
      </c>
      <c r="DF37" s="1684">
        <v>3392312.19</v>
      </c>
      <c r="DG37" s="1684">
        <v>0</v>
      </c>
      <c r="DH37" s="1684">
        <v>598643.31999999995</v>
      </c>
      <c r="DI37" s="1684">
        <v>0</v>
      </c>
      <c r="DJ37" s="1684">
        <v>0</v>
      </c>
      <c r="DK37" s="1684">
        <v>0</v>
      </c>
      <c r="DL37" s="1684">
        <v>0</v>
      </c>
      <c r="DM37" s="1684">
        <v>598643.31999999995</v>
      </c>
      <c r="DN37" s="1684">
        <v>598643.31999999995</v>
      </c>
      <c r="DO37" s="1684">
        <v>0</v>
      </c>
      <c r="DP37" s="1684">
        <v>0</v>
      </c>
      <c r="DQ37" s="1326"/>
      <c r="DR37" s="1400"/>
      <c r="DS37" s="1326"/>
      <c r="DT37" s="1682"/>
      <c r="DU37" s="1326"/>
      <c r="DV37" s="1682"/>
    </row>
    <row r="38" spans="1:126">
      <c r="A38" s="1326" t="s">
        <v>1719</v>
      </c>
      <c r="B38" s="1326" t="s">
        <v>1694</v>
      </c>
      <c r="C38" s="1326" t="s">
        <v>2542</v>
      </c>
      <c r="D38" s="1326" t="s">
        <v>2543</v>
      </c>
      <c r="E38" s="1326"/>
      <c r="F38" s="1326"/>
      <c r="G38" s="1326"/>
      <c r="H38" s="1326"/>
      <c r="I38" s="1326"/>
      <c r="J38" s="1326"/>
      <c r="K38" s="1682"/>
      <c r="L38" s="1682"/>
      <c r="M38" s="1326"/>
      <c r="N38" s="1326"/>
      <c r="O38" s="1326"/>
      <c r="P38" s="1326"/>
      <c r="Q38" s="1326"/>
      <c r="R38" s="1326"/>
      <c r="S38" s="1326"/>
      <c r="T38" s="1326"/>
      <c r="U38" s="1326"/>
      <c r="V38" s="1326"/>
      <c r="W38" s="1326"/>
      <c r="X38" s="1326"/>
      <c r="Y38" s="1326"/>
      <c r="Z38" s="1326"/>
      <c r="AA38" s="1326"/>
      <c r="AB38" s="1326"/>
      <c r="AC38" s="1326"/>
      <c r="AD38" s="1326"/>
      <c r="AE38" s="1326"/>
      <c r="AF38" s="1326"/>
      <c r="AG38" s="1326"/>
      <c r="AH38" s="1326"/>
      <c r="AI38" s="1326"/>
      <c r="AJ38" s="1326"/>
      <c r="AK38" s="1326"/>
      <c r="AL38" s="1326"/>
      <c r="AM38" s="1400"/>
      <c r="AN38" s="1326"/>
      <c r="AO38" s="1326"/>
      <c r="AP38" s="1326"/>
      <c r="AQ38" s="1326"/>
      <c r="AR38" s="1326"/>
      <c r="AS38" s="1326"/>
      <c r="AT38" s="1326"/>
      <c r="AU38" s="1326"/>
      <c r="AV38" s="1326"/>
      <c r="AW38" s="1326"/>
      <c r="AX38" s="1326"/>
      <c r="AY38" s="1326"/>
      <c r="AZ38" s="1326"/>
      <c r="BA38" s="1326"/>
      <c r="BB38" s="1326"/>
      <c r="BC38" s="1326"/>
      <c r="BD38" s="1326"/>
      <c r="BE38" s="1326"/>
      <c r="BF38" s="1326"/>
      <c r="BG38" s="1326"/>
      <c r="BH38" s="1326"/>
      <c r="BI38" s="1326"/>
      <c r="BJ38" s="1326"/>
      <c r="BK38" s="1326"/>
      <c r="BL38" s="1326"/>
      <c r="BM38" s="1326"/>
      <c r="BN38" s="1400"/>
      <c r="BO38" s="1682"/>
      <c r="BP38" s="1682"/>
      <c r="BQ38" s="1326"/>
      <c r="BR38" s="1682"/>
      <c r="BS38" s="1326"/>
      <c r="BT38" s="1326"/>
      <c r="BU38" s="1400"/>
      <c r="BV38" s="1683">
        <v>0</v>
      </c>
      <c r="BW38" s="1682"/>
      <c r="BX38" s="1682"/>
      <c r="BY38" s="1326"/>
      <c r="BZ38" s="1326"/>
      <c r="CA38" s="1326"/>
      <c r="CB38" s="1326"/>
      <c r="CC38" s="1326"/>
      <c r="CD38" s="1684">
        <v>3399378.95</v>
      </c>
      <c r="CE38" s="1684">
        <v>2809404.09</v>
      </c>
      <c r="CF38" s="1684">
        <v>2387993.48</v>
      </c>
      <c r="CG38" s="1684">
        <v>85</v>
      </c>
      <c r="CH38" s="1684">
        <v>421410.61</v>
      </c>
      <c r="CI38" s="1684">
        <v>15</v>
      </c>
      <c r="CJ38" s="1684">
        <v>2809404.09</v>
      </c>
      <c r="CK38" s="1684">
        <v>100</v>
      </c>
      <c r="CL38" s="1410"/>
      <c r="CM38" s="1682"/>
      <c r="CN38" s="1400"/>
      <c r="CO38" s="1326"/>
      <c r="CP38" s="1682"/>
      <c r="CQ38" s="1684">
        <v>3392312.19</v>
      </c>
      <c r="CR38" s="1684">
        <v>3392312.19</v>
      </c>
      <c r="CS38" s="1684">
        <v>0</v>
      </c>
      <c r="CT38" s="1326"/>
      <c r="CU38" s="1682"/>
      <c r="CV38" s="1684">
        <v>3990955.51</v>
      </c>
      <c r="CW38" s="1684">
        <v>0</v>
      </c>
      <c r="CX38" s="1684">
        <v>13178.03</v>
      </c>
      <c r="CY38" s="1684">
        <v>3797778.48</v>
      </c>
      <c r="CZ38" s="1684">
        <v>179999</v>
      </c>
      <c r="DA38" s="1684">
        <v>0</v>
      </c>
      <c r="DB38" s="1684">
        <v>0</v>
      </c>
      <c r="DC38" s="1684">
        <v>0</v>
      </c>
      <c r="DD38" s="1684">
        <v>3392312.19</v>
      </c>
      <c r="DE38" s="1684">
        <v>3392312.19</v>
      </c>
      <c r="DF38" s="1684">
        <v>3392312.19</v>
      </c>
      <c r="DG38" s="1684">
        <v>0</v>
      </c>
      <c r="DH38" s="1684">
        <v>598643.31999999995</v>
      </c>
      <c r="DI38" s="1684">
        <v>0</v>
      </c>
      <c r="DJ38" s="1684">
        <v>0</v>
      </c>
      <c r="DK38" s="1684">
        <v>0</v>
      </c>
      <c r="DL38" s="1684">
        <v>0</v>
      </c>
      <c r="DM38" s="1684">
        <v>598643.31999999995</v>
      </c>
      <c r="DN38" s="1684">
        <v>598643.31999999995</v>
      </c>
      <c r="DO38" s="1684">
        <v>0</v>
      </c>
      <c r="DP38" s="1684">
        <v>0</v>
      </c>
      <c r="DQ38" s="1326"/>
      <c r="DR38" s="1400"/>
      <c r="DS38" s="1326"/>
      <c r="DT38" s="1682"/>
      <c r="DU38" s="1326"/>
      <c r="DV38" s="1682"/>
    </row>
    <row r="39" spans="1:126" ht="22.5">
      <c r="A39" s="1326" t="s">
        <v>1720</v>
      </c>
      <c r="B39" s="1326" t="s">
        <v>1694</v>
      </c>
      <c r="C39" s="1326" t="s">
        <v>2542</v>
      </c>
      <c r="D39" s="1326" t="s">
        <v>2543</v>
      </c>
      <c r="E39" s="1326" t="s">
        <v>179</v>
      </c>
      <c r="F39" s="1326" t="s">
        <v>2833</v>
      </c>
      <c r="G39" s="1326"/>
      <c r="H39" s="1326"/>
      <c r="I39" s="1326"/>
      <c r="J39" s="1326"/>
      <c r="K39" s="1682"/>
      <c r="L39" s="1682"/>
      <c r="M39" s="1326"/>
      <c r="N39" s="1326"/>
      <c r="O39" s="1326"/>
      <c r="P39" s="1326"/>
      <c r="Q39" s="1326"/>
      <c r="R39" s="1326"/>
      <c r="S39" s="1326"/>
      <c r="T39" s="1326"/>
      <c r="U39" s="1326"/>
      <c r="V39" s="1326"/>
      <c r="W39" s="1326"/>
      <c r="X39" s="1326"/>
      <c r="Y39" s="1326"/>
      <c r="Z39" s="1326"/>
      <c r="AA39" s="1326"/>
      <c r="AB39" s="1326"/>
      <c r="AC39" s="1326"/>
      <c r="AD39" s="1326"/>
      <c r="AE39" s="1326"/>
      <c r="AF39" s="1326"/>
      <c r="AG39" s="1326"/>
      <c r="AH39" s="1326"/>
      <c r="AI39" s="1326"/>
      <c r="AJ39" s="1326"/>
      <c r="AK39" s="1326"/>
      <c r="AL39" s="1326"/>
      <c r="AM39" s="1400"/>
      <c r="AN39" s="1326"/>
      <c r="AO39" s="1326"/>
      <c r="AP39" s="1326"/>
      <c r="AQ39" s="1326"/>
      <c r="AR39" s="1326"/>
      <c r="AS39" s="1326"/>
      <c r="AT39" s="1326"/>
      <c r="AU39" s="1326"/>
      <c r="AV39" s="1326"/>
      <c r="AW39" s="1326"/>
      <c r="AX39" s="1326"/>
      <c r="AY39" s="1326"/>
      <c r="AZ39" s="1326"/>
      <c r="BA39" s="1326"/>
      <c r="BB39" s="1326"/>
      <c r="BC39" s="1326"/>
      <c r="BD39" s="1326"/>
      <c r="BE39" s="1326"/>
      <c r="BF39" s="1326"/>
      <c r="BG39" s="1326"/>
      <c r="BH39" s="1326"/>
      <c r="BI39" s="1326"/>
      <c r="BJ39" s="1326"/>
      <c r="BK39" s="1326"/>
      <c r="BL39" s="1326"/>
      <c r="BM39" s="1326"/>
      <c r="BN39" s="1400"/>
      <c r="BO39" s="1682"/>
      <c r="BP39" s="1682"/>
      <c r="BQ39" s="1326"/>
      <c r="BR39" s="1682"/>
      <c r="BS39" s="1326"/>
      <c r="BT39" s="1326"/>
      <c r="BU39" s="1400"/>
      <c r="BV39" s="1683">
        <v>0</v>
      </c>
      <c r="BW39" s="1682"/>
      <c r="BX39" s="1682"/>
      <c r="BY39" s="1326"/>
      <c r="BZ39" s="1326"/>
      <c r="CA39" s="1326"/>
      <c r="CB39" s="1326"/>
      <c r="CC39" s="1326"/>
      <c r="CD39" s="1684">
        <v>3399378.95</v>
      </c>
      <c r="CE39" s="1684">
        <v>2809404.09</v>
      </c>
      <c r="CF39" s="1684">
        <v>2387993.48</v>
      </c>
      <c r="CG39" s="1684">
        <v>85</v>
      </c>
      <c r="CH39" s="1684">
        <v>421410.61</v>
      </c>
      <c r="CI39" s="1684">
        <v>15</v>
      </c>
      <c r="CJ39" s="1684">
        <v>2809404.09</v>
      </c>
      <c r="CK39" s="1684">
        <v>100</v>
      </c>
      <c r="CL39" s="1410"/>
      <c r="CM39" s="1682"/>
      <c r="CN39" s="1400"/>
      <c r="CO39" s="1326"/>
      <c r="CP39" s="1682"/>
      <c r="CQ39" s="1684">
        <v>3392312.19</v>
      </c>
      <c r="CR39" s="1684">
        <v>3392312.19</v>
      </c>
      <c r="CS39" s="1684">
        <v>0</v>
      </c>
      <c r="CT39" s="1326"/>
      <c r="CU39" s="1682"/>
      <c r="CV39" s="1684">
        <v>3990955.51</v>
      </c>
      <c r="CW39" s="1684">
        <v>0</v>
      </c>
      <c r="CX39" s="1684">
        <v>13178.03</v>
      </c>
      <c r="CY39" s="1684">
        <v>3797778.48</v>
      </c>
      <c r="CZ39" s="1684">
        <v>179999</v>
      </c>
      <c r="DA39" s="1684">
        <v>0</v>
      </c>
      <c r="DB39" s="1684">
        <v>0</v>
      </c>
      <c r="DC39" s="1684">
        <v>0</v>
      </c>
      <c r="DD39" s="1684">
        <v>3392312.19</v>
      </c>
      <c r="DE39" s="1684">
        <v>3392312.19</v>
      </c>
      <c r="DF39" s="1684">
        <v>3392312.19</v>
      </c>
      <c r="DG39" s="1684">
        <v>0</v>
      </c>
      <c r="DH39" s="1684">
        <v>598643.31999999995</v>
      </c>
      <c r="DI39" s="1684">
        <v>0</v>
      </c>
      <c r="DJ39" s="1684">
        <v>0</v>
      </c>
      <c r="DK39" s="1684">
        <v>0</v>
      </c>
      <c r="DL39" s="1684">
        <v>0</v>
      </c>
      <c r="DM39" s="1684">
        <v>598643.31999999995</v>
      </c>
      <c r="DN39" s="1684">
        <v>598643.31999999995</v>
      </c>
      <c r="DO39" s="1684">
        <v>0</v>
      </c>
      <c r="DP39" s="1684">
        <v>0</v>
      </c>
      <c r="DQ39" s="1326"/>
      <c r="DR39" s="1400"/>
      <c r="DS39" s="1326"/>
      <c r="DT39" s="1682"/>
      <c r="DU39" s="1326"/>
      <c r="DV39" s="1682"/>
    </row>
    <row r="40" spans="1:126" ht="67.5">
      <c r="A40" s="1326" t="s">
        <v>1721</v>
      </c>
      <c r="B40" s="1326" t="s">
        <v>1694</v>
      </c>
      <c r="C40" s="1326" t="s">
        <v>2542</v>
      </c>
      <c r="D40" s="1326" t="s">
        <v>2543</v>
      </c>
      <c r="E40" s="1326" t="s">
        <v>179</v>
      </c>
      <c r="F40" s="1326" t="s">
        <v>2833</v>
      </c>
      <c r="G40" s="1326" t="s">
        <v>2544</v>
      </c>
      <c r="H40" s="1326" t="s">
        <v>2545</v>
      </c>
      <c r="I40" s="1326" t="s">
        <v>2546</v>
      </c>
      <c r="J40" s="1326" t="s">
        <v>704</v>
      </c>
      <c r="K40" s="1685">
        <v>42726</v>
      </c>
      <c r="L40" s="1685">
        <v>42815</v>
      </c>
      <c r="M40" s="1326" t="s">
        <v>304</v>
      </c>
      <c r="N40" s="1326" t="s">
        <v>2061</v>
      </c>
      <c r="O40" s="1326" t="s">
        <v>2834</v>
      </c>
      <c r="P40" s="1326" t="s">
        <v>2757</v>
      </c>
      <c r="Q40" s="1326" t="s">
        <v>1747</v>
      </c>
      <c r="R40" s="1326" t="s">
        <v>2757</v>
      </c>
      <c r="S40" s="1326" t="s">
        <v>2757</v>
      </c>
      <c r="T40" s="1326"/>
      <c r="U40" s="1326" t="s">
        <v>2758</v>
      </c>
      <c r="V40" s="1326" t="s">
        <v>2757</v>
      </c>
      <c r="W40" s="1326" t="s">
        <v>2757</v>
      </c>
      <c r="X40" s="1326"/>
      <c r="Y40" s="1326" t="s">
        <v>2757</v>
      </c>
      <c r="Z40" s="1326"/>
      <c r="AA40" s="1326"/>
      <c r="AB40" s="1326" t="s">
        <v>2757</v>
      </c>
      <c r="AC40" s="1326" t="s">
        <v>2757</v>
      </c>
      <c r="AD40" s="1326" t="s">
        <v>2757</v>
      </c>
      <c r="AE40" s="1326"/>
      <c r="AF40" s="1326" t="s">
        <v>2835</v>
      </c>
      <c r="AG40" s="1326" t="s">
        <v>2836</v>
      </c>
      <c r="AH40" s="1326" t="s">
        <v>2837</v>
      </c>
      <c r="AI40" s="1326" t="s">
        <v>2762</v>
      </c>
      <c r="AJ40" s="1326" t="s">
        <v>2763</v>
      </c>
      <c r="AK40" s="1326" t="s">
        <v>2838</v>
      </c>
      <c r="AL40" s="1326" t="s">
        <v>2839</v>
      </c>
      <c r="AM40" s="1683">
        <v>100</v>
      </c>
      <c r="AN40" s="1326"/>
      <c r="AO40" s="1326"/>
      <c r="AP40" s="1326"/>
      <c r="AQ40" s="1326"/>
      <c r="AR40" s="1326"/>
      <c r="AS40" s="1326"/>
      <c r="AT40" s="1326" t="s">
        <v>2794</v>
      </c>
      <c r="AU40" s="1326" t="s">
        <v>2766</v>
      </c>
      <c r="AV40" s="1326" t="s">
        <v>2840</v>
      </c>
      <c r="AW40" s="1326"/>
      <c r="AX40" s="1326" t="s">
        <v>2841</v>
      </c>
      <c r="AY40" s="1326" t="s">
        <v>2798</v>
      </c>
      <c r="AZ40" s="1326" t="s">
        <v>2842</v>
      </c>
      <c r="BA40" s="1326" t="s">
        <v>2843</v>
      </c>
      <c r="BB40" s="1326" t="s">
        <v>2757</v>
      </c>
      <c r="BC40" s="1326" t="s">
        <v>2844</v>
      </c>
      <c r="BD40" s="1326" t="s">
        <v>2773</v>
      </c>
      <c r="BE40" s="1326" t="s">
        <v>2845</v>
      </c>
      <c r="BF40" s="1326" t="s">
        <v>2846</v>
      </c>
      <c r="BG40" s="1326" t="s">
        <v>2847</v>
      </c>
      <c r="BH40" s="1326" t="s">
        <v>2024</v>
      </c>
      <c r="BI40" s="1326" t="s">
        <v>2805</v>
      </c>
      <c r="BJ40" s="1326" t="s">
        <v>2806</v>
      </c>
      <c r="BK40" s="1326" t="s">
        <v>2794</v>
      </c>
      <c r="BL40" s="1326" t="s">
        <v>2757</v>
      </c>
      <c r="BM40" s="1326" t="s">
        <v>2757</v>
      </c>
      <c r="BN40" s="1683">
        <v>0</v>
      </c>
      <c r="BO40" s="1685">
        <v>42724</v>
      </c>
      <c r="BP40" s="1685">
        <v>44286</v>
      </c>
      <c r="BQ40" s="1326" t="s">
        <v>2779</v>
      </c>
      <c r="BR40" s="1685">
        <v>46295</v>
      </c>
      <c r="BS40" s="1326" t="s">
        <v>2848</v>
      </c>
      <c r="BT40" s="1326" t="s">
        <v>2849</v>
      </c>
      <c r="BU40" s="1683">
        <v>0</v>
      </c>
      <c r="BV40" s="1683">
        <v>0</v>
      </c>
      <c r="BW40" s="1685">
        <v>44316</v>
      </c>
      <c r="BX40" s="1682"/>
      <c r="BY40" s="1326" t="s">
        <v>2052</v>
      </c>
      <c r="BZ40" s="1326" t="s">
        <v>2782</v>
      </c>
      <c r="CA40" s="1326" t="s">
        <v>2783</v>
      </c>
      <c r="CB40" s="1326" t="s">
        <v>2783</v>
      </c>
      <c r="CC40" s="1326" t="s">
        <v>2784</v>
      </c>
      <c r="CD40" s="1684">
        <v>3399378.95</v>
      </c>
      <c r="CE40" s="1684">
        <v>2809404.09</v>
      </c>
      <c r="CF40" s="1684">
        <v>2387993.48</v>
      </c>
      <c r="CG40" s="1684">
        <v>85</v>
      </c>
      <c r="CH40" s="1684">
        <v>421410.61</v>
      </c>
      <c r="CI40" s="1684">
        <v>15</v>
      </c>
      <c r="CJ40" s="1684">
        <v>2809404.09</v>
      </c>
      <c r="CK40" s="1684">
        <v>100</v>
      </c>
      <c r="CL40" s="1410" t="s">
        <v>2785</v>
      </c>
      <c r="CM40" s="1686">
        <v>42786</v>
      </c>
      <c r="CN40" s="1400"/>
      <c r="CO40" s="1326"/>
      <c r="CP40" s="1682"/>
      <c r="CQ40" s="1684">
        <v>3392312.19</v>
      </c>
      <c r="CR40" s="1684">
        <v>3392312.19</v>
      </c>
      <c r="CS40" s="1684">
        <v>0</v>
      </c>
      <c r="CT40" s="1326" t="s">
        <v>2785</v>
      </c>
      <c r="CU40" s="1686">
        <v>43424</v>
      </c>
      <c r="CV40" s="1684">
        <v>3990955.51</v>
      </c>
      <c r="CW40" s="1684">
        <v>0</v>
      </c>
      <c r="CX40" s="1684">
        <v>13178.03</v>
      </c>
      <c r="CY40" s="1684">
        <v>3797778.48</v>
      </c>
      <c r="CZ40" s="1684">
        <v>179999</v>
      </c>
      <c r="DA40" s="1684">
        <v>0</v>
      </c>
      <c r="DB40" s="1684">
        <v>0</v>
      </c>
      <c r="DC40" s="1684">
        <v>0</v>
      </c>
      <c r="DD40" s="1684">
        <v>3392312.19</v>
      </c>
      <c r="DE40" s="1684">
        <v>3392312.19</v>
      </c>
      <c r="DF40" s="1684">
        <v>3392312.19</v>
      </c>
      <c r="DG40" s="1684">
        <v>0</v>
      </c>
      <c r="DH40" s="1684">
        <v>598643.31999999995</v>
      </c>
      <c r="DI40" s="1684">
        <v>0</v>
      </c>
      <c r="DJ40" s="1684">
        <v>0</v>
      </c>
      <c r="DK40" s="1684">
        <v>0</v>
      </c>
      <c r="DL40" s="1684">
        <v>0</v>
      </c>
      <c r="DM40" s="1684">
        <v>598643.31999999995</v>
      </c>
      <c r="DN40" s="1684">
        <v>598643.31999999995</v>
      </c>
      <c r="DO40" s="1684">
        <v>0</v>
      </c>
      <c r="DP40" s="1684">
        <v>0</v>
      </c>
      <c r="DQ40" s="1326" t="s">
        <v>2850</v>
      </c>
      <c r="DR40" s="1684">
        <v>0</v>
      </c>
      <c r="DS40" s="1326" t="s">
        <v>2757</v>
      </c>
      <c r="DT40" s="1682"/>
      <c r="DU40" s="1326" t="s">
        <v>2757</v>
      </c>
      <c r="DV40" s="1682"/>
    </row>
    <row r="41" spans="1:126">
      <c r="A41" s="1326" t="s">
        <v>1722</v>
      </c>
      <c r="B41" s="1326" t="s">
        <v>1694</v>
      </c>
      <c r="C41" s="1326" t="s">
        <v>2547</v>
      </c>
      <c r="D41" s="1326"/>
      <c r="E41" s="1326"/>
      <c r="F41" s="1326"/>
      <c r="G41" s="1326"/>
      <c r="H41" s="1326"/>
      <c r="I41" s="1326"/>
      <c r="J41" s="1326"/>
      <c r="K41" s="1682"/>
      <c r="L41" s="1682"/>
      <c r="M41" s="1326"/>
      <c r="N41" s="1326"/>
      <c r="O41" s="1326"/>
      <c r="P41" s="1326"/>
      <c r="Q41" s="1326"/>
      <c r="R41" s="1326"/>
      <c r="S41" s="1326"/>
      <c r="T41" s="1326"/>
      <c r="U41" s="1326"/>
      <c r="V41" s="1326"/>
      <c r="W41" s="1326"/>
      <c r="X41" s="1326"/>
      <c r="Y41" s="1326"/>
      <c r="Z41" s="1326"/>
      <c r="AA41" s="1326"/>
      <c r="AB41" s="1326"/>
      <c r="AC41" s="1326"/>
      <c r="AD41" s="1326"/>
      <c r="AE41" s="1326"/>
      <c r="AF41" s="1326"/>
      <c r="AG41" s="1326"/>
      <c r="AH41" s="1326"/>
      <c r="AI41" s="1326"/>
      <c r="AJ41" s="1326"/>
      <c r="AK41" s="1326"/>
      <c r="AL41" s="1326"/>
      <c r="AM41" s="1400"/>
      <c r="AN41" s="1326"/>
      <c r="AO41" s="1326"/>
      <c r="AP41" s="1326"/>
      <c r="AQ41" s="1326"/>
      <c r="AR41" s="1326"/>
      <c r="AS41" s="1326"/>
      <c r="AT41" s="1326"/>
      <c r="AU41" s="1326"/>
      <c r="AV41" s="1326"/>
      <c r="AW41" s="1326"/>
      <c r="AX41" s="1326"/>
      <c r="AY41" s="1326"/>
      <c r="AZ41" s="1326"/>
      <c r="BA41" s="1326"/>
      <c r="BB41" s="1326"/>
      <c r="BC41" s="1326"/>
      <c r="BD41" s="1326"/>
      <c r="BE41" s="1326"/>
      <c r="BF41" s="1326"/>
      <c r="BG41" s="1326"/>
      <c r="BH41" s="1326"/>
      <c r="BI41" s="1326"/>
      <c r="BJ41" s="1326"/>
      <c r="BK41" s="1326"/>
      <c r="BL41" s="1326"/>
      <c r="BM41" s="1326"/>
      <c r="BN41" s="1400"/>
      <c r="BO41" s="1682"/>
      <c r="BP41" s="1682"/>
      <c r="BQ41" s="1326"/>
      <c r="BR41" s="1682"/>
      <c r="BS41" s="1326"/>
      <c r="BT41" s="1326"/>
      <c r="BU41" s="1400"/>
      <c r="BV41" s="1683">
        <v>1005842.33</v>
      </c>
      <c r="BW41" s="1682"/>
      <c r="BX41" s="1682"/>
      <c r="BY41" s="1326"/>
      <c r="BZ41" s="1326"/>
      <c r="CA41" s="1326"/>
      <c r="CB41" s="1326"/>
      <c r="CC41" s="1326"/>
      <c r="CD41" s="1684">
        <v>5340030.33</v>
      </c>
      <c r="CE41" s="1684">
        <v>4130687.05</v>
      </c>
      <c r="CF41" s="1684">
        <v>3352807.77</v>
      </c>
      <c r="CG41" s="1684">
        <v>81.17</v>
      </c>
      <c r="CH41" s="1684">
        <v>777879.28</v>
      </c>
      <c r="CI41" s="1684">
        <v>18.829999999999998</v>
      </c>
      <c r="CJ41" s="1684">
        <v>4130687.05</v>
      </c>
      <c r="CK41" s="1684">
        <v>100</v>
      </c>
      <c r="CL41" s="1410"/>
      <c r="CM41" s="1682"/>
      <c r="CN41" s="1400"/>
      <c r="CO41" s="1326"/>
      <c r="CP41" s="1682"/>
      <c r="CQ41" s="1684">
        <v>3352807.77</v>
      </c>
      <c r="CR41" s="1684">
        <v>3352807.77</v>
      </c>
      <c r="CS41" s="1684">
        <v>0</v>
      </c>
      <c r="CT41" s="1326"/>
      <c r="CU41" s="1682"/>
      <c r="CV41" s="1684">
        <v>4130687.05</v>
      </c>
      <c r="CW41" s="1684">
        <v>0</v>
      </c>
      <c r="CX41" s="1684">
        <v>0</v>
      </c>
      <c r="CY41" s="1684">
        <v>1470065.81</v>
      </c>
      <c r="CZ41" s="1684">
        <v>2656121.2400000002</v>
      </c>
      <c r="DA41" s="1684">
        <v>0</v>
      </c>
      <c r="DB41" s="1684">
        <v>0</v>
      </c>
      <c r="DC41" s="1684">
        <v>4500</v>
      </c>
      <c r="DD41" s="1684">
        <v>3352807.77</v>
      </c>
      <c r="DE41" s="1684">
        <v>3352807.77</v>
      </c>
      <c r="DF41" s="1684">
        <v>3352807.77</v>
      </c>
      <c r="DG41" s="1684">
        <v>0</v>
      </c>
      <c r="DH41" s="1684">
        <v>777879.28</v>
      </c>
      <c r="DI41" s="1684">
        <v>0</v>
      </c>
      <c r="DJ41" s="1684">
        <v>0</v>
      </c>
      <c r="DK41" s="1684">
        <v>0</v>
      </c>
      <c r="DL41" s="1684">
        <v>0</v>
      </c>
      <c r="DM41" s="1684">
        <v>777879.28</v>
      </c>
      <c r="DN41" s="1684">
        <v>777879.28</v>
      </c>
      <c r="DO41" s="1684">
        <v>0</v>
      </c>
      <c r="DP41" s="1684">
        <v>0</v>
      </c>
      <c r="DQ41" s="1326"/>
      <c r="DR41" s="1400"/>
      <c r="DS41" s="1326"/>
      <c r="DT41" s="1682"/>
      <c r="DU41" s="1326"/>
      <c r="DV41" s="1682"/>
    </row>
    <row r="42" spans="1:126">
      <c r="A42" s="1326" t="s">
        <v>1723</v>
      </c>
      <c r="B42" s="1326" t="s">
        <v>1694</v>
      </c>
      <c r="C42" s="1326" t="s">
        <v>2547</v>
      </c>
      <c r="D42" s="1326" t="s">
        <v>2548</v>
      </c>
      <c r="E42" s="1326"/>
      <c r="F42" s="1326"/>
      <c r="G42" s="1326"/>
      <c r="H42" s="1326"/>
      <c r="I42" s="1326"/>
      <c r="J42" s="1326"/>
      <c r="K42" s="1682"/>
      <c r="L42" s="1682"/>
      <c r="M42" s="1326"/>
      <c r="N42" s="1326"/>
      <c r="O42" s="1326"/>
      <c r="P42" s="1326"/>
      <c r="Q42" s="1326"/>
      <c r="R42" s="1326"/>
      <c r="S42" s="1326"/>
      <c r="T42" s="1326"/>
      <c r="U42" s="1326"/>
      <c r="V42" s="1326"/>
      <c r="W42" s="1326"/>
      <c r="X42" s="1326"/>
      <c r="Y42" s="1326"/>
      <c r="Z42" s="1326"/>
      <c r="AA42" s="1326"/>
      <c r="AB42" s="1326"/>
      <c r="AC42" s="1326"/>
      <c r="AD42" s="1326"/>
      <c r="AE42" s="1326"/>
      <c r="AF42" s="1326"/>
      <c r="AG42" s="1326"/>
      <c r="AH42" s="1326"/>
      <c r="AI42" s="1326"/>
      <c r="AJ42" s="1326"/>
      <c r="AK42" s="1326"/>
      <c r="AL42" s="1326"/>
      <c r="AM42" s="1400"/>
      <c r="AN42" s="1326"/>
      <c r="AO42" s="1326"/>
      <c r="AP42" s="1326"/>
      <c r="AQ42" s="1326"/>
      <c r="AR42" s="1326"/>
      <c r="AS42" s="1326"/>
      <c r="AT42" s="1326"/>
      <c r="AU42" s="1326"/>
      <c r="AV42" s="1326"/>
      <c r="AW42" s="1326"/>
      <c r="AX42" s="1326"/>
      <c r="AY42" s="1326"/>
      <c r="AZ42" s="1326"/>
      <c r="BA42" s="1326"/>
      <c r="BB42" s="1326"/>
      <c r="BC42" s="1326"/>
      <c r="BD42" s="1326"/>
      <c r="BE42" s="1326"/>
      <c r="BF42" s="1326"/>
      <c r="BG42" s="1326"/>
      <c r="BH42" s="1326"/>
      <c r="BI42" s="1326"/>
      <c r="BJ42" s="1326"/>
      <c r="BK42" s="1326"/>
      <c r="BL42" s="1326"/>
      <c r="BM42" s="1326"/>
      <c r="BN42" s="1400"/>
      <c r="BO42" s="1682"/>
      <c r="BP42" s="1682"/>
      <c r="BQ42" s="1326"/>
      <c r="BR42" s="1682"/>
      <c r="BS42" s="1326"/>
      <c r="BT42" s="1326"/>
      <c r="BU42" s="1400"/>
      <c r="BV42" s="1683">
        <v>1005842.33</v>
      </c>
      <c r="BW42" s="1682"/>
      <c r="BX42" s="1682"/>
      <c r="BY42" s="1326"/>
      <c r="BZ42" s="1326"/>
      <c r="CA42" s="1326"/>
      <c r="CB42" s="1326"/>
      <c r="CC42" s="1326"/>
      <c r="CD42" s="1684">
        <v>5340030.33</v>
      </c>
      <c r="CE42" s="1684">
        <v>4130687.05</v>
      </c>
      <c r="CF42" s="1684">
        <v>3352807.77</v>
      </c>
      <c r="CG42" s="1684">
        <v>81.17</v>
      </c>
      <c r="CH42" s="1684">
        <v>777879.28</v>
      </c>
      <c r="CI42" s="1684">
        <v>18.829999999999998</v>
      </c>
      <c r="CJ42" s="1684">
        <v>4130687.05</v>
      </c>
      <c r="CK42" s="1684">
        <v>100</v>
      </c>
      <c r="CL42" s="1410"/>
      <c r="CM42" s="1682"/>
      <c r="CN42" s="1400"/>
      <c r="CO42" s="1326"/>
      <c r="CP42" s="1682"/>
      <c r="CQ42" s="1684">
        <v>3352807.77</v>
      </c>
      <c r="CR42" s="1684">
        <v>3352807.77</v>
      </c>
      <c r="CS42" s="1684">
        <v>0</v>
      </c>
      <c r="CT42" s="1326"/>
      <c r="CU42" s="1682"/>
      <c r="CV42" s="1684">
        <v>4130687.05</v>
      </c>
      <c r="CW42" s="1684">
        <v>0</v>
      </c>
      <c r="CX42" s="1684">
        <v>0</v>
      </c>
      <c r="CY42" s="1684">
        <v>1470065.81</v>
      </c>
      <c r="CZ42" s="1684">
        <v>2656121.2400000002</v>
      </c>
      <c r="DA42" s="1684">
        <v>0</v>
      </c>
      <c r="DB42" s="1684">
        <v>0</v>
      </c>
      <c r="DC42" s="1684">
        <v>4500</v>
      </c>
      <c r="DD42" s="1684">
        <v>3352807.77</v>
      </c>
      <c r="DE42" s="1684">
        <v>3352807.77</v>
      </c>
      <c r="DF42" s="1684">
        <v>3352807.77</v>
      </c>
      <c r="DG42" s="1684">
        <v>0</v>
      </c>
      <c r="DH42" s="1684">
        <v>777879.28</v>
      </c>
      <c r="DI42" s="1684">
        <v>0</v>
      </c>
      <c r="DJ42" s="1684">
        <v>0</v>
      </c>
      <c r="DK42" s="1684">
        <v>0</v>
      </c>
      <c r="DL42" s="1684">
        <v>0</v>
      </c>
      <c r="DM42" s="1684">
        <v>777879.28</v>
      </c>
      <c r="DN42" s="1684">
        <v>777879.28</v>
      </c>
      <c r="DO42" s="1684">
        <v>0</v>
      </c>
      <c r="DP42" s="1684">
        <v>0</v>
      </c>
      <c r="DQ42" s="1326"/>
      <c r="DR42" s="1400"/>
      <c r="DS42" s="1326"/>
      <c r="DT42" s="1682"/>
      <c r="DU42" s="1326"/>
      <c r="DV42" s="1682"/>
    </row>
    <row r="43" spans="1:126" ht="45">
      <c r="A43" s="1326" t="s">
        <v>1724</v>
      </c>
      <c r="B43" s="1326" t="s">
        <v>1694</v>
      </c>
      <c r="C43" s="1326" t="s">
        <v>2547</v>
      </c>
      <c r="D43" s="1326" t="s">
        <v>2548</v>
      </c>
      <c r="E43" s="1326" t="s">
        <v>190</v>
      </c>
      <c r="F43" s="1326" t="s">
        <v>2851</v>
      </c>
      <c r="G43" s="1326"/>
      <c r="H43" s="1326"/>
      <c r="I43" s="1326"/>
      <c r="J43" s="1326"/>
      <c r="K43" s="1682"/>
      <c r="L43" s="1682"/>
      <c r="M43" s="1326"/>
      <c r="N43" s="1326"/>
      <c r="O43" s="1326"/>
      <c r="P43" s="1326"/>
      <c r="Q43" s="1326"/>
      <c r="R43" s="1326"/>
      <c r="S43" s="1326"/>
      <c r="T43" s="1326"/>
      <c r="U43" s="1326"/>
      <c r="V43" s="1326"/>
      <c r="W43" s="1326"/>
      <c r="X43" s="1326"/>
      <c r="Y43" s="1326"/>
      <c r="Z43" s="1326"/>
      <c r="AA43" s="1326"/>
      <c r="AB43" s="1326"/>
      <c r="AC43" s="1326"/>
      <c r="AD43" s="1326"/>
      <c r="AE43" s="1326"/>
      <c r="AF43" s="1326"/>
      <c r="AG43" s="1326"/>
      <c r="AH43" s="1326"/>
      <c r="AI43" s="1326"/>
      <c r="AJ43" s="1326"/>
      <c r="AK43" s="1326"/>
      <c r="AL43" s="1326"/>
      <c r="AM43" s="1400"/>
      <c r="AN43" s="1326"/>
      <c r="AO43" s="1326"/>
      <c r="AP43" s="1326"/>
      <c r="AQ43" s="1326"/>
      <c r="AR43" s="1326"/>
      <c r="AS43" s="1326"/>
      <c r="AT43" s="1326"/>
      <c r="AU43" s="1326"/>
      <c r="AV43" s="1326"/>
      <c r="AW43" s="1326"/>
      <c r="AX43" s="1326"/>
      <c r="AY43" s="1326"/>
      <c r="AZ43" s="1326"/>
      <c r="BA43" s="1326"/>
      <c r="BB43" s="1326"/>
      <c r="BC43" s="1326"/>
      <c r="BD43" s="1326"/>
      <c r="BE43" s="1326"/>
      <c r="BF43" s="1326"/>
      <c r="BG43" s="1326"/>
      <c r="BH43" s="1326"/>
      <c r="BI43" s="1326"/>
      <c r="BJ43" s="1326"/>
      <c r="BK43" s="1326"/>
      <c r="BL43" s="1326"/>
      <c r="BM43" s="1326"/>
      <c r="BN43" s="1400"/>
      <c r="BO43" s="1682"/>
      <c r="BP43" s="1682"/>
      <c r="BQ43" s="1326"/>
      <c r="BR43" s="1682"/>
      <c r="BS43" s="1326"/>
      <c r="BT43" s="1326"/>
      <c r="BU43" s="1400"/>
      <c r="BV43" s="1683">
        <v>1005842.33</v>
      </c>
      <c r="BW43" s="1682"/>
      <c r="BX43" s="1682"/>
      <c r="BY43" s="1326"/>
      <c r="BZ43" s="1326"/>
      <c r="CA43" s="1326"/>
      <c r="CB43" s="1326"/>
      <c r="CC43" s="1326"/>
      <c r="CD43" s="1684">
        <v>5340030.33</v>
      </c>
      <c r="CE43" s="1684">
        <v>4130687.05</v>
      </c>
      <c r="CF43" s="1684">
        <v>3352807.77</v>
      </c>
      <c r="CG43" s="1684">
        <v>81.17</v>
      </c>
      <c r="CH43" s="1684">
        <v>777879.28</v>
      </c>
      <c r="CI43" s="1684">
        <v>18.829999999999998</v>
      </c>
      <c r="CJ43" s="1684">
        <v>4130687.05</v>
      </c>
      <c r="CK43" s="1684">
        <v>100</v>
      </c>
      <c r="CL43" s="1410"/>
      <c r="CM43" s="1682"/>
      <c r="CN43" s="1400"/>
      <c r="CO43" s="1326"/>
      <c r="CP43" s="1682"/>
      <c r="CQ43" s="1684">
        <v>3352807.77</v>
      </c>
      <c r="CR43" s="1684">
        <v>3352807.77</v>
      </c>
      <c r="CS43" s="1684">
        <v>0</v>
      </c>
      <c r="CT43" s="1326"/>
      <c r="CU43" s="1682"/>
      <c r="CV43" s="1684">
        <v>4130687.05</v>
      </c>
      <c r="CW43" s="1684">
        <v>0</v>
      </c>
      <c r="CX43" s="1684">
        <v>0</v>
      </c>
      <c r="CY43" s="1684">
        <v>1470065.81</v>
      </c>
      <c r="CZ43" s="1684">
        <v>2656121.2400000002</v>
      </c>
      <c r="DA43" s="1684">
        <v>0</v>
      </c>
      <c r="DB43" s="1684">
        <v>0</v>
      </c>
      <c r="DC43" s="1684">
        <v>4500</v>
      </c>
      <c r="DD43" s="1684">
        <v>3352807.77</v>
      </c>
      <c r="DE43" s="1684">
        <v>3352807.77</v>
      </c>
      <c r="DF43" s="1684">
        <v>3352807.77</v>
      </c>
      <c r="DG43" s="1684">
        <v>0</v>
      </c>
      <c r="DH43" s="1684">
        <v>777879.28</v>
      </c>
      <c r="DI43" s="1684">
        <v>0</v>
      </c>
      <c r="DJ43" s="1684">
        <v>0</v>
      </c>
      <c r="DK43" s="1684">
        <v>0</v>
      </c>
      <c r="DL43" s="1684">
        <v>0</v>
      </c>
      <c r="DM43" s="1684">
        <v>777879.28</v>
      </c>
      <c r="DN43" s="1684">
        <v>777879.28</v>
      </c>
      <c r="DO43" s="1684">
        <v>0</v>
      </c>
      <c r="DP43" s="1684">
        <v>0</v>
      </c>
      <c r="DQ43" s="1326"/>
      <c r="DR43" s="1400"/>
      <c r="DS43" s="1326"/>
      <c r="DT43" s="1682"/>
      <c r="DU43" s="1326"/>
      <c r="DV43" s="1682"/>
    </row>
    <row r="44" spans="1:126" ht="247.5">
      <c r="A44" s="1326" t="s">
        <v>1725</v>
      </c>
      <c r="B44" s="1326" t="s">
        <v>1694</v>
      </c>
      <c r="C44" s="1326" t="s">
        <v>2547</v>
      </c>
      <c r="D44" s="1326" t="s">
        <v>2548</v>
      </c>
      <c r="E44" s="1326" t="s">
        <v>190</v>
      </c>
      <c r="F44" s="1326" t="s">
        <v>2851</v>
      </c>
      <c r="G44" s="1326" t="s">
        <v>2544</v>
      </c>
      <c r="H44" s="1326" t="s">
        <v>2545</v>
      </c>
      <c r="I44" s="1326" t="s">
        <v>2546</v>
      </c>
      <c r="J44" s="1326" t="s">
        <v>729</v>
      </c>
      <c r="K44" s="1685">
        <v>42832</v>
      </c>
      <c r="L44" s="1685">
        <v>42957</v>
      </c>
      <c r="M44" s="1326" t="s">
        <v>2085</v>
      </c>
      <c r="N44" s="1326" t="s">
        <v>2061</v>
      </c>
      <c r="O44" s="1326" t="s">
        <v>2852</v>
      </c>
      <c r="P44" s="1326" t="s">
        <v>2757</v>
      </c>
      <c r="Q44" s="1326" t="s">
        <v>1721</v>
      </c>
      <c r="R44" s="1326" t="s">
        <v>2757</v>
      </c>
      <c r="S44" s="1326" t="s">
        <v>2757</v>
      </c>
      <c r="T44" s="1326"/>
      <c r="U44" s="1326" t="s">
        <v>2758</v>
      </c>
      <c r="V44" s="1326" t="s">
        <v>2757</v>
      </c>
      <c r="W44" s="1326" t="s">
        <v>2757</v>
      </c>
      <c r="X44" s="1326"/>
      <c r="Y44" s="1326" t="s">
        <v>2757</v>
      </c>
      <c r="Z44" s="1326"/>
      <c r="AA44" s="1326"/>
      <c r="AB44" s="1326" t="s">
        <v>2757</v>
      </c>
      <c r="AC44" s="1326" t="s">
        <v>2757</v>
      </c>
      <c r="AD44" s="1326" t="s">
        <v>2757</v>
      </c>
      <c r="AE44" s="1326"/>
      <c r="AF44" s="1326" t="s">
        <v>2853</v>
      </c>
      <c r="AG44" s="1326" t="s">
        <v>2854</v>
      </c>
      <c r="AH44" s="1326" t="s">
        <v>2837</v>
      </c>
      <c r="AI44" s="1326" t="s">
        <v>2762</v>
      </c>
      <c r="AJ44" s="1326" t="s">
        <v>2763</v>
      </c>
      <c r="AK44" s="1326" t="s">
        <v>2838</v>
      </c>
      <c r="AL44" s="1326" t="s">
        <v>2855</v>
      </c>
      <c r="AM44" s="1683">
        <v>100</v>
      </c>
      <c r="AN44" s="1326"/>
      <c r="AO44" s="1326"/>
      <c r="AP44" s="1326"/>
      <c r="AQ44" s="1326"/>
      <c r="AR44" s="1326"/>
      <c r="AS44" s="1326"/>
      <c r="AT44" s="1326" t="s">
        <v>2794</v>
      </c>
      <c r="AU44" s="1326" t="s">
        <v>2766</v>
      </c>
      <c r="AV44" s="1326" t="s">
        <v>2856</v>
      </c>
      <c r="AW44" s="1326"/>
      <c r="AX44" s="1326" t="s">
        <v>2841</v>
      </c>
      <c r="AY44" s="1326" t="s">
        <v>2798</v>
      </c>
      <c r="AZ44" s="1326" t="s">
        <v>2857</v>
      </c>
      <c r="BA44" s="1326" t="s">
        <v>2858</v>
      </c>
      <c r="BB44" s="1326" t="s">
        <v>2757</v>
      </c>
      <c r="BC44" s="1326" t="s">
        <v>2844</v>
      </c>
      <c r="BD44" s="1326" t="s">
        <v>2859</v>
      </c>
      <c r="BE44" s="1326" t="s">
        <v>2860</v>
      </c>
      <c r="BF44" s="1326" t="s">
        <v>2861</v>
      </c>
      <c r="BG44" s="1326" t="s">
        <v>2862</v>
      </c>
      <c r="BH44" s="1326" t="s">
        <v>2804</v>
      </c>
      <c r="BI44" s="1326" t="s">
        <v>2805</v>
      </c>
      <c r="BJ44" s="1326" t="s">
        <v>2806</v>
      </c>
      <c r="BK44" s="1326" t="s">
        <v>2794</v>
      </c>
      <c r="BL44" s="1326" t="s">
        <v>2757</v>
      </c>
      <c r="BM44" s="1326" t="s">
        <v>2757</v>
      </c>
      <c r="BN44" s="1683">
        <v>0</v>
      </c>
      <c r="BO44" s="1685">
        <v>42957</v>
      </c>
      <c r="BP44" s="1685">
        <v>43565</v>
      </c>
      <c r="BQ44" s="1326" t="s">
        <v>2779</v>
      </c>
      <c r="BR44" s="1685">
        <v>45716</v>
      </c>
      <c r="BS44" s="1326" t="s">
        <v>2863</v>
      </c>
      <c r="BT44" s="1326" t="s">
        <v>2864</v>
      </c>
      <c r="BU44" s="1683">
        <v>30</v>
      </c>
      <c r="BV44" s="1683">
        <v>1005842.33</v>
      </c>
      <c r="BW44" s="1685">
        <v>43595</v>
      </c>
      <c r="BX44" s="1682"/>
      <c r="BY44" s="1326" t="s">
        <v>2052</v>
      </c>
      <c r="BZ44" s="1326" t="s">
        <v>2782</v>
      </c>
      <c r="CA44" s="1326" t="s">
        <v>2783</v>
      </c>
      <c r="CB44" s="1326" t="s">
        <v>2783</v>
      </c>
      <c r="CC44" s="1326" t="s">
        <v>2784</v>
      </c>
      <c r="CD44" s="1684">
        <v>5340030.33</v>
      </c>
      <c r="CE44" s="1684">
        <v>4130687.05</v>
      </c>
      <c r="CF44" s="1684">
        <v>3352807.77</v>
      </c>
      <c r="CG44" s="1684">
        <v>81.17</v>
      </c>
      <c r="CH44" s="1684">
        <v>777879.28</v>
      </c>
      <c r="CI44" s="1684">
        <v>18.829999999999998</v>
      </c>
      <c r="CJ44" s="1684">
        <v>4130687.05</v>
      </c>
      <c r="CK44" s="1684">
        <v>100</v>
      </c>
      <c r="CL44" s="1410" t="s">
        <v>2785</v>
      </c>
      <c r="CM44" s="1686">
        <v>42923</v>
      </c>
      <c r="CN44" s="1400"/>
      <c r="CO44" s="1326"/>
      <c r="CP44" s="1682"/>
      <c r="CQ44" s="1684">
        <v>3352807.77</v>
      </c>
      <c r="CR44" s="1684">
        <v>3352807.77</v>
      </c>
      <c r="CS44" s="1684">
        <v>0</v>
      </c>
      <c r="CT44" s="1326" t="s">
        <v>2785</v>
      </c>
      <c r="CU44" s="1686">
        <v>42943</v>
      </c>
      <c r="CV44" s="1684">
        <v>4130687.05</v>
      </c>
      <c r="CW44" s="1684">
        <v>0</v>
      </c>
      <c r="CX44" s="1684">
        <v>0</v>
      </c>
      <c r="CY44" s="1684">
        <v>1470065.81</v>
      </c>
      <c r="CZ44" s="1684">
        <v>2656121.2400000002</v>
      </c>
      <c r="DA44" s="1684">
        <v>0</v>
      </c>
      <c r="DB44" s="1684">
        <v>0</v>
      </c>
      <c r="DC44" s="1684">
        <v>4500</v>
      </c>
      <c r="DD44" s="1684">
        <v>3352807.77</v>
      </c>
      <c r="DE44" s="1684">
        <v>3352807.77</v>
      </c>
      <c r="DF44" s="1684">
        <v>3352807.77</v>
      </c>
      <c r="DG44" s="1684">
        <v>0</v>
      </c>
      <c r="DH44" s="1684">
        <v>777879.28</v>
      </c>
      <c r="DI44" s="1684">
        <v>0</v>
      </c>
      <c r="DJ44" s="1684">
        <v>0</v>
      </c>
      <c r="DK44" s="1684">
        <v>0</v>
      </c>
      <c r="DL44" s="1684">
        <v>0</v>
      </c>
      <c r="DM44" s="1684">
        <v>777879.28</v>
      </c>
      <c r="DN44" s="1684">
        <v>777879.28</v>
      </c>
      <c r="DO44" s="1684">
        <v>0</v>
      </c>
      <c r="DP44" s="1684">
        <v>0</v>
      </c>
      <c r="DQ44" s="1326" t="s">
        <v>2850</v>
      </c>
      <c r="DR44" s="1684">
        <v>0</v>
      </c>
      <c r="DS44" s="1326" t="s">
        <v>2757</v>
      </c>
      <c r="DT44" s="1682"/>
      <c r="DU44" s="1326" t="s">
        <v>2757</v>
      </c>
      <c r="DV44" s="1682"/>
    </row>
    <row r="45" spans="1:126">
      <c r="A45" s="1326" t="s">
        <v>1726</v>
      </c>
      <c r="B45" s="1326" t="s">
        <v>1694</v>
      </c>
      <c r="C45" s="1326" t="s">
        <v>2549</v>
      </c>
      <c r="D45" s="1326"/>
      <c r="E45" s="1326"/>
      <c r="F45" s="1326"/>
      <c r="G45" s="1326"/>
      <c r="H45" s="1326"/>
      <c r="I45" s="1326"/>
      <c r="J45" s="1326"/>
      <c r="K45" s="1682"/>
      <c r="L45" s="1682"/>
      <c r="M45" s="1326"/>
      <c r="N45" s="1326"/>
      <c r="O45" s="1326"/>
      <c r="P45" s="1326"/>
      <c r="Q45" s="1326"/>
      <c r="R45" s="1326"/>
      <c r="S45" s="1326"/>
      <c r="T45" s="1326"/>
      <c r="U45" s="1326"/>
      <c r="V45" s="1326"/>
      <c r="W45" s="1326"/>
      <c r="X45" s="1326"/>
      <c r="Y45" s="1326"/>
      <c r="Z45" s="1326"/>
      <c r="AA45" s="1326"/>
      <c r="AB45" s="1326"/>
      <c r="AC45" s="1326"/>
      <c r="AD45" s="1326"/>
      <c r="AE45" s="1326"/>
      <c r="AF45" s="1326"/>
      <c r="AG45" s="1326"/>
      <c r="AH45" s="1326"/>
      <c r="AI45" s="1326"/>
      <c r="AJ45" s="1326"/>
      <c r="AK45" s="1326"/>
      <c r="AL45" s="1326"/>
      <c r="AM45" s="1400"/>
      <c r="AN45" s="1326"/>
      <c r="AO45" s="1326"/>
      <c r="AP45" s="1326"/>
      <c r="AQ45" s="1326"/>
      <c r="AR45" s="1326"/>
      <c r="AS45" s="1326"/>
      <c r="AT45" s="1326"/>
      <c r="AU45" s="1326"/>
      <c r="AV45" s="1326"/>
      <c r="AW45" s="1326"/>
      <c r="AX45" s="1326"/>
      <c r="AY45" s="1326"/>
      <c r="AZ45" s="1326"/>
      <c r="BA45" s="1326"/>
      <c r="BB45" s="1326"/>
      <c r="BC45" s="1326"/>
      <c r="BD45" s="1326"/>
      <c r="BE45" s="1326"/>
      <c r="BF45" s="1326"/>
      <c r="BG45" s="1326"/>
      <c r="BH45" s="1326"/>
      <c r="BI45" s="1326"/>
      <c r="BJ45" s="1326"/>
      <c r="BK45" s="1326"/>
      <c r="BL45" s="1326"/>
      <c r="BM45" s="1326"/>
      <c r="BN45" s="1400"/>
      <c r="BO45" s="1682"/>
      <c r="BP45" s="1682"/>
      <c r="BQ45" s="1326"/>
      <c r="BR45" s="1682"/>
      <c r="BS45" s="1326"/>
      <c r="BT45" s="1326"/>
      <c r="BU45" s="1400"/>
      <c r="BV45" s="1683">
        <v>793798.88</v>
      </c>
      <c r="BW45" s="1682"/>
      <c r="BX45" s="1682"/>
      <c r="BY45" s="1326"/>
      <c r="BZ45" s="1326"/>
      <c r="CA45" s="1326"/>
      <c r="CB45" s="1326"/>
      <c r="CC45" s="1326"/>
      <c r="CD45" s="1684">
        <v>16460334.08</v>
      </c>
      <c r="CE45" s="1684">
        <v>13600026.08</v>
      </c>
      <c r="CF45" s="1684">
        <v>7397173.5999999996</v>
      </c>
      <c r="CG45" s="1684">
        <v>54.39</v>
      </c>
      <c r="CH45" s="1684">
        <v>6202852.4800000004</v>
      </c>
      <c r="CI45" s="1684">
        <v>45.61</v>
      </c>
      <c r="CJ45" s="1684">
        <v>13600026.08</v>
      </c>
      <c r="CK45" s="1684">
        <v>100</v>
      </c>
      <c r="CL45" s="1410"/>
      <c r="CM45" s="1682"/>
      <c r="CN45" s="1400"/>
      <c r="CO45" s="1326"/>
      <c r="CP45" s="1682"/>
      <c r="CQ45" s="1684">
        <v>8798245.2400000002</v>
      </c>
      <c r="CR45" s="1684">
        <v>8798245.2400000002</v>
      </c>
      <c r="CS45" s="1684">
        <v>0</v>
      </c>
      <c r="CT45" s="1326"/>
      <c r="CU45" s="1682"/>
      <c r="CV45" s="1684">
        <v>16013194.140000001</v>
      </c>
      <c r="CW45" s="1684">
        <v>0</v>
      </c>
      <c r="CX45" s="1684">
        <v>10545.74</v>
      </c>
      <c r="CY45" s="1684">
        <v>15907201.67</v>
      </c>
      <c r="CZ45" s="1684">
        <v>0</v>
      </c>
      <c r="DA45" s="1684">
        <v>27800</v>
      </c>
      <c r="DB45" s="1684">
        <v>1000</v>
      </c>
      <c r="DC45" s="1684">
        <v>66646.73</v>
      </c>
      <c r="DD45" s="1684">
        <v>8798245.2400000002</v>
      </c>
      <c r="DE45" s="1684">
        <v>8798245.2400000002</v>
      </c>
      <c r="DF45" s="1684">
        <v>8798245.2400000002</v>
      </c>
      <c r="DG45" s="1684">
        <v>0</v>
      </c>
      <c r="DH45" s="1684">
        <v>7214948.9000000004</v>
      </c>
      <c r="DI45" s="1684">
        <v>0</v>
      </c>
      <c r="DJ45" s="1684">
        <v>0</v>
      </c>
      <c r="DK45" s="1684">
        <v>0</v>
      </c>
      <c r="DL45" s="1684">
        <v>0</v>
      </c>
      <c r="DM45" s="1684">
        <v>7214948.9000000004</v>
      </c>
      <c r="DN45" s="1684">
        <v>5858948.9000000004</v>
      </c>
      <c r="DO45" s="1684">
        <v>1356000</v>
      </c>
      <c r="DP45" s="1684">
        <v>0</v>
      </c>
      <c r="DQ45" s="1326"/>
      <c r="DR45" s="1400"/>
      <c r="DS45" s="1326"/>
      <c r="DT45" s="1682"/>
      <c r="DU45" s="1326"/>
      <c r="DV45" s="1682"/>
    </row>
    <row r="46" spans="1:126">
      <c r="A46" s="1326" t="s">
        <v>1727</v>
      </c>
      <c r="B46" s="1326" t="s">
        <v>1694</v>
      </c>
      <c r="C46" s="1326" t="s">
        <v>2549</v>
      </c>
      <c r="D46" s="1326" t="s">
        <v>2550</v>
      </c>
      <c r="E46" s="1326"/>
      <c r="F46" s="1326"/>
      <c r="G46" s="1326"/>
      <c r="H46" s="1326"/>
      <c r="I46" s="1326"/>
      <c r="J46" s="1326"/>
      <c r="K46" s="1682"/>
      <c r="L46" s="1682"/>
      <c r="M46" s="1326"/>
      <c r="N46" s="1326"/>
      <c r="O46" s="1326"/>
      <c r="P46" s="1326"/>
      <c r="Q46" s="1326"/>
      <c r="R46" s="1326"/>
      <c r="S46" s="1326"/>
      <c r="T46" s="1326"/>
      <c r="U46" s="1326"/>
      <c r="V46" s="1326"/>
      <c r="W46" s="1326"/>
      <c r="X46" s="1326"/>
      <c r="Y46" s="1326"/>
      <c r="Z46" s="1326"/>
      <c r="AA46" s="1326"/>
      <c r="AB46" s="1326"/>
      <c r="AC46" s="1326"/>
      <c r="AD46" s="1326"/>
      <c r="AE46" s="1326"/>
      <c r="AF46" s="1326"/>
      <c r="AG46" s="1326"/>
      <c r="AH46" s="1326"/>
      <c r="AI46" s="1326"/>
      <c r="AJ46" s="1326"/>
      <c r="AK46" s="1326"/>
      <c r="AL46" s="1326"/>
      <c r="AM46" s="1400"/>
      <c r="AN46" s="1326"/>
      <c r="AO46" s="1326"/>
      <c r="AP46" s="1326"/>
      <c r="AQ46" s="1326"/>
      <c r="AR46" s="1326"/>
      <c r="AS46" s="1326"/>
      <c r="AT46" s="1326"/>
      <c r="AU46" s="1326"/>
      <c r="AV46" s="1326"/>
      <c r="AW46" s="1326"/>
      <c r="AX46" s="1326"/>
      <c r="AY46" s="1326"/>
      <c r="AZ46" s="1326"/>
      <c r="BA46" s="1326"/>
      <c r="BB46" s="1326"/>
      <c r="BC46" s="1326"/>
      <c r="BD46" s="1326"/>
      <c r="BE46" s="1326"/>
      <c r="BF46" s="1326"/>
      <c r="BG46" s="1326"/>
      <c r="BH46" s="1326"/>
      <c r="BI46" s="1326"/>
      <c r="BJ46" s="1326"/>
      <c r="BK46" s="1326"/>
      <c r="BL46" s="1326"/>
      <c r="BM46" s="1326"/>
      <c r="BN46" s="1400"/>
      <c r="BO46" s="1682"/>
      <c r="BP46" s="1682"/>
      <c r="BQ46" s="1326"/>
      <c r="BR46" s="1682"/>
      <c r="BS46" s="1326"/>
      <c r="BT46" s="1326"/>
      <c r="BU46" s="1400"/>
      <c r="BV46" s="1683">
        <v>793798.88</v>
      </c>
      <c r="BW46" s="1682"/>
      <c r="BX46" s="1682"/>
      <c r="BY46" s="1326"/>
      <c r="BZ46" s="1326"/>
      <c r="CA46" s="1326"/>
      <c r="CB46" s="1326"/>
      <c r="CC46" s="1326"/>
      <c r="CD46" s="1684">
        <v>16460334.08</v>
      </c>
      <c r="CE46" s="1684">
        <v>13600026.08</v>
      </c>
      <c r="CF46" s="1684">
        <v>7397173.5999999996</v>
      </c>
      <c r="CG46" s="1684">
        <v>54.39</v>
      </c>
      <c r="CH46" s="1684">
        <v>6202852.4800000004</v>
      </c>
      <c r="CI46" s="1684">
        <v>45.61</v>
      </c>
      <c r="CJ46" s="1684">
        <v>13600026.08</v>
      </c>
      <c r="CK46" s="1684">
        <v>100</v>
      </c>
      <c r="CL46" s="1410"/>
      <c r="CM46" s="1682"/>
      <c r="CN46" s="1400"/>
      <c r="CO46" s="1326"/>
      <c r="CP46" s="1682"/>
      <c r="CQ46" s="1684">
        <v>8798245.2400000002</v>
      </c>
      <c r="CR46" s="1684">
        <v>8798245.2400000002</v>
      </c>
      <c r="CS46" s="1684">
        <v>0</v>
      </c>
      <c r="CT46" s="1326"/>
      <c r="CU46" s="1682"/>
      <c r="CV46" s="1684">
        <v>16013194.140000001</v>
      </c>
      <c r="CW46" s="1684">
        <v>0</v>
      </c>
      <c r="CX46" s="1684">
        <v>10545.74</v>
      </c>
      <c r="CY46" s="1684">
        <v>15907201.67</v>
      </c>
      <c r="CZ46" s="1684">
        <v>0</v>
      </c>
      <c r="DA46" s="1684">
        <v>27800</v>
      </c>
      <c r="DB46" s="1684">
        <v>1000</v>
      </c>
      <c r="DC46" s="1684">
        <v>66646.73</v>
      </c>
      <c r="DD46" s="1684">
        <v>8798245.2400000002</v>
      </c>
      <c r="DE46" s="1684">
        <v>8798245.2400000002</v>
      </c>
      <c r="DF46" s="1684">
        <v>8798245.2400000002</v>
      </c>
      <c r="DG46" s="1684">
        <v>0</v>
      </c>
      <c r="DH46" s="1684">
        <v>7214948.9000000004</v>
      </c>
      <c r="DI46" s="1684">
        <v>0</v>
      </c>
      <c r="DJ46" s="1684">
        <v>0</v>
      </c>
      <c r="DK46" s="1684">
        <v>0</v>
      </c>
      <c r="DL46" s="1684">
        <v>0</v>
      </c>
      <c r="DM46" s="1684">
        <v>7214948.9000000004</v>
      </c>
      <c r="DN46" s="1684">
        <v>5858948.9000000004</v>
      </c>
      <c r="DO46" s="1684">
        <v>1356000</v>
      </c>
      <c r="DP46" s="1684">
        <v>0</v>
      </c>
      <c r="DQ46" s="1326"/>
      <c r="DR46" s="1400"/>
      <c r="DS46" s="1326"/>
      <c r="DT46" s="1682"/>
      <c r="DU46" s="1326"/>
      <c r="DV46" s="1682"/>
    </row>
    <row r="47" spans="1:126" ht="67.5">
      <c r="A47" s="1326" t="s">
        <v>1728</v>
      </c>
      <c r="B47" s="1326" t="s">
        <v>1694</v>
      </c>
      <c r="C47" s="1326" t="s">
        <v>2549</v>
      </c>
      <c r="D47" s="1326" t="s">
        <v>2550</v>
      </c>
      <c r="E47" s="1326" t="s">
        <v>144</v>
      </c>
      <c r="F47" s="1326" t="s">
        <v>2865</v>
      </c>
      <c r="G47" s="1326"/>
      <c r="H47" s="1326"/>
      <c r="I47" s="1326"/>
      <c r="J47" s="1326"/>
      <c r="K47" s="1682"/>
      <c r="L47" s="1682"/>
      <c r="M47" s="1326"/>
      <c r="N47" s="1326"/>
      <c r="O47" s="1326"/>
      <c r="P47" s="1326"/>
      <c r="Q47" s="1326"/>
      <c r="R47" s="1326"/>
      <c r="S47" s="1326"/>
      <c r="T47" s="1326"/>
      <c r="U47" s="1326"/>
      <c r="V47" s="1326"/>
      <c r="W47" s="1326"/>
      <c r="X47" s="1326"/>
      <c r="Y47" s="1326"/>
      <c r="Z47" s="1326"/>
      <c r="AA47" s="1326"/>
      <c r="AB47" s="1326"/>
      <c r="AC47" s="1326"/>
      <c r="AD47" s="1326"/>
      <c r="AE47" s="1326"/>
      <c r="AF47" s="1326"/>
      <c r="AG47" s="1326"/>
      <c r="AH47" s="1326"/>
      <c r="AI47" s="1326"/>
      <c r="AJ47" s="1326"/>
      <c r="AK47" s="1326"/>
      <c r="AL47" s="1326"/>
      <c r="AM47" s="1400"/>
      <c r="AN47" s="1326"/>
      <c r="AO47" s="1326"/>
      <c r="AP47" s="1326"/>
      <c r="AQ47" s="1326"/>
      <c r="AR47" s="1326"/>
      <c r="AS47" s="1326"/>
      <c r="AT47" s="1326"/>
      <c r="AU47" s="1326"/>
      <c r="AV47" s="1326"/>
      <c r="AW47" s="1326"/>
      <c r="AX47" s="1326"/>
      <c r="AY47" s="1326"/>
      <c r="AZ47" s="1326"/>
      <c r="BA47" s="1326"/>
      <c r="BB47" s="1326"/>
      <c r="BC47" s="1326"/>
      <c r="BD47" s="1326"/>
      <c r="BE47" s="1326"/>
      <c r="BF47" s="1326"/>
      <c r="BG47" s="1326"/>
      <c r="BH47" s="1326"/>
      <c r="BI47" s="1326"/>
      <c r="BJ47" s="1326"/>
      <c r="BK47" s="1326"/>
      <c r="BL47" s="1326"/>
      <c r="BM47" s="1326"/>
      <c r="BN47" s="1400"/>
      <c r="BO47" s="1682"/>
      <c r="BP47" s="1682"/>
      <c r="BQ47" s="1326"/>
      <c r="BR47" s="1682"/>
      <c r="BS47" s="1326"/>
      <c r="BT47" s="1326"/>
      <c r="BU47" s="1400"/>
      <c r="BV47" s="1683">
        <v>793798.88</v>
      </c>
      <c r="BW47" s="1682"/>
      <c r="BX47" s="1682"/>
      <c r="BY47" s="1326"/>
      <c r="BZ47" s="1326"/>
      <c r="CA47" s="1326"/>
      <c r="CB47" s="1326"/>
      <c r="CC47" s="1326"/>
      <c r="CD47" s="1684">
        <v>16460334.08</v>
      </c>
      <c r="CE47" s="1684">
        <v>13600026.08</v>
      </c>
      <c r="CF47" s="1684">
        <v>7397173.5999999996</v>
      </c>
      <c r="CG47" s="1684">
        <v>54.39</v>
      </c>
      <c r="CH47" s="1684">
        <v>6202852.4800000004</v>
      </c>
      <c r="CI47" s="1684">
        <v>45.61</v>
      </c>
      <c r="CJ47" s="1684">
        <v>13600026.08</v>
      </c>
      <c r="CK47" s="1684">
        <v>100</v>
      </c>
      <c r="CL47" s="1410"/>
      <c r="CM47" s="1682"/>
      <c r="CN47" s="1400"/>
      <c r="CO47" s="1326"/>
      <c r="CP47" s="1682"/>
      <c r="CQ47" s="1684">
        <v>8798245.2400000002</v>
      </c>
      <c r="CR47" s="1684">
        <v>8798245.2400000002</v>
      </c>
      <c r="CS47" s="1684">
        <v>0</v>
      </c>
      <c r="CT47" s="1326"/>
      <c r="CU47" s="1682"/>
      <c r="CV47" s="1684">
        <v>16013194.140000001</v>
      </c>
      <c r="CW47" s="1684">
        <v>0</v>
      </c>
      <c r="CX47" s="1684">
        <v>10545.74</v>
      </c>
      <c r="CY47" s="1684">
        <v>15907201.67</v>
      </c>
      <c r="CZ47" s="1684">
        <v>0</v>
      </c>
      <c r="DA47" s="1684">
        <v>27800</v>
      </c>
      <c r="DB47" s="1684">
        <v>1000</v>
      </c>
      <c r="DC47" s="1684">
        <v>66646.73</v>
      </c>
      <c r="DD47" s="1684">
        <v>8798245.2400000002</v>
      </c>
      <c r="DE47" s="1684">
        <v>8798245.2400000002</v>
      </c>
      <c r="DF47" s="1684">
        <v>8798245.2400000002</v>
      </c>
      <c r="DG47" s="1684">
        <v>0</v>
      </c>
      <c r="DH47" s="1684">
        <v>7214948.9000000004</v>
      </c>
      <c r="DI47" s="1684">
        <v>0</v>
      </c>
      <c r="DJ47" s="1684">
        <v>0</v>
      </c>
      <c r="DK47" s="1684">
        <v>0</v>
      </c>
      <c r="DL47" s="1684">
        <v>0</v>
      </c>
      <c r="DM47" s="1684">
        <v>7214948.9000000004</v>
      </c>
      <c r="DN47" s="1684">
        <v>5858948.9000000004</v>
      </c>
      <c r="DO47" s="1684">
        <v>1356000</v>
      </c>
      <c r="DP47" s="1684">
        <v>0</v>
      </c>
      <c r="DQ47" s="1326"/>
      <c r="DR47" s="1400"/>
      <c r="DS47" s="1326"/>
      <c r="DT47" s="1682"/>
      <c r="DU47" s="1326"/>
      <c r="DV47" s="1682"/>
    </row>
    <row r="48" spans="1:126" ht="123.75">
      <c r="A48" s="1326" t="s">
        <v>1729</v>
      </c>
      <c r="B48" s="1326" t="s">
        <v>1694</v>
      </c>
      <c r="C48" s="1326" t="s">
        <v>2549</v>
      </c>
      <c r="D48" s="1326" t="s">
        <v>2550</v>
      </c>
      <c r="E48" s="1326" t="s">
        <v>144</v>
      </c>
      <c r="F48" s="1326" t="s">
        <v>2865</v>
      </c>
      <c r="G48" s="1326" t="s">
        <v>2544</v>
      </c>
      <c r="H48" s="1326" t="s">
        <v>2545</v>
      </c>
      <c r="I48" s="1326" t="s">
        <v>2546</v>
      </c>
      <c r="J48" s="1326" t="s">
        <v>699</v>
      </c>
      <c r="K48" s="1685">
        <v>42671</v>
      </c>
      <c r="L48" s="1685">
        <v>42766</v>
      </c>
      <c r="M48" s="1326" t="s">
        <v>293</v>
      </c>
      <c r="N48" s="1326" t="s">
        <v>2061</v>
      </c>
      <c r="O48" s="1326" t="s">
        <v>3964</v>
      </c>
      <c r="P48" s="1326" t="s">
        <v>2757</v>
      </c>
      <c r="Q48" s="1326" t="s">
        <v>1736</v>
      </c>
      <c r="R48" s="1326" t="s">
        <v>2757</v>
      </c>
      <c r="S48" s="1326" t="s">
        <v>2757</v>
      </c>
      <c r="T48" s="1326"/>
      <c r="U48" s="1326" t="s">
        <v>2758</v>
      </c>
      <c r="V48" s="1326" t="s">
        <v>2785</v>
      </c>
      <c r="W48" s="1326" t="s">
        <v>2757</v>
      </c>
      <c r="X48" s="1326"/>
      <c r="Y48" s="1326" t="s">
        <v>2757</v>
      </c>
      <c r="Z48" s="1326"/>
      <c r="AA48" s="1326"/>
      <c r="AB48" s="1326" t="s">
        <v>2757</v>
      </c>
      <c r="AC48" s="1326" t="s">
        <v>2757</v>
      </c>
      <c r="AD48" s="1326" t="s">
        <v>2757</v>
      </c>
      <c r="AE48" s="1326"/>
      <c r="AF48" s="1326" t="s">
        <v>2866</v>
      </c>
      <c r="AG48" s="1326" t="s">
        <v>2836</v>
      </c>
      <c r="AH48" s="1326" t="s">
        <v>2837</v>
      </c>
      <c r="AI48" s="1326" t="s">
        <v>2762</v>
      </c>
      <c r="AJ48" s="1326" t="s">
        <v>2763</v>
      </c>
      <c r="AK48" s="1326" t="s">
        <v>2838</v>
      </c>
      <c r="AL48" s="1326" t="s">
        <v>2839</v>
      </c>
      <c r="AM48" s="1683">
        <v>100</v>
      </c>
      <c r="AN48" s="1326"/>
      <c r="AO48" s="1326"/>
      <c r="AP48" s="1326"/>
      <c r="AQ48" s="1326"/>
      <c r="AR48" s="1326"/>
      <c r="AS48" s="1326"/>
      <c r="AT48" s="1326" t="s">
        <v>2867</v>
      </c>
      <c r="AU48" s="1326" t="s">
        <v>2766</v>
      </c>
      <c r="AV48" s="1326" t="s">
        <v>2856</v>
      </c>
      <c r="AW48" s="1326"/>
      <c r="AX48" s="1326" t="s">
        <v>2841</v>
      </c>
      <c r="AY48" s="1326" t="s">
        <v>2798</v>
      </c>
      <c r="AZ48" s="1326" t="s">
        <v>2868</v>
      </c>
      <c r="BA48" s="1326" t="s">
        <v>2869</v>
      </c>
      <c r="BB48" s="1326" t="s">
        <v>2757</v>
      </c>
      <c r="BC48" s="1326" t="s">
        <v>2844</v>
      </c>
      <c r="BD48" s="1326" t="s">
        <v>2773</v>
      </c>
      <c r="BE48" s="1326" t="s">
        <v>2870</v>
      </c>
      <c r="BF48" s="1326" t="s">
        <v>2871</v>
      </c>
      <c r="BG48" s="1326" t="s">
        <v>2872</v>
      </c>
      <c r="BH48" s="1326" t="s">
        <v>2024</v>
      </c>
      <c r="BI48" s="1326" t="s">
        <v>2805</v>
      </c>
      <c r="BJ48" s="1326" t="s">
        <v>2824</v>
      </c>
      <c r="BK48" s="1326" t="s">
        <v>2867</v>
      </c>
      <c r="BL48" s="1326" t="s">
        <v>2757</v>
      </c>
      <c r="BM48" s="1326" t="s">
        <v>2757</v>
      </c>
      <c r="BN48" s="1683">
        <v>0</v>
      </c>
      <c r="BO48" s="1685">
        <v>42044</v>
      </c>
      <c r="BP48" s="1685">
        <v>43861</v>
      </c>
      <c r="BQ48" s="1326" t="s">
        <v>2779</v>
      </c>
      <c r="BR48" s="1685">
        <v>45873</v>
      </c>
      <c r="BS48" s="1326" t="s">
        <v>2873</v>
      </c>
      <c r="BT48" s="1326" t="s">
        <v>2874</v>
      </c>
      <c r="BU48" s="1683">
        <v>0</v>
      </c>
      <c r="BV48" s="1683">
        <v>0</v>
      </c>
      <c r="BW48" s="1685">
        <v>43892</v>
      </c>
      <c r="BX48" s="1682"/>
      <c r="BY48" s="1326" t="s">
        <v>2052</v>
      </c>
      <c r="BZ48" s="1326" t="s">
        <v>2782</v>
      </c>
      <c r="CA48" s="1326" t="s">
        <v>2783</v>
      </c>
      <c r="CB48" s="1326" t="s">
        <v>2783</v>
      </c>
      <c r="CC48" s="1326" t="s">
        <v>2784</v>
      </c>
      <c r="CD48" s="1684">
        <v>3000755.51</v>
      </c>
      <c r="CE48" s="1684">
        <v>2477103.23</v>
      </c>
      <c r="CF48" s="1684">
        <v>1614228.26</v>
      </c>
      <c r="CG48" s="1684">
        <v>65.17</v>
      </c>
      <c r="CH48" s="1684">
        <v>862874.97</v>
      </c>
      <c r="CI48" s="1684">
        <v>34.83</v>
      </c>
      <c r="CJ48" s="1684">
        <v>2477103.23</v>
      </c>
      <c r="CK48" s="1684">
        <v>100</v>
      </c>
      <c r="CL48" s="1410" t="s">
        <v>2785</v>
      </c>
      <c r="CM48" s="1686">
        <v>42697</v>
      </c>
      <c r="CN48" s="1400"/>
      <c r="CO48" s="1326"/>
      <c r="CP48" s="1682"/>
      <c r="CQ48" s="1684">
        <v>1614228.26</v>
      </c>
      <c r="CR48" s="1684">
        <v>1614228.26</v>
      </c>
      <c r="CS48" s="1684">
        <v>0</v>
      </c>
      <c r="CT48" s="1326" t="s">
        <v>2785</v>
      </c>
      <c r="CU48" s="1686">
        <v>42726</v>
      </c>
      <c r="CV48" s="1684">
        <v>2474472.79</v>
      </c>
      <c r="CW48" s="1684">
        <v>0</v>
      </c>
      <c r="CX48" s="1684">
        <v>0</v>
      </c>
      <c r="CY48" s="1684">
        <v>2450159.89</v>
      </c>
      <c r="CZ48" s="1684">
        <v>0</v>
      </c>
      <c r="DA48" s="1684">
        <v>8800</v>
      </c>
      <c r="DB48" s="1684">
        <v>1000</v>
      </c>
      <c r="DC48" s="1684">
        <v>14512.9</v>
      </c>
      <c r="DD48" s="1684">
        <v>1614228.26</v>
      </c>
      <c r="DE48" s="1684">
        <v>1614228.26</v>
      </c>
      <c r="DF48" s="1684">
        <v>1614228.26</v>
      </c>
      <c r="DG48" s="1684">
        <v>0</v>
      </c>
      <c r="DH48" s="1684">
        <v>860244.53</v>
      </c>
      <c r="DI48" s="1684">
        <v>0</v>
      </c>
      <c r="DJ48" s="1684">
        <v>0</v>
      </c>
      <c r="DK48" s="1684">
        <v>0</v>
      </c>
      <c r="DL48" s="1684">
        <v>0</v>
      </c>
      <c r="DM48" s="1684">
        <v>860244.53</v>
      </c>
      <c r="DN48" s="1684">
        <v>110244.53</v>
      </c>
      <c r="DO48" s="1684">
        <v>750000</v>
      </c>
      <c r="DP48" s="1684">
        <v>0</v>
      </c>
      <c r="DQ48" s="1326" t="s">
        <v>2850</v>
      </c>
      <c r="DR48" s="1684">
        <v>0</v>
      </c>
      <c r="DS48" s="1326" t="s">
        <v>2757</v>
      </c>
      <c r="DT48" s="1682"/>
      <c r="DU48" s="1326" t="s">
        <v>2757</v>
      </c>
      <c r="DV48" s="1682"/>
    </row>
    <row r="49" spans="1:126" ht="90">
      <c r="A49" s="1326" t="s">
        <v>1730</v>
      </c>
      <c r="B49" s="1326" t="s">
        <v>1694</v>
      </c>
      <c r="C49" s="1326" t="s">
        <v>2549</v>
      </c>
      <c r="D49" s="1326" t="s">
        <v>2550</v>
      </c>
      <c r="E49" s="1326" t="s">
        <v>144</v>
      </c>
      <c r="F49" s="1326" t="s">
        <v>2865</v>
      </c>
      <c r="G49" s="1326" t="s">
        <v>2544</v>
      </c>
      <c r="H49" s="1326" t="s">
        <v>2545</v>
      </c>
      <c r="I49" s="1326" t="s">
        <v>2546</v>
      </c>
      <c r="J49" s="1326" t="s">
        <v>700</v>
      </c>
      <c r="K49" s="1685">
        <v>42674</v>
      </c>
      <c r="L49" s="1685">
        <v>42726</v>
      </c>
      <c r="M49" s="1326" t="s">
        <v>387</v>
      </c>
      <c r="N49" s="1326" t="s">
        <v>2061</v>
      </c>
      <c r="O49" s="1326" t="s">
        <v>2875</v>
      </c>
      <c r="P49" s="1326" t="s">
        <v>2757</v>
      </c>
      <c r="Q49" s="1326" t="s">
        <v>1736</v>
      </c>
      <c r="R49" s="1326" t="s">
        <v>2757</v>
      </c>
      <c r="S49" s="1326" t="s">
        <v>2757</v>
      </c>
      <c r="T49" s="1326"/>
      <c r="U49" s="1326" t="s">
        <v>2758</v>
      </c>
      <c r="V49" s="1326" t="s">
        <v>2757</v>
      </c>
      <c r="W49" s="1326" t="s">
        <v>2757</v>
      </c>
      <c r="X49" s="1326"/>
      <c r="Y49" s="1326" t="s">
        <v>2757</v>
      </c>
      <c r="Z49" s="1326"/>
      <c r="AA49" s="1326"/>
      <c r="AB49" s="1326" t="s">
        <v>2757</v>
      </c>
      <c r="AC49" s="1326" t="s">
        <v>2757</v>
      </c>
      <c r="AD49" s="1326" t="s">
        <v>2757</v>
      </c>
      <c r="AE49" s="1326"/>
      <c r="AF49" s="1326" t="s">
        <v>2866</v>
      </c>
      <c r="AG49" s="1326" t="s">
        <v>2876</v>
      </c>
      <c r="AH49" s="1326" t="s">
        <v>2837</v>
      </c>
      <c r="AI49" s="1326" t="s">
        <v>2762</v>
      </c>
      <c r="AJ49" s="1326" t="s">
        <v>2763</v>
      </c>
      <c r="AK49" s="1326" t="s">
        <v>2838</v>
      </c>
      <c r="AL49" s="1326" t="s">
        <v>2877</v>
      </c>
      <c r="AM49" s="1683">
        <v>100</v>
      </c>
      <c r="AN49" s="1326"/>
      <c r="AO49" s="1326"/>
      <c r="AP49" s="1326"/>
      <c r="AQ49" s="1326"/>
      <c r="AR49" s="1326"/>
      <c r="AS49" s="1326"/>
      <c r="AT49" s="1326" t="s">
        <v>2794</v>
      </c>
      <c r="AU49" s="1326" t="s">
        <v>2766</v>
      </c>
      <c r="AV49" s="1326" t="s">
        <v>2856</v>
      </c>
      <c r="AW49" s="1326"/>
      <c r="AX49" s="1326" t="s">
        <v>2841</v>
      </c>
      <c r="AY49" s="1326" t="s">
        <v>2798</v>
      </c>
      <c r="AZ49" s="1326" t="s">
        <v>2842</v>
      </c>
      <c r="BA49" s="1326" t="s">
        <v>2843</v>
      </c>
      <c r="BB49" s="1326" t="s">
        <v>2757</v>
      </c>
      <c r="BC49" s="1326" t="s">
        <v>2844</v>
      </c>
      <c r="BD49" s="1326" t="s">
        <v>2773</v>
      </c>
      <c r="BE49" s="1326" t="s">
        <v>2845</v>
      </c>
      <c r="BF49" s="1326" t="s">
        <v>2878</v>
      </c>
      <c r="BG49" s="1326" t="s">
        <v>2847</v>
      </c>
      <c r="BH49" s="1326" t="s">
        <v>2804</v>
      </c>
      <c r="BI49" s="1326" t="s">
        <v>2805</v>
      </c>
      <c r="BJ49" s="1326" t="s">
        <v>2806</v>
      </c>
      <c r="BK49" s="1326" t="s">
        <v>2794</v>
      </c>
      <c r="BL49" s="1326" t="s">
        <v>2757</v>
      </c>
      <c r="BM49" s="1326" t="s">
        <v>2757</v>
      </c>
      <c r="BN49" s="1683">
        <v>0</v>
      </c>
      <c r="BO49" s="1685">
        <v>42173</v>
      </c>
      <c r="BP49" s="1685">
        <v>43830</v>
      </c>
      <c r="BQ49" s="1326" t="s">
        <v>2779</v>
      </c>
      <c r="BR49" s="1685">
        <v>45646</v>
      </c>
      <c r="BS49" s="1326" t="s">
        <v>2780</v>
      </c>
      <c r="BT49" s="1326" t="s">
        <v>2879</v>
      </c>
      <c r="BU49" s="1683">
        <v>30</v>
      </c>
      <c r="BV49" s="1683">
        <v>793798.88</v>
      </c>
      <c r="BW49" s="1685">
        <v>43861</v>
      </c>
      <c r="BX49" s="1682"/>
      <c r="BY49" s="1326" t="s">
        <v>2052</v>
      </c>
      <c r="BZ49" s="1326" t="s">
        <v>2782</v>
      </c>
      <c r="CA49" s="1326" t="s">
        <v>2783</v>
      </c>
      <c r="CB49" s="1326" t="s">
        <v>2783</v>
      </c>
      <c r="CC49" s="1326" t="s">
        <v>2784</v>
      </c>
      <c r="CD49" s="1684">
        <v>7252640.4299999997</v>
      </c>
      <c r="CE49" s="1684">
        <v>5993883</v>
      </c>
      <c r="CF49" s="1684">
        <v>2645996.25</v>
      </c>
      <c r="CG49" s="1684">
        <v>44.14</v>
      </c>
      <c r="CH49" s="1684">
        <v>3347886.75</v>
      </c>
      <c r="CI49" s="1684">
        <v>55.86</v>
      </c>
      <c r="CJ49" s="1684">
        <v>5993883</v>
      </c>
      <c r="CK49" s="1684">
        <v>100</v>
      </c>
      <c r="CL49" s="1410" t="s">
        <v>2785</v>
      </c>
      <c r="CM49" s="1686">
        <v>42716</v>
      </c>
      <c r="CN49" s="1400"/>
      <c r="CO49" s="1326"/>
      <c r="CP49" s="1682"/>
      <c r="CQ49" s="1684">
        <v>2645996.25</v>
      </c>
      <c r="CR49" s="1684">
        <v>2645996.25</v>
      </c>
      <c r="CS49" s="1684">
        <v>0</v>
      </c>
      <c r="CT49" s="1326" t="s">
        <v>2785</v>
      </c>
      <c r="CU49" s="1686">
        <v>42720</v>
      </c>
      <c r="CV49" s="1684">
        <v>5598211</v>
      </c>
      <c r="CW49" s="1684">
        <v>0</v>
      </c>
      <c r="CX49" s="1684">
        <v>0</v>
      </c>
      <c r="CY49" s="1684">
        <v>5598211</v>
      </c>
      <c r="CZ49" s="1684">
        <v>0</v>
      </c>
      <c r="DA49" s="1684">
        <v>0</v>
      </c>
      <c r="DB49" s="1684">
        <v>0</v>
      </c>
      <c r="DC49" s="1684">
        <v>0</v>
      </c>
      <c r="DD49" s="1684">
        <v>2645996.25</v>
      </c>
      <c r="DE49" s="1684">
        <v>2645996.25</v>
      </c>
      <c r="DF49" s="1684">
        <v>2645996.25</v>
      </c>
      <c r="DG49" s="1684">
        <v>0</v>
      </c>
      <c r="DH49" s="1684">
        <v>2952214.75</v>
      </c>
      <c r="DI49" s="1684">
        <v>0</v>
      </c>
      <c r="DJ49" s="1684">
        <v>0</v>
      </c>
      <c r="DK49" s="1684">
        <v>0</v>
      </c>
      <c r="DL49" s="1684">
        <v>0</v>
      </c>
      <c r="DM49" s="1684">
        <v>2952214.75</v>
      </c>
      <c r="DN49" s="1684">
        <v>2952214.75</v>
      </c>
      <c r="DO49" s="1684">
        <v>0</v>
      </c>
      <c r="DP49" s="1684">
        <v>0</v>
      </c>
      <c r="DQ49" s="1326" t="s">
        <v>2850</v>
      </c>
      <c r="DR49" s="1684">
        <v>0</v>
      </c>
      <c r="DS49" s="1326" t="s">
        <v>2757</v>
      </c>
      <c r="DT49" s="1682"/>
      <c r="DU49" s="1326" t="s">
        <v>2757</v>
      </c>
      <c r="DV49" s="1682"/>
    </row>
    <row r="50" spans="1:126" ht="225">
      <c r="A50" s="1326" t="s">
        <v>1731</v>
      </c>
      <c r="B50" s="1326" t="s">
        <v>1694</v>
      </c>
      <c r="C50" s="1326" t="s">
        <v>2549</v>
      </c>
      <c r="D50" s="1326" t="s">
        <v>2550</v>
      </c>
      <c r="E50" s="1326" t="s">
        <v>144</v>
      </c>
      <c r="F50" s="1326" t="s">
        <v>2865</v>
      </c>
      <c r="G50" s="1326" t="s">
        <v>2544</v>
      </c>
      <c r="H50" s="1326" t="s">
        <v>2545</v>
      </c>
      <c r="I50" s="1326" t="s">
        <v>2546</v>
      </c>
      <c r="J50" s="1326" t="s">
        <v>703</v>
      </c>
      <c r="K50" s="1685">
        <v>42682</v>
      </c>
      <c r="L50" s="1685">
        <v>42810</v>
      </c>
      <c r="M50" s="1326" t="s">
        <v>297</v>
      </c>
      <c r="N50" s="1326" t="s">
        <v>2061</v>
      </c>
      <c r="O50" s="1326" t="s">
        <v>3481</v>
      </c>
      <c r="P50" s="1326" t="s">
        <v>2757</v>
      </c>
      <c r="Q50" s="1326" t="s">
        <v>1745</v>
      </c>
      <c r="R50" s="1326" t="s">
        <v>2757</v>
      </c>
      <c r="S50" s="1326" t="s">
        <v>2757</v>
      </c>
      <c r="T50" s="1326"/>
      <c r="U50" s="1326" t="s">
        <v>2758</v>
      </c>
      <c r="V50" s="1326" t="s">
        <v>2757</v>
      </c>
      <c r="W50" s="1326" t="s">
        <v>2757</v>
      </c>
      <c r="X50" s="1326"/>
      <c r="Y50" s="1326" t="s">
        <v>2757</v>
      </c>
      <c r="Z50" s="1326"/>
      <c r="AA50" s="1326"/>
      <c r="AB50" s="1326" t="s">
        <v>2757</v>
      </c>
      <c r="AC50" s="1326" t="s">
        <v>2757</v>
      </c>
      <c r="AD50" s="1326" t="s">
        <v>2757</v>
      </c>
      <c r="AE50" s="1326"/>
      <c r="AF50" s="1326" t="s">
        <v>2866</v>
      </c>
      <c r="AG50" s="1326" t="s">
        <v>2836</v>
      </c>
      <c r="AH50" s="1326" t="s">
        <v>2837</v>
      </c>
      <c r="AI50" s="1326" t="s">
        <v>2762</v>
      </c>
      <c r="AJ50" s="1326" t="s">
        <v>2763</v>
      </c>
      <c r="AK50" s="1326" t="s">
        <v>2838</v>
      </c>
      <c r="AL50" s="1326" t="s">
        <v>2839</v>
      </c>
      <c r="AM50" s="1683">
        <v>100</v>
      </c>
      <c r="AN50" s="1326"/>
      <c r="AO50" s="1326"/>
      <c r="AP50" s="1326"/>
      <c r="AQ50" s="1326"/>
      <c r="AR50" s="1326"/>
      <c r="AS50" s="1326"/>
      <c r="AT50" s="1326" t="s">
        <v>2880</v>
      </c>
      <c r="AU50" s="1326" t="s">
        <v>2766</v>
      </c>
      <c r="AV50" s="1326" t="s">
        <v>2856</v>
      </c>
      <c r="AW50" s="1326"/>
      <c r="AX50" s="1326" t="s">
        <v>2841</v>
      </c>
      <c r="AY50" s="1326" t="s">
        <v>2798</v>
      </c>
      <c r="AZ50" s="1326" t="s">
        <v>227</v>
      </c>
      <c r="BA50" s="1326" t="s">
        <v>2881</v>
      </c>
      <c r="BB50" s="1326" t="s">
        <v>2757</v>
      </c>
      <c r="BC50" s="1326" t="s">
        <v>2844</v>
      </c>
      <c r="BD50" s="1326" t="s">
        <v>2773</v>
      </c>
      <c r="BE50" s="1326" t="s">
        <v>2882</v>
      </c>
      <c r="BF50" s="1326" t="s">
        <v>2883</v>
      </c>
      <c r="BG50" s="1326" t="s">
        <v>2884</v>
      </c>
      <c r="BH50" s="1326" t="s">
        <v>2804</v>
      </c>
      <c r="BI50" s="1326" t="s">
        <v>2805</v>
      </c>
      <c r="BJ50" s="1326" t="s">
        <v>2885</v>
      </c>
      <c r="BK50" s="1326" t="s">
        <v>2880</v>
      </c>
      <c r="BL50" s="1326" t="s">
        <v>2757</v>
      </c>
      <c r="BM50" s="1326" t="s">
        <v>2757</v>
      </c>
      <c r="BN50" s="1683">
        <v>0</v>
      </c>
      <c r="BO50" s="1685">
        <v>41978</v>
      </c>
      <c r="BP50" s="1685">
        <v>44195</v>
      </c>
      <c r="BQ50" s="1326" t="s">
        <v>2779</v>
      </c>
      <c r="BR50" s="1685">
        <v>46203</v>
      </c>
      <c r="BS50" s="1326" t="s">
        <v>2886</v>
      </c>
      <c r="BT50" s="1326" t="s">
        <v>2887</v>
      </c>
      <c r="BU50" s="1683">
        <v>0</v>
      </c>
      <c r="BV50" s="1683">
        <v>0</v>
      </c>
      <c r="BW50" s="1685">
        <v>44226</v>
      </c>
      <c r="BX50" s="1682"/>
      <c r="BY50" s="1326" t="s">
        <v>2052</v>
      </c>
      <c r="BZ50" s="1326" t="s">
        <v>2782</v>
      </c>
      <c r="CA50" s="1326" t="s">
        <v>2783</v>
      </c>
      <c r="CB50" s="1326" t="s">
        <v>2783</v>
      </c>
      <c r="CC50" s="1326" t="s">
        <v>2784</v>
      </c>
      <c r="CD50" s="1684">
        <v>2856172.33</v>
      </c>
      <c r="CE50" s="1684">
        <v>2359811.84</v>
      </c>
      <c r="CF50" s="1684">
        <v>1479103.09</v>
      </c>
      <c r="CG50" s="1684">
        <v>62.68</v>
      </c>
      <c r="CH50" s="1684">
        <v>880708.75</v>
      </c>
      <c r="CI50" s="1684">
        <v>37.32</v>
      </c>
      <c r="CJ50" s="1684">
        <v>2359811.84</v>
      </c>
      <c r="CK50" s="1684">
        <v>100</v>
      </c>
      <c r="CL50" s="1410" t="s">
        <v>2785</v>
      </c>
      <c r="CM50" s="1686">
        <v>42734</v>
      </c>
      <c r="CN50" s="1400"/>
      <c r="CO50" s="1326"/>
      <c r="CP50" s="1682"/>
      <c r="CQ50" s="1684">
        <v>2874174.73</v>
      </c>
      <c r="CR50" s="1684">
        <v>2874174.73</v>
      </c>
      <c r="CS50" s="1684">
        <v>0</v>
      </c>
      <c r="CT50" s="1326" t="s">
        <v>2785</v>
      </c>
      <c r="CU50" s="1686">
        <v>42760</v>
      </c>
      <c r="CV50" s="1684">
        <v>5160736.5999999996</v>
      </c>
      <c r="CW50" s="1684">
        <v>0</v>
      </c>
      <c r="CX50" s="1684">
        <v>0</v>
      </c>
      <c r="CY50" s="1684">
        <v>5116466.8499999996</v>
      </c>
      <c r="CZ50" s="1684">
        <v>0</v>
      </c>
      <c r="DA50" s="1684">
        <v>14000</v>
      </c>
      <c r="DB50" s="1684">
        <v>0</v>
      </c>
      <c r="DC50" s="1684">
        <v>30269.75</v>
      </c>
      <c r="DD50" s="1684">
        <v>2874174.73</v>
      </c>
      <c r="DE50" s="1684">
        <v>2874174.73</v>
      </c>
      <c r="DF50" s="1684">
        <v>2874174.73</v>
      </c>
      <c r="DG50" s="1684">
        <v>0</v>
      </c>
      <c r="DH50" s="1684">
        <v>2286561.87</v>
      </c>
      <c r="DI50" s="1684">
        <v>0</v>
      </c>
      <c r="DJ50" s="1684">
        <v>0</v>
      </c>
      <c r="DK50" s="1684">
        <v>0</v>
      </c>
      <c r="DL50" s="1684">
        <v>0</v>
      </c>
      <c r="DM50" s="1684">
        <v>2286561.87</v>
      </c>
      <c r="DN50" s="1684">
        <v>2286561.87</v>
      </c>
      <c r="DO50" s="1684">
        <v>0</v>
      </c>
      <c r="DP50" s="1684">
        <v>0</v>
      </c>
      <c r="DQ50" s="1326" t="s">
        <v>2850</v>
      </c>
      <c r="DR50" s="1684">
        <v>0</v>
      </c>
      <c r="DS50" s="1326" t="s">
        <v>2757</v>
      </c>
      <c r="DT50" s="1682"/>
      <c r="DU50" s="1326" t="s">
        <v>2757</v>
      </c>
      <c r="DV50" s="1682"/>
    </row>
    <row r="51" spans="1:126" ht="78.75">
      <c r="A51" s="1326" t="s">
        <v>1732</v>
      </c>
      <c r="B51" s="1326" t="s">
        <v>1694</v>
      </c>
      <c r="C51" s="1326" t="s">
        <v>2549</v>
      </c>
      <c r="D51" s="1326" t="s">
        <v>2550</v>
      </c>
      <c r="E51" s="1326" t="s">
        <v>144</v>
      </c>
      <c r="F51" s="1326" t="s">
        <v>2865</v>
      </c>
      <c r="G51" s="1326" t="s">
        <v>2544</v>
      </c>
      <c r="H51" s="1326" t="s">
        <v>2545</v>
      </c>
      <c r="I51" s="1326" t="s">
        <v>2546</v>
      </c>
      <c r="J51" s="1326" t="s">
        <v>702</v>
      </c>
      <c r="K51" s="1685">
        <v>42734</v>
      </c>
      <c r="L51" s="1685">
        <v>42818</v>
      </c>
      <c r="M51" s="1326" t="s">
        <v>278</v>
      </c>
      <c r="N51" s="1326" t="s">
        <v>2061</v>
      </c>
      <c r="O51" s="1326" t="s">
        <v>2888</v>
      </c>
      <c r="P51" s="1326" t="s">
        <v>2757</v>
      </c>
      <c r="Q51" s="1326" t="s">
        <v>1729</v>
      </c>
      <c r="R51" s="1326" t="s">
        <v>2757</v>
      </c>
      <c r="S51" s="1326" t="s">
        <v>2757</v>
      </c>
      <c r="T51" s="1326"/>
      <c r="U51" s="1326" t="s">
        <v>2758</v>
      </c>
      <c r="V51" s="1326" t="s">
        <v>2757</v>
      </c>
      <c r="W51" s="1326" t="s">
        <v>2757</v>
      </c>
      <c r="X51" s="1326"/>
      <c r="Y51" s="1326" t="s">
        <v>2757</v>
      </c>
      <c r="Z51" s="1326"/>
      <c r="AA51" s="1326"/>
      <c r="AB51" s="1326" t="s">
        <v>2757</v>
      </c>
      <c r="AC51" s="1326" t="s">
        <v>2757</v>
      </c>
      <c r="AD51" s="1326" t="s">
        <v>2757</v>
      </c>
      <c r="AE51" s="1326"/>
      <c r="AF51" s="1326" t="s">
        <v>2866</v>
      </c>
      <c r="AG51" s="1326" t="s">
        <v>2836</v>
      </c>
      <c r="AH51" s="1326" t="s">
        <v>2837</v>
      </c>
      <c r="AI51" s="1326" t="s">
        <v>2762</v>
      </c>
      <c r="AJ51" s="1326" t="s">
        <v>2763</v>
      </c>
      <c r="AK51" s="1326" t="s">
        <v>2838</v>
      </c>
      <c r="AL51" s="1326" t="s">
        <v>2839</v>
      </c>
      <c r="AM51" s="1683">
        <v>100</v>
      </c>
      <c r="AN51" s="1326"/>
      <c r="AO51" s="1326"/>
      <c r="AP51" s="1326"/>
      <c r="AQ51" s="1326"/>
      <c r="AR51" s="1326"/>
      <c r="AS51" s="1326"/>
      <c r="AT51" s="1326" t="s">
        <v>2867</v>
      </c>
      <c r="AU51" s="1326" t="s">
        <v>2766</v>
      </c>
      <c r="AV51" s="1326" t="s">
        <v>2856</v>
      </c>
      <c r="AW51" s="1326"/>
      <c r="AX51" s="1326" t="s">
        <v>2841</v>
      </c>
      <c r="AY51" s="1326" t="s">
        <v>2798</v>
      </c>
      <c r="AZ51" s="1326" t="s">
        <v>2889</v>
      </c>
      <c r="BA51" s="1326" t="s">
        <v>2890</v>
      </c>
      <c r="BB51" s="1326" t="s">
        <v>2757</v>
      </c>
      <c r="BC51" s="1326" t="s">
        <v>2844</v>
      </c>
      <c r="BD51" s="1326" t="s">
        <v>2773</v>
      </c>
      <c r="BE51" s="1326" t="s">
        <v>2891</v>
      </c>
      <c r="BF51" s="1326" t="s">
        <v>2892</v>
      </c>
      <c r="BG51" s="1326" t="s">
        <v>2893</v>
      </c>
      <c r="BH51" s="1326" t="s">
        <v>2804</v>
      </c>
      <c r="BI51" s="1326" t="s">
        <v>2805</v>
      </c>
      <c r="BJ51" s="1326" t="s">
        <v>2816</v>
      </c>
      <c r="BK51" s="1326" t="s">
        <v>2867</v>
      </c>
      <c r="BL51" s="1326" t="s">
        <v>2757</v>
      </c>
      <c r="BM51" s="1326" t="s">
        <v>2757</v>
      </c>
      <c r="BN51" s="1683">
        <v>0</v>
      </c>
      <c r="BO51" s="1685">
        <v>42818</v>
      </c>
      <c r="BP51" s="1685">
        <v>43708</v>
      </c>
      <c r="BQ51" s="1326" t="s">
        <v>2779</v>
      </c>
      <c r="BR51" s="1685">
        <v>45687</v>
      </c>
      <c r="BS51" s="1326" t="s">
        <v>2807</v>
      </c>
      <c r="BT51" s="1326" t="s">
        <v>2894</v>
      </c>
      <c r="BU51" s="1683">
        <v>0</v>
      </c>
      <c r="BV51" s="1683">
        <v>0</v>
      </c>
      <c r="BW51" s="1685">
        <v>43738</v>
      </c>
      <c r="BX51" s="1682"/>
      <c r="BY51" s="1326" t="s">
        <v>2052</v>
      </c>
      <c r="BZ51" s="1326" t="s">
        <v>2782</v>
      </c>
      <c r="CA51" s="1326" t="s">
        <v>2783</v>
      </c>
      <c r="CB51" s="1326" t="s">
        <v>2783</v>
      </c>
      <c r="CC51" s="1326" t="s">
        <v>2784</v>
      </c>
      <c r="CD51" s="1684">
        <v>1558755.81</v>
      </c>
      <c r="CE51" s="1684">
        <v>1288228.01</v>
      </c>
      <c r="CF51" s="1684">
        <v>790102</v>
      </c>
      <c r="CG51" s="1684">
        <v>61.33</v>
      </c>
      <c r="CH51" s="1684">
        <v>498126.01</v>
      </c>
      <c r="CI51" s="1684">
        <v>38.67</v>
      </c>
      <c r="CJ51" s="1684">
        <v>1288228.01</v>
      </c>
      <c r="CK51" s="1684">
        <v>100</v>
      </c>
      <c r="CL51" s="1410" t="s">
        <v>2785</v>
      </c>
      <c r="CM51" s="1686">
        <v>42794</v>
      </c>
      <c r="CN51" s="1400"/>
      <c r="CO51" s="1326"/>
      <c r="CP51" s="1682"/>
      <c r="CQ51" s="1684">
        <v>796102</v>
      </c>
      <c r="CR51" s="1684">
        <v>796102</v>
      </c>
      <c r="CS51" s="1684">
        <v>0</v>
      </c>
      <c r="CT51" s="1326" t="s">
        <v>2785</v>
      </c>
      <c r="CU51" s="1686">
        <v>42802</v>
      </c>
      <c r="CV51" s="1684">
        <v>1298773.75</v>
      </c>
      <c r="CW51" s="1684">
        <v>0</v>
      </c>
      <c r="CX51" s="1684">
        <v>10545.74</v>
      </c>
      <c r="CY51" s="1684">
        <v>1276863.93</v>
      </c>
      <c r="CZ51" s="1684">
        <v>0</v>
      </c>
      <c r="DA51" s="1684">
        <v>0</v>
      </c>
      <c r="DB51" s="1684">
        <v>0</v>
      </c>
      <c r="DC51" s="1684">
        <v>11364.08</v>
      </c>
      <c r="DD51" s="1684">
        <v>796102</v>
      </c>
      <c r="DE51" s="1684">
        <v>796102</v>
      </c>
      <c r="DF51" s="1684">
        <v>796102</v>
      </c>
      <c r="DG51" s="1684">
        <v>0</v>
      </c>
      <c r="DH51" s="1684">
        <v>502671.75</v>
      </c>
      <c r="DI51" s="1684">
        <v>0</v>
      </c>
      <c r="DJ51" s="1684">
        <v>0</v>
      </c>
      <c r="DK51" s="1684">
        <v>0</v>
      </c>
      <c r="DL51" s="1684">
        <v>0</v>
      </c>
      <c r="DM51" s="1684">
        <v>502671.75</v>
      </c>
      <c r="DN51" s="1684">
        <v>502671.75</v>
      </c>
      <c r="DO51" s="1684">
        <v>0</v>
      </c>
      <c r="DP51" s="1684">
        <v>0</v>
      </c>
      <c r="DQ51" s="1326" t="s">
        <v>2850</v>
      </c>
      <c r="DR51" s="1684">
        <v>0</v>
      </c>
      <c r="DS51" s="1326" t="s">
        <v>2757</v>
      </c>
      <c r="DT51" s="1682"/>
      <c r="DU51" s="1326" t="s">
        <v>2757</v>
      </c>
      <c r="DV51" s="1682"/>
    </row>
    <row r="52" spans="1:126" ht="90">
      <c r="A52" s="1326" t="s">
        <v>1733</v>
      </c>
      <c r="B52" s="1326" t="s">
        <v>1694</v>
      </c>
      <c r="C52" s="1326" t="s">
        <v>2549</v>
      </c>
      <c r="D52" s="1326" t="s">
        <v>2550</v>
      </c>
      <c r="E52" s="1326" t="s">
        <v>144</v>
      </c>
      <c r="F52" s="1326" t="s">
        <v>2865</v>
      </c>
      <c r="G52" s="1326" t="s">
        <v>2544</v>
      </c>
      <c r="H52" s="1326" t="s">
        <v>2545</v>
      </c>
      <c r="I52" s="1326" t="s">
        <v>2546</v>
      </c>
      <c r="J52" s="1326" t="s">
        <v>701</v>
      </c>
      <c r="K52" s="1685">
        <v>42919</v>
      </c>
      <c r="L52" s="1685">
        <v>43146</v>
      </c>
      <c r="M52" s="1326" t="s">
        <v>303</v>
      </c>
      <c r="N52" s="1326" t="s">
        <v>2061</v>
      </c>
      <c r="O52" s="1326" t="s">
        <v>2895</v>
      </c>
      <c r="P52" s="1326" t="s">
        <v>2757</v>
      </c>
      <c r="Q52" s="1326" t="s">
        <v>1729</v>
      </c>
      <c r="R52" s="1326" t="s">
        <v>2757</v>
      </c>
      <c r="S52" s="1326" t="s">
        <v>2757</v>
      </c>
      <c r="T52" s="1326"/>
      <c r="U52" s="1326" t="s">
        <v>2758</v>
      </c>
      <c r="V52" s="1326" t="s">
        <v>2757</v>
      </c>
      <c r="W52" s="1326" t="s">
        <v>2757</v>
      </c>
      <c r="X52" s="1326"/>
      <c r="Y52" s="1326" t="s">
        <v>2757</v>
      </c>
      <c r="Z52" s="1326"/>
      <c r="AA52" s="1326"/>
      <c r="AB52" s="1326" t="s">
        <v>2757</v>
      </c>
      <c r="AC52" s="1326" t="s">
        <v>2757</v>
      </c>
      <c r="AD52" s="1326" t="s">
        <v>2757</v>
      </c>
      <c r="AE52" s="1326"/>
      <c r="AF52" s="1326" t="s">
        <v>2866</v>
      </c>
      <c r="AG52" s="1326" t="s">
        <v>2836</v>
      </c>
      <c r="AH52" s="1326" t="s">
        <v>2837</v>
      </c>
      <c r="AI52" s="1326" t="s">
        <v>2762</v>
      </c>
      <c r="AJ52" s="1326" t="s">
        <v>2763</v>
      </c>
      <c r="AK52" s="1326" t="s">
        <v>2838</v>
      </c>
      <c r="AL52" s="1326" t="s">
        <v>2877</v>
      </c>
      <c r="AM52" s="1683">
        <v>100</v>
      </c>
      <c r="AN52" s="1326"/>
      <c r="AO52" s="1326"/>
      <c r="AP52" s="1326"/>
      <c r="AQ52" s="1326"/>
      <c r="AR52" s="1326"/>
      <c r="AS52" s="1326"/>
      <c r="AT52" s="1326" t="s">
        <v>2867</v>
      </c>
      <c r="AU52" s="1326" t="s">
        <v>2766</v>
      </c>
      <c r="AV52" s="1326" t="s">
        <v>2856</v>
      </c>
      <c r="AW52" s="1326"/>
      <c r="AX52" s="1326" t="s">
        <v>2841</v>
      </c>
      <c r="AY52" s="1326" t="s">
        <v>2798</v>
      </c>
      <c r="AZ52" s="1326" t="s">
        <v>2896</v>
      </c>
      <c r="BA52" s="1326" t="s">
        <v>2897</v>
      </c>
      <c r="BB52" s="1326" t="s">
        <v>2757</v>
      </c>
      <c r="BC52" s="1326" t="s">
        <v>2898</v>
      </c>
      <c r="BD52" s="1326" t="s">
        <v>2773</v>
      </c>
      <c r="BE52" s="1326" t="s">
        <v>2899</v>
      </c>
      <c r="BF52" s="1326" t="s">
        <v>2900</v>
      </c>
      <c r="BG52" s="1326" t="s">
        <v>2901</v>
      </c>
      <c r="BH52" s="1326" t="s">
        <v>2024</v>
      </c>
      <c r="BI52" s="1326" t="s">
        <v>2805</v>
      </c>
      <c r="BJ52" s="1326" t="s">
        <v>2832</v>
      </c>
      <c r="BK52" s="1326" t="s">
        <v>2867</v>
      </c>
      <c r="BL52" s="1326" t="s">
        <v>2757</v>
      </c>
      <c r="BM52" s="1326" t="s">
        <v>2757</v>
      </c>
      <c r="BN52" s="1683">
        <v>0</v>
      </c>
      <c r="BO52" s="1685">
        <v>42403</v>
      </c>
      <c r="BP52" s="1685">
        <v>44027</v>
      </c>
      <c r="BQ52" s="1326" t="s">
        <v>2779</v>
      </c>
      <c r="BR52" s="1685">
        <v>46021</v>
      </c>
      <c r="BS52" s="1326" t="s">
        <v>2902</v>
      </c>
      <c r="BT52" s="1326" t="s">
        <v>2903</v>
      </c>
      <c r="BU52" s="1400"/>
      <c r="BV52" s="1683">
        <v>0</v>
      </c>
      <c r="BW52" s="1685">
        <v>44058</v>
      </c>
      <c r="BX52" s="1682"/>
      <c r="BY52" s="1326" t="s">
        <v>2052</v>
      </c>
      <c r="BZ52" s="1326" t="s">
        <v>2782</v>
      </c>
      <c r="CA52" s="1326" t="s">
        <v>2783</v>
      </c>
      <c r="CB52" s="1326" t="s">
        <v>2783</v>
      </c>
      <c r="CC52" s="1326" t="s">
        <v>2784</v>
      </c>
      <c r="CD52" s="1684">
        <v>1792010</v>
      </c>
      <c r="CE52" s="1684">
        <v>1481000</v>
      </c>
      <c r="CF52" s="1684">
        <v>867744</v>
      </c>
      <c r="CG52" s="1684">
        <v>58.59</v>
      </c>
      <c r="CH52" s="1684">
        <v>613256</v>
      </c>
      <c r="CI52" s="1684">
        <v>41.41</v>
      </c>
      <c r="CJ52" s="1684">
        <v>1481000</v>
      </c>
      <c r="CK52" s="1684">
        <v>100</v>
      </c>
      <c r="CL52" s="1410" t="s">
        <v>2785</v>
      </c>
      <c r="CM52" s="1686">
        <v>43003</v>
      </c>
      <c r="CN52" s="1400"/>
      <c r="CO52" s="1326"/>
      <c r="CP52" s="1682"/>
      <c r="CQ52" s="1684">
        <v>867744</v>
      </c>
      <c r="CR52" s="1684">
        <v>867744</v>
      </c>
      <c r="CS52" s="1684">
        <v>0</v>
      </c>
      <c r="CT52" s="1326" t="s">
        <v>2785</v>
      </c>
      <c r="CU52" s="1686">
        <v>43011</v>
      </c>
      <c r="CV52" s="1684">
        <v>1481000</v>
      </c>
      <c r="CW52" s="1684">
        <v>0</v>
      </c>
      <c r="CX52" s="1684">
        <v>0</v>
      </c>
      <c r="CY52" s="1684">
        <v>1465500</v>
      </c>
      <c r="CZ52" s="1684">
        <v>0</v>
      </c>
      <c r="DA52" s="1684">
        <v>5000</v>
      </c>
      <c r="DB52" s="1684">
        <v>0</v>
      </c>
      <c r="DC52" s="1684">
        <v>10500</v>
      </c>
      <c r="DD52" s="1684">
        <v>867744</v>
      </c>
      <c r="DE52" s="1684">
        <v>867744</v>
      </c>
      <c r="DF52" s="1684">
        <v>867744</v>
      </c>
      <c r="DG52" s="1684">
        <v>0</v>
      </c>
      <c r="DH52" s="1684">
        <v>613256</v>
      </c>
      <c r="DI52" s="1684">
        <v>0</v>
      </c>
      <c r="DJ52" s="1684">
        <v>0</v>
      </c>
      <c r="DK52" s="1684">
        <v>0</v>
      </c>
      <c r="DL52" s="1684">
        <v>0</v>
      </c>
      <c r="DM52" s="1684">
        <v>613256</v>
      </c>
      <c r="DN52" s="1684">
        <v>7256</v>
      </c>
      <c r="DO52" s="1684">
        <v>606000</v>
      </c>
      <c r="DP52" s="1684">
        <v>0</v>
      </c>
      <c r="DQ52" s="1326" t="s">
        <v>2850</v>
      </c>
      <c r="DR52" s="1684">
        <v>0</v>
      </c>
      <c r="DS52" s="1326" t="s">
        <v>2757</v>
      </c>
      <c r="DT52" s="1682"/>
      <c r="DU52" s="1326" t="s">
        <v>2757</v>
      </c>
      <c r="DV52" s="1682"/>
    </row>
    <row r="53" spans="1:126">
      <c r="A53" s="1326" t="s">
        <v>1734</v>
      </c>
      <c r="B53" s="1326" t="s">
        <v>1694</v>
      </c>
      <c r="C53" s="1326" t="s">
        <v>2551</v>
      </c>
      <c r="D53" s="1326"/>
      <c r="E53" s="1326"/>
      <c r="F53" s="1326"/>
      <c r="G53" s="1326"/>
      <c r="H53" s="1326"/>
      <c r="I53" s="1326"/>
      <c r="J53" s="1326"/>
      <c r="K53" s="1682"/>
      <c r="L53" s="1682"/>
      <c r="M53" s="1326"/>
      <c r="N53" s="1326"/>
      <c r="O53" s="1326"/>
      <c r="P53" s="1326"/>
      <c r="Q53" s="1326"/>
      <c r="R53" s="1326"/>
      <c r="S53" s="1326"/>
      <c r="T53" s="1326"/>
      <c r="U53" s="1326"/>
      <c r="V53" s="1326"/>
      <c r="W53" s="1326"/>
      <c r="X53" s="1326"/>
      <c r="Y53" s="1326"/>
      <c r="Z53" s="1326"/>
      <c r="AA53" s="1326"/>
      <c r="AB53" s="1326"/>
      <c r="AC53" s="1326"/>
      <c r="AD53" s="1326"/>
      <c r="AE53" s="1326"/>
      <c r="AF53" s="1326"/>
      <c r="AG53" s="1326"/>
      <c r="AH53" s="1326"/>
      <c r="AI53" s="1326"/>
      <c r="AJ53" s="1326"/>
      <c r="AK53" s="1326"/>
      <c r="AL53" s="1326"/>
      <c r="AM53" s="1400"/>
      <c r="AN53" s="1326"/>
      <c r="AO53" s="1326"/>
      <c r="AP53" s="1326"/>
      <c r="AQ53" s="1326"/>
      <c r="AR53" s="1326"/>
      <c r="AS53" s="1326"/>
      <c r="AT53" s="1326"/>
      <c r="AU53" s="1326"/>
      <c r="AV53" s="1326"/>
      <c r="AW53" s="1326"/>
      <c r="AX53" s="1326"/>
      <c r="AY53" s="1326"/>
      <c r="AZ53" s="1326"/>
      <c r="BA53" s="1326"/>
      <c r="BB53" s="1326"/>
      <c r="BC53" s="1326"/>
      <c r="BD53" s="1326"/>
      <c r="BE53" s="1326"/>
      <c r="BF53" s="1326"/>
      <c r="BG53" s="1326"/>
      <c r="BH53" s="1326"/>
      <c r="BI53" s="1326"/>
      <c r="BJ53" s="1326"/>
      <c r="BK53" s="1326"/>
      <c r="BL53" s="1326"/>
      <c r="BM53" s="1326"/>
      <c r="BN53" s="1400"/>
      <c r="BO53" s="1682"/>
      <c r="BP53" s="1682"/>
      <c r="BQ53" s="1326"/>
      <c r="BR53" s="1682"/>
      <c r="BS53" s="1326"/>
      <c r="BT53" s="1326"/>
      <c r="BU53" s="1400"/>
      <c r="BV53" s="1683">
        <v>297517.32</v>
      </c>
      <c r="BW53" s="1682"/>
      <c r="BX53" s="1682"/>
      <c r="BY53" s="1326"/>
      <c r="BZ53" s="1326"/>
      <c r="CA53" s="1326"/>
      <c r="CB53" s="1326"/>
      <c r="CC53" s="1326"/>
      <c r="CD53" s="1684">
        <v>2037148.52</v>
      </c>
      <c r="CE53" s="1684">
        <v>1920457.21</v>
      </c>
      <c r="CF53" s="1684">
        <v>1413604.48</v>
      </c>
      <c r="CG53" s="1684">
        <v>73.61</v>
      </c>
      <c r="CH53" s="1684">
        <v>506852.73</v>
      </c>
      <c r="CI53" s="1684">
        <v>26.39</v>
      </c>
      <c r="CJ53" s="1684">
        <v>1920457.21</v>
      </c>
      <c r="CK53" s="1684">
        <v>100</v>
      </c>
      <c r="CL53" s="1410"/>
      <c r="CM53" s="1682"/>
      <c r="CN53" s="1400"/>
      <c r="CO53" s="1326"/>
      <c r="CP53" s="1682"/>
      <c r="CQ53" s="1684">
        <v>1413604.48</v>
      </c>
      <c r="CR53" s="1684">
        <v>1413604.48</v>
      </c>
      <c r="CS53" s="1684">
        <v>0</v>
      </c>
      <c r="CT53" s="1326"/>
      <c r="CU53" s="1682"/>
      <c r="CV53" s="1684">
        <v>1920457.21</v>
      </c>
      <c r="CW53" s="1684">
        <v>0</v>
      </c>
      <c r="CX53" s="1684">
        <v>0</v>
      </c>
      <c r="CY53" s="1684">
        <v>1536721.71</v>
      </c>
      <c r="CZ53" s="1684">
        <v>361117.84</v>
      </c>
      <c r="DA53" s="1684">
        <v>7420</v>
      </c>
      <c r="DB53" s="1684">
        <v>200</v>
      </c>
      <c r="DC53" s="1684">
        <v>14997.66</v>
      </c>
      <c r="DD53" s="1684">
        <v>1920457.21</v>
      </c>
      <c r="DE53" s="1684">
        <v>1413604.48</v>
      </c>
      <c r="DF53" s="1684">
        <v>1413604.48</v>
      </c>
      <c r="DG53" s="1684">
        <v>0</v>
      </c>
      <c r="DH53" s="1684">
        <v>506852.73</v>
      </c>
      <c r="DI53" s="1684">
        <v>506852.73</v>
      </c>
      <c r="DJ53" s="1684">
        <v>0</v>
      </c>
      <c r="DK53" s="1684">
        <v>506852.73</v>
      </c>
      <c r="DL53" s="1684">
        <v>0</v>
      </c>
      <c r="DM53" s="1684">
        <v>0</v>
      </c>
      <c r="DN53" s="1684">
        <v>0</v>
      </c>
      <c r="DO53" s="1684">
        <v>0</v>
      </c>
      <c r="DP53" s="1684">
        <v>0</v>
      </c>
      <c r="DQ53" s="1326"/>
      <c r="DR53" s="1400"/>
      <c r="DS53" s="1326"/>
      <c r="DT53" s="1682"/>
      <c r="DU53" s="1326"/>
      <c r="DV53" s="1682"/>
    </row>
    <row r="54" spans="1:126">
      <c r="A54" s="1326" t="s">
        <v>1735</v>
      </c>
      <c r="B54" s="1326" t="s">
        <v>1694</v>
      </c>
      <c r="C54" s="1326" t="s">
        <v>2551</v>
      </c>
      <c r="D54" s="1326" t="s">
        <v>2552</v>
      </c>
      <c r="E54" s="1326"/>
      <c r="F54" s="1326"/>
      <c r="G54" s="1326"/>
      <c r="H54" s="1326"/>
      <c r="I54" s="1326"/>
      <c r="J54" s="1326"/>
      <c r="K54" s="1682"/>
      <c r="L54" s="1682"/>
      <c r="M54" s="1326"/>
      <c r="N54" s="1326"/>
      <c r="O54" s="1326"/>
      <c r="P54" s="1326"/>
      <c r="Q54" s="1326"/>
      <c r="R54" s="1326"/>
      <c r="S54" s="1326"/>
      <c r="T54" s="1326"/>
      <c r="U54" s="1326"/>
      <c r="V54" s="1326"/>
      <c r="W54" s="1326"/>
      <c r="X54" s="1326"/>
      <c r="Y54" s="1326"/>
      <c r="Z54" s="1326"/>
      <c r="AA54" s="1326"/>
      <c r="AB54" s="1326"/>
      <c r="AC54" s="1326"/>
      <c r="AD54" s="1326"/>
      <c r="AE54" s="1326"/>
      <c r="AF54" s="1326"/>
      <c r="AG54" s="1326"/>
      <c r="AH54" s="1326"/>
      <c r="AI54" s="1326"/>
      <c r="AJ54" s="1326"/>
      <c r="AK54" s="1326"/>
      <c r="AL54" s="1326"/>
      <c r="AM54" s="1400"/>
      <c r="AN54" s="1326"/>
      <c r="AO54" s="1326"/>
      <c r="AP54" s="1326"/>
      <c r="AQ54" s="1326"/>
      <c r="AR54" s="1326"/>
      <c r="AS54" s="1326"/>
      <c r="AT54" s="1326"/>
      <c r="AU54" s="1326"/>
      <c r="AV54" s="1326"/>
      <c r="AW54" s="1326"/>
      <c r="AX54" s="1326"/>
      <c r="AY54" s="1326"/>
      <c r="AZ54" s="1326"/>
      <c r="BA54" s="1326"/>
      <c r="BB54" s="1326"/>
      <c r="BC54" s="1326"/>
      <c r="BD54" s="1326"/>
      <c r="BE54" s="1326"/>
      <c r="BF54" s="1326"/>
      <c r="BG54" s="1326"/>
      <c r="BH54" s="1326"/>
      <c r="BI54" s="1326"/>
      <c r="BJ54" s="1326"/>
      <c r="BK54" s="1326"/>
      <c r="BL54" s="1326"/>
      <c r="BM54" s="1326"/>
      <c r="BN54" s="1400"/>
      <c r="BO54" s="1682"/>
      <c r="BP54" s="1682"/>
      <c r="BQ54" s="1326"/>
      <c r="BR54" s="1682"/>
      <c r="BS54" s="1326"/>
      <c r="BT54" s="1326"/>
      <c r="BU54" s="1400"/>
      <c r="BV54" s="1683">
        <v>297517.32</v>
      </c>
      <c r="BW54" s="1682"/>
      <c r="BX54" s="1682"/>
      <c r="BY54" s="1326"/>
      <c r="BZ54" s="1326"/>
      <c r="CA54" s="1326"/>
      <c r="CB54" s="1326"/>
      <c r="CC54" s="1326"/>
      <c r="CD54" s="1684">
        <v>2037148.52</v>
      </c>
      <c r="CE54" s="1684">
        <v>1920457.21</v>
      </c>
      <c r="CF54" s="1684">
        <v>1413604.48</v>
      </c>
      <c r="CG54" s="1684">
        <v>73.61</v>
      </c>
      <c r="CH54" s="1684">
        <v>506852.73</v>
      </c>
      <c r="CI54" s="1684">
        <v>26.39</v>
      </c>
      <c r="CJ54" s="1684">
        <v>1920457.21</v>
      </c>
      <c r="CK54" s="1684">
        <v>100</v>
      </c>
      <c r="CL54" s="1410"/>
      <c r="CM54" s="1682"/>
      <c r="CN54" s="1400"/>
      <c r="CO54" s="1326"/>
      <c r="CP54" s="1682"/>
      <c r="CQ54" s="1684">
        <v>1413604.48</v>
      </c>
      <c r="CR54" s="1684">
        <v>1413604.48</v>
      </c>
      <c r="CS54" s="1684">
        <v>0</v>
      </c>
      <c r="CT54" s="1326"/>
      <c r="CU54" s="1682"/>
      <c r="CV54" s="1684">
        <v>1920457.21</v>
      </c>
      <c r="CW54" s="1684">
        <v>0</v>
      </c>
      <c r="CX54" s="1684">
        <v>0</v>
      </c>
      <c r="CY54" s="1684">
        <v>1536721.71</v>
      </c>
      <c r="CZ54" s="1684">
        <v>361117.84</v>
      </c>
      <c r="DA54" s="1684">
        <v>7420</v>
      </c>
      <c r="DB54" s="1684">
        <v>200</v>
      </c>
      <c r="DC54" s="1684">
        <v>14997.66</v>
      </c>
      <c r="DD54" s="1684">
        <v>1920457.21</v>
      </c>
      <c r="DE54" s="1684">
        <v>1413604.48</v>
      </c>
      <c r="DF54" s="1684">
        <v>1413604.48</v>
      </c>
      <c r="DG54" s="1684">
        <v>0</v>
      </c>
      <c r="DH54" s="1684">
        <v>506852.73</v>
      </c>
      <c r="DI54" s="1684">
        <v>506852.73</v>
      </c>
      <c r="DJ54" s="1684">
        <v>0</v>
      </c>
      <c r="DK54" s="1684">
        <v>506852.73</v>
      </c>
      <c r="DL54" s="1684">
        <v>0</v>
      </c>
      <c r="DM54" s="1684">
        <v>0</v>
      </c>
      <c r="DN54" s="1684">
        <v>0</v>
      </c>
      <c r="DO54" s="1684">
        <v>0</v>
      </c>
      <c r="DP54" s="1684">
        <v>0</v>
      </c>
      <c r="DQ54" s="1326"/>
      <c r="DR54" s="1400"/>
      <c r="DS54" s="1326"/>
      <c r="DT54" s="1682"/>
      <c r="DU54" s="1326"/>
      <c r="DV54" s="1682"/>
    </row>
    <row r="55" spans="1:126" ht="45">
      <c r="A55" s="1326" t="s">
        <v>1736</v>
      </c>
      <c r="B55" s="1326" t="s">
        <v>1694</v>
      </c>
      <c r="C55" s="1326" t="s">
        <v>2551</v>
      </c>
      <c r="D55" s="1326" t="s">
        <v>2552</v>
      </c>
      <c r="E55" s="1326" t="s">
        <v>761</v>
      </c>
      <c r="F55" s="1326" t="s">
        <v>133</v>
      </c>
      <c r="G55" s="1326"/>
      <c r="H55" s="1326"/>
      <c r="I55" s="1326"/>
      <c r="J55" s="1326"/>
      <c r="K55" s="1682"/>
      <c r="L55" s="1682"/>
      <c r="M55" s="1326"/>
      <c r="N55" s="1326"/>
      <c r="O55" s="1326"/>
      <c r="P55" s="1326"/>
      <c r="Q55" s="1326"/>
      <c r="R55" s="1326"/>
      <c r="S55" s="1326"/>
      <c r="T55" s="1326"/>
      <c r="U55" s="1326"/>
      <c r="V55" s="1326"/>
      <c r="W55" s="1326"/>
      <c r="X55" s="1326"/>
      <c r="Y55" s="1326"/>
      <c r="Z55" s="1326"/>
      <c r="AA55" s="1326"/>
      <c r="AB55" s="1326"/>
      <c r="AC55" s="1326"/>
      <c r="AD55" s="1326"/>
      <c r="AE55" s="1326"/>
      <c r="AF55" s="1326"/>
      <c r="AG55" s="1326"/>
      <c r="AH55" s="1326"/>
      <c r="AI55" s="1326"/>
      <c r="AJ55" s="1326"/>
      <c r="AK55" s="1326"/>
      <c r="AL55" s="1326"/>
      <c r="AM55" s="1400"/>
      <c r="AN55" s="1326"/>
      <c r="AO55" s="1326"/>
      <c r="AP55" s="1326"/>
      <c r="AQ55" s="1326"/>
      <c r="AR55" s="1326"/>
      <c r="AS55" s="1326"/>
      <c r="AT55" s="1326"/>
      <c r="AU55" s="1326"/>
      <c r="AV55" s="1326"/>
      <c r="AW55" s="1326"/>
      <c r="AX55" s="1326"/>
      <c r="AY55" s="1326"/>
      <c r="AZ55" s="1326"/>
      <c r="BA55" s="1326"/>
      <c r="BB55" s="1326"/>
      <c r="BC55" s="1326"/>
      <c r="BD55" s="1326"/>
      <c r="BE55" s="1326"/>
      <c r="BF55" s="1326"/>
      <c r="BG55" s="1326"/>
      <c r="BH55" s="1326"/>
      <c r="BI55" s="1326"/>
      <c r="BJ55" s="1326"/>
      <c r="BK55" s="1326"/>
      <c r="BL55" s="1326"/>
      <c r="BM55" s="1326"/>
      <c r="BN55" s="1400"/>
      <c r="BO55" s="1682"/>
      <c r="BP55" s="1682"/>
      <c r="BQ55" s="1326"/>
      <c r="BR55" s="1682"/>
      <c r="BS55" s="1326"/>
      <c r="BT55" s="1326"/>
      <c r="BU55" s="1400"/>
      <c r="BV55" s="1683">
        <v>0</v>
      </c>
      <c r="BW55" s="1682"/>
      <c r="BX55" s="1682"/>
      <c r="BY55" s="1326"/>
      <c r="BZ55" s="1326"/>
      <c r="CA55" s="1326"/>
      <c r="CB55" s="1326"/>
      <c r="CC55" s="1326"/>
      <c r="CD55" s="1684">
        <v>496329.53</v>
      </c>
      <c r="CE55" s="1684">
        <v>496329.53</v>
      </c>
      <c r="CF55" s="1684">
        <v>421880.1</v>
      </c>
      <c r="CG55" s="1684">
        <v>85</v>
      </c>
      <c r="CH55" s="1684">
        <v>74449.429999999993</v>
      </c>
      <c r="CI55" s="1684">
        <v>15</v>
      </c>
      <c r="CJ55" s="1684">
        <v>496329.53</v>
      </c>
      <c r="CK55" s="1684">
        <v>100</v>
      </c>
      <c r="CL55" s="1410"/>
      <c r="CM55" s="1682"/>
      <c r="CN55" s="1400"/>
      <c r="CO55" s="1326"/>
      <c r="CP55" s="1682"/>
      <c r="CQ55" s="1684">
        <v>421880.1</v>
      </c>
      <c r="CR55" s="1684">
        <v>421880.1</v>
      </c>
      <c r="CS55" s="1684">
        <v>0</v>
      </c>
      <c r="CT55" s="1326"/>
      <c r="CU55" s="1682"/>
      <c r="CV55" s="1684">
        <v>496329.53</v>
      </c>
      <c r="CW55" s="1684">
        <v>0</v>
      </c>
      <c r="CX55" s="1684">
        <v>0</v>
      </c>
      <c r="CY55" s="1684">
        <v>334947.84000000003</v>
      </c>
      <c r="CZ55" s="1684">
        <v>158248.44</v>
      </c>
      <c r="DA55" s="1684">
        <v>0</v>
      </c>
      <c r="DB55" s="1684">
        <v>0</v>
      </c>
      <c r="DC55" s="1684">
        <v>3133.25</v>
      </c>
      <c r="DD55" s="1684">
        <v>496329.53</v>
      </c>
      <c r="DE55" s="1684">
        <v>421880.1</v>
      </c>
      <c r="DF55" s="1684">
        <v>421880.1</v>
      </c>
      <c r="DG55" s="1684">
        <v>0</v>
      </c>
      <c r="DH55" s="1684">
        <v>74449.429999999993</v>
      </c>
      <c r="DI55" s="1684">
        <v>74449.429999999993</v>
      </c>
      <c r="DJ55" s="1684">
        <v>0</v>
      </c>
      <c r="DK55" s="1684">
        <v>74449.429999999993</v>
      </c>
      <c r="DL55" s="1684">
        <v>0</v>
      </c>
      <c r="DM55" s="1684">
        <v>0</v>
      </c>
      <c r="DN55" s="1684">
        <v>0</v>
      </c>
      <c r="DO55" s="1684">
        <v>0</v>
      </c>
      <c r="DP55" s="1684">
        <v>0</v>
      </c>
      <c r="DQ55" s="1326"/>
      <c r="DR55" s="1400"/>
      <c r="DS55" s="1326"/>
      <c r="DT55" s="1682"/>
      <c r="DU55" s="1326"/>
      <c r="DV55" s="1682"/>
    </row>
    <row r="56" spans="1:126" ht="112.5">
      <c r="A56" s="1326" t="s">
        <v>1737</v>
      </c>
      <c r="B56" s="1326" t="s">
        <v>1694</v>
      </c>
      <c r="C56" s="1326" t="s">
        <v>2551</v>
      </c>
      <c r="D56" s="1326" t="s">
        <v>2552</v>
      </c>
      <c r="E56" s="1326" t="s">
        <v>761</v>
      </c>
      <c r="F56" s="1326" t="s">
        <v>133</v>
      </c>
      <c r="G56" s="1326" t="s">
        <v>2553</v>
      </c>
      <c r="H56" s="1326" t="s">
        <v>2554</v>
      </c>
      <c r="I56" s="1326" t="s">
        <v>2541</v>
      </c>
      <c r="J56" s="1326" t="s">
        <v>705</v>
      </c>
      <c r="K56" s="1685">
        <v>42706</v>
      </c>
      <c r="L56" s="1685">
        <v>42811</v>
      </c>
      <c r="M56" s="1326" t="s">
        <v>2108</v>
      </c>
      <c r="N56" s="1326" t="s">
        <v>2061</v>
      </c>
      <c r="O56" s="1326" t="s">
        <v>2904</v>
      </c>
      <c r="P56" s="1326" t="s">
        <v>2757</v>
      </c>
      <c r="Q56" s="1326" t="s">
        <v>1730</v>
      </c>
      <c r="R56" s="1326" t="s">
        <v>2757</v>
      </c>
      <c r="S56" s="1326" t="s">
        <v>2757</v>
      </c>
      <c r="T56" s="1326"/>
      <c r="U56" s="1326" t="s">
        <v>2758</v>
      </c>
      <c r="V56" s="1326" t="s">
        <v>2757</v>
      </c>
      <c r="W56" s="1326" t="s">
        <v>2757</v>
      </c>
      <c r="X56" s="1326"/>
      <c r="Y56" s="1326" t="s">
        <v>2757</v>
      </c>
      <c r="Z56" s="1326"/>
      <c r="AA56" s="1326"/>
      <c r="AB56" s="1326" t="s">
        <v>2757</v>
      </c>
      <c r="AC56" s="1326" t="s">
        <v>2757</v>
      </c>
      <c r="AD56" s="1326" t="s">
        <v>2757</v>
      </c>
      <c r="AE56" s="1326"/>
      <c r="AF56" s="1326" t="s">
        <v>2905</v>
      </c>
      <c r="AG56" s="1326" t="s">
        <v>2906</v>
      </c>
      <c r="AH56" s="1326" t="s">
        <v>2791</v>
      </c>
      <c r="AI56" s="1326" t="s">
        <v>2762</v>
      </c>
      <c r="AJ56" s="1326" t="s">
        <v>2763</v>
      </c>
      <c r="AK56" s="1326" t="s">
        <v>2907</v>
      </c>
      <c r="AL56" s="1326" t="s">
        <v>2908</v>
      </c>
      <c r="AM56" s="1683">
        <v>100</v>
      </c>
      <c r="AN56" s="1326"/>
      <c r="AO56" s="1326"/>
      <c r="AP56" s="1326"/>
      <c r="AQ56" s="1326"/>
      <c r="AR56" s="1326"/>
      <c r="AS56" s="1326"/>
      <c r="AT56" s="1326" t="s">
        <v>2867</v>
      </c>
      <c r="AU56" s="1326" t="s">
        <v>2766</v>
      </c>
      <c r="AV56" s="1326" t="s">
        <v>2856</v>
      </c>
      <c r="AW56" s="1326"/>
      <c r="AX56" s="1326" t="s">
        <v>2909</v>
      </c>
      <c r="AY56" s="1326" t="s">
        <v>2798</v>
      </c>
      <c r="AZ56" s="1326" t="s">
        <v>161</v>
      </c>
      <c r="BA56" s="1326" t="s">
        <v>2812</v>
      </c>
      <c r="BB56" s="1326" t="s">
        <v>2757</v>
      </c>
      <c r="BC56" s="1326" t="s">
        <v>2800</v>
      </c>
      <c r="BD56" s="1326" t="s">
        <v>2773</v>
      </c>
      <c r="BE56" s="1326" t="s">
        <v>2813</v>
      </c>
      <c r="BF56" s="1326" t="s">
        <v>2910</v>
      </c>
      <c r="BG56" s="1326" t="s">
        <v>2815</v>
      </c>
      <c r="BH56" s="1326" t="s">
        <v>2534</v>
      </c>
      <c r="BI56" s="1326" t="s">
        <v>2805</v>
      </c>
      <c r="BJ56" s="1326" t="s">
        <v>2816</v>
      </c>
      <c r="BK56" s="1326" t="s">
        <v>2867</v>
      </c>
      <c r="BL56" s="1326" t="s">
        <v>2757</v>
      </c>
      <c r="BM56" s="1326" t="s">
        <v>2757</v>
      </c>
      <c r="BN56" s="1683">
        <v>0</v>
      </c>
      <c r="BO56" s="1685">
        <v>42811</v>
      </c>
      <c r="BP56" s="1685">
        <v>43722</v>
      </c>
      <c r="BQ56" s="1326" t="s">
        <v>2779</v>
      </c>
      <c r="BR56" s="1685">
        <v>46022</v>
      </c>
      <c r="BS56" s="1326" t="s">
        <v>2911</v>
      </c>
      <c r="BT56" s="1326" t="s">
        <v>2912</v>
      </c>
      <c r="BU56" s="1683">
        <v>0</v>
      </c>
      <c r="BV56" s="1683">
        <v>0</v>
      </c>
      <c r="BW56" s="1685">
        <v>43752</v>
      </c>
      <c r="BX56" s="1682"/>
      <c r="BY56" s="1326" t="s">
        <v>2052</v>
      </c>
      <c r="BZ56" s="1326" t="s">
        <v>2782</v>
      </c>
      <c r="CA56" s="1326" t="s">
        <v>2783</v>
      </c>
      <c r="CB56" s="1326" t="s">
        <v>2783</v>
      </c>
      <c r="CC56" s="1326" t="s">
        <v>2913</v>
      </c>
      <c r="CD56" s="1684">
        <v>288106</v>
      </c>
      <c r="CE56" s="1684">
        <v>288106</v>
      </c>
      <c r="CF56" s="1684">
        <v>244890.1</v>
      </c>
      <c r="CG56" s="1684">
        <v>85</v>
      </c>
      <c r="CH56" s="1684">
        <v>43215.9</v>
      </c>
      <c r="CI56" s="1684">
        <v>15</v>
      </c>
      <c r="CJ56" s="1684">
        <v>288106</v>
      </c>
      <c r="CK56" s="1684">
        <v>100</v>
      </c>
      <c r="CL56" s="1410" t="s">
        <v>2785</v>
      </c>
      <c r="CM56" s="1686">
        <v>42765</v>
      </c>
      <c r="CN56" s="1400"/>
      <c r="CO56" s="1326"/>
      <c r="CP56" s="1682"/>
      <c r="CQ56" s="1684">
        <v>244890.1</v>
      </c>
      <c r="CR56" s="1684">
        <v>244890.1</v>
      </c>
      <c r="CS56" s="1684">
        <v>0</v>
      </c>
      <c r="CT56" s="1326" t="s">
        <v>2785</v>
      </c>
      <c r="CU56" s="1686">
        <v>42786</v>
      </c>
      <c r="CV56" s="1684">
        <v>288106</v>
      </c>
      <c r="CW56" s="1684">
        <v>0</v>
      </c>
      <c r="CX56" s="1684">
        <v>0</v>
      </c>
      <c r="CY56" s="1684">
        <v>126724.31</v>
      </c>
      <c r="CZ56" s="1684">
        <v>158248.44</v>
      </c>
      <c r="DA56" s="1684">
        <v>0</v>
      </c>
      <c r="DB56" s="1684">
        <v>0</v>
      </c>
      <c r="DC56" s="1684">
        <v>3133.25</v>
      </c>
      <c r="DD56" s="1684">
        <v>288106</v>
      </c>
      <c r="DE56" s="1684">
        <v>244890.1</v>
      </c>
      <c r="DF56" s="1684">
        <v>244890.1</v>
      </c>
      <c r="DG56" s="1684">
        <v>0</v>
      </c>
      <c r="DH56" s="1684">
        <v>43215.9</v>
      </c>
      <c r="DI56" s="1684">
        <v>43215.9</v>
      </c>
      <c r="DJ56" s="1684">
        <v>0</v>
      </c>
      <c r="DK56" s="1684">
        <v>43215.9</v>
      </c>
      <c r="DL56" s="1684">
        <v>0</v>
      </c>
      <c r="DM56" s="1684">
        <v>0</v>
      </c>
      <c r="DN56" s="1684">
        <v>0</v>
      </c>
      <c r="DO56" s="1684">
        <v>0</v>
      </c>
      <c r="DP56" s="1684">
        <v>0</v>
      </c>
      <c r="DQ56" s="1326" t="s">
        <v>2810</v>
      </c>
      <c r="DR56" s="1684">
        <v>0</v>
      </c>
      <c r="DS56" s="1326" t="s">
        <v>2757</v>
      </c>
      <c r="DT56" s="1682"/>
      <c r="DU56" s="1326" t="s">
        <v>2757</v>
      </c>
      <c r="DV56" s="1682"/>
    </row>
    <row r="57" spans="1:126" ht="56.25">
      <c r="A57" s="1326" t="s">
        <v>1738</v>
      </c>
      <c r="B57" s="1326" t="s">
        <v>1694</v>
      </c>
      <c r="C57" s="1326" t="s">
        <v>2551</v>
      </c>
      <c r="D57" s="1326" t="s">
        <v>2552</v>
      </c>
      <c r="E57" s="1326" t="s">
        <v>761</v>
      </c>
      <c r="F57" s="1326" t="s">
        <v>133</v>
      </c>
      <c r="G57" s="1326" t="s">
        <v>2553</v>
      </c>
      <c r="H57" s="1326" t="s">
        <v>2554</v>
      </c>
      <c r="I57" s="1326" t="s">
        <v>2541</v>
      </c>
      <c r="J57" s="1326" t="s">
        <v>706</v>
      </c>
      <c r="K57" s="1685">
        <v>42755</v>
      </c>
      <c r="L57" s="1685">
        <v>42835</v>
      </c>
      <c r="M57" s="1326" t="s">
        <v>270</v>
      </c>
      <c r="N57" s="1326" t="s">
        <v>2061</v>
      </c>
      <c r="O57" s="1326" t="s">
        <v>2914</v>
      </c>
      <c r="P57" s="1326" t="s">
        <v>2757</v>
      </c>
      <c r="Q57" s="1326" t="s">
        <v>1727</v>
      </c>
      <c r="R57" s="1326" t="s">
        <v>2757</v>
      </c>
      <c r="S57" s="1326" t="s">
        <v>2757</v>
      </c>
      <c r="T57" s="1326"/>
      <c r="U57" s="1326" t="s">
        <v>2758</v>
      </c>
      <c r="V57" s="1326" t="s">
        <v>2757</v>
      </c>
      <c r="W57" s="1326" t="s">
        <v>2757</v>
      </c>
      <c r="X57" s="1326"/>
      <c r="Y57" s="1326" t="s">
        <v>2757</v>
      </c>
      <c r="Z57" s="1326"/>
      <c r="AA57" s="1326"/>
      <c r="AB57" s="1326" t="s">
        <v>2757</v>
      </c>
      <c r="AC57" s="1326" t="s">
        <v>2757</v>
      </c>
      <c r="AD57" s="1326" t="s">
        <v>2757</v>
      </c>
      <c r="AE57" s="1326"/>
      <c r="AF57" s="1326" t="s">
        <v>2905</v>
      </c>
      <c r="AG57" s="1326" t="s">
        <v>2906</v>
      </c>
      <c r="AH57" s="1326" t="s">
        <v>2791</v>
      </c>
      <c r="AI57" s="1326" t="s">
        <v>2762</v>
      </c>
      <c r="AJ57" s="1326" t="s">
        <v>2763</v>
      </c>
      <c r="AK57" s="1326" t="s">
        <v>2907</v>
      </c>
      <c r="AL57" s="1326" t="s">
        <v>2908</v>
      </c>
      <c r="AM57" s="1683">
        <v>100</v>
      </c>
      <c r="AN57" s="1326"/>
      <c r="AO57" s="1326"/>
      <c r="AP57" s="1326"/>
      <c r="AQ57" s="1326"/>
      <c r="AR57" s="1326"/>
      <c r="AS57" s="1326"/>
      <c r="AT57" s="1326" t="s">
        <v>2766</v>
      </c>
      <c r="AU57" s="1326" t="s">
        <v>2766</v>
      </c>
      <c r="AV57" s="1326" t="s">
        <v>2856</v>
      </c>
      <c r="AW57" s="1326"/>
      <c r="AX57" s="1326" t="s">
        <v>2909</v>
      </c>
      <c r="AY57" s="1326" t="s">
        <v>2798</v>
      </c>
      <c r="AZ57" s="1326" t="s">
        <v>345</v>
      </c>
      <c r="BA57" s="1326" t="s">
        <v>2799</v>
      </c>
      <c r="BB57" s="1326" t="s">
        <v>2757</v>
      </c>
      <c r="BC57" s="1326" t="s">
        <v>2800</v>
      </c>
      <c r="BD57" s="1326" t="s">
        <v>2773</v>
      </c>
      <c r="BE57" s="1326" t="s">
        <v>2915</v>
      </c>
      <c r="BF57" s="1326" t="s">
        <v>2916</v>
      </c>
      <c r="BG57" s="1326" t="s">
        <v>2803</v>
      </c>
      <c r="BH57" s="1326" t="s">
        <v>2536</v>
      </c>
      <c r="BI57" s="1326" t="s">
        <v>2805</v>
      </c>
      <c r="BJ57" s="1326" t="s">
        <v>2806</v>
      </c>
      <c r="BK57" s="1326" t="s">
        <v>2766</v>
      </c>
      <c r="BL57" s="1326" t="s">
        <v>2757</v>
      </c>
      <c r="BM57" s="1326" t="s">
        <v>2757</v>
      </c>
      <c r="BN57" s="1683">
        <v>0</v>
      </c>
      <c r="BO57" s="1685">
        <v>42835</v>
      </c>
      <c r="BP57" s="1685">
        <v>43646</v>
      </c>
      <c r="BQ57" s="1326" t="s">
        <v>2779</v>
      </c>
      <c r="BR57" s="1685">
        <v>46022</v>
      </c>
      <c r="BS57" s="1326" t="s">
        <v>2807</v>
      </c>
      <c r="BT57" s="1326" t="s">
        <v>2917</v>
      </c>
      <c r="BU57" s="1683">
        <v>0</v>
      </c>
      <c r="BV57" s="1683">
        <v>0</v>
      </c>
      <c r="BW57" s="1685">
        <v>43677</v>
      </c>
      <c r="BX57" s="1682"/>
      <c r="BY57" s="1326" t="s">
        <v>2052</v>
      </c>
      <c r="BZ57" s="1326" t="s">
        <v>2783</v>
      </c>
      <c r="CA57" s="1326" t="s">
        <v>2783</v>
      </c>
      <c r="CB57" s="1326" t="s">
        <v>2783</v>
      </c>
      <c r="CC57" s="1326" t="s">
        <v>2913</v>
      </c>
      <c r="CD57" s="1684">
        <v>208223.53</v>
      </c>
      <c r="CE57" s="1684">
        <v>208223.53</v>
      </c>
      <c r="CF57" s="1684">
        <v>176990</v>
      </c>
      <c r="CG57" s="1684">
        <v>85</v>
      </c>
      <c r="CH57" s="1684">
        <v>31233.53</v>
      </c>
      <c r="CI57" s="1684">
        <v>15</v>
      </c>
      <c r="CJ57" s="1684">
        <v>208223.53</v>
      </c>
      <c r="CK57" s="1684">
        <v>100</v>
      </c>
      <c r="CL57" s="1410" t="s">
        <v>2785</v>
      </c>
      <c r="CM57" s="1686">
        <v>42800</v>
      </c>
      <c r="CN57" s="1400"/>
      <c r="CO57" s="1326"/>
      <c r="CP57" s="1682"/>
      <c r="CQ57" s="1684">
        <v>176990</v>
      </c>
      <c r="CR57" s="1684">
        <v>176990</v>
      </c>
      <c r="CS57" s="1684">
        <v>0</v>
      </c>
      <c r="CT57" s="1326" t="s">
        <v>2785</v>
      </c>
      <c r="CU57" s="1686">
        <v>42816</v>
      </c>
      <c r="CV57" s="1684">
        <v>208223.53</v>
      </c>
      <c r="CW57" s="1684">
        <v>0</v>
      </c>
      <c r="CX57" s="1684">
        <v>0</v>
      </c>
      <c r="CY57" s="1684">
        <v>208223.53</v>
      </c>
      <c r="CZ57" s="1684">
        <v>0</v>
      </c>
      <c r="DA57" s="1684">
        <v>0</v>
      </c>
      <c r="DB57" s="1684">
        <v>0</v>
      </c>
      <c r="DC57" s="1684">
        <v>0</v>
      </c>
      <c r="DD57" s="1684">
        <v>208223.53</v>
      </c>
      <c r="DE57" s="1684">
        <v>176990</v>
      </c>
      <c r="DF57" s="1684">
        <v>176990</v>
      </c>
      <c r="DG57" s="1684">
        <v>0</v>
      </c>
      <c r="DH57" s="1684">
        <v>31233.53</v>
      </c>
      <c r="DI57" s="1684">
        <v>31233.53</v>
      </c>
      <c r="DJ57" s="1684">
        <v>0</v>
      </c>
      <c r="DK57" s="1684">
        <v>31233.53</v>
      </c>
      <c r="DL57" s="1684">
        <v>0</v>
      </c>
      <c r="DM57" s="1684">
        <v>0</v>
      </c>
      <c r="DN57" s="1684">
        <v>0</v>
      </c>
      <c r="DO57" s="1684">
        <v>0</v>
      </c>
      <c r="DP57" s="1684">
        <v>0</v>
      </c>
      <c r="DQ57" s="1326" t="s">
        <v>2810</v>
      </c>
      <c r="DR57" s="1684">
        <v>0</v>
      </c>
      <c r="DS57" s="1326" t="s">
        <v>2757</v>
      </c>
      <c r="DT57" s="1682"/>
      <c r="DU57" s="1326" t="s">
        <v>2757</v>
      </c>
      <c r="DV57" s="1682"/>
    </row>
    <row r="58" spans="1:126" ht="22.5">
      <c r="A58" s="1326" t="s">
        <v>1739</v>
      </c>
      <c r="B58" s="1326" t="s">
        <v>1694</v>
      </c>
      <c r="C58" s="1326" t="s">
        <v>2551</v>
      </c>
      <c r="D58" s="1326" t="s">
        <v>2552</v>
      </c>
      <c r="E58" s="1326" t="s">
        <v>182</v>
      </c>
      <c r="F58" s="1326" t="s">
        <v>255</v>
      </c>
      <c r="G58" s="1326"/>
      <c r="H58" s="1326"/>
      <c r="I58" s="1326"/>
      <c r="J58" s="1326"/>
      <c r="K58" s="1682"/>
      <c r="L58" s="1682"/>
      <c r="M58" s="1326"/>
      <c r="N58" s="1326"/>
      <c r="O58" s="1326"/>
      <c r="P58" s="1326"/>
      <c r="Q58" s="1326"/>
      <c r="R58" s="1326"/>
      <c r="S58" s="1326"/>
      <c r="T58" s="1326"/>
      <c r="U58" s="1326"/>
      <c r="V58" s="1326"/>
      <c r="W58" s="1326"/>
      <c r="X58" s="1326"/>
      <c r="Y58" s="1326"/>
      <c r="Z58" s="1326"/>
      <c r="AA58" s="1326"/>
      <c r="AB58" s="1326"/>
      <c r="AC58" s="1326"/>
      <c r="AD58" s="1326"/>
      <c r="AE58" s="1326"/>
      <c r="AF58" s="1326"/>
      <c r="AG58" s="1326"/>
      <c r="AH58" s="1326"/>
      <c r="AI58" s="1326"/>
      <c r="AJ58" s="1326"/>
      <c r="AK58" s="1326"/>
      <c r="AL58" s="1326"/>
      <c r="AM58" s="1400"/>
      <c r="AN58" s="1326"/>
      <c r="AO58" s="1326"/>
      <c r="AP58" s="1326"/>
      <c r="AQ58" s="1326"/>
      <c r="AR58" s="1326"/>
      <c r="AS58" s="1326"/>
      <c r="AT58" s="1326"/>
      <c r="AU58" s="1326"/>
      <c r="AV58" s="1326"/>
      <c r="AW58" s="1326"/>
      <c r="AX58" s="1326"/>
      <c r="AY58" s="1326"/>
      <c r="AZ58" s="1326"/>
      <c r="BA58" s="1326"/>
      <c r="BB58" s="1326"/>
      <c r="BC58" s="1326"/>
      <c r="BD58" s="1326"/>
      <c r="BE58" s="1326"/>
      <c r="BF58" s="1326"/>
      <c r="BG58" s="1326"/>
      <c r="BH58" s="1326"/>
      <c r="BI58" s="1326"/>
      <c r="BJ58" s="1326"/>
      <c r="BK58" s="1326"/>
      <c r="BL58" s="1326"/>
      <c r="BM58" s="1326"/>
      <c r="BN58" s="1400"/>
      <c r="BO58" s="1682"/>
      <c r="BP58" s="1682"/>
      <c r="BQ58" s="1326"/>
      <c r="BR58" s="1682"/>
      <c r="BS58" s="1326"/>
      <c r="BT58" s="1326"/>
      <c r="BU58" s="1400"/>
      <c r="BV58" s="1683">
        <v>297517.32</v>
      </c>
      <c r="BW58" s="1682"/>
      <c r="BX58" s="1682"/>
      <c r="BY58" s="1326"/>
      <c r="BZ58" s="1326"/>
      <c r="CA58" s="1326"/>
      <c r="CB58" s="1326"/>
      <c r="CC58" s="1326"/>
      <c r="CD58" s="1684">
        <v>1540818.99</v>
      </c>
      <c r="CE58" s="1684">
        <v>1424127.68</v>
      </c>
      <c r="CF58" s="1684">
        <v>991724.38</v>
      </c>
      <c r="CG58" s="1684">
        <v>69.64</v>
      </c>
      <c r="CH58" s="1684">
        <v>432403.3</v>
      </c>
      <c r="CI58" s="1684">
        <v>30.36</v>
      </c>
      <c r="CJ58" s="1684">
        <v>1424127.68</v>
      </c>
      <c r="CK58" s="1684">
        <v>100</v>
      </c>
      <c r="CL58" s="1410"/>
      <c r="CM58" s="1682"/>
      <c r="CN58" s="1400"/>
      <c r="CO58" s="1326"/>
      <c r="CP58" s="1682"/>
      <c r="CQ58" s="1684">
        <v>991724.38</v>
      </c>
      <c r="CR58" s="1684">
        <v>991724.38</v>
      </c>
      <c r="CS58" s="1684">
        <v>0</v>
      </c>
      <c r="CT58" s="1326"/>
      <c r="CU58" s="1682"/>
      <c r="CV58" s="1684">
        <v>1424127.68</v>
      </c>
      <c r="CW58" s="1684">
        <v>0</v>
      </c>
      <c r="CX58" s="1684">
        <v>0</v>
      </c>
      <c r="CY58" s="1684">
        <v>1201773.8700000001</v>
      </c>
      <c r="CZ58" s="1684">
        <v>202869.4</v>
      </c>
      <c r="DA58" s="1684">
        <v>7420</v>
      </c>
      <c r="DB58" s="1684">
        <v>200</v>
      </c>
      <c r="DC58" s="1684">
        <v>11864.41</v>
      </c>
      <c r="DD58" s="1684">
        <v>1424127.68</v>
      </c>
      <c r="DE58" s="1684">
        <v>991724.38</v>
      </c>
      <c r="DF58" s="1684">
        <v>991724.38</v>
      </c>
      <c r="DG58" s="1684">
        <v>0</v>
      </c>
      <c r="DH58" s="1684">
        <v>432403.3</v>
      </c>
      <c r="DI58" s="1684">
        <v>432403.3</v>
      </c>
      <c r="DJ58" s="1684">
        <v>0</v>
      </c>
      <c r="DK58" s="1684">
        <v>432403.3</v>
      </c>
      <c r="DL58" s="1684">
        <v>0</v>
      </c>
      <c r="DM58" s="1684">
        <v>0</v>
      </c>
      <c r="DN58" s="1684">
        <v>0</v>
      </c>
      <c r="DO58" s="1684">
        <v>0</v>
      </c>
      <c r="DP58" s="1684">
        <v>0</v>
      </c>
      <c r="DQ58" s="1326"/>
      <c r="DR58" s="1400"/>
      <c r="DS58" s="1326"/>
      <c r="DT58" s="1682"/>
      <c r="DU58" s="1326"/>
      <c r="DV58" s="1682"/>
    </row>
    <row r="59" spans="1:126" ht="67.5">
      <c r="A59" s="1326" t="s">
        <v>1740</v>
      </c>
      <c r="B59" s="1326" t="s">
        <v>1694</v>
      </c>
      <c r="C59" s="1326" t="s">
        <v>2551</v>
      </c>
      <c r="D59" s="1326" t="s">
        <v>2552</v>
      </c>
      <c r="E59" s="1326" t="s">
        <v>182</v>
      </c>
      <c r="F59" s="1326" t="s">
        <v>255</v>
      </c>
      <c r="G59" s="1326" t="s">
        <v>2555</v>
      </c>
      <c r="H59" s="1326" t="s">
        <v>2556</v>
      </c>
      <c r="I59" s="1326" t="s">
        <v>2541</v>
      </c>
      <c r="J59" s="1326" t="s">
        <v>1592</v>
      </c>
      <c r="K59" s="1685">
        <v>43178</v>
      </c>
      <c r="L59" s="1685">
        <v>43335</v>
      </c>
      <c r="M59" s="1326" t="s">
        <v>2918</v>
      </c>
      <c r="N59" s="1326" t="s">
        <v>2061</v>
      </c>
      <c r="O59" s="1326" t="s">
        <v>2919</v>
      </c>
      <c r="P59" s="1326" t="s">
        <v>2757</v>
      </c>
      <c r="Q59" s="1326" t="s">
        <v>1716</v>
      </c>
      <c r="R59" s="1326" t="s">
        <v>2757</v>
      </c>
      <c r="S59" s="1326" t="s">
        <v>2757</v>
      </c>
      <c r="T59" s="1326"/>
      <c r="U59" s="1326" t="s">
        <v>2758</v>
      </c>
      <c r="V59" s="1326" t="s">
        <v>2757</v>
      </c>
      <c r="W59" s="1326" t="s">
        <v>2757</v>
      </c>
      <c r="X59" s="1326"/>
      <c r="Y59" s="1326" t="s">
        <v>2757</v>
      </c>
      <c r="Z59" s="1326"/>
      <c r="AA59" s="1326"/>
      <c r="AB59" s="1326" t="s">
        <v>2757</v>
      </c>
      <c r="AC59" s="1326" t="s">
        <v>2757</v>
      </c>
      <c r="AD59" s="1326" t="s">
        <v>2757</v>
      </c>
      <c r="AE59" s="1326"/>
      <c r="AF59" s="1326" t="s">
        <v>2920</v>
      </c>
      <c r="AG59" s="1326" t="s">
        <v>2921</v>
      </c>
      <c r="AH59" s="1326" t="s">
        <v>2791</v>
      </c>
      <c r="AI59" s="1326" t="s">
        <v>2762</v>
      </c>
      <c r="AJ59" s="1326" t="s">
        <v>2763</v>
      </c>
      <c r="AK59" s="1326" t="s">
        <v>2907</v>
      </c>
      <c r="AL59" s="1326" t="s">
        <v>2922</v>
      </c>
      <c r="AM59" s="1683">
        <v>100</v>
      </c>
      <c r="AN59" s="1326"/>
      <c r="AO59" s="1326"/>
      <c r="AP59" s="1326"/>
      <c r="AQ59" s="1326"/>
      <c r="AR59" s="1326"/>
      <c r="AS59" s="1326"/>
      <c r="AT59" s="1326" t="s">
        <v>2867</v>
      </c>
      <c r="AU59" s="1326" t="s">
        <v>2766</v>
      </c>
      <c r="AV59" s="1326" t="s">
        <v>2856</v>
      </c>
      <c r="AW59" s="1326"/>
      <c r="AX59" s="1326" t="s">
        <v>2923</v>
      </c>
      <c r="AY59" s="1326" t="s">
        <v>2798</v>
      </c>
      <c r="AZ59" s="1326" t="s">
        <v>161</v>
      </c>
      <c r="BA59" s="1326" t="s">
        <v>2812</v>
      </c>
      <c r="BB59" s="1326" t="s">
        <v>2757</v>
      </c>
      <c r="BC59" s="1326" t="s">
        <v>2800</v>
      </c>
      <c r="BD59" s="1326" t="s">
        <v>2773</v>
      </c>
      <c r="BE59" s="1326" t="s">
        <v>2813</v>
      </c>
      <c r="BF59" s="1326" t="s">
        <v>2924</v>
      </c>
      <c r="BG59" s="1326" t="s">
        <v>2815</v>
      </c>
      <c r="BH59" s="1326" t="s">
        <v>2804</v>
      </c>
      <c r="BI59" s="1326" t="s">
        <v>2805</v>
      </c>
      <c r="BJ59" s="1326" t="s">
        <v>2816</v>
      </c>
      <c r="BK59" s="1326" t="s">
        <v>2867</v>
      </c>
      <c r="BL59" s="1326" t="s">
        <v>2757</v>
      </c>
      <c r="BM59" s="1326" t="s">
        <v>2757</v>
      </c>
      <c r="BN59" s="1683">
        <v>0</v>
      </c>
      <c r="BO59" s="1685">
        <v>42501</v>
      </c>
      <c r="BP59" s="1685">
        <v>43861</v>
      </c>
      <c r="BQ59" s="1326" t="s">
        <v>2779</v>
      </c>
      <c r="BR59" s="1685">
        <v>46387</v>
      </c>
      <c r="BS59" s="1326" t="s">
        <v>2925</v>
      </c>
      <c r="BT59" s="1326" t="s">
        <v>2926</v>
      </c>
      <c r="BU59" s="1683">
        <v>30</v>
      </c>
      <c r="BV59" s="1683">
        <v>61816.800000000003</v>
      </c>
      <c r="BW59" s="1685">
        <v>43891</v>
      </c>
      <c r="BX59" s="1682"/>
      <c r="BY59" s="1326" t="s">
        <v>2052</v>
      </c>
      <c r="BZ59" s="1326" t="s">
        <v>2782</v>
      </c>
      <c r="CA59" s="1326" t="s">
        <v>2783</v>
      </c>
      <c r="CB59" s="1326" t="s">
        <v>2783</v>
      </c>
      <c r="CC59" s="1326" t="s">
        <v>2913</v>
      </c>
      <c r="CD59" s="1684">
        <v>242419</v>
      </c>
      <c r="CE59" s="1684">
        <v>242419</v>
      </c>
      <c r="CF59" s="1684">
        <v>206056</v>
      </c>
      <c r="CG59" s="1684">
        <v>85</v>
      </c>
      <c r="CH59" s="1684">
        <v>36363</v>
      </c>
      <c r="CI59" s="1684">
        <v>15</v>
      </c>
      <c r="CJ59" s="1684">
        <v>242419</v>
      </c>
      <c r="CK59" s="1684">
        <v>100</v>
      </c>
      <c r="CL59" s="1410" t="s">
        <v>2785</v>
      </c>
      <c r="CM59" s="1686">
        <v>43237</v>
      </c>
      <c r="CN59" s="1400"/>
      <c r="CO59" s="1326"/>
      <c r="CP59" s="1682"/>
      <c r="CQ59" s="1684">
        <v>206056</v>
      </c>
      <c r="CR59" s="1684">
        <v>206056</v>
      </c>
      <c r="CS59" s="1684">
        <v>0</v>
      </c>
      <c r="CT59" s="1326" t="s">
        <v>2785</v>
      </c>
      <c r="CU59" s="1686">
        <v>43252</v>
      </c>
      <c r="CV59" s="1684">
        <v>242419</v>
      </c>
      <c r="CW59" s="1684">
        <v>0</v>
      </c>
      <c r="CX59" s="1684">
        <v>0</v>
      </c>
      <c r="CY59" s="1684">
        <v>182366.9</v>
      </c>
      <c r="CZ59" s="1684">
        <v>54994.5</v>
      </c>
      <c r="DA59" s="1684">
        <v>2420</v>
      </c>
      <c r="DB59" s="1684">
        <v>0</v>
      </c>
      <c r="DC59" s="1684">
        <v>2637.6</v>
      </c>
      <c r="DD59" s="1684">
        <v>242419</v>
      </c>
      <c r="DE59" s="1684">
        <v>206056</v>
      </c>
      <c r="DF59" s="1684">
        <v>206056</v>
      </c>
      <c r="DG59" s="1684">
        <v>0</v>
      </c>
      <c r="DH59" s="1684">
        <v>36363</v>
      </c>
      <c r="DI59" s="1684">
        <v>36363</v>
      </c>
      <c r="DJ59" s="1684">
        <v>0</v>
      </c>
      <c r="DK59" s="1684">
        <v>36363</v>
      </c>
      <c r="DL59" s="1684">
        <v>0</v>
      </c>
      <c r="DM59" s="1684">
        <v>0</v>
      </c>
      <c r="DN59" s="1684">
        <v>0</v>
      </c>
      <c r="DO59" s="1684">
        <v>0</v>
      </c>
      <c r="DP59" s="1684">
        <v>0</v>
      </c>
      <c r="DQ59" s="1326" t="s">
        <v>2810</v>
      </c>
      <c r="DR59" s="1684">
        <v>0</v>
      </c>
      <c r="DS59" s="1326" t="s">
        <v>2785</v>
      </c>
      <c r="DT59" s="1682" t="s">
        <v>2927</v>
      </c>
      <c r="DU59" s="1326" t="s">
        <v>2785</v>
      </c>
      <c r="DV59" s="1686">
        <v>43861</v>
      </c>
    </row>
    <row r="60" spans="1:126" ht="112.5">
      <c r="A60" s="1326" t="s">
        <v>1741</v>
      </c>
      <c r="B60" s="1326" t="s">
        <v>1694</v>
      </c>
      <c r="C60" s="1326" t="s">
        <v>2551</v>
      </c>
      <c r="D60" s="1326" t="s">
        <v>2552</v>
      </c>
      <c r="E60" s="1326" t="s">
        <v>182</v>
      </c>
      <c r="F60" s="1326" t="s">
        <v>255</v>
      </c>
      <c r="G60" s="1326" t="s">
        <v>2555</v>
      </c>
      <c r="H60" s="1326" t="s">
        <v>2556</v>
      </c>
      <c r="I60" s="1326" t="s">
        <v>2541</v>
      </c>
      <c r="J60" s="1326" t="s">
        <v>1593</v>
      </c>
      <c r="K60" s="1685">
        <v>43189</v>
      </c>
      <c r="L60" s="1685">
        <v>43285</v>
      </c>
      <c r="M60" s="1326" t="s">
        <v>389</v>
      </c>
      <c r="N60" s="1326" t="s">
        <v>2061</v>
      </c>
      <c r="O60" s="1326" t="s">
        <v>2928</v>
      </c>
      <c r="P60" s="1326" t="s">
        <v>2757</v>
      </c>
      <c r="Q60" s="1326" t="s">
        <v>1713</v>
      </c>
      <c r="R60" s="1326" t="s">
        <v>2757</v>
      </c>
      <c r="S60" s="1326" t="s">
        <v>2757</v>
      </c>
      <c r="T60" s="1326"/>
      <c r="U60" s="1326" t="s">
        <v>2758</v>
      </c>
      <c r="V60" s="1326" t="s">
        <v>2757</v>
      </c>
      <c r="W60" s="1326" t="s">
        <v>2757</v>
      </c>
      <c r="X60" s="1326"/>
      <c r="Y60" s="1326" t="s">
        <v>2757</v>
      </c>
      <c r="Z60" s="1326"/>
      <c r="AA60" s="1326"/>
      <c r="AB60" s="1326" t="s">
        <v>2757</v>
      </c>
      <c r="AC60" s="1326" t="s">
        <v>2757</v>
      </c>
      <c r="AD60" s="1326" t="s">
        <v>2757</v>
      </c>
      <c r="AE60" s="1326"/>
      <c r="AF60" s="1326" t="s">
        <v>2920</v>
      </c>
      <c r="AG60" s="1326" t="s">
        <v>2921</v>
      </c>
      <c r="AH60" s="1326" t="s">
        <v>2791</v>
      </c>
      <c r="AI60" s="1326" t="s">
        <v>2762</v>
      </c>
      <c r="AJ60" s="1326" t="s">
        <v>2763</v>
      </c>
      <c r="AK60" s="1326" t="s">
        <v>2907</v>
      </c>
      <c r="AL60" s="1326" t="s">
        <v>2922</v>
      </c>
      <c r="AM60" s="1683">
        <v>100</v>
      </c>
      <c r="AN60" s="1326"/>
      <c r="AO60" s="1326"/>
      <c r="AP60" s="1326"/>
      <c r="AQ60" s="1326"/>
      <c r="AR60" s="1326"/>
      <c r="AS60" s="1326"/>
      <c r="AT60" s="1326" t="s">
        <v>2766</v>
      </c>
      <c r="AU60" s="1326" t="s">
        <v>2766</v>
      </c>
      <c r="AV60" s="1326" t="s">
        <v>2856</v>
      </c>
      <c r="AW60" s="1326"/>
      <c r="AX60" s="1326" t="s">
        <v>2923</v>
      </c>
      <c r="AY60" s="1326" t="s">
        <v>2798</v>
      </c>
      <c r="AZ60" s="1326" t="s">
        <v>235</v>
      </c>
      <c r="BA60" s="1326" t="s">
        <v>2929</v>
      </c>
      <c r="BB60" s="1326" t="s">
        <v>2757</v>
      </c>
      <c r="BC60" s="1326" t="s">
        <v>2800</v>
      </c>
      <c r="BD60" s="1326" t="s">
        <v>2773</v>
      </c>
      <c r="BE60" s="1326" t="s">
        <v>2930</v>
      </c>
      <c r="BF60" s="1326" t="s">
        <v>2931</v>
      </c>
      <c r="BG60" s="1326" t="s">
        <v>2932</v>
      </c>
      <c r="BH60" s="1326" t="s">
        <v>2024</v>
      </c>
      <c r="BI60" s="1326" t="s">
        <v>2805</v>
      </c>
      <c r="BJ60" s="1326" t="s">
        <v>2885</v>
      </c>
      <c r="BK60" s="1326" t="s">
        <v>2766</v>
      </c>
      <c r="BL60" s="1326" t="s">
        <v>2757</v>
      </c>
      <c r="BM60" s="1326" t="s">
        <v>2757</v>
      </c>
      <c r="BN60" s="1683">
        <v>0</v>
      </c>
      <c r="BO60" s="1685">
        <v>43039</v>
      </c>
      <c r="BP60" s="1685">
        <v>43738</v>
      </c>
      <c r="BQ60" s="1326" t="s">
        <v>2779</v>
      </c>
      <c r="BR60" s="1685">
        <v>46022</v>
      </c>
      <c r="BS60" s="1326" t="s">
        <v>2933</v>
      </c>
      <c r="BT60" s="1326" t="s">
        <v>2934</v>
      </c>
      <c r="BU60" s="1683">
        <v>30</v>
      </c>
      <c r="BV60" s="1683">
        <v>61816.800000000003</v>
      </c>
      <c r="BW60" s="1685">
        <v>43768</v>
      </c>
      <c r="BX60" s="1682"/>
      <c r="BY60" s="1326" t="s">
        <v>2052</v>
      </c>
      <c r="BZ60" s="1326" t="s">
        <v>2783</v>
      </c>
      <c r="CA60" s="1326" t="s">
        <v>2783</v>
      </c>
      <c r="CB60" s="1326" t="s">
        <v>2783</v>
      </c>
      <c r="CC60" s="1326" t="s">
        <v>2913</v>
      </c>
      <c r="CD60" s="1684">
        <v>304124.37</v>
      </c>
      <c r="CE60" s="1684">
        <v>297670.40999999997</v>
      </c>
      <c r="CF60" s="1684">
        <v>206056</v>
      </c>
      <c r="CG60" s="1684">
        <v>69.22</v>
      </c>
      <c r="CH60" s="1684">
        <v>91614.41</v>
      </c>
      <c r="CI60" s="1684">
        <v>30.78</v>
      </c>
      <c r="CJ60" s="1684">
        <v>297670.40999999997</v>
      </c>
      <c r="CK60" s="1684">
        <v>100</v>
      </c>
      <c r="CL60" s="1410" t="s">
        <v>2785</v>
      </c>
      <c r="CM60" s="1686">
        <v>43241</v>
      </c>
      <c r="CN60" s="1400"/>
      <c r="CO60" s="1326"/>
      <c r="CP60" s="1682"/>
      <c r="CQ60" s="1684">
        <v>206056</v>
      </c>
      <c r="CR60" s="1684">
        <v>206056</v>
      </c>
      <c r="CS60" s="1684">
        <v>0</v>
      </c>
      <c r="CT60" s="1326" t="s">
        <v>2785</v>
      </c>
      <c r="CU60" s="1686">
        <v>43252</v>
      </c>
      <c r="CV60" s="1684">
        <v>297670.40999999997</v>
      </c>
      <c r="CW60" s="1684">
        <v>0</v>
      </c>
      <c r="CX60" s="1684">
        <v>0</v>
      </c>
      <c r="CY60" s="1684">
        <v>231557.92</v>
      </c>
      <c r="CZ60" s="1684">
        <v>66112.490000000005</v>
      </c>
      <c r="DA60" s="1684">
        <v>0</v>
      </c>
      <c r="DB60" s="1684">
        <v>0</v>
      </c>
      <c r="DC60" s="1684">
        <v>0</v>
      </c>
      <c r="DD60" s="1684">
        <v>297670.40999999997</v>
      </c>
      <c r="DE60" s="1684">
        <v>206056</v>
      </c>
      <c r="DF60" s="1684">
        <v>206056</v>
      </c>
      <c r="DG60" s="1684">
        <v>0</v>
      </c>
      <c r="DH60" s="1684">
        <v>91614.41</v>
      </c>
      <c r="DI60" s="1684">
        <v>91614.41</v>
      </c>
      <c r="DJ60" s="1684">
        <v>0</v>
      </c>
      <c r="DK60" s="1684">
        <v>91614.41</v>
      </c>
      <c r="DL60" s="1684">
        <v>0</v>
      </c>
      <c r="DM60" s="1684">
        <v>0</v>
      </c>
      <c r="DN60" s="1684">
        <v>0</v>
      </c>
      <c r="DO60" s="1684">
        <v>0</v>
      </c>
      <c r="DP60" s="1684">
        <v>0</v>
      </c>
      <c r="DQ60" s="1326" t="s">
        <v>2810</v>
      </c>
      <c r="DR60" s="1684">
        <v>0</v>
      </c>
      <c r="DS60" s="1326" t="s">
        <v>2785</v>
      </c>
      <c r="DT60" s="1682" t="s">
        <v>2935</v>
      </c>
      <c r="DU60" s="1326" t="s">
        <v>2785</v>
      </c>
      <c r="DV60" s="1686">
        <v>43738</v>
      </c>
    </row>
    <row r="61" spans="1:126" ht="78.75">
      <c r="A61" s="1326" t="s">
        <v>1742</v>
      </c>
      <c r="B61" s="1326" t="s">
        <v>1694</v>
      </c>
      <c r="C61" s="1326" t="s">
        <v>2551</v>
      </c>
      <c r="D61" s="1326" t="s">
        <v>2552</v>
      </c>
      <c r="E61" s="1326" t="s">
        <v>182</v>
      </c>
      <c r="F61" s="1326" t="s">
        <v>255</v>
      </c>
      <c r="G61" s="1326" t="s">
        <v>2555</v>
      </c>
      <c r="H61" s="1326" t="s">
        <v>2556</v>
      </c>
      <c r="I61" s="1326" t="s">
        <v>2541</v>
      </c>
      <c r="J61" s="1326" t="s">
        <v>1596</v>
      </c>
      <c r="K61" s="1685">
        <v>43189</v>
      </c>
      <c r="L61" s="1685">
        <v>43276</v>
      </c>
      <c r="M61" s="1326" t="s">
        <v>2936</v>
      </c>
      <c r="N61" s="1326" t="s">
        <v>2061</v>
      </c>
      <c r="O61" s="1326" t="s">
        <v>2937</v>
      </c>
      <c r="P61" s="1326" t="s">
        <v>2757</v>
      </c>
      <c r="Q61" s="1326" t="s">
        <v>1724</v>
      </c>
      <c r="R61" s="1326" t="s">
        <v>2757</v>
      </c>
      <c r="S61" s="1326" t="s">
        <v>2757</v>
      </c>
      <c r="T61" s="1326"/>
      <c r="U61" s="1326" t="s">
        <v>2758</v>
      </c>
      <c r="V61" s="1326" t="s">
        <v>2757</v>
      </c>
      <c r="W61" s="1326" t="s">
        <v>2757</v>
      </c>
      <c r="X61" s="1326"/>
      <c r="Y61" s="1326" t="s">
        <v>2757</v>
      </c>
      <c r="Z61" s="1326"/>
      <c r="AA61" s="1326"/>
      <c r="AB61" s="1326" t="s">
        <v>2757</v>
      </c>
      <c r="AC61" s="1326" t="s">
        <v>2757</v>
      </c>
      <c r="AD61" s="1326" t="s">
        <v>2757</v>
      </c>
      <c r="AE61" s="1326"/>
      <c r="AF61" s="1326" t="s">
        <v>2920</v>
      </c>
      <c r="AG61" s="1326" t="s">
        <v>2921</v>
      </c>
      <c r="AH61" s="1326" t="s">
        <v>2791</v>
      </c>
      <c r="AI61" s="1326" t="s">
        <v>2762</v>
      </c>
      <c r="AJ61" s="1326" t="s">
        <v>2763</v>
      </c>
      <c r="AK61" s="1326" t="s">
        <v>2907</v>
      </c>
      <c r="AL61" s="1326" t="s">
        <v>2922</v>
      </c>
      <c r="AM61" s="1683">
        <v>100</v>
      </c>
      <c r="AN61" s="1326"/>
      <c r="AO61" s="1326"/>
      <c r="AP61" s="1326"/>
      <c r="AQ61" s="1326"/>
      <c r="AR61" s="1326"/>
      <c r="AS61" s="1326"/>
      <c r="AT61" s="1326" t="s">
        <v>2766</v>
      </c>
      <c r="AU61" s="1326" t="s">
        <v>2766</v>
      </c>
      <c r="AV61" s="1326" t="s">
        <v>2856</v>
      </c>
      <c r="AW61" s="1326"/>
      <c r="AX61" s="1326" t="s">
        <v>2923</v>
      </c>
      <c r="AY61" s="1326" t="s">
        <v>2798</v>
      </c>
      <c r="AZ61" s="1326" t="s">
        <v>345</v>
      </c>
      <c r="BA61" s="1326" t="s">
        <v>2799</v>
      </c>
      <c r="BB61" s="1326" t="s">
        <v>2757</v>
      </c>
      <c r="BC61" s="1326" t="s">
        <v>2800</v>
      </c>
      <c r="BD61" s="1326" t="s">
        <v>2773</v>
      </c>
      <c r="BE61" s="1326" t="s">
        <v>2915</v>
      </c>
      <c r="BF61" s="1326" t="s">
        <v>2938</v>
      </c>
      <c r="BG61" s="1326" t="s">
        <v>2939</v>
      </c>
      <c r="BH61" s="1326" t="s">
        <v>2804</v>
      </c>
      <c r="BI61" s="1326" t="s">
        <v>2805</v>
      </c>
      <c r="BJ61" s="1326" t="s">
        <v>2806</v>
      </c>
      <c r="BK61" s="1326" t="s">
        <v>2766</v>
      </c>
      <c r="BL61" s="1326" t="s">
        <v>2757</v>
      </c>
      <c r="BM61" s="1326" t="s">
        <v>2757</v>
      </c>
      <c r="BN61" s="1683">
        <v>0</v>
      </c>
      <c r="BO61" s="1685">
        <v>43276</v>
      </c>
      <c r="BP61" s="1685">
        <v>44012</v>
      </c>
      <c r="BQ61" s="1326" t="s">
        <v>2779</v>
      </c>
      <c r="BR61" s="1685">
        <v>46387</v>
      </c>
      <c r="BS61" s="1326" t="s">
        <v>2807</v>
      </c>
      <c r="BT61" s="1326" t="s">
        <v>2940</v>
      </c>
      <c r="BU61" s="1683">
        <v>30</v>
      </c>
      <c r="BV61" s="1683">
        <v>61816.800000000003</v>
      </c>
      <c r="BW61" s="1685">
        <v>44042</v>
      </c>
      <c r="BX61" s="1682"/>
      <c r="BY61" s="1326" t="s">
        <v>2052</v>
      </c>
      <c r="BZ61" s="1326" t="s">
        <v>2782</v>
      </c>
      <c r="CA61" s="1326" t="s">
        <v>2783</v>
      </c>
      <c r="CB61" s="1326" t="s">
        <v>2783</v>
      </c>
      <c r="CC61" s="1326" t="s">
        <v>2913</v>
      </c>
      <c r="CD61" s="1684">
        <v>444560.16</v>
      </c>
      <c r="CE61" s="1684">
        <v>444560.16</v>
      </c>
      <c r="CF61" s="1684">
        <v>206056</v>
      </c>
      <c r="CG61" s="1684">
        <v>46.35</v>
      </c>
      <c r="CH61" s="1684">
        <v>238504.16</v>
      </c>
      <c r="CI61" s="1684">
        <v>53.65</v>
      </c>
      <c r="CJ61" s="1684">
        <v>444560.16</v>
      </c>
      <c r="CK61" s="1684">
        <v>100</v>
      </c>
      <c r="CL61" s="1410" t="s">
        <v>2785</v>
      </c>
      <c r="CM61" s="1686">
        <v>43243</v>
      </c>
      <c r="CN61" s="1400"/>
      <c r="CO61" s="1326"/>
      <c r="CP61" s="1682"/>
      <c r="CQ61" s="1684">
        <v>206056</v>
      </c>
      <c r="CR61" s="1684">
        <v>206056</v>
      </c>
      <c r="CS61" s="1684">
        <v>0</v>
      </c>
      <c r="CT61" s="1326" t="s">
        <v>2785</v>
      </c>
      <c r="CU61" s="1686">
        <v>43252</v>
      </c>
      <c r="CV61" s="1684">
        <v>444560.16</v>
      </c>
      <c r="CW61" s="1684">
        <v>0</v>
      </c>
      <c r="CX61" s="1684">
        <v>0</v>
      </c>
      <c r="CY61" s="1684">
        <v>429797</v>
      </c>
      <c r="CZ61" s="1684">
        <v>10318</v>
      </c>
      <c r="DA61" s="1684">
        <v>0</v>
      </c>
      <c r="DB61" s="1684">
        <v>0</v>
      </c>
      <c r="DC61" s="1684">
        <v>4445.16</v>
      </c>
      <c r="DD61" s="1684">
        <v>444560.16</v>
      </c>
      <c r="DE61" s="1684">
        <v>206056</v>
      </c>
      <c r="DF61" s="1684">
        <v>206056</v>
      </c>
      <c r="DG61" s="1684">
        <v>0</v>
      </c>
      <c r="DH61" s="1684">
        <v>238504.16</v>
      </c>
      <c r="DI61" s="1684">
        <v>238504.16</v>
      </c>
      <c r="DJ61" s="1684">
        <v>0</v>
      </c>
      <c r="DK61" s="1684">
        <v>238504.16</v>
      </c>
      <c r="DL61" s="1684">
        <v>0</v>
      </c>
      <c r="DM61" s="1684">
        <v>0</v>
      </c>
      <c r="DN61" s="1684">
        <v>0</v>
      </c>
      <c r="DO61" s="1684">
        <v>0</v>
      </c>
      <c r="DP61" s="1684">
        <v>0</v>
      </c>
      <c r="DQ61" s="1326" t="s">
        <v>2810</v>
      </c>
      <c r="DR61" s="1684">
        <v>0</v>
      </c>
      <c r="DS61" s="1326" t="s">
        <v>2757</v>
      </c>
      <c r="DT61" s="1682"/>
      <c r="DU61" s="1326" t="s">
        <v>2785</v>
      </c>
      <c r="DV61" s="1686">
        <v>44012</v>
      </c>
    </row>
    <row r="62" spans="1:126" ht="56.25">
      <c r="A62" s="1326" t="s">
        <v>1743</v>
      </c>
      <c r="B62" s="1326" t="s">
        <v>1694</v>
      </c>
      <c r="C62" s="1326" t="s">
        <v>2551</v>
      </c>
      <c r="D62" s="1326" t="s">
        <v>2552</v>
      </c>
      <c r="E62" s="1326" t="s">
        <v>182</v>
      </c>
      <c r="F62" s="1326" t="s">
        <v>255</v>
      </c>
      <c r="G62" s="1326" t="s">
        <v>2555</v>
      </c>
      <c r="H62" s="1326" t="s">
        <v>2556</v>
      </c>
      <c r="I62" s="1326" t="s">
        <v>2541</v>
      </c>
      <c r="J62" s="1326" t="s">
        <v>1594</v>
      </c>
      <c r="K62" s="1685">
        <v>43189</v>
      </c>
      <c r="L62" s="1685">
        <v>43427</v>
      </c>
      <c r="M62" s="1326" t="s">
        <v>3393</v>
      </c>
      <c r="N62" s="1326" t="s">
        <v>2061</v>
      </c>
      <c r="O62" s="1326" t="s">
        <v>3832</v>
      </c>
      <c r="P62" s="1326" t="s">
        <v>2757</v>
      </c>
      <c r="Q62" s="1326" t="s">
        <v>1718</v>
      </c>
      <c r="R62" s="1326" t="s">
        <v>2757</v>
      </c>
      <c r="S62" s="1326" t="s">
        <v>2757</v>
      </c>
      <c r="T62" s="1326"/>
      <c r="U62" s="1326" t="s">
        <v>2758</v>
      </c>
      <c r="V62" s="1326" t="s">
        <v>2757</v>
      </c>
      <c r="W62" s="1326" t="s">
        <v>2757</v>
      </c>
      <c r="X62" s="1326"/>
      <c r="Y62" s="1326" t="s">
        <v>2757</v>
      </c>
      <c r="Z62" s="1326"/>
      <c r="AA62" s="1326"/>
      <c r="AB62" s="1326" t="s">
        <v>2757</v>
      </c>
      <c r="AC62" s="1326" t="s">
        <v>2757</v>
      </c>
      <c r="AD62" s="1326" t="s">
        <v>2757</v>
      </c>
      <c r="AE62" s="1326"/>
      <c r="AF62" s="1326" t="s">
        <v>2920</v>
      </c>
      <c r="AG62" s="1326" t="s">
        <v>2921</v>
      </c>
      <c r="AH62" s="1326" t="s">
        <v>2791</v>
      </c>
      <c r="AI62" s="1326" t="s">
        <v>2762</v>
      </c>
      <c r="AJ62" s="1326" t="s">
        <v>2763</v>
      </c>
      <c r="AK62" s="1326" t="s">
        <v>2907</v>
      </c>
      <c r="AL62" s="1326" t="s">
        <v>2922</v>
      </c>
      <c r="AM62" s="1683">
        <v>100</v>
      </c>
      <c r="AN62" s="1326"/>
      <c r="AO62" s="1326"/>
      <c r="AP62" s="1326"/>
      <c r="AQ62" s="1326"/>
      <c r="AR62" s="1326"/>
      <c r="AS62" s="1326"/>
      <c r="AT62" s="1326" t="s">
        <v>2867</v>
      </c>
      <c r="AU62" s="1326" t="s">
        <v>2766</v>
      </c>
      <c r="AV62" s="1326" t="s">
        <v>2856</v>
      </c>
      <c r="AW62" s="1326"/>
      <c r="AX62" s="1326" t="s">
        <v>2923</v>
      </c>
      <c r="AY62" s="1326" t="s">
        <v>2798</v>
      </c>
      <c r="AZ62" s="1326" t="s">
        <v>184</v>
      </c>
      <c r="BA62" s="1326" t="s">
        <v>2828</v>
      </c>
      <c r="BB62" s="1326" t="s">
        <v>2757</v>
      </c>
      <c r="BC62" s="1326" t="s">
        <v>2800</v>
      </c>
      <c r="BD62" s="1326" t="s">
        <v>2773</v>
      </c>
      <c r="BE62" s="1326" t="s">
        <v>3242</v>
      </c>
      <c r="BF62" s="1326" t="s">
        <v>2830</v>
      </c>
      <c r="BG62" s="1326" t="s">
        <v>2831</v>
      </c>
      <c r="BH62" s="1326" t="s">
        <v>2804</v>
      </c>
      <c r="BI62" s="1326" t="s">
        <v>2805</v>
      </c>
      <c r="BJ62" s="1326" t="s">
        <v>2832</v>
      </c>
      <c r="BK62" s="1326" t="s">
        <v>2867</v>
      </c>
      <c r="BL62" s="1326" t="s">
        <v>2757</v>
      </c>
      <c r="BM62" s="1326" t="s">
        <v>2757</v>
      </c>
      <c r="BN62" s="1683">
        <v>0</v>
      </c>
      <c r="BO62" s="1685">
        <v>43427</v>
      </c>
      <c r="BP62" s="1685">
        <v>43982</v>
      </c>
      <c r="BQ62" s="1326" t="s">
        <v>2779</v>
      </c>
      <c r="BR62" s="1685">
        <v>46387</v>
      </c>
      <c r="BS62" s="1326" t="s">
        <v>3833</v>
      </c>
      <c r="BT62" s="1326" t="s">
        <v>3834</v>
      </c>
      <c r="BU62" s="1683">
        <v>30</v>
      </c>
      <c r="BV62" s="1683">
        <v>59892.5</v>
      </c>
      <c r="BW62" s="1685">
        <v>44012</v>
      </c>
      <c r="BX62" s="1682"/>
      <c r="BY62" s="1326" t="s">
        <v>2052</v>
      </c>
      <c r="BZ62" s="1326" t="s">
        <v>2782</v>
      </c>
      <c r="CA62" s="1326" t="s">
        <v>2783</v>
      </c>
      <c r="CB62" s="1326" t="s">
        <v>2783</v>
      </c>
      <c r="CC62" s="1326" t="s">
        <v>2913</v>
      </c>
      <c r="CD62" s="1684">
        <v>345109.9</v>
      </c>
      <c r="CE62" s="1684">
        <v>234872.55</v>
      </c>
      <c r="CF62" s="1684">
        <v>199641.66</v>
      </c>
      <c r="CG62" s="1684">
        <v>85</v>
      </c>
      <c r="CH62" s="1684">
        <v>35230.89</v>
      </c>
      <c r="CI62" s="1684">
        <v>15</v>
      </c>
      <c r="CJ62" s="1684">
        <v>234872.55</v>
      </c>
      <c r="CK62" s="1684">
        <v>100</v>
      </c>
      <c r="CL62" s="1410" t="s">
        <v>2785</v>
      </c>
      <c r="CM62" s="1686">
        <v>43399</v>
      </c>
      <c r="CN62" s="1400"/>
      <c r="CO62" s="1326"/>
      <c r="CP62" s="1682"/>
      <c r="CQ62" s="1684">
        <v>199641.66</v>
      </c>
      <c r="CR62" s="1684">
        <v>199641.66</v>
      </c>
      <c r="CS62" s="1684">
        <v>0</v>
      </c>
      <c r="CT62" s="1326" t="s">
        <v>2785</v>
      </c>
      <c r="CU62" s="1686">
        <v>43412</v>
      </c>
      <c r="CV62" s="1684">
        <v>234872.55</v>
      </c>
      <c r="CW62" s="1684">
        <v>0</v>
      </c>
      <c r="CX62" s="1684">
        <v>0</v>
      </c>
      <c r="CY62" s="1684">
        <v>220271.74</v>
      </c>
      <c r="CZ62" s="1684">
        <v>12045.33</v>
      </c>
      <c r="DA62" s="1684">
        <v>0</v>
      </c>
      <c r="DB62" s="1684">
        <v>0</v>
      </c>
      <c r="DC62" s="1684">
        <v>2555.48</v>
      </c>
      <c r="DD62" s="1684">
        <v>234872.55</v>
      </c>
      <c r="DE62" s="1684">
        <v>199641.66</v>
      </c>
      <c r="DF62" s="1684">
        <v>199641.66</v>
      </c>
      <c r="DG62" s="1684">
        <v>0</v>
      </c>
      <c r="DH62" s="1684">
        <v>35230.89</v>
      </c>
      <c r="DI62" s="1684">
        <v>35230.89</v>
      </c>
      <c r="DJ62" s="1684">
        <v>0</v>
      </c>
      <c r="DK62" s="1684">
        <v>35230.89</v>
      </c>
      <c r="DL62" s="1684">
        <v>0</v>
      </c>
      <c r="DM62" s="1684">
        <v>0</v>
      </c>
      <c r="DN62" s="1684">
        <v>0</v>
      </c>
      <c r="DO62" s="1684">
        <v>0</v>
      </c>
      <c r="DP62" s="1684">
        <v>0</v>
      </c>
      <c r="DQ62" s="1326" t="s">
        <v>2810</v>
      </c>
      <c r="DR62" s="1684">
        <v>0</v>
      </c>
      <c r="DS62" s="1326" t="s">
        <v>2757</v>
      </c>
      <c r="DT62" s="1682"/>
      <c r="DU62" s="1326" t="s">
        <v>2785</v>
      </c>
      <c r="DV62" s="1686">
        <v>43982</v>
      </c>
    </row>
    <row r="63" spans="1:126" ht="56.25">
      <c r="A63" s="1326" t="s">
        <v>1744</v>
      </c>
      <c r="B63" s="1326" t="s">
        <v>1694</v>
      </c>
      <c r="C63" s="1326" t="s">
        <v>2551</v>
      </c>
      <c r="D63" s="1326" t="s">
        <v>2552</v>
      </c>
      <c r="E63" s="1326" t="s">
        <v>182</v>
      </c>
      <c r="F63" s="1326" t="s">
        <v>255</v>
      </c>
      <c r="G63" s="1326" t="s">
        <v>2555</v>
      </c>
      <c r="H63" s="1326" t="s">
        <v>2556</v>
      </c>
      <c r="I63" s="1326" t="s">
        <v>2541</v>
      </c>
      <c r="J63" s="1326" t="s">
        <v>1595</v>
      </c>
      <c r="K63" s="1685">
        <v>43214</v>
      </c>
      <c r="L63" s="1685">
        <v>43307</v>
      </c>
      <c r="M63" s="1326" t="s">
        <v>641</v>
      </c>
      <c r="N63" s="1326" t="s">
        <v>2061</v>
      </c>
      <c r="O63" s="1326" t="s">
        <v>2941</v>
      </c>
      <c r="P63" s="1326" t="s">
        <v>2757</v>
      </c>
      <c r="Q63" s="1326" t="s">
        <v>1721</v>
      </c>
      <c r="R63" s="1326" t="s">
        <v>2757</v>
      </c>
      <c r="S63" s="1326" t="s">
        <v>2757</v>
      </c>
      <c r="T63" s="1326"/>
      <c r="U63" s="1326" t="s">
        <v>2758</v>
      </c>
      <c r="V63" s="1326" t="s">
        <v>2757</v>
      </c>
      <c r="W63" s="1326" t="s">
        <v>2757</v>
      </c>
      <c r="X63" s="1326"/>
      <c r="Y63" s="1326" t="s">
        <v>2757</v>
      </c>
      <c r="Z63" s="1326"/>
      <c r="AA63" s="1326"/>
      <c r="AB63" s="1326" t="s">
        <v>2757</v>
      </c>
      <c r="AC63" s="1326" t="s">
        <v>2757</v>
      </c>
      <c r="AD63" s="1326" t="s">
        <v>2757</v>
      </c>
      <c r="AE63" s="1326"/>
      <c r="AF63" s="1326" t="s">
        <v>2920</v>
      </c>
      <c r="AG63" s="1326" t="s">
        <v>2921</v>
      </c>
      <c r="AH63" s="1326" t="s">
        <v>2791</v>
      </c>
      <c r="AI63" s="1326" t="s">
        <v>2762</v>
      </c>
      <c r="AJ63" s="1326" t="s">
        <v>2763</v>
      </c>
      <c r="AK63" s="1326" t="s">
        <v>2907</v>
      </c>
      <c r="AL63" s="1326" t="s">
        <v>2922</v>
      </c>
      <c r="AM63" s="1683">
        <v>100</v>
      </c>
      <c r="AN63" s="1326"/>
      <c r="AO63" s="1326"/>
      <c r="AP63" s="1326"/>
      <c r="AQ63" s="1326"/>
      <c r="AR63" s="1326"/>
      <c r="AS63" s="1326"/>
      <c r="AT63" s="1326" t="s">
        <v>2766</v>
      </c>
      <c r="AU63" s="1326" t="s">
        <v>2766</v>
      </c>
      <c r="AV63" s="1326" t="s">
        <v>2856</v>
      </c>
      <c r="AW63" s="1326"/>
      <c r="AX63" s="1326" t="s">
        <v>2923</v>
      </c>
      <c r="AY63" s="1326" t="s">
        <v>2798</v>
      </c>
      <c r="AZ63" s="1326" t="s">
        <v>282</v>
      </c>
      <c r="BA63" s="1326" t="s">
        <v>2820</v>
      </c>
      <c r="BB63" s="1326" t="s">
        <v>2757</v>
      </c>
      <c r="BC63" s="1326" t="s">
        <v>2800</v>
      </c>
      <c r="BD63" s="1326" t="s">
        <v>2773</v>
      </c>
      <c r="BE63" s="1326" t="s">
        <v>2942</v>
      </c>
      <c r="BF63" s="1326" t="s">
        <v>2943</v>
      </c>
      <c r="BG63" s="1326" t="s">
        <v>2944</v>
      </c>
      <c r="BH63" s="1326" t="s">
        <v>2804</v>
      </c>
      <c r="BI63" s="1326" t="s">
        <v>2805</v>
      </c>
      <c r="BJ63" s="1326" t="s">
        <v>2824</v>
      </c>
      <c r="BK63" s="1326" t="s">
        <v>2766</v>
      </c>
      <c r="BL63" s="1326" t="s">
        <v>2757</v>
      </c>
      <c r="BM63" s="1326" t="s">
        <v>2757</v>
      </c>
      <c r="BN63" s="1683">
        <v>0</v>
      </c>
      <c r="BO63" s="1685">
        <v>42515</v>
      </c>
      <c r="BP63" s="1685">
        <v>43951</v>
      </c>
      <c r="BQ63" s="1326" t="s">
        <v>2779</v>
      </c>
      <c r="BR63" s="1685">
        <v>46387</v>
      </c>
      <c r="BS63" s="1326" t="s">
        <v>2807</v>
      </c>
      <c r="BT63" s="1326" t="s">
        <v>2945</v>
      </c>
      <c r="BU63" s="1683">
        <v>30</v>
      </c>
      <c r="BV63" s="1683">
        <v>52174.42</v>
      </c>
      <c r="BW63" s="1685">
        <v>43981</v>
      </c>
      <c r="BX63" s="1682"/>
      <c r="BY63" s="1326" t="s">
        <v>2052</v>
      </c>
      <c r="BZ63" s="1326" t="s">
        <v>2782</v>
      </c>
      <c r="CA63" s="1326" t="s">
        <v>2783</v>
      </c>
      <c r="CB63" s="1326" t="s">
        <v>2783</v>
      </c>
      <c r="CC63" s="1326" t="s">
        <v>2913</v>
      </c>
      <c r="CD63" s="1684">
        <v>204605.56</v>
      </c>
      <c r="CE63" s="1684">
        <v>204605.56</v>
      </c>
      <c r="CF63" s="1684">
        <v>173914.72</v>
      </c>
      <c r="CG63" s="1684">
        <v>85</v>
      </c>
      <c r="CH63" s="1684">
        <v>30690.84</v>
      </c>
      <c r="CI63" s="1684">
        <v>15</v>
      </c>
      <c r="CJ63" s="1684">
        <v>204605.56</v>
      </c>
      <c r="CK63" s="1684">
        <v>100</v>
      </c>
      <c r="CL63" s="1410" t="s">
        <v>2785</v>
      </c>
      <c r="CM63" s="1686">
        <v>43272</v>
      </c>
      <c r="CN63" s="1400"/>
      <c r="CO63" s="1326"/>
      <c r="CP63" s="1682"/>
      <c r="CQ63" s="1684">
        <v>173914.72</v>
      </c>
      <c r="CR63" s="1684">
        <v>173914.72</v>
      </c>
      <c r="CS63" s="1684">
        <v>0</v>
      </c>
      <c r="CT63" s="1326" t="s">
        <v>2785</v>
      </c>
      <c r="CU63" s="1686">
        <v>43286</v>
      </c>
      <c r="CV63" s="1684">
        <v>204605.56</v>
      </c>
      <c r="CW63" s="1684">
        <v>0</v>
      </c>
      <c r="CX63" s="1684">
        <v>0</v>
      </c>
      <c r="CY63" s="1684">
        <v>137780.31</v>
      </c>
      <c r="CZ63" s="1684">
        <v>59399.08</v>
      </c>
      <c r="DA63" s="1684">
        <v>5000</v>
      </c>
      <c r="DB63" s="1684">
        <v>200</v>
      </c>
      <c r="DC63" s="1684">
        <v>2226.17</v>
      </c>
      <c r="DD63" s="1684">
        <v>204605.56</v>
      </c>
      <c r="DE63" s="1684">
        <v>173914.72</v>
      </c>
      <c r="DF63" s="1684">
        <v>173914.72</v>
      </c>
      <c r="DG63" s="1684">
        <v>0</v>
      </c>
      <c r="DH63" s="1684">
        <v>30690.84</v>
      </c>
      <c r="DI63" s="1684">
        <v>30690.84</v>
      </c>
      <c r="DJ63" s="1684">
        <v>0</v>
      </c>
      <c r="DK63" s="1684">
        <v>30690.84</v>
      </c>
      <c r="DL63" s="1684">
        <v>0</v>
      </c>
      <c r="DM63" s="1684">
        <v>0</v>
      </c>
      <c r="DN63" s="1684">
        <v>0</v>
      </c>
      <c r="DO63" s="1684">
        <v>0</v>
      </c>
      <c r="DP63" s="1684">
        <v>0</v>
      </c>
      <c r="DQ63" s="1326" t="s">
        <v>2810</v>
      </c>
      <c r="DR63" s="1684">
        <v>0</v>
      </c>
      <c r="DS63" s="1326" t="s">
        <v>2785</v>
      </c>
      <c r="DT63" s="1682" t="s">
        <v>2946</v>
      </c>
      <c r="DU63" s="1326" t="s">
        <v>2785</v>
      </c>
      <c r="DV63" s="1686">
        <v>43951</v>
      </c>
    </row>
    <row r="64" spans="1:126">
      <c r="A64" s="1326" t="s">
        <v>1745</v>
      </c>
      <c r="B64" s="1326" t="s">
        <v>1694</v>
      </c>
      <c r="C64" s="1326" t="s">
        <v>2557</v>
      </c>
      <c r="D64" s="1326"/>
      <c r="E64" s="1326"/>
      <c r="F64" s="1326"/>
      <c r="G64" s="1326"/>
      <c r="H64" s="1326"/>
      <c r="I64" s="1326"/>
      <c r="J64" s="1326"/>
      <c r="K64" s="1682"/>
      <c r="L64" s="1682"/>
      <c r="M64" s="1326"/>
      <c r="N64" s="1326"/>
      <c r="O64" s="1326"/>
      <c r="P64" s="1326"/>
      <c r="Q64" s="1326"/>
      <c r="R64" s="1326"/>
      <c r="S64" s="1326"/>
      <c r="T64" s="1326"/>
      <c r="U64" s="1326"/>
      <c r="V64" s="1326"/>
      <c r="W64" s="1326"/>
      <c r="X64" s="1326"/>
      <c r="Y64" s="1326"/>
      <c r="Z64" s="1326"/>
      <c r="AA64" s="1326"/>
      <c r="AB64" s="1326"/>
      <c r="AC64" s="1326"/>
      <c r="AD64" s="1326"/>
      <c r="AE64" s="1326"/>
      <c r="AF64" s="1326"/>
      <c r="AG64" s="1326"/>
      <c r="AH64" s="1326"/>
      <c r="AI64" s="1326"/>
      <c r="AJ64" s="1326"/>
      <c r="AK64" s="1326"/>
      <c r="AL64" s="1326"/>
      <c r="AM64" s="1400"/>
      <c r="AN64" s="1326"/>
      <c r="AO64" s="1326"/>
      <c r="AP64" s="1326"/>
      <c r="AQ64" s="1326"/>
      <c r="AR64" s="1326"/>
      <c r="AS64" s="1326"/>
      <c r="AT64" s="1326"/>
      <c r="AU64" s="1326"/>
      <c r="AV64" s="1326"/>
      <c r="AW64" s="1326"/>
      <c r="AX64" s="1326"/>
      <c r="AY64" s="1326"/>
      <c r="AZ64" s="1326"/>
      <c r="BA64" s="1326"/>
      <c r="BB64" s="1326"/>
      <c r="BC64" s="1326"/>
      <c r="BD64" s="1326"/>
      <c r="BE64" s="1326"/>
      <c r="BF64" s="1326"/>
      <c r="BG64" s="1326"/>
      <c r="BH64" s="1326"/>
      <c r="BI64" s="1326"/>
      <c r="BJ64" s="1326"/>
      <c r="BK64" s="1326"/>
      <c r="BL64" s="1326"/>
      <c r="BM64" s="1326"/>
      <c r="BN64" s="1400"/>
      <c r="BO64" s="1682"/>
      <c r="BP64" s="1682"/>
      <c r="BQ64" s="1326"/>
      <c r="BR64" s="1682"/>
      <c r="BS64" s="1326"/>
      <c r="BT64" s="1326"/>
      <c r="BU64" s="1400"/>
      <c r="BV64" s="1683">
        <v>317109.34999999998</v>
      </c>
      <c r="BW64" s="1682"/>
      <c r="BX64" s="1682"/>
      <c r="BY64" s="1326"/>
      <c r="BZ64" s="1326"/>
      <c r="CA64" s="1326"/>
      <c r="CB64" s="1326"/>
      <c r="CC64" s="1326"/>
      <c r="CD64" s="1684">
        <v>1256408.8400000001</v>
      </c>
      <c r="CE64" s="1684">
        <v>1256408.8400000001</v>
      </c>
      <c r="CF64" s="1684">
        <v>1067947.48</v>
      </c>
      <c r="CG64" s="1684">
        <v>85</v>
      </c>
      <c r="CH64" s="1684">
        <v>188461.36</v>
      </c>
      <c r="CI64" s="1684">
        <v>15</v>
      </c>
      <c r="CJ64" s="1684">
        <v>1256408.8400000001</v>
      </c>
      <c r="CK64" s="1684">
        <v>100</v>
      </c>
      <c r="CL64" s="1410"/>
      <c r="CM64" s="1682"/>
      <c r="CN64" s="1400"/>
      <c r="CO64" s="1326"/>
      <c r="CP64" s="1682"/>
      <c r="CQ64" s="1684">
        <v>1067947.28</v>
      </c>
      <c r="CR64" s="1684">
        <v>1067947.28</v>
      </c>
      <c r="CS64" s="1684">
        <v>0</v>
      </c>
      <c r="CT64" s="1326"/>
      <c r="CU64" s="1682"/>
      <c r="CV64" s="1684">
        <v>1243566.0800000001</v>
      </c>
      <c r="CW64" s="1684">
        <v>620</v>
      </c>
      <c r="CX64" s="1684">
        <v>0</v>
      </c>
      <c r="CY64" s="1684">
        <v>1137764.94</v>
      </c>
      <c r="CZ64" s="1684">
        <v>85885</v>
      </c>
      <c r="DA64" s="1684">
        <v>7550.4</v>
      </c>
      <c r="DB64" s="1684">
        <v>0</v>
      </c>
      <c r="DC64" s="1684">
        <v>11745.74</v>
      </c>
      <c r="DD64" s="1684">
        <v>1243566.0800000001</v>
      </c>
      <c r="DE64" s="1684">
        <v>1057031.1299999999</v>
      </c>
      <c r="DF64" s="1684">
        <v>1057031.1299999999</v>
      </c>
      <c r="DG64" s="1684">
        <v>0</v>
      </c>
      <c r="DH64" s="1684">
        <v>186534.95</v>
      </c>
      <c r="DI64" s="1684">
        <v>186534.95</v>
      </c>
      <c r="DJ64" s="1684">
        <v>0</v>
      </c>
      <c r="DK64" s="1684">
        <v>186534.95</v>
      </c>
      <c r="DL64" s="1684">
        <v>0</v>
      </c>
      <c r="DM64" s="1684">
        <v>0</v>
      </c>
      <c r="DN64" s="1684">
        <v>0</v>
      </c>
      <c r="DO64" s="1684">
        <v>0</v>
      </c>
      <c r="DP64" s="1684">
        <v>0</v>
      </c>
      <c r="DQ64" s="1326"/>
      <c r="DR64" s="1400"/>
      <c r="DS64" s="1326"/>
      <c r="DT64" s="1682"/>
      <c r="DU64" s="1326"/>
      <c r="DV64" s="1682"/>
    </row>
    <row r="65" spans="1:126">
      <c r="A65" s="1326" t="s">
        <v>1746</v>
      </c>
      <c r="B65" s="1326" t="s">
        <v>1694</v>
      </c>
      <c r="C65" s="1326" t="s">
        <v>2557</v>
      </c>
      <c r="D65" s="1326" t="s">
        <v>2558</v>
      </c>
      <c r="E65" s="1326"/>
      <c r="F65" s="1326"/>
      <c r="G65" s="1326"/>
      <c r="H65" s="1326"/>
      <c r="I65" s="1326"/>
      <c r="J65" s="1326"/>
      <c r="K65" s="1682"/>
      <c r="L65" s="1682"/>
      <c r="M65" s="1326"/>
      <c r="N65" s="1326"/>
      <c r="O65" s="1326"/>
      <c r="P65" s="1326"/>
      <c r="Q65" s="1326"/>
      <c r="R65" s="1326"/>
      <c r="S65" s="1326"/>
      <c r="T65" s="1326"/>
      <c r="U65" s="1326"/>
      <c r="V65" s="1326"/>
      <c r="W65" s="1326"/>
      <c r="X65" s="1326"/>
      <c r="Y65" s="1326"/>
      <c r="Z65" s="1326"/>
      <c r="AA65" s="1326"/>
      <c r="AB65" s="1326"/>
      <c r="AC65" s="1326"/>
      <c r="AD65" s="1326"/>
      <c r="AE65" s="1326"/>
      <c r="AF65" s="1326"/>
      <c r="AG65" s="1326"/>
      <c r="AH65" s="1326"/>
      <c r="AI65" s="1326"/>
      <c r="AJ65" s="1326"/>
      <c r="AK65" s="1326"/>
      <c r="AL65" s="1326"/>
      <c r="AM65" s="1400"/>
      <c r="AN65" s="1326"/>
      <c r="AO65" s="1326"/>
      <c r="AP65" s="1326"/>
      <c r="AQ65" s="1326"/>
      <c r="AR65" s="1326"/>
      <c r="AS65" s="1326"/>
      <c r="AT65" s="1326"/>
      <c r="AU65" s="1326"/>
      <c r="AV65" s="1326"/>
      <c r="AW65" s="1326"/>
      <c r="AX65" s="1326"/>
      <c r="AY65" s="1326"/>
      <c r="AZ65" s="1326"/>
      <c r="BA65" s="1326"/>
      <c r="BB65" s="1326"/>
      <c r="BC65" s="1326"/>
      <c r="BD65" s="1326"/>
      <c r="BE65" s="1326"/>
      <c r="BF65" s="1326"/>
      <c r="BG65" s="1326"/>
      <c r="BH65" s="1326"/>
      <c r="BI65" s="1326"/>
      <c r="BJ65" s="1326"/>
      <c r="BK65" s="1326"/>
      <c r="BL65" s="1326"/>
      <c r="BM65" s="1326"/>
      <c r="BN65" s="1400"/>
      <c r="BO65" s="1682"/>
      <c r="BP65" s="1682"/>
      <c r="BQ65" s="1326"/>
      <c r="BR65" s="1682"/>
      <c r="BS65" s="1326"/>
      <c r="BT65" s="1326"/>
      <c r="BU65" s="1400"/>
      <c r="BV65" s="1683">
        <v>317109.34999999998</v>
      </c>
      <c r="BW65" s="1682"/>
      <c r="BX65" s="1682"/>
      <c r="BY65" s="1326"/>
      <c r="BZ65" s="1326"/>
      <c r="CA65" s="1326"/>
      <c r="CB65" s="1326"/>
      <c r="CC65" s="1326"/>
      <c r="CD65" s="1684">
        <v>1256408.8400000001</v>
      </c>
      <c r="CE65" s="1684">
        <v>1256408.8400000001</v>
      </c>
      <c r="CF65" s="1684">
        <v>1067947.48</v>
      </c>
      <c r="CG65" s="1684">
        <v>85</v>
      </c>
      <c r="CH65" s="1684">
        <v>188461.36</v>
      </c>
      <c r="CI65" s="1684">
        <v>15</v>
      </c>
      <c r="CJ65" s="1684">
        <v>1256408.8400000001</v>
      </c>
      <c r="CK65" s="1684">
        <v>100</v>
      </c>
      <c r="CL65" s="1410"/>
      <c r="CM65" s="1682"/>
      <c r="CN65" s="1400"/>
      <c r="CO65" s="1326"/>
      <c r="CP65" s="1682"/>
      <c r="CQ65" s="1684">
        <v>1067947.28</v>
      </c>
      <c r="CR65" s="1684">
        <v>1067947.28</v>
      </c>
      <c r="CS65" s="1684">
        <v>0</v>
      </c>
      <c r="CT65" s="1326"/>
      <c r="CU65" s="1682"/>
      <c r="CV65" s="1684">
        <v>1243566.0800000001</v>
      </c>
      <c r="CW65" s="1684">
        <v>620</v>
      </c>
      <c r="CX65" s="1684">
        <v>0</v>
      </c>
      <c r="CY65" s="1684">
        <v>1137764.94</v>
      </c>
      <c r="CZ65" s="1684">
        <v>85885</v>
      </c>
      <c r="DA65" s="1684">
        <v>7550.4</v>
      </c>
      <c r="DB65" s="1684">
        <v>0</v>
      </c>
      <c r="DC65" s="1684">
        <v>11745.74</v>
      </c>
      <c r="DD65" s="1684">
        <v>1243566.0800000001</v>
      </c>
      <c r="DE65" s="1684">
        <v>1057031.1299999999</v>
      </c>
      <c r="DF65" s="1684">
        <v>1057031.1299999999</v>
      </c>
      <c r="DG65" s="1684">
        <v>0</v>
      </c>
      <c r="DH65" s="1684">
        <v>186534.95</v>
      </c>
      <c r="DI65" s="1684">
        <v>186534.95</v>
      </c>
      <c r="DJ65" s="1684">
        <v>0</v>
      </c>
      <c r="DK65" s="1684">
        <v>186534.95</v>
      </c>
      <c r="DL65" s="1684">
        <v>0</v>
      </c>
      <c r="DM65" s="1684">
        <v>0</v>
      </c>
      <c r="DN65" s="1684">
        <v>0</v>
      </c>
      <c r="DO65" s="1684">
        <v>0</v>
      </c>
      <c r="DP65" s="1684">
        <v>0</v>
      </c>
      <c r="DQ65" s="1326"/>
      <c r="DR65" s="1400"/>
      <c r="DS65" s="1326"/>
      <c r="DT65" s="1682"/>
      <c r="DU65" s="1326"/>
      <c r="DV65" s="1682"/>
    </row>
    <row r="66" spans="1:126" ht="22.5">
      <c r="A66" s="1326" t="s">
        <v>1433</v>
      </c>
      <c r="B66" s="1326" t="s">
        <v>1694</v>
      </c>
      <c r="C66" s="1326" t="s">
        <v>2557</v>
      </c>
      <c r="D66" s="1326" t="s">
        <v>2558</v>
      </c>
      <c r="E66" s="1326" t="s">
        <v>192</v>
      </c>
      <c r="F66" s="1326" t="s">
        <v>2947</v>
      </c>
      <c r="G66" s="1326"/>
      <c r="H66" s="1326"/>
      <c r="I66" s="1326"/>
      <c r="J66" s="1326"/>
      <c r="K66" s="1682"/>
      <c r="L66" s="1682"/>
      <c r="M66" s="1326"/>
      <c r="N66" s="1326"/>
      <c r="O66" s="1326"/>
      <c r="P66" s="1326"/>
      <c r="Q66" s="1326"/>
      <c r="R66" s="1326"/>
      <c r="S66" s="1326"/>
      <c r="T66" s="1326"/>
      <c r="U66" s="1326"/>
      <c r="V66" s="1326"/>
      <c r="W66" s="1326"/>
      <c r="X66" s="1326"/>
      <c r="Y66" s="1326"/>
      <c r="Z66" s="1326"/>
      <c r="AA66" s="1326"/>
      <c r="AB66" s="1326"/>
      <c r="AC66" s="1326"/>
      <c r="AD66" s="1326"/>
      <c r="AE66" s="1326"/>
      <c r="AF66" s="1326"/>
      <c r="AG66" s="1326"/>
      <c r="AH66" s="1326"/>
      <c r="AI66" s="1326"/>
      <c r="AJ66" s="1326"/>
      <c r="AK66" s="1326"/>
      <c r="AL66" s="1326"/>
      <c r="AM66" s="1400"/>
      <c r="AN66" s="1326"/>
      <c r="AO66" s="1326"/>
      <c r="AP66" s="1326"/>
      <c r="AQ66" s="1326"/>
      <c r="AR66" s="1326"/>
      <c r="AS66" s="1326"/>
      <c r="AT66" s="1326"/>
      <c r="AU66" s="1326"/>
      <c r="AV66" s="1326"/>
      <c r="AW66" s="1326"/>
      <c r="AX66" s="1326"/>
      <c r="AY66" s="1326"/>
      <c r="AZ66" s="1326"/>
      <c r="BA66" s="1326"/>
      <c r="BB66" s="1326"/>
      <c r="BC66" s="1326"/>
      <c r="BD66" s="1326"/>
      <c r="BE66" s="1326"/>
      <c r="BF66" s="1326"/>
      <c r="BG66" s="1326"/>
      <c r="BH66" s="1326"/>
      <c r="BI66" s="1326"/>
      <c r="BJ66" s="1326"/>
      <c r="BK66" s="1326"/>
      <c r="BL66" s="1326"/>
      <c r="BM66" s="1326"/>
      <c r="BN66" s="1400"/>
      <c r="BO66" s="1682"/>
      <c r="BP66" s="1682"/>
      <c r="BQ66" s="1326"/>
      <c r="BR66" s="1682"/>
      <c r="BS66" s="1326"/>
      <c r="BT66" s="1326"/>
      <c r="BU66" s="1400"/>
      <c r="BV66" s="1683">
        <v>317109.34999999998</v>
      </c>
      <c r="BW66" s="1682"/>
      <c r="BX66" s="1682"/>
      <c r="BY66" s="1326"/>
      <c r="BZ66" s="1326"/>
      <c r="CA66" s="1326"/>
      <c r="CB66" s="1326"/>
      <c r="CC66" s="1326"/>
      <c r="CD66" s="1684">
        <v>1256408.8400000001</v>
      </c>
      <c r="CE66" s="1684">
        <v>1256408.8400000001</v>
      </c>
      <c r="CF66" s="1684">
        <v>1067947.48</v>
      </c>
      <c r="CG66" s="1684">
        <v>85</v>
      </c>
      <c r="CH66" s="1684">
        <v>188461.36</v>
      </c>
      <c r="CI66" s="1684">
        <v>15</v>
      </c>
      <c r="CJ66" s="1684">
        <v>1256408.8400000001</v>
      </c>
      <c r="CK66" s="1684">
        <v>100</v>
      </c>
      <c r="CL66" s="1410"/>
      <c r="CM66" s="1682"/>
      <c r="CN66" s="1400"/>
      <c r="CO66" s="1326"/>
      <c r="CP66" s="1682"/>
      <c r="CQ66" s="1684">
        <v>1067947.28</v>
      </c>
      <c r="CR66" s="1684">
        <v>1067947.28</v>
      </c>
      <c r="CS66" s="1684">
        <v>0</v>
      </c>
      <c r="CT66" s="1326"/>
      <c r="CU66" s="1682"/>
      <c r="CV66" s="1684">
        <v>1243566.0800000001</v>
      </c>
      <c r="CW66" s="1684">
        <v>620</v>
      </c>
      <c r="CX66" s="1684">
        <v>0</v>
      </c>
      <c r="CY66" s="1684">
        <v>1137764.94</v>
      </c>
      <c r="CZ66" s="1684">
        <v>85885</v>
      </c>
      <c r="DA66" s="1684">
        <v>7550.4</v>
      </c>
      <c r="DB66" s="1684">
        <v>0</v>
      </c>
      <c r="DC66" s="1684">
        <v>11745.74</v>
      </c>
      <c r="DD66" s="1684">
        <v>1243566.0800000001</v>
      </c>
      <c r="DE66" s="1684">
        <v>1057031.1299999999</v>
      </c>
      <c r="DF66" s="1684">
        <v>1057031.1299999999</v>
      </c>
      <c r="DG66" s="1684">
        <v>0</v>
      </c>
      <c r="DH66" s="1684">
        <v>186534.95</v>
      </c>
      <c r="DI66" s="1684">
        <v>186534.95</v>
      </c>
      <c r="DJ66" s="1684">
        <v>0</v>
      </c>
      <c r="DK66" s="1684">
        <v>186534.95</v>
      </c>
      <c r="DL66" s="1684">
        <v>0</v>
      </c>
      <c r="DM66" s="1684">
        <v>0</v>
      </c>
      <c r="DN66" s="1684">
        <v>0</v>
      </c>
      <c r="DO66" s="1684">
        <v>0</v>
      </c>
      <c r="DP66" s="1684">
        <v>0</v>
      </c>
      <c r="DQ66" s="1326"/>
      <c r="DR66" s="1400"/>
      <c r="DS66" s="1326"/>
      <c r="DT66" s="1682"/>
      <c r="DU66" s="1326"/>
      <c r="DV66" s="1682"/>
    </row>
    <row r="67" spans="1:126" ht="56.25">
      <c r="A67" s="1326" t="s">
        <v>1747</v>
      </c>
      <c r="B67" s="1326" t="s">
        <v>1694</v>
      </c>
      <c r="C67" s="1326" t="s">
        <v>2557</v>
      </c>
      <c r="D67" s="1326" t="s">
        <v>2558</v>
      </c>
      <c r="E67" s="1326" t="s">
        <v>192</v>
      </c>
      <c r="F67" s="1326" t="s">
        <v>2947</v>
      </c>
      <c r="G67" s="1326" t="s">
        <v>2544</v>
      </c>
      <c r="H67" s="1326" t="s">
        <v>2545</v>
      </c>
      <c r="I67" s="1326" t="s">
        <v>2546</v>
      </c>
      <c r="J67" s="1326" t="s">
        <v>730</v>
      </c>
      <c r="K67" s="1685">
        <v>42769</v>
      </c>
      <c r="L67" s="1685">
        <v>43003</v>
      </c>
      <c r="M67" s="1326" t="s">
        <v>191</v>
      </c>
      <c r="N67" s="1326" t="s">
        <v>2137</v>
      </c>
      <c r="O67" s="1326" t="s">
        <v>2948</v>
      </c>
      <c r="P67" s="1326" t="s">
        <v>2757</v>
      </c>
      <c r="Q67" s="1326" t="s">
        <v>1709</v>
      </c>
      <c r="R67" s="1326" t="s">
        <v>2757</v>
      </c>
      <c r="S67" s="1326" t="s">
        <v>2757</v>
      </c>
      <c r="T67" s="1326"/>
      <c r="U67" s="1326" t="s">
        <v>2758</v>
      </c>
      <c r="V67" s="1326" t="s">
        <v>2757</v>
      </c>
      <c r="W67" s="1326" t="s">
        <v>2757</v>
      </c>
      <c r="X67" s="1326"/>
      <c r="Y67" s="1326" t="s">
        <v>2757</v>
      </c>
      <c r="Z67" s="1326"/>
      <c r="AA67" s="1326"/>
      <c r="AB67" s="1326" t="s">
        <v>2757</v>
      </c>
      <c r="AC67" s="1326" t="s">
        <v>2757</v>
      </c>
      <c r="AD67" s="1326" t="s">
        <v>2757</v>
      </c>
      <c r="AE67" s="1326"/>
      <c r="AF67" s="1326" t="s">
        <v>2949</v>
      </c>
      <c r="AG67" s="1326" t="s">
        <v>2950</v>
      </c>
      <c r="AH67" s="1326" t="s">
        <v>2951</v>
      </c>
      <c r="AI67" s="1326" t="s">
        <v>2762</v>
      </c>
      <c r="AJ67" s="1326" t="s">
        <v>2763</v>
      </c>
      <c r="AK67" s="1326" t="s">
        <v>2907</v>
      </c>
      <c r="AL67" s="1326" t="s">
        <v>2952</v>
      </c>
      <c r="AM67" s="1683">
        <v>100</v>
      </c>
      <c r="AN67" s="1326"/>
      <c r="AO67" s="1326"/>
      <c r="AP67" s="1326"/>
      <c r="AQ67" s="1326"/>
      <c r="AR67" s="1326"/>
      <c r="AS67" s="1326"/>
      <c r="AT67" s="1326" t="s">
        <v>2867</v>
      </c>
      <c r="AU67" s="1326" t="s">
        <v>2766</v>
      </c>
      <c r="AV67" s="1326" t="s">
        <v>2856</v>
      </c>
      <c r="AW67" s="1326"/>
      <c r="AX67" s="1326" t="s">
        <v>2953</v>
      </c>
      <c r="AY67" s="1326" t="s">
        <v>2798</v>
      </c>
      <c r="AZ67" s="1326" t="s">
        <v>184</v>
      </c>
      <c r="BA67" s="1326" t="s">
        <v>2828</v>
      </c>
      <c r="BB67" s="1326" t="s">
        <v>2757</v>
      </c>
      <c r="BC67" s="1326" t="s">
        <v>2800</v>
      </c>
      <c r="BD67" s="1326" t="s">
        <v>2773</v>
      </c>
      <c r="BE67" s="1326" t="s">
        <v>2954</v>
      </c>
      <c r="BF67" s="1326" t="s">
        <v>2830</v>
      </c>
      <c r="BG67" s="1326" t="s">
        <v>2831</v>
      </c>
      <c r="BH67" s="1326" t="s">
        <v>2804</v>
      </c>
      <c r="BI67" s="1326" t="s">
        <v>2805</v>
      </c>
      <c r="BJ67" s="1326" t="s">
        <v>2832</v>
      </c>
      <c r="BK67" s="1326" t="s">
        <v>2867</v>
      </c>
      <c r="BL67" s="1326" t="s">
        <v>2757</v>
      </c>
      <c r="BM67" s="1326" t="s">
        <v>2757</v>
      </c>
      <c r="BN67" s="1683">
        <v>0</v>
      </c>
      <c r="BO67" s="1685">
        <v>42971</v>
      </c>
      <c r="BP67" s="1685">
        <v>43373</v>
      </c>
      <c r="BQ67" s="1326" t="s">
        <v>2955</v>
      </c>
      <c r="BR67" s="1685">
        <v>45350</v>
      </c>
      <c r="BS67" s="1326" t="s">
        <v>2956</v>
      </c>
      <c r="BT67" s="1326" t="s">
        <v>2957</v>
      </c>
      <c r="BU67" s="1683">
        <v>30</v>
      </c>
      <c r="BV67" s="1683">
        <v>25950.240000000002</v>
      </c>
      <c r="BW67" s="1685">
        <v>43403</v>
      </c>
      <c r="BX67" s="1685">
        <v>43452</v>
      </c>
      <c r="BY67" s="1326" t="s">
        <v>2052</v>
      </c>
      <c r="BZ67" s="1326" t="s">
        <v>2782</v>
      </c>
      <c r="CA67" s="1326" t="s">
        <v>2783</v>
      </c>
      <c r="CB67" s="1326" t="s">
        <v>2783</v>
      </c>
      <c r="CC67" s="1326" t="s">
        <v>2913</v>
      </c>
      <c r="CD67" s="1684">
        <v>101765.7</v>
      </c>
      <c r="CE67" s="1684">
        <v>101765.7</v>
      </c>
      <c r="CF67" s="1684">
        <v>86500.800000000003</v>
      </c>
      <c r="CG67" s="1684">
        <v>85</v>
      </c>
      <c r="CH67" s="1684">
        <v>15264.9</v>
      </c>
      <c r="CI67" s="1684">
        <v>15</v>
      </c>
      <c r="CJ67" s="1684">
        <v>101765.7</v>
      </c>
      <c r="CK67" s="1684">
        <v>100</v>
      </c>
      <c r="CL67" s="1410" t="s">
        <v>2785</v>
      </c>
      <c r="CM67" s="1686">
        <v>42950</v>
      </c>
      <c r="CN67" s="1400"/>
      <c r="CO67" s="1326"/>
      <c r="CP67" s="1682"/>
      <c r="CQ67" s="1684">
        <v>86500.6</v>
      </c>
      <c r="CR67" s="1684">
        <v>86500.6</v>
      </c>
      <c r="CS67" s="1684">
        <v>0</v>
      </c>
      <c r="CT67" s="1326" t="s">
        <v>2785</v>
      </c>
      <c r="CU67" s="1686">
        <v>42970</v>
      </c>
      <c r="CV67" s="1684">
        <v>101765.7</v>
      </c>
      <c r="CW67" s="1684">
        <v>0</v>
      </c>
      <c r="CX67" s="1684">
        <v>0</v>
      </c>
      <c r="CY67" s="1684">
        <v>100430</v>
      </c>
      <c r="CZ67" s="1684">
        <v>0</v>
      </c>
      <c r="DA67" s="1684">
        <v>0</v>
      </c>
      <c r="DB67" s="1684">
        <v>0</v>
      </c>
      <c r="DC67" s="1684">
        <v>1335.7</v>
      </c>
      <c r="DD67" s="1684">
        <v>101765.7</v>
      </c>
      <c r="DE67" s="1684">
        <v>86500.800000000003</v>
      </c>
      <c r="DF67" s="1684">
        <v>86500.800000000003</v>
      </c>
      <c r="DG67" s="1684">
        <v>0</v>
      </c>
      <c r="DH67" s="1684">
        <v>15264.9</v>
      </c>
      <c r="DI67" s="1684">
        <v>15264.9</v>
      </c>
      <c r="DJ67" s="1684">
        <v>0</v>
      </c>
      <c r="DK67" s="1684">
        <v>15264.9</v>
      </c>
      <c r="DL67" s="1684">
        <v>0</v>
      </c>
      <c r="DM67" s="1684">
        <v>0</v>
      </c>
      <c r="DN67" s="1684">
        <v>0</v>
      </c>
      <c r="DO67" s="1684">
        <v>0</v>
      </c>
      <c r="DP67" s="1684">
        <v>0</v>
      </c>
      <c r="DQ67" s="1326" t="s">
        <v>2810</v>
      </c>
      <c r="DR67" s="1684">
        <v>0</v>
      </c>
      <c r="DS67" s="1326" t="s">
        <v>2757</v>
      </c>
      <c r="DT67" s="1682"/>
      <c r="DU67" s="1326" t="s">
        <v>2757</v>
      </c>
      <c r="DV67" s="1682"/>
    </row>
    <row r="68" spans="1:126" ht="78.75">
      <c r="A68" s="1326" t="s">
        <v>1748</v>
      </c>
      <c r="B68" s="1326" t="s">
        <v>1694</v>
      </c>
      <c r="C68" s="1326" t="s">
        <v>2557</v>
      </c>
      <c r="D68" s="1326" t="s">
        <v>2558</v>
      </c>
      <c r="E68" s="1326" t="s">
        <v>192</v>
      </c>
      <c r="F68" s="1326" t="s">
        <v>2947</v>
      </c>
      <c r="G68" s="1326" t="s">
        <v>2544</v>
      </c>
      <c r="H68" s="1326" t="s">
        <v>2545</v>
      </c>
      <c r="I68" s="1326" t="s">
        <v>2546</v>
      </c>
      <c r="J68" s="1326" t="s">
        <v>731</v>
      </c>
      <c r="K68" s="1685">
        <v>42797</v>
      </c>
      <c r="L68" s="1685">
        <v>42901</v>
      </c>
      <c r="M68" s="1326" t="s">
        <v>305</v>
      </c>
      <c r="N68" s="1326" t="s">
        <v>2061</v>
      </c>
      <c r="O68" s="1326" t="s">
        <v>4303</v>
      </c>
      <c r="P68" s="1326" t="s">
        <v>2757</v>
      </c>
      <c r="Q68" s="1326" t="s">
        <v>1722</v>
      </c>
      <c r="R68" s="1326" t="s">
        <v>2757</v>
      </c>
      <c r="S68" s="1326" t="s">
        <v>2757</v>
      </c>
      <c r="T68" s="1326"/>
      <c r="U68" s="1326" t="s">
        <v>2758</v>
      </c>
      <c r="V68" s="1326" t="s">
        <v>2757</v>
      </c>
      <c r="W68" s="1326" t="s">
        <v>2757</v>
      </c>
      <c r="X68" s="1326"/>
      <c r="Y68" s="1326" t="s">
        <v>2757</v>
      </c>
      <c r="Z68" s="1326"/>
      <c r="AA68" s="1326"/>
      <c r="AB68" s="1326" t="s">
        <v>2757</v>
      </c>
      <c r="AC68" s="1326" t="s">
        <v>2757</v>
      </c>
      <c r="AD68" s="1326" t="s">
        <v>2757</v>
      </c>
      <c r="AE68" s="1326"/>
      <c r="AF68" s="1326" t="s">
        <v>2949</v>
      </c>
      <c r="AG68" s="1326" t="s">
        <v>2950</v>
      </c>
      <c r="AH68" s="1326" t="s">
        <v>2951</v>
      </c>
      <c r="AI68" s="1326" t="s">
        <v>2762</v>
      </c>
      <c r="AJ68" s="1326" t="s">
        <v>2763</v>
      </c>
      <c r="AK68" s="1326" t="s">
        <v>2907</v>
      </c>
      <c r="AL68" s="1326" t="s">
        <v>2952</v>
      </c>
      <c r="AM68" s="1683">
        <v>100</v>
      </c>
      <c r="AN68" s="1326"/>
      <c r="AO68" s="1326"/>
      <c r="AP68" s="1326"/>
      <c r="AQ68" s="1326"/>
      <c r="AR68" s="1326"/>
      <c r="AS68" s="1326"/>
      <c r="AT68" s="1326" t="s">
        <v>2867</v>
      </c>
      <c r="AU68" s="1326" t="s">
        <v>2766</v>
      </c>
      <c r="AV68" s="1326" t="s">
        <v>2856</v>
      </c>
      <c r="AW68" s="1326"/>
      <c r="AX68" s="1326" t="s">
        <v>2953</v>
      </c>
      <c r="AY68" s="1326" t="s">
        <v>2798</v>
      </c>
      <c r="AZ68" s="1326" t="s">
        <v>282</v>
      </c>
      <c r="BA68" s="1326" t="s">
        <v>2820</v>
      </c>
      <c r="BB68" s="1326" t="s">
        <v>2757</v>
      </c>
      <c r="BC68" s="1326" t="s">
        <v>2800</v>
      </c>
      <c r="BD68" s="1326" t="s">
        <v>2773</v>
      </c>
      <c r="BE68" s="1326" t="s">
        <v>2942</v>
      </c>
      <c r="BF68" s="1326" t="s">
        <v>2958</v>
      </c>
      <c r="BG68" s="1326" t="s">
        <v>2944</v>
      </c>
      <c r="BH68" s="1326" t="s">
        <v>2804</v>
      </c>
      <c r="BI68" s="1326" t="s">
        <v>2805</v>
      </c>
      <c r="BJ68" s="1326" t="s">
        <v>2824</v>
      </c>
      <c r="BK68" s="1326" t="s">
        <v>2867</v>
      </c>
      <c r="BL68" s="1326" t="s">
        <v>2757</v>
      </c>
      <c r="BM68" s="1326" t="s">
        <v>2757</v>
      </c>
      <c r="BN68" s="1683">
        <v>0</v>
      </c>
      <c r="BO68" s="1685">
        <v>42733</v>
      </c>
      <c r="BP68" s="1685">
        <v>43570</v>
      </c>
      <c r="BQ68" s="1326" t="s">
        <v>2779</v>
      </c>
      <c r="BR68" s="1685">
        <v>45716</v>
      </c>
      <c r="BS68" s="1326" t="s">
        <v>2959</v>
      </c>
      <c r="BT68" s="1326" t="s">
        <v>2960</v>
      </c>
      <c r="BU68" s="1683">
        <v>30</v>
      </c>
      <c r="BV68" s="1683">
        <v>75653.210000000006</v>
      </c>
      <c r="BW68" s="1685">
        <v>43600</v>
      </c>
      <c r="BX68" s="1682"/>
      <c r="BY68" s="1326" t="s">
        <v>2052</v>
      </c>
      <c r="BZ68" s="1326" t="s">
        <v>2782</v>
      </c>
      <c r="CA68" s="1326" t="s">
        <v>2783</v>
      </c>
      <c r="CB68" s="1326" t="s">
        <v>2783</v>
      </c>
      <c r="CC68" s="1326" t="s">
        <v>2809</v>
      </c>
      <c r="CD68" s="1684">
        <v>309522</v>
      </c>
      <c r="CE68" s="1684">
        <v>309522</v>
      </c>
      <c r="CF68" s="1684">
        <v>263093.7</v>
      </c>
      <c r="CG68" s="1684">
        <v>85</v>
      </c>
      <c r="CH68" s="1684">
        <v>46428.3</v>
      </c>
      <c r="CI68" s="1684">
        <v>15</v>
      </c>
      <c r="CJ68" s="1684">
        <v>309522</v>
      </c>
      <c r="CK68" s="1684">
        <v>100</v>
      </c>
      <c r="CL68" s="1410" t="s">
        <v>2785</v>
      </c>
      <c r="CM68" s="1686">
        <v>42852</v>
      </c>
      <c r="CN68" s="1400"/>
      <c r="CO68" s="1326"/>
      <c r="CP68" s="1682"/>
      <c r="CQ68" s="1684">
        <v>263093.7</v>
      </c>
      <c r="CR68" s="1684">
        <v>263093.7</v>
      </c>
      <c r="CS68" s="1684">
        <v>0</v>
      </c>
      <c r="CT68" s="1326" t="s">
        <v>2785</v>
      </c>
      <c r="CU68" s="1686">
        <v>42870</v>
      </c>
      <c r="CV68" s="1684">
        <v>296679.24</v>
      </c>
      <c r="CW68" s="1684">
        <v>0</v>
      </c>
      <c r="CX68" s="1684">
        <v>0</v>
      </c>
      <c r="CY68" s="1684">
        <v>293712.74</v>
      </c>
      <c r="CZ68" s="1684">
        <v>0</v>
      </c>
      <c r="DA68" s="1684">
        <v>0</v>
      </c>
      <c r="DB68" s="1684">
        <v>0</v>
      </c>
      <c r="DC68" s="1684">
        <v>2966.5</v>
      </c>
      <c r="DD68" s="1684">
        <v>296679.24</v>
      </c>
      <c r="DE68" s="1684">
        <v>252177.35</v>
      </c>
      <c r="DF68" s="1684">
        <v>252177.35</v>
      </c>
      <c r="DG68" s="1684">
        <v>0</v>
      </c>
      <c r="DH68" s="1684">
        <v>44501.89</v>
      </c>
      <c r="DI68" s="1684">
        <v>44501.89</v>
      </c>
      <c r="DJ68" s="1684">
        <v>0</v>
      </c>
      <c r="DK68" s="1684">
        <v>44501.89</v>
      </c>
      <c r="DL68" s="1684">
        <v>0</v>
      </c>
      <c r="DM68" s="1684">
        <v>0</v>
      </c>
      <c r="DN68" s="1684">
        <v>0</v>
      </c>
      <c r="DO68" s="1684">
        <v>0</v>
      </c>
      <c r="DP68" s="1684">
        <v>0</v>
      </c>
      <c r="DQ68" s="1326" t="s">
        <v>2810</v>
      </c>
      <c r="DR68" s="1684">
        <v>0</v>
      </c>
      <c r="DS68" s="1326" t="s">
        <v>2757</v>
      </c>
      <c r="DT68" s="1682"/>
      <c r="DU68" s="1326" t="s">
        <v>2757</v>
      </c>
      <c r="DV68" s="1682"/>
    </row>
    <row r="69" spans="1:126" ht="101.25">
      <c r="A69" s="1326" t="s">
        <v>1749</v>
      </c>
      <c r="B69" s="1326" t="s">
        <v>1694</v>
      </c>
      <c r="C69" s="1326" t="s">
        <v>2557</v>
      </c>
      <c r="D69" s="1326" t="s">
        <v>2558</v>
      </c>
      <c r="E69" s="1326" t="s">
        <v>192</v>
      </c>
      <c r="F69" s="1326" t="s">
        <v>2947</v>
      </c>
      <c r="G69" s="1326" t="s">
        <v>2544</v>
      </c>
      <c r="H69" s="1326" t="s">
        <v>2545</v>
      </c>
      <c r="I69" s="1326" t="s">
        <v>2546</v>
      </c>
      <c r="J69" s="1326" t="s">
        <v>732</v>
      </c>
      <c r="K69" s="1685">
        <v>42825</v>
      </c>
      <c r="L69" s="1685">
        <v>42935</v>
      </c>
      <c r="M69" s="1326" t="s">
        <v>290</v>
      </c>
      <c r="N69" s="1326" t="s">
        <v>2061</v>
      </c>
      <c r="O69" s="1326" t="s">
        <v>2961</v>
      </c>
      <c r="P69" s="1326" t="s">
        <v>2757</v>
      </c>
      <c r="Q69" s="1326" t="s">
        <v>1729</v>
      </c>
      <c r="R69" s="1326" t="s">
        <v>2757</v>
      </c>
      <c r="S69" s="1326" t="s">
        <v>2757</v>
      </c>
      <c r="T69" s="1326"/>
      <c r="U69" s="1326" t="s">
        <v>2758</v>
      </c>
      <c r="V69" s="1326" t="s">
        <v>2757</v>
      </c>
      <c r="W69" s="1326" t="s">
        <v>2757</v>
      </c>
      <c r="X69" s="1326"/>
      <c r="Y69" s="1326" t="s">
        <v>2757</v>
      </c>
      <c r="Z69" s="1326"/>
      <c r="AA69" s="1326"/>
      <c r="AB69" s="1326" t="s">
        <v>2757</v>
      </c>
      <c r="AC69" s="1326" t="s">
        <v>2757</v>
      </c>
      <c r="AD69" s="1326" t="s">
        <v>2757</v>
      </c>
      <c r="AE69" s="1326"/>
      <c r="AF69" s="1326" t="s">
        <v>2949</v>
      </c>
      <c r="AG69" s="1326" t="s">
        <v>2950</v>
      </c>
      <c r="AH69" s="1326" t="s">
        <v>2951</v>
      </c>
      <c r="AI69" s="1326" t="s">
        <v>2762</v>
      </c>
      <c r="AJ69" s="1326" t="s">
        <v>2763</v>
      </c>
      <c r="AK69" s="1326" t="s">
        <v>2907</v>
      </c>
      <c r="AL69" s="1326" t="s">
        <v>2952</v>
      </c>
      <c r="AM69" s="1683">
        <v>100</v>
      </c>
      <c r="AN69" s="1326"/>
      <c r="AO69" s="1326"/>
      <c r="AP69" s="1326"/>
      <c r="AQ69" s="1326"/>
      <c r="AR69" s="1326"/>
      <c r="AS69" s="1326"/>
      <c r="AT69" s="1326" t="s">
        <v>2867</v>
      </c>
      <c r="AU69" s="1326" t="s">
        <v>2766</v>
      </c>
      <c r="AV69" s="1326" t="s">
        <v>2856</v>
      </c>
      <c r="AW69" s="1326"/>
      <c r="AX69" s="1326" t="s">
        <v>2953</v>
      </c>
      <c r="AY69" s="1326" t="s">
        <v>2798</v>
      </c>
      <c r="AZ69" s="1326" t="s">
        <v>161</v>
      </c>
      <c r="BA69" s="1326" t="s">
        <v>2812</v>
      </c>
      <c r="BB69" s="1326" t="s">
        <v>2757</v>
      </c>
      <c r="BC69" s="1326" t="s">
        <v>2800</v>
      </c>
      <c r="BD69" s="1326" t="s">
        <v>2773</v>
      </c>
      <c r="BE69" s="1326" t="s">
        <v>2813</v>
      </c>
      <c r="BF69" s="1326" t="s">
        <v>2814</v>
      </c>
      <c r="BG69" s="1326" t="s">
        <v>2815</v>
      </c>
      <c r="BH69" s="1326" t="s">
        <v>2804</v>
      </c>
      <c r="BI69" s="1326" t="s">
        <v>2805</v>
      </c>
      <c r="BJ69" s="1326" t="s">
        <v>2816</v>
      </c>
      <c r="BK69" s="1326" t="s">
        <v>2867</v>
      </c>
      <c r="BL69" s="1326" t="s">
        <v>2757</v>
      </c>
      <c r="BM69" s="1326" t="s">
        <v>2757</v>
      </c>
      <c r="BN69" s="1683">
        <v>0</v>
      </c>
      <c r="BO69" s="1685">
        <v>42776</v>
      </c>
      <c r="BP69" s="1685">
        <v>43830</v>
      </c>
      <c r="BQ69" s="1326" t="s">
        <v>2779</v>
      </c>
      <c r="BR69" s="1685">
        <v>45716</v>
      </c>
      <c r="BS69" s="1326" t="s">
        <v>2962</v>
      </c>
      <c r="BT69" s="1326" t="s">
        <v>2963</v>
      </c>
      <c r="BU69" s="1683">
        <v>30</v>
      </c>
      <c r="BV69" s="1683">
        <v>112786.14</v>
      </c>
      <c r="BW69" s="1685">
        <v>43861</v>
      </c>
      <c r="BX69" s="1682"/>
      <c r="BY69" s="1326" t="s">
        <v>2052</v>
      </c>
      <c r="BZ69" s="1326" t="s">
        <v>2782</v>
      </c>
      <c r="CA69" s="1326" t="s">
        <v>2783</v>
      </c>
      <c r="CB69" s="1326" t="s">
        <v>2783</v>
      </c>
      <c r="CC69" s="1326" t="s">
        <v>2913</v>
      </c>
      <c r="CD69" s="1684">
        <v>442298.59</v>
      </c>
      <c r="CE69" s="1684">
        <v>442298.59</v>
      </c>
      <c r="CF69" s="1684">
        <v>375953.81</v>
      </c>
      <c r="CG69" s="1684">
        <v>85</v>
      </c>
      <c r="CH69" s="1684">
        <v>66344.78</v>
      </c>
      <c r="CI69" s="1684">
        <v>15</v>
      </c>
      <c r="CJ69" s="1684">
        <v>442298.59</v>
      </c>
      <c r="CK69" s="1684">
        <v>100</v>
      </c>
      <c r="CL69" s="1410" t="s">
        <v>2785</v>
      </c>
      <c r="CM69" s="1686">
        <v>42900</v>
      </c>
      <c r="CN69" s="1400"/>
      <c r="CO69" s="1326"/>
      <c r="CP69" s="1682"/>
      <c r="CQ69" s="1684">
        <v>375953.81</v>
      </c>
      <c r="CR69" s="1684">
        <v>375953.81</v>
      </c>
      <c r="CS69" s="1684">
        <v>0</v>
      </c>
      <c r="CT69" s="1326" t="s">
        <v>2785</v>
      </c>
      <c r="CU69" s="1686">
        <v>42914</v>
      </c>
      <c r="CV69" s="1684">
        <v>442298.59</v>
      </c>
      <c r="CW69" s="1684">
        <v>620</v>
      </c>
      <c r="CX69" s="1684">
        <v>0</v>
      </c>
      <c r="CY69" s="1684">
        <v>347813.65</v>
      </c>
      <c r="CZ69" s="1684">
        <v>85885</v>
      </c>
      <c r="DA69" s="1684">
        <v>3557.4</v>
      </c>
      <c r="DB69" s="1684">
        <v>0</v>
      </c>
      <c r="DC69" s="1684">
        <v>4422.54</v>
      </c>
      <c r="DD69" s="1684">
        <v>442298.59</v>
      </c>
      <c r="DE69" s="1684">
        <v>375953.81</v>
      </c>
      <c r="DF69" s="1684">
        <v>375953.81</v>
      </c>
      <c r="DG69" s="1684">
        <v>0</v>
      </c>
      <c r="DH69" s="1684">
        <v>66344.78</v>
      </c>
      <c r="DI69" s="1684">
        <v>66344.78</v>
      </c>
      <c r="DJ69" s="1684">
        <v>0</v>
      </c>
      <c r="DK69" s="1684">
        <v>66344.78</v>
      </c>
      <c r="DL69" s="1684">
        <v>0</v>
      </c>
      <c r="DM69" s="1684">
        <v>0</v>
      </c>
      <c r="DN69" s="1684">
        <v>0</v>
      </c>
      <c r="DO69" s="1684">
        <v>0</v>
      </c>
      <c r="DP69" s="1684">
        <v>0</v>
      </c>
      <c r="DQ69" s="1326" t="s">
        <v>2810</v>
      </c>
      <c r="DR69" s="1684">
        <v>0</v>
      </c>
      <c r="DS69" s="1326" t="s">
        <v>2757</v>
      </c>
      <c r="DT69" s="1682"/>
      <c r="DU69" s="1326" t="s">
        <v>2757</v>
      </c>
      <c r="DV69" s="1682"/>
    </row>
    <row r="70" spans="1:126" ht="67.5">
      <c r="A70" s="1326" t="s">
        <v>1750</v>
      </c>
      <c r="B70" s="1326" t="s">
        <v>1694</v>
      </c>
      <c r="C70" s="1326" t="s">
        <v>2557</v>
      </c>
      <c r="D70" s="1326" t="s">
        <v>2558</v>
      </c>
      <c r="E70" s="1326" t="s">
        <v>192</v>
      </c>
      <c r="F70" s="1326" t="s">
        <v>2947</v>
      </c>
      <c r="G70" s="1326" t="s">
        <v>2544</v>
      </c>
      <c r="H70" s="1326" t="s">
        <v>2545</v>
      </c>
      <c r="I70" s="1326" t="s">
        <v>2546</v>
      </c>
      <c r="J70" s="1326" t="s">
        <v>733</v>
      </c>
      <c r="K70" s="1685">
        <v>42867</v>
      </c>
      <c r="L70" s="1685">
        <v>42965</v>
      </c>
      <c r="M70" s="1326" t="s">
        <v>388</v>
      </c>
      <c r="N70" s="1326" t="s">
        <v>2061</v>
      </c>
      <c r="O70" s="1326" t="s">
        <v>2964</v>
      </c>
      <c r="P70" s="1326" t="s">
        <v>2757</v>
      </c>
      <c r="Q70" s="1326" t="s">
        <v>1721</v>
      </c>
      <c r="R70" s="1326" t="s">
        <v>2757</v>
      </c>
      <c r="S70" s="1326" t="s">
        <v>2757</v>
      </c>
      <c r="T70" s="1326"/>
      <c r="U70" s="1326" t="s">
        <v>2758</v>
      </c>
      <c r="V70" s="1326" t="s">
        <v>2757</v>
      </c>
      <c r="W70" s="1326" t="s">
        <v>2757</v>
      </c>
      <c r="X70" s="1326"/>
      <c r="Y70" s="1326" t="s">
        <v>2757</v>
      </c>
      <c r="Z70" s="1326"/>
      <c r="AA70" s="1326"/>
      <c r="AB70" s="1326" t="s">
        <v>2757</v>
      </c>
      <c r="AC70" s="1326" t="s">
        <v>2757</v>
      </c>
      <c r="AD70" s="1326" t="s">
        <v>2757</v>
      </c>
      <c r="AE70" s="1326"/>
      <c r="AF70" s="1326" t="s">
        <v>2949</v>
      </c>
      <c r="AG70" s="1326" t="s">
        <v>2950</v>
      </c>
      <c r="AH70" s="1326" t="s">
        <v>2951</v>
      </c>
      <c r="AI70" s="1326" t="s">
        <v>2762</v>
      </c>
      <c r="AJ70" s="1326" t="s">
        <v>2763</v>
      </c>
      <c r="AK70" s="1326" t="s">
        <v>2907</v>
      </c>
      <c r="AL70" s="1326" t="s">
        <v>2952</v>
      </c>
      <c r="AM70" s="1683">
        <v>100</v>
      </c>
      <c r="AN70" s="1326"/>
      <c r="AO70" s="1326"/>
      <c r="AP70" s="1326"/>
      <c r="AQ70" s="1326"/>
      <c r="AR70" s="1326"/>
      <c r="AS70" s="1326"/>
      <c r="AT70" s="1326" t="s">
        <v>2766</v>
      </c>
      <c r="AU70" s="1326" t="s">
        <v>2766</v>
      </c>
      <c r="AV70" s="1326" t="s">
        <v>2856</v>
      </c>
      <c r="AW70" s="1326"/>
      <c r="AX70" s="1326" t="s">
        <v>2953</v>
      </c>
      <c r="AY70" s="1326" t="s">
        <v>2798</v>
      </c>
      <c r="AZ70" s="1326" t="s">
        <v>345</v>
      </c>
      <c r="BA70" s="1326" t="s">
        <v>2799</v>
      </c>
      <c r="BB70" s="1326" t="s">
        <v>2757</v>
      </c>
      <c r="BC70" s="1326" t="s">
        <v>2800</v>
      </c>
      <c r="BD70" s="1326" t="s">
        <v>2773</v>
      </c>
      <c r="BE70" s="1326" t="s">
        <v>2801</v>
      </c>
      <c r="BF70" s="1326" t="s">
        <v>2938</v>
      </c>
      <c r="BG70" s="1326" t="s">
        <v>2939</v>
      </c>
      <c r="BH70" s="1326" t="s">
        <v>2804</v>
      </c>
      <c r="BI70" s="1326" t="s">
        <v>2805</v>
      </c>
      <c r="BJ70" s="1326" t="s">
        <v>2806</v>
      </c>
      <c r="BK70" s="1326" t="s">
        <v>2766</v>
      </c>
      <c r="BL70" s="1326" t="s">
        <v>2757</v>
      </c>
      <c r="BM70" s="1326" t="s">
        <v>2757</v>
      </c>
      <c r="BN70" s="1683">
        <v>0</v>
      </c>
      <c r="BO70" s="1685">
        <v>42947</v>
      </c>
      <c r="BP70" s="1685">
        <v>43616</v>
      </c>
      <c r="BQ70" s="1326" t="s">
        <v>2955</v>
      </c>
      <c r="BR70" s="1685">
        <v>45716</v>
      </c>
      <c r="BS70" s="1326" t="s">
        <v>2807</v>
      </c>
      <c r="BT70" s="1326" t="s">
        <v>2965</v>
      </c>
      <c r="BU70" s="1683">
        <v>30</v>
      </c>
      <c r="BV70" s="1683">
        <v>1018.22</v>
      </c>
      <c r="BW70" s="1685">
        <v>43646</v>
      </c>
      <c r="BX70" s="1682"/>
      <c r="BY70" s="1326" t="s">
        <v>2052</v>
      </c>
      <c r="BZ70" s="1326" t="s">
        <v>2783</v>
      </c>
      <c r="CA70" s="1326" t="s">
        <v>2783</v>
      </c>
      <c r="CB70" s="1326" t="s">
        <v>2783</v>
      </c>
      <c r="CC70" s="1326" t="s">
        <v>2809</v>
      </c>
      <c r="CD70" s="1684">
        <v>3993</v>
      </c>
      <c r="CE70" s="1684">
        <v>3993</v>
      </c>
      <c r="CF70" s="1684">
        <v>3394.05</v>
      </c>
      <c r="CG70" s="1684">
        <v>85</v>
      </c>
      <c r="CH70" s="1684">
        <v>598.95000000000005</v>
      </c>
      <c r="CI70" s="1684">
        <v>15</v>
      </c>
      <c r="CJ70" s="1684">
        <v>3993</v>
      </c>
      <c r="CK70" s="1684">
        <v>100</v>
      </c>
      <c r="CL70" s="1410" t="s">
        <v>2785</v>
      </c>
      <c r="CM70" s="1686">
        <v>42928</v>
      </c>
      <c r="CN70" s="1400"/>
      <c r="CO70" s="1326"/>
      <c r="CP70" s="1682"/>
      <c r="CQ70" s="1684">
        <v>3394.05</v>
      </c>
      <c r="CR70" s="1684">
        <v>3394.05</v>
      </c>
      <c r="CS70" s="1684">
        <v>0</v>
      </c>
      <c r="CT70" s="1326" t="s">
        <v>2785</v>
      </c>
      <c r="CU70" s="1686">
        <v>42940</v>
      </c>
      <c r="CV70" s="1684">
        <v>3993</v>
      </c>
      <c r="CW70" s="1684">
        <v>0</v>
      </c>
      <c r="CX70" s="1684">
        <v>0</v>
      </c>
      <c r="CY70" s="1684">
        <v>0</v>
      </c>
      <c r="CZ70" s="1684">
        <v>0</v>
      </c>
      <c r="DA70" s="1684">
        <v>3993</v>
      </c>
      <c r="DB70" s="1684">
        <v>0</v>
      </c>
      <c r="DC70" s="1684">
        <v>0</v>
      </c>
      <c r="DD70" s="1684">
        <v>3993</v>
      </c>
      <c r="DE70" s="1684">
        <v>3394.05</v>
      </c>
      <c r="DF70" s="1684">
        <v>3394.05</v>
      </c>
      <c r="DG70" s="1684">
        <v>0</v>
      </c>
      <c r="DH70" s="1684">
        <v>598.95000000000005</v>
      </c>
      <c r="DI70" s="1684">
        <v>598.95000000000005</v>
      </c>
      <c r="DJ70" s="1684">
        <v>0</v>
      </c>
      <c r="DK70" s="1684">
        <v>598.95000000000005</v>
      </c>
      <c r="DL70" s="1684">
        <v>0</v>
      </c>
      <c r="DM70" s="1684">
        <v>0</v>
      </c>
      <c r="DN70" s="1684">
        <v>0</v>
      </c>
      <c r="DO70" s="1684">
        <v>0</v>
      </c>
      <c r="DP70" s="1684">
        <v>0</v>
      </c>
      <c r="DQ70" s="1326" t="s">
        <v>2810</v>
      </c>
      <c r="DR70" s="1684">
        <v>0</v>
      </c>
      <c r="DS70" s="1326" t="s">
        <v>2757</v>
      </c>
      <c r="DT70" s="1682"/>
      <c r="DU70" s="1326" t="s">
        <v>2757</v>
      </c>
      <c r="DV70" s="1682"/>
    </row>
    <row r="71" spans="1:126" ht="78.75">
      <c r="A71" s="1326" t="s">
        <v>1751</v>
      </c>
      <c r="B71" s="1326" t="s">
        <v>1694</v>
      </c>
      <c r="C71" s="1326" t="s">
        <v>2557</v>
      </c>
      <c r="D71" s="1326" t="s">
        <v>2558</v>
      </c>
      <c r="E71" s="1326" t="s">
        <v>192</v>
      </c>
      <c r="F71" s="1326" t="s">
        <v>2947</v>
      </c>
      <c r="G71" s="1326" t="s">
        <v>2544</v>
      </c>
      <c r="H71" s="1326" t="s">
        <v>2545</v>
      </c>
      <c r="I71" s="1326" t="s">
        <v>2546</v>
      </c>
      <c r="J71" s="1326" t="s">
        <v>734</v>
      </c>
      <c r="K71" s="1685">
        <v>42887</v>
      </c>
      <c r="L71" s="1685">
        <v>42936</v>
      </c>
      <c r="M71" s="1326" t="s">
        <v>378</v>
      </c>
      <c r="N71" s="1326" t="s">
        <v>2137</v>
      </c>
      <c r="O71" s="1326" t="s">
        <v>2966</v>
      </c>
      <c r="P71" s="1326" t="s">
        <v>2757</v>
      </c>
      <c r="Q71" s="1326" t="s">
        <v>1709</v>
      </c>
      <c r="R71" s="1326" t="s">
        <v>2757</v>
      </c>
      <c r="S71" s="1326" t="s">
        <v>2757</v>
      </c>
      <c r="T71" s="1326"/>
      <c r="U71" s="1326" t="s">
        <v>2758</v>
      </c>
      <c r="V71" s="1326" t="s">
        <v>2757</v>
      </c>
      <c r="W71" s="1326" t="s">
        <v>2757</v>
      </c>
      <c r="X71" s="1326"/>
      <c r="Y71" s="1326" t="s">
        <v>2757</v>
      </c>
      <c r="Z71" s="1326"/>
      <c r="AA71" s="1326"/>
      <c r="AB71" s="1326" t="s">
        <v>2757</v>
      </c>
      <c r="AC71" s="1326" t="s">
        <v>2757</v>
      </c>
      <c r="AD71" s="1326" t="s">
        <v>2757</v>
      </c>
      <c r="AE71" s="1326"/>
      <c r="AF71" s="1326" t="s">
        <v>2949</v>
      </c>
      <c r="AG71" s="1326" t="s">
        <v>2950</v>
      </c>
      <c r="AH71" s="1326" t="s">
        <v>2951</v>
      </c>
      <c r="AI71" s="1326" t="s">
        <v>2762</v>
      </c>
      <c r="AJ71" s="1326" t="s">
        <v>2763</v>
      </c>
      <c r="AK71" s="1326" t="s">
        <v>2907</v>
      </c>
      <c r="AL71" s="1326" t="s">
        <v>2952</v>
      </c>
      <c r="AM71" s="1683">
        <v>100</v>
      </c>
      <c r="AN71" s="1326"/>
      <c r="AO71" s="1326"/>
      <c r="AP71" s="1326"/>
      <c r="AQ71" s="1326"/>
      <c r="AR71" s="1326"/>
      <c r="AS71" s="1326"/>
      <c r="AT71" s="1326" t="s">
        <v>2880</v>
      </c>
      <c r="AU71" s="1326" t="s">
        <v>2766</v>
      </c>
      <c r="AV71" s="1326" t="s">
        <v>2856</v>
      </c>
      <c r="AW71" s="1326"/>
      <c r="AX71" s="1326" t="s">
        <v>2953</v>
      </c>
      <c r="AY71" s="1326" t="s">
        <v>2798</v>
      </c>
      <c r="AZ71" s="1326" t="s">
        <v>235</v>
      </c>
      <c r="BA71" s="1326" t="s">
        <v>2929</v>
      </c>
      <c r="BB71" s="1326" t="s">
        <v>2757</v>
      </c>
      <c r="BC71" s="1326" t="s">
        <v>2800</v>
      </c>
      <c r="BD71" s="1326" t="s">
        <v>2773</v>
      </c>
      <c r="BE71" s="1326" t="s">
        <v>2930</v>
      </c>
      <c r="BF71" s="1326" t="s">
        <v>2967</v>
      </c>
      <c r="BG71" s="1326" t="s">
        <v>2932</v>
      </c>
      <c r="BH71" s="1326" t="s">
        <v>2804</v>
      </c>
      <c r="BI71" s="1326" t="s">
        <v>2805</v>
      </c>
      <c r="BJ71" s="1326" t="s">
        <v>2885</v>
      </c>
      <c r="BK71" s="1326" t="s">
        <v>2880</v>
      </c>
      <c r="BL71" s="1326" t="s">
        <v>2757</v>
      </c>
      <c r="BM71" s="1326" t="s">
        <v>2757</v>
      </c>
      <c r="BN71" s="1683">
        <v>0</v>
      </c>
      <c r="BO71" s="1685">
        <v>42716</v>
      </c>
      <c r="BP71" s="1685">
        <v>43312</v>
      </c>
      <c r="BQ71" s="1326" t="s">
        <v>2955</v>
      </c>
      <c r="BR71" s="1685">
        <v>45350</v>
      </c>
      <c r="BS71" s="1326" t="s">
        <v>2968</v>
      </c>
      <c r="BT71" s="1326" t="s">
        <v>2969</v>
      </c>
      <c r="BU71" s="1683">
        <v>30</v>
      </c>
      <c r="BV71" s="1683">
        <v>30894.16</v>
      </c>
      <c r="BW71" s="1685">
        <v>43343</v>
      </c>
      <c r="BX71" s="1685">
        <v>43355</v>
      </c>
      <c r="BY71" s="1326" t="s">
        <v>2052</v>
      </c>
      <c r="BZ71" s="1326" t="s">
        <v>2783</v>
      </c>
      <c r="CA71" s="1326" t="s">
        <v>2783</v>
      </c>
      <c r="CB71" s="1326" t="s">
        <v>2783</v>
      </c>
      <c r="CC71" s="1326" t="s">
        <v>2913</v>
      </c>
      <c r="CD71" s="1684">
        <v>121153.55</v>
      </c>
      <c r="CE71" s="1684">
        <v>121153.55</v>
      </c>
      <c r="CF71" s="1684">
        <v>102980.52</v>
      </c>
      <c r="CG71" s="1684">
        <v>85</v>
      </c>
      <c r="CH71" s="1684">
        <v>18173.03</v>
      </c>
      <c r="CI71" s="1684">
        <v>15</v>
      </c>
      <c r="CJ71" s="1684">
        <v>121153.55</v>
      </c>
      <c r="CK71" s="1684">
        <v>100</v>
      </c>
      <c r="CL71" s="1410" t="s">
        <v>2785</v>
      </c>
      <c r="CM71" s="1686">
        <v>42905</v>
      </c>
      <c r="CN71" s="1400"/>
      <c r="CO71" s="1326"/>
      <c r="CP71" s="1682"/>
      <c r="CQ71" s="1684">
        <v>102980.52</v>
      </c>
      <c r="CR71" s="1684">
        <v>102980.52</v>
      </c>
      <c r="CS71" s="1684">
        <v>0</v>
      </c>
      <c r="CT71" s="1326" t="s">
        <v>2785</v>
      </c>
      <c r="CU71" s="1686">
        <v>42920</v>
      </c>
      <c r="CV71" s="1684">
        <v>121153.55</v>
      </c>
      <c r="CW71" s="1684">
        <v>0</v>
      </c>
      <c r="CX71" s="1684">
        <v>0</v>
      </c>
      <c r="CY71" s="1684">
        <v>121153.55</v>
      </c>
      <c r="CZ71" s="1684">
        <v>0</v>
      </c>
      <c r="DA71" s="1684">
        <v>0</v>
      </c>
      <c r="DB71" s="1684">
        <v>0</v>
      </c>
      <c r="DC71" s="1684">
        <v>0</v>
      </c>
      <c r="DD71" s="1684">
        <v>121153.55</v>
      </c>
      <c r="DE71" s="1684">
        <v>102980.52</v>
      </c>
      <c r="DF71" s="1684">
        <v>102980.52</v>
      </c>
      <c r="DG71" s="1684">
        <v>0</v>
      </c>
      <c r="DH71" s="1684">
        <v>18173.03</v>
      </c>
      <c r="DI71" s="1684">
        <v>18173.03</v>
      </c>
      <c r="DJ71" s="1684">
        <v>0</v>
      </c>
      <c r="DK71" s="1684">
        <v>18173.03</v>
      </c>
      <c r="DL71" s="1684">
        <v>0</v>
      </c>
      <c r="DM71" s="1684">
        <v>0</v>
      </c>
      <c r="DN71" s="1684">
        <v>0</v>
      </c>
      <c r="DO71" s="1684">
        <v>0</v>
      </c>
      <c r="DP71" s="1684">
        <v>0</v>
      </c>
      <c r="DQ71" s="1326" t="s">
        <v>2810</v>
      </c>
      <c r="DR71" s="1684">
        <v>0</v>
      </c>
      <c r="DS71" s="1326" t="s">
        <v>2757</v>
      </c>
      <c r="DT71" s="1682"/>
      <c r="DU71" s="1326" t="s">
        <v>2757</v>
      </c>
      <c r="DV71" s="1682"/>
    </row>
    <row r="72" spans="1:126" ht="56.25">
      <c r="A72" s="1326" t="s">
        <v>2089</v>
      </c>
      <c r="B72" s="1326" t="s">
        <v>1694</v>
      </c>
      <c r="C72" s="1326" t="s">
        <v>2557</v>
      </c>
      <c r="D72" s="1326" t="s">
        <v>2558</v>
      </c>
      <c r="E72" s="1326" t="s">
        <v>192</v>
      </c>
      <c r="F72" s="1326" t="s">
        <v>2947</v>
      </c>
      <c r="G72" s="1326" t="s">
        <v>2544</v>
      </c>
      <c r="H72" s="1326" t="s">
        <v>2545</v>
      </c>
      <c r="I72" s="1326" t="s">
        <v>2546</v>
      </c>
      <c r="J72" s="1326" t="s">
        <v>1613</v>
      </c>
      <c r="K72" s="1685">
        <v>43320</v>
      </c>
      <c r="L72" s="1685">
        <v>43370</v>
      </c>
      <c r="M72" s="1326" t="s">
        <v>603</v>
      </c>
      <c r="N72" s="1326" t="s">
        <v>2061</v>
      </c>
      <c r="O72" s="1326" t="s">
        <v>2970</v>
      </c>
      <c r="P72" s="1326" t="s">
        <v>2757</v>
      </c>
      <c r="Q72" s="1326" t="s">
        <v>1709</v>
      </c>
      <c r="R72" s="1326" t="s">
        <v>2757</v>
      </c>
      <c r="S72" s="1326" t="s">
        <v>2757</v>
      </c>
      <c r="T72" s="1326"/>
      <c r="U72" s="1326" t="s">
        <v>2758</v>
      </c>
      <c r="V72" s="1326" t="s">
        <v>2757</v>
      </c>
      <c r="W72" s="1326" t="s">
        <v>2757</v>
      </c>
      <c r="X72" s="1326"/>
      <c r="Y72" s="1326" t="s">
        <v>2757</v>
      </c>
      <c r="Z72" s="1326"/>
      <c r="AA72" s="1326"/>
      <c r="AB72" s="1326" t="s">
        <v>2757</v>
      </c>
      <c r="AC72" s="1326" t="s">
        <v>2757</v>
      </c>
      <c r="AD72" s="1326" t="s">
        <v>2757</v>
      </c>
      <c r="AE72" s="1326"/>
      <c r="AF72" s="1326" t="s">
        <v>2949</v>
      </c>
      <c r="AG72" s="1326" t="s">
        <v>2950</v>
      </c>
      <c r="AH72" s="1326" t="s">
        <v>2951</v>
      </c>
      <c r="AI72" s="1326" t="s">
        <v>2762</v>
      </c>
      <c r="AJ72" s="1326" t="s">
        <v>2763</v>
      </c>
      <c r="AK72" s="1326" t="s">
        <v>2907</v>
      </c>
      <c r="AL72" s="1326" t="s">
        <v>2952</v>
      </c>
      <c r="AM72" s="1683">
        <v>100</v>
      </c>
      <c r="AN72" s="1326"/>
      <c r="AO72" s="1326"/>
      <c r="AP72" s="1326"/>
      <c r="AQ72" s="1326"/>
      <c r="AR72" s="1326"/>
      <c r="AS72" s="1326"/>
      <c r="AT72" s="1326" t="s">
        <v>2867</v>
      </c>
      <c r="AU72" s="1326" t="s">
        <v>2766</v>
      </c>
      <c r="AV72" s="1326" t="s">
        <v>2856</v>
      </c>
      <c r="AW72" s="1326"/>
      <c r="AX72" s="1326" t="s">
        <v>2953</v>
      </c>
      <c r="AY72" s="1326" t="s">
        <v>2798</v>
      </c>
      <c r="AZ72" s="1326" t="s">
        <v>184</v>
      </c>
      <c r="BA72" s="1326" t="s">
        <v>2828</v>
      </c>
      <c r="BB72" s="1326" t="s">
        <v>2757</v>
      </c>
      <c r="BC72" s="1326" t="s">
        <v>2800</v>
      </c>
      <c r="BD72" s="1326" t="s">
        <v>2773</v>
      </c>
      <c r="BE72" s="1326" t="s">
        <v>2954</v>
      </c>
      <c r="BF72" s="1326" t="s">
        <v>2830</v>
      </c>
      <c r="BG72" s="1326" t="s">
        <v>2831</v>
      </c>
      <c r="BH72" s="1326" t="s">
        <v>2804</v>
      </c>
      <c r="BI72" s="1326" t="s">
        <v>2805</v>
      </c>
      <c r="BJ72" s="1326" t="s">
        <v>2832</v>
      </c>
      <c r="BK72" s="1326" t="s">
        <v>2867</v>
      </c>
      <c r="BL72" s="1326" t="s">
        <v>2757</v>
      </c>
      <c r="BM72" s="1326" t="s">
        <v>2757</v>
      </c>
      <c r="BN72" s="1683">
        <v>0</v>
      </c>
      <c r="BO72" s="1685">
        <v>43245</v>
      </c>
      <c r="BP72" s="1685">
        <v>43728</v>
      </c>
      <c r="BQ72" s="1326" t="s">
        <v>2955</v>
      </c>
      <c r="BR72" s="1685">
        <v>45716</v>
      </c>
      <c r="BS72" s="1326" t="s">
        <v>2956</v>
      </c>
      <c r="BT72" s="1326" t="s">
        <v>2957</v>
      </c>
      <c r="BU72" s="1683">
        <v>30</v>
      </c>
      <c r="BV72" s="1683">
        <v>70807.38</v>
      </c>
      <c r="BW72" s="1685">
        <v>43758</v>
      </c>
      <c r="BX72" s="1682"/>
      <c r="BY72" s="1326" t="s">
        <v>2052</v>
      </c>
      <c r="BZ72" s="1326" t="s">
        <v>2782</v>
      </c>
      <c r="CA72" s="1326" t="s">
        <v>2783</v>
      </c>
      <c r="CB72" s="1326" t="s">
        <v>2783</v>
      </c>
      <c r="CC72" s="1326" t="s">
        <v>2913</v>
      </c>
      <c r="CD72" s="1684">
        <v>277676</v>
      </c>
      <c r="CE72" s="1684">
        <v>277676</v>
      </c>
      <c r="CF72" s="1684">
        <v>236024.6</v>
      </c>
      <c r="CG72" s="1684">
        <v>85</v>
      </c>
      <c r="CH72" s="1684">
        <v>41651.4</v>
      </c>
      <c r="CI72" s="1684">
        <v>15</v>
      </c>
      <c r="CJ72" s="1684">
        <v>277676</v>
      </c>
      <c r="CK72" s="1684">
        <v>100</v>
      </c>
      <c r="CL72" s="1410" t="s">
        <v>2785</v>
      </c>
      <c r="CM72" s="1686">
        <v>43326</v>
      </c>
      <c r="CN72" s="1400"/>
      <c r="CO72" s="1326"/>
      <c r="CP72" s="1682"/>
      <c r="CQ72" s="1684">
        <v>236024.6</v>
      </c>
      <c r="CR72" s="1684">
        <v>236024.6</v>
      </c>
      <c r="CS72" s="1684">
        <v>0</v>
      </c>
      <c r="CT72" s="1326" t="s">
        <v>2785</v>
      </c>
      <c r="CU72" s="1686">
        <v>43340</v>
      </c>
      <c r="CV72" s="1684">
        <v>277676</v>
      </c>
      <c r="CW72" s="1684">
        <v>0</v>
      </c>
      <c r="CX72" s="1684">
        <v>0</v>
      </c>
      <c r="CY72" s="1684">
        <v>274655</v>
      </c>
      <c r="CZ72" s="1684">
        <v>0</v>
      </c>
      <c r="DA72" s="1684">
        <v>0</v>
      </c>
      <c r="DB72" s="1684">
        <v>0</v>
      </c>
      <c r="DC72" s="1684">
        <v>3021</v>
      </c>
      <c r="DD72" s="1684">
        <v>277676</v>
      </c>
      <c r="DE72" s="1684">
        <v>236024.6</v>
      </c>
      <c r="DF72" s="1684">
        <v>236024.6</v>
      </c>
      <c r="DG72" s="1684">
        <v>0</v>
      </c>
      <c r="DH72" s="1684">
        <v>41651.4</v>
      </c>
      <c r="DI72" s="1684">
        <v>41651.4</v>
      </c>
      <c r="DJ72" s="1684">
        <v>0</v>
      </c>
      <c r="DK72" s="1684">
        <v>41651.4</v>
      </c>
      <c r="DL72" s="1684">
        <v>0</v>
      </c>
      <c r="DM72" s="1684">
        <v>0</v>
      </c>
      <c r="DN72" s="1684">
        <v>0</v>
      </c>
      <c r="DO72" s="1684">
        <v>0</v>
      </c>
      <c r="DP72" s="1684">
        <v>0</v>
      </c>
      <c r="DQ72" s="1326" t="s">
        <v>2810</v>
      </c>
      <c r="DR72" s="1684">
        <v>0</v>
      </c>
      <c r="DS72" s="1326" t="s">
        <v>2757</v>
      </c>
      <c r="DT72" s="1682"/>
      <c r="DU72" s="1326" t="s">
        <v>2757</v>
      </c>
      <c r="DV72" s="1682"/>
    </row>
    <row r="73" spans="1:126">
      <c r="A73" s="1326" t="s">
        <v>2090</v>
      </c>
      <c r="B73" s="1326" t="s">
        <v>1697</v>
      </c>
      <c r="C73" s="1326"/>
      <c r="D73" s="1326"/>
      <c r="E73" s="1326"/>
      <c r="F73" s="1326"/>
      <c r="G73" s="1326"/>
      <c r="H73" s="1326"/>
      <c r="I73" s="1326"/>
      <c r="J73" s="1326"/>
      <c r="K73" s="1682"/>
      <c r="L73" s="1682"/>
      <c r="M73" s="1326"/>
      <c r="N73" s="1326"/>
      <c r="O73" s="1326"/>
      <c r="P73" s="1326"/>
      <c r="Q73" s="1326"/>
      <c r="R73" s="1326"/>
      <c r="S73" s="1326"/>
      <c r="T73" s="1326"/>
      <c r="U73" s="1326"/>
      <c r="V73" s="1326"/>
      <c r="W73" s="1326"/>
      <c r="X73" s="1326"/>
      <c r="Y73" s="1326"/>
      <c r="Z73" s="1326"/>
      <c r="AA73" s="1326"/>
      <c r="AB73" s="1326"/>
      <c r="AC73" s="1326"/>
      <c r="AD73" s="1326"/>
      <c r="AE73" s="1326"/>
      <c r="AF73" s="1326"/>
      <c r="AG73" s="1326"/>
      <c r="AH73" s="1326"/>
      <c r="AI73" s="1326"/>
      <c r="AJ73" s="1326"/>
      <c r="AK73" s="1326"/>
      <c r="AL73" s="1326"/>
      <c r="AM73" s="1400"/>
      <c r="AN73" s="1326"/>
      <c r="AO73" s="1326"/>
      <c r="AP73" s="1326"/>
      <c r="AQ73" s="1326"/>
      <c r="AR73" s="1326"/>
      <c r="AS73" s="1326"/>
      <c r="AT73" s="1326"/>
      <c r="AU73" s="1326"/>
      <c r="AV73" s="1326"/>
      <c r="AW73" s="1326"/>
      <c r="AX73" s="1326"/>
      <c r="AY73" s="1326"/>
      <c r="AZ73" s="1326"/>
      <c r="BA73" s="1326"/>
      <c r="BB73" s="1326"/>
      <c r="BC73" s="1326"/>
      <c r="BD73" s="1326"/>
      <c r="BE73" s="1326"/>
      <c r="BF73" s="1326"/>
      <c r="BG73" s="1326"/>
      <c r="BH73" s="1326"/>
      <c r="BI73" s="1326"/>
      <c r="BJ73" s="1326"/>
      <c r="BK73" s="1326"/>
      <c r="BL73" s="1326"/>
      <c r="BM73" s="1326"/>
      <c r="BN73" s="1400"/>
      <c r="BO73" s="1682"/>
      <c r="BP73" s="1682"/>
      <c r="BQ73" s="1326"/>
      <c r="BR73" s="1682"/>
      <c r="BS73" s="1326"/>
      <c r="BT73" s="1326"/>
      <c r="BU73" s="1400"/>
      <c r="BV73" s="1683">
        <v>480955.76</v>
      </c>
      <c r="BW73" s="1682"/>
      <c r="BX73" s="1682"/>
      <c r="BY73" s="1326"/>
      <c r="BZ73" s="1326"/>
      <c r="CA73" s="1326"/>
      <c r="CB73" s="1326"/>
      <c r="CC73" s="1326"/>
      <c r="CD73" s="1684">
        <v>4823782.67</v>
      </c>
      <c r="CE73" s="1684">
        <v>4261527.8099999996</v>
      </c>
      <c r="CF73" s="1684">
        <v>2997067.88</v>
      </c>
      <c r="CG73" s="1684">
        <v>70.33</v>
      </c>
      <c r="CH73" s="1684">
        <v>1264459.93</v>
      </c>
      <c r="CI73" s="1684">
        <v>29.67</v>
      </c>
      <c r="CJ73" s="1684">
        <v>4261527.8099999996</v>
      </c>
      <c r="CK73" s="1684">
        <v>100</v>
      </c>
      <c r="CL73" s="1410"/>
      <c r="CM73" s="1682"/>
      <c r="CN73" s="1400"/>
      <c r="CO73" s="1326"/>
      <c r="CP73" s="1682"/>
      <c r="CQ73" s="1684">
        <v>2997067.88</v>
      </c>
      <c r="CR73" s="1684">
        <v>2997067.88</v>
      </c>
      <c r="CS73" s="1684">
        <v>0</v>
      </c>
      <c r="CT73" s="1326"/>
      <c r="CU73" s="1682"/>
      <c r="CV73" s="1684">
        <v>4261527.8099999996</v>
      </c>
      <c r="CW73" s="1684">
        <v>0</v>
      </c>
      <c r="CX73" s="1684">
        <v>0</v>
      </c>
      <c r="CY73" s="1684">
        <v>4250598.8099999996</v>
      </c>
      <c r="CZ73" s="1684">
        <v>0</v>
      </c>
      <c r="DA73" s="1684">
        <v>8509</v>
      </c>
      <c r="DB73" s="1684">
        <v>2420</v>
      </c>
      <c r="DC73" s="1684">
        <v>0</v>
      </c>
      <c r="DD73" s="1684">
        <v>4261527.8099999996</v>
      </c>
      <c r="DE73" s="1684">
        <v>2997067.88</v>
      </c>
      <c r="DF73" s="1684">
        <v>2997067.88</v>
      </c>
      <c r="DG73" s="1684">
        <v>0</v>
      </c>
      <c r="DH73" s="1684">
        <v>1264459.93</v>
      </c>
      <c r="DI73" s="1684">
        <v>1264459.93</v>
      </c>
      <c r="DJ73" s="1684">
        <v>62660</v>
      </c>
      <c r="DK73" s="1684">
        <v>1201799.93</v>
      </c>
      <c r="DL73" s="1684">
        <v>0</v>
      </c>
      <c r="DM73" s="1684">
        <v>0</v>
      </c>
      <c r="DN73" s="1684">
        <v>0</v>
      </c>
      <c r="DO73" s="1684">
        <v>0</v>
      </c>
      <c r="DP73" s="1684">
        <v>0</v>
      </c>
      <c r="DQ73" s="1326"/>
      <c r="DR73" s="1400"/>
      <c r="DS73" s="1326"/>
      <c r="DT73" s="1682"/>
      <c r="DU73" s="1326"/>
      <c r="DV73" s="1682"/>
    </row>
    <row r="74" spans="1:126">
      <c r="A74" s="1326" t="s">
        <v>2091</v>
      </c>
      <c r="B74" s="1326" t="s">
        <v>1697</v>
      </c>
      <c r="C74" s="1326" t="s">
        <v>2559</v>
      </c>
      <c r="D74" s="1326"/>
      <c r="E74" s="1326"/>
      <c r="F74" s="1326"/>
      <c r="G74" s="1326"/>
      <c r="H74" s="1326"/>
      <c r="I74" s="1326"/>
      <c r="J74" s="1326"/>
      <c r="K74" s="1682"/>
      <c r="L74" s="1682"/>
      <c r="M74" s="1326"/>
      <c r="N74" s="1326"/>
      <c r="O74" s="1326"/>
      <c r="P74" s="1326"/>
      <c r="Q74" s="1326"/>
      <c r="R74" s="1326"/>
      <c r="S74" s="1326"/>
      <c r="T74" s="1326"/>
      <c r="U74" s="1326"/>
      <c r="V74" s="1326"/>
      <c r="W74" s="1326"/>
      <c r="X74" s="1326"/>
      <c r="Y74" s="1326"/>
      <c r="Z74" s="1326"/>
      <c r="AA74" s="1326"/>
      <c r="AB74" s="1326"/>
      <c r="AC74" s="1326"/>
      <c r="AD74" s="1326"/>
      <c r="AE74" s="1326"/>
      <c r="AF74" s="1326"/>
      <c r="AG74" s="1326"/>
      <c r="AH74" s="1326"/>
      <c r="AI74" s="1326"/>
      <c r="AJ74" s="1326"/>
      <c r="AK74" s="1326"/>
      <c r="AL74" s="1326"/>
      <c r="AM74" s="1400"/>
      <c r="AN74" s="1326"/>
      <c r="AO74" s="1326"/>
      <c r="AP74" s="1326"/>
      <c r="AQ74" s="1326"/>
      <c r="AR74" s="1326"/>
      <c r="AS74" s="1326"/>
      <c r="AT74" s="1326"/>
      <c r="AU74" s="1326"/>
      <c r="AV74" s="1326"/>
      <c r="AW74" s="1326"/>
      <c r="AX74" s="1326"/>
      <c r="AY74" s="1326"/>
      <c r="AZ74" s="1326"/>
      <c r="BA74" s="1326"/>
      <c r="BB74" s="1326"/>
      <c r="BC74" s="1326"/>
      <c r="BD74" s="1326"/>
      <c r="BE74" s="1326"/>
      <c r="BF74" s="1326"/>
      <c r="BG74" s="1326"/>
      <c r="BH74" s="1326"/>
      <c r="BI74" s="1326"/>
      <c r="BJ74" s="1326"/>
      <c r="BK74" s="1326"/>
      <c r="BL74" s="1326"/>
      <c r="BM74" s="1326"/>
      <c r="BN74" s="1400"/>
      <c r="BO74" s="1682"/>
      <c r="BP74" s="1682"/>
      <c r="BQ74" s="1326"/>
      <c r="BR74" s="1682"/>
      <c r="BS74" s="1326"/>
      <c r="BT74" s="1326"/>
      <c r="BU74" s="1400"/>
      <c r="BV74" s="1683">
        <v>480955.76</v>
      </c>
      <c r="BW74" s="1682"/>
      <c r="BX74" s="1682"/>
      <c r="BY74" s="1326"/>
      <c r="BZ74" s="1326"/>
      <c r="CA74" s="1326"/>
      <c r="CB74" s="1326"/>
      <c r="CC74" s="1326"/>
      <c r="CD74" s="1684">
        <v>4823782.67</v>
      </c>
      <c r="CE74" s="1684">
        <v>4261527.8099999996</v>
      </c>
      <c r="CF74" s="1684">
        <v>2997067.88</v>
      </c>
      <c r="CG74" s="1684">
        <v>70.33</v>
      </c>
      <c r="CH74" s="1684">
        <v>1264459.93</v>
      </c>
      <c r="CI74" s="1684">
        <v>29.67</v>
      </c>
      <c r="CJ74" s="1684">
        <v>4261527.8099999996</v>
      </c>
      <c r="CK74" s="1684">
        <v>100</v>
      </c>
      <c r="CL74" s="1410"/>
      <c r="CM74" s="1682"/>
      <c r="CN74" s="1400"/>
      <c r="CO74" s="1326"/>
      <c r="CP74" s="1682"/>
      <c r="CQ74" s="1684">
        <v>2997067.88</v>
      </c>
      <c r="CR74" s="1684">
        <v>2997067.88</v>
      </c>
      <c r="CS74" s="1684">
        <v>0</v>
      </c>
      <c r="CT74" s="1326"/>
      <c r="CU74" s="1682"/>
      <c r="CV74" s="1684">
        <v>4261527.8099999996</v>
      </c>
      <c r="CW74" s="1684">
        <v>0</v>
      </c>
      <c r="CX74" s="1684">
        <v>0</v>
      </c>
      <c r="CY74" s="1684">
        <v>4250598.8099999996</v>
      </c>
      <c r="CZ74" s="1684">
        <v>0</v>
      </c>
      <c r="DA74" s="1684">
        <v>8509</v>
      </c>
      <c r="DB74" s="1684">
        <v>2420</v>
      </c>
      <c r="DC74" s="1684">
        <v>0</v>
      </c>
      <c r="DD74" s="1684">
        <v>4261527.8099999996</v>
      </c>
      <c r="DE74" s="1684">
        <v>2997067.88</v>
      </c>
      <c r="DF74" s="1684">
        <v>2997067.88</v>
      </c>
      <c r="DG74" s="1684">
        <v>0</v>
      </c>
      <c r="DH74" s="1684">
        <v>1264459.93</v>
      </c>
      <c r="DI74" s="1684">
        <v>1264459.93</v>
      </c>
      <c r="DJ74" s="1684">
        <v>62660</v>
      </c>
      <c r="DK74" s="1684">
        <v>1201799.93</v>
      </c>
      <c r="DL74" s="1684">
        <v>0</v>
      </c>
      <c r="DM74" s="1684">
        <v>0</v>
      </c>
      <c r="DN74" s="1684">
        <v>0</v>
      </c>
      <c r="DO74" s="1684">
        <v>0</v>
      </c>
      <c r="DP74" s="1684">
        <v>0</v>
      </c>
      <c r="DQ74" s="1326"/>
      <c r="DR74" s="1400"/>
      <c r="DS74" s="1326"/>
      <c r="DT74" s="1682"/>
      <c r="DU74" s="1326"/>
      <c r="DV74" s="1682"/>
    </row>
    <row r="75" spans="1:126">
      <c r="A75" s="1326" t="s">
        <v>2092</v>
      </c>
      <c r="B75" s="1326" t="s">
        <v>1697</v>
      </c>
      <c r="C75" s="1326" t="s">
        <v>2559</v>
      </c>
      <c r="D75" s="1326" t="s">
        <v>2560</v>
      </c>
      <c r="E75" s="1326"/>
      <c r="F75" s="1326"/>
      <c r="G75" s="1326"/>
      <c r="H75" s="1326"/>
      <c r="I75" s="1326"/>
      <c r="J75" s="1326"/>
      <c r="K75" s="1682"/>
      <c r="L75" s="1682"/>
      <c r="M75" s="1326"/>
      <c r="N75" s="1326"/>
      <c r="O75" s="1326"/>
      <c r="P75" s="1326"/>
      <c r="Q75" s="1326"/>
      <c r="R75" s="1326"/>
      <c r="S75" s="1326"/>
      <c r="T75" s="1326"/>
      <c r="U75" s="1326"/>
      <c r="V75" s="1326"/>
      <c r="W75" s="1326"/>
      <c r="X75" s="1326"/>
      <c r="Y75" s="1326"/>
      <c r="Z75" s="1326"/>
      <c r="AA75" s="1326"/>
      <c r="AB75" s="1326"/>
      <c r="AC75" s="1326"/>
      <c r="AD75" s="1326"/>
      <c r="AE75" s="1326"/>
      <c r="AF75" s="1326"/>
      <c r="AG75" s="1326"/>
      <c r="AH75" s="1326"/>
      <c r="AI75" s="1326"/>
      <c r="AJ75" s="1326"/>
      <c r="AK75" s="1326"/>
      <c r="AL75" s="1326"/>
      <c r="AM75" s="1400"/>
      <c r="AN75" s="1326"/>
      <c r="AO75" s="1326"/>
      <c r="AP75" s="1326"/>
      <c r="AQ75" s="1326"/>
      <c r="AR75" s="1326"/>
      <c r="AS75" s="1326"/>
      <c r="AT75" s="1326"/>
      <c r="AU75" s="1326"/>
      <c r="AV75" s="1326"/>
      <c r="AW75" s="1326"/>
      <c r="AX75" s="1326"/>
      <c r="AY75" s="1326"/>
      <c r="AZ75" s="1326"/>
      <c r="BA75" s="1326"/>
      <c r="BB75" s="1326"/>
      <c r="BC75" s="1326"/>
      <c r="BD75" s="1326"/>
      <c r="BE75" s="1326"/>
      <c r="BF75" s="1326"/>
      <c r="BG75" s="1326"/>
      <c r="BH75" s="1326"/>
      <c r="BI75" s="1326"/>
      <c r="BJ75" s="1326"/>
      <c r="BK75" s="1326"/>
      <c r="BL75" s="1326"/>
      <c r="BM75" s="1326"/>
      <c r="BN75" s="1400"/>
      <c r="BO75" s="1682"/>
      <c r="BP75" s="1682"/>
      <c r="BQ75" s="1326"/>
      <c r="BR75" s="1682"/>
      <c r="BS75" s="1326"/>
      <c r="BT75" s="1326"/>
      <c r="BU75" s="1400"/>
      <c r="BV75" s="1683">
        <v>480955.76</v>
      </c>
      <c r="BW75" s="1682"/>
      <c r="BX75" s="1682"/>
      <c r="BY75" s="1326"/>
      <c r="BZ75" s="1326"/>
      <c r="CA75" s="1326"/>
      <c r="CB75" s="1326"/>
      <c r="CC75" s="1326"/>
      <c r="CD75" s="1684">
        <v>4823782.67</v>
      </c>
      <c r="CE75" s="1684">
        <v>4261527.8099999996</v>
      </c>
      <c r="CF75" s="1684">
        <v>2997067.88</v>
      </c>
      <c r="CG75" s="1684">
        <v>70.33</v>
      </c>
      <c r="CH75" s="1684">
        <v>1264459.93</v>
      </c>
      <c r="CI75" s="1684">
        <v>29.67</v>
      </c>
      <c r="CJ75" s="1684">
        <v>4261527.8099999996</v>
      </c>
      <c r="CK75" s="1684">
        <v>100</v>
      </c>
      <c r="CL75" s="1410"/>
      <c r="CM75" s="1682"/>
      <c r="CN75" s="1400"/>
      <c r="CO75" s="1326"/>
      <c r="CP75" s="1682"/>
      <c r="CQ75" s="1684">
        <v>2997067.88</v>
      </c>
      <c r="CR75" s="1684">
        <v>2997067.88</v>
      </c>
      <c r="CS75" s="1684">
        <v>0</v>
      </c>
      <c r="CT75" s="1326"/>
      <c r="CU75" s="1682"/>
      <c r="CV75" s="1684">
        <v>4261527.8099999996</v>
      </c>
      <c r="CW75" s="1684">
        <v>0</v>
      </c>
      <c r="CX75" s="1684">
        <v>0</v>
      </c>
      <c r="CY75" s="1684">
        <v>4250598.8099999996</v>
      </c>
      <c r="CZ75" s="1684">
        <v>0</v>
      </c>
      <c r="DA75" s="1684">
        <v>8509</v>
      </c>
      <c r="DB75" s="1684">
        <v>2420</v>
      </c>
      <c r="DC75" s="1684">
        <v>0</v>
      </c>
      <c r="DD75" s="1684">
        <v>4261527.8099999996</v>
      </c>
      <c r="DE75" s="1684">
        <v>2997067.88</v>
      </c>
      <c r="DF75" s="1684">
        <v>2997067.88</v>
      </c>
      <c r="DG75" s="1684">
        <v>0</v>
      </c>
      <c r="DH75" s="1684">
        <v>1264459.93</v>
      </c>
      <c r="DI75" s="1684">
        <v>1264459.93</v>
      </c>
      <c r="DJ75" s="1684">
        <v>62660</v>
      </c>
      <c r="DK75" s="1684">
        <v>1201799.93</v>
      </c>
      <c r="DL75" s="1684">
        <v>0</v>
      </c>
      <c r="DM75" s="1684">
        <v>0</v>
      </c>
      <c r="DN75" s="1684">
        <v>0</v>
      </c>
      <c r="DO75" s="1684">
        <v>0</v>
      </c>
      <c r="DP75" s="1684">
        <v>0</v>
      </c>
      <c r="DQ75" s="1326"/>
      <c r="DR75" s="1400"/>
      <c r="DS75" s="1326"/>
      <c r="DT75" s="1682"/>
      <c r="DU75" s="1326"/>
      <c r="DV75" s="1682"/>
    </row>
    <row r="76" spans="1:126">
      <c r="A76" s="1326" t="s">
        <v>2093</v>
      </c>
      <c r="B76" s="1326" t="s">
        <v>1697</v>
      </c>
      <c r="C76" s="1326" t="s">
        <v>2559</v>
      </c>
      <c r="D76" s="1326" t="s">
        <v>2560</v>
      </c>
      <c r="E76" s="1326" t="s">
        <v>141</v>
      </c>
      <c r="F76" s="1326" t="s">
        <v>292</v>
      </c>
      <c r="G76" s="1326"/>
      <c r="H76" s="1326"/>
      <c r="I76" s="1326"/>
      <c r="J76" s="1326"/>
      <c r="K76" s="1682"/>
      <c r="L76" s="1682"/>
      <c r="M76" s="1326"/>
      <c r="N76" s="1326"/>
      <c r="O76" s="1326"/>
      <c r="P76" s="1326"/>
      <c r="Q76" s="1326"/>
      <c r="R76" s="1326"/>
      <c r="S76" s="1326"/>
      <c r="T76" s="1326"/>
      <c r="U76" s="1326"/>
      <c r="V76" s="1326"/>
      <c r="W76" s="1326"/>
      <c r="X76" s="1326"/>
      <c r="Y76" s="1326"/>
      <c r="Z76" s="1326"/>
      <c r="AA76" s="1326"/>
      <c r="AB76" s="1326"/>
      <c r="AC76" s="1326"/>
      <c r="AD76" s="1326"/>
      <c r="AE76" s="1326"/>
      <c r="AF76" s="1326"/>
      <c r="AG76" s="1326"/>
      <c r="AH76" s="1326"/>
      <c r="AI76" s="1326"/>
      <c r="AJ76" s="1326"/>
      <c r="AK76" s="1326"/>
      <c r="AL76" s="1326"/>
      <c r="AM76" s="1400"/>
      <c r="AN76" s="1326"/>
      <c r="AO76" s="1326"/>
      <c r="AP76" s="1326"/>
      <c r="AQ76" s="1326"/>
      <c r="AR76" s="1326"/>
      <c r="AS76" s="1326"/>
      <c r="AT76" s="1326"/>
      <c r="AU76" s="1326"/>
      <c r="AV76" s="1326"/>
      <c r="AW76" s="1326"/>
      <c r="AX76" s="1326"/>
      <c r="AY76" s="1326"/>
      <c r="AZ76" s="1326"/>
      <c r="BA76" s="1326"/>
      <c r="BB76" s="1326"/>
      <c r="BC76" s="1326"/>
      <c r="BD76" s="1326"/>
      <c r="BE76" s="1326"/>
      <c r="BF76" s="1326"/>
      <c r="BG76" s="1326"/>
      <c r="BH76" s="1326"/>
      <c r="BI76" s="1326"/>
      <c r="BJ76" s="1326"/>
      <c r="BK76" s="1326"/>
      <c r="BL76" s="1326"/>
      <c r="BM76" s="1326"/>
      <c r="BN76" s="1400"/>
      <c r="BO76" s="1682"/>
      <c r="BP76" s="1682"/>
      <c r="BQ76" s="1326"/>
      <c r="BR76" s="1682"/>
      <c r="BS76" s="1326"/>
      <c r="BT76" s="1326"/>
      <c r="BU76" s="1400"/>
      <c r="BV76" s="1683">
        <v>480955.76</v>
      </c>
      <c r="BW76" s="1682"/>
      <c r="BX76" s="1682"/>
      <c r="BY76" s="1326"/>
      <c r="BZ76" s="1326"/>
      <c r="CA76" s="1326"/>
      <c r="CB76" s="1326"/>
      <c r="CC76" s="1326"/>
      <c r="CD76" s="1684">
        <v>4823782.67</v>
      </c>
      <c r="CE76" s="1684">
        <v>4261527.8099999996</v>
      </c>
      <c r="CF76" s="1684">
        <v>2997067.88</v>
      </c>
      <c r="CG76" s="1684">
        <v>70.33</v>
      </c>
      <c r="CH76" s="1684">
        <v>1264459.93</v>
      </c>
      <c r="CI76" s="1684">
        <v>29.67</v>
      </c>
      <c r="CJ76" s="1684">
        <v>4261527.8099999996</v>
      </c>
      <c r="CK76" s="1684">
        <v>100</v>
      </c>
      <c r="CL76" s="1410"/>
      <c r="CM76" s="1682"/>
      <c r="CN76" s="1400"/>
      <c r="CO76" s="1326"/>
      <c r="CP76" s="1682"/>
      <c r="CQ76" s="1684">
        <v>2997067.88</v>
      </c>
      <c r="CR76" s="1684">
        <v>2997067.88</v>
      </c>
      <c r="CS76" s="1684">
        <v>0</v>
      </c>
      <c r="CT76" s="1326"/>
      <c r="CU76" s="1682"/>
      <c r="CV76" s="1684">
        <v>4261527.8099999996</v>
      </c>
      <c r="CW76" s="1684">
        <v>0</v>
      </c>
      <c r="CX76" s="1684">
        <v>0</v>
      </c>
      <c r="CY76" s="1684">
        <v>4250598.8099999996</v>
      </c>
      <c r="CZ76" s="1684">
        <v>0</v>
      </c>
      <c r="DA76" s="1684">
        <v>8509</v>
      </c>
      <c r="DB76" s="1684">
        <v>2420</v>
      </c>
      <c r="DC76" s="1684">
        <v>0</v>
      </c>
      <c r="DD76" s="1684">
        <v>4261527.8099999996</v>
      </c>
      <c r="DE76" s="1684">
        <v>2997067.88</v>
      </c>
      <c r="DF76" s="1684">
        <v>2997067.88</v>
      </c>
      <c r="DG76" s="1684">
        <v>0</v>
      </c>
      <c r="DH76" s="1684">
        <v>1264459.93</v>
      </c>
      <c r="DI76" s="1684">
        <v>1264459.93</v>
      </c>
      <c r="DJ76" s="1684">
        <v>62660</v>
      </c>
      <c r="DK76" s="1684">
        <v>1201799.93</v>
      </c>
      <c r="DL76" s="1684">
        <v>0</v>
      </c>
      <c r="DM76" s="1684">
        <v>0</v>
      </c>
      <c r="DN76" s="1684">
        <v>0</v>
      </c>
      <c r="DO76" s="1684">
        <v>0</v>
      </c>
      <c r="DP76" s="1684">
        <v>0</v>
      </c>
      <c r="DQ76" s="1326"/>
      <c r="DR76" s="1400"/>
      <c r="DS76" s="1326"/>
      <c r="DT76" s="1682"/>
      <c r="DU76" s="1326"/>
      <c r="DV76" s="1682"/>
    </row>
    <row r="77" spans="1:126" ht="67.5">
      <c r="A77" s="1326" t="s">
        <v>2094</v>
      </c>
      <c r="B77" s="1326" t="s">
        <v>1697</v>
      </c>
      <c r="C77" s="1326" t="s">
        <v>2559</v>
      </c>
      <c r="D77" s="1326" t="s">
        <v>2560</v>
      </c>
      <c r="E77" s="1326" t="s">
        <v>141</v>
      </c>
      <c r="F77" s="1326" t="s">
        <v>292</v>
      </c>
      <c r="G77" s="1326" t="s">
        <v>2539</v>
      </c>
      <c r="H77" s="1326" t="s">
        <v>2540</v>
      </c>
      <c r="I77" s="1326" t="s">
        <v>2541</v>
      </c>
      <c r="J77" s="1326" t="s">
        <v>717</v>
      </c>
      <c r="K77" s="1685">
        <v>42851</v>
      </c>
      <c r="L77" s="1685">
        <v>42920</v>
      </c>
      <c r="M77" s="1326" t="s">
        <v>2152</v>
      </c>
      <c r="N77" s="1326" t="s">
        <v>2137</v>
      </c>
      <c r="O77" s="1326" t="s">
        <v>2971</v>
      </c>
      <c r="P77" s="1326" t="s">
        <v>2757</v>
      </c>
      <c r="Q77" s="1326" t="s">
        <v>1713</v>
      </c>
      <c r="R77" s="1326" t="s">
        <v>2757</v>
      </c>
      <c r="S77" s="1326" t="s">
        <v>2757</v>
      </c>
      <c r="T77" s="1326"/>
      <c r="U77" s="1326" t="s">
        <v>2758</v>
      </c>
      <c r="V77" s="1326" t="s">
        <v>2785</v>
      </c>
      <c r="W77" s="1326" t="s">
        <v>2757</v>
      </c>
      <c r="X77" s="1326"/>
      <c r="Y77" s="1326" t="s">
        <v>2757</v>
      </c>
      <c r="Z77" s="1326"/>
      <c r="AA77" s="1326"/>
      <c r="AB77" s="1326" t="s">
        <v>2757</v>
      </c>
      <c r="AC77" s="1326" t="s">
        <v>2757</v>
      </c>
      <c r="AD77" s="1326" t="s">
        <v>2757</v>
      </c>
      <c r="AE77" s="1326"/>
      <c r="AF77" s="1326" t="s">
        <v>2789</v>
      </c>
      <c r="AG77" s="1326" t="s">
        <v>2790</v>
      </c>
      <c r="AH77" s="1326" t="s">
        <v>2791</v>
      </c>
      <c r="AI77" s="1326" t="s">
        <v>2762</v>
      </c>
      <c r="AJ77" s="1326" t="s">
        <v>2763</v>
      </c>
      <c r="AK77" s="1326" t="s">
        <v>2972</v>
      </c>
      <c r="AL77" s="1326" t="s">
        <v>2973</v>
      </c>
      <c r="AM77" s="1683">
        <v>100</v>
      </c>
      <c r="AN77" s="1326"/>
      <c r="AO77" s="1326"/>
      <c r="AP77" s="1326"/>
      <c r="AQ77" s="1326"/>
      <c r="AR77" s="1326"/>
      <c r="AS77" s="1326"/>
      <c r="AT77" s="1326" t="s">
        <v>2794</v>
      </c>
      <c r="AU77" s="1326" t="s">
        <v>2795</v>
      </c>
      <c r="AV77" s="1326" t="s">
        <v>2974</v>
      </c>
      <c r="AW77" s="1326"/>
      <c r="AX77" s="1326" t="s">
        <v>2797</v>
      </c>
      <c r="AY77" s="1326" t="s">
        <v>2798</v>
      </c>
      <c r="AZ77" s="1326" t="s">
        <v>345</v>
      </c>
      <c r="BA77" s="1326" t="s">
        <v>2799</v>
      </c>
      <c r="BB77" s="1326" t="s">
        <v>2757</v>
      </c>
      <c r="BC77" s="1326" t="s">
        <v>2800</v>
      </c>
      <c r="BD77" s="1326" t="s">
        <v>2773</v>
      </c>
      <c r="BE77" s="1326" t="s">
        <v>2801</v>
      </c>
      <c r="BF77" s="1326" t="s">
        <v>2938</v>
      </c>
      <c r="BG77" s="1326" t="s">
        <v>2939</v>
      </c>
      <c r="BH77" s="1326" t="s">
        <v>2804</v>
      </c>
      <c r="BI77" s="1326" t="s">
        <v>2805</v>
      </c>
      <c r="BJ77" s="1326" t="s">
        <v>2806</v>
      </c>
      <c r="BK77" s="1326" t="s">
        <v>2794</v>
      </c>
      <c r="BL77" s="1326" t="s">
        <v>2757</v>
      </c>
      <c r="BM77" s="1326" t="s">
        <v>2757</v>
      </c>
      <c r="BN77" s="1683">
        <v>0</v>
      </c>
      <c r="BO77" s="1685">
        <v>41751</v>
      </c>
      <c r="BP77" s="1685">
        <v>43373</v>
      </c>
      <c r="BQ77" s="1326" t="s">
        <v>2779</v>
      </c>
      <c r="BR77" s="1685">
        <v>45657</v>
      </c>
      <c r="BS77" s="1326" t="s">
        <v>2807</v>
      </c>
      <c r="BT77" s="1326" t="s">
        <v>2975</v>
      </c>
      <c r="BU77" s="1683">
        <v>0</v>
      </c>
      <c r="BV77" s="1683">
        <v>0</v>
      </c>
      <c r="BW77" s="1685">
        <v>43403</v>
      </c>
      <c r="BX77" s="1685">
        <v>43447</v>
      </c>
      <c r="BY77" s="1326" t="s">
        <v>2052</v>
      </c>
      <c r="BZ77" s="1326" t="s">
        <v>2783</v>
      </c>
      <c r="CA77" s="1326" t="s">
        <v>2783</v>
      </c>
      <c r="CB77" s="1326" t="s">
        <v>2783</v>
      </c>
      <c r="CC77" s="1326" t="s">
        <v>2809</v>
      </c>
      <c r="CD77" s="1684">
        <v>1028779.4</v>
      </c>
      <c r="CE77" s="1684">
        <v>879927.06</v>
      </c>
      <c r="CF77" s="1684">
        <v>747938</v>
      </c>
      <c r="CG77" s="1684">
        <v>85</v>
      </c>
      <c r="CH77" s="1684">
        <v>131989.06</v>
      </c>
      <c r="CI77" s="1684">
        <v>15</v>
      </c>
      <c r="CJ77" s="1684">
        <v>879927.06</v>
      </c>
      <c r="CK77" s="1684">
        <v>100</v>
      </c>
      <c r="CL77" s="1410" t="s">
        <v>2785</v>
      </c>
      <c r="CM77" s="1686">
        <v>42880</v>
      </c>
      <c r="CN77" s="1400"/>
      <c r="CO77" s="1326"/>
      <c r="CP77" s="1682"/>
      <c r="CQ77" s="1684">
        <v>747938</v>
      </c>
      <c r="CR77" s="1684">
        <v>747938</v>
      </c>
      <c r="CS77" s="1684">
        <v>0</v>
      </c>
      <c r="CT77" s="1326" t="s">
        <v>2785</v>
      </c>
      <c r="CU77" s="1686">
        <v>42891</v>
      </c>
      <c r="CV77" s="1684">
        <v>879927.06</v>
      </c>
      <c r="CW77" s="1684">
        <v>0</v>
      </c>
      <c r="CX77" s="1684">
        <v>0</v>
      </c>
      <c r="CY77" s="1684">
        <v>876418.06</v>
      </c>
      <c r="CZ77" s="1684">
        <v>0</v>
      </c>
      <c r="DA77" s="1684">
        <v>3509</v>
      </c>
      <c r="DB77" s="1684">
        <v>0</v>
      </c>
      <c r="DC77" s="1684">
        <v>0</v>
      </c>
      <c r="DD77" s="1684">
        <v>879927.06</v>
      </c>
      <c r="DE77" s="1684">
        <v>747938</v>
      </c>
      <c r="DF77" s="1684">
        <v>747938</v>
      </c>
      <c r="DG77" s="1684">
        <v>0</v>
      </c>
      <c r="DH77" s="1684">
        <v>131989.06</v>
      </c>
      <c r="DI77" s="1684">
        <v>131989.06</v>
      </c>
      <c r="DJ77" s="1684">
        <v>0</v>
      </c>
      <c r="DK77" s="1684">
        <v>131989.06</v>
      </c>
      <c r="DL77" s="1684">
        <v>0</v>
      </c>
      <c r="DM77" s="1684">
        <v>0</v>
      </c>
      <c r="DN77" s="1684">
        <v>0</v>
      </c>
      <c r="DO77" s="1684">
        <v>0</v>
      </c>
      <c r="DP77" s="1684">
        <v>0</v>
      </c>
      <c r="DQ77" s="1326" t="s">
        <v>2810</v>
      </c>
      <c r="DR77" s="1684">
        <v>0</v>
      </c>
      <c r="DS77" s="1326" t="s">
        <v>2757</v>
      </c>
      <c r="DT77" s="1682"/>
      <c r="DU77" s="1326" t="s">
        <v>2757</v>
      </c>
      <c r="DV77" s="1682"/>
    </row>
    <row r="78" spans="1:126" ht="67.5">
      <c r="A78" s="1326" t="s">
        <v>2095</v>
      </c>
      <c r="B78" s="1326" t="s">
        <v>1697</v>
      </c>
      <c r="C78" s="1326" t="s">
        <v>2559</v>
      </c>
      <c r="D78" s="1326" t="s">
        <v>2560</v>
      </c>
      <c r="E78" s="1326" t="s">
        <v>141</v>
      </c>
      <c r="F78" s="1326" t="s">
        <v>292</v>
      </c>
      <c r="G78" s="1326" t="s">
        <v>2539</v>
      </c>
      <c r="H78" s="1326" t="s">
        <v>2540</v>
      </c>
      <c r="I78" s="1326" t="s">
        <v>2541</v>
      </c>
      <c r="J78" s="1326" t="s">
        <v>718</v>
      </c>
      <c r="K78" s="1685">
        <v>42887</v>
      </c>
      <c r="L78" s="1685">
        <v>42992</v>
      </c>
      <c r="M78" s="1326" t="s">
        <v>2160</v>
      </c>
      <c r="N78" s="1326" t="s">
        <v>2061</v>
      </c>
      <c r="O78" s="1326" t="s">
        <v>2976</v>
      </c>
      <c r="P78" s="1326" t="s">
        <v>2757</v>
      </c>
      <c r="Q78" s="1326" t="s">
        <v>1735</v>
      </c>
      <c r="R78" s="1326" t="s">
        <v>2757</v>
      </c>
      <c r="S78" s="1326" t="s">
        <v>2757</v>
      </c>
      <c r="T78" s="1326"/>
      <c r="U78" s="1326" t="s">
        <v>2758</v>
      </c>
      <c r="V78" s="1326" t="s">
        <v>2785</v>
      </c>
      <c r="W78" s="1326" t="s">
        <v>2757</v>
      </c>
      <c r="X78" s="1326"/>
      <c r="Y78" s="1326" t="s">
        <v>2757</v>
      </c>
      <c r="Z78" s="1326"/>
      <c r="AA78" s="1326"/>
      <c r="AB78" s="1326" t="s">
        <v>2757</v>
      </c>
      <c r="AC78" s="1326" t="s">
        <v>2757</v>
      </c>
      <c r="AD78" s="1326" t="s">
        <v>2757</v>
      </c>
      <c r="AE78" s="1326"/>
      <c r="AF78" s="1326" t="s">
        <v>2789</v>
      </c>
      <c r="AG78" s="1326" t="s">
        <v>2790</v>
      </c>
      <c r="AH78" s="1326" t="s">
        <v>2791</v>
      </c>
      <c r="AI78" s="1326" t="s">
        <v>2762</v>
      </c>
      <c r="AJ78" s="1326" t="s">
        <v>2763</v>
      </c>
      <c r="AK78" s="1326" t="s">
        <v>2972</v>
      </c>
      <c r="AL78" s="1326" t="s">
        <v>2973</v>
      </c>
      <c r="AM78" s="1683">
        <v>100</v>
      </c>
      <c r="AN78" s="1326"/>
      <c r="AO78" s="1326"/>
      <c r="AP78" s="1326"/>
      <c r="AQ78" s="1326"/>
      <c r="AR78" s="1326"/>
      <c r="AS78" s="1326"/>
      <c r="AT78" s="1326" t="s">
        <v>2766</v>
      </c>
      <c r="AU78" s="1326" t="s">
        <v>2795</v>
      </c>
      <c r="AV78" s="1326" t="s">
        <v>2974</v>
      </c>
      <c r="AW78" s="1326"/>
      <c r="AX78" s="1326" t="s">
        <v>2797</v>
      </c>
      <c r="AY78" s="1326" t="s">
        <v>2798</v>
      </c>
      <c r="AZ78" s="1326" t="s">
        <v>282</v>
      </c>
      <c r="BA78" s="1326" t="s">
        <v>2820</v>
      </c>
      <c r="BB78" s="1326" t="s">
        <v>2757</v>
      </c>
      <c r="BC78" s="1326" t="s">
        <v>2800</v>
      </c>
      <c r="BD78" s="1326" t="s">
        <v>2773</v>
      </c>
      <c r="BE78" s="1326" t="s">
        <v>2942</v>
      </c>
      <c r="BF78" s="1326" t="s">
        <v>2822</v>
      </c>
      <c r="BG78" s="1326" t="s">
        <v>2823</v>
      </c>
      <c r="BH78" s="1326" t="s">
        <v>2804</v>
      </c>
      <c r="BI78" s="1326" t="s">
        <v>2805</v>
      </c>
      <c r="BJ78" s="1326" t="s">
        <v>2824</v>
      </c>
      <c r="BK78" s="1326" t="s">
        <v>2766</v>
      </c>
      <c r="BL78" s="1326" t="s">
        <v>2757</v>
      </c>
      <c r="BM78" s="1326" t="s">
        <v>2757</v>
      </c>
      <c r="BN78" s="1683">
        <v>0</v>
      </c>
      <c r="BO78" s="1685">
        <v>41975</v>
      </c>
      <c r="BP78" s="1685">
        <v>44074</v>
      </c>
      <c r="BQ78" s="1326" t="s">
        <v>2779</v>
      </c>
      <c r="BR78" s="1685">
        <v>46387</v>
      </c>
      <c r="BS78" s="1326" t="s">
        <v>2825</v>
      </c>
      <c r="BT78" s="1326" t="s">
        <v>2977</v>
      </c>
      <c r="BU78" s="1683">
        <v>30</v>
      </c>
      <c r="BV78" s="1683">
        <v>213043.20000000001</v>
      </c>
      <c r="BW78" s="1685">
        <v>44104</v>
      </c>
      <c r="BX78" s="1682"/>
      <c r="BY78" s="1326" t="s">
        <v>2052</v>
      </c>
      <c r="BZ78" s="1326" t="s">
        <v>2783</v>
      </c>
      <c r="CA78" s="1326" t="s">
        <v>2783</v>
      </c>
      <c r="CB78" s="1326" t="s">
        <v>2783</v>
      </c>
      <c r="CC78" s="1326" t="s">
        <v>2809</v>
      </c>
      <c r="CD78" s="1684">
        <v>852966.65</v>
      </c>
      <c r="CE78" s="1684">
        <v>835464</v>
      </c>
      <c r="CF78" s="1684">
        <v>710144</v>
      </c>
      <c r="CG78" s="1684">
        <v>85</v>
      </c>
      <c r="CH78" s="1684">
        <v>125320</v>
      </c>
      <c r="CI78" s="1684">
        <v>15</v>
      </c>
      <c r="CJ78" s="1684">
        <v>835464</v>
      </c>
      <c r="CK78" s="1684">
        <v>100</v>
      </c>
      <c r="CL78" s="1410" t="s">
        <v>2785</v>
      </c>
      <c r="CM78" s="1686">
        <v>42944</v>
      </c>
      <c r="CN78" s="1400"/>
      <c r="CO78" s="1326"/>
      <c r="CP78" s="1682"/>
      <c r="CQ78" s="1684">
        <v>710144</v>
      </c>
      <c r="CR78" s="1684">
        <v>710144</v>
      </c>
      <c r="CS78" s="1684">
        <v>0</v>
      </c>
      <c r="CT78" s="1326" t="s">
        <v>2785</v>
      </c>
      <c r="CU78" s="1686">
        <v>42993</v>
      </c>
      <c r="CV78" s="1684">
        <v>835464</v>
      </c>
      <c r="CW78" s="1684">
        <v>0</v>
      </c>
      <c r="CX78" s="1684">
        <v>0</v>
      </c>
      <c r="CY78" s="1684">
        <v>828044</v>
      </c>
      <c r="CZ78" s="1684">
        <v>0</v>
      </c>
      <c r="DA78" s="1684">
        <v>5000</v>
      </c>
      <c r="DB78" s="1684">
        <v>2420</v>
      </c>
      <c r="DC78" s="1684">
        <v>0</v>
      </c>
      <c r="DD78" s="1684">
        <v>835464</v>
      </c>
      <c r="DE78" s="1684">
        <v>710144</v>
      </c>
      <c r="DF78" s="1684">
        <v>710144</v>
      </c>
      <c r="DG78" s="1684">
        <v>0</v>
      </c>
      <c r="DH78" s="1684">
        <v>125320</v>
      </c>
      <c r="DI78" s="1684">
        <v>125320</v>
      </c>
      <c r="DJ78" s="1684">
        <v>62660</v>
      </c>
      <c r="DK78" s="1684">
        <v>62660</v>
      </c>
      <c r="DL78" s="1684">
        <v>0</v>
      </c>
      <c r="DM78" s="1684">
        <v>0</v>
      </c>
      <c r="DN78" s="1684">
        <v>0</v>
      </c>
      <c r="DO78" s="1684">
        <v>0</v>
      </c>
      <c r="DP78" s="1684">
        <v>0</v>
      </c>
      <c r="DQ78" s="1326" t="s">
        <v>2810</v>
      </c>
      <c r="DR78" s="1684">
        <v>0</v>
      </c>
      <c r="DS78" s="1326" t="s">
        <v>2757</v>
      </c>
      <c r="DT78" s="1682"/>
      <c r="DU78" s="1326" t="s">
        <v>2757</v>
      </c>
      <c r="DV78" s="1682"/>
    </row>
    <row r="79" spans="1:126" ht="90">
      <c r="A79" s="1326" t="s">
        <v>2027</v>
      </c>
      <c r="B79" s="1326" t="s">
        <v>1697</v>
      </c>
      <c r="C79" s="1326" t="s">
        <v>2559</v>
      </c>
      <c r="D79" s="1326" t="s">
        <v>2560</v>
      </c>
      <c r="E79" s="1326" t="s">
        <v>141</v>
      </c>
      <c r="F79" s="1326" t="s">
        <v>292</v>
      </c>
      <c r="G79" s="1326" t="s">
        <v>2539</v>
      </c>
      <c r="H79" s="1326" t="s">
        <v>2540</v>
      </c>
      <c r="I79" s="1326" t="s">
        <v>2541</v>
      </c>
      <c r="J79" s="1326" t="s">
        <v>1590</v>
      </c>
      <c r="K79" s="1685">
        <v>43130</v>
      </c>
      <c r="L79" s="1685">
        <v>43217</v>
      </c>
      <c r="M79" s="1326" t="s">
        <v>2978</v>
      </c>
      <c r="N79" s="1326" t="s">
        <v>2061</v>
      </c>
      <c r="O79" s="1326" t="s">
        <v>2979</v>
      </c>
      <c r="P79" s="1326" t="s">
        <v>2757</v>
      </c>
      <c r="Q79" s="1326" t="s">
        <v>1716</v>
      </c>
      <c r="R79" s="1326" t="s">
        <v>2757</v>
      </c>
      <c r="S79" s="1326" t="s">
        <v>2757</v>
      </c>
      <c r="T79" s="1326"/>
      <c r="U79" s="1326" t="s">
        <v>2758</v>
      </c>
      <c r="V79" s="1326" t="s">
        <v>2785</v>
      </c>
      <c r="W79" s="1326" t="s">
        <v>2757</v>
      </c>
      <c r="X79" s="1326"/>
      <c r="Y79" s="1326" t="s">
        <v>2757</v>
      </c>
      <c r="Z79" s="1326"/>
      <c r="AA79" s="1326"/>
      <c r="AB79" s="1326" t="s">
        <v>2757</v>
      </c>
      <c r="AC79" s="1326" t="s">
        <v>2757</v>
      </c>
      <c r="AD79" s="1326" t="s">
        <v>2757</v>
      </c>
      <c r="AE79" s="1326"/>
      <c r="AF79" s="1326" t="s">
        <v>2789</v>
      </c>
      <c r="AG79" s="1326" t="s">
        <v>2790</v>
      </c>
      <c r="AH79" s="1326" t="s">
        <v>2791</v>
      </c>
      <c r="AI79" s="1326" t="s">
        <v>2762</v>
      </c>
      <c r="AJ79" s="1326" t="s">
        <v>2763</v>
      </c>
      <c r="AK79" s="1326" t="s">
        <v>2972</v>
      </c>
      <c r="AL79" s="1326" t="s">
        <v>2973</v>
      </c>
      <c r="AM79" s="1683">
        <v>100</v>
      </c>
      <c r="AN79" s="1326"/>
      <c r="AO79" s="1326"/>
      <c r="AP79" s="1326"/>
      <c r="AQ79" s="1326"/>
      <c r="AR79" s="1326"/>
      <c r="AS79" s="1326"/>
      <c r="AT79" s="1326" t="s">
        <v>2766</v>
      </c>
      <c r="AU79" s="1326" t="s">
        <v>2795</v>
      </c>
      <c r="AV79" s="1326" t="s">
        <v>2974</v>
      </c>
      <c r="AW79" s="1326"/>
      <c r="AX79" s="1326" t="s">
        <v>2797</v>
      </c>
      <c r="AY79" s="1326" t="s">
        <v>2798</v>
      </c>
      <c r="AZ79" s="1326" t="s">
        <v>161</v>
      </c>
      <c r="BA79" s="1326" t="s">
        <v>2812</v>
      </c>
      <c r="BB79" s="1326" t="s">
        <v>2757</v>
      </c>
      <c r="BC79" s="1326" t="s">
        <v>2800</v>
      </c>
      <c r="BD79" s="1326" t="s">
        <v>2773</v>
      </c>
      <c r="BE79" s="1326" t="s">
        <v>2813</v>
      </c>
      <c r="BF79" s="1326" t="s">
        <v>2814</v>
      </c>
      <c r="BG79" s="1326" t="s">
        <v>2815</v>
      </c>
      <c r="BH79" s="1326" t="s">
        <v>2804</v>
      </c>
      <c r="BI79" s="1326" t="s">
        <v>2805</v>
      </c>
      <c r="BJ79" s="1326" t="s">
        <v>2816</v>
      </c>
      <c r="BK79" s="1326" t="s">
        <v>2766</v>
      </c>
      <c r="BL79" s="1326" t="s">
        <v>2757</v>
      </c>
      <c r="BM79" s="1326" t="s">
        <v>2757</v>
      </c>
      <c r="BN79" s="1683">
        <v>0</v>
      </c>
      <c r="BO79" s="1685">
        <v>42765</v>
      </c>
      <c r="BP79" s="1685">
        <v>43738</v>
      </c>
      <c r="BQ79" s="1326" t="s">
        <v>2779</v>
      </c>
      <c r="BR79" s="1685">
        <v>46022</v>
      </c>
      <c r="BS79" s="1326" t="s">
        <v>2817</v>
      </c>
      <c r="BT79" s="1326" t="s">
        <v>2980</v>
      </c>
      <c r="BU79" s="1683">
        <v>0</v>
      </c>
      <c r="BV79" s="1683">
        <v>0</v>
      </c>
      <c r="BW79" s="1685">
        <v>43768</v>
      </c>
      <c r="BX79" s="1682"/>
      <c r="BY79" s="1326" t="s">
        <v>2052</v>
      </c>
      <c r="BZ79" s="1326" t="s">
        <v>2783</v>
      </c>
      <c r="CA79" s="1326" t="s">
        <v>2783</v>
      </c>
      <c r="CB79" s="1326" t="s">
        <v>2783</v>
      </c>
      <c r="CC79" s="1326" t="s">
        <v>2809</v>
      </c>
      <c r="CD79" s="1684">
        <v>857560.44</v>
      </c>
      <c r="CE79" s="1684">
        <v>759934</v>
      </c>
      <c r="CF79" s="1684">
        <v>645944</v>
      </c>
      <c r="CG79" s="1684">
        <v>85</v>
      </c>
      <c r="CH79" s="1684">
        <v>113990</v>
      </c>
      <c r="CI79" s="1684">
        <v>15</v>
      </c>
      <c r="CJ79" s="1684">
        <v>759934</v>
      </c>
      <c r="CK79" s="1684">
        <v>100</v>
      </c>
      <c r="CL79" s="1410" t="s">
        <v>2785</v>
      </c>
      <c r="CM79" s="1686">
        <v>43179</v>
      </c>
      <c r="CN79" s="1400"/>
      <c r="CO79" s="1326"/>
      <c r="CP79" s="1682"/>
      <c r="CQ79" s="1684">
        <v>645944</v>
      </c>
      <c r="CR79" s="1684">
        <v>645944</v>
      </c>
      <c r="CS79" s="1684">
        <v>0</v>
      </c>
      <c r="CT79" s="1326" t="s">
        <v>2785</v>
      </c>
      <c r="CU79" s="1686">
        <v>43187</v>
      </c>
      <c r="CV79" s="1684">
        <v>759934</v>
      </c>
      <c r="CW79" s="1684">
        <v>0</v>
      </c>
      <c r="CX79" s="1684">
        <v>0</v>
      </c>
      <c r="CY79" s="1684">
        <v>759934</v>
      </c>
      <c r="CZ79" s="1684">
        <v>0</v>
      </c>
      <c r="DA79" s="1684">
        <v>0</v>
      </c>
      <c r="DB79" s="1684">
        <v>0</v>
      </c>
      <c r="DC79" s="1684">
        <v>0</v>
      </c>
      <c r="DD79" s="1684">
        <v>759934</v>
      </c>
      <c r="DE79" s="1684">
        <v>645944</v>
      </c>
      <c r="DF79" s="1684">
        <v>645944</v>
      </c>
      <c r="DG79" s="1684">
        <v>0</v>
      </c>
      <c r="DH79" s="1684">
        <v>113990</v>
      </c>
      <c r="DI79" s="1684">
        <v>113990</v>
      </c>
      <c r="DJ79" s="1684">
        <v>0</v>
      </c>
      <c r="DK79" s="1684">
        <v>113990</v>
      </c>
      <c r="DL79" s="1684">
        <v>0</v>
      </c>
      <c r="DM79" s="1684">
        <v>0</v>
      </c>
      <c r="DN79" s="1684">
        <v>0</v>
      </c>
      <c r="DO79" s="1684">
        <v>0</v>
      </c>
      <c r="DP79" s="1684">
        <v>0</v>
      </c>
      <c r="DQ79" s="1326" t="s">
        <v>2810</v>
      </c>
      <c r="DR79" s="1684">
        <v>0</v>
      </c>
      <c r="DS79" s="1326" t="s">
        <v>2757</v>
      </c>
      <c r="DT79" s="1682"/>
      <c r="DU79" s="1326" t="s">
        <v>2757</v>
      </c>
      <c r="DV79" s="1682"/>
    </row>
    <row r="80" spans="1:126" ht="67.5">
      <c r="A80" s="1326" t="s">
        <v>2028</v>
      </c>
      <c r="B80" s="1326" t="s">
        <v>1697</v>
      </c>
      <c r="C80" s="1326" t="s">
        <v>2559</v>
      </c>
      <c r="D80" s="1326" t="s">
        <v>2560</v>
      </c>
      <c r="E80" s="1326" t="s">
        <v>141</v>
      </c>
      <c r="F80" s="1326" t="s">
        <v>292</v>
      </c>
      <c r="G80" s="1326" t="s">
        <v>2539</v>
      </c>
      <c r="H80" s="1326" t="s">
        <v>2540</v>
      </c>
      <c r="I80" s="1326" t="s">
        <v>2541</v>
      </c>
      <c r="J80" s="1326" t="s">
        <v>1589</v>
      </c>
      <c r="K80" s="1685">
        <v>43270</v>
      </c>
      <c r="L80" s="1685">
        <v>43367</v>
      </c>
      <c r="M80" s="1326" t="s">
        <v>2981</v>
      </c>
      <c r="N80" s="1326" t="s">
        <v>2061</v>
      </c>
      <c r="O80" s="1326" t="s">
        <v>2982</v>
      </c>
      <c r="P80" s="1326" t="s">
        <v>2757</v>
      </c>
      <c r="Q80" s="1326" t="s">
        <v>1709</v>
      </c>
      <c r="R80" s="1326" t="s">
        <v>2757</v>
      </c>
      <c r="S80" s="1326" t="s">
        <v>2757</v>
      </c>
      <c r="T80" s="1326"/>
      <c r="U80" s="1326" t="s">
        <v>2758</v>
      </c>
      <c r="V80" s="1326" t="s">
        <v>2757</v>
      </c>
      <c r="W80" s="1326" t="s">
        <v>2757</v>
      </c>
      <c r="X80" s="1326"/>
      <c r="Y80" s="1326" t="s">
        <v>2757</v>
      </c>
      <c r="Z80" s="1326"/>
      <c r="AA80" s="1326"/>
      <c r="AB80" s="1326" t="s">
        <v>2757</v>
      </c>
      <c r="AC80" s="1326" t="s">
        <v>2757</v>
      </c>
      <c r="AD80" s="1326" t="s">
        <v>2757</v>
      </c>
      <c r="AE80" s="1326"/>
      <c r="AF80" s="1326" t="s">
        <v>2789</v>
      </c>
      <c r="AG80" s="1326" t="s">
        <v>2790</v>
      </c>
      <c r="AH80" s="1326" t="s">
        <v>2791</v>
      </c>
      <c r="AI80" s="1326" t="s">
        <v>2762</v>
      </c>
      <c r="AJ80" s="1326" t="s">
        <v>2763</v>
      </c>
      <c r="AK80" s="1326" t="s">
        <v>2972</v>
      </c>
      <c r="AL80" s="1326" t="s">
        <v>2973</v>
      </c>
      <c r="AM80" s="1683">
        <v>100</v>
      </c>
      <c r="AN80" s="1326"/>
      <c r="AO80" s="1326"/>
      <c r="AP80" s="1326"/>
      <c r="AQ80" s="1326"/>
      <c r="AR80" s="1326"/>
      <c r="AS80" s="1326"/>
      <c r="AT80" s="1326" t="s">
        <v>2766</v>
      </c>
      <c r="AU80" s="1326" t="s">
        <v>2766</v>
      </c>
      <c r="AV80" s="1326" t="s">
        <v>2974</v>
      </c>
      <c r="AW80" s="1326"/>
      <c r="AX80" s="1326" t="s">
        <v>2797</v>
      </c>
      <c r="AY80" s="1326" t="s">
        <v>2798</v>
      </c>
      <c r="AZ80" s="1326" t="s">
        <v>184</v>
      </c>
      <c r="BA80" s="1326" t="s">
        <v>2828</v>
      </c>
      <c r="BB80" s="1326" t="s">
        <v>2757</v>
      </c>
      <c r="BC80" s="1326" t="s">
        <v>2800</v>
      </c>
      <c r="BD80" s="1326" t="s">
        <v>2773</v>
      </c>
      <c r="BE80" s="1326" t="s">
        <v>2829</v>
      </c>
      <c r="BF80" s="1326" t="s">
        <v>2830</v>
      </c>
      <c r="BG80" s="1326" t="s">
        <v>2831</v>
      </c>
      <c r="BH80" s="1326" t="s">
        <v>2804</v>
      </c>
      <c r="BI80" s="1326" t="s">
        <v>2805</v>
      </c>
      <c r="BJ80" s="1326" t="s">
        <v>2832</v>
      </c>
      <c r="BK80" s="1326" t="s">
        <v>2766</v>
      </c>
      <c r="BL80" s="1326" t="s">
        <v>2757</v>
      </c>
      <c r="BM80" s="1326" t="s">
        <v>2757</v>
      </c>
      <c r="BN80" s="1683">
        <v>0</v>
      </c>
      <c r="BO80" s="1685">
        <v>43123</v>
      </c>
      <c r="BP80" s="1685">
        <v>43738</v>
      </c>
      <c r="BQ80" s="1326" t="s">
        <v>2779</v>
      </c>
      <c r="BR80" s="1685">
        <v>46022</v>
      </c>
      <c r="BS80" s="1326" t="s">
        <v>2807</v>
      </c>
      <c r="BT80" s="1326" t="s">
        <v>2983</v>
      </c>
      <c r="BU80" s="1683">
        <v>30</v>
      </c>
      <c r="BV80" s="1683">
        <v>60253.2</v>
      </c>
      <c r="BW80" s="1685">
        <v>43768</v>
      </c>
      <c r="BX80" s="1682"/>
      <c r="BY80" s="1326" t="s">
        <v>2052</v>
      </c>
      <c r="BZ80" s="1326" t="s">
        <v>2783</v>
      </c>
      <c r="CA80" s="1326" t="s">
        <v>2783</v>
      </c>
      <c r="CB80" s="1326" t="s">
        <v>2783</v>
      </c>
      <c r="CC80" s="1326" t="s">
        <v>2913</v>
      </c>
      <c r="CD80" s="1684">
        <v>298372.40000000002</v>
      </c>
      <c r="CE80" s="1684">
        <v>274817.98</v>
      </c>
      <c r="CF80" s="1684">
        <v>200844</v>
      </c>
      <c r="CG80" s="1684">
        <v>73.08</v>
      </c>
      <c r="CH80" s="1684">
        <v>73973.98</v>
      </c>
      <c r="CI80" s="1684">
        <v>26.92</v>
      </c>
      <c r="CJ80" s="1684">
        <v>274817.98</v>
      </c>
      <c r="CK80" s="1684">
        <v>100</v>
      </c>
      <c r="CL80" s="1410" t="s">
        <v>2785</v>
      </c>
      <c r="CM80" s="1686">
        <v>43329</v>
      </c>
      <c r="CN80" s="1400"/>
      <c r="CO80" s="1326"/>
      <c r="CP80" s="1682"/>
      <c r="CQ80" s="1684">
        <v>200844</v>
      </c>
      <c r="CR80" s="1684">
        <v>200844</v>
      </c>
      <c r="CS80" s="1684">
        <v>0</v>
      </c>
      <c r="CT80" s="1326" t="s">
        <v>2785</v>
      </c>
      <c r="CU80" s="1686">
        <v>43336</v>
      </c>
      <c r="CV80" s="1684">
        <v>274817.98</v>
      </c>
      <c r="CW80" s="1684">
        <v>0</v>
      </c>
      <c r="CX80" s="1684">
        <v>0</v>
      </c>
      <c r="CY80" s="1684">
        <v>274817.98</v>
      </c>
      <c r="CZ80" s="1684">
        <v>0</v>
      </c>
      <c r="DA80" s="1684">
        <v>0</v>
      </c>
      <c r="DB80" s="1684">
        <v>0</v>
      </c>
      <c r="DC80" s="1684">
        <v>0</v>
      </c>
      <c r="DD80" s="1684">
        <v>274817.98</v>
      </c>
      <c r="DE80" s="1684">
        <v>200844</v>
      </c>
      <c r="DF80" s="1684">
        <v>200844</v>
      </c>
      <c r="DG80" s="1684">
        <v>0</v>
      </c>
      <c r="DH80" s="1684">
        <v>73973.98</v>
      </c>
      <c r="DI80" s="1684">
        <v>73973.98</v>
      </c>
      <c r="DJ80" s="1684">
        <v>0</v>
      </c>
      <c r="DK80" s="1684">
        <v>73973.98</v>
      </c>
      <c r="DL80" s="1684">
        <v>0</v>
      </c>
      <c r="DM80" s="1684">
        <v>0</v>
      </c>
      <c r="DN80" s="1684">
        <v>0</v>
      </c>
      <c r="DO80" s="1684">
        <v>0</v>
      </c>
      <c r="DP80" s="1684">
        <v>0</v>
      </c>
      <c r="DQ80" s="1326" t="s">
        <v>2810</v>
      </c>
      <c r="DR80" s="1684">
        <v>0</v>
      </c>
      <c r="DS80" s="1326" t="s">
        <v>2757</v>
      </c>
      <c r="DT80" s="1682"/>
      <c r="DU80" s="1326" t="s">
        <v>2785</v>
      </c>
      <c r="DV80" s="1686">
        <v>43738</v>
      </c>
    </row>
    <row r="81" spans="1:126" ht="78.75">
      <c r="A81" s="1326" t="s">
        <v>2097</v>
      </c>
      <c r="B81" s="1326" t="s">
        <v>1697</v>
      </c>
      <c r="C81" s="1326" t="s">
        <v>2559</v>
      </c>
      <c r="D81" s="1326" t="s">
        <v>2560</v>
      </c>
      <c r="E81" s="1326" t="s">
        <v>141</v>
      </c>
      <c r="F81" s="1326" t="s">
        <v>292</v>
      </c>
      <c r="G81" s="1326" t="s">
        <v>2539</v>
      </c>
      <c r="H81" s="1326" t="s">
        <v>2540</v>
      </c>
      <c r="I81" s="1326" t="s">
        <v>2541</v>
      </c>
      <c r="J81" s="1326" t="s">
        <v>1652</v>
      </c>
      <c r="K81" s="1685">
        <v>43326</v>
      </c>
      <c r="L81" s="1685">
        <v>43438</v>
      </c>
      <c r="M81" s="1326" t="s">
        <v>230</v>
      </c>
      <c r="N81" s="1326" t="s">
        <v>2061</v>
      </c>
      <c r="O81" s="1326" t="s">
        <v>3965</v>
      </c>
      <c r="P81" s="1326" t="s">
        <v>2757</v>
      </c>
      <c r="Q81" s="1326" t="s">
        <v>1724</v>
      </c>
      <c r="R81" s="1326" t="s">
        <v>2757</v>
      </c>
      <c r="S81" s="1326" t="s">
        <v>2757</v>
      </c>
      <c r="T81" s="1326"/>
      <c r="U81" s="1326" t="s">
        <v>2758</v>
      </c>
      <c r="V81" s="1326" t="s">
        <v>2785</v>
      </c>
      <c r="W81" s="1326" t="s">
        <v>2757</v>
      </c>
      <c r="X81" s="1326"/>
      <c r="Y81" s="1326" t="s">
        <v>2757</v>
      </c>
      <c r="Z81" s="1326"/>
      <c r="AA81" s="1326"/>
      <c r="AB81" s="1326" t="s">
        <v>2757</v>
      </c>
      <c r="AC81" s="1326" t="s">
        <v>2757</v>
      </c>
      <c r="AD81" s="1326" t="s">
        <v>2757</v>
      </c>
      <c r="AE81" s="1326"/>
      <c r="AF81" s="1326" t="s">
        <v>2789</v>
      </c>
      <c r="AG81" s="1326" t="s">
        <v>2790</v>
      </c>
      <c r="AH81" s="1326" t="s">
        <v>2791</v>
      </c>
      <c r="AI81" s="1326" t="s">
        <v>2762</v>
      </c>
      <c r="AJ81" s="1326" t="s">
        <v>2763</v>
      </c>
      <c r="AK81" s="1326" t="s">
        <v>2972</v>
      </c>
      <c r="AL81" s="1326" t="s">
        <v>2973</v>
      </c>
      <c r="AM81" s="1683">
        <v>100</v>
      </c>
      <c r="AN81" s="1326"/>
      <c r="AO81" s="1326"/>
      <c r="AP81" s="1326"/>
      <c r="AQ81" s="1326"/>
      <c r="AR81" s="1326"/>
      <c r="AS81" s="1326"/>
      <c r="AT81" s="1326" t="s">
        <v>2766</v>
      </c>
      <c r="AU81" s="1326" t="s">
        <v>3966</v>
      </c>
      <c r="AV81" s="1326" t="s">
        <v>2974</v>
      </c>
      <c r="AW81" s="1326"/>
      <c r="AX81" s="1326" t="s">
        <v>2797</v>
      </c>
      <c r="AY81" s="1326" t="s">
        <v>2798</v>
      </c>
      <c r="AZ81" s="1326" t="s">
        <v>235</v>
      </c>
      <c r="BA81" s="1326" t="s">
        <v>2929</v>
      </c>
      <c r="BB81" s="1326" t="s">
        <v>2757</v>
      </c>
      <c r="BC81" s="1326" t="s">
        <v>2800</v>
      </c>
      <c r="BD81" s="1326" t="s">
        <v>2773</v>
      </c>
      <c r="BE81" s="1326" t="s">
        <v>2930</v>
      </c>
      <c r="BF81" s="1326" t="s">
        <v>3062</v>
      </c>
      <c r="BG81" s="1326" t="s">
        <v>2932</v>
      </c>
      <c r="BH81" s="1326" t="s">
        <v>2804</v>
      </c>
      <c r="BI81" s="1326" t="s">
        <v>2805</v>
      </c>
      <c r="BJ81" s="1326" t="s">
        <v>2885</v>
      </c>
      <c r="BK81" s="1326" t="s">
        <v>2766</v>
      </c>
      <c r="BL81" s="1326" t="s">
        <v>2757</v>
      </c>
      <c r="BM81" s="1326" t="s">
        <v>2757</v>
      </c>
      <c r="BN81" s="1683">
        <v>0</v>
      </c>
      <c r="BO81" s="1685">
        <v>43286</v>
      </c>
      <c r="BP81" s="1685">
        <v>44165</v>
      </c>
      <c r="BQ81" s="1326" t="s">
        <v>2779</v>
      </c>
      <c r="BR81" s="1685">
        <v>46387</v>
      </c>
      <c r="BS81" s="1326" t="s">
        <v>3967</v>
      </c>
      <c r="BT81" s="1326" t="s">
        <v>3968</v>
      </c>
      <c r="BU81" s="1683">
        <v>30</v>
      </c>
      <c r="BV81" s="1683">
        <v>103855.23</v>
      </c>
      <c r="BW81" s="1685">
        <v>44195</v>
      </c>
      <c r="BX81" s="1682"/>
      <c r="BY81" s="1326" t="s">
        <v>2052</v>
      </c>
      <c r="BZ81" s="1326" t="s">
        <v>2783</v>
      </c>
      <c r="CA81" s="1326" t="s">
        <v>2783</v>
      </c>
      <c r="CB81" s="1326" t="s">
        <v>2783</v>
      </c>
      <c r="CC81" s="1326" t="s">
        <v>2913</v>
      </c>
      <c r="CD81" s="1684">
        <v>1182936.8</v>
      </c>
      <c r="CE81" s="1684">
        <v>916566.48</v>
      </c>
      <c r="CF81" s="1684">
        <v>346184.1</v>
      </c>
      <c r="CG81" s="1684">
        <v>37.770000000000003</v>
      </c>
      <c r="CH81" s="1684">
        <v>570382.38</v>
      </c>
      <c r="CI81" s="1684">
        <v>62.23</v>
      </c>
      <c r="CJ81" s="1684">
        <v>916566.48</v>
      </c>
      <c r="CK81" s="1684">
        <v>100</v>
      </c>
      <c r="CL81" s="1410" t="s">
        <v>2785</v>
      </c>
      <c r="CM81" s="1686">
        <v>43412</v>
      </c>
      <c r="CN81" s="1400"/>
      <c r="CO81" s="1326"/>
      <c r="CP81" s="1682"/>
      <c r="CQ81" s="1684">
        <v>346184.1</v>
      </c>
      <c r="CR81" s="1684">
        <v>346184.1</v>
      </c>
      <c r="CS81" s="1684">
        <v>0</v>
      </c>
      <c r="CT81" s="1326" t="s">
        <v>2785</v>
      </c>
      <c r="CU81" s="1686">
        <v>43419</v>
      </c>
      <c r="CV81" s="1684">
        <v>916566.48</v>
      </c>
      <c r="CW81" s="1684">
        <v>0</v>
      </c>
      <c r="CX81" s="1684">
        <v>0</v>
      </c>
      <c r="CY81" s="1684">
        <v>916566.48</v>
      </c>
      <c r="CZ81" s="1684">
        <v>0</v>
      </c>
      <c r="DA81" s="1684">
        <v>0</v>
      </c>
      <c r="DB81" s="1684">
        <v>0</v>
      </c>
      <c r="DC81" s="1684">
        <v>0</v>
      </c>
      <c r="DD81" s="1684">
        <v>916566.48</v>
      </c>
      <c r="DE81" s="1684">
        <v>346184.1</v>
      </c>
      <c r="DF81" s="1684">
        <v>346184.1</v>
      </c>
      <c r="DG81" s="1684">
        <v>0</v>
      </c>
      <c r="DH81" s="1684">
        <v>570382.38</v>
      </c>
      <c r="DI81" s="1684">
        <v>570382.38</v>
      </c>
      <c r="DJ81" s="1684">
        <v>0</v>
      </c>
      <c r="DK81" s="1684">
        <v>570382.38</v>
      </c>
      <c r="DL81" s="1684">
        <v>0</v>
      </c>
      <c r="DM81" s="1684">
        <v>0</v>
      </c>
      <c r="DN81" s="1684">
        <v>0</v>
      </c>
      <c r="DO81" s="1684">
        <v>0</v>
      </c>
      <c r="DP81" s="1684">
        <v>0</v>
      </c>
      <c r="DQ81" s="1326" t="s">
        <v>2810</v>
      </c>
      <c r="DR81" s="1684">
        <v>0</v>
      </c>
      <c r="DS81" s="1326" t="s">
        <v>2757</v>
      </c>
      <c r="DT81" s="1682"/>
      <c r="DU81" s="1326" t="s">
        <v>2785</v>
      </c>
      <c r="DV81" s="1686">
        <v>44165</v>
      </c>
    </row>
    <row r="82" spans="1:126" ht="67.5">
      <c r="A82" s="1326" t="s">
        <v>2029</v>
      </c>
      <c r="B82" s="1326" t="s">
        <v>1697</v>
      </c>
      <c r="C82" s="1326" t="s">
        <v>2559</v>
      </c>
      <c r="D82" s="1326" t="s">
        <v>2560</v>
      </c>
      <c r="E82" s="1326" t="s">
        <v>141</v>
      </c>
      <c r="F82" s="1326" t="s">
        <v>292</v>
      </c>
      <c r="G82" s="1326" t="s">
        <v>2539</v>
      </c>
      <c r="H82" s="1326" t="s">
        <v>2540</v>
      </c>
      <c r="I82" s="1326" t="s">
        <v>2541</v>
      </c>
      <c r="J82" s="1326" t="s">
        <v>1651</v>
      </c>
      <c r="K82" s="1685">
        <v>43342</v>
      </c>
      <c r="L82" s="1685">
        <v>43411</v>
      </c>
      <c r="M82" s="1326" t="s">
        <v>3421</v>
      </c>
      <c r="N82" s="1326" t="s">
        <v>2061</v>
      </c>
      <c r="O82" s="1326" t="s">
        <v>3482</v>
      </c>
      <c r="P82" s="1326" t="s">
        <v>2757</v>
      </c>
      <c r="Q82" s="1326" t="s">
        <v>1711</v>
      </c>
      <c r="R82" s="1326" t="s">
        <v>2757</v>
      </c>
      <c r="S82" s="1326" t="s">
        <v>2757</v>
      </c>
      <c r="T82" s="1326"/>
      <c r="U82" s="1326" t="s">
        <v>2758</v>
      </c>
      <c r="V82" s="1326" t="s">
        <v>2785</v>
      </c>
      <c r="W82" s="1326" t="s">
        <v>2757</v>
      </c>
      <c r="X82" s="1326"/>
      <c r="Y82" s="1326" t="s">
        <v>2757</v>
      </c>
      <c r="Z82" s="1326"/>
      <c r="AA82" s="1326"/>
      <c r="AB82" s="1326" t="s">
        <v>2757</v>
      </c>
      <c r="AC82" s="1326" t="s">
        <v>2757</v>
      </c>
      <c r="AD82" s="1326" t="s">
        <v>2757</v>
      </c>
      <c r="AE82" s="1326"/>
      <c r="AF82" s="1326" t="s">
        <v>2789</v>
      </c>
      <c r="AG82" s="1326" t="s">
        <v>2790</v>
      </c>
      <c r="AH82" s="1326" t="s">
        <v>2791</v>
      </c>
      <c r="AI82" s="1326" t="s">
        <v>2762</v>
      </c>
      <c r="AJ82" s="1326" t="s">
        <v>2763</v>
      </c>
      <c r="AK82" s="1326" t="s">
        <v>2972</v>
      </c>
      <c r="AL82" s="1326" t="s">
        <v>3483</v>
      </c>
      <c r="AM82" s="1683">
        <v>100</v>
      </c>
      <c r="AN82" s="1326"/>
      <c r="AO82" s="1326"/>
      <c r="AP82" s="1326"/>
      <c r="AQ82" s="1326"/>
      <c r="AR82" s="1326"/>
      <c r="AS82" s="1326"/>
      <c r="AT82" s="1326" t="s">
        <v>2766</v>
      </c>
      <c r="AU82" s="1326" t="s">
        <v>2766</v>
      </c>
      <c r="AV82" s="1326" t="s">
        <v>2974</v>
      </c>
      <c r="AW82" s="1326"/>
      <c r="AX82" s="1326" t="s">
        <v>2797</v>
      </c>
      <c r="AY82" s="1326" t="s">
        <v>2798</v>
      </c>
      <c r="AZ82" s="1326" t="s">
        <v>345</v>
      </c>
      <c r="BA82" s="1326" t="s">
        <v>2799</v>
      </c>
      <c r="BB82" s="1326" t="s">
        <v>2757</v>
      </c>
      <c r="BC82" s="1326" t="s">
        <v>2800</v>
      </c>
      <c r="BD82" s="1326" t="s">
        <v>2773</v>
      </c>
      <c r="BE82" s="1326" t="s">
        <v>2801</v>
      </c>
      <c r="BF82" s="1326" t="s">
        <v>3484</v>
      </c>
      <c r="BG82" s="1326" t="s">
        <v>2803</v>
      </c>
      <c r="BH82" s="1326" t="s">
        <v>2804</v>
      </c>
      <c r="BI82" s="1326" t="s">
        <v>2805</v>
      </c>
      <c r="BJ82" s="1326" t="s">
        <v>2806</v>
      </c>
      <c r="BK82" s="1326" t="s">
        <v>2766</v>
      </c>
      <c r="BL82" s="1326" t="s">
        <v>2757</v>
      </c>
      <c r="BM82" s="1326" t="s">
        <v>2757</v>
      </c>
      <c r="BN82" s="1683">
        <v>0</v>
      </c>
      <c r="BO82" s="1685">
        <v>42795</v>
      </c>
      <c r="BP82" s="1685">
        <v>43830</v>
      </c>
      <c r="BQ82" s="1326" t="s">
        <v>2779</v>
      </c>
      <c r="BR82" s="1685">
        <v>46022</v>
      </c>
      <c r="BS82" s="1326" t="s">
        <v>3485</v>
      </c>
      <c r="BT82" s="1326" t="s">
        <v>3486</v>
      </c>
      <c r="BU82" s="1683">
        <v>30</v>
      </c>
      <c r="BV82" s="1683">
        <v>69907.429999999993</v>
      </c>
      <c r="BW82" s="1685">
        <v>43860</v>
      </c>
      <c r="BX82" s="1682"/>
      <c r="BY82" s="1326" t="s">
        <v>2052</v>
      </c>
      <c r="BZ82" s="1326" t="s">
        <v>2783</v>
      </c>
      <c r="CA82" s="1326" t="s">
        <v>2783</v>
      </c>
      <c r="CB82" s="1326" t="s">
        <v>2783</v>
      </c>
      <c r="CC82" s="1326" t="s">
        <v>2913</v>
      </c>
      <c r="CD82" s="1684">
        <v>280015.3</v>
      </c>
      <c r="CE82" s="1684">
        <v>274146.8</v>
      </c>
      <c r="CF82" s="1684">
        <v>233024.78</v>
      </c>
      <c r="CG82" s="1684">
        <v>85</v>
      </c>
      <c r="CH82" s="1684">
        <v>41122.019999999997</v>
      </c>
      <c r="CI82" s="1684">
        <v>15</v>
      </c>
      <c r="CJ82" s="1684">
        <v>274146.8</v>
      </c>
      <c r="CK82" s="1684">
        <v>100</v>
      </c>
      <c r="CL82" s="1410" t="s">
        <v>2785</v>
      </c>
      <c r="CM82" s="1686">
        <v>43389</v>
      </c>
      <c r="CN82" s="1400"/>
      <c r="CO82" s="1326"/>
      <c r="CP82" s="1682"/>
      <c r="CQ82" s="1684">
        <v>233024.78</v>
      </c>
      <c r="CR82" s="1684">
        <v>233024.78</v>
      </c>
      <c r="CS82" s="1684">
        <v>0</v>
      </c>
      <c r="CT82" s="1326" t="s">
        <v>2785</v>
      </c>
      <c r="CU82" s="1686">
        <v>43397</v>
      </c>
      <c r="CV82" s="1684">
        <v>274146.8</v>
      </c>
      <c r="CW82" s="1684">
        <v>0</v>
      </c>
      <c r="CX82" s="1684">
        <v>0</v>
      </c>
      <c r="CY82" s="1684">
        <v>274146.8</v>
      </c>
      <c r="CZ82" s="1684">
        <v>0</v>
      </c>
      <c r="DA82" s="1684">
        <v>0</v>
      </c>
      <c r="DB82" s="1684">
        <v>0</v>
      </c>
      <c r="DC82" s="1684">
        <v>0</v>
      </c>
      <c r="DD82" s="1684">
        <v>274146.8</v>
      </c>
      <c r="DE82" s="1684">
        <v>233024.78</v>
      </c>
      <c r="DF82" s="1684">
        <v>233024.78</v>
      </c>
      <c r="DG82" s="1684">
        <v>0</v>
      </c>
      <c r="DH82" s="1684">
        <v>41122.019999999997</v>
      </c>
      <c r="DI82" s="1684">
        <v>41122.019999999997</v>
      </c>
      <c r="DJ82" s="1684">
        <v>0</v>
      </c>
      <c r="DK82" s="1684">
        <v>41122.019999999997</v>
      </c>
      <c r="DL82" s="1684">
        <v>0</v>
      </c>
      <c r="DM82" s="1684">
        <v>0</v>
      </c>
      <c r="DN82" s="1684">
        <v>0</v>
      </c>
      <c r="DO82" s="1684">
        <v>0</v>
      </c>
      <c r="DP82" s="1684">
        <v>0</v>
      </c>
      <c r="DQ82" s="1326" t="s">
        <v>2810</v>
      </c>
      <c r="DR82" s="1684">
        <v>0</v>
      </c>
      <c r="DS82" s="1326" t="s">
        <v>2757</v>
      </c>
      <c r="DT82" s="1682"/>
      <c r="DU82" s="1326" t="s">
        <v>2785</v>
      </c>
      <c r="DV82" s="1686">
        <v>43830</v>
      </c>
    </row>
    <row r="83" spans="1:126" ht="78.75">
      <c r="A83" s="1326" t="s">
        <v>2030</v>
      </c>
      <c r="B83" s="1326" t="s">
        <v>1697</v>
      </c>
      <c r="C83" s="1326" t="s">
        <v>2559</v>
      </c>
      <c r="D83" s="1326" t="s">
        <v>2560</v>
      </c>
      <c r="E83" s="1326" t="s">
        <v>141</v>
      </c>
      <c r="F83" s="1326" t="s">
        <v>292</v>
      </c>
      <c r="G83" s="1326" t="s">
        <v>2539</v>
      </c>
      <c r="H83" s="1326" t="s">
        <v>2540</v>
      </c>
      <c r="I83" s="1326" t="s">
        <v>2541</v>
      </c>
      <c r="J83" s="1326" t="s">
        <v>4340</v>
      </c>
      <c r="K83" s="1685">
        <v>43486</v>
      </c>
      <c r="L83" s="1685">
        <v>43544</v>
      </c>
      <c r="M83" s="1326" t="s">
        <v>4344</v>
      </c>
      <c r="N83" s="1326" t="s">
        <v>2061</v>
      </c>
      <c r="O83" s="1326" t="s">
        <v>4366</v>
      </c>
      <c r="P83" s="1326" t="s">
        <v>2757</v>
      </c>
      <c r="Q83" s="1326" t="s">
        <v>1718</v>
      </c>
      <c r="R83" s="1326" t="s">
        <v>2757</v>
      </c>
      <c r="S83" s="1326" t="s">
        <v>2757</v>
      </c>
      <c r="T83" s="1326"/>
      <c r="U83" s="1326" t="s">
        <v>2758</v>
      </c>
      <c r="V83" s="1326" t="s">
        <v>2757</v>
      </c>
      <c r="W83" s="1326" t="s">
        <v>2757</v>
      </c>
      <c r="X83" s="1326"/>
      <c r="Y83" s="1326" t="s">
        <v>2757</v>
      </c>
      <c r="Z83" s="1326"/>
      <c r="AA83" s="1326"/>
      <c r="AB83" s="1326" t="s">
        <v>2757</v>
      </c>
      <c r="AC83" s="1326" t="s">
        <v>2757</v>
      </c>
      <c r="AD83" s="1326" t="s">
        <v>2757</v>
      </c>
      <c r="AE83" s="1326"/>
      <c r="AF83" s="1326" t="s">
        <v>2789</v>
      </c>
      <c r="AG83" s="1326" t="s">
        <v>2790</v>
      </c>
      <c r="AH83" s="1326" t="s">
        <v>2791</v>
      </c>
      <c r="AI83" s="1326" t="s">
        <v>2762</v>
      </c>
      <c r="AJ83" s="1326" t="s">
        <v>2763</v>
      </c>
      <c r="AK83" s="1326" t="s">
        <v>2972</v>
      </c>
      <c r="AL83" s="1326" t="s">
        <v>2973</v>
      </c>
      <c r="AM83" s="1683">
        <v>100</v>
      </c>
      <c r="AN83" s="1326"/>
      <c r="AO83" s="1326"/>
      <c r="AP83" s="1326"/>
      <c r="AQ83" s="1326"/>
      <c r="AR83" s="1326"/>
      <c r="AS83" s="1326"/>
      <c r="AT83" s="1326" t="s">
        <v>2766</v>
      </c>
      <c r="AU83" s="1326" t="s">
        <v>2795</v>
      </c>
      <c r="AV83" s="1326" t="s">
        <v>2974</v>
      </c>
      <c r="AW83" s="1326"/>
      <c r="AX83" s="1326" t="s">
        <v>2797</v>
      </c>
      <c r="AY83" s="1326" t="s">
        <v>2798</v>
      </c>
      <c r="AZ83" s="1326" t="s">
        <v>235</v>
      </c>
      <c r="BA83" s="1326" t="s">
        <v>2929</v>
      </c>
      <c r="BB83" s="1326" t="s">
        <v>2757</v>
      </c>
      <c r="BC83" s="1326" t="s">
        <v>2800</v>
      </c>
      <c r="BD83" s="1326" t="s">
        <v>2773</v>
      </c>
      <c r="BE83" s="1326" t="s">
        <v>2930</v>
      </c>
      <c r="BF83" s="1326" t="s">
        <v>4367</v>
      </c>
      <c r="BG83" s="1326" t="s">
        <v>2932</v>
      </c>
      <c r="BH83" s="1326" t="s">
        <v>2804</v>
      </c>
      <c r="BI83" s="1326" t="s">
        <v>2805</v>
      </c>
      <c r="BJ83" s="1326" t="s">
        <v>2885</v>
      </c>
      <c r="BK83" s="1326" t="s">
        <v>2766</v>
      </c>
      <c r="BL83" s="1326" t="s">
        <v>2757</v>
      </c>
      <c r="BM83" s="1326" t="s">
        <v>2757</v>
      </c>
      <c r="BN83" s="1683">
        <v>0</v>
      </c>
      <c r="BO83" s="1685">
        <v>43544</v>
      </c>
      <c r="BP83" s="1685">
        <v>44104</v>
      </c>
      <c r="BQ83" s="1326" t="s">
        <v>2779</v>
      </c>
      <c r="BR83" s="1685">
        <v>46387</v>
      </c>
      <c r="BS83" s="1326" t="s">
        <v>2933</v>
      </c>
      <c r="BT83" s="1326" t="s">
        <v>4368</v>
      </c>
      <c r="BU83" s="1683">
        <v>30</v>
      </c>
      <c r="BV83" s="1683">
        <v>33896.699999999997</v>
      </c>
      <c r="BW83" s="1685">
        <v>44134</v>
      </c>
      <c r="BX83" s="1682"/>
      <c r="BY83" s="1326" t="s">
        <v>2052</v>
      </c>
      <c r="BZ83" s="1326" t="s">
        <v>2783</v>
      </c>
      <c r="CA83" s="1326" t="s">
        <v>2783</v>
      </c>
      <c r="CB83" s="1326" t="s">
        <v>2783</v>
      </c>
      <c r="CC83" s="1326" t="s">
        <v>2913</v>
      </c>
      <c r="CD83" s="1684">
        <v>323151.68</v>
      </c>
      <c r="CE83" s="1684">
        <v>320671.49</v>
      </c>
      <c r="CF83" s="1684">
        <v>112989</v>
      </c>
      <c r="CG83" s="1684">
        <v>35.24</v>
      </c>
      <c r="CH83" s="1684">
        <v>207682.49</v>
      </c>
      <c r="CI83" s="1684">
        <v>64.760000000000005</v>
      </c>
      <c r="CJ83" s="1684">
        <v>320671.49</v>
      </c>
      <c r="CK83" s="1684">
        <v>100</v>
      </c>
      <c r="CL83" s="1410" t="s">
        <v>2785</v>
      </c>
      <c r="CM83" s="1686">
        <v>43525</v>
      </c>
      <c r="CN83" s="1400"/>
      <c r="CO83" s="1326"/>
      <c r="CP83" s="1682"/>
      <c r="CQ83" s="1684">
        <v>112989</v>
      </c>
      <c r="CR83" s="1684">
        <v>112989</v>
      </c>
      <c r="CS83" s="1684">
        <v>0</v>
      </c>
      <c r="CT83" s="1326" t="s">
        <v>2785</v>
      </c>
      <c r="CU83" s="1686">
        <v>43528</v>
      </c>
      <c r="CV83" s="1684">
        <v>320671.49</v>
      </c>
      <c r="CW83" s="1684">
        <v>0</v>
      </c>
      <c r="CX83" s="1684">
        <v>0</v>
      </c>
      <c r="CY83" s="1684">
        <v>320671.49</v>
      </c>
      <c r="CZ83" s="1684">
        <v>0</v>
      </c>
      <c r="DA83" s="1684">
        <v>0</v>
      </c>
      <c r="DB83" s="1684">
        <v>0</v>
      </c>
      <c r="DC83" s="1684">
        <v>0</v>
      </c>
      <c r="DD83" s="1684">
        <v>320671.49</v>
      </c>
      <c r="DE83" s="1684">
        <v>112989</v>
      </c>
      <c r="DF83" s="1684">
        <v>112989</v>
      </c>
      <c r="DG83" s="1684">
        <v>0</v>
      </c>
      <c r="DH83" s="1684">
        <v>207682.49</v>
      </c>
      <c r="DI83" s="1684">
        <v>207682.49</v>
      </c>
      <c r="DJ83" s="1684">
        <v>0</v>
      </c>
      <c r="DK83" s="1684">
        <v>207682.49</v>
      </c>
      <c r="DL83" s="1684">
        <v>0</v>
      </c>
      <c r="DM83" s="1684">
        <v>0</v>
      </c>
      <c r="DN83" s="1684">
        <v>0</v>
      </c>
      <c r="DO83" s="1684">
        <v>0</v>
      </c>
      <c r="DP83" s="1684">
        <v>0</v>
      </c>
      <c r="DQ83" s="1326" t="s">
        <v>2810</v>
      </c>
      <c r="DR83" s="1684">
        <v>0</v>
      </c>
      <c r="DS83" s="1326" t="s">
        <v>2757</v>
      </c>
      <c r="DT83" s="1682"/>
      <c r="DU83" s="1326" t="s">
        <v>2785</v>
      </c>
      <c r="DV83" s="1686">
        <v>44104</v>
      </c>
    </row>
    <row r="84" spans="1:126">
      <c r="A84" s="1326" t="s">
        <v>2031</v>
      </c>
      <c r="B84" s="1326" t="s">
        <v>1700</v>
      </c>
      <c r="C84" s="1326"/>
      <c r="D84" s="1326"/>
      <c r="E84" s="1326"/>
      <c r="F84" s="1326"/>
      <c r="G84" s="1326"/>
      <c r="H84" s="1326"/>
      <c r="I84" s="1326"/>
      <c r="J84" s="1326"/>
      <c r="K84" s="1682"/>
      <c r="L84" s="1682"/>
      <c r="M84" s="1326"/>
      <c r="N84" s="1326"/>
      <c r="O84" s="1326"/>
      <c r="P84" s="1326"/>
      <c r="Q84" s="1326"/>
      <c r="R84" s="1326"/>
      <c r="S84" s="1326"/>
      <c r="T84" s="1326"/>
      <c r="U84" s="1326"/>
      <c r="V84" s="1326"/>
      <c r="W84" s="1326"/>
      <c r="X84" s="1326"/>
      <c r="Y84" s="1326"/>
      <c r="Z84" s="1326"/>
      <c r="AA84" s="1326"/>
      <c r="AB84" s="1326"/>
      <c r="AC84" s="1326"/>
      <c r="AD84" s="1326"/>
      <c r="AE84" s="1326"/>
      <c r="AF84" s="1326"/>
      <c r="AG84" s="1326"/>
      <c r="AH84" s="1326"/>
      <c r="AI84" s="1326"/>
      <c r="AJ84" s="1326"/>
      <c r="AK84" s="1326"/>
      <c r="AL84" s="1326"/>
      <c r="AM84" s="1400"/>
      <c r="AN84" s="1326"/>
      <c r="AO84" s="1326"/>
      <c r="AP84" s="1326"/>
      <c r="AQ84" s="1326"/>
      <c r="AR84" s="1326"/>
      <c r="AS84" s="1326"/>
      <c r="AT84" s="1326"/>
      <c r="AU84" s="1326"/>
      <c r="AV84" s="1326"/>
      <c r="AW84" s="1326"/>
      <c r="AX84" s="1326"/>
      <c r="AY84" s="1326"/>
      <c r="AZ84" s="1326"/>
      <c r="BA84" s="1326"/>
      <c r="BB84" s="1326"/>
      <c r="BC84" s="1326"/>
      <c r="BD84" s="1326"/>
      <c r="BE84" s="1326"/>
      <c r="BF84" s="1326"/>
      <c r="BG84" s="1326"/>
      <c r="BH84" s="1326"/>
      <c r="BI84" s="1326"/>
      <c r="BJ84" s="1326"/>
      <c r="BK84" s="1326"/>
      <c r="BL84" s="1326"/>
      <c r="BM84" s="1326"/>
      <c r="BN84" s="1400"/>
      <c r="BO84" s="1682"/>
      <c r="BP84" s="1682"/>
      <c r="BQ84" s="1326"/>
      <c r="BR84" s="1682"/>
      <c r="BS84" s="1326"/>
      <c r="BT84" s="1326"/>
      <c r="BU84" s="1400"/>
      <c r="BV84" s="1683">
        <v>1669958.37</v>
      </c>
      <c r="BW84" s="1682"/>
      <c r="BX84" s="1682"/>
      <c r="BY84" s="1326"/>
      <c r="BZ84" s="1326"/>
      <c r="CA84" s="1326"/>
      <c r="CB84" s="1326"/>
      <c r="CC84" s="1326"/>
      <c r="CD84" s="1684">
        <v>7664694.6900000004</v>
      </c>
      <c r="CE84" s="1684">
        <v>7340876.5800000001</v>
      </c>
      <c r="CF84" s="1684">
        <v>5816288.3200000003</v>
      </c>
      <c r="CG84" s="1684">
        <v>79.23</v>
      </c>
      <c r="CH84" s="1684">
        <v>1524588.26</v>
      </c>
      <c r="CI84" s="1684">
        <v>20.77</v>
      </c>
      <c r="CJ84" s="1684">
        <v>7340876.5800000001</v>
      </c>
      <c r="CK84" s="1684">
        <v>100</v>
      </c>
      <c r="CL84" s="1410"/>
      <c r="CM84" s="1682"/>
      <c r="CN84" s="1400"/>
      <c r="CO84" s="1326"/>
      <c r="CP84" s="1682"/>
      <c r="CQ84" s="1684">
        <v>5885883.9900000002</v>
      </c>
      <c r="CR84" s="1684">
        <v>5470950.1200000001</v>
      </c>
      <c r="CS84" s="1684">
        <v>414933.87</v>
      </c>
      <c r="CT84" s="1326"/>
      <c r="CU84" s="1682"/>
      <c r="CV84" s="1684">
        <v>7165785.6200000001</v>
      </c>
      <c r="CW84" s="1684">
        <v>0</v>
      </c>
      <c r="CX84" s="1684">
        <v>0</v>
      </c>
      <c r="CY84" s="1684">
        <v>6323904.3799999999</v>
      </c>
      <c r="CZ84" s="1684">
        <v>771548.94</v>
      </c>
      <c r="DA84" s="1684">
        <v>8420</v>
      </c>
      <c r="DB84" s="1684">
        <v>2105.2800000000002</v>
      </c>
      <c r="DC84" s="1684">
        <v>59807.02</v>
      </c>
      <c r="DD84" s="1684">
        <v>7165785.6200000001</v>
      </c>
      <c r="DE84" s="1684">
        <v>5566527.8300000001</v>
      </c>
      <c r="DF84" s="1684">
        <v>5212336.1500000004</v>
      </c>
      <c r="DG84" s="1684">
        <v>354191.68</v>
      </c>
      <c r="DH84" s="1684">
        <v>1599257.79</v>
      </c>
      <c r="DI84" s="1684">
        <v>1599257.79</v>
      </c>
      <c r="DJ84" s="1684">
        <v>352400.82</v>
      </c>
      <c r="DK84" s="1684">
        <v>1246856.97</v>
      </c>
      <c r="DL84" s="1684">
        <v>0</v>
      </c>
      <c r="DM84" s="1684">
        <v>0</v>
      </c>
      <c r="DN84" s="1684">
        <v>0</v>
      </c>
      <c r="DO84" s="1684">
        <v>0</v>
      </c>
      <c r="DP84" s="1684">
        <v>0</v>
      </c>
      <c r="DQ84" s="1326"/>
      <c r="DR84" s="1400"/>
      <c r="DS84" s="1326"/>
      <c r="DT84" s="1682"/>
      <c r="DU84" s="1326"/>
      <c r="DV84" s="1682"/>
    </row>
    <row r="85" spans="1:126">
      <c r="A85" s="1326" t="s">
        <v>2032</v>
      </c>
      <c r="B85" s="1326" t="s">
        <v>1700</v>
      </c>
      <c r="C85" s="1326" t="s">
        <v>2561</v>
      </c>
      <c r="D85" s="1326"/>
      <c r="E85" s="1326"/>
      <c r="F85" s="1326"/>
      <c r="G85" s="1326"/>
      <c r="H85" s="1326"/>
      <c r="I85" s="1326"/>
      <c r="J85" s="1326"/>
      <c r="K85" s="1682"/>
      <c r="L85" s="1682"/>
      <c r="M85" s="1326"/>
      <c r="N85" s="1326"/>
      <c r="O85" s="1326"/>
      <c r="P85" s="1326"/>
      <c r="Q85" s="1326"/>
      <c r="R85" s="1326"/>
      <c r="S85" s="1326"/>
      <c r="T85" s="1326"/>
      <c r="U85" s="1326"/>
      <c r="V85" s="1326"/>
      <c r="W85" s="1326"/>
      <c r="X85" s="1326"/>
      <c r="Y85" s="1326"/>
      <c r="Z85" s="1326"/>
      <c r="AA85" s="1326"/>
      <c r="AB85" s="1326"/>
      <c r="AC85" s="1326"/>
      <c r="AD85" s="1326"/>
      <c r="AE85" s="1326"/>
      <c r="AF85" s="1326"/>
      <c r="AG85" s="1326"/>
      <c r="AH85" s="1326"/>
      <c r="AI85" s="1326"/>
      <c r="AJ85" s="1326"/>
      <c r="AK85" s="1326"/>
      <c r="AL85" s="1326"/>
      <c r="AM85" s="1400"/>
      <c r="AN85" s="1326"/>
      <c r="AO85" s="1326"/>
      <c r="AP85" s="1326"/>
      <c r="AQ85" s="1326"/>
      <c r="AR85" s="1326"/>
      <c r="AS85" s="1326"/>
      <c r="AT85" s="1326"/>
      <c r="AU85" s="1326"/>
      <c r="AV85" s="1326"/>
      <c r="AW85" s="1326"/>
      <c r="AX85" s="1326"/>
      <c r="AY85" s="1326"/>
      <c r="AZ85" s="1326"/>
      <c r="BA85" s="1326"/>
      <c r="BB85" s="1326"/>
      <c r="BC85" s="1326"/>
      <c r="BD85" s="1326"/>
      <c r="BE85" s="1326"/>
      <c r="BF85" s="1326"/>
      <c r="BG85" s="1326"/>
      <c r="BH85" s="1326"/>
      <c r="BI85" s="1326"/>
      <c r="BJ85" s="1326"/>
      <c r="BK85" s="1326"/>
      <c r="BL85" s="1326"/>
      <c r="BM85" s="1326"/>
      <c r="BN85" s="1400"/>
      <c r="BO85" s="1682"/>
      <c r="BP85" s="1682"/>
      <c r="BQ85" s="1326"/>
      <c r="BR85" s="1682"/>
      <c r="BS85" s="1326"/>
      <c r="BT85" s="1326"/>
      <c r="BU85" s="1400"/>
      <c r="BV85" s="1683">
        <v>1669958.37</v>
      </c>
      <c r="BW85" s="1682"/>
      <c r="BX85" s="1682"/>
      <c r="BY85" s="1326"/>
      <c r="BZ85" s="1326"/>
      <c r="CA85" s="1326"/>
      <c r="CB85" s="1326"/>
      <c r="CC85" s="1326"/>
      <c r="CD85" s="1684">
        <v>7664694.6900000004</v>
      </c>
      <c r="CE85" s="1684">
        <v>7340876.5800000001</v>
      </c>
      <c r="CF85" s="1684">
        <v>5816288.3200000003</v>
      </c>
      <c r="CG85" s="1684">
        <v>79.23</v>
      </c>
      <c r="CH85" s="1684">
        <v>1524588.26</v>
      </c>
      <c r="CI85" s="1684">
        <v>20.77</v>
      </c>
      <c r="CJ85" s="1684">
        <v>7340876.5800000001</v>
      </c>
      <c r="CK85" s="1684">
        <v>100</v>
      </c>
      <c r="CL85" s="1410"/>
      <c r="CM85" s="1682"/>
      <c r="CN85" s="1400"/>
      <c r="CO85" s="1326"/>
      <c r="CP85" s="1682"/>
      <c r="CQ85" s="1684">
        <v>5885883.9900000002</v>
      </c>
      <c r="CR85" s="1684">
        <v>5470950.1200000001</v>
      </c>
      <c r="CS85" s="1684">
        <v>414933.87</v>
      </c>
      <c r="CT85" s="1326"/>
      <c r="CU85" s="1682"/>
      <c r="CV85" s="1684">
        <v>7165785.6200000001</v>
      </c>
      <c r="CW85" s="1684">
        <v>0</v>
      </c>
      <c r="CX85" s="1684">
        <v>0</v>
      </c>
      <c r="CY85" s="1684">
        <v>6323904.3799999999</v>
      </c>
      <c r="CZ85" s="1684">
        <v>771548.94</v>
      </c>
      <c r="DA85" s="1684">
        <v>8420</v>
      </c>
      <c r="DB85" s="1684">
        <v>2105.2800000000002</v>
      </c>
      <c r="DC85" s="1684">
        <v>59807.02</v>
      </c>
      <c r="DD85" s="1684">
        <v>7165785.6200000001</v>
      </c>
      <c r="DE85" s="1684">
        <v>5566527.8300000001</v>
      </c>
      <c r="DF85" s="1684">
        <v>5212336.1500000004</v>
      </c>
      <c r="DG85" s="1684">
        <v>354191.68</v>
      </c>
      <c r="DH85" s="1684">
        <v>1599257.79</v>
      </c>
      <c r="DI85" s="1684">
        <v>1599257.79</v>
      </c>
      <c r="DJ85" s="1684">
        <v>352400.82</v>
      </c>
      <c r="DK85" s="1684">
        <v>1246856.97</v>
      </c>
      <c r="DL85" s="1684">
        <v>0</v>
      </c>
      <c r="DM85" s="1684">
        <v>0</v>
      </c>
      <c r="DN85" s="1684">
        <v>0</v>
      </c>
      <c r="DO85" s="1684">
        <v>0</v>
      </c>
      <c r="DP85" s="1684">
        <v>0</v>
      </c>
      <c r="DQ85" s="1326"/>
      <c r="DR85" s="1400"/>
      <c r="DS85" s="1326"/>
      <c r="DT85" s="1682"/>
      <c r="DU85" s="1326"/>
      <c r="DV85" s="1682"/>
    </row>
    <row r="86" spans="1:126">
      <c r="A86" s="1326" t="s">
        <v>2033</v>
      </c>
      <c r="B86" s="1326" t="s">
        <v>1700</v>
      </c>
      <c r="C86" s="1326" t="s">
        <v>2561</v>
      </c>
      <c r="D86" s="1326" t="s">
        <v>2562</v>
      </c>
      <c r="E86" s="1326"/>
      <c r="F86" s="1326"/>
      <c r="G86" s="1326"/>
      <c r="H86" s="1326"/>
      <c r="I86" s="1326"/>
      <c r="J86" s="1326"/>
      <c r="K86" s="1682"/>
      <c r="L86" s="1682"/>
      <c r="M86" s="1326"/>
      <c r="N86" s="1326"/>
      <c r="O86" s="1326"/>
      <c r="P86" s="1326"/>
      <c r="Q86" s="1326"/>
      <c r="R86" s="1326"/>
      <c r="S86" s="1326"/>
      <c r="T86" s="1326"/>
      <c r="U86" s="1326"/>
      <c r="V86" s="1326"/>
      <c r="W86" s="1326"/>
      <c r="X86" s="1326"/>
      <c r="Y86" s="1326"/>
      <c r="Z86" s="1326"/>
      <c r="AA86" s="1326"/>
      <c r="AB86" s="1326"/>
      <c r="AC86" s="1326"/>
      <c r="AD86" s="1326"/>
      <c r="AE86" s="1326"/>
      <c r="AF86" s="1326"/>
      <c r="AG86" s="1326"/>
      <c r="AH86" s="1326"/>
      <c r="AI86" s="1326"/>
      <c r="AJ86" s="1326"/>
      <c r="AK86" s="1326"/>
      <c r="AL86" s="1326"/>
      <c r="AM86" s="1400"/>
      <c r="AN86" s="1326"/>
      <c r="AO86" s="1326"/>
      <c r="AP86" s="1326"/>
      <c r="AQ86" s="1326"/>
      <c r="AR86" s="1326"/>
      <c r="AS86" s="1326"/>
      <c r="AT86" s="1326"/>
      <c r="AU86" s="1326"/>
      <c r="AV86" s="1326"/>
      <c r="AW86" s="1326"/>
      <c r="AX86" s="1326"/>
      <c r="AY86" s="1326"/>
      <c r="AZ86" s="1326"/>
      <c r="BA86" s="1326"/>
      <c r="BB86" s="1326"/>
      <c r="BC86" s="1326"/>
      <c r="BD86" s="1326"/>
      <c r="BE86" s="1326"/>
      <c r="BF86" s="1326"/>
      <c r="BG86" s="1326"/>
      <c r="BH86" s="1326"/>
      <c r="BI86" s="1326"/>
      <c r="BJ86" s="1326"/>
      <c r="BK86" s="1326"/>
      <c r="BL86" s="1326"/>
      <c r="BM86" s="1326"/>
      <c r="BN86" s="1400"/>
      <c r="BO86" s="1682"/>
      <c r="BP86" s="1682"/>
      <c r="BQ86" s="1326"/>
      <c r="BR86" s="1682"/>
      <c r="BS86" s="1326"/>
      <c r="BT86" s="1326"/>
      <c r="BU86" s="1400"/>
      <c r="BV86" s="1683">
        <v>1669958.37</v>
      </c>
      <c r="BW86" s="1682"/>
      <c r="BX86" s="1682"/>
      <c r="BY86" s="1326"/>
      <c r="BZ86" s="1326"/>
      <c r="CA86" s="1326"/>
      <c r="CB86" s="1326"/>
      <c r="CC86" s="1326"/>
      <c r="CD86" s="1684">
        <v>7664694.6900000004</v>
      </c>
      <c r="CE86" s="1684">
        <v>7340876.5800000001</v>
      </c>
      <c r="CF86" s="1684">
        <v>5816288.3200000003</v>
      </c>
      <c r="CG86" s="1684">
        <v>79.23</v>
      </c>
      <c r="CH86" s="1684">
        <v>1524588.26</v>
      </c>
      <c r="CI86" s="1684">
        <v>20.77</v>
      </c>
      <c r="CJ86" s="1684">
        <v>7340876.5800000001</v>
      </c>
      <c r="CK86" s="1684">
        <v>100</v>
      </c>
      <c r="CL86" s="1410"/>
      <c r="CM86" s="1682"/>
      <c r="CN86" s="1400"/>
      <c r="CO86" s="1326"/>
      <c r="CP86" s="1682"/>
      <c r="CQ86" s="1684">
        <v>5885883.9900000002</v>
      </c>
      <c r="CR86" s="1684">
        <v>5470950.1200000001</v>
      </c>
      <c r="CS86" s="1684">
        <v>414933.87</v>
      </c>
      <c r="CT86" s="1326"/>
      <c r="CU86" s="1682"/>
      <c r="CV86" s="1684">
        <v>7165785.6200000001</v>
      </c>
      <c r="CW86" s="1684">
        <v>0</v>
      </c>
      <c r="CX86" s="1684">
        <v>0</v>
      </c>
      <c r="CY86" s="1684">
        <v>6323904.3799999999</v>
      </c>
      <c r="CZ86" s="1684">
        <v>771548.94</v>
      </c>
      <c r="DA86" s="1684">
        <v>8420</v>
      </c>
      <c r="DB86" s="1684">
        <v>2105.2800000000002</v>
      </c>
      <c r="DC86" s="1684">
        <v>59807.02</v>
      </c>
      <c r="DD86" s="1684">
        <v>7165785.6200000001</v>
      </c>
      <c r="DE86" s="1684">
        <v>5566527.8300000001</v>
      </c>
      <c r="DF86" s="1684">
        <v>5212336.1500000004</v>
      </c>
      <c r="DG86" s="1684">
        <v>354191.68</v>
      </c>
      <c r="DH86" s="1684">
        <v>1599257.79</v>
      </c>
      <c r="DI86" s="1684">
        <v>1599257.79</v>
      </c>
      <c r="DJ86" s="1684">
        <v>352400.82</v>
      </c>
      <c r="DK86" s="1684">
        <v>1246856.97</v>
      </c>
      <c r="DL86" s="1684">
        <v>0</v>
      </c>
      <c r="DM86" s="1684">
        <v>0</v>
      </c>
      <c r="DN86" s="1684">
        <v>0</v>
      </c>
      <c r="DO86" s="1684">
        <v>0</v>
      </c>
      <c r="DP86" s="1684">
        <v>0</v>
      </c>
      <c r="DQ86" s="1326"/>
      <c r="DR86" s="1400"/>
      <c r="DS86" s="1326"/>
      <c r="DT86" s="1682"/>
      <c r="DU86" s="1326"/>
      <c r="DV86" s="1682"/>
    </row>
    <row r="87" spans="1:126">
      <c r="A87" s="1326" t="s">
        <v>2098</v>
      </c>
      <c r="B87" s="1326" t="s">
        <v>1700</v>
      </c>
      <c r="C87" s="1326" t="s">
        <v>2561</v>
      </c>
      <c r="D87" s="1326" t="s">
        <v>2562</v>
      </c>
      <c r="E87" s="1326" t="s">
        <v>145</v>
      </c>
      <c r="F87" s="1326" t="s">
        <v>374</v>
      </c>
      <c r="G87" s="1326"/>
      <c r="H87" s="1326"/>
      <c r="I87" s="1326"/>
      <c r="J87" s="1326"/>
      <c r="K87" s="1682"/>
      <c r="L87" s="1682"/>
      <c r="M87" s="1326"/>
      <c r="N87" s="1326"/>
      <c r="O87" s="1326"/>
      <c r="P87" s="1326"/>
      <c r="Q87" s="1326"/>
      <c r="R87" s="1326"/>
      <c r="S87" s="1326"/>
      <c r="T87" s="1326"/>
      <c r="U87" s="1326"/>
      <c r="V87" s="1326"/>
      <c r="W87" s="1326"/>
      <c r="X87" s="1326"/>
      <c r="Y87" s="1326"/>
      <c r="Z87" s="1326"/>
      <c r="AA87" s="1326"/>
      <c r="AB87" s="1326"/>
      <c r="AC87" s="1326"/>
      <c r="AD87" s="1326"/>
      <c r="AE87" s="1326"/>
      <c r="AF87" s="1326"/>
      <c r="AG87" s="1326"/>
      <c r="AH87" s="1326"/>
      <c r="AI87" s="1326"/>
      <c r="AJ87" s="1326"/>
      <c r="AK87" s="1326"/>
      <c r="AL87" s="1326"/>
      <c r="AM87" s="1400"/>
      <c r="AN87" s="1326"/>
      <c r="AO87" s="1326"/>
      <c r="AP87" s="1326"/>
      <c r="AQ87" s="1326"/>
      <c r="AR87" s="1326"/>
      <c r="AS87" s="1326"/>
      <c r="AT87" s="1326"/>
      <c r="AU87" s="1326"/>
      <c r="AV87" s="1326"/>
      <c r="AW87" s="1326"/>
      <c r="AX87" s="1326"/>
      <c r="AY87" s="1326"/>
      <c r="AZ87" s="1326"/>
      <c r="BA87" s="1326"/>
      <c r="BB87" s="1326"/>
      <c r="BC87" s="1326"/>
      <c r="BD87" s="1326"/>
      <c r="BE87" s="1326"/>
      <c r="BF87" s="1326"/>
      <c r="BG87" s="1326"/>
      <c r="BH87" s="1326"/>
      <c r="BI87" s="1326"/>
      <c r="BJ87" s="1326"/>
      <c r="BK87" s="1326"/>
      <c r="BL87" s="1326"/>
      <c r="BM87" s="1326"/>
      <c r="BN87" s="1400"/>
      <c r="BO87" s="1682"/>
      <c r="BP87" s="1682"/>
      <c r="BQ87" s="1326"/>
      <c r="BR87" s="1682"/>
      <c r="BS87" s="1326"/>
      <c r="BT87" s="1326"/>
      <c r="BU87" s="1400"/>
      <c r="BV87" s="1683">
        <v>1122630.3600000001</v>
      </c>
      <c r="BW87" s="1682"/>
      <c r="BX87" s="1682"/>
      <c r="BY87" s="1326"/>
      <c r="BZ87" s="1326"/>
      <c r="CA87" s="1326"/>
      <c r="CB87" s="1326"/>
      <c r="CC87" s="1326"/>
      <c r="CD87" s="1684">
        <v>4809166.07</v>
      </c>
      <c r="CE87" s="1684">
        <v>4591711.3600000003</v>
      </c>
      <c r="CF87" s="1684">
        <v>3919861.65</v>
      </c>
      <c r="CG87" s="1684">
        <v>85.37</v>
      </c>
      <c r="CH87" s="1684">
        <v>671849.71</v>
      </c>
      <c r="CI87" s="1684">
        <v>14.63</v>
      </c>
      <c r="CJ87" s="1684">
        <v>4591711.3600000003</v>
      </c>
      <c r="CK87" s="1684">
        <v>100</v>
      </c>
      <c r="CL87" s="1410"/>
      <c r="CM87" s="1682"/>
      <c r="CN87" s="1400"/>
      <c r="CO87" s="1326"/>
      <c r="CP87" s="1682"/>
      <c r="CQ87" s="1684">
        <v>4061457.32</v>
      </c>
      <c r="CR87" s="1684">
        <v>3697301.53</v>
      </c>
      <c r="CS87" s="1684">
        <v>364155.79</v>
      </c>
      <c r="CT87" s="1326"/>
      <c r="CU87" s="1682"/>
      <c r="CV87" s="1684">
        <v>4374659.1100000003</v>
      </c>
      <c r="CW87" s="1684">
        <v>0</v>
      </c>
      <c r="CX87" s="1684">
        <v>0</v>
      </c>
      <c r="CY87" s="1684">
        <v>4332520.3099999996</v>
      </c>
      <c r="CZ87" s="1684">
        <v>0</v>
      </c>
      <c r="DA87" s="1684">
        <v>0</v>
      </c>
      <c r="DB87" s="1684">
        <v>1622.77</v>
      </c>
      <c r="DC87" s="1684">
        <v>40516.03</v>
      </c>
      <c r="DD87" s="1684">
        <v>4374659.1100000003</v>
      </c>
      <c r="DE87" s="1684">
        <v>3742101.16</v>
      </c>
      <c r="DF87" s="1684">
        <v>3438687.56</v>
      </c>
      <c r="DG87" s="1684">
        <v>303413.59999999998</v>
      </c>
      <c r="DH87" s="1684">
        <v>632557.94999999995</v>
      </c>
      <c r="DI87" s="1684">
        <v>632557.94999999995</v>
      </c>
      <c r="DJ87" s="1684">
        <v>0</v>
      </c>
      <c r="DK87" s="1684">
        <v>632557.94999999995</v>
      </c>
      <c r="DL87" s="1684">
        <v>0</v>
      </c>
      <c r="DM87" s="1684">
        <v>0</v>
      </c>
      <c r="DN87" s="1684">
        <v>0</v>
      </c>
      <c r="DO87" s="1684">
        <v>0</v>
      </c>
      <c r="DP87" s="1684">
        <v>0</v>
      </c>
      <c r="DQ87" s="1326"/>
      <c r="DR87" s="1400"/>
      <c r="DS87" s="1326"/>
      <c r="DT87" s="1682"/>
      <c r="DU87" s="1326"/>
      <c r="DV87" s="1682"/>
    </row>
    <row r="88" spans="1:126" ht="146.25">
      <c r="A88" s="1326" t="s">
        <v>2099</v>
      </c>
      <c r="B88" s="1326" t="s">
        <v>1700</v>
      </c>
      <c r="C88" s="1326" t="s">
        <v>2561</v>
      </c>
      <c r="D88" s="1326" t="s">
        <v>2562</v>
      </c>
      <c r="E88" s="1326" t="s">
        <v>145</v>
      </c>
      <c r="F88" s="1326" t="s">
        <v>374</v>
      </c>
      <c r="G88" s="1326" t="s">
        <v>2563</v>
      </c>
      <c r="H88" s="1326" t="s">
        <v>2556</v>
      </c>
      <c r="I88" s="1326" t="s">
        <v>2541</v>
      </c>
      <c r="J88" s="1326" t="s">
        <v>707</v>
      </c>
      <c r="K88" s="1685">
        <v>42555</v>
      </c>
      <c r="L88" s="1685">
        <v>42733</v>
      </c>
      <c r="M88" s="1326" t="s">
        <v>300</v>
      </c>
      <c r="N88" s="1326" t="s">
        <v>2137</v>
      </c>
      <c r="O88" s="1326" t="s">
        <v>2984</v>
      </c>
      <c r="P88" s="1326" t="s">
        <v>2757</v>
      </c>
      <c r="Q88" s="1326" t="s">
        <v>1721</v>
      </c>
      <c r="R88" s="1326" t="s">
        <v>2757</v>
      </c>
      <c r="S88" s="1326" t="s">
        <v>2757</v>
      </c>
      <c r="T88" s="1326"/>
      <c r="U88" s="1326" t="s">
        <v>2758</v>
      </c>
      <c r="V88" s="1326" t="s">
        <v>2785</v>
      </c>
      <c r="W88" s="1326" t="s">
        <v>2757</v>
      </c>
      <c r="X88" s="1326"/>
      <c r="Y88" s="1326" t="s">
        <v>2757</v>
      </c>
      <c r="Z88" s="1326"/>
      <c r="AA88" s="1326"/>
      <c r="AB88" s="1326" t="s">
        <v>2757</v>
      </c>
      <c r="AC88" s="1326" t="s">
        <v>2757</v>
      </c>
      <c r="AD88" s="1326" t="s">
        <v>2757</v>
      </c>
      <c r="AE88" s="1326"/>
      <c r="AF88" s="1326" t="s">
        <v>2985</v>
      </c>
      <c r="AG88" s="1326" t="s">
        <v>2986</v>
      </c>
      <c r="AH88" s="1326" t="s">
        <v>2791</v>
      </c>
      <c r="AI88" s="1326" t="s">
        <v>2762</v>
      </c>
      <c r="AJ88" s="1326" t="s">
        <v>2763</v>
      </c>
      <c r="AK88" s="1326" t="s">
        <v>2987</v>
      </c>
      <c r="AL88" s="1326" t="s">
        <v>2988</v>
      </c>
      <c r="AM88" s="1683">
        <v>100</v>
      </c>
      <c r="AN88" s="1326"/>
      <c r="AO88" s="1326"/>
      <c r="AP88" s="1326"/>
      <c r="AQ88" s="1326"/>
      <c r="AR88" s="1326"/>
      <c r="AS88" s="1326"/>
      <c r="AT88" s="1326" t="s">
        <v>2867</v>
      </c>
      <c r="AU88" s="1326" t="s">
        <v>2795</v>
      </c>
      <c r="AV88" s="1326" t="s">
        <v>2989</v>
      </c>
      <c r="AW88" s="1326"/>
      <c r="AX88" s="1326" t="s">
        <v>2909</v>
      </c>
      <c r="AY88" s="1326" t="s">
        <v>2798</v>
      </c>
      <c r="AZ88" s="1326" t="s">
        <v>282</v>
      </c>
      <c r="BA88" s="1326" t="s">
        <v>2820</v>
      </c>
      <c r="BB88" s="1326" t="s">
        <v>2757</v>
      </c>
      <c r="BC88" s="1326" t="s">
        <v>2800</v>
      </c>
      <c r="BD88" s="1326" t="s">
        <v>2773</v>
      </c>
      <c r="BE88" s="1326" t="s">
        <v>2942</v>
      </c>
      <c r="BF88" s="1326" t="s">
        <v>2958</v>
      </c>
      <c r="BG88" s="1326" t="s">
        <v>2944</v>
      </c>
      <c r="BH88" s="1326" t="s">
        <v>2804</v>
      </c>
      <c r="BI88" s="1326" t="s">
        <v>2805</v>
      </c>
      <c r="BJ88" s="1326" t="s">
        <v>2824</v>
      </c>
      <c r="BK88" s="1326" t="s">
        <v>2867</v>
      </c>
      <c r="BL88" s="1326" t="s">
        <v>2757</v>
      </c>
      <c r="BM88" s="1326" t="s">
        <v>2757</v>
      </c>
      <c r="BN88" s="1683">
        <v>0</v>
      </c>
      <c r="BO88" s="1685">
        <v>41969</v>
      </c>
      <c r="BP88" s="1685">
        <v>43354</v>
      </c>
      <c r="BQ88" s="1326" t="s">
        <v>2779</v>
      </c>
      <c r="BR88" s="1685">
        <v>45657</v>
      </c>
      <c r="BS88" s="1326" t="s">
        <v>2825</v>
      </c>
      <c r="BT88" s="1326" t="s">
        <v>2990</v>
      </c>
      <c r="BU88" s="1683">
        <v>30</v>
      </c>
      <c r="BV88" s="1683">
        <v>420948.63</v>
      </c>
      <c r="BW88" s="1685">
        <v>43385</v>
      </c>
      <c r="BX88" s="1685">
        <v>43453</v>
      </c>
      <c r="BY88" s="1326" t="s">
        <v>2052</v>
      </c>
      <c r="BZ88" s="1326" t="s">
        <v>2782</v>
      </c>
      <c r="CA88" s="1326" t="s">
        <v>2783</v>
      </c>
      <c r="CB88" s="1326" t="s">
        <v>2783</v>
      </c>
      <c r="CC88" s="1326" t="s">
        <v>2809</v>
      </c>
      <c r="CD88" s="1684">
        <v>1717956.08</v>
      </c>
      <c r="CE88" s="1684">
        <v>1516932.01</v>
      </c>
      <c r="CF88" s="1684">
        <v>1441085.4</v>
      </c>
      <c r="CG88" s="1684">
        <v>95</v>
      </c>
      <c r="CH88" s="1684">
        <v>75846.61</v>
      </c>
      <c r="CI88" s="1684">
        <v>5</v>
      </c>
      <c r="CJ88" s="1684">
        <v>1516932.01</v>
      </c>
      <c r="CK88" s="1684">
        <v>100</v>
      </c>
      <c r="CL88" s="1410" t="s">
        <v>2785</v>
      </c>
      <c r="CM88" s="1686">
        <v>42677</v>
      </c>
      <c r="CN88" s="1400"/>
      <c r="CO88" s="1326"/>
      <c r="CP88" s="1682"/>
      <c r="CQ88" s="1684">
        <v>1441085.4</v>
      </c>
      <c r="CR88" s="1684">
        <v>1289392.2</v>
      </c>
      <c r="CS88" s="1684">
        <v>151693.20000000001</v>
      </c>
      <c r="CT88" s="1326" t="s">
        <v>2785</v>
      </c>
      <c r="CU88" s="1686">
        <v>42699</v>
      </c>
      <c r="CV88" s="1684">
        <v>1516932.01</v>
      </c>
      <c r="CW88" s="1684">
        <v>0</v>
      </c>
      <c r="CX88" s="1684">
        <v>0</v>
      </c>
      <c r="CY88" s="1684">
        <v>1503348.81</v>
      </c>
      <c r="CZ88" s="1684">
        <v>0</v>
      </c>
      <c r="DA88" s="1684">
        <v>0</v>
      </c>
      <c r="DB88" s="1684">
        <v>201.6</v>
      </c>
      <c r="DC88" s="1684">
        <v>13381.6</v>
      </c>
      <c r="DD88" s="1684">
        <v>1516932.01</v>
      </c>
      <c r="DE88" s="1684">
        <v>1403162.1</v>
      </c>
      <c r="DF88" s="1684">
        <v>1289392.2</v>
      </c>
      <c r="DG88" s="1684">
        <v>113769.9</v>
      </c>
      <c r="DH88" s="1684">
        <v>113769.91</v>
      </c>
      <c r="DI88" s="1684">
        <v>113769.91</v>
      </c>
      <c r="DJ88" s="1684">
        <v>0</v>
      </c>
      <c r="DK88" s="1684">
        <v>113769.91</v>
      </c>
      <c r="DL88" s="1684">
        <v>0</v>
      </c>
      <c r="DM88" s="1684">
        <v>0</v>
      </c>
      <c r="DN88" s="1684">
        <v>0</v>
      </c>
      <c r="DO88" s="1684">
        <v>0</v>
      </c>
      <c r="DP88" s="1684">
        <v>0</v>
      </c>
      <c r="DQ88" s="1326" t="s">
        <v>2810</v>
      </c>
      <c r="DR88" s="1684">
        <v>0</v>
      </c>
      <c r="DS88" s="1326" t="s">
        <v>2757</v>
      </c>
      <c r="DT88" s="1682"/>
      <c r="DU88" s="1326" t="s">
        <v>2785</v>
      </c>
      <c r="DV88" s="1686">
        <v>43354</v>
      </c>
    </row>
    <row r="89" spans="1:126" ht="90">
      <c r="A89" s="1326" t="s">
        <v>2100</v>
      </c>
      <c r="B89" s="1326" t="s">
        <v>1700</v>
      </c>
      <c r="C89" s="1326" t="s">
        <v>2561</v>
      </c>
      <c r="D89" s="1326" t="s">
        <v>2562</v>
      </c>
      <c r="E89" s="1326" t="s">
        <v>145</v>
      </c>
      <c r="F89" s="1326" t="s">
        <v>374</v>
      </c>
      <c r="G89" s="1326" t="s">
        <v>2563</v>
      </c>
      <c r="H89" s="1326" t="s">
        <v>2556</v>
      </c>
      <c r="I89" s="1326" t="s">
        <v>2541</v>
      </c>
      <c r="J89" s="1326" t="s">
        <v>708</v>
      </c>
      <c r="K89" s="1685">
        <v>42863</v>
      </c>
      <c r="L89" s="1685">
        <v>42984</v>
      </c>
      <c r="M89" s="1326" t="s">
        <v>302</v>
      </c>
      <c r="N89" s="1326" t="s">
        <v>2061</v>
      </c>
      <c r="O89" s="1326" t="s">
        <v>2991</v>
      </c>
      <c r="P89" s="1326" t="s">
        <v>2757</v>
      </c>
      <c r="Q89" s="1326" t="s">
        <v>1725</v>
      </c>
      <c r="R89" s="1326" t="s">
        <v>2757</v>
      </c>
      <c r="S89" s="1326" t="s">
        <v>2757</v>
      </c>
      <c r="T89" s="1326"/>
      <c r="U89" s="1326" t="s">
        <v>2758</v>
      </c>
      <c r="V89" s="1326" t="s">
        <v>2785</v>
      </c>
      <c r="W89" s="1326" t="s">
        <v>2757</v>
      </c>
      <c r="X89" s="1326"/>
      <c r="Y89" s="1326" t="s">
        <v>2757</v>
      </c>
      <c r="Z89" s="1326"/>
      <c r="AA89" s="1326"/>
      <c r="AB89" s="1326" t="s">
        <v>2757</v>
      </c>
      <c r="AC89" s="1326" t="s">
        <v>2757</v>
      </c>
      <c r="AD89" s="1326" t="s">
        <v>2757</v>
      </c>
      <c r="AE89" s="1326"/>
      <c r="AF89" s="1326" t="s">
        <v>2985</v>
      </c>
      <c r="AG89" s="1326" t="s">
        <v>2986</v>
      </c>
      <c r="AH89" s="1326" t="s">
        <v>2791</v>
      </c>
      <c r="AI89" s="1326" t="s">
        <v>2762</v>
      </c>
      <c r="AJ89" s="1326" t="s">
        <v>2763</v>
      </c>
      <c r="AK89" s="1326" t="s">
        <v>2987</v>
      </c>
      <c r="AL89" s="1326" t="s">
        <v>2988</v>
      </c>
      <c r="AM89" s="1683">
        <v>100</v>
      </c>
      <c r="AN89" s="1326"/>
      <c r="AO89" s="1326"/>
      <c r="AP89" s="1326"/>
      <c r="AQ89" s="1326"/>
      <c r="AR89" s="1326"/>
      <c r="AS89" s="1326"/>
      <c r="AT89" s="1326" t="s">
        <v>2867</v>
      </c>
      <c r="AU89" s="1326" t="s">
        <v>2795</v>
      </c>
      <c r="AV89" s="1326" t="s">
        <v>2989</v>
      </c>
      <c r="AW89" s="1326"/>
      <c r="AX89" s="1326" t="s">
        <v>2909</v>
      </c>
      <c r="AY89" s="1326" t="s">
        <v>2798</v>
      </c>
      <c r="AZ89" s="1326" t="s">
        <v>282</v>
      </c>
      <c r="BA89" s="1326" t="s">
        <v>2820</v>
      </c>
      <c r="BB89" s="1326" t="s">
        <v>2757</v>
      </c>
      <c r="BC89" s="1326" t="s">
        <v>2800</v>
      </c>
      <c r="BD89" s="1326" t="s">
        <v>2773</v>
      </c>
      <c r="BE89" s="1326" t="s">
        <v>2942</v>
      </c>
      <c r="BF89" s="1326" t="s">
        <v>2958</v>
      </c>
      <c r="BG89" s="1326" t="s">
        <v>2944</v>
      </c>
      <c r="BH89" s="1326" t="s">
        <v>2804</v>
      </c>
      <c r="BI89" s="1326" t="s">
        <v>2805</v>
      </c>
      <c r="BJ89" s="1326" t="s">
        <v>2824</v>
      </c>
      <c r="BK89" s="1326" t="s">
        <v>2867</v>
      </c>
      <c r="BL89" s="1326" t="s">
        <v>2757</v>
      </c>
      <c r="BM89" s="1326" t="s">
        <v>2757</v>
      </c>
      <c r="BN89" s="1683">
        <v>0</v>
      </c>
      <c r="BO89" s="1685">
        <v>42095</v>
      </c>
      <c r="BP89" s="1685">
        <v>43738</v>
      </c>
      <c r="BQ89" s="1326" t="s">
        <v>2779</v>
      </c>
      <c r="BR89" s="1685">
        <v>46022</v>
      </c>
      <c r="BS89" s="1326" t="s">
        <v>2992</v>
      </c>
      <c r="BT89" s="1326" t="s">
        <v>2993</v>
      </c>
      <c r="BU89" s="1683">
        <v>30</v>
      </c>
      <c r="BV89" s="1683">
        <v>223753.24</v>
      </c>
      <c r="BW89" s="1685">
        <v>43768</v>
      </c>
      <c r="BX89" s="1682"/>
      <c r="BY89" s="1326" t="s">
        <v>2052</v>
      </c>
      <c r="BZ89" s="1326" t="s">
        <v>2782</v>
      </c>
      <c r="CA89" s="1326" t="s">
        <v>2783</v>
      </c>
      <c r="CB89" s="1326" t="s">
        <v>2783</v>
      </c>
      <c r="CC89" s="1326" t="s">
        <v>2913</v>
      </c>
      <c r="CD89" s="1684">
        <v>1004001.13</v>
      </c>
      <c r="CE89" s="1684">
        <v>995216.11</v>
      </c>
      <c r="CF89" s="1684">
        <v>920574.9</v>
      </c>
      <c r="CG89" s="1684">
        <v>92.5</v>
      </c>
      <c r="CH89" s="1684">
        <v>74641.210000000006</v>
      </c>
      <c r="CI89" s="1684">
        <v>7.5</v>
      </c>
      <c r="CJ89" s="1684">
        <v>995216.11</v>
      </c>
      <c r="CK89" s="1684">
        <v>100</v>
      </c>
      <c r="CL89" s="1410" t="s">
        <v>2785</v>
      </c>
      <c r="CM89" s="1686">
        <v>42951</v>
      </c>
      <c r="CN89" s="1400"/>
      <c r="CO89" s="1326"/>
      <c r="CP89" s="1682"/>
      <c r="CQ89" s="1684">
        <v>920574.9</v>
      </c>
      <c r="CR89" s="1684">
        <v>845933.69</v>
      </c>
      <c r="CS89" s="1684">
        <v>74641.210000000006</v>
      </c>
      <c r="CT89" s="1326" t="s">
        <v>2785</v>
      </c>
      <c r="CU89" s="1686">
        <v>42971</v>
      </c>
      <c r="CV89" s="1684">
        <v>806317.97</v>
      </c>
      <c r="CW89" s="1684">
        <v>0</v>
      </c>
      <c r="CX89" s="1684">
        <v>0</v>
      </c>
      <c r="CY89" s="1684">
        <v>799003.45</v>
      </c>
      <c r="CZ89" s="1684">
        <v>0</v>
      </c>
      <c r="DA89" s="1684">
        <v>0</v>
      </c>
      <c r="DB89" s="1684">
        <v>201.6</v>
      </c>
      <c r="DC89" s="1684">
        <v>7112.92</v>
      </c>
      <c r="DD89" s="1684">
        <v>806317.97</v>
      </c>
      <c r="DE89" s="1684">
        <v>745844.12</v>
      </c>
      <c r="DF89" s="1684">
        <v>685370.28</v>
      </c>
      <c r="DG89" s="1684">
        <v>60473.84</v>
      </c>
      <c r="DH89" s="1684">
        <v>60473.85</v>
      </c>
      <c r="DI89" s="1684">
        <v>60473.85</v>
      </c>
      <c r="DJ89" s="1684">
        <v>0</v>
      </c>
      <c r="DK89" s="1684">
        <v>60473.85</v>
      </c>
      <c r="DL89" s="1684">
        <v>0</v>
      </c>
      <c r="DM89" s="1684">
        <v>0</v>
      </c>
      <c r="DN89" s="1684">
        <v>0</v>
      </c>
      <c r="DO89" s="1684">
        <v>0</v>
      </c>
      <c r="DP89" s="1684">
        <v>0</v>
      </c>
      <c r="DQ89" s="1326" t="s">
        <v>2810</v>
      </c>
      <c r="DR89" s="1684">
        <v>0</v>
      </c>
      <c r="DS89" s="1326" t="s">
        <v>2757</v>
      </c>
      <c r="DT89" s="1682"/>
      <c r="DU89" s="1326" t="s">
        <v>2785</v>
      </c>
      <c r="DV89" s="1686">
        <v>43738</v>
      </c>
    </row>
    <row r="90" spans="1:126" ht="67.5">
      <c r="A90" s="1326" t="s">
        <v>2034</v>
      </c>
      <c r="B90" s="1326" t="s">
        <v>1700</v>
      </c>
      <c r="C90" s="1326" t="s">
        <v>2561</v>
      </c>
      <c r="D90" s="1326" t="s">
        <v>2562</v>
      </c>
      <c r="E90" s="1326" t="s">
        <v>145</v>
      </c>
      <c r="F90" s="1326" t="s">
        <v>374</v>
      </c>
      <c r="G90" s="1326" t="s">
        <v>2563</v>
      </c>
      <c r="H90" s="1326" t="s">
        <v>2556</v>
      </c>
      <c r="I90" s="1326" t="s">
        <v>2541</v>
      </c>
      <c r="J90" s="1326" t="s">
        <v>806</v>
      </c>
      <c r="K90" s="1685">
        <v>43007</v>
      </c>
      <c r="L90" s="1685">
        <v>43105</v>
      </c>
      <c r="M90" s="1326" t="s">
        <v>640</v>
      </c>
      <c r="N90" s="1326" t="s">
        <v>2061</v>
      </c>
      <c r="O90" s="1326" t="s">
        <v>4369</v>
      </c>
      <c r="P90" s="1326" t="s">
        <v>2757</v>
      </c>
      <c r="Q90" s="1326" t="s">
        <v>1722</v>
      </c>
      <c r="R90" s="1326" t="s">
        <v>2757</v>
      </c>
      <c r="S90" s="1326" t="s">
        <v>2757</v>
      </c>
      <c r="T90" s="1326"/>
      <c r="U90" s="1326" t="s">
        <v>2758</v>
      </c>
      <c r="V90" s="1326" t="s">
        <v>2785</v>
      </c>
      <c r="W90" s="1326" t="s">
        <v>2757</v>
      </c>
      <c r="X90" s="1326"/>
      <c r="Y90" s="1326" t="s">
        <v>2757</v>
      </c>
      <c r="Z90" s="1326"/>
      <c r="AA90" s="1326"/>
      <c r="AB90" s="1326" t="s">
        <v>2757</v>
      </c>
      <c r="AC90" s="1326" t="s">
        <v>2757</v>
      </c>
      <c r="AD90" s="1326" t="s">
        <v>2757</v>
      </c>
      <c r="AE90" s="1326"/>
      <c r="AF90" s="1326" t="s">
        <v>2985</v>
      </c>
      <c r="AG90" s="1326" t="s">
        <v>2986</v>
      </c>
      <c r="AH90" s="1326" t="s">
        <v>2791</v>
      </c>
      <c r="AI90" s="1326" t="s">
        <v>2762</v>
      </c>
      <c r="AJ90" s="1326" t="s">
        <v>2763</v>
      </c>
      <c r="AK90" s="1326" t="s">
        <v>2987</v>
      </c>
      <c r="AL90" s="1326" t="s">
        <v>2988</v>
      </c>
      <c r="AM90" s="1683">
        <v>100</v>
      </c>
      <c r="AN90" s="1326"/>
      <c r="AO90" s="1326"/>
      <c r="AP90" s="1326"/>
      <c r="AQ90" s="1326"/>
      <c r="AR90" s="1326"/>
      <c r="AS90" s="1326"/>
      <c r="AT90" s="1326" t="s">
        <v>2867</v>
      </c>
      <c r="AU90" s="1326" t="s">
        <v>2795</v>
      </c>
      <c r="AV90" s="1326" t="s">
        <v>2989</v>
      </c>
      <c r="AW90" s="1326"/>
      <c r="AX90" s="1326" t="s">
        <v>2909</v>
      </c>
      <c r="AY90" s="1326" t="s">
        <v>2798</v>
      </c>
      <c r="AZ90" s="1326" t="s">
        <v>282</v>
      </c>
      <c r="BA90" s="1326" t="s">
        <v>2820</v>
      </c>
      <c r="BB90" s="1326" t="s">
        <v>2757</v>
      </c>
      <c r="BC90" s="1326" t="s">
        <v>2800</v>
      </c>
      <c r="BD90" s="1326" t="s">
        <v>2773</v>
      </c>
      <c r="BE90" s="1326" t="s">
        <v>2942</v>
      </c>
      <c r="BF90" s="1326" t="s">
        <v>2958</v>
      </c>
      <c r="BG90" s="1326" t="s">
        <v>2944</v>
      </c>
      <c r="BH90" s="1326" t="s">
        <v>2804</v>
      </c>
      <c r="BI90" s="1326" t="s">
        <v>2805</v>
      </c>
      <c r="BJ90" s="1326" t="s">
        <v>2824</v>
      </c>
      <c r="BK90" s="1326" t="s">
        <v>2867</v>
      </c>
      <c r="BL90" s="1326" t="s">
        <v>2757</v>
      </c>
      <c r="BM90" s="1326" t="s">
        <v>2757</v>
      </c>
      <c r="BN90" s="1683">
        <v>0</v>
      </c>
      <c r="BO90" s="1685">
        <v>42796</v>
      </c>
      <c r="BP90" s="1685">
        <v>43769</v>
      </c>
      <c r="BQ90" s="1326" t="s">
        <v>2779</v>
      </c>
      <c r="BR90" s="1685">
        <v>46022</v>
      </c>
      <c r="BS90" s="1326" t="s">
        <v>2807</v>
      </c>
      <c r="BT90" s="1326" t="s">
        <v>2994</v>
      </c>
      <c r="BU90" s="1683">
        <v>30</v>
      </c>
      <c r="BV90" s="1683">
        <v>210135.6</v>
      </c>
      <c r="BW90" s="1685">
        <v>43799</v>
      </c>
      <c r="BX90" s="1682"/>
      <c r="BY90" s="1326" t="s">
        <v>2052</v>
      </c>
      <c r="BZ90" s="1326" t="s">
        <v>2782</v>
      </c>
      <c r="CA90" s="1326" t="s">
        <v>2783</v>
      </c>
      <c r="CB90" s="1326" t="s">
        <v>2783</v>
      </c>
      <c r="CC90" s="1326" t="s">
        <v>2913</v>
      </c>
      <c r="CD90" s="1684">
        <v>763371.63</v>
      </c>
      <c r="CE90" s="1684">
        <v>757246.01</v>
      </c>
      <c r="CF90" s="1684">
        <v>558856.32999999996</v>
      </c>
      <c r="CG90" s="1684">
        <v>73.8</v>
      </c>
      <c r="CH90" s="1684">
        <v>198389.68</v>
      </c>
      <c r="CI90" s="1684">
        <v>26.2</v>
      </c>
      <c r="CJ90" s="1684">
        <v>757246.01</v>
      </c>
      <c r="CK90" s="1684">
        <v>100</v>
      </c>
      <c r="CL90" s="1410" t="s">
        <v>2785</v>
      </c>
      <c r="CM90" s="1686">
        <v>43063</v>
      </c>
      <c r="CN90" s="1400"/>
      <c r="CO90" s="1326"/>
      <c r="CP90" s="1682"/>
      <c r="CQ90" s="1684">
        <v>700452</v>
      </c>
      <c r="CR90" s="1684">
        <v>643658.59</v>
      </c>
      <c r="CS90" s="1684">
        <v>56793.41</v>
      </c>
      <c r="CT90" s="1326" t="s">
        <v>2785</v>
      </c>
      <c r="CU90" s="1686">
        <v>43084</v>
      </c>
      <c r="CV90" s="1684">
        <v>877516.65</v>
      </c>
      <c r="CW90" s="1684">
        <v>0</v>
      </c>
      <c r="CX90" s="1684">
        <v>0</v>
      </c>
      <c r="CY90" s="1684">
        <v>869575.65</v>
      </c>
      <c r="CZ90" s="1684">
        <v>0</v>
      </c>
      <c r="DA90" s="1684">
        <v>0</v>
      </c>
      <c r="DB90" s="1684">
        <v>200</v>
      </c>
      <c r="DC90" s="1684">
        <v>7741</v>
      </c>
      <c r="DD90" s="1684">
        <v>877516.65</v>
      </c>
      <c r="DE90" s="1684">
        <v>700452</v>
      </c>
      <c r="DF90" s="1684">
        <v>643658.59</v>
      </c>
      <c r="DG90" s="1684">
        <v>56793.41</v>
      </c>
      <c r="DH90" s="1684">
        <v>177064.65</v>
      </c>
      <c r="DI90" s="1684">
        <v>177064.65</v>
      </c>
      <c r="DJ90" s="1684">
        <v>0</v>
      </c>
      <c r="DK90" s="1684">
        <v>177064.65</v>
      </c>
      <c r="DL90" s="1684">
        <v>0</v>
      </c>
      <c r="DM90" s="1684">
        <v>0</v>
      </c>
      <c r="DN90" s="1684">
        <v>0</v>
      </c>
      <c r="DO90" s="1684">
        <v>0</v>
      </c>
      <c r="DP90" s="1684">
        <v>0</v>
      </c>
      <c r="DQ90" s="1326" t="s">
        <v>2810</v>
      </c>
      <c r="DR90" s="1684">
        <v>0</v>
      </c>
      <c r="DS90" s="1326" t="s">
        <v>2785</v>
      </c>
      <c r="DT90" s="1682" t="s">
        <v>2995</v>
      </c>
      <c r="DU90" s="1326" t="s">
        <v>2785</v>
      </c>
      <c r="DV90" s="1686">
        <v>43769</v>
      </c>
    </row>
    <row r="91" spans="1:126" ht="67.5">
      <c r="A91" s="1326" t="s">
        <v>2035</v>
      </c>
      <c r="B91" s="1326" t="s">
        <v>1700</v>
      </c>
      <c r="C91" s="1326" t="s">
        <v>2561</v>
      </c>
      <c r="D91" s="1326" t="s">
        <v>2562</v>
      </c>
      <c r="E91" s="1326" t="s">
        <v>145</v>
      </c>
      <c r="F91" s="1326" t="s">
        <v>374</v>
      </c>
      <c r="G91" s="1326" t="s">
        <v>2563</v>
      </c>
      <c r="H91" s="1326" t="s">
        <v>2556</v>
      </c>
      <c r="I91" s="1326" t="s">
        <v>2541</v>
      </c>
      <c r="J91" s="1326" t="s">
        <v>1597</v>
      </c>
      <c r="K91" s="1685">
        <v>43238</v>
      </c>
      <c r="L91" s="1685">
        <v>43321</v>
      </c>
      <c r="M91" s="1326" t="s">
        <v>2996</v>
      </c>
      <c r="N91" s="1326" t="s">
        <v>2061</v>
      </c>
      <c r="O91" s="1326" t="s">
        <v>4370</v>
      </c>
      <c r="P91" s="1326" t="s">
        <v>2757</v>
      </c>
      <c r="Q91" s="1326" t="s">
        <v>1722</v>
      </c>
      <c r="R91" s="1326" t="s">
        <v>2757</v>
      </c>
      <c r="S91" s="1326" t="s">
        <v>2757</v>
      </c>
      <c r="T91" s="1326"/>
      <c r="U91" s="1326" t="s">
        <v>2758</v>
      </c>
      <c r="V91" s="1326" t="s">
        <v>2785</v>
      </c>
      <c r="W91" s="1326" t="s">
        <v>2757</v>
      </c>
      <c r="X91" s="1326"/>
      <c r="Y91" s="1326" t="s">
        <v>2757</v>
      </c>
      <c r="Z91" s="1326"/>
      <c r="AA91" s="1326"/>
      <c r="AB91" s="1326" t="s">
        <v>2757</v>
      </c>
      <c r="AC91" s="1326" t="s">
        <v>2757</v>
      </c>
      <c r="AD91" s="1326" t="s">
        <v>2757</v>
      </c>
      <c r="AE91" s="1326"/>
      <c r="AF91" s="1326" t="s">
        <v>2985</v>
      </c>
      <c r="AG91" s="1326" t="s">
        <v>2986</v>
      </c>
      <c r="AH91" s="1326" t="s">
        <v>2791</v>
      </c>
      <c r="AI91" s="1326" t="s">
        <v>2762</v>
      </c>
      <c r="AJ91" s="1326" t="s">
        <v>2763</v>
      </c>
      <c r="AK91" s="1326" t="s">
        <v>2987</v>
      </c>
      <c r="AL91" s="1326" t="s">
        <v>2988</v>
      </c>
      <c r="AM91" s="1683">
        <v>100</v>
      </c>
      <c r="AN91" s="1326"/>
      <c r="AO91" s="1326"/>
      <c r="AP91" s="1326"/>
      <c r="AQ91" s="1326"/>
      <c r="AR91" s="1326"/>
      <c r="AS91" s="1326"/>
      <c r="AT91" s="1326" t="s">
        <v>2867</v>
      </c>
      <c r="AU91" s="1326" t="s">
        <v>2795</v>
      </c>
      <c r="AV91" s="1326" t="s">
        <v>2989</v>
      </c>
      <c r="AW91" s="1326"/>
      <c r="AX91" s="1326" t="s">
        <v>2909</v>
      </c>
      <c r="AY91" s="1326" t="s">
        <v>2798</v>
      </c>
      <c r="AZ91" s="1326" t="s">
        <v>282</v>
      </c>
      <c r="BA91" s="1326" t="s">
        <v>2820</v>
      </c>
      <c r="BB91" s="1326" t="s">
        <v>2757</v>
      </c>
      <c r="BC91" s="1326" t="s">
        <v>2800</v>
      </c>
      <c r="BD91" s="1326" t="s">
        <v>2773</v>
      </c>
      <c r="BE91" s="1326" t="s">
        <v>2942</v>
      </c>
      <c r="BF91" s="1326" t="s">
        <v>2958</v>
      </c>
      <c r="BG91" s="1326" t="s">
        <v>2944</v>
      </c>
      <c r="BH91" s="1326" t="s">
        <v>2804</v>
      </c>
      <c r="BI91" s="1326" t="s">
        <v>2805</v>
      </c>
      <c r="BJ91" s="1326" t="s">
        <v>2824</v>
      </c>
      <c r="BK91" s="1326" t="s">
        <v>2867</v>
      </c>
      <c r="BL91" s="1326" t="s">
        <v>2757</v>
      </c>
      <c r="BM91" s="1326" t="s">
        <v>2757</v>
      </c>
      <c r="BN91" s="1683">
        <v>0</v>
      </c>
      <c r="BO91" s="1685">
        <v>41967</v>
      </c>
      <c r="BP91" s="1685">
        <v>43982</v>
      </c>
      <c r="BQ91" s="1326" t="s">
        <v>2779</v>
      </c>
      <c r="BR91" s="1685">
        <v>46387</v>
      </c>
      <c r="BS91" s="1326" t="s">
        <v>2807</v>
      </c>
      <c r="BT91" s="1326" t="s">
        <v>2997</v>
      </c>
      <c r="BU91" s="1683">
        <v>30</v>
      </c>
      <c r="BV91" s="1683">
        <v>142814.38</v>
      </c>
      <c r="BW91" s="1685">
        <v>44012</v>
      </c>
      <c r="BX91" s="1682"/>
      <c r="BY91" s="1326" t="s">
        <v>2052</v>
      </c>
      <c r="BZ91" s="1326" t="s">
        <v>2782</v>
      </c>
      <c r="CA91" s="1326" t="s">
        <v>2783</v>
      </c>
      <c r="CB91" s="1326" t="s">
        <v>2783</v>
      </c>
      <c r="CC91" s="1326" t="s">
        <v>2913</v>
      </c>
      <c r="CD91" s="1684">
        <v>663071.16</v>
      </c>
      <c r="CE91" s="1684">
        <v>663071.16</v>
      </c>
      <c r="CF91" s="1684">
        <v>582750</v>
      </c>
      <c r="CG91" s="1684">
        <v>87.89</v>
      </c>
      <c r="CH91" s="1684">
        <v>80321.16</v>
      </c>
      <c r="CI91" s="1684">
        <v>12.11</v>
      </c>
      <c r="CJ91" s="1684">
        <v>663071.16</v>
      </c>
      <c r="CK91" s="1684">
        <v>100</v>
      </c>
      <c r="CL91" s="1410" t="s">
        <v>2785</v>
      </c>
      <c r="CM91" s="1686">
        <v>43286</v>
      </c>
      <c r="CN91" s="1400"/>
      <c r="CO91" s="1326"/>
      <c r="CP91" s="1682"/>
      <c r="CQ91" s="1684">
        <v>582750</v>
      </c>
      <c r="CR91" s="1684">
        <v>535500</v>
      </c>
      <c r="CS91" s="1684">
        <v>47250</v>
      </c>
      <c r="CT91" s="1326" t="s">
        <v>2785</v>
      </c>
      <c r="CU91" s="1686">
        <v>43304</v>
      </c>
      <c r="CV91" s="1684">
        <v>514646.41</v>
      </c>
      <c r="CW91" s="1684">
        <v>0</v>
      </c>
      <c r="CX91" s="1684">
        <v>0</v>
      </c>
      <c r="CY91" s="1684">
        <v>508880.89</v>
      </c>
      <c r="CZ91" s="1684">
        <v>0</v>
      </c>
      <c r="DA91" s="1684">
        <v>0</v>
      </c>
      <c r="DB91" s="1684">
        <v>619.57000000000005</v>
      </c>
      <c r="DC91" s="1684">
        <v>5145.95</v>
      </c>
      <c r="DD91" s="1684">
        <v>514646.41</v>
      </c>
      <c r="DE91" s="1684">
        <v>476047.92</v>
      </c>
      <c r="DF91" s="1684">
        <v>437449.44</v>
      </c>
      <c r="DG91" s="1684">
        <v>38598.480000000003</v>
      </c>
      <c r="DH91" s="1684">
        <v>38598.49</v>
      </c>
      <c r="DI91" s="1684">
        <v>38598.49</v>
      </c>
      <c r="DJ91" s="1684">
        <v>0</v>
      </c>
      <c r="DK91" s="1684">
        <v>38598.49</v>
      </c>
      <c r="DL91" s="1684">
        <v>0</v>
      </c>
      <c r="DM91" s="1684">
        <v>0</v>
      </c>
      <c r="DN91" s="1684">
        <v>0</v>
      </c>
      <c r="DO91" s="1684">
        <v>0</v>
      </c>
      <c r="DP91" s="1684">
        <v>0</v>
      </c>
      <c r="DQ91" s="1326" t="s">
        <v>2810</v>
      </c>
      <c r="DR91" s="1684">
        <v>0</v>
      </c>
      <c r="DS91" s="1326" t="s">
        <v>2757</v>
      </c>
      <c r="DT91" s="1682"/>
      <c r="DU91" s="1326" t="s">
        <v>2785</v>
      </c>
      <c r="DV91" s="1686">
        <v>43982</v>
      </c>
    </row>
    <row r="92" spans="1:126" ht="78.75">
      <c r="A92" s="1326" t="s">
        <v>2102</v>
      </c>
      <c r="B92" s="1326" t="s">
        <v>1700</v>
      </c>
      <c r="C92" s="1326" t="s">
        <v>2561</v>
      </c>
      <c r="D92" s="1326" t="s">
        <v>2562</v>
      </c>
      <c r="E92" s="1326" t="s">
        <v>145</v>
      </c>
      <c r="F92" s="1326" t="s">
        <v>374</v>
      </c>
      <c r="G92" s="1326" t="s">
        <v>2563</v>
      </c>
      <c r="H92" s="1326" t="s">
        <v>2556</v>
      </c>
      <c r="I92" s="1326" t="s">
        <v>2541</v>
      </c>
      <c r="J92" s="1326" t="s">
        <v>3431</v>
      </c>
      <c r="K92" s="1685">
        <v>43361</v>
      </c>
      <c r="L92" s="1685">
        <v>43448</v>
      </c>
      <c r="M92" s="1326" t="s">
        <v>3432</v>
      </c>
      <c r="N92" s="1326" t="s">
        <v>2061</v>
      </c>
      <c r="O92" s="1326" t="s">
        <v>3969</v>
      </c>
      <c r="P92" s="1326" t="s">
        <v>2757</v>
      </c>
      <c r="Q92" s="1326" t="s">
        <v>1722</v>
      </c>
      <c r="R92" s="1326" t="s">
        <v>2757</v>
      </c>
      <c r="S92" s="1326" t="s">
        <v>2757</v>
      </c>
      <c r="T92" s="1326"/>
      <c r="U92" s="1326" t="s">
        <v>2758</v>
      </c>
      <c r="V92" s="1326" t="s">
        <v>2785</v>
      </c>
      <c r="W92" s="1326" t="s">
        <v>2757</v>
      </c>
      <c r="X92" s="1326"/>
      <c r="Y92" s="1326" t="s">
        <v>2757</v>
      </c>
      <c r="Z92" s="1326"/>
      <c r="AA92" s="1326"/>
      <c r="AB92" s="1326" t="s">
        <v>2757</v>
      </c>
      <c r="AC92" s="1326" t="s">
        <v>2757</v>
      </c>
      <c r="AD92" s="1326" t="s">
        <v>2757</v>
      </c>
      <c r="AE92" s="1326"/>
      <c r="AF92" s="1326" t="s">
        <v>2985</v>
      </c>
      <c r="AG92" s="1326" t="s">
        <v>2986</v>
      </c>
      <c r="AH92" s="1326" t="s">
        <v>2791</v>
      </c>
      <c r="AI92" s="1326" t="s">
        <v>2762</v>
      </c>
      <c r="AJ92" s="1326" t="s">
        <v>2763</v>
      </c>
      <c r="AK92" s="1326" t="s">
        <v>2987</v>
      </c>
      <c r="AL92" s="1326" t="s">
        <v>2988</v>
      </c>
      <c r="AM92" s="1683">
        <v>100</v>
      </c>
      <c r="AN92" s="1326"/>
      <c r="AO92" s="1326"/>
      <c r="AP92" s="1326"/>
      <c r="AQ92" s="1326"/>
      <c r="AR92" s="1326"/>
      <c r="AS92" s="1326"/>
      <c r="AT92" s="1326" t="s">
        <v>2867</v>
      </c>
      <c r="AU92" s="1326" t="s">
        <v>2795</v>
      </c>
      <c r="AV92" s="1326" t="s">
        <v>2989</v>
      </c>
      <c r="AW92" s="1326"/>
      <c r="AX92" s="1326" t="s">
        <v>2909</v>
      </c>
      <c r="AY92" s="1326" t="s">
        <v>2798</v>
      </c>
      <c r="AZ92" s="1326" t="s">
        <v>282</v>
      </c>
      <c r="BA92" s="1326" t="s">
        <v>2820</v>
      </c>
      <c r="BB92" s="1326" t="s">
        <v>2757</v>
      </c>
      <c r="BC92" s="1326" t="s">
        <v>2800</v>
      </c>
      <c r="BD92" s="1326" t="s">
        <v>2773</v>
      </c>
      <c r="BE92" s="1326" t="s">
        <v>2942</v>
      </c>
      <c r="BF92" s="1326" t="s">
        <v>2958</v>
      </c>
      <c r="BG92" s="1326" t="s">
        <v>2944</v>
      </c>
      <c r="BH92" s="1326" t="s">
        <v>2804</v>
      </c>
      <c r="BI92" s="1326" t="s">
        <v>2805</v>
      </c>
      <c r="BJ92" s="1326" t="s">
        <v>2824</v>
      </c>
      <c r="BK92" s="1326" t="s">
        <v>2867</v>
      </c>
      <c r="BL92" s="1326" t="s">
        <v>2757</v>
      </c>
      <c r="BM92" s="1326" t="s">
        <v>2757</v>
      </c>
      <c r="BN92" s="1683">
        <v>0</v>
      </c>
      <c r="BO92" s="1685">
        <v>43111</v>
      </c>
      <c r="BP92" s="1685">
        <v>44135</v>
      </c>
      <c r="BQ92" s="1326" t="s">
        <v>2779</v>
      </c>
      <c r="BR92" s="1685">
        <v>46387</v>
      </c>
      <c r="BS92" s="1326" t="s">
        <v>2807</v>
      </c>
      <c r="BT92" s="1326" t="s">
        <v>2990</v>
      </c>
      <c r="BU92" s="1683">
        <v>30</v>
      </c>
      <c r="BV92" s="1683">
        <v>41625</v>
      </c>
      <c r="BW92" s="1685">
        <v>44165</v>
      </c>
      <c r="BX92" s="1682"/>
      <c r="BY92" s="1326" t="s">
        <v>2052</v>
      </c>
      <c r="BZ92" s="1326" t="s">
        <v>2782</v>
      </c>
      <c r="CA92" s="1326" t="s">
        <v>2783</v>
      </c>
      <c r="CB92" s="1326" t="s">
        <v>2783</v>
      </c>
      <c r="CC92" s="1326" t="s">
        <v>2913</v>
      </c>
      <c r="CD92" s="1684">
        <v>175125.67</v>
      </c>
      <c r="CE92" s="1684">
        <v>173605.67</v>
      </c>
      <c r="CF92" s="1684">
        <v>138750</v>
      </c>
      <c r="CG92" s="1684">
        <v>79.92</v>
      </c>
      <c r="CH92" s="1684">
        <v>34855.67</v>
      </c>
      <c r="CI92" s="1684">
        <v>20.079999999999998</v>
      </c>
      <c r="CJ92" s="1684">
        <v>173605.67</v>
      </c>
      <c r="CK92" s="1684">
        <v>100</v>
      </c>
      <c r="CL92" s="1410" t="s">
        <v>2785</v>
      </c>
      <c r="CM92" s="1686">
        <v>43418</v>
      </c>
      <c r="CN92" s="1400"/>
      <c r="CO92" s="1326"/>
      <c r="CP92" s="1682"/>
      <c r="CQ92" s="1684">
        <v>138750</v>
      </c>
      <c r="CR92" s="1684">
        <v>127500</v>
      </c>
      <c r="CS92" s="1684">
        <v>11250</v>
      </c>
      <c r="CT92" s="1326" t="s">
        <v>2785</v>
      </c>
      <c r="CU92" s="1686">
        <v>43430</v>
      </c>
      <c r="CV92" s="1684">
        <v>173605.67</v>
      </c>
      <c r="CW92" s="1684">
        <v>0</v>
      </c>
      <c r="CX92" s="1684">
        <v>0</v>
      </c>
      <c r="CY92" s="1684">
        <v>171127.03</v>
      </c>
      <c r="CZ92" s="1684">
        <v>0</v>
      </c>
      <c r="DA92" s="1684">
        <v>0</v>
      </c>
      <c r="DB92" s="1684">
        <v>200</v>
      </c>
      <c r="DC92" s="1684">
        <v>2278.64</v>
      </c>
      <c r="DD92" s="1684">
        <v>173605.67</v>
      </c>
      <c r="DE92" s="1684">
        <v>138750</v>
      </c>
      <c r="DF92" s="1684">
        <v>127500</v>
      </c>
      <c r="DG92" s="1684">
        <v>11250</v>
      </c>
      <c r="DH92" s="1684">
        <v>34855.67</v>
      </c>
      <c r="DI92" s="1684">
        <v>34855.67</v>
      </c>
      <c r="DJ92" s="1684">
        <v>0</v>
      </c>
      <c r="DK92" s="1684">
        <v>34855.67</v>
      </c>
      <c r="DL92" s="1684">
        <v>0</v>
      </c>
      <c r="DM92" s="1684">
        <v>0</v>
      </c>
      <c r="DN92" s="1684">
        <v>0</v>
      </c>
      <c r="DO92" s="1684">
        <v>0</v>
      </c>
      <c r="DP92" s="1684">
        <v>0</v>
      </c>
      <c r="DQ92" s="1326" t="s">
        <v>2810</v>
      </c>
      <c r="DR92" s="1684">
        <v>0</v>
      </c>
      <c r="DS92" s="1326" t="s">
        <v>2757</v>
      </c>
      <c r="DT92" s="1682"/>
      <c r="DU92" s="1326" t="s">
        <v>2785</v>
      </c>
      <c r="DV92" s="1686">
        <v>44135</v>
      </c>
    </row>
    <row r="93" spans="1:126" ht="67.5">
      <c r="A93" s="1326" t="s">
        <v>2036</v>
      </c>
      <c r="B93" s="1326" t="s">
        <v>1700</v>
      </c>
      <c r="C93" s="1326" t="s">
        <v>2561</v>
      </c>
      <c r="D93" s="1326" t="s">
        <v>2562</v>
      </c>
      <c r="E93" s="1326" t="s">
        <v>145</v>
      </c>
      <c r="F93" s="1326" t="s">
        <v>374</v>
      </c>
      <c r="G93" s="1326" t="s">
        <v>2563</v>
      </c>
      <c r="H93" s="1326" t="s">
        <v>2556</v>
      </c>
      <c r="I93" s="1326" t="s">
        <v>2541</v>
      </c>
      <c r="J93" s="1326" t="s">
        <v>3443</v>
      </c>
      <c r="K93" s="1685">
        <v>43371</v>
      </c>
      <c r="L93" s="1685">
        <v>43469</v>
      </c>
      <c r="M93" s="1326" t="s">
        <v>3444</v>
      </c>
      <c r="N93" s="1326" t="s">
        <v>2061</v>
      </c>
      <c r="O93" s="1326" t="s">
        <v>4238</v>
      </c>
      <c r="P93" s="1326" t="s">
        <v>2757</v>
      </c>
      <c r="Q93" s="1326" t="s">
        <v>1721</v>
      </c>
      <c r="R93" s="1326" t="s">
        <v>2757</v>
      </c>
      <c r="S93" s="1326" t="s">
        <v>2757</v>
      </c>
      <c r="T93" s="1326"/>
      <c r="U93" s="1326" t="s">
        <v>2758</v>
      </c>
      <c r="V93" s="1326" t="s">
        <v>2785</v>
      </c>
      <c r="W93" s="1326" t="s">
        <v>2757</v>
      </c>
      <c r="X93" s="1326"/>
      <c r="Y93" s="1326" t="s">
        <v>2757</v>
      </c>
      <c r="Z93" s="1326"/>
      <c r="AA93" s="1326"/>
      <c r="AB93" s="1326" t="s">
        <v>2757</v>
      </c>
      <c r="AC93" s="1326" t="s">
        <v>2757</v>
      </c>
      <c r="AD93" s="1326" t="s">
        <v>2757</v>
      </c>
      <c r="AE93" s="1326"/>
      <c r="AF93" s="1326" t="s">
        <v>2985</v>
      </c>
      <c r="AG93" s="1326" t="s">
        <v>2986</v>
      </c>
      <c r="AH93" s="1326" t="s">
        <v>2791</v>
      </c>
      <c r="AI93" s="1326" t="s">
        <v>2762</v>
      </c>
      <c r="AJ93" s="1326" t="s">
        <v>2763</v>
      </c>
      <c r="AK93" s="1326" t="s">
        <v>2987</v>
      </c>
      <c r="AL93" s="1326" t="s">
        <v>2988</v>
      </c>
      <c r="AM93" s="1683">
        <v>100</v>
      </c>
      <c r="AN93" s="1326"/>
      <c r="AO93" s="1326"/>
      <c r="AP93" s="1326"/>
      <c r="AQ93" s="1326"/>
      <c r="AR93" s="1326"/>
      <c r="AS93" s="1326"/>
      <c r="AT93" s="1326" t="s">
        <v>2867</v>
      </c>
      <c r="AU93" s="1326" t="s">
        <v>2795</v>
      </c>
      <c r="AV93" s="1326" t="s">
        <v>2989</v>
      </c>
      <c r="AW93" s="1326"/>
      <c r="AX93" s="1326" t="s">
        <v>2909</v>
      </c>
      <c r="AY93" s="1326" t="s">
        <v>2798</v>
      </c>
      <c r="AZ93" s="1326" t="s">
        <v>282</v>
      </c>
      <c r="BA93" s="1326" t="s">
        <v>2820</v>
      </c>
      <c r="BB93" s="1326" t="s">
        <v>2757</v>
      </c>
      <c r="BC93" s="1326" t="s">
        <v>2800</v>
      </c>
      <c r="BD93" s="1326" t="s">
        <v>2773</v>
      </c>
      <c r="BE93" s="1326" t="s">
        <v>2942</v>
      </c>
      <c r="BF93" s="1326" t="s">
        <v>2958</v>
      </c>
      <c r="BG93" s="1326" t="s">
        <v>2944</v>
      </c>
      <c r="BH93" s="1326" t="s">
        <v>2804</v>
      </c>
      <c r="BI93" s="1326" t="s">
        <v>2805</v>
      </c>
      <c r="BJ93" s="1326" t="s">
        <v>2824</v>
      </c>
      <c r="BK93" s="1326" t="s">
        <v>2867</v>
      </c>
      <c r="BL93" s="1326" t="s">
        <v>2757</v>
      </c>
      <c r="BM93" s="1326" t="s">
        <v>2757</v>
      </c>
      <c r="BN93" s="1683">
        <v>0</v>
      </c>
      <c r="BO93" s="1685">
        <v>43111</v>
      </c>
      <c r="BP93" s="1685">
        <v>44104</v>
      </c>
      <c r="BQ93" s="1326" t="s">
        <v>2779</v>
      </c>
      <c r="BR93" s="1685">
        <v>46387</v>
      </c>
      <c r="BS93" s="1326" t="s">
        <v>2807</v>
      </c>
      <c r="BT93" s="1326" t="s">
        <v>4239</v>
      </c>
      <c r="BU93" s="1683">
        <v>30</v>
      </c>
      <c r="BV93" s="1683">
        <v>83353.509999999995</v>
      </c>
      <c r="BW93" s="1685">
        <v>44134</v>
      </c>
      <c r="BX93" s="1682"/>
      <c r="BY93" s="1326" t="s">
        <v>2052</v>
      </c>
      <c r="BZ93" s="1326" t="s">
        <v>2782</v>
      </c>
      <c r="CA93" s="1326" t="s">
        <v>2783</v>
      </c>
      <c r="CB93" s="1326" t="s">
        <v>2783</v>
      </c>
      <c r="CC93" s="1326" t="s">
        <v>2913</v>
      </c>
      <c r="CD93" s="1684">
        <v>485640.4</v>
      </c>
      <c r="CE93" s="1684">
        <v>485640.4</v>
      </c>
      <c r="CF93" s="1684">
        <v>277845.02</v>
      </c>
      <c r="CG93" s="1684">
        <v>57.21</v>
      </c>
      <c r="CH93" s="1684">
        <v>207795.38</v>
      </c>
      <c r="CI93" s="1684">
        <v>42.79</v>
      </c>
      <c r="CJ93" s="1684">
        <v>485640.4</v>
      </c>
      <c r="CK93" s="1684">
        <v>100</v>
      </c>
      <c r="CL93" s="1410" t="s">
        <v>2785</v>
      </c>
      <c r="CM93" s="1686">
        <v>43430</v>
      </c>
      <c r="CN93" s="1400"/>
      <c r="CO93" s="1326"/>
      <c r="CP93" s="1682"/>
      <c r="CQ93" s="1684">
        <v>277845.02</v>
      </c>
      <c r="CR93" s="1684">
        <v>255317.05</v>
      </c>
      <c r="CS93" s="1684">
        <v>22527.97</v>
      </c>
      <c r="CT93" s="1326" t="s">
        <v>2785</v>
      </c>
      <c r="CU93" s="1686">
        <v>43441</v>
      </c>
      <c r="CV93" s="1684">
        <v>485640.4</v>
      </c>
      <c r="CW93" s="1684">
        <v>0</v>
      </c>
      <c r="CX93" s="1684">
        <v>0</v>
      </c>
      <c r="CY93" s="1684">
        <v>480584.48</v>
      </c>
      <c r="CZ93" s="1684">
        <v>0</v>
      </c>
      <c r="DA93" s="1684">
        <v>0</v>
      </c>
      <c r="DB93" s="1684">
        <v>200</v>
      </c>
      <c r="DC93" s="1684">
        <v>4855.92</v>
      </c>
      <c r="DD93" s="1684">
        <v>485640.4</v>
      </c>
      <c r="DE93" s="1684">
        <v>277845.02</v>
      </c>
      <c r="DF93" s="1684">
        <v>255317.05</v>
      </c>
      <c r="DG93" s="1684">
        <v>22527.97</v>
      </c>
      <c r="DH93" s="1684">
        <v>207795.38</v>
      </c>
      <c r="DI93" s="1684">
        <v>207795.38</v>
      </c>
      <c r="DJ93" s="1684">
        <v>0</v>
      </c>
      <c r="DK93" s="1684">
        <v>207795.38</v>
      </c>
      <c r="DL93" s="1684">
        <v>0</v>
      </c>
      <c r="DM93" s="1684">
        <v>0</v>
      </c>
      <c r="DN93" s="1684">
        <v>0</v>
      </c>
      <c r="DO93" s="1684">
        <v>0</v>
      </c>
      <c r="DP93" s="1684">
        <v>0</v>
      </c>
      <c r="DQ93" s="1326" t="s">
        <v>2810</v>
      </c>
      <c r="DR93" s="1684">
        <v>0</v>
      </c>
      <c r="DS93" s="1326" t="s">
        <v>2757</v>
      </c>
      <c r="DT93" s="1682"/>
      <c r="DU93" s="1326" t="s">
        <v>2785</v>
      </c>
      <c r="DV93" s="1686">
        <v>44104</v>
      </c>
    </row>
    <row r="94" spans="1:126" ht="22.5">
      <c r="A94" s="1326" t="s">
        <v>2037</v>
      </c>
      <c r="B94" s="1326" t="s">
        <v>1700</v>
      </c>
      <c r="C94" s="1326" t="s">
        <v>2561</v>
      </c>
      <c r="D94" s="1326" t="s">
        <v>2562</v>
      </c>
      <c r="E94" s="1326" t="s">
        <v>267</v>
      </c>
      <c r="F94" s="1326" t="s">
        <v>2998</v>
      </c>
      <c r="G94" s="1326"/>
      <c r="H94" s="1326"/>
      <c r="I94" s="1326"/>
      <c r="J94" s="1326"/>
      <c r="K94" s="1682"/>
      <c r="L94" s="1682"/>
      <c r="M94" s="1326"/>
      <c r="N94" s="1326"/>
      <c r="O94" s="1326"/>
      <c r="P94" s="1326"/>
      <c r="Q94" s="1326"/>
      <c r="R94" s="1326"/>
      <c r="S94" s="1326"/>
      <c r="T94" s="1326"/>
      <c r="U94" s="1326"/>
      <c r="V94" s="1326"/>
      <c r="W94" s="1326"/>
      <c r="X94" s="1326"/>
      <c r="Y94" s="1326"/>
      <c r="Z94" s="1326"/>
      <c r="AA94" s="1326"/>
      <c r="AB94" s="1326"/>
      <c r="AC94" s="1326"/>
      <c r="AD94" s="1326"/>
      <c r="AE94" s="1326"/>
      <c r="AF94" s="1326"/>
      <c r="AG94" s="1326"/>
      <c r="AH94" s="1326"/>
      <c r="AI94" s="1326"/>
      <c r="AJ94" s="1326"/>
      <c r="AK94" s="1326"/>
      <c r="AL94" s="1326"/>
      <c r="AM94" s="1400"/>
      <c r="AN94" s="1326"/>
      <c r="AO94" s="1326"/>
      <c r="AP94" s="1326"/>
      <c r="AQ94" s="1326"/>
      <c r="AR94" s="1326"/>
      <c r="AS94" s="1326"/>
      <c r="AT94" s="1326"/>
      <c r="AU94" s="1326"/>
      <c r="AV94" s="1326"/>
      <c r="AW94" s="1326"/>
      <c r="AX94" s="1326"/>
      <c r="AY94" s="1326"/>
      <c r="AZ94" s="1326"/>
      <c r="BA94" s="1326"/>
      <c r="BB94" s="1326"/>
      <c r="BC94" s="1326"/>
      <c r="BD94" s="1326"/>
      <c r="BE94" s="1326"/>
      <c r="BF94" s="1326"/>
      <c r="BG94" s="1326"/>
      <c r="BH94" s="1326"/>
      <c r="BI94" s="1326"/>
      <c r="BJ94" s="1326"/>
      <c r="BK94" s="1326"/>
      <c r="BL94" s="1326"/>
      <c r="BM94" s="1326"/>
      <c r="BN94" s="1400"/>
      <c r="BO94" s="1682"/>
      <c r="BP94" s="1682"/>
      <c r="BQ94" s="1326"/>
      <c r="BR94" s="1682"/>
      <c r="BS94" s="1326"/>
      <c r="BT94" s="1326"/>
      <c r="BU94" s="1400"/>
      <c r="BV94" s="1683">
        <v>187878.89</v>
      </c>
      <c r="BW94" s="1682"/>
      <c r="BX94" s="1682"/>
      <c r="BY94" s="1326"/>
      <c r="BZ94" s="1326"/>
      <c r="CA94" s="1326"/>
      <c r="CB94" s="1326"/>
      <c r="CC94" s="1326"/>
      <c r="CD94" s="1684">
        <v>882693.11</v>
      </c>
      <c r="CE94" s="1684">
        <v>776329.71</v>
      </c>
      <c r="CF94" s="1684">
        <v>698262.97</v>
      </c>
      <c r="CG94" s="1684">
        <v>89.94</v>
      </c>
      <c r="CH94" s="1684">
        <v>78066.740000000005</v>
      </c>
      <c r="CI94" s="1684">
        <v>10.06</v>
      </c>
      <c r="CJ94" s="1684">
        <v>776329.71</v>
      </c>
      <c r="CK94" s="1684">
        <v>100</v>
      </c>
      <c r="CL94" s="1410"/>
      <c r="CM94" s="1682"/>
      <c r="CN94" s="1400"/>
      <c r="CO94" s="1326"/>
      <c r="CP94" s="1682"/>
      <c r="CQ94" s="1684">
        <v>626262.97</v>
      </c>
      <c r="CR94" s="1684">
        <v>575484.89</v>
      </c>
      <c r="CS94" s="1684">
        <v>50778.080000000002</v>
      </c>
      <c r="CT94" s="1326"/>
      <c r="CU94" s="1682"/>
      <c r="CV94" s="1684">
        <v>818291</v>
      </c>
      <c r="CW94" s="1684">
        <v>0</v>
      </c>
      <c r="CX94" s="1684">
        <v>0</v>
      </c>
      <c r="CY94" s="1684">
        <v>796705.84</v>
      </c>
      <c r="CZ94" s="1684">
        <v>17512</v>
      </c>
      <c r="DA94" s="1684">
        <v>0</v>
      </c>
      <c r="DB94" s="1684">
        <v>373.16</v>
      </c>
      <c r="DC94" s="1684">
        <v>3700</v>
      </c>
      <c r="DD94" s="1684">
        <v>818291</v>
      </c>
      <c r="DE94" s="1684">
        <v>626262.97</v>
      </c>
      <c r="DF94" s="1684">
        <v>575484.89</v>
      </c>
      <c r="DG94" s="1684">
        <v>50778.080000000002</v>
      </c>
      <c r="DH94" s="1684">
        <v>192028.03</v>
      </c>
      <c r="DI94" s="1684">
        <v>192028.03</v>
      </c>
      <c r="DJ94" s="1684">
        <v>0</v>
      </c>
      <c r="DK94" s="1684">
        <v>192028.03</v>
      </c>
      <c r="DL94" s="1684">
        <v>0</v>
      </c>
      <c r="DM94" s="1684">
        <v>0</v>
      </c>
      <c r="DN94" s="1684">
        <v>0</v>
      </c>
      <c r="DO94" s="1684">
        <v>0</v>
      </c>
      <c r="DP94" s="1684">
        <v>0</v>
      </c>
      <c r="DQ94" s="1326"/>
      <c r="DR94" s="1400"/>
      <c r="DS94" s="1326"/>
      <c r="DT94" s="1682"/>
      <c r="DU94" s="1326"/>
      <c r="DV94" s="1682"/>
    </row>
    <row r="95" spans="1:126" ht="101.25">
      <c r="A95" s="1326" t="s">
        <v>2038</v>
      </c>
      <c r="B95" s="1326" t="s">
        <v>1700</v>
      </c>
      <c r="C95" s="1326" t="s">
        <v>2561</v>
      </c>
      <c r="D95" s="1326" t="s">
        <v>2562</v>
      </c>
      <c r="E95" s="1326" t="s">
        <v>267</v>
      </c>
      <c r="F95" s="1326" t="s">
        <v>2998</v>
      </c>
      <c r="G95" s="1326" t="s">
        <v>2563</v>
      </c>
      <c r="H95" s="1326" t="s">
        <v>2556</v>
      </c>
      <c r="I95" s="1326" t="s">
        <v>2541</v>
      </c>
      <c r="J95" s="1326" t="s">
        <v>709</v>
      </c>
      <c r="K95" s="1685">
        <v>42583</v>
      </c>
      <c r="L95" s="1685">
        <v>42699</v>
      </c>
      <c r="M95" s="1326" t="s">
        <v>160</v>
      </c>
      <c r="N95" s="1326" t="s">
        <v>2061</v>
      </c>
      <c r="O95" s="1326" t="s">
        <v>2999</v>
      </c>
      <c r="P95" s="1326" t="s">
        <v>2757</v>
      </c>
      <c r="Q95" s="1326" t="s">
        <v>1730</v>
      </c>
      <c r="R95" s="1326" t="s">
        <v>2757</v>
      </c>
      <c r="S95" s="1326" t="s">
        <v>2757</v>
      </c>
      <c r="T95" s="1326"/>
      <c r="U95" s="1326" t="s">
        <v>2758</v>
      </c>
      <c r="V95" s="1326" t="s">
        <v>2785</v>
      </c>
      <c r="W95" s="1326" t="s">
        <v>2757</v>
      </c>
      <c r="X95" s="1326"/>
      <c r="Y95" s="1326" t="s">
        <v>2757</v>
      </c>
      <c r="Z95" s="1326"/>
      <c r="AA95" s="1326"/>
      <c r="AB95" s="1326" t="s">
        <v>2757</v>
      </c>
      <c r="AC95" s="1326" t="s">
        <v>2757</v>
      </c>
      <c r="AD95" s="1326" t="s">
        <v>2757</v>
      </c>
      <c r="AE95" s="1326"/>
      <c r="AF95" s="1326" t="s">
        <v>2985</v>
      </c>
      <c r="AG95" s="1326" t="s">
        <v>2986</v>
      </c>
      <c r="AH95" s="1326" t="s">
        <v>2791</v>
      </c>
      <c r="AI95" s="1326" t="s">
        <v>2762</v>
      </c>
      <c r="AJ95" s="1326" t="s">
        <v>2763</v>
      </c>
      <c r="AK95" s="1326" t="s">
        <v>2987</v>
      </c>
      <c r="AL95" s="1326" t="s">
        <v>2988</v>
      </c>
      <c r="AM95" s="1683">
        <v>100</v>
      </c>
      <c r="AN95" s="1326"/>
      <c r="AO95" s="1326"/>
      <c r="AP95" s="1326"/>
      <c r="AQ95" s="1326"/>
      <c r="AR95" s="1326"/>
      <c r="AS95" s="1326"/>
      <c r="AT95" s="1326" t="s">
        <v>2880</v>
      </c>
      <c r="AU95" s="1326" t="s">
        <v>2795</v>
      </c>
      <c r="AV95" s="1326" t="s">
        <v>2989</v>
      </c>
      <c r="AW95" s="1326"/>
      <c r="AX95" s="1326" t="s">
        <v>2909</v>
      </c>
      <c r="AY95" s="1326" t="s">
        <v>2798</v>
      </c>
      <c r="AZ95" s="1326" t="s">
        <v>235</v>
      </c>
      <c r="BA95" s="1326" t="s">
        <v>2929</v>
      </c>
      <c r="BB95" s="1326" t="s">
        <v>2757</v>
      </c>
      <c r="BC95" s="1326" t="s">
        <v>2800</v>
      </c>
      <c r="BD95" s="1326" t="s">
        <v>2773</v>
      </c>
      <c r="BE95" s="1326" t="s">
        <v>2930</v>
      </c>
      <c r="BF95" s="1326" t="s">
        <v>2931</v>
      </c>
      <c r="BG95" s="1326" t="s">
        <v>2932</v>
      </c>
      <c r="BH95" s="1326" t="s">
        <v>2804</v>
      </c>
      <c r="BI95" s="1326" t="s">
        <v>2805</v>
      </c>
      <c r="BJ95" s="1326" t="s">
        <v>2885</v>
      </c>
      <c r="BK95" s="1326" t="s">
        <v>2880</v>
      </c>
      <c r="BL95" s="1326" t="s">
        <v>2757</v>
      </c>
      <c r="BM95" s="1326" t="s">
        <v>2757</v>
      </c>
      <c r="BN95" s="1683">
        <v>0</v>
      </c>
      <c r="BO95" s="1685">
        <v>42468</v>
      </c>
      <c r="BP95" s="1685">
        <v>43616</v>
      </c>
      <c r="BQ95" s="1326" t="s">
        <v>2779</v>
      </c>
      <c r="BR95" s="1685">
        <v>46022</v>
      </c>
      <c r="BS95" s="1326" t="s">
        <v>3000</v>
      </c>
      <c r="BT95" s="1326" t="s">
        <v>3001</v>
      </c>
      <c r="BU95" s="1683">
        <v>30</v>
      </c>
      <c r="BV95" s="1683">
        <v>92555.7</v>
      </c>
      <c r="BW95" s="1685">
        <v>43646</v>
      </c>
      <c r="BX95" s="1682"/>
      <c r="BY95" s="1326" t="s">
        <v>2052</v>
      </c>
      <c r="BZ95" s="1326" t="s">
        <v>2783</v>
      </c>
      <c r="CA95" s="1326" t="s">
        <v>2783</v>
      </c>
      <c r="CB95" s="1326" t="s">
        <v>2783</v>
      </c>
      <c r="CC95" s="1326" t="s">
        <v>2913</v>
      </c>
      <c r="CD95" s="1684">
        <v>539186.11</v>
      </c>
      <c r="CE95" s="1684">
        <v>432822.71</v>
      </c>
      <c r="CF95" s="1684">
        <v>380519</v>
      </c>
      <c r="CG95" s="1684">
        <v>87.92</v>
      </c>
      <c r="CH95" s="1684">
        <v>52303.71</v>
      </c>
      <c r="CI95" s="1684">
        <v>12.08</v>
      </c>
      <c r="CJ95" s="1684">
        <v>432822.71</v>
      </c>
      <c r="CK95" s="1684">
        <v>100</v>
      </c>
      <c r="CL95" s="1410" t="s">
        <v>2785</v>
      </c>
      <c r="CM95" s="1686">
        <v>42643</v>
      </c>
      <c r="CN95" s="1400"/>
      <c r="CO95" s="1326"/>
      <c r="CP95" s="1682"/>
      <c r="CQ95" s="1684">
        <v>308519</v>
      </c>
      <c r="CR95" s="1684">
        <v>283503.94</v>
      </c>
      <c r="CS95" s="1684">
        <v>25015.06</v>
      </c>
      <c r="CT95" s="1326" t="s">
        <v>2785</v>
      </c>
      <c r="CU95" s="1686">
        <v>42668</v>
      </c>
      <c r="CV95" s="1684">
        <v>474784</v>
      </c>
      <c r="CW95" s="1684">
        <v>0</v>
      </c>
      <c r="CX95" s="1684">
        <v>0</v>
      </c>
      <c r="CY95" s="1684">
        <v>457136</v>
      </c>
      <c r="CZ95" s="1684">
        <v>17512</v>
      </c>
      <c r="DA95" s="1684">
        <v>0</v>
      </c>
      <c r="DB95" s="1684">
        <v>136</v>
      </c>
      <c r="DC95" s="1684">
        <v>0</v>
      </c>
      <c r="DD95" s="1684">
        <v>474784</v>
      </c>
      <c r="DE95" s="1684">
        <v>308519</v>
      </c>
      <c r="DF95" s="1684">
        <v>283503.94</v>
      </c>
      <c r="DG95" s="1684">
        <v>25015.06</v>
      </c>
      <c r="DH95" s="1684">
        <v>166265</v>
      </c>
      <c r="DI95" s="1684">
        <v>166265</v>
      </c>
      <c r="DJ95" s="1684">
        <v>0</v>
      </c>
      <c r="DK95" s="1684">
        <v>166265</v>
      </c>
      <c r="DL95" s="1684">
        <v>0</v>
      </c>
      <c r="DM95" s="1684">
        <v>0</v>
      </c>
      <c r="DN95" s="1684">
        <v>0</v>
      </c>
      <c r="DO95" s="1684">
        <v>0</v>
      </c>
      <c r="DP95" s="1684">
        <v>0</v>
      </c>
      <c r="DQ95" s="1326" t="s">
        <v>2810</v>
      </c>
      <c r="DR95" s="1684">
        <v>0</v>
      </c>
      <c r="DS95" s="1326" t="s">
        <v>2757</v>
      </c>
      <c r="DT95" s="1682"/>
      <c r="DU95" s="1326" t="s">
        <v>2785</v>
      </c>
      <c r="DV95" s="1686">
        <v>43616</v>
      </c>
    </row>
    <row r="96" spans="1:126" ht="56.25">
      <c r="A96" s="1326" t="s">
        <v>2039</v>
      </c>
      <c r="B96" s="1326" t="s">
        <v>1700</v>
      </c>
      <c r="C96" s="1326" t="s">
        <v>2561</v>
      </c>
      <c r="D96" s="1326" t="s">
        <v>2562</v>
      </c>
      <c r="E96" s="1326" t="s">
        <v>267</v>
      </c>
      <c r="F96" s="1326" t="s">
        <v>2998</v>
      </c>
      <c r="G96" s="1326" t="s">
        <v>2563</v>
      </c>
      <c r="H96" s="1326" t="s">
        <v>2556</v>
      </c>
      <c r="I96" s="1326" t="s">
        <v>2541</v>
      </c>
      <c r="J96" s="1326" t="s">
        <v>710</v>
      </c>
      <c r="K96" s="1685">
        <v>42580</v>
      </c>
      <c r="L96" s="1685">
        <v>42709</v>
      </c>
      <c r="M96" s="1326" t="s">
        <v>299</v>
      </c>
      <c r="N96" s="1326" t="s">
        <v>2061</v>
      </c>
      <c r="O96" s="1326" t="s">
        <v>3002</v>
      </c>
      <c r="P96" s="1326" t="s">
        <v>2757</v>
      </c>
      <c r="Q96" s="1326" t="s">
        <v>1728</v>
      </c>
      <c r="R96" s="1326" t="s">
        <v>2757</v>
      </c>
      <c r="S96" s="1326" t="s">
        <v>2757</v>
      </c>
      <c r="T96" s="1326"/>
      <c r="U96" s="1326" t="s">
        <v>2758</v>
      </c>
      <c r="V96" s="1326" t="s">
        <v>2785</v>
      </c>
      <c r="W96" s="1326" t="s">
        <v>2757</v>
      </c>
      <c r="X96" s="1326"/>
      <c r="Y96" s="1326" t="s">
        <v>2757</v>
      </c>
      <c r="Z96" s="1326"/>
      <c r="AA96" s="1326"/>
      <c r="AB96" s="1326" t="s">
        <v>2757</v>
      </c>
      <c r="AC96" s="1326" t="s">
        <v>2757</v>
      </c>
      <c r="AD96" s="1326" t="s">
        <v>2757</v>
      </c>
      <c r="AE96" s="1326"/>
      <c r="AF96" s="1326" t="s">
        <v>2985</v>
      </c>
      <c r="AG96" s="1326" t="s">
        <v>2986</v>
      </c>
      <c r="AH96" s="1326" t="s">
        <v>2791</v>
      </c>
      <c r="AI96" s="1326" t="s">
        <v>2762</v>
      </c>
      <c r="AJ96" s="1326" t="s">
        <v>2763</v>
      </c>
      <c r="AK96" s="1326" t="s">
        <v>2987</v>
      </c>
      <c r="AL96" s="1326" t="s">
        <v>2988</v>
      </c>
      <c r="AM96" s="1683">
        <v>100</v>
      </c>
      <c r="AN96" s="1326"/>
      <c r="AO96" s="1326"/>
      <c r="AP96" s="1326"/>
      <c r="AQ96" s="1326"/>
      <c r="AR96" s="1326"/>
      <c r="AS96" s="1326"/>
      <c r="AT96" s="1326" t="s">
        <v>2867</v>
      </c>
      <c r="AU96" s="1326" t="s">
        <v>2795</v>
      </c>
      <c r="AV96" s="1326" t="s">
        <v>2989</v>
      </c>
      <c r="AW96" s="1326"/>
      <c r="AX96" s="1326" t="s">
        <v>2909</v>
      </c>
      <c r="AY96" s="1326" t="s">
        <v>2798</v>
      </c>
      <c r="AZ96" s="1326" t="s">
        <v>161</v>
      </c>
      <c r="BA96" s="1326" t="s">
        <v>2812</v>
      </c>
      <c r="BB96" s="1326" t="s">
        <v>2757</v>
      </c>
      <c r="BC96" s="1326" t="s">
        <v>2800</v>
      </c>
      <c r="BD96" s="1326" t="s">
        <v>2773</v>
      </c>
      <c r="BE96" s="1326" t="s">
        <v>2813</v>
      </c>
      <c r="BF96" s="1326" t="s">
        <v>2814</v>
      </c>
      <c r="BG96" s="1326" t="s">
        <v>2815</v>
      </c>
      <c r="BH96" s="1326" t="s">
        <v>2804</v>
      </c>
      <c r="BI96" s="1326" t="s">
        <v>2805</v>
      </c>
      <c r="BJ96" s="1326" t="s">
        <v>2816</v>
      </c>
      <c r="BK96" s="1326" t="s">
        <v>2867</v>
      </c>
      <c r="BL96" s="1326" t="s">
        <v>2757</v>
      </c>
      <c r="BM96" s="1326" t="s">
        <v>2757</v>
      </c>
      <c r="BN96" s="1683">
        <v>0</v>
      </c>
      <c r="BO96" s="1685">
        <v>42383</v>
      </c>
      <c r="BP96" s="1685">
        <v>43553</v>
      </c>
      <c r="BQ96" s="1326" t="s">
        <v>2779</v>
      </c>
      <c r="BR96" s="1685">
        <v>46022</v>
      </c>
      <c r="BS96" s="1326" t="s">
        <v>2911</v>
      </c>
      <c r="BT96" s="1326" t="s">
        <v>3003</v>
      </c>
      <c r="BU96" s="1683">
        <v>30</v>
      </c>
      <c r="BV96" s="1683">
        <v>95323.19</v>
      </c>
      <c r="BW96" s="1685">
        <v>43583</v>
      </c>
      <c r="BX96" s="1682"/>
      <c r="BY96" s="1326" t="s">
        <v>2052</v>
      </c>
      <c r="BZ96" s="1326" t="s">
        <v>2782</v>
      </c>
      <c r="CA96" s="1326" t="s">
        <v>2783</v>
      </c>
      <c r="CB96" s="1326" t="s">
        <v>2783</v>
      </c>
      <c r="CC96" s="1326" t="s">
        <v>2913</v>
      </c>
      <c r="CD96" s="1684">
        <v>343507</v>
      </c>
      <c r="CE96" s="1684">
        <v>343507</v>
      </c>
      <c r="CF96" s="1684">
        <v>317743.96999999997</v>
      </c>
      <c r="CG96" s="1684">
        <v>92.5</v>
      </c>
      <c r="CH96" s="1684">
        <v>25763.03</v>
      </c>
      <c r="CI96" s="1684">
        <v>7.5</v>
      </c>
      <c r="CJ96" s="1684">
        <v>343507</v>
      </c>
      <c r="CK96" s="1684">
        <v>100</v>
      </c>
      <c r="CL96" s="1410" t="s">
        <v>2785</v>
      </c>
      <c r="CM96" s="1686">
        <v>42640</v>
      </c>
      <c r="CN96" s="1400"/>
      <c r="CO96" s="1326"/>
      <c r="CP96" s="1682"/>
      <c r="CQ96" s="1684">
        <v>317743.96999999997</v>
      </c>
      <c r="CR96" s="1684">
        <v>291980.95</v>
      </c>
      <c r="CS96" s="1684">
        <v>25763.02</v>
      </c>
      <c r="CT96" s="1326" t="s">
        <v>2785</v>
      </c>
      <c r="CU96" s="1686">
        <v>42668</v>
      </c>
      <c r="CV96" s="1684">
        <v>343507</v>
      </c>
      <c r="CW96" s="1684">
        <v>0</v>
      </c>
      <c r="CX96" s="1684">
        <v>0</v>
      </c>
      <c r="CY96" s="1684">
        <v>339569.84</v>
      </c>
      <c r="CZ96" s="1684">
        <v>0</v>
      </c>
      <c r="DA96" s="1684">
        <v>0</v>
      </c>
      <c r="DB96" s="1684">
        <v>237.16</v>
      </c>
      <c r="DC96" s="1684">
        <v>3700</v>
      </c>
      <c r="DD96" s="1684">
        <v>343507</v>
      </c>
      <c r="DE96" s="1684">
        <v>317743.96999999997</v>
      </c>
      <c r="DF96" s="1684">
        <v>291980.95</v>
      </c>
      <c r="DG96" s="1684">
        <v>25763.02</v>
      </c>
      <c r="DH96" s="1684">
        <v>25763.03</v>
      </c>
      <c r="DI96" s="1684">
        <v>25763.03</v>
      </c>
      <c r="DJ96" s="1684">
        <v>0</v>
      </c>
      <c r="DK96" s="1684">
        <v>25763.03</v>
      </c>
      <c r="DL96" s="1684">
        <v>0</v>
      </c>
      <c r="DM96" s="1684">
        <v>0</v>
      </c>
      <c r="DN96" s="1684">
        <v>0</v>
      </c>
      <c r="DO96" s="1684">
        <v>0</v>
      </c>
      <c r="DP96" s="1684">
        <v>0</v>
      </c>
      <c r="DQ96" s="1326" t="s">
        <v>2810</v>
      </c>
      <c r="DR96" s="1684">
        <v>0</v>
      </c>
      <c r="DS96" s="1326" t="s">
        <v>2757</v>
      </c>
      <c r="DT96" s="1682"/>
      <c r="DU96" s="1326" t="s">
        <v>2785</v>
      </c>
      <c r="DV96" s="1686">
        <v>43553</v>
      </c>
    </row>
    <row r="97" spans="1:126" ht="22.5">
      <c r="A97" s="1326" t="s">
        <v>2040</v>
      </c>
      <c r="B97" s="1326" t="s">
        <v>1700</v>
      </c>
      <c r="C97" s="1326" t="s">
        <v>2561</v>
      </c>
      <c r="D97" s="1326" t="s">
        <v>2562</v>
      </c>
      <c r="E97" s="1326" t="s">
        <v>143</v>
      </c>
      <c r="F97" s="1326" t="s">
        <v>254</v>
      </c>
      <c r="G97" s="1326"/>
      <c r="H97" s="1326"/>
      <c r="I97" s="1326"/>
      <c r="J97" s="1326"/>
      <c r="K97" s="1682"/>
      <c r="L97" s="1682"/>
      <c r="M97" s="1326"/>
      <c r="N97" s="1326"/>
      <c r="O97" s="1326"/>
      <c r="P97" s="1326"/>
      <c r="Q97" s="1326"/>
      <c r="R97" s="1326"/>
      <c r="S97" s="1326"/>
      <c r="T97" s="1326"/>
      <c r="U97" s="1326"/>
      <c r="V97" s="1326"/>
      <c r="W97" s="1326"/>
      <c r="X97" s="1326"/>
      <c r="Y97" s="1326"/>
      <c r="Z97" s="1326"/>
      <c r="AA97" s="1326"/>
      <c r="AB97" s="1326"/>
      <c r="AC97" s="1326"/>
      <c r="AD97" s="1326"/>
      <c r="AE97" s="1326"/>
      <c r="AF97" s="1326"/>
      <c r="AG97" s="1326"/>
      <c r="AH97" s="1326"/>
      <c r="AI97" s="1326"/>
      <c r="AJ97" s="1326"/>
      <c r="AK97" s="1326"/>
      <c r="AL97" s="1326"/>
      <c r="AM97" s="1400"/>
      <c r="AN97" s="1326"/>
      <c r="AO97" s="1326"/>
      <c r="AP97" s="1326"/>
      <c r="AQ97" s="1326"/>
      <c r="AR97" s="1326"/>
      <c r="AS97" s="1326"/>
      <c r="AT97" s="1326"/>
      <c r="AU97" s="1326"/>
      <c r="AV97" s="1326"/>
      <c r="AW97" s="1326"/>
      <c r="AX97" s="1326"/>
      <c r="AY97" s="1326"/>
      <c r="AZ97" s="1326"/>
      <c r="BA97" s="1326"/>
      <c r="BB97" s="1326"/>
      <c r="BC97" s="1326"/>
      <c r="BD97" s="1326"/>
      <c r="BE97" s="1326"/>
      <c r="BF97" s="1326"/>
      <c r="BG97" s="1326"/>
      <c r="BH97" s="1326"/>
      <c r="BI97" s="1326"/>
      <c r="BJ97" s="1326"/>
      <c r="BK97" s="1326"/>
      <c r="BL97" s="1326"/>
      <c r="BM97" s="1326"/>
      <c r="BN97" s="1400"/>
      <c r="BO97" s="1682"/>
      <c r="BP97" s="1682"/>
      <c r="BQ97" s="1326"/>
      <c r="BR97" s="1682"/>
      <c r="BS97" s="1326"/>
      <c r="BT97" s="1326"/>
      <c r="BU97" s="1400"/>
      <c r="BV97" s="1683">
        <v>359449.12</v>
      </c>
      <c r="BW97" s="1682"/>
      <c r="BX97" s="1682"/>
      <c r="BY97" s="1326"/>
      <c r="BZ97" s="1326"/>
      <c r="CA97" s="1326"/>
      <c r="CB97" s="1326"/>
      <c r="CC97" s="1326"/>
      <c r="CD97" s="1684">
        <v>1972835.51</v>
      </c>
      <c r="CE97" s="1684">
        <v>1972835.51</v>
      </c>
      <c r="CF97" s="1684">
        <v>1198163.7</v>
      </c>
      <c r="CG97" s="1684">
        <v>60.73</v>
      </c>
      <c r="CH97" s="1684">
        <v>774671.81</v>
      </c>
      <c r="CI97" s="1684">
        <v>39.270000000000003</v>
      </c>
      <c r="CJ97" s="1684">
        <v>1972835.51</v>
      </c>
      <c r="CK97" s="1684">
        <v>100</v>
      </c>
      <c r="CL97" s="1410"/>
      <c r="CM97" s="1682"/>
      <c r="CN97" s="1400"/>
      <c r="CO97" s="1326"/>
      <c r="CP97" s="1682"/>
      <c r="CQ97" s="1684">
        <v>1198163.7</v>
      </c>
      <c r="CR97" s="1684">
        <v>1198163.7</v>
      </c>
      <c r="CS97" s="1684">
        <v>0</v>
      </c>
      <c r="CT97" s="1326"/>
      <c r="CU97" s="1682"/>
      <c r="CV97" s="1684">
        <v>1972835.51</v>
      </c>
      <c r="CW97" s="1684">
        <v>0</v>
      </c>
      <c r="CX97" s="1684">
        <v>0</v>
      </c>
      <c r="CY97" s="1684">
        <v>1194678.23</v>
      </c>
      <c r="CZ97" s="1684">
        <v>754036.94</v>
      </c>
      <c r="DA97" s="1684">
        <v>8420</v>
      </c>
      <c r="DB97" s="1684">
        <v>109.35</v>
      </c>
      <c r="DC97" s="1684">
        <v>15590.99</v>
      </c>
      <c r="DD97" s="1684">
        <v>1972835.51</v>
      </c>
      <c r="DE97" s="1684">
        <v>1198163.7</v>
      </c>
      <c r="DF97" s="1684">
        <v>1198163.7</v>
      </c>
      <c r="DG97" s="1684">
        <v>0</v>
      </c>
      <c r="DH97" s="1684">
        <v>774671.81</v>
      </c>
      <c r="DI97" s="1684">
        <v>774671.81</v>
      </c>
      <c r="DJ97" s="1684">
        <v>352400.82</v>
      </c>
      <c r="DK97" s="1684">
        <v>422270.99</v>
      </c>
      <c r="DL97" s="1684">
        <v>0</v>
      </c>
      <c r="DM97" s="1684">
        <v>0</v>
      </c>
      <c r="DN97" s="1684">
        <v>0</v>
      </c>
      <c r="DO97" s="1684">
        <v>0</v>
      </c>
      <c r="DP97" s="1684">
        <v>0</v>
      </c>
      <c r="DQ97" s="1326"/>
      <c r="DR97" s="1400"/>
      <c r="DS97" s="1326"/>
      <c r="DT97" s="1682"/>
      <c r="DU97" s="1326"/>
      <c r="DV97" s="1682"/>
    </row>
    <row r="98" spans="1:126" ht="78.75">
      <c r="A98" s="1326" t="s">
        <v>2041</v>
      </c>
      <c r="B98" s="1326" t="s">
        <v>1700</v>
      </c>
      <c r="C98" s="1326" t="s">
        <v>2561</v>
      </c>
      <c r="D98" s="1326" t="s">
        <v>2562</v>
      </c>
      <c r="E98" s="1326" t="s">
        <v>143</v>
      </c>
      <c r="F98" s="1326" t="s">
        <v>254</v>
      </c>
      <c r="G98" s="1326" t="s">
        <v>2555</v>
      </c>
      <c r="H98" s="1326" t="s">
        <v>2556</v>
      </c>
      <c r="I98" s="1326" t="s">
        <v>2541</v>
      </c>
      <c r="J98" s="1326" t="s">
        <v>711</v>
      </c>
      <c r="K98" s="1685">
        <v>42754</v>
      </c>
      <c r="L98" s="1685">
        <v>42860</v>
      </c>
      <c r="M98" s="1326" t="s">
        <v>134</v>
      </c>
      <c r="N98" s="1326" t="s">
        <v>2061</v>
      </c>
      <c r="O98" s="1326" t="s">
        <v>3004</v>
      </c>
      <c r="P98" s="1326" t="s">
        <v>2757</v>
      </c>
      <c r="Q98" s="1326" t="s">
        <v>1724</v>
      </c>
      <c r="R98" s="1326" t="s">
        <v>2757</v>
      </c>
      <c r="S98" s="1326" t="s">
        <v>2757</v>
      </c>
      <c r="T98" s="1326"/>
      <c r="U98" s="1326" t="s">
        <v>2758</v>
      </c>
      <c r="V98" s="1326" t="s">
        <v>2785</v>
      </c>
      <c r="W98" s="1326" t="s">
        <v>2757</v>
      </c>
      <c r="X98" s="1326"/>
      <c r="Y98" s="1326" t="s">
        <v>2757</v>
      </c>
      <c r="Z98" s="1326"/>
      <c r="AA98" s="1326"/>
      <c r="AB98" s="1326" t="s">
        <v>2757</v>
      </c>
      <c r="AC98" s="1326" t="s">
        <v>2757</v>
      </c>
      <c r="AD98" s="1326" t="s">
        <v>2757</v>
      </c>
      <c r="AE98" s="1326"/>
      <c r="AF98" s="1326" t="s">
        <v>3005</v>
      </c>
      <c r="AG98" s="1326" t="s">
        <v>2921</v>
      </c>
      <c r="AH98" s="1326" t="s">
        <v>2791</v>
      </c>
      <c r="AI98" s="1326" t="s">
        <v>2762</v>
      </c>
      <c r="AJ98" s="1326" t="s">
        <v>2763</v>
      </c>
      <c r="AK98" s="1326" t="s">
        <v>2987</v>
      </c>
      <c r="AL98" s="1326" t="s">
        <v>2988</v>
      </c>
      <c r="AM98" s="1683">
        <v>100</v>
      </c>
      <c r="AN98" s="1326"/>
      <c r="AO98" s="1326"/>
      <c r="AP98" s="1326"/>
      <c r="AQ98" s="1326"/>
      <c r="AR98" s="1326"/>
      <c r="AS98" s="1326"/>
      <c r="AT98" s="1326" t="s">
        <v>2867</v>
      </c>
      <c r="AU98" s="1326" t="s">
        <v>2795</v>
      </c>
      <c r="AV98" s="1326" t="s">
        <v>2989</v>
      </c>
      <c r="AW98" s="1326"/>
      <c r="AX98" s="1326" t="s">
        <v>2923</v>
      </c>
      <c r="AY98" s="1326" t="s">
        <v>2798</v>
      </c>
      <c r="AZ98" s="1326" t="s">
        <v>282</v>
      </c>
      <c r="BA98" s="1326" t="s">
        <v>2820</v>
      </c>
      <c r="BB98" s="1326" t="s">
        <v>2757</v>
      </c>
      <c r="BC98" s="1326" t="s">
        <v>2800</v>
      </c>
      <c r="BD98" s="1326" t="s">
        <v>2773</v>
      </c>
      <c r="BE98" s="1326" t="s">
        <v>2942</v>
      </c>
      <c r="BF98" s="1326" t="s">
        <v>2943</v>
      </c>
      <c r="BG98" s="1326" t="s">
        <v>2944</v>
      </c>
      <c r="BH98" s="1326" t="s">
        <v>2804</v>
      </c>
      <c r="BI98" s="1326" t="s">
        <v>2805</v>
      </c>
      <c r="BJ98" s="1326" t="s">
        <v>2824</v>
      </c>
      <c r="BK98" s="1326" t="s">
        <v>2867</v>
      </c>
      <c r="BL98" s="1326" t="s">
        <v>2757</v>
      </c>
      <c r="BM98" s="1326" t="s">
        <v>2757</v>
      </c>
      <c r="BN98" s="1683">
        <v>0</v>
      </c>
      <c r="BO98" s="1685">
        <v>42327</v>
      </c>
      <c r="BP98" s="1685">
        <v>43585</v>
      </c>
      <c r="BQ98" s="1326" t="s">
        <v>2779</v>
      </c>
      <c r="BR98" s="1685">
        <v>46022</v>
      </c>
      <c r="BS98" s="1326" t="s">
        <v>2807</v>
      </c>
      <c r="BT98" s="1326" t="s">
        <v>3006</v>
      </c>
      <c r="BU98" s="1683">
        <v>30</v>
      </c>
      <c r="BV98" s="1683">
        <v>89862.26</v>
      </c>
      <c r="BW98" s="1685">
        <v>43615</v>
      </c>
      <c r="BX98" s="1682"/>
      <c r="BY98" s="1326" t="s">
        <v>2052</v>
      </c>
      <c r="BZ98" s="1326" t="s">
        <v>2782</v>
      </c>
      <c r="CA98" s="1326" t="s">
        <v>2783</v>
      </c>
      <c r="CB98" s="1326" t="s">
        <v>2783</v>
      </c>
      <c r="CC98" s="1326" t="s">
        <v>2913</v>
      </c>
      <c r="CD98" s="1684">
        <v>352401</v>
      </c>
      <c r="CE98" s="1684">
        <v>352401</v>
      </c>
      <c r="CF98" s="1684">
        <v>299540.84999999998</v>
      </c>
      <c r="CG98" s="1684">
        <v>85</v>
      </c>
      <c r="CH98" s="1684">
        <v>52860.15</v>
      </c>
      <c r="CI98" s="1684">
        <v>15</v>
      </c>
      <c r="CJ98" s="1684">
        <v>352401</v>
      </c>
      <c r="CK98" s="1684">
        <v>100</v>
      </c>
      <c r="CL98" s="1410" t="s">
        <v>2785</v>
      </c>
      <c r="CM98" s="1686">
        <v>42811</v>
      </c>
      <c r="CN98" s="1400"/>
      <c r="CO98" s="1326"/>
      <c r="CP98" s="1682"/>
      <c r="CQ98" s="1684">
        <v>299540.84999999998</v>
      </c>
      <c r="CR98" s="1684">
        <v>299540.84999999998</v>
      </c>
      <c r="CS98" s="1684">
        <v>0</v>
      </c>
      <c r="CT98" s="1326" t="s">
        <v>2785</v>
      </c>
      <c r="CU98" s="1686">
        <v>42821</v>
      </c>
      <c r="CV98" s="1684">
        <v>352401</v>
      </c>
      <c r="CW98" s="1684">
        <v>0</v>
      </c>
      <c r="CX98" s="1684">
        <v>0</v>
      </c>
      <c r="CY98" s="1684">
        <v>78480.77</v>
      </c>
      <c r="CZ98" s="1684">
        <v>264086</v>
      </c>
      <c r="DA98" s="1684">
        <v>6000</v>
      </c>
      <c r="DB98" s="1684">
        <v>0</v>
      </c>
      <c r="DC98" s="1684">
        <v>3834.23</v>
      </c>
      <c r="DD98" s="1684">
        <v>352401</v>
      </c>
      <c r="DE98" s="1684">
        <v>299540.84999999998</v>
      </c>
      <c r="DF98" s="1684">
        <v>299540.84999999998</v>
      </c>
      <c r="DG98" s="1684">
        <v>0</v>
      </c>
      <c r="DH98" s="1684">
        <v>52860.15</v>
      </c>
      <c r="DI98" s="1684">
        <v>52860.15</v>
      </c>
      <c r="DJ98" s="1684">
        <v>0</v>
      </c>
      <c r="DK98" s="1684">
        <v>52860.15</v>
      </c>
      <c r="DL98" s="1684">
        <v>0</v>
      </c>
      <c r="DM98" s="1684">
        <v>0</v>
      </c>
      <c r="DN98" s="1684">
        <v>0</v>
      </c>
      <c r="DO98" s="1684">
        <v>0</v>
      </c>
      <c r="DP98" s="1684">
        <v>0</v>
      </c>
      <c r="DQ98" s="1326" t="s">
        <v>2810</v>
      </c>
      <c r="DR98" s="1684">
        <v>0</v>
      </c>
      <c r="DS98" s="1326" t="s">
        <v>2757</v>
      </c>
      <c r="DT98" s="1682"/>
      <c r="DU98" s="1326" t="s">
        <v>2785</v>
      </c>
      <c r="DV98" s="1686">
        <v>43585</v>
      </c>
    </row>
    <row r="99" spans="1:126" ht="67.5">
      <c r="A99" s="1326" t="s">
        <v>2042</v>
      </c>
      <c r="B99" s="1326" t="s">
        <v>1700</v>
      </c>
      <c r="C99" s="1326" t="s">
        <v>2561</v>
      </c>
      <c r="D99" s="1326" t="s">
        <v>2562</v>
      </c>
      <c r="E99" s="1326" t="s">
        <v>143</v>
      </c>
      <c r="F99" s="1326" t="s">
        <v>254</v>
      </c>
      <c r="G99" s="1326" t="s">
        <v>2555</v>
      </c>
      <c r="H99" s="1326" t="s">
        <v>2556</v>
      </c>
      <c r="I99" s="1326" t="s">
        <v>2541</v>
      </c>
      <c r="J99" s="1326" t="s">
        <v>712</v>
      </c>
      <c r="K99" s="1685">
        <v>42761</v>
      </c>
      <c r="L99" s="1685">
        <v>42886</v>
      </c>
      <c r="M99" s="1326" t="s">
        <v>2230</v>
      </c>
      <c r="N99" s="1326" t="s">
        <v>2061</v>
      </c>
      <c r="O99" s="1326" t="s">
        <v>3007</v>
      </c>
      <c r="P99" s="1326" t="s">
        <v>2757</v>
      </c>
      <c r="Q99" s="1326" t="s">
        <v>1714</v>
      </c>
      <c r="R99" s="1326" t="s">
        <v>2757</v>
      </c>
      <c r="S99" s="1326" t="s">
        <v>2757</v>
      </c>
      <c r="T99" s="1326"/>
      <c r="U99" s="1326" t="s">
        <v>2758</v>
      </c>
      <c r="V99" s="1326" t="s">
        <v>2785</v>
      </c>
      <c r="W99" s="1326" t="s">
        <v>2757</v>
      </c>
      <c r="X99" s="1326"/>
      <c r="Y99" s="1326" t="s">
        <v>2757</v>
      </c>
      <c r="Z99" s="1326"/>
      <c r="AA99" s="1326"/>
      <c r="AB99" s="1326" t="s">
        <v>2757</v>
      </c>
      <c r="AC99" s="1326" t="s">
        <v>2757</v>
      </c>
      <c r="AD99" s="1326" t="s">
        <v>2757</v>
      </c>
      <c r="AE99" s="1326"/>
      <c r="AF99" s="1326" t="s">
        <v>3005</v>
      </c>
      <c r="AG99" s="1326" t="s">
        <v>2921</v>
      </c>
      <c r="AH99" s="1326" t="s">
        <v>2791</v>
      </c>
      <c r="AI99" s="1326" t="s">
        <v>2762</v>
      </c>
      <c r="AJ99" s="1326" t="s">
        <v>2763</v>
      </c>
      <c r="AK99" s="1326" t="s">
        <v>3008</v>
      </c>
      <c r="AL99" s="1326" t="s">
        <v>2988</v>
      </c>
      <c r="AM99" s="1683">
        <v>100</v>
      </c>
      <c r="AN99" s="1326"/>
      <c r="AO99" s="1326"/>
      <c r="AP99" s="1326"/>
      <c r="AQ99" s="1326"/>
      <c r="AR99" s="1326"/>
      <c r="AS99" s="1326"/>
      <c r="AT99" s="1326" t="s">
        <v>2794</v>
      </c>
      <c r="AU99" s="1326" t="s">
        <v>2795</v>
      </c>
      <c r="AV99" s="1326" t="s">
        <v>2989</v>
      </c>
      <c r="AW99" s="1326"/>
      <c r="AX99" s="1326" t="s">
        <v>2923</v>
      </c>
      <c r="AY99" s="1326" t="s">
        <v>2798</v>
      </c>
      <c r="AZ99" s="1326" t="s">
        <v>345</v>
      </c>
      <c r="BA99" s="1326" t="s">
        <v>2799</v>
      </c>
      <c r="BB99" s="1326" t="s">
        <v>2757</v>
      </c>
      <c r="BC99" s="1326" t="s">
        <v>2800</v>
      </c>
      <c r="BD99" s="1326" t="s">
        <v>2773</v>
      </c>
      <c r="BE99" s="1326" t="s">
        <v>2915</v>
      </c>
      <c r="BF99" s="1326" t="s">
        <v>2938</v>
      </c>
      <c r="BG99" s="1326" t="s">
        <v>2939</v>
      </c>
      <c r="BH99" s="1326" t="s">
        <v>2804</v>
      </c>
      <c r="BI99" s="1326" t="s">
        <v>2805</v>
      </c>
      <c r="BJ99" s="1326" t="s">
        <v>2806</v>
      </c>
      <c r="BK99" s="1326" t="s">
        <v>2794</v>
      </c>
      <c r="BL99" s="1326" t="s">
        <v>2757</v>
      </c>
      <c r="BM99" s="1326" t="s">
        <v>2757</v>
      </c>
      <c r="BN99" s="1683">
        <v>0</v>
      </c>
      <c r="BO99" s="1685">
        <v>42584</v>
      </c>
      <c r="BP99" s="1685">
        <v>43373</v>
      </c>
      <c r="BQ99" s="1326" t="s">
        <v>2779</v>
      </c>
      <c r="BR99" s="1685">
        <v>45657</v>
      </c>
      <c r="BS99" s="1326" t="s">
        <v>2807</v>
      </c>
      <c r="BT99" s="1326" t="s">
        <v>3009</v>
      </c>
      <c r="BU99" s="1683">
        <v>30</v>
      </c>
      <c r="BV99" s="1683">
        <v>89862.3</v>
      </c>
      <c r="BW99" s="1685">
        <v>43465</v>
      </c>
      <c r="BX99" s="1682"/>
      <c r="BY99" s="1326" t="s">
        <v>2052</v>
      </c>
      <c r="BZ99" s="1326" t="s">
        <v>2782</v>
      </c>
      <c r="CA99" s="1326" t="s">
        <v>2783</v>
      </c>
      <c r="CB99" s="1326" t="s">
        <v>2783</v>
      </c>
      <c r="CC99" s="1326" t="s">
        <v>2913</v>
      </c>
      <c r="CD99" s="1684">
        <v>783264.16</v>
      </c>
      <c r="CE99" s="1684">
        <v>783264.16</v>
      </c>
      <c r="CF99" s="1684">
        <v>299541</v>
      </c>
      <c r="CG99" s="1684">
        <v>38.24</v>
      </c>
      <c r="CH99" s="1684">
        <v>483723.16</v>
      </c>
      <c r="CI99" s="1684">
        <v>61.76</v>
      </c>
      <c r="CJ99" s="1684">
        <v>783264.16</v>
      </c>
      <c r="CK99" s="1684">
        <v>100</v>
      </c>
      <c r="CL99" s="1410" t="s">
        <v>2785</v>
      </c>
      <c r="CM99" s="1686">
        <v>42816</v>
      </c>
      <c r="CN99" s="1400"/>
      <c r="CO99" s="1326"/>
      <c r="CP99" s="1682"/>
      <c r="CQ99" s="1684">
        <v>299541</v>
      </c>
      <c r="CR99" s="1684">
        <v>299541</v>
      </c>
      <c r="CS99" s="1684">
        <v>0</v>
      </c>
      <c r="CT99" s="1326" t="s">
        <v>2785</v>
      </c>
      <c r="CU99" s="1686">
        <v>42831</v>
      </c>
      <c r="CV99" s="1684">
        <v>783264.16</v>
      </c>
      <c r="CW99" s="1684">
        <v>0</v>
      </c>
      <c r="CX99" s="1684">
        <v>0</v>
      </c>
      <c r="CY99" s="1684">
        <v>613513.72</v>
      </c>
      <c r="CZ99" s="1684">
        <v>162731.54</v>
      </c>
      <c r="DA99" s="1684">
        <v>0</v>
      </c>
      <c r="DB99" s="1684">
        <v>109.35</v>
      </c>
      <c r="DC99" s="1684">
        <v>6909.55</v>
      </c>
      <c r="DD99" s="1684">
        <v>783264.16</v>
      </c>
      <c r="DE99" s="1684">
        <v>299541</v>
      </c>
      <c r="DF99" s="1684">
        <v>299541</v>
      </c>
      <c r="DG99" s="1684">
        <v>0</v>
      </c>
      <c r="DH99" s="1684">
        <v>483723.16</v>
      </c>
      <c r="DI99" s="1684">
        <v>483723.16</v>
      </c>
      <c r="DJ99" s="1684">
        <v>352400.82</v>
      </c>
      <c r="DK99" s="1684">
        <v>131322.34</v>
      </c>
      <c r="DL99" s="1684">
        <v>0</v>
      </c>
      <c r="DM99" s="1684">
        <v>0</v>
      </c>
      <c r="DN99" s="1684">
        <v>0</v>
      </c>
      <c r="DO99" s="1684">
        <v>0</v>
      </c>
      <c r="DP99" s="1684">
        <v>0</v>
      </c>
      <c r="DQ99" s="1326" t="s">
        <v>2810</v>
      </c>
      <c r="DR99" s="1684">
        <v>0</v>
      </c>
      <c r="DS99" s="1326" t="s">
        <v>2757</v>
      </c>
      <c r="DT99" s="1682"/>
      <c r="DU99" s="1326" t="s">
        <v>2785</v>
      </c>
      <c r="DV99" s="1686">
        <v>43373</v>
      </c>
    </row>
    <row r="100" spans="1:126" ht="67.5">
      <c r="A100" s="1326" t="s">
        <v>2043</v>
      </c>
      <c r="B100" s="1326" t="s">
        <v>1700</v>
      </c>
      <c r="C100" s="1326" t="s">
        <v>2561</v>
      </c>
      <c r="D100" s="1326" t="s">
        <v>2562</v>
      </c>
      <c r="E100" s="1326" t="s">
        <v>143</v>
      </c>
      <c r="F100" s="1326" t="s">
        <v>254</v>
      </c>
      <c r="G100" s="1326" t="s">
        <v>2555</v>
      </c>
      <c r="H100" s="1326" t="s">
        <v>2556</v>
      </c>
      <c r="I100" s="1326" t="s">
        <v>2541</v>
      </c>
      <c r="J100" s="1326" t="s">
        <v>713</v>
      </c>
      <c r="K100" s="1685">
        <v>42762</v>
      </c>
      <c r="L100" s="1685">
        <v>42857</v>
      </c>
      <c r="M100" s="1326" t="s">
        <v>2243</v>
      </c>
      <c r="N100" s="1326" t="s">
        <v>2061</v>
      </c>
      <c r="O100" s="1326" t="s">
        <v>3010</v>
      </c>
      <c r="P100" s="1326" t="s">
        <v>2757</v>
      </c>
      <c r="Q100" s="1326" t="s">
        <v>1732</v>
      </c>
      <c r="R100" s="1326" t="s">
        <v>2757</v>
      </c>
      <c r="S100" s="1326" t="s">
        <v>2757</v>
      </c>
      <c r="T100" s="1326"/>
      <c r="U100" s="1326" t="s">
        <v>2758</v>
      </c>
      <c r="V100" s="1326" t="s">
        <v>2757</v>
      </c>
      <c r="W100" s="1326" t="s">
        <v>2757</v>
      </c>
      <c r="X100" s="1326"/>
      <c r="Y100" s="1326" t="s">
        <v>2757</v>
      </c>
      <c r="Z100" s="1326"/>
      <c r="AA100" s="1326"/>
      <c r="AB100" s="1326" t="s">
        <v>2757</v>
      </c>
      <c r="AC100" s="1326" t="s">
        <v>2757</v>
      </c>
      <c r="AD100" s="1326" t="s">
        <v>2757</v>
      </c>
      <c r="AE100" s="1326"/>
      <c r="AF100" s="1326" t="s">
        <v>3005</v>
      </c>
      <c r="AG100" s="1326" t="s">
        <v>2921</v>
      </c>
      <c r="AH100" s="1326" t="s">
        <v>2791</v>
      </c>
      <c r="AI100" s="1326" t="s">
        <v>2762</v>
      </c>
      <c r="AJ100" s="1326" t="s">
        <v>2763</v>
      </c>
      <c r="AK100" s="1326" t="s">
        <v>2987</v>
      </c>
      <c r="AL100" s="1326" t="s">
        <v>2988</v>
      </c>
      <c r="AM100" s="1683">
        <v>100</v>
      </c>
      <c r="AN100" s="1326"/>
      <c r="AO100" s="1326"/>
      <c r="AP100" s="1326"/>
      <c r="AQ100" s="1326"/>
      <c r="AR100" s="1326"/>
      <c r="AS100" s="1326"/>
      <c r="AT100" s="1326" t="s">
        <v>2880</v>
      </c>
      <c r="AU100" s="1326" t="s">
        <v>2795</v>
      </c>
      <c r="AV100" s="1326" t="s">
        <v>2989</v>
      </c>
      <c r="AW100" s="1326"/>
      <c r="AX100" s="1326" t="s">
        <v>2923</v>
      </c>
      <c r="AY100" s="1326" t="s">
        <v>2798</v>
      </c>
      <c r="AZ100" s="1326" t="s">
        <v>235</v>
      </c>
      <c r="BA100" s="1326" t="s">
        <v>2929</v>
      </c>
      <c r="BB100" s="1326" t="s">
        <v>2757</v>
      </c>
      <c r="BC100" s="1326" t="s">
        <v>2800</v>
      </c>
      <c r="BD100" s="1326" t="s">
        <v>2773</v>
      </c>
      <c r="BE100" s="1326" t="s">
        <v>2930</v>
      </c>
      <c r="BF100" s="1326" t="s">
        <v>2931</v>
      </c>
      <c r="BG100" s="1326" t="s">
        <v>2932</v>
      </c>
      <c r="BH100" s="1326" t="s">
        <v>2804</v>
      </c>
      <c r="BI100" s="1326" t="s">
        <v>2805</v>
      </c>
      <c r="BJ100" s="1326" t="s">
        <v>2885</v>
      </c>
      <c r="BK100" s="1326" t="s">
        <v>2880</v>
      </c>
      <c r="BL100" s="1326" t="s">
        <v>2757</v>
      </c>
      <c r="BM100" s="1326" t="s">
        <v>2757</v>
      </c>
      <c r="BN100" s="1683">
        <v>0</v>
      </c>
      <c r="BO100" s="1685">
        <v>42857</v>
      </c>
      <c r="BP100" s="1685">
        <v>43830</v>
      </c>
      <c r="BQ100" s="1326" t="s">
        <v>2779</v>
      </c>
      <c r="BR100" s="1685">
        <v>45657</v>
      </c>
      <c r="BS100" s="1326" t="s">
        <v>3011</v>
      </c>
      <c r="BT100" s="1326" t="s">
        <v>3012</v>
      </c>
      <c r="BU100" s="1683">
        <v>30</v>
      </c>
      <c r="BV100" s="1683">
        <v>89862.26</v>
      </c>
      <c r="BW100" s="1685">
        <v>43860</v>
      </c>
      <c r="BX100" s="1682"/>
      <c r="BY100" s="1326" t="s">
        <v>2052</v>
      </c>
      <c r="BZ100" s="1326" t="s">
        <v>2783</v>
      </c>
      <c r="CA100" s="1326" t="s">
        <v>2783</v>
      </c>
      <c r="CB100" s="1326" t="s">
        <v>2783</v>
      </c>
      <c r="CC100" s="1326" t="s">
        <v>2913</v>
      </c>
      <c r="CD100" s="1684">
        <v>352401</v>
      </c>
      <c r="CE100" s="1684">
        <v>352401</v>
      </c>
      <c r="CF100" s="1684">
        <v>299540.84999999998</v>
      </c>
      <c r="CG100" s="1684">
        <v>85</v>
      </c>
      <c r="CH100" s="1684">
        <v>52860.15</v>
      </c>
      <c r="CI100" s="1684">
        <v>15</v>
      </c>
      <c r="CJ100" s="1684">
        <v>352401</v>
      </c>
      <c r="CK100" s="1684">
        <v>100</v>
      </c>
      <c r="CL100" s="1410" t="s">
        <v>2785</v>
      </c>
      <c r="CM100" s="1686">
        <v>42804</v>
      </c>
      <c r="CN100" s="1400"/>
      <c r="CO100" s="1326"/>
      <c r="CP100" s="1682"/>
      <c r="CQ100" s="1684">
        <v>299540.84999999998</v>
      </c>
      <c r="CR100" s="1684">
        <v>299540.84999999998</v>
      </c>
      <c r="CS100" s="1684">
        <v>0</v>
      </c>
      <c r="CT100" s="1326" t="s">
        <v>2785</v>
      </c>
      <c r="CU100" s="1686">
        <v>42821</v>
      </c>
      <c r="CV100" s="1684">
        <v>352401</v>
      </c>
      <c r="CW100" s="1684">
        <v>0</v>
      </c>
      <c r="CX100" s="1684">
        <v>0</v>
      </c>
      <c r="CY100" s="1684">
        <v>140180</v>
      </c>
      <c r="CZ100" s="1684">
        <v>212221</v>
      </c>
      <c r="DA100" s="1684">
        <v>0</v>
      </c>
      <c r="DB100" s="1684">
        <v>0</v>
      </c>
      <c r="DC100" s="1684">
        <v>0</v>
      </c>
      <c r="DD100" s="1684">
        <v>352401</v>
      </c>
      <c r="DE100" s="1684">
        <v>299540.84999999998</v>
      </c>
      <c r="DF100" s="1684">
        <v>299540.84999999998</v>
      </c>
      <c r="DG100" s="1684">
        <v>0</v>
      </c>
      <c r="DH100" s="1684">
        <v>52860.15</v>
      </c>
      <c r="DI100" s="1684">
        <v>52860.15</v>
      </c>
      <c r="DJ100" s="1684">
        <v>0</v>
      </c>
      <c r="DK100" s="1684">
        <v>52860.15</v>
      </c>
      <c r="DL100" s="1684">
        <v>0</v>
      </c>
      <c r="DM100" s="1684">
        <v>0</v>
      </c>
      <c r="DN100" s="1684">
        <v>0</v>
      </c>
      <c r="DO100" s="1684">
        <v>0</v>
      </c>
      <c r="DP100" s="1684">
        <v>0</v>
      </c>
      <c r="DQ100" s="1326" t="s">
        <v>2810</v>
      </c>
      <c r="DR100" s="1684">
        <v>0</v>
      </c>
      <c r="DS100" s="1326" t="s">
        <v>2757</v>
      </c>
      <c r="DT100" s="1682"/>
      <c r="DU100" s="1326" t="s">
        <v>2785</v>
      </c>
      <c r="DV100" s="1686">
        <v>43830</v>
      </c>
    </row>
    <row r="101" spans="1:126" ht="78.75">
      <c r="A101" s="1326" t="s">
        <v>2044</v>
      </c>
      <c r="B101" s="1326" t="s">
        <v>1700</v>
      </c>
      <c r="C101" s="1326" t="s">
        <v>2561</v>
      </c>
      <c r="D101" s="1326" t="s">
        <v>2562</v>
      </c>
      <c r="E101" s="1326" t="s">
        <v>143</v>
      </c>
      <c r="F101" s="1326" t="s">
        <v>254</v>
      </c>
      <c r="G101" s="1326" t="s">
        <v>2555</v>
      </c>
      <c r="H101" s="1326" t="s">
        <v>2556</v>
      </c>
      <c r="I101" s="1326" t="s">
        <v>2541</v>
      </c>
      <c r="J101" s="1326" t="s">
        <v>1236</v>
      </c>
      <c r="K101" s="1685">
        <v>43097</v>
      </c>
      <c r="L101" s="1685">
        <v>43203</v>
      </c>
      <c r="M101" s="1326" t="s">
        <v>317</v>
      </c>
      <c r="N101" s="1326" t="s">
        <v>2061</v>
      </c>
      <c r="O101" s="1326" t="s">
        <v>3013</v>
      </c>
      <c r="P101" s="1326" t="s">
        <v>2757</v>
      </c>
      <c r="Q101" s="1326" t="s">
        <v>1720</v>
      </c>
      <c r="R101" s="1326" t="s">
        <v>2757</v>
      </c>
      <c r="S101" s="1326" t="s">
        <v>2757</v>
      </c>
      <c r="T101" s="1326"/>
      <c r="U101" s="1326" t="s">
        <v>2758</v>
      </c>
      <c r="V101" s="1326" t="s">
        <v>2785</v>
      </c>
      <c r="W101" s="1326" t="s">
        <v>2757</v>
      </c>
      <c r="X101" s="1326"/>
      <c r="Y101" s="1326" t="s">
        <v>2757</v>
      </c>
      <c r="Z101" s="1326"/>
      <c r="AA101" s="1326"/>
      <c r="AB101" s="1326" t="s">
        <v>2757</v>
      </c>
      <c r="AC101" s="1326" t="s">
        <v>2757</v>
      </c>
      <c r="AD101" s="1326" t="s">
        <v>2757</v>
      </c>
      <c r="AE101" s="1326"/>
      <c r="AF101" s="1326" t="s">
        <v>3005</v>
      </c>
      <c r="AG101" s="1326" t="s">
        <v>2921</v>
      </c>
      <c r="AH101" s="1326" t="s">
        <v>2791</v>
      </c>
      <c r="AI101" s="1326" t="s">
        <v>2762</v>
      </c>
      <c r="AJ101" s="1326" t="s">
        <v>2763</v>
      </c>
      <c r="AK101" s="1326" t="s">
        <v>2987</v>
      </c>
      <c r="AL101" s="1326" t="s">
        <v>2988</v>
      </c>
      <c r="AM101" s="1683">
        <v>100</v>
      </c>
      <c r="AN101" s="1326"/>
      <c r="AO101" s="1326"/>
      <c r="AP101" s="1326"/>
      <c r="AQ101" s="1326"/>
      <c r="AR101" s="1326"/>
      <c r="AS101" s="1326"/>
      <c r="AT101" s="1326" t="s">
        <v>2867</v>
      </c>
      <c r="AU101" s="1326" t="s">
        <v>2795</v>
      </c>
      <c r="AV101" s="1326" t="s">
        <v>2989</v>
      </c>
      <c r="AW101" s="1326"/>
      <c r="AX101" s="1326" t="s">
        <v>2923</v>
      </c>
      <c r="AY101" s="1326" t="s">
        <v>2798</v>
      </c>
      <c r="AZ101" s="1326" t="s">
        <v>161</v>
      </c>
      <c r="BA101" s="1326" t="s">
        <v>2812</v>
      </c>
      <c r="BB101" s="1326" t="s">
        <v>2757</v>
      </c>
      <c r="BC101" s="1326" t="s">
        <v>2800</v>
      </c>
      <c r="BD101" s="1326" t="s">
        <v>2773</v>
      </c>
      <c r="BE101" s="1326" t="s">
        <v>3014</v>
      </c>
      <c r="BF101" s="1326" t="s">
        <v>3015</v>
      </c>
      <c r="BG101" s="1326" t="s">
        <v>2815</v>
      </c>
      <c r="BH101" s="1326" t="s">
        <v>2804</v>
      </c>
      <c r="BI101" s="1326" t="s">
        <v>2805</v>
      </c>
      <c r="BJ101" s="1326" t="s">
        <v>2816</v>
      </c>
      <c r="BK101" s="1326" t="s">
        <v>2867</v>
      </c>
      <c r="BL101" s="1326" t="s">
        <v>2757</v>
      </c>
      <c r="BM101" s="1326" t="s">
        <v>2757</v>
      </c>
      <c r="BN101" s="1683">
        <v>0</v>
      </c>
      <c r="BO101" s="1685">
        <v>42501</v>
      </c>
      <c r="BP101" s="1685">
        <v>43830</v>
      </c>
      <c r="BQ101" s="1326" t="s">
        <v>2779</v>
      </c>
      <c r="BR101" s="1685">
        <v>46022</v>
      </c>
      <c r="BS101" s="1326" t="s">
        <v>2817</v>
      </c>
      <c r="BT101" s="1326" t="s">
        <v>3016</v>
      </c>
      <c r="BU101" s="1683">
        <v>30</v>
      </c>
      <c r="BV101" s="1683">
        <v>89862.3</v>
      </c>
      <c r="BW101" s="1685">
        <v>43860</v>
      </c>
      <c r="BX101" s="1682"/>
      <c r="BY101" s="1326" t="s">
        <v>2052</v>
      </c>
      <c r="BZ101" s="1326" t="s">
        <v>2782</v>
      </c>
      <c r="CA101" s="1326" t="s">
        <v>2783</v>
      </c>
      <c r="CB101" s="1326" t="s">
        <v>2783</v>
      </c>
      <c r="CC101" s="1326" t="s">
        <v>2913</v>
      </c>
      <c r="CD101" s="1684">
        <v>484769.35</v>
      </c>
      <c r="CE101" s="1684">
        <v>484769.35</v>
      </c>
      <c r="CF101" s="1684">
        <v>299541</v>
      </c>
      <c r="CG101" s="1684">
        <v>61.79</v>
      </c>
      <c r="CH101" s="1684">
        <v>185228.35</v>
      </c>
      <c r="CI101" s="1684">
        <v>38.21</v>
      </c>
      <c r="CJ101" s="1684">
        <v>484769.35</v>
      </c>
      <c r="CK101" s="1684">
        <v>100</v>
      </c>
      <c r="CL101" s="1410" t="s">
        <v>2785</v>
      </c>
      <c r="CM101" s="1686">
        <v>43154</v>
      </c>
      <c r="CN101" s="1400"/>
      <c r="CO101" s="1326"/>
      <c r="CP101" s="1682"/>
      <c r="CQ101" s="1684">
        <v>299541</v>
      </c>
      <c r="CR101" s="1684">
        <v>299541</v>
      </c>
      <c r="CS101" s="1684">
        <v>0</v>
      </c>
      <c r="CT101" s="1326" t="s">
        <v>2785</v>
      </c>
      <c r="CU101" s="1686">
        <v>43178</v>
      </c>
      <c r="CV101" s="1684">
        <v>484769.35</v>
      </c>
      <c r="CW101" s="1684">
        <v>0</v>
      </c>
      <c r="CX101" s="1684">
        <v>0</v>
      </c>
      <c r="CY101" s="1684">
        <v>362503.74</v>
      </c>
      <c r="CZ101" s="1684">
        <v>114998.39999999999</v>
      </c>
      <c r="DA101" s="1684">
        <v>2420</v>
      </c>
      <c r="DB101" s="1684">
        <v>0</v>
      </c>
      <c r="DC101" s="1684">
        <v>4847.21</v>
      </c>
      <c r="DD101" s="1684">
        <v>484769.35</v>
      </c>
      <c r="DE101" s="1684">
        <v>299541</v>
      </c>
      <c r="DF101" s="1684">
        <v>299541</v>
      </c>
      <c r="DG101" s="1684">
        <v>0</v>
      </c>
      <c r="DH101" s="1684">
        <v>185228.35</v>
      </c>
      <c r="DI101" s="1684">
        <v>185228.35</v>
      </c>
      <c r="DJ101" s="1684">
        <v>0</v>
      </c>
      <c r="DK101" s="1684">
        <v>185228.35</v>
      </c>
      <c r="DL101" s="1684">
        <v>0</v>
      </c>
      <c r="DM101" s="1684">
        <v>0</v>
      </c>
      <c r="DN101" s="1684">
        <v>0</v>
      </c>
      <c r="DO101" s="1684">
        <v>0</v>
      </c>
      <c r="DP101" s="1684">
        <v>0</v>
      </c>
      <c r="DQ101" s="1326" t="s">
        <v>2810</v>
      </c>
      <c r="DR101" s="1684">
        <v>0</v>
      </c>
      <c r="DS101" s="1326" t="s">
        <v>2757</v>
      </c>
      <c r="DT101" s="1682"/>
      <c r="DU101" s="1326" t="s">
        <v>2785</v>
      </c>
      <c r="DV101" s="1686">
        <v>43830</v>
      </c>
    </row>
    <row r="102" spans="1:126">
      <c r="A102" s="1326" t="s">
        <v>2045</v>
      </c>
      <c r="B102" s="1326" t="s">
        <v>1702</v>
      </c>
      <c r="C102" s="1326"/>
      <c r="D102" s="1326"/>
      <c r="E102" s="1326"/>
      <c r="F102" s="1326"/>
      <c r="G102" s="1326"/>
      <c r="H102" s="1326"/>
      <c r="I102" s="1326"/>
      <c r="J102" s="1326"/>
      <c r="K102" s="1682"/>
      <c r="L102" s="1682"/>
      <c r="M102" s="1326"/>
      <c r="N102" s="1326"/>
      <c r="O102" s="1326"/>
      <c r="P102" s="1326"/>
      <c r="Q102" s="1326"/>
      <c r="R102" s="1326"/>
      <c r="S102" s="1326"/>
      <c r="T102" s="1326"/>
      <c r="U102" s="1326"/>
      <c r="V102" s="1326"/>
      <c r="W102" s="1326"/>
      <c r="X102" s="1326"/>
      <c r="Y102" s="1326"/>
      <c r="Z102" s="1326"/>
      <c r="AA102" s="1326"/>
      <c r="AB102" s="1326"/>
      <c r="AC102" s="1326"/>
      <c r="AD102" s="1326"/>
      <c r="AE102" s="1326"/>
      <c r="AF102" s="1326"/>
      <c r="AG102" s="1326"/>
      <c r="AH102" s="1326"/>
      <c r="AI102" s="1326"/>
      <c r="AJ102" s="1326"/>
      <c r="AK102" s="1326"/>
      <c r="AL102" s="1326"/>
      <c r="AM102" s="1400"/>
      <c r="AN102" s="1326"/>
      <c r="AO102" s="1326"/>
      <c r="AP102" s="1326"/>
      <c r="AQ102" s="1326"/>
      <c r="AR102" s="1326"/>
      <c r="AS102" s="1326"/>
      <c r="AT102" s="1326"/>
      <c r="AU102" s="1326"/>
      <c r="AV102" s="1326"/>
      <c r="AW102" s="1326"/>
      <c r="AX102" s="1326"/>
      <c r="AY102" s="1326"/>
      <c r="AZ102" s="1326"/>
      <c r="BA102" s="1326"/>
      <c r="BB102" s="1326"/>
      <c r="BC102" s="1326"/>
      <c r="BD102" s="1326"/>
      <c r="BE102" s="1326"/>
      <c r="BF102" s="1326"/>
      <c r="BG102" s="1326"/>
      <c r="BH102" s="1326"/>
      <c r="BI102" s="1326"/>
      <c r="BJ102" s="1326"/>
      <c r="BK102" s="1326"/>
      <c r="BL102" s="1326"/>
      <c r="BM102" s="1326"/>
      <c r="BN102" s="1400"/>
      <c r="BO102" s="1682"/>
      <c r="BP102" s="1682"/>
      <c r="BQ102" s="1326"/>
      <c r="BR102" s="1682"/>
      <c r="BS102" s="1326"/>
      <c r="BT102" s="1326"/>
      <c r="BU102" s="1400"/>
      <c r="BV102" s="1683">
        <v>2971088.62</v>
      </c>
      <c r="BW102" s="1682"/>
      <c r="BX102" s="1682"/>
      <c r="BY102" s="1326"/>
      <c r="BZ102" s="1326"/>
      <c r="CA102" s="1326"/>
      <c r="CB102" s="1326"/>
      <c r="CC102" s="1326"/>
      <c r="CD102" s="1684">
        <v>11741027.48</v>
      </c>
      <c r="CE102" s="1684">
        <v>11565455</v>
      </c>
      <c r="CF102" s="1684">
        <v>9905771.4900000002</v>
      </c>
      <c r="CG102" s="1684">
        <v>85.65</v>
      </c>
      <c r="CH102" s="1684">
        <v>1659683.51</v>
      </c>
      <c r="CI102" s="1684">
        <v>14.35</v>
      </c>
      <c r="CJ102" s="1684">
        <v>11565455</v>
      </c>
      <c r="CK102" s="1684">
        <v>100</v>
      </c>
      <c r="CL102" s="1410"/>
      <c r="CM102" s="1682"/>
      <c r="CN102" s="1400"/>
      <c r="CO102" s="1326"/>
      <c r="CP102" s="1682"/>
      <c r="CQ102" s="1684">
        <v>9905771.4800000004</v>
      </c>
      <c r="CR102" s="1684">
        <v>9017221.5600000005</v>
      </c>
      <c r="CS102" s="1684">
        <v>888549.92</v>
      </c>
      <c r="CT102" s="1326"/>
      <c r="CU102" s="1682"/>
      <c r="CV102" s="1684">
        <v>11528287.25</v>
      </c>
      <c r="CW102" s="1684">
        <v>0</v>
      </c>
      <c r="CX102" s="1684">
        <v>2404440.48</v>
      </c>
      <c r="CY102" s="1684">
        <v>4792381.4000000004</v>
      </c>
      <c r="CZ102" s="1684">
        <v>1282857.02</v>
      </c>
      <c r="DA102" s="1684">
        <v>2239901.5099999998</v>
      </c>
      <c r="DB102" s="1684">
        <v>5064.6099999999997</v>
      </c>
      <c r="DC102" s="1684">
        <v>803642.23</v>
      </c>
      <c r="DD102" s="1684">
        <v>11427770.289999999</v>
      </c>
      <c r="DE102" s="1684">
        <v>9905771.4800000004</v>
      </c>
      <c r="DF102" s="1684">
        <v>9017221.5600000005</v>
      </c>
      <c r="DG102" s="1684">
        <v>888549.92</v>
      </c>
      <c r="DH102" s="1684">
        <v>1622515.77</v>
      </c>
      <c r="DI102" s="1684">
        <v>1521998.81</v>
      </c>
      <c r="DJ102" s="1684">
        <v>0</v>
      </c>
      <c r="DK102" s="1684">
        <v>1448328.47</v>
      </c>
      <c r="DL102" s="1684">
        <v>73670.34</v>
      </c>
      <c r="DM102" s="1684">
        <v>100516.96</v>
      </c>
      <c r="DN102" s="1684">
        <v>100516.96</v>
      </c>
      <c r="DO102" s="1684">
        <v>0</v>
      </c>
      <c r="DP102" s="1684">
        <v>0</v>
      </c>
      <c r="DQ102" s="1326"/>
      <c r="DR102" s="1400"/>
      <c r="DS102" s="1326"/>
      <c r="DT102" s="1682"/>
      <c r="DU102" s="1326"/>
      <c r="DV102" s="1682"/>
    </row>
    <row r="103" spans="1:126">
      <c r="A103" s="1326" t="s">
        <v>2046</v>
      </c>
      <c r="B103" s="1326" t="s">
        <v>1702</v>
      </c>
      <c r="C103" s="1326" t="s">
        <v>2564</v>
      </c>
      <c r="D103" s="1326"/>
      <c r="E103" s="1326"/>
      <c r="F103" s="1326"/>
      <c r="G103" s="1326"/>
      <c r="H103" s="1326"/>
      <c r="I103" s="1326"/>
      <c r="J103" s="1326"/>
      <c r="K103" s="1682"/>
      <c r="L103" s="1682"/>
      <c r="M103" s="1326"/>
      <c r="N103" s="1326"/>
      <c r="O103" s="1326"/>
      <c r="P103" s="1326"/>
      <c r="Q103" s="1326"/>
      <c r="R103" s="1326"/>
      <c r="S103" s="1326"/>
      <c r="T103" s="1326"/>
      <c r="U103" s="1326"/>
      <c r="V103" s="1326"/>
      <c r="W103" s="1326"/>
      <c r="X103" s="1326"/>
      <c r="Y103" s="1326"/>
      <c r="Z103" s="1326"/>
      <c r="AA103" s="1326"/>
      <c r="AB103" s="1326"/>
      <c r="AC103" s="1326"/>
      <c r="AD103" s="1326"/>
      <c r="AE103" s="1326"/>
      <c r="AF103" s="1326"/>
      <c r="AG103" s="1326"/>
      <c r="AH103" s="1326"/>
      <c r="AI103" s="1326"/>
      <c r="AJ103" s="1326"/>
      <c r="AK103" s="1326"/>
      <c r="AL103" s="1326"/>
      <c r="AM103" s="1400"/>
      <c r="AN103" s="1326"/>
      <c r="AO103" s="1326"/>
      <c r="AP103" s="1326"/>
      <c r="AQ103" s="1326"/>
      <c r="AR103" s="1326"/>
      <c r="AS103" s="1326"/>
      <c r="AT103" s="1326"/>
      <c r="AU103" s="1326"/>
      <c r="AV103" s="1326"/>
      <c r="AW103" s="1326"/>
      <c r="AX103" s="1326"/>
      <c r="AY103" s="1326"/>
      <c r="AZ103" s="1326"/>
      <c r="BA103" s="1326"/>
      <c r="BB103" s="1326"/>
      <c r="BC103" s="1326"/>
      <c r="BD103" s="1326"/>
      <c r="BE103" s="1326"/>
      <c r="BF103" s="1326"/>
      <c r="BG103" s="1326"/>
      <c r="BH103" s="1326"/>
      <c r="BI103" s="1326"/>
      <c r="BJ103" s="1326"/>
      <c r="BK103" s="1326"/>
      <c r="BL103" s="1326"/>
      <c r="BM103" s="1326"/>
      <c r="BN103" s="1400"/>
      <c r="BO103" s="1682"/>
      <c r="BP103" s="1682"/>
      <c r="BQ103" s="1326"/>
      <c r="BR103" s="1682"/>
      <c r="BS103" s="1326"/>
      <c r="BT103" s="1326"/>
      <c r="BU103" s="1400"/>
      <c r="BV103" s="1683">
        <v>1427799.32</v>
      </c>
      <c r="BW103" s="1682"/>
      <c r="BX103" s="1682"/>
      <c r="BY103" s="1326"/>
      <c r="BZ103" s="1326"/>
      <c r="CA103" s="1326"/>
      <c r="CB103" s="1326"/>
      <c r="CC103" s="1326"/>
      <c r="CD103" s="1684">
        <v>5733847.2699999996</v>
      </c>
      <c r="CE103" s="1684">
        <v>5711732.0700000003</v>
      </c>
      <c r="CF103" s="1684">
        <v>4759331.03</v>
      </c>
      <c r="CG103" s="1684">
        <v>83.33</v>
      </c>
      <c r="CH103" s="1684">
        <v>952401.04</v>
      </c>
      <c r="CI103" s="1684">
        <v>16.670000000000002</v>
      </c>
      <c r="CJ103" s="1684">
        <v>5711732.0700000003</v>
      </c>
      <c r="CK103" s="1684">
        <v>100</v>
      </c>
      <c r="CL103" s="1410"/>
      <c r="CM103" s="1682"/>
      <c r="CN103" s="1400"/>
      <c r="CO103" s="1326"/>
      <c r="CP103" s="1682"/>
      <c r="CQ103" s="1684">
        <v>4759331.0199999996</v>
      </c>
      <c r="CR103" s="1684">
        <v>4630529.8099999996</v>
      </c>
      <c r="CS103" s="1684">
        <v>128801.21</v>
      </c>
      <c r="CT103" s="1326"/>
      <c r="CU103" s="1682"/>
      <c r="CV103" s="1684">
        <v>5674564.3200000003</v>
      </c>
      <c r="CW103" s="1684">
        <v>0</v>
      </c>
      <c r="CX103" s="1684">
        <v>2404440.48</v>
      </c>
      <c r="CY103" s="1684">
        <v>2102303.6</v>
      </c>
      <c r="CZ103" s="1684">
        <v>1107304.77</v>
      </c>
      <c r="DA103" s="1684">
        <v>15167</v>
      </c>
      <c r="DB103" s="1684">
        <v>2444.9899999999998</v>
      </c>
      <c r="DC103" s="1684">
        <v>42903.48</v>
      </c>
      <c r="DD103" s="1684">
        <v>5627706.2999999998</v>
      </c>
      <c r="DE103" s="1684">
        <v>4759331.0199999996</v>
      </c>
      <c r="DF103" s="1684">
        <v>4630529.8099999996</v>
      </c>
      <c r="DG103" s="1684">
        <v>128801.21</v>
      </c>
      <c r="DH103" s="1684">
        <v>915233.3</v>
      </c>
      <c r="DI103" s="1684">
        <v>868375.28</v>
      </c>
      <c r="DJ103" s="1684">
        <v>0</v>
      </c>
      <c r="DK103" s="1684">
        <v>796004.89</v>
      </c>
      <c r="DL103" s="1684">
        <v>72370.39</v>
      </c>
      <c r="DM103" s="1684">
        <v>46858.02</v>
      </c>
      <c r="DN103" s="1684">
        <v>46858.02</v>
      </c>
      <c r="DO103" s="1684">
        <v>0</v>
      </c>
      <c r="DP103" s="1684">
        <v>0</v>
      </c>
      <c r="DQ103" s="1326"/>
      <c r="DR103" s="1400"/>
      <c r="DS103" s="1326"/>
      <c r="DT103" s="1682"/>
      <c r="DU103" s="1326"/>
      <c r="DV103" s="1682"/>
    </row>
    <row r="104" spans="1:126">
      <c r="A104" s="1326" t="s">
        <v>2047</v>
      </c>
      <c r="B104" s="1326" t="s">
        <v>1702</v>
      </c>
      <c r="C104" s="1326" t="s">
        <v>2564</v>
      </c>
      <c r="D104" s="1326" t="s">
        <v>2565</v>
      </c>
      <c r="E104" s="1326"/>
      <c r="F104" s="1326"/>
      <c r="G104" s="1326"/>
      <c r="H104" s="1326"/>
      <c r="I104" s="1326"/>
      <c r="J104" s="1326"/>
      <c r="K104" s="1682"/>
      <c r="L104" s="1682"/>
      <c r="M104" s="1326"/>
      <c r="N104" s="1326"/>
      <c r="O104" s="1326"/>
      <c r="P104" s="1326"/>
      <c r="Q104" s="1326"/>
      <c r="R104" s="1326"/>
      <c r="S104" s="1326"/>
      <c r="T104" s="1326"/>
      <c r="U104" s="1326"/>
      <c r="V104" s="1326"/>
      <c r="W104" s="1326"/>
      <c r="X104" s="1326"/>
      <c r="Y104" s="1326"/>
      <c r="Z104" s="1326"/>
      <c r="AA104" s="1326"/>
      <c r="AB104" s="1326"/>
      <c r="AC104" s="1326"/>
      <c r="AD104" s="1326"/>
      <c r="AE104" s="1326"/>
      <c r="AF104" s="1326"/>
      <c r="AG104" s="1326"/>
      <c r="AH104" s="1326"/>
      <c r="AI104" s="1326"/>
      <c r="AJ104" s="1326"/>
      <c r="AK104" s="1326"/>
      <c r="AL104" s="1326"/>
      <c r="AM104" s="1400"/>
      <c r="AN104" s="1326"/>
      <c r="AO104" s="1326"/>
      <c r="AP104" s="1326"/>
      <c r="AQ104" s="1326"/>
      <c r="AR104" s="1326"/>
      <c r="AS104" s="1326"/>
      <c r="AT104" s="1326"/>
      <c r="AU104" s="1326"/>
      <c r="AV104" s="1326"/>
      <c r="AW104" s="1326"/>
      <c r="AX104" s="1326"/>
      <c r="AY104" s="1326"/>
      <c r="AZ104" s="1326"/>
      <c r="BA104" s="1326"/>
      <c r="BB104" s="1326"/>
      <c r="BC104" s="1326"/>
      <c r="BD104" s="1326"/>
      <c r="BE104" s="1326"/>
      <c r="BF104" s="1326"/>
      <c r="BG104" s="1326"/>
      <c r="BH104" s="1326"/>
      <c r="BI104" s="1326"/>
      <c r="BJ104" s="1326"/>
      <c r="BK104" s="1326"/>
      <c r="BL104" s="1326"/>
      <c r="BM104" s="1326"/>
      <c r="BN104" s="1400"/>
      <c r="BO104" s="1682"/>
      <c r="BP104" s="1682"/>
      <c r="BQ104" s="1326"/>
      <c r="BR104" s="1682"/>
      <c r="BS104" s="1326"/>
      <c r="BT104" s="1326"/>
      <c r="BU104" s="1400"/>
      <c r="BV104" s="1683">
        <v>272312.7</v>
      </c>
      <c r="BW104" s="1682"/>
      <c r="BX104" s="1682"/>
      <c r="BY104" s="1326"/>
      <c r="BZ104" s="1326"/>
      <c r="CA104" s="1326"/>
      <c r="CB104" s="1326"/>
      <c r="CC104" s="1326"/>
      <c r="CD104" s="1684">
        <v>1292252.51</v>
      </c>
      <c r="CE104" s="1684">
        <v>1272489.55</v>
      </c>
      <c r="CF104" s="1684">
        <v>907709</v>
      </c>
      <c r="CG104" s="1684">
        <v>71.33</v>
      </c>
      <c r="CH104" s="1684">
        <v>364780.55</v>
      </c>
      <c r="CI104" s="1684">
        <v>28.67</v>
      </c>
      <c r="CJ104" s="1684">
        <v>1272489.55</v>
      </c>
      <c r="CK104" s="1684">
        <v>100</v>
      </c>
      <c r="CL104" s="1410"/>
      <c r="CM104" s="1682"/>
      <c r="CN104" s="1400"/>
      <c r="CO104" s="1326"/>
      <c r="CP104" s="1682"/>
      <c r="CQ104" s="1684">
        <v>907709</v>
      </c>
      <c r="CR104" s="1684">
        <v>885761.15</v>
      </c>
      <c r="CS104" s="1684">
        <v>21947.85</v>
      </c>
      <c r="CT104" s="1326"/>
      <c r="CU104" s="1682"/>
      <c r="CV104" s="1684">
        <v>1235321.8</v>
      </c>
      <c r="CW104" s="1684">
        <v>0</v>
      </c>
      <c r="CX104" s="1684">
        <v>0</v>
      </c>
      <c r="CY104" s="1684">
        <v>1180805.1000000001</v>
      </c>
      <c r="CZ104" s="1684">
        <v>43964.3</v>
      </c>
      <c r="DA104" s="1684">
        <v>0</v>
      </c>
      <c r="DB104" s="1684">
        <v>508.95</v>
      </c>
      <c r="DC104" s="1684">
        <v>10043.450000000001</v>
      </c>
      <c r="DD104" s="1684">
        <v>1235321.8</v>
      </c>
      <c r="DE104" s="1684">
        <v>907709</v>
      </c>
      <c r="DF104" s="1684">
        <v>885761.15</v>
      </c>
      <c r="DG104" s="1684">
        <v>21947.85</v>
      </c>
      <c r="DH104" s="1684">
        <v>327612.79999999999</v>
      </c>
      <c r="DI104" s="1684">
        <v>327612.79999999999</v>
      </c>
      <c r="DJ104" s="1684">
        <v>0</v>
      </c>
      <c r="DK104" s="1684">
        <v>327612.79999999999</v>
      </c>
      <c r="DL104" s="1684">
        <v>0</v>
      </c>
      <c r="DM104" s="1684">
        <v>0</v>
      </c>
      <c r="DN104" s="1684">
        <v>0</v>
      </c>
      <c r="DO104" s="1684">
        <v>0</v>
      </c>
      <c r="DP104" s="1684">
        <v>0</v>
      </c>
      <c r="DQ104" s="1326"/>
      <c r="DR104" s="1400"/>
      <c r="DS104" s="1326"/>
      <c r="DT104" s="1682"/>
      <c r="DU104" s="1326"/>
      <c r="DV104" s="1682"/>
    </row>
    <row r="105" spans="1:126" ht="22.5">
      <c r="A105" s="1326" t="s">
        <v>2048</v>
      </c>
      <c r="B105" s="1326" t="s">
        <v>1702</v>
      </c>
      <c r="C105" s="1326" t="s">
        <v>2564</v>
      </c>
      <c r="D105" s="1326" t="s">
        <v>2565</v>
      </c>
      <c r="E105" s="1326" t="s">
        <v>2259</v>
      </c>
      <c r="F105" s="1326" t="s">
        <v>3017</v>
      </c>
      <c r="G105" s="1326"/>
      <c r="H105" s="1326"/>
      <c r="I105" s="1326"/>
      <c r="J105" s="1326"/>
      <c r="K105" s="1682"/>
      <c r="L105" s="1682"/>
      <c r="M105" s="1326"/>
      <c r="N105" s="1326"/>
      <c r="O105" s="1326"/>
      <c r="P105" s="1326"/>
      <c r="Q105" s="1326"/>
      <c r="R105" s="1326"/>
      <c r="S105" s="1326"/>
      <c r="T105" s="1326"/>
      <c r="U105" s="1326"/>
      <c r="V105" s="1326"/>
      <c r="W105" s="1326"/>
      <c r="X105" s="1326"/>
      <c r="Y105" s="1326"/>
      <c r="Z105" s="1326"/>
      <c r="AA105" s="1326"/>
      <c r="AB105" s="1326"/>
      <c r="AC105" s="1326"/>
      <c r="AD105" s="1326"/>
      <c r="AE105" s="1326"/>
      <c r="AF105" s="1326"/>
      <c r="AG105" s="1326"/>
      <c r="AH105" s="1326"/>
      <c r="AI105" s="1326"/>
      <c r="AJ105" s="1326"/>
      <c r="AK105" s="1326"/>
      <c r="AL105" s="1326"/>
      <c r="AM105" s="1400"/>
      <c r="AN105" s="1326"/>
      <c r="AO105" s="1326"/>
      <c r="AP105" s="1326"/>
      <c r="AQ105" s="1326"/>
      <c r="AR105" s="1326"/>
      <c r="AS105" s="1326"/>
      <c r="AT105" s="1326"/>
      <c r="AU105" s="1326"/>
      <c r="AV105" s="1326"/>
      <c r="AW105" s="1326"/>
      <c r="AX105" s="1326"/>
      <c r="AY105" s="1326"/>
      <c r="AZ105" s="1326"/>
      <c r="BA105" s="1326"/>
      <c r="BB105" s="1326"/>
      <c r="BC105" s="1326"/>
      <c r="BD105" s="1326"/>
      <c r="BE105" s="1326"/>
      <c r="BF105" s="1326"/>
      <c r="BG105" s="1326"/>
      <c r="BH105" s="1326"/>
      <c r="BI105" s="1326"/>
      <c r="BJ105" s="1326"/>
      <c r="BK105" s="1326"/>
      <c r="BL105" s="1326"/>
      <c r="BM105" s="1326"/>
      <c r="BN105" s="1400"/>
      <c r="BO105" s="1682"/>
      <c r="BP105" s="1682"/>
      <c r="BQ105" s="1326"/>
      <c r="BR105" s="1682"/>
      <c r="BS105" s="1326"/>
      <c r="BT105" s="1326"/>
      <c r="BU105" s="1400"/>
      <c r="BV105" s="1683">
        <v>272312.7</v>
      </c>
      <c r="BW105" s="1682"/>
      <c r="BX105" s="1682"/>
      <c r="BY105" s="1326"/>
      <c r="BZ105" s="1326"/>
      <c r="CA105" s="1326"/>
      <c r="CB105" s="1326"/>
      <c r="CC105" s="1326"/>
      <c r="CD105" s="1684">
        <v>1292252.51</v>
      </c>
      <c r="CE105" s="1684">
        <v>1272489.55</v>
      </c>
      <c r="CF105" s="1684">
        <v>907709</v>
      </c>
      <c r="CG105" s="1684">
        <v>71.33</v>
      </c>
      <c r="CH105" s="1684">
        <v>364780.55</v>
      </c>
      <c r="CI105" s="1684">
        <v>28.67</v>
      </c>
      <c r="CJ105" s="1684">
        <v>1272489.55</v>
      </c>
      <c r="CK105" s="1684">
        <v>100</v>
      </c>
      <c r="CL105" s="1410"/>
      <c r="CM105" s="1682"/>
      <c r="CN105" s="1400"/>
      <c r="CO105" s="1326"/>
      <c r="CP105" s="1682"/>
      <c r="CQ105" s="1684">
        <v>907709</v>
      </c>
      <c r="CR105" s="1684">
        <v>885761.15</v>
      </c>
      <c r="CS105" s="1684">
        <v>21947.85</v>
      </c>
      <c r="CT105" s="1326"/>
      <c r="CU105" s="1682"/>
      <c r="CV105" s="1684">
        <v>1235321.8</v>
      </c>
      <c r="CW105" s="1684">
        <v>0</v>
      </c>
      <c r="CX105" s="1684">
        <v>0</v>
      </c>
      <c r="CY105" s="1684">
        <v>1180805.1000000001</v>
      </c>
      <c r="CZ105" s="1684">
        <v>43964.3</v>
      </c>
      <c r="DA105" s="1684">
        <v>0</v>
      </c>
      <c r="DB105" s="1684">
        <v>508.95</v>
      </c>
      <c r="DC105" s="1684">
        <v>10043.450000000001</v>
      </c>
      <c r="DD105" s="1684">
        <v>1235321.8</v>
      </c>
      <c r="DE105" s="1684">
        <v>907709</v>
      </c>
      <c r="DF105" s="1684">
        <v>885761.15</v>
      </c>
      <c r="DG105" s="1684">
        <v>21947.85</v>
      </c>
      <c r="DH105" s="1684">
        <v>327612.79999999999</v>
      </c>
      <c r="DI105" s="1684">
        <v>327612.79999999999</v>
      </c>
      <c r="DJ105" s="1684">
        <v>0</v>
      </c>
      <c r="DK105" s="1684">
        <v>327612.79999999999</v>
      </c>
      <c r="DL105" s="1684">
        <v>0</v>
      </c>
      <c r="DM105" s="1684">
        <v>0</v>
      </c>
      <c r="DN105" s="1684">
        <v>0</v>
      </c>
      <c r="DO105" s="1684">
        <v>0</v>
      </c>
      <c r="DP105" s="1684">
        <v>0</v>
      </c>
      <c r="DQ105" s="1326"/>
      <c r="DR105" s="1400"/>
      <c r="DS105" s="1326"/>
      <c r="DT105" s="1682"/>
      <c r="DU105" s="1326"/>
      <c r="DV105" s="1682"/>
    </row>
    <row r="106" spans="1:126" ht="45">
      <c r="A106" s="1326" t="s">
        <v>2049</v>
      </c>
      <c r="B106" s="1326" t="s">
        <v>1702</v>
      </c>
      <c r="C106" s="1326" t="s">
        <v>2564</v>
      </c>
      <c r="D106" s="1326" t="s">
        <v>2565</v>
      </c>
      <c r="E106" s="1326" t="s">
        <v>2259</v>
      </c>
      <c r="F106" s="1326" t="s">
        <v>3017</v>
      </c>
      <c r="G106" s="1326" t="s">
        <v>2566</v>
      </c>
      <c r="H106" s="1326" t="s">
        <v>2556</v>
      </c>
      <c r="I106" s="1326" t="s">
        <v>2541</v>
      </c>
      <c r="J106" s="1326" t="s">
        <v>720</v>
      </c>
      <c r="K106" s="1685">
        <v>42734</v>
      </c>
      <c r="L106" s="1685">
        <v>42851</v>
      </c>
      <c r="M106" s="1326" t="s">
        <v>312</v>
      </c>
      <c r="N106" s="1326" t="s">
        <v>2061</v>
      </c>
      <c r="O106" s="1326" t="s">
        <v>3018</v>
      </c>
      <c r="P106" s="1326" t="s">
        <v>2757</v>
      </c>
      <c r="Q106" s="1326" t="s">
        <v>1728</v>
      </c>
      <c r="R106" s="1326" t="s">
        <v>2757</v>
      </c>
      <c r="S106" s="1326" t="s">
        <v>2757</v>
      </c>
      <c r="T106" s="1326"/>
      <c r="U106" s="1326" t="s">
        <v>2758</v>
      </c>
      <c r="V106" s="1326" t="s">
        <v>2757</v>
      </c>
      <c r="W106" s="1326" t="s">
        <v>2757</v>
      </c>
      <c r="X106" s="1326"/>
      <c r="Y106" s="1326" t="s">
        <v>2757</v>
      </c>
      <c r="Z106" s="1326"/>
      <c r="AA106" s="1326"/>
      <c r="AB106" s="1326" t="s">
        <v>2757</v>
      </c>
      <c r="AC106" s="1326" t="s">
        <v>2757</v>
      </c>
      <c r="AD106" s="1326" t="s">
        <v>2757</v>
      </c>
      <c r="AE106" s="1326"/>
      <c r="AF106" s="1326" t="s">
        <v>3019</v>
      </c>
      <c r="AG106" s="1326" t="s">
        <v>3020</v>
      </c>
      <c r="AH106" s="1326" t="s">
        <v>2791</v>
      </c>
      <c r="AI106" s="1326" t="s">
        <v>2762</v>
      </c>
      <c r="AJ106" s="1326" t="s">
        <v>2763</v>
      </c>
      <c r="AK106" s="1326" t="s">
        <v>2987</v>
      </c>
      <c r="AL106" s="1326" t="s">
        <v>2988</v>
      </c>
      <c r="AM106" s="1683">
        <v>100</v>
      </c>
      <c r="AN106" s="1326"/>
      <c r="AO106" s="1326"/>
      <c r="AP106" s="1326"/>
      <c r="AQ106" s="1326"/>
      <c r="AR106" s="1326"/>
      <c r="AS106" s="1326"/>
      <c r="AT106" s="1326" t="s">
        <v>2880</v>
      </c>
      <c r="AU106" s="1326" t="s">
        <v>2766</v>
      </c>
      <c r="AV106" s="1326" t="s">
        <v>3021</v>
      </c>
      <c r="AW106" s="1326"/>
      <c r="AX106" s="1326" t="s">
        <v>3022</v>
      </c>
      <c r="AY106" s="1326" t="s">
        <v>2798</v>
      </c>
      <c r="AZ106" s="1326" t="s">
        <v>235</v>
      </c>
      <c r="BA106" s="1326" t="s">
        <v>2929</v>
      </c>
      <c r="BB106" s="1326" t="s">
        <v>2757</v>
      </c>
      <c r="BC106" s="1326" t="s">
        <v>2800</v>
      </c>
      <c r="BD106" s="1326" t="s">
        <v>2773</v>
      </c>
      <c r="BE106" s="1326" t="s">
        <v>2930</v>
      </c>
      <c r="BF106" s="1326" t="s">
        <v>3023</v>
      </c>
      <c r="BG106" s="1326" t="s">
        <v>2932</v>
      </c>
      <c r="BH106" s="1326" t="s">
        <v>2024</v>
      </c>
      <c r="BI106" s="1326" t="s">
        <v>2805</v>
      </c>
      <c r="BJ106" s="1326" t="s">
        <v>2885</v>
      </c>
      <c r="BK106" s="1326" t="s">
        <v>2880</v>
      </c>
      <c r="BL106" s="1326" t="s">
        <v>2757</v>
      </c>
      <c r="BM106" s="1326" t="s">
        <v>2757</v>
      </c>
      <c r="BN106" s="1683">
        <v>0</v>
      </c>
      <c r="BO106" s="1685">
        <v>42851</v>
      </c>
      <c r="BP106" s="1685">
        <v>43708</v>
      </c>
      <c r="BQ106" s="1326" t="s">
        <v>2779</v>
      </c>
      <c r="BR106" s="1685">
        <v>46022</v>
      </c>
      <c r="BS106" s="1326" t="s">
        <v>3024</v>
      </c>
      <c r="BT106" s="1326" t="s">
        <v>3012</v>
      </c>
      <c r="BU106" s="1683">
        <v>30</v>
      </c>
      <c r="BV106" s="1683">
        <v>38616.300000000003</v>
      </c>
      <c r="BW106" s="1685">
        <v>43738</v>
      </c>
      <c r="BX106" s="1682"/>
      <c r="BY106" s="1326" t="s">
        <v>2052</v>
      </c>
      <c r="BZ106" s="1326" t="s">
        <v>2783</v>
      </c>
      <c r="CA106" s="1326" t="s">
        <v>2783</v>
      </c>
      <c r="CB106" s="1326" t="s">
        <v>2783</v>
      </c>
      <c r="CC106" s="1326" t="s">
        <v>2913</v>
      </c>
      <c r="CD106" s="1684">
        <v>151437</v>
      </c>
      <c r="CE106" s="1684">
        <v>151437</v>
      </c>
      <c r="CF106" s="1684">
        <v>128721</v>
      </c>
      <c r="CG106" s="1684">
        <v>85</v>
      </c>
      <c r="CH106" s="1684">
        <v>22716</v>
      </c>
      <c r="CI106" s="1684">
        <v>15</v>
      </c>
      <c r="CJ106" s="1684">
        <v>151437</v>
      </c>
      <c r="CK106" s="1684">
        <v>100</v>
      </c>
      <c r="CL106" s="1410" t="s">
        <v>2785</v>
      </c>
      <c r="CM106" s="1686">
        <v>42794</v>
      </c>
      <c r="CN106" s="1400"/>
      <c r="CO106" s="1326"/>
      <c r="CP106" s="1682"/>
      <c r="CQ106" s="1684">
        <v>128721</v>
      </c>
      <c r="CR106" s="1684">
        <v>128721</v>
      </c>
      <c r="CS106" s="1684">
        <v>0</v>
      </c>
      <c r="CT106" s="1326" t="s">
        <v>2785</v>
      </c>
      <c r="CU106" s="1686">
        <v>42810</v>
      </c>
      <c r="CV106" s="1684">
        <v>151437</v>
      </c>
      <c r="CW106" s="1684">
        <v>0</v>
      </c>
      <c r="CX106" s="1684">
        <v>0</v>
      </c>
      <c r="CY106" s="1684">
        <v>147587</v>
      </c>
      <c r="CZ106" s="1684">
        <v>3850</v>
      </c>
      <c r="DA106" s="1684">
        <v>0</v>
      </c>
      <c r="DB106" s="1684">
        <v>0</v>
      </c>
      <c r="DC106" s="1684">
        <v>0</v>
      </c>
      <c r="DD106" s="1684">
        <v>151437</v>
      </c>
      <c r="DE106" s="1684">
        <v>128721</v>
      </c>
      <c r="DF106" s="1684">
        <v>128721</v>
      </c>
      <c r="DG106" s="1684">
        <v>0</v>
      </c>
      <c r="DH106" s="1684">
        <v>22716</v>
      </c>
      <c r="DI106" s="1684">
        <v>22716</v>
      </c>
      <c r="DJ106" s="1684">
        <v>0</v>
      </c>
      <c r="DK106" s="1684">
        <v>22716</v>
      </c>
      <c r="DL106" s="1684">
        <v>0</v>
      </c>
      <c r="DM106" s="1684">
        <v>0</v>
      </c>
      <c r="DN106" s="1684">
        <v>0</v>
      </c>
      <c r="DO106" s="1684">
        <v>0</v>
      </c>
      <c r="DP106" s="1684">
        <v>0</v>
      </c>
      <c r="DQ106" s="1326" t="s">
        <v>2810</v>
      </c>
      <c r="DR106" s="1684">
        <v>0</v>
      </c>
      <c r="DS106" s="1326" t="s">
        <v>2757</v>
      </c>
      <c r="DT106" s="1682"/>
      <c r="DU106" s="1326" t="s">
        <v>2785</v>
      </c>
      <c r="DV106" s="1686">
        <v>43708</v>
      </c>
    </row>
    <row r="107" spans="1:126" ht="56.25">
      <c r="A107" s="1326" t="s">
        <v>2050</v>
      </c>
      <c r="B107" s="1326" t="s">
        <v>1702</v>
      </c>
      <c r="C107" s="1326" t="s">
        <v>2564</v>
      </c>
      <c r="D107" s="1326" t="s">
        <v>2565</v>
      </c>
      <c r="E107" s="1326" t="s">
        <v>2259</v>
      </c>
      <c r="F107" s="1326" t="s">
        <v>3017</v>
      </c>
      <c r="G107" s="1326" t="s">
        <v>2566</v>
      </c>
      <c r="H107" s="1326" t="s">
        <v>2556</v>
      </c>
      <c r="I107" s="1326" t="s">
        <v>2541</v>
      </c>
      <c r="J107" s="1326" t="s">
        <v>719</v>
      </c>
      <c r="K107" s="1685">
        <v>42734</v>
      </c>
      <c r="L107" s="1685">
        <v>42849</v>
      </c>
      <c r="M107" s="1326" t="s">
        <v>310</v>
      </c>
      <c r="N107" s="1326" t="s">
        <v>2061</v>
      </c>
      <c r="O107" s="1326" t="s">
        <v>3025</v>
      </c>
      <c r="P107" s="1326" t="s">
        <v>2757</v>
      </c>
      <c r="Q107" s="1326" t="s">
        <v>1728</v>
      </c>
      <c r="R107" s="1326" t="s">
        <v>2757</v>
      </c>
      <c r="S107" s="1326" t="s">
        <v>2757</v>
      </c>
      <c r="T107" s="1326"/>
      <c r="U107" s="1326" t="s">
        <v>2758</v>
      </c>
      <c r="V107" s="1326" t="s">
        <v>2757</v>
      </c>
      <c r="W107" s="1326" t="s">
        <v>2757</v>
      </c>
      <c r="X107" s="1326"/>
      <c r="Y107" s="1326" t="s">
        <v>2757</v>
      </c>
      <c r="Z107" s="1326"/>
      <c r="AA107" s="1326"/>
      <c r="AB107" s="1326" t="s">
        <v>2757</v>
      </c>
      <c r="AC107" s="1326" t="s">
        <v>2757</v>
      </c>
      <c r="AD107" s="1326" t="s">
        <v>2757</v>
      </c>
      <c r="AE107" s="1326"/>
      <c r="AF107" s="1326" t="s">
        <v>3019</v>
      </c>
      <c r="AG107" s="1326" t="s">
        <v>3020</v>
      </c>
      <c r="AH107" s="1326" t="s">
        <v>2791</v>
      </c>
      <c r="AI107" s="1326" t="s">
        <v>2762</v>
      </c>
      <c r="AJ107" s="1326" t="s">
        <v>2763</v>
      </c>
      <c r="AK107" s="1326" t="s">
        <v>2987</v>
      </c>
      <c r="AL107" s="1326" t="s">
        <v>2988</v>
      </c>
      <c r="AM107" s="1683">
        <v>100</v>
      </c>
      <c r="AN107" s="1326"/>
      <c r="AO107" s="1326"/>
      <c r="AP107" s="1326"/>
      <c r="AQ107" s="1326"/>
      <c r="AR107" s="1326"/>
      <c r="AS107" s="1326"/>
      <c r="AT107" s="1326" t="s">
        <v>2867</v>
      </c>
      <c r="AU107" s="1326" t="s">
        <v>2766</v>
      </c>
      <c r="AV107" s="1326" t="s">
        <v>3021</v>
      </c>
      <c r="AW107" s="1326"/>
      <c r="AX107" s="1326" t="s">
        <v>3022</v>
      </c>
      <c r="AY107" s="1326" t="s">
        <v>2798</v>
      </c>
      <c r="AZ107" s="1326" t="s">
        <v>282</v>
      </c>
      <c r="BA107" s="1326" t="s">
        <v>2820</v>
      </c>
      <c r="BB107" s="1326" t="s">
        <v>2757</v>
      </c>
      <c r="BC107" s="1326" t="s">
        <v>2800</v>
      </c>
      <c r="BD107" s="1326" t="s">
        <v>2773</v>
      </c>
      <c r="BE107" s="1326" t="s">
        <v>2821</v>
      </c>
      <c r="BF107" s="1326" t="s">
        <v>3026</v>
      </c>
      <c r="BG107" s="1326" t="s">
        <v>2823</v>
      </c>
      <c r="BH107" s="1326" t="s">
        <v>2024</v>
      </c>
      <c r="BI107" s="1326" t="s">
        <v>2805</v>
      </c>
      <c r="BJ107" s="1326" t="s">
        <v>2824</v>
      </c>
      <c r="BK107" s="1326" t="s">
        <v>2867</v>
      </c>
      <c r="BL107" s="1326" t="s">
        <v>2757</v>
      </c>
      <c r="BM107" s="1326" t="s">
        <v>2757</v>
      </c>
      <c r="BN107" s="1683">
        <v>0</v>
      </c>
      <c r="BO107" s="1685">
        <v>42849</v>
      </c>
      <c r="BP107" s="1685">
        <v>43708</v>
      </c>
      <c r="BQ107" s="1326" t="s">
        <v>2779</v>
      </c>
      <c r="BR107" s="1685">
        <v>46022</v>
      </c>
      <c r="BS107" s="1326" t="s">
        <v>2825</v>
      </c>
      <c r="BT107" s="1326" t="s">
        <v>3027</v>
      </c>
      <c r="BU107" s="1683">
        <v>30</v>
      </c>
      <c r="BV107" s="1683">
        <v>37862.400000000001</v>
      </c>
      <c r="BW107" s="1685">
        <v>43738</v>
      </c>
      <c r="BX107" s="1682"/>
      <c r="BY107" s="1326" t="s">
        <v>2052</v>
      </c>
      <c r="BZ107" s="1326" t="s">
        <v>2782</v>
      </c>
      <c r="CA107" s="1326" t="s">
        <v>2783</v>
      </c>
      <c r="CB107" s="1326" t="s">
        <v>2783</v>
      </c>
      <c r="CC107" s="1326" t="s">
        <v>2913</v>
      </c>
      <c r="CD107" s="1684">
        <v>148480</v>
      </c>
      <c r="CE107" s="1684">
        <v>148480</v>
      </c>
      <c r="CF107" s="1684">
        <v>126208</v>
      </c>
      <c r="CG107" s="1684">
        <v>85</v>
      </c>
      <c r="CH107" s="1684">
        <v>22272</v>
      </c>
      <c r="CI107" s="1684">
        <v>15</v>
      </c>
      <c r="CJ107" s="1684">
        <v>148480</v>
      </c>
      <c r="CK107" s="1684">
        <v>100</v>
      </c>
      <c r="CL107" s="1410" t="s">
        <v>2785</v>
      </c>
      <c r="CM107" s="1686">
        <v>42793</v>
      </c>
      <c r="CN107" s="1400"/>
      <c r="CO107" s="1326"/>
      <c r="CP107" s="1682"/>
      <c r="CQ107" s="1684">
        <v>126208</v>
      </c>
      <c r="CR107" s="1684">
        <v>126208</v>
      </c>
      <c r="CS107" s="1684">
        <v>0</v>
      </c>
      <c r="CT107" s="1326" t="s">
        <v>2785</v>
      </c>
      <c r="CU107" s="1686">
        <v>42810</v>
      </c>
      <c r="CV107" s="1684">
        <v>148480</v>
      </c>
      <c r="CW107" s="1684">
        <v>0</v>
      </c>
      <c r="CX107" s="1684">
        <v>0</v>
      </c>
      <c r="CY107" s="1684">
        <v>132503.12</v>
      </c>
      <c r="CZ107" s="1684">
        <v>14001</v>
      </c>
      <c r="DA107" s="1684">
        <v>0</v>
      </c>
      <c r="DB107" s="1684">
        <v>29</v>
      </c>
      <c r="DC107" s="1684">
        <v>1946.88</v>
      </c>
      <c r="DD107" s="1684">
        <v>148480</v>
      </c>
      <c r="DE107" s="1684">
        <v>126208</v>
      </c>
      <c r="DF107" s="1684">
        <v>126208</v>
      </c>
      <c r="DG107" s="1684">
        <v>0</v>
      </c>
      <c r="DH107" s="1684">
        <v>22272</v>
      </c>
      <c r="DI107" s="1684">
        <v>22272</v>
      </c>
      <c r="DJ107" s="1684">
        <v>0</v>
      </c>
      <c r="DK107" s="1684">
        <v>22272</v>
      </c>
      <c r="DL107" s="1684">
        <v>0</v>
      </c>
      <c r="DM107" s="1684">
        <v>0</v>
      </c>
      <c r="DN107" s="1684">
        <v>0</v>
      </c>
      <c r="DO107" s="1684">
        <v>0</v>
      </c>
      <c r="DP107" s="1684">
        <v>0</v>
      </c>
      <c r="DQ107" s="1326" t="s">
        <v>2810</v>
      </c>
      <c r="DR107" s="1684">
        <v>0</v>
      </c>
      <c r="DS107" s="1326" t="s">
        <v>2757</v>
      </c>
      <c r="DT107" s="1682"/>
      <c r="DU107" s="1326" t="s">
        <v>2785</v>
      </c>
      <c r="DV107" s="1686">
        <v>43708</v>
      </c>
    </row>
    <row r="108" spans="1:126" ht="78.75">
      <c r="A108" s="1326" t="s">
        <v>2051</v>
      </c>
      <c r="B108" s="1326" t="s">
        <v>1702</v>
      </c>
      <c r="C108" s="1326" t="s">
        <v>2564</v>
      </c>
      <c r="D108" s="1326" t="s">
        <v>2565</v>
      </c>
      <c r="E108" s="1326" t="s">
        <v>2259</v>
      </c>
      <c r="F108" s="1326" t="s">
        <v>3017</v>
      </c>
      <c r="G108" s="1326" t="s">
        <v>2566</v>
      </c>
      <c r="H108" s="1326" t="s">
        <v>2556</v>
      </c>
      <c r="I108" s="1326" t="s">
        <v>2541</v>
      </c>
      <c r="J108" s="1326" t="s">
        <v>721</v>
      </c>
      <c r="K108" s="1685">
        <v>42737</v>
      </c>
      <c r="L108" s="1685">
        <v>42825</v>
      </c>
      <c r="M108" s="1326" t="s">
        <v>313</v>
      </c>
      <c r="N108" s="1326" t="s">
        <v>2137</v>
      </c>
      <c r="O108" s="1326" t="s">
        <v>3028</v>
      </c>
      <c r="P108" s="1326" t="s">
        <v>2757</v>
      </c>
      <c r="Q108" s="1326" t="s">
        <v>1725</v>
      </c>
      <c r="R108" s="1326" t="s">
        <v>2757</v>
      </c>
      <c r="S108" s="1326" t="s">
        <v>2757</v>
      </c>
      <c r="T108" s="1326"/>
      <c r="U108" s="1326" t="s">
        <v>2758</v>
      </c>
      <c r="V108" s="1326" t="s">
        <v>2757</v>
      </c>
      <c r="W108" s="1326" t="s">
        <v>2757</v>
      </c>
      <c r="X108" s="1326"/>
      <c r="Y108" s="1326" t="s">
        <v>2757</v>
      </c>
      <c r="Z108" s="1326"/>
      <c r="AA108" s="1326"/>
      <c r="AB108" s="1326" t="s">
        <v>2757</v>
      </c>
      <c r="AC108" s="1326" t="s">
        <v>2757</v>
      </c>
      <c r="AD108" s="1326" t="s">
        <v>2757</v>
      </c>
      <c r="AE108" s="1326"/>
      <c r="AF108" s="1326" t="s">
        <v>3019</v>
      </c>
      <c r="AG108" s="1326" t="s">
        <v>3020</v>
      </c>
      <c r="AH108" s="1326" t="s">
        <v>2837</v>
      </c>
      <c r="AI108" s="1326" t="s">
        <v>2762</v>
      </c>
      <c r="AJ108" s="1326" t="s">
        <v>2763</v>
      </c>
      <c r="AK108" s="1326" t="s">
        <v>2987</v>
      </c>
      <c r="AL108" s="1326" t="s">
        <v>2988</v>
      </c>
      <c r="AM108" s="1683">
        <v>100</v>
      </c>
      <c r="AN108" s="1326"/>
      <c r="AO108" s="1326"/>
      <c r="AP108" s="1326"/>
      <c r="AQ108" s="1326"/>
      <c r="AR108" s="1326"/>
      <c r="AS108" s="1326"/>
      <c r="AT108" s="1326" t="s">
        <v>2867</v>
      </c>
      <c r="AU108" s="1326" t="s">
        <v>2766</v>
      </c>
      <c r="AV108" s="1326" t="s">
        <v>3021</v>
      </c>
      <c r="AW108" s="1326"/>
      <c r="AX108" s="1326" t="s">
        <v>3022</v>
      </c>
      <c r="AY108" s="1326" t="s">
        <v>2798</v>
      </c>
      <c r="AZ108" s="1326" t="s">
        <v>314</v>
      </c>
      <c r="BA108" s="1326" t="s">
        <v>3029</v>
      </c>
      <c r="BB108" s="1326" t="s">
        <v>2757</v>
      </c>
      <c r="BC108" s="1326" t="s">
        <v>2772</v>
      </c>
      <c r="BD108" s="1326" t="s">
        <v>2773</v>
      </c>
      <c r="BE108" s="1326" t="s">
        <v>3030</v>
      </c>
      <c r="BF108" s="1326" t="s">
        <v>3031</v>
      </c>
      <c r="BG108" s="1326" t="s">
        <v>3032</v>
      </c>
      <c r="BH108" s="1326" t="s">
        <v>2804</v>
      </c>
      <c r="BI108" s="1326" t="s">
        <v>2805</v>
      </c>
      <c r="BJ108" s="1326" t="s">
        <v>2816</v>
      </c>
      <c r="BK108" s="1326" t="s">
        <v>2867</v>
      </c>
      <c r="BL108" s="1326" t="s">
        <v>2757</v>
      </c>
      <c r="BM108" s="1326" t="s">
        <v>2757</v>
      </c>
      <c r="BN108" s="1683">
        <v>0</v>
      </c>
      <c r="BO108" s="1685">
        <v>42825</v>
      </c>
      <c r="BP108" s="1685">
        <v>43585</v>
      </c>
      <c r="BQ108" s="1326" t="s">
        <v>2779</v>
      </c>
      <c r="BR108" s="1685">
        <v>46022</v>
      </c>
      <c r="BS108" s="1326" t="s">
        <v>3024</v>
      </c>
      <c r="BT108" s="1326" t="s">
        <v>3033</v>
      </c>
      <c r="BU108" s="1683">
        <v>30</v>
      </c>
      <c r="BV108" s="1683">
        <v>43895.7</v>
      </c>
      <c r="BW108" s="1685">
        <v>43615</v>
      </c>
      <c r="BX108" s="1685">
        <v>43488</v>
      </c>
      <c r="BY108" s="1326" t="s">
        <v>2052</v>
      </c>
      <c r="BZ108" s="1326" t="s">
        <v>2782</v>
      </c>
      <c r="CA108" s="1326" t="s">
        <v>2783</v>
      </c>
      <c r="CB108" s="1326" t="s">
        <v>2783</v>
      </c>
      <c r="CC108" s="1326" t="s">
        <v>2913</v>
      </c>
      <c r="CD108" s="1684">
        <v>166081.96</v>
      </c>
      <c r="CE108" s="1684">
        <v>146319</v>
      </c>
      <c r="CF108" s="1684">
        <v>146319</v>
      </c>
      <c r="CG108" s="1684">
        <v>100</v>
      </c>
      <c r="CH108" s="1684">
        <v>0</v>
      </c>
      <c r="CI108" s="1684">
        <v>0</v>
      </c>
      <c r="CJ108" s="1684">
        <v>146319</v>
      </c>
      <c r="CK108" s="1684">
        <v>100</v>
      </c>
      <c r="CL108" s="1410" t="s">
        <v>2785</v>
      </c>
      <c r="CM108" s="1686">
        <v>42793</v>
      </c>
      <c r="CN108" s="1400"/>
      <c r="CO108" s="1326"/>
      <c r="CP108" s="1682"/>
      <c r="CQ108" s="1684">
        <v>146319</v>
      </c>
      <c r="CR108" s="1684">
        <v>124371.15</v>
      </c>
      <c r="CS108" s="1684">
        <v>21947.85</v>
      </c>
      <c r="CT108" s="1326" t="s">
        <v>2785</v>
      </c>
      <c r="CU108" s="1686">
        <v>42807</v>
      </c>
      <c r="CV108" s="1684">
        <v>146319</v>
      </c>
      <c r="CW108" s="1684">
        <v>0</v>
      </c>
      <c r="CX108" s="1684">
        <v>0</v>
      </c>
      <c r="CY108" s="1684">
        <v>129132.83</v>
      </c>
      <c r="CZ108" s="1684">
        <v>15285.67</v>
      </c>
      <c r="DA108" s="1684">
        <v>0</v>
      </c>
      <c r="DB108" s="1684">
        <v>25</v>
      </c>
      <c r="DC108" s="1684">
        <v>1875.5</v>
      </c>
      <c r="DD108" s="1684">
        <v>146319</v>
      </c>
      <c r="DE108" s="1684">
        <v>146319</v>
      </c>
      <c r="DF108" s="1684">
        <v>124371.15</v>
      </c>
      <c r="DG108" s="1684">
        <v>21947.85</v>
      </c>
      <c r="DH108" s="1684">
        <v>0</v>
      </c>
      <c r="DI108" s="1684">
        <v>0</v>
      </c>
      <c r="DJ108" s="1684">
        <v>0</v>
      </c>
      <c r="DK108" s="1684">
        <v>0</v>
      </c>
      <c r="DL108" s="1684">
        <v>0</v>
      </c>
      <c r="DM108" s="1684">
        <v>0</v>
      </c>
      <c r="DN108" s="1684">
        <v>0</v>
      </c>
      <c r="DO108" s="1684">
        <v>0</v>
      </c>
      <c r="DP108" s="1684">
        <v>0</v>
      </c>
      <c r="DQ108" s="1326" t="s">
        <v>2810</v>
      </c>
      <c r="DR108" s="1684">
        <v>0</v>
      </c>
      <c r="DS108" s="1326" t="s">
        <v>2757</v>
      </c>
      <c r="DT108" s="1682"/>
      <c r="DU108" s="1326" t="s">
        <v>2785</v>
      </c>
      <c r="DV108" s="1686">
        <v>43585</v>
      </c>
    </row>
    <row r="109" spans="1:126" ht="45">
      <c r="A109" s="1326" t="s">
        <v>2052</v>
      </c>
      <c r="B109" s="1326" t="s">
        <v>1702</v>
      </c>
      <c r="C109" s="1326" t="s">
        <v>2564</v>
      </c>
      <c r="D109" s="1326" t="s">
        <v>2565</v>
      </c>
      <c r="E109" s="1326" t="s">
        <v>2259</v>
      </c>
      <c r="F109" s="1326" t="s">
        <v>3017</v>
      </c>
      <c r="G109" s="1326" t="s">
        <v>2566</v>
      </c>
      <c r="H109" s="1326" t="s">
        <v>2556</v>
      </c>
      <c r="I109" s="1326" t="s">
        <v>2541</v>
      </c>
      <c r="J109" s="1326" t="s">
        <v>722</v>
      </c>
      <c r="K109" s="1685">
        <v>42738</v>
      </c>
      <c r="L109" s="1685">
        <v>42888</v>
      </c>
      <c r="M109" s="1326" t="s">
        <v>311</v>
      </c>
      <c r="N109" s="1326" t="s">
        <v>2061</v>
      </c>
      <c r="O109" s="1326" t="s">
        <v>3034</v>
      </c>
      <c r="P109" s="1326" t="s">
        <v>2757</v>
      </c>
      <c r="Q109" s="1326" t="s">
        <v>1724</v>
      </c>
      <c r="R109" s="1326" t="s">
        <v>2757</v>
      </c>
      <c r="S109" s="1326" t="s">
        <v>2757</v>
      </c>
      <c r="T109" s="1326"/>
      <c r="U109" s="1326" t="s">
        <v>2758</v>
      </c>
      <c r="V109" s="1326" t="s">
        <v>2757</v>
      </c>
      <c r="W109" s="1326" t="s">
        <v>2757</v>
      </c>
      <c r="X109" s="1326"/>
      <c r="Y109" s="1326" t="s">
        <v>2757</v>
      </c>
      <c r="Z109" s="1326"/>
      <c r="AA109" s="1326"/>
      <c r="AB109" s="1326" t="s">
        <v>2757</v>
      </c>
      <c r="AC109" s="1326" t="s">
        <v>2757</v>
      </c>
      <c r="AD109" s="1326" t="s">
        <v>2757</v>
      </c>
      <c r="AE109" s="1326"/>
      <c r="AF109" s="1326" t="s">
        <v>3019</v>
      </c>
      <c r="AG109" s="1326" t="s">
        <v>3020</v>
      </c>
      <c r="AH109" s="1326" t="s">
        <v>2791</v>
      </c>
      <c r="AI109" s="1326" t="s">
        <v>2762</v>
      </c>
      <c r="AJ109" s="1326" t="s">
        <v>2763</v>
      </c>
      <c r="AK109" s="1326" t="s">
        <v>2987</v>
      </c>
      <c r="AL109" s="1326" t="s">
        <v>2988</v>
      </c>
      <c r="AM109" s="1683">
        <v>100</v>
      </c>
      <c r="AN109" s="1326"/>
      <c r="AO109" s="1326"/>
      <c r="AP109" s="1326"/>
      <c r="AQ109" s="1326"/>
      <c r="AR109" s="1326"/>
      <c r="AS109" s="1326"/>
      <c r="AT109" s="1326" t="s">
        <v>2867</v>
      </c>
      <c r="AU109" s="1326" t="s">
        <v>2766</v>
      </c>
      <c r="AV109" s="1326" t="s">
        <v>3021</v>
      </c>
      <c r="AW109" s="1326"/>
      <c r="AX109" s="1326" t="s">
        <v>3022</v>
      </c>
      <c r="AY109" s="1326" t="s">
        <v>2798</v>
      </c>
      <c r="AZ109" s="1326" t="s">
        <v>184</v>
      </c>
      <c r="BA109" s="1326" t="s">
        <v>2828</v>
      </c>
      <c r="BB109" s="1326" t="s">
        <v>2757</v>
      </c>
      <c r="BC109" s="1326" t="s">
        <v>2800</v>
      </c>
      <c r="BD109" s="1326" t="s">
        <v>2773</v>
      </c>
      <c r="BE109" s="1326" t="s">
        <v>2954</v>
      </c>
      <c r="BF109" s="1326" t="s">
        <v>3035</v>
      </c>
      <c r="BG109" s="1326" t="s">
        <v>2831</v>
      </c>
      <c r="BH109" s="1326" t="s">
        <v>2024</v>
      </c>
      <c r="BI109" s="1326" t="s">
        <v>2805</v>
      </c>
      <c r="BJ109" s="1326" t="s">
        <v>2832</v>
      </c>
      <c r="BK109" s="1326" t="s">
        <v>2867</v>
      </c>
      <c r="BL109" s="1326" t="s">
        <v>2757</v>
      </c>
      <c r="BM109" s="1326" t="s">
        <v>2757</v>
      </c>
      <c r="BN109" s="1683">
        <v>0</v>
      </c>
      <c r="BO109" s="1685">
        <v>42888</v>
      </c>
      <c r="BP109" s="1685">
        <v>43616</v>
      </c>
      <c r="BQ109" s="1326" t="s">
        <v>2779</v>
      </c>
      <c r="BR109" s="1685">
        <v>46022</v>
      </c>
      <c r="BS109" s="1326" t="s">
        <v>2807</v>
      </c>
      <c r="BT109" s="1326" t="s">
        <v>3036</v>
      </c>
      <c r="BU109" s="1683">
        <v>30</v>
      </c>
      <c r="BV109" s="1683">
        <v>48030</v>
      </c>
      <c r="BW109" s="1685">
        <v>43646</v>
      </c>
      <c r="BX109" s="1682"/>
      <c r="BY109" s="1326" t="s">
        <v>2052</v>
      </c>
      <c r="BZ109" s="1326" t="s">
        <v>2782</v>
      </c>
      <c r="CA109" s="1326" t="s">
        <v>2783</v>
      </c>
      <c r="CB109" s="1326" t="s">
        <v>2783</v>
      </c>
      <c r="CC109" s="1326" t="s">
        <v>2913</v>
      </c>
      <c r="CD109" s="1684">
        <v>188353</v>
      </c>
      <c r="CE109" s="1684">
        <v>188353</v>
      </c>
      <c r="CF109" s="1684">
        <v>160100</v>
      </c>
      <c r="CG109" s="1684">
        <v>85</v>
      </c>
      <c r="CH109" s="1684">
        <v>28253</v>
      </c>
      <c r="CI109" s="1684">
        <v>15</v>
      </c>
      <c r="CJ109" s="1684">
        <v>188353</v>
      </c>
      <c r="CK109" s="1684">
        <v>100</v>
      </c>
      <c r="CL109" s="1410" t="s">
        <v>2785</v>
      </c>
      <c r="CM109" s="1686">
        <v>42795</v>
      </c>
      <c r="CN109" s="1400"/>
      <c r="CO109" s="1326"/>
      <c r="CP109" s="1682"/>
      <c r="CQ109" s="1684">
        <v>160100</v>
      </c>
      <c r="CR109" s="1684">
        <v>160100</v>
      </c>
      <c r="CS109" s="1684">
        <v>0</v>
      </c>
      <c r="CT109" s="1326" t="s">
        <v>2785</v>
      </c>
      <c r="CU109" s="1686">
        <v>42859</v>
      </c>
      <c r="CV109" s="1684">
        <v>188353</v>
      </c>
      <c r="CW109" s="1684">
        <v>0</v>
      </c>
      <c r="CX109" s="1684">
        <v>0</v>
      </c>
      <c r="CY109" s="1684">
        <v>175184.49</v>
      </c>
      <c r="CZ109" s="1684">
        <v>10827.63</v>
      </c>
      <c r="DA109" s="1684">
        <v>0</v>
      </c>
      <c r="DB109" s="1684">
        <v>354.95</v>
      </c>
      <c r="DC109" s="1684">
        <v>1985.93</v>
      </c>
      <c r="DD109" s="1684">
        <v>188353</v>
      </c>
      <c r="DE109" s="1684">
        <v>160100</v>
      </c>
      <c r="DF109" s="1684">
        <v>160100</v>
      </c>
      <c r="DG109" s="1684">
        <v>0</v>
      </c>
      <c r="DH109" s="1684">
        <v>28253</v>
      </c>
      <c r="DI109" s="1684">
        <v>28253</v>
      </c>
      <c r="DJ109" s="1684">
        <v>0</v>
      </c>
      <c r="DK109" s="1684">
        <v>28253</v>
      </c>
      <c r="DL109" s="1684">
        <v>0</v>
      </c>
      <c r="DM109" s="1684">
        <v>0</v>
      </c>
      <c r="DN109" s="1684">
        <v>0</v>
      </c>
      <c r="DO109" s="1684">
        <v>0</v>
      </c>
      <c r="DP109" s="1684">
        <v>0</v>
      </c>
      <c r="DQ109" s="1326" t="s">
        <v>2810</v>
      </c>
      <c r="DR109" s="1684">
        <v>0</v>
      </c>
      <c r="DS109" s="1326" t="s">
        <v>2757</v>
      </c>
      <c r="DT109" s="1682"/>
      <c r="DU109" s="1326" t="s">
        <v>2785</v>
      </c>
      <c r="DV109" s="1686">
        <v>43616</v>
      </c>
    </row>
    <row r="110" spans="1:126" ht="45">
      <c r="A110" s="1326" t="s">
        <v>2105</v>
      </c>
      <c r="B110" s="1326" t="s">
        <v>1702</v>
      </c>
      <c r="C110" s="1326" t="s">
        <v>2564</v>
      </c>
      <c r="D110" s="1326" t="s">
        <v>2565</v>
      </c>
      <c r="E110" s="1326" t="s">
        <v>2259</v>
      </c>
      <c r="F110" s="1326" t="s">
        <v>3017</v>
      </c>
      <c r="G110" s="1326" t="s">
        <v>2566</v>
      </c>
      <c r="H110" s="1326" t="s">
        <v>2556</v>
      </c>
      <c r="I110" s="1326" t="s">
        <v>2541</v>
      </c>
      <c r="J110" s="1326" t="s">
        <v>723</v>
      </c>
      <c r="K110" s="1685">
        <v>42766</v>
      </c>
      <c r="L110" s="1685">
        <v>42936</v>
      </c>
      <c r="M110" s="1326" t="s">
        <v>217</v>
      </c>
      <c r="N110" s="1326" t="s">
        <v>2137</v>
      </c>
      <c r="O110" s="1326" t="s">
        <v>3037</v>
      </c>
      <c r="P110" s="1326" t="s">
        <v>2757</v>
      </c>
      <c r="Q110" s="1326" t="s">
        <v>1722</v>
      </c>
      <c r="R110" s="1326" t="s">
        <v>2757</v>
      </c>
      <c r="S110" s="1326" t="s">
        <v>2757</v>
      </c>
      <c r="T110" s="1326"/>
      <c r="U110" s="1326" t="s">
        <v>2758</v>
      </c>
      <c r="V110" s="1326" t="s">
        <v>2757</v>
      </c>
      <c r="W110" s="1326" t="s">
        <v>2785</v>
      </c>
      <c r="X110" s="1326"/>
      <c r="Y110" s="1326" t="s">
        <v>2757</v>
      </c>
      <c r="Z110" s="1326"/>
      <c r="AA110" s="1326"/>
      <c r="AB110" s="1326" t="s">
        <v>2757</v>
      </c>
      <c r="AC110" s="1326" t="s">
        <v>2757</v>
      </c>
      <c r="AD110" s="1326" t="s">
        <v>2757</v>
      </c>
      <c r="AE110" s="1326"/>
      <c r="AF110" s="1326" t="s">
        <v>3019</v>
      </c>
      <c r="AG110" s="1326" t="s">
        <v>3020</v>
      </c>
      <c r="AH110" s="1326" t="s">
        <v>2791</v>
      </c>
      <c r="AI110" s="1326" t="s">
        <v>2762</v>
      </c>
      <c r="AJ110" s="1326" t="s">
        <v>2763</v>
      </c>
      <c r="AK110" s="1326" t="s">
        <v>2987</v>
      </c>
      <c r="AL110" s="1326" t="s">
        <v>2988</v>
      </c>
      <c r="AM110" s="1683">
        <v>100</v>
      </c>
      <c r="AN110" s="1326"/>
      <c r="AO110" s="1326"/>
      <c r="AP110" s="1326"/>
      <c r="AQ110" s="1326"/>
      <c r="AR110" s="1326"/>
      <c r="AS110" s="1326"/>
      <c r="AT110" s="1326" t="s">
        <v>2766</v>
      </c>
      <c r="AU110" s="1326" t="s">
        <v>2766</v>
      </c>
      <c r="AV110" s="1326" t="s">
        <v>3021</v>
      </c>
      <c r="AW110" s="1326"/>
      <c r="AX110" s="1326" t="s">
        <v>3022</v>
      </c>
      <c r="AY110" s="1326" t="s">
        <v>2798</v>
      </c>
      <c r="AZ110" s="1326" t="s">
        <v>345</v>
      </c>
      <c r="BA110" s="1326" t="s">
        <v>2799</v>
      </c>
      <c r="BB110" s="1326" t="s">
        <v>2757</v>
      </c>
      <c r="BC110" s="1326" t="s">
        <v>2800</v>
      </c>
      <c r="BD110" s="1326" t="s">
        <v>2773</v>
      </c>
      <c r="BE110" s="1326" t="s">
        <v>2801</v>
      </c>
      <c r="BF110" s="1326" t="s">
        <v>3038</v>
      </c>
      <c r="BG110" s="1326" t="s">
        <v>2939</v>
      </c>
      <c r="BH110" s="1326" t="s">
        <v>2024</v>
      </c>
      <c r="BI110" s="1326" t="s">
        <v>2805</v>
      </c>
      <c r="BJ110" s="1326" t="s">
        <v>2806</v>
      </c>
      <c r="BK110" s="1326" t="s">
        <v>2766</v>
      </c>
      <c r="BL110" s="1326" t="s">
        <v>2757</v>
      </c>
      <c r="BM110" s="1326" t="s">
        <v>2757</v>
      </c>
      <c r="BN110" s="1683">
        <v>0</v>
      </c>
      <c r="BO110" s="1685">
        <v>42936</v>
      </c>
      <c r="BP110" s="1685">
        <v>43616</v>
      </c>
      <c r="BQ110" s="1326" t="s">
        <v>2779</v>
      </c>
      <c r="BR110" s="1685">
        <v>46022</v>
      </c>
      <c r="BS110" s="1326" t="s">
        <v>2807</v>
      </c>
      <c r="BT110" s="1326" t="s">
        <v>3039</v>
      </c>
      <c r="BU110" s="1683">
        <v>30</v>
      </c>
      <c r="BV110" s="1683">
        <v>103908.3</v>
      </c>
      <c r="BW110" s="1685">
        <v>43646</v>
      </c>
      <c r="BX110" s="1685">
        <v>43444</v>
      </c>
      <c r="BY110" s="1326" t="s">
        <v>2052</v>
      </c>
      <c r="BZ110" s="1326" t="s">
        <v>2782</v>
      </c>
      <c r="CA110" s="1326" t="s">
        <v>2783</v>
      </c>
      <c r="CB110" s="1326" t="s">
        <v>2783</v>
      </c>
      <c r="CC110" s="1326" t="s">
        <v>2913</v>
      </c>
      <c r="CD110" s="1684">
        <v>637900.55000000005</v>
      </c>
      <c r="CE110" s="1684">
        <v>637900.55000000005</v>
      </c>
      <c r="CF110" s="1684">
        <v>346361</v>
      </c>
      <c r="CG110" s="1684">
        <v>54.3</v>
      </c>
      <c r="CH110" s="1684">
        <v>291539.55</v>
      </c>
      <c r="CI110" s="1684">
        <v>45.7</v>
      </c>
      <c r="CJ110" s="1684">
        <v>637900.55000000005</v>
      </c>
      <c r="CK110" s="1684">
        <v>100</v>
      </c>
      <c r="CL110" s="1410" t="s">
        <v>2785</v>
      </c>
      <c r="CM110" s="1686">
        <v>42823</v>
      </c>
      <c r="CN110" s="1400"/>
      <c r="CO110" s="1326"/>
      <c r="CP110" s="1682"/>
      <c r="CQ110" s="1684">
        <v>346361</v>
      </c>
      <c r="CR110" s="1684">
        <v>346361</v>
      </c>
      <c r="CS110" s="1684">
        <v>0</v>
      </c>
      <c r="CT110" s="1326" t="s">
        <v>2785</v>
      </c>
      <c r="CU110" s="1686">
        <v>42837</v>
      </c>
      <c r="CV110" s="1684">
        <v>600732.80000000005</v>
      </c>
      <c r="CW110" s="1684">
        <v>0</v>
      </c>
      <c r="CX110" s="1684">
        <v>0</v>
      </c>
      <c r="CY110" s="1684">
        <v>596397.66</v>
      </c>
      <c r="CZ110" s="1684">
        <v>0</v>
      </c>
      <c r="DA110" s="1684">
        <v>0</v>
      </c>
      <c r="DB110" s="1684">
        <v>100</v>
      </c>
      <c r="DC110" s="1684">
        <v>4235.1400000000003</v>
      </c>
      <c r="DD110" s="1684">
        <v>600732.80000000005</v>
      </c>
      <c r="DE110" s="1684">
        <v>346361</v>
      </c>
      <c r="DF110" s="1684">
        <v>346361</v>
      </c>
      <c r="DG110" s="1684">
        <v>0</v>
      </c>
      <c r="DH110" s="1684">
        <v>254371.8</v>
      </c>
      <c r="DI110" s="1684">
        <v>254371.8</v>
      </c>
      <c r="DJ110" s="1684">
        <v>0</v>
      </c>
      <c r="DK110" s="1684">
        <v>254371.8</v>
      </c>
      <c r="DL110" s="1684">
        <v>0</v>
      </c>
      <c r="DM110" s="1684">
        <v>0</v>
      </c>
      <c r="DN110" s="1684">
        <v>0</v>
      </c>
      <c r="DO110" s="1684">
        <v>0</v>
      </c>
      <c r="DP110" s="1684">
        <v>0</v>
      </c>
      <c r="DQ110" s="1326" t="s">
        <v>2810</v>
      </c>
      <c r="DR110" s="1684">
        <v>0</v>
      </c>
      <c r="DS110" s="1326" t="s">
        <v>2757</v>
      </c>
      <c r="DT110" s="1682"/>
      <c r="DU110" s="1326" t="s">
        <v>2785</v>
      </c>
      <c r="DV110" s="1686">
        <v>43616</v>
      </c>
    </row>
    <row r="111" spans="1:126">
      <c r="A111" s="1326" t="s">
        <v>2106</v>
      </c>
      <c r="B111" s="1326" t="s">
        <v>1702</v>
      </c>
      <c r="C111" s="1326" t="s">
        <v>2564</v>
      </c>
      <c r="D111" s="1326" t="s">
        <v>2567</v>
      </c>
      <c r="E111" s="1326"/>
      <c r="F111" s="1326"/>
      <c r="G111" s="1326"/>
      <c r="H111" s="1326"/>
      <c r="I111" s="1326"/>
      <c r="J111" s="1326"/>
      <c r="K111" s="1682"/>
      <c r="L111" s="1682"/>
      <c r="M111" s="1326"/>
      <c r="N111" s="1326"/>
      <c r="O111" s="1326"/>
      <c r="P111" s="1326"/>
      <c r="Q111" s="1326"/>
      <c r="R111" s="1326"/>
      <c r="S111" s="1326"/>
      <c r="T111" s="1326"/>
      <c r="U111" s="1326"/>
      <c r="V111" s="1326"/>
      <c r="W111" s="1326"/>
      <c r="X111" s="1326"/>
      <c r="Y111" s="1326"/>
      <c r="Z111" s="1326"/>
      <c r="AA111" s="1326"/>
      <c r="AB111" s="1326"/>
      <c r="AC111" s="1326"/>
      <c r="AD111" s="1326"/>
      <c r="AE111" s="1326"/>
      <c r="AF111" s="1326"/>
      <c r="AG111" s="1326"/>
      <c r="AH111" s="1326"/>
      <c r="AI111" s="1326"/>
      <c r="AJ111" s="1326"/>
      <c r="AK111" s="1326"/>
      <c r="AL111" s="1326"/>
      <c r="AM111" s="1400"/>
      <c r="AN111" s="1326"/>
      <c r="AO111" s="1326"/>
      <c r="AP111" s="1326"/>
      <c r="AQ111" s="1326"/>
      <c r="AR111" s="1326"/>
      <c r="AS111" s="1326"/>
      <c r="AT111" s="1326"/>
      <c r="AU111" s="1326"/>
      <c r="AV111" s="1326"/>
      <c r="AW111" s="1326"/>
      <c r="AX111" s="1326"/>
      <c r="AY111" s="1326"/>
      <c r="AZ111" s="1326"/>
      <c r="BA111" s="1326"/>
      <c r="BB111" s="1326"/>
      <c r="BC111" s="1326"/>
      <c r="BD111" s="1326"/>
      <c r="BE111" s="1326"/>
      <c r="BF111" s="1326"/>
      <c r="BG111" s="1326"/>
      <c r="BH111" s="1326"/>
      <c r="BI111" s="1326"/>
      <c r="BJ111" s="1326"/>
      <c r="BK111" s="1326"/>
      <c r="BL111" s="1326"/>
      <c r="BM111" s="1326"/>
      <c r="BN111" s="1400"/>
      <c r="BO111" s="1682"/>
      <c r="BP111" s="1682"/>
      <c r="BQ111" s="1326"/>
      <c r="BR111" s="1682"/>
      <c r="BS111" s="1326"/>
      <c r="BT111" s="1326"/>
      <c r="BU111" s="1400"/>
      <c r="BV111" s="1683">
        <v>756292.1</v>
      </c>
      <c r="BW111" s="1682"/>
      <c r="BX111" s="1682"/>
      <c r="BY111" s="1326"/>
      <c r="BZ111" s="1326"/>
      <c r="CA111" s="1326"/>
      <c r="CB111" s="1326"/>
      <c r="CC111" s="1326"/>
      <c r="CD111" s="1684">
        <v>2968553.36</v>
      </c>
      <c r="CE111" s="1684">
        <v>2966201.12</v>
      </c>
      <c r="CF111" s="1684">
        <v>2520973.65</v>
      </c>
      <c r="CG111" s="1684">
        <v>84.99</v>
      </c>
      <c r="CH111" s="1684">
        <v>445227.47</v>
      </c>
      <c r="CI111" s="1684">
        <v>15.01</v>
      </c>
      <c r="CJ111" s="1684">
        <v>2966201.12</v>
      </c>
      <c r="CK111" s="1684">
        <v>100</v>
      </c>
      <c r="CL111" s="1410"/>
      <c r="CM111" s="1682"/>
      <c r="CN111" s="1400"/>
      <c r="CO111" s="1326"/>
      <c r="CP111" s="1682"/>
      <c r="CQ111" s="1684">
        <v>2520973.64</v>
      </c>
      <c r="CR111" s="1684">
        <v>2520973.64</v>
      </c>
      <c r="CS111" s="1684">
        <v>0</v>
      </c>
      <c r="CT111" s="1326"/>
      <c r="CU111" s="1682"/>
      <c r="CV111" s="1684">
        <v>2966201.12</v>
      </c>
      <c r="CW111" s="1684">
        <v>0</v>
      </c>
      <c r="CX111" s="1684">
        <v>2404440.48</v>
      </c>
      <c r="CY111" s="1684">
        <v>517764.94</v>
      </c>
      <c r="CZ111" s="1684">
        <v>11236.52</v>
      </c>
      <c r="DA111" s="1684">
        <v>11374</v>
      </c>
      <c r="DB111" s="1684">
        <v>1759.04</v>
      </c>
      <c r="DC111" s="1684">
        <v>19626.14</v>
      </c>
      <c r="DD111" s="1684">
        <v>2966201.12</v>
      </c>
      <c r="DE111" s="1684">
        <v>2520973.64</v>
      </c>
      <c r="DF111" s="1684">
        <v>2520973.64</v>
      </c>
      <c r="DG111" s="1684">
        <v>0</v>
      </c>
      <c r="DH111" s="1684">
        <v>445227.48</v>
      </c>
      <c r="DI111" s="1684">
        <v>445227.48</v>
      </c>
      <c r="DJ111" s="1684">
        <v>0</v>
      </c>
      <c r="DK111" s="1684">
        <v>445227.48</v>
      </c>
      <c r="DL111" s="1684">
        <v>0</v>
      </c>
      <c r="DM111" s="1684">
        <v>0</v>
      </c>
      <c r="DN111" s="1684">
        <v>0</v>
      </c>
      <c r="DO111" s="1684">
        <v>0</v>
      </c>
      <c r="DP111" s="1684">
        <v>0</v>
      </c>
      <c r="DQ111" s="1326"/>
      <c r="DR111" s="1400"/>
      <c r="DS111" s="1326"/>
      <c r="DT111" s="1682"/>
      <c r="DU111" s="1326"/>
      <c r="DV111" s="1682"/>
    </row>
    <row r="112" spans="1:126">
      <c r="A112" s="1326" t="s">
        <v>2107</v>
      </c>
      <c r="B112" s="1326" t="s">
        <v>1702</v>
      </c>
      <c r="C112" s="1326" t="s">
        <v>2564</v>
      </c>
      <c r="D112" s="1326" t="s">
        <v>2567</v>
      </c>
      <c r="E112" s="1326" t="s">
        <v>2293</v>
      </c>
      <c r="F112" s="1326" t="s">
        <v>263</v>
      </c>
      <c r="G112" s="1326"/>
      <c r="H112" s="1326"/>
      <c r="I112" s="1326"/>
      <c r="J112" s="1326"/>
      <c r="K112" s="1682"/>
      <c r="L112" s="1682"/>
      <c r="M112" s="1326"/>
      <c r="N112" s="1326"/>
      <c r="O112" s="1326"/>
      <c r="P112" s="1326"/>
      <c r="Q112" s="1326"/>
      <c r="R112" s="1326"/>
      <c r="S112" s="1326"/>
      <c r="T112" s="1326"/>
      <c r="U112" s="1326"/>
      <c r="V112" s="1326"/>
      <c r="W112" s="1326"/>
      <c r="X112" s="1326"/>
      <c r="Y112" s="1326"/>
      <c r="Z112" s="1326"/>
      <c r="AA112" s="1326"/>
      <c r="AB112" s="1326"/>
      <c r="AC112" s="1326"/>
      <c r="AD112" s="1326"/>
      <c r="AE112" s="1326"/>
      <c r="AF112" s="1326"/>
      <c r="AG112" s="1326"/>
      <c r="AH112" s="1326"/>
      <c r="AI112" s="1326"/>
      <c r="AJ112" s="1326"/>
      <c r="AK112" s="1326"/>
      <c r="AL112" s="1326"/>
      <c r="AM112" s="1400"/>
      <c r="AN112" s="1326"/>
      <c r="AO112" s="1326"/>
      <c r="AP112" s="1326"/>
      <c r="AQ112" s="1326"/>
      <c r="AR112" s="1326"/>
      <c r="AS112" s="1326"/>
      <c r="AT112" s="1326"/>
      <c r="AU112" s="1326"/>
      <c r="AV112" s="1326"/>
      <c r="AW112" s="1326"/>
      <c r="AX112" s="1326"/>
      <c r="AY112" s="1326"/>
      <c r="AZ112" s="1326"/>
      <c r="BA112" s="1326"/>
      <c r="BB112" s="1326"/>
      <c r="BC112" s="1326"/>
      <c r="BD112" s="1326"/>
      <c r="BE112" s="1326"/>
      <c r="BF112" s="1326"/>
      <c r="BG112" s="1326"/>
      <c r="BH112" s="1326"/>
      <c r="BI112" s="1326"/>
      <c r="BJ112" s="1326"/>
      <c r="BK112" s="1326"/>
      <c r="BL112" s="1326"/>
      <c r="BM112" s="1326"/>
      <c r="BN112" s="1400"/>
      <c r="BO112" s="1682"/>
      <c r="BP112" s="1682"/>
      <c r="BQ112" s="1326"/>
      <c r="BR112" s="1682"/>
      <c r="BS112" s="1326"/>
      <c r="BT112" s="1326"/>
      <c r="BU112" s="1400"/>
      <c r="BV112" s="1683">
        <v>756292.1</v>
      </c>
      <c r="BW112" s="1682"/>
      <c r="BX112" s="1682"/>
      <c r="BY112" s="1326"/>
      <c r="BZ112" s="1326"/>
      <c r="CA112" s="1326"/>
      <c r="CB112" s="1326"/>
      <c r="CC112" s="1326"/>
      <c r="CD112" s="1684">
        <v>2968553.36</v>
      </c>
      <c r="CE112" s="1684">
        <v>2966201.12</v>
      </c>
      <c r="CF112" s="1684">
        <v>2520973.65</v>
      </c>
      <c r="CG112" s="1684">
        <v>84.99</v>
      </c>
      <c r="CH112" s="1684">
        <v>445227.47</v>
      </c>
      <c r="CI112" s="1684">
        <v>15.01</v>
      </c>
      <c r="CJ112" s="1684">
        <v>2966201.12</v>
      </c>
      <c r="CK112" s="1684">
        <v>100</v>
      </c>
      <c r="CL112" s="1410"/>
      <c r="CM112" s="1682"/>
      <c r="CN112" s="1400"/>
      <c r="CO112" s="1326"/>
      <c r="CP112" s="1682"/>
      <c r="CQ112" s="1684">
        <v>2520973.64</v>
      </c>
      <c r="CR112" s="1684">
        <v>2520973.64</v>
      </c>
      <c r="CS112" s="1684">
        <v>0</v>
      </c>
      <c r="CT112" s="1326"/>
      <c r="CU112" s="1682"/>
      <c r="CV112" s="1684">
        <v>2966201.12</v>
      </c>
      <c r="CW112" s="1684">
        <v>0</v>
      </c>
      <c r="CX112" s="1684">
        <v>2404440.48</v>
      </c>
      <c r="CY112" s="1684">
        <v>517764.94</v>
      </c>
      <c r="CZ112" s="1684">
        <v>11236.52</v>
      </c>
      <c r="DA112" s="1684">
        <v>11374</v>
      </c>
      <c r="DB112" s="1684">
        <v>1759.04</v>
      </c>
      <c r="DC112" s="1684">
        <v>19626.14</v>
      </c>
      <c r="DD112" s="1684">
        <v>2966201.12</v>
      </c>
      <c r="DE112" s="1684">
        <v>2520973.64</v>
      </c>
      <c r="DF112" s="1684">
        <v>2520973.64</v>
      </c>
      <c r="DG112" s="1684">
        <v>0</v>
      </c>
      <c r="DH112" s="1684">
        <v>445227.48</v>
      </c>
      <c r="DI112" s="1684">
        <v>445227.48</v>
      </c>
      <c r="DJ112" s="1684">
        <v>0</v>
      </c>
      <c r="DK112" s="1684">
        <v>445227.48</v>
      </c>
      <c r="DL112" s="1684">
        <v>0</v>
      </c>
      <c r="DM112" s="1684">
        <v>0</v>
      </c>
      <c r="DN112" s="1684">
        <v>0</v>
      </c>
      <c r="DO112" s="1684">
        <v>0</v>
      </c>
      <c r="DP112" s="1684">
        <v>0</v>
      </c>
      <c r="DQ112" s="1326"/>
      <c r="DR112" s="1400"/>
      <c r="DS112" s="1326"/>
      <c r="DT112" s="1682"/>
      <c r="DU112" s="1326"/>
      <c r="DV112" s="1682"/>
    </row>
    <row r="113" spans="1:126" ht="45">
      <c r="A113" s="1326" t="s">
        <v>2053</v>
      </c>
      <c r="B113" s="1326" t="s">
        <v>1702</v>
      </c>
      <c r="C113" s="1326" t="s">
        <v>2564</v>
      </c>
      <c r="D113" s="1326" t="s">
        <v>2567</v>
      </c>
      <c r="E113" s="1326" t="s">
        <v>2293</v>
      </c>
      <c r="F113" s="1326" t="s">
        <v>263</v>
      </c>
      <c r="G113" s="1326" t="s">
        <v>2566</v>
      </c>
      <c r="H113" s="1326" t="s">
        <v>2556</v>
      </c>
      <c r="I113" s="1326" t="s">
        <v>2541</v>
      </c>
      <c r="J113" s="1326" t="s">
        <v>724</v>
      </c>
      <c r="K113" s="1685">
        <v>42506</v>
      </c>
      <c r="L113" s="1685">
        <v>42605</v>
      </c>
      <c r="M113" s="1326" t="s">
        <v>277</v>
      </c>
      <c r="N113" s="1326" t="s">
        <v>2061</v>
      </c>
      <c r="O113" s="1326" t="s">
        <v>4371</v>
      </c>
      <c r="P113" s="1326" t="s">
        <v>2757</v>
      </c>
      <c r="Q113" s="1326" t="s">
        <v>1736</v>
      </c>
      <c r="R113" s="1326" t="s">
        <v>2757</v>
      </c>
      <c r="S113" s="1326" t="s">
        <v>2757</v>
      </c>
      <c r="T113" s="1326"/>
      <c r="U113" s="1326" t="s">
        <v>2758</v>
      </c>
      <c r="V113" s="1326" t="s">
        <v>2757</v>
      </c>
      <c r="W113" s="1326" t="s">
        <v>2757</v>
      </c>
      <c r="X113" s="1326"/>
      <c r="Y113" s="1326" t="s">
        <v>2757</v>
      </c>
      <c r="Z113" s="1326"/>
      <c r="AA113" s="1326"/>
      <c r="AB113" s="1326" t="s">
        <v>2757</v>
      </c>
      <c r="AC113" s="1326" t="s">
        <v>2757</v>
      </c>
      <c r="AD113" s="1326" t="s">
        <v>2757</v>
      </c>
      <c r="AE113" s="1326"/>
      <c r="AF113" s="1326" t="s">
        <v>4251</v>
      </c>
      <c r="AG113" s="1326" t="s">
        <v>3040</v>
      </c>
      <c r="AH113" s="1326" t="s">
        <v>2791</v>
      </c>
      <c r="AI113" s="1326" t="s">
        <v>2762</v>
      </c>
      <c r="AJ113" s="1326" t="s">
        <v>2763</v>
      </c>
      <c r="AK113" s="1326" t="s">
        <v>2987</v>
      </c>
      <c r="AL113" s="1326" t="s">
        <v>3041</v>
      </c>
      <c r="AM113" s="1683">
        <v>100</v>
      </c>
      <c r="AN113" s="1326"/>
      <c r="AO113" s="1326"/>
      <c r="AP113" s="1326"/>
      <c r="AQ113" s="1326"/>
      <c r="AR113" s="1326"/>
      <c r="AS113" s="1326"/>
      <c r="AT113" s="1326" t="s">
        <v>2867</v>
      </c>
      <c r="AU113" s="1326" t="s">
        <v>2766</v>
      </c>
      <c r="AV113" s="1326" t="s">
        <v>3021</v>
      </c>
      <c r="AW113" s="1326"/>
      <c r="AX113" s="1326" t="s">
        <v>3022</v>
      </c>
      <c r="AY113" s="1326" t="s">
        <v>2798</v>
      </c>
      <c r="AZ113" s="1326" t="s">
        <v>282</v>
      </c>
      <c r="BA113" s="1326" t="s">
        <v>2820</v>
      </c>
      <c r="BB113" s="1326" t="s">
        <v>2757</v>
      </c>
      <c r="BC113" s="1326" t="s">
        <v>2800</v>
      </c>
      <c r="BD113" s="1326" t="s">
        <v>2773</v>
      </c>
      <c r="BE113" s="1326" t="s">
        <v>2942</v>
      </c>
      <c r="BF113" s="1326" t="s">
        <v>2958</v>
      </c>
      <c r="BG113" s="1326" t="s">
        <v>2944</v>
      </c>
      <c r="BH113" s="1326" t="s">
        <v>2804</v>
      </c>
      <c r="BI113" s="1326" t="s">
        <v>2805</v>
      </c>
      <c r="BJ113" s="1326" t="s">
        <v>2824</v>
      </c>
      <c r="BK113" s="1326" t="s">
        <v>2867</v>
      </c>
      <c r="BL113" s="1326" t="s">
        <v>2757</v>
      </c>
      <c r="BM113" s="1326" t="s">
        <v>2757</v>
      </c>
      <c r="BN113" s="1683">
        <v>0</v>
      </c>
      <c r="BO113" s="1685">
        <v>42296</v>
      </c>
      <c r="BP113" s="1685">
        <v>43708</v>
      </c>
      <c r="BQ113" s="1326" t="s">
        <v>2779</v>
      </c>
      <c r="BR113" s="1685">
        <v>46022</v>
      </c>
      <c r="BS113" s="1326" t="s">
        <v>3042</v>
      </c>
      <c r="BT113" s="1326" t="s">
        <v>3043</v>
      </c>
      <c r="BU113" s="1683">
        <v>30</v>
      </c>
      <c r="BV113" s="1683">
        <v>187807.2</v>
      </c>
      <c r="BW113" s="1685">
        <v>43738</v>
      </c>
      <c r="BX113" s="1682"/>
      <c r="BY113" s="1326" t="s">
        <v>2052</v>
      </c>
      <c r="BZ113" s="1326" t="s">
        <v>2782</v>
      </c>
      <c r="CA113" s="1326" t="s">
        <v>2783</v>
      </c>
      <c r="CB113" s="1326" t="s">
        <v>2783</v>
      </c>
      <c r="CC113" s="1326" t="s">
        <v>2913</v>
      </c>
      <c r="CD113" s="1684">
        <v>736499</v>
      </c>
      <c r="CE113" s="1684">
        <v>736499</v>
      </c>
      <c r="CF113" s="1684">
        <v>626024</v>
      </c>
      <c r="CG113" s="1684">
        <v>85</v>
      </c>
      <c r="CH113" s="1684">
        <v>110475</v>
      </c>
      <c r="CI113" s="1684">
        <v>15</v>
      </c>
      <c r="CJ113" s="1684">
        <v>736499</v>
      </c>
      <c r="CK113" s="1684">
        <v>100</v>
      </c>
      <c r="CL113" s="1410" t="s">
        <v>2785</v>
      </c>
      <c r="CM113" s="1686">
        <v>42562</v>
      </c>
      <c r="CN113" s="1400"/>
      <c r="CO113" s="1326"/>
      <c r="CP113" s="1682"/>
      <c r="CQ113" s="1684">
        <v>626024</v>
      </c>
      <c r="CR113" s="1684">
        <v>626024</v>
      </c>
      <c r="CS113" s="1684">
        <v>0</v>
      </c>
      <c r="CT113" s="1326" t="s">
        <v>2785</v>
      </c>
      <c r="CU113" s="1686">
        <v>42565</v>
      </c>
      <c r="CV113" s="1684">
        <v>736499</v>
      </c>
      <c r="CW113" s="1684">
        <v>0</v>
      </c>
      <c r="CX113" s="1684">
        <v>716619.48</v>
      </c>
      <c r="CY113" s="1684">
        <v>0</v>
      </c>
      <c r="CZ113" s="1684">
        <v>5470.52</v>
      </c>
      <c r="DA113" s="1684">
        <v>6655</v>
      </c>
      <c r="DB113" s="1684">
        <v>500</v>
      </c>
      <c r="DC113" s="1684">
        <v>7254</v>
      </c>
      <c r="DD113" s="1684">
        <v>736499</v>
      </c>
      <c r="DE113" s="1684">
        <v>626024</v>
      </c>
      <c r="DF113" s="1684">
        <v>626024</v>
      </c>
      <c r="DG113" s="1684">
        <v>0</v>
      </c>
      <c r="DH113" s="1684">
        <v>110475</v>
      </c>
      <c r="DI113" s="1684">
        <v>110475</v>
      </c>
      <c r="DJ113" s="1684">
        <v>0</v>
      </c>
      <c r="DK113" s="1684">
        <v>110475</v>
      </c>
      <c r="DL113" s="1684">
        <v>0</v>
      </c>
      <c r="DM113" s="1684">
        <v>0</v>
      </c>
      <c r="DN113" s="1684">
        <v>0</v>
      </c>
      <c r="DO113" s="1684">
        <v>0</v>
      </c>
      <c r="DP113" s="1684">
        <v>0</v>
      </c>
      <c r="DQ113" s="1326"/>
      <c r="DR113" s="1684">
        <v>0</v>
      </c>
      <c r="DS113" s="1326" t="s">
        <v>2757</v>
      </c>
      <c r="DT113" s="1682"/>
      <c r="DU113" s="1326" t="s">
        <v>2785</v>
      </c>
      <c r="DV113" s="1686">
        <v>43708</v>
      </c>
    </row>
    <row r="114" spans="1:126" ht="45">
      <c r="A114" s="1326" t="s">
        <v>2054</v>
      </c>
      <c r="B114" s="1326" t="s">
        <v>1702</v>
      </c>
      <c r="C114" s="1326" t="s">
        <v>2564</v>
      </c>
      <c r="D114" s="1326" t="s">
        <v>2567</v>
      </c>
      <c r="E114" s="1326" t="s">
        <v>2293</v>
      </c>
      <c r="F114" s="1326" t="s">
        <v>263</v>
      </c>
      <c r="G114" s="1326" t="s">
        <v>2566</v>
      </c>
      <c r="H114" s="1326" t="s">
        <v>2556</v>
      </c>
      <c r="I114" s="1326" t="s">
        <v>2541</v>
      </c>
      <c r="J114" s="1326" t="s">
        <v>725</v>
      </c>
      <c r="K114" s="1685">
        <v>42563</v>
      </c>
      <c r="L114" s="1685">
        <v>42599</v>
      </c>
      <c r="M114" s="1326" t="s">
        <v>219</v>
      </c>
      <c r="N114" s="1326" t="s">
        <v>2061</v>
      </c>
      <c r="O114" s="1326" t="s">
        <v>3044</v>
      </c>
      <c r="P114" s="1326" t="s">
        <v>2757</v>
      </c>
      <c r="Q114" s="1326" t="s">
        <v>1736</v>
      </c>
      <c r="R114" s="1326" t="s">
        <v>2757</v>
      </c>
      <c r="S114" s="1326" t="s">
        <v>2757</v>
      </c>
      <c r="T114" s="1326"/>
      <c r="U114" s="1326" t="s">
        <v>2758</v>
      </c>
      <c r="V114" s="1326" t="s">
        <v>2757</v>
      </c>
      <c r="W114" s="1326" t="s">
        <v>2757</v>
      </c>
      <c r="X114" s="1326"/>
      <c r="Y114" s="1326" t="s">
        <v>2757</v>
      </c>
      <c r="Z114" s="1326"/>
      <c r="AA114" s="1326"/>
      <c r="AB114" s="1326" t="s">
        <v>2757</v>
      </c>
      <c r="AC114" s="1326" t="s">
        <v>2757</v>
      </c>
      <c r="AD114" s="1326" t="s">
        <v>2757</v>
      </c>
      <c r="AE114" s="1326"/>
      <c r="AF114" s="1326" t="s">
        <v>4251</v>
      </c>
      <c r="AG114" s="1326" t="s">
        <v>3040</v>
      </c>
      <c r="AH114" s="1326" t="s">
        <v>2791</v>
      </c>
      <c r="AI114" s="1326" t="s">
        <v>2762</v>
      </c>
      <c r="AJ114" s="1326" t="s">
        <v>2763</v>
      </c>
      <c r="AK114" s="1326" t="s">
        <v>2987</v>
      </c>
      <c r="AL114" s="1326" t="s">
        <v>3041</v>
      </c>
      <c r="AM114" s="1683">
        <v>100</v>
      </c>
      <c r="AN114" s="1326"/>
      <c r="AO114" s="1326"/>
      <c r="AP114" s="1326"/>
      <c r="AQ114" s="1326"/>
      <c r="AR114" s="1326"/>
      <c r="AS114" s="1326"/>
      <c r="AT114" s="1326" t="s">
        <v>2766</v>
      </c>
      <c r="AU114" s="1326" t="s">
        <v>2766</v>
      </c>
      <c r="AV114" s="1326" t="s">
        <v>3021</v>
      </c>
      <c r="AW114" s="1326"/>
      <c r="AX114" s="1326" t="s">
        <v>3022</v>
      </c>
      <c r="AY114" s="1326" t="s">
        <v>2798</v>
      </c>
      <c r="AZ114" s="1326" t="s">
        <v>345</v>
      </c>
      <c r="BA114" s="1326" t="s">
        <v>2799</v>
      </c>
      <c r="BB114" s="1326" t="s">
        <v>2757</v>
      </c>
      <c r="BC114" s="1326" t="s">
        <v>2800</v>
      </c>
      <c r="BD114" s="1326" t="s">
        <v>2773</v>
      </c>
      <c r="BE114" s="1326" t="s">
        <v>2801</v>
      </c>
      <c r="BF114" s="1326" t="s">
        <v>2938</v>
      </c>
      <c r="BG114" s="1326" t="s">
        <v>2939</v>
      </c>
      <c r="BH114" s="1326" t="s">
        <v>2804</v>
      </c>
      <c r="BI114" s="1326" t="s">
        <v>2805</v>
      </c>
      <c r="BJ114" s="1326" t="s">
        <v>2806</v>
      </c>
      <c r="BK114" s="1326" t="s">
        <v>2766</v>
      </c>
      <c r="BL114" s="1326" t="s">
        <v>2757</v>
      </c>
      <c r="BM114" s="1326" t="s">
        <v>2757</v>
      </c>
      <c r="BN114" s="1683">
        <v>0</v>
      </c>
      <c r="BO114" s="1685">
        <v>42598</v>
      </c>
      <c r="BP114" s="1685">
        <v>43707</v>
      </c>
      <c r="BQ114" s="1326" t="s">
        <v>2779</v>
      </c>
      <c r="BR114" s="1685">
        <v>46022</v>
      </c>
      <c r="BS114" s="1326" t="s">
        <v>2807</v>
      </c>
      <c r="BT114" s="1326" t="s">
        <v>3045</v>
      </c>
      <c r="BU114" s="1683">
        <v>30</v>
      </c>
      <c r="BV114" s="1683">
        <v>227394</v>
      </c>
      <c r="BW114" s="1685">
        <v>43737</v>
      </c>
      <c r="BX114" s="1682"/>
      <c r="BY114" s="1326" t="s">
        <v>2052</v>
      </c>
      <c r="BZ114" s="1326" t="s">
        <v>2782</v>
      </c>
      <c r="CA114" s="1326" t="s">
        <v>2783</v>
      </c>
      <c r="CB114" s="1326" t="s">
        <v>2783</v>
      </c>
      <c r="CC114" s="1326" t="s">
        <v>2913</v>
      </c>
      <c r="CD114" s="1684">
        <v>894093.42</v>
      </c>
      <c r="CE114" s="1684">
        <v>891741.18</v>
      </c>
      <c r="CF114" s="1684">
        <v>757980</v>
      </c>
      <c r="CG114" s="1684">
        <v>85</v>
      </c>
      <c r="CH114" s="1684">
        <v>133761.18</v>
      </c>
      <c r="CI114" s="1684">
        <v>15</v>
      </c>
      <c r="CJ114" s="1684">
        <v>891741.18</v>
      </c>
      <c r="CK114" s="1684">
        <v>100</v>
      </c>
      <c r="CL114" s="1410" t="s">
        <v>2785</v>
      </c>
      <c r="CM114" s="1686">
        <v>42564</v>
      </c>
      <c r="CN114" s="1400"/>
      <c r="CO114" s="1326"/>
      <c r="CP114" s="1682"/>
      <c r="CQ114" s="1684">
        <v>757980</v>
      </c>
      <c r="CR114" s="1684">
        <v>757980</v>
      </c>
      <c r="CS114" s="1684">
        <v>0</v>
      </c>
      <c r="CT114" s="1326" t="s">
        <v>2785</v>
      </c>
      <c r="CU114" s="1686">
        <v>42576</v>
      </c>
      <c r="CV114" s="1684">
        <v>891741.18</v>
      </c>
      <c r="CW114" s="1684">
        <v>0</v>
      </c>
      <c r="CX114" s="1684">
        <v>884999.1</v>
      </c>
      <c r="CY114" s="1684">
        <v>0</v>
      </c>
      <c r="CZ114" s="1684">
        <v>0</v>
      </c>
      <c r="DA114" s="1684">
        <v>0</v>
      </c>
      <c r="DB114" s="1684">
        <v>1000</v>
      </c>
      <c r="DC114" s="1684">
        <v>5742.08</v>
      </c>
      <c r="DD114" s="1684">
        <v>891741.18</v>
      </c>
      <c r="DE114" s="1684">
        <v>757980</v>
      </c>
      <c r="DF114" s="1684">
        <v>757980</v>
      </c>
      <c r="DG114" s="1684">
        <v>0</v>
      </c>
      <c r="DH114" s="1684">
        <v>133761.18</v>
      </c>
      <c r="DI114" s="1684">
        <v>133761.18</v>
      </c>
      <c r="DJ114" s="1684">
        <v>0</v>
      </c>
      <c r="DK114" s="1684">
        <v>133761.18</v>
      </c>
      <c r="DL114" s="1684">
        <v>0</v>
      </c>
      <c r="DM114" s="1684">
        <v>0</v>
      </c>
      <c r="DN114" s="1684">
        <v>0</v>
      </c>
      <c r="DO114" s="1684">
        <v>0</v>
      </c>
      <c r="DP114" s="1684">
        <v>0</v>
      </c>
      <c r="DQ114" s="1326" t="s">
        <v>2810</v>
      </c>
      <c r="DR114" s="1684">
        <v>0</v>
      </c>
      <c r="DS114" s="1326" t="s">
        <v>2757</v>
      </c>
      <c r="DT114" s="1682"/>
      <c r="DU114" s="1326" t="s">
        <v>2785</v>
      </c>
      <c r="DV114" s="1686">
        <v>43707</v>
      </c>
    </row>
    <row r="115" spans="1:126" ht="78.75">
      <c r="A115" s="1326" t="s">
        <v>2109</v>
      </c>
      <c r="B115" s="1326" t="s">
        <v>1702</v>
      </c>
      <c r="C115" s="1326" t="s">
        <v>2564</v>
      </c>
      <c r="D115" s="1326" t="s">
        <v>2567</v>
      </c>
      <c r="E115" s="1326" t="s">
        <v>2293</v>
      </c>
      <c r="F115" s="1326" t="s">
        <v>263</v>
      </c>
      <c r="G115" s="1326" t="s">
        <v>2566</v>
      </c>
      <c r="H115" s="1326" t="s">
        <v>2556</v>
      </c>
      <c r="I115" s="1326" t="s">
        <v>2541</v>
      </c>
      <c r="J115" s="1326" t="s">
        <v>726</v>
      </c>
      <c r="K115" s="1685">
        <v>42515</v>
      </c>
      <c r="L115" s="1685">
        <v>42593</v>
      </c>
      <c r="M115" s="1326" t="s">
        <v>237</v>
      </c>
      <c r="N115" s="1326" t="s">
        <v>2061</v>
      </c>
      <c r="O115" s="1326" t="s">
        <v>3046</v>
      </c>
      <c r="P115" s="1326" t="s">
        <v>2757</v>
      </c>
      <c r="Q115" s="1326" t="s">
        <v>1732</v>
      </c>
      <c r="R115" s="1326" t="s">
        <v>2757</v>
      </c>
      <c r="S115" s="1326" t="s">
        <v>2757</v>
      </c>
      <c r="T115" s="1326"/>
      <c r="U115" s="1326" t="s">
        <v>2758</v>
      </c>
      <c r="V115" s="1326" t="s">
        <v>2757</v>
      </c>
      <c r="W115" s="1326" t="s">
        <v>2757</v>
      </c>
      <c r="X115" s="1326"/>
      <c r="Y115" s="1326" t="s">
        <v>2757</v>
      </c>
      <c r="Z115" s="1326"/>
      <c r="AA115" s="1326"/>
      <c r="AB115" s="1326" t="s">
        <v>2757</v>
      </c>
      <c r="AC115" s="1326" t="s">
        <v>2757</v>
      </c>
      <c r="AD115" s="1326" t="s">
        <v>2757</v>
      </c>
      <c r="AE115" s="1326"/>
      <c r="AF115" s="1326" t="s">
        <v>4251</v>
      </c>
      <c r="AG115" s="1326" t="s">
        <v>3040</v>
      </c>
      <c r="AH115" s="1326" t="s">
        <v>2791</v>
      </c>
      <c r="AI115" s="1326" t="s">
        <v>2762</v>
      </c>
      <c r="AJ115" s="1326" t="s">
        <v>2763</v>
      </c>
      <c r="AK115" s="1326" t="s">
        <v>2987</v>
      </c>
      <c r="AL115" s="1326" t="s">
        <v>3041</v>
      </c>
      <c r="AM115" s="1683">
        <v>100</v>
      </c>
      <c r="AN115" s="1326"/>
      <c r="AO115" s="1326"/>
      <c r="AP115" s="1326"/>
      <c r="AQ115" s="1326"/>
      <c r="AR115" s="1326"/>
      <c r="AS115" s="1326"/>
      <c r="AT115" s="1326" t="s">
        <v>2880</v>
      </c>
      <c r="AU115" s="1326" t="s">
        <v>2766</v>
      </c>
      <c r="AV115" s="1326" t="s">
        <v>3021</v>
      </c>
      <c r="AW115" s="1326"/>
      <c r="AX115" s="1326" t="s">
        <v>3047</v>
      </c>
      <c r="AY115" s="1326" t="s">
        <v>2798</v>
      </c>
      <c r="AZ115" s="1326" t="s">
        <v>235</v>
      </c>
      <c r="BA115" s="1326" t="s">
        <v>2929</v>
      </c>
      <c r="BB115" s="1326" t="s">
        <v>2757</v>
      </c>
      <c r="BC115" s="1326" t="s">
        <v>2800</v>
      </c>
      <c r="BD115" s="1326" t="s">
        <v>2773</v>
      </c>
      <c r="BE115" s="1326" t="s">
        <v>2930</v>
      </c>
      <c r="BF115" s="1326" t="s">
        <v>3048</v>
      </c>
      <c r="BG115" s="1326" t="s">
        <v>2932</v>
      </c>
      <c r="BH115" s="1326" t="s">
        <v>2804</v>
      </c>
      <c r="BI115" s="1326" t="s">
        <v>2805</v>
      </c>
      <c r="BJ115" s="1326" t="s">
        <v>2885</v>
      </c>
      <c r="BK115" s="1326" t="s">
        <v>2880</v>
      </c>
      <c r="BL115" s="1326" t="s">
        <v>2757</v>
      </c>
      <c r="BM115" s="1326" t="s">
        <v>2757</v>
      </c>
      <c r="BN115" s="1683">
        <v>0</v>
      </c>
      <c r="BO115" s="1685">
        <v>42593</v>
      </c>
      <c r="BP115" s="1685">
        <v>43585</v>
      </c>
      <c r="BQ115" s="1326" t="s">
        <v>2779</v>
      </c>
      <c r="BR115" s="1685">
        <v>46022</v>
      </c>
      <c r="BS115" s="1326" t="s">
        <v>3024</v>
      </c>
      <c r="BT115" s="1326" t="s">
        <v>3012</v>
      </c>
      <c r="BU115" s="1683">
        <v>30</v>
      </c>
      <c r="BV115" s="1683">
        <v>185505.6</v>
      </c>
      <c r="BW115" s="1685">
        <v>43615</v>
      </c>
      <c r="BX115" s="1682"/>
      <c r="BY115" s="1326" t="s">
        <v>2052</v>
      </c>
      <c r="BZ115" s="1326" t="s">
        <v>2782</v>
      </c>
      <c r="CA115" s="1326" t="s">
        <v>2783</v>
      </c>
      <c r="CB115" s="1326" t="s">
        <v>2783</v>
      </c>
      <c r="CC115" s="1326" t="s">
        <v>2913</v>
      </c>
      <c r="CD115" s="1684">
        <v>727472.94</v>
      </c>
      <c r="CE115" s="1684">
        <v>727472.94</v>
      </c>
      <c r="CF115" s="1684">
        <v>618352</v>
      </c>
      <c r="CG115" s="1684">
        <v>85</v>
      </c>
      <c r="CH115" s="1684">
        <v>109120.94</v>
      </c>
      <c r="CI115" s="1684">
        <v>15</v>
      </c>
      <c r="CJ115" s="1684">
        <v>727472.94</v>
      </c>
      <c r="CK115" s="1684">
        <v>100</v>
      </c>
      <c r="CL115" s="1410" t="s">
        <v>2785</v>
      </c>
      <c r="CM115" s="1686">
        <v>42555</v>
      </c>
      <c r="CN115" s="1400"/>
      <c r="CO115" s="1326"/>
      <c r="CP115" s="1682"/>
      <c r="CQ115" s="1684">
        <v>618351.99</v>
      </c>
      <c r="CR115" s="1684">
        <v>618351.99</v>
      </c>
      <c r="CS115" s="1684">
        <v>0</v>
      </c>
      <c r="CT115" s="1326" t="s">
        <v>2785</v>
      </c>
      <c r="CU115" s="1686">
        <v>42555</v>
      </c>
      <c r="CV115" s="1684">
        <v>727472.94</v>
      </c>
      <c r="CW115" s="1684">
        <v>0</v>
      </c>
      <c r="CX115" s="1684">
        <v>727443.9</v>
      </c>
      <c r="CY115" s="1684">
        <v>0</v>
      </c>
      <c r="CZ115" s="1684">
        <v>0</v>
      </c>
      <c r="DA115" s="1684">
        <v>0</v>
      </c>
      <c r="DB115" s="1684">
        <v>29.04</v>
      </c>
      <c r="DC115" s="1684">
        <v>0</v>
      </c>
      <c r="DD115" s="1684">
        <v>727472.94</v>
      </c>
      <c r="DE115" s="1684">
        <v>618351.99</v>
      </c>
      <c r="DF115" s="1684">
        <v>618351.99</v>
      </c>
      <c r="DG115" s="1684">
        <v>0</v>
      </c>
      <c r="DH115" s="1684">
        <v>109120.95</v>
      </c>
      <c r="DI115" s="1684">
        <v>109120.95</v>
      </c>
      <c r="DJ115" s="1684">
        <v>0</v>
      </c>
      <c r="DK115" s="1684">
        <v>109120.95</v>
      </c>
      <c r="DL115" s="1684">
        <v>0</v>
      </c>
      <c r="DM115" s="1684">
        <v>0</v>
      </c>
      <c r="DN115" s="1684">
        <v>0</v>
      </c>
      <c r="DO115" s="1684">
        <v>0</v>
      </c>
      <c r="DP115" s="1684">
        <v>0</v>
      </c>
      <c r="DQ115" s="1326" t="s">
        <v>2810</v>
      </c>
      <c r="DR115" s="1684">
        <v>0</v>
      </c>
      <c r="DS115" s="1326" t="s">
        <v>2757</v>
      </c>
      <c r="DT115" s="1682"/>
      <c r="DU115" s="1326" t="s">
        <v>2785</v>
      </c>
      <c r="DV115" s="1686">
        <v>43585</v>
      </c>
    </row>
    <row r="116" spans="1:126" ht="45">
      <c r="A116" s="1326" t="s">
        <v>2055</v>
      </c>
      <c r="B116" s="1326" t="s">
        <v>1702</v>
      </c>
      <c r="C116" s="1326" t="s">
        <v>2564</v>
      </c>
      <c r="D116" s="1326" t="s">
        <v>2567</v>
      </c>
      <c r="E116" s="1326" t="s">
        <v>2293</v>
      </c>
      <c r="F116" s="1326" t="s">
        <v>263</v>
      </c>
      <c r="G116" s="1326" t="s">
        <v>2566</v>
      </c>
      <c r="H116" s="1326" t="s">
        <v>2556</v>
      </c>
      <c r="I116" s="1326" t="s">
        <v>2541</v>
      </c>
      <c r="J116" s="1326" t="s">
        <v>727</v>
      </c>
      <c r="K116" s="1685">
        <v>42566</v>
      </c>
      <c r="L116" s="1685">
        <v>42613</v>
      </c>
      <c r="M116" s="1326" t="s">
        <v>281</v>
      </c>
      <c r="N116" s="1326" t="s">
        <v>2061</v>
      </c>
      <c r="O116" s="1326" t="s">
        <v>3049</v>
      </c>
      <c r="P116" s="1326" t="s">
        <v>2757</v>
      </c>
      <c r="Q116" s="1326" t="s">
        <v>1737</v>
      </c>
      <c r="R116" s="1326" t="s">
        <v>2757</v>
      </c>
      <c r="S116" s="1326" t="s">
        <v>2757</v>
      </c>
      <c r="T116" s="1326"/>
      <c r="U116" s="1326" t="s">
        <v>2758</v>
      </c>
      <c r="V116" s="1326" t="s">
        <v>2757</v>
      </c>
      <c r="W116" s="1326" t="s">
        <v>2757</v>
      </c>
      <c r="X116" s="1326"/>
      <c r="Y116" s="1326" t="s">
        <v>2757</v>
      </c>
      <c r="Z116" s="1326"/>
      <c r="AA116" s="1326"/>
      <c r="AB116" s="1326" t="s">
        <v>2757</v>
      </c>
      <c r="AC116" s="1326" t="s">
        <v>2757</v>
      </c>
      <c r="AD116" s="1326" t="s">
        <v>2757</v>
      </c>
      <c r="AE116" s="1326"/>
      <c r="AF116" s="1326" t="s">
        <v>4251</v>
      </c>
      <c r="AG116" s="1326" t="s">
        <v>3040</v>
      </c>
      <c r="AH116" s="1326" t="s">
        <v>2791</v>
      </c>
      <c r="AI116" s="1326" t="s">
        <v>2762</v>
      </c>
      <c r="AJ116" s="1326" t="s">
        <v>2763</v>
      </c>
      <c r="AK116" s="1326" t="s">
        <v>2987</v>
      </c>
      <c r="AL116" s="1326" t="s">
        <v>3041</v>
      </c>
      <c r="AM116" s="1683">
        <v>100</v>
      </c>
      <c r="AN116" s="1326"/>
      <c r="AO116" s="1326"/>
      <c r="AP116" s="1326"/>
      <c r="AQ116" s="1326"/>
      <c r="AR116" s="1326"/>
      <c r="AS116" s="1326"/>
      <c r="AT116" s="1326" t="s">
        <v>2867</v>
      </c>
      <c r="AU116" s="1326" t="s">
        <v>2766</v>
      </c>
      <c r="AV116" s="1326" t="s">
        <v>3021</v>
      </c>
      <c r="AW116" s="1326"/>
      <c r="AX116" s="1326" t="s">
        <v>3047</v>
      </c>
      <c r="AY116" s="1326" t="s">
        <v>2798</v>
      </c>
      <c r="AZ116" s="1326" t="s">
        <v>161</v>
      </c>
      <c r="BA116" s="1326" t="s">
        <v>2812</v>
      </c>
      <c r="BB116" s="1326" t="s">
        <v>2757</v>
      </c>
      <c r="BC116" s="1326" t="s">
        <v>2800</v>
      </c>
      <c r="BD116" s="1326" t="s">
        <v>2773</v>
      </c>
      <c r="BE116" s="1326" t="s">
        <v>3014</v>
      </c>
      <c r="BF116" s="1326" t="s">
        <v>2814</v>
      </c>
      <c r="BG116" s="1326" t="s">
        <v>2815</v>
      </c>
      <c r="BH116" s="1326" t="s">
        <v>2804</v>
      </c>
      <c r="BI116" s="1326" t="s">
        <v>2805</v>
      </c>
      <c r="BJ116" s="1326" t="s">
        <v>2816</v>
      </c>
      <c r="BK116" s="1326" t="s">
        <v>2867</v>
      </c>
      <c r="BL116" s="1326" t="s">
        <v>2757</v>
      </c>
      <c r="BM116" s="1326" t="s">
        <v>2757</v>
      </c>
      <c r="BN116" s="1683">
        <v>0</v>
      </c>
      <c r="BO116" s="1685">
        <v>42382</v>
      </c>
      <c r="BP116" s="1685">
        <v>43738</v>
      </c>
      <c r="BQ116" s="1326" t="s">
        <v>2779</v>
      </c>
      <c r="BR116" s="1685">
        <v>45657</v>
      </c>
      <c r="BS116" s="1326" t="s">
        <v>2911</v>
      </c>
      <c r="BT116" s="1326" t="s">
        <v>3050</v>
      </c>
      <c r="BU116" s="1683">
        <v>30</v>
      </c>
      <c r="BV116" s="1683">
        <v>93903.6</v>
      </c>
      <c r="BW116" s="1685">
        <v>43768</v>
      </c>
      <c r="BX116" s="1682"/>
      <c r="BY116" s="1326" t="s">
        <v>2052</v>
      </c>
      <c r="BZ116" s="1326" t="s">
        <v>2782</v>
      </c>
      <c r="CA116" s="1326" t="s">
        <v>2783</v>
      </c>
      <c r="CB116" s="1326" t="s">
        <v>2783</v>
      </c>
      <c r="CC116" s="1326" t="s">
        <v>2913</v>
      </c>
      <c r="CD116" s="1684">
        <v>368599</v>
      </c>
      <c r="CE116" s="1684">
        <v>368599</v>
      </c>
      <c r="CF116" s="1684">
        <v>313012</v>
      </c>
      <c r="CG116" s="1684">
        <v>84.92</v>
      </c>
      <c r="CH116" s="1684">
        <v>55587</v>
      </c>
      <c r="CI116" s="1684">
        <v>15.08</v>
      </c>
      <c r="CJ116" s="1684">
        <v>368599</v>
      </c>
      <c r="CK116" s="1684">
        <v>100</v>
      </c>
      <c r="CL116" s="1410" t="s">
        <v>2785</v>
      </c>
      <c r="CM116" s="1686">
        <v>42573</v>
      </c>
      <c r="CN116" s="1400"/>
      <c r="CO116" s="1326"/>
      <c r="CP116" s="1682"/>
      <c r="CQ116" s="1684">
        <v>313012</v>
      </c>
      <c r="CR116" s="1684">
        <v>313012</v>
      </c>
      <c r="CS116" s="1684">
        <v>0</v>
      </c>
      <c r="CT116" s="1326" t="s">
        <v>2785</v>
      </c>
      <c r="CU116" s="1686">
        <v>42586</v>
      </c>
      <c r="CV116" s="1684">
        <v>368599</v>
      </c>
      <c r="CW116" s="1684">
        <v>0</v>
      </c>
      <c r="CX116" s="1684">
        <v>75378</v>
      </c>
      <c r="CY116" s="1684">
        <v>280240</v>
      </c>
      <c r="CZ116" s="1684">
        <v>4032</v>
      </c>
      <c r="DA116" s="1684">
        <v>4719</v>
      </c>
      <c r="DB116" s="1684">
        <v>230</v>
      </c>
      <c r="DC116" s="1684">
        <v>4000</v>
      </c>
      <c r="DD116" s="1684">
        <v>368599</v>
      </c>
      <c r="DE116" s="1684">
        <v>313012</v>
      </c>
      <c r="DF116" s="1684">
        <v>313012</v>
      </c>
      <c r="DG116" s="1684">
        <v>0</v>
      </c>
      <c r="DH116" s="1684">
        <v>55587</v>
      </c>
      <c r="DI116" s="1684">
        <v>55587</v>
      </c>
      <c r="DJ116" s="1684">
        <v>0</v>
      </c>
      <c r="DK116" s="1684">
        <v>55587</v>
      </c>
      <c r="DL116" s="1684">
        <v>0</v>
      </c>
      <c r="DM116" s="1684">
        <v>0</v>
      </c>
      <c r="DN116" s="1684">
        <v>0</v>
      </c>
      <c r="DO116" s="1684">
        <v>0</v>
      </c>
      <c r="DP116" s="1684">
        <v>0</v>
      </c>
      <c r="DQ116" s="1326"/>
      <c r="DR116" s="1684">
        <v>0</v>
      </c>
      <c r="DS116" s="1326" t="s">
        <v>2757</v>
      </c>
      <c r="DT116" s="1682"/>
      <c r="DU116" s="1326" t="s">
        <v>2785</v>
      </c>
      <c r="DV116" s="1686">
        <v>43738</v>
      </c>
    </row>
    <row r="117" spans="1:126" ht="45">
      <c r="A117" s="1326" t="s">
        <v>2056</v>
      </c>
      <c r="B117" s="1326" t="s">
        <v>1702</v>
      </c>
      <c r="C117" s="1326" t="s">
        <v>2564</v>
      </c>
      <c r="D117" s="1326" t="s">
        <v>2567</v>
      </c>
      <c r="E117" s="1326" t="s">
        <v>2293</v>
      </c>
      <c r="F117" s="1326" t="s">
        <v>263</v>
      </c>
      <c r="G117" s="1326" t="s">
        <v>2566</v>
      </c>
      <c r="H117" s="1326" t="s">
        <v>2556</v>
      </c>
      <c r="I117" s="1326" t="s">
        <v>2541</v>
      </c>
      <c r="J117" s="1326" t="s">
        <v>728</v>
      </c>
      <c r="K117" s="1685">
        <v>42523</v>
      </c>
      <c r="L117" s="1685">
        <v>42626</v>
      </c>
      <c r="M117" s="1326" t="s">
        <v>188</v>
      </c>
      <c r="N117" s="1326" t="s">
        <v>2137</v>
      </c>
      <c r="O117" s="1326" t="s">
        <v>3051</v>
      </c>
      <c r="P117" s="1326" t="s">
        <v>2757</v>
      </c>
      <c r="Q117" s="1326" t="s">
        <v>1723</v>
      </c>
      <c r="R117" s="1326" t="s">
        <v>2757</v>
      </c>
      <c r="S117" s="1326" t="s">
        <v>2757</v>
      </c>
      <c r="T117" s="1326"/>
      <c r="U117" s="1326" t="s">
        <v>2758</v>
      </c>
      <c r="V117" s="1326" t="s">
        <v>2757</v>
      </c>
      <c r="W117" s="1326" t="s">
        <v>2757</v>
      </c>
      <c r="X117" s="1326"/>
      <c r="Y117" s="1326" t="s">
        <v>2757</v>
      </c>
      <c r="Z117" s="1326"/>
      <c r="AA117" s="1326"/>
      <c r="AB117" s="1326" t="s">
        <v>2757</v>
      </c>
      <c r="AC117" s="1326" t="s">
        <v>2757</v>
      </c>
      <c r="AD117" s="1326" t="s">
        <v>2757</v>
      </c>
      <c r="AE117" s="1326"/>
      <c r="AF117" s="1326" t="s">
        <v>4251</v>
      </c>
      <c r="AG117" s="1326" t="s">
        <v>3040</v>
      </c>
      <c r="AH117" s="1326" t="s">
        <v>2791</v>
      </c>
      <c r="AI117" s="1326" t="s">
        <v>2762</v>
      </c>
      <c r="AJ117" s="1326" t="s">
        <v>2763</v>
      </c>
      <c r="AK117" s="1326" t="s">
        <v>2987</v>
      </c>
      <c r="AL117" s="1326" t="s">
        <v>3041</v>
      </c>
      <c r="AM117" s="1683">
        <v>100</v>
      </c>
      <c r="AN117" s="1326"/>
      <c r="AO117" s="1326"/>
      <c r="AP117" s="1326"/>
      <c r="AQ117" s="1326"/>
      <c r="AR117" s="1326"/>
      <c r="AS117" s="1326"/>
      <c r="AT117" s="1326" t="s">
        <v>2867</v>
      </c>
      <c r="AU117" s="1326" t="s">
        <v>2766</v>
      </c>
      <c r="AV117" s="1326" t="s">
        <v>3021</v>
      </c>
      <c r="AW117" s="1326"/>
      <c r="AX117" s="1326" t="s">
        <v>3022</v>
      </c>
      <c r="AY117" s="1326" t="s">
        <v>2798</v>
      </c>
      <c r="AZ117" s="1326" t="s">
        <v>184</v>
      </c>
      <c r="BA117" s="1326" t="s">
        <v>2828</v>
      </c>
      <c r="BB117" s="1326" t="s">
        <v>2757</v>
      </c>
      <c r="BC117" s="1326" t="s">
        <v>2800</v>
      </c>
      <c r="BD117" s="1326" t="s">
        <v>2773</v>
      </c>
      <c r="BE117" s="1326" t="s">
        <v>2829</v>
      </c>
      <c r="BF117" s="1326" t="s">
        <v>2830</v>
      </c>
      <c r="BG117" s="1326" t="s">
        <v>3052</v>
      </c>
      <c r="BH117" s="1326" t="s">
        <v>2804</v>
      </c>
      <c r="BI117" s="1326" t="s">
        <v>2805</v>
      </c>
      <c r="BJ117" s="1326" t="s">
        <v>2832</v>
      </c>
      <c r="BK117" s="1326" t="s">
        <v>2867</v>
      </c>
      <c r="BL117" s="1326" t="s">
        <v>2757</v>
      </c>
      <c r="BM117" s="1326" t="s">
        <v>2757</v>
      </c>
      <c r="BN117" s="1683">
        <v>0</v>
      </c>
      <c r="BO117" s="1685">
        <v>42522</v>
      </c>
      <c r="BP117" s="1685">
        <v>43343</v>
      </c>
      <c r="BQ117" s="1326" t="s">
        <v>2779</v>
      </c>
      <c r="BR117" s="1685">
        <v>45657</v>
      </c>
      <c r="BS117" s="1326" t="s">
        <v>2807</v>
      </c>
      <c r="BT117" s="1326" t="s">
        <v>3053</v>
      </c>
      <c r="BU117" s="1683">
        <v>30</v>
      </c>
      <c r="BV117" s="1683">
        <v>61681.7</v>
      </c>
      <c r="BW117" s="1685">
        <v>43434</v>
      </c>
      <c r="BX117" s="1685">
        <v>43488</v>
      </c>
      <c r="BY117" s="1326" t="s">
        <v>2052</v>
      </c>
      <c r="BZ117" s="1326" t="s">
        <v>2782</v>
      </c>
      <c r="CA117" s="1326" t="s">
        <v>2783</v>
      </c>
      <c r="CB117" s="1326" t="s">
        <v>2783</v>
      </c>
      <c r="CC117" s="1326" t="s">
        <v>2913</v>
      </c>
      <c r="CD117" s="1684">
        <v>241889</v>
      </c>
      <c r="CE117" s="1684">
        <v>241889</v>
      </c>
      <c r="CF117" s="1684">
        <v>205605.65</v>
      </c>
      <c r="CG117" s="1684">
        <v>85</v>
      </c>
      <c r="CH117" s="1684">
        <v>36283.35</v>
      </c>
      <c r="CI117" s="1684">
        <v>15</v>
      </c>
      <c r="CJ117" s="1684">
        <v>241889</v>
      </c>
      <c r="CK117" s="1684">
        <v>100</v>
      </c>
      <c r="CL117" s="1410" t="s">
        <v>2785</v>
      </c>
      <c r="CM117" s="1686">
        <v>42580</v>
      </c>
      <c r="CN117" s="1400"/>
      <c r="CO117" s="1326"/>
      <c r="CP117" s="1682"/>
      <c r="CQ117" s="1684">
        <v>205605.65</v>
      </c>
      <c r="CR117" s="1684">
        <v>205605.65</v>
      </c>
      <c r="CS117" s="1684">
        <v>0</v>
      </c>
      <c r="CT117" s="1326" t="s">
        <v>2785</v>
      </c>
      <c r="CU117" s="1686">
        <v>42592</v>
      </c>
      <c r="CV117" s="1684">
        <v>241889</v>
      </c>
      <c r="CW117" s="1684">
        <v>0</v>
      </c>
      <c r="CX117" s="1684">
        <v>0</v>
      </c>
      <c r="CY117" s="1684">
        <v>237524.94</v>
      </c>
      <c r="CZ117" s="1684">
        <v>1734</v>
      </c>
      <c r="DA117" s="1684">
        <v>0</v>
      </c>
      <c r="DB117" s="1684">
        <v>0</v>
      </c>
      <c r="DC117" s="1684">
        <v>2630.06</v>
      </c>
      <c r="DD117" s="1684">
        <v>241889</v>
      </c>
      <c r="DE117" s="1684">
        <v>205605.65</v>
      </c>
      <c r="DF117" s="1684">
        <v>205605.65</v>
      </c>
      <c r="DG117" s="1684">
        <v>0</v>
      </c>
      <c r="DH117" s="1684">
        <v>36283.35</v>
      </c>
      <c r="DI117" s="1684">
        <v>36283.35</v>
      </c>
      <c r="DJ117" s="1684">
        <v>0</v>
      </c>
      <c r="DK117" s="1684">
        <v>36283.35</v>
      </c>
      <c r="DL117" s="1684">
        <v>0</v>
      </c>
      <c r="DM117" s="1684">
        <v>0</v>
      </c>
      <c r="DN117" s="1684">
        <v>0</v>
      </c>
      <c r="DO117" s="1684">
        <v>0</v>
      </c>
      <c r="DP117" s="1684">
        <v>0</v>
      </c>
      <c r="DQ117" s="1326" t="s">
        <v>2810</v>
      </c>
      <c r="DR117" s="1684">
        <v>0</v>
      </c>
      <c r="DS117" s="1326" t="s">
        <v>2757</v>
      </c>
      <c r="DT117" s="1682"/>
      <c r="DU117" s="1326" t="s">
        <v>2785</v>
      </c>
      <c r="DV117" s="1686">
        <v>43343</v>
      </c>
    </row>
    <row r="118" spans="1:126">
      <c r="A118" s="1326" t="s">
        <v>2057</v>
      </c>
      <c r="B118" s="1326" t="s">
        <v>1702</v>
      </c>
      <c r="C118" s="1326" t="s">
        <v>2564</v>
      </c>
      <c r="D118" s="1326" t="s">
        <v>4179</v>
      </c>
      <c r="E118" s="1326"/>
      <c r="F118" s="1326"/>
      <c r="G118" s="1326"/>
      <c r="H118" s="1326"/>
      <c r="I118" s="1326"/>
      <c r="J118" s="1326"/>
      <c r="K118" s="1682"/>
      <c r="L118" s="1682"/>
      <c r="M118" s="1326"/>
      <c r="N118" s="1326"/>
      <c r="O118" s="1326"/>
      <c r="P118" s="1326"/>
      <c r="Q118" s="1326"/>
      <c r="R118" s="1326"/>
      <c r="S118" s="1326"/>
      <c r="T118" s="1326"/>
      <c r="U118" s="1326"/>
      <c r="V118" s="1326"/>
      <c r="W118" s="1326"/>
      <c r="X118" s="1326"/>
      <c r="Y118" s="1326"/>
      <c r="Z118" s="1326"/>
      <c r="AA118" s="1326"/>
      <c r="AB118" s="1326"/>
      <c r="AC118" s="1326"/>
      <c r="AD118" s="1326"/>
      <c r="AE118" s="1326"/>
      <c r="AF118" s="1326"/>
      <c r="AG118" s="1326"/>
      <c r="AH118" s="1326"/>
      <c r="AI118" s="1326"/>
      <c r="AJ118" s="1326"/>
      <c r="AK118" s="1326"/>
      <c r="AL118" s="1326"/>
      <c r="AM118" s="1400"/>
      <c r="AN118" s="1326"/>
      <c r="AO118" s="1326"/>
      <c r="AP118" s="1326"/>
      <c r="AQ118" s="1326"/>
      <c r="AR118" s="1326"/>
      <c r="AS118" s="1326"/>
      <c r="AT118" s="1326"/>
      <c r="AU118" s="1326"/>
      <c r="AV118" s="1326"/>
      <c r="AW118" s="1326"/>
      <c r="AX118" s="1326"/>
      <c r="AY118" s="1326"/>
      <c r="AZ118" s="1326"/>
      <c r="BA118" s="1326"/>
      <c r="BB118" s="1326"/>
      <c r="BC118" s="1326"/>
      <c r="BD118" s="1326"/>
      <c r="BE118" s="1326"/>
      <c r="BF118" s="1326"/>
      <c r="BG118" s="1326"/>
      <c r="BH118" s="1326"/>
      <c r="BI118" s="1326"/>
      <c r="BJ118" s="1326"/>
      <c r="BK118" s="1326"/>
      <c r="BL118" s="1326"/>
      <c r="BM118" s="1326"/>
      <c r="BN118" s="1400"/>
      <c r="BO118" s="1682"/>
      <c r="BP118" s="1682"/>
      <c r="BQ118" s="1326"/>
      <c r="BR118" s="1682"/>
      <c r="BS118" s="1326"/>
      <c r="BT118" s="1326"/>
      <c r="BU118" s="1400"/>
      <c r="BV118" s="1683">
        <v>399194.52</v>
      </c>
      <c r="BW118" s="1682"/>
      <c r="BX118" s="1682"/>
      <c r="BY118" s="1326"/>
      <c r="BZ118" s="1326"/>
      <c r="CA118" s="1326"/>
      <c r="CB118" s="1326"/>
      <c r="CC118" s="1326"/>
      <c r="CD118" s="1684">
        <v>1473041.4</v>
      </c>
      <c r="CE118" s="1684">
        <v>1473041.4</v>
      </c>
      <c r="CF118" s="1684">
        <v>1330648.3799999999</v>
      </c>
      <c r="CG118" s="1684">
        <v>90.33</v>
      </c>
      <c r="CH118" s="1684">
        <v>142393.01999999999</v>
      </c>
      <c r="CI118" s="1684">
        <v>9.67</v>
      </c>
      <c r="CJ118" s="1684">
        <v>1473041.4</v>
      </c>
      <c r="CK118" s="1684">
        <v>100</v>
      </c>
      <c r="CL118" s="1410"/>
      <c r="CM118" s="1682"/>
      <c r="CN118" s="1400"/>
      <c r="CO118" s="1326"/>
      <c r="CP118" s="1682"/>
      <c r="CQ118" s="1684">
        <v>1330648.3799999999</v>
      </c>
      <c r="CR118" s="1684">
        <v>1223795.02</v>
      </c>
      <c r="CS118" s="1684">
        <v>106853.36</v>
      </c>
      <c r="CT118" s="1326"/>
      <c r="CU118" s="1682"/>
      <c r="CV118" s="1684">
        <v>1473041.4</v>
      </c>
      <c r="CW118" s="1684">
        <v>0</v>
      </c>
      <c r="CX118" s="1684">
        <v>0</v>
      </c>
      <c r="CY118" s="1684">
        <v>403733.56</v>
      </c>
      <c r="CZ118" s="1684">
        <v>1052103.95</v>
      </c>
      <c r="DA118" s="1684">
        <v>3793</v>
      </c>
      <c r="DB118" s="1684">
        <v>177</v>
      </c>
      <c r="DC118" s="1684">
        <v>13233.89</v>
      </c>
      <c r="DD118" s="1684">
        <v>1426183.38</v>
      </c>
      <c r="DE118" s="1684">
        <v>1330648.3799999999</v>
      </c>
      <c r="DF118" s="1684">
        <v>1223795.02</v>
      </c>
      <c r="DG118" s="1684">
        <v>106853.36</v>
      </c>
      <c r="DH118" s="1684">
        <v>142393.01999999999</v>
      </c>
      <c r="DI118" s="1684">
        <v>95535</v>
      </c>
      <c r="DJ118" s="1684">
        <v>0</v>
      </c>
      <c r="DK118" s="1684">
        <v>23164.61</v>
      </c>
      <c r="DL118" s="1684">
        <v>72370.39</v>
      </c>
      <c r="DM118" s="1684">
        <v>46858.02</v>
      </c>
      <c r="DN118" s="1684">
        <v>46858.02</v>
      </c>
      <c r="DO118" s="1684">
        <v>0</v>
      </c>
      <c r="DP118" s="1684">
        <v>0</v>
      </c>
      <c r="DQ118" s="1326"/>
      <c r="DR118" s="1400"/>
      <c r="DS118" s="1326"/>
      <c r="DT118" s="1682"/>
      <c r="DU118" s="1326"/>
      <c r="DV118" s="1682"/>
    </row>
    <row r="119" spans="1:126" ht="33.75">
      <c r="A119" s="1326" t="s">
        <v>2058</v>
      </c>
      <c r="B119" s="1326" t="s">
        <v>1702</v>
      </c>
      <c r="C119" s="1326" t="s">
        <v>2564</v>
      </c>
      <c r="D119" s="1326" t="s">
        <v>4179</v>
      </c>
      <c r="E119" s="1326" t="s">
        <v>153</v>
      </c>
      <c r="F119" s="1326" t="s">
        <v>3460</v>
      </c>
      <c r="G119" s="1326"/>
      <c r="H119" s="1326"/>
      <c r="I119" s="1326"/>
      <c r="J119" s="1326"/>
      <c r="K119" s="1682"/>
      <c r="L119" s="1682"/>
      <c r="M119" s="1326"/>
      <c r="N119" s="1326"/>
      <c r="O119" s="1326"/>
      <c r="P119" s="1326"/>
      <c r="Q119" s="1326"/>
      <c r="R119" s="1326"/>
      <c r="S119" s="1326"/>
      <c r="T119" s="1326"/>
      <c r="U119" s="1326"/>
      <c r="V119" s="1326"/>
      <c r="W119" s="1326"/>
      <c r="X119" s="1326"/>
      <c r="Y119" s="1326"/>
      <c r="Z119" s="1326"/>
      <c r="AA119" s="1326"/>
      <c r="AB119" s="1326"/>
      <c r="AC119" s="1326"/>
      <c r="AD119" s="1326"/>
      <c r="AE119" s="1326"/>
      <c r="AF119" s="1326"/>
      <c r="AG119" s="1326"/>
      <c r="AH119" s="1326"/>
      <c r="AI119" s="1326"/>
      <c r="AJ119" s="1326"/>
      <c r="AK119" s="1326"/>
      <c r="AL119" s="1326"/>
      <c r="AM119" s="1400"/>
      <c r="AN119" s="1326"/>
      <c r="AO119" s="1326"/>
      <c r="AP119" s="1326"/>
      <c r="AQ119" s="1326"/>
      <c r="AR119" s="1326"/>
      <c r="AS119" s="1326"/>
      <c r="AT119" s="1326"/>
      <c r="AU119" s="1326"/>
      <c r="AV119" s="1326"/>
      <c r="AW119" s="1326"/>
      <c r="AX119" s="1326"/>
      <c r="AY119" s="1326"/>
      <c r="AZ119" s="1326"/>
      <c r="BA119" s="1326"/>
      <c r="BB119" s="1326"/>
      <c r="BC119" s="1326"/>
      <c r="BD119" s="1326"/>
      <c r="BE119" s="1326"/>
      <c r="BF119" s="1326"/>
      <c r="BG119" s="1326"/>
      <c r="BH119" s="1326"/>
      <c r="BI119" s="1326"/>
      <c r="BJ119" s="1326"/>
      <c r="BK119" s="1326"/>
      <c r="BL119" s="1326"/>
      <c r="BM119" s="1326"/>
      <c r="BN119" s="1400"/>
      <c r="BO119" s="1682"/>
      <c r="BP119" s="1682"/>
      <c r="BQ119" s="1326"/>
      <c r="BR119" s="1682"/>
      <c r="BS119" s="1326"/>
      <c r="BT119" s="1326"/>
      <c r="BU119" s="1400"/>
      <c r="BV119" s="1683">
        <v>399194.52</v>
      </c>
      <c r="BW119" s="1682"/>
      <c r="BX119" s="1682"/>
      <c r="BY119" s="1326"/>
      <c r="BZ119" s="1326"/>
      <c r="CA119" s="1326"/>
      <c r="CB119" s="1326"/>
      <c r="CC119" s="1326"/>
      <c r="CD119" s="1684">
        <v>1473041.4</v>
      </c>
      <c r="CE119" s="1684">
        <v>1473041.4</v>
      </c>
      <c r="CF119" s="1684">
        <v>1330648.3799999999</v>
      </c>
      <c r="CG119" s="1684">
        <v>90.33</v>
      </c>
      <c r="CH119" s="1684">
        <v>142393.01999999999</v>
      </c>
      <c r="CI119" s="1684">
        <v>9.67</v>
      </c>
      <c r="CJ119" s="1684">
        <v>1473041.4</v>
      </c>
      <c r="CK119" s="1684">
        <v>100</v>
      </c>
      <c r="CL119" s="1410"/>
      <c r="CM119" s="1682"/>
      <c r="CN119" s="1400"/>
      <c r="CO119" s="1326"/>
      <c r="CP119" s="1682"/>
      <c r="CQ119" s="1684">
        <v>1330648.3799999999</v>
      </c>
      <c r="CR119" s="1684">
        <v>1223795.02</v>
      </c>
      <c r="CS119" s="1684">
        <v>106853.36</v>
      </c>
      <c r="CT119" s="1326"/>
      <c r="CU119" s="1682"/>
      <c r="CV119" s="1684">
        <v>1473041.4</v>
      </c>
      <c r="CW119" s="1684">
        <v>0</v>
      </c>
      <c r="CX119" s="1684">
        <v>0</v>
      </c>
      <c r="CY119" s="1684">
        <v>403733.56</v>
      </c>
      <c r="CZ119" s="1684">
        <v>1052103.95</v>
      </c>
      <c r="DA119" s="1684">
        <v>3793</v>
      </c>
      <c r="DB119" s="1684">
        <v>177</v>
      </c>
      <c r="DC119" s="1684">
        <v>13233.89</v>
      </c>
      <c r="DD119" s="1684">
        <v>1426183.38</v>
      </c>
      <c r="DE119" s="1684">
        <v>1330648.3799999999</v>
      </c>
      <c r="DF119" s="1684">
        <v>1223795.02</v>
      </c>
      <c r="DG119" s="1684">
        <v>106853.36</v>
      </c>
      <c r="DH119" s="1684">
        <v>142393.01999999999</v>
      </c>
      <c r="DI119" s="1684">
        <v>95535</v>
      </c>
      <c r="DJ119" s="1684">
        <v>0</v>
      </c>
      <c r="DK119" s="1684">
        <v>23164.61</v>
      </c>
      <c r="DL119" s="1684">
        <v>72370.39</v>
      </c>
      <c r="DM119" s="1684">
        <v>46858.02</v>
      </c>
      <c r="DN119" s="1684">
        <v>46858.02</v>
      </c>
      <c r="DO119" s="1684">
        <v>0</v>
      </c>
      <c r="DP119" s="1684">
        <v>0</v>
      </c>
      <c r="DQ119" s="1326"/>
      <c r="DR119" s="1400"/>
      <c r="DS119" s="1326"/>
      <c r="DT119" s="1682"/>
      <c r="DU119" s="1326"/>
      <c r="DV119" s="1682"/>
    </row>
    <row r="120" spans="1:126" ht="67.5">
      <c r="A120" s="1326" t="s">
        <v>2111</v>
      </c>
      <c r="B120" s="1326" t="s">
        <v>1702</v>
      </c>
      <c r="C120" s="1326" t="s">
        <v>2564</v>
      </c>
      <c r="D120" s="1326" t="s">
        <v>4179</v>
      </c>
      <c r="E120" s="1326" t="s">
        <v>153</v>
      </c>
      <c r="F120" s="1326" t="s">
        <v>3460</v>
      </c>
      <c r="G120" s="1326" t="s">
        <v>2575</v>
      </c>
      <c r="H120" s="1326" t="s">
        <v>2556</v>
      </c>
      <c r="I120" s="1326" t="s">
        <v>2541</v>
      </c>
      <c r="J120" s="1326" t="s">
        <v>1650</v>
      </c>
      <c r="K120" s="1685">
        <v>43360</v>
      </c>
      <c r="L120" s="1685">
        <v>43461</v>
      </c>
      <c r="M120" s="1326" t="s">
        <v>3427</v>
      </c>
      <c r="N120" s="1326" t="s">
        <v>2061</v>
      </c>
      <c r="O120" s="1326" t="s">
        <v>4180</v>
      </c>
      <c r="P120" s="1326" t="s">
        <v>2757</v>
      </c>
      <c r="Q120" s="1326" t="s">
        <v>2026</v>
      </c>
      <c r="R120" s="1326" t="s">
        <v>2757</v>
      </c>
      <c r="S120" s="1326" t="s">
        <v>2757</v>
      </c>
      <c r="T120" s="1326"/>
      <c r="U120" s="1326" t="s">
        <v>2758</v>
      </c>
      <c r="V120" s="1326" t="s">
        <v>2757</v>
      </c>
      <c r="W120" s="1326" t="s">
        <v>2757</v>
      </c>
      <c r="X120" s="1326"/>
      <c r="Y120" s="1326" t="s">
        <v>2757</v>
      </c>
      <c r="Z120" s="1326"/>
      <c r="AA120" s="1326"/>
      <c r="AB120" s="1326" t="s">
        <v>2757</v>
      </c>
      <c r="AC120" s="1326" t="s">
        <v>2757</v>
      </c>
      <c r="AD120" s="1326" t="s">
        <v>2757</v>
      </c>
      <c r="AE120" s="1326"/>
      <c r="AF120" s="1326" t="s">
        <v>4181</v>
      </c>
      <c r="AG120" s="1326" t="s">
        <v>3095</v>
      </c>
      <c r="AH120" s="1326" t="s">
        <v>2837</v>
      </c>
      <c r="AI120" s="1326" t="s">
        <v>2762</v>
      </c>
      <c r="AJ120" s="1326" t="s">
        <v>2763</v>
      </c>
      <c r="AK120" s="1326" t="s">
        <v>2987</v>
      </c>
      <c r="AL120" s="1326" t="s">
        <v>4182</v>
      </c>
      <c r="AM120" s="1683">
        <v>100</v>
      </c>
      <c r="AN120" s="1326"/>
      <c r="AO120" s="1326"/>
      <c r="AP120" s="1326"/>
      <c r="AQ120" s="1326"/>
      <c r="AR120" s="1326"/>
      <c r="AS120" s="1326"/>
      <c r="AT120" s="1326" t="s">
        <v>2880</v>
      </c>
      <c r="AU120" s="1326" t="s">
        <v>2766</v>
      </c>
      <c r="AV120" s="1326" t="s">
        <v>3021</v>
      </c>
      <c r="AW120" s="1326"/>
      <c r="AX120" s="1326" t="s">
        <v>3096</v>
      </c>
      <c r="AY120" s="1326" t="s">
        <v>2798</v>
      </c>
      <c r="AZ120" s="1326" t="s">
        <v>3429</v>
      </c>
      <c r="BA120" s="1326" t="s">
        <v>3428</v>
      </c>
      <c r="BB120" s="1326" t="s">
        <v>2757</v>
      </c>
      <c r="BC120" s="1326" t="s">
        <v>3208</v>
      </c>
      <c r="BD120" s="1326" t="s">
        <v>2859</v>
      </c>
      <c r="BE120" s="1326" t="s">
        <v>4183</v>
      </c>
      <c r="BF120" s="1326" t="s">
        <v>4184</v>
      </c>
      <c r="BG120" s="1326" t="s">
        <v>4185</v>
      </c>
      <c r="BH120" s="1326" t="s">
        <v>2804</v>
      </c>
      <c r="BI120" s="1326" t="s">
        <v>2805</v>
      </c>
      <c r="BJ120" s="1326" t="s">
        <v>2885</v>
      </c>
      <c r="BK120" s="1326" t="s">
        <v>2880</v>
      </c>
      <c r="BL120" s="1326" t="s">
        <v>2757</v>
      </c>
      <c r="BM120" s="1326" t="s">
        <v>2757</v>
      </c>
      <c r="BN120" s="1683">
        <v>0</v>
      </c>
      <c r="BO120" s="1685">
        <v>42529</v>
      </c>
      <c r="BP120" s="1685">
        <v>43738</v>
      </c>
      <c r="BQ120" s="1326" t="s">
        <v>2779</v>
      </c>
      <c r="BR120" s="1685">
        <v>46022</v>
      </c>
      <c r="BS120" s="1326" t="s">
        <v>3258</v>
      </c>
      <c r="BT120" s="1326" t="s">
        <v>4186</v>
      </c>
      <c r="BU120" s="1683">
        <v>30</v>
      </c>
      <c r="BV120" s="1683">
        <v>7080.9</v>
      </c>
      <c r="BW120" s="1685">
        <v>43768</v>
      </c>
      <c r="BX120" s="1682"/>
      <c r="BY120" s="1326" t="s">
        <v>2052</v>
      </c>
      <c r="BZ120" s="1326" t="s">
        <v>2782</v>
      </c>
      <c r="CA120" s="1326" t="s">
        <v>2783</v>
      </c>
      <c r="CB120" s="1326" t="s">
        <v>2783</v>
      </c>
      <c r="CC120" s="1326" t="s">
        <v>2913</v>
      </c>
      <c r="CD120" s="1684">
        <v>25517</v>
      </c>
      <c r="CE120" s="1684">
        <v>25517</v>
      </c>
      <c r="CF120" s="1684">
        <v>23603</v>
      </c>
      <c r="CG120" s="1684">
        <v>92.5</v>
      </c>
      <c r="CH120" s="1684">
        <v>1914</v>
      </c>
      <c r="CI120" s="1684">
        <v>7.5</v>
      </c>
      <c r="CJ120" s="1684">
        <v>25517</v>
      </c>
      <c r="CK120" s="1684">
        <v>100</v>
      </c>
      <c r="CL120" s="1410" t="s">
        <v>2785</v>
      </c>
      <c r="CM120" s="1686">
        <v>43409</v>
      </c>
      <c r="CN120" s="1400"/>
      <c r="CO120" s="1326"/>
      <c r="CP120" s="1682"/>
      <c r="CQ120" s="1684">
        <v>23603</v>
      </c>
      <c r="CR120" s="1684">
        <v>21689.45</v>
      </c>
      <c r="CS120" s="1684">
        <v>1913.55</v>
      </c>
      <c r="CT120" s="1326" t="s">
        <v>2785</v>
      </c>
      <c r="CU120" s="1686">
        <v>43433</v>
      </c>
      <c r="CV120" s="1684">
        <v>25517</v>
      </c>
      <c r="CW120" s="1684">
        <v>0</v>
      </c>
      <c r="CX120" s="1684">
        <v>0</v>
      </c>
      <c r="CY120" s="1684">
        <v>8430</v>
      </c>
      <c r="CZ120" s="1684">
        <v>16724</v>
      </c>
      <c r="DA120" s="1684">
        <v>0</v>
      </c>
      <c r="DB120" s="1684">
        <v>29</v>
      </c>
      <c r="DC120" s="1684">
        <v>334</v>
      </c>
      <c r="DD120" s="1684">
        <v>23603</v>
      </c>
      <c r="DE120" s="1684">
        <v>23603</v>
      </c>
      <c r="DF120" s="1684">
        <v>21689.45</v>
      </c>
      <c r="DG120" s="1684">
        <v>1913.55</v>
      </c>
      <c r="DH120" s="1684">
        <v>1914</v>
      </c>
      <c r="DI120" s="1684">
        <v>0</v>
      </c>
      <c r="DJ120" s="1684">
        <v>0</v>
      </c>
      <c r="DK120" s="1684">
        <v>0</v>
      </c>
      <c r="DL120" s="1684">
        <v>0</v>
      </c>
      <c r="DM120" s="1684">
        <v>1914</v>
      </c>
      <c r="DN120" s="1684">
        <v>1914</v>
      </c>
      <c r="DO120" s="1684">
        <v>0</v>
      </c>
      <c r="DP120" s="1684">
        <v>0</v>
      </c>
      <c r="DQ120" s="1326" t="s">
        <v>2810</v>
      </c>
      <c r="DR120" s="1684">
        <v>0</v>
      </c>
      <c r="DS120" s="1326" t="s">
        <v>2757</v>
      </c>
      <c r="DT120" s="1682"/>
      <c r="DU120" s="1326" t="s">
        <v>2785</v>
      </c>
      <c r="DV120" s="1686">
        <v>43738</v>
      </c>
    </row>
    <row r="121" spans="1:126" ht="56.25">
      <c r="A121" s="1326" t="s">
        <v>2112</v>
      </c>
      <c r="B121" s="1326" t="s">
        <v>1702</v>
      </c>
      <c r="C121" s="1326" t="s">
        <v>2564</v>
      </c>
      <c r="D121" s="1326" t="s">
        <v>4179</v>
      </c>
      <c r="E121" s="1326" t="s">
        <v>153</v>
      </c>
      <c r="F121" s="1326" t="s">
        <v>3460</v>
      </c>
      <c r="G121" s="1326" t="s">
        <v>2575</v>
      </c>
      <c r="H121" s="1326" t="s">
        <v>2556</v>
      </c>
      <c r="I121" s="1326" t="s">
        <v>2541</v>
      </c>
      <c r="J121" s="1326" t="s">
        <v>3434</v>
      </c>
      <c r="K121" s="1685">
        <v>43362</v>
      </c>
      <c r="L121" s="1685">
        <v>43532</v>
      </c>
      <c r="M121" s="1326" t="s">
        <v>3435</v>
      </c>
      <c r="N121" s="1326" t="s">
        <v>2061</v>
      </c>
      <c r="O121" s="1326" t="s">
        <v>4372</v>
      </c>
      <c r="P121" s="1326" t="s">
        <v>2757</v>
      </c>
      <c r="Q121" s="1326" t="s">
        <v>1709</v>
      </c>
      <c r="R121" s="1326" t="s">
        <v>2757</v>
      </c>
      <c r="S121" s="1326" t="s">
        <v>2757</v>
      </c>
      <c r="T121" s="1326"/>
      <c r="U121" s="1326" t="s">
        <v>2758</v>
      </c>
      <c r="V121" s="1326" t="s">
        <v>2757</v>
      </c>
      <c r="W121" s="1326" t="s">
        <v>2757</v>
      </c>
      <c r="X121" s="1326"/>
      <c r="Y121" s="1326" t="s">
        <v>2757</v>
      </c>
      <c r="Z121" s="1326"/>
      <c r="AA121" s="1326"/>
      <c r="AB121" s="1326" t="s">
        <v>2757</v>
      </c>
      <c r="AC121" s="1326" t="s">
        <v>2757</v>
      </c>
      <c r="AD121" s="1326" t="s">
        <v>2757</v>
      </c>
      <c r="AE121" s="1326"/>
      <c r="AF121" s="1326" t="s">
        <v>4181</v>
      </c>
      <c r="AG121" s="1326" t="s">
        <v>3095</v>
      </c>
      <c r="AH121" s="1326" t="s">
        <v>2791</v>
      </c>
      <c r="AI121" s="1326" t="s">
        <v>2762</v>
      </c>
      <c r="AJ121" s="1326" t="s">
        <v>2763</v>
      </c>
      <c r="AK121" s="1326" t="s">
        <v>2987</v>
      </c>
      <c r="AL121" s="1326" t="s">
        <v>4182</v>
      </c>
      <c r="AM121" s="1683">
        <v>100</v>
      </c>
      <c r="AN121" s="1326"/>
      <c r="AO121" s="1326"/>
      <c r="AP121" s="1326"/>
      <c r="AQ121" s="1326"/>
      <c r="AR121" s="1326"/>
      <c r="AS121" s="1326"/>
      <c r="AT121" s="1326" t="s">
        <v>2794</v>
      </c>
      <c r="AU121" s="1326" t="s">
        <v>2766</v>
      </c>
      <c r="AV121" s="1326" t="s">
        <v>3021</v>
      </c>
      <c r="AW121" s="1326"/>
      <c r="AX121" s="1326" t="s">
        <v>3096</v>
      </c>
      <c r="AY121" s="1326" t="s">
        <v>2798</v>
      </c>
      <c r="AZ121" s="1326" t="s">
        <v>4347</v>
      </c>
      <c r="BA121" s="1326" t="s">
        <v>3436</v>
      </c>
      <c r="BB121" s="1326" t="s">
        <v>2757</v>
      </c>
      <c r="BC121" s="1326" t="s">
        <v>2772</v>
      </c>
      <c r="BD121" s="1326" t="s">
        <v>2773</v>
      </c>
      <c r="BE121" s="1326" t="s">
        <v>4373</v>
      </c>
      <c r="BF121" s="1326" t="s">
        <v>4374</v>
      </c>
      <c r="BG121" s="1326" t="s">
        <v>4375</v>
      </c>
      <c r="BH121" s="1326" t="s">
        <v>2804</v>
      </c>
      <c r="BI121" s="1326" t="s">
        <v>2805</v>
      </c>
      <c r="BJ121" s="1326" t="s">
        <v>2806</v>
      </c>
      <c r="BK121" s="1326" t="s">
        <v>2794</v>
      </c>
      <c r="BL121" s="1326" t="s">
        <v>2757</v>
      </c>
      <c r="BM121" s="1326" t="s">
        <v>2757</v>
      </c>
      <c r="BN121" s="1683">
        <v>0</v>
      </c>
      <c r="BO121" s="1685">
        <v>42641</v>
      </c>
      <c r="BP121" s="1685">
        <v>43890</v>
      </c>
      <c r="BQ121" s="1326" t="s">
        <v>2779</v>
      </c>
      <c r="BR121" s="1685">
        <v>46387</v>
      </c>
      <c r="BS121" s="1326" t="s">
        <v>4376</v>
      </c>
      <c r="BT121" s="1326" t="s">
        <v>4377</v>
      </c>
      <c r="BU121" s="1683">
        <v>30</v>
      </c>
      <c r="BV121" s="1683">
        <v>127146</v>
      </c>
      <c r="BW121" s="1685">
        <v>43920</v>
      </c>
      <c r="BX121" s="1682"/>
      <c r="BY121" s="1326" t="s">
        <v>2052</v>
      </c>
      <c r="BZ121" s="1326" t="s">
        <v>2782</v>
      </c>
      <c r="CA121" s="1326" t="s">
        <v>2783</v>
      </c>
      <c r="CB121" s="1326" t="s">
        <v>2783</v>
      </c>
      <c r="CC121" s="1326" t="s">
        <v>2913</v>
      </c>
      <c r="CD121" s="1684">
        <v>466768.66</v>
      </c>
      <c r="CE121" s="1684">
        <v>466768.66</v>
      </c>
      <c r="CF121" s="1684">
        <v>423820</v>
      </c>
      <c r="CG121" s="1684">
        <v>90.8</v>
      </c>
      <c r="CH121" s="1684">
        <v>42948.66</v>
      </c>
      <c r="CI121" s="1684">
        <v>9.1999999999999993</v>
      </c>
      <c r="CJ121" s="1684">
        <v>466768.66</v>
      </c>
      <c r="CK121" s="1684">
        <v>100</v>
      </c>
      <c r="CL121" s="1410" t="s">
        <v>2785</v>
      </c>
      <c r="CM121" s="1686">
        <v>43473</v>
      </c>
      <c r="CN121" s="1400"/>
      <c r="CO121" s="1326"/>
      <c r="CP121" s="1682"/>
      <c r="CQ121" s="1684">
        <v>423820</v>
      </c>
      <c r="CR121" s="1684">
        <v>389456</v>
      </c>
      <c r="CS121" s="1684">
        <v>34364</v>
      </c>
      <c r="CT121" s="1326" t="s">
        <v>2785</v>
      </c>
      <c r="CU121" s="1686">
        <v>43489</v>
      </c>
      <c r="CV121" s="1684">
        <v>466768.66</v>
      </c>
      <c r="CW121" s="1684">
        <v>0</v>
      </c>
      <c r="CX121" s="1684">
        <v>0</v>
      </c>
      <c r="CY121" s="1684">
        <v>161335.71</v>
      </c>
      <c r="CZ121" s="1684">
        <v>297529.95</v>
      </c>
      <c r="DA121" s="1684">
        <v>3793</v>
      </c>
      <c r="DB121" s="1684">
        <v>0</v>
      </c>
      <c r="DC121" s="1684">
        <v>4110</v>
      </c>
      <c r="DD121" s="1684">
        <v>466768.66</v>
      </c>
      <c r="DE121" s="1684">
        <v>423820</v>
      </c>
      <c r="DF121" s="1684">
        <v>389456</v>
      </c>
      <c r="DG121" s="1684">
        <v>34364</v>
      </c>
      <c r="DH121" s="1684">
        <v>42948.66</v>
      </c>
      <c r="DI121" s="1684">
        <v>42948.66</v>
      </c>
      <c r="DJ121" s="1684">
        <v>0</v>
      </c>
      <c r="DK121" s="1684">
        <v>0</v>
      </c>
      <c r="DL121" s="1684">
        <v>42948.66</v>
      </c>
      <c r="DM121" s="1684">
        <v>0</v>
      </c>
      <c r="DN121" s="1684">
        <v>0</v>
      </c>
      <c r="DO121" s="1684">
        <v>0</v>
      </c>
      <c r="DP121" s="1684">
        <v>0</v>
      </c>
      <c r="DQ121" s="1326" t="s">
        <v>2810</v>
      </c>
      <c r="DR121" s="1684">
        <v>0</v>
      </c>
      <c r="DS121" s="1326" t="s">
        <v>2757</v>
      </c>
      <c r="DT121" s="1682"/>
      <c r="DU121" s="1326" t="s">
        <v>2785</v>
      </c>
      <c r="DV121" s="1686">
        <v>43890</v>
      </c>
    </row>
    <row r="122" spans="1:126" ht="67.5">
      <c r="A122" s="1326" t="s">
        <v>2113</v>
      </c>
      <c r="B122" s="1326" t="s">
        <v>1702</v>
      </c>
      <c r="C122" s="1326" t="s">
        <v>2564</v>
      </c>
      <c r="D122" s="1326" t="s">
        <v>4179</v>
      </c>
      <c r="E122" s="1326" t="s">
        <v>153</v>
      </c>
      <c r="F122" s="1326" t="s">
        <v>3460</v>
      </c>
      <c r="G122" s="1326" t="s">
        <v>2575</v>
      </c>
      <c r="H122" s="1326" t="s">
        <v>2556</v>
      </c>
      <c r="I122" s="1326" t="s">
        <v>2541</v>
      </c>
      <c r="J122" s="1326" t="s">
        <v>3439</v>
      </c>
      <c r="K122" s="1685">
        <v>43370</v>
      </c>
      <c r="L122" s="1685">
        <v>43490</v>
      </c>
      <c r="M122" s="1326" t="s">
        <v>1418</v>
      </c>
      <c r="N122" s="1326" t="s">
        <v>2061</v>
      </c>
      <c r="O122" s="1326" t="s">
        <v>4304</v>
      </c>
      <c r="P122" s="1326" t="s">
        <v>2757</v>
      </c>
      <c r="Q122" s="1326" t="s">
        <v>2026</v>
      </c>
      <c r="R122" s="1326" t="s">
        <v>2757</v>
      </c>
      <c r="S122" s="1326" t="s">
        <v>2757</v>
      </c>
      <c r="T122" s="1326"/>
      <c r="U122" s="1326" t="s">
        <v>2758</v>
      </c>
      <c r="V122" s="1326" t="s">
        <v>2757</v>
      </c>
      <c r="W122" s="1326" t="s">
        <v>2757</v>
      </c>
      <c r="X122" s="1326"/>
      <c r="Y122" s="1326" t="s">
        <v>2757</v>
      </c>
      <c r="Z122" s="1326"/>
      <c r="AA122" s="1326"/>
      <c r="AB122" s="1326" t="s">
        <v>2757</v>
      </c>
      <c r="AC122" s="1326" t="s">
        <v>2757</v>
      </c>
      <c r="AD122" s="1326" t="s">
        <v>2757</v>
      </c>
      <c r="AE122" s="1326"/>
      <c r="AF122" s="1326" t="s">
        <v>4181</v>
      </c>
      <c r="AG122" s="1326" t="s">
        <v>3095</v>
      </c>
      <c r="AH122" s="1326" t="s">
        <v>2837</v>
      </c>
      <c r="AI122" s="1326" t="s">
        <v>2762</v>
      </c>
      <c r="AJ122" s="1326" t="s">
        <v>2763</v>
      </c>
      <c r="AK122" s="1326" t="s">
        <v>2987</v>
      </c>
      <c r="AL122" s="1326" t="s">
        <v>4182</v>
      </c>
      <c r="AM122" s="1683">
        <v>100</v>
      </c>
      <c r="AN122" s="1326"/>
      <c r="AO122" s="1326"/>
      <c r="AP122" s="1326"/>
      <c r="AQ122" s="1326"/>
      <c r="AR122" s="1326"/>
      <c r="AS122" s="1326"/>
      <c r="AT122" s="1326" t="s">
        <v>2794</v>
      </c>
      <c r="AU122" s="1326" t="s">
        <v>2766</v>
      </c>
      <c r="AV122" s="1326" t="s">
        <v>3021</v>
      </c>
      <c r="AW122" s="1326"/>
      <c r="AX122" s="1326" t="s">
        <v>3096</v>
      </c>
      <c r="AY122" s="1326" t="s">
        <v>2798</v>
      </c>
      <c r="AZ122" s="1326" t="s">
        <v>3441</v>
      </c>
      <c r="BA122" s="1326" t="s">
        <v>3440</v>
      </c>
      <c r="BB122" s="1326" t="s">
        <v>2757</v>
      </c>
      <c r="BC122" s="1326" t="s">
        <v>2844</v>
      </c>
      <c r="BD122" s="1326" t="s">
        <v>2859</v>
      </c>
      <c r="BE122" s="1326" t="s">
        <v>4305</v>
      </c>
      <c r="BF122" s="1326" t="s">
        <v>4306</v>
      </c>
      <c r="BG122" s="1326" t="s">
        <v>4307</v>
      </c>
      <c r="BH122" s="1326" t="s">
        <v>2804</v>
      </c>
      <c r="BI122" s="1326" t="s">
        <v>2805</v>
      </c>
      <c r="BJ122" s="1326" t="s">
        <v>2806</v>
      </c>
      <c r="BK122" s="1326" t="s">
        <v>2794</v>
      </c>
      <c r="BL122" s="1326" t="s">
        <v>2757</v>
      </c>
      <c r="BM122" s="1326" t="s">
        <v>2757</v>
      </c>
      <c r="BN122" s="1683">
        <v>0</v>
      </c>
      <c r="BO122" s="1685">
        <v>43490</v>
      </c>
      <c r="BP122" s="1685">
        <v>43769</v>
      </c>
      <c r="BQ122" s="1326" t="s">
        <v>2779</v>
      </c>
      <c r="BR122" s="1685">
        <v>46022</v>
      </c>
      <c r="BS122" s="1326" t="s">
        <v>2925</v>
      </c>
      <c r="BT122" s="1326" t="s">
        <v>4308</v>
      </c>
      <c r="BU122" s="1683">
        <v>30</v>
      </c>
      <c r="BV122" s="1683">
        <v>23015.4</v>
      </c>
      <c r="BW122" s="1685">
        <v>43799</v>
      </c>
      <c r="BX122" s="1682"/>
      <c r="BY122" s="1326" t="s">
        <v>2052</v>
      </c>
      <c r="BZ122" s="1326" t="s">
        <v>2782</v>
      </c>
      <c r="CA122" s="1326" t="s">
        <v>2783</v>
      </c>
      <c r="CB122" s="1326" t="s">
        <v>2783</v>
      </c>
      <c r="CC122" s="1326" t="s">
        <v>2913</v>
      </c>
      <c r="CD122" s="1684">
        <v>82938</v>
      </c>
      <c r="CE122" s="1684">
        <v>82938</v>
      </c>
      <c r="CF122" s="1684">
        <v>76718</v>
      </c>
      <c r="CG122" s="1684">
        <v>92.5</v>
      </c>
      <c r="CH122" s="1684">
        <v>6220</v>
      </c>
      <c r="CI122" s="1684">
        <v>7.5</v>
      </c>
      <c r="CJ122" s="1684">
        <v>82938</v>
      </c>
      <c r="CK122" s="1684">
        <v>100</v>
      </c>
      <c r="CL122" s="1410" t="s">
        <v>2785</v>
      </c>
      <c r="CM122" s="1686">
        <v>43427</v>
      </c>
      <c r="CN122" s="1400"/>
      <c r="CO122" s="1326"/>
      <c r="CP122" s="1682"/>
      <c r="CQ122" s="1684">
        <v>76718</v>
      </c>
      <c r="CR122" s="1684">
        <v>70498</v>
      </c>
      <c r="CS122" s="1684">
        <v>6220</v>
      </c>
      <c r="CT122" s="1326" t="s">
        <v>2785</v>
      </c>
      <c r="CU122" s="1686">
        <v>43469</v>
      </c>
      <c r="CV122" s="1684">
        <v>82938</v>
      </c>
      <c r="CW122" s="1684">
        <v>0</v>
      </c>
      <c r="CX122" s="1684">
        <v>0</v>
      </c>
      <c r="CY122" s="1684">
        <v>6654.66</v>
      </c>
      <c r="CZ122" s="1684">
        <v>75424</v>
      </c>
      <c r="DA122" s="1684">
        <v>0</v>
      </c>
      <c r="DB122" s="1684">
        <v>0</v>
      </c>
      <c r="DC122" s="1684">
        <v>859.34</v>
      </c>
      <c r="DD122" s="1684">
        <v>76718</v>
      </c>
      <c r="DE122" s="1684">
        <v>76718</v>
      </c>
      <c r="DF122" s="1684">
        <v>70498</v>
      </c>
      <c r="DG122" s="1684">
        <v>6220</v>
      </c>
      <c r="DH122" s="1684">
        <v>6220</v>
      </c>
      <c r="DI122" s="1684">
        <v>0</v>
      </c>
      <c r="DJ122" s="1684">
        <v>0</v>
      </c>
      <c r="DK122" s="1684">
        <v>0</v>
      </c>
      <c r="DL122" s="1684">
        <v>0</v>
      </c>
      <c r="DM122" s="1684">
        <v>6220</v>
      </c>
      <c r="DN122" s="1684">
        <v>6220</v>
      </c>
      <c r="DO122" s="1684">
        <v>0</v>
      </c>
      <c r="DP122" s="1684">
        <v>0</v>
      </c>
      <c r="DQ122" s="1326" t="s">
        <v>2810</v>
      </c>
      <c r="DR122" s="1684">
        <v>0</v>
      </c>
      <c r="DS122" s="1326" t="s">
        <v>2757</v>
      </c>
      <c r="DT122" s="1682"/>
      <c r="DU122" s="1326" t="s">
        <v>2785</v>
      </c>
      <c r="DV122" s="1686">
        <v>43769</v>
      </c>
    </row>
    <row r="123" spans="1:126" ht="45">
      <c r="A123" s="1326" t="s">
        <v>2114</v>
      </c>
      <c r="B123" s="1326" t="s">
        <v>1702</v>
      </c>
      <c r="C123" s="1326" t="s">
        <v>2564</v>
      </c>
      <c r="D123" s="1326" t="s">
        <v>4179</v>
      </c>
      <c r="E123" s="1326" t="s">
        <v>153</v>
      </c>
      <c r="F123" s="1326" t="s">
        <v>3460</v>
      </c>
      <c r="G123" s="1326" t="s">
        <v>2575</v>
      </c>
      <c r="H123" s="1326" t="s">
        <v>2556</v>
      </c>
      <c r="I123" s="1326" t="s">
        <v>2541</v>
      </c>
      <c r="J123" s="1326" t="s">
        <v>3445</v>
      </c>
      <c r="K123" s="1685">
        <v>43371</v>
      </c>
      <c r="L123" s="1685">
        <v>43488</v>
      </c>
      <c r="M123" s="1326" t="s">
        <v>1416</v>
      </c>
      <c r="N123" s="1326" t="s">
        <v>2061</v>
      </c>
      <c r="O123" s="1326" t="s">
        <v>4309</v>
      </c>
      <c r="P123" s="1326" t="s">
        <v>2757</v>
      </c>
      <c r="Q123" s="1326" t="s">
        <v>2075</v>
      </c>
      <c r="R123" s="1326" t="s">
        <v>2757</v>
      </c>
      <c r="S123" s="1326" t="s">
        <v>2757</v>
      </c>
      <c r="T123" s="1326"/>
      <c r="U123" s="1326" t="s">
        <v>2758</v>
      </c>
      <c r="V123" s="1326" t="s">
        <v>2757</v>
      </c>
      <c r="W123" s="1326" t="s">
        <v>2757</v>
      </c>
      <c r="X123" s="1326"/>
      <c r="Y123" s="1326" t="s">
        <v>2757</v>
      </c>
      <c r="Z123" s="1326"/>
      <c r="AA123" s="1326"/>
      <c r="AB123" s="1326" t="s">
        <v>2757</v>
      </c>
      <c r="AC123" s="1326" t="s">
        <v>2757</v>
      </c>
      <c r="AD123" s="1326" t="s">
        <v>2757</v>
      </c>
      <c r="AE123" s="1326"/>
      <c r="AF123" s="1326" t="s">
        <v>4181</v>
      </c>
      <c r="AG123" s="1326" t="s">
        <v>3095</v>
      </c>
      <c r="AH123" s="1326" t="s">
        <v>2791</v>
      </c>
      <c r="AI123" s="1326" t="s">
        <v>2762</v>
      </c>
      <c r="AJ123" s="1326" t="s">
        <v>2763</v>
      </c>
      <c r="AK123" s="1326" t="s">
        <v>2987</v>
      </c>
      <c r="AL123" s="1326" t="s">
        <v>4182</v>
      </c>
      <c r="AM123" s="1683">
        <v>100</v>
      </c>
      <c r="AN123" s="1326"/>
      <c r="AO123" s="1326"/>
      <c r="AP123" s="1326"/>
      <c r="AQ123" s="1326"/>
      <c r="AR123" s="1326"/>
      <c r="AS123" s="1326"/>
      <c r="AT123" s="1326" t="s">
        <v>2794</v>
      </c>
      <c r="AU123" s="1326" t="s">
        <v>2766</v>
      </c>
      <c r="AV123" s="1326" t="s">
        <v>3021</v>
      </c>
      <c r="AW123" s="1326"/>
      <c r="AX123" s="1326" t="s">
        <v>3096</v>
      </c>
      <c r="AY123" s="1326" t="s">
        <v>2798</v>
      </c>
      <c r="AZ123" s="1326" t="s">
        <v>4310</v>
      </c>
      <c r="BA123" s="1326" t="s">
        <v>3446</v>
      </c>
      <c r="BB123" s="1326" t="s">
        <v>2757</v>
      </c>
      <c r="BC123" s="1326" t="s">
        <v>2772</v>
      </c>
      <c r="BD123" s="1326" t="s">
        <v>2773</v>
      </c>
      <c r="BE123" s="1326" t="s">
        <v>4311</v>
      </c>
      <c r="BF123" s="1326" t="s">
        <v>4312</v>
      </c>
      <c r="BG123" s="1326" t="s">
        <v>4313</v>
      </c>
      <c r="BH123" s="1326" t="s">
        <v>2804</v>
      </c>
      <c r="BI123" s="1326" t="s">
        <v>2805</v>
      </c>
      <c r="BJ123" s="1326" t="s">
        <v>2806</v>
      </c>
      <c r="BK123" s="1326" t="s">
        <v>2794</v>
      </c>
      <c r="BL123" s="1326" t="s">
        <v>2757</v>
      </c>
      <c r="BM123" s="1326" t="s">
        <v>2757</v>
      </c>
      <c r="BN123" s="1683">
        <v>0</v>
      </c>
      <c r="BO123" s="1685">
        <v>43333</v>
      </c>
      <c r="BP123" s="1685">
        <v>43738</v>
      </c>
      <c r="BQ123" s="1326" t="s">
        <v>2779</v>
      </c>
      <c r="BR123" s="1685">
        <v>46022</v>
      </c>
      <c r="BS123" s="1326" t="s">
        <v>4314</v>
      </c>
      <c r="BT123" s="1326" t="s">
        <v>4315</v>
      </c>
      <c r="BU123" s="1683">
        <v>30</v>
      </c>
      <c r="BV123" s="1683">
        <v>13973.7</v>
      </c>
      <c r="BW123" s="1685">
        <v>43768</v>
      </c>
      <c r="BX123" s="1682"/>
      <c r="BY123" s="1326" t="s">
        <v>2052</v>
      </c>
      <c r="BZ123" s="1326" t="s">
        <v>2782</v>
      </c>
      <c r="CA123" s="1326" t="s">
        <v>2783</v>
      </c>
      <c r="CB123" s="1326" t="s">
        <v>2783</v>
      </c>
      <c r="CC123" s="1326" t="s">
        <v>2913</v>
      </c>
      <c r="CD123" s="1684">
        <v>50356</v>
      </c>
      <c r="CE123" s="1684">
        <v>50356</v>
      </c>
      <c r="CF123" s="1684">
        <v>46579</v>
      </c>
      <c r="CG123" s="1684">
        <v>92.5</v>
      </c>
      <c r="CH123" s="1684">
        <v>3777</v>
      </c>
      <c r="CI123" s="1684">
        <v>7.5</v>
      </c>
      <c r="CJ123" s="1684">
        <v>50356</v>
      </c>
      <c r="CK123" s="1684">
        <v>100</v>
      </c>
      <c r="CL123" s="1410" t="s">
        <v>2785</v>
      </c>
      <c r="CM123" s="1686">
        <v>43444</v>
      </c>
      <c r="CN123" s="1400"/>
      <c r="CO123" s="1326"/>
      <c r="CP123" s="1682"/>
      <c r="CQ123" s="1684">
        <v>46579</v>
      </c>
      <c r="CR123" s="1684">
        <v>42802</v>
      </c>
      <c r="CS123" s="1684">
        <v>3777</v>
      </c>
      <c r="CT123" s="1326" t="s">
        <v>2785</v>
      </c>
      <c r="CU123" s="1686">
        <v>43469</v>
      </c>
      <c r="CV123" s="1684">
        <v>50356</v>
      </c>
      <c r="CW123" s="1684">
        <v>0</v>
      </c>
      <c r="CX123" s="1684">
        <v>0</v>
      </c>
      <c r="CY123" s="1684">
        <v>9113.44</v>
      </c>
      <c r="CZ123" s="1684">
        <v>40581.620000000003</v>
      </c>
      <c r="DA123" s="1684">
        <v>0</v>
      </c>
      <c r="DB123" s="1684">
        <v>0</v>
      </c>
      <c r="DC123" s="1684">
        <v>660.94</v>
      </c>
      <c r="DD123" s="1684">
        <v>50356</v>
      </c>
      <c r="DE123" s="1684">
        <v>46579</v>
      </c>
      <c r="DF123" s="1684">
        <v>42802</v>
      </c>
      <c r="DG123" s="1684">
        <v>3777</v>
      </c>
      <c r="DH123" s="1684">
        <v>3777</v>
      </c>
      <c r="DI123" s="1684">
        <v>3777</v>
      </c>
      <c r="DJ123" s="1684">
        <v>0</v>
      </c>
      <c r="DK123" s="1684">
        <v>0</v>
      </c>
      <c r="DL123" s="1684">
        <v>3777</v>
      </c>
      <c r="DM123" s="1684">
        <v>0</v>
      </c>
      <c r="DN123" s="1684">
        <v>0</v>
      </c>
      <c r="DO123" s="1684">
        <v>0</v>
      </c>
      <c r="DP123" s="1684">
        <v>0</v>
      </c>
      <c r="DQ123" s="1326" t="s">
        <v>2810</v>
      </c>
      <c r="DR123" s="1684">
        <v>0</v>
      </c>
      <c r="DS123" s="1326" t="s">
        <v>2757</v>
      </c>
      <c r="DT123" s="1682"/>
      <c r="DU123" s="1326" t="s">
        <v>2785</v>
      </c>
      <c r="DV123" s="1686">
        <v>43738</v>
      </c>
    </row>
    <row r="124" spans="1:126" ht="45">
      <c r="A124" s="1326" t="s">
        <v>2115</v>
      </c>
      <c r="B124" s="1326" t="s">
        <v>1702</v>
      </c>
      <c r="C124" s="1326" t="s">
        <v>2564</v>
      </c>
      <c r="D124" s="1326" t="s">
        <v>4179</v>
      </c>
      <c r="E124" s="1326" t="s">
        <v>153</v>
      </c>
      <c r="F124" s="1326" t="s">
        <v>3460</v>
      </c>
      <c r="G124" s="1326" t="s">
        <v>2575</v>
      </c>
      <c r="H124" s="1326" t="s">
        <v>2556</v>
      </c>
      <c r="I124" s="1326" t="s">
        <v>2541</v>
      </c>
      <c r="J124" s="1326" t="s">
        <v>3448</v>
      </c>
      <c r="K124" s="1685">
        <v>43371</v>
      </c>
      <c r="L124" s="1685">
        <v>43468</v>
      </c>
      <c r="M124" s="1326" t="s">
        <v>1420</v>
      </c>
      <c r="N124" s="1326" t="s">
        <v>2061</v>
      </c>
      <c r="O124" s="1326" t="s">
        <v>4215</v>
      </c>
      <c r="P124" s="1326" t="s">
        <v>2757</v>
      </c>
      <c r="Q124" s="1326" t="s">
        <v>1709</v>
      </c>
      <c r="R124" s="1326" t="s">
        <v>2757</v>
      </c>
      <c r="S124" s="1326" t="s">
        <v>2757</v>
      </c>
      <c r="T124" s="1326"/>
      <c r="U124" s="1326" t="s">
        <v>2758</v>
      </c>
      <c r="V124" s="1326" t="s">
        <v>2757</v>
      </c>
      <c r="W124" s="1326" t="s">
        <v>2757</v>
      </c>
      <c r="X124" s="1326"/>
      <c r="Y124" s="1326" t="s">
        <v>2757</v>
      </c>
      <c r="Z124" s="1326"/>
      <c r="AA124" s="1326"/>
      <c r="AB124" s="1326" t="s">
        <v>2757</v>
      </c>
      <c r="AC124" s="1326" t="s">
        <v>2757</v>
      </c>
      <c r="AD124" s="1326" t="s">
        <v>2757</v>
      </c>
      <c r="AE124" s="1326"/>
      <c r="AF124" s="1326" t="s">
        <v>4181</v>
      </c>
      <c r="AG124" s="1326" t="s">
        <v>3095</v>
      </c>
      <c r="AH124" s="1326" t="s">
        <v>2837</v>
      </c>
      <c r="AI124" s="1326" t="s">
        <v>2762</v>
      </c>
      <c r="AJ124" s="1326" t="s">
        <v>2763</v>
      </c>
      <c r="AK124" s="1326" t="s">
        <v>2987</v>
      </c>
      <c r="AL124" s="1326" t="s">
        <v>4182</v>
      </c>
      <c r="AM124" s="1683">
        <v>100</v>
      </c>
      <c r="AN124" s="1326"/>
      <c r="AO124" s="1326"/>
      <c r="AP124" s="1326"/>
      <c r="AQ124" s="1326"/>
      <c r="AR124" s="1326"/>
      <c r="AS124" s="1326"/>
      <c r="AT124" s="1326" t="s">
        <v>2794</v>
      </c>
      <c r="AU124" s="1326" t="s">
        <v>2766</v>
      </c>
      <c r="AV124" s="1326" t="s">
        <v>3021</v>
      </c>
      <c r="AW124" s="1326"/>
      <c r="AX124" s="1326" t="s">
        <v>3096</v>
      </c>
      <c r="AY124" s="1326" t="s">
        <v>2798</v>
      </c>
      <c r="AZ124" s="1326" t="s">
        <v>4111</v>
      </c>
      <c r="BA124" s="1326" t="s">
        <v>3449</v>
      </c>
      <c r="BB124" s="1326" t="s">
        <v>2757</v>
      </c>
      <c r="BC124" s="1326" t="s">
        <v>2844</v>
      </c>
      <c r="BD124" s="1326" t="s">
        <v>2859</v>
      </c>
      <c r="BE124" s="1326" t="s">
        <v>4216</v>
      </c>
      <c r="BF124" s="1326" t="s">
        <v>4217</v>
      </c>
      <c r="BG124" s="1326" t="s">
        <v>4218</v>
      </c>
      <c r="BH124" s="1326" t="s">
        <v>2804</v>
      </c>
      <c r="BI124" s="1326" t="s">
        <v>2805</v>
      </c>
      <c r="BJ124" s="1326" t="s">
        <v>2806</v>
      </c>
      <c r="BK124" s="1326" t="s">
        <v>2794</v>
      </c>
      <c r="BL124" s="1326" t="s">
        <v>2757</v>
      </c>
      <c r="BM124" s="1326" t="s">
        <v>2757</v>
      </c>
      <c r="BN124" s="1683">
        <v>0</v>
      </c>
      <c r="BO124" s="1685">
        <v>42888</v>
      </c>
      <c r="BP124" s="1685">
        <v>43830</v>
      </c>
      <c r="BQ124" s="1326" t="s">
        <v>2779</v>
      </c>
      <c r="BR124" s="1685">
        <v>46022</v>
      </c>
      <c r="BS124" s="1326" t="s">
        <v>2925</v>
      </c>
      <c r="BT124" s="1326" t="s">
        <v>4219</v>
      </c>
      <c r="BU124" s="1683">
        <v>30</v>
      </c>
      <c r="BV124" s="1683">
        <v>12047.12</v>
      </c>
      <c r="BW124" s="1685">
        <v>43860</v>
      </c>
      <c r="BX124" s="1682"/>
      <c r="BY124" s="1326" t="s">
        <v>2052</v>
      </c>
      <c r="BZ124" s="1326" t="s">
        <v>2782</v>
      </c>
      <c r="CA124" s="1326" t="s">
        <v>2783</v>
      </c>
      <c r="CB124" s="1326" t="s">
        <v>2783</v>
      </c>
      <c r="CC124" s="1326" t="s">
        <v>2913</v>
      </c>
      <c r="CD124" s="1684">
        <v>43413.03</v>
      </c>
      <c r="CE124" s="1684">
        <v>43413.03</v>
      </c>
      <c r="CF124" s="1684">
        <v>40157.050000000003</v>
      </c>
      <c r="CG124" s="1684">
        <v>92.5</v>
      </c>
      <c r="CH124" s="1684">
        <v>3255.98</v>
      </c>
      <c r="CI124" s="1684">
        <v>7.5</v>
      </c>
      <c r="CJ124" s="1684">
        <v>43413.03</v>
      </c>
      <c r="CK124" s="1684">
        <v>100</v>
      </c>
      <c r="CL124" s="1410" t="s">
        <v>2785</v>
      </c>
      <c r="CM124" s="1686">
        <v>43431</v>
      </c>
      <c r="CN124" s="1400"/>
      <c r="CO124" s="1326"/>
      <c r="CP124" s="1682"/>
      <c r="CQ124" s="1684">
        <v>40157.050000000003</v>
      </c>
      <c r="CR124" s="1684">
        <v>36901.08</v>
      </c>
      <c r="CS124" s="1684">
        <v>3255.97</v>
      </c>
      <c r="CT124" s="1326" t="s">
        <v>2785</v>
      </c>
      <c r="CU124" s="1686">
        <v>43448</v>
      </c>
      <c r="CV124" s="1684">
        <v>43413.03</v>
      </c>
      <c r="CW124" s="1684">
        <v>0</v>
      </c>
      <c r="CX124" s="1684">
        <v>0</v>
      </c>
      <c r="CY124" s="1684">
        <v>0</v>
      </c>
      <c r="CZ124" s="1684">
        <v>42848.51</v>
      </c>
      <c r="DA124" s="1684">
        <v>0</v>
      </c>
      <c r="DB124" s="1684">
        <v>0</v>
      </c>
      <c r="DC124" s="1684">
        <v>564.52</v>
      </c>
      <c r="DD124" s="1684">
        <v>40157.050000000003</v>
      </c>
      <c r="DE124" s="1684">
        <v>40157.050000000003</v>
      </c>
      <c r="DF124" s="1684">
        <v>36901.08</v>
      </c>
      <c r="DG124" s="1684">
        <v>3255.97</v>
      </c>
      <c r="DH124" s="1684">
        <v>3255.98</v>
      </c>
      <c r="DI124" s="1684">
        <v>0</v>
      </c>
      <c r="DJ124" s="1684">
        <v>0</v>
      </c>
      <c r="DK124" s="1684">
        <v>0</v>
      </c>
      <c r="DL124" s="1684">
        <v>0</v>
      </c>
      <c r="DM124" s="1684">
        <v>3255.98</v>
      </c>
      <c r="DN124" s="1684">
        <v>3255.98</v>
      </c>
      <c r="DO124" s="1684">
        <v>0</v>
      </c>
      <c r="DP124" s="1684">
        <v>0</v>
      </c>
      <c r="DQ124" s="1326" t="s">
        <v>2810</v>
      </c>
      <c r="DR124" s="1684">
        <v>0</v>
      </c>
      <c r="DS124" s="1326" t="s">
        <v>2757</v>
      </c>
      <c r="DT124" s="1682"/>
      <c r="DU124" s="1326" t="s">
        <v>2785</v>
      </c>
      <c r="DV124" s="1686">
        <v>43830</v>
      </c>
    </row>
    <row r="125" spans="1:126" ht="56.25">
      <c r="A125" s="1326" t="s">
        <v>2116</v>
      </c>
      <c r="B125" s="1326" t="s">
        <v>1702</v>
      </c>
      <c r="C125" s="1326" t="s">
        <v>2564</v>
      </c>
      <c r="D125" s="1326" t="s">
        <v>4179</v>
      </c>
      <c r="E125" s="1326" t="s">
        <v>153</v>
      </c>
      <c r="F125" s="1326" t="s">
        <v>3460</v>
      </c>
      <c r="G125" s="1326" t="s">
        <v>2575</v>
      </c>
      <c r="H125" s="1326" t="s">
        <v>2556</v>
      </c>
      <c r="I125" s="1326" t="s">
        <v>2541</v>
      </c>
      <c r="J125" s="1326" t="s">
        <v>3796</v>
      </c>
      <c r="K125" s="1685">
        <v>43399</v>
      </c>
      <c r="L125" s="1685">
        <v>43509</v>
      </c>
      <c r="M125" s="1326" t="s">
        <v>3805</v>
      </c>
      <c r="N125" s="1326" t="s">
        <v>2061</v>
      </c>
      <c r="O125" s="1326" t="s">
        <v>4378</v>
      </c>
      <c r="P125" s="1326" t="s">
        <v>2757</v>
      </c>
      <c r="Q125" s="1326" t="s">
        <v>2025</v>
      </c>
      <c r="R125" s="1326" t="s">
        <v>2757</v>
      </c>
      <c r="S125" s="1326" t="s">
        <v>2757</v>
      </c>
      <c r="T125" s="1326"/>
      <c r="U125" s="1326" t="s">
        <v>2758</v>
      </c>
      <c r="V125" s="1326" t="s">
        <v>2757</v>
      </c>
      <c r="W125" s="1326" t="s">
        <v>2757</v>
      </c>
      <c r="X125" s="1326"/>
      <c r="Y125" s="1326" t="s">
        <v>2757</v>
      </c>
      <c r="Z125" s="1326"/>
      <c r="AA125" s="1326"/>
      <c r="AB125" s="1326" t="s">
        <v>2757</v>
      </c>
      <c r="AC125" s="1326" t="s">
        <v>2757</v>
      </c>
      <c r="AD125" s="1326" t="s">
        <v>2757</v>
      </c>
      <c r="AE125" s="1326"/>
      <c r="AF125" s="1326" t="s">
        <v>4181</v>
      </c>
      <c r="AG125" s="1326" t="s">
        <v>3095</v>
      </c>
      <c r="AH125" s="1326" t="s">
        <v>2837</v>
      </c>
      <c r="AI125" s="1326" t="s">
        <v>2762</v>
      </c>
      <c r="AJ125" s="1326" t="s">
        <v>2763</v>
      </c>
      <c r="AK125" s="1326" t="s">
        <v>2987</v>
      </c>
      <c r="AL125" s="1326" t="s">
        <v>4182</v>
      </c>
      <c r="AM125" s="1683">
        <v>100</v>
      </c>
      <c r="AN125" s="1326"/>
      <c r="AO125" s="1326"/>
      <c r="AP125" s="1326"/>
      <c r="AQ125" s="1326"/>
      <c r="AR125" s="1326"/>
      <c r="AS125" s="1326"/>
      <c r="AT125" s="1326" t="s">
        <v>2880</v>
      </c>
      <c r="AU125" s="1326" t="s">
        <v>2766</v>
      </c>
      <c r="AV125" s="1326" t="s">
        <v>3021</v>
      </c>
      <c r="AW125" s="1326"/>
      <c r="AX125" s="1326" t="s">
        <v>3096</v>
      </c>
      <c r="AY125" s="1326" t="s">
        <v>2798</v>
      </c>
      <c r="AZ125" s="1326" t="s">
        <v>4351</v>
      </c>
      <c r="BA125" s="1326" t="s">
        <v>3806</v>
      </c>
      <c r="BB125" s="1326" t="s">
        <v>2757</v>
      </c>
      <c r="BC125" s="1326" t="s">
        <v>2844</v>
      </c>
      <c r="BD125" s="1326" t="s">
        <v>2859</v>
      </c>
      <c r="BE125" s="1326" t="s">
        <v>4379</v>
      </c>
      <c r="BF125" s="1326" t="s">
        <v>4380</v>
      </c>
      <c r="BG125" s="1326" t="s">
        <v>4381</v>
      </c>
      <c r="BH125" s="1326" t="s">
        <v>2804</v>
      </c>
      <c r="BI125" s="1326" t="s">
        <v>2805</v>
      </c>
      <c r="BJ125" s="1326" t="s">
        <v>2885</v>
      </c>
      <c r="BK125" s="1326" t="s">
        <v>2880</v>
      </c>
      <c r="BL125" s="1326" t="s">
        <v>2757</v>
      </c>
      <c r="BM125" s="1326" t="s">
        <v>2757</v>
      </c>
      <c r="BN125" s="1683">
        <v>0</v>
      </c>
      <c r="BO125" s="1685">
        <v>43509</v>
      </c>
      <c r="BP125" s="1685">
        <v>43677</v>
      </c>
      <c r="BQ125" s="1326" t="s">
        <v>2779</v>
      </c>
      <c r="BR125" s="1685">
        <v>46022</v>
      </c>
      <c r="BS125" s="1326" t="s">
        <v>3987</v>
      </c>
      <c r="BT125" s="1326" t="s">
        <v>4382</v>
      </c>
      <c r="BU125" s="1683">
        <v>30</v>
      </c>
      <c r="BV125" s="1683">
        <v>3410.1</v>
      </c>
      <c r="BW125" s="1685">
        <v>43707</v>
      </c>
      <c r="BX125" s="1682"/>
      <c r="BY125" s="1326" t="s">
        <v>2052</v>
      </c>
      <c r="BZ125" s="1326" t="s">
        <v>2783</v>
      </c>
      <c r="CA125" s="1326" t="s">
        <v>2783</v>
      </c>
      <c r="CB125" s="1326" t="s">
        <v>2783</v>
      </c>
      <c r="CC125" s="1326" t="s">
        <v>2913</v>
      </c>
      <c r="CD125" s="1684">
        <v>29990</v>
      </c>
      <c r="CE125" s="1684">
        <v>29990</v>
      </c>
      <c r="CF125" s="1684">
        <v>11367</v>
      </c>
      <c r="CG125" s="1684">
        <v>37.9</v>
      </c>
      <c r="CH125" s="1684">
        <v>18623</v>
      </c>
      <c r="CI125" s="1684">
        <v>62.1</v>
      </c>
      <c r="CJ125" s="1684">
        <v>29990</v>
      </c>
      <c r="CK125" s="1684">
        <v>100</v>
      </c>
      <c r="CL125" s="1410" t="s">
        <v>2785</v>
      </c>
      <c r="CM125" s="1686">
        <v>43455</v>
      </c>
      <c r="CN125" s="1400"/>
      <c r="CO125" s="1326"/>
      <c r="CP125" s="1682"/>
      <c r="CQ125" s="1684">
        <v>11367</v>
      </c>
      <c r="CR125" s="1684">
        <v>10445</v>
      </c>
      <c r="CS125" s="1684">
        <v>922</v>
      </c>
      <c r="CT125" s="1326" t="s">
        <v>2785</v>
      </c>
      <c r="CU125" s="1686">
        <v>43489</v>
      </c>
      <c r="CV125" s="1684">
        <v>29990</v>
      </c>
      <c r="CW125" s="1684">
        <v>0</v>
      </c>
      <c r="CX125" s="1684">
        <v>0</v>
      </c>
      <c r="CY125" s="1684">
        <v>0</v>
      </c>
      <c r="CZ125" s="1684">
        <v>29990</v>
      </c>
      <c r="DA125" s="1684">
        <v>0</v>
      </c>
      <c r="DB125" s="1684">
        <v>0</v>
      </c>
      <c r="DC125" s="1684">
        <v>0</v>
      </c>
      <c r="DD125" s="1684">
        <v>11367</v>
      </c>
      <c r="DE125" s="1684">
        <v>11367</v>
      </c>
      <c r="DF125" s="1684">
        <v>10445</v>
      </c>
      <c r="DG125" s="1684">
        <v>922</v>
      </c>
      <c r="DH125" s="1684">
        <v>18623</v>
      </c>
      <c r="DI125" s="1684">
        <v>0</v>
      </c>
      <c r="DJ125" s="1684">
        <v>0</v>
      </c>
      <c r="DK125" s="1684">
        <v>0</v>
      </c>
      <c r="DL125" s="1684">
        <v>0</v>
      </c>
      <c r="DM125" s="1684">
        <v>18623</v>
      </c>
      <c r="DN125" s="1684">
        <v>18623</v>
      </c>
      <c r="DO125" s="1684">
        <v>0</v>
      </c>
      <c r="DP125" s="1684">
        <v>0</v>
      </c>
      <c r="DQ125" s="1326" t="s">
        <v>2810</v>
      </c>
      <c r="DR125" s="1684">
        <v>0</v>
      </c>
      <c r="DS125" s="1326" t="s">
        <v>2757</v>
      </c>
      <c r="DT125" s="1682"/>
      <c r="DU125" s="1326" t="s">
        <v>2785</v>
      </c>
      <c r="DV125" s="1686">
        <v>43677</v>
      </c>
    </row>
    <row r="126" spans="1:126" ht="123.75">
      <c r="A126" s="1326" t="s">
        <v>2117</v>
      </c>
      <c r="B126" s="1326" t="s">
        <v>1702</v>
      </c>
      <c r="C126" s="1326" t="s">
        <v>2564</v>
      </c>
      <c r="D126" s="1326" t="s">
        <v>4179</v>
      </c>
      <c r="E126" s="1326" t="s">
        <v>153</v>
      </c>
      <c r="F126" s="1326" t="s">
        <v>3460</v>
      </c>
      <c r="G126" s="1326" t="s">
        <v>2575</v>
      </c>
      <c r="H126" s="1326" t="s">
        <v>2556</v>
      </c>
      <c r="I126" s="1326" t="s">
        <v>2541</v>
      </c>
      <c r="J126" s="1326" t="s">
        <v>3797</v>
      </c>
      <c r="K126" s="1685">
        <v>43402</v>
      </c>
      <c r="L126" s="1685">
        <v>43525</v>
      </c>
      <c r="M126" s="1326" t="s">
        <v>234</v>
      </c>
      <c r="N126" s="1326" t="s">
        <v>2061</v>
      </c>
      <c r="O126" s="1326" t="s">
        <v>4383</v>
      </c>
      <c r="P126" s="1326" t="s">
        <v>2757</v>
      </c>
      <c r="Q126" s="1326" t="s">
        <v>1716</v>
      </c>
      <c r="R126" s="1326" t="s">
        <v>2757</v>
      </c>
      <c r="S126" s="1326" t="s">
        <v>2757</v>
      </c>
      <c r="T126" s="1326"/>
      <c r="U126" s="1326" t="s">
        <v>2758</v>
      </c>
      <c r="V126" s="1326" t="s">
        <v>2757</v>
      </c>
      <c r="W126" s="1326" t="s">
        <v>2757</v>
      </c>
      <c r="X126" s="1326"/>
      <c r="Y126" s="1326" t="s">
        <v>2757</v>
      </c>
      <c r="Z126" s="1326"/>
      <c r="AA126" s="1326"/>
      <c r="AB126" s="1326" t="s">
        <v>2757</v>
      </c>
      <c r="AC126" s="1326" t="s">
        <v>2757</v>
      </c>
      <c r="AD126" s="1326" t="s">
        <v>2757</v>
      </c>
      <c r="AE126" s="1326"/>
      <c r="AF126" s="1326" t="s">
        <v>4181</v>
      </c>
      <c r="AG126" s="1326" t="s">
        <v>3095</v>
      </c>
      <c r="AH126" s="1326" t="s">
        <v>2791</v>
      </c>
      <c r="AI126" s="1326" t="s">
        <v>2762</v>
      </c>
      <c r="AJ126" s="1326" t="s">
        <v>2763</v>
      </c>
      <c r="AK126" s="1326" t="s">
        <v>2987</v>
      </c>
      <c r="AL126" s="1326" t="s">
        <v>4182</v>
      </c>
      <c r="AM126" s="1683">
        <v>100</v>
      </c>
      <c r="AN126" s="1326"/>
      <c r="AO126" s="1326"/>
      <c r="AP126" s="1326"/>
      <c r="AQ126" s="1326"/>
      <c r="AR126" s="1326"/>
      <c r="AS126" s="1326"/>
      <c r="AT126" s="1326" t="s">
        <v>2880</v>
      </c>
      <c r="AU126" s="1326" t="s">
        <v>2766</v>
      </c>
      <c r="AV126" s="1326" t="s">
        <v>3021</v>
      </c>
      <c r="AW126" s="1326"/>
      <c r="AX126" s="1326" t="s">
        <v>3096</v>
      </c>
      <c r="AY126" s="1326" t="s">
        <v>2798</v>
      </c>
      <c r="AZ126" s="1326" t="s">
        <v>3132</v>
      </c>
      <c r="BA126" s="1326" t="s">
        <v>3133</v>
      </c>
      <c r="BB126" s="1326" t="s">
        <v>2757</v>
      </c>
      <c r="BC126" s="1326" t="s">
        <v>2772</v>
      </c>
      <c r="BD126" s="1326" t="s">
        <v>2773</v>
      </c>
      <c r="BE126" s="1326" t="s">
        <v>4384</v>
      </c>
      <c r="BF126" s="1326" t="s">
        <v>3135</v>
      </c>
      <c r="BG126" s="1326" t="s">
        <v>4385</v>
      </c>
      <c r="BH126" s="1326" t="s">
        <v>2804</v>
      </c>
      <c r="BI126" s="1326" t="s">
        <v>2805</v>
      </c>
      <c r="BJ126" s="1326" t="s">
        <v>2885</v>
      </c>
      <c r="BK126" s="1326" t="s">
        <v>2880</v>
      </c>
      <c r="BL126" s="1326" t="s">
        <v>2757</v>
      </c>
      <c r="BM126" s="1326" t="s">
        <v>2757</v>
      </c>
      <c r="BN126" s="1683">
        <v>0</v>
      </c>
      <c r="BO126" s="1685">
        <v>43525</v>
      </c>
      <c r="BP126" s="1685">
        <v>44043</v>
      </c>
      <c r="BQ126" s="1326" t="s">
        <v>2779</v>
      </c>
      <c r="BR126" s="1685">
        <v>46387</v>
      </c>
      <c r="BS126" s="1326" t="s">
        <v>3118</v>
      </c>
      <c r="BT126" s="1326" t="s">
        <v>4386</v>
      </c>
      <c r="BU126" s="1683">
        <v>30</v>
      </c>
      <c r="BV126" s="1683">
        <v>45380.1</v>
      </c>
      <c r="BW126" s="1685">
        <v>44073</v>
      </c>
      <c r="BX126" s="1682"/>
      <c r="BY126" s="1326" t="s">
        <v>2052</v>
      </c>
      <c r="BZ126" s="1326" t="s">
        <v>2782</v>
      </c>
      <c r="CA126" s="1326" t="s">
        <v>2783</v>
      </c>
      <c r="CB126" s="1326" t="s">
        <v>2783</v>
      </c>
      <c r="CC126" s="1326" t="s">
        <v>2913</v>
      </c>
      <c r="CD126" s="1684">
        <v>163532</v>
      </c>
      <c r="CE126" s="1684">
        <v>163532</v>
      </c>
      <c r="CF126" s="1684">
        <v>151267</v>
      </c>
      <c r="CG126" s="1684">
        <v>92.5</v>
      </c>
      <c r="CH126" s="1684">
        <v>12265</v>
      </c>
      <c r="CI126" s="1684">
        <v>7.5</v>
      </c>
      <c r="CJ126" s="1684">
        <v>163532</v>
      </c>
      <c r="CK126" s="1684">
        <v>100</v>
      </c>
      <c r="CL126" s="1410" t="s">
        <v>2785</v>
      </c>
      <c r="CM126" s="1686">
        <v>43462</v>
      </c>
      <c r="CN126" s="1400"/>
      <c r="CO126" s="1326"/>
      <c r="CP126" s="1682"/>
      <c r="CQ126" s="1684">
        <v>151267</v>
      </c>
      <c r="CR126" s="1684">
        <v>139002</v>
      </c>
      <c r="CS126" s="1684">
        <v>12265</v>
      </c>
      <c r="CT126" s="1326" t="s">
        <v>2785</v>
      </c>
      <c r="CU126" s="1686">
        <v>43489</v>
      </c>
      <c r="CV126" s="1684">
        <v>163532</v>
      </c>
      <c r="CW126" s="1684">
        <v>0</v>
      </c>
      <c r="CX126" s="1684">
        <v>0</v>
      </c>
      <c r="CY126" s="1684">
        <v>61252</v>
      </c>
      <c r="CZ126" s="1684">
        <v>100066</v>
      </c>
      <c r="DA126" s="1684">
        <v>0</v>
      </c>
      <c r="DB126" s="1684">
        <v>68</v>
      </c>
      <c r="DC126" s="1684">
        <v>2146</v>
      </c>
      <c r="DD126" s="1684">
        <v>163532</v>
      </c>
      <c r="DE126" s="1684">
        <v>151267</v>
      </c>
      <c r="DF126" s="1684">
        <v>139002</v>
      </c>
      <c r="DG126" s="1684">
        <v>12265</v>
      </c>
      <c r="DH126" s="1684">
        <v>12265</v>
      </c>
      <c r="DI126" s="1684">
        <v>12265</v>
      </c>
      <c r="DJ126" s="1684">
        <v>0</v>
      </c>
      <c r="DK126" s="1684">
        <v>0</v>
      </c>
      <c r="DL126" s="1684">
        <v>12265</v>
      </c>
      <c r="DM126" s="1684">
        <v>0</v>
      </c>
      <c r="DN126" s="1684">
        <v>0</v>
      </c>
      <c r="DO126" s="1684">
        <v>0</v>
      </c>
      <c r="DP126" s="1684">
        <v>0</v>
      </c>
      <c r="DQ126" s="1326" t="s">
        <v>2810</v>
      </c>
      <c r="DR126" s="1684">
        <v>0</v>
      </c>
      <c r="DS126" s="1326" t="s">
        <v>2757</v>
      </c>
      <c r="DT126" s="1682"/>
      <c r="DU126" s="1326" t="s">
        <v>2785</v>
      </c>
      <c r="DV126" s="1686">
        <v>44043</v>
      </c>
    </row>
    <row r="127" spans="1:126" ht="90">
      <c r="A127" s="1326" t="s">
        <v>2118</v>
      </c>
      <c r="B127" s="1326" t="s">
        <v>1702</v>
      </c>
      <c r="C127" s="1326" t="s">
        <v>2564</v>
      </c>
      <c r="D127" s="1326" t="s">
        <v>4179</v>
      </c>
      <c r="E127" s="1326" t="s">
        <v>153</v>
      </c>
      <c r="F127" s="1326" t="s">
        <v>3460</v>
      </c>
      <c r="G127" s="1326" t="s">
        <v>2575</v>
      </c>
      <c r="H127" s="1326" t="s">
        <v>2556</v>
      </c>
      <c r="I127" s="1326" t="s">
        <v>2541</v>
      </c>
      <c r="J127" s="1326" t="s">
        <v>3798</v>
      </c>
      <c r="K127" s="1685">
        <v>43402</v>
      </c>
      <c r="L127" s="1685">
        <v>43488</v>
      </c>
      <c r="M127" s="1326" t="s">
        <v>3750</v>
      </c>
      <c r="N127" s="1326" t="s">
        <v>2061</v>
      </c>
      <c r="O127" s="1326" t="s">
        <v>4316</v>
      </c>
      <c r="P127" s="1326" t="s">
        <v>2757</v>
      </c>
      <c r="Q127" s="1326" t="s">
        <v>2075</v>
      </c>
      <c r="R127" s="1326" t="s">
        <v>2757</v>
      </c>
      <c r="S127" s="1326" t="s">
        <v>2757</v>
      </c>
      <c r="T127" s="1326"/>
      <c r="U127" s="1326" t="s">
        <v>2758</v>
      </c>
      <c r="V127" s="1326" t="s">
        <v>2757</v>
      </c>
      <c r="W127" s="1326" t="s">
        <v>2757</v>
      </c>
      <c r="X127" s="1326"/>
      <c r="Y127" s="1326" t="s">
        <v>2757</v>
      </c>
      <c r="Z127" s="1326"/>
      <c r="AA127" s="1326"/>
      <c r="AB127" s="1326" t="s">
        <v>2757</v>
      </c>
      <c r="AC127" s="1326" t="s">
        <v>2757</v>
      </c>
      <c r="AD127" s="1326" t="s">
        <v>2757</v>
      </c>
      <c r="AE127" s="1326"/>
      <c r="AF127" s="1326" t="s">
        <v>4181</v>
      </c>
      <c r="AG127" s="1326" t="s">
        <v>3095</v>
      </c>
      <c r="AH127" s="1326" t="s">
        <v>2837</v>
      </c>
      <c r="AI127" s="1326" t="s">
        <v>2762</v>
      </c>
      <c r="AJ127" s="1326" t="s">
        <v>2763</v>
      </c>
      <c r="AK127" s="1326" t="s">
        <v>2987</v>
      </c>
      <c r="AL127" s="1326" t="s">
        <v>4182</v>
      </c>
      <c r="AM127" s="1683">
        <v>100</v>
      </c>
      <c r="AN127" s="1326"/>
      <c r="AO127" s="1326"/>
      <c r="AP127" s="1326"/>
      <c r="AQ127" s="1326"/>
      <c r="AR127" s="1326"/>
      <c r="AS127" s="1326"/>
      <c r="AT127" s="1326" t="s">
        <v>2880</v>
      </c>
      <c r="AU127" s="1326" t="s">
        <v>2766</v>
      </c>
      <c r="AV127" s="1326" t="s">
        <v>3021</v>
      </c>
      <c r="AW127" s="1326"/>
      <c r="AX127" s="1326" t="s">
        <v>3096</v>
      </c>
      <c r="AY127" s="1326" t="s">
        <v>2798</v>
      </c>
      <c r="AZ127" s="1326" t="s">
        <v>4112</v>
      </c>
      <c r="BA127" s="1326" t="s">
        <v>3808</v>
      </c>
      <c r="BB127" s="1326" t="s">
        <v>2757</v>
      </c>
      <c r="BC127" s="1326" t="s">
        <v>2844</v>
      </c>
      <c r="BD127" s="1326" t="s">
        <v>2859</v>
      </c>
      <c r="BE127" s="1326" t="s">
        <v>4317</v>
      </c>
      <c r="BF127" s="1326" t="s">
        <v>4318</v>
      </c>
      <c r="BG127" s="1326" t="s">
        <v>4319</v>
      </c>
      <c r="BH127" s="1326" t="s">
        <v>2024</v>
      </c>
      <c r="BI127" s="1326" t="s">
        <v>2805</v>
      </c>
      <c r="BJ127" s="1326" t="s">
        <v>2885</v>
      </c>
      <c r="BK127" s="1326" t="s">
        <v>2880</v>
      </c>
      <c r="BL127" s="1326" t="s">
        <v>2757</v>
      </c>
      <c r="BM127" s="1326" t="s">
        <v>2757</v>
      </c>
      <c r="BN127" s="1683">
        <v>0</v>
      </c>
      <c r="BO127" s="1685">
        <v>43235</v>
      </c>
      <c r="BP127" s="1685">
        <v>43738</v>
      </c>
      <c r="BQ127" s="1326" t="s">
        <v>2779</v>
      </c>
      <c r="BR127" s="1685">
        <v>46022</v>
      </c>
      <c r="BS127" s="1326" t="s">
        <v>3987</v>
      </c>
      <c r="BT127" s="1326" t="s">
        <v>4320</v>
      </c>
      <c r="BU127" s="1683">
        <v>30</v>
      </c>
      <c r="BV127" s="1683">
        <v>7743.9</v>
      </c>
      <c r="BW127" s="1685">
        <v>43768</v>
      </c>
      <c r="BX127" s="1682"/>
      <c r="BY127" s="1326" t="s">
        <v>2052</v>
      </c>
      <c r="BZ127" s="1326" t="s">
        <v>2782</v>
      </c>
      <c r="CA127" s="1326" t="s">
        <v>2783</v>
      </c>
      <c r="CB127" s="1326" t="s">
        <v>2783</v>
      </c>
      <c r="CC127" s="1326" t="s">
        <v>2913</v>
      </c>
      <c r="CD127" s="1684">
        <v>27906</v>
      </c>
      <c r="CE127" s="1684">
        <v>27906</v>
      </c>
      <c r="CF127" s="1684">
        <v>25813</v>
      </c>
      <c r="CG127" s="1684">
        <v>92.5</v>
      </c>
      <c r="CH127" s="1684">
        <v>2093</v>
      </c>
      <c r="CI127" s="1684">
        <v>7.5</v>
      </c>
      <c r="CJ127" s="1684">
        <v>27906</v>
      </c>
      <c r="CK127" s="1684">
        <v>100</v>
      </c>
      <c r="CL127" s="1410" t="s">
        <v>2785</v>
      </c>
      <c r="CM127" s="1686">
        <v>43427</v>
      </c>
      <c r="CN127" s="1400"/>
      <c r="CO127" s="1326"/>
      <c r="CP127" s="1682"/>
      <c r="CQ127" s="1684">
        <v>25813</v>
      </c>
      <c r="CR127" s="1684">
        <v>23720.1</v>
      </c>
      <c r="CS127" s="1684">
        <v>2092.9</v>
      </c>
      <c r="CT127" s="1326" t="s">
        <v>2785</v>
      </c>
      <c r="CU127" s="1686">
        <v>43469</v>
      </c>
      <c r="CV127" s="1684">
        <v>27906</v>
      </c>
      <c r="CW127" s="1684">
        <v>0</v>
      </c>
      <c r="CX127" s="1684">
        <v>0</v>
      </c>
      <c r="CY127" s="1684">
        <v>4630</v>
      </c>
      <c r="CZ127" s="1684">
        <v>22880</v>
      </c>
      <c r="DA127" s="1684">
        <v>0</v>
      </c>
      <c r="DB127" s="1684">
        <v>30</v>
      </c>
      <c r="DC127" s="1684">
        <v>366</v>
      </c>
      <c r="DD127" s="1684">
        <v>25813</v>
      </c>
      <c r="DE127" s="1684">
        <v>25813</v>
      </c>
      <c r="DF127" s="1684">
        <v>23720.1</v>
      </c>
      <c r="DG127" s="1684">
        <v>2092.9</v>
      </c>
      <c r="DH127" s="1684">
        <v>2093</v>
      </c>
      <c r="DI127" s="1684">
        <v>0</v>
      </c>
      <c r="DJ127" s="1684">
        <v>0</v>
      </c>
      <c r="DK127" s="1684">
        <v>0</v>
      </c>
      <c r="DL127" s="1684">
        <v>0</v>
      </c>
      <c r="DM127" s="1684">
        <v>2093</v>
      </c>
      <c r="DN127" s="1684">
        <v>2093</v>
      </c>
      <c r="DO127" s="1684">
        <v>0</v>
      </c>
      <c r="DP127" s="1684">
        <v>0</v>
      </c>
      <c r="DQ127" s="1326" t="s">
        <v>2810</v>
      </c>
      <c r="DR127" s="1684">
        <v>0</v>
      </c>
      <c r="DS127" s="1326" t="s">
        <v>2757</v>
      </c>
      <c r="DT127" s="1682"/>
      <c r="DU127" s="1326" t="s">
        <v>2785</v>
      </c>
      <c r="DV127" s="1686">
        <v>43738</v>
      </c>
    </row>
    <row r="128" spans="1:126" ht="67.5">
      <c r="A128" s="1326" t="s">
        <v>2119</v>
      </c>
      <c r="B128" s="1326" t="s">
        <v>1702</v>
      </c>
      <c r="C128" s="1326" t="s">
        <v>2564</v>
      </c>
      <c r="D128" s="1326" t="s">
        <v>4179</v>
      </c>
      <c r="E128" s="1326" t="s">
        <v>153</v>
      </c>
      <c r="F128" s="1326" t="s">
        <v>3460</v>
      </c>
      <c r="G128" s="1326" t="s">
        <v>2575</v>
      </c>
      <c r="H128" s="1326" t="s">
        <v>2556</v>
      </c>
      <c r="I128" s="1326" t="s">
        <v>2541</v>
      </c>
      <c r="J128" s="1326" t="s">
        <v>3799</v>
      </c>
      <c r="K128" s="1685">
        <v>43403</v>
      </c>
      <c r="L128" s="1685">
        <v>43518</v>
      </c>
      <c r="M128" s="1326" t="s">
        <v>1426</v>
      </c>
      <c r="N128" s="1326" t="s">
        <v>2061</v>
      </c>
      <c r="O128" s="1326" t="s">
        <v>4387</v>
      </c>
      <c r="P128" s="1326" t="s">
        <v>2757</v>
      </c>
      <c r="Q128" s="1326" t="s">
        <v>1718</v>
      </c>
      <c r="R128" s="1326" t="s">
        <v>2757</v>
      </c>
      <c r="S128" s="1326" t="s">
        <v>2757</v>
      </c>
      <c r="T128" s="1326"/>
      <c r="U128" s="1326" t="s">
        <v>2758</v>
      </c>
      <c r="V128" s="1326" t="s">
        <v>2757</v>
      </c>
      <c r="W128" s="1326" t="s">
        <v>2757</v>
      </c>
      <c r="X128" s="1326"/>
      <c r="Y128" s="1326" t="s">
        <v>2757</v>
      </c>
      <c r="Z128" s="1326"/>
      <c r="AA128" s="1326"/>
      <c r="AB128" s="1326" t="s">
        <v>2757</v>
      </c>
      <c r="AC128" s="1326" t="s">
        <v>2757</v>
      </c>
      <c r="AD128" s="1326" t="s">
        <v>2757</v>
      </c>
      <c r="AE128" s="1326"/>
      <c r="AF128" s="1326" t="s">
        <v>4181</v>
      </c>
      <c r="AG128" s="1326" t="s">
        <v>3095</v>
      </c>
      <c r="AH128" s="1326" t="s">
        <v>2791</v>
      </c>
      <c r="AI128" s="1326" t="s">
        <v>2762</v>
      </c>
      <c r="AJ128" s="1326" t="s">
        <v>2763</v>
      </c>
      <c r="AK128" s="1326" t="s">
        <v>2987</v>
      </c>
      <c r="AL128" s="1326" t="s">
        <v>4182</v>
      </c>
      <c r="AM128" s="1683">
        <v>100</v>
      </c>
      <c r="AN128" s="1326"/>
      <c r="AO128" s="1326"/>
      <c r="AP128" s="1326"/>
      <c r="AQ128" s="1326"/>
      <c r="AR128" s="1326"/>
      <c r="AS128" s="1326"/>
      <c r="AT128" s="1326" t="s">
        <v>2867</v>
      </c>
      <c r="AU128" s="1326" t="s">
        <v>2766</v>
      </c>
      <c r="AV128" s="1326" t="s">
        <v>3021</v>
      </c>
      <c r="AW128" s="1326"/>
      <c r="AX128" s="1326" t="s">
        <v>3096</v>
      </c>
      <c r="AY128" s="1326" t="s">
        <v>2798</v>
      </c>
      <c r="AZ128" s="1326" t="s">
        <v>3144</v>
      </c>
      <c r="BA128" s="1326" t="s">
        <v>3145</v>
      </c>
      <c r="BB128" s="1326" t="s">
        <v>2757</v>
      </c>
      <c r="BC128" s="1326" t="s">
        <v>2772</v>
      </c>
      <c r="BD128" s="1326" t="s">
        <v>2773</v>
      </c>
      <c r="BE128" s="1326" t="s">
        <v>3115</v>
      </c>
      <c r="BF128" s="1326" t="s">
        <v>4388</v>
      </c>
      <c r="BG128" s="1326" t="s">
        <v>3148</v>
      </c>
      <c r="BH128" s="1326" t="s">
        <v>2804</v>
      </c>
      <c r="BI128" s="1326" t="s">
        <v>2805</v>
      </c>
      <c r="BJ128" s="1326" t="s">
        <v>2832</v>
      </c>
      <c r="BK128" s="1326" t="s">
        <v>2867</v>
      </c>
      <c r="BL128" s="1326" t="s">
        <v>2757</v>
      </c>
      <c r="BM128" s="1326" t="s">
        <v>2757</v>
      </c>
      <c r="BN128" s="1683">
        <v>0</v>
      </c>
      <c r="BO128" s="1685">
        <v>43518</v>
      </c>
      <c r="BP128" s="1685">
        <v>44074</v>
      </c>
      <c r="BQ128" s="1326" t="s">
        <v>2779</v>
      </c>
      <c r="BR128" s="1685">
        <v>46387</v>
      </c>
      <c r="BS128" s="1326" t="s">
        <v>3118</v>
      </c>
      <c r="BT128" s="1326" t="s">
        <v>4389</v>
      </c>
      <c r="BU128" s="1683">
        <v>30</v>
      </c>
      <c r="BV128" s="1683">
        <v>47628.9</v>
      </c>
      <c r="BW128" s="1685">
        <v>44104</v>
      </c>
      <c r="BX128" s="1682"/>
      <c r="BY128" s="1326" t="s">
        <v>2052</v>
      </c>
      <c r="BZ128" s="1326" t="s">
        <v>2783</v>
      </c>
      <c r="CA128" s="1326" t="s">
        <v>2783</v>
      </c>
      <c r="CB128" s="1326" t="s">
        <v>2783</v>
      </c>
      <c r="CC128" s="1326" t="s">
        <v>2913</v>
      </c>
      <c r="CD128" s="1684">
        <v>172142.73</v>
      </c>
      <c r="CE128" s="1684">
        <v>172142.73</v>
      </c>
      <c r="CF128" s="1684">
        <v>158763</v>
      </c>
      <c r="CG128" s="1684">
        <v>92.23</v>
      </c>
      <c r="CH128" s="1684">
        <v>13379.73</v>
      </c>
      <c r="CI128" s="1684">
        <v>7.77</v>
      </c>
      <c r="CJ128" s="1684">
        <v>172142.73</v>
      </c>
      <c r="CK128" s="1684">
        <v>100</v>
      </c>
      <c r="CL128" s="1410" t="s">
        <v>2785</v>
      </c>
      <c r="CM128" s="1686">
        <v>43462</v>
      </c>
      <c r="CN128" s="1400"/>
      <c r="CO128" s="1326"/>
      <c r="CP128" s="1682"/>
      <c r="CQ128" s="1684">
        <v>158763</v>
      </c>
      <c r="CR128" s="1684">
        <v>145890</v>
      </c>
      <c r="CS128" s="1684">
        <v>12873</v>
      </c>
      <c r="CT128" s="1326" t="s">
        <v>2785</v>
      </c>
      <c r="CU128" s="1686">
        <v>43489</v>
      </c>
      <c r="CV128" s="1684">
        <v>172142.73</v>
      </c>
      <c r="CW128" s="1684">
        <v>0</v>
      </c>
      <c r="CX128" s="1684">
        <v>0</v>
      </c>
      <c r="CY128" s="1684">
        <v>40089.53</v>
      </c>
      <c r="CZ128" s="1684">
        <v>132053.20000000001</v>
      </c>
      <c r="DA128" s="1684">
        <v>0</v>
      </c>
      <c r="DB128" s="1684">
        <v>0</v>
      </c>
      <c r="DC128" s="1684">
        <v>0</v>
      </c>
      <c r="DD128" s="1684">
        <v>172142.73</v>
      </c>
      <c r="DE128" s="1684">
        <v>158763</v>
      </c>
      <c r="DF128" s="1684">
        <v>145890</v>
      </c>
      <c r="DG128" s="1684">
        <v>12873</v>
      </c>
      <c r="DH128" s="1684">
        <v>13379.73</v>
      </c>
      <c r="DI128" s="1684">
        <v>13379.73</v>
      </c>
      <c r="DJ128" s="1684">
        <v>0</v>
      </c>
      <c r="DK128" s="1684">
        <v>0</v>
      </c>
      <c r="DL128" s="1684">
        <v>13379.73</v>
      </c>
      <c r="DM128" s="1684">
        <v>0</v>
      </c>
      <c r="DN128" s="1684">
        <v>0</v>
      </c>
      <c r="DO128" s="1684">
        <v>0</v>
      </c>
      <c r="DP128" s="1684">
        <v>0</v>
      </c>
      <c r="DQ128" s="1326" t="s">
        <v>2810</v>
      </c>
      <c r="DR128" s="1684">
        <v>0</v>
      </c>
      <c r="DS128" s="1326" t="s">
        <v>2757</v>
      </c>
      <c r="DT128" s="1682"/>
      <c r="DU128" s="1326" t="s">
        <v>2785</v>
      </c>
      <c r="DV128" s="1686">
        <v>44074</v>
      </c>
    </row>
    <row r="129" spans="1:126" ht="67.5">
      <c r="A129" s="1326" t="s">
        <v>2120</v>
      </c>
      <c r="B129" s="1326" t="s">
        <v>1702</v>
      </c>
      <c r="C129" s="1326" t="s">
        <v>2564</v>
      </c>
      <c r="D129" s="1326" t="s">
        <v>4179</v>
      </c>
      <c r="E129" s="1326" t="s">
        <v>153</v>
      </c>
      <c r="F129" s="1326" t="s">
        <v>3460</v>
      </c>
      <c r="G129" s="1326" t="s">
        <v>2575</v>
      </c>
      <c r="H129" s="1326" t="s">
        <v>2556</v>
      </c>
      <c r="I129" s="1326" t="s">
        <v>2541</v>
      </c>
      <c r="J129" s="1326" t="s">
        <v>3800</v>
      </c>
      <c r="K129" s="1685">
        <v>43403</v>
      </c>
      <c r="L129" s="1685">
        <v>43515</v>
      </c>
      <c r="M129" s="1326" t="s">
        <v>3742</v>
      </c>
      <c r="N129" s="1326" t="s">
        <v>2061</v>
      </c>
      <c r="O129" s="1326" t="s">
        <v>4390</v>
      </c>
      <c r="P129" s="1326" t="s">
        <v>2757</v>
      </c>
      <c r="Q129" s="1326" t="s">
        <v>1710</v>
      </c>
      <c r="R129" s="1326" t="s">
        <v>2757</v>
      </c>
      <c r="S129" s="1326" t="s">
        <v>2757</v>
      </c>
      <c r="T129" s="1326"/>
      <c r="U129" s="1326" t="s">
        <v>2758</v>
      </c>
      <c r="V129" s="1326" t="s">
        <v>2757</v>
      </c>
      <c r="W129" s="1326" t="s">
        <v>2757</v>
      </c>
      <c r="X129" s="1326"/>
      <c r="Y129" s="1326" t="s">
        <v>2757</v>
      </c>
      <c r="Z129" s="1326"/>
      <c r="AA129" s="1326"/>
      <c r="AB129" s="1326" t="s">
        <v>2757</v>
      </c>
      <c r="AC129" s="1326" t="s">
        <v>2757</v>
      </c>
      <c r="AD129" s="1326" t="s">
        <v>2757</v>
      </c>
      <c r="AE129" s="1326"/>
      <c r="AF129" s="1326" t="s">
        <v>4181</v>
      </c>
      <c r="AG129" s="1326" t="s">
        <v>3095</v>
      </c>
      <c r="AH129" s="1326" t="s">
        <v>2791</v>
      </c>
      <c r="AI129" s="1326" t="s">
        <v>2762</v>
      </c>
      <c r="AJ129" s="1326" t="s">
        <v>2763</v>
      </c>
      <c r="AK129" s="1326" t="s">
        <v>2987</v>
      </c>
      <c r="AL129" s="1326" t="s">
        <v>4182</v>
      </c>
      <c r="AM129" s="1683">
        <v>100</v>
      </c>
      <c r="AN129" s="1326"/>
      <c r="AO129" s="1326"/>
      <c r="AP129" s="1326"/>
      <c r="AQ129" s="1326"/>
      <c r="AR129" s="1326"/>
      <c r="AS129" s="1326"/>
      <c r="AT129" s="1326" t="s">
        <v>2867</v>
      </c>
      <c r="AU129" s="1326" t="s">
        <v>2766</v>
      </c>
      <c r="AV129" s="1326" t="s">
        <v>3021</v>
      </c>
      <c r="AW129" s="1326"/>
      <c r="AX129" s="1326" t="s">
        <v>3096</v>
      </c>
      <c r="AY129" s="1326" t="s">
        <v>2798</v>
      </c>
      <c r="AZ129" s="1326" t="s">
        <v>161</v>
      </c>
      <c r="BA129" s="1326" t="s">
        <v>2812</v>
      </c>
      <c r="BB129" s="1326" t="s">
        <v>2757</v>
      </c>
      <c r="BC129" s="1326" t="s">
        <v>2800</v>
      </c>
      <c r="BD129" s="1326" t="s">
        <v>2773</v>
      </c>
      <c r="BE129" s="1326" t="s">
        <v>3014</v>
      </c>
      <c r="BF129" s="1326" t="s">
        <v>4391</v>
      </c>
      <c r="BG129" s="1326" t="s">
        <v>2815</v>
      </c>
      <c r="BH129" s="1326" t="s">
        <v>2536</v>
      </c>
      <c r="BI129" s="1326" t="s">
        <v>2805</v>
      </c>
      <c r="BJ129" s="1326" t="s">
        <v>2816</v>
      </c>
      <c r="BK129" s="1326" t="s">
        <v>2867</v>
      </c>
      <c r="BL129" s="1326" t="s">
        <v>2757</v>
      </c>
      <c r="BM129" s="1326" t="s">
        <v>2757</v>
      </c>
      <c r="BN129" s="1683">
        <v>0</v>
      </c>
      <c r="BO129" s="1685">
        <v>43300</v>
      </c>
      <c r="BP129" s="1685">
        <v>43921</v>
      </c>
      <c r="BQ129" s="1326" t="s">
        <v>2779</v>
      </c>
      <c r="BR129" s="1685">
        <v>46387</v>
      </c>
      <c r="BS129" s="1326" t="s">
        <v>4392</v>
      </c>
      <c r="BT129" s="1326" t="s">
        <v>4393</v>
      </c>
      <c r="BU129" s="1683">
        <v>30</v>
      </c>
      <c r="BV129" s="1683">
        <v>53479.49</v>
      </c>
      <c r="BW129" s="1685">
        <v>43951</v>
      </c>
      <c r="BX129" s="1682"/>
      <c r="BY129" s="1326" t="s">
        <v>2052</v>
      </c>
      <c r="BZ129" s="1326" t="s">
        <v>2782</v>
      </c>
      <c r="CA129" s="1326" t="s">
        <v>2783</v>
      </c>
      <c r="CB129" s="1326" t="s">
        <v>2783</v>
      </c>
      <c r="CC129" s="1326" t="s">
        <v>2913</v>
      </c>
      <c r="CD129" s="1684">
        <v>193823.02</v>
      </c>
      <c r="CE129" s="1684">
        <v>193823.02</v>
      </c>
      <c r="CF129" s="1684">
        <v>178264.95999999999</v>
      </c>
      <c r="CG129" s="1684">
        <v>91.97</v>
      </c>
      <c r="CH129" s="1684">
        <v>15558.06</v>
      </c>
      <c r="CI129" s="1684">
        <v>8.0299999999999994</v>
      </c>
      <c r="CJ129" s="1684">
        <v>193823.02</v>
      </c>
      <c r="CK129" s="1684">
        <v>100</v>
      </c>
      <c r="CL129" s="1410" t="s">
        <v>2785</v>
      </c>
      <c r="CM129" s="1686">
        <v>43462</v>
      </c>
      <c r="CN129" s="1400"/>
      <c r="CO129" s="1326"/>
      <c r="CP129" s="1682"/>
      <c r="CQ129" s="1684">
        <v>178264.95999999999</v>
      </c>
      <c r="CR129" s="1684">
        <v>163810.96</v>
      </c>
      <c r="CS129" s="1684">
        <v>14454</v>
      </c>
      <c r="CT129" s="1326" t="s">
        <v>2785</v>
      </c>
      <c r="CU129" s="1686">
        <v>43489</v>
      </c>
      <c r="CV129" s="1684">
        <v>193823.02</v>
      </c>
      <c r="CW129" s="1684">
        <v>0</v>
      </c>
      <c r="CX129" s="1684">
        <v>0</v>
      </c>
      <c r="CY129" s="1684">
        <v>45513.43</v>
      </c>
      <c r="CZ129" s="1684">
        <v>146212.75</v>
      </c>
      <c r="DA129" s="1684">
        <v>0</v>
      </c>
      <c r="DB129" s="1684">
        <v>0</v>
      </c>
      <c r="DC129" s="1684">
        <v>2096.84</v>
      </c>
      <c r="DD129" s="1684">
        <v>186979.76</v>
      </c>
      <c r="DE129" s="1684">
        <v>178264.95999999999</v>
      </c>
      <c r="DF129" s="1684">
        <v>163810.96</v>
      </c>
      <c r="DG129" s="1684">
        <v>14454</v>
      </c>
      <c r="DH129" s="1684">
        <v>15558.06</v>
      </c>
      <c r="DI129" s="1684">
        <v>8714.7999999999993</v>
      </c>
      <c r="DJ129" s="1684">
        <v>0</v>
      </c>
      <c r="DK129" s="1684">
        <v>8714.7999999999993</v>
      </c>
      <c r="DL129" s="1684">
        <v>0</v>
      </c>
      <c r="DM129" s="1684">
        <v>6843.26</v>
      </c>
      <c r="DN129" s="1684">
        <v>6843.26</v>
      </c>
      <c r="DO129" s="1684">
        <v>0</v>
      </c>
      <c r="DP129" s="1684">
        <v>0</v>
      </c>
      <c r="DQ129" s="1326" t="s">
        <v>2810</v>
      </c>
      <c r="DR129" s="1684">
        <v>0</v>
      </c>
      <c r="DS129" s="1326" t="s">
        <v>2757</v>
      </c>
      <c r="DT129" s="1682"/>
      <c r="DU129" s="1326" t="s">
        <v>2785</v>
      </c>
      <c r="DV129" s="1686">
        <v>43921</v>
      </c>
    </row>
    <row r="130" spans="1:126" ht="45">
      <c r="A130" s="1326" t="s">
        <v>2121</v>
      </c>
      <c r="B130" s="1326" t="s">
        <v>1702</v>
      </c>
      <c r="C130" s="1326" t="s">
        <v>2564</v>
      </c>
      <c r="D130" s="1326" t="s">
        <v>4179</v>
      </c>
      <c r="E130" s="1326" t="s">
        <v>153</v>
      </c>
      <c r="F130" s="1326" t="s">
        <v>3460</v>
      </c>
      <c r="G130" s="1326" t="s">
        <v>2575</v>
      </c>
      <c r="H130" s="1326" t="s">
        <v>2556</v>
      </c>
      <c r="I130" s="1326" t="s">
        <v>2541</v>
      </c>
      <c r="J130" s="1326" t="s">
        <v>3801</v>
      </c>
      <c r="K130" s="1685">
        <v>43404</v>
      </c>
      <c r="L130" s="1685">
        <v>43490</v>
      </c>
      <c r="M130" s="1326" t="s">
        <v>3811</v>
      </c>
      <c r="N130" s="1326" t="s">
        <v>2061</v>
      </c>
      <c r="O130" s="1326" t="s">
        <v>4321</v>
      </c>
      <c r="P130" s="1326" t="s">
        <v>2757</v>
      </c>
      <c r="Q130" s="1326" t="s">
        <v>2025</v>
      </c>
      <c r="R130" s="1326" t="s">
        <v>2757</v>
      </c>
      <c r="S130" s="1326" t="s">
        <v>2757</v>
      </c>
      <c r="T130" s="1326"/>
      <c r="U130" s="1326" t="s">
        <v>2758</v>
      </c>
      <c r="V130" s="1326" t="s">
        <v>2757</v>
      </c>
      <c r="W130" s="1326" t="s">
        <v>2757</v>
      </c>
      <c r="X130" s="1326"/>
      <c r="Y130" s="1326" t="s">
        <v>2757</v>
      </c>
      <c r="Z130" s="1326"/>
      <c r="AA130" s="1326"/>
      <c r="AB130" s="1326" t="s">
        <v>2757</v>
      </c>
      <c r="AC130" s="1326" t="s">
        <v>2757</v>
      </c>
      <c r="AD130" s="1326" t="s">
        <v>2757</v>
      </c>
      <c r="AE130" s="1326"/>
      <c r="AF130" s="1326" t="s">
        <v>4181</v>
      </c>
      <c r="AG130" s="1326" t="s">
        <v>3095</v>
      </c>
      <c r="AH130" s="1326" t="s">
        <v>2837</v>
      </c>
      <c r="AI130" s="1326" t="s">
        <v>2762</v>
      </c>
      <c r="AJ130" s="1326" t="s">
        <v>2763</v>
      </c>
      <c r="AK130" s="1326" t="s">
        <v>2987</v>
      </c>
      <c r="AL130" s="1326" t="s">
        <v>4182</v>
      </c>
      <c r="AM130" s="1683">
        <v>100</v>
      </c>
      <c r="AN130" s="1326"/>
      <c r="AO130" s="1326"/>
      <c r="AP130" s="1326"/>
      <c r="AQ130" s="1326"/>
      <c r="AR130" s="1326"/>
      <c r="AS130" s="1326"/>
      <c r="AT130" s="1326" t="s">
        <v>2867</v>
      </c>
      <c r="AU130" s="1326" t="s">
        <v>2766</v>
      </c>
      <c r="AV130" s="1326" t="s">
        <v>3021</v>
      </c>
      <c r="AW130" s="1326"/>
      <c r="AX130" s="1326" t="s">
        <v>3096</v>
      </c>
      <c r="AY130" s="1326" t="s">
        <v>2798</v>
      </c>
      <c r="AZ130" s="1326" t="s">
        <v>3813</v>
      </c>
      <c r="BA130" s="1326" t="s">
        <v>3812</v>
      </c>
      <c r="BB130" s="1326" t="s">
        <v>2757</v>
      </c>
      <c r="BC130" s="1326" t="s">
        <v>2844</v>
      </c>
      <c r="BD130" s="1326" t="s">
        <v>2859</v>
      </c>
      <c r="BE130" s="1326" t="s">
        <v>4322</v>
      </c>
      <c r="BF130" s="1326" t="s">
        <v>4323</v>
      </c>
      <c r="BG130" s="1326" t="s">
        <v>4324</v>
      </c>
      <c r="BH130" s="1326" t="s">
        <v>2804</v>
      </c>
      <c r="BI130" s="1326" t="s">
        <v>2805</v>
      </c>
      <c r="BJ130" s="1326" t="s">
        <v>2832</v>
      </c>
      <c r="BK130" s="1326" t="s">
        <v>2867</v>
      </c>
      <c r="BL130" s="1326" t="s">
        <v>2757</v>
      </c>
      <c r="BM130" s="1326" t="s">
        <v>2757</v>
      </c>
      <c r="BN130" s="1683">
        <v>0</v>
      </c>
      <c r="BO130" s="1685">
        <v>43490</v>
      </c>
      <c r="BP130" s="1685">
        <v>43646</v>
      </c>
      <c r="BQ130" s="1326" t="s">
        <v>2779</v>
      </c>
      <c r="BR130" s="1685">
        <v>46022</v>
      </c>
      <c r="BS130" s="1326" t="s">
        <v>3151</v>
      </c>
      <c r="BT130" s="1326" t="s">
        <v>4325</v>
      </c>
      <c r="BU130" s="1683">
        <v>30</v>
      </c>
      <c r="BV130" s="1683">
        <v>4824.6000000000004</v>
      </c>
      <c r="BW130" s="1685">
        <v>43676</v>
      </c>
      <c r="BX130" s="1682"/>
      <c r="BY130" s="1326" t="s">
        <v>2052</v>
      </c>
      <c r="BZ130" s="1326" t="s">
        <v>2783</v>
      </c>
      <c r="CA130" s="1326" t="s">
        <v>2783</v>
      </c>
      <c r="CB130" s="1326" t="s">
        <v>2783</v>
      </c>
      <c r="CC130" s="1326" t="s">
        <v>2913</v>
      </c>
      <c r="CD130" s="1684">
        <v>23990.78</v>
      </c>
      <c r="CE130" s="1684">
        <v>23990.78</v>
      </c>
      <c r="CF130" s="1684">
        <v>16082</v>
      </c>
      <c r="CG130" s="1684">
        <v>67.03</v>
      </c>
      <c r="CH130" s="1684">
        <v>7908.78</v>
      </c>
      <c r="CI130" s="1684">
        <v>32.97</v>
      </c>
      <c r="CJ130" s="1684">
        <v>23990.78</v>
      </c>
      <c r="CK130" s="1684">
        <v>100</v>
      </c>
      <c r="CL130" s="1410" t="s">
        <v>2785</v>
      </c>
      <c r="CM130" s="1686">
        <v>43444</v>
      </c>
      <c r="CN130" s="1400"/>
      <c r="CO130" s="1326"/>
      <c r="CP130" s="1682"/>
      <c r="CQ130" s="1684">
        <v>16082</v>
      </c>
      <c r="CR130" s="1684">
        <v>15815.88</v>
      </c>
      <c r="CS130" s="1684">
        <v>266.12</v>
      </c>
      <c r="CT130" s="1326" t="s">
        <v>2785</v>
      </c>
      <c r="CU130" s="1686">
        <v>43469</v>
      </c>
      <c r="CV130" s="1684">
        <v>23990.78</v>
      </c>
      <c r="CW130" s="1684">
        <v>0</v>
      </c>
      <c r="CX130" s="1684">
        <v>0</v>
      </c>
      <c r="CY130" s="1684">
        <v>0</v>
      </c>
      <c r="CZ130" s="1684">
        <v>23990.78</v>
      </c>
      <c r="DA130" s="1684">
        <v>0</v>
      </c>
      <c r="DB130" s="1684">
        <v>0</v>
      </c>
      <c r="DC130" s="1684">
        <v>0</v>
      </c>
      <c r="DD130" s="1684">
        <v>16082</v>
      </c>
      <c r="DE130" s="1684">
        <v>16082</v>
      </c>
      <c r="DF130" s="1684">
        <v>15815.88</v>
      </c>
      <c r="DG130" s="1684">
        <v>266.12</v>
      </c>
      <c r="DH130" s="1684">
        <v>7908.78</v>
      </c>
      <c r="DI130" s="1684">
        <v>0</v>
      </c>
      <c r="DJ130" s="1684">
        <v>0</v>
      </c>
      <c r="DK130" s="1684">
        <v>0</v>
      </c>
      <c r="DL130" s="1684">
        <v>0</v>
      </c>
      <c r="DM130" s="1684">
        <v>7908.78</v>
      </c>
      <c r="DN130" s="1684">
        <v>7908.78</v>
      </c>
      <c r="DO130" s="1684">
        <v>0</v>
      </c>
      <c r="DP130" s="1684">
        <v>0</v>
      </c>
      <c r="DQ130" s="1326" t="s">
        <v>2810</v>
      </c>
      <c r="DR130" s="1684">
        <v>0</v>
      </c>
      <c r="DS130" s="1326" t="s">
        <v>2757</v>
      </c>
      <c r="DT130" s="1682"/>
      <c r="DU130" s="1326" t="s">
        <v>2785</v>
      </c>
      <c r="DV130" s="1686">
        <v>43646</v>
      </c>
    </row>
    <row r="131" spans="1:126" ht="56.25">
      <c r="A131" s="1326" t="s">
        <v>2122</v>
      </c>
      <c r="B131" s="1326" t="s">
        <v>1702</v>
      </c>
      <c r="C131" s="1326" t="s">
        <v>2564</v>
      </c>
      <c r="D131" s="1326" t="s">
        <v>4179</v>
      </c>
      <c r="E131" s="1326" t="s">
        <v>153</v>
      </c>
      <c r="F131" s="1326" t="s">
        <v>3460</v>
      </c>
      <c r="G131" s="1326" t="s">
        <v>2575</v>
      </c>
      <c r="H131" s="1326" t="s">
        <v>2556</v>
      </c>
      <c r="I131" s="1326" t="s">
        <v>2541</v>
      </c>
      <c r="J131" s="1326" t="s">
        <v>3802</v>
      </c>
      <c r="K131" s="1685">
        <v>43404</v>
      </c>
      <c r="L131" s="1685">
        <v>43528</v>
      </c>
      <c r="M131" s="1326" t="s">
        <v>150</v>
      </c>
      <c r="N131" s="1326" t="s">
        <v>2061</v>
      </c>
      <c r="O131" s="1326" t="s">
        <v>4394</v>
      </c>
      <c r="P131" s="1326" t="s">
        <v>2757</v>
      </c>
      <c r="Q131" s="1326" t="s">
        <v>1714</v>
      </c>
      <c r="R131" s="1326" t="s">
        <v>2757</v>
      </c>
      <c r="S131" s="1326" t="s">
        <v>2757</v>
      </c>
      <c r="T131" s="1326"/>
      <c r="U131" s="1326" t="s">
        <v>2758</v>
      </c>
      <c r="V131" s="1326" t="s">
        <v>2757</v>
      </c>
      <c r="W131" s="1326" t="s">
        <v>2757</v>
      </c>
      <c r="X131" s="1326"/>
      <c r="Y131" s="1326" t="s">
        <v>2757</v>
      </c>
      <c r="Z131" s="1326"/>
      <c r="AA131" s="1326"/>
      <c r="AB131" s="1326" t="s">
        <v>2757</v>
      </c>
      <c r="AC131" s="1326" t="s">
        <v>2757</v>
      </c>
      <c r="AD131" s="1326" t="s">
        <v>2757</v>
      </c>
      <c r="AE131" s="1326"/>
      <c r="AF131" s="1326" t="s">
        <v>4181</v>
      </c>
      <c r="AG131" s="1326" t="s">
        <v>3095</v>
      </c>
      <c r="AH131" s="1326" t="s">
        <v>2791</v>
      </c>
      <c r="AI131" s="1326" t="s">
        <v>2762</v>
      </c>
      <c r="AJ131" s="1326" t="s">
        <v>2763</v>
      </c>
      <c r="AK131" s="1326" t="s">
        <v>2987</v>
      </c>
      <c r="AL131" s="1326" t="s">
        <v>4182</v>
      </c>
      <c r="AM131" s="1683">
        <v>100</v>
      </c>
      <c r="AN131" s="1326"/>
      <c r="AO131" s="1326"/>
      <c r="AP131" s="1326"/>
      <c r="AQ131" s="1326"/>
      <c r="AR131" s="1326"/>
      <c r="AS131" s="1326"/>
      <c r="AT131" s="1326" t="s">
        <v>2867</v>
      </c>
      <c r="AU131" s="1326" t="s">
        <v>2766</v>
      </c>
      <c r="AV131" s="1326" t="s">
        <v>3021</v>
      </c>
      <c r="AW131" s="1326"/>
      <c r="AX131" s="1326" t="s">
        <v>3096</v>
      </c>
      <c r="AY131" s="1326" t="s">
        <v>2798</v>
      </c>
      <c r="AZ131" s="1326" t="s">
        <v>4395</v>
      </c>
      <c r="BA131" s="1326" t="s">
        <v>3815</v>
      </c>
      <c r="BB131" s="1326" t="s">
        <v>2757</v>
      </c>
      <c r="BC131" s="1326" t="s">
        <v>2772</v>
      </c>
      <c r="BD131" s="1326" t="s">
        <v>2773</v>
      </c>
      <c r="BE131" s="1326" t="s">
        <v>4396</v>
      </c>
      <c r="BF131" s="1326" t="s">
        <v>4397</v>
      </c>
      <c r="BG131" s="1326" t="s">
        <v>4398</v>
      </c>
      <c r="BH131" s="1326" t="s">
        <v>2804</v>
      </c>
      <c r="BI131" s="1326" t="s">
        <v>2805</v>
      </c>
      <c r="BJ131" s="1326" t="s">
        <v>2824</v>
      </c>
      <c r="BK131" s="1326" t="s">
        <v>2867</v>
      </c>
      <c r="BL131" s="1326" t="s">
        <v>2757</v>
      </c>
      <c r="BM131" s="1326" t="s">
        <v>2757</v>
      </c>
      <c r="BN131" s="1683">
        <v>0</v>
      </c>
      <c r="BO131" s="1685">
        <v>43200</v>
      </c>
      <c r="BP131" s="1685">
        <v>44012</v>
      </c>
      <c r="BQ131" s="1326" t="s">
        <v>2779</v>
      </c>
      <c r="BR131" s="1685">
        <v>46053</v>
      </c>
      <c r="BS131" s="1326" t="s">
        <v>3024</v>
      </c>
      <c r="BT131" s="1326" t="s">
        <v>4399</v>
      </c>
      <c r="BU131" s="1683">
        <v>30</v>
      </c>
      <c r="BV131" s="1683">
        <v>53464.31</v>
      </c>
      <c r="BW131" s="1685">
        <v>44042</v>
      </c>
      <c r="BX131" s="1682"/>
      <c r="BY131" s="1326" t="s">
        <v>2052</v>
      </c>
      <c r="BZ131" s="1326" t="s">
        <v>2782</v>
      </c>
      <c r="CA131" s="1326" t="s">
        <v>2783</v>
      </c>
      <c r="CB131" s="1326" t="s">
        <v>2783</v>
      </c>
      <c r="CC131" s="1326" t="s">
        <v>2913</v>
      </c>
      <c r="CD131" s="1684">
        <v>192664.18</v>
      </c>
      <c r="CE131" s="1684">
        <v>192664.18</v>
      </c>
      <c r="CF131" s="1684">
        <v>178214.37</v>
      </c>
      <c r="CG131" s="1684">
        <v>92.5</v>
      </c>
      <c r="CH131" s="1684">
        <v>14449.81</v>
      </c>
      <c r="CI131" s="1684">
        <v>7.5</v>
      </c>
      <c r="CJ131" s="1684">
        <v>192664.18</v>
      </c>
      <c r="CK131" s="1684">
        <v>100</v>
      </c>
      <c r="CL131" s="1410" t="s">
        <v>2785</v>
      </c>
      <c r="CM131" s="1686">
        <v>43462</v>
      </c>
      <c r="CN131" s="1400"/>
      <c r="CO131" s="1326"/>
      <c r="CP131" s="1682"/>
      <c r="CQ131" s="1684">
        <v>178214.37</v>
      </c>
      <c r="CR131" s="1684">
        <v>163764.54999999999</v>
      </c>
      <c r="CS131" s="1684">
        <v>14449.82</v>
      </c>
      <c r="CT131" s="1326" t="s">
        <v>2785</v>
      </c>
      <c r="CU131" s="1686">
        <v>43489</v>
      </c>
      <c r="CV131" s="1684">
        <v>192664.18</v>
      </c>
      <c r="CW131" s="1684">
        <v>0</v>
      </c>
      <c r="CX131" s="1684">
        <v>0</v>
      </c>
      <c r="CY131" s="1684">
        <v>66714.789999999994</v>
      </c>
      <c r="CZ131" s="1684">
        <v>123803.14</v>
      </c>
      <c r="DA131" s="1684">
        <v>0</v>
      </c>
      <c r="DB131" s="1684">
        <v>50</v>
      </c>
      <c r="DC131" s="1684">
        <v>2096.25</v>
      </c>
      <c r="DD131" s="1684">
        <v>192664.18</v>
      </c>
      <c r="DE131" s="1684">
        <v>178214.37</v>
      </c>
      <c r="DF131" s="1684">
        <v>163764.54999999999</v>
      </c>
      <c r="DG131" s="1684">
        <v>14449.82</v>
      </c>
      <c r="DH131" s="1684">
        <v>14449.81</v>
      </c>
      <c r="DI131" s="1684">
        <v>14449.81</v>
      </c>
      <c r="DJ131" s="1684">
        <v>0</v>
      </c>
      <c r="DK131" s="1684">
        <v>14449.81</v>
      </c>
      <c r="DL131" s="1684">
        <v>0</v>
      </c>
      <c r="DM131" s="1684">
        <v>0</v>
      </c>
      <c r="DN131" s="1684">
        <v>0</v>
      </c>
      <c r="DO131" s="1684">
        <v>0</v>
      </c>
      <c r="DP131" s="1684">
        <v>0</v>
      </c>
      <c r="DQ131" s="1326" t="s">
        <v>2810</v>
      </c>
      <c r="DR131" s="1684">
        <v>0</v>
      </c>
      <c r="DS131" s="1326" t="s">
        <v>2757</v>
      </c>
      <c r="DT131" s="1682"/>
      <c r="DU131" s="1326" t="s">
        <v>2785</v>
      </c>
      <c r="DV131" s="1686">
        <v>44012</v>
      </c>
    </row>
    <row r="132" spans="1:126">
      <c r="A132" s="1326" t="s">
        <v>2123</v>
      </c>
      <c r="B132" s="1326" t="s">
        <v>1702</v>
      </c>
      <c r="C132" s="1326" t="s">
        <v>2568</v>
      </c>
      <c r="D132" s="1326"/>
      <c r="E132" s="1326"/>
      <c r="F132" s="1326"/>
      <c r="G132" s="1326"/>
      <c r="H132" s="1326"/>
      <c r="I132" s="1326"/>
      <c r="J132" s="1326"/>
      <c r="K132" s="1682"/>
      <c r="L132" s="1682"/>
      <c r="M132" s="1326"/>
      <c r="N132" s="1326"/>
      <c r="O132" s="1326"/>
      <c r="P132" s="1326"/>
      <c r="Q132" s="1326"/>
      <c r="R132" s="1326"/>
      <c r="S132" s="1326"/>
      <c r="T132" s="1326"/>
      <c r="U132" s="1326"/>
      <c r="V132" s="1326"/>
      <c r="W132" s="1326"/>
      <c r="X132" s="1326"/>
      <c r="Y132" s="1326"/>
      <c r="Z132" s="1326"/>
      <c r="AA132" s="1326"/>
      <c r="AB132" s="1326"/>
      <c r="AC132" s="1326"/>
      <c r="AD132" s="1326"/>
      <c r="AE132" s="1326"/>
      <c r="AF132" s="1326"/>
      <c r="AG132" s="1326"/>
      <c r="AH132" s="1326"/>
      <c r="AI132" s="1326"/>
      <c r="AJ132" s="1326"/>
      <c r="AK132" s="1326"/>
      <c r="AL132" s="1326"/>
      <c r="AM132" s="1400"/>
      <c r="AN132" s="1326"/>
      <c r="AO132" s="1326"/>
      <c r="AP132" s="1326"/>
      <c r="AQ132" s="1326"/>
      <c r="AR132" s="1326"/>
      <c r="AS132" s="1326"/>
      <c r="AT132" s="1326"/>
      <c r="AU132" s="1326"/>
      <c r="AV132" s="1326"/>
      <c r="AW132" s="1326"/>
      <c r="AX132" s="1326"/>
      <c r="AY132" s="1326"/>
      <c r="AZ132" s="1326"/>
      <c r="BA132" s="1326"/>
      <c r="BB132" s="1326"/>
      <c r="BC132" s="1326"/>
      <c r="BD132" s="1326"/>
      <c r="BE132" s="1326"/>
      <c r="BF132" s="1326"/>
      <c r="BG132" s="1326"/>
      <c r="BH132" s="1326"/>
      <c r="BI132" s="1326"/>
      <c r="BJ132" s="1326"/>
      <c r="BK132" s="1326"/>
      <c r="BL132" s="1326"/>
      <c r="BM132" s="1326"/>
      <c r="BN132" s="1400"/>
      <c r="BO132" s="1682"/>
      <c r="BP132" s="1682"/>
      <c r="BQ132" s="1326"/>
      <c r="BR132" s="1682"/>
      <c r="BS132" s="1326"/>
      <c r="BT132" s="1326"/>
      <c r="BU132" s="1400"/>
      <c r="BV132" s="1683">
        <v>629926.61</v>
      </c>
      <c r="BW132" s="1682"/>
      <c r="BX132" s="1682"/>
      <c r="BY132" s="1326"/>
      <c r="BZ132" s="1326"/>
      <c r="CA132" s="1326"/>
      <c r="CB132" s="1326"/>
      <c r="CC132" s="1326"/>
      <c r="CD132" s="1684">
        <v>2827316.08</v>
      </c>
      <c r="CE132" s="1684">
        <v>2673858.7999999998</v>
      </c>
      <c r="CF132" s="1684">
        <v>2099755.38</v>
      </c>
      <c r="CG132" s="1684">
        <v>78.53</v>
      </c>
      <c r="CH132" s="1684">
        <v>574103.42000000004</v>
      </c>
      <c r="CI132" s="1684">
        <v>21.47</v>
      </c>
      <c r="CJ132" s="1684">
        <v>2673858.7999999998</v>
      </c>
      <c r="CK132" s="1684">
        <v>100</v>
      </c>
      <c r="CL132" s="1410"/>
      <c r="CM132" s="1682"/>
      <c r="CN132" s="1400"/>
      <c r="CO132" s="1326"/>
      <c r="CP132" s="1682"/>
      <c r="CQ132" s="1684">
        <v>2099755.38</v>
      </c>
      <c r="CR132" s="1684">
        <v>1929504.64</v>
      </c>
      <c r="CS132" s="1684">
        <v>170250.74</v>
      </c>
      <c r="CT132" s="1326"/>
      <c r="CU132" s="1682"/>
      <c r="CV132" s="1684">
        <v>2673858.7999999998</v>
      </c>
      <c r="CW132" s="1684">
        <v>0</v>
      </c>
      <c r="CX132" s="1684">
        <v>0</v>
      </c>
      <c r="CY132" s="1684">
        <v>2650322.1</v>
      </c>
      <c r="CZ132" s="1684">
        <v>8022.9</v>
      </c>
      <c r="DA132" s="1684">
        <v>0</v>
      </c>
      <c r="DB132" s="1684">
        <v>2269.9</v>
      </c>
      <c r="DC132" s="1684">
        <v>13243.9</v>
      </c>
      <c r="DD132" s="1684">
        <v>2673858.7999999998</v>
      </c>
      <c r="DE132" s="1684">
        <v>2099755.38</v>
      </c>
      <c r="DF132" s="1684">
        <v>1929504.64</v>
      </c>
      <c r="DG132" s="1684">
        <v>170250.74</v>
      </c>
      <c r="DH132" s="1684">
        <v>574103.42000000004</v>
      </c>
      <c r="DI132" s="1684">
        <v>574103.42000000004</v>
      </c>
      <c r="DJ132" s="1684">
        <v>0</v>
      </c>
      <c r="DK132" s="1684">
        <v>574103.42000000004</v>
      </c>
      <c r="DL132" s="1684">
        <v>0</v>
      </c>
      <c r="DM132" s="1684">
        <v>0</v>
      </c>
      <c r="DN132" s="1684">
        <v>0</v>
      </c>
      <c r="DO132" s="1684">
        <v>0</v>
      </c>
      <c r="DP132" s="1684">
        <v>0</v>
      </c>
      <c r="DQ132" s="1326"/>
      <c r="DR132" s="1400"/>
      <c r="DS132" s="1326"/>
      <c r="DT132" s="1682"/>
      <c r="DU132" s="1326"/>
      <c r="DV132" s="1682"/>
    </row>
    <row r="133" spans="1:126">
      <c r="A133" s="1326" t="s">
        <v>2124</v>
      </c>
      <c r="B133" s="1326" t="s">
        <v>1702</v>
      </c>
      <c r="C133" s="1326" t="s">
        <v>2568</v>
      </c>
      <c r="D133" s="1326" t="s">
        <v>2569</v>
      </c>
      <c r="E133" s="1326"/>
      <c r="F133" s="1326"/>
      <c r="G133" s="1326"/>
      <c r="H133" s="1326"/>
      <c r="I133" s="1326"/>
      <c r="J133" s="1326"/>
      <c r="K133" s="1682"/>
      <c r="L133" s="1682"/>
      <c r="M133" s="1326"/>
      <c r="N133" s="1326"/>
      <c r="O133" s="1326"/>
      <c r="P133" s="1326"/>
      <c r="Q133" s="1326"/>
      <c r="R133" s="1326"/>
      <c r="S133" s="1326"/>
      <c r="T133" s="1326"/>
      <c r="U133" s="1326"/>
      <c r="V133" s="1326"/>
      <c r="W133" s="1326"/>
      <c r="X133" s="1326"/>
      <c r="Y133" s="1326"/>
      <c r="Z133" s="1326"/>
      <c r="AA133" s="1326"/>
      <c r="AB133" s="1326"/>
      <c r="AC133" s="1326"/>
      <c r="AD133" s="1326"/>
      <c r="AE133" s="1326"/>
      <c r="AF133" s="1326"/>
      <c r="AG133" s="1326"/>
      <c r="AH133" s="1326"/>
      <c r="AI133" s="1326"/>
      <c r="AJ133" s="1326"/>
      <c r="AK133" s="1326"/>
      <c r="AL133" s="1326"/>
      <c r="AM133" s="1400"/>
      <c r="AN133" s="1326"/>
      <c r="AO133" s="1326"/>
      <c r="AP133" s="1326"/>
      <c r="AQ133" s="1326"/>
      <c r="AR133" s="1326"/>
      <c r="AS133" s="1326"/>
      <c r="AT133" s="1326"/>
      <c r="AU133" s="1326"/>
      <c r="AV133" s="1326"/>
      <c r="AW133" s="1326"/>
      <c r="AX133" s="1326"/>
      <c r="AY133" s="1326"/>
      <c r="AZ133" s="1326"/>
      <c r="BA133" s="1326"/>
      <c r="BB133" s="1326"/>
      <c r="BC133" s="1326"/>
      <c r="BD133" s="1326"/>
      <c r="BE133" s="1326"/>
      <c r="BF133" s="1326"/>
      <c r="BG133" s="1326"/>
      <c r="BH133" s="1326"/>
      <c r="BI133" s="1326"/>
      <c r="BJ133" s="1326"/>
      <c r="BK133" s="1326"/>
      <c r="BL133" s="1326"/>
      <c r="BM133" s="1326"/>
      <c r="BN133" s="1400"/>
      <c r="BO133" s="1682"/>
      <c r="BP133" s="1682"/>
      <c r="BQ133" s="1326"/>
      <c r="BR133" s="1682"/>
      <c r="BS133" s="1326"/>
      <c r="BT133" s="1326"/>
      <c r="BU133" s="1400"/>
      <c r="BV133" s="1683">
        <v>629926.61</v>
      </c>
      <c r="BW133" s="1682"/>
      <c r="BX133" s="1682"/>
      <c r="BY133" s="1326"/>
      <c r="BZ133" s="1326"/>
      <c r="CA133" s="1326"/>
      <c r="CB133" s="1326"/>
      <c r="CC133" s="1326"/>
      <c r="CD133" s="1684">
        <v>2827316.08</v>
      </c>
      <c r="CE133" s="1684">
        <v>2673858.7999999998</v>
      </c>
      <c r="CF133" s="1684">
        <v>2099755.38</v>
      </c>
      <c r="CG133" s="1684">
        <v>78.53</v>
      </c>
      <c r="CH133" s="1684">
        <v>574103.42000000004</v>
      </c>
      <c r="CI133" s="1684">
        <v>21.47</v>
      </c>
      <c r="CJ133" s="1684">
        <v>2673858.7999999998</v>
      </c>
      <c r="CK133" s="1684">
        <v>100</v>
      </c>
      <c r="CL133" s="1410"/>
      <c r="CM133" s="1682"/>
      <c r="CN133" s="1400"/>
      <c r="CO133" s="1326"/>
      <c r="CP133" s="1682"/>
      <c r="CQ133" s="1684">
        <v>2099755.38</v>
      </c>
      <c r="CR133" s="1684">
        <v>1929504.64</v>
      </c>
      <c r="CS133" s="1684">
        <v>170250.74</v>
      </c>
      <c r="CT133" s="1326"/>
      <c r="CU133" s="1682"/>
      <c r="CV133" s="1684">
        <v>2673858.7999999998</v>
      </c>
      <c r="CW133" s="1684">
        <v>0</v>
      </c>
      <c r="CX133" s="1684">
        <v>0</v>
      </c>
      <c r="CY133" s="1684">
        <v>2650322.1</v>
      </c>
      <c r="CZ133" s="1684">
        <v>8022.9</v>
      </c>
      <c r="DA133" s="1684">
        <v>0</v>
      </c>
      <c r="DB133" s="1684">
        <v>2269.9</v>
      </c>
      <c r="DC133" s="1684">
        <v>13243.9</v>
      </c>
      <c r="DD133" s="1684">
        <v>2673858.7999999998</v>
      </c>
      <c r="DE133" s="1684">
        <v>2099755.38</v>
      </c>
      <c r="DF133" s="1684">
        <v>1929504.64</v>
      </c>
      <c r="DG133" s="1684">
        <v>170250.74</v>
      </c>
      <c r="DH133" s="1684">
        <v>574103.42000000004</v>
      </c>
      <c r="DI133" s="1684">
        <v>574103.42000000004</v>
      </c>
      <c r="DJ133" s="1684">
        <v>0</v>
      </c>
      <c r="DK133" s="1684">
        <v>574103.42000000004</v>
      </c>
      <c r="DL133" s="1684">
        <v>0</v>
      </c>
      <c r="DM133" s="1684">
        <v>0</v>
      </c>
      <c r="DN133" s="1684">
        <v>0</v>
      </c>
      <c r="DO133" s="1684">
        <v>0</v>
      </c>
      <c r="DP133" s="1684">
        <v>0</v>
      </c>
      <c r="DQ133" s="1326"/>
      <c r="DR133" s="1400"/>
      <c r="DS133" s="1326"/>
      <c r="DT133" s="1682"/>
      <c r="DU133" s="1326"/>
      <c r="DV133" s="1682"/>
    </row>
    <row r="134" spans="1:126" ht="22.5">
      <c r="A134" s="1326" t="s">
        <v>2125</v>
      </c>
      <c r="B134" s="1326" t="s">
        <v>1702</v>
      </c>
      <c r="C134" s="1326" t="s">
        <v>2568</v>
      </c>
      <c r="D134" s="1326" t="s">
        <v>2569</v>
      </c>
      <c r="E134" s="1326" t="s">
        <v>2347</v>
      </c>
      <c r="F134" s="1326" t="s">
        <v>373</v>
      </c>
      <c r="G134" s="1326"/>
      <c r="H134" s="1326"/>
      <c r="I134" s="1326"/>
      <c r="J134" s="1326"/>
      <c r="K134" s="1682"/>
      <c r="L134" s="1682"/>
      <c r="M134" s="1326"/>
      <c r="N134" s="1326"/>
      <c r="O134" s="1326"/>
      <c r="P134" s="1326"/>
      <c r="Q134" s="1326"/>
      <c r="R134" s="1326"/>
      <c r="S134" s="1326"/>
      <c r="T134" s="1326"/>
      <c r="U134" s="1326"/>
      <c r="V134" s="1326"/>
      <c r="W134" s="1326"/>
      <c r="X134" s="1326"/>
      <c r="Y134" s="1326"/>
      <c r="Z134" s="1326"/>
      <c r="AA134" s="1326"/>
      <c r="AB134" s="1326"/>
      <c r="AC134" s="1326"/>
      <c r="AD134" s="1326"/>
      <c r="AE134" s="1326"/>
      <c r="AF134" s="1326"/>
      <c r="AG134" s="1326"/>
      <c r="AH134" s="1326"/>
      <c r="AI134" s="1326"/>
      <c r="AJ134" s="1326"/>
      <c r="AK134" s="1326"/>
      <c r="AL134" s="1326"/>
      <c r="AM134" s="1400"/>
      <c r="AN134" s="1326"/>
      <c r="AO134" s="1326"/>
      <c r="AP134" s="1326"/>
      <c r="AQ134" s="1326"/>
      <c r="AR134" s="1326"/>
      <c r="AS134" s="1326"/>
      <c r="AT134" s="1326"/>
      <c r="AU134" s="1326"/>
      <c r="AV134" s="1326"/>
      <c r="AW134" s="1326"/>
      <c r="AX134" s="1326"/>
      <c r="AY134" s="1326"/>
      <c r="AZ134" s="1326"/>
      <c r="BA134" s="1326"/>
      <c r="BB134" s="1326"/>
      <c r="BC134" s="1326"/>
      <c r="BD134" s="1326"/>
      <c r="BE134" s="1326"/>
      <c r="BF134" s="1326"/>
      <c r="BG134" s="1326"/>
      <c r="BH134" s="1326"/>
      <c r="BI134" s="1326"/>
      <c r="BJ134" s="1326"/>
      <c r="BK134" s="1326"/>
      <c r="BL134" s="1326"/>
      <c r="BM134" s="1326"/>
      <c r="BN134" s="1400"/>
      <c r="BO134" s="1682"/>
      <c r="BP134" s="1682"/>
      <c r="BQ134" s="1326"/>
      <c r="BR134" s="1682"/>
      <c r="BS134" s="1326"/>
      <c r="BT134" s="1326"/>
      <c r="BU134" s="1400"/>
      <c r="BV134" s="1683">
        <v>629926.61</v>
      </c>
      <c r="BW134" s="1682"/>
      <c r="BX134" s="1682"/>
      <c r="BY134" s="1326"/>
      <c r="BZ134" s="1326"/>
      <c r="CA134" s="1326"/>
      <c r="CB134" s="1326"/>
      <c r="CC134" s="1326"/>
      <c r="CD134" s="1684">
        <v>2827316.08</v>
      </c>
      <c r="CE134" s="1684">
        <v>2673858.7999999998</v>
      </c>
      <c r="CF134" s="1684">
        <v>2099755.38</v>
      </c>
      <c r="CG134" s="1684">
        <v>78.53</v>
      </c>
      <c r="CH134" s="1684">
        <v>574103.42000000004</v>
      </c>
      <c r="CI134" s="1684">
        <v>21.47</v>
      </c>
      <c r="CJ134" s="1684">
        <v>2673858.7999999998</v>
      </c>
      <c r="CK134" s="1684">
        <v>100</v>
      </c>
      <c r="CL134" s="1410"/>
      <c r="CM134" s="1682"/>
      <c r="CN134" s="1400"/>
      <c r="CO134" s="1326"/>
      <c r="CP134" s="1682"/>
      <c r="CQ134" s="1684">
        <v>2099755.38</v>
      </c>
      <c r="CR134" s="1684">
        <v>1929504.64</v>
      </c>
      <c r="CS134" s="1684">
        <v>170250.74</v>
      </c>
      <c r="CT134" s="1326"/>
      <c r="CU134" s="1682"/>
      <c r="CV134" s="1684">
        <v>2673858.7999999998</v>
      </c>
      <c r="CW134" s="1684">
        <v>0</v>
      </c>
      <c r="CX134" s="1684">
        <v>0</v>
      </c>
      <c r="CY134" s="1684">
        <v>2650322.1</v>
      </c>
      <c r="CZ134" s="1684">
        <v>8022.9</v>
      </c>
      <c r="DA134" s="1684">
        <v>0</v>
      </c>
      <c r="DB134" s="1684">
        <v>2269.9</v>
      </c>
      <c r="DC134" s="1684">
        <v>13243.9</v>
      </c>
      <c r="DD134" s="1684">
        <v>2673858.7999999998</v>
      </c>
      <c r="DE134" s="1684">
        <v>2099755.38</v>
      </c>
      <c r="DF134" s="1684">
        <v>1929504.64</v>
      </c>
      <c r="DG134" s="1684">
        <v>170250.74</v>
      </c>
      <c r="DH134" s="1684">
        <v>574103.42000000004</v>
      </c>
      <c r="DI134" s="1684">
        <v>574103.42000000004</v>
      </c>
      <c r="DJ134" s="1684">
        <v>0</v>
      </c>
      <c r="DK134" s="1684">
        <v>574103.42000000004</v>
      </c>
      <c r="DL134" s="1684">
        <v>0</v>
      </c>
      <c r="DM134" s="1684">
        <v>0</v>
      </c>
      <c r="DN134" s="1684">
        <v>0</v>
      </c>
      <c r="DO134" s="1684">
        <v>0</v>
      </c>
      <c r="DP134" s="1684">
        <v>0</v>
      </c>
      <c r="DQ134" s="1326"/>
      <c r="DR134" s="1400"/>
      <c r="DS134" s="1326"/>
      <c r="DT134" s="1682"/>
      <c r="DU134" s="1326"/>
      <c r="DV134" s="1682"/>
    </row>
    <row r="135" spans="1:126" ht="45">
      <c r="A135" s="1326" t="s">
        <v>2126</v>
      </c>
      <c r="B135" s="1326" t="s">
        <v>1702</v>
      </c>
      <c r="C135" s="1326" t="s">
        <v>2568</v>
      </c>
      <c r="D135" s="1326" t="s">
        <v>2569</v>
      </c>
      <c r="E135" s="1326" t="s">
        <v>2347</v>
      </c>
      <c r="F135" s="1326" t="s">
        <v>373</v>
      </c>
      <c r="G135" s="1326" t="s">
        <v>2563</v>
      </c>
      <c r="H135" s="1326" t="s">
        <v>2556</v>
      </c>
      <c r="I135" s="1326" t="s">
        <v>2541</v>
      </c>
      <c r="J135" s="1326" t="s">
        <v>1207</v>
      </c>
      <c r="K135" s="1685">
        <v>43039</v>
      </c>
      <c r="L135" s="1685">
        <v>43125</v>
      </c>
      <c r="M135" s="1326" t="s">
        <v>125</v>
      </c>
      <c r="N135" s="1326" t="s">
        <v>2061</v>
      </c>
      <c r="O135" s="1326" t="s">
        <v>3054</v>
      </c>
      <c r="P135" s="1326" t="s">
        <v>2757</v>
      </c>
      <c r="Q135" s="1326" t="s">
        <v>1725</v>
      </c>
      <c r="R135" s="1326" t="s">
        <v>2757</v>
      </c>
      <c r="S135" s="1326" t="s">
        <v>2757</v>
      </c>
      <c r="T135" s="1326"/>
      <c r="U135" s="1326" t="s">
        <v>2758</v>
      </c>
      <c r="V135" s="1326" t="s">
        <v>2757</v>
      </c>
      <c r="W135" s="1326" t="s">
        <v>2757</v>
      </c>
      <c r="X135" s="1326"/>
      <c r="Y135" s="1326" t="s">
        <v>2757</v>
      </c>
      <c r="Z135" s="1326"/>
      <c r="AA135" s="1326"/>
      <c r="AB135" s="1326" t="s">
        <v>2757</v>
      </c>
      <c r="AC135" s="1326" t="s">
        <v>2757</v>
      </c>
      <c r="AD135" s="1326" t="s">
        <v>2757</v>
      </c>
      <c r="AE135" s="1326"/>
      <c r="AF135" s="1326" t="s">
        <v>3055</v>
      </c>
      <c r="AG135" s="1326" t="s">
        <v>2986</v>
      </c>
      <c r="AH135" s="1326" t="s">
        <v>2791</v>
      </c>
      <c r="AI135" s="1326" t="s">
        <v>2762</v>
      </c>
      <c r="AJ135" s="1326" t="s">
        <v>2763</v>
      </c>
      <c r="AK135" s="1326" t="s">
        <v>2987</v>
      </c>
      <c r="AL135" s="1326" t="s">
        <v>2988</v>
      </c>
      <c r="AM135" s="1683">
        <v>100</v>
      </c>
      <c r="AN135" s="1326"/>
      <c r="AO135" s="1326"/>
      <c r="AP135" s="1326"/>
      <c r="AQ135" s="1326"/>
      <c r="AR135" s="1326"/>
      <c r="AS135" s="1326"/>
      <c r="AT135" s="1326" t="s">
        <v>2867</v>
      </c>
      <c r="AU135" s="1326" t="s">
        <v>3056</v>
      </c>
      <c r="AV135" s="1326" t="s">
        <v>3021</v>
      </c>
      <c r="AW135" s="1326"/>
      <c r="AX135" s="1326" t="s">
        <v>2909</v>
      </c>
      <c r="AY135" s="1326" t="s">
        <v>2798</v>
      </c>
      <c r="AZ135" s="1326" t="s">
        <v>282</v>
      </c>
      <c r="BA135" s="1326" t="s">
        <v>2820</v>
      </c>
      <c r="BB135" s="1326" t="s">
        <v>2757</v>
      </c>
      <c r="BC135" s="1326" t="s">
        <v>2800</v>
      </c>
      <c r="BD135" s="1326" t="s">
        <v>2773</v>
      </c>
      <c r="BE135" s="1326" t="s">
        <v>2942</v>
      </c>
      <c r="BF135" s="1326" t="s">
        <v>2958</v>
      </c>
      <c r="BG135" s="1326" t="s">
        <v>2944</v>
      </c>
      <c r="BH135" s="1326" t="s">
        <v>2804</v>
      </c>
      <c r="BI135" s="1326" t="s">
        <v>2805</v>
      </c>
      <c r="BJ135" s="1326" t="s">
        <v>2824</v>
      </c>
      <c r="BK135" s="1326" t="s">
        <v>2867</v>
      </c>
      <c r="BL135" s="1326" t="s">
        <v>2757</v>
      </c>
      <c r="BM135" s="1326" t="s">
        <v>2757</v>
      </c>
      <c r="BN135" s="1683">
        <v>0</v>
      </c>
      <c r="BO135" s="1685">
        <v>42188</v>
      </c>
      <c r="BP135" s="1685">
        <v>43890</v>
      </c>
      <c r="BQ135" s="1326" t="s">
        <v>2779</v>
      </c>
      <c r="BR135" s="1685">
        <v>46387</v>
      </c>
      <c r="BS135" s="1326" t="s">
        <v>2807</v>
      </c>
      <c r="BT135" s="1326" t="s">
        <v>3057</v>
      </c>
      <c r="BU135" s="1683">
        <v>30</v>
      </c>
      <c r="BV135" s="1683">
        <v>167894.21</v>
      </c>
      <c r="BW135" s="1685">
        <v>43920</v>
      </c>
      <c r="BX135" s="1682"/>
      <c r="BY135" s="1326" t="s">
        <v>2052</v>
      </c>
      <c r="BZ135" s="1326" t="s">
        <v>2782</v>
      </c>
      <c r="CA135" s="1326" t="s">
        <v>2783</v>
      </c>
      <c r="CB135" s="1326" t="s">
        <v>2783</v>
      </c>
      <c r="CC135" s="1326" t="s">
        <v>2913</v>
      </c>
      <c r="CD135" s="1684">
        <v>613844.72</v>
      </c>
      <c r="CE135" s="1684">
        <v>605024.19999999995</v>
      </c>
      <c r="CF135" s="1684">
        <v>559647.38</v>
      </c>
      <c r="CG135" s="1684">
        <v>92.5</v>
      </c>
      <c r="CH135" s="1684">
        <v>45376.82</v>
      </c>
      <c r="CI135" s="1684">
        <v>7.5</v>
      </c>
      <c r="CJ135" s="1684">
        <v>605024.19999999995</v>
      </c>
      <c r="CK135" s="1684">
        <v>100</v>
      </c>
      <c r="CL135" s="1410" t="s">
        <v>2785</v>
      </c>
      <c r="CM135" s="1686">
        <v>43098</v>
      </c>
      <c r="CN135" s="1400"/>
      <c r="CO135" s="1326"/>
      <c r="CP135" s="1682"/>
      <c r="CQ135" s="1684">
        <v>559647.38</v>
      </c>
      <c r="CR135" s="1684">
        <v>514270.57</v>
      </c>
      <c r="CS135" s="1684">
        <v>45376.81</v>
      </c>
      <c r="CT135" s="1326" t="s">
        <v>2785</v>
      </c>
      <c r="CU135" s="1686">
        <v>43115</v>
      </c>
      <c r="CV135" s="1684">
        <v>605024.19999999995</v>
      </c>
      <c r="CW135" s="1684">
        <v>0</v>
      </c>
      <c r="CX135" s="1684">
        <v>0</v>
      </c>
      <c r="CY135" s="1684">
        <v>598474.56000000006</v>
      </c>
      <c r="CZ135" s="1684">
        <v>0</v>
      </c>
      <c r="DA135" s="1684">
        <v>0</v>
      </c>
      <c r="DB135" s="1684">
        <v>500</v>
      </c>
      <c r="DC135" s="1684">
        <v>6049.64</v>
      </c>
      <c r="DD135" s="1684">
        <v>605024.19999999995</v>
      </c>
      <c r="DE135" s="1684">
        <v>559647.38</v>
      </c>
      <c r="DF135" s="1684">
        <v>514270.57</v>
      </c>
      <c r="DG135" s="1684">
        <v>45376.81</v>
      </c>
      <c r="DH135" s="1684">
        <v>45376.82</v>
      </c>
      <c r="DI135" s="1684">
        <v>45376.82</v>
      </c>
      <c r="DJ135" s="1684">
        <v>0</v>
      </c>
      <c r="DK135" s="1684">
        <v>45376.82</v>
      </c>
      <c r="DL135" s="1684">
        <v>0</v>
      </c>
      <c r="DM135" s="1684">
        <v>0</v>
      </c>
      <c r="DN135" s="1684">
        <v>0</v>
      </c>
      <c r="DO135" s="1684">
        <v>0</v>
      </c>
      <c r="DP135" s="1684">
        <v>0</v>
      </c>
      <c r="DQ135" s="1326" t="s">
        <v>2810</v>
      </c>
      <c r="DR135" s="1684">
        <v>0</v>
      </c>
      <c r="DS135" s="1326" t="s">
        <v>2785</v>
      </c>
      <c r="DT135" s="1682" t="s">
        <v>3058</v>
      </c>
      <c r="DU135" s="1326" t="s">
        <v>2785</v>
      </c>
      <c r="DV135" s="1686">
        <v>43890</v>
      </c>
    </row>
    <row r="136" spans="1:126" ht="56.25">
      <c r="A136" s="1326" t="s">
        <v>2127</v>
      </c>
      <c r="B136" s="1326" t="s">
        <v>1702</v>
      </c>
      <c r="C136" s="1326" t="s">
        <v>2568</v>
      </c>
      <c r="D136" s="1326" t="s">
        <v>2569</v>
      </c>
      <c r="E136" s="1326" t="s">
        <v>2347</v>
      </c>
      <c r="F136" s="1326" t="s">
        <v>373</v>
      </c>
      <c r="G136" s="1326" t="s">
        <v>2563</v>
      </c>
      <c r="H136" s="1326" t="s">
        <v>2556</v>
      </c>
      <c r="I136" s="1326" t="s">
        <v>2541</v>
      </c>
      <c r="J136" s="1326" t="s">
        <v>1598</v>
      </c>
      <c r="K136" s="1685">
        <v>43188</v>
      </c>
      <c r="L136" s="1685">
        <v>43279</v>
      </c>
      <c r="M136" s="1326" t="s">
        <v>124</v>
      </c>
      <c r="N136" s="1326" t="s">
        <v>2061</v>
      </c>
      <c r="O136" s="1326" t="s">
        <v>3059</v>
      </c>
      <c r="P136" s="1326" t="s">
        <v>2757</v>
      </c>
      <c r="Q136" s="1326" t="s">
        <v>1730</v>
      </c>
      <c r="R136" s="1326" t="s">
        <v>2757</v>
      </c>
      <c r="S136" s="1326" t="s">
        <v>2757</v>
      </c>
      <c r="T136" s="1326"/>
      <c r="U136" s="1326" t="s">
        <v>2758</v>
      </c>
      <c r="V136" s="1326" t="s">
        <v>2757</v>
      </c>
      <c r="W136" s="1326" t="s">
        <v>2757</v>
      </c>
      <c r="X136" s="1326"/>
      <c r="Y136" s="1326" t="s">
        <v>2757</v>
      </c>
      <c r="Z136" s="1326"/>
      <c r="AA136" s="1326"/>
      <c r="AB136" s="1326" t="s">
        <v>2757</v>
      </c>
      <c r="AC136" s="1326" t="s">
        <v>2757</v>
      </c>
      <c r="AD136" s="1326" t="s">
        <v>2757</v>
      </c>
      <c r="AE136" s="1326"/>
      <c r="AF136" s="1326" t="s">
        <v>3055</v>
      </c>
      <c r="AG136" s="1326" t="s">
        <v>2986</v>
      </c>
      <c r="AH136" s="1326" t="s">
        <v>2791</v>
      </c>
      <c r="AI136" s="1326" t="s">
        <v>2762</v>
      </c>
      <c r="AJ136" s="1326" t="s">
        <v>2763</v>
      </c>
      <c r="AK136" s="1326" t="s">
        <v>2987</v>
      </c>
      <c r="AL136" s="1326" t="s">
        <v>2988</v>
      </c>
      <c r="AM136" s="1683">
        <v>100</v>
      </c>
      <c r="AN136" s="1326"/>
      <c r="AO136" s="1326"/>
      <c r="AP136" s="1326"/>
      <c r="AQ136" s="1326"/>
      <c r="AR136" s="1326"/>
      <c r="AS136" s="1326"/>
      <c r="AT136" s="1326" t="s">
        <v>2867</v>
      </c>
      <c r="AU136" s="1326" t="s">
        <v>3056</v>
      </c>
      <c r="AV136" s="1326" t="s">
        <v>3021</v>
      </c>
      <c r="AW136" s="1326"/>
      <c r="AX136" s="1326" t="s">
        <v>2909</v>
      </c>
      <c r="AY136" s="1326" t="s">
        <v>2798</v>
      </c>
      <c r="AZ136" s="1326" t="s">
        <v>282</v>
      </c>
      <c r="BA136" s="1326" t="s">
        <v>2820</v>
      </c>
      <c r="BB136" s="1326" t="s">
        <v>2757</v>
      </c>
      <c r="BC136" s="1326" t="s">
        <v>2800</v>
      </c>
      <c r="BD136" s="1326" t="s">
        <v>2773</v>
      </c>
      <c r="BE136" s="1326" t="s">
        <v>2942</v>
      </c>
      <c r="BF136" s="1326" t="s">
        <v>2958</v>
      </c>
      <c r="BG136" s="1326" t="s">
        <v>2944</v>
      </c>
      <c r="BH136" s="1326" t="s">
        <v>2804</v>
      </c>
      <c r="BI136" s="1326" t="s">
        <v>2805</v>
      </c>
      <c r="BJ136" s="1326" t="s">
        <v>2824</v>
      </c>
      <c r="BK136" s="1326" t="s">
        <v>2867</v>
      </c>
      <c r="BL136" s="1326" t="s">
        <v>2757</v>
      </c>
      <c r="BM136" s="1326" t="s">
        <v>2757</v>
      </c>
      <c r="BN136" s="1683">
        <v>0</v>
      </c>
      <c r="BO136" s="1685">
        <v>42188</v>
      </c>
      <c r="BP136" s="1685">
        <v>44196</v>
      </c>
      <c r="BQ136" s="1326" t="s">
        <v>2779</v>
      </c>
      <c r="BR136" s="1685">
        <v>46387</v>
      </c>
      <c r="BS136" s="1326" t="s">
        <v>2807</v>
      </c>
      <c r="BT136" s="1326" t="s">
        <v>3060</v>
      </c>
      <c r="BU136" s="1683">
        <v>30</v>
      </c>
      <c r="BV136" s="1683">
        <v>159102.6</v>
      </c>
      <c r="BW136" s="1685">
        <v>44226</v>
      </c>
      <c r="BX136" s="1682"/>
      <c r="BY136" s="1326" t="s">
        <v>2052</v>
      </c>
      <c r="BZ136" s="1326" t="s">
        <v>2782</v>
      </c>
      <c r="CA136" s="1326" t="s">
        <v>2783</v>
      </c>
      <c r="CB136" s="1326" t="s">
        <v>2783</v>
      </c>
      <c r="CC136" s="1326" t="s">
        <v>2913</v>
      </c>
      <c r="CD136" s="1684">
        <v>954174.37</v>
      </c>
      <c r="CE136" s="1684">
        <v>815537.61</v>
      </c>
      <c r="CF136" s="1684">
        <v>530342</v>
      </c>
      <c r="CG136" s="1684">
        <v>65.03</v>
      </c>
      <c r="CH136" s="1684">
        <v>285195.61</v>
      </c>
      <c r="CI136" s="1684">
        <v>34.97</v>
      </c>
      <c r="CJ136" s="1684">
        <v>815537.61</v>
      </c>
      <c r="CK136" s="1684">
        <v>100</v>
      </c>
      <c r="CL136" s="1410" t="s">
        <v>2785</v>
      </c>
      <c r="CM136" s="1686">
        <v>43245</v>
      </c>
      <c r="CN136" s="1400"/>
      <c r="CO136" s="1326"/>
      <c r="CP136" s="1682"/>
      <c r="CQ136" s="1684">
        <v>530342</v>
      </c>
      <c r="CR136" s="1684">
        <v>487341</v>
      </c>
      <c r="CS136" s="1684">
        <v>43001</v>
      </c>
      <c r="CT136" s="1326" t="s">
        <v>2785</v>
      </c>
      <c r="CU136" s="1686">
        <v>43259</v>
      </c>
      <c r="CV136" s="1684">
        <v>815537.61</v>
      </c>
      <c r="CW136" s="1684">
        <v>0</v>
      </c>
      <c r="CX136" s="1684">
        <v>0</v>
      </c>
      <c r="CY136" s="1684">
        <v>808143.35</v>
      </c>
      <c r="CZ136" s="1684">
        <v>0</v>
      </c>
      <c r="DA136" s="1684">
        <v>0</v>
      </c>
      <c r="DB136" s="1684">
        <v>200</v>
      </c>
      <c r="DC136" s="1684">
        <v>7194.26</v>
      </c>
      <c r="DD136" s="1684">
        <v>815537.61</v>
      </c>
      <c r="DE136" s="1684">
        <v>530342</v>
      </c>
      <c r="DF136" s="1684">
        <v>487341</v>
      </c>
      <c r="DG136" s="1684">
        <v>43001</v>
      </c>
      <c r="DH136" s="1684">
        <v>285195.61</v>
      </c>
      <c r="DI136" s="1684">
        <v>285195.61</v>
      </c>
      <c r="DJ136" s="1684">
        <v>0</v>
      </c>
      <c r="DK136" s="1684">
        <v>285195.61</v>
      </c>
      <c r="DL136" s="1684">
        <v>0</v>
      </c>
      <c r="DM136" s="1684">
        <v>0</v>
      </c>
      <c r="DN136" s="1684">
        <v>0</v>
      </c>
      <c r="DO136" s="1684">
        <v>0</v>
      </c>
      <c r="DP136" s="1684">
        <v>0</v>
      </c>
      <c r="DQ136" s="1326" t="s">
        <v>2810</v>
      </c>
      <c r="DR136" s="1684">
        <v>0</v>
      </c>
      <c r="DS136" s="1326" t="s">
        <v>2757</v>
      </c>
      <c r="DT136" s="1682"/>
      <c r="DU136" s="1326" t="s">
        <v>2785</v>
      </c>
      <c r="DV136" s="1686">
        <v>44196</v>
      </c>
    </row>
    <row r="137" spans="1:126" ht="90">
      <c r="A137" s="1326" t="s">
        <v>2128</v>
      </c>
      <c r="B137" s="1326" t="s">
        <v>1702</v>
      </c>
      <c r="C137" s="1326" t="s">
        <v>2568</v>
      </c>
      <c r="D137" s="1326" t="s">
        <v>2569</v>
      </c>
      <c r="E137" s="1326" t="s">
        <v>2347</v>
      </c>
      <c r="F137" s="1326" t="s">
        <v>373</v>
      </c>
      <c r="G137" s="1326" t="s">
        <v>2563</v>
      </c>
      <c r="H137" s="1326" t="s">
        <v>2556</v>
      </c>
      <c r="I137" s="1326" t="s">
        <v>2541</v>
      </c>
      <c r="J137" s="1326" t="s">
        <v>1599</v>
      </c>
      <c r="K137" s="1685">
        <v>43251</v>
      </c>
      <c r="L137" s="1685">
        <v>43328</v>
      </c>
      <c r="M137" s="1326" t="s">
        <v>384</v>
      </c>
      <c r="N137" s="1326" t="s">
        <v>2061</v>
      </c>
      <c r="O137" s="1326" t="s">
        <v>3061</v>
      </c>
      <c r="P137" s="1326" t="s">
        <v>2757</v>
      </c>
      <c r="Q137" s="1326" t="s">
        <v>1709</v>
      </c>
      <c r="R137" s="1326" t="s">
        <v>2757</v>
      </c>
      <c r="S137" s="1326" t="s">
        <v>2757</v>
      </c>
      <c r="T137" s="1326"/>
      <c r="U137" s="1326" t="s">
        <v>2758</v>
      </c>
      <c r="V137" s="1326" t="s">
        <v>2757</v>
      </c>
      <c r="W137" s="1326" t="s">
        <v>2757</v>
      </c>
      <c r="X137" s="1326"/>
      <c r="Y137" s="1326" t="s">
        <v>2757</v>
      </c>
      <c r="Z137" s="1326"/>
      <c r="AA137" s="1326"/>
      <c r="AB137" s="1326" t="s">
        <v>2757</v>
      </c>
      <c r="AC137" s="1326" t="s">
        <v>2757</v>
      </c>
      <c r="AD137" s="1326" t="s">
        <v>2757</v>
      </c>
      <c r="AE137" s="1326"/>
      <c r="AF137" s="1326" t="s">
        <v>3055</v>
      </c>
      <c r="AG137" s="1326" t="s">
        <v>2986</v>
      </c>
      <c r="AH137" s="1326" t="s">
        <v>2791</v>
      </c>
      <c r="AI137" s="1326" t="s">
        <v>2762</v>
      </c>
      <c r="AJ137" s="1326" t="s">
        <v>2763</v>
      </c>
      <c r="AK137" s="1326" t="s">
        <v>2987</v>
      </c>
      <c r="AL137" s="1326" t="s">
        <v>2988</v>
      </c>
      <c r="AM137" s="1683">
        <v>100</v>
      </c>
      <c r="AN137" s="1326"/>
      <c r="AO137" s="1326"/>
      <c r="AP137" s="1326"/>
      <c r="AQ137" s="1326"/>
      <c r="AR137" s="1326"/>
      <c r="AS137" s="1326"/>
      <c r="AT137" s="1326" t="s">
        <v>2880</v>
      </c>
      <c r="AU137" s="1326" t="s">
        <v>3056</v>
      </c>
      <c r="AV137" s="1326" t="s">
        <v>3021</v>
      </c>
      <c r="AW137" s="1326"/>
      <c r="AX137" s="1326" t="s">
        <v>2909</v>
      </c>
      <c r="AY137" s="1326" t="s">
        <v>2798</v>
      </c>
      <c r="AZ137" s="1326" t="s">
        <v>235</v>
      </c>
      <c r="BA137" s="1326" t="s">
        <v>2929</v>
      </c>
      <c r="BB137" s="1326" t="s">
        <v>2757</v>
      </c>
      <c r="BC137" s="1326" t="s">
        <v>2800</v>
      </c>
      <c r="BD137" s="1326" t="s">
        <v>2773</v>
      </c>
      <c r="BE137" s="1326" t="s">
        <v>2930</v>
      </c>
      <c r="BF137" s="1326" t="s">
        <v>3062</v>
      </c>
      <c r="BG137" s="1326" t="s">
        <v>2932</v>
      </c>
      <c r="BH137" s="1326" t="s">
        <v>2804</v>
      </c>
      <c r="BI137" s="1326" t="s">
        <v>2805</v>
      </c>
      <c r="BJ137" s="1326" t="s">
        <v>2885</v>
      </c>
      <c r="BK137" s="1326" t="s">
        <v>2880</v>
      </c>
      <c r="BL137" s="1326" t="s">
        <v>2757</v>
      </c>
      <c r="BM137" s="1326" t="s">
        <v>2757</v>
      </c>
      <c r="BN137" s="1683">
        <v>0</v>
      </c>
      <c r="BO137" s="1685">
        <v>42524</v>
      </c>
      <c r="BP137" s="1685">
        <v>43708</v>
      </c>
      <c r="BQ137" s="1326" t="s">
        <v>2779</v>
      </c>
      <c r="BR137" s="1685">
        <v>46022</v>
      </c>
      <c r="BS137" s="1326" t="s">
        <v>3024</v>
      </c>
      <c r="BT137" s="1326" t="s">
        <v>3063</v>
      </c>
      <c r="BU137" s="1683">
        <v>30</v>
      </c>
      <c r="BV137" s="1683">
        <v>115928.7</v>
      </c>
      <c r="BW137" s="1685">
        <v>43738</v>
      </c>
      <c r="BX137" s="1682"/>
      <c r="BY137" s="1326" t="s">
        <v>2052</v>
      </c>
      <c r="BZ137" s="1326" t="s">
        <v>2783</v>
      </c>
      <c r="CA137" s="1326" t="s">
        <v>2783</v>
      </c>
      <c r="CB137" s="1326" t="s">
        <v>2783</v>
      </c>
      <c r="CC137" s="1326" t="s">
        <v>2913</v>
      </c>
      <c r="CD137" s="1684">
        <v>579418.99</v>
      </c>
      <c r="CE137" s="1684">
        <v>579418.99</v>
      </c>
      <c r="CF137" s="1684">
        <v>386429</v>
      </c>
      <c r="CG137" s="1684">
        <v>66.69</v>
      </c>
      <c r="CH137" s="1684">
        <v>192989.99</v>
      </c>
      <c r="CI137" s="1684">
        <v>33.31</v>
      </c>
      <c r="CJ137" s="1684">
        <v>579418.99</v>
      </c>
      <c r="CK137" s="1684">
        <v>100</v>
      </c>
      <c r="CL137" s="1410" t="s">
        <v>2785</v>
      </c>
      <c r="CM137" s="1686">
        <v>43305</v>
      </c>
      <c r="CN137" s="1400"/>
      <c r="CO137" s="1326"/>
      <c r="CP137" s="1682"/>
      <c r="CQ137" s="1684">
        <v>386429</v>
      </c>
      <c r="CR137" s="1684">
        <v>355096.91</v>
      </c>
      <c r="CS137" s="1684">
        <v>31332.09</v>
      </c>
      <c r="CT137" s="1326" t="s">
        <v>2785</v>
      </c>
      <c r="CU137" s="1686">
        <v>43313</v>
      </c>
      <c r="CV137" s="1684">
        <v>579418.99</v>
      </c>
      <c r="CW137" s="1684">
        <v>0</v>
      </c>
      <c r="CX137" s="1684">
        <v>0</v>
      </c>
      <c r="CY137" s="1684">
        <v>571299.29</v>
      </c>
      <c r="CZ137" s="1684">
        <v>8022.9</v>
      </c>
      <c r="DA137" s="1684">
        <v>0</v>
      </c>
      <c r="DB137" s="1684">
        <v>96.8</v>
      </c>
      <c r="DC137" s="1684">
        <v>0</v>
      </c>
      <c r="DD137" s="1684">
        <v>579418.99</v>
      </c>
      <c r="DE137" s="1684">
        <v>386429</v>
      </c>
      <c r="DF137" s="1684">
        <v>355096.91</v>
      </c>
      <c r="DG137" s="1684">
        <v>31332.09</v>
      </c>
      <c r="DH137" s="1684">
        <v>192989.99</v>
      </c>
      <c r="DI137" s="1684">
        <v>192989.99</v>
      </c>
      <c r="DJ137" s="1684">
        <v>0</v>
      </c>
      <c r="DK137" s="1684">
        <v>192989.99</v>
      </c>
      <c r="DL137" s="1684">
        <v>0</v>
      </c>
      <c r="DM137" s="1684">
        <v>0</v>
      </c>
      <c r="DN137" s="1684">
        <v>0</v>
      </c>
      <c r="DO137" s="1684">
        <v>0</v>
      </c>
      <c r="DP137" s="1684">
        <v>0</v>
      </c>
      <c r="DQ137" s="1326" t="s">
        <v>2810</v>
      </c>
      <c r="DR137" s="1684">
        <v>0</v>
      </c>
      <c r="DS137" s="1326" t="s">
        <v>2785</v>
      </c>
      <c r="DT137" s="1682" t="s">
        <v>2935</v>
      </c>
      <c r="DU137" s="1326" t="s">
        <v>2785</v>
      </c>
      <c r="DV137" s="1686">
        <v>43708</v>
      </c>
    </row>
    <row r="138" spans="1:126" ht="56.25">
      <c r="A138" s="1326" t="s">
        <v>2129</v>
      </c>
      <c r="B138" s="1326" t="s">
        <v>1702</v>
      </c>
      <c r="C138" s="1326" t="s">
        <v>2568</v>
      </c>
      <c r="D138" s="1326" t="s">
        <v>2569</v>
      </c>
      <c r="E138" s="1326" t="s">
        <v>2347</v>
      </c>
      <c r="F138" s="1326" t="s">
        <v>373</v>
      </c>
      <c r="G138" s="1326" t="s">
        <v>2563</v>
      </c>
      <c r="H138" s="1326" t="s">
        <v>2556</v>
      </c>
      <c r="I138" s="1326" t="s">
        <v>2541</v>
      </c>
      <c r="J138" s="1326" t="s">
        <v>1600</v>
      </c>
      <c r="K138" s="1685">
        <v>43252</v>
      </c>
      <c r="L138" s="1685">
        <v>43333</v>
      </c>
      <c r="M138" s="1326" t="s">
        <v>385</v>
      </c>
      <c r="N138" s="1326" t="s">
        <v>2061</v>
      </c>
      <c r="O138" s="1326" t="s">
        <v>3064</v>
      </c>
      <c r="P138" s="1326" t="s">
        <v>2757</v>
      </c>
      <c r="Q138" s="1326" t="s">
        <v>1714</v>
      </c>
      <c r="R138" s="1326" t="s">
        <v>2757</v>
      </c>
      <c r="S138" s="1326" t="s">
        <v>2757</v>
      </c>
      <c r="T138" s="1326"/>
      <c r="U138" s="1326" t="s">
        <v>2758</v>
      </c>
      <c r="V138" s="1326" t="s">
        <v>2757</v>
      </c>
      <c r="W138" s="1326" t="s">
        <v>2757</v>
      </c>
      <c r="X138" s="1326"/>
      <c r="Y138" s="1326" t="s">
        <v>2757</v>
      </c>
      <c r="Z138" s="1326"/>
      <c r="AA138" s="1326"/>
      <c r="AB138" s="1326" t="s">
        <v>2757</v>
      </c>
      <c r="AC138" s="1326" t="s">
        <v>2757</v>
      </c>
      <c r="AD138" s="1326" t="s">
        <v>2757</v>
      </c>
      <c r="AE138" s="1326"/>
      <c r="AF138" s="1326" t="s">
        <v>3055</v>
      </c>
      <c r="AG138" s="1326" t="s">
        <v>2986</v>
      </c>
      <c r="AH138" s="1326" t="s">
        <v>2791</v>
      </c>
      <c r="AI138" s="1326" t="s">
        <v>2762</v>
      </c>
      <c r="AJ138" s="1326" t="s">
        <v>2763</v>
      </c>
      <c r="AK138" s="1326" t="s">
        <v>2987</v>
      </c>
      <c r="AL138" s="1326" t="s">
        <v>2988</v>
      </c>
      <c r="AM138" s="1683">
        <v>100</v>
      </c>
      <c r="AN138" s="1326"/>
      <c r="AO138" s="1326"/>
      <c r="AP138" s="1326"/>
      <c r="AQ138" s="1326"/>
      <c r="AR138" s="1326"/>
      <c r="AS138" s="1326"/>
      <c r="AT138" s="1326" t="s">
        <v>2880</v>
      </c>
      <c r="AU138" s="1326" t="s">
        <v>3056</v>
      </c>
      <c r="AV138" s="1326" t="s">
        <v>3021</v>
      </c>
      <c r="AW138" s="1326"/>
      <c r="AX138" s="1326" t="s">
        <v>2909</v>
      </c>
      <c r="AY138" s="1326" t="s">
        <v>2798</v>
      </c>
      <c r="AZ138" s="1326" t="s">
        <v>235</v>
      </c>
      <c r="BA138" s="1326" t="s">
        <v>2929</v>
      </c>
      <c r="BB138" s="1326" t="s">
        <v>2757</v>
      </c>
      <c r="BC138" s="1326" t="s">
        <v>2800</v>
      </c>
      <c r="BD138" s="1326" t="s">
        <v>2773</v>
      </c>
      <c r="BE138" s="1326" t="s">
        <v>2930</v>
      </c>
      <c r="BF138" s="1326" t="s">
        <v>3065</v>
      </c>
      <c r="BG138" s="1326" t="s">
        <v>2932</v>
      </c>
      <c r="BH138" s="1326" t="s">
        <v>2804</v>
      </c>
      <c r="BI138" s="1326" t="s">
        <v>2805</v>
      </c>
      <c r="BJ138" s="1326" t="s">
        <v>2885</v>
      </c>
      <c r="BK138" s="1326" t="s">
        <v>2880</v>
      </c>
      <c r="BL138" s="1326" t="s">
        <v>2757</v>
      </c>
      <c r="BM138" s="1326" t="s">
        <v>2757</v>
      </c>
      <c r="BN138" s="1683">
        <v>0</v>
      </c>
      <c r="BO138" s="1685">
        <v>42200</v>
      </c>
      <c r="BP138" s="1685">
        <v>43830</v>
      </c>
      <c r="BQ138" s="1326" t="s">
        <v>2779</v>
      </c>
      <c r="BR138" s="1685">
        <v>46022</v>
      </c>
      <c r="BS138" s="1326" t="s">
        <v>3024</v>
      </c>
      <c r="BT138" s="1326" t="s">
        <v>3066</v>
      </c>
      <c r="BU138" s="1683">
        <v>30</v>
      </c>
      <c r="BV138" s="1683">
        <v>187001.1</v>
      </c>
      <c r="BW138" s="1685">
        <v>43860</v>
      </c>
      <c r="BX138" s="1682"/>
      <c r="BY138" s="1326" t="s">
        <v>2052</v>
      </c>
      <c r="BZ138" s="1326" t="s">
        <v>2783</v>
      </c>
      <c r="CA138" s="1326" t="s">
        <v>2783</v>
      </c>
      <c r="CB138" s="1326" t="s">
        <v>2783</v>
      </c>
      <c r="CC138" s="1326" t="s">
        <v>2913</v>
      </c>
      <c r="CD138" s="1684">
        <v>679878</v>
      </c>
      <c r="CE138" s="1684">
        <v>673878</v>
      </c>
      <c r="CF138" s="1684">
        <v>623337</v>
      </c>
      <c r="CG138" s="1684">
        <v>92.5</v>
      </c>
      <c r="CH138" s="1684">
        <v>50541</v>
      </c>
      <c r="CI138" s="1684">
        <v>7.5</v>
      </c>
      <c r="CJ138" s="1684">
        <v>673878</v>
      </c>
      <c r="CK138" s="1684">
        <v>100</v>
      </c>
      <c r="CL138" s="1410" t="s">
        <v>2785</v>
      </c>
      <c r="CM138" s="1686">
        <v>43306</v>
      </c>
      <c r="CN138" s="1400"/>
      <c r="CO138" s="1326"/>
      <c r="CP138" s="1682"/>
      <c r="CQ138" s="1684">
        <v>623337</v>
      </c>
      <c r="CR138" s="1684">
        <v>572796.16000000003</v>
      </c>
      <c r="CS138" s="1684">
        <v>50540.84</v>
      </c>
      <c r="CT138" s="1326" t="s">
        <v>2785</v>
      </c>
      <c r="CU138" s="1686">
        <v>43312</v>
      </c>
      <c r="CV138" s="1684">
        <v>673878</v>
      </c>
      <c r="CW138" s="1684">
        <v>0</v>
      </c>
      <c r="CX138" s="1684">
        <v>0</v>
      </c>
      <c r="CY138" s="1684">
        <v>672404.9</v>
      </c>
      <c r="CZ138" s="1684">
        <v>0</v>
      </c>
      <c r="DA138" s="1684">
        <v>0</v>
      </c>
      <c r="DB138" s="1684">
        <v>1473.1</v>
      </c>
      <c r="DC138" s="1684">
        <v>0</v>
      </c>
      <c r="DD138" s="1684">
        <v>673878</v>
      </c>
      <c r="DE138" s="1684">
        <v>623337</v>
      </c>
      <c r="DF138" s="1684">
        <v>572796.16000000003</v>
      </c>
      <c r="DG138" s="1684">
        <v>50540.84</v>
      </c>
      <c r="DH138" s="1684">
        <v>50541</v>
      </c>
      <c r="DI138" s="1684">
        <v>50541</v>
      </c>
      <c r="DJ138" s="1684">
        <v>0</v>
      </c>
      <c r="DK138" s="1684">
        <v>50541</v>
      </c>
      <c r="DL138" s="1684">
        <v>0</v>
      </c>
      <c r="DM138" s="1684">
        <v>0</v>
      </c>
      <c r="DN138" s="1684">
        <v>0</v>
      </c>
      <c r="DO138" s="1684">
        <v>0</v>
      </c>
      <c r="DP138" s="1684">
        <v>0</v>
      </c>
      <c r="DQ138" s="1326" t="s">
        <v>2810</v>
      </c>
      <c r="DR138" s="1684">
        <v>0</v>
      </c>
      <c r="DS138" s="1326" t="s">
        <v>2785</v>
      </c>
      <c r="DT138" s="1682" t="s">
        <v>3067</v>
      </c>
      <c r="DU138" s="1326" t="s">
        <v>2785</v>
      </c>
      <c r="DV138" s="1686">
        <v>43830</v>
      </c>
    </row>
    <row r="139" spans="1:126">
      <c r="A139" s="1326" t="s">
        <v>2130</v>
      </c>
      <c r="B139" s="1326" t="s">
        <v>1702</v>
      </c>
      <c r="C139" s="1326" t="s">
        <v>2570</v>
      </c>
      <c r="D139" s="1326"/>
      <c r="E139" s="1326"/>
      <c r="F139" s="1326"/>
      <c r="G139" s="1326"/>
      <c r="H139" s="1326"/>
      <c r="I139" s="1326"/>
      <c r="J139" s="1326"/>
      <c r="K139" s="1682"/>
      <c r="L139" s="1682"/>
      <c r="M139" s="1326"/>
      <c r="N139" s="1326"/>
      <c r="O139" s="1326"/>
      <c r="P139" s="1326"/>
      <c r="Q139" s="1326"/>
      <c r="R139" s="1326"/>
      <c r="S139" s="1326"/>
      <c r="T139" s="1326"/>
      <c r="U139" s="1326"/>
      <c r="V139" s="1326"/>
      <c r="W139" s="1326"/>
      <c r="X139" s="1326"/>
      <c r="Y139" s="1326"/>
      <c r="Z139" s="1326"/>
      <c r="AA139" s="1326"/>
      <c r="AB139" s="1326"/>
      <c r="AC139" s="1326"/>
      <c r="AD139" s="1326"/>
      <c r="AE139" s="1326"/>
      <c r="AF139" s="1326"/>
      <c r="AG139" s="1326"/>
      <c r="AH139" s="1326"/>
      <c r="AI139" s="1326"/>
      <c r="AJ139" s="1326"/>
      <c r="AK139" s="1326"/>
      <c r="AL139" s="1326"/>
      <c r="AM139" s="1400"/>
      <c r="AN139" s="1326"/>
      <c r="AO139" s="1326"/>
      <c r="AP139" s="1326"/>
      <c r="AQ139" s="1326"/>
      <c r="AR139" s="1326"/>
      <c r="AS139" s="1326"/>
      <c r="AT139" s="1326"/>
      <c r="AU139" s="1326"/>
      <c r="AV139" s="1326"/>
      <c r="AW139" s="1326"/>
      <c r="AX139" s="1326"/>
      <c r="AY139" s="1326"/>
      <c r="AZ139" s="1326"/>
      <c r="BA139" s="1326"/>
      <c r="BB139" s="1326"/>
      <c r="BC139" s="1326"/>
      <c r="BD139" s="1326"/>
      <c r="BE139" s="1326"/>
      <c r="BF139" s="1326"/>
      <c r="BG139" s="1326"/>
      <c r="BH139" s="1326"/>
      <c r="BI139" s="1326"/>
      <c r="BJ139" s="1326"/>
      <c r="BK139" s="1326"/>
      <c r="BL139" s="1326"/>
      <c r="BM139" s="1326"/>
      <c r="BN139" s="1400"/>
      <c r="BO139" s="1682"/>
      <c r="BP139" s="1682"/>
      <c r="BQ139" s="1326"/>
      <c r="BR139" s="1682"/>
      <c r="BS139" s="1326"/>
      <c r="BT139" s="1326"/>
      <c r="BU139" s="1400"/>
      <c r="BV139" s="1683">
        <v>879529.28</v>
      </c>
      <c r="BW139" s="1682"/>
      <c r="BX139" s="1682"/>
      <c r="BY139" s="1326"/>
      <c r="BZ139" s="1326"/>
      <c r="CA139" s="1326"/>
      <c r="CB139" s="1326"/>
      <c r="CC139" s="1326"/>
      <c r="CD139" s="1684">
        <v>3011284.3</v>
      </c>
      <c r="CE139" s="1684">
        <v>3011284.3</v>
      </c>
      <c r="CF139" s="1684">
        <v>2931764.19</v>
      </c>
      <c r="CG139" s="1684">
        <v>97.36</v>
      </c>
      <c r="CH139" s="1684">
        <v>79520.11</v>
      </c>
      <c r="CI139" s="1684">
        <v>2.64</v>
      </c>
      <c r="CJ139" s="1684">
        <v>3011284.3</v>
      </c>
      <c r="CK139" s="1684">
        <v>100</v>
      </c>
      <c r="CL139" s="1410"/>
      <c r="CM139" s="1682"/>
      <c r="CN139" s="1400"/>
      <c r="CO139" s="1326"/>
      <c r="CP139" s="1682"/>
      <c r="CQ139" s="1684">
        <v>2931764.19</v>
      </c>
      <c r="CR139" s="1684">
        <v>2351584.13</v>
      </c>
      <c r="CS139" s="1684">
        <v>580180.06000000006</v>
      </c>
      <c r="CT139" s="1326"/>
      <c r="CU139" s="1682"/>
      <c r="CV139" s="1684">
        <v>3011284.3</v>
      </c>
      <c r="CW139" s="1684">
        <v>0</v>
      </c>
      <c r="CX139" s="1684">
        <v>0</v>
      </c>
      <c r="CY139" s="1684">
        <v>39755.699999999997</v>
      </c>
      <c r="CZ139" s="1684">
        <v>132894.06</v>
      </c>
      <c r="DA139" s="1684">
        <v>2123646.2599999998</v>
      </c>
      <c r="DB139" s="1684">
        <v>49.14</v>
      </c>
      <c r="DC139" s="1684">
        <v>714939.14</v>
      </c>
      <c r="DD139" s="1684">
        <v>3011284.3</v>
      </c>
      <c r="DE139" s="1684">
        <v>2931764.19</v>
      </c>
      <c r="DF139" s="1684">
        <v>2351584.13</v>
      </c>
      <c r="DG139" s="1684">
        <v>580180.06000000006</v>
      </c>
      <c r="DH139" s="1684">
        <v>79520.11</v>
      </c>
      <c r="DI139" s="1684">
        <v>79520.11</v>
      </c>
      <c r="DJ139" s="1684">
        <v>0</v>
      </c>
      <c r="DK139" s="1684">
        <v>78220.160000000003</v>
      </c>
      <c r="DL139" s="1684">
        <v>1299.95</v>
      </c>
      <c r="DM139" s="1684">
        <v>0</v>
      </c>
      <c r="DN139" s="1684">
        <v>0</v>
      </c>
      <c r="DO139" s="1684">
        <v>0</v>
      </c>
      <c r="DP139" s="1684">
        <v>0</v>
      </c>
      <c r="DQ139" s="1326"/>
      <c r="DR139" s="1400"/>
      <c r="DS139" s="1326"/>
      <c r="DT139" s="1682"/>
      <c r="DU139" s="1326"/>
      <c r="DV139" s="1682"/>
    </row>
    <row r="140" spans="1:126">
      <c r="A140" s="1326" t="s">
        <v>2131</v>
      </c>
      <c r="B140" s="1326" t="s">
        <v>1702</v>
      </c>
      <c r="C140" s="1326" t="s">
        <v>2570</v>
      </c>
      <c r="D140" s="1326" t="s">
        <v>2571</v>
      </c>
      <c r="E140" s="1326"/>
      <c r="F140" s="1326"/>
      <c r="G140" s="1326"/>
      <c r="H140" s="1326"/>
      <c r="I140" s="1326"/>
      <c r="J140" s="1326"/>
      <c r="K140" s="1682"/>
      <c r="L140" s="1682"/>
      <c r="M140" s="1326"/>
      <c r="N140" s="1326"/>
      <c r="O140" s="1326"/>
      <c r="P140" s="1326"/>
      <c r="Q140" s="1326"/>
      <c r="R140" s="1326"/>
      <c r="S140" s="1326"/>
      <c r="T140" s="1326"/>
      <c r="U140" s="1326"/>
      <c r="V140" s="1326"/>
      <c r="W140" s="1326"/>
      <c r="X140" s="1326"/>
      <c r="Y140" s="1326"/>
      <c r="Z140" s="1326"/>
      <c r="AA140" s="1326"/>
      <c r="AB140" s="1326"/>
      <c r="AC140" s="1326"/>
      <c r="AD140" s="1326"/>
      <c r="AE140" s="1326"/>
      <c r="AF140" s="1326"/>
      <c r="AG140" s="1326"/>
      <c r="AH140" s="1326"/>
      <c r="AI140" s="1326"/>
      <c r="AJ140" s="1326"/>
      <c r="AK140" s="1326"/>
      <c r="AL140" s="1326"/>
      <c r="AM140" s="1400"/>
      <c r="AN140" s="1326"/>
      <c r="AO140" s="1326"/>
      <c r="AP140" s="1326"/>
      <c r="AQ140" s="1326"/>
      <c r="AR140" s="1326"/>
      <c r="AS140" s="1326"/>
      <c r="AT140" s="1326"/>
      <c r="AU140" s="1326"/>
      <c r="AV140" s="1326"/>
      <c r="AW140" s="1326"/>
      <c r="AX140" s="1326"/>
      <c r="AY140" s="1326"/>
      <c r="AZ140" s="1326"/>
      <c r="BA140" s="1326"/>
      <c r="BB140" s="1326"/>
      <c r="BC140" s="1326"/>
      <c r="BD140" s="1326"/>
      <c r="BE140" s="1326"/>
      <c r="BF140" s="1326"/>
      <c r="BG140" s="1326"/>
      <c r="BH140" s="1326"/>
      <c r="BI140" s="1326"/>
      <c r="BJ140" s="1326"/>
      <c r="BK140" s="1326"/>
      <c r="BL140" s="1326"/>
      <c r="BM140" s="1326"/>
      <c r="BN140" s="1400"/>
      <c r="BO140" s="1682"/>
      <c r="BP140" s="1682"/>
      <c r="BQ140" s="1326"/>
      <c r="BR140" s="1682"/>
      <c r="BS140" s="1326"/>
      <c r="BT140" s="1326"/>
      <c r="BU140" s="1400"/>
      <c r="BV140" s="1683">
        <v>585325.98</v>
      </c>
      <c r="BW140" s="1682"/>
      <c r="BX140" s="1682"/>
      <c r="BY140" s="1326"/>
      <c r="BZ140" s="1326"/>
      <c r="CA140" s="1326"/>
      <c r="CB140" s="1326"/>
      <c r="CC140" s="1326"/>
      <c r="CD140" s="1684">
        <v>1951086.58</v>
      </c>
      <c r="CE140" s="1684">
        <v>1951086.58</v>
      </c>
      <c r="CF140" s="1684">
        <v>1951086.58</v>
      </c>
      <c r="CG140" s="1684">
        <v>100</v>
      </c>
      <c r="CH140" s="1684">
        <v>0</v>
      </c>
      <c r="CI140" s="1684">
        <v>0</v>
      </c>
      <c r="CJ140" s="1684">
        <v>1951086.58</v>
      </c>
      <c r="CK140" s="1684">
        <v>100</v>
      </c>
      <c r="CL140" s="1410"/>
      <c r="CM140" s="1682"/>
      <c r="CN140" s="1400"/>
      <c r="CO140" s="1326"/>
      <c r="CP140" s="1682"/>
      <c r="CQ140" s="1684">
        <v>1951086.58</v>
      </c>
      <c r="CR140" s="1684">
        <v>1451086.58</v>
      </c>
      <c r="CS140" s="1684">
        <v>500000</v>
      </c>
      <c r="CT140" s="1326"/>
      <c r="CU140" s="1682"/>
      <c r="CV140" s="1684">
        <v>1951086.58</v>
      </c>
      <c r="CW140" s="1684">
        <v>0</v>
      </c>
      <c r="CX140" s="1684">
        <v>0</v>
      </c>
      <c r="CY140" s="1684">
        <v>0</v>
      </c>
      <c r="CZ140" s="1684">
        <v>0</v>
      </c>
      <c r="DA140" s="1684">
        <v>1393633.27</v>
      </c>
      <c r="DB140" s="1684">
        <v>0</v>
      </c>
      <c r="DC140" s="1684">
        <v>557453.31000000006</v>
      </c>
      <c r="DD140" s="1684">
        <v>1951086.58</v>
      </c>
      <c r="DE140" s="1684">
        <v>1951086.58</v>
      </c>
      <c r="DF140" s="1684">
        <v>1451086.58</v>
      </c>
      <c r="DG140" s="1684">
        <v>500000</v>
      </c>
      <c r="DH140" s="1684">
        <v>0</v>
      </c>
      <c r="DI140" s="1684">
        <v>0</v>
      </c>
      <c r="DJ140" s="1684">
        <v>0</v>
      </c>
      <c r="DK140" s="1684">
        <v>0</v>
      </c>
      <c r="DL140" s="1684">
        <v>0</v>
      </c>
      <c r="DM140" s="1684">
        <v>0</v>
      </c>
      <c r="DN140" s="1684">
        <v>0</v>
      </c>
      <c r="DO140" s="1684">
        <v>0</v>
      </c>
      <c r="DP140" s="1684">
        <v>0</v>
      </c>
      <c r="DQ140" s="1326"/>
      <c r="DR140" s="1400"/>
      <c r="DS140" s="1326"/>
      <c r="DT140" s="1682"/>
      <c r="DU140" s="1326"/>
      <c r="DV140" s="1682"/>
    </row>
    <row r="141" spans="1:126" ht="22.5">
      <c r="A141" s="1326" t="s">
        <v>2132</v>
      </c>
      <c r="B141" s="1326" t="s">
        <v>1702</v>
      </c>
      <c r="C141" s="1326" t="s">
        <v>2570</v>
      </c>
      <c r="D141" s="1326" t="s">
        <v>2571</v>
      </c>
      <c r="E141" s="1326" t="s">
        <v>2356</v>
      </c>
      <c r="F141" s="1326" t="s">
        <v>3068</v>
      </c>
      <c r="G141" s="1326"/>
      <c r="H141" s="1326"/>
      <c r="I141" s="1326"/>
      <c r="J141" s="1326"/>
      <c r="K141" s="1682"/>
      <c r="L141" s="1682"/>
      <c r="M141" s="1326"/>
      <c r="N141" s="1326"/>
      <c r="O141" s="1326"/>
      <c r="P141" s="1326"/>
      <c r="Q141" s="1326"/>
      <c r="R141" s="1326"/>
      <c r="S141" s="1326"/>
      <c r="T141" s="1326"/>
      <c r="U141" s="1326"/>
      <c r="V141" s="1326"/>
      <c r="W141" s="1326"/>
      <c r="X141" s="1326"/>
      <c r="Y141" s="1326"/>
      <c r="Z141" s="1326"/>
      <c r="AA141" s="1326"/>
      <c r="AB141" s="1326"/>
      <c r="AC141" s="1326"/>
      <c r="AD141" s="1326"/>
      <c r="AE141" s="1326"/>
      <c r="AF141" s="1326"/>
      <c r="AG141" s="1326"/>
      <c r="AH141" s="1326"/>
      <c r="AI141" s="1326"/>
      <c r="AJ141" s="1326"/>
      <c r="AK141" s="1326"/>
      <c r="AL141" s="1326"/>
      <c r="AM141" s="1400"/>
      <c r="AN141" s="1326"/>
      <c r="AO141" s="1326"/>
      <c r="AP141" s="1326"/>
      <c r="AQ141" s="1326"/>
      <c r="AR141" s="1326"/>
      <c r="AS141" s="1326"/>
      <c r="AT141" s="1326"/>
      <c r="AU141" s="1326"/>
      <c r="AV141" s="1326"/>
      <c r="AW141" s="1326"/>
      <c r="AX141" s="1326"/>
      <c r="AY141" s="1326"/>
      <c r="AZ141" s="1326"/>
      <c r="BA141" s="1326"/>
      <c r="BB141" s="1326"/>
      <c r="BC141" s="1326"/>
      <c r="BD141" s="1326"/>
      <c r="BE141" s="1326"/>
      <c r="BF141" s="1326"/>
      <c r="BG141" s="1326"/>
      <c r="BH141" s="1326"/>
      <c r="BI141" s="1326"/>
      <c r="BJ141" s="1326"/>
      <c r="BK141" s="1326"/>
      <c r="BL141" s="1326"/>
      <c r="BM141" s="1326"/>
      <c r="BN141" s="1400"/>
      <c r="BO141" s="1682"/>
      <c r="BP141" s="1682"/>
      <c r="BQ141" s="1326"/>
      <c r="BR141" s="1682"/>
      <c r="BS141" s="1326"/>
      <c r="BT141" s="1326"/>
      <c r="BU141" s="1400"/>
      <c r="BV141" s="1683">
        <v>585325.98</v>
      </c>
      <c r="BW141" s="1682"/>
      <c r="BX141" s="1682"/>
      <c r="BY141" s="1326"/>
      <c r="BZ141" s="1326"/>
      <c r="CA141" s="1326"/>
      <c r="CB141" s="1326"/>
      <c r="CC141" s="1326"/>
      <c r="CD141" s="1684">
        <v>1951086.58</v>
      </c>
      <c r="CE141" s="1684">
        <v>1951086.58</v>
      </c>
      <c r="CF141" s="1684">
        <v>1951086.58</v>
      </c>
      <c r="CG141" s="1684">
        <v>100</v>
      </c>
      <c r="CH141" s="1684">
        <v>0</v>
      </c>
      <c r="CI141" s="1684">
        <v>0</v>
      </c>
      <c r="CJ141" s="1684">
        <v>1951086.58</v>
      </c>
      <c r="CK141" s="1684">
        <v>100</v>
      </c>
      <c r="CL141" s="1410"/>
      <c r="CM141" s="1682"/>
      <c r="CN141" s="1400"/>
      <c r="CO141" s="1326"/>
      <c r="CP141" s="1682"/>
      <c r="CQ141" s="1684">
        <v>1951086.58</v>
      </c>
      <c r="CR141" s="1684">
        <v>1451086.58</v>
      </c>
      <c r="CS141" s="1684">
        <v>500000</v>
      </c>
      <c r="CT141" s="1326"/>
      <c r="CU141" s="1682"/>
      <c r="CV141" s="1684">
        <v>1951086.58</v>
      </c>
      <c r="CW141" s="1684">
        <v>0</v>
      </c>
      <c r="CX141" s="1684">
        <v>0</v>
      </c>
      <c r="CY141" s="1684">
        <v>0</v>
      </c>
      <c r="CZ141" s="1684">
        <v>0</v>
      </c>
      <c r="DA141" s="1684">
        <v>1393633.27</v>
      </c>
      <c r="DB141" s="1684">
        <v>0</v>
      </c>
      <c r="DC141" s="1684">
        <v>557453.31000000006</v>
      </c>
      <c r="DD141" s="1684">
        <v>1951086.58</v>
      </c>
      <c r="DE141" s="1684">
        <v>1951086.58</v>
      </c>
      <c r="DF141" s="1684">
        <v>1451086.58</v>
      </c>
      <c r="DG141" s="1684">
        <v>500000</v>
      </c>
      <c r="DH141" s="1684">
        <v>0</v>
      </c>
      <c r="DI141" s="1684">
        <v>0</v>
      </c>
      <c r="DJ141" s="1684">
        <v>0</v>
      </c>
      <c r="DK141" s="1684">
        <v>0</v>
      </c>
      <c r="DL141" s="1684">
        <v>0</v>
      </c>
      <c r="DM141" s="1684">
        <v>0</v>
      </c>
      <c r="DN141" s="1684">
        <v>0</v>
      </c>
      <c r="DO141" s="1684">
        <v>0</v>
      </c>
      <c r="DP141" s="1684">
        <v>0</v>
      </c>
      <c r="DQ141" s="1326"/>
      <c r="DR141" s="1400"/>
      <c r="DS141" s="1326"/>
      <c r="DT141" s="1682"/>
      <c r="DU141" s="1326"/>
      <c r="DV141" s="1682"/>
    </row>
    <row r="142" spans="1:126" ht="123.75">
      <c r="A142" s="1326" t="s">
        <v>2133</v>
      </c>
      <c r="B142" s="1326" t="s">
        <v>1702</v>
      </c>
      <c r="C142" s="1326" t="s">
        <v>2570</v>
      </c>
      <c r="D142" s="1326" t="s">
        <v>2571</v>
      </c>
      <c r="E142" s="1326" t="s">
        <v>2356</v>
      </c>
      <c r="F142" s="1326" t="s">
        <v>3068</v>
      </c>
      <c r="G142" s="1326" t="s">
        <v>2566</v>
      </c>
      <c r="H142" s="1326" t="s">
        <v>2572</v>
      </c>
      <c r="I142" s="1326" t="s">
        <v>2573</v>
      </c>
      <c r="J142" s="1326" t="s">
        <v>2358</v>
      </c>
      <c r="K142" s="1685">
        <v>42926</v>
      </c>
      <c r="L142" s="1685">
        <v>43005</v>
      </c>
      <c r="M142" s="1326" t="s">
        <v>2359</v>
      </c>
      <c r="N142" s="1326" t="s">
        <v>2061</v>
      </c>
      <c r="O142" s="1326" t="s">
        <v>3069</v>
      </c>
      <c r="P142" s="1326" t="s">
        <v>2757</v>
      </c>
      <c r="Q142" s="1326" t="s">
        <v>1736</v>
      </c>
      <c r="R142" s="1326" t="s">
        <v>2757</v>
      </c>
      <c r="S142" s="1326" t="s">
        <v>2757</v>
      </c>
      <c r="T142" s="1326" t="s">
        <v>2785</v>
      </c>
      <c r="U142" s="1326" t="s">
        <v>2758</v>
      </c>
      <c r="V142" s="1326" t="s">
        <v>2757</v>
      </c>
      <c r="W142" s="1326" t="s">
        <v>2757</v>
      </c>
      <c r="X142" s="1326" t="s">
        <v>2757</v>
      </c>
      <c r="Y142" s="1326" t="s">
        <v>2757</v>
      </c>
      <c r="Z142" s="1326" t="s">
        <v>2785</v>
      </c>
      <c r="AA142" s="1326" t="s">
        <v>2785</v>
      </c>
      <c r="AB142" s="1326" t="s">
        <v>2757</v>
      </c>
      <c r="AC142" s="1326" t="s">
        <v>2757</v>
      </c>
      <c r="AD142" s="1326" t="s">
        <v>2757</v>
      </c>
      <c r="AE142" s="1326"/>
      <c r="AF142" s="1326" t="s">
        <v>3070</v>
      </c>
      <c r="AG142" s="1326" t="s">
        <v>3071</v>
      </c>
      <c r="AH142" s="1326" t="s">
        <v>2951</v>
      </c>
      <c r="AI142" s="1326" t="s">
        <v>2762</v>
      </c>
      <c r="AJ142" s="1326" t="s">
        <v>2763</v>
      </c>
      <c r="AK142" s="1326" t="s">
        <v>3072</v>
      </c>
      <c r="AL142" s="1326" t="s">
        <v>3073</v>
      </c>
      <c r="AM142" s="1683">
        <v>100</v>
      </c>
      <c r="AN142" s="1326"/>
      <c r="AO142" s="1326"/>
      <c r="AP142" s="1326"/>
      <c r="AQ142" s="1326"/>
      <c r="AR142" s="1326"/>
      <c r="AS142" s="1326"/>
      <c r="AT142" s="1326" t="s">
        <v>2867</v>
      </c>
      <c r="AU142" s="1326" t="s">
        <v>2766</v>
      </c>
      <c r="AV142" s="1326" t="s">
        <v>3021</v>
      </c>
      <c r="AW142" s="1326" t="s">
        <v>3074</v>
      </c>
      <c r="AX142" s="1326" t="s">
        <v>3022</v>
      </c>
      <c r="AY142" s="1326" t="s">
        <v>3075</v>
      </c>
      <c r="AZ142" s="1326" t="s">
        <v>3076</v>
      </c>
      <c r="BA142" s="1326" t="s">
        <v>3077</v>
      </c>
      <c r="BB142" s="1326" t="s">
        <v>2757</v>
      </c>
      <c r="BC142" s="1326" t="s">
        <v>2800</v>
      </c>
      <c r="BD142" s="1326" t="s">
        <v>2773</v>
      </c>
      <c r="BE142" s="1326" t="s">
        <v>3078</v>
      </c>
      <c r="BF142" s="1326" t="s">
        <v>3079</v>
      </c>
      <c r="BG142" s="1326" t="s">
        <v>3080</v>
      </c>
      <c r="BH142" s="1326" t="s">
        <v>2534</v>
      </c>
      <c r="BI142" s="1326" t="s">
        <v>3081</v>
      </c>
      <c r="BJ142" s="1326" t="s">
        <v>3082</v>
      </c>
      <c r="BK142" s="1326" t="s">
        <v>2867</v>
      </c>
      <c r="BL142" s="1326" t="s">
        <v>2757</v>
      </c>
      <c r="BM142" s="1326" t="s">
        <v>2757</v>
      </c>
      <c r="BN142" s="1683">
        <v>0</v>
      </c>
      <c r="BO142" s="1685">
        <v>43005</v>
      </c>
      <c r="BP142" s="1685">
        <v>44101</v>
      </c>
      <c r="BQ142" s="1326" t="s">
        <v>2955</v>
      </c>
      <c r="BR142" s="1685">
        <v>47483</v>
      </c>
      <c r="BS142" s="1326" t="s">
        <v>3024</v>
      </c>
      <c r="BT142" s="1326" t="s">
        <v>3083</v>
      </c>
      <c r="BU142" s="1683">
        <v>30</v>
      </c>
      <c r="BV142" s="1683">
        <v>40839.919999999998</v>
      </c>
      <c r="BW142" s="1685">
        <v>44161</v>
      </c>
      <c r="BX142" s="1682"/>
      <c r="BY142" s="1326" t="s">
        <v>2052</v>
      </c>
      <c r="BZ142" s="1326" t="s">
        <v>2782</v>
      </c>
      <c r="CA142" s="1326" t="s">
        <v>2782</v>
      </c>
      <c r="CB142" s="1326" t="s">
        <v>2783</v>
      </c>
      <c r="CC142" s="1326" t="s">
        <v>2809</v>
      </c>
      <c r="CD142" s="1684">
        <v>136133.06</v>
      </c>
      <c r="CE142" s="1684">
        <v>136133.06</v>
      </c>
      <c r="CF142" s="1684">
        <v>136133.06</v>
      </c>
      <c r="CG142" s="1684">
        <v>100</v>
      </c>
      <c r="CH142" s="1684">
        <v>0</v>
      </c>
      <c r="CI142" s="1684">
        <v>0</v>
      </c>
      <c r="CJ142" s="1684">
        <v>136133.06</v>
      </c>
      <c r="CK142" s="1684">
        <v>100</v>
      </c>
      <c r="CL142" s="1410" t="s">
        <v>2785</v>
      </c>
      <c r="CM142" s="1686">
        <v>42965</v>
      </c>
      <c r="CN142" s="1400"/>
      <c r="CO142" s="1326"/>
      <c r="CP142" s="1682"/>
      <c r="CQ142" s="1684">
        <v>136133.06</v>
      </c>
      <c r="CR142" s="1684">
        <v>136133.06</v>
      </c>
      <c r="CS142" s="1684">
        <v>0</v>
      </c>
      <c r="CT142" s="1326" t="s">
        <v>2785</v>
      </c>
      <c r="CU142" s="1686">
        <v>42978</v>
      </c>
      <c r="CV142" s="1684">
        <v>136133.06</v>
      </c>
      <c r="CW142" s="1684">
        <v>0</v>
      </c>
      <c r="CX142" s="1684">
        <v>0</v>
      </c>
      <c r="CY142" s="1684">
        <v>0</v>
      </c>
      <c r="CZ142" s="1684">
        <v>0</v>
      </c>
      <c r="DA142" s="1684">
        <v>97237.9</v>
      </c>
      <c r="DB142" s="1684">
        <v>0</v>
      </c>
      <c r="DC142" s="1684">
        <v>38895.160000000003</v>
      </c>
      <c r="DD142" s="1684">
        <v>136133.06</v>
      </c>
      <c r="DE142" s="1684">
        <v>136133.06</v>
      </c>
      <c r="DF142" s="1684">
        <v>136133.06</v>
      </c>
      <c r="DG142" s="1684">
        <v>0</v>
      </c>
      <c r="DH142" s="1684">
        <v>0</v>
      </c>
      <c r="DI142" s="1684">
        <v>0</v>
      </c>
      <c r="DJ142" s="1684">
        <v>0</v>
      </c>
      <c r="DK142" s="1684">
        <v>0</v>
      </c>
      <c r="DL142" s="1684">
        <v>0</v>
      </c>
      <c r="DM142" s="1684">
        <v>0</v>
      </c>
      <c r="DN142" s="1684">
        <v>0</v>
      </c>
      <c r="DO142" s="1684">
        <v>0</v>
      </c>
      <c r="DP142" s="1684">
        <v>0</v>
      </c>
      <c r="DQ142" s="1326" t="s">
        <v>2810</v>
      </c>
      <c r="DR142" s="1684">
        <v>0</v>
      </c>
      <c r="DS142" s="1326" t="s">
        <v>2757</v>
      </c>
      <c r="DT142" s="1682"/>
      <c r="DU142" s="1326" t="s">
        <v>2757</v>
      </c>
      <c r="DV142" s="1682"/>
    </row>
    <row r="143" spans="1:126" ht="146.25">
      <c r="A143" s="1326" t="s">
        <v>2134</v>
      </c>
      <c r="B143" s="1326" t="s">
        <v>1702</v>
      </c>
      <c r="C143" s="1326" t="s">
        <v>2570</v>
      </c>
      <c r="D143" s="1326" t="s">
        <v>2571</v>
      </c>
      <c r="E143" s="1326" t="s">
        <v>2356</v>
      </c>
      <c r="F143" s="1326" t="s">
        <v>3068</v>
      </c>
      <c r="G143" s="1326" t="s">
        <v>2566</v>
      </c>
      <c r="H143" s="1326" t="s">
        <v>2572</v>
      </c>
      <c r="I143" s="1326" t="s">
        <v>2573</v>
      </c>
      <c r="J143" s="1326" t="s">
        <v>2368</v>
      </c>
      <c r="K143" s="1685">
        <v>42928</v>
      </c>
      <c r="L143" s="1685">
        <v>43005</v>
      </c>
      <c r="M143" s="1326" t="s">
        <v>2369</v>
      </c>
      <c r="N143" s="1326" t="s">
        <v>2061</v>
      </c>
      <c r="O143" s="1326" t="s">
        <v>4400</v>
      </c>
      <c r="P143" s="1326" t="s">
        <v>2757</v>
      </c>
      <c r="Q143" s="1326" t="s">
        <v>1747</v>
      </c>
      <c r="R143" s="1326" t="s">
        <v>2757</v>
      </c>
      <c r="S143" s="1326" t="s">
        <v>2757</v>
      </c>
      <c r="T143" s="1326" t="s">
        <v>2785</v>
      </c>
      <c r="U143" s="1326" t="s">
        <v>2758</v>
      </c>
      <c r="V143" s="1326" t="s">
        <v>2757</v>
      </c>
      <c r="W143" s="1326" t="s">
        <v>2757</v>
      </c>
      <c r="X143" s="1326" t="s">
        <v>2757</v>
      </c>
      <c r="Y143" s="1326" t="s">
        <v>2757</v>
      </c>
      <c r="Z143" s="1326" t="s">
        <v>2785</v>
      </c>
      <c r="AA143" s="1326" t="s">
        <v>2785</v>
      </c>
      <c r="AB143" s="1326" t="s">
        <v>2757</v>
      </c>
      <c r="AC143" s="1326" t="s">
        <v>2757</v>
      </c>
      <c r="AD143" s="1326" t="s">
        <v>2757</v>
      </c>
      <c r="AE143" s="1326"/>
      <c r="AF143" s="1326" t="s">
        <v>3070</v>
      </c>
      <c r="AG143" s="1326" t="s">
        <v>3071</v>
      </c>
      <c r="AH143" s="1326" t="s">
        <v>2951</v>
      </c>
      <c r="AI143" s="1326" t="s">
        <v>2762</v>
      </c>
      <c r="AJ143" s="1326" t="s">
        <v>2763</v>
      </c>
      <c r="AK143" s="1326" t="s">
        <v>3072</v>
      </c>
      <c r="AL143" s="1326" t="s">
        <v>3073</v>
      </c>
      <c r="AM143" s="1683">
        <v>100</v>
      </c>
      <c r="AN143" s="1326"/>
      <c r="AO143" s="1326"/>
      <c r="AP143" s="1326"/>
      <c r="AQ143" s="1326"/>
      <c r="AR143" s="1326"/>
      <c r="AS143" s="1326"/>
      <c r="AT143" s="1326" t="s">
        <v>2794</v>
      </c>
      <c r="AU143" s="1326" t="s">
        <v>2766</v>
      </c>
      <c r="AV143" s="1326" t="s">
        <v>3021</v>
      </c>
      <c r="AW143" s="1326" t="s">
        <v>3074</v>
      </c>
      <c r="AX143" s="1326" t="s">
        <v>3022</v>
      </c>
      <c r="AY143" s="1326" t="s">
        <v>3084</v>
      </c>
      <c r="AZ143" s="1326" t="s">
        <v>3085</v>
      </c>
      <c r="BA143" s="1326" t="s">
        <v>3086</v>
      </c>
      <c r="BB143" s="1326" t="s">
        <v>2757</v>
      </c>
      <c r="BC143" s="1326" t="s">
        <v>2800</v>
      </c>
      <c r="BD143" s="1326" t="s">
        <v>2773</v>
      </c>
      <c r="BE143" s="1326" t="s">
        <v>3087</v>
      </c>
      <c r="BF143" s="1326" t="s">
        <v>3088</v>
      </c>
      <c r="BG143" s="1326" t="s">
        <v>3089</v>
      </c>
      <c r="BH143" s="1326" t="s">
        <v>2026</v>
      </c>
      <c r="BI143" s="1326" t="s">
        <v>3090</v>
      </c>
      <c r="BJ143" s="1326" t="s">
        <v>3091</v>
      </c>
      <c r="BK143" s="1326" t="s">
        <v>2794</v>
      </c>
      <c r="BL143" s="1326" t="s">
        <v>2757</v>
      </c>
      <c r="BM143" s="1326" t="s">
        <v>2757</v>
      </c>
      <c r="BN143" s="1683">
        <v>0</v>
      </c>
      <c r="BO143" s="1685">
        <v>43005</v>
      </c>
      <c r="BP143" s="1685">
        <v>44466</v>
      </c>
      <c r="BQ143" s="1326" t="s">
        <v>2955</v>
      </c>
      <c r="BR143" s="1685">
        <v>47483</v>
      </c>
      <c r="BS143" s="1326" t="s">
        <v>2911</v>
      </c>
      <c r="BT143" s="1326" t="s">
        <v>3092</v>
      </c>
      <c r="BU143" s="1683">
        <v>30</v>
      </c>
      <c r="BV143" s="1683">
        <v>544486.06000000006</v>
      </c>
      <c r="BW143" s="1685">
        <v>44526</v>
      </c>
      <c r="BX143" s="1682"/>
      <c r="BY143" s="1326" t="s">
        <v>2052</v>
      </c>
      <c r="BZ143" s="1326" t="s">
        <v>2782</v>
      </c>
      <c r="CA143" s="1326" t="s">
        <v>2782</v>
      </c>
      <c r="CB143" s="1326" t="s">
        <v>2783</v>
      </c>
      <c r="CC143" s="1326" t="s">
        <v>2809</v>
      </c>
      <c r="CD143" s="1684">
        <v>1814953.52</v>
      </c>
      <c r="CE143" s="1684">
        <v>1814953.52</v>
      </c>
      <c r="CF143" s="1684">
        <v>1814953.52</v>
      </c>
      <c r="CG143" s="1684">
        <v>100</v>
      </c>
      <c r="CH143" s="1684">
        <v>0</v>
      </c>
      <c r="CI143" s="1684">
        <v>0</v>
      </c>
      <c r="CJ143" s="1684">
        <v>1814953.52</v>
      </c>
      <c r="CK143" s="1684">
        <v>100</v>
      </c>
      <c r="CL143" s="1410" t="s">
        <v>2785</v>
      </c>
      <c r="CM143" s="1686">
        <v>42965</v>
      </c>
      <c r="CN143" s="1400"/>
      <c r="CO143" s="1326"/>
      <c r="CP143" s="1682"/>
      <c r="CQ143" s="1684">
        <v>1814953.52</v>
      </c>
      <c r="CR143" s="1684">
        <v>1314953.52</v>
      </c>
      <c r="CS143" s="1684">
        <v>500000</v>
      </c>
      <c r="CT143" s="1326" t="s">
        <v>2785</v>
      </c>
      <c r="CU143" s="1686">
        <v>42978</v>
      </c>
      <c r="CV143" s="1684">
        <v>1814953.52</v>
      </c>
      <c r="CW143" s="1684">
        <v>0</v>
      </c>
      <c r="CX143" s="1684">
        <v>0</v>
      </c>
      <c r="CY143" s="1684">
        <v>0</v>
      </c>
      <c r="CZ143" s="1684">
        <v>0</v>
      </c>
      <c r="DA143" s="1684">
        <v>1296395.3700000001</v>
      </c>
      <c r="DB143" s="1684">
        <v>0</v>
      </c>
      <c r="DC143" s="1684">
        <v>518558.15</v>
      </c>
      <c r="DD143" s="1684">
        <v>1814953.52</v>
      </c>
      <c r="DE143" s="1684">
        <v>1814953.52</v>
      </c>
      <c r="DF143" s="1684">
        <v>1314953.52</v>
      </c>
      <c r="DG143" s="1684">
        <v>500000</v>
      </c>
      <c r="DH143" s="1684">
        <v>0</v>
      </c>
      <c r="DI143" s="1684">
        <v>0</v>
      </c>
      <c r="DJ143" s="1684">
        <v>0</v>
      </c>
      <c r="DK143" s="1684">
        <v>0</v>
      </c>
      <c r="DL143" s="1684">
        <v>0</v>
      </c>
      <c r="DM143" s="1684">
        <v>0</v>
      </c>
      <c r="DN143" s="1684">
        <v>0</v>
      </c>
      <c r="DO143" s="1684">
        <v>0</v>
      </c>
      <c r="DP143" s="1684">
        <v>0</v>
      </c>
      <c r="DQ143" s="1326" t="s">
        <v>2810</v>
      </c>
      <c r="DR143" s="1684">
        <v>0</v>
      </c>
      <c r="DS143" s="1326" t="s">
        <v>2757</v>
      </c>
      <c r="DT143" s="1682"/>
      <c r="DU143" s="1326" t="s">
        <v>2757</v>
      </c>
      <c r="DV143" s="1682"/>
    </row>
    <row r="144" spans="1:126">
      <c r="A144" s="1326" t="s">
        <v>2135</v>
      </c>
      <c r="B144" s="1326" t="s">
        <v>1702</v>
      </c>
      <c r="C144" s="1326" t="s">
        <v>2570</v>
      </c>
      <c r="D144" s="1326" t="s">
        <v>2574</v>
      </c>
      <c r="E144" s="1326"/>
      <c r="F144" s="1326"/>
      <c r="G144" s="1326"/>
      <c r="H144" s="1326"/>
      <c r="I144" s="1326"/>
      <c r="J144" s="1326"/>
      <c r="K144" s="1682"/>
      <c r="L144" s="1682"/>
      <c r="M144" s="1326"/>
      <c r="N144" s="1326"/>
      <c r="O144" s="1326"/>
      <c r="P144" s="1326"/>
      <c r="Q144" s="1326"/>
      <c r="R144" s="1326"/>
      <c r="S144" s="1326"/>
      <c r="T144" s="1326"/>
      <c r="U144" s="1326"/>
      <c r="V144" s="1326"/>
      <c r="W144" s="1326"/>
      <c r="X144" s="1326"/>
      <c r="Y144" s="1326"/>
      <c r="Z144" s="1326"/>
      <c r="AA144" s="1326"/>
      <c r="AB144" s="1326"/>
      <c r="AC144" s="1326"/>
      <c r="AD144" s="1326"/>
      <c r="AE144" s="1326"/>
      <c r="AF144" s="1326"/>
      <c r="AG144" s="1326"/>
      <c r="AH144" s="1326"/>
      <c r="AI144" s="1326"/>
      <c r="AJ144" s="1326"/>
      <c r="AK144" s="1326"/>
      <c r="AL144" s="1326"/>
      <c r="AM144" s="1400"/>
      <c r="AN144" s="1326"/>
      <c r="AO144" s="1326"/>
      <c r="AP144" s="1326"/>
      <c r="AQ144" s="1326"/>
      <c r="AR144" s="1326"/>
      <c r="AS144" s="1326"/>
      <c r="AT144" s="1326"/>
      <c r="AU144" s="1326"/>
      <c r="AV144" s="1326"/>
      <c r="AW144" s="1326"/>
      <c r="AX144" s="1326"/>
      <c r="AY144" s="1326"/>
      <c r="AZ144" s="1326"/>
      <c r="BA144" s="1326"/>
      <c r="BB144" s="1326"/>
      <c r="BC144" s="1326"/>
      <c r="BD144" s="1326"/>
      <c r="BE144" s="1326"/>
      <c r="BF144" s="1326"/>
      <c r="BG144" s="1326"/>
      <c r="BH144" s="1326"/>
      <c r="BI144" s="1326"/>
      <c r="BJ144" s="1326"/>
      <c r="BK144" s="1326"/>
      <c r="BL144" s="1326"/>
      <c r="BM144" s="1326"/>
      <c r="BN144" s="1400"/>
      <c r="BO144" s="1682"/>
      <c r="BP144" s="1682"/>
      <c r="BQ144" s="1326"/>
      <c r="BR144" s="1682"/>
      <c r="BS144" s="1326"/>
      <c r="BT144" s="1326"/>
      <c r="BU144" s="1400"/>
      <c r="BV144" s="1683">
        <v>294203.3</v>
      </c>
      <c r="BW144" s="1682"/>
      <c r="BX144" s="1682"/>
      <c r="BY144" s="1326"/>
      <c r="BZ144" s="1326"/>
      <c r="CA144" s="1326"/>
      <c r="CB144" s="1326"/>
      <c r="CC144" s="1326"/>
      <c r="CD144" s="1684">
        <v>1060197.72</v>
      </c>
      <c r="CE144" s="1684">
        <v>1060197.72</v>
      </c>
      <c r="CF144" s="1684">
        <v>980677.61</v>
      </c>
      <c r="CG144" s="1684">
        <v>92.5</v>
      </c>
      <c r="CH144" s="1684">
        <v>79520.11</v>
      </c>
      <c r="CI144" s="1684">
        <v>7.5</v>
      </c>
      <c r="CJ144" s="1684">
        <v>1060197.72</v>
      </c>
      <c r="CK144" s="1684">
        <v>100</v>
      </c>
      <c r="CL144" s="1410"/>
      <c r="CM144" s="1682"/>
      <c r="CN144" s="1400"/>
      <c r="CO144" s="1326"/>
      <c r="CP144" s="1682"/>
      <c r="CQ144" s="1684">
        <v>980677.61</v>
      </c>
      <c r="CR144" s="1684">
        <v>900497.55</v>
      </c>
      <c r="CS144" s="1684">
        <v>80180.06</v>
      </c>
      <c r="CT144" s="1326"/>
      <c r="CU144" s="1682"/>
      <c r="CV144" s="1684">
        <v>1060197.72</v>
      </c>
      <c r="CW144" s="1684">
        <v>0</v>
      </c>
      <c r="CX144" s="1684">
        <v>0</v>
      </c>
      <c r="CY144" s="1684">
        <v>39755.699999999997</v>
      </c>
      <c r="CZ144" s="1684">
        <v>132894.06</v>
      </c>
      <c r="DA144" s="1684">
        <v>730012.99</v>
      </c>
      <c r="DB144" s="1684">
        <v>49.14</v>
      </c>
      <c r="DC144" s="1684">
        <v>157485.82999999999</v>
      </c>
      <c r="DD144" s="1684">
        <v>1060197.72</v>
      </c>
      <c r="DE144" s="1684">
        <v>980677.61</v>
      </c>
      <c r="DF144" s="1684">
        <v>900497.55</v>
      </c>
      <c r="DG144" s="1684">
        <v>80180.06</v>
      </c>
      <c r="DH144" s="1684">
        <v>79520.11</v>
      </c>
      <c r="DI144" s="1684">
        <v>79520.11</v>
      </c>
      <c r="DJ144" s="1684">
        <v>0</v>
      </c>
      <c r="DK144" s="1684">
        <v>78220.160000000003</v>
      </c>
      <c r="DL144" s="1684">
        <v>1299.95</v>
      </c>
      <c r="DM144" s="1684">
        <v>0</v>
      </c>
      <c r="DN144" s="1684">
        <v>0</v>
      </c>
      <c r="DO144" s="1684">
        <v>0</v>
      </c>
      <c r="DP144" s="1684">
        <v>0</v>
      </c>
      <c r="DQ144" s="1326"/>
      <c r="DR144" s="1400"/>
      <c r="DS144" s="1326"/>
      <c r="DT144" s="1682"/>
      <c r="DU144" s="1326"/>
      <c r="DV144" s="1682"/>
    </row>
    <row r="145" spans="1:126" ht="22.5">
      <c r="A145" s="1326" t="s">
        <v>2136</v>
      </c>
      <c r="B145" s="1326" t="s">
        <v>1702</v>
      </c>
      <c r="C145" s="1326" t="s">
        <v>2570</v>
      </c>
      <c r="D145" s="1326" t="s">
        <v>2574</v>
      </c>
      <c r="E145" s="1326" t="s">
        <v>1176</v>
      </c>
      <c r="F145" s="1326" t="s">
        <v>1201</v>
      </c>
      <c r="G145" s="1326"/>
      <c r="H145" s="1326"/>
      <c r="I145" s="1326"/>
      <c r="J145" s="1326"/>
      <c r="K145" s="1682"/>
      <c r="L145" s="1682"/>
      <c r="M145" s="1326"/>
      <c r="N145" s="1326"/>
      <c r="O145" s="1326"/>
      <c r="P145" s="1326"/>
      <c r="Q145" s="1326"/>
      <c r="R145" s="1326"/>
      <c r="S145" s="1326"/>
      <c r="T145" s="1326"/>
      <c r="U145" s="1326"/>
      <c r="V145" s="1326"/>
      <c r="W145" s="1326"/>
      <c r="X145" s="1326"/>
      <c r="Y145" s="1326"/>
      <c r="Z145" s="1326"/>
      <c r="AA145" s="1326"/>
      <c r="AB145" s="1326"/>
      <c r="AC145" s="1326"/>
      <c r="AD145" s="1326"/>
      <c r="AE145" s="1326"/>
      <c r="AF145" s="1326"/>
      <c r="AG145" s="1326"/>
      <c r="AH145" s="1326"/>
      <c r="AI145" s="1326"/>
      <c r="AJ145" s="1326"/>
      <c r="AK145" s="1326"/>
      <c r="AL145" s="1326"/>
      <c r="AM145" s="1400"/>
      <c r="AN145" s="1326"/>
      <c r="AO145" s="1326"/>
      <c r="AP145" s="1326"/>
      <c r="AQ145" s="1326"/>
      <c r="AR145" s="1326"/>
      <c r="AS145" s="1326"/>
      <c r="AT145" s="1326"/>
      <c r="AU145" s="1326"/>
      <c r="AV145" s="1326"/>
      <c r="AW145" s="1326"/>
      <c r="AX145" s="1326"/>
      <c r="AY145" s="1326"/>
      <c r="AZ145" s="1326"/>
      <c r="BA145" s="1326"/>
      <c r="BB145" s="1326"/>
      <c r="BC145" s="1326"/>
      <c r="BD145" s="1326"/>
      <c r="BE145" s="1326"/>
      <c r="BF145" s="1326"/>
      <c r="BG145" s="1326"/>
      <c r="BH145" s="1326"/>
      <c r="BI145" s="1326"/>
      <c r="BJ145" s="1326"/>
      <c r="BK145" s="1326"/>
      <c r="BL145" s="1326"/>
      <c r="BM145" s="1326"/>
      <c r="BN145" s="1400"/>
      <c r="BO145" s="1682"/>
      <c r="BP145" s="1682"/>
      <c r="BQ145" s="1326"/>
      <c r="BR145" s="1682"/>
      <c r="BS145" s="1326"/>
      <c r="BT145" s="1326"/>
      <c r="BU145" s="1400"/>
      <c r="BV145" s="1683">
        <v>276108.15000000002</v>
      </c>
      <c r="BW145" s="1682"/>
      <c r="BX145" s="1682"/>
      <c r="BY145" s="1326"/>
      <c r="BZ145" s="1326"/>
      <c r="CA145" s="1326"/>
      <c r="CB145" s="1326"/>
      <c r="CC145" s="1326"/>
      <c r="CD145" s="1684">
        <v>994984.54</v>
      </c>
      <c r="CE145" s="1684">
        <v>994984.54</v>
      </c>
      <c r="CF145" s="1684">
        <v>920360.47</v>
      </c>
      <c r="CG145" s="1684">
        <v>92.5</v>
      </c>
      <c r="CH145" s="1684">
        <v>74624.070000000007</v>
      </c>
      <c r="CI145" s="1684">
        <v>7.5</v>
      </c>
      <c r="CJ145" s="1684">
        <v>994984.54</v>
      </c>
      <c r="CK145" s="1684">
        <v>100</v>
      </c>
      <c r="CL145" s="1410"/>
      <c r="CM145" s="1682"/>
      <c r="CN145" s="1400"/>
      <c r="CO145" s="1326"/>
      <c r="CP145" s="1682"/>
      <c r="CQ145" s="1684">
        <v>920360.47</v>
      </c>
      <c r="CR145" s="1684">
        <v>845736.85</v>
      </c>
      <c r="CS145" s="1684">
        <v>74623.62</v>
      </c>
      <c r="CT145" s="1326"/>
      <c r="CU145" s="1682"/>
      <c r="CV145" s="1684">
        <v>994984.54</v>
      </c>
      <c r="CW145" s="1684">
        <v>0</v>
      </c>
      <c r="CX145" s="1684">
        <v>0</v>
      </c>
      <c r="CY145" s="1684">
        <v>39755.699999999997</v>
      </c>
      <c r="CZ145" s="1684">
        <v>132894.06</v>
      </c>
      <c r="DA145" s="1684">
        <v>673010.24</v>
      </c>
      <c r="DB145" s="1684">
        <v>49.14</v>
      </c>
      <c r="DC145" s="1684">
        <v>149275.4</v>
      </c>
      <c r="DD145" s="1684">
        <v>994984.54</v>
      </c>
      <c r="DE145" s="1684">
        <v>920360.47</v>
      </c>
      <c r="DF145" s="1684">
        <v>845736.85</v>
      </c>
      <c r="DG145" s="1684">
        <v>74623.62</v>
      </c>
      <c r="DH145" s="1684">
        <v>74624.070000000007</v>
      </c>
      <c r="DI145" s="1684">
        <v>74624.070000000007</v>
      </c>
      <c r="DJ145" s="1684">
        <v>0</v>
      </c>
      <c r="DK145" s="1684">
        <v>74624.070000000007</v>
      </c>
      <c r="DL145" s="1684">
        <v>0</v>
      </c>
      <c r="DM145" s="1684">
        <v>0</v>
      </c>
      <c r="DN145" s="1684">
        <v>0</v>
      </c>
      <c r="DO145" s="1684">
        <v>0</v>
      </c>
      <c r="DP145" s="1684">
        <v>0</v>
      </c>
      <c r="DQ145" s="1326"/>
      <c r="DR145" s="1400"/>
      <c r="DS145" s="1326"/>
      <c r="DT145" s="1682"/>
      <c r="DU145" s="1326"/>
      <c r="DV145" s="1682"/>
    </row>
    <row r="146" spans="1:126" ht="56.25">
      <c r="A146" s="1326" t="s">
        <v>2138</v>
      </c>
      <c r="B146" s="1326" t="s">
        <v>1702</v>
      </c>
      <c r="C146" s="1326" t="s">
        <v>2570</v>
      </c>
      <c r="D146" s="1326" t="s">
        <v>2574</v>
      </c>
      <c r="E146" s="1326" t="s">
        <v>1176</v>
      </c>
      <c r="F146" s="1326" t="s">
        <v>1201</v>
      </c>
      <c r="G146" s="1326" t="s">
        <v>2575</v>
      </c>
      <c r="H146" s="1326" t="s">
        <v>2572</v>
      </c>
      <c r="I146" s="1326" t="s">
        <v>2573</v>
      </c>
      <c r="J146" s="1326" t="s">
        <v>1601</v>
      </c>
      <c r="K146" s="1685">
        <v>43217</v>
      </c>
      <c r="L146" s="1685">
        <v>43284</v>
      </c>
      <c r="M146" s="1326" t="s">
        <v>2380</v>
      </c>
      <c r="N146" s="1326" t="s">
        <v>2061</v>
      </c>
      <c r="O146" s="1326" t="s">
        <v>3093</v>
      </c>
      <c r="P146" s="1326" t="s">
        <v>2757</v>
      </c>
      <c r="Q146" s="1326" t="s">
        <v>1737</v>
      </c>
      <c r="R146" s="1326" t="s">
        <v>2757</v>
      </c>
      <c r="S146" s="1326" t="s">
        <v>2757</v>
      </c>
      <c r="T146" s="1326" t="s">
        <v>2785</v>
      </c>
      <c r="U146" s="1326" t="s">
        <v>2758</v>
      </c>
      <c r="V146" s="1326" t="s">
        <v>2757</v>
      </c>
      <c r="W146" s="1326" t="s">
        <v>2757</v>
      </c>
      <c r="X146" s="1326" t="s">
        <v>2757</v>
      </c>
      <c r="Y146" s="1326" t="s">
        <v>2757</v>
      </c>
      <c r="Z146" s="1326" t="s">
        <v>2757</v>
      </c>
      <c r="AA146" s="1326" t="s">
        <v>2757</v>
      </c>
      <c r="AB146" s="1326" t="s">
        <v>2757</v>
      </c>
      <c r="AC146" s="1326" t="s">
        <v>2757</v>
      </c>
      <c r="AD146" s="1326" t="s">
        <v>2757</v>
      </c>
      <c r="AE146" s="1326"/>
      <c r="AF146" s="1326" t="s">
        <v>3094</v>
      </c>
      <c r="AG146" s="1326" t="s">
        <v>3095</v>
      </c>
      <c r="AH146" s="1326" t="s">
        <v>2951</v>
      </c>
      <c r="AI146" s="1326" t="s">
        <v>2762</v>
      </c>
      <c r="AJ146" s="1326" t="s">
        <v>2763</v>
      </c>
      <c r="AK146" s="1326" t="s">
        <v>3072</v>
      </c>
      <c r="AL146" s="1326" t="s">
        <v>3073</v>
      </c>
      <c r="AM146" s="1683">
        <v>100</v>
      </c>
      <c r="AN146" s="1326"/>
      <c r="AO146" s="1326"/>
      <c r="AP146" s="1326"/>
      <c r="AQ146" s="1326"/>
      <c r="AR146" s="1326"/>
      <c r="AS146" s="1326"/>
      <c r="AT146" s="1326" t="s">
        <v>2794</v>
      </c>
      <c r="AU146" s="1326" t="s">
        <v>2766</v>
      </c>
      <c r="AV146" s="1326" t="s">
        <v>3021</v>
      </c>
      <c r="AW146" s="1326" t="s">
        <v>3074</v>
      </c>
      <c r="AX146" s="1326" t="s">
        <v>3096</v>
      </c>
      <c r="AY146" s="1326" t="s">
        <v>2798</v>
      </c>
      <c r="AZ146" s="1326" t="s">
        <v>345</v>
      </c>
      <c r="BA146" s="1326" t="s">
        <v>2799</v>
      </c>
      <c r="BB146" s="1326" t="s">
        <v>2757</v>
      </c>
      <c r="BC146" s="1326" t="s">
        <v>2800</v>
      </c>
      <c r="BD146" s="1326" t="s">
        <v>2773</v>
      </c>
      <c r="BE146" s="1326" t="s">
        <v>2801</v>
      </c>
      <c r="BF146" s="1326" t="s">
        <v>3097</v>
      </c>
      <c r="BG146" s="1326" t="s">
        <v>2939</v>
      </c>
      <c r="BH146" s="1326" t="s">
        <v>2024</v>
      </c>
      <c r="BI146" s="1326" t="s">
        <v>2805</v>
      </c>
      <c r="BJ146" s="1326" t="s">
        <v>2806</v>
      </c>
      <c r="BK146" s="1326" t="s">
        <v>2794</v>
      </c>
      <c r="BL146" s="1326" t="s">
        <v>2757</v>
      </c>
      <c r="BM146" s="1326" t="s">
        <v>2757</v>
      </c>
      <c r="BN146" s="1683">
        <v>0</v>
      </c>
      <c r="BO146" s="1685">
        <v>43284</v>
      </c>
      <c r="BP146" s="1685">
        <v>44380</v>
      </c>
      <c r="BQ146" s="1326" t="s">
        <v>2779</v>
      </c>
      <c r="BR146" s="1685">
        <v>47483</v>
      </c>
      <c r="BS146" s="1326" t="s">
        <v>3098</v>
      </c>
      <c r="BT146" s="1326" t="s">
        <v>3099</v>
      </c>
      <c r="BU146" s="1683">
        <v>30</v>
      </c>
      <c r="BV146" s="1683">
        <v>55221.39</v>
      </c>
      <c r="BW146" s="1685">
        <v>44440</v>
      </c>
      <c r="BX146" s="1682"/>
      <c r="BY146" s="1326" t="s">
        <v>2052</v>
      </c>
      <c r="BZ146" s="1326" t="s">
        <v>2782</v>
      </c>
      <c r="CA146" s="1326" t="s">
        <v>2782</v>
      </c>
      <c r="CB146" s="1326" t="s">
        <v>2783</v>
      </c>
      <c r="CC146" s="1326" t="s">
        <v>2809</v>
      </c>
      <c r="CD146" s="1684">
        <v>198996</v>
      </c>
      <c r="CE146" s="1684">
        <v>198996</v>
      </c>
      <c r="CF146" s="1684">
        <v>184071.3</v>
      </c>
      <c r="CG146" s="1684">
        <v>92.5</v>
      </c>
      <c r="CH146" s="1684">
        <v>14924.7</v>
      </c>
      <c r="CI146" s="1684">
        <v>7.5</v>
      </c>
      <c r="CJ146" s="1684">
        <v>198996</v>
      </c>
      <c r="CK146" s="1684">
        <v>100</v>
      </c>
      <c r="CL146" s="1410" t="s">
        <v>2785</v>
      </c>
      <c r="CM146" s="1686">
        <v>43263</v>
      </c>
      <c r="CN146" s="1400"/>
      <c r="CO146" s="1326"/>
      <c r="CP146" s="1682"/>
      <c r="CQ146" s="1684">
        <v>184071.3</v>
      </c>
      <c r="CR146" s="1684">
        <v>169146.6</v>
      </c>
      <c r="CS146" s="1684">
        <v>14924.7</v>
      </c>
      <c r="CT146" s="1326" t="s">
        <v>2785</v>
      </c>
      <c r="CU146" s="1686">
        <v>43266</v>
      </c>
      <c r="CV146" s="1684">
        <v>198996</v>
      </c>
      <c r="CW146" s="1684">
        <v>0</v>
      </c>
      <c r="CX146" s="1684">
        <v>0</v>
      </c>
      <c r="CY146" s="1684">
        <v>0</v>
      </c>
      <c r="CZ146" s="1684">
        <v>34600</v>
      </c>
      <c r="DA146" s="1684">
        <v>132599</v>
      </c>
      <c r="DB146" s="1684">
        <v>25</v>
      </c>
      <c r="DC146" s="1684">
        <v>31772</v>
      </c>
      <c r="DD146" s="1684">
        <v>198996</v>
      </c>
      <c r="DE146" s="1684">
        <v>184071.3</v>
      </c>
      <c r="DF146" s="1684">
        <v>169146.6</v>
      </c>
      <c r="DG146" s="1684">
        <v>14924.7</v>
      </c>
      <c r="DH146" s="1684">
        <v>14924.7</v>
      </c>
      <c r="DI146" s="1684">
        <v>14924.7</v>
      </c>
      <c r="DJ146" s="1684">
        <v>0</v>
      </c>
      <c r="DK146" s="1684">
        <v>14924.7</v>
      </c>
      <c r="DL146" s="1684">
        <v>0</v>
      </c>
      <c r="DM146" s="1684">
        <v>0</v>
      </c>
      <c r="DN146" s="1684">
        <v>0</v>
      </c>
      <c r="DO146" s="1684">
        <v>0</v>
      </c>
      <c r="DP146" s="1684">
        <v>0</v>
      </c>
      <c r="DQ146" s="1326" t="s">
        <v>2810</v>
      </c>
      <c r="DR146" s="1684">
        <v>0</v>
      </c>
      <c r="DS146" s="1326" t="s">
        <v>2757</v>
      </c>
      <c r="DT146" s="1682"/>
      <c r="DU146" s="1326" t="s">
        <v>2757</v>
      </c>
      <c r="DV146" s="1682"/>
    </row>
    <row r="147" spans="1:126" ht="67.5">
      <c r="A147" s="1326" t="s">
        <v>2139</v>
      </c>
      <c r="B147" s="1326" t="s">
        <v>1702</v>
      </c>
      <c r="C147" s="1326" t="s">
        <v>2570</v>
      </c>
      <c r="D147" s="1326" t="s">
        <v>2574</v>
      </c>
      <c r="E147" s="1326" t="s">
        <v>1176</v>
      </c>
      <c r="F147" s="1326" t="s">
        <v>1201</v>
      </c>
      <c r="G147" s="1326" t="s">
        <v>2575</v>
      </c>
      <c r="H147" s="1326" t="s">
        <v>2572</v>
      </c>
      <c r="I147" s="1326" t="s">
        <v>2573</v>
      </c>
      <c r="J147" s="1326" t="s">
        <v>1602</v>
      </c>
      <c r="K147" s="1685">
        <v>43217</v>
      </c>
      <c r="L147" s="1685">
        <v>43284</v>
      </c>
      <c r="M147" s="1326" t="s">
        <v>1195</v>
      </c>
      <c r="N147" s="1326" t="s">
        <v>2061</v>
      </c>
      <c r="O147" s="1326" t="s">
        <v>3100</v>
      </c>
      <c r="P147" s="1326" t="s">
        <v>2757</v>
      </c>
      <c r="Q147" s="1326" t="s">
        <v>1737</v>
      </c>
      <c r="R147" s="1326" t="s">
        <v>2757</v>
      </c>
      <c r="S147" s="1326" t="s">
        <v>2757</v>
      </c>
      <c r="T147" s="1326" t="s">
        <v>2785</v>
      </c>
      <c r="U147" s="1326" t="s">
        <v>2758</v>
      </c>
      <c r="V147" s="1326" t="s">
        <v>2757</v>
      </c>
      <c r="W147" s="1326" t="s">
        <v>2757</v>
      </c>
      <c r="X147" s="1326" t="s">
        <v>2757</v>
      </c>
      <c r="Y147" s="1326" t="s">
        <v>2757</v>
      </c>
      <c r="Z147" s="1326" t="s">
        <v>2757</v>
      </c>
      <c r="AA147" s="1326" t="s">
        <v>2757</v>
      </c>
      <c r="AB147" s="1326" t="s">
        <v>2757</v>
      </c>
      <c r="AC147" s="1326" t="s">
        <v>2757</v>
      </c>
      <c r="AD147" s="1326" t="s">
        <v>2757</v>
      </c>
      <c r="AE147" s="1326"/>
      <c r="AF147" s="1326" t="s">
        <v>3094</v>
      </c>
      <c r="AG147" s="1326" t="s">
        <v>3095</v>
      </c>
      <c r="AH147" s="1326" t="s">
        <v>2951</v>
      </c>
      <c r="AI147" s="1326" t="s">
        <v>2762</v>
      </c>
      <c r="AJ147" s="1326" t="s">
        <v>2763</v>
      </c>
      <c r="AK147" s="1326" t="s">
        <v>3072</v>
      </c>
      <c r="AL147" s="1326" t="s">
        <v>3073</v>
      </c>
      <c r="AM147" s="1683">
        <v>100</v>
      </c>
      <c r="AN147" s="1326"/>
      <c r="AO147" s="1326"/>
      <c r="AP147" s="1326"/>
      <c r="AQ147" s="1326"/>
      <c r="AR147" s="1326"/>
      <c r="AS147" s="1326"/>
      <c r="AT147" s="1326" t="s">
        <v>2867</v>
      </c>
      <c r="AU147" s="1326" t="s">
        <v>2766</v>
      </c>
      <c r="AV147" s="1326" t="s">
        <v>3021</v>
      </c>
      <c r="AW147" s="1326" t="s">
        <v>3074</v>
      </c>
      <c r="AX147" s="1326" t="s">
        <v>3096</v>
      </c>
      <c r="AY147" s="1326" t="s">
        <v>2798</v>
      </c>
      <c r="AZ147" s="1326" t="s">
        <v>1196</v>
      </c>
      <c r="BA147" s="1326" t="s">
        <v>3101</v>
      </c>
      <c r="BB147" s="1326" t="s">
        <v>2757</v>
      </c>
      <c r="BC147" s="1326" t="s">
        <v>2800</v>
      </c>
      <c r="BD147" s="1326" t="s">
        <v>2773</v>
      </c>
      <c r="BE147" s="1326" t="s">
        <v>3102</v>
      </c>
      <c r="BF147" s="1326" t="s">
        <v>3103</v>
      </c>
      <c r="BG147" s="1326" t="s">
        <v>3104</v>
      </c>
      <c r="BH147" s="1326" t="s">
        <v>2804</v>
      </c>
      <c r="BI147" s="1326" t="s">
        <v>2805</v>
      </c>
      <c r="BJ147" s="1326" t="s">
        <v>2816</v>
      </c>
      <c r="BK147" s="1326" t="s">
        <v>2867</v>
      </c>
      <c r="BL147" s="1326" t="s">
        <v>2757</v>
      </c>
      <c r="BM147" s="1326" t="s">
        <v>2757</v>
      </c>
      <c r="BN147" s="1683">
        <v>0</v>
      </c>
      <c r="BO147" s="1685">
        <v>43284</v>
      </c>
      <c r="BP147" s="1685">
        <v>44380</v>
      </c>
      <c r="BQ147" s="1326" t="s">
        <v>2955</v>
      </c>
      <c r="BR147" s="1685">
        <v>47483</v>
      </c>
      <c r="BS147" s="1326" t="s">
        <v>3105</v>
      </c>
      <c r="BT147" s="1326" t="s">
        <v>3106</v>
      </c>
      <c r="BU147" s="1683">
        <v>30</v>
      </c>
      <c r="BV147" s="1683">
        <v>55221.72</v>
      </c>
      <c r="BW147" s="1685">
        <v>44440</v>
      </c>
      <c r="BX147" s="1682"/>
      <c r="BY147" s="1326" t="s">
        <v>2052</v>
      </c>
      <c r="BZ147" s="1326" t="s">
        <v>2782</v>
      </c>
      <c r="CA147" s="1326" t="s">
        <v>2782</v>
      </c>
      <c r="CB147" s="1326" t="s">
        <v>2783</v>
      </c>
      <c r="CC147" s="1326" t="s">
        <v>2809</v>
      </c>
      <c r="CD147" s="1684">
        <v>198997.18</v>
      </c>
      <c r="CE147" s="1684">
        <v>198997.18</v>
      </c>
      <c r="CF147" s="1684">
        <v>184072.39</v>
      </c>
      <c r="CG147" s="1684">
        <v>92.5</v>
      </c>
      <c r="CH147" s="1684">
        <v>14924.79</v>
      </c>
      <c r="CI147" s="1684">
        <v>7.5</v>
      </c>
      <c r="CJ147" s="1684">
        <v>198997.18</v>
      </c>
      <c r="CK147" s="1684">
        <v>100</v>
      </c>
      <c r="CL147" s="1410" t="s">
        <v>2785</v>
      </c>
      <c r="CM147" s="1686">
        <v>43263</v>
      </c>
      <c r="CN147" s="1400"/>
      <c r="CO147" s="1326"/>
      <c r="CP147" s="1682"/>
      <c r="CQ147" s="1684">
        <v>184072.39</v>
      </c>
      <c r="CR147" s="1684">
        <v>169147.6</v>
      </c>
      <c r="CS147" s="1684">
        <v>14924.79</v>
      </c>
      <c r="CT147" s="1326" t="s">
        <v>2785</v>
      </c>
      <c r="CU147" s="1686">
        <v>43266</v>
      </c>
      <c r="CV147" s="1684">
        <v>198997.18</v>
      </c>
      <c r="CW147" s="1684">
        <v>0</v>
      </c>
      <c r="CX147" s="1684">
        <v>0</v>
      </c>
      <c r="CY147" s="1684">
        <v>0</v>
      </c>
      <c r="CZ147" s="1684">
        <v>8769.48</v>
      </c>
      <c r="DA147" s="1684">
        <v>158455.57999999999</v>
      </c>
      <c r="DB147" s="1684">
        <v>0</v>
      </c>
      <c r="DC147" s="1684">
        <v>31772.12</v>
      </c>
      <c r="DD147" s="1684">
        <v>198997.18</v>
      </c>
      <c r="DE147" s="1684">
        <v>184072.39</v>
      </c>
      <c r="DF147" s="1684">
        <v>169147.6</v>
      </c>
      <c r="DG147" s="1684">
        <v>14924.79</v>
      </c>
      <c r="DH147" s="1684">
        <v>14924.79</v>
      </c>
      <c r="DI147" s="1684">
        <v>14924.79</v>
      </c>
      <c r="DJ147" s="1684">
        <v>0</v>
      </c>
      <c r="DK147" s="1684">
        <v>14924.79</v>
      </c>
      <c r="DL147" s="1684">
        <v>0</v>
      </c>
      <c r="DM147" s="1684">
        <v>0</v>
      </c>
      <c r="DN147" s="1684">
        <v>0</v>
      </c>
      <c r="DO147" s="1684">
        <v>0</v>
      </c>
      <c r="DP147" s="1684">
        <v>0</v>
      </c>
      <c r="DQ147" s="1326" t="s">
        <v>2810</v>
      </c>
      <c r="DR147" s="1684">
        <v>0</v>
      </c>
      <c r="DS147" s="1326" t="s">
        <v>2757</v>
      </c>
      <c r="DT147" s="1682"/>
      <c r="DU147" s="1326" t="s">
        <v>2757</v>
      </c>
      <c r="DV147" s="1682"/>
    </row>
    <row r="148" spans="1:126" ht="123.75">
      <c r="A148" s="1326" t="s">
        <v>2140</v>
      </c>
      <c r="B148" s="1326" t="s">
        <v>1702</v>
      </c>
      <c r="C148" s="1326" t="s">
        <v>2570</v>
      </c>
      <c r="D148" s="1326" t="s">
        <v>2574</v>
      </c>
      <c r="E148" s="1326" t="s">
        <v>1176</v>
      </c>
      <c r="F148" s="1326" t="s">
        <v>1201</v>
      </c>
      <c r="G148" s="1326" t="s">
        <v>2575</v>
      </c>
      <c r="H148" s="1326" t="s">
        <v>2572</v>
      </c>
      <c r="I148" s="1326" t="s">
        <v>2573</v>
      </c>
      <c r="J148" s="1326" t="s">
        <v>1603</v>
      </c>
      <c r="K148" s="1685">
        <v>43217</v>
      </c>
      <c r="L148" s="1685">
        <v>43286</v>
      </c>
      <c r="M148" s="1326" t="s">
        <v>1197</v>
      </c>
      <c r="N148" s="1326" t="s">
        <v>2061</v>
      </c>
      <c r="O148" s="1326" t="s">
        <v>3107</v>
      </c>
      <c r="P148" s="1326" t="s">
        <v>2757</v>
      </c>
      <c r="Q148" s="1326" t="s">
        <v>1737</v>
      </c>
      <c r="R148" s="1326" t="s">
        <v>2757</v>
      </c>
      <c r="S148" s="1326" t="s">
        <v>2757</v>
      </c>
      <c r="T148" s="1326" t="s">
        <v>2785</v>
      </c>
      <c r="U148" s="1326" t="s">
        <v>2758</v>
      </c>
      <c r="V148" s="1326" t="s">
        <v>2757</v>
      </c>
      <c r="W148" s="1326" t="s">
        <v>2757</v>
      </c>
      <c r="X148" s="1326" t="s">
        <v>2757</v>
      </c>
      <c r="Y148" s="1326" t="s">
        <v>2757</v>
      </c>
      <c r="Z148" s="1326" t="s">
        <v>2757</v>
      </c>
      <c r="AA148" s="1326" t="s">
        <v>2757</v>
      </c>
      <c r="AB148" s="1326" t="s">
        <v>2757</v>
      </c>
      <c r="AC148" s="1326" t="s">
        <v>2757</v>
      </c>
      <c r="AD148" s="1326" t="s">
        <v>2757</v>
      </c>
      <c r="AE148" s="1326"/>
      <c r="AF148" s="1326" t="s">
        <v>3094</v>
      </c>
      <c r="AG148" s="1326" t="s">
        <v>3095</v>
      </c>
      <c r="AH148" s="1326" t="s">
        <v>2951</v>
      </c>
      <c r="AI148" s="1326" t="s">
        <v>2762</v>
      </c>
      <c r="AJ148" s="1326" t="s">
        <v>2763</v>
      </c>
      <c r="AK148" s="1326" t="s">
        <v>3072</v>
      </c>
      <c r="AL148" s="1326" t="s">
        <v>3073</v>
      </c>
      <c r="AM148" s="1683">
        <v>100</v>
      </c>
      <c r="AN148" s="1326"/>
      <c r="AO148" s="1326"/>
      <c r="AP148" s="1326"/>
      <c r="AQ148" s="1326"/>
      <c r="AR148" s="1326"/>
      <c r="AS148" s="1326"/>
      <c r="AT148" s="1326" t="s">
        <v>2880</v>
      </c>
      <c r="AU148" s="1326" t="s">
        <v>2766</v>
      </c>
      <c r="AV148" s="1326" t="s">
        <v>3021</v>
      </c>
      <c r="AW148" s="1326" t="s">
        <v>3074</v>
      </c>
      <c r="AX148" s="1326" t="s">
        <v>3096</v>
      </c>
      <c r="AY148" s="1326" t="s">
        <v>2798</v>
      </c>
      <c r="AZ148" s="1326" t="s">
        <v>1198</v>
      </c>
      <c r="BA148" s="1326" t="s">
        <v>3108</v>
      </c>
      <c r="BB148" s="1326" t="s">
        <v>2757</v>
      </c>
      <c r="BC148" s="1326" t="s">
        <v>2800</v>
      </c>
      <c r="BD148" s="1326" t="s">
        <v>2773</v>
      </c>
      <c r="BE148" s="1326" t="s">
        <v>3109</v>
      </c>
      <c r="BF148" s="1326" t="s">
        <v>3110</v>
      </c>
      <c r="BG148" s="1326" t="s">
        <v>3111</v>
      </c>
      <c r="BH148" s="1326" t="s">
        <v>2804</v>
      </c>
      <c r="BI148" s="1326" t="s">
        <v>2805</v>
      </c>
      <c r="BJ148" s="1326" t="s">
        <v>2885</v>
      </c>
      <c r="BK148" s="1326" t="s">
        <v>2880</v>
      </c>
      <c r="BL148" s="1326" t="s">
        <v>2757</v>
      </c>
      <c r="BM148" s="1326" t="s">
        <v>2757</v>
      </c>
      <c r="BN148" s="1683">
        <v>0</v>
      </c>
      <c r="BO148" s="1685">
        <v>43262</v>
      </c>
      <c r="BP148" s="1685">
        <v>44382</v>
      </c>
      <c r="BQ148" s="1326" t="s">
        <v>2955</v>
      </c>
      <c r="BR148" s="1685">
        <v>47483</v>
      </c>
      <c r="BS148" s="1326" t="s">
        <v>2863</v>
      </c>
      <c r="BT148" s="1326" t="s">
        <v>3112</v>
      </c>
      <c r="BU148" s="1683">
        <v>30</v>
      </c>
      <c r="BV148" s="1683">
        <v>55221.72</v>
      </c>
      <c r="BW148" s="1685">
        <v>44442</v>
      </c>
      <c r="BX148" s="1682"/>
      <c r="BY148" s="1326" t="s">
        <v>2052</v>
      </c>
      <c r="BZ148" s="1326" t="s">
        <v>2782</v>
      </c>
      <c r="CA148" s="1326" t="s">
        <v>2782</v>
      </c>
      <c r="CB148" s="1326" t="s">
        <v>2783</v>
      </c>
      <c r="CC148" s="1326" t="s">
        <v>2913</v>
      </c>
      <c r="CD148" s="1684">
        <v>198997.18</v>
      </c>
      <c r="CE148" s="1684">
        <v>198997.18</v>
      </c>
      <c r="CF148" s="1684">
        <v>184072.39</v>
      </c>
      <c r="CG148" s="1684">
        <v>92.5</v>
      </c>
      <c r="CH148" s="1684">
        <v>14924.79</v>
      </c>
      <c r="CI148" s="1684">
        <v>7.5</v>
      </c>
      <c r="CJ148" s="1684">
        <v>198997.18</v>
      </c>
      <c r="CK148" s="1684">
        <v>100</v>
      </c>
      <c r="CL148" s="1410" t="s">
        <v>2785</v>
      </c>
      <c r="CM148" s="1686">
        <v>43259</v>
      </c>
      <c r="CN148" s="1400"/>
      <c r="CO148" s="1326"/>
      <c r="CP148" s="1682"/>
      <c r="CQ148" s="1684">
        <v>184072.39</v>
      </c>
      <c r="CR148" s="1684">
        <v>169147.6</v>
      </c>
      <c r="CS148" s="1684">
        <v>14924.79</v>
      </c>
      <c r="CT148" s="1326" t="s">
        <v>2785</v>
      </c>
      <c r="CU148" s="1686">
        <v>43266</v>
      </c>
      <c r="CV148" s="1684">
        <v>198997.18</v>
      </c>
      <c r="CW148" s="1684">
        <v>0</v>
      </c>
      <c r="CX148" s="1684">
        <v>0</v>
      </c>
      <c r="CY148" s="1684">
        <v>0</v>
      </c>
      <c r="CZ148" s="1684">
        <v>20941.78</v>
      </c>
      <c r="DA148" s="1684">
        <v>146295.4</v>
      </c>
      <c r="DB148" s="1684">
        <v>0</v>
      </c>
      <c r="DC148" s="1684">
        <v>31760</v>
      </c>
      <c r="DD148" s="1684">
        <v>198997.18</v>
      </c>
      <c r="DE148" s="1684">
        <v>184072.39</v>
      </c>
      <c r="DF148" s="1684">
        <v>169147.6</v>
      </c>
      <c r="DG148" s="1684">
        <v>14924.79</v>
      </c>
      <c r="DH148" s="1684">
        <v>14924.79</v>
      </c>
      <c r="DI148" s="1684">
        <v>14924.79</v>
      </c>
      <c r="DJ148" s="1684">
        <v>0</v>
      </c>
      <c r="DK148" s="1684">
        <v>14924.79</v>
      </c>
      <c r="DL148" s="1684">
        <v>0</v>
      </c>
      <c r="DM148" s="1684">
        <v>0</v>
      </c>
      <c r="DN148" s="1684">
        <v>0</v>
      </c>
      <c r="DO148" s="1684">
        <v>0</v>
      </c>
      <c r="DP148" s="1684">
        <v>0</v>
      </c>
      <c r="DQ148" s="1326" t="s">
        <v>2810</v>
      </c>
      <c r="DR148" s="1684">
        <v>0</v>
      </c>
      <c r="DS148" s="1326" t="s">
        <v>2757</v>
      </c>
      <c r="DT148" s="1682"/>
      <c r="DU148" s="1326" t="s">
        <v>2757</v>
      </c>
      <c r="DV148" s="1682"/>
    </row>
    <row r="149" spans="1:126" ht="123.75">
      <c r="A149" s="1326" t="s">
        <v>2141</v>
      </c>
      <c r="B149" s="1326" t="s">
        <v>1702</v>
      </c>
      <c r="C149" s="1326" t="s">
        <v>2570</v>
      </c>
      <c r="D149" s="1326" t="s">
        <v>2574</v>
      </c>
      <c r="E149" s="1326" t="s">
        <v>1176</v>
      </c>
      <c r="F149" s="1326" t="s">
        <v>1201</v>
      </c>
      <c r="G149" s="1326" t="s">
        <v>2575</v>
      </c>
      <c r="H149" s="1326" t="s">
        <v>2572</v>
      </c>
      <c r="I149" s="1326" t="s">
        <v>2573</v>
      </c>
      <c r="J149" s="1326" t="s">
        <v>1604</v>
      </c>
      <c r="K149" s="1685">
        <v>43220</v>
      </c>
      <c r="L149" s="1685">
        <v>43284</v>
      </c>
      <c r="M149" s="1326" t="s">
        <v>2389</v>
      </c>
      <c r="N149" s="1326" t="s">
        <v>2061</v>
      </c>
      <c r="O149" s="1326" t="s">
        <v>3113</v>
      </c>
      <c r="P149" s="1326" t="s">
        <v>2757</v>
      </c>
      <c r="Q149" s="1326" t="s">
        <v>1737</v>
      </c>
      <c r="R149" s="1326" t="s">
        <v>2757</v>
      </c>
      <c r="S149" s="1326" t="s">
        <v>2757</v>
      </c>
      <c r="T149" s="1326" t="s">
        <v>2785</v>
      </c>
      <c r="U149" s="1326" t="s">
        <v>2758</v>
      </c>
      <c r="V149" s="1326" t="s">
        <v>2757</v>
      </c>
      <c r="W149" s="1326" t="s">
        <v>2757</v>
      </c>
      <c r="X149" s="1326" t="s">
        <v>2757</v>
      </c>
      <c r="Y149" s="1326" t="s">
        <v>2757</v>
      </c>
      <c r="Z149" s="1326" t="s">
        <v>2757</v>
      </c>
      <c r="AA149" s="1326" t="s">
        <v>2757</v>
      </c>
      <c r="AB149" s="1326" t="s">
        <v>2757</v>
      </c>
      <c r="AC149" s="1326" t="s">
        <v>2785</v>
      </c>
      <c r="AD149" s="1326" t="s">
        <v>2757</v>
      </c>
      <c r="AE149" s="1326"/>
      <c r="AF149" s="1326" t="s">
        <v>3094</v>
      </c>
      <c r="AG149" s="1326" t="s">
        <v>3095</v>
      </c>
      <c r="AH149" s="1326" t="s">
        <v>2951</v>
      </c>
      <c r="AI149" s="1326" t="s">
        <v>2762</v>
      </c>
      <c r="AJ149" s="1326" t="s">
        <v>2763</v>
      </c>
      <c r="AK149" s="1326" t="s">
        <v>3072</v>
      </c>
      <c r="AL149" s="1326" t="s">
        <v>3073</v>
      </c>
      <c r="AM149" s="1683">
        <v>100</v>
      </c>
      <c r="AN149" s="1326"/>
      <c r="AO149" s="1326"/>
      <c r="AP149" s="1326"/>
      <c r="AQ149" s="1326"/>
      <c r="AR149" s="1326"/>
      <c r="AS149" s="1326"/>
      <c r="AT149" s="1326" t="s">
        <v>2867</v>
      </c>
      <c r="AU149" s="1326" t="s">
        <v>2766</v>
      </c>
      <c r="AV149" s="1326" t="s">
        <v>3021</v>
      </c>
      <c r="AW149" s="1326" t="s">
        <v>3074</v>
      </c>
      <c r="AX149" s="1326" t="s">
        <v>3096</v>
      </c>
      <c r="AY149" s="1326" t="s">
        <v>2798</v>
      </c>
      <c r="AZ149" s="1326" t="s">
        <v>1178</v>
      </c>
      <c r="BA149" s="1326" t="s">
        <v>3114</v>
      </c>
      <c r="BB149" s="1326" t="s">
        <v>2757</v>
      </c>
      <c r="BC149" s="1326" t="s">
        <v>2800</v>
      </c>
      <c r="BD149" s="1326" t="s">
        <v>2773</v>
      </c>
      <c r="BE149" s="1326" t="s">
        <v>3115</v>
      </c>
      <c r="BF149" s="1326" t="s">
        <v>3116</v>
      </c>
      <c r="BG149" s="1326" t="s">
        <v>3117</v>
      </c>
      <c r="BH149" s="1326" t="s">
        <v>2804</v>
      </c>
      <c r="BI149" s="1326" t="s">
        <v>2805</v>
      </c>
      <c r="BJ149" s="1326" t="s">
        <v>2832</v>
      </c>
      <c r="BK149" s="1326" t="s">
        <v>2867</v>
      </c>
      <c r="BL149" s="1326" t="s">
        <v>2757</v>
      </c>
      <c r="BM149" s="1326" t="s">
        <v>2757</v>
      </c>
      <c r="BN149" s="1683">
        <v>0</v>
      </c>
      <c r="BO149" s="1685">
        <v>43284</v>
      </c>
      <c r="BP149" s="1685">
        <v>44380</v>
      </c>
      <c r="BQ149" s="1326" t="s">
        <v>2779</v>
      </c>
      <c r="BR149" s="1685">
        <v>47483</v>
      </c>
      <c r="BS149" s="1326" t="s">
        <v>2992</v>
      </c>
      <c r="BT149" s="1326" t="s">
        <v>3487</v>
      </c>
      <c r="BU149" s="1683">
        <v>30</v>
      </c>
      <c r="BV149" s="1683">
        <v>55221.72</v>
      </c>
      <c r="BW149" s="1685">
        <v>44440</v>
      </c>
      <c r="BX149" s="1682"/>
      <c r="BY149" s="1326" t="s">
        <v>2052</v>
      </c>
      <c r="BZ149" s="1326" t="s">
        <v>2782</v>
      </c>
      <c r="CA149" s="1326" t="s">
        <v>2782</v>
      </c>
      <c r="CB149" s="1326" t="s">
        <v>2783</v>
      </c>
      <c r="CC149" s="1326" t="s">
        <v>2913</v>
      </c>
      <c r="CD149" s="1684">
        <v>198997.18</v>
      </c>
      <c r="CE149" s="1684">
        <v>198997.18</v>
      </c>
      <c r="CF149" s="1684">
        <v>184072.39</v>
      </c>
      <c r="CG149" s="1684">
        <v>92.5</v>
      </c>
      <c r="CH149" s="1684">
        <v>14924.79</v>
      </c>
      <c r="CI149" s="1684">
        <v>7.5</v>
      </c>
      <c r="CJ149" s="1684">
        <v>198997.18</v>
      </c>
      <c r="CK149" s="1684">
        <v>100</v>
      </c>
      <c r="CL149" s="1410" t="s">
        <v>2785</v>
      </c>
      <c r="CM149" s="1686">
        <v>43259</v>
      </c>
      <c r="CN149" s="1400"/>
      <c r="CO149" s="1326"/>
      <c r="CP149" s="1682"/>
      <c r="CQ149" s="1684">
        <v>184072.39</v>
      </c>
      <c r="CR149" s="1684">
        <v>169147.6</v>
      </c>
      <c r="CS149" s="1684">
        <v>14924.79</v>
      </c>
      <c r="CT149" s="1326" t="s">
        <v>2785</v>
      </c>
      <c r="CU149" s="1686">
        <v>43266</v>
      </c>
      <c r="CV149" s="1684">
        <v>198997.18</v>
      </c>
      <c r="CW149" s="1684">
        <v>0</v>
      </c>
      <c r="CX149" s="1684">
        <v>0</v>
      </c>
      <c r="CY149" s="1684">
        <v>19856</v>
      </c>
      <c r="CZ149" s="1684">
        <v>36571.53</v>
      </c>
      <c r="DA149" s="1684">
        <v>117125.88</v>
      </c>
      <c r="DB149" s="1684">
        <v>24.14</v>
      </c>
      <c r="DC149" s="1684">
        <v>25419.63</v>
      </c>
      <c r="DD149" s="1684">
        <v>198997.18</v>
      </c>
      <c r="DE149" s="1684">
        <v>184072.39</v>
      </c>
      <c r="DF149" s="1684">
        <v>169147.6</v>
      </c>
      <c r="DG149" s="1684">
        <v>14924.79</v>
      </c>
      <c r="DH149" s="1684">
        <v>14924.79</v>
      </c>
      <c r="DI149" s="1684">
        <v>14924.79</v>
      </c>
      <c r="DJ149" s="1684">
        <v>0</v>
      </c>
      <c r="DK149" s="1684">
        <v>14924.79</v>
      </c>
      <c r="DL149" s="1684">
        <v>0</v>
      </c>
      <c r="DM149" s="1684">
        <v>0</v>
      </c>
      <c r="DN149" s="1684">
        <v>0</v>
      </c>
      <c r="DO149" s="1684">
        <v>0</v>
      </c>
      <c r="DP149" s="1684">
        <v>0</v>
      </c>
      <c r="DQ149" s="1326" t="s">
        <v>2810</v>
      </c>
      <c r="DR149" s="1684">
        <v>0</v>
      </c>
      <c r="DS149" s="1326" t="s">
        <v>2757</v>
      </c>
      <c r="DT149" s="1682"/>
      <c r="DU149" s="1326" t="s">
        <v>2757</v>
      </c>
      <c r="DV149" s="1682"/>
    </row>
    <row r="150" spans="1:126" ht="112.5">
      <c r="A150" s="1326" t="s">
        <v>2142</v>
      </c>
      <c r="B150" s="1326" t="s">
        <v>1702</v>
      </c>
      <c r="C150" s="1326" t="s">
        <v>2570</v>
      </c>
      <c r="D150" s="1326" t="s">
        <v>2574</v>
      </c>
      <c r="E150" s="1326" t="s">
        <v>1176</v>
      </c>
      <c r="F150" s="1326" t="s">
        <v>1201</v>
      </c>
      <c r="G150" s="1326" t="s">
        <v>2575</v>
      </c>
      <c r="H150" s="1326" t="s">
        <v>2572</v>
      </c>
      <c r="I150" s="1326" t="s">
        <v>2573</v>
      </c>
      <c r="J150" s="1326" t="s">
        <v>1605</v>
      </c>
      <c r="K150" s="1685">
        <v>43223</v>
      </c>
      <c r="L150" s="1685">
        <v>43298</v>
      </c>
      <c r="M150" s="1326" t="s">
        <v>1179</v>
      </c>
      <c r="N150" s="1326" t="s">
        <v>2061</v>
      </c>
      <c r="O150" s="1326" t="s">
        <v>3119</v>
      </c>
      <c r="P150" s="1326" t="s">
        <v>2757</v>
      </c>
      <c r="Q150" s="1326" t="s">
        <v>1736</v>
      </c>
      <c r="R150" s="1326" t="s">
        <v>2757</v>
      </c>
      <c r="S150" s="1326" t="s">
        <v>2757</v>
      </c>
      <c r="T150" s="1326" t="s">
        <v>2785</v>
      </c>
      <c r="U150" s="1326" t="s">
        <v>2758</v>
      </c>
      <c r="V150" s="1326" t="s">
        <v>2757</v>
      </c>
      <c r="W150" s="1326" t="s">
        <v>2757</v>
      </c>
      <c r="X150" s="1326" t="s">
        <v>2757</v>
      </c>
      <c r="Y150" s="1326" t="s">
        <v>2757</v>
      </c>
      <c r="Z150" s="1326" t="s">
        <v>2757</v>
      </c>
      <c r="AA150" s="1326" t="s">
        <v>2757</v>
      </c>
      <c r="AB150" s="1326" t="s">
        <v>2757</v>
      </c>
      <c r="AC150" s="1326" t="s">
        <v>2757</v>
      </c>
      <c r="AD150" s="1326" t="s">
        <v>2757</v>
      </c>
      <c r="AE150" s="1326"/>
      <c r="AF150" s="1326" t="s">
        <v>3094</v>
      </c>
      <c r="AG150" s="1326" t="s">
        <v>3095</v>
      </c>
      <c r="AH150" s="1326" t="s">
        <v>2951</v>
      </c>
      <c r="AI150" s="1326" t="s">
        <v>2762</v>
      </c>
      <c r="AJ150" s="1326" t="s">
        <v>2763</v>
      </c>
      <c r="AK150" s="1326" t="s">
        <v>3072</v>
      </c>
      <c r="AL150" s="1326" t="s">
        <v>3073</v>
      </c>
      <c r="AM150" s="1683">
        <v>100</v>
      </c>
      <c r="AN150" s="1326"/>
      <c r="AO150" s="1326"/>
      <c r="AP150" s="1326"/>
      <c r="AQ150" s="1326"/>
      <c r="AR150" s="1326"/>
      <c r="AS150" s="1326"/>
      <c r="AT150" s="1326" t="s">
        <v>2867</v>
      </c>
      <c r="AU150" s="1326" t="s">
        <v>2766</v>
      </c>
      <c r="AV150" s="1326" t="s">
        <v>3021</v>
      </c>
      <c r="AW150" s="1326" t="s">
        <v>3074</v>
      </c>
      <c r="AX150" s="1326" t="s">
        <v>3096</v>
      </c>
      <c r="AY150" s="1326" t="s">
        <v>2798</v>
      </c>
      <c r="AZ150" s="1326" t="s">
        <v>276</v>
      </c>
      <c r="BA150" s="1326" t="s">
        <v>3120</v>
      </c>
      <c r="BB150" s="1326" t="s">
        <v>2757</v>
      </c>
      <c r="BC150" s="1326" t="s">
        <v>2800</v>
      </c>
      <c r="BD150" s="1326" t="s">
        <v>2773</v>
      </c>
      <c r="BE150" s="1326" t="s">
        <v>3121</v>
      </c>
      <c r="BF150" s="1326" t="s">
        <v>3122</v>
      </c>
      <c r="BG150" s="1326" t="s">
        <v>3123</v>
      </c>
      <c r="BH150" s="1326" t="s">
        <v>2804</v>
      </c>
      <c r="BI150" s="1326" t="s">
        <v>2805</v>
      </c>
      <c r="BJ150" s="1326" t="s">
        <v>2824</v>
      </c>
      <c r="BK150" s="1326" t="s">
        <v>2867</v>
      </c>
      <c r="BL150" s="1326" t="s">
        <v>2757</v>
      </c>
      <c r="BM150" s="1326" t="s">
        <v>2757</v>
      </c>
      <c r="BN150" s="1683">
        <v>0</v>
      </c>
      <c r="BO150" s="1685">
        <v>43298</v>
      </c>
      <c r="BP150" s="1685">
        <v>44394</v>
      </c>
      <c r="BQ150" s="1326" t="s">
        <v>2779</v>
      </c>
      <c r="BR150" s="1685">
        <v>47483</v>
      </c>
      <c r="BS150" s="1326" t="s">
        <v>2807</v>
      </c>
      <c r="BT150" s="1326" t="s">
        <v>3124</v>
      </c>
      <c r="BU150" s="1683">
        <v>30</v>
      </c>
      <c r="BV150" s="1683">
        <v>55221.599999999999</v>
      </c>
      <c r="BW150" s="1685">
        <v>44454</v>
      </c>
      <c r="BX150" s="1682"/>
      <c r="BY150" s="1326" t="s">
        <v>2052</v>
      </c>
      <c r="BZ150" s="1326" t="s">
        <v>2782</v>
      </c>
      <c r="CA150" s="1326" t="s">
        <v>2782</v>
      </c>
      <c r="CB150" s="1326" t="s">
        <v>2783</v>
      </c>
      <c r="CC150" s="1326" t="s">
        <v>2809</v>
      </c>
      <c r="CD150" s="1684">
        <v>198997</v>
      </c>
      <c r="CE150" s="1684">
        <v>198997</v>
      </c>
      <c r="CF150" s="1684">
        <v>184072</v>
      </c>
      <c r="CG150" s="1684">
        <v>92.5</v>
      </c>
      <c r="CH150" s="1684">
        <v>14925</v>
      </c>
      <c r="CI150" s="1684">
        <v>7.5</v>
      </c>
      <c r="CJ150" s="1684">
        <v>198997</v>
      </c>
      <c r="CK150" s="1684">
        <v>100</v>
      </c>
      <c r="CL150" s="1410" t="s">
        <v>2785</v>
      </c>
      <c r="CM150" s="1686">
        <v>43266</v>
      </c>
      <c r="CN150" s="1400"/>
      <c r="CO150" s="1326"/>
      <c r="CP150" s="1682"/>
      <c r="CQ150" s="1684">
        <v>184072</v>
      </c>
      <c r="CR150" s="1684">
        <v>169147.45</v>
      </c>
      <c r="CS150" s="1684">
        <v>14924.55</v>
      </c>
      <c r="CT150" s="1326" t="s">
        <v>2785</v>
      </c>
      <c r="CU150" s="1686">
        <v>43272</v>
      </c>
      <c r="CV150" s="1684">
        <v>198997</v>
      </c>
      <c r="CW150" s="1684">
        <v>0</v>
      </c>
      <c r="CX150" s="1684">
        <v>0</v>
      </c>
      <c r="CY150" s="1684">
        <v>19899.7</v>
      </c>
      <c r="CZ150" s="1684">
        <v>32011.27</v>
      </c>
      <c r="DA150" s="1684">
        <v>118534.38</v>
      </c>
      <c r="DB150" s="1684">
        <v>0</v>
      </c>
      <c r="DC150" s="1684">
        <v>28551.65</v>
      </c>
      <c r="DD150" s="1684">
        <v>198997</v>
      </c>
      <c r="DE150" s="1684">
        <v>184072</v>
      </c>
      <c r="DF150" s="1684">
        <v>169147.45</v>
      </c>
      <c r="DG150" s="1684">
        <v>14924.55</v>
      </c>
      <c r="DH150" s="1684">
        <v>14925</v>
      </c>
      <c r="DI150" s="1684">
        <v>14925</v>
      </c>
      <c r="DJ150" s="1684">
        <v>0</v>
      </c>
      <c r="DK150" s="1684">
        <v>14925</v>
      </c>
      <c r="DL150" s="1684">
        <v>0</v>
      </c>
      <c r="DM150" s="1684">
        <v>0</v>
      </c>
      <c r="DN150" s="1684">
        <v>0</v>
      </c>
      <c r="DO150" s="1684">
        <v>0</v>
      </c>
      <c r="DP150" s="1684">
        <v>0</v>
      </c>
      <c r="DQ150" s="1326" t="s">
        <v>2810</v>
      </c>
      <c r="DR150" s="1684">
        <v>0</v>
      </c>
      <c r="DS150" s="1326" t="s">
        <v>2757</v>
      </c>
      <c r="DT150" s="1682"/>
      <c r="DU150" s="1326" t="s">
        <v>2757</v>
      </c>
      <c r="DV150" s="1682"/>
    </row>
    <row r="151" spans="1:126" ht="67.5">
      <c r="A151" s="1326" t="s">
        <v>2143</v>
      </c>
      <c r="B151" s="1326" t="s">
        <v>1702</v>
      </c>
      <c r="C151" s="1326" t="s">
        <v>2570</v>
      </c>
      <c r="D151" s="1326" t="s">
        <v>2574</v>
      </c>
      <c r="E151" s="1326" t="s">
        <v>1191</v>
      </c>
      <c r="F151" s="1326" t="s">
        <v>3125</v>
      </c>
      <c r="G151" s="1326"/>
      <c r="H151" s="1326"/>
      <c r="I151" s="1326"/>
      <c r="J151" s="1326"/>
      <c r="K151" s="1682"/>
      <c r="L151" s="1682"/>
      <c r="M151" s="1326"/>
      <c r="N151" s="1326"/>
      <c r="O151" s="1326"/>
      <c r="P151" s="1326"/>
      <c r="Q151" s="1326"/>
      <c r="R151" s="1326"/>
      <c r="S151" s="1326"/>
      <c r="T151" s="1326"/>
      <c r="U151" s="1326"/>
      <c r="V151" s="1326"/>
      <c r="W151" s="1326"/>
      <c r="X151" s="1326"/>
      <c r="Y151" s="1326"/>
      <c r="Z151" s="1326"/>
      <c r="AA151" s="1326"/>
      <c r="AB151" s="1326"/>
      <c r="AC151" s="1326"/>
      <c r="AD151" s="1326"/>
      <c r="AE151" s="1326"/>
      <c r="AF151" s="1326"/>
      <c r="AG151" s="1326"/>
      <c r="AH151" s="1326"/>
      <c r="AI151" s="1326"/>
      <c r="AJ151" s="1326"/>
      <c r="AK151" s="1326"/>
      <c r="AL151" s="1326"/>
      <c r="AM151" s="1400"/>
      <c r="AN151" s="1326"/>
      <c r="AO151" s="1326"/>
      <c r="AP151" s="1326"/>
      <c r="AQ151" s="1326"/>
      <c r="AR151" s="1326"/>
      <c r="AS151" s="1326"/>
      <c r="AT151" s="1326"/>
      <c r="AU151" s="1326"/>
      <c r="AV151" s="1326"/>
      <c r="AW151" s="1326"/>
      <c r="AX151" s="1326"/>
      <c r="AY151" s="1326"/>
      <c r="AZ151" s="1326"/>
      <c r="BA151" s="1326"/>
      <c r="BB151" s="1326"/>
      <c r="BC151" s="1326"/>
      <c r="BD151" s="1326"/>
      <c r="BE151" s="1326"/>
      <c r="BF151" s="1326"/>
      <c r="BG151" s="1326"/>
      <c r="BH151" s="1326"/>
      <c r="BI151" s="1326"/>
      <c r="BJ151" s="1326"/>
      <c r="BK151" s="1326"/>
      <c r="BL151" s="1326"/>
      <c r="BM151" s="1326"/>
      <c r="BN151" s="1400"/>
      <c r="BO151" s="1682"/>
      <c r="BP151" s="1682"/>
      <c r="BQ151" s="1326"/>
      <c r="BR151" s="1682"/>
      <c r="BS151" s="1326"/>
      <c r="BT151" s="1326"/>
      <c r="BU151" s="1400"/>
      <c r="BV151" s="1683">
        <v>18095.150000000001</v>
      </c>
      <c r="BW151" s="1682"/>
      <c r="BX151" s="1682"/>
      <c r="BY151" s="1326"/>
      <c r="BZ151" s="1326"/>
      <c r="CA151" s="1326"/>
      <c r="CB151" s="1326"/>
      <c r="CC151" s="1326"/>
      <c r="CD151" s="1684">
        <v>65213.18</v>
      </c>
      <c r="CE151" s="1684">
        <v>65213.18</v>
      </c>
      <c r="CF151" s="1684">
        <v>60317.14</v>
      </c>
      <c r="CG151" s="1684">
        <v>92.49</v>
      </c>
      <c r="CH151" s="1684">
        <v>4896.04</v>
      </c>
      <c r="CI151" s="1684">
        <v>7.51</v>
      </c>
      <c r="CJ151" s="1684">
        <v>65213.18</v>
      </c>
      <c r="CK151" s="1684">
        <v>100</v>
      </c>
      <c r="CL151" s="1410"/>
      <c r="CM151" s="1682"/>
      <c r="CN151" s="1400"/>
      <c r="CO151" s="1326"/>
      <c r="CP151" s="1682"/>
      <c r="CQ151" s="1684">
        <v>60317.14</v>
      </c>
      <c r="CR151" s="1684">
        <v>54760.7</v>
      </c>
      <c r="CS151" s="1684">
        <v>5556.44</v>
      </c>
      <c r="CT151" s="1326"/>
      <c r="CU151" s="1682"/>
      <c r="CV151" s="1684">
        <v>65213.18</v>
      </c>
      <c r="CW151" s="1684">
        <v>0</v>
      </c>
      <c r="CX151" s="1684">
        <v>0</v>
      </c>
      <c r="CY151" s="1684">
        <v>0</v>
      </c>
      <c r="CZ151" s="1684">
        <v>0</v>
      </c>
      <c r="DA151" s="1684">
        <v>57002.75</v>
      </c>
      <c r="DB151" s="1684">
        <v>0</v>
      </c>
      <c r="DC151" s="1684">
        <v>8210.43</v>
      </c>
      <c r="DD151" s="1684">
        <v>65213.18</v>
      </c>
      <c r="DE151" s="1684">
        <v>60317.14</v>
      </c>
      <c r="DF151" s="1684">
        <v>54760.7</v>
      </c>
      <c r="DG151" s="1684">
        <v>5556.44</v>
      </c>
      <c r="DH151" s="1684">
        <v>4896.04</v>
      </c>
      <c r="DI151" s="1684">
        <v>4896.04</v>
      </c>
      <c r="DJ151" s="1684">
        <v>0</v>
      </c>
      <c r="DK151" s="1684">
        <v>3596.09</v>
      </c>
      <c r="DL151" s="1684">
        <v>1299.95</v>
      </c>
      <c r="DM151" s="1684">
        <v>0</v>
      </c>
      <c r="DN151" s="1684">
        <v>0</v>
      </c>
      <c r="DO151" s="1684">
        <v>0</v>
      </c>
      <c r="DP151" s="1684">
        <v>0</v>
      </c>
      <c r="DQ151" s="1326"/>
      <c r="DR151" s="1400"/>
      <c r="DS151" s="1326"/>
      <c r="DT151" s="1682"/>
      <c r="DU151" s="1326"/>
      <c r="DV151" s="1682"/>
    </row>
    <row r="152" spans="1:126" ht="78.75">
      <c r="A152" s="1326" t="s">
        <v>2144</v>
      </c>
      <c r="B152" s="1326" t="s">
        <v>1702</v>
      </c>
      <c r="C152" s="1326" t="s">
        <v>2570</v>
      </c>
      <c r="D152" s="1326" t="s">
        <v>2574</v>
      </c>
      <c r="E152" s="1326" t="s">
        <v>1191</v>
      </c>
      <c r="F152" s="1326" t="s">
        <v>3125</v>
      </c>
      <c r="G152" s="1326" t="s">
        <v>2575</v>
      </c>
      <c r="H152" s="1326" t="s">
        <v>2572</v>
      </c>
      <c r="I152" s="1326" t="s">
        <v>2573</v>
      </c>
      <c r="J152" s="1326" t="s">
        <v>1606</v>
      </c>
      <c r="K152" s="1685">
        <v>43188</v>
      </c>
      <c r="L152" s="1685">
        <v>43235</v>
      </c>
      <c r="M152" s="1326" t="s">
        <v>3126</v>
      </c>
      <c r="N152" s="1326" t="s">
        <v>2061</v>
      </c>
      <c r="O152" s="1326" t="s">
        <v>3127</v>
      </c>
      <c r="P152" s="1326" t="s">
        <v>2757</v>
      </c>
      <c r="Q152" s="1326" t="s">
        <v>1742</v>
      </c>
      <c r="R152" s="1326" t="s">
        <v>2757</v>
      </c>
      <c r="S152" s="1326" t="s">
        <v>2757</v>
      </c>
      <c r="T152" s="1326" t="s">
        <v>2785</v>
      </c>
      <c r="U152" s="1326" t="s">
        <v>3128</v>
      </c>
      <c r="V152" s="1326" t="s">
        <v>2757</v>
      </c>
      <c r="W152" s="1326" t="s">
        <v>2757</v>
      </c>
      <c r="X152" s="1326" t="s">
        <v>2757</v>
      </c>
      <c r="Y152" s="1326" t="s">
        <v>2757</v>
      </c>
      <c r="Z152" s="1326" t="s">
        <v>2757</v>
      </c>
      <c r="AA152" s="1326" t="s">
        <v>2757</v>
      </c>
      <c r="AB152" s="1326" t="s">
        <v>2757</v>
      </c>
      <c r="AC152" s="1326" t="s">
        <v>2757</v>
      </c>
      <c r="AD152" s="1326" t="s">
        <v>2757</v>
      </c>
      <c r="AE152" s="1326"/>
      <c r="AF152" s="1326" t="s">
        <v>3094</v>
      </c>
      <c r="AG152" s="1326" t="s">
        <v>3095</v>
      </c>
      <c r="AH152" s="1326" t="s">
        <v>2951</v>
      </c>
      <c r="AI152" s="1326" t="s">
        <v>2762</v>
      </c>
      <c r="AJ152" s="1326" t="s">
        <v>2763</v>
      </c>
      <c r="AK152" s="1326" t="s">
        <v>3072</v>
      </c>
      <c r="AL152" s="1326" t="s">
        <v>3073</v>
      </c>
      <c r="AM152" s="1683">
        <v>100</v>
      </c>
      <c r="AN152" s="1326"/>
      <c r="AO152" s="1326"/>
      <c r="AP152" s="1326"/>
      <c r="AQ152" s="1326"/>
      <c r="AR152" s="1326"/>
      <c r="AS152" s="1326"/>
      <c r="AT152" s="1326" t="s">
        <v>2867</v>
      </c>
      <c r="AU152" s="1326" t="s">
        <v>2766</v>
      </c>
      <c r="AV152" s="1326" t="s">
        <v>3021</v>
      </c>
      <c r="AW152" s="1326" t="s">
        <v>3074</v>
      </c>
      <c r="AX152" s="1326" t="s">
        <v>3096</v>
      </c>
      <c r="AY152" s="1326" t="s">
        <v>2798</v>
      </c>
      <c r="AZ152" s="1326" t="s">
        <v>161</v>
      </c>
      <c r="BA152" s="1326" t="s">
        <v>2812</v>
      </c>
      <c r="BB152" s="1326" t="s">
        <v>2757</v>
      </c>
      <c r="BC152" s="1326" t="s">
        <v>2800</v>
      </c>
      <c r="BD152" s="1326" t="s">
        <v>2773</v>
      </c>
      <c r="BE152" s="1326" t="s">
        <v>3129</v>
      </c>
      <c r="BF152" s="1326" t="s">
        <v>2814</v>
      </c>
      <c r="BG152" s="1326" t="s">
        <v>2815</v>
      </c>
      <c r="BH152" s="1326" t="s">
        <v>2024</v>
      </c>
      <c r="BI152" s="1326" t="s">
        <v>2805</v>
      </c>
      <c r="BJ152" s="1326" t="s">
        <v>2816</v>
      </c>
      <c r="BK152" s="1326" t="s">
        <v>2867</v>
      </c>
      <c r="BL152" s="1326" t="s">
        <v>2757</v>
      </c>
      <c r="BM152" s="1326" t="s">
        <v>2757</v>
      </c>
      <c r="BN152" s="1683">
        <v>0</v>
      </c>
      <c r="BO152" s="1685">
        <v>43235</v>
      </c>
      <c r="BP152" s="1685">
        <v>44530</v>
      </c>
      <c r="BQ152" s="1326" t="s">
        <v>2955</v>
      </c>
      <c r="BR152" s="1685">
        <v>47483</v>
      </c>
      <c r="BS152" s="1326" t="s">
        <v>2817</v>
      </c>
      <c r="BT152" s="1326" t="s">
        <v>3130</v>
      </c>
      <c r="BU152" s="1683">
        <v>30</v>
      </c>
      <c r="BV152" s="1683">
        <v>4224.6000000000004</v>
      </c>
      <c r="BW152" s="1685">
        <v>44590</v>
      </c>
      <c r="BX152" s="1682"/>
      <c r="BY152" s="1326" t="s">
        <v>2198</v>
      </c>
      <c r="BZ152" s="1326" t="s">
        <v>2782</v>
      </c>
      <c r="CA152" s="1326" t="s">
        <v>2782</v>
      </c>
      <c r="CB152" s="1326" t="s">
        <v>2783</v>
      </c>
      <c r="CC152" s="1326" t="s">
        <v>2913</v>
      </c>
      <c r="CD152" s="1684">
        <v>15224</v>
      </c>
      <c r="CE152" s="1684">
        <v>15224</v>
      </c>
      <c r="CF152" s="1684">
        <v>14082</v>
      </c>
      <c r="CG152" s="1684">
        <v>92.5</v>
      </c>
      <c r="CH152" s="1684">
        <v>1142</v>
      </c>
      <c r="CI152" s="1684">
        <v>7.5</v>
      </c>
      <c r="CJ152" s="1684">
        <v>15224</v>
      </c>
      <c r="CK152" s="1684">
        <v>100</v>
      </c>
      <c r="CL152" s="1410" t="s">
        <v>2785</v>
      </c>
      <c r="CM152" s="1686">
        <v>43207</v>
      </c>
      <c r="CN152" s="1400"/>
      <c r="CO152" s="1326"/>
      <c r="CP152" s="1682"/>
      <c r="CQ152" s="1684">
        <v>14082</v>
      </c>
      <c r="CR152" s="1684">
        <v>12940.4</v>
      </c>
      <c r="CS152" s="1684">
        <v>1141.5999999999999</v>
      </c>
      <c r="CT152" s="1326" t="s">
        <v>2785</v>
      </c>
      <c r="CU152" s="1686">
        <v>43215</v>
      </c>
      <c r="CV152" s="1684">
        <v>15224</v>
      </c>
      <c r="CW152" s="1684">
        <v>0</v>
      </c>
      <c r="CX152" s="1684">
        <v>0</v>
      </c>
      <c r="CY152" s="1684">
        <v>0</v>
      </c>
      <c r="CZ152" s="1684">
        <v>0</v>
      </c>
      <c r="DA152" s="1684">
        <v>12182.4</v>
      </c>
      <c r="DB152" s="1684">
        <v>0</v>
      </c>
      <c r="DC152" s="1684">
        <v>3041.6</v>
      </c>
      <c r="DD152" s="1684">
        <v>15224</v>
      </c>
      <c r="DE152" s="1684">
        <v>14082</v>
      </c>
      <c r="DF152" s="1684">
        <v>12940.4</v>
      </c>
      <c r="DG152" s="1684">
        <v>1141.5999999999999</v>
      </c>
      <c r="DH152" s="1684">
        <v>1142</v>
      </c>
      <c r="DI152" s="1684">
        <v>1142</v>
      </c>
      <c r="DJ152" s="1684">
        <v>0</v>
      </c>
      <c r="DK152" s="1684">
        <v>1142</v>
      </c>
      <c r="DL152" s="1684">
        <v>0</v>
      </c>
      <c r="DM152" s="1684">
        <v>0</v>
      </c>
      <c r="DN152" s="1684">
        <v>0</v>
      </c>
      <c r="DO152" s="1684">
        <v>0</v>
      </c>
      <c r="DP152" s="1684">
        <v>0</v>
      </c>
      <c r="DQ152" s="1326" t="s">
        <v>2810</v>
      </c>
      <c r="DR152" s="1684">
        <v>0</v>
      </c>
      <c r="DS152" s="1326" t="s">
        <v>2757</v>
      </c>
      <c r="DT152" s="1682"/>
      <c r="DU152" s="1326" t="s">
        <v>2757</v>
      </c>
      <c r="DV152" s="1682"/>
    </row>
    <row r="153" spans="1:126" ht="67.5">
      <c r="A153" s="1326" t="s">
        <v>2146</v>
      </c>
      <c r="B153" s="1326" t="s">
        <v>1702</v>
      </c>
      <c r="C153" s="1326" t="s">
        <v>2570</v>
      </c>
      <c r="D153" s="1326" t="s">
        <v>2574</v>
      </c>
      <c r="E153" s="1326" t="s">
        <v>1191</v>
      </c>
      <c r="F153" s="1326" t="s">
        <v>3125</v>
      </c>
      <c r="G153" s="1326" t="s">
        <v>2575</v>
      </c>
      <c r="H153" s="1326" t="s">
        <v>2572</v>
      </c>
      <c r="I153" s="1326" t="s">
        <v>2573</v>
      </c>
      <c r="J153" s="1326" t="s">
        <v>1607</v>
      </c>
      <c r="K153" s="1685">
        <v>43255</v>
      </c>
      <c r="L153" s="1685">
        <v>43322</v>
      </c>
      <c r="M153" s="1326" t="s">
        <v>1199</v>
      </c>
      <c r="N153" s="1326" t="s">
        <v>2061</v>
      </c>
      <c r="O153" s="1326" t="s">
        <v>3131</v>
      </c>
      <c r="P153" s="1326" t="s">
        <v>2757</v>
      </c>
      <c r="Q153" s="1326" t="s">
        <v>1737</v>
      </c>
      <c r="R153" s="1326" t="s">
        <v>2757</v>
      </c>
      <c r="S153" s="1326" t="s">
        <v>2757</v>
      </c>
      <c r="T153" s="1326" t="s">
        <v>2785</v>
      </c>
      <c r="U153" s="1326" t="s">
        <v>3128</v>
      </c>
      <c r="V153" s="1326" t="s">
        <v>2757</v>
      </c>
      <c r="W153" s="1326" t="s">
        <v>2757</v>
      </c>
      <c r="X153" s="1326" t="s">
        <v>2757</v>
      </c>
      <c r="Y153" s="1326" t="s">
        <v>2757</v>
      </c>
      <c r="Z153" s="1326" t="s">
        <v>2757</v>
      </c>
      <c r="AA153" s="1326" t="s">
        <v>2757</v>
      </c>
      <c r="AB153" s="1326" t="s">
        <v>2757</v>
      </c>
      <c r="AC153" s="1326" t="s">
        <v>2757</v>
      </c>
      <c r="AD153" s="1326" t="s">
        <v>2757</v>
      </c>
      <c r="AE153" s="1326"/>
      <c r="AF153" s="1326" t="s">
        <v>3094</v>
      </c>
      <c r="AG153" s="1326" t="s">
        <v>3095</v>
      </c>
      <c r="AH153" s="1326" t="s">
        <v>2951</v>
      </c>
      <c r="AI153" s="1326" t="s">
        <v>2762</v>
      </c>
      <c r="AJ153" s="1326" t="s">
        <v>2763</v>
      </c>
      <c r="AK153" s="1326" t="s">
        <v>3072</v>
      </c>
      <c r="AL153" s="1326" t="s">
        <v>3073</v>
      </c>
      <c r="AM153" s="1683">
        <v>100</v>
      </c>
      <c r="AN153" s="1326"/>
      <c r="AO153" s="1326"/>
      <c r="AP153" s="1326"/>
      <c r="AQ153" s="1326"/>
      <c r="AR153" s="1326"/>
      <c r="AS153" s="1326"/>
      <c r="AT153" s="1326" t="s">
        <v>2880</v>
      </c>
      <c r="AU153" s="1326" t="s">
        <v>2766</v>
      </c>
      <c r="AV153" s="1326" t="s">
        <v>3021</v>
      </c>
      <c r="AW153" s="1326" t="s">
        <v>3074</v>
      </c>
      <c r="AX153" s="1326" t="s">
        <v>3096</v>
      </c>
      <c r="AY153" s="1326" t="s">
        <v>2798</v>
      </c>
      <c r="AZ153" s="1326" t="s">
        <v>3132</v>
      </c>
      <c r="BA153" s="1326" t="s">
        <v>3133</v>
      </c>
      <c r="BB153" s="1326" t="s">
        <v>2757</v>
      </c>
      <c r="BC153" s="1326" t="s">
        <v>2772</v>
      </c>
      <c r="BD153" s="1326" t="s">
        <v>2773</v>
      </c>
      <c r="BE153" s="1326" t="s">
        <v>3134</v>
      </c>
      <c r="BF153" s="1326" t="s">
        <v>3135</v>
      </c>
      <c r="BG153" s="1326" t="s">
        <v>3136</v>
      </c>
      <c r="BH153" s="1326" t="s">
        <v>2804</v>
      </c>
      <c r="BI153" s="1326" t="s">
        <v>2805</v>
      </c>
      <c r="BJ153" s="1326" t="s">
        <v>2885</v>
      </c>
      <c r="BK153" s="1326" t="s">
        <v>2880</v>
      </c>
      <c r="BL153" s="1326" t="s">
        <v>2757</v>
      </c>
      <c r="BM153" s="1326" t="s">
        <v>2757</v>
      </c>
      <c r="BN153" s="1683">
        <v>0</v>
      </c>
      <c r="BO153" s="1685">
        <v>43322</v>
      </c>
      <c r="BP153" s="1685">
        <v>44418</v>
      </c>
      <c r="BQ153" s="1326" t="s">
        <v>2955</v>
      </c>
      <c r="BR153" s="1685">
        <v>47483</v>
      </c>
      <c r="BS153" s="1326" t="s">
        <v>2817</v>
      </c>
      <c r="BT153" s="1326" t="s">
        <v>3137</v>
      </c>
      <c r="BU153" s="1683">
        <v>30</v>
      </c>
      <c r="BV153" s="1683">
        <v>1891.44</v>
      </c>
      <c r="BW153" s="1685">
        <v>44478</v>
      </c>
      <c r="BX153" s="1682"/>
      <c r="BY153" s="1326" t="s">
        <v>2198</v>
      </c>
      <c r="BZ153" s="1326" t="s">
        <v>2782</v>
      </c>
      <c r="CA153" s="1326" t="s">
        <v>2782</v>
      </c>
      <c r="CB153" s="1326" t="s">
        <v>2783</v>
      </c>
      <c r="CC153" s="1326" t="s">
        <v>2913</v>
      </c>
      <c r="CD153" s="1684">
        <v>6816</v>
      </c>
      <c r="CE153" s="1684">
        <v>6816</v>
      </c>
      <c r="CF153" s="1684">
        <v>6304.8</v>
      </c>
      <c r="CG153" s="1684">
        <v>92.5</v>
      </c>
      <c r="CH153" s="1684">
        <v>511.2</v>
      </c>
      <c r="CI153" s="1684">
        <v>7.5</v>
      </c>
      <c r="CJ153" s="1684">
        <v>6816</v>
      </c>
      <c r="CK153" s="1684">
        <v>100</v>
      </c>
      <c r="CL153" s="1410" t="s">
        <v>2785</v>
      </c>
      <c r="CM153" s="1686">
        <v>43294</v>
      </c>
      <c r="CN153" s="1400"/>
      <c r="CO153" s="1326"/>
      <c r="CP153" s="1682"/>
      <c r="CQ153" s="1684">
        <v>6304.8</v>
      </c>
      <c r="CR153" s="1684">
        <v>5793.6</v>
      </c>
      <c r="CS153" s="1684">
        <v>511.2</v>
      </c>
      <c r="CT153" s="1326" t="s">
        <v>2785</v>
      </c>
      <c r="CU153" s="1686">
        <v>43306</v>
      </c>
      <c r="CV153" s="1684">
        <v>6816</v>
      </c>
      <c r="CW153" s="1684">
        <v>0</v>
      </c>
      <c r="CX153" s="1684">
        <v>0</v>
      </c>
      <c r="CY153" s="1684">
        <v>0</v>
      </c>
      <c r="CZ153" s="1684">
        <v>0</v>
      </c>
      <c r="DA153" s="1684">
        <v>5664.4</v>
      </c>
      <c r="DB153" s="1684">
        <v>0</v>
      </c>
      <c r="DC153" s="1684">
        <v>1151.5999999999999</v>
      </c>
      <c r="DD153" s="1684">
        <v>6816</v>
      </c>
      <c r="DE153" s="1684">
        <v>6304.8</v>
      </c>
      <c r="DF153" s="1684">
        <v>5793.6</v>
      </c>
      <c r="DG153" s="1684">
        <v>511.2</v>
      </c>
      <c r="DH153" s="1684">
        <v>511.2</v>
      </c>
      <c r="DI153" s="1684">
        <v>511.2</v>
      </c>
      <c r="DJ153" s="1684">
        <v>0</v>
      </c>
      <c r="DK153" s="1684">
        <v>0</v>
      </c>
      <c r="DL153" s="1684">
        <v>511.2</v>
      </c>
      <c r="DM153" s="1684">
        <v>0</v>
      </c>
      <c r="DN153" s="1684">
        <v>0</v>
      </c>
      <c r="DO153" s="1684">
        <v>0</v>
      </c>
      <c r="DP153" s="1684">
        <v>0</v>
      </c>
      <c r="DQ153" s="1326" t="s">
        <v>2810</v>
      </c>
      <c r="DR153" s="1684">
        <v>0</v>
      </c>
      <c r="DS153" s="1326" t="s">
        <v>2757</v>
      </c>
      <c r="DT153" s="1682"/>
      <c r="DU153" s="1326" t="s">
        <v>2757</v>
      </c>
      <c r="DV153" s="1682"/>
    </row>
    <row r="154" spans="1:126" ht="112.5">
      <c r="A154" s="1326" t="s">
        <v>2147</v>
      </c>
      <c r="B154" s="1326" t="s">
        <v>1702</v>
      </c>
      <c r="C154" s="1326" t="s">
        <v>2570</v>
      </c>
      <c r="D154" s="1326" t="s">
        <v>2574</v>
      </c>
      <c r="E154" s="1326" t="s">
        <v>1191</v>
      </c>
      <c r="F154" s="1326" t="s">
        <v>3125</v>
      </c>
      <c r="G154" s="1326" t="s">
        <v>2575</v>
      </c>
      <c r="H154" s="1326" t="s">
        <v>2572</v>
      </c>
      <c r="I154" s="1326" t="s">
        <v>2573</v>
      </c>
      <c r="J154" s="1326" t="s">
        <v>1608</v>
      </c>
      <c r="K154" s="1685">
        <v>43278</v>
      </c>
      <c r="L154" s="1685">
        <v>43349</v>
      </c>
      <c r="M154" s="1326" t="s">
        <v>1205</v>
      </c>
      <c r="N154" s="1326" t="s">
        <v>2061</v>
      </c>
      <c r="O154" s="1326" t="s">
        <v>3138</v>
      </c>
      <c r="P154" s="1326" t="s">
        <v>2757</v>
      </c>
      <c r="Q154" s="1326" t="s">
        <v>1737</v>
      </c>
      <c r="R154" s="1326" t="s">
        <v>2757</v>
      </c>
      <c r="S154" s="1326" t="s">
        <v>2757</v>
      </c>
      <c r="T154" s="1326" t="s">
        <v>2785</v>
      </c>
      <c r="U154" s="1326" t="s">
        <v>3128</v>
      </c>
      <c r="V154" s="1326" t="s">
        <v>2757</v>
      </c>
      <c r="W154" s="1326" t="s">
        <v>2757</v>
      </c>
      <c r="X154" s="1326" t="s">
        <v>2757</v>
      </c>
      <c r="Y154" s="1326" t="s">
        <v>2757</v>
      </c>
      <c r="Z154" s="1326" t="s">
        <v>2757</v>
      </c>
      <c r="AA154" s="1326" t="s">
        <v>2757</v>
      </c>
      <c r="AB154" s="1326" t="s">
        <v>2757</v>
      </c>
      <c r="AC154" s="1326" t="s">
        <v>2757</v>
      </c>
      <c r="AD154" s="1326" t="s">
        <v>2757</v>
      </c>
      <c r="AE154" s="1326"/>
      <c r="AF154" s="1326" t="s">
        <v>3094</v>
      </c>
      <c r="AG154" s="1326" t="s">
        <v>3095</v>
      </c>
      <c r="AH154" s="1326" t="s">
        <v>2951</v>
      </c>
      <c r="AI154" s="1326" t="s">
        <v>2762</v>
      </c>
      <c r="AJ154" s="1326" t="s">
        <v>2763</v>
      </c>
      <c r="AK154" s="1326" t="s">
        <v>3072</v>
      </c>
      <c r="AL154" s="1326" t="s">
        <v>3073</v>
      </c>
      <c r="AM154" s="1683">
        <v>100</v>
      </c>
      <c r="AN154" s="1326"/>
      <c r="AO154" s="1326"/>
      <c r="AP154" s="1326"/>
      <c r="AQ154" s="1326"/>
      <c r="AR154" s="1326"/>
      <c r="AS154" s="1326"/>
      <c r="AT154" s="1326" t="s">
        <v>2867</v>
      </c>
      <c r="AU154" s="1326" t="s">
        <v>2766</v>
      </c>
      <c r="AV154" s="1326" t="s">
        <v>3021</v>
      </c>
      <c r="AW154" s="1326" t="s">
        <v>3074</v>
      </c>
      <c r="AX154" s="1326" t="s">
        <v>3096</v>
      </c>
      <c r="AY154" s="1326" t="s">
        <v>2798</v>
      </c>
      <c r="AZ154" s="1326" t="s">
        <v>282</v>
      </c>
      <c r="BA154" s="1326" t="s">
        <v>2820</v>
      </c>
      <c r="BB154" s="1326" t="s">
        <v>2757</v>
      </c>
      <c r="BC154" s="1326" t="s">
        <v>2800</v>
      </c>
      <c r="BD154" s="1326" t="s">
        <v>2773</v>
      </c>
      <c r="BE154" s="1326" t="s">
        <v>2942</v>
      </c>
      <c r="BF154" s="1326" t="s">
        <v>3139</v>
      </c>
      <c r="BG154" s="1326" t="s">
        <v>2944</v>
      </c>
      <c r="BH154" s="1326" t="s">
        <v>2024</v>
      </c>
      <c r="BI154" s="1326" t="s">
        <v>2805</v>
      </c>
      <c r="BJ154" s="1326" t="s">
        <v>2824</v>
      </c>
      <c r="BK154" s="1326" t="s">
        <v>2867</v>
      </c>
      <c r="BL154" s="1326" t="s">
        <v>2757</v>
      </c>
      <c r="BM154" s="1326" t="s">
        <v>2757</v>
      </c>
      <c r="BN154" s="1683">
        <v>0</v>
      </c>
      <c r="BO154" s="1685">
        <v>43349</v>
      </c>
      <c r="BP154" s="1685">
        <v>44445</v>
      </c>
      <c r="BQ154" s="1326" t="s">
        <v>2955</v>
      </c>
      <c r="BR154" s="1685">
        <v>47483</v>
      </c>
      <c r="BS154" s="1326" t="s">
        <v>2807</v>
      </c>
      <c r="BT154" s="1326" t="s">
        <v>3140</v>
      </c>
      <c r="BU154" s="1683">
        <v>30</v>
      </c>
      <c r="BV154" s="1683">
        <v>4350.8999999999996</v>
      </c>
      <c r="BW154" s="1685">
        <v>44505</v>
      </c>
      <c r="BX154" s="1682"/>
      <c r="BY154" s="1326" t="s">
        <v>2198</v>
      </c>
      <c r="BZ154" s="1326" t="s">
        <v>2782</v>
      </c>
      <c r="CA154" s="1326" t="s">
        <v>2782</v>
      </c>
      <c r="CB154" s="1326" t="s">
        <v>2783</v>
      </c>
      <c r="CC154" s="1326" t="s">
        <v>2913</v>
      </c>
      <c r="CD154" s="1684">
        <v>15679</v>
      </c>
      <c r="CE154" s="1684">
        <v>15679</v>
      </c>
      <c r="CF154" s="1684">
        <v>14503</v>
      </c>
      <c r="CG154" s="1684">
        <v>92.5</v>
      </c>
      <c r="CH154" s="1684">
        <v>1176</v>
      </c>
      <c r="CI154" s="1684">
        <v>7.5</v>
      </c>
      <c r="CJ154" s="1684">
        <v>15679</v>
      </c>
      <c r="CK154" s="1684">
        <v>100</v>
      </c>
      <c r="CL154" s="1410" t="s">
        <v>2785</v>
      </c>
      <c r="CM154" s="1686">
        <v>43326</v>
      </c>
      <c r="CN154" s="1400"/>
      <c r="CO154" s="1326"/>
      <c r="CP154" s="1682"/>
      <c r="CQ154" s="1684">
        <v>14503</v>
      </c>
      <c r="CR154" s="1684">
        <v>13327</v>
      </c>
      <c r="CS154" s="1684">
        <v>1176</v>
      </c>
      <c r="CT154" s="1326" t="s">
        <v>2785</v>
      </c>
      <c r="CU154" s="1686">
        <v>43334</v>
      </c>
      <c r="CV154" s="1684">
        <v>15679</v>
      </c>
      <c r="CW154" s="1684">
        <v>0</v>
      </c>
      <c r="CX154" s="1684">
        <v>0</v>
      </c>
      <c r="CY154" s="1684">
        <v>0</v>
      </c>
      <c r="CZ154" s="1684">
        <v>0</v>
      </c>
      <c r="DA154" s="1684">
        <v>14000</v>
      </c>
      <c r="DB154" s="1684">
        <v>0</v>
      </c>
      <c r="DC154" s="1684">
        <v>1679</v>
      </c>
      <c r="DD154" s="1684">
        <v>15679</v>
      </c>
      <c r="DE154" s="1684">
        <v>14503</v>
      </c>
      <c r="DF154" s="1684">
        <v>13327</v>
      </c>
      <c r="DG154" s="1684">
        <v>1176</v>
      </c>
      <c r="DH154" s="1684">
        <v>1176</v>
      </c>
      <c r="DI154" s="1684">
        <v>1176</v>
      </c>
      <c r="DJ154" s="1684">
        <v>0</v>
      </c>
      <c r="DK154" s="1684">
        <v>1176</v>
      </c>
      <c r="DL154" s="1684">
        <v>0</v>
      </c>
      <c r="DM154" s="1684">
        <v>0</v>
      </c>
      <c r="DN154" s="1684">
        <v>0</v>
      </c>
      <c r="DO154" s="1684">
        <v>0</v>
      </c>
      <c r="DP154" s="1684">
        <v>0</v>
      </c>
      <c r="DQ154" s="1326" t="s">
        <v>2810</v>
      </c>
      <c r="DR154" s="1684">
        <v>0</v>
      </c>
      <c r="DS154" s="1326" t="s">
        <v>2757</v>
      </c>
      <c r="DT154" s="1682"/>
      <c r="DU154" s="1326" t="s">
        <v>2757</v>
      </c>
      <c r="DV154" s="1682"/>
    </row>
    <row r="155" spans="1:126" ht="90">
      <c r="A155" s="1326" t="s">
        <v>2148</v>
      </c>
      <c r="B155" s="1326" t="s">
        <v>1702</v>
      </c>
      <c r="C155" s="1326" t="s">
        <v>2570</v>
      </c>
      <c r="D155" s="1326" t="s">
        <v>2574</v>
      </c>
      <c r="E155" s="1326" t="s">
        <v>1191</v>
      </c>
      <c r="F155" s="1326" t="s">
        <v>3125</v>
      </c>
      <c r="G155" s="1326" t="s">
        <v>2575</v>
      </c>
      <c r="H155" s="1326" t="s">
        <v>2572</v>
      </c>
      <c r="I155" s="1326" t="s">
        <v>2573</v>
      </c>
      <c r="J155" s="1326" t="s">
        <v>1609</v>
      </c>
      <c r="K155" s="1685">
        <v>43280</v>
      </c>
      <c r="L155" s="1685">
        <v>43409</v>
      </c>
      <c r="M155" s="1326" t="s">
        <v>3141</v>
      </c>
      <c r="N155" s="1326" t="s">
        <v>2061</v>
      </c>
      <c r="O155" s="1326" t="s">
        <v>3143</v>
      </c>
      <c r="P155" s="1326" t="s">
        <v>2757</v>
      </c>
      <c r="Q155" s="1326" t="s">
        <v>1743</v>
      </c>
      <c r="R155" s="1326" t="s">
        <v>2757</v>
      </c>
      <c r="S155" s="1326" t="s">
        <v>2757</v>
      </c>
      <c r="T155" s="1326" t="s">
        <v>2785</v>
      </c>
      <c r="U155" s="1326" t="s">
        <v>3128</v>
      </c>
      <c r="V155" s="1326" t="s">
        <v>2757</v>
      </c>
      <c r="W155" s="1326" t="s">
        <v>2757</v>
      </c>
      <c r="X155" s="1326" t="s">
        <v>2757</v>
      </c>
      <c r="Y155" s="1326" t="s">
        <v>2757</v>
      </c>
      <c r="Z155" s="1326" t="s">
        <v>2757</v>
      </c>
      <c r="AA155" s="1326" t="s">
        <v>2757</v>
      </c>
      <c r="AB155" s="1326" t="s">
        <v>2757</v>
      </c>
      <c r="AC155" s="1326" t="s">
        <v>2757</v>
      </c>
      <c r="AD155" s="1326" t="s">
        <v>2757</v>
      </c>
      <c r="AE155" s="1326"/>
      <c r="AF155" s="1326" t="s">
        <v>3094</v>
      </c>
      <c r="AG155" s="1326" t="s">
        <v>3095</v>
      </c>
      <c r="AH155" s="1326" t="s">
        <v>2951</v>
      </c>
      <c r="AI155" s="1326" t="s">
        <v>2762</v>
      </c>
      <c r="AJ155" s="1326" t="s">
        <v>2763</v>
      </c>
      <c r="AK155" s="1326" t="s">
        <v>3072</v>
      </c>
      <c r="AL155" s="1326" t="s">
        <v>3073</v>
      </c>
      <c r="AM155" s="1683">
        <v>100</v>
      </c>
      <c r="AN155" s="1326"/>
      <c r="AO155" s="1326"/>
      <c r="AP155" s="1326"/>
      <c r="AQ155" s="1326"/>
      <c r="AR155" s="1326"/>
      <c r="AS155" s="1326"/>
      <c r="AT155" s="1326" t="s">
        <v>2867</v>
      </c>
      <c r="AU155" s="1326" t="s">
        <v>2766</v>
      </c>
      <c r="AV155" s="1326" t="s">
        <v>3021</v>
      </c>
      <c r="AW155" s="1326" t="s">
        <v>3074</v>
      </c>
      <c r="AX155" s="1326" t="s">
        <v>3096</v>
      </c>
      <c r="AY155" s="1326" t="s">
        <v>2798</v>
      </c>
      <c r="AZ155" s="1326" t="s">
        <v>3144</v>
      </c>
      <c r="BA155" s="1326" t="s">
        <v>3145</v>
      </c>
      <c r="BB155" s="1326" t="s">
        <v>2757</v>
      </c>
      <c r="BC155" s="1326" t="s">
        <v>2772</v>
      </c>
      <c r="BD155" s="1326" t="s">
        <v>2773</v>
      </c>
      <c r="BE155" s="1326" t="s">
        <v>3146</v>
      </c>
      <c r="BF155" s="1326" t="s">
        <v>3147</v>
      </c>
      <c r="BG155" s="1326" t="s">
        <v>3148</v>
      </c>
      <c r="BH155" s="1326" t="s">
        <v>2804</v>
      </c>
      <c r="BI155" s="1326" t="s">
        <v>2805</v>
      </c>
      <c r="BJ155" s="1326" t="s">
        <v>2832</v>
      </c>
      <c r="BK155" s="1326" t="s">
        <v>2867</v>
      </c>
      <c r="BL155" s="1326" t="s">
        <v>2757</v>
      </c>
      <c r="BM155" s="1326" t="s">
        <v>2757</v>
      </c>
      <c r="BN155" s="1683">
        <v>0</v>
      </c>
      <c r="BO155" s="1685">
        <v>43409</v>
      </c>
      <c r="BP155" s="1685">
        <v>44686</v>
      </c>
      <c r="BQ155" s="1326" t="s">
        <v>2955</v>
      </c>
      <c r="BR155" s="1685">
        <v>47483</v>
      </c>
      <c r="BS155" s="1326" t="s">
        <v>3118</v>
      </c>
      <c r="BT155" s="1326" t="s">
        <v>3149</v>
      </c>
      <c r="BU155" s="1683">
        <v>30</v>
      </c>
      <c r="BV155" s="1683">
        <v>2899.28</v>
      </c>
      <c r="BW155" s="1685">
        <v>44746</v>
      </c>
      <c r="BX155" s="1682"/>
      <c r="BY155" s="1326" t="s">
        <v>2198</v>
      </c>
      <c r="BZ155" s="1326" t="s">
        <v>2782</v>
      </c>
      <c r="CA155" s="1326" t="s">
        <v>2782</v>
      </c>
      <c r="CB155" s="1326" t="s">
        <v>2783</v>
      </c>
      <c r="CC155" s="1326" t="s">
        <v>2913</v>
      </c>
      <c r="CD155" s="1684">
        <v>10453</v>
      </c>
      <c r="CE155" s="1684">
        <v>10453</v>
      </c>
      <c r="CF155" s="1684">
        <v>9664.25</v>
      </c>
      <c r="CG155" s="1684">
        <v>92.45</v>
      </c>
      <c r="CH155" s="1684">
        <v>788.75</v>
      </c>
      <c r="CI155" s="1684">
        <v>7.55</v>
      </c>
      <c r="CJ155" s="1684">
        <v>10453</v>
      </c>
      <c r="CK155" s="1684">
        <v>100</v>
      </c>
      <c r="CL155" s="1410" t="s">
        <v>2785</v>
      </c>
      <c r="CM155" s="1686">
        <v>43378</v>
      </c>
      <c r="CN155" s="1400"/>
      <c r="CO155" s="1326"/>
      <c r="CP155" s="1682"/>
      <c r="CQ155" s="1684">
        <v>9664.25</v>
      </c>
      <c r="CR155" s="1684">
        <v>8214.61</v>
      </c>
      <c r="CS155" s="1684">
        <v>1449.64</v>
      </c>
      <c r="CT155" s="1326" t="s">
        <v>2785</v>
      </c>
      <c r="CU155" s="1686">
        <v>43388</v>
      </c>
      <c r="CV155" s="1684">
        <v>10453</v>
      </c>
      <c r="CW155" s="1684">
        <v>0</v>
      </c>
      <c r="CX155" s="1684">
        <v>0</v>
      </c>
      <c r="CY155" s="1684">
        <v>0</v>
      </c>
      <c r="CZ155" s="1684">
        <v>0</v>
      </c>
      <c r="DA155" s="1684">
        <v>8432.75</v>
      </c>
      <c r="DB155" s="1684">
        <v>0</v>
      </c>
      <c r="DC155" s="1684">
        <v>2020.25</v>
      </c>
      <c r="DD155" s="1684">
        <v>10453</v>
      </c>
      <c r="DE155" s="1684">
        <v>9664.25</v>
      </c>
      <c r="DF155" s="1684">
        <v>8214.61</v>
      </c>
      <c r="DG155" s="1684">
        <v>1449.64</v>
      </c>
      <c r="DH155" s="1684">
        <v>788.75</v>
      </c>
      <c r="DI155" s="1684">
        <v>788.75</v>
      </c>
      <c r="DJ155" s="1684">
        <v>0</v>
      </c>
      <c r="DK155" s="1684">
        <v>0</v>
      </c>
      <c r="DL155" s="1684">
        <v>788.75</v>
      </c>
      <c r="DM155" s="1684">
        <v>0</v>
      </c>
      <c r="DN155" s="1684">
        <v>0</v>
      </c>
      <c r="DO155" s="1684">
        <v>0</v>
      </c>
      <c r="DP155" s="1684">
        <v>0</v>
      </c>
      <c r="DQ155" s="1326" t="s">
        <v>2810</v>
      </c>
      <c r="DR155" s="1684">
        <v>0</v>
      </c>
      <c r="DS155" s="1326" t="s">
        <v>2757</v>
      </c>
      <c r="DT155" s="1682"/>
      <c r="DU155" s="1326" t="s">
        <v>2757</v>
      </c>
      <c r="DV155" s="1682"/>
    </row>
    <row r="156" spans="1:126" ht="67.5">
      <c r="A156" s="1326" t="s">
        <v>2149</v>
      </c>
      <c r="B156" s="1326" t="s">
        <v>1702</v>
      </c>
      <c r="C156" s="1326" t="s">
        <v>2570</v>
      </c>
      <c r="D156" s="1326" t="s">
        <v>2574</v>
      </c>
      <c r="E156" s="1326" t="s">
        <v>1191</v>
      </c>
      <c r="F156" s="1326" t="s">
        <v>3125</v>
      </c>
      <c r="G156" s="1326" t="s">
        <v>2575</v>
      </c>
      <c r="H156" s="1326" t="s">
        <v>2572</v>
      </c>
      <c r="I156" s="1326" t="s">
        <v>2573</v>
      </c>
      <c r="J156" s="1326" t="s">
        <v>1623</v>
      </c>
      <c r="K156" s="1685">
        <v>43285</v>
      </c>
      <c r="L156" s="1685">
        <v>43353</v>
      </c>
      <c r="M156" s="1326" t="s">
        <v>1190</v>
      </c>
      <c r="N156" s="1326" t="s">
        <v>2061</v>
      </c>
      <c r="O156" s="1326" t="s">
        <v>3150</v>
      </c>
      <c r="P156" s="1326" t="s">
        <v>2757</v>
      </c>
      <c r="Q156" s="1326" t="s">
        <v>1737</v>
      </c>
      <c r="R156" s="1326" t="s">
        <v>2757</v>
      </c>
      <c r="S156" s="1326" t="s">
        <v>2757</v>
      </c>
      <c r="T156" s="1326" t="s">
        <v>2785</v>
      </c>
      <c r="U156" s="1326" t="s">
        <v>3128</v>
      </c>
      <c r="V156" s="1326" t="s">
        <v>2757</v>
      </c>
      <c r="W156" s="1326" t="s">
        <v>2757</v>
      </c>
      <c r="X156" s="1326" t="s">
        <v>2757</v>
      </c>
      <c r="Y156" s="1326" t="s">
        <v>2757</v>
      </c>
      <c r="Z156" s="1326" t="s">
        <v>2757</v>
      </c>
      <c r="AA156" s="1326" t="s">
        <v>2757</v>
      </c>
      <c r="AB156" s="1326" t="s">
        <v>2757</v>
      </c>
      <c r="AC156" s="1326" t="s">
        <v>2757</v>
      </c>
      <c r="AD156" s="1326" t="s">
        <v>2757</v>
      </c>
      <c r="AE156" s="1326"/>
      <c r="AF156" s="1326" t="s">
        <v>3094</v>
      </c>
      <c r="AG156" s="1326" t="s">
        <v>3095</v>
      </c>
      <c r="AH156" s="1326" t="s">
        <v>2951</v>
      </c>
      <c r="AI156" s="1326" t="s">
        <v>2762</v>
      </c>
      <c r="AJ156" s="1326" t="s">
        <v>2763</v>
      </c>
      <c r="AK156" s="1326" t="s">
        <v>3072</v>
      </c>
      <c r="AL156" s="1326" t="s">
        <v>3073</v>
      </c>
      <c r="AM156" s="1683">
        <v>100</v>
      </c>
      <c r="AN156" s="1326"/>
      <c r="AO156" s="1326"/>
      <c r="AP156" s="1326"/>
      <c r="AQ156" s="1326"/>
      <c r="AR156" s="1326"/>
      <c r="AS156" s="1326"/>
      <c r="AT156" s="1326" t="s">
        <v>2794</v>
      </c>
      <c r="AU156" s="1326" t="s">
        <v>2766</v>
      </c>
      <c r="AV156" s="1326" t="s">
        <v>3021</v>
      </c>
      <c r="AW156" s="1326" t="s">
        <v>3074</v>
      </c>
      <c r="AX156" s="1326" t="s">
        <v>3096</v>
      </c>
      <c r="AY156" s="1326" t="s">
        <v>2798</v>
      </c>
      <c r="AZ156" s="1326" t="s">
        <v>345</v>
      </c>
      <c r="BA156" s="1326" t="s">
        <v>2799</v>
      </c>
      <c r="BB156" s="1326" t="s">
        <v>2757</v>
      </c>
      <c r="BC156" s="1326" t="s">
        <v>2800</v>
      </c>
      <c r="BD156" s="1326" t="s">
        <v>2773</v>
      </c>
      <c r="BE156" s="1326" t="s">
        <v>2801</v>
      </c>
      <c r="BF156" s="1326" t="s">
        <v>3097</v>
      </c>
      <c r="BG156" s="1326" t="s">
        <v>2939</v>
      </c>
      <c r="BH156" s="1326" t="s">
        <v>2024</v>
      </c>
      <c r="BI156" s="1326" t="s">
        <v>2805</v>
      </c>
      <c r="BJ156" s="1326" t="s">
        <v>2806</v>
      </c>
      <c r="BK156" s="1326" t="s">
        <v>2794</v>
      </c>
      <c r="BL156" s="1326" t="s">
        <v>2757</v>
      </c>
      <c r="BM156" s="1326" t="s">
        <v>2757</v>
      </c>
      <c r="BN156" s="1683">
        <v>0</v>
      </c>
      <c r="BO156" s="1685">
        <v>43353</v>
      </c>
      <c r="BP156" s="1685">
        <v>44449</v>
      </c>
      <c r="BQ156" s="1326" t="s">
        <v>2955</v>
      </c>
      <c r="BR156" s="1685">
        <v>47483</v>
      </c>
      <c r="BS156" s="1326" t="s">
        <v>3151</v>
      </c>
      <c r="BT156" s="1326" t="s">
        <v>3152</v>
      </c>
      <c r="BU156" s="1683">
        <v>30</v>
      </c>
      <c r="BV156" s="1683">
        <v>4728.93</v>
      </c>
      <c r="BW156" s="1685">
        <v>44509</v>
      </c>
      <c r="BX156" s="1682"/>
      <c r="BY156" s="1326" t="s">
        <v>2198</v>
      </c>
      <c r="BZ156" s="1326" t="s">
        <v>2782</v>
      </c>
      <c r="CA156" s="1326" t="s">
        <v>2782</v>
      </c>
      <c r="CB156" s="1326" t="s">
        <v>2783</v>
      </c>
      <c r="CC156" s="1326" t="s">
        <v>2913</v>
      </c>
      <c r="CD156" s="1684">
        <v>17041.18</v>
      </c>
      <c r="CE156" s="1684">
        <v>17041.18</v>
      </c>
      <c r="CF156" s="1684">
        <v>15763.09</v>
      </c>
      <c r="CG156" s="1684">
        <v>92.5</v>
      </c>
      <c r="CH156" s="1684">
        <v>1278.0899999999999</v>
      </c>
      <c r="CI156" s="1684">
        <v>7.5</v>
      </c>
      <c r="CJ156" s="1684">
        <v>17041.18</v>
      </c>
      <c r="CK156" s="1684">
        <v>100</v>
      </c>
      <c r="CL156" s="1410" t="s">
        <v>2785</v>
      </c>
      <c r="CM156" s="1686">
        <v>43315</v>
      </c>
      <c r="CN156" s="1400"/>
      <c r="CO156" s="1326"/>
      <c r="CP156" s="1682"/>
      <c r="CQ156" s="1684">
        <v>15763.09</v>
      </c>
      <c r="CR156" s="1684">
        <v>14485.09</v>
      </c>
      <c r="CS156" s="1684">
        <v>1278</v>
      </c>
      <c r="CT156" s="1326" t="s">
        <v>2785</v>
      </c>
      <c r="CU156" s="1686">
        <v>43329</v>
      </c>
      <c r="CV156" s="1684">
        <v>17041.18</v>
      </c>
      <c r="CW156" s="1684">
        <v>0</v>
      </c>
      <c r="CX156" s="1684">
        <v>0</v>
      </c>
      <c r="CY156" s="1684">
        <v>0</v>
      </c>
      <c r="CZ156" s="1684">
        <v>0</v>
      </c>
      <c r="DA156" s="1684">
        <v>16723.2</v>
      </c>
      <c r="DB156" s="1684">
        <v>0</v>
      </c>
      <c r="DC156" s="1684">
        <v>317.98</v>
      </c>
      <c r="DD156" s="1684">
        <v>17041.18</v>
      </c>
      <c r="DE156" s="1684">
        <v>15763.09</v>
      </c>
      <c r="DF156" s="1684">
        <v>14485.09</v>
      </c>
      <c r="DG156" s="1684">
        <v>1278</v>
      </c>
      <c r="DH156" s="1684">
        <v>1278.0899999999999</v>
      </c>
      <c r="DI156" s="1684">
        <v>1278.0899999999999</v>
      </c>
      <c r="DJ156" s="1684">
        <v>0</v>
      </c>
      <c r="DK156" s="1684">
        <v>1278.0899999999999</v>
      </c>
      <c r="DL156" s="1684">
        <v>0</v>
      </c>
      <c r="DM156" s="1684">
        <v>0</v>
      </c>
      <c r="DN156" s="1684">
        <v>0</v>
      </c>
      <c r="DO156" s="1684">
        <v>0</v>
      </c>
      <c r="DP156" s="1684">
        <v>0</v>
      </c>
      <c r="DQ156" s="1326" t="s">
        <v>2810</v>
      </c>
      <c r="DR156" s="1684">
        <v>0</v>
      </c>
      <c r="DS156" s="1326" t="s">
        <v>2757</v>
      </c>
      <c r="DT156" s="1682"/>
      <c r="DU156" s="1326" t="s">
        <v>2757</v>
      </c>
      <c r="DV156" s="1682"/>
    </row>
    <row r="157" spans="1:126">
      <c r="A157" s="1326" t="s">
        <v>2150</v>
      </c>
      <c r="B157" s="1326" t="s">
        <v>1702</v>
      </c>
      <c r="C157" s="1326" t="s">
        <v>2576</v>
      </c>
      <c r="D157" s="1326"/>
      <c r="E157" s="1326"/>
      <c r="F157" s="1326"/>
      <c r="G157" s="1326"/>
      <c r="H157" s="1326"/>
      <c r="I157" s="1326"/>
      <c r="J157" s="1326"/>
      <c r="K157" s="1682"/>
      <c r="L157" s="1682"/>
      <c r="M157" s="1326"/>
      <c r="N157" s="1326"/>
      <c r="O157" s="1326"/>
      <c r="P157" s="1326"/>
      <c r="Q157" s="1326"/>
      <c r="R157" s="1326"/>
      <c r="S157" s="1326"/>
      <c r="T157" s="1326"/>
      <c r="U157" s="1326"/>
      <c r="V157" s="1326"/>
      <c r="W157" s="1326"/>
      <c r="X157" s="1326"/>
      <c r="Y157" s="1326"/>
      <c r="Z157" s="1326"/>
      <c r="AA157" s="1326"/>
      <c r="AB157" s="1326"/>
      <c r="AC157" s="1326"/>
      <c r="AD157" s="1326"/>
      <c r="AE157" s="1326"/>
      <c r="AF157" s="1326"/>
      <c r="AG157" s="1326"/>
      <c r="AH157" s="1326"/>
      <c r="AI157" s="1326"/>
      <c r="AJ157" s="1326"/>
      <c r="AK157" s="1326"/>
      <c r="AL157" s="1326"/>
      <c r="AM157" s="1400"/>
      <c r="AN157" s="1326"/>
      <c r="AO157" s="1326"/>
      <c r="AP157" s="1326"/>
      <c r="AQ157" s="1326"/>
      <c r="AR157" s="1326"/>
      <c r="AS157" s="1326"/>
      <c r="AT157" s="1326"/>
      <c r="AU157" s="1326"/>
      <c r="AV157" s="1326"/>
      <c r="AW157" s="1326"/>
      <c r="AX157" s="1326"/>
      <c r="AY157" s="1326"/>
      <c r="AZ157" s="1326"/>
      <c r="BA157" s="1326"/>
      <c r="BB157" s="1326"/>
      <c r="BC157" s="1326"/>
      <c r="BD157" s="1326"/>
      <c r="BE157" s="1326"/>
      <c r="BF157" s="1326"/>
      <c r="BG157" s="1326"/>
      <c r="BH157" s="1326"/>
      <c r="BI157" s="1326"/>
      <c r="BJ157" s="1326"/>
      <c r="BK157" s="1326"/>
      <c r="BL157" s="1326"/>
      <c r="BM157" s="1326"/>
      <c r="BN157" s="1400"/>
      <c r="BO157" s="1682"/>
      <c r="BP157" s="1682"/>
      <c r="BQ157" s="1326"/>
      <c r="BR157" s="1682"/>
      <c r="BS157" s="1326"/>
      <c r="BT157" s="1326"/>
      <c r="BU157" s="1400"/>
      <c r="BV157" s="1683">
        <v>33833.410000000003</v>
      </c>
      <c r="BW157" s="1682"/>
      <c r="BX157" s="1682"/>
      <c r="BY157" s="1326"/>
      <c r="BZ157" s="1326"/>
      <c r="CA157" s="1326"/>
      <c r="CB157" s="1326"/>
      <c r="CC157" s="1326"/>
      <c r="CD157" s="1684">
        <v>168579.83</v>
      </c>
      <c r="CE157" s="1684">
        <v>168579.83</v>
      </c>
      <c r="CF157" s="1684">
        <v>114920.89</v>
      </c>
      <c r="CG157" s="1684">
        <v>68.17</v>
      </c>
      <c r="CH157" s="1684">
        <v>53658.94</v>
      </c>
      <c r="CI157" s="1684">
        <v>31.83</v>
      </c>
      <c r="CJ157" s="1684">
        <v>168579.83</v>
      </c>
      <c r="CK157" s="1684">
        <v>100</v>
      </c>
      <c r="CL157" s="1410"/>
      <c r="CM157" s="1682"/>
      <c r="CN157" s="1400"/>
      <c r="CO157" s="1326"/>
      <c r="CP157" s="1682"/>
      <c r="CQ157" s="1684">
        <v>114920.89</v>
      </c>
      <c r="CR157" s="1684">
        <v>105602.98</v>
      </c>
      <c r="CS157" s="1684">
        <v>9317.91</v>
      </c>
      <c r="CT157" s="1326"/>
      <c r="CU157" s="1682"/>
      <c r="CV157" s="1684">
        <v>168579.83</v>
      </c>
      <c r="CW157" s="1684">
        <v>0</v>
      </c>
      <c r="CX157" s="1684">
        <v>0</v>
      </c>
      <c r="CY157" s="1684">
        <v>0</v>
      </c>
      <c r="CZ157" s="1684">
        <v>34635.29</v>
      </c>
      <c r="DA157" s="1684">
        <v>101088.25</v>
      </c>
      <c r="DB157" s="1684">
        <v>300.58</v>
      </c>
      <c r="DC157" s="1684">
        <v>32555.71</v>
      </c>
      <c r="DD157" s="1684">
        <v>114920.89</v>
      </c>
      <c r="DE157" s="1684">
        <v>114920.89</v>
      </c>
      <c r="DF157" s="1684">
        <v>105602.98</v>
      </c>
      <c r="DG157" s="1684">
        <v>9317.91</v>
      </c>
      <c r="DH157" s="1684">
        <v>53658.94</v>
      </c>
      <c r="DI157" s="1684">
        <v>0</v>
      </c>
      <c r="DJ157" s="1684">
        <v>0</v>
      </c>
      <c r="DK157" s="1684">
        <v>0</v>
      </c>
      <c r="DL157" s="1684">
        <v>0</v>
      </c>
      <c r="DM157" s="1684">
        <v>53658.94</v>
      </c>
      <c r="DN157" s="1684">
        <v>53658.94</v>
      </c>
      <c r="DO157" s="1684">
        <v>0</v>
      </c>
      <c r="DP157" s="1684">
        <v>0</v>
      </c>
      <c r="DQ157" s="1326"/>
      <c r="DR157" s="1400"/>
      <c r="DS157" s="1326"/>
      <c r="DT157" s="1682"/>
      <c r="DU157" s="1326"/>
      <c r="DV157" s="1682"/>
    </row>
    <row r="158" spans="1:126">
      <c r="A158" s="1326" t="s">
        <v>2151</v>
      </c>
      <c r="B158" s="1326" t="s">
        <v>1702</v>
      </c>
      <c r="C158" s="1326" t="s">
        <v>2576</v>
      </c>
      <c r="D158" s="1326" t="s">
        <v>2577</v>
      </c>
      <c r="E158" s="1326"/>
      <c r="F158" s="1326"/>
      <c r="G158" s="1326"/>
      <c r="H158" s="1326"/>
      <c r="I158" s="1326"/>
      <c r="J158" s="1326"/>
      <c r="K158" s="1682"/>
      <c r="L158" s="1682"/>
      <c r="M158" s="1326"/>
      <c r="N158" s="1326"/>
      <c r="O158" s="1326"/>
      <c r="P158" s="1326"/>
      <c r="Q158" s="1326"/>
      <c r="R158" s="1326"/>
      <c r="S158" s="1326"/>
      <c r="T158" s="1326"/>
      <c r="U158" s="1326"/>
      <c r="V158" s="1326"/>
      <c r="W158" s="1326"/>
      <c r="X158" s="1326"/>
      <c r="Y158" s="1326"/>
      <c r="Z158" s="1326"/>
      <c r="AA158" s="1326"/>
      <c r="AB158" s="1326"/>
      <c r="AC158" s="1326"/>
      <c r="AD158" s="1326"/>
      <c r="AE158" s="1326"/>
      <c r="AF158" s="1326"/>
      <c r="AG158" s="1326"/>
      <c r="AH158" s="1326"/>
      <c r="AI158" s="1326"/>
      <c r="AJ158" s="1326"/>
      <c r="AK158" s="1326"/>
      <c r="AL158" s="1326"/>
      <c r="AM158" s="1400"/>
      <c r="AN158" s="1326"/>
      <c r="AO158" s="1326"/>
      <c r="AP158" s="1326"/>
      <c r="AQ158" s="1326"/>
      <c r="AR158" s="1326"/>
      <c r="AS158" s="1326"/>
      <c r="AT158" s="1326"/>
      <c r="AU158" s="1326"/>
      <c r="AV158" s="1326"/>
      <c r="AW158" s="1326"/>
      <c r="AX158" s="1326"/>
      <c r="AY158" s="1326"/>
      <c r="AZ158" s="1326"/>
      <c r="BA158" s="1326"/>
      <c r="BB158" s="1326"/>
      <c r="BC158" s="1326"/>
      <c r="BD158" s="1326"/>
      <c r="BE158" s="1326"/>
      <c r="BF158" s="1326"/>
      <c r="BG158" s="1326"/>
      <c r="BH158" s="1326"/>
      <c r="BI158" s="1326"/>
      <c r="BJ158" s="1326"/>
      <c r="BK158" s="1326"/>
      <c r="BL158" s="1326"/>
      <c r="BM158" s="1326"/>
      <c r="BN158" s="1400"/>
      <c r="BO158" s="1682"/>
      <c r="BP158" s="1682"/>
      <c r="BQ158" s="1326"/>
      <c r="BR158" s="1682"/>
      <c r="BS158" s="1326"/>
      <c r="BT158" s="1326"/>
      <c r="BU158" s="1400"/>
      <c r="BV158" s="1683">
        <v>33833.410000000003</v>
      </c>
      <c r="BW158" s="1682"/>
      <c r="BX158" s="1682"/>
      <c r="BY158" s="1326"/>
      <c r="BZ158" s="1326"/>
      <c r="CA158" s="1326"/>
      <c r="CB158" s="1326"/>
      <c r="CC158" s="1326"/>
      <c r="CD158" s="1684">
        <v>168579.83</v>
      </c>
      <c r="CE158" s="1684">
        <v>168579.83</v>
      </c>
      <c r="CF158" s="1684">
        <v>114920.89</v>
      </c>
      <c r="CG158" s="1684">
        <v>68.17</v>
      </c>
      <c r="CH158" s="1684">
        <v>53658.94</v>
      </c>
      <c r="CI158" s="1684">
        <v>31.83</v>
      </c>
      <c r="CJ158" s="1684">
        <v>168579.83</v>
      </c>
      <c r="CK158" s="1684">
        <v>100</v>
      </c>
      <c r="CL158" s="1410"/>
      <c r="CM158" s="1682"/>
      <c r="CN158" s="1400"/>
      <c r="CO158" s="1326"/>
      <c r="CP158" s="1682"/>
      <c r="CQ158" s="1684">
        <v>114920.89</v>
      </c>
      <c r="CR158" s="1684">
        <v>105602.98</v>
      </c>
      <c r="CS158" s="1684">
        <v>9317.91</v>
      </c>
      <c r="CT158" s="1326"/>
      <c r="CU158" s="1682"/>
      <c r="CV158" s="1684">
        <v>168579.83</v>
      </c>
      <c r="CW158" s="1684">
        <v>0</v>
      </c>
      <c r="CX158" s="1684">
        <v>0</v>
      </c>
      <c r="CY158" s="1684">
        <v>0</v>
      </c>
      <c r="CZ158" s="1684">
        <v>34635.29</v>
      </c>
      <c r="DA158" s="1684">
        <v>101088.25</v>
      </c>
      <c r="DB158" s="1684">
        <v>300.58</v>
      </c>
      <c r="DC158" s="1684">
        <v>32555.71</v>
      </c>
      <c r="DD158" s="1684">
        <v>114920.89</v>
      </c>
      <c r="DE158" s="1684">
        <v>114920.89</v>
      </c>
      <c r="DF158" s="1684">
        <v>105602.98</v>
      </c>
      <c r="DG158" s="1684">
        <v>9317.91</v>
      </c>
      <c r="DH158" s="1684">
        <v>53658.94</v>
      </c>
      <c r="DI158" s="1684">
        <v>0</v>
      </c>
      <c r="DJ158" s="1684">
        <v>0</v>
      </c>
      <c r="DK158" s="1684">
        <v>0</v>
      </c>
      <c r="DL158" s="1684">
        <v>0</v>
      </c>
      <c r="DM158" s="1684">
        <v>53658.94</v>
      </c>
      <c r="DN158" s="1684">
        <v>53658.94</v>
      </c>
      <c r="DO158" s="1684">
        <v>0</v>
      </c>
      <c r="DP158" s="1684">
        <v>0</v>
      </c>
      <c r="DQ158" s="1326"/>
      <c r="DR158" s="1400"/>
      <c r="DS158" s="1326"/>
      <c r="DT158" s="1682"/>
      <c r="DU158" s="1326"/>
      <c r="DV158" s="1682"/>
    </row>
    <row r="159" spans="1:126" ht="22.5">
      <c r="A159" s="1326" t="s">
        <v>2153</v>
      </c>
      <c r="B159" s="1326" t="s">
        <v>1702</v>
      </c>
      <c r="C159" s="1326" t="s">
        <v>2576</v>
      </c>
      <c r="D159" s="1326" t="s">
        <v>2577</v>
      </c>
      <c r="E159" s="1326" t="s">
        <v>2395</v>
      </c>
      <c r="F159" s="1326" t="s">
        <v>3153</v>
      </c>
      <c r="G159" s="1326"/>
      <c r="H159" s="1326"/>
      <c r="I159" s="1326"/>
      <c r="J159" s="1326"/>
      <c r="K159" s="1682"/>
      <c r="L159" s="1682"/>
      <c r="M159" s="1326"/>
      <c r="N159" s="1326"/>
      <c r="O159" s="1326"/>
      <c r="P159" s="1326"/>
      <c r="Q159" s="1326"/>
      <c r="R159" s="1326"/>
      <c r="S159" s="1326"/>
      <c r="T159" s="1326"/>
      <c r="U159" s="1326"/>
      <c r="V159" s="1326"/>
      <c r="W159" s="1326"/>
      <c r="X159" s="1326"/>
      <c r="Y159" s="1326"/>
      <c r="Z159" s="1326"/>
      <c r="AA159" s="1326"/>
      <c r="AB159" s="1326"/>
      <c r="AC159" s="1326"/>
      <c r="AD159" s="1326"/>
      <c r="AE159" s="1326"/>
      <c r="AF159" s="1326"/>
      <c r="AG159" s="1326"/>
      <c r="AH159" s="1326"/>
      <c r="AI159" s="1326"/>
      <c r="AJ159" s="1326"/>
      <c r="AK159" s="1326"/>
      <c r="AL159" s="1326"/>
      <c r="AM159" s="1400"/>
      <c r="AN159" s="1326"/>
      <c r="AO159" s="1326"/>
      <c r="AP159" s="1326"/>
      <c r="AQ159" s="1326"/>
      <c r="AR159" s="1326"/>
      <c r="AS159" s="1326"/>
      <c r="AT159" s="1326"/>
      <c r="AU159" s="1326"/>
      <c r="AV159" s="1326"/>
      <c r="AW159" s="1326"/>
      <c r="AX159" s="1326"/>
      <c r="AY159" s="1326"/>
      <c r="AZ159" s="1326"/>
      <c r="BA159" s="1326"/>
      <c r="BB159" s="1326"/>
      <c r="BC159" s="1326"/>
      <c r="BD159" s="1326"/>
      <c r="BE159" s="1326"/>
      <c r="BF159" s="1326"/>
      <c r="BG159" s="1326"/>
      <c r="BH159" s="1326"/>
      <c r="BI159" s="1326"/>
      <c r="BJ159" s="1326"/>
      <c r="BK159" s="1326"/>
      <c r="BL159" s="1326"/>
      <c r="BM159" s="1326"/>
      <c r="BN159" s="1400"/>
      <c r="BO159" s="1682"/>
      <c r="BP159" s="1682"/>
      <c r="BQ159" s="1326"/>
      <c r="BR159" s="1682"/>
      <c r="BS159" s="1326"/>
      <c r="BT159" s="1326"/>
      <c r="BU159" s="1400"/>
      <c r="BV159" s="1683">
        <v>33833.410000000003</v>
      </c>
      <c r="BW159" s="1682"/>
      <c r="BX159" s="1682"/>
      <c r="BY159" s="1326"/>
      <c r="BZ159" s="1326"/>
      <c r="CA159" s="1326"/>
      <c r="CB159" s="1326"/>
      <c r="CC159" s="1326"/>
      <c r="CD159" s="1684">
        <v>168579.83</v>
      </c>
      <c r="CE159" s="1684">
        <v>168579.83</v>
      </c>
      <c r="CF159" s="1684">
        <v>114920.89</v>
      </c>
      <c r="CG159" s="1684">
        <v>68.17</v>
      </c>
      <c r="CH159" s="1684">
        <v>53658.94</v>
      </c>
      <c r="CI159" s="1684">
        <v>31.83</v>
      </c>
      <c r="CJ159" s="1684">
        <v>168579.83</v>
      </c>
      <c r="CK159" s="1684">
        <v>100</v>
      </c>
      <c r="CL159" s="1410"/>
      <c r="CM159" s="1682"/>
      <c r="CN159" s="1400"/>
      <c r="CO159" s="1326"/>
      <c r="CP159" s="1682"/>
      <c r="CQ159" s="1684">
        <v>114920.89</v>
      </c>
      <c r="CR159" s="1684">
        <v>105602.98</v>
      </c>
      <c r="CS159" s="1684">
        <v>9317.91</v>
      </c>
      <c r="CT159" s="1326"/>
      <c r="CU159" s="1682"/>
      <c r="CV159" s="1684">
        <v>168579.83</v>
      </c>
      <c r="CW159" s="1684">
        <v>0</v>
      </c>
      <c r="CX159" s="1684">
        <v>0</v>
      </c>
      <c r="CY159" s="1684">
        <v>0</v>
      </c>
      <c r="CZ159" s="1684">
        <v>34635.29</v>
      </c>
      <c r="DA159" s="1684">
        <v>101088.25</v>
      </c>
      <c r="DB159" s="1684">
        <v>300.58</v>
      </c>
      <c r="DC159" s="1684">
        <v>32555.71</v>
      </c>
      <c r="DD159" s="1684">
        <v>114920.89</v>
      </c>
      <c r="DE159" s="1684">
        <v>114920.89</v>
      </c>
      <c r="DF159" s="1684">
        <v>105602.98</v>
      </c>
      <c r="DG159" s="1684">
        <v>9317.91</v>
      </c>
      <c r="DH159" s="1684">
        <v>53658.94</v>
      </c>
      <c r="DI159" s="1684">
        <v>0</v>
      </c>
      <c r="DJ159" s="1684">
        <v>0</v>
      </c>
      <c r="DK159" s="1684">
        <v>0</v>
      </c>
      <c r="DL159" s="1684">
        <v>0</v>
      </c>
      <c r="DM159" s="1684">
        <v>53658.94</v>
      </c>
      <c r="DN159" s="1684">
        <v>53658.94</v>
      </c>
      <c r="DO159" s="1684">
        <v>0</v>
      </c>
      <c r="DP159" s="1684">
        <v>0</v>
      </c>
      <c r="DQ159" s="1326"/>
      <c r="DR159" s="1400"/>
      <c r="DS159" s="1326"/>
      <c r="DT159" s="1682"/>
      <c r="DU159" s="1326"/>
      <c r="DV159" s="1682"/>
    </row>
    <row r="160" spans="1:126" ht="123.75">
      <c r="A160" s="1326" t="s">
        <v>2154</v>
      </c>
      <c r="B160" s="1326" t="s">
        <v>1702</v>
      </c>
      <c r="C160" s="1326" t="s">
        <v>2576</v>
      </c>
      <c r="D160" s="1326" t="s">
        <v>2577</v>
      </c>
      <c r="E160" s="1326" t="s">
        <v>2395</v>
      </c>
      <c r="F160" s="1326" t="s">
        <v>3153</v>
      </c>
      <c r="G160" s="1326" t="s">
        <v>2563</v>
      </c>
      <c r="H160" s="1326" t="s">
        <v>2572</v>
      </c>
      <c r="I160" s="1326" t="s">
        <v>2573</v>
      </c>
      <c r="J160" s="1326" t="s">
        <v>2397</v>
      </c>
      <c r="K160" s="1685">
        <v>43229</v>
      </c>
      <c r="L160" s="1685">
        <v>43362</v>
      </c>
      <c r="M160" s="1326" t="s">
        <v>2398</v>
      </c>
      <c r="N160" s="1326" t="s">
        <v>2061</v>
      </c>
      <c r="O160" s="1326" t="s">
        <v>3154</v>
      </c>
      <c r="P160" s="1326" t="s">
        <v>2757</v>
      </c>
      <c r="Q160" s="1326" t="s">
        <v>1724</v>
      </c>
      <c r="R160" s="1326" t="s">
        <v>2757</v>
      </c>
      <c r="S160" s="1326" t="s">
        <v>2757</v>
      </c>
      <c r="T160" s="1326" t="s">
        <v>2785</v>
      </c>
      <c r="U160" s="1326" t="s">
        <v>2758</v>
      </c>
      <c r="V160" s="1326" t="s">
        <v>2757</v>
      </c>
      <c r="W160" s="1326" t="s">
        <v>2757</v>
      </c>
      <c r="X160" s="1326" t="s">
        <v>2757</v>
      </c>
      <c r="Y160" s="1326" t="s">
        <v>2757</v>
      </c>
      <c r="Z160" s="1326" t="s">
        <v>2785</v>
      </c>
      <c r="AA160" s="1326" t="s">
        <v>2757</v>
      </c>
      <c r="AB160" s="1326" t="s">
        <v>2757</v>
      </c>
      <c r="AC160" s="1326" t="s">
        <v>2757</v>
      </c>
      <c r="AD160" s="1326" t="s">
        <v>2757</v>
      </c>
      <c r="AE160" s="1326"/>
      <c r="AF160" s="1326" t="s">
        <v>3155</v>
      </c>
      <c r="AG160" s="1326" t="s">
        <v>2986</v>
      </c>
      <c r="AH160" s="1326" t="s">
        <v>3156</v>
      </c>
      <c r="AI160" s="1326" t="s">
        <v>2762</v>
      </c>
      <c r="AJ160" s="1326" t="s">
        <v>2763</v>
      </c>
      <c r="AK160" s="1326" t="s">
        <v>3072</v>
      </c>
      <c r="AL160" s="1326" t="s">
        <v>3157</v>
      </c>
      <c r="AM160" s="1683">
        <v>100</v>
      </c>
      <c r="AN160" s="1326"/>
      <c r="AO160" s="1326"/>
      <c r="AP160" s="1326"/>
      <c r="AQ160" s="1326"/>
      <c r="AR160" s="1326"/>
      <c r="AS160" s="1326"/>
      <c r="AT160" s="1326" t="s">
        <v>2867</v>
      </c>
      <c r="AU160" s="1326" t="s">
        <v>3158</v>
      </c>
      <c r="AV160" s="1326" t="s">
        <v>3021</v>
      </c>
      <c r="AW160" s="1326" t="s">
        <v>3074</v>
      </c>
      <c r="AX160" s="1326" t="s">
        <v>3022</v>
      </c>
      <c r="AY160" s="1326" t="s">
        <v>2769</v>
      </c>
      <c r="AZ160" s="1326" t="s">
        <v>3159</v>
      </c>
      <c r="BA160" s="1326" t="s">
        <v>3160</v>
      </c>
      <c r="BB160" s="1326" t="s">
        <v>2757</v>
      </c>
      <c r="BC160" s="1326" t="s">
        <v>2772</v>
      </c>
      <c r="BD160" s="1326" t="s">
        <v>2773</v>
      </c>
      <c r="BE160" s="1326" t="s">
        <v>3161</v>
      </c>
      <c r="BF160" s="1326" t="s">
        <v>3162</v>
      </c>
      <c r="BG160" s="1326" t="s">
        <v>3163</v>
      </c>
      <c r="BH160" s="1326" t="s">
        <v>2024</v>
      </c>
      <c r="BI160" s="1326" t="s">
        <v>2777</v>
      </c>
      <c r="BJ160" s="1326" t="s">
        <v>3164</v>
      </c>
      <c r="BK160" s="1326" t="s">
        <v>2867</v>
      </c>
      <c r="BL160" s="1326" t="s">
        <v>2757</v>
      </c>
      <c r="BM160" s="1326" t="s">
        <v>2757</v>
      </c>
      <c r="BN160" s="1683">
        <v>0</v>
      </c>
      <c r="BO160" s="1685">
        <v>43362</v>
      </c>
      <c r="BP160" s="1685">
        <v>44093</v>
      </c>
      <c r="BQ160" s="1326" t="s">
        <v>2779</v>
      </c>
      <c r="BR160" s="1685">
        <v>47483</v>
      </c>
      <c r="BS160" s="1326" t="s">
        <v>3165</v>
      </c>
      <c r="BT160" s="1326" t="s">
        <v>3166</v>
      </c>
      <c r="BU160" s="1683">
        <v>30</v>
      </c>
      <c r="BV160" s="1683">
        <v>9379.69</v>
      </c>
      <c r="BW160" s="1685">
        <v>44153</v>
      </c>
      <c r="BX160" s="1682"/>
      <c r="BY160" s="1326" t="s">
        <v>2052</v>
      </c>
      <c r="BZ160" s="1326" t="s">
        <v>2782</v>
      </c>
      <c r="CA160" s="1326" t="s">
        <v>2782</v>
      </c>
      <c r="CB160" s="1326" t="s">
        <v>2782</v>
      </c>
      <c r="CC160" s="1326" t="s">
        <v>2809</v>
      </c>
      <c r="CD160" s="1684">
        <v>44986.51</v>
      </c>
      <c r="CE160" s="1684">
        <v>44986.51</v>
      </c>
      <c r="CF160" s="1684">
        <v>31265.62</v>
      </c>
      <c r="CG160" s="1684">
        <v>69.5</v>
      </c>
      <c r="CH160" s="1684">
        <v>13720.89</v>
      </c>
      <c r="CI160" s="1684">
        <v>30.5</v>
      </c>
      <c r="CJ160" s="1684">
        <v>44986.51</v>
      </c>
      <c r="CK160" s="1684">
        <v>100</v>
      </c>
      <c r="CL160" s="1410" t="s">
        <v>2785</v>
      </c>
      <c r="CM160" s="1686">
        <v>43283</v>
      </c>
      <c r="CN160" s="1400"/>
      <c r="CO160" s="1326"/>
      <c r="CP160" s="1682"/>
      <c r="CQ160" s="1684">
        <v>31265.62</v>
      </c>
      <c r="CR160" s="1684">
        <v>28730.57</v>
      </c>
      <c r="CS160" s="1684">
        <v>2535.0500000000002</v>
      </c>
      <c r="CT160" s="1326" t="s">
        <v>2785</v>
      </c>
      <c r="CU160" s="1686">
        <v>43336</v>
      </c>
      <c r="CV160" s="1684">
        <v>44986.51</v>
      </c>
      <c r="CW160" s="1684">
        <v>0</v>
      </c>
      <c r="CX160" s="1684">
        <v>0</v>
      </c>
      <c r="CY160" s="1684">
        <v>0</v>
      </c>
      <c r="CZ160" s="1684">
        <v>11360.61</v>
      </c>
      <c r="DA160" s="1684">
        <v>24628.6</v>
      </c>
      <c r="DB160" s="1684">
        <v>0</v>
      </c>
      <c r="DC160" s="1684">
        <v>8997.2999999999993</v>
      </c>
      <c r="DD160" s="1684">
        <v>31265.62</v>
      </c>
      <c r="DE160" s="1684">
        <v>31265.62</v>
      </c>
      <c r="DF160" s="1684">
        <v>28730.57</v>
      </c>
      <c r="DG160" s="1684">
        <v>2535.0500000000002</v>
      </c>
      <c r="DH160" s="1684">
        <v>13720.89</v>
      </c>
      <c r="DI160" s="1684">
        <v>0</v>
      </c>
      <c r="DJ160" s="1684">
        <v>0</v>
      </c>
      <c r="DK160" s="1684">
        <v>0</v>
      </c>
      <c r="DL160" s="1684">
        <v>0</v>
      </c>
      <c r="DM160" s="1684">
        <v>13720.89</v>
      </c>
      <c r="DN160" s="1684">
        <v>13720.89</v>
      </c>
      <c r="DO160" s="1684">
        <v>0</v>
      </c>
      <c r="DP160" s="1684">
        <v>0</v>
      </c>
      <c r="DQ160" s="1326" t="s">
        <v>2810</v>
      </c>
      <c r="DR160" s="1684">
        <v>0</v>
      </c>
      <c r="DS160" s="1326" t="s">
        <v>2757</v>
      </c>
      <c r="DT160" s="1682"/>
      <c r="DU160" s="1326" t="s">
        <v>2757</v>
      </c>
      <c r="DV160" s="1682"/>
    </row>
    <row r="161" spans="1:126" ht="56.25">
      <c r="A161" s="1326" t="s">
        <v>2155</v>
      </c>
      <c r="B161" s="1326" t="s">
        <v>1702</v>
      </c>
      <c r="C161" s="1326" t="s">
        <v>2576</v>
      </c>
      <c r="D161" s="1326" t="s">
        <v>2577</v>
      </c>
      <c r="E161" s="1326" t="s">
        <v>2395</v>
      </c>
      <c r="F161" s="1326" t="s">
        <v>3153</v>
      </c>
      <c r="G161" s="1326" t="s">
        <v>2563</v>
      </c>
      <c r="H161" s="1326" t="s">
        <v>2572</v>
      </c>
      <c r="I161" s="1326" t="s">
        <v>2573</v>
      </c>
      <c r="J161" s="1326" t="s">
        <v>2402</v>
      </c>
      <c r="K161" s="1685">
        <v>43231</v>
      </c>
      <c r="L161" s="1685">
        <v>43348</v>
      </c>
      <c r="M161" s="1326" t="s">
        <v>2403</v>
      </c>
      <c r="N161" s="1326" t="s">
        <v>2061</v>
      </c>
      <c r="O161" s="1326" t="s">
        <v>3167</v>
      </c>
      <c r="P161" s="1326" t="s">
        <v>2757</v>
      </c>
      <c r="Q161" s="1326" t="s">
        <v>1714</v>
      </c>
      <c r="R161" s="1326" t="s">
        <v>2757</v>
      </c>
      <c r="S161" s="1326" t="s">
        <v>2757</v>
      </c>
      <c r="T161" s="1326" t="s">
        <v>2785</v>
      </c>
      <c r="U161" s="1326" t="s">
        <v>2758</v>
      </c>
      <c r="V161" s="1326" t="s">
        <v>2757</v>
      </c>
      <c r="W161" s="1326" t="s">
        <v>2757</v>
      </c>
      <c r="X161" s="1326" t="s">
        <v>2757</v>
      </c>
      <c r="Y161" s="1326" t="s">
        <v>2757</v>
      </c>
      <c r="Z161" s="1326" t="s">
        <v>2785</v>
      </c>
      <c r="AA161" s="1326" t="s">
        <v>2757</v>
      </c>
      <c r="AB161" s="1326" t="s">
        <v>2757</v>
      </c>
      <c r="AC161" s="1326" t="s">
        <v>2757</v>
      </c>
      <c r="AD161" s="1326" t="s">
        <v>2757</v>
      </c>
      <c r="AE161" s="1326"/>
      <c r="AF161" s="1326" t="s">
        <v>3155</v>
      </c>
      <c r="AG161" s="1326" t="s">
        <v>2986</v>
      </c>
      <c r="AH161" s="1326" t="s">
        <v>2951</v>
      </c>
      <c r="AI161" s="1326" t="s">
        <v>2762</v>
      </c>
      <c r="AJ161" s="1326" t="s">
        <v>2763</v>
      </c>
      <c r="AK161" s="1326" t="s">
        <v>3072</v>
      </c>
      <c r="AL161" s="1326" t="s">
        <v>3157</v>
      </c>
      <c r="AM161" s="1683">
        <v>100</v>
      </c>
      <c r="AN161" s="1326"/>
      <c r="AO161" s="1326"/>
      <c r="AP161" s="1326"/>
      <c r="AQ161" s="1326"/>
      <c r="AR161" s="1326"/>
      <c r="AS161" s="1326"/>
      <c r="AT161" s="1326" t="s">
        <v>2867</v>
      </c>
      <c r="AU161" s="1326" t="s">
        <v>3158</v>
      </c>
      <c r="AV161" s="1326" t="s">
        <v>3021</v>
      </c>
      <c r="AW161" s="1326" t="s">
        <v>3074</v>
      </c>
      <c r="AX161" s="1326" t="s">
        <v>3022</v>
      </c>
      <c r="AY161" s="1326" t="s">
        <v>2769</v>
      </c>
      <c r="AZ161" s="1326" t="s">
        <v>3168</v>
      </c>
      <c r="BA161" s="1326" t="s">
        <v>3169</v>
      </c>
      <c r="BB161" s="1326" t="s">
        <v>2757</v>
      </c>
      <c r="BC161" s="1326" t="s">
        <v>2800</v>
      </c>
      <c r="BD161" s="1326" t="s">
        <v>2773</v>
      </c>
      <c r="BE161" s="1326" t="s">
        <v>3170</v>
      </c>
      <c r="BF161" s="1326" t="s">
        <v>3171</v>
      </c>
      <c r="BG161" s="1326" t="s">
        <v>3172</v>
      </c>
      <c r="BH161" s="1326" t="s">
        <v>2024</v>
      </c>
      <c r="BI161" s="1326" t="s">
        <v>2777</v>
      </c>
      <c r="BJ161" s="1326" t="s">
        <v>3164</v>
      </c>
      <c r="BK161" s="1326" t="s">
        <v>2867</v>
      </c>
      <c r="BL161" s="1326" t="s">
        <v>2757</v>
      </c>
      <c r="BM161" s="1326" t="s">
        <v>2757</v>
      </c>
      <c r="BN161" s="1683">
        <v>0</v>
      </c>
      <c r="BO161" s="1685">
        <v>43348</v>
      </c>
      <c r="BP161" s="1685">
        <v>43804</v>
      </c>
      <c r="BQ161" s="1326" t="s">
        <v>2955</v>
      </c>
      <c r="BR161" s="1685">
        <v>47483</v>
      </c>
      <c r="BS161" s="1326" t="s">
        <v>3173</v>
      </c>
      <c r="BT161" s="1326" t="s">
        <v>3174</v>
      </c>
      <c r="BU161" s="1683">
        <v>30</v>
      </c>
      <c r="BV161" s="1683">
        <v>1065.93</v>
      </c>
      <c r="BW161" s="1685">
        <v>43864</v>
      </c>
      <c r="BX161" s="1682"/>
      <c r="BY161" s="1326" t="s">
        <v>2052</v>
      </c>
      <c r="BZ161" s="1326" t="s">
        <v>2782</v>
      </c>
      <c r="CA161" s="1326" t="s">
        <v>2782</v>
      </c>
      <c r="CB161" s="1326" t="s">
        <v>2783</v>
      </c>
      <c r="CC161" s="1326" t="s">
        <v>2809</v>
      </c>
      <c r="CD161" s="1684">
        <v>5579.99</v>
      </c>
      <c r="CE161" s="1684">
        <v>5579.99</v>
      </c>
      <c r="CF161" s="1684">
        <v>3553.1</v>
      </c>
      <c r="CG161" s="1684">
        <v>63.68</v>
      </c>
      <c r="CH161" s="1684">
        <v>2026.89</v>
      </c>
      <c r="CI161" s="1684">
        <v>36.32</v>
      </c>
      <c r="CJ161" s="1684">
        <v>5579.99</v>
      </c>
      <c r="CK161" s="1684">
        <v>100</v>
      </c>
      <c r="CL161" s="1410" t="s">
        <v>2785</v>
      </c>
      <c r="CM161" s="1686">
        <v>43286</v>
      </c>
      <c r="CN161" s="1400"/>
      <c r="CO161" s="1326"/>
      <c r="CP161" s="1682"/>
      <c r="CQ161" s="1684">
        <v>3553.1</v>
      </c>
      <c r="CR161" s="1684">
        <v>3265.01</v>
      </c>
      <c r="CS161" s="1684">
        <v>288.08999999999997</v>
      </c>
      <c r="CT161" s="1326" t="s">
        <v>2785</v>
      </c>
      <c r="CU161" s="1686">
        <v>43326</v>
      </c>
      <c r="CV161" s="1684">
        <v>5579.99</v>
      </c>
      <c r="CW161" s="1684">
        <v>0</v>
      </c>
      <c r="CX161" s="1684">
        <v>0</v>
      </c>
      <c r="CY161" s="1684">
        <v>0</v>
      </c>
      <c r="CZ161" s="1684">
        <v>1628.72</v>
      </c>
      <c r="DA161" s="1684">
        <v>2714.69</v>
      </c>
      <c r="DB161" s="1684">
        <v>120.58</v>
      </c>
      <c r="DC161" s="1684">
        <v>1116</v>
      </c>
      <c r="DD161" s="1684">
        <v>3553.1</v>
      </c>
      <c r="DE161" s="1684">
        <v>3553.1</v>
      </c>
      <c r="DF161" s="1684">
        <v>3265.01</v>
      </c>
      <c r="DG161" s="1684">
        <v>288.08999999999997</v>
      </c>
      <c r="DH161" s="1684">
        <v>2026.89</v>
      </c>
      <c r="DI161" s="1684">
        <v>0</v>
      </c>
      <c r="DJ161" s="1684">
        <v>0</v>
      </c>
      <c r="DK161" s="1684">
        <v>0</v>
      </c>
      <c r="DL161" s="1684">
        <v>0</v>
      </c>
      <c r="DM161" s="1684">
        <v>2026.89</v>
      </c>
      <c r="DN161" s="1684">
        <v>2026.89</v>
      </c>
      <c r="DO161" s="1684">
        <v>0</v>
      </c>
      <c r="DP161" s="1684">
        <v>0</v>
      </c>
      <c r="DQ161" s="1326" t="s">
        <v>2810</v>
      </c>
      <c r="DR161" s="1684">
        <v>0</v>
      </c>
      <c r="DS161" s="1326" t="s">
        <v>2757</v>
      </c>
      <c r="DT161" s="1682"/>
      <c r="DU161" s="1326" t="s">
        <v>2757</v>
      </c>
      <c r="DV161" s="1682"/>
    </row>
    <row r="162" spans="1:126" ht="146.25">
      <c r="A162" s="1326" t="s">
        <v>2156</v>
      </c>
      <c r="B162" s="1326" t="s">
        <v>1702</v>
      </c>
      <c r="C162" s="1326" t="s">
        <v>2576</v>
      </c>
      <c r="D162" s="1326" t="s">
        <v>2577</v>
      </c>
      <c r="E162" s="1326" t="s">
        <v>2395</v>
      </c>
      <c r="F162" s="1326" t="s">
        <v>3153</v>
      </c>
      <c r="G162" s="1326" t="s">
        <v>2563</v>
      </c>
      <c r="H162" s="1326" t="s">
        <v>2572</v>
      </c>
      <c r="I162" s="1326" t="s">
        <v>2573</v>
      </c>
      <c r="J162" s="1326" t="s">
        <v>2407</v>
      </c>
      <c r="K162" s="1685">
        <v>43231</v>
      </c>
      <c r="L162" s="1685">
        <v>43362</v>
      </c>
      <c r="M162" s="1326" t="s">
        <v>2408</v>
      </c>
      <c r="N162" s="1326" t="s">
        <v>2061</v>
      </c>
      <c r="O162" s="1326" t="s">
        <v>3175</v>
      </c>
      <c r="P162" s="1326" t="s">
        <v>2757</v>
      </c>
      <c r="Q162" s="1326" t="s">
        <v>1718</v>
      </c>
      <c r="R162" s="1326" t="s">
        <v>2757</v>
      </c>
      <c r="S162" s="1326" t="s">
        <v>2785</v>
      </c>
      <c r="T162" s="1326" t="s">
        <v>2785</v>
      </c>
      <c r="U162" s="1326" t="s">
        <v>2758</v>
      </c>
      <c r="V162" s="1326" t="s">
        <v>2757</v>
      </c>
      <c r="W162" s="1326" t="s">
        <v>2757</v>
      </c>
      <c r="X162" s="1326" t="s">
        <v>2757</v>
      </c>
      <c r="Y162" s="1326" t="s">
        <v>2757</v>
      </c>
      <c r="Z162" s="1326" t="s">
        <v>2785</v>
      </c>
      <c r="AA162" s="1326" t="s">
        <v>2757</v>
      </c>
      <c r="AB162" s="1326" t="s">
        <v>2757</v>
      </c>
      <c r="AC162" s="1326" t="s">
        <v>2757</v>
      </c>
      <c r="AD162" s="1326" t="s">
        <v>2757</v>
      </c>
      <c r="AE162" s="1326"/>
      <c r="AF162" s="1326" t="s">
        <v>3155</v>
      </c>
      <c r="AG162" s="1326" t="s">
        <v>2986</v>
      </c>
      <c r="AH162" s="1326" t="s">
        <v>3156</v>
      </c>
      <c r="AI162" s="1326" t="s">
        <v>2762</v>
      </c>
      <c r="AJ162" s="1326" t="s">
        <v>2763</v>
      </c>
      <c r="AK162" s="1326" t="s">
        <v>3072</v>
      </c>
      <c r="AL162" s="1326" t="s">
        <v>3157</v>
      </c>
      <c r="AM162" s="1683">
        <v>100</v>
      </c>
      <c r="AN162" s="1326"/>
      <c r="AO162" s="1326"/>
      <c r="AP162" s="1326"/>
      <c r="AQ162" s="1326"/>
      <c r="AR162" s="1326"/>
      <c r="AS162" s="1326"/>
      <c r="AT162" s="1326" t="s">
        <v>2867</v>
      </c>
      <c r="AU162" s="1326" t="s">
        <v>3158</v>
      </c>
      <c r="AV162" s="1326" t="s">
        <v>3021</v>
      </c>
      <c r="AW162" s="1326" t="s">
        <v>3074</v>
      </c>
      <c r="AX162" s="1326" t="s">
        <v>3022</v>
      </c>
      <c r="AY162" s="1326" t="s">
        <v>2769</v>
      </c>
      <c r="AZ162" s="1326" t="s">
        <v>3159</v>
      </c>
      <c r="BA162" s="1326" t="s">
        <v>3160</v>
      </c>
      <c r="BB162" s="1326" t="s">
        <v>2757</v>
      </c>
      <c r="BC162" s="1326" t="s">
        <v>2772</v>
      </c>
      <c r="BD162" s="1326" t="s">
        <v>2773</v>
      </c>
      <c r="BE162" s="1326" t="s">
        <v>3161</v>
      </c>
      <c r="BF162" s="1326" t="s">
        <v>3176</v>
      </c>
      <c r="BG162" s="1326" t="s">
        <v>3163</v>
      </c>
      <c r="BH162" s="1326" t="s">
        <v>2804</v>
      </c>
      <c r="BI162" s="1326" t="s">
        <v>2777</v>
      </c>
      <c r="BJ162" s="1326" t="s">
        <v>3164</v>
      </c>
      <c r="BK162" s="1326" t="s">
        <v>2867</v>
      </c>
      <c r="BL162" s="1326" t="s">
        <v>2757</v>
      </c>
      <c r="BM162" s="1326" t="s">
        <v>2757</v>
      </c>
      <c r="BN162" s="1683">
        <v>0</v>
      </c>
      <c r="BO162" s="1685">
        <v>43362</v>
      </c>
      <c r="BP162" s="1685">
        <v>43909</v>
      </c>
      <c r="BQ162" s="1326" t="s">
        <v>2955</v>
      </c>
      <c r="BR162" s="1685">
        <v>47483</v>
      </c>
      <c r="BS162" s="1326" t="s">
        <v>3165</v>
      </c>
      <c r="BT162" s="1326" t="s">
        <v>3177</v>
      </c>
      <c r="BU162" s="1683">
        <v>21</v>
      </c>
      <c r="BV162" s="1683">
        <v>1500.01</v>
      </c>
      <c r="BW162" s="1685">
        <v>43969</v>
      </c>
      <c r="BX162" s="1682"/>
      <c r="BY162" s="1326" t="s">
        <v>2052</v>
      </c>
      <c r="BZ162" s="1326" t="s">
        <v>2782</v>
      </c>
      <c r="CA162" s="1326" t="s">
        <v>2782</v>
      </c>
      <c r="CB162" s="1326" t="s">
        <v>2783</v>
      </c>
      <c r="CC162" s="1326" t="s">
        <v>2809</v>
      </c>
      <c r="CD162" s="1684">
        <v>10446.14</v>
      </c>
      <c r="CE162" s="1684">
        <v>10446.14</v>
      </c>
      <c r="CF162" s="1684">
        <v>7142.92</v>
      </c>
      <c r="CG162" s="1684">
        <v>68.38</v>
      </c>
      <c r="CH162" s="1684">
        <v>3303.22</v>
      </c>
      <c r="CI162" s="1684">
        <v>31.62</v>
      </c>
      <c r="CJ162" s="1684">
        <v>10446.14</v>
      </c>
      <c r="CK162" s="1684">
        <v>100</v>
      </c>
      <c r="CL162" s="1410" t="s">
        <v>2785</v>
      </c>
      <c r="CM162" s="1686">
        <v>43283</v>
      </c>
      <c r="CN162" s="1400"/>
      <c r="CO162" s="1326"/>
      <c r="CP162" s="1682"/>
      <c r="CQ162" s="1684">
        <v>7142.92</v>
      </c>
      <c r="CR162" s="1684">
        <v>6563.76</v>
      </c>
      <c r="CS162" s="1684">
        <v>579.16</v>
      </c>
      <c r="CT162" s="1326" t="s">
        <v>2785</v>
      </c>
      <c r="CU162" s="1686">
        <v>43336</v>
      </c>
      <c r="CV162" s="1684">
        <v>10446.14</v>
      </c>
      <c r="CW162" s="1684">
        <v>0</v>
      </c>
      <c r="CX162" s="1684">
        <v>0</v>
      </c>
      <c r="CY162" s="1684">
        <v>0</v>
      </c>
      <c r="CZ162" s="1684">
        <v>0</v>
      </c>
      <c r="DA162" s="1684">
        <v>8492.7999999999993</v>
      </c>
      <c r="DB162" s="1684">
        <v>0</v>
      </c>
      <c r="DC162" s="1684">
        <v>1953.34</v>
      </c>
      <c r="DD162" s="1684">
        <v>7142.92</v>
      </c>
      <c r="DE162" s="1684">
        <v>7142.92</v>
      </c>
      <c r="DF162" s="1684">
        <v>6563.76</v>
      </c>
      <c r="DG162" s="1684">
        <v>579.16</v>
      </c>
      <c r="DH162" s="1684">
        <v>3303.22</v>
      </c>
      <c r="DI162" s="1684">
        <v>0</v>
      </c>
      <c r="DJ162" s="1684">
        <v>0</v>
      </c>
      <c r="DK162" s="1684">
        <v>0</v>
      </c>
      <c r="DL162" s="1684">
        <v>0</v>
      </c>
      <c r="DM162" s="1684">
        <v>3303.22</v>
      </c>
      <c r="DN162" s="1684">
        <v>3303.22</v>
      </c>
      <c r="DO162" s="1684">
        <v>0</v>
      </c>
      <c r="DP162" s="1684">
        <v>0</v>
      </c>
      <c r="DQ162" s="1326" t="s">
        <v>2810</v>
      </c>
      <c r="DR162" s="1684">
        <v>0</v>
      </c>
      <c r="DS162" s="1326" t="s">
        <v>2757</v>
      </c>
      <c r="DT162" s="1682"/>
      <c r="DU162" s="1326" t="s">
        <v>2757</v>
      </c>
      <c r="DV162" s="1682"/>
    </row>
    <row r="163" spans="1:126" ht="123.75">
      <c r="A163" s="1326" t="s">
        <v>2157</v>
      </c>
      <c r="B163" s="1326" t="s">
        <v>1702</v>
      </c>
      <c r="C163" s="1326" t="s">
        <v>2576</v>
      </c>
      <c r="D163" s="1326" t="s">
        <v>2577</v>
      </c>
      <c r="E163" s="1326" t="s">
        <v>2395</v>
      </c>
      <c r="F163" s="1326" t="s">
        <v>3153</v>
      </c>
      <c r="G163" s="1326" t="s">
        <v>2563</v>
      </c>
      <c r="H163" s="1326" t="s">
        <v>2572</v>
      </c>
      <c r="I163" s="1326" t="s">
        <v>2573</v>
      </c>
      <c r="J163" s="1326" t="s">
        <v>2411</v>
      </c>
      <c r="K163" s="1685">
        <v>43235</v>
      </c>
      <c r="L163" s="1685">
        <v>43348</v>
      </c>
      <c r="M163" s="1326" t="s">
        <v>2412</v>
      </c>
      <c r="N163" s="1326" t="s">
        <v>2061</v>
      </c>
      <c r="O163" s="1326" t="s">
        <v>3178</v>
      </c>
      <c r="P163" s="1326" t="s">
        <v>2757</v>
      </c>
      <c r="Q163" s="1326" t="s">
        <v>1725</v>
      </c>
      <c r="R163" s="1326" t="s">
        <v>2757</v>
      </c>
      <c r="S163" s="1326" t="s">
        <v>2757</v>
      </c>
      <c r="T163" s="1326" t="s">
        <v>2785</v>
      </c>
      <c r="U163" s="1326" t="s">
        <v>2758</v>
      </c>
      <c r="V163" s="1326" t="s">
        <v>2757</v>
      </c>
      <c r="W163" s="1326" t="s">
        <v>2757</v>
      </c>
      <c r="X163" s="1326" t="s">
        <v>2757</v>
      </c>
      <c r="Y163" s="1326" t="s">
        <v>2757</v>
      </c>
      <c r="Z163" s="1326" t="s">
        <v>2785</v>
      </c>
      <c r="AA163" s="1326" t="s">
        <v>2757</v>
      </c>
      <c r="AB163" s="1326" t="s">
        <v>2757</v>
      </c>
      <c r="AC163" s="1326" t="s">
        <v>2757</v>
      </c>
      <c r="AD163" s="1326" t="s">
        <v>2757</v>
      </c>
      <c r="AE163" s="1326"/>
      <c r="AF163" s="1326" t="s">
        <v>3155</v>
      </c>
      <c r="AG163" s="1326" t="s">
        <v>2986</v>
      </c>
      <c r="AH163" s="1326" t="s">
        <v>3156</v>
      </c>
      <c r="AI163" s="1326" t="s">
        <v>2762</v>
      </c>
      <c r="AJ163" s="1326" t="s">
        <v>2763</v>
      </c>
      <c r="AK163" s="1326" t="s">
        <v>3072</v>
      </c>
      <c r="AL163" s="1326" t="s">
        <v>3157</v>
      </c>
      <c r="AM163" s="1683">
        <v>100</v>
      </c>
      <c r="AN163" s="1326"/>
      <c r="AO163" s="1326"/>
      <c r="AP163" s="1326"/>
      <c r="AQ163" s="1326"/>
      <c r="AR163" s="1326"/>
      <c r="AS163" s="1326"/>
      <c r="AT163" s="1326" t="s">
        <v>2867</v>
      </c>
      <c r="AU163" s="1326" t="s">
        <v>3158</v>
      </c>
      <c r="AV163" s="1326" t="s">
        <v>3021</v>
      </c>
      <c r="AW163" s="1326" t="s">
        <v>3074</v>
      </c>
      <c r="AX163" s="1326" t="s">
        <v>3022</v>
      </c>
      <c r="AY163" s="1326" t="s">
        <v>2769</v>
      </c>
      <c r="AZ163" s="1326" t="s">
        <v>3179</v>
      </c>
      <c r="BA163" s="1326" t="s">
        <v>3180</v>
      </c>
      <c r="BB163" s="1326" t="s">
        <v>2757</v>
      </c>
      <c r="BC163" s="1326" t="s">
        <v>3181</v>
      </c>
      <c r="BD163" s="1326" t="s">
        <v>2773</v>
      </c>
      <c r="BE163" s="1326" t="s">
        <v>3182</v>
      </c>
      <c r="BF163" s="1326" t="s">
        <v>3183</v>
      </c>
      <c r="BG163" s="1326" t="s">
        <v>3184</v>
      </c>
      <c r="BH163" s="1326" t="s">
        <v>2804</v>
      </c>
      <c r="BI163" s="1326" t="s">
        <v>2777</v>
      </c>
      <c r="BJ163" s="1326" t="s">
        <v>3164</v>
      </c>
      <c r="BK163" s="1326" t="s">
        <v>2867</v>
      </c>
      <c r="BL163" s="1326" t="s">
        <v>2757</v>
      </c>
      <c r="BM163" s="1326" t="s">
        <v>2757</v>
      </c>
      <c r="BN163" s="1683">
        <v>0</v>
      </c>
      <c r="BO163" s="1685">
        <v>43348</v>
      </c>
      <c r="BP163" s="1685">
        <v>44079</v>
      </c>
      <c r="BQ163" s="1326" t="s">
        <v>2955</v>
      </c>
      <c r="BR163" s="1685">
        <v>47483</v>
      </c>
      <c r="BS163" s="1326" t="s">
        <v>3024</v>
      </c>
      <c r="BT163" s="1326" t="s">
        <v>3185</v>
      </c>
      <c r="BU163" s="1683">
        <v>30</v>
      </c>
      <c r="BV163" s="1683">
        <v>1873.7</v>
      </c>
      <c r="BW163" s="1685">
        <v>44138</v>
      </c>
      <c r="BX163" s="1682"/>
      <c r="BY163" s="1326" t="s">
        <v>2052</v>
      </c>
      <c r="BZ163" s="1326" t="s">
        <v>2782</v>
      </c>
      <c r="CA163" s="1326" t="s">
        <v>2782</v>
      </c>
      <c r="CB163" s="1326" t="s">
        <v>2783</v>
      </c>
      <c r="CC163" s="1326" t="s">
        <v>2809</v>
      </c>
      <c r="CD163" s="1684">
        <v>9096.9500000000007</v>
      </c>
      <c r="CE163" s="1684">
        <v>9096.9500000000007</v>
      </c>
      <c r="CF163" s="1684">
        <v>6245.66</v>
      </c>
      <c r="CG163" s="1684">
        <v>68.66</v>
      </c>
      <c r="CH163" s="1684">
        <v>2851.29</v>
      </c>
      <c r="CI163" s="1684">
        <v>31.34</v>
      </c>
      <c r="CJ163" s="1684">
        <v>9096.9500000000007</v>
      </c>
      <c r="CK163" s="1684">
        <v>100</v>
      </c>
      <c r="CL163" s="1410" t="s">
        <v>2785</v>
      </c>
      <c r="CM163" s="1686">
        <v>43286</v>
      </c>
      <c r="CN163" s="1400"/>
      <c r="CO163" s="1326"/>
      <c r="CP163" s="1682"/>
      <c r="CQ163" s="1684">
        <v>6245.66</v>
      </c>
      <c r="CR163" s="1684">
        <v>5739.26</v>
      </c>
      <c r="CS163" s="1684">
        <v>506.4</v>
      </c>
      <c r="CT163" s="1326" t="s">
        <v>2785</v>
      </c>
      <c r="CU163" s="1686">
        <v>43326</v>
      </c>
      <c r="CV163" s="1684">
        <v>9096.9500000000007</v>
      </c>
      <c r="CW163" s="1684">
        <v>0</v>
      </c>
      <c r="CX163" s="1684">
        <v>0</v>
      </c>
      <c r="CY163" s="1684">
        <v>0</v>
      </c>
      <c r="CZ163" s="1684">
        <v>2700</v>
      </c>
      <c r="DA163" s="1684">
        <v>4695.8999999999996</v>
      </c>
      <c r="DB163" s="1684">
        <v>0</v>
      </c>
      <c r="DC163" s="1684">
        <v>1701.05</v>
      </c>
      <c r="DD163" s="1684">
        <v>6245.66</v>
      </c>
      <c r="DE163" s="1684">
        <v>6245.66</v>
      </c>
      <c r="DF163" s="1684">
        <v>5739.26</v>
      </c>
      <c r="DG163" s="1684">
        <v>506.4</v>
      </c>
      <c r="DH163" s="1684">
        <v>2851.29</v>
      </c>
      <c r="DI163" s="1684">
        <v>0</v>
      </c>
      <c r="DJ163" s="1684">
        <v>0</v>
      </c>
      <c r="DK163" s="1684">
        <v>0</v>
      </c>
      <c r="DL163" s="1684">
        <v>0</v>
      </c>
      <c r="DM163" s="1684">
        <v>2851.29</v>
      </c>
      <c r="DN163" s="1684">
        <v>2851.29</v>
      </c>
      <c r="DO163" s="1684">
        <v>0</v>
      </c>
      <c r="DP163" s="1684">
        <v>0</v>
      </c>
      <c r="DQ163" s="1326" t="s">
        <v>2810</v>
      </c>
      <c r="DR163" s="1684">
        <v>0</v>
      </c>
      <c r="DS163" s="1326" t="s">
        <v>2757</v>
      </c>
      <c r="DT163" s="1682"/>
      <c r="DU163" s="1326" t="s">
        <v>2757</v>
      </c>
      <c r="DV163" s="1682"/>
    </row>
    <row r="164" spans="1:126" ht="258.75">
      <c r="A164" s="1326" t="s">
        <v>2158</v>
      </c>
      <c r="B164" s="1326" t="s">
        <v>1702</v>
      </c>
      <c r="C164" s="1326" t="s">
        <v>2576</v>
      </c>
      <c r="D164" s="1326" t="s">
        <v>2577</v>
      </c>
      <c r="E164" s="1326" t="s">
        <v>2395</v>
      </c>
      <c r="F164" s="1326" t="s">
        <v>3153</v>
      </c>
      <c r="G164" s="1326" t="s">
        <v>2563</v>
      </c>
      <c r="H164" s="1326" t="s">
        <v>2572</v>
      </c>
      <c r="I164" s="1326" t="s">
        <v>2573</v>
      </c>
      <c r="J164" s="1326" t="s">
        <v>2416</v>
      </c>
      <c r="K164" s="1685">
        <v>43234</v>
      </c>
      <c r="L164" s="1685">
        <v>43362</v>
      </c>
      <c r="M164" s="1326" t="s">
        <v>2417</v>
      </c>
      <c r="N164" s="1326" t="s">
        <v>2061</v>
      </c>
      <c r="O164" s="1326" t="s">
        <v>3186</v>
      </c>
      <c r="P164" s="1326" t="s">
        <v>2757</v>
      </c>
      <c r="Q164" s="1326" t="s">
        <v>1714</v>
      </c>
      <c r="R164" s="1326" t="s">
        <v>2757</v>
      </c>
      <c r="S164" s="1326" t="s">
        <v>2757</v>
      </c>
      <c r="T164" s="1326" t="s">
        <v>2785</v>
      </c>
      <c r="U164" s="1326" t="s">
        <v>2758</v>
      </c>
      <c r="V164" s="1326" t="s">
        <v>2757</v>
      </c>
      <c r="W164" s="1326" t="s">
        <v>2757</v>
      </c>
      <c r="X164" s="1326" t="s">
        <v>2757</v>
      </c>
      <c r="Y164" s="1326" t="s">
        <v>2757</v>
      </c>
      <c r="Z164" s="1326" t="s">
        <v>2785</v>
      </c>
      <c r="AA164" s="1326" t="s">
        <v>2757</v>
      </c>
      <c r="AB164" s="1326" t="s">
        <v>2757</v>
      </c>
      <c r="AC164" s="1326" t="s">
        <v>2757</v>
      </c>
      <c r="AD164" s="1326" t="s">
        <v>2757</v>
      </c>
      <c r="AE164" s="1326"/>
      <c r="AF164" s="1326" t="s">
        <v>3155</v>
      </c>
      <c r="AG164" s="1326" t="s">
        <v>2986</v>
      </c>
      <c r="AH164" s="1326" t="s">
        <v>3156</v>
      </c>
      <c r="AI164" s="1326" t="s">
        <v>2762</v>
      </c>
      <c r="AJ164" s="1326" t="s">
        <v>2763</v>
      </c>
      <c r="AK164" s="1326" t="s">
        <v>3072</v>
      </c>
      <c r="AL164" s="1326" t="s">
        <v>3157</v>
      </c>
      <c r="AM164" s="1683">
        <v>100</v>
      </c>
      <c r="AN164" s="1326"/>
      <c r="AO164" s="1326"/>
      <c r="AP164" s="1326"/>
      <c r="AQ164" s="1326"/>
      <c r="AR164" s="1326"/>
      <c r="AS164" s="1326"/>
      <c r="AT164" s="1326" t="s">
        <v>2867</v>
      </c>
      <c r="AU164" s="1326" t="s">
        <v>3158</v>
      </c>
      <c r="AV164" s="1326" t="s">
        <v>3021</v>
      </c>
      <c r="AW164" s="1326" t="s">
        <v>3074</v>
      </c>
      <c r="AX164" s="1326" t="s">
        <v>3022</v>
      </c>
      <c r="AY164" s="1326" t="s">
        <v>2769</v>
      </c>
      <c r="AZ164" s="1326" t="s">
        <v>3187</v>
      </c>
      <c r="BA164" s="1326" t="s">
        <v>3188</v>
      </c>
      <c r="BB164" s="1326" t="s">
        <v>2757</v>
      </c>
      <c r="BC164" s="1326" t="s">
        <v>2844</v>
      </c>
      <c r="BD164" s="1326" t="s">
        <v>2859</v>
      </c>
      <c r="BE164" s="1326" t="s">
        <v>3189</v>
      </c>
      <c r="BF164" s="1326" t="s">
        <v>3190</v>
      </c>
      <c r="BG164" s="1326" t="s">
        <v>3191</v>
      </c>
      <c r="BH164" s="1326" t="s">
        <v>2804</v>
      </c>
      <c r="BI164" s="1326" t="s">
        <v>2777</v>
      </c>
      <c r="BJ164" s="1326" t="s">
        <v>3164</v>
      </c>
      <c r="BK164" s="1326" t="s">
        <v>2867</v>
      </c>
      <c r="BL164" s="1326" t="s">
        <v>2757</v>
      </c>
      <c r="BM164" s="1326" t="s">
        <v>2757</v>
      </c>
      <c r="BN164" s="1683">
        <v>0</v>
      </c>
      <c r="BO164" s="1685">
        <v>43362</v>
      </c>
      <c r="BP164" s="1685">
        <v>43849</v>
      </c>
      <c r="BQ164" s="1326" t="s">
        <v>2955</v>
      </c>
      <c r="BR164" s="1685">
        <v>47483</v>
      </c>
      <c r="BS164" s="1326" t="s">
        <v>3173</v>
      </c>
      <c r="BT164" s="1326" t="s">
        <v>3192</v>
      </c>
      <c r="BU164" s="1683">
        <v>30</v>
      </c>
      <c r="BV164" s="1683">
        <v>2031.99</v>
      </c>
      <c r="BW164" s="1685">
        <v>43908</v>
      </c>
      <c r="BX164" s="1682"/>
      <c r="BY164" s="1326" t="s">
        <v>2052</v>
      </c>
      <c r="BZ164" s="1326" t="s">
        <v>2782</v>
      </c>
      <c r="CA164" s="1326" t="s">
        <v>2782</v>
      </c>
      <c r="CB164" s="1326" t="s">
        <v>2783</v>
      </c>
      <c r="CC164" s="1326" t="s">
        <v>2809</v>
      </c>
      <c r="CD164" s="1684">
        <v>9832.3700000000008</v>
      </c>
      <c r="CE164" s="1684">
        <v>9832.3700000000008</v>
      </c>
      <c r="CF164" s="1684">
        <v>6773.3</v>
      </c>
      <c r="CG164" s="1684">
        <v>68.89</v>
      </c>
      <c r="CH164" s="1684">
        <v>3059.07</v>
      </c>
      <c r="CI164" s="1684">
        <v>31.11</v>
      </c>
      <c r="CJ164" s="1684">
        <v>9832.3700000000008</v>
      </c>
      <c r="CK164" s="1684">
        <v>100</v>
      </c>
      <c r="CL164" s="1410" t="s">
        <v>2785</v>
      </c>
      <c r="CM164" s="1686">
        <v>43283</v>
      </c>
      <c r="CN164" s="1400"/>
      <c r="CO164" s="1326"/>
      <c r="CP164" s="1682"/>
      <c r="CQ164" s="1684">
        <v>6773.3</v>
      </c>
      <c r="CR164" s="1684">
        <v>6224.11</v>
      </c>
      <c r="CS164" s="1684">
        <v>549.19000000000005</v>
      </c>
      <c r="CT164" s="1326" t="s">
        <v>2785</v>
      </c>
      <c r="CU164" s="1686">
        <v>43336</v>
      </c>
      <c r="CV164" s="1684">
        <v>9832.3700000000008</v>
      </c>
      <c r="CW164" s="1684">
        <v>0</v>
      </c>
      <c r="CX164" s="1684">
        <v>0</v>
      </c>
      <c r="CY164" s="1684">
        <v>0</v>
      </c>
      <c r="CZ164" s="1684">
        <v>0</v>
      </c>
      <c r="DA164" s="1684">
        <v>7993.9</v>
      </c>
      <c r="DB164" s="1684">
        <v>0</v>
      </c>
      <c r="DC164" s="1684">
        <v>1838.47</v>
      </c>
      <c r="DD164" s="1684">
        <v>6773.3</v>
      </c>
      <c r="DE164" s="1684">
        <v>6773.3</v>
      </c>
      <c r="DF164" s="1684">
        <v>6224.11</v>
      </c>
      <c r="DG164" s="1684">
        <v>549.19000000000005</v>
      </c>
      <c r="DH164" s="1684">
        <v>3059.07</v>
      </c>
      <c r="DI164" s="1684">
        <v>0</v>
      </c>
      <c r="DJ164" s="1684">
        <v>0</v>
      </c>
      <c r="DK164" s="1684">
        <v>0</v>
      </c>
      <c r="DL164" s="1684">
        <v>0</v>
      </c>
      <c r="DM164" s="1684">
        <v>3059.07</v>
      </c>
      <c r="DN164" s="1684">
        <v>3059.07</v>
      </c>
      <c r="DO164" s="1684">
        <v>0</v>
      </c>
      <c r="DP164" s="1684">
        <v>0</v>
      </c>
      <c r="DQ164" s="1326" t="s">
        <v>2850</v>
      </c>
      <c r="DR164" s="1684">
        <v>0</v>
      </c>
      <c r="DS164" s="1326" t="s">
        <v>2757</v>
      </c>
      <c r="DT164" s="1682"/>
      <c r="DU164" s="1326" t="s">
        <v>2757</v>
      </c>
      <c r="DV164" s="1682"/>
    </row>
    <row r="165" spans="1:126" ht="101.25">
      <c r="A165" s="1326" t="s">
        <v>2159</v>
      </c>
      <c r="B165" s="1326" t="s">
        <v>1702</v>
      </c>
      <c r="C165" s="1326" t="s">
        <v>2576</v>
      </c>
      <c r="D165" s="1326" t="s">
        <v>2577</v>
      </c>
      <c r="E165" s="1326" t="s">
        <v>2395</v>
      </c>
      <c r="F165" s="1326" t="s">
        <v>3153</v>
      </c>
      <c r="G165" s="1326" t="s">
        <v>2563</v>
      </c>
      <c r="H165" s="1326" t="s">
        <v>2572</v>
      </c>
      <c r="I165" s="1326" t="s">
        <v>2573</v>
      </c>
      <c r="J165" s="1326" t="s">
        <v>3193</v>
      </c>
      <c r="K165" s="1685">
        <v>43235</v>
      </c>
      <c r="L165" s="1685">
        <v>43348</v>
      </c>
      <c r="M165" s="1326" t="s">
        <v>3194</v>
      </c>
      <c r="N165" s="1326" t="s">
        <v>2137</v>
      </c>
      <c r="O165" s="1326" t="s">
        <v>3195</v>
      </c>
      <c r="P165" s="1326" t="s">
        <v>2757</v>
      </c>
      <c r="Q165" s="1326" t="s">
        <v>2074</v>
      </c>
      <c r="R165" s="1326" t="s">
        <v>2757</v>
      </c>
      <c r="S165" s="1326" t="s">
        <v>2757</v>
      </c>
      <c r="T165" s="1326" t="s">
        <v>2785</v>
      </c>
      <c r="U165" s="1326" t="s">
        <v>2758</v>
      </c>
      <c r="V165" s="1326" t="s">
        <v>2757</v>
      </c>
      <c r="W165" s="1326" t="s">
        <v>2757</v>
      </c>
      <c r="X165" s="1326" t="s">
        <v>2757</v>
      </c>
      <c r="Y165" s="1326" t="s">
        <v>2757</v>
      </c>
      <c r="Z165" s="1326" t="s">
        <v>2785</v>
      </c>
      <c r="AA165" s="1326" t="s">
        <v>2757</v>
      </c>
      <c r="AB165" s="1326" t="s">
        <v>2757</v>
      </c>
      <c r="AC165" s="1326" t="s">
        <v>2757</v>
      </c>
      <c r="AD165" s="1326" t="s">
        <v>2757</v>
      </c>
      <c r="AE165" s="1326"/>
      <c r="AF165" s="1326" t="s">
        <v>3155</v>
      </c>
      <c r="AG165" s="1326" t="s">
        <v>2986</v>
      </c>
      <c r="AH165" s="1326" t="s">
        <v>2951</v>
      </c>
      <c r="AI165" s="1326" t="s">
        <v>2762</v>
      </c>
      <c r="AJ165" s="1326" t="s">
        <v>2763</v>
      </c>
      <c r="AK165" s="1326" t="s">
        <v>3072</v>
      </c>
      <c r="AL165" s="1326" t="s">
        <v>3157</v>
      </c>
      <c r="AM165" s="1683">
        <v>100</v>
      </c>
      <c r="AN165" s="1326"/>
      <c r="AO165" s="1326"/>
      <c r="AP165" s="1326"/>
      <c r="AQ165" s="1326"/>
      <c r="AR165" s="1326"/>
      <c r="AS165" s="1326"/>
      <c r="AT165" s="1326" t="s">
        <v>2867</v>
      </c>
      <c r="AU165" s="1326" t="s">
        <v>3158</v>
      </c>
      <c r="AV165" s="1326" t="s">
        <v>3021</v>
      </c>
      <c r="AW165" s="1326" t="s">
        <v>3074</v>
      </c>
      <c r="AX165" s="1326" t="s">
        <v>3022</v>
      </c>
      <c r="AY165" s="1326" t="s">
        <v>2769</v>
      </c>
      <c r="AZ165" s="1326" t="s">
        <v>3168</v>
      </c>
      <c r="BA165" s="1326" t="s">
        <v>3169</v>
      </c>
      <c r="BB165" s="1326" t="s">
        <v>2757</v>
      </c>
      <c r="BC165" s="1326" t="s">
        <v>2800</v>
      </c>
      <c r="BD165" s="1326" t="s">
        <v>2773</v>
      </c>
      <c r="BE165" s="1326" t="s">
        <v>3196</v>
      </c>
      <c r="BF165" s="1326" t="s">
        <v>3197</v>
      </c>
      <c r="BG165" s="1326" t="s">
        <v>3172</v>
      </c>
      <c r="BH165" s="1326" t="s">
        <v>2536</v>
      </c>
      <c r="BI165" s="1326" t="s">
        <v>2777</v>
      </c>
      <c r="BJ165" s="1326" t="s">
        <v>3164</v>
      </c>
      <c r="BK165" s="1326" t="s">
        <v>2867</v>
      </c>
      <c r="BL165" s="1326" t="s">
        <v>2757</v>
      </c>
      <c r="BM165" s="1326" t="s">
        <v>2757</v>
      </c>
      <c r="BN165" s="1683">
        <v>0</v>
      </c>
      <c r="BO165" s="1685">
        <v>43348</v>
      </c>
      <c r="BP165" s="1685">
        <v>43525</v>
      </c>
      <c r="BQ165" s="1326" t="s">
        <v>2955</v>
      </c>
      <c r="BR165" s="1685">
        <v>47483</v>
      </c>
      <c r="BS165" s="1326" t="s">
        <v>3173</v>
      </c>
      <c r="BT165" s="1326" t="s">
        <v>3488</v>
      </c>
      <c r="BU165" s="1683">
        <v>30</v>
      </c>
      <c r="BV165" s="1683">
        <v>780.8</v>
      </c>
      <c r="BW165" s="1685">
        <v>43585</v>
      </c>
      <c r="BX165" s="1685">
        <v>43551</v>
      </c>
      <c r="BY165" s="1326" t="s">
        <v>2052</v>
      </c>
      <c r="BZ165" s="1326" t="s">
        <v>2782</v>
      </c>
      <c r="CA165" s="1326" t="s">
        <v>2782</v>
      </c>
      <c r="CB165" s="1326" t="s">
        <v>2783</v>
      </c>
      <c r="CC165" s="1326" t="s">
        <v>2913</v>
      </c>
      <c r="CD165" s="1684">
        <v>3799.5</v>
      </c>
      <c r="CE165" s="1684">
        <v>3799.5</v>
      </c>
      <c r="CF165" s="1684">
        <v>2602.66</v>
      </c>
      <c r="CG165" s="1684">
        <v>68.5</v>
      </c>
      <c r="CH165" s="1684">
        <v>1196.8399999999999</v>
      </c>
      <c r="CI165" s="1684">
        <v>31.5</v>
      </c>
      <c r="CJ165" s="1684">
        <v>3799.5</v>
      </c>
      <c r="CK165" s="1684">
        <v>100</v>
      </c>
      <c r="CL165" s="1410" t="s">
        <v>2785</v>
      </c>
      <c r="CM165" s="1686">
        <v>43290</v>
      </c>
      <c r="CN165" s="1400"/>
      <c r="CO165" s="1326"/>
      <c r="CP165" s="1682"/>
      <c r="CQ165" s="1684">
        <v>2602.66</v>
      </c>
      <c r="CR165" s="1684">
        <v>2391.63</v>
      </c>
      <c r="CS165" s="1684">
        <v>211.03</v>
      </c>
      <c r="CT165" s="1326" t="s">
        <v>2785</v>
      </c>
      <c r="CU165" s="1686">
        <v>43326</v>
      </c>
      <c r="CV165" s="1684">
        <v>3799.5</v>
      </c>
      <c r="CW165" s="1684">
        <v>0</v>
      </c>
      <c r="CX165" s="1684">
        <v>0</v>
      </c>
      <c r="CY165" s="1684">
        <v>0</v>
      </c>
      <c r="CZ165" s="1684">
        <v>0</v>
      </c>
      <c r="DA165" s="1684">
        <v>3039.6</v>
      </c>
      <c r="DB165" s="1684">
        <v>0</v>
      </c>
      <c r="DC165" s="1684">
        <v>759.9</v>
      </c>
      <c r="DD165" s="1684">
        <v>2602.66</v>
      </c>
      <c r="DE165" s="1684">
        <v>2602.66</v>
      </c>
      <c r="DF165" s="1684">
        <v>2391.63</v>
      </c>
      <c r="DG165" s="1684">
        <v>211.03</v>
      </c>
      <c r="DH165" s="1684">
        <v>1196.8399999999999</v>
      </c>
      <c r="DI165" s="1684">
        <v>0</v>
      </c>
      <c r="DJ165" s="1684">
        <v>0</v>
      </c>
      <c r="DK165" s="1684">
        <v>0</v>
      </c>
      <c r="DL165" s="1684">
        <v>0</v>
      </c>
      <c r="DM165" s="1684">
        <v>1196.8399999999999</v>
      </c>
      <c r="DN165" s="1684">
        <v>1196.8399999999999</v>
      </c>
      <c r="DO165" s="1684">
        <v>0</v>
      </c>
      <c r="DP165" s="1684">
        <v>0</v>
      </c>
      <c r="DQ165" s="1326" t="s">
        <v>2810</v>
      </c>
      <c r="DR165" s="1684">
        <v>0</v>
      </c>
      <c r="DS165" s="1326" t="s">
        <v>2757</v>
      </c>
      <c r="DT165" s="1682"/>
      <c r="DU165" s="1326" t="s">
        <v>2757</v>
      </c>
      <c r="DV165" s="1682"/>
    </row>
    <row r="166" spans="1:126" ht="180">
      <c r="A166" s="1326" t="s">
        <v>2161</v>
      </c>
      <c r="B166" s="1326" t="s">
        <v>1702</v>
      </c>
      <c r="C166" s="1326" t="s">
        <v>2576</v>
      </c>
      <c r="D166" s="1326" t="s">
        <v>2577</v>
      </c>
      <c r="E166" s="1326" t="s">
        <v>2395</v>
      </c>
      <c r="F166" s="1326" t="s">
        <v>3153</v>
      </c>
      <c r="G166" s="1326" t="s">
        <v>2563</v>
      </c>
      <c r="H166" s="1326" t="s">
        <v>2572</v>
      </c>
      <c r="I166" s="1326" t="s">
        <v>2573</v>
      </c>
      <c r="J166" s="1326" t="s">
        <v>3408</v>
      </c>
      <c r="K166" s="1685">
        <v>43235</v>
      </c>
      <c r="L166" s="1685">
        <v>43396</v>
      </c>
      <c r="M166" s="1326" t="s">
        <v>3409</v>
      </c>
      <c r="N166" s="1326" t="s">
        <v>2061</v>
      </c>
      <c r="O166" s="1326" t="s">
        <v>3489</v>
      </c>
      <c r="P166" s="1326" t="s">
        <v>2757</v>
      </c>
      <c r="Q166" s="1326" t="s">
        <v>1724</v>
      </c>
      <c r="R166" s="1326" t="s">
        <v>2757</v>
      </c>
      <c r="S166" s="1326" t="s">
        <v>2757</v>
      </c>
      <c r="T166" s="1326" t="s">
        <v>2785</v>
      </c>
      <c r="U166" s="1326" t="s">
        <v>2758</v>
      </c>
      <c r="V166" s="1326" t="s">
        <v>2757</v>
      </c>
      <c r="W166" s="1326" t="s">
        <v>2757</v>
      </c>
      <c r="X166" s="1326" t="s">
        <v>2757</v>
      </c>
      <c r="Y166" s="1326" t="s">
        <v>2757</v>
      </c>
      <c r="Z166" s="1326" t="s">
        <v>2785</v>
      </c>
      <c r="AA166" s="1326" t="s">
        <v>2757</v>
      </c>
      <c r="AB166" s="1326" t="s">
        <v>2757</v>
      </c>
      <c r="AC166" s="1326" t="s">
        <v>2757</v>
      </c>
      <c r="AD166" s="1326" t="s">
        <v>2757</v>
      </c>
      <c r="AE166" s="1326"/>
      <c r="AF166" s="1326" t="s">
        <v>3155</v>
      </c>
      <c r="AG166" s="1326" t="s">
        <v>2986</v>
      </c>
      <c r="AH166" s="1326" t="s">
        <v>2951</v>
      </c>
      <c r="AI166" s="1326" t="s">
        <v>2762</v>
      </c>
      <c r="AJ166" s="1326" t="s">
        <v>2763</v>
      </c>
      <c r="AK166" s="1326" t="s">
        <v>3072</v>
      </c>
      <c r="AL166" s="1326" t="s">
        <v>3157</v>
      </c>
      <c r="AM166" s="1683">
        <v>100</v>
      </c>
      <c r="AN166" s="1326"/>
      <c r="AO166" s="1326"/>
      <c r="AP166" s="1326"/>
      <c r="AQ166" s="1326"/>
      <c r="AR166" s="1326"/>
      <c r="AS166" s="1326"/>
      <c r="AT166" s="1326" t="s">
        <v>2867</v>
      </c>
      <c r="AU166" s="1326" t="s">
        <v>3158</v>
      </c>
      <c r="AV166" s="1326" t="s">
        <v>3021</v>
      </c>
      <c r="AW166" s="1326" t="s">
        <v>3074</v>
      </c>
      <c r="AX166" s="1326" t="s">
        <v>3022</v>
      </c>
      <c r="AY166" s="1326" t="s">
        <v>2769</v>
      </c>
      <c r="AZ166" s="1326" t="s">
        <v>3199</v>
      </c>
      <c r="BA166" s="1326" t="s">
        <v>3200</v>
      </c>
      <c r="BB166" s="1326" t="s">
        <v>2757</v>
      </c>
      <c r="BC166" s="1326" t="s">
        <v>2800</v>
      </c>
      <c r="BD166" s="1326" t="s">
        <v>2773</v>
      </c>
      <c r="BE166" s="1326" t="s">
        <v>3490</v>
      </c>
      <c r="BF166" s="1326" t="s">
        <v>3491</v>
      </c>
      <c r="BG166" s="1326" t="s">
        <v>3203</v>
      </c>
      <c r="BH166" s="1326" t="s">
        <v>2024</v>
      </c>
      <c r="BI166" s="1326" t="s">
        <v>2777</v>
      </c>
      <c r="BJ166" s="1326" t="s">
        <v>3164</v>
      </c>
      <c r="BK166" s="1326" t="s">
        <v>2867</v>
      </c>
      <c r="BL166" s="1326" t="s">
        <v>2757</v>
      </c>
      <c r="BM166" s="1326" t="s">
        <v>2757</v>
      </c>
      <c r="BN166" s="1683">
        <v>0</v>
      </c>
      <c r="BO166" s="1685">
        <v>43396</v>
      </c>
      <c r="BP166" s="1685">
        <v>44127</v>
      </c>
      <c r="BQ166" s="1326" t="s">
        <v>2955</v>
      </c>
      <c r="BR166" s="1685">
        <v>47483</v>
      </c>
      <c r="BS166" s="1326" t="s">
        <v>2817</v>
      </c>
      <c r="BT166" s="1326" t="s">
        <v>3492</v>
      </c>
      <c r="BU166" s="1683">
        <v>30</v>
      </c>
      <c r="BV166" s="1683">
        <v>1139.6500000000001</v>
      </c>
      <c r="BW166" s="1685">
        <v>44185</v>
      </c>
      <c r="BX166" s="1682"/>
      <c r="BY166" s="1326" t="s">
        <v>2052</v>
      </c>
      <c r="BZ166" s="1326" t="s">
        <v>2782</v>
      </c>
      <c r="CA166" s="1326" t="s">
        <v>2782</v>
      </c>
      <c r="CB166" s="1326" t="s">
        <v>2782</v>
      </c>
      <c r="CC166" s="1326" t="s">
        <v>2913</v>
      </c>
      <c r="CD166" s="1684">
        <v>5628.83</v>
      </c>
      <c r="CE166" s="1684">
        <v>5628.83</v>
      </c>
      <c r="CF166" s="1684">
        <v>3798.83</v>
      </c>
      <c r="CG166" s="1684">
        <v>67.489999999999995</v>
      </c>
      <c r="CH166" s="1684">
        <v>1830</v>
      </c>
      <c r="CI166" s="1684">
        <v>32.51</v>
      </c>
      <c r="CJ166" s="1684">
        <v>5628.83</v>
      </c>
      <c r="CK166" s="1684">
        <v>100</v>
      </c>
      <c r="CL166" s="1410" t="s">
        <v>2785</v>
      </c>
      <c r="CM166" s="1686">
        <v>43283</v>
      </c>
      <c r="CN166" s="1400"/>
      <c r="CO166" s="1326"/>
      <c r="CP166" s="1682"/>
      <c r="CQ166" s="1684">
        <v>3798.83</v>
      </c>
      <c r="CR166" s="1684">
        <v>3490.82</v>
      </c>
      <c r="CS166" s="1684">
        <v>308.01</v>
      </c>
      <c r="CT166" s="1326" t="s">
        <v>2785</v>
      </c>
      <c r="CU166" s="1686">
        <v>43336</v>
      </c>
      <c r="CV166" s="1684">
        <v>5628.83</v>
      </c>
      <c r="CW166" s="1684">
        <v>0</v>
      </c>
      <c r="CX166" s="1684">
        <v>0</v>
      </c>
      <c r="CY166" s="1684">
        <v>0</v>
      </c>
      <c r="CZ166" s="1684">
        <v>0</v>
      </c>
      <c r="DA166" s="1684">
        <v>4323.0600000000004</v>
      </c>
      <c r="DB166" s="1684">
        <v>180</v>
      </c>
      <c r="DC166" s="1684">
        <v>1125.77</v>
      </c>
      <c r="DD166" s="1684">
        <v>3798.83</v>
      </c>
      <c r="DE166" s="1684">
        <v>3798.83</v>
      </c>
      <c r="DF166" s="1684">
        <v>3490.82</v>
      </c>
      <c r="DG166" s="1684">
        <v>308.01</v>
      </c>
      <c r="DH166" s="1684">
        <v>1830</v>
      </c>
      <c r="DI166" s="1684">
        <v>0</v>
      </c>
      <c r="DJ166" s="1684">
        <v>0</v>
      </c>
      <c r="DK166" s="1684">
        <v>0</v>
      </c>
      <c r="DL166" s="1684">
        <v>0</v>
      </c>
      <c r="DM166" s="1684">
        <v>1830</v>
      </c>
      <c r="DN166" s="1684">
        <v>1830</v>
      </c>
      <c r="DO166" s="1684">
        <v>0</v>
      </c>
      <c r="DP166" s="1684">
        <v>0</v>
      </c>
      <c r="DQ166" s="1326" t="s">
        <v>2810</v>
      </c>
      <c r="DR166" s="1684">
        <v>0</v>
      </c>
      <c r="DS166" s="1326" t="s">
        <v>2757</v>
      </c>
      <c r="DT166" s="1682"/>
      <c r="DU166" s="1326" t="s">
        <v>2757</v>
      </c>
      <c r="DV166" s="1682"/>
    </row>
    <row r="167" spans="1:126" ht="123.75">
      <c r="A167" s="1326" t="s">
        <v>2162</v>
      </c>
      <c r="B167" s="1326" t="s">
        <v>1702</v>
      </c>
      <c r="C167" s="1326" t="s">
        <v>2576</v>
      </c>
      <c r="D167" s="1326" t="s">
        <v>2577</v>
      </c>
      <c r="E167" s="1326" t="s">
        <v>2395</v>
      </c>
      <c r="F167" s="1326" t="s">
        <v>3153</v>
      </c>
      <c r="G167" s="1326" t="s">
        <v>2563</v>
      </c>
      <c r="H167" s="1326" t="s">
        <v>2572</v>
      </c>
      <c r="I167" s="1326" t="s">
        <v>2573</v>
      </c>
      <c r="J167" s="1326" t="s">
        <v>2421</v>
      </c>
      <c r="K167" s="1685">
        <v>43235</v>
      </c>
      <c r="L167" s="1685">
        <v>43348</v>
      </c>
      <c r="M167" s="1326" t="s">
        <v>2422</v>
      </c>
      <c r="N167" s="1326" t="s">
        <v>2061</v>
      </c>
      <c r="O167" s="1326" t="s">
        <v>3198</v>
      </c>
      <c r="P167" s="1326" t="s">
        <v>2757</v>
      </c>
      <c r="Q167" s="1326" t="s">
        <v>1710</v>
      </c>
      <c r="R167" s="1326" t="s">
        <v>2757</v>
      </c>
      <c r="S167" s="1326" t="s">
        <v>2757</v>
      </c>
      <c r="T167" s="1326" t="s">
        <v>2785</v>
      </c>
      <c r="U167" s="1326" t="s">
        <v>2758</v>
      </c>
      <c r="V167" s="1326" t="s">
        <v>2757</v>
      </c>
      <c r="W167" s="1326" t="s">
        <v>2757</v>
      </c>
      <c r="X167" s="1326" t="s">
        <v>2757</v>
      </c>
      <c r="Y167" s="1326" t="s">
        <v>2757</v>
      </c>
      <c r="Z167" s="1326" t="s">
        <v>2785</v>
      </c>
      <c r="AA167" s="1326" t="s">
        <v>2757</v>
      </c>
      <c r="AB167" s="1326" t="s">
        <v>2757</v>
      </c>
      <c r="AC167" s="1326" t="s">
        <v>2757</v>
      </c>
      <c r="AD167" s="1326" t="s">
        <v>2757</v>
      </c>
      <c r="AE167" s="1326"/>
      <c r="AF167" s="1326" t="s">
        <v>3155</v>
      </c>
      <c r="AG167" s="1326" t="s">
        <v>2986</v>
      </c>
      <c r="AH167" s="1326" t="s">
        <v>2951</v>
      </c>
      <c r="AI167" s="1326" t="s">
        <v>2762</v>
      </c>
      <c r="AJ167" s="1326" t="s">
        <v>2763</v>
      </c>
      <c r="AK167" s="1326" t="s">
        <v>3072</v>
      </c>
      <c r="AL167" s="1326" t="s">
        <v>3157</v>
      </c>
      <c r="AM167" s="1683">
        <v>100</v>
      </c>
      <c r="AN167" s="1326"/>
      <c r="AO167" s="1326"/>
      <c r="AP167" s="1326"/>
      <c r="AQ167" s="1326"/>
      <c r="AR167" s="1326"/>
      <c r="AS167" s="1326"/>
      <c r="AT167" s="1326" t="s">
        <v>2867</v>
      </c>
      <c r="AU167" s="1326" t="s">
        <v>3158</v>
      </c>
      <c r="AV167" s="1326" t="s">
        <v>3021</v>
      </c>
      <c r="AW167" s="1326" t="s">
        <v>3074</v>
      </c>
      <c r="AX167" s="1326" t="s">
        <v>3022</v>
      </c>
      <c r="AY167" s="1326" t="s">
        <v>2769</v>
      </c>
      <c r="AZ167" s="1326" t="s">
        <v>3199</v>
      </c>
      <c r="BA167" s="1326" t="s">
        <v>3200</v>
      </c>
      <c r="BB167" s="1326" t="s">
        <v>2757</v>
      </c>
      <c r="BC167" s="1326" t="s">
        <v>2800</v>
      </c>
      <c r="BD167" s="1326" t="s">
        <v>2773</v>
      </c>
      <c r="BE167" s="1326" t="s">
        <v>3201</v>
      </c>
      <c r="BF167" s="1326" t="s">
        <v>3202</v>
      </c>
      <c r="BG167" s="1326" t="s">
        <v>3203</v>
      </c>
      <c r="BH167" s="1326" t="s">
        <v>2024</v>
      </c>
      <c r="BI167" s="1326" t="s">
        <v>2777</v>
      </c>
      <c r="BJ167" s="1326" t="s">
        <v>3164</v>
      </c>
      <c r="BK167" s="1326" t="s">
        <v>2867</v>
      </c>
      <c r="BL167" s="1326" t="s">
        <v>2757</v>
      </c>
      <c r="BM167" s="1326" t="s">
        <v>2757</v>
      </c>
      <c r="BN167" s="1683">
        <v>0</v>
      </c>
      <c r="BO167" s="1685">
        <v>43348</v>
      </c>
      <c r="BP167" s="1685">
        <v>43713</v>
      </c>
      <c r="BQ167" s="1326" t="s">
        <v>2955</v>
      </c>
      <c r="BR167" s="1685">
        <v>47483</v>
      </c>
      <c r="BS167" s="1326" t="s">
        <v>2817</v>
      </c>
      <c r="BT167" s="1326" t="s">
        <v>3204</v>
      </c>
      <c r="BU167" s="1683">
        <v>30</v>
      </c>
      <c r="BV167" s="1683">
        <v>2396.69</v>
      </c>
      <c r="BW167" s="1685">
        <v>43773</v>
      </c>
      <c r="BX167" s="1682"/>
      <c r="BY167" s="1326" t="s">
        <v>2052</v>
      </c>
      <c r="BZ167" s="1326" t="s">
        <v>2782</v>
      </c>
      <c r="CA167" s="1326" t="s">
        <v>2782</v>
      </c>
      <c r="CB167" s="1326" t="s">
        <v>2783</v>
      </c>
      <c r="CC167" s="1326" t="s">
        <v>2913</v>
      </c>
      <c r="CD167" s="1684">
        <v>12926.88</v>
      </c>
      <c r="CE167" s="1684">
        <v>12926.88</v>
      </c>
      <c r="CF167" s="1684">
        <v>7988.96</v>
      </c>
      <c r="CG167" s="1684">
        <v>61.8</v>
      </c>
      <c r="CH167" s="1684">
        <v>4937.92</v>
      </c>
      <c r="CI167" s="1684">
        <v>38.200000000000003</v>
      </c>
      <c r="CJ167" s="1684">
        <v>12926.88</v>
      </c>
      <c r="CK167" s="1684">
        <v>100</v>
      </c>
      <c r="CL167" s="1410" t="s">
        <v>2785</v>
      </c>
      <c r="CM167" s="1686">
        <v>43290</v>
      </c>
      <c r="CN167" s="1400"/>
      <c r="CO167" s="1326"/>
      <c r="CP167" s="1682"/>
      <c r="CQ167" s="1684">
        <v>7988.96</v>
      </c>
      <c r="CR167" s="1684">
        <v>7341.21</v>
      </c>
      <c r="CS167" s="1684">
        <v>647.75</v>
      </c>
      <c r="CT167" s="1326" t="s">
        <v>2785</v>
      </c>
      <c r="CU167" s="1686">
        <v>43326</v>
      </c>
      <c r="CV167" s="1684">
        <v>12926.88</v>
      </c>
      <c r="CW167" s="1684">
        <v>0</v>
      </c>
      <c r="CX167" s="1684">
        <v>0</v>
      </c>
      <c r="CY167" s="1684">
        <v>0</v>
      </c>
      <c r="CZ167" s="1684">
        <v>3770.96</v>
      </c>
      <c r="DA167" s="1684">
        <v>6570.92</v>
      </c>
      <c r="DB167" s="1684">
        <v>0</v>
      </c>
      <c r="DC167" s="1684">
        <v>2585</v>
      </c>
      <c r="DD167" s="1684">
        <v>7988.96</v>
      </c>
      <c r="DE167" s="1684">
        <v>7988.96</v>
      </c>
      <c r="DF167" s="1684">
        <v>7341.21</v>
      </c>
      <c r="DG167" s="1684">
        <v>647.75</v>
      </c>
      <c r="DH167" s="1684">
        <v>4937.92</v>
      </c>
      <c r="DI167" s="1684">
        <v>0</v>
      </c>
      <c r="DJ167" s="1684">
        <v>0</v>
      </c>
      <c r="DK167" s="1684">
        <v>0</v>
      </c>
      <c r="DL167" s="1684">
        <v>0</v>
      </c>
      <c r="DM167" s="1684">
        <v>4937.92</v>
      </c>
      <c r="DN167" s="1684">
        <v>4937.92</v>
      </c>
      <c r="DO167" s="1684">
        <v>0</v>
      </c>
      <c r="DP167" s="1684">
        <v>0</v>
      </c>
      <c r="DQ167" s="1326" t="s">
        <v>2810</v>
      </c>
      <c r="DR167" s="1684">
        <v>0</v>
      </c>
      <c r="DS167" s="1326" t="s">
        <v>2757</v>
      </c>
      <c r="DT167" s="1682"/>
      <c r="DU167" s="1326" t="s">
        <v>2757</v>
      </c>
      <c r="DV167" s="1682"/>
    </row>
    <row r="168" spans="1:126" ht="225">
      <c r="A168" s="1326" t="s">
        <v>2163</v>
      </c>
      <c r="B168" s="1326" t="s">
        <v>1702</v>
      </c>
      <c r="C168" s="1326" t="s">
        <v>2576</v>
      </c>
      <c r="D168" s="1326" t="s">
        <v>2577</v>
      </c>
      <c r="E168" s="1326" t="s">
        <v>2395</v>
      </c>
      <c r="F168" s="1326" t="s">
        <v>3153</v>
      </c>
      <c r="G168" s="1326" t="s">
        <v>2563</v>
      </c>
      <c r="H168" s="1326" t="s">
        <v>2572</v>
      </c>
      <c r="I168" s="1326" t="s">
        <v>2573</v>
      </c>
      <c r="J168" s="1326" t="s">
        <v>2426</v>
      </c>
      <c r="K168" s="1685">
        <v>43235</v>
      </c>
      <c r="L168" s="1685">
        <v>43348</v>
      </c>
      <c r="M168" s="1326" t="s">
        <v>2427</v>
      </c>
      <c r="N168" s="1326" t="s">
        <v>2061</v>
      </c>
      <c r="O168" s="1326" t="s">
        <v>3205</v>
      </c>
      <c r="P168" s="1326" t="s">
        <v>2757</v>
      </c>
      <c r="Q168" s="1326" t="s">
        <v>1725</v>
      </c>
      <c r="R168" s="1326" t="s">
        <v>2757</v>
      </c>
      <c r="S168" s="1326" t="s">
        <v>2757</v>
      </c>
      <c r="T168" s="1326" t="s">
        <v>2785</v>
      </c>
      <c r="U168" s="1326" t="s">
        <v>2758</v>
      </c>
      <c r="V168" s="1326" t="s">
        <v>2757</v>
      </c>
      <c r="W168" s="1326" t="s">
        <v>2757</v>
      </c>
      <c r="X168" s="1326" t="s">
        <v>2757</v>
      </c>
      <c r="Y168" s="1326" t="s">
        <v>2757</v>
      </c>
      <c r="Z168" s="1326" t="s">
        <v>2785</v>
      </c>
      <c r="AA168" s="1326" t="s">
        <v>2757</v>
      </c>
      <c r="AB168" s="1326" t="s">
        <v>2757</v>
      </c>
      <c r="AC168" s="1326" t="s">
        <v>2757</v>
      </c>
      <c r="AD168" s="1326" t="s">
        <v>2757</v>
      </c>
      <c r="AE168" s="1326"/>
      <c r="AF168" s="1326" t="s">
        <v>3155</v>
      </c>
      <c r="AG168" s="1326" t="s">
        <v>2986</v>
      </c>
      <c r="AH168" s="1326" t="s">
        <v>3156</v>
      </c>
      <c r="AI168" s="1326" t="s">
        <v>2762</v>
      </c>
      <c r="AJ168" s="1326" t="s">
        <v>2763</v>
      </c>
      <c r="AK168" s="1326" t="s">
        <v>3072</v>
      </c>
      <c r="AL168" s="1326" t="s">
        <v>3157</v>
      </c>
      <c r="AM168" s="1683">
        <v>100</v>
      </c>
      <c r="AN168" s="1326"/>
      <c r="AO168" s="1326"/>
      <c r="AP168" s="1326"/>
      <c r="AQ168" s="1326"/>
      <c r="AR168" s="1326"/>
      <c r="AS168" s="1326"/>
      <c r="AT168" s="1326" t="s">
        <v>2867</v>
      </c>
      <c r="AU168" s="1326" t="s">
        <v>3158</v>
      </c>
      <c r="AV168" s="1326" t="s">
        <v>3021</v>
      </c>
      <c r="AW168" s="1326" t="s">
        <v>3074</v>
      </c>
      <c r="AX168" s="1326" t="s">
        <v>3022</v>
      </c>
      <c r="AY168" s="1326" t="s">
        <v>2769</v>
      </c>
      <c r="AZ168" s="1326" t="s">
        <v>3206</v>
      </c>
      <c r="BA168" s="1326" t="s">
        <v>3207</v>
      </c>
      <c r="BB168" s="1326" t="s">
        <v>2757</v>
      </c>
      <c r="BC168" s="1326" t="s">
        <v>3208</v>
      </c>
      <c r="BD168" s="1326" t="s">
        <v>2859</v>
      </c>
      <c r="BE168" s="1326" t="s">
        <v>3209</v>
      </c>
      <c r="BF168" s="1326" t="s">
        <v>3210</v>
      </c>
      <c r="BG168" s="1326" t="s">
        <v>3211</v>
      </c>
      <c r="BH168" s="1326" t="s">
        <v>2024</v>
      </c>
      <c r="BI168" s="1326" t="s">
        <v>2777</v>
      </c>
      <c r="BJ168" s="1326" t="s">
        <v>3164</v>
      </c>
      <c r="BK168" s="1326" t="s">
        <v>2867</v>
      </c>
      <c r="BL168" s="1326" t="s">
        <v>2757</v>
      </c>
      <c r="BM168" s="1326" t="s">
        <v>2757</v>
      </c>
      <c r="BN168" s="1683">
        <v>0</v>
      </c>
      <c r="BO168" s="1685">
        <v>43348</v>
      </c>
      <c r="BP168" s="1685">
        <v>44079</v>
      </c>
      <c r="BQ168" s="1326" t="s">
        <v>2779</v>
      </c>
      <c r="BR168" s="1685">
        <v>47483</v>
      </c>
      <c r="BS168" s="1326" t="s">
        <v>3011</v>
      </c>
      <c r="BT168" s="1326" t="s">
        <v>3212</v>
      </c>
      <c r="BU168" s="1683">
        <v>30</v>
      </c>
      <c r="BV168" s="1683">
        <v>8171.55</v>
      </c>
      <c r="BW168" s="1685">
        <v>44138</v>
      </c>
      <c r="BX168" s="1682"/>
      <c r="BY168" s="1326" t="s">
        <v>2052</v>
      </c>
      <c r="BZ168" s="1326" t="s">
        <v>2782</v>
      </c>
      <c r="CA168" s="1326" t="s">
        <v>2782</v>
      </c>
      <c r="CB168" s="1326" t="s">
        <v>2782</v>
      </c>
      <c r="CC168" s="1326" t="s">
        <v>2809</v>
      </c>
      <c r="CD168" s="1684">
        <v>39491.67</v>
      </c>
      <c r="CE168" s="1684">
        <v>39491.67</v>
      </c>
      <c r="CF168" s="1684">
        <v>27238.5</v>
      </c>
      <c r="CG168" s="1684">
        <v>68.97</v>
      </c>
      <c r="CH168" s="1684">
        <v>12253.17</v>
      </c>
      <c r="CI168" s="1684">
        <v>31.03</v>
      </c>
      <c r="CJ168" s="1684">
        <v>39491.67</v>
      </c>
      <c r="CK168" s="1684">
        <v>100</v>
      </c>
      <c r="CL168" s="1410" t="s">
        <v>2785</v>
      </c>
      <c r="CM168" s="1686">
        <v>43290</v>
      </c>
      <c r="CN168" s="1400"/>
      <c r="CO168" s="1326"/>
      <c r="CP168" s="1682"/>
      <c r="CQ168" s="1684">
        <v>27238.5</v>
      </c>
      <c r="CR168" s="1684">
        <v>25029.97</v>
      </c>
      <c r="CS168" s="1684">
        <v>2208.5300000000002</v>
      </c>
      <c r="CT168" s="1326" t="s">
        <v>2785</v>
      </c>
      <c r="CU168" s="1686">
        <v>43326</v>
      </c>
      <c r="CV168" s="1684">
        <v>39491.67</v>
      </c>
      <c r="CW168" s="1684">
        <v>0</v>
      </c>
      <c r="CX168" s="1684">
        <v>0</v>
      </c>
      <c r="CY168" s="1684">
        <v>0</v>
      </c>
      <c r="CZ168" s="1684">
        <v>10596</v>
      </c>
      <c r="DA168" s="1684">
        <v>21426.6</v>
      </c>
      <c r="DB168" s="1684">
        <v>0</v>
      </c>
      <c r="DC168" s="1684">
        <v>7469.07</v>
      </c>
      <c r="DD168" s="1684">
        <v>27238.5</v>
      </c>
      <c r="DE168" s="1684">
        <v>27238.5</v>
      </c>
      <c r="DF168" s="1684">
        <v>25029.97</v>
      </c>
      <c r="DG168" s="1684">
        <v>2208.5300000000002</v>
      </c>
      <c r="DH168" s="1684">
        <v>12253.17</v>
      </c>
      <c r="DI168" s="1684">
        <v>0</v>
      </c>
      <c r="DJ168" s="1684">
        <v>0</v>
      </c>
      <c r="DK168" s="1684">
        <v>0</v>
      </c>
      <c r="DL168" s="1684">
        <v>0</v>
      </c>
      <c r="DM168" s="1684">
        <v>12253.17</v>
      </c>
      <c r="DN168" s="1684">
        <v>12253.17</v>
      </c>
      <c r="DO168" s="1684">
        <v>0</v>
      </c>
      <c r="DP168" s="1684">
        <v>0</v>
      </c>
      <c r="DQ168" s="1326" t="s">
        <v>2850</v>
      </c>
      <c r="DR168" s="1684">
        <v>0</v>
      </c>
      <c r="DS168" s="1326" t="s">
        <v>2757</v>
      </c>
      <c r="DT168" s="1682"/>
      <c r="DU168" s="1326" t="s">
        <v>2757</v>
      </c>
      <c r="DV168" s="1682"/>
    </row>
    <row r="169" spans="1:126" ht="101.25">
      <c r="A169" s="1326" t="s">
        <v>2164</v>
      </c>
      <c r="B169" s="1326" t="s">
        <v>1702</v>
      </c>
      <c r="C169" s="1326" t="s">
        <v>2576</v>
      </c>
      <c r="D169" s="1326" t="s">
        <v>2577</v>
      </c>
      <c r="E169" s="1326" t="s">
        <v>2395</v>
      </c>
      <c r="F169" s="1326" t="s">
        <v>3153</v>
      </c>
      <c r="G169" s="1326" t="s">
        <v>2563</v>
      </c>
      <c r="H169" s="1326" t="s">
        <v>2572</v>
      </c>
      <c r="I169" s="1326" t="s">
        <v>2573</v>
      </c>
      <c r="J169" s="1326" t="s">
        <v>2578</v>
      </c>
      <c r="K169" s="1685">
        <v>43235</v>
      </c>
      <c r="L169" s="1685">
        <v>43348</v>
      </c>
      <c r="M169" s="1326" t="s">
        <v>2579</v>
      </c>
      <c r="N169" s="1326" t="s">
        <v>2061</v>
      </c>
      <c r="O169" s="1326" t="s">
        <v>3213</v>
      </c>
      <c r="P169" s="1326" t="s">
        <v>2757</v>
      </c>
      <c r="Q169" s="1326" t="s">
        <v>1710</v>
      </c>
      <c r="R169" s="1326" t="s">
        <v>2757</v>
      </c>
      <c r="S169" s="1326" t="s">
        <v>2785</v>
      </c>
      <c r="T169" s="1326" t="s">
        <v>2785</v>
      </c>
      <c r="U169" s="1326" t="s">
        <v>2758</v>
      </c>
      <c r="V169" s="1326" t="s">
        <v>2757</v>
      </c>
      <c r="W169" s="1326" t="s">
        <v>2757</v>
      </c>
      <c r="X169" s="1326" t="s">
        <v>2757</v>
      </c>
      <c r="Y169" s="1326" t="s">
        <v>2757</v>
      </c>
      <c r="Z169" s="1326" t="s">
        <v>2785</v>
      </c>
      <c r="AA169" s="1326" t="s">
        <v>2757</v>
      </c>
      <c r="AB169" s="1326" t="s">
        <v>2757</v>
      </c>
      <c r="AC169" s="1326" t="s">
        <v>2757</v>
      </c>
      <c r="AD169" s="1326" t="s">
        <v>2757</v>
      </c>
      <c r="AE169" s="1326"/>
      <c r="AF169" s="1326" t="s">
        <v>3155</v>
      </c>
      <c r="AG169" s="1326" t="s">
        <v>2986</v>
      </c>
      <c r="AH169" s="1326" t="s">
        <v>2951</v>
      </c>
      <c r="AI169" s="1326" t="s">
        <v>2762</v>
      </c>
      <c r="AJ169" s="1326" t="s">
        <v>2763</v>
      </c>
      <c r="AK169" s="1326" t="s">
        <v>3072</v>
      </c>
      <c r="AL169" s="1326" t="s">
        <v>3157</v>
      </c>
      <c r="AM169" s="1683">
        <v>100</v>
      </c>
      <c r="AN169" s="1326"/>
      <c r="AO169" s="1326"/>
      <c r="AP169" s="1326"/>
      <c r="AQ169" s="1326"/>
      <c r="AR169" s="1326"/>
      <c r="AS169" s="1326"/>
      <c r="AT169" s="1326" t="s">
        <v>2867</v>
      </c>
      <c r="AU169" s="1326" t="s">
        <v>3158</v>
      </c>
      <c r="AV169" s="1326" t="s">
        <v>3021</v>
      </c>
      <c r="AW169" s="1326" t="s">
        <v>3074</v>
      </c>
      <c r="AX169" s="1326" t="s">
        <v>3022</v>
      </c>
      <c r="AY169" s="1326" t="s">
        <v>2769</v>
      </c>
      <c r="AZ169" s="1326" t="s">
        <v>3199</v>
      </c>
      <c r="BA169" s="1326" t="s">
        <v>3200</v>
      </c>
      <c r="BB169" s="1326" t="s">
        <v>2757</v>
      </c>
      <c r="BC169" s="1326" t="s">
        <v>2800</v>
      </c>
      <c r="BD169" s="1326" t="s">
        <v>2773</v>
      </c>
      <c r="BE169" s="1326" t="s">
        <v>3214</v>
      </c>
      <c r="BF169" s="1326" t="s">
        <v>3215</v>
      </c>
      <c r="BG169" s="1326" t="s">
        <v>3203</v>
      </c>
      <c r="BH169" s="1326" t="s">
        <v>2024</v>
      </c>
      <c r="BI169" s="1326" t="s">
        <v>2777</v>
      </c>
      <c r="BJ169" s="1326" t="s">
        <v>3164</v>
      </c>
      <c r="BK169" s="1326" t="s">
        <v>2867</v>
      </c>
      <c r="BL169" s="1326" t="s">
        <v>2757</v>
      </c>
      <c r="BM169" s="1326" t="s">
        <v>2757</v>
      </c>
      <c r="BN169" s="1683">
        <v>0</v>
      </c>
      <c r="BO169" s="1685">
        <v>43348</v>
      </c>
      <c r="BP169" s="1685">
        <v>43713</v>
      </c>
      <c r="BQ169" s="1326" t="s">
        <v>2955</v>
      </c>
      <c r="BR169" s="1685">
        <v>47483</v>
      </c>
      <c r="BS169" s="1326" t="s">
        <v>2817</v>
      </c>
      <c r="BT169" s="1326" t="s">
        <v>3216</v>
      </c>
      <c r="BU169" s="1683">
        <v>30</v>
      </c>
      <c r="BV169" s="1683">
        <v>1832.92</v>
      </c>
      <c r="BW169" s="1685">
        <v>43743</v>
      </c>
      <c r="BX169" s="1682"/>
      <c r="BY169" s="1326" t="s">
        <v>2052</v>
      </c>
      <c r="BZ169" s="1326" t="s">
        <v>2782</v>
      </c>
      <c r="CA169" s="1326" t="s">
        <v>2782</v>
      </c>
      <c r="CB169" s="1326" t="s">
        <v>2783</v>
      </c>
      <c r="CC169" s="1326" t="s">
        <v>2913</v>
      </c>
      <c r="CD169" s="1684">
        <v>8790.99</v>
      </c>
      <c r="CE169" s="1684">
        <v>8790.99</v>
      </c>
      <c r="CF169" s="1684">
        <v>6109.74</v>
      </c>
      <c r="CG169" s="1684">
        <v>69.5</v>
      </c>
      <c r="CH169" s="1684">
        <v>2681.25</v>
      </c>
      <c r="CI169" s="1684">
        <v>30.5</v>
      </c>
      <c r="CJ169" s="1684">
        <v>8790.99</v>
      </c>
      <c r="CK169" s="1684">
        <v>100</v>
      </c>
      <c r="CL169" s="1410" t="s">
        <v>2785</v>
      </c>
      <c r="CM169" s="1686">
        <v>43290</v>
      </c>
      <c r="CN169" s="1400"/>
      <c r="CO169" s="1326"/>
      <c r="CP169" s="1682"/>
      <c r="CQ169" s="1684">
        <v>6109.74</v>
      </c>
      <c r="CR169" s="1684">
        <v>5614.36</v>
      </c>
      <c r="CS169" s="1684">
        <v>495.38</v>
      </c>
      <c r="CT169" s="1326" t="s">
        <v>2785</v>
      </c>
      <c r="CU169" s="1686">
        <v>43326</v>
      </c>
      <c r="CV169" s="1684">
        <v>8790.99</v>
      </c>
      <c r="CW169" s="1684">
        <v>0</v>
      </c>
      <c r="CX169" s="1684">
        <v>0</v>
      </c>
      <c r="CY169" s="1684">
        <v>0</v>
      </c>
      <c r="CZ169" s="1684">
        <v>1279</v>
      </c>
      <c r="DA169" s="1684">
        <v>5883.24</v>
      </c>
      <c r="DB169" s="1684">
        <v>0</v>
      </c>
      <c r="DC169" s="1684">
        <v>1628.75</v>
      </c>
      <c r="DD169" s="1684">
        <v>6109.74</v>
      </c>
      <c r="DE169" s="1684">
        <v>6109.74</v>
      </c>
      <c r="DF169" s="1684">
        <v>5614.36</v>
      </c>
      <c r="DG169" s="1684">
        <v>495.38</v>
      </c>
      <c r="DH169" s="1684">
        <v>2681.25</v>
      </c>
      <c r="DI169" s="1684">
        <v>0</v>
      </c>
      <c r="DJ169" s="1684">
        <v>0</v>
      </c>
      <c r="DK169" s="1684">
        <v>0</v>
      </c>
      <c r="DL169" s="1684">
        <v>0</v>
      </c>
      <c r="DM169" s="1684">
        <v>2681.25</v>
      </c>
      <c r="DN169" s="1684">
        <v>2681.25</v>
      </c>
      <c r="DO169" s="1684">
        <v>0</v>
      </c>
      <c r="DP169" s="1684">
        <v>0</v>
      </c>
      <c r="DQ169" s="1326" t="s">
        <v>2810</v>
      </c>
      <c r="DR169" s="1684">
        <v>0</v>
      </c>
      <c r="DS169" s="1326" t="s">
        <v>2757</v>
      </c>
      <c r="DT169" s="1682"/>
      <c r="DU169" s="1326" t="s">
        <v>2757</v>
      </c>
      <c r="DV169" s="1682"/>
    </row>
    <row r="170" spans="1:126" ht="67.5">
      <c r="A170" s="1326" t="s">
        <v>2165</v>
      </c>
      <c r="B170" s="1326" t="s">
        <v>1702</v>
      </c>
      <c r="C170" s="1326" t="s">
        <v>2576</v>
      </c>
      <c r="D170" s="1326" t="s">
        <v>2577</v>
      </c>
      <c r="E170" s="1326" t="s">
        <v>2395</v>
      </c>
      <c r="F170" s="1326" t="s">
        <v>3153</v>
      </c>
      <c r="G170" s="1326" t="s">
        <v>2563</v>
      </c>
      <c r="H170" s="1326" t="s">
        <v>2572</v>
      </c>
      <c r="I170" s="1326" t="s">
        <v>2573</v>
      </c>
      <c r="J170" s="1326" t="s">
        <v>3217</v>
      </c>
      <c r="K170" s="1685">
        <v>43235</v>
      </c>
      <c r="L170" s="1685">
        <v>43348</v>
      </c>
      <c r="M170" s="1326" t="s">
        <v>3218</v>
      </c>
      <c r="N170" s="1326" t="s">
        <v>2061</v>
      </c>
      <c r="O170" s="1326" t="s">
        <v>3219</v>
      </c>
      <c r="P170" s="1326" t="s">
        <v>2757</v>
      </c>
      <c r="Q170" s="1326" t="s">
        <v>1725</v>
      </c>
      <c r="R170" s="1326" t="s">
        <v>2757</v>
      </c>
      <c r="S170" s="1326" t="s">
        <v>2785</v>
      </c>
      <c r="T170" s="1326" t="s">
        <v>2785</v>
      </c>
      <c r="U170" s="1326" t="s">
        <v>2758</v>
      </c>
      <c r="V170" s="1326" t="s">
        <v>2757</v>
      </c>
      <c r="W170" s="1326" t="s">
        <v>2757</v>
      </c>
      <c r="X170" s="1326" t="s">
        <v>2757</v>
      </c>
      <c r="Y170" s="1326" t="s">
        <v>2757</v>
      </c>
      <c r="Z170" s="1326" t="s">
        <v>2757</v>
      </c>
      <c r="AA170" s="1326" t="s">
        <v>2757</v>
      </c>
      <c r="AB170" s="1326" t="s">
        <v>2757</v>
      </c>
      <c r="AC170" s="1326" t="s">
        <v>2757</v>
      </c>
      <c r="AD170" s="1326" t="s">
        <v>2757</v>
      </c>
      <c r="AE170" s="1326"/>
      <c r="AF170" s="1326" t="s">
        <v>3155</v>
      </c>
      <c r="AG170" s="1326" t="s">
        <v>2986</v>
      </c>
      <c r="AH170" s="1326" t="s">
        <v>3156</v>
      </c>
      <c r="AI170" s="1326" t="s">
        <v>2762</v>
      </c>
      <c r="AJ170" s="1326" t="s">
        <v>2763</v>
      </c>
      <c r="AK170" s="1326" t="s">
        <v>3072</v>
      </c>
      <c r="AL170" s="1326" t="s">
        <v>3157</v>
      </c>
      <c r="AM170" s="1683">
        <v>100</v>
      </c>
      <c r="AN170" s="1326"/>
      <c r="AO170" s="1326"/>
      <c r="AP170" s="1326"/>
      <c r="AQ170" s="1326"/>
      <c r="AR170" s="1326"/>
      <c r="AS170" s="1326"/>
      <c r="AT170" s="1326" t="s">
        <v>2867</v>
      </c>
      <c r="AU170" s="1326" t="s">
        <v>3158</v>
      </c>
      <c r="AV170" s="1326" t="s">
        <v>3021</v>
      </c>
      <c r="AW170" s="1326" t="s">
        <v>3074</v>
      </c>
      <c r="AX170" s="1326" t="s">
        <v>3022</v>
      </c>
      <c r="AY170" s="1326" t="s">
        <v>2769</v>
      </c>
      <c r="AZ170" s="1326" t="s">
        <v>3220</v>
      </c>
      <c r="BA170" s="1326" t="s">
        <v>3221</v>
      </c>
      <c r="BB170" s="1326" t="s">
        <v>2757</v>
      </c>
      <c r="BC170" s="1326" t="s">
        <v>2844</v>
      </c>
      <c r="BD170" s="1326" t="s">
        <v>2859</v>
      </c>
      <c r="BE170" s="1326" t="s">
        <v>3222</v>
      </c>
      <c r="BF170" s="1326" t="s">
        <v>3223</v>
      </c>
      <c r="BG170" s="1326" t="s">
        <v>3224</v>
      </c>
      <c r="BH170" s="1326" t="s">
        <v>2804</v>
      </c>
      <c r="BI170" s="1326" t="s">
        <v>2777</v>
      </c>
      <c r="BJ170" s="1326" t="s">
        <v>3164</v>
      </c>
      <c r="BK170" s="1326" t="s">
        <v>2867</v>
      </c>
      <c r="BL170" s="1326" t="s">
        <v>2757</v>
      </c>
      <c r="BM170" s="1326" t="s">
        <v>2757</v>
      </c>
      <c r="BN170" s="1683">
        <v>0</v>
      </c>
      <c r="BO170" s="1685">
        <v>43348</v>
      </c>
      <c r="BP170" s="1685">
        <v>44079</v>
      </c>
      <c r="BQ170" s="1326" t="s">
        <v>2955</v>
      </c>
      <c r="BR170" s="1685">
        <v>47483</v>
      </c>
      <c r="BS170" s="1326" t="s">
        <v>3165</v>
      </c>
      <c r="BT170" s="1326" t="s">
        <v>3225</v>
      </c>
      <c r="BU170" s="1683">
        <v>30</v>
      </c>
      <c r="BV170" s="1683">
        <v>3660.48</v>
      </c>
      <c r="BW170" s="1685">
        <v>44139</v>
      </c>
      <c r="BX170" s="1682"/>
      <c r="BY170" s="1326" t="s">
        <v>2052</v>
      </c>
      <c r="BZ170" s="1326" t="s">
        <v>2782</v>
      </c>
      <c r="CA170" s="1326" t="s">
        <v>2782</v>
      </c>
      <c r="CB170" s="1326" t="s">
        <v>2782</v>
      </c>
      <c r="CC170" s="1326" t="s">
        <v>2913</v>
      </c>
      <c r="CD170" s="1684">
        <v>18000</v>
      </c>
      <c r="CE170" s="1684">
        <v>18000</v>
      </c>
      <c r="CF170" s="1684">
        <v>12201.6</v>
      </c>
      <c r="CG170" s="1684">
        <v>67.790000000000006</v>
      </c>
      <c r="CH170" s="1684">
        <v>5798.4</v>
      </c>
      <c r="CI170" s="1684">
        <v>32.21</v>
      </c>
      <c r="CJ170" s="1684">
        <v>18000</v>
      </c>
      <c r="CK170" s="1684">
        <v>100</v>
      </c>
      <c r="CL170" s="1410" t="s">
        <v>2785</v>
      </c>
      <c r="CM170" s="1686">
        <v>43290</v>
      </c>
      <c r="CN170" s="1400"/>
      <c r="CO170" s="1326"/>
      <c r="CP170" s="1682"/>
      <c r="CQ170" s="1684">
        <v>12201.6</v>
      </c>
      <c r="CR170" s="1684">
        <v>11212.28</v>
      </c>
      <c r="CS170" s="1684">
        <v>989.32</v>
      </c>
      <c r="CT170" s="1326" t="s">
        <v>2785</v>
      </c>
      <c r="CU170" s="1686">
        <v>43326</v>
      </c>
      <c r="CV170" s="1684">
        <v>18000</v>
      </c>
      <c r="CW170" s="1684">
        <v>0</v>
      </c>
      <c r="CX170" s="1684">
        <v>0</v>
      </c>
      <c r="CY170" s="1684">
        <v>0</v>
      </c>
      <c r="CZ170" s="1684">
        <v>3300</v>
      </c>
      <c r="DA170" s="1684">
        <v>11318.94</v>
      </c>
      <c r="DB170" s="1684">
        <v>0</v>
      </c>
      <c r="DC170" s="1684">
        <v>3381.06</v>
      </c>
      <c r="DD170" s="1684">
        <v>12201.6</v>
      </c>
      <c r="DE170" s="1684">
        <v>12201.6</v>
      </c>
      <c r="DF170" s="1684">
        <v>11212.28</v>
      </c>
      <c r="DG170" s="1684">
        <v>989.32</v>
      </c>
      <c r="DH170" s="1684">
        <v>5798.4</v>
      </c>
      <c r="DI170" s="1684">
        <v>0</v>
      </c>
      <c r="DJ170" s="1684">
        <v>0</v>
      </c>
      <c r="DK170" s="1684">
        <v>0</v>
      </c>
      <c r="DL170" s="1684">
        <v>0</v>
      </c>
      <c r="DM170" s="1684">
        <v>5798.4</v>
      </c>
      <c r="DN170" s="1684">
        <v>5798.4</v>
      </c>
      <c r="DO170" s="1684">
        <v>0</v>
      </c>
      <c r="DP170" s="1684">
        <v>0</v>
      </c>
      <c r="DQ170" s="1326" t="s">
        <v>2810</v>
      </c>
      <c r="DR170" s="1684">
        <v>0</v>
      </c>
      <c r="DS170" s="1326" t="s">
        <v>2757</v>
      </c>
      <c r="DT170" s="1682"/>
      <c r="DU170" s="1326" t="s">
        <v>2757</v>
      </c>
      <c r="DV170" s="1682"/>
    </row>
    <row r="171" spans="1:126">
      <c r="A171" s="1326" t="s">
        <v>2166</v>
      </c>
      <c r="B171" s="1326" t="s">
        <v>1704</v>
      </c>
      <c r="C171" s="1326"/>
      <c r="D171" s="1326"/>
      <c r="E171" s="1326"/>
      <c r="F171" s="1326"/>
      <c r="G171" s="1326"/>
      <c r="H171" s="1326"/>
      <c r="I171" s="1326"/>
      <c r="J171" s="1326"/>
      <c r="K171" s="1682"/>
      <c r="L171" s="1682"/>
      <c r="M171" s="1326"/>
      <c r="N171" s="1326"/>
      <c r="O171" s="1326"/>
      <c r="P171" s="1326"/>
      <c r="Q171" s="1326"/>
      <c r="R171" s="1326"/>
      <c r="S171" s="1326"/>
      <c r="T171" s="1326"/>
      <c r="U171" s="1326"/>
      <c r="V171" s="1326"/>
      <c r="W171" s="1326"/>
      <c r="X171" s="1326"/>
      <c r="Y171" s="1326"/>
      <c r="Z171" s="1326"/>
      <c r="AA171" s="1326"/>
      <c r="AB171" s="1326"/>
      <c r="AC171" s="1326"/>
      <c r="AD171" s="1326"/>
      <c r="AE171" s="1326"/>
      <c r="AF171" s="1326"/>
      <c r="AG171" s="1326"/>
      <c r="AH171" s="1326"/>
      <c r="AI171" s="1326"/>
      <c r="AJ171" s="1326"/>
      <c r="AK171" s="1326"/>
      <c r="AL171" s="1326"/>
      <c r="AM171" s="1400"/>
      <c r="AN171" s="1326"/>
      <c r="AO171" s="1326"/>
      <c r="AP171" s="1326"/>
      <c r="AQ171" s="1326"/>
      <c r="AR171" s="1326"/>
      <c r="AS171" s="1326"/>
      <c r="AT171" s="1326"/>
      <c r="AU171" s="1326"/>
      <c r="AV171" s="1326"/>
      <c r="AW171" s="1326"/>
      <c r="AX171" s="1326"/>
      <c r="AY171" s="1326"/>
      <c r="AZ171" s="1326"/>
      <c r="BA171" s="1326"/>
      <c r="BB171" s="1326"/>
      <c r="BC171" s="1326"/>
      <c r="BD171" s="1326"/>
      <c r="BE171" s="1326"/>
      <c r="BF171" s="1326"/>
      <c r="BG171" s="1326"/>
      <c r="BH171" s="1326"/>
      <c r="BI171" s="1326"/>
      <c r="BJ171" s="1326"/>
      <c r="BK171" s="1326"/>
      <c r="BL171" s="1326"/>
      <c r="BM171" s="1326"/>
      <c r="BN171" s="1400"/>
      <c r="BO171" s="1682"/>
      <c r="BP171" s="1682"/>
      <c r="BQ171" s="1326"/>
      <c r="BR171" s="1682"/>
      <c r="BS171" s="1326"/>
      <c r="BT171" s="1326"/>
      <c r="BU171" s="1400"/>
      <c r="BV171" s="1683">
        <v>1190470.2</v>
      </c>
      <c r="BW171" s="1682"/>
      <c r="BX171" s="1682"/>
      <c r="BY171" s="1326"/>
      <c r="BZ171" s="1326"/>
      <c r="CA171" s="1326"/>
      <c r="CB171" s="1326"/>
      <c r="CC171" s="1326"/>
      <c r="CD171" s="1684">
        <v>4805342.71</v>
      </c>
      <c r="CE171" s="1684">
        <v>4776867.3600000003</v>
      </c>
      <c r="CF171" s="1684">
        <v>3968234</v>
      </c>
      <c r="CG171" s="1684">
        <v>83.07</v>
      </c>
      <c r="CH171" s="1684">
        <v>808633.36</v>
      </c>
      <c r="CI171" s="1684">
        <v>16.93</v>
      </c>
      <c r="CJ171" s="1684">
        <v>4776867.3600000003</v>
      </c>
      <c r="CK171" s="1684">
        <v>100</v>
      </c>
      <c r="CL171" s="1410"/>
      <c r="CM171" s="1682"/>
      <c r="CN171" s="1400"/>
      <c r="CO171" s="1326"/>
      <c r="CP171" s="1682"/>
      <c r="CQ171" s="1684">
        <v>3968234</v>
      </c>
      <c r="CR171" s="1684">
        <v>3766972</v>
      </c>
      <c r="CS171" s="1684">
        <v>201262</v>
      </c>
      <c r="CT171" s="1326"/>
      <c r="CU171" s="1682"/>
      <c r="CV171" s="1684">
        <v>4776867.3600000003</v>
      </c>
      <c r="CW171" s="1684">
        <v>0</v>
      </c>
      <c r="CX171" s="1684">
        <v>0</v>
      </c>
      <c r="CY171" s="1684">
        <v>3821539.83</v>
      </c>
      <c r="CZ171" s="1684">
        <v>904917.61</v>
      </c>
      <c r="DA171" s="1684">
        <v>12932.73</v>
      </c>
      <c r="DB171" s="1684">
        <v>200</v>
      </c>
      <c r="DC171" s="1684">
        <v>37277.19</v>
      </c>
      <c r="DD171" s="1684">
        <v>4776867.3600000003</v>
      </c>
      <c r="DE171" s="1684">
        <v>3968234</v>
      </c>
      <c r="DF171" s="1684">
        <v>3766972</v>
      </c>
      <c r="DG171" s="1684">
        <v>201262</v>
      </c>
      <c r="DH171" s="1684">
        <v>808633.36</v>
      </c>
      <c r="DI171" s="1684">
        <v>808633.36</v>
      </c>
      <c r="DJ171" s="1684">
        <v>0</v>
      </c>
      <c r="DK171" s="1684">
        <v>808633.36</v>
      </c>
      <c r="DL171" s="1684">
        <v>0</v>
      </c>
      <c r="DM171" s="1684">
        <v>0</v>
      </c>
      <c r="DN171" s="1684">
        <v>0</v>
      </c>
      <c r="DO171" s="1684">
        <v>0</v>
      </c>
      <c r="DP171" s="1684">
        <v>0</v>
      </c>
      <c r="DQ171" s="1326"/>
      <c r="DR171" s="1400"/>
      <c r="DS171" s="1326"/>
      <c r="DT171" s="1682"/>
      <c r="DU171" s="1326"/>
      <c r="DV171" s="1682"/>
    </row>
    <row r="172" spans="1:126">
      <c r="A172" s="1326" t="s">
        <v>2167</v>
      </c>
      <c r="B172" s="1326" t="s">
        <v>1704</v>
      </c>
      <c r="C172" s="1326" t="s">
        <v>2580</v>
      </c>
      <c r="D172" s="1326"/>
      <c r="E172" s="1326"/>
      <c r="F172" s="1326"/>
      <c r="G172" s="1326"/>
      <c r="H172" s="1326"/>
      <c r="I172" s="1326"/>
      <c r="J172" s="1326"/>
      <c r="K172" s="1682"/>
      <c r="L172" s="1682"/>
      <c r="M172" s="1326"/>
      <c r="N172" s="1326"/>
      <c r="O172" s="1326"/>
      <c r="P172" s="1326"/>
      <c r="Q172" s="1326"/>
      <c r="R172" s="1326"/>
      <c r="S172" s="1326"/>
      <c r="T172" s="1326"/>
      <c r="U172" s="1326"/>
      <c r="V172" s="1326"/>
      <c r="W172" s="1326"/>
      <c r="X172" s="1326"/>
      <c r="Y172" s="1326"/>
      <c r="Z172" s="1326"/>
      <c r="AA172" s="1326"/>
      <c r="AB172" s="1326"/>
      <c r="AC172" s="1326"/>
      <c r="AD172" s="1326"/>
      <c r="AE172" s="1326"/>
      <c r="AF172" s="1326"/>
      <c r="AG172" s="1326"/>
      <c r="AH172" s="1326"/>
      <c r="AI172" s="1326"/>
      <c r="AJ172" s="1326"/>
      <c r="AK172" s="1326"/>
      <c r="AL172" s="1326"/>
      <c r="AM172" s="1400"/>
      <c r="AN172" s="1326"/>
      <c r="AO172" s="1326"/>
      <c r="AP172" s="1326"/>
      <c r="AQ172" s="1326"/>
      <c r="AR172" s="1326"/>
      <c r="AS172" s="1326"/>
      <c r="AT172" s="1326"/>
      <c r="AU172" s="1326"/>
      <c r="AV172" s="1326"/>
      <c r="AW172" s="1326"/>
      <c r="AX172" s="1326"/>
      <c r="AY172" s="1326"/>
      <c r="AZ172" s="1326"/>
      <c r="BA172" s="1326"/>
      <c r="BB172" s="1326"/>
      <c r="BC172" s="1326"/>
      <c r="BD172" s="1326"/>
      <c r="BE172" s="1326"/>
      <c r="BF172" s="1326"/>
      <c r="BG172" s="1326"/>
      <c r="BH172" s="1326"/>
      <c r="BI172" s="1326"/>
      <c r="BJ172" s="1326"/>
      <c r="BK172" s="1326"/>
      <c r="BL172" s="1326"/>
      <c r="BM172" s="1326"/>
      <c r="BN172" s="1400"/>
      <c r="BO172" s="1682"/>
      <c r="BP172" s="1682"/>
      <c r="BQ172" s="1326"/>
      <c r="BR172" s="1682"/>
      <c r="BS172" s="1326"/>
      <c r="BT172" s="1326"/>
      <c r="BU172" s="1400"/>
      <c r="BV172" s="1683">
        <v>1190470.2</v>
      </c>
      <c r="BW172" s="1682"/>
      <c r="BX172" s="1682"/>
      <c r="BY172" s="1326"/>
      <c r="BZ172" s="1326"/>
      <c r="CA172" s="1326"/>
      <c r="CB172" s="1326"/>
      <c r="CC172" s="1326"/>
      <c r="CD172" s="1684">
        <v>4805342.71</v>
      </c>
      <c r="CE172" s="1684">
        <v>4776867.3600000003</v>
      </c>
      <c r="CF172" s="1684">
        <v>3968234</v>
      </c>
      <c r="CG172" s="1684">
        <v>83.07</v>
      </c>
      <c r="CH172" s="1684">
        <v>808633.36</v>
      </c>
      <c r="CI172" s="1684">
        <v>16.93</v>
      </c>
      <c r="CJ172" s="1684">
        <v>4776867.3600000003</v>
      </c>
      <c r="CK172" s="1684">
        <v>100</v>
      </c>
      <c r="CL172" s="1410"/>
      <c r="CM172" s="1682"/>
      <c r="CN172" s="1400"/>
      <c r="CO172" s="1326"/>
      <c r="CP172" s="1682"/>
      <c r="CQ172" s="1684">
        <v>3968234</v>
      </c>
      <c r="CR172" s="1684">
        <v>3766972</v>
      </c>
      <c r="CS172" s="1684">
        <v>201262</v>
      </c>
      <c r="CT172" s="1326"/>
      <c r="CU172" s="1682"/>
      <c r="CV172" s="1684">
        <v>4776867.3600000003</v>
      </c>
      <c r="CW172" s="1684">
        <v>0</v>
      </c>
      <c r="CX172" s="1684">
        <v>0</v>
      </c>
      <c r="CY172" s="1684">
        <v>3821539.83</v>
      </c>
      <c r="CZ172" s="1684">
        <v>904917.61</v>
      </c>
      <c r="DA172" s="1684">
        <v>12932.73</v>
      </c>
      <c r="DB172" s="1684">
        <v>200</v>
      </c>
      <c r="DC172" s="1684">
        <v>37277.19</v>
      </c>
      <c r="DD172" s="1684">
        <v>4776867.3600000003</v>
      </c>
      <c r="DE172" s="1684">
        <v>3968234</v>
      </c>
      <c r="DF172" s="1684">
        <v>3766972</v>
      </c>
      <c r="DG172" s="1684">
        <v>201262</v>
      </c>
      <c r="DH172" s="1684">
        <v>808633.36</v>
      </c>
      <c r="DI172" s="1684">
        <v>808633.36</v>
      </c>
      <c r="DJ172" s="1684">
        <v>0</v>
      </c>
      <c r="DK172" s="1684">
        <v>808633.36</v>
      </c>
      <c r="DL172" s="1684">
        <v>0</v>
      </c>
      <c r="DM172" s="1684">
        <v>0</v>
      </c>
      <c r="DN172" s="1684">
        <v>0</v>
      </c>
      <c r="DO172" s="1684">
        <v>0</v>
      </c>
      <c r="DP172" s="1684">
        <v>0</v>
      </c>
      <c r="DQ172" s="1326"/>
      <c r="DR172" s="1400"/>
      <c r="DS172" s="1326"/>
      <c r="DT172" s="1682"/>
      <c r="DU172" s="1326"/>
      <c r="DV172" s="1682"/>
    </row>
    <row r="173" spans="1:126">
      <c r="A173" s="1326" t="s">
        <v>2168</v>
      </c>
      <c r="B173" s="1326" t="s">
        <v>1704</v>
      </c>
      <c r="C173" s="1326" t="s">
        <v>2580</v>
      </c>
      <c r="D173" s="1326" t="s">
        <v>2581</v>
      </c>
      <c r="E173" s="1326"/>
      <c r="F173" s="1326"/>
      <c r="G173" s="1326"/>
      <c r="H173" s="1326"/>
      <c r="I173" s="1326"/>
      <c r="J173" s="1326"/>
      <c r="K173" s="1682"/>
      <c r="L173" s="1682"/>
      <c r="M173" s="1326"/>
      <c r="N173" s="1326"/>
      <c r="O173" s="1326"/>
      <c r="P173" s="1326"/>
      <c r="Q173" s="1326"/>
      <c r="R173" s="1326"/>
      <c r="S173" s="1326"/>
      <c r="T173" s="1326"/>
      <c r="U173" s="1326"/>
      <c r="V173" s="1326"/>
      <c r="W173" s="1326"/>
      <c r="X173" s="1326"/>
      <c r="Y173" s="1326"/>
      <c r="Z173" s="1326"/>
      <c r="AA173" s="1326"/>
      <c r="AB173" s="1326"/>
      <c r="AC173" s="1326"/>
      <c r="AD173" s="1326"/>
      <c r="AE173" s="1326"/>
      <c r="AF173" s="1326"/>
      <c r="AG173" s="1326"/>
      <c r="AH173" s="1326"/>
      <c r="AI173" s="1326"/>
      <c r="AJ173" s="1326"/>
      <c r="AK173" s="1326"/>
      <c r="AL173" s="1326"/>
      <c r="AM173" s="1400"/>
      <c r="AN173" s="1326"/>
      <c r="AO173" s="1326"/>
      <c r="AP173" s="1326"/>
      <c r="AQ173" s="1326"/>
      <c r="AR173" s="1326"/>
      <c r="AS173" s="1326"/>
      <c r="AT173" s="1326"/>
      <c r="AU173" s="1326"/>
      <c r="AV173" s="1326"/>
      <c r="AW173" s="1326"/>
      <c r="AX173" s="1326"/>
      <c r="AY173" s="1326"/>
      <c r="AZ173" s="1326"/>
      <c r="BA173" s="1326"/>
      <c r="BB173" s="1326"/>
      <c r="BC173" s="1326"/>
      <c r="BD173" s="1326"/>
      <c r="BE173" s="1326"/>
      <c r="BF173" s="1326"/>
      <c r="BG173" s="1326"/>
      <c r="BH173" s="1326"/>
      <c r="BI173" s="1326"/>
      <c r="BJ173" s="1326"/>
      <c r="BK173" s="1326"/>
      <c r="BL173" s="1326"/>
      <c r="BM173" s="1326"/>
      <c r="BN173" s="1400"/>
      <c r="BO173" s="1682"/>
      <c r="BP173" s="1682"/>
      <c r="BQ173" s="1326"/>
      <c r="BR173" s="1682"/>
      <c r="BS173" s="1326"/>
      <c r="BT173" s="1326"/>
      <c r="BU173" s="1400"/>
      <c r="BV173" s="1683">
        <v>1190470.2</v>
      </c>
      <c r="BW173" s="1682"/>
      <c r="BX173" s="1682"/>
      <c r="BY173" s="1326"/>
      <c r="BZ173" s="1326"/>
      <c r="CA173" s="1326"/>
      <c r="CB173" s="1326"/>
      <c r="CC173" s="1326"/>
      <c r="CD173" s="1684">
        <v>4805342.71</v>
      </c>
      <c r="CE173" s="1684">
        <v>4776867.3600000003</v>
      </c>
      <c r="CF173" s="1684">
        <v>3968234</v>
      </c>
      <c r="CG173" s="1684">
        <v>83.07</v>
      </c>
      <c r="CH173" s="1684">
        <v>808633.36</v>
      </c>
      <c r="CI173" s="1684">
        <v>16.93</v>
      </c>
      <c r="CJ173" s="1684">
        <v>4776867.3600000003</v>
      </c>
      <c r="CK173" s="1684">
        <v>100</v>
      </c>
      <c r="CL173" s="1410"/>
      <c r="CM173" s="1682"/>
      <c r="CN173" s="1400"/>
      <c r="CO173" s="1326"/>
      <c r="CP173" s="1682"/>
      <c r="CQ173" s="1684">
        <v>3968234</v>
      </c>
      <c r="CR173" s="1684">
        <v>3766972</v>
      </c>
      <c r="CS173" s="1684">
        <v>201262</v>
      </c>
      <c r="CT173" s="1326"/>
      <c r="CU173" s="1682"/>
      <c r="CV173" s="1684">
        <v>4776867.3600000003</v>
      </c>
      <c r="CW173" s="1684">
        <v>0</v>
      </c>
      <c r="CX173" s="1684">
        <v>0</v>
      </c>
      <c r="CY173" s="1684">
        <v>3821539.83</v>
      </c>
      <c r="CZ173" s="1684">
        <v>904917.61</v>
      </c>
      <c r="DA173" s="1684">
        <v>12932.73</v>
      </c>
      <c r="DB173" s="1684">
        <v>200</v>
      </c>
      <c r="DC173" s="1684">
        <v>37277.19</v>
      </c>
      <c r="DD173" s="1684">
        <v>4776867.3600000003</v>
      </c>
      <c r="DE173" s="1684">
        <v>3968234</v>
      </c>
      <c r="DF173" s="1684">
        <v>3766972</v>
      </c>
      <c r="DG173" s="1684">
        <v>201262</v>
      </c>
      <c r="DH173" s="1684">
        <v>808633.36</v>
      </c>
      <c r="DI173" s="1684">
        <v>808633.36</v>
      </c>
      <c r="DJ173" s="1684">
        <v>0</v>
      </c>
      <c r="DK173" s="1684">
        <v>808633.36</v>
      </c>
      <c r="DL173" s="1684">
        <v>0</v>
      </c>
      <c r="DM173" s="1684">
        <v>0</v>
      </c>
      <c r="DN173" s="1684">
        <v>0</v>
      </c>
      <c r="DO173" s="1684">
        <v>0</v>
      </c>
      <c r="DP173" s="1684">
        <v>0</v>
      </c>
      <c r="DQ173" s="1326"/>
      <c r="DR173" s="1400"/>
      <c r="DS173" s="1326"/>
      <c r="DT173" s="1682"/>
      <c r="DU173" s="1326"/>
      <c r="DV173" s="1682"/>
    </row>
    <row r="174" spans="1:126" ht="33.75">
      <c r="A174" s="1326" t="s">
        <v>2169</v>
      </c>
      <c r="B174" s="1326" t="s">
        <v>1704</v>
      </c>
      <c r="C174" s="1326" t="s">
        <v>2580</v>
      </c>
      <c r="D174" s="1326" t="s">
        <v>2581</v>
      </c>
      <c r="E174" s="1326" t="s">
        <v>140</v>
      </c>
      <c r="F174" s="1326" t="s">
        <v>260</v>
      </c>
      <c r="G174" s="1326"/>
      <c r="H174" s="1326"/>
      <c r="I174" s="1326"/>
      <c r="J174" s="1326"/>
      <c r="K174" s="1682"/>
      <c r="L174" s="1682"/>
      <c r="M174" s="1326"/>
      <c r="N174" s="1326"/>
      <c r="O174" s="1326"/>
      <c r="P174" s="1326"/>
      <c r="Q174" s="1326"/>
      <c r="R174" s="1326"/>
      <c r="S174" s="1326"/>
      <c r="T174" s="1326"/>
      <c r="U174" s="1326"/>
      <c r="V174" s="1326"/>
      <c r="W174" s="1326"/>
      <c r="X174" s="1326"/>
      <c r="Y174" s="1326"/>
      <c r="Z174" s="1326"/>
      <c r="AA174" s="1326"/>
      <c r="AB174" s="1326"/>
      <c r="AC174" s="1326"/>
      <c r="AD174" s="1326"/>
      <c r="AE174" s="1326"/>
      <c r="AF174" s="1326"/>
      <c r="AG174" s="1326"/>
      <c r="AH174" s="1326"/>
      <c r="AI174" s="1326"/>
      <c r="AJ174" s="1326"/>
      <c r="AK174" s="1326"/>
      <c r="AL174" s="1326"/>
      <c r="AM174" s="1400"/>
      <c r="AN174" s="1326"/>
      <c r="AO174" s="1326"/>
      <c r="AP174" s="1326"/>
      <c r="AQ174" s="1326"/>
      <c r="AR174" s="1326"/>
      <c r="AS174" s="1326"/>
      <c r="AT174" s="1326"/>
      <c r="AU174" s="1326"/>
      <c r="AV174" s="1326"/>
      <c r="AW174" s="1326"/>
      <c r="AX174" s="1326"/>
      <c r="AY174" s="1326"/>
      <c r="AZ174" s="1326"/>
      <c r="BA174" s="1326"/>
      <c r="BB174" s="1326"/>
      <c r="BC174" s="1326"/>
      <c r="BD174" s="1326"/>
      <c r="BE174" s="1326"/>
      <c r="BF174" s="1326"/>
      <c r="BG174" s="1326"/>
      <c r="BH174" s="1326"/>
      <c r="BI174" s="1326"/>
      <c r="BJ174" s="1326"/>
      <c r="BK174" s="1326"/>
      <c r="BL174" s="1326"/>
      <c r="BM174" s="1326"/>
      <c r="BN174" s="1400"/>
      <c r="BO174" s="1682"/>
      <c r="BP174" s="1682"/>
      <c r="BQ174" s="1326"/>
      <c r="BR174" s="1682"/>
      <c r="BS174" s="1326"/>
      <c r="BT174" s="1326"/>
      <c r="BU174" s="1400"/>
      <c r="BV174" s="1683">
        <v>371715.3</v>
      </c>
      <c r="BW174" s="1682"/>
      <c r="BX174" s="1682"/>
      <c r="BY174" s="1326"/>
      <c r="BZ174" s="1326"/>
      <c r="CA174" s="1326"/>
      <c r="CB174" s="1326"/>
      <c r="CC174" s="1326"/>
      <c r="CD174" s="1684">
        <v>1459021.77</v>
      </c>
      <c r="CE174" s="1684">
        <v>1459021.77</v>
      </c>
      <c r="CF174" s="1684">
        <v>1239051</v>
      </c>
      <c r="CG174" s="1684">
        <v>84.92</v>
      </c>
      <c r="CH174" s="1684">
        <v>219970.77</v>
      </c>
      <c r="CI174" s="1684">
        <v>15.08</v>
      </c>
      <c r="CJ174" s="1684">
        <v>1459021.77</v>
      </c>
      <c r="CK174" s="1684">
        <v>100</v>
      </c>
      <c r="CL174" s="1410"/>
      <c r="CM174" s="1682"/>
      <c r="CN174" s="1400"/>
      <c r="CO174" s="1326"/>
      <c r="CP174" s="1682"/>
      <c r="CQ174" s="1684">
        <v>1239051</v>
      </c>
      <c r="CR174" s="1684">
        <v>1138588</v>
      </c>
      <c r="CS174" s="1684">
        <v>100463</v>
      </c>
      <c r="CT174" s="1326"/>
      <c r="CU174" s="1682"/>
      <c r="CV174" s="1684">
        <v>1459021.77</v>
      </c>
      <c r="CW174" s="1684">
        <v>0</v>
      </c>
      <c r="CX174" s="1684">
        <v>0</v>
      </c>
      <c r="CY174" s="1684">
        <v>1160731.32</v>
      </c>
      <c r="CZ174" s="1684">
        <v>289618.03999999998</v>
      </c>
      <c r="DA174" s="1684">
        <v>914.73</v>
      </c>
      <c r="DB174" s="1684">
        <v>0</v>
      </c>
      <c r="DC174" s="1684">
        <v>7757.68</v>
      </c>
      <c r="DD174" s="1684">
        <v>1459021.77</v>
      </c>
      <c r="DE174" s="1684">
        <v>1239051</v>
      </c>
      <c r="DF174" s="1684">
        <v>1138588</v>
      </c>
      <c r="DG174" s="1684">
        <v>100463</v>
      </c>
      <c r="DH174" s="1684">
        <v>219970.77</v>
      </c>
      <c r="DI174" s="1684">
        <v>219970.77</v>
      </c>
      <c r="DJ174" s="1684">
        <v>0</v>
      </c>
      <c r="DK174" s="1684">
        <v>219970.77</v>
      </c>
      <c r="DL174" s="1684">
        <v>0</v>
      </c>
      <c r="DM174" s="1684">
        <v>0</v>
      </c>
      <c r="DN174" s="1684">
        <v>0</v>
      </c>
      <c r="DO174" s="1684">
        <v>0</v>
      </c>
      <c r="DP174" s="1684">
        <v>0</v>
      </c>
      <c r="DQ174" s="1326"/>
      <c r="DR174" s="1400"/>
      <c r="DS174" s="1326"/>
      <c r="DT174" s="1682"/>
      <c r="DU174" s="1326"/>
      <c r="DV174" s="1682"/>
    </row>
    <row r="175" spans="1:126" ht="56.25">
      <c r="A175" s="1326" t="s">
        <v>2170</v>
      </c>
      <c r="B175" s="1326" t="s">
        <v>1704</v>
      </c>
      <c r="C175" s="1326" t="s">
        <v>2580</v>
      </c>
      <c r="D175" s="1326" t="s">
        <v>2581</v>
      </c>
      <c r="E175" s="1326" t="s">
        <v>140</v>
      </c>
      <c r="F175" s="1326" t="s">
        <v>260</v>
      </c>
      <c r="G175" s="1326" t="s">
        <v>2582</v>
      </c>
      <c r="H175" s="1326" t="s">
        <v>2556</v>
      </c>
      <c r="I175" s="1326" t="s">
        <v>2541</v>
      </c>
      <c r="J175" s="1326" t="s">
        <v>1238</v>
      </c>
      <c r="K175" s="1685">
        <v>43076</v>
      </c>
      <c r="L175" s="1685">
        <v>43164</v>
      </c>
      <c r="M175" s="1326" t="s">
        <v>2435</v>
      </c>
      <c r="N175" s="1326" t="s">
        <v>2061</v>
      </c>
      <c r="O175" s="1326" t="s">
        <v>3226</v>
      </c>
      <c r="P175" s="1326" t="s">
        <v>2757</v>
      </c>
      <c r="Q175" s="1326" t="s">
        <v>1714</v>
      </c>
      <c r="R175" s="1326" t="s">
        <v>2757</v>
      </c>
      <c r="S175" s="1326" t="s">
        <v>2757</v>
      </c>
      <c r="T175" s="1326"/>
      <c r="U175" s="1326" t="s">
        <v>2758</v>
      </c>
      <c r="V175" s="1326" t="s">
        <v>2757</v>
      </c>
      <c r="W175" s="1326" t="s">
        <v>2757</v>
      </c>
      <c r="X175" s="1326"/>
      <c r="Y175" s="1326" t="s">
        <v>2757</v>
      </c>
      <c r="Z175" s="1326"/>
      <c r="AA175" s="1326"/>
      <c r="AB175" s="1326" t="s">
        <v>2757</v>
      </c>
      <c r="AC175" s="1326" t="s">
        <v>2757</v>
      </c>
      <c r="AD175" s="1326" t="s">
        <v>2757</v>
      </c>
      <c r="AE175" s="1326"/>
      <c r="AF175" s="1326" t="s">
        <v>3227</v>
      </c>
      <c r="AG175" s="1326" t="s">
        <v>3228</v>
      </c>
      <c r="AH175" s="1326" t="s">
        <v>2791</v>
      </c>
      <c r="AI175" s="1326" t="s">
        <v>2762</v>
      </c>
      <c r="AJ175" s="1326" t="s">
        <v>2763</v>
      </c>
      <c r="AK175" s="1326" t="s">
        <v>2987</v>
      </c>
      <c r="AL175" s="1326" t="s">
        <v>3229</v>
      </c>
      <c r="AM175" s="1683">
        <v>100</v>
      </c>
      <c r="AN175" s="1326"/>
      <c r="AO175" s="1326"/>
      <c r="AP175" s="1326"/>
      <c r="AQ175" s="1326"/>
      <c r="AR175" s="1326"/>
      <c r="AS175" s="1326"/>
      <c r="AT175" s="1326" t="s">
        <v>2766</v>
      </c>
      <c r="AU175" s="1326" t="s">
        <v>2766</v>
      </c>
      <c r="AV175" s="1326" t="s">
        <v>3230</v>
      </c>
      <c r="AW175" s="1326"/>
      <c r="AX175" s="1326" t="s">
        <v>2768</v>
      </c>
      <c r="AY175" s="1326" t="s">
        <v>2798</v>
      </c>
      <c r="AZ175" s="1326" t="s">
        <v>345</v>
      </c>
      <c r="BA175" s="1326" t="s">
        <v>2799</v>
      </c>
      <c r="BB175" s="1326" t="s">
        <v>2757</v>
      </c>
      <c r="BC175" s="1326" t="s">
        <v>2800</v>
      </c>
      <c r="BD175" s="1326" t="s">
        <v>2773</v>
      </c>
      <c r="BE175" s="1326" t="s">
        <v>2801</v>
      </c>
      <c r="BF175" s="1326" t="s">
        <v>2802</v>
      </c>
      <c r="BG175" s="1326" t="s">
        <v>2803</v>
      </c>
      <c r="BH175" s="1326" t="s">
        <v>2024</v>
      </c>
      <c r="BI175" s="1326" t="s">
        <v>2805</v>
      </c>
      <c r="BJ175" s="1326" t="s">
        <v>2806</v>
      </c>
      <c r="BK175" s="1326" t="s">
        <v>2766</v>
      </c>
      <c r="BL175" s="1326" t="s">
        <v>2757</v>
      </c>
      <c r="BM175" s="1326" t="s">
        <v>2757</v>
      </c>
      <c r="BN175" s="1683">
        <v>0</v>
      </c>
      <c r="BO175" s="1685">
        <v>43105</v>
      </c>
      <c r="BP175" s="1685">
        <v>43646</v>
      </c>
      <c r="BQ175" s="1326" t="s">
        <v>2779</v>
      </c>
      <c r="BR175" s="1685">
        <v>46022</v>
      </c>
      <c r="BS175" s="1326" t="s">
        <v>3231</v>
      </c>
      <c r="BT175" s="1326" t="s">
        <v>3232</v>
      </c>
      <c r="BU175" s="1683">
        <v>30</v>
      </c>
      <c r="BV175" s="1683">
        <v>50501.1</v>
      </c>
      <c r="BW175" s="1685">
        <v>43676</v>
      </c>
      <c r="BX175" s="1682"/>
      <c r="BY175" s="1326" t="s">
        <v>2052</v>
      </c>
      <c r="BZ175" s="1326" t="s">
        <v>2782</v>
      </c>
      <c r="CA175" s="1326" t="s">
        <v>2783</v>
      </c>
      <c r="CB175" s="1326" t="s">
        <v>2783</v>
      </c>
      <c r="CC175" s="1326" t="s">
        <v>2913</v>
      </c>
      <c r="CD175" s="1684">
        <v>181986</v>
      </c>
      <c r="CE175" s="1684">
        <v>181986</v>
      </c>
      <c r="CF175" s="1684">
        <v>168337</v>
      </c>
      <c r="CG175" s="1684">
        <v>92.5</v>
      </c>
      <c r="CH175" s="1684">
        <v>13649</v>
      </c>
      <c r="CI175" s="1684">
        <v>7.5</v>
      </c>
      <c r="CJ175" s="1684">
        <v>181986</v>
      </c>
      <c r="CK175" s="1684">
        <v>100</v>
      </c>
      <c r="CL175" s="1410" t="s">
        <v>2785</v>
      </c>
      <c r="CM175" s="1686">
        <v>43122</v>
      </c>
      <c r="CN175" s="1400"/>
      <c r="CO175" s="1326"/>
      <c r="CP175" s="1682"/>
      <c r="CQ175" s="1684">
        <v>168337</v>
      </c>
      <c r="CR175" s="1684">
        <v>154688</v>
      </c>
      <c r="CS175" s="1684">
        <v>13649</v>
      </c>
      <c r="CT175" s="1326" t="s">
        <v>2785</v>
      </c>
      <c r="CU175" s="1686">
        <v>43132</v>
      </c>
      <c r="CV175" s="1684">
        <v>181986</v>
      </c>
      <c r="CW175" s="1684">
        <v>0</v>
      </c>
      <c r="CX175" s="1684">
        <v>0</v>
      </c>
      <c r="CY175" s="1684">
        <v>109741</v>
      </c>
      <c r="CZ175" s="1684">
        <v>70266</v>
      </c>
      <c r="DA175" s="1684">
        <v>0</v>
      </c>
      <c r="DB175" s="1684">
        <v>0</v>
      </c>
      <c r="DC175" s="1684">
        <v>1979</v>
      </c>
      <c r="DD175" s="1684">
        <v>181986</v>
      </c>
      <c r="DE175" s="1684">
        <v>168337</v>
      </c>
      <c r="DF175" s="1684">
        <v>154688</v>
      </c>
      <c r="DG175" s="1684">
        <v>13649</v>
      </c>
      <c r="DH175" s="1684">
        <v>13649</v>
      </c>
      <c r="DI175" s="1684">
        <v>13649</v>
      </c>
      <c r="DJ175" s="1684">
        <v>0</v>
      </c>
      <c r="DK175" s="1684">
        <v>13649</v>
      </c>
      <c r="DL175" s="1684">
        <v>0</v>
      </c>
      <c r="DM175" s="1684">
        <v>0</v>
      </c>
      <c r="DN175" s="1684">
        <v>0</v>
      </c>
      <c r="DO175" s="1684">
        <v>0</v>
      </c>
      <c r="DP175" s="1684">
        <v>0</v>
      </c>
      <c r="DQ175" s="1326" t="s">
        <v>2810</v>
      </c>
      <c r="DR175" s="1684">
        <v>0</v>
      </c>
      <c r="DS175" s="1326" t="s">
        <v>2785</v>
      </c>
      <c r="DT175" s="1682" t="s">
        <v>3233</v>
      </c>
      <c r="DU175" s="1326" t="s">
        <v>2785</v>
      </c>
      <c r="DV175" s="1686">
        <v>43344</v>
      </c>
    </row>
    <row r="176" spans="1:126" ht="56.25">
      <c r="A176" s="1326" t="s">
        <v>2173</v>
      </c>
      <c r="B176" s="1326" t="s">
        <v>1704</v>
      </c>
      <c r="C176" s="1326" t="s">
        <v>2580</v>
      </c>
      <c r="D176" s="1326" t="s">
        <v>2581</v>
      </c>
      <c r="E176" s="1326" t="s">
        <v>140</v>
      </c>
      <c r="F176" s="1326" t="s">
        <v>260</v>
      </c>
      <c r="G176" s="1326" t="s">
        <v>2582</v>
      </c>
      <c r="H176" s="1326" t="s">
        <v>2556</v>
      </c>
      <c r="I176" s="1326" t="s">
        <v>2541</v>
      </c>
      <c r="J176" s="1326" t="s">
        <v>1239</v>
      </c>
      <c r="K176" s="1685">
        <v>43080</v>
      </c>
      <c r="L176" s="1685">
        <v>43193</v>
      </c>
      <c r="M176" s="1326" t="s">
        <v>639</v>
      </c>
      <c r="N176" s="1326" t="s">
        <v>2061</v>
      </c>
      <c r="O176" s="1326" t="s">
        <v>3234</v>
      </c>
      <c r="P176" s="1326" t="s">
        <v>2757</v>
      </c>
      <c r="Q176" s="1326" t="s">
        <v>1719</v>
      </c>
      <c r="R176" s="1326" t="s">
        <v>2757</v>
      </c>
      <c r="S176" s="1326" t="s">
        <v>2757</v>
      </c>
      <c r="T176" s="1326"/>
      <c r="U176" s="1326" t="s">
        <v>2758</v>
      </c>
      <c r="V176" s="1326" t="s">
        <v>2757</v>
      </c>
      <c r="W176" s="1326" t="s">
        <v>2757</v>
      </c>
      <c r="X176" s="1326"/>
      <c r="Y176" s="1326" t="s">
        <v>2757</v>
      </c>
      <c r="Z176" s="1326"/>
      <c r="AA176" s="1326"/>
      <c r="AB176" s="1326" t="s">
        <v>2757</v>
      </c>
      <c r="AC176" s="1326" t="s">
        <v>2757</v>
      </c>
      <c r="AD176" s="1326" t="s">
        <v>2757</v>
      </c>
      <c r="AE176" s="1326"/>
      <c r="AF176" s="1326" t="s">
        <v>3227</v>
      </c>
      <c r="AG176" s="1326" t="s">
        <v>3228</v>
      </c>
      <c r="AH176" s="1326" t="s">
        <v>2791</v>
      </c>
      <c r="AI176" s="1326" t="s">
        <v>2762</v>
      </c>
      <c r="AJ176" s="1326" t="s">
        <v>2763</v>
      </c>
      <c r="AK176" s="1326" t="s">
        <v>2987</v>
      </c>
      <c r="AL176" s="1326" t="s">
        <v>3229</v>
      </c>
      <c r="AM176" s="1683">
        <v>100</v>
      </c>
      <c r="AN176" s="1326"/>
      <c r="AO176" s="1326"/>
      <c r="AP176" s="1326"/>
      <c r="AQ176" s="1326"/>
      <c r="AR176" s="1326"/>
      <c r="AS176" s="1326"/>
      <c r="AT176" s="1326" t="s">
        <v>2766</v>
      </c>
      <c r="AU176" s="1326" t="s">
        <v>2766</v>
      </c>
      <c r="AV176" s="1326" t="s">
        <v>3230</v>
      </c>
      <c r="AW176" s="1326"/>
      <c r="AX176" s="1326" t="s">
        <v>2768</v>
      </c>
      <c r="AY176" s="1326" t="s">
        <v>2798</v>
      </c>
      <c r="AZ176" s="1326" t="s">
        <v>161</v>
      </c>
      <c r="BA176" s="1326" t="s">
        <v>2812</v>
      </c>
      <c r="BB176" s="1326" t="s">
        <v>2757</v>
      </c>
      <c r="BC176" s="1326" t="s">
        <v>2800</v>
      </c>
      <c r="BD176" s="1326" t="s">
        <v>2773</v>
      </c>
      <c r="BE176" s="1326" t="s">
        <v>3014</v>
      </c>
      <c r="BF176" s="1326" t="s">
        <v>3235</v>
      </c>
      <c r="BG176" s="1326" t="s">
        <v>2815</v>
      </c>
      <c r="BH176" s="1326" t="s">
        <v>2024</v>
      </c>
      <c r="BI176" s="1326" t="s">
        <v>2805</v>
      </c>
      <c r="BJ176" s="1326" t="s">
        <v>2816</v>
      </c>
      <c r="BK176" s="1326" t="s">
        <v>2766</v>
      </c>
      <c r="BL176" s="1326" t="s">
        <v>2757</v>
      </c>
      <c r="BM176" s="1326" t="s">
        <v>2757</v>
      </c>
      <c r="BN176" s="1683">
        <v>0</v>
      </c>
      <c r="BO176" s="1685">
        <v>42998</v>
      </c>
      <c r="BP176" s="1685">
        <v>43769</v>
      </c>
      <c r="BQ176" s="1326" t="s">
        <v>2779</v>
      </c>
      <c r="BR176" s="1685">
        <v>46022</v>
      </c>
      <c r="BS176" s="1326" t="s">
        <v>2817</v>
      </c>
      <c r="BT176" s="1326" t="s">
        <v>3236</v>
      </c>
      <c r="BU176" s="1683">
        <v>30</v>
      </c>
      <c r="BV176" s="1683">
        <v>37058.400000000001</v>
      </c>
      <c r="BW176" s="1685">
        <v>43799</v>
      </c>
      <c r="BX176" s="1682"/>
      <c r="BY176" s="1326" t="s">
        <v>2052</v>
      </c>
      <c r="BZ176" s="1326" t="s">
        <v>2782</v>
      </c>
      <c r="CA176" s="1326" t="s">
        <v>2783</v>
      </c>
      <c r="CB176" s="1326" t="s">
        <v>2783</v>
      </c>
      <c r="CC176" s="1326" t="s">
        <v>2913</v>
      </c>
      <c r="CD176" s="1684">
        <v>133554.21</v>
      </c>
      <c r="CE176" s="1684">
        <v>133554.21</v>
      </c>
      <c r="CF176" s="1684">
        <v>123528</v>
      </c>
      <c r="CG176" s="1684">
        <v>92.49</v>
      </c>
      <c r="CH176" s="1684">
        <v>10026.209999999999</v>
      </c>
      <c r="CI176" s="1684">
        <v>7.51</v>
      </c>
      <c r="CJ176" s="1684">
        <v>133554.21</v>
      </c>
      <c r="CK176" s="1684">
        <v>100</v>
      </c>
      <c r="CL176" s="1410" t="s">
        <v>2785</v>
      </c>
      <c r="CM176" s="1686">
        <v>43129</v>
      </c>
      <c r="CN176" s="1400"/>
      <c r="CO176" s="1326"/>
      <c r="CP176" s="1682"/>
      <c r="CQ176" s="1684">
        <v>123528</v>
      </c>
      <c r="CR176" s="1684">
        <v>113512</v>
      </c>
      <c r="CS176" s="1684">
        <v>10016</v>
      </c>
      <c r="CT176" s="1326" t="s">
        <v>2785</v>
      </c>
      <c r="CU176" s="1686">
        <v>43154</v>
      </c>
      <c r="CV176" s="1684">
        <v>133554.21</v>
      </c>
      <c r="CW176" s="1684">
        <v>0</v>
      </c>
      <c r="CX176" s="1684">
        <v>0</v>
      </c>
      <c r="CY176" s="1684">
        <v>100709.14</v>
      </c>
      <c r="CZ176" s="1684">
        <v>31092.11</v>
      </c>
      <c r="DA176" s="1684">
        <v>0</v>
      </c>
      <c r="DB176" s="1684">
        <v>0</v>
      </c>
      <c r="DC176" s="1684">
        <v>1752.96</v>
      </c>
      <c r="DD176" s="1684">
        <v>133554.21</v>
      </c>
      <c r="DE176" s="1684">
        <v>123528</v>
      </c>
      <c r="DF176" s="1684">
        <v>113512</v>
      </c>
      <c r="DG176" s="1684">
        <v>10016</v>
      </c>
      <c r="DH176" s="1684">
        <v>10026.209999999999</v>
      </c>
      <c r="DI176" s="1684">
        <v>10026.209999999999</v>
      </c>
      <c r="DJ176" s="1684">
        <v>0</v>
      </c>
      <c r="DK176" s="1684">
        <v>10026.209999999999</v>
      </c>
      <c r="DL176" s="1684">
        <v>0</v>
      </c>
      <c r="DM176" s="1684">
        <v>0</v>
      </c>
      <c r="DN176" s="1684">
        <v>0</v>
      </c>
      <c r="DO176" s="1684">
        <v>0</v>
      </c>
      <c r="DP176" s="1684">
        <v>0</v>
      </c>
      <c r="DQ176" s="1326" t="s">
        <v>2810</v>
      </c>
      <c r="DR176" s="1684">
        <v>0</v>
      </c>
      <c r="DS176" s="1326" t="s">
        <v>2785</v>
      </c>
      <c r="DT176" s="1682" t="s">
        <v>2995</v>
      </c>
      <c r="DU176" s="1326" t="s">
        <v>2785</v>
      </c>
      <c r="DV176" s="1686">
        <v>43281</v>
      </c>
    </row>
    <row r="177" spans="1:126" ht="90">
      <c r="A177" s="1326" t="s">
        <v>2175</v>
      </c>
      <c r="B177" s="1326" t="s">
        <v>1704</v>
      </c>
      <c r="C177" s="1326" t="s">
        <v>2580</v>
      </c>
      <c r="D177" s="1326" t="s">
        <v>2581</v>
      </c>
      <c r="E177" s="1326" t="s">
        <v>140</v>
      </c>
      <c r="F177" s="1326" t="s">
        <v>260</v>
      </c>
      <c r="G177" s="1326" t="s">
        <v>2582</v>
      </c>
      <c r="H177" s="1326" t="s">
        <v>2556</v>
      </c>
      <c r="I177" s="1326" t="s">
        <v>2541</v>
      </c>
      <c r="J177" s="1326" t="s">
        <v>1240</v>
      </c>
      <c r="K177" s="1685">
        <v>43080</v>
      </c>
      <c r="L177" s="1685">
        <v>43179</v>
      </c>
      <c r="M177" s="1326" t="s">
        <v>138</v>
      </c>
      <c r="N177" s="1326" t="s">
        <v>2061</v>
      </c>
      <c r="O177" s="1326" t="s">
        <v>3237</v>
      </c>
      <c r="P177" s="1326" t="s">
        <v>2757</v>
      </c>
      <c r="Q177" s="1326" t="s">
        <v>1720</v>
      </c>
      <c r="R177" s="1326" t="s">
        <v>2757</v>
      </c>
      <c r="S177" s="1326" t="s">
        <v>2757</v>
      </c>
      <c r="T177" s="1326"/>
      <c r="U177" s="1326" t="s">
        <v>2758</v>
      </c>
      <c r="V177" s="1326" t="s">
        <v>2757</v>
      </c>
      <c r="W177" s="1326" t="s">
        <v>2757</v>
      </c>
      <c r="X177" s="1326"/>
      <c r="Y177" s="1326" t="s">
        <v>2757</v>
      </c>
      <c r="Z177" s="1326"/>
      <c r="AA177" s="1326"/>
      <c r="AB177" s="1326" t="s">
        <v>2757</v>
      </c>
      <c r="AC177" s="1326" t="s">
        <v>2757</v>
      </c>
      <c r="AD177" s="1326" t="s">
        <v>2757</v>
      </c>
      <c r="AE177" s="1326"/>
      <c r="AF177" s="1326" t="s">
        <v>3227</v>
      </c>
      <c r="AG177" s="1326" t="s">
        <v>3228</v>
      </c>
      <c r="AH177" s="1326" t="s">
        <v>2791</v>
      </c>
      <c r="AI177" s="1326" t="s">
        <v>2762</v>
      </c>
      <c r="AJ177" s="1326" t="s">
        <v>2763</v>
      </c>
      <c r="AK177" s="1326" t="s">
        <v>2987</v>
      </c>
      <c r="AL177" s="1326" t="s">
        <v>3229</v>
      </c>
      <c r="AM177" s="1683">
        <v>100</v>
      </c>
      <c r="AN177" s="1326"/>
      <c r="AO177" s="1326"/>
      <c r="AP177" s="1326"/>
      <c r="AQ177" s="1326"/>
      <c r="AR177" s="1326"/>
      <c r="AS177" s="1326"/>
      <c r="AT177" s="1326" t="s">
        <v>2766</v>
      </c>
      <c r="AU177" s="1326" t="s">
        <v>2766</v>
      </c>
      <c r="AV177" s="1326" t="s">
        <v>3230</v>
      </c>
      <c r="AW177" s="1326"/>
      <c r="AX177" s="1326" t="s">
        <v>2768</v>
      </c>
      <c r="AY177" s="1326" t="s">
        <v>2798</v>
      </c>
      <c r="AZ177" s="1326" t="s">
        <v>282</v>
      </c>
      <c r="BA177" s="1326" t="s">
        <v>2820</v>
      </c>
      <c r="BB177" s="1326" t="s">
        <v>2757</v>
      </c>
      <c r="BC177" s="1326" t="s">
        <v>2800</v>
      </c>
      <c r="BD177" s="1326" t="s">
        <v>2773</v>
      </c>
      <c r="BE177" s="1326" t="s">
        <v>2942</v>
      </c>
      <c r="BF177" s="1326" t="s">
        <v>2958</v>
      </c>
      <c r="BG177" s="1326" t="s">
        <v>2944</v>
      </c>
      <c r="BH177" s="1326" t="s">
        <v>2024</v>
      </c>
      <c r="BI177" s="1326" t="s">
        <v>2805</v>
      </c>
      <c r="BJ177" s="1326" t="s">
        <v>2824</v>
      </c>
      <c r="BK177" s="1326" t="s">
        <v>2766</v>
      </c>
      <c r="BL177" s="1326" t="s">
        <v>2757</v>
      </c>
      <c r="BM177" s="1326" t="s">
        <v>2757</v>
      </c>
      <c r="BN177" s="1683">
        <v>0</v>
      </c>
      <c r="BO177" s="1685">
        <v>42745</v>
      </c>
      <c r="BP177" s="1685">
        <v>43799</v>
      </c>
      <c r="BQ177" s="1326" t="s">
        <v>2779</v>
      </c>
      <c r="BR177" s="1685">
        <v>46022</v>
      </c>
      <c r="BS177" s="1326" t="s">
        <v>2807</v>
      </c>
      <c r="BT177" s="1326" t="s">
        <v>3238</v>
      </c>
      <c r="BU177" s="1683">
        <v>30</v>
      </c>
      <c r="BV177" s="1683">
        <v>93797.4</v>
      </c>
      <c r="BW177" s="1685">
        <v>43829</v>
      </c>
      <c r="BX177" s="1682"/>
      <c r="BY177" s="1326" t="s">
        <v>2052</v>
      </c>
      <c r="BZ177" s="1326" t="s">
        <v>2782</v>
      </c>
      <c r="CA177" s="1326" t="s">
        <v>2783</v>
      </c>
      <c r="CB177" s="1326" t="s">
        <v>2783</v>
      </c>
      <c r="CC177" s="1326" t="s">
        <v>2913</v>
      </c>
      <c r="CD177" s="1684">
        <v>370000</v>
      </c>
      <c r="CE177" s="1684">
        <v>370000</v>
      </c>
      <c r="CF177" s="1684">
        <v>312658</v>
      </c>
      <c r="CG177" s="1684">
        <v>84.5</v>
      </c>
      <c r="CH177" s="1684">
        <v>57342</v>
      </c>
      <c r="CI177" s="1684">
        <v>15.5</v>
      </c>
      <c r="CJ177" s="1684">
        <v>370000</v>
      </c>
      <c r="CK177" s="1684">
        <v>100</v>
      </c>
      <c r="CL177" s="1410" t="s">
        <v>2785</v>
      </c>
      <c r="CM177" s="1686">
        <v>43139</v>
      </c>
      <c r="CN177" s="1400"/>
      <c r="CO177" s="1326"/>
      <c r="CP177" s="1682"/>
      <c r="CQ177" s="1684">
        <v>312658</v>
      </c>
      <c r="CR177" s="1684">
        <v>287307</v>
      </c>
      <c r="CS177" s="1684">
        <v>25351</v>
      </c>
      <c r="CT177" s="1326" t="s">
        <v>2785</v>
      </c>
      <c r="CU177" s="1686">
        <v>43152</v>
      </c>
      <c r="CV177" s="1684">
        <v>370000</v>
      </c>
      <c r="CW177" s="1684">
        <v>0</v>
      </c>
      <c r="CX177" s="1684">
        <v>0</v>
      </c>
      <c r="CY177" s="1684">
        <v>335961.01</v>
      </c>
      <c r="CZ177" s="1684">
        <v>29098.54</v>
      </c>
      <c r="DA177" s="1684">
        <v>914.73</v>
      </c>
      <c r="DB177" s="1684">
        <v>0</v>
      </c>
      <c r="DC177" s="1684">
        <v>4025.72</v>
      </c>
      <c r="DD177" s="1684">
        <v>370000</v>
      </c>
      <c r="DE177" s="1684">
        <v>312658</v>
      </c>
      <c r="DF177" s="1684">
        <v>287307</v>
      </c>
      <c r="DG177" s="1684">
        <v>25351</v>
      </c>
      <c r="DH177" s="1684">
        <v>57342</v>
      </c>
      <c r="DI177" s="1684">
        <v>57342</v>
      </c>
      <c r="DJ177" s="1684">
        <v>0</v>
      </c>
      <c r="DK177" s="1684">
        <v>57342</v>
      </c>
      <c r="DL177" s="1684">
        <v>0</v>
      </c>
      <c r="DM177" s="1684">
        <v>0</v>
      </c>
      <c r="DN177" s="1684">
        <v>0</v>
      </c>
      <c r="DO177" s="1684">
        <v>0</v>
      </c>
      <c r="DP177" s="1684">
        <v>0</v>
      </c>
      <c r="DQ177" s="1326" t="s">
        <v>2810</v>
      </c>
      <c r="DR177" s="1684">
        <v>0</v>
      </c>
      <c r="DS177" s="1326" t="s">
        <v>2785</v>
      </c>
      <c r="DT177" s="1682" t="s">
        <v>3239</v>
      </c>
      <c r="DU177" s="1326" t="s">
        <v>2785</v>
      </c>
      <c r="DV177" s="1686">
        <v>43404</v>
      </c>
    </row>
    <row r="178" spans="1:126" ht="67.5">
      <c r="A178" s="1326" t="s">
        <v>2177</v>
      </c>
      <c r="B178" s="1326" t="s">
        <v>1704</v>
      </c>
      <c r="C178" s="1326" t="s">
        <v>2580</v>
      </c>
      <c r="D178" s="1326" t="s">
        <v>2581</v>
      </c>
      <c r="E178" s="1326" t="s">
        <v>140</v>
      </c>
      <c r="F178" s="1326" t="s">
        <v>260</v>
      </c>
      <c r="G178" s="1326" t="s">
        <v>2582</v>
      </c>
      <c r="H178" s="1326" t="s">
        <v>2556</v>
      </c>
      <c r="I178" s="1326" t="s">
        <v>2541</v>
      </c>
      <c r="J178" s="1326" t="s">
        <v>1241</v>
      </c>
      <c r="K178" s="1685">
        <v>43080</v>
      </c>
      <c r="L178" s="1685">
        <v>43186</v>
      </c>
      <c r="M178" s="1326" t="s">
        <v>3240</v>
      </c>
      <c r="N178" s="1326" t="s">
        <v>2061</v>
      </c>
      <c r="O178" s="1326" t="s">
        <v>3241</v>
      </c>
      <c r="P178" s="1326" t="s">
        <v>2757</v>
      </c>
      <c r="Q178" s="1326" t="s">
        <v>1724</v>
      </c>
      <c r="R178" s="1326" t="s">
        <v>2757</v>
      </c>
      <c r="S178" s="1326" t="s">
        <v>2757</v>
      </c>
      <c r="T178" s="1326"/>
      <c r="U178" s="1326" t="s">
        <v>2758</v>
      </c>
      <c r="V178" s="1326" t="s">
        <v>2757</v>
      </c>
      <c r="W178" s="1326" t="s">
        <v>2757</v>
      </c>
      <c r="X178" s="1326"/>
      <c r="Y178" s="1326" t="s">
        <v>2757</v>
      </c>
      <c r="Z178" s="1326"/>
      <c r="AA178" s="1326"/>
      <c r="AB178" s="1326" t="s">
        <v>2757</v>
      </c>
      <c r="AC178" s="1326" t="s">
        <v>2757</v>
      </c>
      <c r="AD178" s="1326" t="s">
        <v>2757</v>
      </c>
      <c r="AE178" s="1326"/>
      <c r="AF178" s="1326" t="s">
        <v>3227</v>
      </c>
      <c r="AG178" s="1326" t="s">
        <v>3228</v>
      </c>
      <c r="AH178" s="1326" t="s">
        <v>2791</v>
      </c>
      <c r="AI178" s="1326" t="s">
        <v>2762</v>
      </c>
      <c r="AJ178" s="1326" t="s">
        <v>2763</v>
      </c>
      <c r="AK178" s="1326" t="s">
        <v>2987</v>
      </c>
      <c r="AL178" s="1326" t="s">
        <v>3229</v>
      </c>
      <c r="AM178" s="1683">
        <v>100</v>
      </c>
      <c r="AN178" s="1326"/>
      <c r="AO178" s="1326"/>
      <c r="AP178" s="1326"/>
      <c r="AQ178" s="1326"/>
      <c r="AR178" s="1326"/>
      <c r="AS178" s="1326"/>
      <c r="AT178" s="1326" t="s">
        <v>2766</v>
      </c>
      <c r="AU178" s="1326" t="s">
        <v>2766</v>
      </c>
      <c r="AV178" s="1326" t="s">
        <v>3230</v>
      </c>
      <c r="AW178" s="1326"/>
      <c r="AX178" s="1326" t="s">
        <v>2768</v>
      </c>
      <c r="AY178" s="1326" t="s">
        <v>2798</v>
      </c>
      <c r="AZ178" s="1326" t="s">
        <v>184</v>
      </c>
      <c r="BA178" s="1326" t="s">
        <v>2828</v>
      </c>
      <c r="BB178" s="1326" t="s">
        <v>2757</v>
      </c>
      <c r="BC178" s="1326" t="s">
        <v>2800</v>
      </c>
      <c r="BD178" s="1326" t="s">
        <v>2773</v>
      </c>
      <c r="BE178" s="1326" t="s">
        <v>3242</v>
      </c>
      <c r="BF178" s="1326" t="s">
        <v>2830</v>
      </c>
      <c r="BG178" s="1326" t="s">
        <v>2831</v>
      </c>
      <c r="BH178" s="1326" t="s">
        <v>2535</v>
      </c>
      <c r="BI178" s="1326" t="s">
        <v>2805</v>
      </c>
      <c r="BJ178" s="1326" t="s">
        <v>2832</v>
      </c>
      <c r="BK178" s="1326" t="s">
        <v>2766</v>
      </c>
      <c r="BL178" s="1326" t="s">
        <v>2757</v>
      </c>
      <c r="BM178" s="1326" t="s">
        <v>2757</v>
      </c>
      <c r="BN178" s="1683">
        <v>0</v>
      </c>
      <c r="BO178" s="1685">
        <v>43186</v>
      </c>
      <c r="BP178" s="1685">
        <v>43921</v>
      </c>
      <c r="BQ178" s="1326" t="s">
        <v>2779</v>
      </c>
      <c r="BR178" s="1685">
        <v>46387</v>
      </c>
      <c r="BS178" s="1326" t="s">
        <v>2807</v>
      </c>
      <c r="BT178" s="1326" t="s">
        <v>3243</v>
      </c>
      <c r="BU178" s="1683">
        <v>30</v>
      </c>
      <c r="BV178" s="1683">
        <v>161278.5</v>
      </c>
      <c r="BW178" s="1685">
        <v>43951</v>
      </c>
      <c r="BX178" s="1682"/>
      <c r="BY178" s="1326" t="s">
        <v>2052</v>
      </c>
      <c r="BZ178" s="1326" t="s">
        <v>2783</v>
      </c>
      <c r="CA178" s="1326" t="s">
        <v>2783</v>
      </c>
      <c r="CB178" s="1326" t="s">
        <v>2783</v>
      </c>
      <c r="CC178" s="1326" t="s">
        <v>2913</v>
      </c>
      <c r="CD178" s="1684">
        <v>597456.88</v>
      </c>
      <c r="CE178" s="1684">
        <v>597456.88</v>
      </c>
      <c r="CF178" s="1684">
        <v>537595</v>
      </c>
      <c r="CG178" s="1684">
        <v>89.98</v>
      </c>
      <c r="CH178" s="1684">
        <v>59861.88</v>
      </c>
      <c r="CI178" s="1684">
        <v>10.02</v>
      </c>
      <c r="CJ178" s="1684">
        <v>597456.88</v>
      </c>
      <c r="CK178" s="1684">
        <v>100</v>
      </c>
      <c r="CL178" s="1410" t="s">
        <v>2785</v>
      </c>
      <c r="CM178" s="1686">
        <v>43138</v>
      </c>
      <c r="CN178" s="1400"/>
      <c r="CO178" s="1326"/>
      <c r="CP178" s="1682"/>
      <c r="CQ178" s="1684">
        <v>537595</v>
      </c>
      <c r="CR178" s="1684">
        <v>494007</v>
      </c>
      <c r="CS178" s="1684">
        <v>43588</v>
      </c>
      <c r="CT178" s="1326" t="s">
        <v>2785</v>
      </c>
      <c r="CU178" s="1686">
        <v>43152</v>
      </c>
      <c r="CV178" s="1684">
        <v>597456.88</v>
      </c>
      <c r="CW178" s="1684">
        <v>0</v>
      </c>
      <c r="CX178" s="1684">
        <v>0</v>
      </c>
      <c r="CY178" s="1684">
        <v>515100.88</v>
      </c>
      <c r="CZ178" s="1684">
        <v>82356</v>
      </c>
      <c r="DA178" s="1684">
        <v>0</v>
      </c>
      <c r="DB178" s="1684">
        <v>0</v>
      </c>
      <c r="DC178" s="1684">
        <v>0</v>
      </c>
      <c r="DD178" s="1684">
        <v>597456.88</v>
      </c>
      <c r="DE178" s="1684">
        <v>537595</v>
      </c>
      <c r="DF178" s="1684">
        <v>494007</v>
      </c>
      <c r="DG178" s="1684">
        <v>43588</v>
      </c>
      <c r="DH178" s="1684">
        <v>59861.88</v>
      </c>
      <c r="DI178" s="1684">
        <v>59861.88</v>
      </c>
      <c r="DJ178" s="1684">
        <v>0</v>
      </c>
      <c r="DK178" s="1684">
        <v>59861.88</v>
      </c>
      <c r="DL178" s="1684">
        <v>0</v>
      </c>
      <c r="DM178" s="1684">
        <v>0</v>
      </c>
      <c r="DN178" s="1684">
        <v>0</v>
      </c>
      <c r="DO178" s="1684">
        <v>0</v>
      </c>
      <c r="DP178" s="1684">
        <v>0</v>
      </c>
      <c r="DQ178" s="1326" t="s">
        <v>2810</v>
      </c>
      <c r="DR178" s="1684">
        <v>0</v>
      </c>
      <c r="DS178" s="1326" t="s">
        <v>2785</v>
      </c>
      <c r="DT178" s="1682" t="s">
        <v>3244</v>
      </c>
      <c r="DU178" s="1326" t="s">
        <v>2785</v>
      </c>
      <c r="DV178" s="1686">
        <v>43342</v>
      </c>
    </row>
    <row r="179" spans="1:126" ht="56.25">
      <c r="A179" s="1326" t="s">
        <v>2178</v>
      </c>
      <c r="B179" s="1326" t="s">
        <v>1704</v>
      </c>
      <c r="C179" s="1326" t="s">
        <v>2580</v>
      </c>
      <c r="D179" s="1326" t="s">
        <v>2581</v>
      </c>
      <c r="E179" s="1326" t="s">
        <v>140</v>
      </c>
      <c r="F179" s="1326" t="s">
        <v>260</v>
      </c>
      <c r="G179" s="1326" t="s">
        <v>2582</v>
      </c>
      <c r="H179" s="1326" t="s">
        <v>2556</v>
      </c>
      <c r="I179" s="1326" t="s">
        <v>2541</v>
      </c>
      <c r="J179" s="1326" t="s">
        <v>2444</v>
      </c>
      <c r="K179" s="1685">
        <v>43175</v>
      </c>
      <c r="L179" s="1685">
        <v>43265</v>
      </c>
      <c r="M179" s="1326" t="s">
        <v>2445</v>
      </c>
      <c r="N179" s="1326" t="s">
        <v>2061</v>
      </c>
      <c r="O179" s="1326" t="s">
        <v>3245</v>
      </c>
      <c r="P179" s="1326" t="s">
        <v>2757</v>
      </c>
      <c r="Q179" s="1326" t="s">
        <v>1718</v>
      </c>
      <c r="R179" s="1326" t="s">
        <v>2757</v>
      </c>
      <c r="S179" s="1326" t="s">
        <v>2757</v>
      </c>
      <c r="T179" s="1326"/>
      <c r="U179" s="1326" t="s">
        <v>2758</v>
      </c>
      <c r="V179" s="1326" t="s">
        <v>2757</v>
      </c>
      <c r="W179" s="1326" t="s">
        <v>2757</v>
      </c>
      <c r="X179" s="1326"/>
      <c r="Y179" s="1326" t="s">
        <v>2757</v>
      </c>
      <c r="Z179" s="1326"/>
      <c r="AA179" s="1326"/>
      <c r="AB179" s="1326" t="s">
        <v>2757</v>
      </c>
      <c r="AC179" s="1326" t="s">
        <v>2757</v>
      </c>
      <c r="AD179" s="1326" t="s">
        <v>2757</v>
      </c>
      <c r="AE179" s="1326"/>
      <c r="AF179" s="1326" t="s">
        <v>3227</v>
      </c>
      <c r="AG179" s="1326" t="s">
        <v>3228</v>
      </c>
      <c r="AH179" s="1326" t="s">
        <v>2791</v>
      </c>
      <c r="AI179" s="1326" t="s">
        <v>2762</v>
      </c>
      <c r="AJ179" s="1326" t="s">
        <v>2763</v>
      </c>
      <c r="AK179" s="1326" t="s">
        <v>2987</v>
      </c>
      <c r="AL179" s="1326" t="s">
        <v>3229</v>
      </c>
      <c r="AM179" s="1683">
        <v>100</v>
      </c>
      <c r="AN179" s="1326"/>
      <c r="AO179" s="1326"/>
      <c r="AP179" s="1326"/>
      <c r="AQ179" s="1326"/>
      <c r="AR179" s="1326"/>
      <c r="AS179" s="1326"/>
      <c r="AT179" s="1326" t="s">
        <v>2766</v>
      </c>
      <c r="AU179" s="1326" t="s">
        <v>2766</v>
      </c>
      <c r="AV179" s="1326" t="s">
        <v>3230</v>
      </c>
      <c r="AW179" s="1326"/>
      <c r="AX179" s="1326" t="s">
        <v>2768</v>
      </c>
      <c r="AY179" s="1326" t="s">
        <v>2798</v>
      </c>
      <c r="AZ179" s="1326" t="s">
        <v>235</v>
      </c>
      <c r="BA179" s="1326" t="s">
        <v>2929</v>
      </c>
      <c r="BB179" s="1326" t="s">
        <v>2757</v>
      </c>
      <c r="BC179" s="1326" t="s">
        <v>2800</v>
      </c>
      <c r="BD179" s="1326" t="s">
        <v>2773</v>
      </c>
      <c r="BE179" s="1326" t="s">
        <v>2930</v>
      </c>
      <c r="BF179" s="1326" t="s">
        <v>3062</v>
      </c>
      <c r="BG179" s="1326" t="s">
        <v>2932</v>
      </c>
      <c r="BH179" s="1326" t="s">
        <v>2024</v>
      </c>
      <c r="BI179" s="1326" t="s">
        <v>2805</v>
      </c>
      <c r="BJ179" s="1326" t="s">
        <v>2885</v>
      </c>
      <c r="BK179" s="1326" t="s">
        <v>2766</v>
      </c>
      <c r="BL179" s="1326" t="s">
        <v>2757</v>
      </c>
      <c r="BM179" s="1326" t="s">
        <v>2757</v>
      </c>
      <c r="BN179" s="1683">
        <v>0</v>
      </c>
      <c r="BO179" s="1685">
        <v>43017</v>
      </c>
      <c r="BP179" s="1685">
        <v>43830</v>
      </c>
      <c r="BQ179" s="1326" t="s">
        <v>2779</v>
      </c>
      <c r="BR179" s="1685">
        <v>46022</v>
      </c>
      <c r="BS179" s="1326" t="s">
        <v>3246</v>
      </c>
      <c r="BT179" s="1326" t="s">
        <v>3247</v>
      </c>
      <c r="BU179" s="1683">
        <v>30</v>
      </c>
      <c r="BV179" s="1683">
        <v>29079.9</v>
      </c>
      <c r="BW179" s="1685">
        <v>43860</v>
      </c>
      <c r="BX179" s="1682"/>
      <c r="BY179" s="1326" t="s">
        <v>2052</v>
      </c>
      <c r="BZ179" s="1326" t="s">
        <v>2783</v>
      </c>
      <c r="CA179" s="1326" t="s">
        <v>2783</v>
      </c>
      <c r="CB179" s="1326" t="s">
        <v>2783</v>
      </c>
      <c r="CC179" s="1326" t="s">
        <v>2913</v>
      </c>
      <c r="CD179" s="1684">
        <v>176024.68</v>
      </c>
      <c r="CE179" s="1684">
        <v>176024.68</v>
      </c>
      <c r="CF179" s="1684">
        <v>96933</v>
      </c>
      <c r="CG179" s="1684">
        <v>55.07</v>
      </c>
      <c r="CH179" s="1684">
        <v>79091.679999999993</v>
      </c>
      <c r="CI179" s="1684">
        <v>44.93</v>
      </c>
      <c r="CJ179" s="1684">
        <v>176024.68</v>
      </c>
      <c r="CK179" s="1684">
        <v>100</v>
      </c>
      <c r="CL179" s="1410" t="s">
        <v>2785</v>
      </c>
      <c r="CM179" s="1686">
        <v>43231</v>
      </c>
      <c r="CN179" s="1400"/>
      <c r="CO179" s="1326"/>
      <c r="CP179" s="1682"/>
      <c r="CQ179" s="1684">
        <v>96933</v>
      </c>
      <c r="CR179" s="1684">
        <v>89074</v>
      </c>
      <c r="CS179" s="1684">
        <v>7859</v>
      </c>
      <c r="CT179" s="1326" t="s">
        <v>2785</v>
      </c>
      <c r="CU179" s="1686">
        <v>43243</v>
      </c>
      <c r="CV179" s="1684">
        <v>176024.68</v>
      </c>
      <c r="CW179" s="1684">
        <v>0</v>
      </c>
      <c r="CX179" s="1684">
        <v>0</v>
      </c>
      <c r="CY179" s="1684">
        <v>99219.29</v>
      </c>
      <c r="CZ179" s="1684">
        <v>76805.39</v>
      </c>
      <c r="DA179" s="1684">
        <v>0</v>
      </c>
      <c r="DB179" s="1684">
        <v>0</v>
      </c>
      <c r="DC179" s="1684">
        <v>0</v>
      </c>
      <c r="DD179" s="1684">
        <v>176024.68</v>
      </c>
      <c r="DE179" s="1684">
        <v>96933</v>
      </c>
      <c r="DF179" s="1684">
        <v>89074</v>
      </c>
      <c r="DG179" s="1684">
        <v>7859</v>
      </c>
      <c r="DH179" s="1684">
        <v>79091.679999999993</v>
      </c>
      <c r="DI179" s="1684">
        <v>79091.679999999993</v>
      </c>
      <c r="DJ179" s="1684">
        <v>0</v>
      </c>
      <c r="DK179" s="1684">
        <v>79091.679999999993</v>
      </c>
      <c r="DL179" s="1684">
        <v>0</v>
      </c>
      <c r="DM179" s="1684">
        <v>0</v>
      </c>
      <c r="DN179" s="1684">
        <v>0</v>
      </c>
      <c r="DO179" s="1684">
        <v>0</v>
      </c>
      <c r="DP179" s="1684">
        <v>0</v>
      </c>
      <c r="DQ179" s="1326" t="s">
        <v>2810</v>
      </c>
      <c r="DR179" s="1684">
        <v>0</v>
      </c>
      <c r="DS179" s="1326" t="s">
        <v>2785</v>
      </c>
      <c r="DT179" s="1682" t="s">
        <v>3067</v>
      </c>
      <c r="DU179" s="1326" t="s">
        <v>2785</v>
      </c>
      <c r="DV179" s="1686">
        <v>43465</v>
      </c>
    </row>
    <row r="180" spans="1:126" ht="22.5">
      <c r="A180" s="1326" t="s">
        <v>2179</v>
      </c>
      <c r="B180" s="1326" t="s">
        <v>1704</v>
      </c>
      <c r="C180" s="1326" t="s">
        <v>2580</v>
      </c>
      <c r="D180" s="1326" t="s">
        <v>2581</v>
      </c>
      <c r="E180" s="1326" t="s">
        <v>136</v>
      </c>
      <c r="F180" s="1326" t="s">
        <v>376</v>
      </c>
      <c r="G180" s="1326"/>
      <c r="H180" s="1326"/>
      <c r="I180" s="1326"/>
      <c r="J180" s="1326"/>
      <c r="K180" s="1682"/>
      <c r="L180" s="1682"/>
      <c r="M180" s="1326"/>
      <c r="N180" s="1326"/>
      <c r="O180" s="1326"/>
      <c r="P180" s="1326"/>
      <c r="Q180" s="1326"/>
      <c r="R180" s="1326"/>
      <c r="S180" s="1326"/>
      <c r="T180" s="1326"/>
      <c r="U180" s="1326"/>
      <c r="V180" s="1326"/>
      <c r="W180" s="1326"/>
      <c r="X180" s="1326"/>
      <c r="Y180" s="1326"/>
      <c r="Z180" s="1326"/>
      <c r="AA180" s="1326"/>
      <c r="AB180" s="1326"/>
      <c r="AC180" s="1326"/>
      <c r="AD180" s="1326"/>
      <c r="AE180" s="1326"/>
      <c r="AF180" s="1326"/>
      <c r="AG180" s="1326"/>
      <c r="AH180" s="1326"/>
      <c r="AI180" s="1326"/>
      <c r="AJ180" s="1326"/>
      <c r="AK180" s="1326"/>
      <c r="AL180" s="1326"/>
      <c r="AM180" s="1400"/>
      <c r="AN180" s="1326"/>
      <c r="AO180" s="1326"/>
      <c r="AP180" s="1326"/>
      <c r="AQ180" s="1326"/>
      <c r="AR180" s="1326"/>
      <c r="AS180" s="1326"/>
      <c r="AT180" s="1326"/>
      <c r="AU180" s="1326"/>
      <c r="AV180" s="1326"/>
      <c r="AW180" s="1326"/>
      <c r="AX180" s="1326"/>
      <c r="AY180" s="1326"/>
      <c r="AZ180" s="1326"/>
      <c r="BA180" s="1326"/>
      <c r="BB180" s="1326"/>
      <c r="BC180" s="1326"/>
      <c r="BD180" s="1326"/>
      <c r="BE180" s="1326"/>
      <c r="BF180" s="1326"/>
      <c r="BG180" s="1326"/>
      <c r="BH180" s="1326"/>
      <c r="BI180" s="1326"/>
      <c r="BJ180" s="1326"/>
      <c r="BK180" s="1326"/>
      <c r="BL180" s="1326"/>
      <c r="BM180" s="1326"/>
      <c r="BN180" s="1400"/>
      <c r="BO180" s="1682"/>
      <c r="BP180" s="1682"/>
      <c r="BQ180" s="1326"/>
      <c r="BR180" s="1682"/>
      <c r="BS180" s="1326"/>
      <c r="BT180" s="1326"/>
      <c r="BU180" s="1400"/>
      <c r="BV180" s="1683">
        <v>372952.8</v>
      </c>
      <c r="BW180" s="1682"/>
      <c r="BX180" s="1682"/>
      <c r="BY180" s="1326"/>
      <c r="BZ180" s="1326"/>
      <c r="CA180" s="1326"/>
      <c r="CB180" s="1326"/>
      <c r="CC180" s="1326"/>
      <c r="CD180" s="1684">
        <v>1343975.41</v>
      </c>
      <c r="CE180" s="1684">
        <v>1343975.41</v>
      </c>
      <c r="CF180" s="1684">
        <v>1243176</v>
      </c>
      <c r="CG180" s="1684">
        <v>92.5</v>
      </c>
      <c r="CH180" s="1684">
        <v>100799.41</v>
      </c>
      <c r="CI180" s="1684">
        <v>7.5</v>
      </c>
      <c r="CJ180" s="1684">
        <v>1343975.41</v>
      </c>
      <c r="CK180" s="1684">
        <v>100</v>
      </c>
      <c r="CL180" s="1410"/>
      <c r="CM180" s="1682"/>
      <c r="CN180" s="1400"/>
      <c r="CO180" s="1326"/>
      <c r="CP180" s="1682"/>
      <c r="CQ180" s="1684">
        <v>1243176</v>
      </c>
      <c r="CR180" s="1684">
        <v>1142377</v>
      </c>
      <c r="CS180" s="1684">
        <v>100799</v>
      </c>
      <c r="CT180" s="1326"/>
      <c r="CU180" s="1682"/>
      <c r="CV180" s="1684">
        <v>1343975.41</v>
      </c>
      <c r="CW180" s="1684">
        <v>0</v>
      </c>
      <c r="CX180" s="1684">
        <v>0</v>
      </c>
      <c r="CY180" s="1684">
        <v>1018582.21</v>
      </c>
      <c r="CZ180" s="1684">
        <v>310586.53000000003</v>
      </c>
      <c r="DA180" s="1684">
        <v>3509</v>
      </c>
      <c r="DB180" s="1684">
        <v>200</v>
      </c>
      <c r="DC180" s="1684">
        <v>11097.67</v>
      </c>
      <c r="DD180" s="1684">
        <v>1343975.41</v>
      </c>
      <c r="DE180" s="1684">
        <v>1243176</v>
      </c>
      <c r="DF180" s="1684">
        <v>1142377</v>
      </c>
      <c r="DG180" s="1684">
        <v>100799</v>
      </c>
      <c r="DH180" s="1684">
        <v>100799.41</v>
      </c>
      <c r="DI180" s="1684">
        <v>100799.41</v>
      </c>
      <c r="DJ180" s="1684">
        <v>0</v>
      </c>
      <c r="DK180" s="1684">
        <v>100799.41</v>
      </c>
      <c r="DL180" s="1684">
        <v>0</v>
      </c>
      <c r="DM180" s="1684">
        <v>0</v>
      </c>
      <c r="DN180" s="1684">
        <v>0</v>
      </c>
      <c r="DO180" s="1684">
        <v>0</v>
      </c>
      <c r="DP180" s="1684">
        <v>0</v>
      </c>
      <c r="DQ180" s="1326"/>
      <c r="DR180" s="1400"/>
      <c r="DS180" s="1326"/>
      <c r="DT180" s="1682"/>
      <c r="DU180" s="1326"/>
      <c r="DV180" s="1682"/>
    </row>
    <row r="181" spans="1:126" ht="78.75">
      <c r="A181" s="1326" t="s">
        <v>2180</v>
      </c>
      <c r="B181" s="1326" t="s">
        <v>1704</v>
      </c>
      <c r="C181" s="1326" t="s">
        <v>2580</v>
      </c>
      <c r="D181" s="1326" t="s">
        <v>2581</v>
      </c>
      <c r="E181" s="1326" t="s">
        <v>136</v>
      </c>
      <c r="F181" s="1326" t="s">
        <v>376</v>
      </c>
      <c r="G181" s="1326" t="s">
        <v>2582</v>
      </c>
      <c r="H181" s="1326" t="s">
        <v>2556</v>
      </c>
      <c r="I181" s="1326" t="s">
        <v>2541</v>
      </c>
      <c r="J181" s="1326" t="s">
        <v>2449</v>
      </c>
      <c r="K181" s="1685">
        <v>42991</v>
      </c>
      <c r="L181" s="1685">
        <v>43150</v>
      </c>
      <c r="M181" s="1326" t="s">
        <v>279</v>
      </c>
      <c r="N181" s="1326" t="s">
        <v>2061</v>
      </c>
      <c r="O181" s="1326" t="s">
        <v>3248</v>
      </c>
      <c r="P181" s="1326" t="s">
        <v>2757</v>
      </c>
      <c r="Q181" s="1326" t="s">
        <v>1714</v>
      </c>
      <c r="R181" s="1326" t="s">
        <v>2757</v>
      </c>
      <c r="S181" s="1326" t="s">
        <v>2757</v>
      </c>
      <c r="T181" s="1326"/>
      <c r="U181" s="1326" t="s">
        <v>2758</v>
      </c>
      <c r="V181" s="1326" t="s">
        <v>2757</v>
      </c>
      <c r="W181" s="1326" t="s">
        <v>2757</v>
      </c>
      <c r="X181" s="1326"/>
      <c r="Y181" s="1326" t="s">
        <v>2757</v>
      </c>
      <c r="Z181" s="1326"/>
      <c r="AA181" s="1326"/>
      <c r="AB181" s="1326" t="s">
        <v>2757</v>
      </c>
      <c r="AC181" s="1326" t="s">
        <v>2757</v>
      </c>
      <c r="AD181" s="1326" t="s">
        <v>2757</v>
      </c>
      <c r="AE181" s="1326"/>
      <c r="AF181" s="1326" t="s">
        <v>3249</v>
      </c>
      <c r="AG181" s="1326" t="s">
        <v>3228</v>
      </c>
      <c r="AH181" s="1326" t="s">
        <v>2791</v>
      </c>
      <c r="AI181" s="1326" t="s">
        <v>2762</v>
      </c>
      <c r="AJ181" s="1326" t="s">
        <v>2763</v>
      </c>
      <c r="AK181" s="1326" t="s">
        <v>2987</v>
      </c>
      <c r="AL181" s="1326" t="s">
        <v>3250</v>
      </c>
      <c r="AM181" s="1683">
        <v>100</v>
      </c>
      <c r="AN181" s="1326"/>
      <c r="AO181" s="1326"/>
      <c r="AP181" s="1326"/>
      <c r="AQ181" s="1326"/>
      <c r="AR181" s="1326"/>
      <c r="AS181" s="1326"/>
      <c r="AT181" s="1326" t="s">
        <v>2766</v>
      </c>
      <c r="AU181" s="1326" t="s">
        <v>2766</v>
      </c>
      <c r="AV181" s="1326" t="s">
        <v>3230</v>
      </c>
      <c r="AW181" s="1326"/>
      <c r="AX181" s="1326" t="s">
        <v>2768</v>
      </c>
      <c r="AY181" s="1326" t="s">
        <v>2798</v>
      </c>
      <c r="AZ181" s="1326" t="s">
        <v>161</v>
      </c>
      <c r="BA181" s="1326" t="s">
        <v>2812</v>
      </c>
      <c r="BB181" s="1326" t="s">
        <v>2757</v>
      </c>
      <c r="BC181" s="1326" t="s">
        <v>2800</v>
      </c>
      <c r="BD181" s="1326" t="s">
        <v>2773</v>
      </c>
      <c r="BE181" s="1326" t="s">
        <v>3014</v>
      </c>
      <c r="BF181" s="1326" t="s">
        <v>2910</v>
      </c>
      <c r="BG181" s="1326" t="s">
        <v>2815</v>
      </c>
      <c r="BH181" s="1326" t="s">
        <v>2535</v>
      </c>
      <c r="BI181" s="1326" t="s">
        <v>2805</v>
      </c>
      <c r="BJ181" s="1326" t="s">
        <v>2816</v>
      </c>
      <c r="BK181" s="1326" t="s">
        <v>2766</v>
      </c>
      <c r="BL181" s="1326" t="s">
        <v>2757</v>
      </c>
      <c r="BM181" s="1326" t="s">
        <v>2757</v>
      </c>
      <c r="BN181" s="1683">
        <v>0</v>
      </c>
      <c r="BO181" s="1685">
        <v>42942</v>
      </c>
      <c r="BP181" s="1685">
        <v>43646</v>
      </c>
      <c r="BQ181" s="1326" t="s">
        <v>2779</v>
      </c>
      <c r="BR181" s="1685">
        <v>46022</v>
      </c>
      <c r="BS181" s="1326" t="s">
        <v>2817</v>
      </c>
      <c r="BT181" s="1326" t="s">
        <v>3251</v>
      </c>
      <c r="BU181" s="1683">
        <v>30</v>
      </c>
      <c r="BV181" s="1683">
        <v>54328.5</v>
      </c>
      <c r="BW181" s="1685">
        <v>43676</v>
      </c>
      <c r="BX181" s="1682"/>
      <c r="BY181" s="1326" t="s">
        <v>2052</v>
      </c>
      <c r="BZ181" s="1326" t="s">
        <v>2782</v>
      </c>
      <c r="CA181" s="1326" t="s">
        <v>2783</v>
      </c>
      <c r="CB181" s="1326" t="s">
        <v>2783</v>
      </c>
      <c r="CC181" s="1326" t="s">
        <v>2913</v>
      </c>
      <c r="CD181" s="1684">
        <v>195779</v>
      </c>
      <c r="CE181" s="1684">
        <v>195779</v>
      </c>
      <c r="CF181" s="1684">
        <v>181095</v>
      </c>
      <c r="CG181" s="1684">
        <v>92.5</v>
      </c>
      <c r="CH181" s="1684">
        <v>14684</v>
      </c>
      <c r="CI181" s="1684">
        <v>7.5</v>
      </c>
      <c r="CJ181" s="1684">
        <v>195779</v>
      </c>
      <c r="CK181" s="1684">
        <v>100</v>
      </c>
      <c r="CL181" s="1410" t="s">
        <v>2785</v>
      </c>
      <c r="CM181" s="1686">
        <v>43052</v>
      </c>
      <c r="CN181" s="1400"/>
      <c r="CO181" s="1326"/>
      <c r="CP181" s="1682"/>
      <c r="CQ181" s="1684">
        <v>181095</v>
      </c>
      <c r="CR181" s="1684">
        <v>166412</v>
      </c>
      <c r="CS181" s="1684">
        <v>14683</v>
      </c>
      <c r="CT181" s="1326" t="s">
        <v>2785</v>
      </c>
      <c r="CU181" s="1686">
        <v>43062</v>
      </c>
      <c r="CV181" s="1684">
        <v>195779</v>
      </c>
      <c r="CW181" s="1684">
        <v>0</v>
      </c>
      <c r="CX181" s="1684">
        <v>0</v>
      </c>
      <c r="CY181" s="1684">
        <v>108314.74</v>
      </c>
      <c r="CZ181" s="1684">
        <v>85334.15</v>
      </c>
      <c r="DA181" s="1684">
        <v>0</v>
      </c>
      <c r="DB181" s="1684">
        <v>0</v>
      </c>
      <c r="DC181" s="1684">
        <v>2130.11</v>
      </c>
      <c r="DD181" s="1684">
        <v>195779</v>
      </c>
      <c r="DE181" s="1684">
        <v>181095</v>
      </c>
      <c r="DF181" s="1684">
        <v>166412</v>
      </c>
      <c r="DG181" s="1684">
        <v>14683</v>
      </c>
      <c r="DH181" s="1684">
        <v>14684</v>
      </c>
      <c r="DI181" s="1684">
        <v>14684</v>
      </c>
      <c r="DJ181" s="1684">
        <v>0</v>
      </c>
      <c r="DK181" s="1684">
        <v>14684</v>
      </c>
      <c r="DL181" s="1684">
        <v>0</v>
      </c>
      <c r="DM181" s="1684">
        <v>0</v>
      </c>
      <c r="DN181" s="1684">
        <v>0</v>
      </c>
      <c r="DO181" s="1684">
        <v>0</v>
      </c>
      <c r="DP181" s="1684">
        <v>0</v>
      </c>
      <c r="DQ181" s="1326" t="s">
        <v>2810</v>
      </c>
      <c r="DR181" s="1684">
        <v>0</v>
      </c>
      <c r="DS181" s="1326" t="s">
        <v>2757</v>
      </c>
      <c r="DT181" s="1682"/>
      <c r="DU181" s="1326" t="s">
        <v>2785</v>
      </c>
      <c r="DV181" s="1686">
        <v>43281</v>
      </c>
    </row>
    <row r="182" spans="1:126" ht="101.25">
      <c r="A182" s="1326" t="s">
        <v>2181</v>
      </c>
      <c r="B182" s="1326" t="s">
        <v>1704</v>
      </c>
      <c r="C182" s="1326" t="s">
        <v>2580</v>
      </c>
      <c r="D182" s="1326" t="s">
        <v>2581</v>
      </c>
      <c r="E182" s="1326" t="s">
        <v>136</v>
      </c>
      <c r="F182" s="1326" t="s">
        <v>376</v>
      </c>
      <c r="G182" s="1326" t="s">
        <v>2582</v>
      </c>
      <c r="H182" s="1326" t="s">
        <v>2556</v>
      </c>
      <c r="I182" s="1326" t="s">
        <v>2541</v>
      </c>
      <c r="J182" s="1326" t="s">
        <v>2454</v>
      </c>
      <c r="K182" s="1685">
        <v>42991</v>
      </c>
      <c r="L182" s="1685">
        <v>43139</v>
      </c>
      <c r="M182" s="1326" t="s">
        <v>634</v>
      </c>
      <c r="N182" s="1326" t="s">
        <v>2061</v>
      </c>
      <c r="O182" s="1326" t="s">
        <v>3252</v>
      </c>
      <c r="P182" s="1326" t="s">
        <v>2757</v>
      </c>
      <c r="Q182" s="1326" t="s">
        <v>1716</v>
      </c>
      <c r="R182" s="1326" t="s">
        <v>2757</v>
      </c>
      <c r="S182" s="1326" t="s">
        <v>2757</v>
      </c>
      <c r="T182" s="1326"/>
      <c r="U182" s="1326" t="s">
        <v>2758</v>
      </c>
      <c r="V182" s="1326" t="s">
        <v>2757</v>
      </c>
      <c r="W182" s="1326" t="s">
        <v>2757</v>
      </c>
      <c r="X182" s="1326"/>
      <c r="Y182" s="1326" t="s">
        <v>2757</v>
      </c>
      <c r="Z182" s="1326"/>
      <c r="AA182" s="1326"/>
      <c r="AB182" s="1326" t="s">
        <v>2757</v>
      </c>
      <c r="AC182" s="1326" t="s">
        <v>2757</v>
      </c>
      <c r="AD182" s="1326" t="s">
        <v>2757</v>
      </c>
      <c r="AE182" s="1326"/>
      <c r="AF182" s="1326" t="s">
        <v>3249</v>
      </c>
      <c r="AG182" s="1326" t="s">
        <v>3228</v>
      </c>
      <c r="AH182" s="1326" t="s">
        <v>2791</v>
      </c>
      <c r="AI182" s="1326" t="s">
        <v>2762</v>
      </c>
      <c r="AJ182" s="1326" t="s">
        <v>2763</v>
      </c>
      <c r="AK182" s="1326" t="s">
        <v>2987</v>
      </c>
      <c r="AL182" s="1326" t="s">
        <v>3250</v>
      </c>
      <c r="AM182" s="1683">
        <v>100</v>
      </c>
      <c r="AN182" s="1326"/>
      <c r="AO182" s="1326"/>
      <c r="AP182" s="1326"/>
      <c r="AQ182" s="1326"/>
      <c r="AR182" s="1326"/>
      <c r="AS182" s="1326"/>
      <c r="AT182" s="1326" t="s">
        <v>2766</v>
      </c>
      <c r="AU182" s="1326" t="s">
        <v>2766</v>
      </c>
      <c r="AV182" s="1326" t="s">
        <v>3230</v>
      </c>
      <c r="AW182" s="1326"/>
      <c r="AX182" s="1326" t="s">
        <v>2768</v>
      </c>
      <c r="AY182" s="1326" t="s">
        <v>2798</v>
      </c>
      <c r="AZ182" s="1326" t="s">
        <v>345</v>
      </c>
      <c r="BA182" s="1326" t="s">
        <v>2799</v>
      </c>
      <c r="BB182" s="1326" t="s">
        <v>2757</v>
      </c>
      <c r="BC182" s="1326" t="s">
        <v>2800</v>
      </c>
      <c r="BD182" s="1326" t="s">
        <v>2773</v>
      </c>
      <c r="BE182" s="1326" t="s">
        <v>2801</v>
      </c>
      <c r="BF182" s="1326" t="s">
        <v>2802</v>
      </c>
      <c r="BG182" s="1326" t="s">
        <v>2803</v>
      </c>
      <c r="BH182" s="1326" t="s">
        <v>2024</v>
      </c>
      <c r="BI182" s="1326" t="s">
        <v>2805</v>
      </c>
      <c r="BJ182" s="1326" t="s">
        <v>2806</v>
      </c>
      <c r="BK182" s="1326" t="s">
        <v>2766</v>
      </c>
      <c r="BL182" s="1326" t="s">
        <v>2757</v>
      </c>
      <c r="BM182" s="1326" t="s">
        <v>2757</v>
      </c>
      <c r="BN182" s="1683">
        <v>0</v>
      </c>
      <c r="BO182" s="1685">
        <v>42177</v>
      </c>
      <c r="BP182" s="1685">
        <v>43646</v>
      </c>
      <c r="BQ182" s="1326" t="s">
        <v>2779</v>
      </c>
      <c r="BR182" s="1685">
        <v>46022</v>
      </c>
      <c r="BS182" s="1326" t="s">
        <v>2807</v>
      </c>
      <c r="BT182" s="1326" t="s">
        <v>3253</v>
      </c>
      <c r="BU182" s="1683">
        <v>30</v>
      </c>
      <c r="BV182" s="1683">
        <v>182323.20000000001</v>
      </c>
      <c r="BW182" s="1685">
        <v>43676</v>
      </c>
      <c r="BX182" s="1682"/>
      <c r="BY182" s="1326" t="s">
        <v>2052</v>
      </c>
      <c r="BZ182" s="1326" t="s">
        <v>2782</v>
      </c>
      <c r="CA182" s="1326" t="s">
        <v>2783</v>
      </c>
      <c r="CB182" s="1326" t="s">
        <v>2783</v>
      </c>
      <c r="CC182" s="1326" t="s">
        <v>2913</v>
      </c>
      <c r="CD182" s="1684">
        <v>657021</v>
      </c>
      <c r="CE182" s="1684">
        <v>657021</v>
      </c>
      <c r="CF182" s="1684">
        <v>607744</v>
      </c>
      <c r="CG182" s="1684">
        <v>92.5</v>
      </c>
      <c r="CH182" s="1684">
        <v>49277</v>
      </c>
      <c r="CI182" s="1684">
        <v>7.5</v>
      </c>
      <c r="CJ182" s="1684">
        <v>657021</v>
      </c>
      <c r="CK182" s="1684">
        <v>100</v>
      </c>
      <c r="CL182" s="1410" t="s">
        <v>2785</v>
      </c>
      <c r="CM182" s="1686">
        <v>43052</v>
      </c>
      <c r="CN182" s="1400"/>
      <c r="CO182" s="1326"/>
      <c r="CP182" s="1682"/>
      <c r="CQ182" s="1684">
        <v>607744</v>
      </c>
      <c r="CR182" s="1684">
        <v>558467</v>
      </c>
      <c r="CS182" s="1684">
        <v>49277</v>
      </c>
      <c r="CT182" s="1326" t="s">
        <v>2785</v>
      </c>
      <c r="CU182" s="1686">
        <v>43062</v>
      </c>
      <c r="CV182" s="1684">
        <v>657021</v>
      </c>
      <c r="CW182" s="1684">
        <v>0</v>
      </c>
      <c r="CX182" s="1684">
        <v>0</v>
      </c>
      <c r="CY182" s="1684">
        <v>574726.43999999994</v>
      </c>
      <c r="CZ182" s="1684">
        <v>72016</v>
      </c>
      <c r="DA182" s="1684">
        <v>3509</v>
      </c>
      <c r="DB182" s="1684">
        <v>200</v>
      </c>
      <c r="DC182" s="1684">
        <v>6569.56</v>
      </c>
      <c r="DD182" s="1684">
        <v>657021</v>
      </c>
      <c r="DE182" s="1684">
        <v>607744</v>
      </c>
      <c r="DF182" s="1684">
        <v>558467</v>
      </c>
      <c r="DG182" s="1684">
        <v>49277</v>
      </c>
      <c r="DH182" s="1684">
        <v>49277</v>
      </c>
      <c r="DI182" s="1684">
        <v>49277</v>
      </c>
      <c r="DJ182" s="1684">
        <v>0</v>
      </c>
      <c r="DK182" s="1684">
        <v>49277</v>
      </c>
      <c r="DL182" s="1684">
        <v>0</v>
      </c>
      <c r="DM182" s="1684">
        <v>0</v>
      </c>
      <c r="DN182" s="1684">
        <v>0</v>
      </c>
      <c r="DO182" s="1684">
        <v>0</v>
      </c>
      <c r="DP182" s="1684">
        <v>0</v>
      </c>
      <c r="DQ182" s="1326" t="s">
        <v>2810</v>
      </c>
      <c r="DR182" s="1684">
        <v>0</v>
      </c>
      <c r="DS182" s="1326" t="s">
        <v>2757</v>
      </c>
      <c r="DT182" s="1682"/>
      <c r="DU182" s="1326" t="s">
        <v>2785</v>
      </c>
      <c r="DV182" s="1686">
        <v>43320</v>
      </c>
    </row>
    <row r="183" spans="1:126" ht="67.5">
      <c r="A183" s="1326" t="s">
        <v>2182</v>
      </c>
      <c r="B183" s="1326" t="s">
        <v>1704</v>
      </c>
      <c r="C183" s="1326" t="s">
        <v>2580</v>
      </c>
      <c r="D183" s="1326" t="s">
        <v>2581</v>
      </c>
      <c r="E183" s="1326" t="s">
        <v>136</v>
      </c>
      <c r="F183" s="1326" t="s">
        <v>376</v>
      </c>
      <c r="G183" s="1326" t="s">
        <v>2582</v>
      </c>
      <c r="H183" s="1326" t="s">
        <v>2556</v>
      </c>
      <c r="I183" s="1326" t="s">
        <v>2541</v>
      </c>
      <c r="J183" s="1326" t="s">
        <v>3254</v>
      </c>
      <c r="K183" s="1685">
        <v>42993</v>
      </c>
      <c r="L183" s="1685">
        <v>43117</v>
      </c>
      <c r="M183" s="1326" t="s">
        <v>643</v>
      </c>
      <c r="N183" s="1326" t="s">
        <v>2061</v>
      </c>
      <c r="O183" s="1326" t="s">
        <v>3255</v>
      </c>
      <c r="P183" s="1326" t="s">
        <v>2757</v>
      </c>
      <c r="Q183" s="1326" t="s">
        <v>1720</v>
      </c>
      <c r="R183" s="1326" t="s">
        <v>2757</v>
      </c>
      <c r="S183" s="1326" t="s">
        <v>2757</v>
      </c>
      <c r="T183" s="1326"/>
      <c r="U183" s="1326" t="s">
        <v>2758</v>
      </c>
      <c r="V183" s="1326" t="s">
        <v>2757</v>
      </c>
      <c r="W183" s="1326" t="s">
        <v>2757</v>
      </c>
      <c r="X183" s="1326"/>
      <c r="Y183" s="1326" t="s">
        <v>2757</v>
      </c>
      <c r="Z183" s="1326"/>
      <c r="AA183" s="1326"/>
      <c r="AB183" s="1326" t="s">
        <v>2757</v>
      </c>
      <c r="AC183" s="1326" t="s">
        <v>2757</v>
      </c>
      <c r="AD183" s="1326" t="s">
        <v>2757</v>
      </c>
      <c r="AE183" s="1326"/>
      <c r="AF183" s="1326" t="s">
        <v>3249</v>
      </c>
      <c r="AG183" s="1326" t="s">
        <v>3228</v>
      </c>
      <c r="AH183" s="1326" t="s">
        <v>2791</v>
      </c>
      <c r="AI183" s="1326" t="s">
        <v>2762</v>
      </c>
      <c r="AJ183" s="1326" t="s">
        <v>2763</v>
      </c>
      <c r="AK183" s="1326" t="s">
        <v>2987</v>
      </c>
      <c r="AL183" s="1326" t="s">
        <v>3250</v>
      </c>
      <c r="AM183" s="1683">
        <v>100</v>
      </c>
      <c r="AN183" s="1326"/>
      <c r="AO183" s="1326"/>
      <c r="AP183" s="1326"/>
      <c r="AQ183" s="1326"/>
      <c r="AR183" s="1326"/>
      <c r="AS183" s="1326"/>
      <c r="AT183" s="1326" t="s">
        <v>2766</v>
      </c>
      <c r="AU183" s="1326" t="s">
        <v>2766</v>
      </c>
      <c r="AV183" s="1326" t="s">
        <v>3230</v>
      </c>
      <c r="AW183" s="1326"/>
      <c r="AX183" s="1326" t="s">
        <v>2768</v>
      </c>
      <c r="AY183" s="1326" t="s">
        <v>2798</v>
      </c>
      <c r="AZ183" s="1326" t="s">
        <v>282</v>
      </c>
      <c r="BA183" s="1326" t="s">
        <v>2820</v>
      </c>
      <c r="BB183" s="1326" t="s">
        <v>2757</v>
      </c>
      <c r="BC183" s="1326" t="s">
        <v>2800</v>
      </c>
      <c r="BD183" s="1326" t="s">
        <v>2773</v>
      </c>
      <c r="BE183" s="1326" t="s">
        <v>2942</v>
      </c>
      <c r="BF183" s="1326" t="s">
        <v>2958</v>
      </c>
      <c r="BG183" s="1326" t="s">
        <v>2944</v>
      </c>
      <c r="BH183" s="1326" t="s">
        <v>2024</v>
      </c>
      <c r="BI183" s="1326" t="s">
        <v>2805</v>
      </c>
      <c r="BJ183" s="1326" t="s">
        <v>2824</v>
      </c>
      <c r="BK183" s="1326" t="s">
        <v>2766</v>
      </c>
      <c r="BL183" s="1326" t="s">
        <v>2757</v>
      </c>
      <c r="BM183" s="1326" t="s">
        <v>2757</v>
      </c>
      <c r="BN183" s="1683">
        <v>0</v>
      </c>
      <c r="BO183" s="1685">
        <v>43117</v>
      </c>
      <c r="BP183" s="1685">
        <v>43738</v>
      </c>
      <c r="BQ183" s="1326" t="s">
        <v>2779</v>
      </c>
      <c r="BR183" s="1685">
        <v>46022</v>
      </c>
      <c r="BS183" s="1326" t="s">
        <v>2807</v>
      </c>
      <c r="BT183" s="1326" t="s">
        <v>3256</v>
      </c>
      <c r="BU183" s="1683">
        <v>30</v>
      </c>
      <c r="BV183" s="1683">
        <v>61175.7</v>
      </c>
      <c r="BW183" s="1685">
        <v>43768</v>
      </c>
      <c r="BX183" s="1682"/>
      <c r="BY183" s="1326" t="s">
        <v>2052</v>
      </c>
      <c r="BZ183" s="1326" t="s">
        <v>2782</v>
      </c>
      <c r="CA183" s="1326" t="s">
        <v>2783</v>
      </c>
      <c r="CB183" s="1326" t="s">
        <v>2783</v>
      </c>
      <c r="CC183" s="1326" t="s">
        <v>2913</v>
      </c>
      <c r="CD183" s="1684">
        <v>220453</v>
      </c>
      <c r="CE183" s="1684">
        <v>220453</v>
      </c>
      <c r="CF183" s="1684">
        <v>203919</v>
      </c>
      <c r="CG183" s="1684">
        <v>92.5</v>
      </c>
      <c r="CH183" s="1684">
        <v>16534</v>
      </c>
      <c r="CI183" s="1684">
        <v>7.5</v>
      </c>
      <c r="CJ183" s="1684">
        <v>220453</v>
      </c>
      <c r="CK183" s="1684">
        <v>100</v>
      </c>
      <c r="CL183" s="1410" t="s">
        <v>2785</v>
      </c>
      <c r="CM183" s="1686">
        <v>43053</v>
      </c>
      <c r="CN183" s="1400"/>
      <c r="CO183" s="1326"/>
      <c r="CP183" s="1682"/>
      <c r="CQ183" s="1684">
        <v>203919</v>
      </c>
      <c r="CR183" s="1684">
        <v>187385</v>
      </c>
      <c r="CS183" s="1684">
        <v>16534</v>
      </c>
      <c r="CT183" s="1326" t="s">
        <v>2785</v>
      </c>
      <c r="CU183" s="1686">
        <v>43070</v>
      </c>
      <c r="CV183" s="1684">
        <v>220453</v>
      </c>
      <c r="CW183" s="1684">
        <v>0</v>
      </c>
      <c r="CX183" s="1684">
        <v>0</v>
      </c>
      <c r="CY183" s="1684">
        <v>198859</v>
      </c>
      <c r="CZ183" s="1684">
        <v>19196</v>
      </c>
      <c r="DA183" s="1684">
        <v>0</v>
      </c>
      <c r="DB183" s="1684">
        <v>0</v>
      </c>
      <c r="DC183" s="1684">
        <v>2398</v>
      </c>
      <c r="DD183" s="1684">
        <v>220453</v>
      </c>
      <c r="DE183" s="1684">
        <v>203919</v>
      </c>
      <c r="DF183" s="1684">
        <v>187385</v>
      </c>
      <c r="DG183" s="1684">
        <v>16534</v>
      </c>
      <c r="DH183" s="1684">
        <v>16534</v>
      </c>
      <c r="DI183" s="1684">
        <v>16534</v>
      </c>
      <c r="DJ183" s="1684">
        <v>0</v>
      </c>
      <c r="DK183" s="1684">
        <v>16534</v>
      </c>
      <c r="DL183" s="1684">
        <v>0</v>
      </c>
      <c r="DM183" s="1684">
        <v>0</v>
      </c>
      <c r="DN183" s="1684">
        <v>0</v>
      </c>
      <c r="DO183" s="1684">
        <v>0</v>
      </c>
      <c r="DP183" s="1684">
        <v>0</v>
      </c>
      <c r="DQ183" s="1326" t="s">
        <v>2810</v>
      </c>
      <c r="DR183" s="1684">
        <v>0</v>
      </c>
      <c r="DS183" s="1326" t="s">
        <v>2757</v>
      </c>
      <c r="DT183" s="1682"/>
      <c r="DU183" s="1326" t="s">
        <v>2785</v>
      </c>
      <c r="DV183" s="1686">
        <v>43298</v>
      </c>
    </row>
    <row r="184" spans="1:126" ht="56.25">
      <c r="A184" s="1326" t="s">
        <v>2183</v>
      </c>
      <c r="B184" s="1326" t="s">
        <v>1704</v>
      </c>
      <c r="C184" s="1326" t="s">
        <v>2580</v>
      </c>
      <c r="D184" s="1326" t="s">
        <v>2581</v>
      </c>
      <c r="E184" s="1326" t="s">
        <v>136</v>
      </c>
      <c r="F184" s="1326" t="s">
        <v>376</v>
      </c>
      <c r="G184" s="1326" t="s">
        <v>2582</v>
      </c>
      <c r="H184" s="1326" t="s">
        <v>2556</v>
      </c>
      <c r="I184" s="1326" t="s">
        <v>2541</v>
      </c>
      <c r="J184" s="1326" t="s">
        <v>804</v>
      </c>
      <c r="K184" s="1685">
        <v>42993</v>
      </c>
      <c r="L184" s="1685">
        <v>43098</v>
      </c>
      <c r="M184" s="1326" t="s">
        <v>231</v>
      </c>
      <c r="N184" s="1326" t="s">
        <v>2061</v>
      </c>
      <c r="O184" s="1326" t="s">
        <v>3257</v>
      </c>
      <c r="P184" s="1326" t="s">
        <v>2757</v>
      </c>
      <c r="Q184" s="1326" t="s">
        <v>1713</v>
      </c>
      <c r="R184" s="1326" t="s">
        <v>2757</v>
      </c>
      <c r="S184" s="1326" t="s">
        <v>2757</v>
      </c>
      <c r="T184" s="1326"/>
      <c r="U184" s="1326" t="s">
        <v>2758</v>
      </c>
      <c r="V184" s="1326" t="s">
        <v>2757</v>
      </c>
      <c r="W184" s="1326" t="s">
        <v>2757</v>
      </c>
      <c r="X184" s="1326"/>
      <c r="Y184" s="1326" t="s">
        <v>2757</v>
      </c>
      <c r="Z184" s="1326"/>
      <c r="AA184" s="1326"/>
      <c r="AB184" s="1326" t="s">
        <v>2757</v>
      </c>
      <c r="AC184" s="1326" t="s">
        <v>2757</v>
      </c>
      <c r="AD184" s="1326" t="s">
        <v>2757</v>
      </c>
      <c r="AE184" s="1326"/>
      <c r="AF184" s="1326" t="s">
        <v>3249</v>
      </c>
      <c r="AG184" s="1326" t="s">
        <v>3228</v>
      </c>
      <c r="AH184" s="1326" t="s">
        <v>2791</v>
      </c>
      <c r="AI184" s="1326" t="s">
        <v>2762</v>
      </c>
      <c r="AJ184" s="1326" t="s">
        <v>2763</v>
      </c>
      <c r="AK184" s="1326" t="s">
        <v>2987</v>
      </c>
      <c r="AL184" s="1326" t="s">
        <v>3250</v>
      </c>
      <c r="AM184" s="1683">
        <v>100</v>
      </c>
      <c r="AN184" s="1326"/>
      <c r="AO184" s="1326"/>
      <c r="AP184" s="1326"/>
      <c r="AQ184" s="1326"/>
      <c r="AR184" s="1326"/>
      <c r="AS184" s="1326"/>
      <c r="AT184" s="1326" t="s">
        <v>2766</v>
      </c>
      <c r="AU184" s="1326" t="s">
        <v>2766</v>
      </c>
      <c r="AV184" s="1326" t="s">
        <v>3230</v>
      </c>
      <c r="AW184" s="1326"/>
      <c r="AX184" s="1326" t="s">
        <v>2768</v>
      </c>
      <c r="AY184" s="1326" t="s">
        <v>2798</v>
      </c>
      <c r="AZ184" s="1326" t="s">
        <v>235</v>
      </c>
      <c r="BA184" s="1326" t="s">
        <v>2929</v>
      </c>
      <c r="BB184" s="1326" t="s">
        <v>2757</v>
      </c>
      <c r="BC184" s="1326" t="s">
        <v>2800</v>
      </c>
      <c r="BD184" s="1326" t="s">
        <v>2773</v>
      </c>
      <c r="BE184" s="1326" t="s">
        <v>2930</v>
      </c>
      <c r="BF184" s="1326" t="s">
        <v>3062</v>
      </c>
      <c r="BG184" s="1326" t="s">
        <v>2932</v>
      </c>
      <c r="BH184" s="1326" t="s">
        <v>2024</v>
      </c>
      <c r="BI184" s="1326" t="s">
        <v>2805</v>
      </c>
      <c r="BJ184" s="1326" t="s">
        <v>2885</v>
      </c>
      <c r="BK184" s="1326" t="s">
        <v>2766</v>
      </c>
      <c r="BL184" s="1326" t="s">
        <v>2757</v>
      </c>
      <c r="BM184" s="1326" t="s">
        <v>2757</v>
      </c>
      <c r="BN184" s="1683">
        <v>0</v>
      </c>
      <c r="BO184" s="1685">
        <v>43098</v>
      </c>
      <c r="BP184" s="1685">
        <v>43555</v>
      </c>
      <c r="BQ184" s="1326" t="s">
        <v>2779</v>
      </c>
      <c r="BR184" s="1685">
        <v>46022</v>
      </c>
      <c r="BS184" s="1326" t="s">
        <v>3258</v>
      </c>
      <c r="BT184" s="1326" t="s">
        <v>3259</v>
      </c>
      <c r="BU184" s="1683">
        <v>30</v>
      </c>
      <c r="BV184" s="1683">
        <v>45475.8</v>
      </c>
      <c r="BW184" s="1685">
        <v>43585</v>
      </c>
      <c r="BX184" s="1682"/>
      <c r="BY184" s="1326" t="s">
        <v>2052</v>
      </c>
      <c r="BZ184" s="1326" t="s">
        <v>2783</v>
      </c>
      <c r="CA184" s="1326" t="s">
        <v>2783</v>
      </c>
      <c r="CB184" s="1326" t="s">
        <v>2783</v>
      </c>
      <c r="CC184" s="1326" t="s">
        <v>2913</v>
      </c>
      <c r="CD184" s="1684">
        <v>163877</v>
      </c>
      <c r="CE184" s="1684">
        <v>163877</v>
      </c>
      <c r="CF184" s="1684">
        <v>151586</v>
      </c>
      <c r="CG184" s="1684">
        <v>92.5</v>
      </c>
      <c r="CH184" s="1684">
        <v>12291</v>
      </c>
      <c r="CI184" s="1684">
        <v>7.5</v>
      </c>
      <c r="CJ184" s="1684">
        <v>163877</v>
      </c>
      <c r="CK184" s="1684">
        <v>100</v>
      </c>
      <c r="CL184" s="1410" t="s">
        <v>2785</v>
      </c>
      <c r="CM184" s="1686">
        <v>43053</v>
      </c>
      <c r="CN184" s="1400"/>
      <c r="CO184" s="1326"/>
      <c r="CP184" s="1682"/>
      <c r="CQ184" s="1684">
        <v>151586</v>
      </c>
      <c r="CR184" s="1684">
        <v>139295</v>
      </c>
      <c r="CS184" s="1684">
        <v>12291</v>
      </c>
      <c r="CT184" s="1326" t="s">
        <v>2785</v>
      </c>
      <c r="CU184" s="1686">
        <v>43070</v>
      </c>
      <c r="CV184" s="1684">
        <v>163877</v>
      </c>
      <c r="CW184" s="1684">
        <v>0</v>
      </c>
      <c r="CX184" s="1684">
        <v>0</v>
      </c>
      <c r="CY184" s="1684">
        <v>103812.47</v>
      </c>
      <c r="CZ184" s="1684">
        <v>60064.53</v>
      </c>
      <c r="DA184" s="1684">
        <v>0</v>
      </c>
      <c r="DB184" s="1684">
        <v>0</v>
      </c>
      <c r="DC184" s="1684">
        <v>0</v>
      </c>
      <c r="DD184" s="1684">
        <v>163877</v>
      </c>
      <c r="DE184" s="1684">
        <v>151586</v>
      </c>
      <c r="DF184" s="1684">
        <v>139295</v>
      </c>
      <c r="DG184" s="1684">
        <v>12291</v>
      </c>
      <c r="DH184" s="1684">
        <v>12291</v>
      </c>
      <c r="DI184" s="1684">
        <v>12291</v>
      </c>
      <c r="DJ184" s="1684">
        <v>0</v>
      </c>
      <c r="DK184" s="1684">
        <v>12291</v>
      </c>
      <c r="DL184" s="1684">
        <v>0</v>
      </c>
      <c r="DM184" s="1684">
        <v>0</v>
      </c>
      <c r="DN184" s="1684">
        <v>0</v>
      </c>
      <c r="DO184" s="1684">
        <v>0</v>
      </c>
      <c r="DP184" s="1684">
        <v>0</v>
      </c>
      <c r="DQ184" s="1326" t="s">
        <v>2810</v>
      </c>
      <c r="DR184" s="1684">
        <v>0</v>
      </c>
      <c r="DS184" s="1326" t="s">
        <v>2757</v>
      </c>
      <c r="DT184" s="1682"/>
      <c r="DU184" s="1326" t="s">
        <v>2785</v>
      </c>
      <c r="DV184" s="1686">
        <v>43252</v>
      </c>
    </row>
    <row r="185" spans="1:126" ht="56.25">
      <c r="A185" s="1326" t="s">
        <v>2184</v>
      </c>
      <c r="B185" s="1326" t="s">
        <v>1704</v>
      </c>
      <c r="C185" s="1326" t="s">
        <v>2580</v>
      </c>
      <c r="D185" s="1326" t="s">
        <v>2581</v>
      </c>
      <c r="E185" s="1326" t="s">
        <v>136</v>
      </c>
      <c r="F185" s="1326" t="s">
        <v>376</v>
      </c>
      <c r="G185" s="1326" t="s">
        <v>2582</v>
      </c>
      <c r="H185" s="1326" t="s">
        <v>2556</v>
      </c>
      <c r="I185" s="1326" t="s">
        <v>2541</v>
      </c>
      <c r="J185" s="1326" t="s">
        <v>807</v>
      </c>
      <c r="K185" s="1685">
        <v>43003</v>
      </c>
      <c r="L185" s="1685">
        <v>43112</v>
      </c>
      <c r="M185" s="1326" t="s">
        <v>186</v>
      </c>
      <c r="N185" s="1326" t="s">
        <v>2061</v>
      </c>
      <c r="O185" s="1326" t="s">
        <v>3260</v>
      </c>
      <c r="P185" s="1326" t="s">
        <v>2757</v>
      </c>
      <c r="Q185" s="1326" t="s">
        <v>1713</v>
      </c>
      <c r="R185" s="1326" t="s">
        <v>2757</v>
      </c>
      <c r="S185" s="1326" t="s">
        <v>2757</v>
      </c>
      <c r="T185" s="1326"/>
      <c r="U185" s="1326" t="s">
        <v>2758</v>
      </c>
      <c r="V185" s="1326" t="s">
        <v>2757</v>
      </c>
      <c r="W185" s="1326" t="s">
        <v>2757</v>
      </c>
      <c r="X185" s="1326"/>
      <c r="Y185" s="1326" t="s">
        <v>2757</v>
      </c>
      <c r="Z185" s="1326"/>
      <c r="AA185" s="1326"/>
      <c r="AB185" s="1326" t="s">
        <v>2757</v>
      </c>
      <c r="AC185" s="1326" t="s">
        <v>2757</v>
      </c>
      <c r="AD185" s="1326" t="s">
        <v>2757</v>
      </c>
      <c r="AE185" s="1326"/>
      <c r="AF185" s="1326" t="s">
        <v>3249</v>
      </c>
      <c r="AG185" s="1326" t="s">
        <v>3228</v>
      </c>
      <c r="AH185" s="1326" t="s">
        <v>2791</v>
      </c>
      <c r="AI185" s="1326" t="s">
        <v>2762</v>
      </c>
      <c r="AJ185" s="1326" t="s">
        <v>2763</v>
      </c>
      <c r="AK185" s="1326" t="s">
        <v>2987</v>
      </c>
      <c r="AL185" s="1326" t="s">
        <v>3250</v>
      </c>
      <c r="AM185" s="1683">
        <v>100</v>
      </c>
      <c r="AN185" s="1326"/>
      <c r="AO185" s="1326"/>
      <c r="AP185" s="1326"/>
      <c r="AQ185" s="1326"/>
      <c r="AR185" s="1326"/>
      <c r="AS185" s="1326"/>
      <c r="AT185" s="1326" t="s">
        <v>2766</v>
      </c>
      <c r="AU185" s="1326" t="s">
        <v>2766</v>
      </c>
      <c r="AV185" s="1326" t="s">
        <v>3230</v>
      </c>
      <c r="AW185" s="1326"/>
      <c r="AX185" s="1326" t="s">
        <v>2768</v>
      </c>
      <c r="AY185" s="1326" t="s">
        <v>2798</v>
      </c>
      <c r="AZ185" s="1326" t="s">
        <v>184</v>
      </c>
      <c r="BA185" s="1326" t="s">
        <v>2828</v>
      </c>
      <c r="BB185" s="1326" t="s">
        <v>2757</v>
      </c>
      <c r="BC185" s="1326" t="s">
        <v>2800</v>
      </c>
      <c r="BD185" s="1326" t="s">
        <v>2773</v>
      </c>
      <c r="BE185" s="1326" t="s">
        <v>3242</v>
      </c>
      <c r="BF185" s="1326" t="s">
        <v>2830</v>
      </c>
      <c r="BG185" s="1326" t="s">
        <v>2831</v>
      </c>
      <c r="BH185" s="1326" t="s">
        <v>2534</v>
      </c>
      <c r="BI185" s="1326" t="s">
        <v>2805</v>
      </c>
      <c r="BJ185" s="1326" t="s">
        <v>2832</v>
      </c>
      <c r="BK185" s="1326" t="s">
        <v>2766</v>
      </c>
      <c r="BL185" s="1326" t="s">
        <v>2757</v>
      </c>
      <c r="BM185" s="1326" t="s">
        <v>2757</v>
      </c>
      <c r="BN185" s="1683">
        <v>0</v>
      </c>
      <c r="BO185" s="1685">
        <v>43054</v>
      </c>
      <c r="BP185" s="1685">
        <v>43585</v>
      </c>
      <c r="BQ185" s="1326" t="s">
        <v>2779</v>
      </c>
      <c r="BR185" s="1685">
        <v>46022</v>
      </c>
      <c r="BS185" s="1326" t="s">
        <v>2992</v>
      </c>
      <c r="BT185" s="1326" t="s">
        <v>3493</v>
      </c>
      <c r="BU185" s="1683">
        <v>30</v>
      </c>
      <c r="BV185" s="1683">
        <v>29649.599999999999</v>
      </c>
      <c r="BW185" s="1685">
        <v>43615</v>
      </c>
      <c r="BX185" s="1682"/>
      <c r="BY185" s="1326" t="s">
        <v>2052</v>
      </c>
      <c r="BZ185" s="1326" t="s">
        <v>2783</v>
      </c>
      <c r="CA185" s="1326" t="s">
        <v>2783</v>
      </c>
      <c r="CB185" s="1326" t="s">
        <v>2783</v>
      </c>
      <c r="CC185" s="1326" t="s">
        <v>2913</v>
      </c>
      <c r="CD185" s="1684">
        <v>106845.41</v>
      </c>
      <c r="CE185" s="1684">
        <v>106845.41</v>
      </c>
      <c r="CF185" s="1684">
        <v>98832</v>
      </c>
      <c r="CG185" s="1684">
        <v>92.5</v>
      </c>
      <c r="CH185" s="1684">
        <v>8013.41</v>
      </c>
      <c r="CI185" s="1684">
        <v>7.5</v>
      </c>
      <c r="CJ185" s="1684">
        <v>106845.41</v>
      </c>
      <c r="CK185" s="1684">
        <v>100</v>
      </c>
      <c r="CL185" s="1410" t="s">
        <v>2785</v>
      </c>
      <c r="CM185" s="1686">
        <v>43062</v>
      </c>
      <c r="CN185" s="1400"/>
      <c r="CO185" s="1326"/>
      <c r="CP185" s="1682"/>
      <c r="CQ185" s="1684">
        <v>98832</v>
      </c>
      <c r="CR185" s="1684">
        <v>90818</v>
      </c>
      <c r="CS185" s="1684">
        <v>8014</v>
      </c>
      <c r="CT185" s="1326" t="s">
        <v>2785</v>
      </c>
      <c r="CU185" s="1686">
        <v>43070</v>
      </c>
      <c r="CV185" s="1684">
        <v>106845.41</v>
      </c>
      <c r="CW185" s="1684">
        <v>0</v>
      </c>
      <c r="CX185" s="1684">
        <v>0</v>
      </c>
      <c r="CY185" s="1684">
        <v>32869.56</v>
      </c>
      <c r="CZ185" s="1684">
        <v>73975.850000000006</v>
      </c>
      <c r="DA185" s="1684">
        <v>0</v>
      </c>
      <c r="DB185" s="1684">
        <v>0</v>
      </c>
      <c r="DC185" s="1684">
        <v>0</v>
      </c>
      <c r="DD185" s="1684">
        <v>106845.41</v>
      </c>
      <c r="DE185" s="1684">
        <v>98832</v>
      </c>
      <c r="DF185" s="1684">
        <v>90818</v>
      </c>
      <c r="DG185" s="1684">
        <v>8014</v>
      </c>
      <c r="DH185" s="1684">
        <v>8013.41</v>
      </c>
      <c r="DI185" s="1684">
        <v>8013.41</v>
      </c>
      <c r="DJ185" s="1684">
        <v>0</v>
      </c>
      <c r="DK185" s="1684">
        <v>8013.41</v>
      </c>
      <c r="DL185" s="1684">
        <v>0</v>
      </c>
      <c r="DM185" s="1684">
        <v>0</v>
      </c>
      <c r="DN185" s="1684">
        <v>0</v>
      </c>
      <c r="DO185" s="1684">
        <v>0</v>
      </c>
      <c r="DP185" s="1684">
        <v>0</v>
      </c>
      <c r="DQ185" s="1326" t="s">
        <v>2810</v>
      </c>
      <c r="DR185" s="1684">
        <v>0</v>
      </c>
      <c r="DS185" s="1326" t="s">
        <v>2757</v>
      </c>
      <c r="DT185" s="1682"/>
      <c r="DU185" s="1326" t="s">
        <v>2785</v>
      </c>
      <c r="DV185" s="1686">
        <v>43293</v>
      </c>
    </row>
    <row r="186" spans="1:126" ht="22.5">
      <c r="A186" s="1326" t="s">
        <v>2185</v>
      </c>
      <c r="B186" s="1326" t="s">
        <v>1704</v>
      </c>
      <c r="C186" s="1326" t="s">
        <v>2580</v>
      </c>
      <c r="D186" s="1326" t="s">
        <v>2581</v>
      </c>
      <c r="E186" s="1326" t="s">
        <v>2467</v>
      </c>
      <c r="F186" s="1326" t="s">
        <v>259</v>
      </c>
      <c r="G186" s="1326"/>
      <c r="H186" s="1326"/>
      <c r="I186" s="1326"/>
      <c r="J186" s="1326"/>
      <c r="K186" s="1682"/>
      <c r="L186" s="1682"/>
      <c r="M186" s="1326"/>
      <c r="N186" s="1326"/>
      <c r="O186" s="1326"/>
      <c r="P186" s="1326"/>
      <c r="Q186" s="1326"/>
      <c r="R186" s="1326"/>
      <c r="S186" s="1326"/>
      <c r="T186" s="1326"/>
      <c r="U186" s="1326"/>
      <c r="V186" s="1326"/>
      <c r="W186" s="1326"/>
      <c r="X186" s="1326"/>
      <c r="Y186" s="1326"/>
      <c r="Z186" s="1326"/>
      <c r="AA186" s="1326"/>
      <c r="AB186" s="1326"/>
      <c r="AC186" s="1326"/>
      <c r="AD186" s="1326"/>
      <c r="AE186" s="1326"/>
      <c r="AF186" s="1326"/>
      <c r="AG186" s="1326"/>
      <c r="AH186" s="1326"/>
      <c r="AI186" s="1326"/>
      <c r="AJ186" s="1326"/>
      <c r="AK186" s="1326"/>
      <c r="AL186" s="1326"/>
      <c r="AM186" s="1400"/>
      <c r="AN186" s="1326"/>
      <c r="AO186" s="1326"/>
      <c r="AP186" s="1326"/>
      <c r="AQ186" s="1326"/>
      <c r="AR186" s="1326"/>
      <c r="AS186" s="1326"/>
      <c r="AT186" s="1326"/>
      <c r="AU186" s="1326"/>
      <c r="AV186" s="1326"/>
      <c r="AW186" s="1326"/>
      <c r="AX186" s="1326"/>
      <c r="AY186" s="1326"/>
      <c r="AZ186" s="1326"/>
      <c r="BA186" s="1326"/>
      <c r="BB186" s="1326"/>
      <c r="BC186" s="1326"/>
      <c r="BD186" s="1326"/>
      <c r="BE186" s="1326"/>
      <c r="BF186" s="1326"/>
      <c r="BG186" s="1326"/>
      <c r="BH186" s="1326"/>
      <c r="BI186" s="1326"/>
      <c r="BJ186" s="1326"/>
      <c r="BK186" s="1326"/>
      <c r="BL186" s="1326"/>
      <c r="BM186" s="1326"/>
      <c r="BN186" s="1400"/>
      <c r="BO186" s="1682"/>
      <c r="BP186" s="1682"/>
      <c r="BQ186" s="1326"/>
      <c r="BR186" s="1682"/>
      <c r="BS186" s="1326"/>
      <c r="BT186" s="1326"/>
      <c r="BU186" s="1400"/>
      <c r="BV186" s="1683">
        <v>445802.1</v>
      </c>
      <c r="BW186" s="1682"/>
      <c r="BX186" s="1682"/>
      <c r="BY186" s="1326"/>
      <c r="BZ186" s="1326"/>
      <c r="CA186" s="1326"/>
      <c r="CB186" s="1326"/>
      <c r="CC186" s="1326"/>
      <c r="CD186" s="1684">
        <v>2002345.53</v>
      </c>
      <c r="CE186" s="1684">
        <v>1973870.18</v>
      </c>
      <c r="CF186" s="1684">
        <v>1486007</v>
      </c>
      <c r="CG186" s="1684">
        <v>75.28</v>
      </c>
      <c r="CH186" s="1684">
        <v>487863.18</v>
      </c>
      <c r="CI186" s="1684">
        <v>24.72</v>
      </c>
      <c r="CJ186" s="1684">
        <v>1973870.18</v>
      </c>
      <c r="CK186" s="1684">
        <v>100</v>
      </c>
      <c r="CL186" s="1410"/>
      <c r="CM186" s="1682"/>
      <c r="CN186" s="1400"/>
      <c r="CO186" s="1326"/>
      <c r="CP186" s="1682"/>
      <c r="CQ186" s="1684">
        <v>1486007</v>
      </c>
      <c r="CR186" s="1684">
        <v>1486007</v>
      </c>
      <c r="CS186" s="1684">
        <v>0</v>
      </c>
      <c r="CT186" s="1326"/>
      <c r="CU186" s="1682"/>
      <c r="CV186" s="1684">
        <v>1973870.18</v>
      </c>
      <c r="CW186" s="1684">
        <v>0</v>
      </c>
      <c r="CX186" s="1684">
        <v>0</v>
      </c>
      <c r="CY186" s="1684">
        <v>1642226.3</v>
      </c>
      <c r="CZ186" s="1684">
        <v>304713.03999999998</v>
      </c>
      <c r="DA186" s="1684">
        <v>8509</v>
      </c>
      <c r="DB186" s="1684">
        <v>0</v>
      </c>
      <c r="DC186" s="1684">
        <v>18421.84</v>
      </c>
      <c r="DD186" s="1684">
        <v>1973870.18</v>
      </c>
      <c r="DE186" s="1684">
        <v>1486007</v>
      </c>
      <c r="DF186" s="1684">
        <v>1486007</v>
      </c>
      <c r="DG186" s="1684">
        <v>0</v>
      </c>
      <c r="DH186" s="1684">
        <v>487863.18</v>
      </c>
      <c r="DI186" s="1684">
        <v>487863.18</v>
      </c>
      <c r="DJ186" s="1684">
        <v>0</v>
      </c>
      <c r="DK186" s="1684">
        <v>487863.18</v>
      </c>
      <c r="DL186" s="1684">
        <v>0</v>
      </c>
      <c r="DM186" s="1684">
        <v>0</v>
      </c>
      <c r="DN186" s="1684">
        <v>0</v>
      </c>
      <c r="DO186" s="1684">
        <v>0</v>
      </c>
      <c r="DP186" s="1684">
        <v>0</v>
      </c>
      <c r="DQ186" s="1326"/>
      <c r="DR186" s="1400"/>
      <c r="DS186" s="1326"/>
      <c r="DT186" s="1682"/>
      <c r="DU186" s="1326"/>
      <c r="DV186" s="1682"/>
    </row>
    <row r="187" spans="1:126" ht="56.25">
      <c r="A187" s="1326" t="s">
        <v>2186</v>
      </c>
      <c r="B187" s="1326" t="s">
        <v>1704</v>
      </c>
      <c r="C187" s="1326" t="s">
        <v>2580</v>
      </c>
      <c r="D187" s="1326" t="s">
        <v>2581</v>
      </c>
      <c r="E187" s="1326" t="s">
        <v>2467</v>
      </c>
      <c r="F187" s="1326" t="s">
        <v>259</v>
      </c>
      <c r="G187" s="1326" t="s">
        <v>2582</v>
      </c>
      <c r="H187" s="1326" t="s">
        <v>2556</v>
      </c>
      <c r="I187" s="1326" t="s">
        <v>2541</v>
      </c>
      <c r="J187" s="1326" t="s">
        <v>790</v>
      </c>
      <c r="K187" s="1685">
        <v>42915</v>
      </c>
      <c r="L187" s="1685">
        <v>43045</v>
      </c>
      <c r="M187" s="1326" t="s">
        <v>280</v>
      </c>
      <c r="N187" s="1326" t="s">
        <v>2061</v>
      </c>
      <c r="O187" s="1326" t="s">
        <v>3262</v>
      </c>
      <c r="P187" s="1326" t="s">
        <v>2757</v>
      </c>
      <c r="Q187" s="1326" t="s">
        <v>1716</v>
      </c>
      <c r="R187" s="1326" t="s">
        <v>2757</v>
      </c>
      <c r="S187" s="1326" t="s">
        <v>2757</v>
      </c>
      <c r="T187" s="1326"/>
      <c r="U187" s="1326" t="s">
        <v>2758</v>
      </c>
      <c r="V187" s="1326" t="s">
        <v>2757</v>
      </c>
      <c r="W187" s="1326" t="s">
        <v>2757</v>
      </c>
      <c r="X187" s="1326"/>
      <c r="Y187" s="1326" t="s">
        <v>2757</v>
      </c>
      <c r="Z187" s="1326"/>
      <c r="AA187" s="1326"/>
      <c r="AB187" s="1326" t="s">
        <v>2757</v>
      </c>
      <c r="AC187" s="1326" t="s">
        <v>2757</v>
      </c>
      <c r="AD187" s="1326" t="s">
        <v>2757</v>
      </c>
      <c r="AE187" s="1326"/>
      <c r="AF187" s="1326" t="s">
        <v>3263</v>
      </c>
      <c r="AG187" s="1326" t="s">
        <v>3228</v>
      </c>
      <c r="AH187" s="1326" t="s">
        <v>2791</v>
      </c>
      <c r="AI187" s="1326" t="s">
        <v>2762</v>
      </c>
      <c r="AJ187" s="1326" t="s">
        <v>2763</v>
      </c>
      <c r="AK187" s="1326" t="s">
        <v>2987</v>
      </c>
      <c r="AL187" s="1326" t="s">
        <v>3250</v>
      </c>
      <c r="AM187" s="1683">
        <v>100</v>
      </c>
      <c r="AN187" s="1326"/>
      <c r="AO187" s="1326"/>
      <c r="AP187" s="1326"/>
      <c r="AQ187" s="1326"/>
      <c r="AR187" s="1326"/>
      <c r="AS187" s="1326"/>
      <c r="AT187" s="1326" t="s">
        <v>2766</v>
      </c>
      <c r="AU187" s="1326" t="s">
        <v>2766</v>
      </c>
      <c r="AV187" s="1326" t="s">
        <v>3230</v>
      </c>
      <c r="AW187" s="1326"/>
      <c r="AX187" s="1326" t="s">
        <v>2768</v>
      </c>
      <c r="AY187" s="1326" t="s">
        <v>2798</v>
      </c>
      <c r="AZ187" s="1326" t="s">
        <v>3264</v>
      </c>
      <c r="BA187" s="1326" t="s">
        <v>3265</v>
      </c>
      <c r="BB187" s="1326" t="s">
        <v>2757</v>
      </c>
      <c r="BC187" s="1326" t="s">
        <v>2772</v>
      </c>
      <c r="BD187" s="1326" t="s">
        <v>2773</v>
      </c>
      <c r="BE187" s="1326" t="s">
        <v>3266</v>
      </c>
      <c r="BF187" s="1326" t="s">
        <v>3267</v>
      </c>
      <c r="BG187" s="1326" t="s">
        <v>3268</v>
      </c>
      <c r="BH187" s="1326" t="s">
        <v>2804</v>
      </c>
      <c r="BI187" s="1326" t="s">
        <v>2805</v>
      </c>
      <c r="BJ187" s="1326" t="s">
        <v>2816</v>
      </c>
      <c r="BK187" s="1326" t="s">
        <v>2766</v>
      </c>
      <c r="BL187" s="1326" t="s">
        <v>2757</v>
      </c>
      <c r="BM187" s="1326" t="s">
        <v>2757</v>
      </c>
      <c r="BN187" s="1683">
        <v>0</v>
      </c>
      <c r="BO187" s="1685">
        <v>42825</v>
      </c>
      <c r="BP187" s="1685">
        <v>43549</v>
      </c>
      <c r="BQ187" s="1326" t="s">
        <v>2779</v>
      </c>
      <c r="BR187" s="1685">
        <v>46022</v>
      </c>
      <c r="BS187" s="1326" t="s">
        <v>2817</v>
      </c>
      <c r="BT187" s="1326" t="s">
        <v>3269</v>
      </c>
      <c r="BU187" s="1683">
        <v>30</v>
      </c>
      <c r="BV187" s="1683">
        <v>34632.300000000003</v>
      </c>
      <c r="BW187" s="1685">
        <v>43580</v>
      </c>
      <c r="BX187" s="1682"/>
      <c r="BY187" s="1326" t="s">
        <v>2052</v>
      </c>
      <c r="BZ187" s="1326" t="s">
        <v>2782</v>
      </c>
      <c r="CA187" s="1326" t="s">
        <v>2783</v>
      </c>
      <c r="CB187" s="1326" t="s">
        <v>2783</v>
      </c>
      <c r="CC187" s="1326" t="s">
        <v>2913</v>
      </c>
      <c r="CD187" s="1684">
        <v>135814</v>
      </c>
      <c r="CE187" s="1684">
        <v>135814</v>
      </c>
      <c r="CF187" s="1684">
        <v>115441</v>
      </c>
      <c r="CG187" s="1684">
        <v>85</v>
      </c>
      <c r="CH187" s="1684">
        <v>20373</v>
      </c>
      <c r="CI187" s="1684">
        <v>15</v>
      </c>
      <c r="CJ187" s="1684">
        <v>135814</v>
      </c>
      <c r="CK187" s="1684">
        <v>100</v>
      </c>
      <c r="CL187" s="1410" t="s">
        <v>2785</v>
      </c>
      <c r="CM187" s="1686">
        <v>42969</v>
      </c>
      <c r="CN187" s="1400"/>
      <c r="CO187" s="1326"/>
      <c r="CP187" s="1682"/>
      <c r="CQ187" s="1684">
        <v>115441</v>
      </c>
      <c r="CR187" s="1684">
        <v>115441</v>
      </c>
      <c r="CS187" s="1684">
        <v>0</v>
      </c>
      <c r="CT187" s="1326" t="s">
        <v>2785</v>
      </c>
      <c r="CU187" s="1686">
        <v>43014</v>
      </c>
      <c r="CV187" s="1684">
        <v>135814</v>
      </c>
      <c r="CW187" s="1684">
        <v>0</v>
      </c>
      <c r="CX187" s="1684">
        <v>0</v>
      </c>
      <c r="CY187" s="1684">
        <v>97875.59</v>
      </c>
      <c r="CZ187" s="1684">
        <v>36155.800000000003</v>
      </c>
      <c r="DA187" s="1684">
        <v>0</v>
      </c>
      <c r="DB187" s="1684">
        <v>0</v>
      </c>
      <c r="DC187" s="1684">
        <v>1782.61</v>
      </c>
      <c r="DD187" s="1684">
        <v>135814</v>
      </c>
      <c r="DE187" s="1684">
        <v>115441</v>
      </c>
      <c r="DF187" s="1684">
        <v>115441</v>
      </c>
      <c r="DG187" s="1684">
        <v>0</v>
      </c>
      <c r="DH187" s="1684">
        <v>20373</v>
      </c>
      <c r="DI187" s="1684">
        <v>20373</v>
      </c>
      <c r="DJ187" s="1684">
        <v>0</v>
      </c>
      <c r="DK187" s="1684">
        <v>20373</v>
      </c>
      <c r="DL187" s="1684">
        <v>0</v>
      </c>
      <c r="DM187" s="1684">
        <v>0</v>
      </c>
      <c r="DN187" s="1684">
        <v>0</v>
      </c>
      <c r="DO187" s="1684">
        <v>0</v>
      </c>
      <c r="DP187" s="1684">
        <v>0</v>
      </c>
      <c r="DQ187" s="1326" t="s">
        <v>2810</v>
      </c>
      <c r="DR187" s="1684">
        <v>0</v>
      </c>
      <c r="DS187" s="1326" t="s">
        <v>2785</v>
      </c>
      <c r="DT187" s="1682" t="s">
        <v>3270</v>
      </c>
      <c r="DU187" s="1326" t="s">
        <v>2785</v>
      </c>
      <c r="DV187" s="1686">
        <v>43226</v>
      </c>
    </row>
    <row r="188" spans="1:126" ht="78.75">
      <c r="A188" s="1326" t="s">
        <v>2187</v>
      </c>
      <c r="B188" s="1326" t="s">
        <v>1704</v>
      </c>
      <c r="C188" s="1326" t="s">
        <v>2580</v>
      </c>
      <c r="D188" s="1326" t="s">
        <v>2581</v>
      </c>
      <c r="E188" s="1326" t="s">
        <v>2467</v>
      </c>
      <c r="F188" s="1326" t="s">
        <v>259</v>
      </c>
      <c r="G188" s="1326" t="s">
        <v>2582</v>
      </c>
      <c r="H188" s="1326" t="s">
        <v>2556</v>
      </c>
      <c r="I188" s="1326" t="s">
        <v>2541</v>
      </c>
      <c r="J188" s="1326" t="s">
        <v>805</v>
      </c>
      <c r="K188" s="1685">
        <v>42993</v>
      </c>
      <c r="L188" s="1685">
        <v>43097</v>
      </c>
      <c r="M188" s="1326" t="s">
        <v>233</v>
      </c>
      <c r="N188" s="1326" t="s">
        <v>2061</v>
      </c>
      <c r="O188" s="1326" t="s">
        <v>3271</v>
      </c>
      <c r="P188" s="1326" t="s">
        <v>2757</v>
      </c>
      <c r="Q188" s="1326" t="s">
        <v>1714</v>
      </c>
      <c r="R188" s="1326" t="s">
        <v>2757</v>
      </c>
      <c r="S188" s="1326" t="s">
        <v>2757</v>
      </c>
      <c r="T188" s="1326"/>
      <c r="U188" s="1326" t="s">
        <v>2758</v>
      </c>
      <c r="V188" s="1326" t="s">
        <v>2757</v>
      </c>
      <c r="W188" s="1326" t="s">
        <v>2757</v>
      </c>
      <c r="X188" s="1326"/>
      <c r="Y188" s="1326" t="s">
        <v>2757</v>
      </c>
      <c r="Z188" s="1326"/>
      <c r="AA188" s="1326"/>
      <c r="AB188" s="1326" t="s">
        <v>2757</v>
      </c>
      <c r="AC188" s="1326" t="s">
        <v>2757</v>
      </c>
      <c r="AD188" s="1326" t="s">
        <v>2757</v>
      </c>
      <c r="AE188" s="1326"/>
      <c r="AF188" s="1326" t="s">
        <v>3263</v>
      </c>
      <c r="AG188" s="1326" t="s">
        <v>3228</v>
      </c>
      <c r="AH188" s="1326" t="s">
        <v>2791</v>
      </c>
      <c r="AI188" s="1326" t="s">
        <v>2762</v>
      </c>
      <c r="AJ188" s="1326" t="s">
        <v>2763</v>
      </c>
      <c r="AK188" s="1326" t="s">
        <v>2987</v>
      </c>
      <c r="AL188" s="1326" t="s">
        <v>3250</v>
      </c>
      <c r="AM188" s="1683">
        <v>100</v>
      </c>
      <c r="AN188" s="1326"/>
      <c r="AO188" s="1326"/>
      <c r="AP188" s="1326"/>
      <c r="AQ188" s="1326"/>
      <c r="AR188" s="1326"/>
      <c r="AS188" s="1326"/>
      <c r="AT188" s="1326" t="s">
        <v>2766</v>
      </c>
      <c r="AU188" s="1326" t="s">
        <v>2766</v>
      </c>
      <c r="AV188" s="1326" t="s">
        <v>3230</v>
      </c>
      <c r="AW188" s="1326"/>
      <c r="AX188" s="1326" t="s">
        <v>2768</v>
      </c>
      <c r="AY188" s="1326" t="s">
        <v>2798</v>
      </c>
      <c r="AZ188" s="1326" t="s">
        <v>235</v>
      </c>
      <c r="BA188" s="1326" t="s">
        <v>2929</v>
      </c>
      <c r="BB188" s="1326" t="s">
        <v>2757</v>
      </c>
      <c r="BC188" s="1326" t="s">
        <v>2800</v>
      </c>
      <c r="BD188" s="1326" t="s">
        <v>2773</v>
      </c>
      <c r="BE188" s="1326" t="s">
        <v>2930</v>
      </c>
      <c r="BF188" s="1326" t="s">
        <v>3062</v>
      </c>
      <c r="BG188" s="1326" t="s">
        <v>2932</v>
      </c>
      <c r="BH188" s="1326" t="s">
        <v>2024</v>
      </c>
      <c r="BI188" s="1326" t="s">
        <v>2805</v>
      </c>
      <c r="BJ188" s="1326" t="s">
        <v>2885</v>
      </c>
      <c r="BK188" s="1326" t="s">
        <v>2766</v>
      </c>
      <c r="BL188" s="1326" t="s">
        <v>2757</v>
      </c>
      <c r="BM188" s="1326" t="s">
        <v>2757</v>
      </c>
      <c r="BN188" s="1683">
        <v>0</v>
      </c>
      <c r="BO188" s="1685">
        <v>43097</v>
      </c>
      <c r="BP188" s="1685">
        <v>43585</v>
      </c>
      <c r="BQ188" s="1326" t="s">
        <v>2779</v>
      </c>
      <c r="BR188" s="1685">
        <v>46022</v>
      </c>
      <c r="BS188" s="1326" t="s">
        <v>2780</v>
      </c>
      <c r="BT188" s="1326" t="s">
        <v>3272</v>
      </c>
      <c r="BU188" s="1683">
        <v>30</v>
      </c>
      <c r="BV188" s="1683">
        <v>37279.800000000003</v>
      </c>
      <c r="BW188" s="1685">
        <v>43615</v>
      </c>
      <c r="BX188" s="1682"/>
      <c r="BY188" s="1326" t="s">
        <v>2052</v>
      </c>
      <c r="BZ188" s="1326" t="s">
        <v>2783</v>
      </c>
      <c r="CA188" s="1326" t="s">
        <v>2783</v>
      </c>
      <c r="CB188" s="1326" t="s">
        <v>2783</v>
      </c>
      <c r="CC188" s="1326" t="s">
        <v>2913</v>
      </c>
      <c r="CD188" s="1684">
        <v>146702.29999999999</v>
      </c>
      <c r="CE188" s="1684">
        <v>146702.29999999999</v>
      </c>
      <c r="CF188" s="1684">
        <v>124266</v>
      </c>
      <c r="CG188" s="1684">
        <v>84.71</v>
      </c>
      <c r="CH188" s="1684">
        <v>22436.3</v>
      </c>
      <c r="CI188" s="1684">
        <v>15.29</v>
      </c>
      <c r="CJ188" s="1684">
        <v>146702.29999999999</v>
      </c>
      <c r="CK188" s="1684">
        <v>100</v>
      </c>
      <c r="CL188" s="1410" t="s">
        <v>2785</v>
      </c>
      <c r="CM188" s="1686">
        <v>43042</v>
      </c>
      <c r="CN188" s="1400"/>
      <c r="CO188" s="1326"/>
      <c r="CP188" s="1682"/>
      <c r="CQ188" s="1684">
        <v>124266</v>
      </c>
      <c r="CR188" s="1684">
        <v>124266</v>
      </c>
      <c r="CS188" s="1684">
        <v>0</v>
      </c>
      <c r="CT188" s="1326" t="s">
        <v>2785</v>
      </c>
      <c r="CU188" s="1686">
        <v>43056</v>
      </c>
      <c r="CV188" s="1684">
        <v>146702.29999999999</v>
      </c>
      <c r="CW188" s="1684">
        <v>0</v>
      </c>
      <c r="CX188" s="1684">
        <v>0</v>
      </c>
      <c r="CY188" s="1684">
        <v>75162.7</v>
      </c>
      <c r="CZ188" s="1684">
        <v>71539.600000000006</v>
      </c>
      <c r="DA188" s="1684">
        <v>0</v>
      </c>
      <c r="DB188" s="1684">
        <v>0</v>
      </c>
      <c r="DC188" s="1684">
        <v>0</v>
      </c>
      <c r="DD188" s="1684">
        <v>146702.29999999999</v>
      </c>
      <c r="DE188" s="1684">
        <v>124266</v>
      </c>
      <c r="DF188" s="1684">
        <v>124266</v>
      </c>
      <c r="DG188" s="1684">
        <v>0</v>
      </c>
      <c r="DH188" s="1684">
        <v>22436.3</v>
      </c>
      <c r="DI188" s="1684">
        <v>22436.3</v>
      </c>
      <c r="DJ188" s="1684">
        <v>0</v>
      </c>
      <c r="DK188" s="1684">
        <v>22436.3</v>
      </c>
      <c r="DL188" s="1684">
        <v>0</v>
      </c>
      <c r="DM188" s="1684">
        <v>0</v>
      </c>
      <c r="DN188" s="1684">
        <v>0</v>
      </c>
      <c r="DO188" s="1684">
        <v>0</v>
      </c>
      <c r="DP188" s="1684">
        <v>0</v>
      </c>
      <c r="DQ188" s="1326" t="s">
        <v>2810</v>
      </c>
      <c r="DR188" s="1684">
        <v>0</v>
      </c>
      <c r="DS188" s="1326" t="s">
        <v>2785</v>
      </c>
      <c r="DT188" s="1682" t="s">
        <v>3494</v>
      </c>
      <c r="DU188" s="1326" t="s">
        <v>2785</v>
      </c>
      <c r="DV188" s="1686">
        <v>43160</v>
      </c>
    </row>
    <row r="189" spans="1:126" ht="56.25">
      <c r="A189" s="1326" t="s">
        <v>2188</v>
      </c>
      <c r="B189" s="1326" t="s">
        <v>1704</v>
      </c>
      <c r="C189" s="1326" t="s">
        <v>2580</v>
      </c>
      <c r="D189" s="1326" t="s">
        <v>2581</v>
      </c>
      <c r="E189" s="1326" t="s">
        <v>2467</v>
      </c>
      <c r="F189" s="1326" t="s">
        <v>259</v>
      </c>
      <c r="G189" s="1326" t="s">
        <v>2582</v>
      </c>
      <c r="H189" s="1326" t="s">
        <v>2556</v>
      </c>
      <c r="I189" s="1326" t="s">
        <v>2541</v>
      </c>
      <c r="J189" s="1326" t="s">
        <v>808</v>
      </c>
      <c r="K189" s="1685">
        <v>43004</v>
      </c>
      <c r="L189" s="1685">
        <v>43097</v>
      </c>
      <c r="M189" s="1326" t="s">
        <v>2484</v>
      </c>
      <c r="N189" s="1326" t="s">
        <v>2061</v>
      </c>
      <c r="O189" s="1326" t="s">
        <v>3273</v>
      </c>
      <c r="P189" s="1326" t="s">
        <v>2757</v>
      </c>
      <c r="Q189" s="1326" t="s">
        <v>1724</v>
      </c>
      <c r="R189" s="1326" t="s">
        <v>2757</v>
      </c>
      <c r="S189" s="1326" t="s">
        <v>2757</v>
      </c>
      <c r="T189" s="1326"/>
      <c r="U189" s="1326" t="s">
        <v>2758</v>
      </c>
      <c r="V189" s="1326" t="s">
        <v>2757</v>
      </c>
      <c r="W189" s="1326" t="s">
        <v>2757</v>
      </c>
      <c r="X189" s="1326"/>
      <c r="Y189" s="1326" t="s">
        <v>2757</v>
      </c>
      <c r="Z189" s="1326"/>
      <c r="AA189" s="1326"/>
      <c r="AB189" s="1326" t="s">
        <v>2757</v>
      </c>
      <c r="AC189" s="1326" t="s">
        <v>2757</v>
      </c>
      <c r="AD189" s="1326" t="s">
        <v>2757</v>
      </c>
      <c r="AE189" s="1326"/>
      <c r="AF189" s="1326" t="s">
        <v>3263</v>
      </c>
      <c r="AG189" s="1326" t="s">
        <v>3228</v>
      </c>
      <c r="AH189" s="1326" t="s">
        <v>2791</v>
      </c>
      <c r="AI189" s="1326" t="s">
        <v>2762</v>
      </c>
      <c r="AJ189" s="1326" t="s">
        <v>2763</v>
      </c>
      <c r="AK189" s="1326" t="s">
        <v>2987</v>
      </c>
      <c r="AL189" s="1326" t="s">
        <v>3250</v>
      </c>
      <c r="AM189" s="1683">
        <v>100</v>
      </c>
      <c r="AN189" s="1326"/>
      <c r="AO189" s="1326"/>
      <c r="AP189" s="1326"/>
      <c r="AQ189" s="1326"/>
      <c r="AR189" s="1326"/>
      <c r="AS189" s="1326"/>
      <c r="AT189" s="1326" t="s">
        <v>2766</v>
      </c>
      <c r="AU189" s="1326" t="s">
        <v>2766</v>
      </c>
      <c r="AV189" s="1326" t="s">
        <v>3230</v>
      </c>
      <c r="AW189" s="1326"/>
      <c r="AX189" s="1326" t="s">
        <v>2768</v>
      </c>
      <c r="AY189" s="1326" t="s">
        <v>2798</v>
      </c>
      <c r="AZ189" s="1326" t="s">
        <v>282</v>
      </c>
      <c r="BA189" s="1326" t="s">
        <v>2820</v>
      </c>
      <c r="BB189" s="1326" t="s">
        <v>2757</v>
      </c>
      <c r="BC189" s="1326" t="s">
        <v>2800</v>
      </c>
      <c r="BD189" s="1326" t="s">
        <v>2773</v>
      </c>
      <c r="BE189" s="1326" t="s">
        <v>2942</v>
      </c>
      <c r="BF189" s="1326" t="s">
        <v>2958</v>
      </c>
      <c r="BG189" s="1326" t="s">
        <v>2944</v>
      </c>
      <c r="BH189" s="1326" t="s">
        <v>2024</v>
      </c>
      <c r="BI189" s="1326" t="s">
        <v>2805</v>
      </c>
      <c r="BJ189" s="1326" t="s">
        <v>2824</v>
      </c>
      <c r="BK189" s="1326" t="s">
        <v>2766</v>
      </c>
      <c r="BL189" s="1326" t="s">
        <v>2757</v>
      </c>
      <c r="BM189" s="1326" t="s">
        <v>2757</v>
      </c>
      <c r="BN189" s="1683">
        <v>0</v>
      </c>
      <c r="BO189" s="1685">
        <v>42745</v>
      </c>
      <c r="BP189" s="1685">
        <v>43830</v>
      </c>
      <c r="BQ189" s="1326" t="s">
        <v>2779</v>
      </c>
      <c r="BR189" s="1685">
        <v>46022</v>
      </c>
      <c r="BS189" s="1326" t="s">
        <v>2807</v>
      </c>
      <c r="BT189" s="1326" t="s">
        <v>3274</v>
      </c>
      <c r="BU189" s="1683">
        <v>30</v>
      </c>
      <c r="BV189" s="1683">
        <v>111575.4</v>
      </c>
      <c r="BW189" s="1685">
        <v>43860</v>
      </c>
      <c r="BX189" s="1682"/>
      <c r="BY189" s="1326" t="s">
        <v>2052</v>
      </c>
      <c r="BZ189" s="1326" t="s">
        <v>2782</v>
      </c>
      <c r="CA189" s="1326" t="s">
        <v>2783</v>
      </c>
      <c r="CB189" s="1326" t="s">
        <v>2783</v>
      </c>
      <c r="CC189" s="1326" t="s">
        <v>2913</v>
      </c>
      <c r="CD189" s="1684">
        <v>437551</v>
      </c>
      <c r="CE189" s="1684">
        <v>437551</v>
      </c>
      <c r="CF189" s="1684">
        <v>371918</v>
      </c>
      <c r="CG189" s="1684">
        <v>85</v>
      </c>
      <c r="CH189" s="1684">
        <v>65633</v>
      </c>
      <c r="CI189" s="1684">
        <v>15</v>
      </c>
      <c r="CJ189" s="1684">
        <v>437551</v>
      </c>
      <c r="CK189" s="1684">
        <v>100</v>
      </c>
      <c r="CL189" s="1410" t="s">
        <v>2785</v>
      </c>
      <c r="CM189" s="1686">
        <v>43061</v>
      </c>
      <c r="CN189" s="1400"/>
      <c r="CO189" s="1326"/>
      <c r="CP189" s="1682"/>
      <c r="CQ189" s="1684">
        <v>371918</v>
      </c>
      <c r="CR189" s="1684">
        <v>371918</v>
      </c>
      <c r="CS189" s="1684">
        <v>0</v>
      </c>
      <c r="CT189" s="1326" t="s">
        <v>2785</v>
      </c>
      <c r="CU189" s="1686">
        <v>43073</v>
      </c>
      <c r="CV189" s="1684">
        <v>437551</v>
      </c>
      <c r="CW189" s="1684">
        <v>0</v>
      </c>
      <c r="CX189" s="1684">
        <v>0</v>
      </c>
      <c r="CY189" s="1684">
        <v>382431.31</v>
      </c>
      <c r="CZ189" s="1684">
        <v>45359</v>
      </c>
      <c r="DA189" s="1684">
        <v>5000</v>
      </c>
      <c r="DB189" s="1684">
        <v>0</v>
      </c>
      <c r="DC189" s="1684">
        <v>4760.6899999999996</v>
      </c>
      <c r="DD189" s="1684">
        <v>437551</v>
      </c>
      <c r="DE189" s="1684">
        <v>371918</v>
      </c>
      <c r="DF189" s="1684">
        <v>371918</v>
      </c>
      <c r="DG189" s="1684">
        <v>0</v>
      </c>
      <c r="DH189" s="1684">
        <v>65633</v>
      </c>
      <c r="DI189" s="1684">
        <v>65633</v>
      </c>
      <c r="DJ189" s="1684">
        <v>0</v>
      </c>
      <c r="DK189" s="1684">
        <v>65633</v>
      </c>
      <c r="DL189" s="1684">
        <v>0</v>
      </c>
      <c r="DM189" s="1684">
        <v>0</v>
      </c>
      <c r="DN189" s="1684">
        <v>0</v>
      </c>
      <c r="DO189" s="1684">
        <v>0</v>
      </c>
      <c r="DP189" s="1684">
        <v>0</v>
      </c>
      <c r="DQ189" s="1326" t="s">
        <v>2810</v>
      </c>
      <c r="DR189" s="1684">
        <v>0</v>
      </c>
      <c r="DS189" s="1326" t="s">
        <v>2785</v>
      </c>
      <c r="DT189" s="1682" t="s">
        <v>3067</v>
      </c>
      <c r="DU189" s="1326" t="s">
        <v>2785</v>
      </c>
      <c r="DV189" s="1686">
        <v>43279</v>
      </c>
    </row>
    <row r="190" spans="1:126" ht="56.25">
      <c r="A190" s="1326" t="s">
        <v>2189</v>
      </c>
      <c r="B190" s="1326" t="s">
        <v>1704</v>
      </c>
      <c r="C190" s="1326" t="s">
        <v>2580</v>
      </c>
      <c r="D190" s="1326" t="s">
        <v>2581</v>
      </c>
      <c r="E190" s="1326" t="s">
        <v>2467</v>
      </c>
      <c r="F190" s="1326" t="s">
        <v>259</v>
      </c>
      <c r="G190" s="1326" t="s">
        <v>2582</v>
      </c>
      <c r="H190" s="1326" t="s">
        <v>2556</v>
      </c>
      <c r="I190" s="1326" t="s">
        <v>2541</v>
      </c>
      <c r="J190" s="1326" t="s">
        <v>809</v>
      </c>
      <c r="K190" s="1685">
        <v>43006</v>
      </c>
      <c r="L190" s="1685">
        <v>43119</v>
      </c>
      <c r="M190" s="1326" t="s">
        <v>2489</v>
      </c>
      <c r="N190" s="1326" t="s">
        <v>2061</v>
      </c>
      <c r="O190" s="1326" t="s">
        <v>3275</v>
      </c>
      <c r="P190" s="1326" t="s">
        <v>2757</v>
      </c>
      <c r="Q190" s="1326" t="s">
        <v>1718</v>
      </c>
      <c r="R190" s="1326" t="s">
        <v>2757</v>
      </c>
      <c r="S190" s="1326" t="s">
        <v>2757</v>
      </c>
      <c r="T190" s="1326"/>
      <c r="U190" s="1326" t="s">
        <v>2758</v>
      </c>
      <c r="V190" s="1326" t="s">
        <v>2757</v>
      </c>
      <c r="W190" s="1326" t="s">
        <v>2757</v>
      </c>
      <c r="X190" s="1326"/>
      <c r="Y190" s="1326" t="s">
        <v>2757</v>
      </c>
      <c r="Z190" s="1326"/>
      <c r="AA190" s="1326"/>
      <c r="AB190" s="1326" t="s">
        <v>2757</v>
      </c>
      <c r="AC190" s="1326" t="s">
        <v>2757</v>
      </c>
      <c r="AD190" s="1326" t="s">
        <v>2757</v>
      </c>
      <c r="AE190" s="1326"/>
      <c r="AF190" s="1326" t="s">
        <v>3263</v>
      </c>
      <c r="AG190" s="1326" t="s">
        <v>3228</v>
      </c>
      <c r="AH190" s="1326" t="s">
        <v>2791</v>
      </c>
      <c r="AI190" s="1326" t="s">
        <v>2762</v>
      </c>
      <c r="AJ190" s="1326" t="s">
        <v>2763</v>
      </c>
      <c r="AK190" s="1326" t="s">
        <v>2987</v>
      </c>
      <c r="AL190" s="1326" t="s">
        <v>3250</v>
      </c>
      <c r="AM190" s="1683">
        <v>100</v>
      </c>
      <c r="AN190" s="1326"/>
      <c r="AO190" s="1326"/>
      <c r="AP190" s="1326"/>
      <c r="AQ190" s="1326"/>
      <c r="AR190" s="1326"/>
      <c r="AS190" s="1326"/>
      <c r="AT190" s="1326" t="s">
        <v>2766</v>
      </c>
      <c r="AU190" s="1326" t="s">
        <v>2766</v>
      </c>
      <c r="AV190" s="1326" t="s">
        <v>3230</v>
      </c>
      <c r="AW190" s="1326"/>
      <c r="AX190" s="1326" t="s">
        <v>2768</v>
      </c>
      <c r="AY190" s="1326" t="s">
        <v>2798</v>
      </c>
      <c r="AZ190" s="1326" t="s">
        <v>345</v>
      </c>
      <c r="BA190" s="1326" t="s">
        <v>2799</v>
      </c>
      <c r="BB190" s="1326" t="s">
        <v>2757</v>
      </c>
      <c r="BC190" s="1326" t="s">
        <v>2800</v>
      </c>
      <c r="BD190" s="1326" t="s">
        <v>2773</v>
      </c>
      <c r="BE190" s="1326" t="s">
        <v>2801</v>
      </c>
      <c r="BF190" s="1326" t="s">
        <v>3276</v>
      </c>
      <c r="BG190" s="1326" t="s">
        <v>2803</v>
      </c>
      <c r="BH190" s="1326" t="s">
        <v>2024</v>
      </c>
      <c r="BI190" s="1326" t="s">
        <v>2805</v>
      </c>
      <c r="BJ190" s="1326" t="s">
        <v>2806</v>
      </c>
      <c r="BK190" s="1326" t="s">
        <v>2766</v>
      </c>
      <c r="BL190" s="1326" t="s">
        <v>2757</v>
      </c>
      <c r="BM190" s="1326" t="s">
        <v>2757</v>
      </c>
      <c r="BN190" s="1683">
        <v>0</v>
      </c>
      <c r="BO190" s="1685">
        <v>42177</v>
      </c>
      <c r="BP190" s="1685">
        <v>43677</v>
      </c>
      <c r="BQ190" s="1326" t="s">
        <v>2779</v>
      </c>
      <c r="BR190" s="1685">
        <v>46022</v>
      </c>
      <c r="BS190" s="1326" t="s">
        <v>2807</v>
      </c>
      <c r="BT190" s="1326" t="s">
        <v>3277</v>
      </c>
      <c r="BU190" s="1683">
        <v>30</v>
      </c>
      <c r="BV190" s="1683">
        <v>101331.3</v>
      </c>
      <c r="BW190" s="1685">
        <v>43707</v>
      </c>
      <c r="BX190" s="1682"/>
      <c r="BY190" s="1326" t="s">
        <v>2052</v>
      </c>
      <c r="BZ190" s="1326" t="s">
        <v>2782</v>
      </c>
      <c r="CA190" s="1326" t="s">
        <v>2783</v>
      </c>
      <c r="CB190" s="1326" t="s">
        <v>2783</v>
      </c>
      <c r="CC190" s="1326" t="s">
        <v>2913</v>
      </c>
      <c r="CD190" s="1684">
        <v>397378</v>
      </c>
      <c r="CE190" s="1684">
        <v>397378</v>
      </c>
      <c r="CF190" s="1684">
        <v>337771</v>
      </c>
      <c r="CG190" s="1684">
        <v>85</v>
      </c>
      <c r="CH190" s="1684">
        <v>59607</v>
      </c>
      <c r="CI190" s="1684">
        <v>15</v>
      </c>
      <c r="CJ190" s="1684">
        <v>397378</v>
      </c>
      <c r="CK190" s="1684">
        <v>100</v>
      </c>
      <c r="CL190" s="1410" t="s">
        <v>2785</v>
      </c>
      <c r="CM190" s="1686">
        <v>43066</v>
      </c>
      <c r="CN190" s="1400"/>
      <c r="CO190" s="1326"/>
      <c r="CP190" s="1682"/>
      <c r="CQ190" s="1684">
        <v>337771</v>
      </c>
      <c r="CR190" s="1684">
        <v>337771</v>
      </c>
      <c r="CS190" s="1684">
        <v>0</v>
      </c>
      <c r="CT190" s="1326" t="s">
        <v>2785</v>
      </c>
      <c r="CU190" s="1686">
        <v>43090</v>
      </c>
      <c r="CV190" s="1684">
        <v>397378</v>
      </c>
      <c r="CW190" s="1684">
        <v>0</v>
      </c>
      <c r="CX190" s="1684">
        <v>0</v>
      </c>
      <c r="CY190" s="1684">
        <v>297001</v>
      </c>
      <c r="CZ190" s="1684">
        <v>92544.4</v>
      </c>
      <c r="DA190" s="1684">
        <v>3509</v>
      </c>
      <c r="DB190" s="1684">
        <v>0</v>
      </c>
      <c r="DC190" s="1684">
        <v>4323.6000000000004</v>
      </c>
      <c r="DD190" s="1684">
        <v>397378</v>
      </c>
      <c r="DE190" s="1684">
        <v>337771</v>
      </c>
      <c r="DF190" s="1684">
        <v>337771</v>
      </c>
      <c r="DG190" s="1684">
        <v>0</v>
      </c>
      <c r="DH190" s="1684">
        <v>59607</v>
      </c>
      <c r="DI190" s="1684">
        <v>59607</v>
      </c>
      <c r="DJ190" s="1684">
        <v>0</v>
      </c>
      <c r="DK190" s="1684">
        <v>59607</v>
      </c>
      <c r="DL190" s="1684">
        <v>0</v>
      </c>
      <c r="DM190" s="1684">
        <v>0</v>
      </c>
      <c r="DN190" s="1684">
        <v>0</v>
      </c>
      <c r="DO190" s="1684">
        <v>0</v>
      </c>
      <c r="DP190" s="1684">
        <v>0</v>
      </c>
      <c r="DQ190" s="1326"/>
      <c r="DR190" s="1684">
        <v>0</v>
      </c>
      <c r="DS190" s="1326" t="s">
        <v>2785</v>
      </c>
      <c r="DT190" s="1682" t="s">
        <v>3278</v>
      </c>
      <c r="DU190" s="1326" t="s">
        <v>2785</v>
      </c>
      <c r="DV190" s="1686">
        <v>43270</v>
      </c>
    </row>
    <row r="191" spans="1:126" ht="45">
      <c r="A191" s="1326" t="s">
        <v>2190</v>
      </c>
      <c r="B191" s="1326" t="s">
        <v>1704</v>
      </c>
      <c r="C191" s="1326" t="s">
        <v>2580</v>
      </c>
      <c r="D191" s="1326" t="s">
        <v>2581</v>
      </c>
      <c r="E191" s="1326" t="s">
        <v>2467</v>
      </c>
      <c r="F191" s="1326" t="s">
        <v>259</v>
      </c>
      <c r="G191" s="1326" t="s">
        <v>2582</v>
      </c>
      <c r="H191" s="1326" t="s">
        <v>2556</v>
      </c>
      <c r="I191" s="1326" t="s">
        <v>2541</v>
      </c>
      <c r="J191" s="1326" t="s">
        <v>810</v>
      </c>
      <c r="K191" s="1685">
        <v>43081</v>
      </c>
      <c r="L191" s="1685">
        <v>43115</v>
      </c>
      <c r="M191" s="1326" t="s">
        <v>635</v>
      </c>
      <c r="N191" s="1326" t="s">
        <v>2061</v>
      </c>
      <c r="O191" s="1326" t="s">
        <v>3279</v>
      </c>
      <c r="P191" s="1326" t="s">
        <v>2757</v>
      </c>
      <c r="Q191" s="1326" t="s">
        <v>1724</v>
      </c>
      <c r="R191" s="1326" t="s">
        <v>2757</v>
      </c>
      <c r="S191" s="1326" t="s">
        <v>2757</v>
      </c>
      <c r="T191" s="1326"/>
      <c r="U191" s="1326" t="s">
        <v>2758</v>
      </c>
      <c r="V191" s="1326" t="s">
        <v>2757</v>
      </c>
      <c r="W191" s="1326" t="s">
        <v>2757</v>
      </c>
      <c r="X191" s="1326"/>
      <c r="Y191" s="1326" t="s">
        <v>2757</v>
      </c>
      <c r="Z191" s="1326"/>
      <c r="AA191" s="1326"/>
      <c r="AB191" s="1326" t="s">
        <v>2757</v>
      </c>
      <c r="AC191" s="1326" t="s">
        <v>2757</v>
      </c>
      <c r="AD191" s="1326" t="s">
        <v>2757</v>
      </c>
      <c r="AE191" s="1326"/>
      <c r="AF191" s="1326" t="s">
        <v>3263</v>
      </c>
      <c r="AG191" s="1326" t="s">
        <v>3228</v>
      </c>
      <c r="AH191" s="1326" t="s">
        <v>2791</v>
      </c>
      <c r="AI191" s="1326" t="s">
        <v>2762</v>
      </c>
      <c r="AJ191" s="1326" t="s">
        <v>2763</v>
      </c>
      <c r="AK191" s="1326" t="s">
        <v>2987</v>
      </c>
      <c r="AL191" s="1326" t="s">
        <v>3250</v>
      </c>
      <c r="AM191" s="1683">
        <v>100</v>
      </c>
      <c r="AN191" s="1326"/>
      <c r="AO191" s="1326"/>
      <c r="AP191" s="1326"/>
      <c r="AQ191" s="1326"/>
      <c r="AR191" s="1326"/>
      <c r="AS191" s="1326"/>
      <c r="AT191" s="1326" t="s">
        <v>2766</v>
      </c>
      <c r="AU191" s="1326" t="s">
        <v>2766</v>
      </c>
      <c r="AV191" s="1326" t="s">
        <v>3230</v>
      </c>
      <c r="AW191" s="1326"/>
      <c r="AX191" s="1326" t="s">
        <v>2768</v>
      </c>
      <c r="AY191" s="1326" t="s">
        <v>2798</v>
      </c>
      <c r="AZ191" s="1326" t="s">
        <v>184</v>
      </c>
      <c r="BA191" s="1326" t="s">
        <v>2828</v>
      </c>
      <c r="BB191" s="1326" t="s">
        <v>2757</v>
      </c>
      <c r="BC191" s="1326" t="s">
        <v>2800</v>
      </c>
      <c r="BD191" s="1326" t="s">
        <v>2773</v>
      </c>
      <c r="BE191" s="1326" t="s">
        <v>3242</v>
      </c>
      <c r="BF191" s="1326" t="s">
        <v>2830</v>
      </c>
      <c r="BG191" s="1326" t="s">
        <v>2831</v>
      </c>
      <c r="BH191" s="1326" t="s">
        <v>2024</v>
      </c>
      <c r="BI191" s="1326" t="s">
        <v>2805</v>
      </c>
      <c r="BJ191" s="1326" t="s">
        <v>2832</v>
      </c>
      <c r="BK191" s="1326" t="s">
        <v>2766</v>
      </c>
      <c r="BL191" s="1326" t="s">
        <v>2757</v>
      </c>
      <c r="BM191" s="1326" t="s">
        <v>2757</v>
      </c>
      <c r="BN191" s="1683">
        <v>0</v>
      </c>
      <c r="BO191" s="1685">
        <v>43115</v>
      </c>
      <c r="BP191" s="1685">
        <v>43861</v>
      </c>
      <c r="BQ191" s="1326" t="s">
        <v>2779</v>
      </c>
      <c r="BR191" s="1685">
        <v>46387</v>
      </c>
      <c r="BS191" s="1326" t="s">
        <v>2825</v>
      </c>
      <c r="BT191" s="1326" t="s">
        <v>3280</v>
      </c>
      <c r="BU191" s="1683">
        <v>30</v>
      </c>
      <c r="BV191" s="1683">
        <v>160983.29999999999</v>
      </c>
      <c r="BW191" s="1685">
        <v>43891</v>
      </c>
      <c r="BX191" s="1682"/>
      <c r="BY191" s="1326" t="s">
        <v>2052</v>
      </c>
      <c r="BZ191" s="1326" t="s">
        <v>2782</v>
      </c>
      <c r="CA191" s="1326" t="s">
        <v>2783</v>
      </c>
      <c r="CB191" s="1326" t="s">
        <v>2783</v>
      </c>
      <c r="CC191" s="1326" t="s">
        <v>2913</v>
      </c>
      <c r="CD191" s="1684">
        <v>884900.23</v>
      </c>
      <c r="CE191" s="1684">
        <v>856424.88</v>
      </c>
      <c r="CF191" s="1684">
        <v>536611</v>
      </c>
      <c r="CG191" s="1684">
        <v>62.66</v>
      </c>
      <c r="CH191" s="1684">
        <v>319813.88</v>
      </c>
      <c r="CI191" s="1684">
        <v>37.340000000000003</v>
      </c>
      <c r="CJ191" s="1684">
        <v>856424.88</v>
      </c>
      <c r="CK191" s="1684">
        <v>100</v>
      </c>
      <c r="CL191" s="1410" t="s">
        <v>2785</v>
      </c>
      <c r="CM191" s="1686">
        <v>43081</v>
      </c>
      <c r="CN191" s="1400"/>
      <c r="CO191" s="1326"/>
      <c r="CP191" s="1682"/>
      <c r="CQ191" s="1684">
        <v>536611</v>
      </c>
      <c r="CR191" s="1684">
        <v>536611</v>
      </c>
      <c r="CS191" s="1684">
        <v>0</v>
      </c>
      <c r="CT191" s="1326" t="s">
        <v>2785</v>
      </c>
      <c r="CU191" s="1686">
        <v>43090</v>
      </c>
      <c r="CV191" s="1684">
        <v>856424.88</v>
      </c>
      <c r="CW191" s="1684">
        <v>0</v>
      </c>
      <c r="CX191" s="1684">
        <v>0</v>
      </c>
      <c r="CY191" s="1684">
        <v>789755.7</v>
      </c>
      <c r="CZ191" s="1684">
        <v>59114.239999999998</v>
      </c>
      <c r="DA191" s="1684">
        <v>0</v>
      </c>
      <c r="DB191" s="1684">
        <v>0</v>
      </c>
      <c r="DC191" s="1684">
        <v>7554.94</v>
      </c>
      <c r="DD191" s="1684">
        <v>856424.88</v>
      </c>
      <c r="DE191" s="1684">
        <v>536611</v>
      </c>
      <c r="DF191" s="1684">
        <v>536611</v>
      </c>
      <c r="DG191" s="1684">
        <v>0</v>
      </c>
      <c r="DH191" s="1684">
        <v>319813.88</v>
      </c>
      <c r="DI191" s="1684">
        <v>319813.88</v>
      </c>
      <c r="DJ191" s="1684">
        <v>0</v>
      </c>
      <c r="DK191" s="1684">
        <v>319813.88</v>
      </c>
      <c r="DL191" s="1684">
        <v>0</v>
      </c>
      <c r="DM191" s="1684">
        <v>0</v>
      </c>
      <c r="DN191" s="1684">
        <v>0</v>
      </c>
      <c r="DO191" s="1684">
        <v>0</v>
      </c>
      <c r="DP191" s="1684">
        <v>0</v>
      </c>
      <c r="DQ191" s="1326" t="s">
        <v>2810</v>
      </c>
      <c r="DR191" s="1684">
        <v>0</v>
      </c>
      <c r="DS191" s="1326" t="s">
        <v>2785</v>
      </c>
      <c r="DT191" s="1682" t="s">
        <v>2927</v>
      </c>
      <c r="DU191" s="1326" t="s">
        <v>2785</v>
      </c>
      <c r="DV191" s="1686">
        <v>43296</v>
      </c>
    </row>
    <row r="192" spans="1:126">
      <c r="A192" s="1326" t="s">
        <v>2191</v>
      </c>
      <c r="B192" s="1326" t="s">
        <v>1706</v>
      </c>
      <c r="C192" s="1326"/>
      <c r="D192" s="1326"/>
      <c r="E192" s="1326"/>
      <c r="F192" s="1326"/>
      <c r="G192" s="1326"/>
      <c r="H192" s="1326"/>
      <c r="I192" s="1326"/>
      <c r="J192" s="1326"/>
      <c r="K192" s="1682"/>
      <c r="L192" s="1682"/>
      <c r="M192" s="1326"/>
      <c r="N192" s="1326"/>
      <c r="O192" s="1326"/>
      <c r="P192" s="1326"/>
      <c r="Q192" s="1326"/>
      <c r="R192" s="1326"/>
      <c r="S192" s="1326"/>
      <c r="T192" s="1326"/>
      <c r="U192" s="1326"/>
      <c r="V192" s="1326"/>
      <c r="W192" s="1326"/>
      <c r="X192" s="1326"/>
      <c r="Y192" s="1326"/>
      <c r="Z192" s="1326"/>
      <c r="AA192" s="1326"/>
      <c r="AB192" s="1326"/>
      <c r="AC192" s="1326"/>
      <c r="AD192" s="1326"/>
      <c r="AE192" s="1326"/>
      <c r="AF192" s="1326"/>
      <c r="AG192" s="1326"/>
      <c r="AH192" s="1326"/>
      <c r="AI192" s="1326"/>
      <c r="AJ192" s="1326"/>
      <c r="AK192" s="1326"/>
      <c r="AL192" s="1326"/>
      <c r="AM192" s="1400"/>
      <c r="AN192" s="1326"/>
      <c r="AO192" s="1326"/>
      <c r="AP192" s="1326"/>
      <c r="AQ192" s="1326"/>
      <c r="AR192" s="1326"/>
      <c r="AS192" s="1326"/>
      <c r="AT192" s="1326"/>
      <c r="AU192" s="1326"/>
      <c r="AV192" s="1326"/>
      <c r="AW192" s="1326"/>
      <c r="AX192" s="1326"/>
      <c r="AY192" s="1326"/>
      <c r="AZ192" s="1326"/>
      <c r="BA192" s="1326"/>
      <c r="BB192" s="1326"/>
      <c r="BC192" s="1326"/>
      <c r="BD192" s="1326"/>
      <c r="BE192" s="1326"/>
      <c r="BF192" s="1326"/>
      <c r="BG192" s="1326"/>
      <c r="BH192" s="1326"/>
      <c r="BI192" s="1326"/>
      <c r="BJ192" s="1326"/>
      <c r="BK192" s="1326"/>
      <c r="BL192" s="1326"/>
      <c r="BM192" s="1326"/>
      <c r="BN192" s="1400"/>
      <c r="BO192" s="1682"/>
      <c r="BP192" s="1682"/>
      <c r="BQ192" s="1326"/>
      <c r="BR192" s="1682"/>
      <c r="BS192" s="1326"/>
      <c r="BT192" s="1326"/>
      <c r="BU192" s="1400"/>
      <c r="BV192" s="1683">
        <v>168868.99</v>
      </c>
      <c r="BW192" s="1682"/>
      <c r="BX192" s="1682"/>
      <c r="BY192" s="1326"/>
      <c r="BZ192" s="1326"/>
      <c r="CA192" s="1326"/>
      <c r="CB192" s="1326"/>
      <c r="CC192" s="1326"/>
      <c r="CD192" s="1684">
        <v>906987.73</v>
      </c>
      <c r="CE192" s="1684">
        <v>906987.73</v>
      </c>
      <c r="CF192" s="1684">
        <v>770807.84</v>
      </c>
      <c r="CG192" s="1684">
        <v>84.99</v>
      </c>
      <c r="CH192" s="1684">
        <v>136179.89000000001</v>
      </c>
      <c r="CI192" s="1684">
        <v>15.01</v>
      </c>
      <c r="CJ192" s="1684">
        <v>906987.73</v>
      </c>
      <c r="CK192" s="1684">
        <v>100</v>
      </c>
      <c r="CL192" s="1410"/>
      <c r="CM192" s="1682"/>
      <c r="CN192" s="1400"/>
      <c r="CO192" s="1326"/>
      <c r="CP192" s="1682"/>
      <c r="CQ192" s="1684">
        <v>770807.84</v>
      </c>
      <c r="CR192" s="1684">
        <v>770807.84</v>
      </c>
      <c r="CS192" s="1684">
        <v>0</v>
      </c>
      <c r="CT192" s="1326"/>
      <c r="CU192" s="1682"/>
      <c r="CV192" s="1684">
        <v>906987.73</v>
      </c>
      <c r="CW192" s="1684">
        <v>0</v>
      </c>
      <c r="CX192" s="1684">
        <v>0</v>
      </c>
      <c r="CY192" s="1684">
        <v>35453.910000000003</v>
      </c>
      <c r="CZ192" s="1684">
        <v>154683.54999999999</v>
      </c>
      <c r="DA192" s="1684">
        <v>635105.44999999995</v>
      </c>
      <c r="DB192" s="1684">
        <v>1453.43</v>
      </c>
      <c r="DC192" s="1684">
        <v>80291.39</v>
      </c>
      <c r="DD192" s="1684">
        <v>906987.73</v>
      </c>
      <c r="DE192" s="1684">
        <v>770807.84</v>
      </c>
      <c r="DF192" s="1684">
        <v>770807.84</v>
      </c>
      <c r="DG192" s="1684">
        <v>0</v>
      </c>
      <c r="DH192" s="1684">
        <v>136179.89000000001</v>
      </c>
      <c r="DI192" s="1684">
        <v>136179.89000000001</v>
      </c>
      <c r="DJ192" s="1684">
        <v>0</v>
      </c>
      <c r="DK192" s="1684">
        <v>136179.89000000001</v>
      </c>
      <c r="DL192" s="1684">
        <v>0</v>
      </c>
      <c r="DM192" s="1684">
        <v>0</v>
      </c>
      <c r="DN192" s="1684">
        <v>0</v>
      </c>
      <c r="DO192" s="1684">
        <v>0</v>
      </c>
      <c r="DP192" s="1684">
        <v>0</v>
      </c>
      <c r="DQ192" s="1326"/>
      <c r="DR192" s="1400"/>
      <c r="DS192" s="1326"/>
      <c r="DT192" s="1682"/>
      <c r="DU192" s="1326"/>
      <c r="DV192" s="1682"/>
    </row>
    <row r="193" spans="1:126">
      <c r="A193" s="1326" t="s">
        <v>2192</v>
      </c>
      <c r="B193" s="1326" t="s">
        <v>1706</v>
      </c>
      <c r="C193" s="1326" t="s">
        <v>2583</v>
      </c>
      <c r="D193" s="1326"/>
      <c r="E193" s="1326"/>
      <c r="F193" s="1326"/>
      <c r="G193" s="1326"/>
      <c r="H193" s="1326"/>
      <c r="I193" s="1326"/>
      <c r="J193" s="1326"/>
      <c r="K193" s="1682"/>
      <c r="L193" s="1682"/>
      <c r="M193" s="1326"/>
      <c r="N193" s="1326"/>
      <c r="O193" s="1326"/>
      <c r="P193" s="1326"/>
      <c r="Q193" s="1326"/>
      <c r="R193" s="1326"/>
      <c r="S193" s="1326"/>
      <c r="T193" s="1326"/>
      <c r="U193" s="1326"/>
      <c r="V193" s="1326"/>
      <c r="W193" s="1326"/>
      <c r="X193" s="1326"/>
      <c r="Y193" s="1326"/>
      <c r="Z193" s="1326"/>
      <c r="AA193" s="1326"/>
      <c r="AB193" s="1326"/>
      <c r="AC193" s="1326"/>
      <c r="AD193" s="1326"/>
      <c r="AE193" s="1326"/>
      <c r="AF193" s="1326"/>
      <c r="AG193" s="1326"/>
      <c r="AH193" s="1326"/>
      <c r="AI193" s="1326"/>
      <c r="AJ193" s="1326"/>
      <c r="AK193" s="1326"/>
      <c r="AL193" s="1326"/>
      <c r="AM193" s="1400"/>
      <c r="AN193" s="1326"/>
      <c r="AO193" s="1326"/>
      <c r="AP193" s="1326"/>
      <c r="AQ193" s="1326"/>
      <c r="AR193" s="1326"/>
      <c r="AS193" s="1326"/>
      <c r="AT193" s="1326"/>
      <c r="AU193" s="1326"/>
      <c r="AV193" s="1326"/>
      <c r="AW193" s="1326"/>
      <c r="AX193" s="1326"/>
      <c r="AY193" s="1326"/>
      <c r="AZ193" s="1326"/>
      <c r="BA193" s="1326"/>
      <c r="BB193" s="1326"/>
      <c r="BC193" s="1326"/>
      <c r="BD193" s="1326"/>
      <c r="BE193" s="1326"/>
      <c r="BF193" s="1326"/>
      <c r="BG193" s="1326"/>
      <c r="BH193" s="1326"/>
      <c r="BI193" s="1326"/>
      <c r="BJ193" s="1326"/>
      <c r="BK193" s="1326"/>
      <c r="BL193" s="1326"/>
      <c r="BM193" s="1326"/>
      <c r="BN193" s="1400"/>
      <c r="BO193" s="1682"/>
      <c r="BP193" s="1682"/>
      <c r="BQ193" s="1326"/>
      <c r="BR193" s="1682"/>
      <c r="BS193" s="1326"/>
      <c r="BT193" s="1326"/>
      <c r="BU193" s="1400"/>
      <c r="BV193" s="1683">
        <v>168868.99</v>
      </c>
      <c r="BW193" s="1682"/>
      <c r="BX193" s="1682"/>
      <c r="BY193" s="1326"/>
      <c r="BZ193" s="1326"/>
      <c r="CA193" s="1326"/>
      <c r="CB193" s="1326"/>
      <c r="CC193" s="1326"/>
      <c r="CD193" s="1684">
        <v>906987.73</v>
      </c>
      <c r="CE193" s="1684">
        <v>906987.73</v>
      </c>
      <c r="CF193" s="1684">
        <v>770807.84</v>
      </c>
      <c r="CG193" s="1684">
        <v>84.99</v>
      </c>
      <c r="CH193" s="1684">
        <v>136179.89000000001</v>
      </c>
      <c r="CI193" s="1684">
        <v>15.01</v>
      </c>
      <c r="CJ193" s="1684">
        <v>906987.73</v>
      </c>
      <c r="CK193" s="1684">
        <v>100</v>
      </c>
      <c r="CL193" s="1410"/>
      <c r="CM193" s="1682"/>
      <c r="CN193" s="1400"/>
      <c r="CO193" s="1326"/>
      <c r="CP193" s="1682"/>
      <c r="CQ193" s="1684">
        <v>770807.84</v>
      </c>
      <c r="CR193" s="1684">
        <v>770807.84</v>
      </c>
      <c r="CS193" s="1684">
        <v>0</v>
      </c>
      <c r="CT193" s="1326"/>
      <c r="CU193" s="1682"/>
      <c r="CV193" s="1684">
        <v>906987.73</v>
      </c>
      <c r="CW193" s="1684">
        <v>0</v>
      </c>
      <c r="CX193" s="1684">
        <v>0</v>
      </c>
      <c r="CY193" s="1684">
        <v>35453.910000000003</v>
      </c>
      <c r="CZ193" s="1684">
        <v>154683.54999999999</v>
      </c>
      <c r="DA193" s="1684">
        <v>635105.44999999995</v>
      </c>
      <c r="DB193" s="1684">
        <v>1453.43</v>
      </c>
      <c r="DC193" s="1684">
        <v>80291.39</v>
      </c>
      <c r="DD193" s="1684">
        <v>906987.73</v>
      </c>
      <c r="DE193" s="1684">
        <v>770807.84</v>
      </c>
      <c r="DF193" s="1684">
        <v>770807.84</v>
      </c>
      <c r="DG193" s="1684">
        <v>0</v>
      </c>
      <c r="DH193" s="1684">
        <v>136179.89000000001</v>
      </c>
      <c r="DI193" s="1684">
        <v>136179.89000000001</v>
      </c>
      <c r="DJ193" s="1684">
        <v>0</v>
      </c>
      <c r="DK193" s="1684">
        <v>136179.89000000001</v>
      </c>
      <c r="DL193" s="1684">
        <v>0</v>
      </c>
      <c r="DM193" s="1684">
        <v>0</v>
      </c>
      <c r="DN193" s="1684">
        <v>0</v>
      </c>
      <c r="DO193" s="1684">
        <v>0</v>
      </c>
      <c r="DP193" s="1684">
        <v>0</v>
      </c>
      <c r="DQ193" s="1326"/>
      <c r="DR193" s="1400"/>
      <c r="DS193" s="1326"/>
      <c r="DT193" s="1682"/>
      <c r="DU193" s="1326"/>
      <c r="DV193" s="1682"/>
    </row>
    <row r="194" spans="1:126">
      <c r="A194" s="1326" t="s">
        <v>2193</v>
      </c>
      <c r="B194" s="1326" t="s">
        <v>1706</v>
      </c>
      <c r="C194" s="1326" t="s">
        <v>2583</v>
      </c>
      <c r="D194" s="1326" t="s">
        <v>2584</v>
      </c>
      <c r="E194" s="1326"/>
      <c r="F194" s="1326"/>
      <c r="G194" s="1326"/>
      <c r="H194" s="1326"/>
      <c r="I194" s="1326"/>
      <c r="J194" s="1326"/>
      <c r="K194" s="1682"/>
      <c r="L194" s="1682"/>
      <c r="M194" s="1326"/>
      <c r="N194" s="1326"/>
      <c r="O194" s="1326"/>
      <c r="P194" s="1326"/>
      <c r="Q194" s="1326"/>
      <c r="R194" s="1326"/>
      <c r="S194" s="1326"/>
      <c r="T194" s="1326"/>
      <c r="U194" s="1326"/>
      <c r="V194" s="1326"/>
      <c r="W194" s="1326"/>
      <c r="X194" s="1326"/>
      <c r="Y194" s="1326"/>
      <c r="Z194" s="1326"/>
      <c r="AA194" s="1326"/>
      <c r="AB194" s="1326"/>
      <c r="AC194" s="1326"/>
      <c r="AD194" s="1326"/>
      <c r="AE194" s="1326"/>
      <c r="AF194" s="1326"/>
      <c r="AG194" s="1326"/>
      <c r="AH194" s="1326"/>
      <c r="AI194" s="1326"/>
      <c r="AJ194" s="1326"/>
      <c r="AK194" s="1326"/>
      <c r="AL194" s="1326"/>
      <c r="AM194" s="1400"/>
      <c r="AN194" s="1326"/>
      <c r="AO194" s="1326"/>
      <c r="AP194" s="1326"/>
      <c r="AQ194" s="1326"/>
      <c r="AR194" s="1326"/>
      <c r="AS194" s="1326"/>
      <c r="AT194" s="1326"/>
      <c r="AU194" s="1326"/>
      <c r="AV194" s="1326"/>
      <c r="AW194" s="1326"/>
      <c r="AX194" s="1326"/>
      <c r="AY194" s="1326"/>
      <c r="AZ194" s="1326"/>
      <c r="BA194" s="1326"/>
      <c r="BB194" s="1326"/>
      <c r="BC194" s="1326"/>
      <c r="BD194" s="1326"/>
      <c r="BE194" s="1326"/>
      <c r="BF194" s="1326"/>
      <c r="BG194" s="1326"/>
      <c r="BH194" s="1326"/>
      <c r="BI194" s="1326"/>
      <c r="BJ194" s="1326"/>
      <c r="BK194" s="1326"/>
      <c r="BL194" s="1326"/>
      <c r="BM194" s="1326"/>
      <c r="BN194" s="1400"/>
      <c r="BO194" s="1682"/>
      <c r="BP194" s="1682"/>
      <c r="BQ194" s="1326"/>
      <c r="BR194" s="1682"/>
      <c r="BS194" s="1326"/>
      <c r="BT194" s="1326"/>
      <c r="BU194" s="1400"/>
      <c r="BV194" s="1683">
        <v>168868.99</v>
      </c>
      <c r="BW194" s="1682"/>
      <c r="BX194" s="1682"/>
      <c r="BY194" s="1326"/>
      <c r="BZ194" s="1326"/>
      <c r="CA194" s="1326"/>
      <c r="CB194" s="1326"/>
      <c r="CC194" s="1326"/>
      <c r="CD194" s="1684">
        <v>906987.73</v>
      </c>
      <c r="CE194" s="1684">
        <v>906987.73</v>
      </c>
      <c r="CF194" s="1684">
        <v>770807.84</v>
      </c>
      <c r="CG194" s="1684">
        <v>84.99</v>
      </c>
      <c r="CH194" s="1684">
        <v>136179.89000000001</v>
      </c>
      <c r="CI194" s="1684">
        <v>15.01</v>
      </c>
      <c r="CJ194" s="1684">
        <v>906987.73</v>
      </c>
      <c r="CK194" s="1684">
        <v>100</v>
      </c>
      <c r="CL194" s="1410"/>
      <c r="CM194" s="1682"/>
      <c r="CN194" s="1400"/>
      <c r="CO194" s="1326"/>
      <c r="CP194" s="1682"/>
      <c r="CQ194" s="1684">
        <v>770807.84</v>
      </c>
      <c r="CR194" s="1684">
        <v>770807.84</v>
      </c>
      <c r="CS194" s="1684">
        <v>0</v>
      </c>
      <c r="CT194" s="1326"/>
      <c r="CU194" s="1682"/>
      <c r="CV194" s="1684">
        <v>906987.73</v>
      </c>
      <c r="CW194" s="1684">
        <v>0</v>
      </c>
      <c r="CX194" s="1684">
        <v>0</v>
      </c>
      <c r="CY194" s="1684">
        <v>35453.910000000003</v>
      </c>
      <c r="CZ194" s="1684">
        <v>154683.54999999999</v>
      </c>
      <c r="DA194" s="1684">
        <v>635105.44999999995</v>
      </c>
      <c r="DB194" s="1684">
        <v>1453.43</v>
      </c>
      <c r="DC194" s="1684">
        <v>80291.39</v>
      </c>
      <c r="DD194" s="1684">
        <v>906987.73</v>
      </c>
      <c r="DE194" s="1684">
        <v>770807.84</v>
      </c>
      <c r="DF194" s="1684">
        <v>770807.84</v>
      </c>
      <c r="DG194" s="1684">
        <v>0</v>
      </c>
      <c r="DH194" s="1684">
        <v>136179.89000000001</v>
      </c>
      <c r="DI194" s="1684">
        <v>136179.89000000001</v>
      </c>
      <c r="DJ194" s="1684">
        <v>0</v>
      </c>
      <c r="DK194" s="1684">
        <v>136179.89000000001</v>
      </c>
      <c r="DL194" s="1684">
        <v>0</v>
      </c>
      <c r="DM194" s="1684">
        <v>0</v>
      </c>
      <c r="DN194" s="1684">
        <v>0</v>
      </c>
      <c r="DO194" s="1684">
        <v>0</v>
      </c>
      <c r="DP194" s="1684">
        <v>0</v>
      </c>
      <c r="DQ194" s="1326"/>
      <c r="DR194" s="1400"/>
      <c r="DS194" s="1326"/>
      <c r="DT194" s="1682"/>
      <c r="DU194" s="1326"/>
      <c r="DV194" s="1682"/>
    </row>
    <row r="195" spans="1:126" ht="33.75">
      <c r="A195" s="1326" t="s">
        <v>2194</v>
      </c>
      <c r="B195" s="1326" t="s">
        <v>1706</v>
      </c>
      <c r="C195" s="1326" t="s">
        <v>2583</v>
      </c>
      <c r="D195" s="1326" t="s">
        <v>2584</v>
      </c>
      <c r="E195" s="1326" t="s">
        <v>1122</v>
      </c>
      <c r="F195" s="1326" t="s">
        <v>3281</v>
      </c>
      <c r="G195" s="1326"/>
      <c r="H195" s="1326"/>
      <c r="I195" s="1326"/>
      <c r="J195" s="1326"/>
      <c r="K195" s="1682"/>
      <c r="L195" s="1682"/>
      <c r="M195" s="1326"/>
      <c r="N195" s="1326"/>
      <c r="O195" s="1326"/>
      <c r="P195" s="1326"/>
      <c r="Q195" s="1326"/>
      <c r="R195" s="1326"/>
      <c r="S195" s="1326"/>
      <c r="T195" s="1326"/>
      <c r="U195" s="1326"/>
      <c r="V195" s="1326"/>
      <c r="W195" s="1326"/>
      <c r="X195" s="1326"/>
      <c r="Y195" s="1326"/>
      <c r="Z195" s="1326"/>
      <c r="AA195" s="1326"/>
      <c r="AB195" s="1326"/>
      <c r="AC195" s="1326"/>
      <c r="AD195" s="1326"/>
      <c r="AE195" s="1326"/>
      <c r="AF195" s="1326"/>
      <c r="AG195" s="1326"/>
      <c r="AH195" s="1326"/>
      <c r="AI195" s="1326"/>
      <c r="AJ195" s="1326"/>
      <c r="AK195" s="1326"/>
      <c r="AL195" s="1326"/>
      <c r="AM195" s="1400"/>
      <c r="AN195" s="1326"/>
      <c r="AO195" s="1326"/>
      <c r="AP195" s="1326"/>
      <c r="AQ195" s="1326"/>
      <c r="AR195" s="1326"/>
      <c r="AS195" s="1326"/>
      <c r="AT195" s="1326"/>
      <c r="AU195" s="1326"/>
      <c r="AV195" s="1326"/>
      <c r="AW195" s="1326"/>
      <c r="AX195" s="1326"/>
      <c r="AY195" s="1326"/>
      <c r="AZ195" s="1326"/>
      <c r="BA195" s="1326"/>
      <c r="BB195" s="1326"/>
      <c r="BC195" s="1326"/>
      <c r="BD195" s="1326"/>
      <c r="BE195" s="1326"/>
      <c r="BF195" s="1326"/>
      <c r="BG195" s="1326"/>
      <c r="BH195" s="1326"/>
      <c r="BI195" s="1326"/>
      <c r="BJ195" s="1326"/>
      <c r="BK195" s="1326"/>
      <c r="BL195" s="1326"/>
      <c r="BM195" s="1326"/>
      <c r="BN195" s="1400"/>
      <c r="BO195" s="1682"/>
      <c r="BP195" s="1682"/>
      <c r="BQ195" s="1326"/>
      <c r="BR195" s="1682"/>
      <c r="BS195" s="1326"/>
      <c r="BT195" s="1326"/>
      <c r="BU195" s="1400"/>
      <c r="BV195" s="1683">
        <v>168868.99</v>
      </c>
      <c r="BW195" s="1682"/>
      <c r="BX195" s="1682"/>
      <c r="BY195" s="1326"/>
      <c r="BZ195" s="1326"/>
      <c r="CA195" s="1326"/>
      <c r="CB195" s="1326"/>
      <c r="CC195" s="1326"/>
      <c r="CD195" s="1684">
        <v>906987.73</v>
      </c>
      <c r="CE195" s="1684">
        <v>906987.73</v>
      </c>
      <c r="CF195" s="1684">
        <v>770807.84</v>
      </c>
      <c r="CG195" s="1684">
        <v>84.99</v>
      </c>
      <c r="CH195" s="1684">
        <v>136179.89000000001</v>
      </c>
      <c r="CI195" s="1684">
        <v>15.01</v>
      </c>
      <c r="CJ195" s="1684">
        <v>906987.73</v>
      </c>
      <c r="CK195" s="1684">
        <v>100</v>
      </c>
      <c r="CL195" s="1410"/>
      <c r="CM195" s="1682"/>
      <c r="CN195" s="1400"/>
      <c r="CO195" s="1326"/>
      <c r="CP195" s="1682"/>
      <c r="CQ195" s="1684">
        <v>770807.84</v>
      </c>
      <c r="CR195" s="1684">
        <v>770807.84</v>
      </c>
      <c r="CS195" s="1684">
        <v>0</v>
      </c>
      <c r="CT195" s="1326"/>
      <c r="CU195" s="1682"/>
      <c r="CV195" s="1684">
        <v>906987.73</v>
      </c>
      <c r="CW195" s="1684">
        <v>0</v>
      </c>
      <c r="CX195" s="1684">
        <v>0</v>
      </c>
      <c r="CY195" s="1684">
        <v>35453.910000000003</v>
      </c>
      <c r="CZ195" s="1684">
        <v>154683.54999999999</v>
      </c>
      <c r="DA195" s="1684">
        <v>635105.44999999995</v>
      </c>
      <c r="DB195" s="1684">
        <v>1453.43</v>
      </c>
      <c r="DC195" s="1684">
        <v>80291.39</v>
      </c>
      <c r="DD195" s="1684">
        <v>906987.73</v>
      </c>
      <c r="DE195" s="1684">
        <v>770807.84</v>
      </c>
      <c r="DF195" s="1684">
        <v>770807.84</v>
      </c>
      <c r="DG195" s="1684">
        <v>0</v>
      </c>
      <c r="DH195" s="1684">
        <v>136179.89000000001</v>
      </c>
      <c r="DI195" s="1684">
        <v>136179.89000000001</v>
      </c>
      <c r="DJ195" s="1684">
        <v>0</v>
      </c>
      <c r="DK195" s="1684">
        <v>136179.89000000001</v>
      </c>
      <c r="DL195" s="1684">
        <v>0</v>
      </c>
      <c r="DM195" s="1684">
        <v>0</v>
      </c>
      <c r="DN195" s="1684">
        <v>0</v>
      </c>
      <c r="DO195" s="1684">
        <v>0</v>
      </c>
      <c r="DP195" s="1684">
        <v>0</v>
      </c>
      <c r="DQ195" s="1326"/>
      <c r="DR195" s="1400"/>
      <c r="DS195" s="1326"/>
      <c r="DT195" s="1682"/>
      <c r="DU195" s="1326"/>
      <c r="DV195" s="1682"/>
    </row>
    <row r="196" spans="1:126" ht="146.25">
      <c r="A196" s="1326" t="s">
        <v>2195</v>
      </c>
      <c r="B196" s="1326" t="s">
        <v>1706</v>
      </c>
      <c r="C196" s="1326" t="s">
        <v>2583</v>
      </c>
      <c r="D196" s="1326" t="s">
        <v>2584</v>
      </c>
      <c r="E196" s="1326" t="s">
        <v>1122</v>
      </c>
      <c r="F196" s="1326" t="s">
        <v>3281</v>
      </c>
      <c r="G196" s="1326" t="s">
        <v>2563</v>
      </c>
      <c r="H196" s="1326" t="s">
        <v>2572</v>
      </c>
      <c r="I196" s="1326" t="s">
        <v>2573</v>
      </c>
      <c r="J196" s="1326" t="s">
        <v>1209</v>
      </c>
      <c r="K196" s="1685">
        <v>43039</v>
      </c>
      <c r="L196" s="1685">
        <v>43137</v>
      </c>
      <c r="M196" s="1326" t="s">
        <v>272</v>
      </c>
      <c r="N196" s="1326" t="s">
        <v>2061</v>
      </c>
      <c r="O196" s="1326" t="s">
        <v>3282</v>
      </c>
      <c r="P196" s="1326" t="s">
        <v>2757</v>
      </c>
      <c r="Q196" s="1326" t="s">
        <v>1719</v>
      </c>
      <c r="R196" s="1326" t="s">
        <v>2757</v>
      </c>
      <c r="S196" s="1326" t="s">
        <v>2757</v>
      </c>
      <c r="T196" s="1326" t="s">
        <v>2785</v>
      </c>
      <c r="U196" s="1326" t="s">
        <v>2758</v>
      </c>
      <c r="V196" s="1326" t="s">
        <v>2757</v>
      </c>
      <c r="W196" s="1326" t="s">
        <v>2757</v>
      </c>
      <c r="X196" s="1326" t="s">
        <v>2757</v>
      </c>
      <c r="Y196" s="1326" t="s">
        <v>2757</v>
      </c>
      <c r="Z196" s="1326" t="s">
        <v>2757</v>
      </c>
      <c r="AA196" s="1326" t="s">
        <v>2757</v>
      </c>
      <c r="AB196" s="1326" t="s">
        <v>2757</v>
      </c>
      <c r="AC196" s="1326" t="s">
        <v>2785</v>
      </c>
      <c r="AD196" s="1326" t="s">
        <v>2757</v>
      </c>
      <c r="AE196" s="1326"/>
      <c r="AF196" s="1326" t="s">
        <v>3019</v>
      </c>
      <c r="AG196" s="1326" t="s">
        <v>2986</v>
      </c>
      <c r="AH196" s="1326" t="s">
        <v>2951</v>
      </c>
      <c r="AI196" s="1326" t="s">
        <v>2762</v>
      </c>
      <c r="AJ196" s="1326" t="s">
        <v>2763</v>
      </c>
      <c r="AK196" s="1326" t="s">
        <v>3283</v>
      </c>
      <c r="AL196" s="1326" t="s">
        <v>3284</v>
      </c>
      <c r="AM196" s="1683">
        <v>100</v>
      </c>
      <c r="AN196" s="1326"/>
      <c r="AO196" s="1326"/>
      <c r="AP196" s="1326"/>
      <c r="AQ196" s="1326"/>
      <c r="AR196" s="1326"/>
      <c r="AS196" s="1326"/>
      <c r="AT196" s="1326" t="s">
        <v>2867</v>
      </c>
      <c r="AU196" s="1326" t="s">
        <v>2766</v>
      </c>
      <c r="AV196" s="1326" t="s">
        <v>3285</v>
      </c>
      <c r="AW196" s="1326" t="s">
        <v>3074</v>
      </c>
      <c r="AX196" s="1326" t="s">
        <v>3047</v>
      </c>
      <c r="AY196" s="1326" t="s">
        <v>2798</v>
      </c>
      <c r="AZ196" s="1326" t="s">
        <v>282</v>
      </c>
      <c r="BA196" s="1326" t="s">
        <v>2820</v>
      </c>
      <c r="BB196" s="1326" t="s">
        <v>2757</v>
      </c>
      <c r="BC196" s="1326" t="s">
        <v>2800</v>
      </c>
      <c r="BD196" s="1326" t="s">
        <v>2773</v>
      </c>
      <c r="BE196" s="1326" t="s">
        <v>2942</v>
      </c>
      <c r="BF196" s="1326" t="s">
        <v>2943</v>
      </c>
      <c r="BG196" s="1326" t="s">
        <v>2944</v>
      </c>
      <c r="BH196" s="1326" t="s">
        <v>2804</v>
      </c>
      <c r="BI196" s="1326" t="s">
        <v>2805</v>
      </c>
      <c r="BJ196" s="1326" t="s">
        <v>2824</v>
      </c>
      <c r="BK196" s="1326" t="s">
        <v>2867</v>
      </c>
      <c r="BL196" s="1326" t="s">
        <v>2757</v>
      </c>
      <c r="BM196" s="1326" t="s">
        <v>2757</v>
      </c>
      <c r="BN196" s="1683">
        <v>0</v>
      </c>
      <c r="BO196" s="1685">
        <v>42808</v>
      </c>
      <c r="BP196" s="1685">
        <v>43683</v>
      </c>
      <c r="BQ196" s="1326" t="s">
        <v>2779</v>
      </c>
      <c r="BR196" s="1685">
        <v>47483</v>
      </c>
      <c r="BS196" s="1326" t="s">
        <v>2956</v>
      </c>
      <c r="BT196" s="1326" t="s">
        <v>3286</v>
      </c>
      <c r="BU196" s="1683">
        <v>5</v>
      </c>
      <c r="BV196" s="1683">
        <v>7341.17</v>
      </c>
      <c r="BW196" s="1685">
        <v>43743</v>
      </c>
      <c r="BX196" s="1682"/>
      <c r="BY196" s="1326" t="s">
        <v>2052</v>
      </c>
      <c r="BZ196" s="1326" t="s">
        <v>2782</v>
      </c>
      <c r="CA196" s="1326" t="s">
        <v>2783</v>
      </c>
      <c r="CB196" s="1326" t="s">
        <v>2783</v>
      </c>
      <c r="CC196" s="1326" t="s">
        <v>2809</v>
      </c>
      <c r="CD196" s="1684">
        <v>172733.52</v>
      </c>
      <c r="CE196" s="1684">
        <v>172733.52</v>
      </c>
      <c r="CF196" s="1684">
        <v>146823.49</v>
      </c>
      <c r="CG196" s="1684">
        <v>85</v>
      </c>
      <c r="CH196" s="1684">
        <v>25910.03</v>
      </c>
      <c r="CI196" s="1684">
        <v>15</v>
      </c>
      <c r="CJ196" s="1684">
        <v>172733.52</v>
      </c>
      <c r="CK196" s="1684">
        <v>100</v>
      </c>
      <c r="CL196" s="1410" t="s">
        <v>2785</v>
      </c>
      <c r="CM196" s="1686">
        <v>43096</v>
      </c>
      <c r="CN196" s="1400"/>
      <c r="CO196" s="1326"/>
      <c r="CP196" s="1682"/>
      <c r="CQ196" s="1684">
        <v>146823.49</v>
      </c>
      <c r="CR196" s="1684">
        <v>146823.49</v>
      </c>
      <c r="CS196" s="1684">
        <v>0</v>
      </c>
      <c r="CT196" s="1326" t="s">
        <v>2785</v>
      </c>
      <c r="CU196" s="1686">
        <v>43115</v>
      </c>
      <c r="CV196" s="1684">
        <v>172733.52</v>
      </c>
      <c r="CW196" s="1684">
        <v>0</v>
      </c>
      <c r="CX196" s="1684">
        <v>0</v>
      </c>
      <c r="CY196" s="1684">
        <v>17270.330000000002</v>
      </c>
      <c r="CZ196" s="1684">
        <v>71757.19</v>
      </c>
      <c r="DA196" s="1684">
        <v>67050</v>
      </c>
      <c r="DB196" s="1684">
        <v>0</v>
      </c>
      <c r="DC196" s="1684">
        <v>16656</v>
      </c>
      <c r="DD196" s="1684">
        <v>172733.52</v>
      </c>
      <c r="DE196" s="1684">
        <v>146823.49</v>
      </c>
      <c r="DF196" s="1684">
        <v>146823.49</v>
      </c>
      <c r="DG196" s="1684">
        <v>0</v>
      </c>
      <c r="DH196" s="1684">
        <v>25910.03</v>
      </c>
      <c r="DI196" s="1684">
        <v>25910.03</v>
      </c>
      <c r="DJ196" s="1684">
        <v>0</v>
      </c>
      <c r="DK196" s="1684">
        <v>25910.03</v>
      </c>
      <c r="DL196" s="1684">
        <v>0</v>
      </c>
      <c r="DM196" s="1684">
        <v>0</v>
      </c>
      <c r="DN196" s="1684">
        <v>0</v>
      </c>
      <c r="DO196" s="1684">
        <v>0</v>
      </c>
      <c r="DP196" s="1684">
        <v>0</v>
      </c>
      <c r="DQ196" s="1326" t="s">
        <v>2810</v>
      </c>
      <c r="DR196" s="1684">
        <v>0</v>
      </c>
      <c r="DS196" s="1326" t="s">
        <v>2757</v>
      </c>
      <c r="DT196" s="1682"/>
      <c r="DU196" s="1326" t="s">
        <v>2757</v>
      </c>
      <c r="DV196" s="1682"/>
    </row>
    <row r="197" spans="1:126" ht="90">
      <c r="A197" s="1326" t="s">
        <v>2196</v>
      </c>
      <c r="B197" s="1326" t="s">
        <v>1706</v>
      </c>
      <c r="C197" s="1326" t="s">
        <v>2583</v>
      </c>
      <c r="D197" s="1326" t="s">
        <v>2584</v>
      </c>
      <c r="E197" s="1326" t="s">
        <v>1122</v>
      </c>
      <c r="F197" s="1326" t="s">
        <v>3281</v>
      </c>
      <c r="G197" s="1326" t="s">
        <v>2563</v>
      </c>
      <c r="H197" s="1326" t="s">
        <v>2572</v>
      </c>
      <c r="I197" s="1326" t="s">
        <v>2573</v>
      </c>
      <c r="J197" s="1326" t="s">
        <v>1210</v>
      </c>
      <c r="K197" s="1685">
        <v>43061</v>
      </c>
      <c r="L197" s="1685">
        <v>43144</v>
      </c>
      <c r="M197" s="1326" t="s">
        <v>392</v>
      </c>
      <c r="N197" s="1326" t="s">
        <v>2061</v>
      </c>
      <c r="O197" s="1326" t="s">
        <v>3287</v>
      </c>
      <c r="P197" s="1326" t="s">
        <v>2757</v>
      </c>
      <c r="Q197" s="1326" t="s">
        <v>1724</v>
      </c>
      <c r="R197" s="1326" t="s">
        <v>2757</v>
      </c>
      <c r="S197" s="1326" t="s">
        <v>2757</v>
      </c>
      <c r="T197" s="1326" t="s">
        <v>2785</v>
      </c>
      <c r="U197" s="1326" t="s">
        <v>2758</v>
      </c>
      <c r="V197" s="1326" t="s">
        <v>2757</v>
      </c>
      <c r="W197" s="1326" t="s">
        <v>2757</v>
      </c>
      <c r="X197" s="1326" t="s">
        <v>2757</v>
      </c>
      <c r="Y197" s="1326" t="s">
        <v>2757</v>
      </c>
      <c r="Z197" s="1326" t="s">
        <v>2757</v>
      </c>
      <c r="AA197" s="1326" t="s">
        <v>2757</v>
      </c>
      <c r="AB197" s="1326" t="s">
        <v>2757</v>
      </c>
      <c r="AC197" s="1326" t="s">
        <v>2757</v>
      </c>
      <c r="AD197" s="1326" t="s">
        <v>2757</v>
      </c>
      <c r="AE197" s="1326"/>
      <c r="AF197" s="1326" t="s">
        <v>3019</v>
      </c>
      <c r="AG197" s="1326" t="s">
        <v>2986</v>
      </c>
      <c r="AH197" s="1326" t="s">
        <v>2951</v>
      </c>
      <c r="AI197" s="1326" t="s">
        <v>2762</v>
      </c>
      <c r="AJ197" s="1326" t="s">
        <v>2763</v>
      </c>
      <c r="AK197" s="1326" t="s">
        <v>3283</v>
      </c>
      <c r="AL197" s="1326" t="s">
        <v>3284</v>
      </c>
      <c r="AM197" s="1683">
        <v>100</v>
      </c>
      <c r="AN197" s="1326"/>
      <c r="AO197" s="1326"/>
      <c r="AP197" s="1326"/>
      <c r="AQ197" s="1326"/>
      <c r="AR197" s="1326"/>
      <c r="AS197" s="1326"/>
      <c r="AT197" s="1326" t="s">
        <v>2766</v>
      </c>
      <c r="AU197" s="1326" t="s">
        <v>2766</v>
      </c>
      <c r="AV197" s="1326" t="s">
        <v>3285</v>
      </c>
      <c r="AW197" s="1326" t="s">
        <v>3074</v>
      </c>
      <c r="AX197" s="1326" t="s">
        <v>3047</v>
      </c>
      <c r="AY197" s="1326" t="s">
        <v>2798</v>
      </c>
      <c r="AZ197" s="1326" t="s">
        <v>161</v>
      </c>
      <c r="BA197" s="1326" t="s">
        <v>2812</v>
      </c>
      <c r="BB197" s="1326" t="s">
        <v>2757</v>
      </c>
      <c r="BC197" s="1326" t="s">
        <v>2800</v>
      </c>
      <c r="BD197" s="1326" t="s">
        <v>2773</v>
      </c>
      <c r="BE197" s="1326" t="s">
        <v>2813</v>
      </c>
      <c r="BF197" s="1326" t="s">
        <v>2910</v>
      </c>
      <c r="BG197" s="1326" t="s">
        <v>2815</v>
      </c>
      <c r="BH197" s="1326" t="s">
        <v>2804</v>
      </c>
      <c r="BI197" s="1326" t="s">
        <v>2805</v>
      </c>
      <c r="BJ197" s="1326" t="s">
        <v>2816</v>
      </c>
      <c r="BK197" s="1326" t="s">
        <v>2766</v>
      </c>
      <c r="BL197" s="1326" t="s">
        <v>2757</v>
      </c>
      <c r="BM197" s="1326" t="s">
        <v>2757</v>
      </c>
      <c r="BN197" s="1683">
        <v>0</v>
      </c>
      <c r="BO197" s="1685">
        <v>42913</v>
      </c>
      <c r="BP197" s="1685">
        <v>43874</v>
      </c>
      <c r="BQ197" s="1326" t="s">
        <v>2779</v>
      </c>
      <c r="BR197" s="1685">
        <v>47483</v>
      </c>
      <c r="BS197" s="1326" t="s">
        <v>3288</v>
      </c>
      <c r="BT197" s="1326" t="s">
        <v>3289</v>
      </c>
      <c r="BU197" s="1683">
        <v>30</v>
      </c>
      <c r="BV197" s="1683">
        <v>41816.400000000001</v>
      </c>
      <c r="BW197" s="1685">
        <v>43934</v>
      </c>
      <c r="BX197" s="1682"/>
      <c r="BY197" s="1326" t="s">
        <v>2052</v>
      </c>
      <c r="BZ197" s="1326" t="s">
        <v>2782</v>
      </c>
      <c r="CA197" s="1326" t="s">
        <v>2782</v>
      </c>
      <c r="CB197" s="1326" t="s">
        <v>2783</v>
      </c>
      <c r="CC197" s="1326" t="s">
        <v>2809</v>
      </c>
      <c r="CD197" s="1684">
        <v>163986.88</v>
      </c>
      <c r="CE197" s="1684">
        <v>163986.88</v>
      </c>
      <c r="CF197" s="1684">
        <v>139388</v>
      </c>
      <c r="CG197" s="1684">
        <v>85</v>
      </c>
      <c r="CH197" s="1684">
        <v>24598.880000000001</v>
      </c>
      <c r="CI197" s="1684">
        <v>15</v>
      </c>
      <c r="CJ197" s="1684">
        <v>163986.88</v>
      </c>
      <c r="CK197" s="1684">
        <v>100</v>
      </c>
      <c r="CL197" s="1410" t="s">
        <v>2785</v>
      </c>
      <c r="CM197" s="1686">
        <v>43119</v>
      </c>
      <c r="CN197" s="1400"/>
      <c r="CO197" s="1326"/>
      <c r="CP197" s="1682"/>
      <c r="CQ197" s="1684">
        <v>139388</v>
      </c>
      <c r="CR197" s="1684">
        <v>139388</v>
      </c>
      <c r="CS197" s="1684">
        <v>0</v>
      </c>
      <c r="CT197" s="1326" t="s">
        <v>2785</v>
      </c>
      <c r="CU197" s="1686">
        <v>43131</v>
      </c>
      <c r="CV197" s="1684">
        <v>163986.88</v>
      </c>
      <c r="CW197" s="1684">
        <v>0</v>
      </c>
      <c r="CX197" s="1684">
        <v>0</v>
      </c>
      <c r="CY197" s="1684">
        <v>0</v>
      </c>
      <c r="CZ197" s="1684">
        <v>24200</v>
      </c>
      <c r="DA197" s="1684">
        <v>118721.49</v>
      </c>
      <c r="DB197" s="1684">
        <v>0</v>
      </c>
      <c r="DC197" s="1684">
        <v>21065.39</v>
      </c>
      <c r="DD197" s="1684">
        <v>163986.88</v>
      </c>
      <c r="DE197" s="1684">
        <v>139388</v>
      </c>
      <c r="DF197" s="1684">
        <v>139388</v>
      </c>
      <c r="DG197" s="1684">
        <v>0</v>
      </c>
      <c r="DH197" s="1684">
        <v>24598.880000000001</v>
      </c>
      <c r="DI197" s="1684">
        <v>24598.880000000001</v>
      </c>
      <c r="DJ197" s="1684">
        <v>0</v>
      </c>
      <c r="DK197" s="1684">
        <v>24598.880000000001</v>
      </c>
      <c r="DL197" s="1684">
        <v>0</v>
      </c>
      <c r="DM197" s="1684">
        <v>0</v>
      </c>
      <c r="DN197" s="1684">
        <v>0</v>
      </c>
      <c r="DO197" s="1684">
        <v>0</v>
      </c>
      <c r="DP197" s="1684">
        <v>0</v>
      </c>
      <c r="DQ197" s="1326" t="s">
        <v>2810</v>
      </c>
      <c r="DR197" s="1684">
        <v>0</v>
      </c>
      <c r="DS197" s="1326" t="s">
        <v>2757</v>
      </c>
      <c r="DT197" s="1682"/>
      <c r="DU197" s="1326" t="s">
        <v>2757</v>
      </c>
      <c r="DV197" s="1682"/>
    </row>
    <row r="198" spans="1:126" ht="101.25">
      <c r="A198" s="1326" t="s">
        <v>2197</v>
      </c>
      <c r="B198" s="1326" t="s">
        <v>1706</v>
      </c>
      <c r="C198" s="1326" t="s">
        <v>2583</v>
      </c>
      <c r="D198" s="1326" t="s">
        <v>2584</v>
      </c>
      <c r="E198" s="1326" t="s">
        <v>1122</v>
      </c>
      <c r="F198" s="1326" t="s">
        <v>3281</v>
      </c>
      <c r="G198" s="1326" t="s">
        <v>2563</v>
      </c>
      <c r="H198" s="1326" t="s">
        <v>2572</v>
      </c>
      <c r="I198" s="1326" t="s">
        <v>2573</v>
      </c>
      <c r="J198" s="1326" t="s">
        <v>1610</v>
      </c>
      <c r="K198" s="1685">
        <v>43131</v>
      </c>
      <c r="L198" s="1685">
        <v>43220</v>
      </c>
      <c r="M198" s="1326" t="s">
        <v>391</v>
      </c>
      <c r="N198" s="1326" t="s">
        <v>2061</v>
      </c>
      <c r="O198" s="1326" t="s">
        <v>3290</v>
      </c>
      <c r="P198" s="1326" t="s">
        <v>2757</v>
      </c>
      <c r="Q198" s="1326" t="s">
        <v>1724</v>
      </c>
      <c r="R198" s="1326" t="s">
        <v>2757</v>
      </c>
      <c r="S198" s="1326" t="s">
        <v>2757</v>
      </c>
      <c r="T198" s="1326" t="s">
        <v>2785</v>
      </c>
      <c r="U198" s="1326" t="s">
        <v>2758</v>
      </c>
      <c r="V198" s="1326" t="s">
        <v>2757</v>
      </c>
      <c r="W198" s="1326" t="s">
        <v>2757</v>
      </c>
      <c r="X198" s="1326" t="s">
        <v>2757</v>
      </c>
      <c r="Y198" s="1326" t="s">
        <v>2757</v>
      </c>
      <c r="Z198" s="1326" t="s">
        <v>2757</v>
      </c>
      <c r="AA198" s="1326" t="s">
        <v>2757</v>
      </c>
      <c r="AB198" s="1326" t="s">
        <v>2757</v>
      </c>
      <c r="AC198" s="1326" t="s">
        <v>2785</v>
      </c>
      <c r="AD198" s="1326" t="s">
        <v>2757</v>
      </c>
      <c r="AE198" s="1326"/>
      <c r="AF198" s="1326" t="s">
        <v>3019</v>
      </c>
      <c r="AG198" s="1326" t="s">
        <v>2986</v>
      </c>
      <c r="AH198" s="1326" t="s">
        <v>2951</v>
      </c>
      <c r="AI198" s="1326" t="s">
        <v>2762</v>
      </c>
      <c r="AJ198" s="1326" t="s">
        <v>2763</v>
      </c>
      <c r="AK198" s="1326" t="s">
        <v>3283</v>
      </c>
      <c r="AL198" s="1326" t="s">
        <v>3284</v>
      </c>
      <c r="AM198" s="1683">
        <v>100</v>
      </c>
      <c r="AN198" s="1326"/>
      <c r="AO198" s="1326"/>
      <c r="AP198" s="1326"/>
      <c r="AQ198" s="1326"/>
      <c r="AR198" s="1326"/>
      <c r="AS198" s="1326"/>
      <c r="AT198" s="1326" t="s">
        <v>2867</v>
      </c>
      <c r="AU198" s="1326" t="s">
        <v>2766</v>
      </c>
      <c r="AV198" s="1326" t="s">
        <v>3285</v>
      </c>
      <c r="AW198" s="1326" t="s">
        <v>3074</v>
      </c>
      <c r="AX198" s="1326" t="s">
        <v>3047</v>
      </c>
      <c r="AY198" s="1326" t="s">
        <v>2798</v>
      </c>
      <c r="AZ198" s="1326" t="s">
        <v>184</v>
      </c>
      <c r="BA198" s="1326" t="s">
        <v>2828</v>
      </c>
      <c r="BB198" s="1326" t="s">
        <v>2757</v>
      </c>
      <c r="BC198" s="1326" t="s">
        <v>2800</v>
      </c>
      <c r="BD198" s="1326" t="s">
        <v>2773</v>
      </c>
      <c r="BE198" s="1326" t="s">
        <v>3242</v>
      </c>
      <c r="BF198" s="1326" t="s">
        <v>2830</v>
      </c>
      <c r="BG198" s="1326" t="s">
        <v>2831</v>
      </c>
      <c r="BH198" s="1326" t="s">
        <v>2804</v>
      </c>
      <c r="BI198" s="1326" t="s">
        <v>2805</v>
      </c>
      <c r="BJ198" s="1326" t="s">
        <v>2832</v>
      </c>
      <c r="BK198" s="1326" t="s">
        <v>2867</v>
      </c>
      <c r="BL198" s="1326" t="s">
        <v>2757</v>
      </c>
      <c r="BM198" s="1326" t="s">
        <v>2757</v>
      </c>
      <c r="BN198" s="1683">
        <v>0</v>
      </c>
      <c r="BO198" s="1685">
        <v>42965</v>
      </c>
      <c r="BP198" s="1685">
        <v>43951</v>
      </c>
      <c r="BQ198" s="1326" t="s">
        <v>2779</v>
      </c>
      <c r="BR198" s="1685">
        <v>47483</v>
      </c>
      <c r="BS198" s="1326" t="s">
        <v>3495</v>
      </c>
      <c r="BT198" s="1326" t="s">
        <v>3496</v>
      </c>
      <c r="BU198" s="1683">
        <v>30</v>
      </c>
      <c r="BV198" s="1683">
        <v>49172.21</v>
      </c>
      <c r="BW198" s="1685">
        <v>44011</v>
      </c>
      <c r="BX198" s="1682"/>
      <c r="BY198" s="1326" t="s">
        <v>2052</v>
      </c>
      <c r="BZ198" s="1326" t="s">
        <v>2782</v>
      </c>
      <c r="CA198" s="1326" t="s">
        <v>2782</v>
      </c>
      <c r="CB198" s="1326" t="s">
        <v>2783</v>
      </c>
      <c r="CC198" s="1326" t="s">
        <v>2809</v>
      </c>
      <c r="CD198" s="1684">
        <v>192832.21</v>
      </c>
      <c r="CE198" s="1684">
        <v>192832.21</v>
      </c>
      <c r="CF198" s="1684">
        <v>163907.37</v>
      </c>
      <c r="CG198" s="1684">
        <v>85</v>
      </c>
      <c r="CH198" s="1684">
        <v>28924.84</v>
      </c>
      <c r="CI198" s="1684">
        <v>15</v>
      </c>
      <c r="CJ198" s="1684">
        <v>192832.21</v>
      </c>
      <c r="CK198" s="1684">
        <v>100</v>
      </c>
      <c r="CL198" s="1410" t="s">
        <v>2785</v>
      </c>
      <c r="CM198" s="1686">
        <v>43186</v>
      </c>
      <c r="CN198" s="1400"/>
      <c r="CO198" s="1326"/>
      <c r="CP198" s="1682"/>
      <c r="CQ198" s="1684">
        <v>163907.37</v>
      </c>
      <c r="CR198" s="1684">
        <v>163907.37</v>
      </c>
      <c r="CS198" s="1684">
        <v>0</v>
      </c>
      <c r="CT198" s="1326" t="s">
        <v>2785</v>
      </c>
      <c r="CU198" s="1686">
        <v>43201</v>
      </c>
      <c r="CV198" s="1684">
        <v>192832.21</v>
      </c>
      <c r="CW198" s="1684">
        <v>0</v>
      </c>
      <c r="CX198" s="1684">
        <v>0</v>
      </c>
      <c r="CY198" s="1684">
        <v>5001.6099999999997</v>
      </c>
      <c r="CZ198" s="1684">
        <v>45124.28</v>
      </c>
      <c r="DA198" s="1684">
        <v>118682.89</v>
      </c>
      <c r="DB198" s="1684">
        <v>1453.43</v>
      </c>
      <c r="DC198" s="1684">
        <v>22570</v>
      </c>
      <c r="DD198" s="1684">
        <v>192832.21</v>
      </c>
      <c r="DE198" s="1684">
        <v>163907.37</v>
      </c>
      <c r="DF198" s="1684">
        <v>163907.37</v>
      </c>
      <c r="DG198" s="1684">
        <v>0</v>
      </c>
      <c r="DH198" s="1684">
        <v>28924.84</v>
      </c>
      <c r="DI198" s="1684">
        <v>28924.84</v>
      </c>
      <c r="DJ198" s="1684">
        <v>0</v>
      </c>
      <c r="DK198" s="1684">
        <v>28924.84</v>
      </c>
      <c r="DL198" s="1684">
        <v>0</v>
      </c>
      <c r="DM198" s="1684">
        <v>0</v>
      </c>
      <c r="DN198" s="1684">
        <v>0</v>
      </c>
      <c r="DO198" s="1684">
        <v>0</v>
      </c>
      <c r="DP198" s="1684">
        <v>0</v>
      </c>
      <c r="DQ198" s="1326" t="s">
        <v>2810</v>
      </c>
      <c r="DR198" s="1684">
        <v>0</v>
      </c>
      <c r="DS198" s="1326" t="s">
        <v>2757</v>
      </c>
      <c r="DT198" s="1682"/>
      <c r="DU198" s="1326" t="s">
        <v>2757</v>
      </c>
      <c r="DV198" s="1682"/>
    </row>
    <row r="199" spans="1:126" ht="123.75">
      <c r="A199" s="1326" t="s">
        <v>2198</v>
      </c>
      <c r="B199" s="1326" t="s">
        <v>1706</v>
      </c>
      <c r="C199" s="1326" t="s">
        <v>2583</v>
      </c>
      <c r="D199" s="1326" t="s">
        <v>2584</v>
      </c>
      <c r="E199" s="1326" t="s">
        <v>1122</v>
      </c>
      <c r="F199" s="1326" t="s">
        <v>3281</v>
      </c>
      <c r="G199" s="1326" t="s">
        <v>2563</v>
      </c>
      <c r="H199" s="1326" t="s">
        <v>2572</v>
      </c>
      <c r="I199" s="1326" t="s">
        <v>2573</v>
      </c>
      <c r="J199" s="1326" t="s">
        <v>1611</v>
      </c>
      <c r="K199" s="1685">
        <v>43146</v>
      </c>
      <c r="L199" s="1685">
        <v>43238</v>
      </c>
      <c r="M199" s="1326" t="s">
        <v>239</v>
      </c>
      <c r="N199" s="1326" t="s">
        <v>2061</v>
      </c>
      <c r="O199" s="1326" t="s">
        <v>3291</v>
      </c>
      <c r="P199" s="1326" t="s">
        <v>2757</v>
      </c>
      <c r="Q199" s="1326" t="s">
        <v>1730</v>
      </c>
      <c r="R199" s="1326" t="s">
        <v>2757</v>
      </c>
      <c r="S199" s="1326" t="s">
        <v>2757</v>
      </c>
      <c r="T199" s="1326" t="s">
        <v>2785</v>
      </c>
      <c r="U199" s="1326" t="s">
        <v>2758</v>
      </c>
      <c r="V199" s="1326" t="s">
        <v>2757</v>
      </c>
      <c r="W199" s="1326" t="s">
        <v>2757</v>
      </c>
      <c r="X199" s="1326" t="s">
        <v>2757</v>
      </c>
      <c r="Y199" s="1326" t="s">
        <v>2757</v>
      </c>
      <c r="Z199" s="1326" t="s">
        <v>2757</v>
      </c>
      <c r="AA199" s="1326" t="s">
        <v>2757</v>
      </c>
      <c r="AB199" s="1326" t="s">
        <v>2757</v>
      </c>
      <c r="AC199" s="1326" t="s">
        <v>2785</v>
      </c>
      <c r="AD199" s="1326" t="s">
        <v>2757</v>
      </c>
      <c r="AE199" s="1326"/>
      <c r="AF199" s="1326" t="s">
        <v>3019</v>
      </c>
      <c r="AG199" s="1326" t="s">
        <v>2986</v>
      </c>
      <c r="AH199" s="1326" t="s">
        <v>2951</v>
      </c>
      <c r="AI199" s="1326" t="s">
        <v>2762</v>
      </c>
      <c r="AJ199" s="1326" t="s">
        <v>2763</v>
      </c>
      <c r="AK199" s="1326" t="s">
        <v>3283</v>
      </c>
      <c r="AL199" s="1326" t="s">
        <v>3284</v>
      </c>
      <c r="AM199" s="1683">
        <v>100</v>
      </c>
      <c r="AN199" s="1326"/>
      <c r="AO199" s="1326"/>
      <c r="AP199" s="1326"/>
      <c r="AQ199" s="1326"/>
      <c r="AR199" s="1326"/>
      <c r="AS199" s="1326"/>
      <c r="AT199" s="1326" t="s">
        <v>2880</v>
      </c>
      <c r="AU199" s="1326" t="s">
        <v>2766</v>
      </c>
      <c r="AV199" s="1326" t="s">
        <v>3285</v>
      </c>
      <c r="AW199" s="1326" t="s">
        <v>3074</v>
      </c>
      <c r="AX199" s="1326" t="s">
        <v>3047</v>
      </c>
      <c r="AY199" s="1326" t="s">
        <v>2798</v>
      </c>
      <c r="AZ199" s="1326" t="s">
        <v>235</v>
      </c>
      <c r="BA199" s="1326" t="s">
        <v>2929</v>
      </c>
      <c r="BB199" s="1326" t="s">
        <v>2757</v>
      </c>
      <c r="BC199" s="1326" t="s">
        <v>2800</v>
      </c>
      <c r="BD199" s="1326" t="s">
        <v>2773</v>
      </c>
      <c r="BE199" s="1326" t="s">
        <v>2930</v>
      </c>
      <c r="BF199" s="1326" t="s">
        <v>3048</v>
      </c>
      <c r="BG199" s="1326" t="s">
        <v>2932</v>
      </c>
      <c r="BH199" s="1326" t="s">
        <v>2804</v>
      </c>
      <c r="BI199" s="1326" t="s">
        <v>2805</v>
      </c>
      <c r="BJ199" s="1326" t="s">
        <v>2885</v>
      </c>
      <c r="BK199" s="1326" t="s">
        <v>2880</v>
      </c>
      <c r="BL199" s="1326" t="s">
        <v>2757</v>
      </c>
      <c r="BM199" s="1326" t="s">
        <v>2757</v>
      </c>
      <c r="BN199" s="1683">
        <v>0</v>
      </c>
      <c r="BO199" s="1685">
        <v>42485</v>
      </c>
      <c r="BP199" s="1685">
        <v>44153</v>
      </c>
      <c r="BQ199" s="1326" t="s">
        <v>2779</v>
      </c>
      <c r="BR199" s="1685">
        <v>47483</v>
      </c>
      <c r="BS199" s="1326" t="s">
        <v>3261</v>
      </c>
      <c r="BT199" s="1326" t="s">
        <v>3292</v>
      </c>
      <c r="BU199" s="1683">
        <v>30</v>
      </c>
      <c r="BV199" s="1683">
        <v>41204.94</v>
      </c>
      <c r="BW199" s="1685">
        <v>44214</v>
      </c>
      <c r="BX199" s="1682"/>
      <c r="BY199" s="1326" t="s">
        <v>2052</v>
      </c>
      <c r="BZ199" s="1326" t="s">
        <v>2783</v>
      </c>
      <c r="CA199" s="1326" t="s">
        <v>2782</v>
      </c>
      <c r="CB199" s="1326" t="s">
        <v>2783</v>
      </c>
      <c r="CC199" s="1326" t="s">
        <v>2809</v>
      </c>
      <c r="CD199" s="1684">
        <v>161741.96</v>
      </c>
      <c r="CE199" s="1684">
        <v>161741.96</v>
      </c>
      <c r="CF199" s="1684">
        <v>137349.79999999999</v>
      </c>
      <c r="CG199" s="1684">
        <v>84.92</v>
      </c>
      <c r="CH199" s="1684">
        <v>24392.16</v>
      </c>
      <c r="CI199" s="1684">
        <v>15.08</v>
      </c>
      <c r="CJ199" s="1684">
        <v>161741.96</v>
      </c>
      <c r="CK199" s="1684">
        <v>100</v>
      </c>
      <c r="CL199" s="1410" t="s">
        <v>2785</v>
      </c>
      <c r="CM199" s="1686">
        <v>43206</v>
      </c>
      <c r="CN199" s="1400"/>
      <c r="CO199" s="1326"/>
      <c r="CP199" s="1682"/>
      <c r="CQ199" s="1684">
        <v>137349.79999999999</v>
      </c>
      <c r="CR199" s="1684">
        <v>137349.79999999999</v>
      </c>
      <c r="CS199" s="1684">
        <v>0</v>
      </c>
      <c r="CT199" s="1326" t="s">
        <v>2785</v>
      </c>
      <c r="CU199" s="1686">
        <v>43215</v>
      </c>
      <c r="CV199" s="1684">
        <v>161741.96</v>
      </c>
      <c r="CW199" s="1684">
        <v>0</v>
      </c>
      <c r="CX199" s="1684">
        <v>0</v>
      </c>
      <c r="CY199" s="1684">
        <v>13181.97</v>
      </c>
      <c r="CZ199" s="1684">
        <v>13602.08</v>
      </c>
      <c r="DA199" s="1684">
        <v>134957.91</v>
      </c>
      <c r="DB199" s="1684">
        <v>0</v>
      </c>
      <c r="DC199" s="1684">
        <v>0</v>
      </c>
      <c r="DD199" s="1684">
        <v>161741.96</v>
      </c>
      <c r="DE199" s="1684">
        <v>137349.79999999999</v>
      </c>
      <c r="DF199" s="1684">
        <v>137349.79999999999</v>
      </c>
      <c r="DG199" s="1684">
        <v>0</v>
      </c>
      <c r="DH199" s="1684">
        <v>24392.16</v>
      </c>
      <c r="DI199" s="1684">
        <v>24392.16</v>
      </c>
      <c r="DJ199" s="1684">
        <v>0</v>
      </c>
      <c r="DK199" s="1684">
        <v>24392.16</v>
      </c>
      <c r="DL199" s="1684">
        <v>0</v>
      </c>
      <c r="DM199" s="1684">
        <v>0</v>
      </c>
      <c r="DN199" s="1684">
        <v>0</v>
      </c>
      <c r="DO199" s="1684">
        <v>0</v>
      </c>
      <c r="DP199" s="1684">
        <v>0</v>
      </c>
      <c r="DQ199" s="1326" t="s">
        <v>2810</v>
      </c>
      <c r="DR199" s="1684">
        <v>0</v>
      </c>
      <c r="DS199" s="1326" t="s">
        <v>2757</v>
      </c>
      <c r="DT199" s="1682"/>
      <c r="DU199" s="1326" t="s">
        <v>2757</v>
      </c>
      <c r="DV199" s="1682"/>
    </row>
    <row r="200" spans="1:126" ht="135">
      <c r="A200" s="1326" t="s">
        <v>2199</v>
      </c>
      <c r="B200" s="1326" t="s">
        <v>1706</v>
      </c>
      <c r="C200" s="1326" t="s">
        <v>2583</v>
      </c>
      <c r="D200" s="1326" t="s">
        <v>2584</v>
      </c>
      <c r="E200" s="1326" t="s">
        <v>1122</v>
      </c>
      <c r="F200" s="1326" t="s">
        <v>3281</v>
      </c>
      <c r="G200" s="1326" t="s">
        <v>2563</v>
      </c>
      <c r="H200" s="1326" t="s">
        <v>2572</v>
      </c>
      <c r="I200" s="1326" t="s">
        <v>2573</v>
      </c>
      <c r="J200" s="1326" t="s">
        <v>1612</v>
      </c>
      <c r="K200" s="1685">
        <v>43159</v>
      </c>
      <c r="L200" s="1685">
        <v>43237</v>
      </c>
      <c r="M200" s="1326" t="s">
        <v>1760</v>
      </c>
      <c r="N200" s="1326" t="s">
        <v>2061</v>
      </c>
      <c r="O200" s="1326" t="s">
        <v>3293</v>
      </c>
      <c r="P200" s="1326" t="s">
        <v>2757</v>
      </c>
      <c r="Q200" s="1326" t="s">
        <v>1730</v>
      </c>
      <c r="R200" s="1326" t="s">
        <v>2757</v>
      </c>
      <c r="S200" s="1326" t="s">
        <v>2757</v>
      </c>
      <c r="T200" s="1326" t="s">
        <v>2785</v>
      </c>
      <c r="U200" s="1326" t="s">
        <v>2758</v>
      </c>
      <c r="V200" s="1326" t="s">
        <v>2757</v>
      </c>
      <c r="W200" s="1326" t="s">
        <v>2757</v>
      </c>
      <c r="X200" s="1326" t="s">
        <v>2757</v>
      </c>
      <c r="Y200" s="1326" t="s">
        <v>2757</v>
      </c>
      <c r="Z200" s="1326" t="s">
        <v>2757</v>
      </c>
      <c r="AA200" s="1326" t="s">
        <v>2757</v>
      </c>
      <c r="AB200" s="1326" t="s">
        <v>2757</v>
      </c>
      <c r="AC200" s="1326" t="s">
        <v>2757</v>
      </c>
      <c r="AD200" s="1326" t="s">
        <v>2757</v>
      </c>
      <c r="AE200" s="1326"/>
      <c r="AF200" s="1326" t="s">
        <v>3019</v>
      </c>
      <c r="AG200" s="1326" t="s">
        <v>2986</v>
      </c>
      <c r="AH200" s="1326" t="s">
        <v>2951</v>
      </c>
      <c r="AI200" s="1326" t="s">
        <v>2762</v>
      </c>
      <c r="AJ200" s="1326" t="s">
        <v>2763</v>
      </c>
      <c r="AK200" s="1326" t="s">
        <v>3283</v>
      </c>
      <c r="AL200" s="1326" t="s">
        <v>3284</v>
      </c>
      <c r="AM200" s="1683">
        <v>100</v>
      </c>
      <c r="AN200" s="1326"/>
      <c r="AO200" s="1326"/>
      <c r="AP200" s="1326"/>
      <c r="AQ200" s="1326"/>
      <c r="AR200" s="1326"/>
      <c r="AS200" s="1326"/>
      <c r="AT200" s="1326" t="s">
        <v>2794</v>
      </c>
      <c r="AU200" s="1326" t="s">
        <v>2766</v>
      </c>
      <c r="AV200" s="1326" t="s">
        <v>3285</v>
      </c>
      <c r="AW200" s="1326" t="s">
        <v>3074</v>
      </c>
      <c r="AX200" s="1326" t="s">
        <v>3047</v>
      </c>
      <c r="AY200" s="1326" t="s">
        <v>2798</v>
      </c>
      <c r="AZ200" s="1326" t="s">
        <v>345</v>
      </c>
      <c r="BA200" s="1326" t="s">
        <v>2799</v>
      </c>
      <c r="BB200" s="1326" t="s">
        <v>2757</v>
      </c>
      <c r="BC200" s="1326" t="s">
        <v>2800</v>
      </c>
      <c r="BD200" s="1326" t="s">
        <v>2773</v>
      </c>
      <c r="BE200" s="1326" t="s">
        <v>2915</v>
      </c>
      <c r="BF200" s="1326" t="s">
        <v>3294</v>
      </c>
      <c r="BG200" s="1326" t="s">
        <v>2939</v>
      </c>
      <c r="BH200" s="1326" t="s">
        <v>2804</v>
      </c>
      <c r="BI200" s="1326" t="s">
        <v>2805</v>
      </c>
      <c r="BJ200" s="1326" t="s">
        <v>2806</v>
      </c>
      <c r="BK200" s="1326" t="s">
        <v>2794</v>
      </c>
      <c r="BL200" s="1326" t="s">
        <v>2785</v>
      </c>
      <c r="BM200" s="1326" t="s">
        <v>2757</v>
      </c>
      <c r="BN200" s="1683">
        <v>0</v>
      </c>
      <c r="BO200" s="1685">
        <v>42824</v>
      </c>
      <c r="BP200" s="1685">
        <v>44152</v>
      </c>
      <c r="BQ200" s="1326" t="s">
        <v>2779</v>
      </c>
      <c r="BR200" s="1685">
        <v>47483</v>
      </c>
      <c r="BS200" s="1326" t="s">
        <v>3098</v>
      </c>
      <c r="BT200" s="1326" t="s">
        <v>3295</v>
      </c>
      <c r="BU200" s="1683">
        <v>16</v>
      </c>
      <c r="BV200" s="1683">
        <v>29334.27</v>
      </c>
      <c r="BW200" s="1685">
        <v>44213</v>
      </c>
      <c r="BX200" s="1682"/>
      <c r="BY200" s="1326" t="s">
        <v>2052</v>
      </c>
      <c r="BZ200" s="1326" t="s">
        <v>2782</v>
      </c>
      <c r="CA200" s="1326" t="s">
        <v>2782</v>
      </c>
      <c r="CB200" s="1326" t="s">
        <v>2783</v>
      </c>
      <c r="CC200" s="1326" t="s">
        <v>2809</v>
      </c>
      <c r="CD200" s="1684">
        <v>215693.16</v>
      </c>
      <c r="CE200" s="1684">
        <v>215693.16</v>
      </c>
      <c r="CF200" s="1684">
        <v>183339.18</v>
      </c>
      <c r="CG200" s="1684">
        <v>85</v>
      </c>
      <c r="CH200" s="1684">
        <v>32353.98</v>
      </c>
      <c r="CI200" s="1684">
        <v>15</v>
      </c>
      <c r="CJ200" s="1684">
        <v>215693.16</v>
      </c>
      <c r="CK200" s="1684">
        <v>100</v>
      </c>
      <c r="CL200" s="1410" t="s">
        <v>2785</v>
      </c>
      <c r="CM200" s="1686">
        <v>43208</v>
      </c>
      <c r="CN200" s="1400"/>
      <c r="CO200" s="1326"/>
      <c r="CP200" s="1682"/>
      <c r="CQ200" s="1684">
        <v>183339.18</v>
      </c>
      <c r="CR200" s="1684">
        <v>183339.18</v>
      </c>
      <c r="CS200" s="1684">
        <v>0</v>
      </c>
      <c r="CT200" s="1326" t="s">
        <v>2785</v>
      </c>
      <c r="CU200" s="1686">
        <v>43217</v>
      </c>
      <c r="CV200" s="1684">
        <v>215693.16</v>
      </c>
      <c r="CW200" s="1684">
        <v>0</v>
      </c>
      <c r="CX200" s="1684">
        <v>0</v>
      </c>
      <c r="CY200" s="1684">
        <v>0</v>
      </c>
      <c r="CZ200" s="1684">
        <v>0</v>
      </c>
      <c r="DA200" s="1684">
        <v>195693.16</v>
      </c>
      <c r="DB200" s="1684">
        <v>0</v>
      </c>
      <c r="DC200" s="1684">
        <v>20000</v>
      </c>
      <c r="DD200" s="1684">
        <v>215693.16</v>
      </c>
      <c r="DE200" s="1684">
        <v>183339.18</v>
      </c>
      <c r="DF200" s="1684">
        <v>183339.18</v>
      </c>
      <c r="DG200" s="1684">
        <v>0</v>
      </c>
      <c r="DH200" s="1684">
        <v>32353.98</v>
      </c>
      <c r="DI200" s="1684">
        <v>32353.98</v>
      </c>
      <c r="DJ200" s="1684">
        <v>0</v>
      </c>
      <c r="DK200" s="1684">
        <v>32353.98</v>
      </c>
      <c r="DL200" s="1684">
        <v>0</v>
      </c>
      <c r="DM200" s="1684">
        <v>0</v>
      </c>
      <c r="DN200" s="1684">
        <v>0</v>
      </c>
      <c r="DO200" s="1684">
        <v>0</v>
      </c>
      <c r="DP200" s="1684">
        <v>0</v>
      </c>
      <c r="DQ200" s="1326" t="s">
        <v>2810</v>
      </c>
      <c r="DR200" s="1684">
        <v>0</v>
      </c>
      <c r="DS200" s="1326" t="s">
        <v>2757</v>
      </c>
      <c r="DT200" s="1682"/>
      <c r="DU200" s="1326" t="s">
        <v>2757</v>
      </c>
      <c r="DV200" s="1682"/>
    </row>
    <row r="201" spans="1:126">
      <c r="A201" s="1326"/>
      <c r="B201" s="1326" t="s">
        <v>57</v>
      </c>
      <c r="C201" s="1326"/>
      <c r="D201" s="1326"/>
      <c r="E201" s="1326"/>
      <c r="F201" s="1326"/>
      <c r="G201" s="1326"/>
      <c r="H201" s="1326"/>
      <c r="I201" s="1326"/>
      <c r="J201" s="1326"/>
      <c r="K201" s="1682"/>
      <c r="L201" s="1682"/>
      <c r="M201" s="1326"/>
      <c r="N201" s="1326"/>
      <c r="O201" s="1326"/>
      <c r="P201" s="1326"/>
      <c r="Q201" s="1326"/>
      <c r="R201" s="1326"/>
      <c r="S201" s="1326"/>
      <c r="T201" s="1326"/>
      <c r="U201" s="1326"/>
      <c r="V201" s="1326"/>
      <c r="W201" s="1326"/>
      <c r="X201" s="1326"/>
      <c r="Y201" s="1326"/>
      <c r="Z201" s="1326"/>
      <c r="AA201" s="1326"/>
      <c r="AB201" s="1326"/>
      <c r="AC201" s="1326"/>
      <c r="AD201" s="1326"/>
      <c r="AE201" s="1326"/>
      <c r="AF201" s="1326"/>
      <c r="AG201" s="1326"/>
      <c r="AH201" s="1326"/>
      <c r="AI201" s="1326"/>
      <c r="AJ201" s="1326"/>
      <c r="AK201" s="1326"/>
      <c r="AL201" s="1326"/>
      <c r="AM201" s="1400"/>
      <c r="AN201" s="1326"/>
      <c r="AO201" s="1326"/>
      <c r="AP201" s="1326"/>
      <c r="AQ201" s="1326"/>
      <c r="AR201" s="1326"/>
      <c r="AS201" s="1326"/>
      <c r="AT201" s="1326"/>
      <c r="AU201" s="1326"/>
      <c r="AV201" s="1326"/>
      <c r="AW201" s="1326"/>
      <c r="AX201" s="1326"/>
      <c r="AY201" s="1326"/>
      <c r="AZ201" s="1326"/>
      <c r="BA201" s="1326"/>
      <c r="BB201" s="1326"/>
      <c r="BC201" s="1326"/>
      <c r="BD201" s="1326"/>
      <c r="BE201" s="1326"/>
      <c r="BF201" s="1326"/>
      <c r="BG201" s="1326"/>
      <c r="BH201" s="1326"/>
      <c r="BI201" s="1326"/>
      <c r="BJ201" s="1326"/>
      <c r="BK201" s="1326"/>
      <c r="BL201" s="1326"/>
      <c r="BM201" s="1326"/>
      <c r="BN201" s="1400"/>
      <c r="BO201" s="1682"/>
      <c r="BP201" s="1682"/>
      <c r="BQ201" s="1326"/>
      <c r="BR201" s="1682"/>
      <c r="BS201" s="1326"/>
      <c r="BT201" s="1326"/>
      <c r="BU201" s="1400"/>
      <c r="BV201" s="1683">
        <v>359010.79</v>
      </c>
      <c r="BW201" s="1682"/>
      <c r="BX201" s="1682"/>
      <c r="BY201" s="1326"/>
      <c r="BZ201" s="1326"/>
      <c r="CA201" s="1326"/>
      <c r="CB201" s="1326"/>
      <c r="CC201" s="1326"/>
      <c r="CD201" s="1684">
        <v>1413723.02</v>
      </c>
      <c r="CE201" s="1684">
        <v>1413723.02</v>
      </c>
      <c r="CF201" s="1684">
        <v>1260698</v>
      </c>
      <c r="CG201" s="1684">
        <v>89.18</v>
      </c>
      <c r="CH201" s="1684">
        <v>153025.01999999999</v>
      </c>
      <c r="CI201" s="1684">
        <v>10.82</v>
      </c>
      <c r="CJ201" s="1684">
        <v>1413723.02</v>
      </c>
      <c r="CK201" s="1684">
        <v>100</v>
      </c>
      <c r="CL201" s="1410"/>
      <c r="CM201" s="1682"/>
      <c r="CN201" s="1400"/>
      <c r="CO201" s="1326"/>
      <c r="CP201" s="1682"/>
      <c r="CQ201" s="1684">
        <v>1260698</v>
      </c>
      <c r="CR201" s="1684">
        <v>1158479.24</v>
      </c>
      <c r="CS201" s="1684">
        <v>102218.76</v>
      </c>
      <c r="CT201" s="1326"/>
      <c r="CU201" s="1682"/>
      <c r="CV201" s="1684">
        <v>1293732.57</v>
      </c>
      <c r="CW201" s="1684">
        <v>0</v>
      </c>
      <c r="CX201" s="1684">
        <v>0</v>
      </c>
      <c r="CY201" s="1684">
        <v>1279899.92</v>
      </c>
      <c r="CZ201" s="1684">
        <v>0</v>
      </c>
      <c r="DA201" s="1684">
        <v>0</v>
      </c>
      <c r="DB201" s="1684">
        <v>2420</v>
      </c>
      <c r="DC201" s="1684">
        <v>11412.65</v>
      </c>
      <c r="DD201" s="1684">
        <v>1293732.57</v>
      </c>
      <c r="DE201" s="1684">
        <v>1196702.6200000001</v>
      </c>
      <c r="DF201" s="1684">
        <v>1099672.68</v>
      </c>
      <c r="DG201" s="1684">
        <v>97029.94</v>
      </c>
      <c r="DH201" s="1684">
        <v>97029.95</v>
      </c>
      <c r="DI201" s="1684">
        <v>97029.95</v>
      </c>
      <c r="DJ201" s="1684">
        <v>0</v>
      </c>
      <c r="DK201" s="1684">
        <v>97029.95</v>
      </c>
      <c r="DL201" s="1684">
        <v>0</v>
      </c>
      <c r="DM201" s="1684">
        <v>0</v>
      </c>
      <c r="DN201" s="1684">
        <v>0</v>
      </c>
      <c r="DO201" s="1684">
        <v>0</v>
      </c>
      <c r="DP201" s="1684">
        <v>0</v>
      </c>
      <c r="DQ201" s="1326"/>
      <c r="DR201" s="1400"/>
      <c r="DS201" s="1326"/>
      <c r="DT201" s="1682"/>
      <c r="DU201" s="1326"/>
      <c r="DV201" s="1682"/>
    </row>
    <row r="202" spans="1:126">
      <c r="A202" s="1326" t="s">
        <v>2024</v>
      </c>
      <c r="B202" s="1326" t="s">
        <v>1700</v>
      </c>
      <c r="C202" s="1326"/>
      <c r="D202" s="1326"/>
      <c r="E202" s="1326"/>
      <c r="F202" s="1326"/>
      <c r="G202" s="1326"/>
      <c r="H202" s="1326"/>
      <c r="I202" s="1326"/>
      <c r="J202" s="1326"/>
      <c r="K202" s="1682"/>
      <c r="L202" s="1682"/>
      <c r="M202" s="1326"/>
      <c r="N202" s="1326"/>
      <c r="O202" s="1326"/>
      <c r="P202" s="1326"/>
      <c r="Q202" s="1326"/>
      <c r="R202" s="1326"/>
      <c r="S202" s="1326"/>
      <c r="T202" s="1326"/>
      <c r="U202" s="1326"/>
      <c r="V202" s="1326"/>
      <c r="W202" s="1326"/>
      <c r="X202" s="1326"/>
      <c r="Y202" s="1326"/>
      <c r="Z202" s="1326"/>
      <c r="AA202" s="1326"/>
      <c r="AB202" s="1326"/>
      <c r="AC202" s="1326"/>
      <c r="AD202" s="1326"/>
      <c r="AE202" s="1326"/>
      <c r="AF202" s="1326"/>
      <c r="AG202" s="1326"/>
      <c r="AH202" s="1326"/>
      <c r="AI202" s="1326"/>
      <c r="AJ202" s="1326"/>
      <c r="AK202" s="1326"/>
      <c r="AL202" s="1326"/>
      <c r="AM202" s="1400"/>
      <c r="AN202" s="1326"/>
      <c r="AO202" s="1326"/>
      <c r="AP202" s="1326"/>
      <c r="AQ202" s="1326"/>
      <c r="AR202" s="1326"/>
      <c r="AS202" s="1326"/>
      <c r="AT202" s="1326"/>
      <c r="AU202" s="1326"/>
      <c r="AV202" s="1326"/>
      <c r="AW202" s="1326"/>
      <c r="AX202" s="1326"/>
      <c r="AY202" s="1326"/>
      <c r="AZ202" s="1326"/>
      <c r="BA202" s="1326"/>
      <c r="BB202" s="1326"/>
      <c r="BC202" s="1326"/>
      <c r="BD202" s="1326"/>
      <c r="BE202" s="1326"/>
      <c r="BF202" s="1326"/>
      <c r="BG202" s="1326"/>
      <c r="BH202" s="1326"/>
      <c r="BI202" s="1326"/>
      <c r="BJ202" s="1326"/>
      <c r="BK202" s="1326"/>
      <c r="BL202" s="1326"/>
      <c r="BM202" s="1326"/>
      <c r="BN202" s="1400"/>
      <c r="BO202" s="1682"/>
      <c r="BP202" s="1682"/>
      <c r="BQ202" s="1326"/>
      <c r="BR202" s="1682"/>
      <c r="BS202" s="1326"/>
      <c r="BT202" s="1326"/>
      <c r="BU202" s="1400"/>
      <c r="BV202" s="1683">
        <v>359010.79</v>
      </c>
      <c r="BW202" s="1682"/>
      <c r="BX202" s="1682"/>
      <c r="BY202" s="1326"/>
      <c r="BZ202" s="1326"/>
      <c r="CA202" s="1326"/>
      <c r="CB202" s="1326"/>
      <c r="CC202" s="1326"/>
      <c r="CD202" s="1684">
        <v>1413723.02</v>
      </c>
      <c r="CE202" s="1684">
        <v>1413723.02</v>
      </c>
      <c r="CF202" s="1684">
        <v>1260698</v>
      </c>
      <c r="CG202" s="1684">
        <v>89.18</v>
      </c>
      <c r="CH202" s="1684">
        <v>153025.01999999999</v>
      </c>
      <c r="CI202" s="1684">
        <v>10.82</v>
      </c>
      <c r="CJ202" s="1684">
        <v>1413723.02</v>
      </c>
      <c r="CK202" s="1684">
        <v>100</v>
      </c>
      <c r="CL202" s="1410"/>
      <c r="CM202" s="1682"/>
      <c r="CN202" s="1400"/>
      <c r="CO202" s="1326"/>
      <c r="CP202" s="1682"/>
      <c r="CQ202" s="1684">
        <v>1260698</v>
      </c>
      <c r="CR202" s="1684">
        <v>1158479.24</v>
      </c>
      <c r="CS202" s="1684">
        <v>102218.76</v>
      </c>
      <c r="CT202" s="1326"/>
      <c r="CU202" s="1682"/>
      <c r="CV202" s="1684">
        <v>1293732.57</v>
      </c>
      <c r="CW202" s="1684">
        <v>0</v>
      </c>
      <c r="CX202" s="1684">
        <v>0</v>
      </c>
      <c r="CY202" s="1684">
        <v>1279899.92</v>
      </c>
      <c r="CZ202" s="1684">
        <v>0</v>
      </c>
      <c r="DA202" s="1684">
        <v>0</v>
      </c>
      <c r="DB202" s="1684">
        <v>2420</v>
      </c>
      <c r="DC202" s="1684">
        <v>11412.65</v>
      </c>
      <c r="DD202" s="1684">
        <v>1293732.57</v>
      </c>
      <c r="DE202" s="1684">
        <v>1196702.6200000001</v>
      </c>
      <c r="DF202" s="1684">
        <v>1099672.68</v>
      </c>
      <c r="DG202" s="1684">
        <v>97029.94</v>
      </c>
      <c r="DH202" s="1684">
        <v>97029.95</v>
      </c>
      <c r="DI202" s="1684">
        <v>97029.95</v>
      </c>
      <c r="DJ202" s="1684">
        <v>0</v>
      </c>
      <c r="DK202" s="1684">
        <v>97029.95</v>
      </c>
      <c r="DL202" s="1684">
        <v>0</v>
      </c>
      <c r="DM202" s="1684">
        <v>0</v>
      </c>
      <c r="DN202" s="1684">
        <v>0</v>
      </c>
      <c r="DO202" s="1684">
        <v>0</v>
      </c>
      <c r="DP202" s="1684">
        <v>0</v>
      </c>
      <c r="DQ202" s="1326"/>
      <c r="DR202" s="1400"/>
      <c r="DS202" s="1326"/>
      <c r="DT202" s="1682"/>
      <c r="DU202" s="1326"/>
      <c r="DV202" s="1682"/>
    </row>
    <row r="203" spans="1:126">
      <c r="A203" s="1326" t="s">
        <v>2534</v>
      </c>
      <c r="B203" s="1326" t="s">
        <v>1700</v>
      </c>
      <c r="C203" s="1326" t="s">
        <v>2561</v>
      </c>
      <c r="D203" s="1326"/>
      <c r="E203" s="1326"/>
      <c r="F203" s="1326"/>
      <c r="G203" s="1326"/>
      <c r="H203" s="1326"/>
      <c r="I203" s="1326"/>
      <c r="J203" s="1326"/>
      <c r="K203" s="1682"/>
      <c r="L203" s="1682"/>
      <c r="M203" s="1326"/>
      <c r="N203" s="1326"/>
      <c r="O203" s="1326"/>
      <c r="P203" s="1326"/>
      <c r="Q203" s="1326"/>
      <c r="R203" s="1326"/>
      <c r="S203" s="1326"/>
      <c r="T203" s="1326"/>
      <c r="U203" s="1326"/>
      <c r="V203" s="1326"/>
      <c r="W203" s="1326"/>
      <c r="X203" s="1326"/>
      <c r="Y203" s="1326"/>
      <c r="Z203" s="1326"/>
      <c r="AA203" s="1326"/>
      <c r="AB203" s="1326"/>
      <c r="AC203" s="1326"/>
      <c r="AD203" s="1326"/>
      <c r="AE203" s="1326"/>
      <c r="AF203" s="1326"/>
      <c r="AG203" s="1326"/>
      <c r="AH203" s="1326"/>
      <c r="AI203" s="1326"/>
      <c r="AJ203" s="1326"/>
      <c r="AK203" s="1326"/>
      <c r="AL203" s="1326"/>
      <c r="AM203" s="1400"/>
      <c r="AN203" s="1326"/>
      <c r="AO203" s="1326"/>
      <c r="AP203" s="1326"/>
      <c r="AQ203" s="1326"/>
      <c r="AR203" s="1326"/>
      <c r="AS203" s="1326"/>
      <c r="AT203" s="1326"/>
      <c r="AU203" s="1326"/>
      <c r="AV203" s="1326"/>
      <c r="AW203" s="1326"/>
      <c r="AX203" s="1326"/>
      <c r="AY203" s="1326"/>
      <c r="AZ203" s="1326"/>
      <c r="BA203" s="1326"/>
      <c r="BB203" s="1326"/>
      <c r="BC203" s="1326"/>
      <c r="BD203" s="1326"/>
      <c r="BE203" s="1326"/>
      <c r="BF203" s="1326"/>
      <c r="BG203" s="1326"/>
      <c r="BH203" s="1326"/>
      <c r="BI203" s="1326"/>
      <c r="BJ203" s="1326"/>
      <c r="BK203" s="1326"/>
      <c r="BL203" s="1326"/>
      <c r="BM203" s="1326"/>
      <c r="BN203" s="1400"/>
      <c r="BO203" s="1682"/>
      <c r="BP203" s="1682"/>
      <c r="BQ203" s="1326"/>
      <c r="BR203" s="1682"/>
      <c r="BS203" s="1326"/>
      <c r="BT203" s="1326"/>
      <c r="BU203" s="1400"/>
      <c r="BV203" s="1683">
        <v>359010.79</v>
      </c>
      <c r="BW203" s="1682"/>
      <c r="BX203" s="1682"/>
      <c r="BY203" s="1326"/>
      <c r="BZ203" s="1326"/>
      <c r="CA203" s="1326"/>
      <c r="CB203" s="1326"/>
      <c r="CC203" s="1326"/>
      <c r="CD203" s="1684">
        <v>1413723.02</v>
      </c>
      <c r="CE203" s="1684">
        <v>1413723.02</v>
      </c>
      <c r="CF203" s="1684">
        <v>1260698</v>
      </c>
      <c r="CG203" s="1684">
        <v>89.18</v>
      </c>
      <c r="CH203" s="1684">
        <v>153025.01999999999</v>
      </c>
      <c r="CI203" s="1684">
        <v>10.82</v>
      </c>
      <c r="CJ203" s="1684">
        <v>1413723.02</v>
      </c>
      <c r="CK203" s="1684">
        <v>100</v>
      </c>
      <c r="CL203" s="1410"/>
      <c r="CM203" s="1682"/>
      <c r="CN203" s="1400"/>
      <c r="CO203" s="1326"/>
      <c r="CP203" s="1682"/>
      <c r="CQ203" s="1684">
        <v>1260698</v>
      </c>
      <c r="CR203" s="1684">
        <v>1158479.24</v>
      </c>
      <c r="CS203" s="1684">
        <v>102218.76</v>
      </c>
      <c r="CT203" s="1326"/>
      <c r="CU203" s="1682"/>
      <c r="CV203" s="1684">
        <v>1293732.57</v>
      </c>
      <c r="CW203" s="1684">
        <v>0</v>
      </c>
      <c r="CX203" s="1684">
        <v>0</v>
      </c>
      <c r="CY203" s="1684">
        <v>1279899.92</v>
      </c>
      <c r="CZ203" s="1684">
        <v>0</v>
      </c>
      <c r="DA203" s="1684">
        <v>0</v>
      </c>
      <c r="DB203" s="1684">
        <v>2420</v>
      </c>
      <c r="DC203" s="1684">
        <v>11412.65</v>
      </c>
      <c r="DD203" s="1684">
        <v>1293732.57</v>
      </c>
      <c r="DE203" s="1684">
        <v>1196702.6200000001</v>
      </c>
      <c r="DF203" s="1684">
        <v>1099672.68</v>
      </c>
      <c r="DG203" s="1684">
        <v>97029.94</v>
      </c>
      <c r="DH203" s="1684">
        <v>97029.95</v>
      </c>
      <c r="DI203" s="1684">
        <v>97029.95</v>
      </c>
      <c r="DJ203" s="1684">
        <v>0</v>
      </c>
      <c r="DK203" s="1684">
        <v>97029.95</v>
      </c>
      <c r="DL203" s="1684">
        <v>0</v>
      </c>
      <c r="DM203" s="1684">
        <v>0</v>
      </c>
      <c r="DN203" s="1684">
        <v>0</v>
      </c>
      <c r="DO203" s="1684">
        <v>0</v>
      </c>
      <c r="DP203" s="1684">
        <v>0</v>
      </c>
      <c r="DQ203" s="1326"/>
      <c r="DR203" s="1400"/>
      <c r="DS203" s="1326"/>
      <c r="DT203" s="1682"/>
      <c r="DU203" s="1326"/>
      <c r="DV203" s="1682"/>
    </row>
    <row r="204" spans="1:126">
      <c r="A204" s="1326" t="s">
        <v>2535</v>
      </c>
      <c r="B204" s="1326" t="s">
        <v>1700</v>
      </c>
      <c r="C204" s="1326" t="s">
        <v>2561</v>
      </c>
      <c r="D204" s="1326" t="s">
        <v>2562</v>
      </c>
      <c r="E204" s="1326"/>
      <c r="F204" s="1326"/>
      <c r="G204" s="1326"/>
      <c r="H204" s="1326"/>
      <c r="I204" s="1326"/>
      <c r="J204" s="1326"/>
      <c r="K204" s="1682"/>
      <c r="L204" s="1682"/>
      <c r="M204" s="1326"/>
      <c r="N204" s="1326"/>
      <c r="O204" s="1326"/>
      <c r="P204" s="1326"/>
      <c r="Q204" s="1326"/>
      <c r="R204" s="1326"/>
      <c r="S204" s="1326"/>
      <c r="T204" s="1326"/>
      <c r="U204" s="1326"/>
      <c r="V204" s="1326"/>
      <c r="W204" s="1326"/>
      <c r="X204" s="1326"/>
      <c r="Y204" s="1326"/>
      <c r="Z204" s="1326"/>
      <c r="AA204" s="1326"/>
      <c r="AB204" s="1326"/>
      <c r="AC204" s="1326"/>
      <c r="AD204" s="1326"/>
      <c r="AE204" s="1326"/>
      <c r="AF204" s="1326"/>
      <c r="AG204" s="1326"/>
      <c r="AH204" s="1326"/>
      <c r="AI204" s="1326"/>
      <c r="AJ204" s="1326"/>
      <c r="AK204" s="1326"/>
      <c r="AL204" s="1326"/>
      <c r="AM204" s="1400"/>
      <c r="AN204" s="1326"/>
      <c r="AO204" s="1326"/>
      <c r="AP204" s="1326"/>
      <c r="AQ204" s="1326"/>
      <c r="AR204" s="1326"/>
      <c r="AS204" s="1326"/>
      <c r="AT204" s="1326"/>
      <c r="AU204" s="1326"/>
      <c r="AV204" s="1326"/>
      <c r="AW204" s="1326"/>
      <c r="AX204" s="1326"/>
      <c r="AY204" s="1326"/>
      <c r="AZ204" s="1326"/>
      <c r="BA204" s="1326"/>
      <c r="BB204" s="1326"/>
      <c r="BC204" s="1326"/>
      <c r="BD204" s="1326"/>
      <c r="BE204" s="1326"/>
      <c r="BF204" s="1326"/>
      <c r="BG204" s="1326"/>
      <c r="BH204" s="1326"/>
      <c r="BI204" s="1326"/>
      <c r="BJ204" s="1326"/>
      <c r="BK204" s="1326"/>
      <c r="BL204" s="1326"/>
      <c r="BM204" s="1326"/>
      <c r="BN204" s="1400"/>
      <c r="BO204" s="1682"/>
      <c r="BP204" s="1682"/>
      <c r="BQ204" s="1326"/>
      <c r="BR204" s="1682"/>
      <c r="BS204" s="1326"/>
      <c r="BT204" s="1326"/>
      <c r="BU204" s="1400"/>
      <c r="BV204" s="1683">
        <v>359010.79</v>
      </c>
      <c r="BW204" s="1682"/>
      <c r="BX204" s="1682"/>
      <c r="BY204" s="1326"/>
      <c r="BZ204" s="1326"/>
      <c r="CA204" s="1326"/>
      <c r="CB204" s="1326"/>
      <c r="CC204" s="1326"/>
      <c r="CD204" s="1684">
        <v>1413723.02</v>
      </c>
      <c r="CE204" s="1684">
        <v>1413723.02</v>
      </c>
      <c r="CF204" s="1684">
        <v>1260698</v>
      </c>
      <c r="CG204" s="1684">
        <v>89.18</v>
      </c>
      <c r="CH204" s="1684">
        <v>153025.01999999999</v>
      </c>
      <c r="CI204" s="1684">
        <v>10.82</v>
      </c>
      <c r="CJ204" s="1684">
        <v>1413723.02</v>
      </c>
      <c r="CK204" s="1684">
        <v>100</v>
      </c>
      <c r="CL204" s="1410"/>
      <c r="CM204" s="1682"/>
      <c r="CN204" s="1400"/>
      <c r="CO204" s="1326"/>
      <c r="CP204" s="1682"/>
      <c r="CQ204" s="1684">
        <v>1260698</v>
      </c>
      <c r="CR204" s="1684">
        <v>1158479.24</v>
      </c>
      <c r="CS204" s="1684">
        <v>102218.76</v>
      </c>
      <c r="CT204" s="1326"/>
      <c r="CU204" s="1682"/>
      <c r="CV204" s="1684">
        <v>1293732.57</v>
      </c>
      <c r="CW204" s="1684">
        <v>0</v>
      </c>
      <c r="CX204" s="1684">
        <v>0</v>
      </c>
      <c r="CY204" s="1684">
        <v>1279899.92</v>
      </c>
      <c r="CZ204" s="1684">
        <v>0</v>
      </c>
      <c r="DA204" s="1684">
        <v>0</v>
      </c>
      <c r="DB204" s="1684">
        <v>2420</v>
      </c>
      <c r="DC204" s="1684">
        <v>11412.65</v>
      </c>
      <c r="DD204" s="1684">
        <v>1293732.57</v>
      </c>
      <c r="DE204" s="1684">
        <v>1196702.6200000001</v>
      </c>
      <c r="DF204" s="1684">
        <v>1099672.68</v>
      </c>
      <c r="DG204" s="1684">
        <v>97029.94</v>
      </c>
      <c r="DH204" s="1684">
        <v>97029.95</v>
      </c>
      <c r="DI204" s="1684">
        <v>97029.95</v>
      </c>
      <c r="DJ204" s="1684">
        <v>0</v>
      </c>
      <c r="DK204" s="1684">
        <v>97029.95</v>
      </c>
      <c r="DL204" s="1684">
        <v>0</v>
      </c>
      <c r="DM204" s="1684">
        <v>0</v>
      </c>
      <c r="DN204" s="1684">
        <v>0</v>
      </c>
      <c r="DO204" s="1684">
        <v>0</v>
      </c>
      <c r="DP204" s="1684">
        <v>0</v>
      </c>
      <c r="DQ204" s="1326"/>
      <c r="DR204" s="1400"/>
      <c r="DS204" s="1326"/>
      <c r="DT204" s="1682"/>
      <c r="DU204" s="1326"/>
      <c r="DV204" s="1682"/>
    </row>
    <row r="205" spans="1:126" ht="22.5">
      <c r="A205" s="1326" t="s">
        <v>2536</v>
      </c>
      <c r="B205" s="1326" t="s">
        <v>1700</v>
      </c>
      <c r="C205" s="1326" t="s">
        <v>2561</v>
      </c>
      <c r="D205" s="1326" t="s">
        <v>2562</v>
      </c>
      <c r="E205" s="1326" t="s">
        <v>178</v>
      </c>
      <c r="F205" s="1326" t="s">
        <v>3497</v>
      </c>
      <c r="G205" s="1326"/>
      <c r="H205" s="1326"/>
      <c r="I205" s="1326"/>
      <c r="J205" s="1326"/>
      <c r="K205" s="1682"/>
      <c r="L205" s="1682"/>
      <c r="M205" s="1326"/>
      <c r="N205" s="1326"/>
      <c r="O205" s="1326"/>
      <c r="P205" s="1326"/>
      <c r="Q205" s="1326"/>
      <c r="R205" s="1326"/>
      <c r="S205" s="1326"/>
      <c r="T205" s="1326"/>
      <c r="U205" s="1326"/>
      <c r="V205" s="1326"/>
      <c r="W205" s="1326"/>
      <c r="X205" s="1326"/>
      <c r="Y205" s="1326"/>
      <c r="Z205" s="1326"/>
      <c r="AA205" s="1326"/>
      <c r="AB205" s="1326"/>
      <c r="AC205" s="1326"/>
      <c r="AD205" s="1326"/>
      <c r="AE205" s="1326"/>
      <c r="AF205" s="1326"/>
      <c r="AG205" s="1326"/>
      <c r="AH205" s="1326"/>
      <c r="AI205" s="1326"/>
      <c r="AJ205" s="1326"/>
      <c r="AK205" s="1326"/>
      <c r="AL205" s="1326"/>
      <c r="AM205" s="1400"/>
      <c r="AN205" s="1326"/>
      <c r="AO205" s="1326"/>
      <c r="AP205" s="1326"/>
      <c r="AQ205" s="1326"/>
      <c r="AR205" s="1326"/>
      <c r="AS205" s="1326"/>
      <c r="AT205" s="1326"/>
      <c r="AU205" s="1326"/>
      <c r="AV205" s="1326"/>
      <c r="AW205" s="1326"/>
      <c r="AX205" s="1326"/>
      <c r="AY205" s="1326"/>
      <c r="AZ205" s="1326"/>
      <c r="BA205" s="1326"/>
      <c r="BB205" s="1326"/>
      <c r="BC205" s="1326"/>
      <c r="BD205" s="1326"/>
      <c r="BE205" s="1326"/>
      <c r="BF205" s="1326"/>
      <c r="BG205" s="1326"/>
      <c r="BH205" s="1326"/>
      <c r="BI205" s="1326"/>
      <c r="BJ205" s="1326"/>
      <c r="BK205" s="1326"/>
      <c r="BL205" s="1326"/>
      <c r="BM205" s="1326"/>
      <c r="BN205" s="1400"/>
      <c r="BO205" s="1682"/>
      <c r="BP205" s="1682"/>
      <c r="BQ205" s="1326"/>
      <c r="BR205" s="1682"/>
      <c r="BS205" s="1326"/>
      <c r="BT205" s="1326"/>
      <c r="BU205" s="1400"/>
      <c r="BV205" s="1683">
        <v>359010.79</v>
      </c>
      <c r="BW205" s="1682"/>
      <c r="BX205" s="1682"/>
      <c r="BY205" s="1326"/>
      <c r="BZ205" s="1326"/>
      <c r="CA205" s="1326"/>
      <c r="CB205" s="1326"/>
      <c r="CC205" s="1326"/>
      <c r="CD205" s="1684">
        <v>1413723.02</v>
      </c>
      <c r="CE205" s="1684">
        <v>1413723.02</v>
      </c>
      <c r="CF205" s="1684">
        <v>1260698</v>
      </c>
      <c r="CG205" s="1684">
        <v>89.18</v>
      </c>
      <c r="CH205" s="1684">
        <v>153025.01999999999</v>
      </c>
      <c r="CI205" s="1684">
        <v>10.82</v>
      </c>
      <c r="CJ205" s="1684">
        <v>1413723.02</v>
      </c>
      <c r="CK205" s="1684">
        <v>100</v>
      </c>
      <c r="CL205" s="1410"/>
      <c r="CM205" s="1682"/>
      <c r="CN205" s="1400"/>
      <c r="CO205" s="1326"/>
      <c r="CP205" s="1682"/>
      <c r="CQ205" s="1684">
        <v>1260698</v>
      </c>
      <c r="CR205" s="1684">
        <v>1158479.24</v>
      </c>
      <c r="CS205" s="1684">
        <v>102218.76</v>
      </c>
      <c r="CT205" s="1326"/>
      <c r="CU205" s="1682"/>
      <c r="CV205" s="1684">
        <v>1293732.57</v>
      </c>
      <c r="CW205" s="1684">
        <v>0</v>
      </c>
      <c r="CX205" s="1684">
        <v>0</v>
      </c>
      <c r="CY205" s="1684">
        <v>1279899.92</v>
      </c>
      <c r="CZ205" s="1684">
        <v>0</v>
      </c>
      <c r="DA205" s="1684">
        <v>0</v>
      </c>
      <c r="DB205" s="1684">
        <v>2420</v>
      </c>
      <c r="DC205" s="1684">
        <v>11412.65</v>
      </c>
      <c r="DD205" s="1684">
        <v>1293732.57</v>
      </c>
      <c r="DE205" s="1684">
        <v>1196702.6200000001</v>
      </c>
      <c r="DF205" s="1684">
        <v>1099672.68</v>
      </c>
      <c r="DG205" s="1684">
        <v>97029.94</v>
      </c>
      <c r="DH205" s="1684">
        <v>97029.95</v>
      </c>
      <c r="DI205" s="1684">
        <v>97029.95</v>
      </c>
      <c r="DJ205" s="1684">
        <v>0</v>
      </c>
      <c r="DK205" s="1684">
        <v>97029.95</v>
      </c>
      <c r="DL205" s="1684">
        <v>0</v>
      </c>
      <c r="DM205" s="1684">
        <v>0</v>
      </c>
      <c r="DN205" s="1684">
        <v>0</v>
      </c>
      <c r="DO205" s="1684">
        <v>0</v>
      </c>
      <c r="DP205" s="1684">
        <v>0</v>
      </c>
      <c r="DQ205" s="1326"/>
      <c r="DR205" s="1400"/>
      <c r="DS205" s="1326"/>
      <c r="DT205" s="1682"/>
      <c r="DU205" s="1326"/>
      <c r="DV205" s="1682"/>
    </row>
    <row r="206" spans="1:126" ht="101.25">
      <c r="A206" s="1326" t="s">
        <v>2025</v>
      </c>
      <c r="B206" s="1326" t="s">
        <v>1700</v>
      </c>
      <c r="C206" s="1326" t="s">
        <v>2561</v>
      </c>
      <c r="D206" s="1326" t="s">
        <v>2562</v>
      </c>
      <c r="E206" s="1326" t="s">
        <v>178</v>
      </c>
      <c r="F206" s="1326" t="s">
        <v>3497</v>
      </c>
      <c r="G206" s="1326" t="s">
        <v>2563</v>
      </c>
      <c r="H206" s="1326" t="s">
        <v>2556</v>
      </c>
      <c r="I206" s="1326" t="s">
        <v>2541</v>
      </c>
      <c r="J206" s="1326" t="s">
        <v>689</v>
      </c>
      <c r="K206" s="1685">
        <v>42699</v>
      </c>
      <c r="L206" s="1685">
        <v>42794</v>
      </c>
      <c r="M206" s="1326" t="s">
        <v>3498</v>
      </c>
      <c r="N206" s="1326" t="s">
        <v>2137</v>
      </c>
      <c r="O206" s="1326" t="s">
        <v>3499</v>
      </c>
      <c r="P206" s="1326" t="s">
        <v>2757</v>
      </c>
      <c r="Q206" s="1326" t="s">
        <v>1709</v>
      </c>
      <c r="R206" s="1326" t="s">
        <v>2757</v>
      </c>
      <c r="S206" s="1326" t="s">
        <v>2757</v>
      </c>
      <c r="T206" s="1326"/>
      <c r="U206" s="1326" t="s">
        <v>2758</v>
      </c>
      <c r="V206" s="1326" t="s">
        <v>2785</v>
      </c>
      <c r="W206" s="1326" t="s">
        <v>2757</v>
      </c>
      <c r="X206" s="1326"/>
      <c r="Y206" s="1326" t="s">
        <v>2757</v>
      </c>
      <c r="Z206" s="1326"/>
      <c r="AA206" s="1326"/>
      <c r="AB206" s="1326" t="s">
        <v>2757</v>
      </c>
      <c r="AC206" s="1326" t="s">
        <v>2757</v>
      </c>
      <c r="AD206" s="1326" t="s">
        <v>2757</v>
      </c>
      <c r="AE206" s="1326"/>
      <c r="AF206" s="1326" t="s">
        <v>2985</v>
      </c>
      <c r="AG206" s="1326" t="s">
        <v>2986</v>
      </c>
      <c r="AH206" s="1326" t="s">
        <v>2791</v>
      </c>
      <c r="AI206" s="1326" t="s">
        <v>2762</v>
      </c>
      <c r="AJ206" s="1326" t="s">
        <v>2763</v>
      </c>
      <c r="AK206" s="1326" t="s">
        <v>2987</v>
      </c>
      <c r="AL206" s="1326" t="s">
        <v>2988</v>
      </c>
      <c r="AM206" s="1683">
        <v>100</v>
      </c>
      <c r="AN206" s="1326"/>
      <c r="AO206" s="1326"/>
      <c r="AP206" s="1326"/>
      <c r="AQ206" s="1326"/>
      <c r="AR206" s="1326"/>
      <c r="AS206" s="1326"/>
      <c r="AT206" s="1326" t="s">
        <v>2794</v>
      </c>
      <c r="AU206" s="1326" t="s">
        <v>2795</v>
      </c>
      <c r="AV206" s="1326" t="s">
        <v>2989</v>
      </c>
      <c r="AW206" s="1326"/>
      <c r="AX206" s="1326" t="s">
        <v>2909</v>
      </c>
      <c r="AY206" s="1326" t="s">
        <v>2798</v>
      </c>
      <c r="AZ206" s="1326" t="s">
        <v>345</v>
      </c>
      <c r="BA206" s="1326" t="s">
        <v>2799</v>
      </c>
      <c r="BB206" s="1326" t="s">
        <v>2757</v>
      </c>
      <c r="BC206" s="1326" t="s">
        <v>2800</v>
      </c>
      <c r="BD206" s="1326" t="s">
        <v>2773</v>
      </c>
      <c r="BE206" s="1326" t="s">
        <v>2801</v>
      </c>
      <c r="BF206" s="1326" t="s">
        <v>3500</v>
      </c>
      <c r="BG206" s="1326" t="s">
        <v>2803</v>
      </c>
      <c r="BH206" s="1326" t="s">
        <v>2804</v>
      </c>
      <c r="BI206" s="1326" t="s">
        <v>2805</v>
      </c>
      <c r="BJ206" s="1326" t="s">
        <v>2806</v>
      </c>
      <c r="BK206" s="1326" t="s">
        <v>2794</v>
      </c>
      <c r="BL206" s="1326" t="s">
        <v>2757</v>
      </c>
      <c r="BM206" s="1326" t="s">
        <v>2757</v>
      </c>
      <c r="BN206" s="1683">
        <v>0</v>
      </c>
      <c r="BO206" s="1685">
        <v>42244</v>
      </c>
      <c r="BP206" s="1685">
        <v>43159</v>
      </c>
      <c r="BQ206" s="1326" t="s">
        <v>2779</v>
      </c>
      <c r="BR206" s="1685">
        <v>45657</v>
      </c>
      <c r="BS206" s="1326" t="s">
        <v>2807</v>
      </c>
      <c r="BT206" s="1326" t="s">
        <v>3501</v>
      </c>
      <c r="BU206" s="1683">
        <v>30</v>
      </c>
      <c r="BV206" s="1683">
        <v>359010.79</v>
      </c>
      <c r="BW206" s="1685">
        <v>43189</v>
      </c>
      <c r="BX206" s="1685">
        <v>43228</v>
      </c>
      <c r="BY206" s="1326" t="s">
        <v>2052</v>
      </c>
      <c r="BZ206" s="1326" t="s">
        <v>2782</v>
      </c>
      <c r="CA206" s="1326" t="s">
        <v>2783</v>
      </c>
      <c r="CB206" s="1326" t="s">
        <v>2783</v>
      </c>
      <c r="CC206" s="1326" t="s">
        <v>2809</v>
      </c>
      <c r="CD206" s="1684">
        <v>1413723.02</v>
      </c>
      <c r="CE206" s="1684">
        <v>1413723.02</v>
      </c>
      <c r="CF206" s="1684">
        <v>1260698</v>
      </c>
      <c r="CG206" s="1684">
        <v>89.18</v>
      </c>
      <c r="CH206" s="1684">
        <v>153025.01999999999</v>
      </c>
      <c r="CI206" s="1684">
        <v>10.82</v>
      </c>
      <c r="CJ206" s="1684">
        <v>1413723.02</v>
      </c>
      <c r="CK206" s="1684">
        <v>100</v>
      </c>
      <c r="CL206" s="1410" t="s">
        <v>2785</v>
      </c>
      <c r="CM206" s="1686">
        <v>42758</v>
      </c>
      <c r="CN206" s="1400"/>
      <c r="CO206" s="1326"/>
      <c r="CP206" s="1682"/>
      <c r="CQ206" s="1684">
        <v>1260698</v>
      </c>
      <c r="CR206" s="1684">
        <v>1158479.24</v>
      </c>
      <c r="CS206" s="1684">
        <v>102218.76</v>
      </c>
      <c r="CT206" s="1326" t="s">
        <v>2785</v>
      </c>
      <c r="CU206" s="1686">
        <v>42772</v>
      </c>
      <c r="CV206" s="1684">
        <v>1293732.57</v>
      </c>
      <c r="CW206" s="1684">
        <v>0</v>
      </c>
      <c r="CX206" s="1684">
        <v>0</v>
      </c>
      <c r="CY206" s="1684">
        <v>1279899.92</v>
      </c>
      <c r="CZ206" s="1684">
        <v>0</v>
      </c>
      <c r="DA206" s="1684">
        <v>0</v>
      </c>
      <c r="DB206" s="1684">
        <v>2420</v>
      </c>
      <c r="DC206" s="1684">
        <v>11412.65</v>
      </c>
      <c r="DD206" s="1684">
        <v>1293732.57</v>
      </c>
      <c r="DE206" s="1684">
        <v>1196702.6200000001</v>
      </c>
      <c r="DF206" s="1684">
        <v>1099672.68</v>
      </c>
      <c r="DG206" s="1684">
        <v>97029.94</v>
      </c>
      <c r="DH206" s="1684">
        <v>97029.95</v>
      </c>
      <c r="DI206" s="1684">
        <v>97029.95</v>
      </c>
      <c r="DJ206" s="1684">
        <v>0</v>
      </c>
      <c r="DK206" s="1684">
        <v>97029.95</v>
      </c>
      <c r="DL206" s="1684">
        <v>0</v>
      </c>
      <c r="DM206" s="1684">
        <v>0</v>
      </c>
      <c r="DN206" s="1684">
        <v>0</v>
      </c>
      <c r="DO206" s="1684">
        <v>0</v>
      </c>
      <c r="DP206" s="1684">
        <v>0</v>
      </c>
      <c r="DQ206" s="1326" t="s">
        <v>2810</v>
      </c>
      <c r="DR206" s="1684">
        <v>0</v>
      </c>
      <c r="DS206" s="1326" t="s">
        <v>2757</v>
      </c>
      <c r="DT206" s="1682"/>
      <c r="DU206" s="1326" t="s">
        <v>2785</v>
      </c>
      <c r="DV206" s="1686">
        <v>43159</v>
      </c>
    </row>
    <row r="207" spans="1:126">
      <c r="A207" s="1326"/>
      <c r="B207" s="1326" t="s">
        <v>57</v>
      </c>
      <c r="C207" s="1326"/>
      <c r="D207" s="1326"/>
      <c r="E207" s="1326"/>
      <c r="F207" s="1326"/>
      <c r="G207" s="1326"/>
      <c r="H207" s="1326"/>
      <c r="I207" s="1326"/>
      <c r="J207" s="1326"/>
      <c r="K207" s="1682"/>
      <c r="L207" s="1682"/>
      <c r="M207" s="1326"/>
      <c r="N207" s="1326"/>
      <c r="O207" s="1326"/>
      <c r="P207" s="1326"/>
      <c r="Q207" s="1326"/>
      <c r="R207" s="1326"/>
      <c r="S207" s="1326"/>
      <c r="T207" s="1326"/>
      <c r="U207" s="1326"/>
      <c r="V207" s="1326"/>
      <c r="W207" s="1326"/>
      <c r="X207" s="1326"/>
      <c r="Y207" s="1326"/>
      <c r="Z207" s="1326"/>
      <c r="AA207" s="1326"/>
      <c r="AB207" s="1326"/>
      <c r="AC207" s="1326"/>
      <c r="AD207" s="1326"/>
      <c r="AE207" s="1326"/>
      <c r="AF207" s="1326"/>
      <c r="AG207" s="1326"/>
      <c r="AH207" s="1326"/>
      <c r="AI207" s="1326"/>
      <c r="AJ207" s="1326"/>
      <c r="AK207" s="1326"/>
      <c r="AL207" s="1326"/>
      <c r="AM207" s="1400"/>
      <c r="AN207" s="1326"/>
      <c r="AO207" s="1326"/>
      <c r="AP207" s="1326"/>
      <c r="AQ207" s="1326"/>
      <c r="AR207" s="1326"/>
      <c r="AS207" s="1326"/>
      <c r="AT207" s="1326"/>
      <c r="AU207" s="1326"/>
      <c r="AV207" s="1326"/>
      <c r="AW207" s="1326"/>
      <c r="AX207" s="1326"/>
      <c r="AY207" s="1326"/>
      <c r="AZ207" s="1326"/>
      <c r="BA207" s="1326"/>
      <c r="BB207" s="1326"/>
      <c r="BC207" s="1326"/>
      <c r="BD207" s="1326"/>
      <c r="BE207" s="1326"/>
      <c r="BF207" s="1326"/>
      <c r="BG207" s="1326"/>
      <c r="BH207" s="1326"/>
      <c r="BI207" s="1326"/>
      <c r="BJ207" s="1326"/>
      <c r="BK207" s="1326"/>
      <c r="BL207" s="1326"/>
      <c r="BM207" s="1326"/>
      <c r="BN207" s="1400"/>
      <c r="BO207" s="1682"/>
      <c r="BP207" s="1682"/>
      <c r="BQ207" s="1326"/>
      <c r="BR207" s="1682"/>
      <c r="BS207" s="1326"/>
      <c r="BT207" s="1326"/>
      <c r="BU207" s="1400"/>
      <c r="BV207" s="1683">
        <v>0</v>
      </c>
      <c r="BW207" s="1682"/>
      <c r="BX207" s="1682"/>
      <c r="BY207" s="1326"/>
      <c r="BZ207" s="1326"/>
      <c r="CA207" s="1326"/>
      <c r="CB207" s="1326"/>
      <c r="CC207" s="1326"/>
      <c r="CD207" s="1684">
        <v>1330161.01</v>
      </c>
      <c r="CE207" s="1684">
        <v>1330161.01</v>
      </c>
      <c r="CF207" s="1684">
        <v>1113699.3899999999</v>
      </c>
      <c r="CG207" s="1684">
        <v>83.73</v>
      </c>
      <c r="CH207" s="1684">
        <v>216461.62</v>
      </c>
      <c r="CI207" s="1684">
        <v>16.27</v>
      </c>
      <c r="CJ207" s="1684">
        <v>1330161.01</v>
      </c>
      <c r="CK207" s="1684">
        <v>100</v>
      </c>
      <c r="CL207" s="1410"/>
      <c r="CM207" s="1682"/>
      <c r="CN207" s="1400"/>
      <c r="CO207" s="1326"/>
      <c r="CP207" s="1682"/>
      <c r="CQ207" s="1684">
        <v>1113699.3899999999</v>
      </c>
      <c r="CR207" s="1684">
        <v>1113699.3899999999</v>
      </c>
      <c r="CS207" s="1684">
        <v>0</v>
      </c>
      <c r="CT207" s="1326"/>
      <c r="CU207" s="1682"/>
      <c r="CV207" s="1684">
        <v>1330161.01</v>
      </c>
      <c r="CW207" s="1684">
        <v>0</v>
      </c>
      <c r="CX207" s="1684">
        <v>0</v>
      </c>
      <c r="CY207" s="1684">
        <v>0</v>
      </c>
      <c r="CZ207" s="1684">
        <v>0</v>
      </c>
      <c r="DA207" s="1684">
        <v>1330121.08</v>
      </c>
      <c r="DB207" s="1684">
        <v>39.93</v>
      </c>
      <c r="DC207" s="1684">
        <v>0</v>
      </c>
      <c r="DD207" s="1684">
        <v>1330161.01</v>
      </c>
      <c r="DE207" s="1684">
        <v>1113699.3899999999</v>
      </c>
      <c r="DF207" s="1684">
        <v>1113699.3899999999</v>
      </c>
      <c r="DG207" s="1684">
        <v>0</v>
      </c>
      <c r="DH207" s="1684">
        <v>216461.62</v>
      </c>
      <c r="DI207" s="1684">
        <v>216461.62</v>
      </c>
      <c r="DJ207" s="1684">
        <v>0</v>
      </c>
      <c r="DK207" s="1684">
        <v>216461.62</v>
      </c>
      <c r="DL207" s="1684">
        <v>0</v>
      </c>
      <c r="DM207" s="1684">
        <v>0</v>
      </c>
      <c r="DN207" s="1684">
        <v>0</v>
      </c>
      <c r="DO207" s="1684">
        <v>0</v>
      </c>
      <c r="DP207" s="1684">
        <v>0</v>
      </c>
      <c r="DQ207" s="1326"/>
      <c r="DR207" s="1400"/>
      <c r="DS207" s="1326"/>
      <c r="DT207" s="1682"/>
      <c r="DU207" s="1326"/>
      <c r="DV207" s="1682"/>
    </row>
    <row r="208" spans="1:126">
      <c r="A208" s="1326" t="s">
        <v>2024</v>
      </c>
      <c r="B208" s="1326" t="s">
        <v>1690</v>
      </c>
      <c r="C208" s="1326"/>
      <c r="D208" s="1326"/>
      <c r="E208" s="1326"/>
      <c r="F208" s="1326"/>
      <c r="G208" s="1326"/>
      <c r="H208" s="1326"/>
      <c r="I208" s="1326"/>
      <c r="J208" s="1326"/>
      <c r="K208" s="1682"/>
      <c r="L208" s="1682"/>
      <c r="M208" s="1326"/>
      <c r="N208" s="1326"/>
      <c r="O208" s="1326"/>
      <c r="P208" s="1326"/>
      <c r="Q208" s="1326"/>
      <c r="R208" s="1326"/>
      <c r="S208" s="1326"/>
      <c r="T208" s="1326"/>
      <c r="U208" s="1326"/>
      <c r="V208" s="1326"/>
      <c r="W208" s="1326"/>
      <c r="X208" s="1326"/>
      <c r="Y208" s="1326"/>
      <c r="Z208" s="1326"/>
      <c r="AA208" s="1326"/>
      <c r="AB208" s="1326"/>
      <c r="AC208" s="1326"/>
      <c r="AD208" s="1326"/>
      <c r="AE208" s="1326"/>
      <c r="AF208" s="1326"/>
      <c r="AG208" s="1326"/>
      <c r="AH208" s="1326"/>
      <c r="AI208" s="1326"/>
      <c r="AJ208" s="1326"/>
      <c r="AK208" s="1326"/>
      <c r="AL208" s="1326"/>
      <c r="AM208" s="1400"/>
      <c r="AN208" s="1326"/>
      <c r="AO208" s="1326"/>
      <c r="AP208" s="1326"/>
      <c r="AQ208" s="1326"/>
      <c r="AR208" s="1326"/>
      <c r="AS208" s="1326"/>
      <c r="AT208" s="1326"/>
      <c r="AU208" s="1326"/>
      <c r="AV208" s="1326"/>
      <c r="AW208" s="1326"/>
      <c r="AX208" s="1326"/>
      <c r="AY208" s="1326"/>
      <c r="AZ208" s="1326"/>
      <c r="BA208" s="1326"/>
      <c r="BB208" s="1326"/>
      <c r="BC208" s="1326"/>
      <c r="BD208" s="1326"/>
      <c r="BE208" s="1326"/>
      <c r="BF208" s="1326"/>
      <c r="BG208" s="1326"/>
      <c r="BH208" s="1326"/>
      <c r="BI208" s="1326"/>
      <c r="BJ208" s="1326"/>
      <c r="BK208" s="1326"/>
      <c r="BL208" s="1326"/>
      <c r="BM208" s="1326"/>
      <c r="BN208" s="1400"/>
      <c r="BO208" s="1682"/>
      <c r="BP208" s="1682"/>
      <c r="BQ208" s="1326"/>
      <c r="BR208" s="1682"/>
      <c r="BS208" s="1326"/>
      <c r="BT208" s="1326"/>
      <c r="BU208" s="1400"/>
      <c r="BV208" s="1683">
        <v>0</v>
      </c>
      <c r="BW208" s="1682"/>
      <c r="BX208" s="1682"/>
      <c r="BY208" s="1326"/>
      <c r="BZ208" s="1326"/>
      <c r="CA208" s="1326"/>
      <c r="CB208" s="1326"/>
      <c r="CC208" s="1326"/>
      <c r="CD208" s="1684">
        <v>1330161.01</v>
      </c>
      <c r="CE208" s="1684">
        <v>1330161.01</v>
      </c>
      <c r="CF208" s="1684">
        <v>1113699.3899999999</v>
      </c>
      <c r="CG208" s="1684">
        <v>83.73</v>
      </c>
      <c r="CH208" s="1684">
        <v>216461.62</v>
      </c>
      <c r="CI208" s="1684">
        <v>16.27</v>
      </c>
      <c r="CJ208" s="1684">
        <v>1330161.01</v>
      </c>
      <c r="CK208" s="1684">
        <v>100</v>
      </c>
      <c r="CL208" s="1410"/>
      <c r="CM208" s="1682"/>
      <c r="CN208" s="1400"/>
      <c r="CO208" s="1326"/>
      <c r="CP208" s="1682"/>
      <c r="CQ208" s="1684">
        <v>1113699.3899999999</v>
      </c>
      <c r="CR208" s="1684">
        <v>1113699.3899999999</v>
      </c>
      <c r="CS208" s="1684">
        <v>0</v>
      </c>
      <c r="CT208" s="1326"/>
      <c r="CU208" s="1682"/>
      <c r="CV208" s="1684">
        <v>1330161.01</v>
      </c>
      <c r="CW208" s="1684">
        <v>0</v>
      </c>
      <c r="CX208" s="1684">
        <v>0</v>
      </c>
      <c r="CY208" s="1684">
        <v>0</v>
      </c>
      <c r="CZ208" s="1684">
        <v>0</v>
      </c>
      <c r="DA208" s="1684">
        <v>1330121.08</v>
      </c>
      <c r="DB208" s="1684">
        <v>39.93</v>
      </c>
      <c r="DC208" s="1684">
        <v>0</v>
      </c>
      <c r="DD208" s="1684">
        <v>1330161.01</v>
      </c>
      <c r="DE208" s="1684">
        <v>1113699.3899999999</v>
      </c>
      <c r="DF208" s="1684">
        <v>1113699.3899999999</v>
      </c>
      <c r="DG208" s="1684">
        <v>0</v>
      </c>
      <c r="DH208" s="1684">
        <v>216461.62</v>
      </c>
      <c r="DI208" s="1684">
        <v>216461.62</v>
      </c>
      <c r="DJ208" s="1684">
        <v>0</v>
      </c>
      <c r="DK208" s="1684">
        <v>216461.62</v>
      </c>
      <c r="DL208" s="1684">
        <v>0</v>
      </c>
      <c r="DM208" s="1684">
        <v>0</v>
      </c>
      <c r="DN208" s="1684">
        <v>0</v>
      </c>
      <c r="DO208" s="1684">
        <v>0</v>
      </c>
      <c r="DP208" s="1684">
        <v>0</v>
      </c>
      <c r="DQ208" s="1326"/>
      <c r="DR208" s="1400"/>
      <c r="DS208" s="1326"/>
      <c r="DT208" s="1682"/>
      <c r="DU208" s="1326"/>
      <c r="DV208" s="1682"/>
    </row>
    <row r="209" spans="1:126">
      <c r="A209" s="1326" t="s">
        <v>2534</v>
      </c>
      <c r="B209" s="1326" t="s">
        <v>1690</v>
      </c>
      <c r="C209" s="1326" t="s">
        <v>2537</v>
      </c>
      <c r="D209" s="1326"/>
      <c r="E209" s="1326"/>
      <c r="F209" s="1326"/>
      <c r="G209" s="1326"/>
      <c r="H209" s="1326"/>
      <c r="I209" s="1326"/>
      <c r="J209" s="1326"/>
      <c r="K209" s="1682"/>
      <c r="L209" s="1682"/>
      <c r="M209" s="1326"/>
      <c r="N209" s="1326"/>
      <c r="O209" s="1326"/>
      <c r="P209" s="1326"/>
      <c r="Q209" s="1326"/>
      <c r="R209" s="1326"/>
      <c r="S209" s="1326"/>
      <c r="T209" s="1326"/>
      <c r="U209" s="1326"/>
      <c r="V209" s="1326"/>
      <c r="W209" s="1326"/>
      <c r="X209" s="1326"/>
      <c r="Y209" s="1326"/>
      <c r="Z209" s="1326"/>
      <c r="AA209" s="1326"/>
      <c r="AB209" s="1326"/>
      <c r="AC209" s="1326"/>
      <c r="AD209" s="1326"/>
      <c r="AE209" s="1326"/>
      <c r="AF209" s="1326"/>
      <c r="AG209" s="1326"/>
      <c r="AH209" s="1326"/>
      <c r="AI209" s="1326"/>
      <c r="AJ209" s="1326"/>
      <c r="AK209" s="1326"/>
      <c r="AL209" s="1326"/>
      <c r="AM209" s="1400"/>
      <c r="AN209" s="1326"/>
      <c r="AO209" s="1326"/>
      <c r="AP209" s="1326"/>
      <c r="AQ209" s="1326"/>
      <c r="AR209" s="1326"/>
      <c r="AS209" s="1326"/>
      <c r="AT209" s="1326"/>
      <c r="AU209" s="1326"/>
      <c r="AV209" s="1326"/>
      <c r="AW209" s="1326"/>
      <c r="AX209" s="1326"/>
      <c r="AY209" s="1326"/>
      <c r="AZ209" s="1326"/>
      <c r="BA209" s="1326"/>
      <c r="BB209" s="1326"/>
      <c r="BC209" s="1326"/>
      <c r="BD209" s="1326"/>
      <c r="BE209" s="1326"/>
      <c r="BF209" s="1326"/>
      <c r="BG209" s="1326"/>
      <c r="BH209" s="1326"/>
      <c r="BI209" s="1326"/>
      <c r="BJ209" s="1326"/>
      <c r="BK209" s="1326"/>
      <c r="BL209" s="1326"/>
      <c r="BM209" s="1326"/>
      <c r="BN209" s="1400"/>
      <c r="BO209" s="1682"/>
      <c r="BP209" s="1682"/>
      <c r="BQ209" s="1326"/>
      <c r="BR209" s="1682"/>
      <c r="BS209" s="1326"/>
      <c r="BT209" s="1326"/>
      <c r="BU209" s="1400"/>
      <c r="BV209" s="1683">
        <v>0</v>
      </c>
      <c r="BW209" s="1682"/>
      <c r="BX209" s="1682"/>
      <c r="BY209" s="1326"/>
      <c r="BZ209" s="1326"/>
      <c r="CA209" s="1326"/>
      <c r="CB209" s="1326"/>
      <c r="CC209" s="1326"/>
      <c r="CD209" s="1684">
        <v>1330161.01</v>
      </c>
      <c r="CE209" s="1684">
        <v>1330161.01</v>
      </c>
      <c r="CF209" s="1684">
        <v>1113699.3899999999</v>
      </c>
      <c r="CG209" s="1684">
        <v>83.73</v>
      </c>
      <c r="CH209" s="1684">
        <v>216461.62</v>
      </c>
      <c r="CI209" s="1684">
        <v>16.27</v>
      </c>
      <c r="CJ209" s="1684">
        <v>1330161.01</v>
      </c>
      <c r="CK209" s="1684">
        <v>100</v>
      </c>
      <c r="CL209" s="1410"/>
      <c r="CM209" s="1682"/>
      <c r="CN209" s="1400"/>
      <c r="CO209" s="1326"/>
      <c r="CP209" s="1682"/>
      <c r="CQ209" s="1684">
        <v>1113699.3899999999</v>
      </c>
      <c r="CR209" s="1684">
        <v>1113699.3899999999</v>
      </c>
      <c r="CS209" s="1684">
        <v>0</v>
      </c>
      <c r="CT209" s="1326"/>
      <c r="CU209" s="1682"/>
      <c r="CV209" s="1684">
        <v>1330161.01</v>
      </c>
      <c r="CW209" s="1684">
        <v>0</v>
      </c>
      <c r="CX209" s="1684">
        <v>0</v>
      </c>
      <c r="CY209" s="1684">
        <v>0</v>
      </c>
      <c r="CZ209" s="1684">
        <v>0</v>
      </c>
      <c r="DA209" s="1684">
        <v>1330121.08</v>
      </c>
      <c r="DB209" s="1684">
        <v>39.93</v>
      </c>
      <c r="DC209" s="1684">
        <v>0</v>
      </c>
      <c r="DD209" s="1684">
        <v>1330161.01</v>
      </c>
      <c r="DE209" s="1684">
        <v>1113699.3899999999</v>
      </c>
      <c r="DF209" s="1684">
        <v>1113699.3899999999</v>
      </c>
      <c r="DG209" s="1684">
        <v>0</v>
      </c>
      <c r="DH209" s="1684">
        <v>216461.62</v>
      </c>
      <c r="DI209" s="1684">
        <v>216461.62</v>
      </c>
      <c r="DJ209" s="1684">
        <v>0</v>
      </c>
      <c r="DK209" s="1684">
        <v>216461.62</v>
      </c>
      <c r="DL209" s="1684">
        <v>0</v>
      </c>
      <c r="DM209" s="1684">
        <v>0</v>
      </c>
      <c r="DN209" s="1684">
        <v>0</v>
      </c>
      <c r="DO209" s="1684">
        <v>0</v>
      </c>
      <c r="DP209" s="1684">
        <v>0</v>
      </c>
      <c r="DQ209" s="1326"/>
      <c r="DR209" s="1400"/>
      <c r="DS209" s="1326"/>
      <c r="DT209" s="1682"/>
      <c r="DU209" s="1326"/>
      <c r="DV209" s="1682"/>
    </row>
    <row r="210" spans="1:126">
      <c r="A210" s="1326" t="s">
        <v>2535</v>
      </c>
      <c r="B210" s="1326" t="s">
        <v>1690</v>
      </c>
      <c r="C210" s="1326" t="s">
        <v>2537</v>
      </c>
      <c r="D210" s="1326" t="s">
        <v>2538</v>
      </c>
      <c r="E210" s="1326"/>
      <c r="F210" s="1326"/>
      <c r="G210" s="1326"/>
      <c r="H210" s="1326"/>
      <c r="I210" s="1326"/>
      <c r="J210" s="1326"/>
      <c r="K210" s="1682"/>
      <c r="L210" s="1682"/>
      <c r="M210" s="1326"/>
      <c r="N210" s="1326"/>
      <c r="O210" s="1326"/>
      <c r="P210" s="1326"/>
      <c r="Q210" s="1326"/>
      <c r="R210" s="1326"/>
      <c r="S210" s="1326"/>
      <c r="T210" s="1326"/>
      <c r="U210" s="1326"/>
      <c r="V210" s="1326"/>
      <c r="W210" s="1326"/>
      <c r="X210" s="1326"/>
      <c r="Y210" s="1326"/>
      <c r="Z210" s="1326"/>
      <c r="AA210" s="1326"/>
      <c r="AB210" s="1326"/>
      <c r="AC210" s="1326"/>
      <c r="AD210" s="1326"/>
      <c r="AE210" s="1326"/>
      <c r="AF210" s="1326"/>
      <c r="AG210" s="1326"/>
      <c r="AH210" s="1326"/>
      <c r="AI210" s="1326"/>
      <c r="AJ210" s="1326"/>
      <c r="AK210" s="1326"/>
      <c r="AL210" s="1326"/>
      <c r="AM210" s="1400"/>
      <c r="AN210" s="1326"/>
      <c r="AO210" s="1326"/>
      <c r="AP210" s="1326"/>
      <c r="AQ210" s="1326"/>
      <c r="AR210" s="1326"/>
      <c r="AS210" s="1326"/>
      <c r="AT210" s="1326"/>
      <c r="AU210" s="1326"/>
      <c r="AV210" s="1326"/>
      <c r="AW210" s="1326"/>
      <c r="AX210" s="1326"/>
      <c r="AY210" s="1326"/>
      <c r="AZ210" s="1326"/>
      <c r="BA210" s="1326"/>
      <c r="BB210" s="1326"/>
      <c r="BC210" s="1326"/>
      <c r="BD210" s="1326"/>
      <c r="BE210" s="1326"/>
      <c r="BF210" s="1326"/>
      <c r="BG210" s="1326"/>
      <c r="BH210" s="1326"/>
      <c r="BI210" s="1326"/>
      <c r="BJ210" s="1326"/>
      <c r="BK210" s="1326"/>
      <c r="BL210" s="1326"/>
      <c r="BM210" s="1326"/>
      <c r="BN210" s="1400"/>
      <c r="BO210" s="1682"/>
      <c r="BP210" s="1682"/>
      <c r="BQ210" s="1326"/>
      <c r="BR210" s="1682"/>
      <c r="BS210" s="1326"/>
      <c r="BT210" s="1326"/>
      <c r="BU210" s="1400"/>
      <c r="BV210" s="1683">
        <v>0</v>
      </c>
      <c r="BW210" s="1682"/>
      <c r="BX210" s="1682"/>
      <c r="BY210" s="1326"/>
      <c r="BZ210" s="1326"/>
      <c r="CA210" s="1326"/>
      <c r="CB210" s="1326"/>
      <c r="CC210" s="1326"/>
      <c r="CD210" s="1684">
        <v>1330161.01</v>
      </c>
      <c r="CE210" s="1684">
        <v>1330161.01</v>
      </c>
      <c r="CF210" s="1684">
        <v>1113699.3899999999</v>
      </c>
      <c r="CG210" s="1684">
        <v>83.73</v>
      </c>
      <c r="CH210" s="1684">
        <v>216461.62</v>
      </c>
      <c r="CI210" s="1684">
        <v>16.27</v>
      </c>
      <c r="CJ210" s="1684">
        <v>1330161.01</v>
      </c>
      <c r="CK210" s="1684">
        <v>100</v>
      </c>
      <c r="CL210" s="1410"/>
      <c r="CM210" s="1682"/>
      <c r="CN210" s="1400"/>
      <c r="CO210" s="1326"/>
      <c r="CP210" s="1682"/>
      <c r="CQ210" s="1684">
        <v>1113699.3899999999</v>
      </c>
      <c r="CR210" s="1684">
        <v>1113699.3899999999</v>
      </c>
      <c r="CS210" s="1684">
        <v>0</v>
      </c>
      <c r="CT210" s="1326"/>
      <c r="CU210" s="1682"/>
      <c r="CV210" s="1684">
        <v>1330161.01</v>
      </c>
      <c r="CW210" s="1684">
        <v>0</v>
      </c>
      <c r="CX210" s="1684">
        <v>0</v>
      </c>
      <c r="CY210" s="1684">
        <v>0</v>
      </c>
      <c r="CZ210" s="1684">
        <v>0</v>
      </c>
      <c r="DA210" s="1684">
        <v>1330121.08</v>
      </c>
      <c r="DB210" s="1684">
        <v>39.93</v>
      </c>
      <c r="DC210" s="1684">
        <v>0</v>
      </c>
      <c r="DD210" s="1684">
        <v>1330161.01</v>
      </c>
      <c r="DE210" s="1684">
        <v>1113699.3899999999</v>
      </c>
      <c r="DF210" s="1684">
        <v>1113699.3899999999</v>
      </c>
      <c r="DG210" s="1684">
        <v>0</v>
      </c>
      <c r="DH210" s="1684">
        <v>216461.62</v>
      </c>
      <c r="DI210" s="1684">
        <v>216461.62</v>
      </c>
      <c r="DJ210" s="1684">
        <v>0</v>
      </c>
      <c r="DK210" s="1684">
        <v>216461.62</v>
      </c>
      <c r="DL210" s="1684">
        <v>0</v>
      </c>
      <c r="DM210" s="1684">
        <v>0</v>
      </c>
      <c r="DN210" s="1684">
        <v>0</v>
      </c>
      <c r="DO210" s="1684">
        <v>0</v>
      </c>
      <c r="DP210" s="1684">
        <v>0</v>
      </c>
      <c r="DQ210" s="1326"/>
      <c r="DR210" s="1400"/>
      <c r="DS210" s="1326"/>
      <c r="DT210" s="1682"/>
      <c r="DU210" s="1326"/>
      <c r="DV210" s="1682"/>
    </row>
    <row r="211" spans="1:126" ht="22.5">
      <c r="A211" s="1326" t="s">
        <v>2536</v>
      </c>
      <c r="B211" s="1326" t="s">
        <v>1690</v>
      </c>
      <c r="C211" s="1326" t="s">
        <v>2537</v>
      </c>
      <c r="D211" s="1326" t="s">
        <v>2538</v>
      </c>
      <c r="E211" s="1326" t="s">
        <v>269</v>
      </c>
      <c r="F211" s="1326" t="s">
        <v>273</v>
      </c>
      <c r="G211" s="1326"/>
      <c r="H211" s="1326"/>
      <c r="I211" s="1326"/>
      <c r="J211" s="1326"/>
      <c r="K211" s="1682"/>
      <c r="L211" s="1682"/>
      <c r="M211" s="1326"/>
      <c r="N211" s="1326"/>
      <c r="O211" s="1326"/>
      <c r="P211" s="1326"/>
      <c r="Q211" s="1326"/>
      <c r="R211" s="1326"/>
      <c r="S211" s="1326"/>
      <c r="T211" s="1326"/>
      <c r="U211" s="1326"/>
      <c r="V211" s="1326"/>
      <c r="W211" s="1326"/>
      <c r="X211" s="1326"/>
      <c r="Y211" s="1326"/>
      <c r="Z211" s="1326"/>
      <c r="AA211" s="1326"/>
      <c r="AB211" s="1326"/>
      <c r="AC211" s="1326"/>
      <c r="AD211" s="1326"/>
      <c r="AE211" s="1326"/>
      <c r="AF211" s="1326"/>
      <c r="AG211" s="1326"/>
      <c r="AH211" s="1326"/>
      <c r="AI211" s="1326"/>
      <c r="AJ211" s="1326"/>
      <c r="AK211" s="1326"/>
      <c r="AL211" s="1326"/>
      <c r="AM211" s="1400"/>
      <c r="AN211" s="1326"/>
      <c r="AO211" s="1326"/>
      <c r="AP211" s="1326"/>
      <c r="AQ211" s="1326"/>
      <c r="AR211" s="1326"/>
      <c r="AS211" s="1326"/>
      <c r="AT211" s="1326"/>
      <c r="AU211" s="1326"/>
      <c r="AV211" s="1326"/>
      <c r="AW211" s="1326"/>
      <c r="AX211" s="1326"/>
      <c r="AY211" s="1326"/>
      <c r="AZ211" s="1326"/>
      <c r="BA211" s="1326"/>
      <c r="BB211" s="1326"/>
      <c r="BC211" s="1326"/>
      <c r="BD211" s="1326"/>
      <c r="BE211" s="1326"/>
      <c r="BF211" s="1326"/>
      <c r="BG211" s="1326"/>
      <c r="BH211" s="1326"/>
      <c r="BI211" s="1326"/>
      <c r="BJ211" s="1326"/>
      <c r="BK211" s="1326"/>
      <c r="BL211" s="1326"/>
      <c r="BM211" s="1326"/>
      <c r="BN211" s="1400"/>
      <c r="BO211" s="1682"/>
      <c r="BP211" s="1682"/>
      <c r="BQ211" s="1326"/>
      <c r="BR211" s="1682"/>
      <c r="BS211" s="1326"/>
      <c r="BT211" s="1326"/>
      <c r="BU211" s="1400"/>
      <c r="BV211" s="1683">
        <v>0</v>
      </c>
      <c r="BW211" s="1682"/>
      <c r="BX211" s="1682"/>
      <c r="BY211" s="1326"/>
      <c r="BZ211" s="1326"/>
      <c r="CA211" s="1326"/>
      <c r="CB211" s="1326"/>
      <c r="CC211" s="1326"/>
      <c r="CD211" s="1684">
        <v>1330161.01</v>
      </c>
      <c r="CE211" s="1684">
        <v>1330161.01</v>
      </c>
      <c r="CF211" s="1684">
        <v>1113699.3899999999</v>
      </c>
      <c r="CG211" s="1684">
        <v>83.73</v>
      </c>
      <c r="CH211" s="1684">
        <v>216461.62</v>
      </c>
      <c r="CI211" s="1684">
        <v>16.27</v>
      </c>
      <c r="CJ211" s="1684">
        <v>1330161.01</v>
      </c>
      <c r="CK211" s="1684">
        <v>100</v>
      </c>
      <c r="CL211" s="1410"/>
      <c r="CM211" s="1682"/>
      <c r="CN211" s="1400"/>
      <c r="CO211" s="1326"/>
      <c r="CP211" s="1682"/>
      <c r="CQ211" s="1684">
        <v>1113699.3899999999</v>
      </c>
      <c r="CR211" s="1684">
        <v>1113699.3899999999</v>
      </c>
      <c r="CS211" s="1684">
        <v>0</v>
      </c>
      <c r="CT211" s="1326"/>
      <c r="CU211" s="1682"/>
      <c r="CV211" s="1684">
        <v>1330161.01</v>
      </c>
      <c r="CW211" s="1684">
        <v>0</v>
      </c>
      <c r="CX211" s="1684">
        <v>0</v>
      </c>
      <c r="CY211" s="1684">
        <v>0</v>
      </c>
      <c r="CZ211" s="1684">
        <v>0</v>
      </c>
      <c r="DA211" s="1684">
        <v>1330121.08</v>
      </c>
      <c r="DB211" s="1684">
        <v>39.93</v>
      </c>
      <c r="DC211" s="1684">
        <v>0</v>
      </c>
      <c r="DD211" s="1684">
        <v>1330161.01</v>
      </c>
      <c r="DE211" s="1684">
        <v>1113699.3899999999</v>
      </c>
      <c r="DF211" s="1684">
        <v>1113699.3899999999</v>
      </c>
      <c r="DG211" s="1684">
        <v>0</v>
      </c>
      <c r="DH211" s="1684">
        <v>216461.62</v>
      </c>
      <c r="DI211" s="1684">
        <v>216461.62</v>
      </c>
      <c r="DJ211" s="1684">
        <v>0</v>
      </c>
      <c r="DK211" s="1684">
        <v>216461.62</v>
      </c>
      <c r="DL211" s="1684">
        <v>0</v>
      </c>
      <c r="DM211" s="1684">
        <v>0</v>
      </c>
      <c r="DN211" s="1684">
        <v>0</v>
      </c>
      <c r="DO211" s="1684">
        <v>0</v>
      </c>
      <c r="DP211" s="1684">
        <v>0</v>
      </c>
      <c r="DQ211" s="1326"/>
      <c r="DR211" s="1400"/>
      <c r="DS211" s="1326"/>
      <c r="DT211" s="1682"/>
      <c r="DU211" s="1326"/>
      <c r="DV211" s="1682"/>
    </row>
    <row r="212" spans="1:126" ht="78.75">
      <c r="A212" s="1326" t="s">
        <v>2025</v>
      </c>
      <c r="B212" s="1326" t="s">
        <v>1690</v>
      </c>
      <c r="C212" s="1326" t="s">
        <v>2537</v>
      </c>
      <c r="D212" s="1326" t="s">
        <v>2538</v>
      </c>
      <c r="E212" s="1326" t="s">
        <v>269</v>
      </c>
      <c r="F212" s="1326" t="s">
        <v>273</v>
      </c>
      <c r="G212" s="1326" t="s">
        <v>2539</v>
      </c>
      <c r="H212" s="1326" t="s">
        <v>2540</v>
      </c>
      <c r="I212" s="1326" t="s">
        <v>2541</v>
      </c>
      <c r="J212" s="1326" t="s">
        <v>3920</v>
      </c>
      <c r="K212" s="1685">
        <v>42669</v>
      </c>
      <c r="L212" s="1685">
        <v>42726</v>
      </c>
      <c r="M212" s="1326" t="s">
        <v>3921</v>
      </c>
      <c r="N212" s="1326" t="s">
        <v>2137</v>
      </c>
      <c r="O212" s="1326" t="s">
        <v>3970</v>
      </c>
      <c r="P212" s="1326" t="s">
        <v>2757</v>
      </c>
      <c r="Q212" s="1326" t="s">
        <v>1707</v>
      </c>
      <c r="R212" s="1326" t="s">
        <v>2757</v>
      </c>
      <c r="S212" s="1326" t="s">
        <v>2757</v>
      </c>
      <c r="T212" s="1326"/>
      <c r="U212" s="1326" t="s">
        <v>3128</v>
      </c>
      <c r="V212" s="1326" t="s">
        <v>2757</v>
      </c>
      <c r="W212" s="1326" t="s">
        <v>2757</v>
      </c>
      <c r="X212" s="1326"/>
      <c r="Y212" s="1326" t="s">
        <v>2757</v>
      </c>
      <c r="Z212" s="1326"/>
      <c r="AA212" s="1326"/>
      <c r="AB212" s="1326" t="s">
        <v>2757</v>
      </c>
      <c r="AC212" s="1326" t="s">
        <v>2757</v>
      </c>
      <c r="AD212" s="1326" t="s">
        <v>2757</v>
      </c>
      <c r="AE212" s="1326"/>
      <c r="AF212" s="1326" t="s">
        <v>2789</v>
      </c>
      <c r="AG212" s="1326" t="s">
        <v>2790</v>
      </c>
      <c r="AH212" s="1326" t="s">
        <v>2791</v>
      </c>
      <c r="AI212" s="1326" t="s">
        <v>2762</v>
      </c>
      <c r="AJ212" s="1326" t="s">
        <v>2763</v>
      </c>
      <c r="AK212" s="1326" t="s">
        <v>2792</v>
      </c>
      <c r="AL212" s="1326" t="s">
        <v>2793</v>
      </c>
      <c r="AM212" s="1683">
        <v>100</v>
      </c>
      <c r="AN212" s="1326"/>
      <c r="AO212" s="1326"/>
      <c r="AP212" s="1326"/>
      <c r="AQ212" s="1326"/>
      <c r="AR212" s="1326"/>
      <c r="AS212" s="1326"/>
      <c r="AT212" s="1326" t="s">
        <v>2766</v>
      </c>
      <c r="AU212" s="1326" t="s">
        <v>2766</v>
      </c>
      <c r="AV212" s="1326" t="s">
        <v>2796</v>
      </c>
      <c r="AW212" s="1326"/>
      <c r="AX212" s="1326" t="s">
        <v>2909</v>
      </c>
      <c r="AY212" s="1326" t="s">
        <v>3084</v>
      </c>
      <c r="AZ212" s="1326" t="s">
        <v>3971</v>
      </c>
      <c r="BA212" s="1326" t="s">
        <v>3972</v>
      </c>
      <c r="BB212" s="1326" t="s">
        <v>2757</v>
      </c>
      <c r="BC212" s="1326" t="s">
        <v>2800</v>
      </c>
      <c r="BD212" s="1326" t="s">
        <v>2773</v>
      </c>
      <c r="BE212" s="1326" t="s">
        <v>3973</v>
      </c>
      <c r="BF212" s="1326" t="s">
        <v>3974</v>
      </c>
      <c r="BG212" s="1326" t="s">
        <v>3975</v>
      </c>
      <c r="BH212" s="1326" t="s">
        <v>2804</v>
      </c>
      <c r="BI212" s="1326" t="s">
        <v>3090</v>
      </c>
      <c r="BJ212" s="1326" t="s">
        <v>3976</v>
      </c>
      <c r="BK212" s="1326" t="s">
        <v>2766</v>
      </c>
      <c r="BL212" s="1326" t="s">
        <v>2757</v>
      </c>
      <c r="BM212" s="1326" t="s">
        <v>2757</v>
      </c>
      <c r="BN212" s="1683">
        <v>0</v>
      </c>
      <c r="BO212" s="1685">
        <v>42569</v>
      </c>
      <c r="BP212" s="1685">
        <v>43069</v>
      </c>
      <c r="BQ212" s="1326" t="s">
        <v>2779</v>
      </c>
      <c r="BR212" s="1685">
        <v>45657</v>
      </c>
      <c r="BS212" s="1326" t="s">
        <v>2807</v>
      </c>
      <c r="BT212" s="1326" t="s">
        <v>3977</v>
      </c>
      <c r="BU212" s="1683">
        <v>0</v>
      </c>
      <c r="BV212" s="1683">
        <v>0</v>
      </c>
      <c r="BW212" s="1685">
        <v>43102</v>
      </c>
      <c r="BX212" s="1685">
        <v>43028</v>
      </c>
      <c r="BY212" s="1326" t="s">
        <v>2052</v>
      </c>
      <c r="BZ212" s="1326" t="s">
        <v>2783</v>
      </c>
      <c r="CA212" s="1326" t="s">
        <v>2783</v>
      </c>
      <c r="CB212" s="1326" t="s">
        <v>2783</v>
      </c>
      <c r="CC212" s="1326" t="s">
        <v>2809</v>
      </c>
      <c r="CD212" s="1684">
        <v>14750</v>
      </c>
      <c r="CE212" s="1684">
        <v>14750</v>
      </c>
      <c r="CF212" s="1684">
        <v>12537.5</v>
      </c>
      <c r="CG212" s="1684">
        <v>85</v>
      </c>
      <c r="CH212" s="1684">
        <v>2212.5</v>
      </c>
      <c r="CI212" s="1684">
        <v>15</v>
      </c>
      <c r="CJ212" s="1684">
        <v>14750</v>
      </c>
      <c r="CK212" s="1684">
        <v>100</v>
      </c>
      <c r="CL212" s="1410" t="s">
        <v>2785</v>
      </c>
      <c r="CM212" s="1686">
        <v>42703</v>
      </c>
      <c r="CN212" s="1400"/>
      <c r="CO212" s="1326"/>
      <c r="CP212" s="1682"/>
      <c r="CQ212" s="1684">
        <v>12537.5</v>
      </c>
      <c r="CR212" s="1684">
        <v>12537.5</v>
      </c>
      <c r="CS212" s="1684">
        <v>0</v>
      </c>
      <c r="CT212" s="1326" t="s">
        <v>2785</v>
      </c>
      <c r="CU212" s="1686">
        <v>42716</v>
      </c>
      <c r="CV212" s="1684">
        <v>14750</v>
      </c>
      <c r="CW212" s="1684">
        <v>0</v>
      </c>
      <c r="CX212" s="1684">
        <v>0</v>
      </c>
      <c r="CY212" s="1684">
        <v>0</v>
      </c>
      <c r="CZ212" s="1684">
        <v>0</v>
      </c>
      <c r="DA212" s="1684">
        <v>14750</v>
      </c>
      <c r="DB212" s="1684">
        <v>0</v>
      </c>
      <c r="DC212" s="1684">
        <v>0</v>
      </c>
      <c r="DD212" s="1684">
        <v>14750</v>
      </c>
      <c r="DE212" s="1684">
        <v>12537.5</v>
      </c>
      <c r="DF212" s="1684">
        <v>12537.5</v>
      </c>
      <c r="DG212" s="1684">
        <v>0</v>
      </c>
      <c r="DH212" s="1684">
        <v>2212.5</v>
      </c>
      <c r="DI212" s="1684">
        <v>2212.5</v>
      </c>
      <c r="DJ212" s="1684">
        <v>0</v>
      </c>
      <c r="DK212" s="1684">
        <v>2212.5</v>
      </c>
      <c r="DL212" s="1684">
        <v>0</v>
      </c>
      <c r="DM212" s="1684">
        <v>0</v>
      </c>
      <c r="DN212" s="1684">
        <v>0</v>
      </c>
      <c r="DO212" s="1684">
        <v>0</v>
      </c>
      <c r="DP212" s="1684">
        <v>0</v>
      </c>
      <c r="DQ212" s="1326"/>
      <c r="DR212" s="1684">
        <v>0</v>
      </c>
      <c r="DS212" s="1326" t="s">
        <v>2757</v>
      </c>
      <c r="DT212" s="1682"/>
      <c r="DU212" s="1326" t="s">
        <v>2757</v>
      </c>
      <c r="DV212" s="1682"/>
    </row>
    <row r="213" spans="1:126" ht="78.75">
      <c r="A213" s="1326" t="s">
        <v>2072</v>
      </c>
      <c r="B213" s="1326" t="s">
        <v>1690</v>
      </c>
      <c r="C213" s="1326" t="s">
        <v>2537</v>
      </c>
      <c r="D213" s="1326" t="s">
        <v>2538</v>
      </c>
      <c r="E213" s="1326" t="s">
        <v>269</v>
      </c>
      <c r="F213" s="1326" t="s">
        <v>273</v>
      </c>
      <c r="G213" s="1326" t="s">
        <v>2539</v>
      </c>
      <c r="H213" s="1326" t="s">
        <v>2540</v>
      </c>
      <c r="I213" s="1326" t="s">
        <v>2541</v>
      </c>
      <c r="J213" s="1326" t="s">
        <v>3923</v>
      </c>
      <c r="K213" s="1685">
        <v>42671</v>
      </c>
      <c r="L213" s="1685">
        <v>42732</v>
      </c>
      <c r="M213" s="1326" t="s">
        <v>3924</v>
      </c>
      <c r="N213" s="1326" t="s">
        <v>2137</v>
      </c>
      <c r="O213" s="1326" t="s">
        <v>3978</v>
      </c>
      <c r="P213" s="1326" t="s">
        <v>2757</v>
      </c>
      <c r="Q213" s="1326" t="s">
        <v>1707</v>
      </c>
      <c r="R213" s="1326" t="s">
        <v>2757</v>
      </c>
      <c r="S213" s="1326" t="s">
        <v>2757</v>
      </c>
      <c r="T213" s="1326"/>
      <c r="U213" s="1326" t="s">
        <v>3128</v>
      </c>
      <c r="V213" s="1326" t="s">
        <v>2757</v>
      </c>
      <c r="W213" s="1326" t="s">
        <v>2757</v>
      </c>
      <c r="X213" s="1326"/>
      <c r="Y213" s="1326" t="s">
        <v>2757</v>
      </c>
      <c r="Z213" s="1326"/>
      <c r="AA213" s="1326"/>
      <c r="AB213" s="1326" t="s">
        <v>2757</v>
      </c>
      <c r="AC213" s="1326" t="s">
        <v>2757</v>
      </c>
      <c r="AD213" s="1326" t="s">
        <v>2757</v>
      </c>
      <c r="AE213" s="1326"/>
      <c r="AF213" s="1326" t="s">
        <v>2789</v>
      </c>
      <c r="AG213" s="1326" t="s">
        <v>2790</v>
      </c>
      <c r="AH213" s="1326" t="s">
        <v>2791</v>
      </c>
      <c r="AI213" s="1326" t="s">
        <v>2762</v>
      </c>
      <c r="AJ213" s="1326" t="s">
        <v>2763</v>
      </c>
      <c r="AK213" s="1326" t="s">
        <v>2792</v>
      </c>
      <c r="AL213" s="1326" t="s">
        <v>2793</v>
      </c>
      <c r="AM213" s="1683">
        <v>100</v>
      </c>
      <c r="AN213" s="1326"/>
      <c r="AO213" s="1326"/>
      <c r="AP213" s="1326"/>
      <c r="AQ213" s="1326"/>
      <c r="AR213" s="1326"/>
      <c r="AS213" s="1326"/>
      <c r="AT213" s="1326" t="s">
        <v>2880</v>
      </c>
      <c r="AU213" s="1326" t="s">
        <v>2766</v>
      </c>
      <c r="AV213" s="1326" t="s">
        <v>2796</v>
      </c>
      <c r="AW213" s="1326"/>
      <c r="AX213" s="1326" t="s">
        <v>2909</v>
      </c>
      <c r="AY213" s="1326" t="s">
        <v>3979</v>
      </c>
      <c r="AZ213" s="1326" t="s">
        <v>3980</v>
      </c>
      <c r="BA213" s="1326" t="s">
        <v>3981</v>
      </c>
      <c r="BB213" s="1326" t="s">
        <v>2757</v>
      </c>
      <c r="BC213" s="1326" t="s">
        <v>2800</v>
      </c>
      <c r="BD213" s="1326" t="s">
        <v>2773</v>
      </c>
      <c r="BE213" s="1326" t="s">
        <v>3982</v>
      </c>
      <c r="BF213" s="1326" t="s">
        <v>3983</v>
      </c>
      <c r="BG213" s="1326" t="s">
        <v>3984</v>
      </c>
      <c r="BH213" s="1326" t="s">
        <v>2804</v>
      </c>
      <c r="BI213" s="1326" t="s">
        <v>3985</v>
      </c>
      <c r="BJ213" s="1326" t="s">
        <v>3986</v>
      </c>
      <c r="BK213" s="1326" t="s">
        <v>2880</v>
      </c>
      <c r="BL213" s="1326" t="s">
        <v>2757</v>
      </c>
      <c r="BM213" s="1326" t="s">
        <v>2757</v>
      </c>
      <c r="BN213" s="1683">
        <v>0</v>
      </c>
      <c r="BO213" s="1685">
        <v>42614</v>
      </c>
      <c r="BP213" s="1685">
        <v>43069</v>
      </c>
      <c r="BQ213" s="1326" t="s">
        <v>2779</v>
      </c>
      <c r="BR213" s="1685">
        <v>45657</v>
      </c>
      <c r="BS213" s="1326" t="s">
        <v>3987</v>
      </c>
      <c r="BT213" s="1326" t="s">
        <v>3988</v>
      </c>
      <c r="BU213" s="1683">
        <v>0</v>
      </c>
      <c r="BV213" s="1683">
        <v>0</v>
      </c>
      <c r="BW213" s="1685">
        <v>43102</v>
      </c>
      <c r="BX213" s="1685">
        <v>43098</v>
      </c>
      <c r="BY213" s="1326" t="s">
        <v>2052</v>
      </c>
      <c r="BZ213" s="1326" t="s">
        <v>2783</v>
      </c>
      <c r="CA213" s="1326" t="s">
        <v>2783</v>
      </c>
      <c r="CB213" s="1326" t="s">
        <v>2783</v>
      </c>
      <c r="CC213" s="1326" t="s">
        <v>2809</v>
      </c>
      <c r="CD213" s="1684">
        <v>15700</v>
      </c>
      <c r="CE213" s="1684">
        <v>15700</v>
      </c>
      <c r="CF213" s="1684">
        <v>13345</v>
      </c>
      <c r="CG213" s="1684">
        <v>85</v>
      </c>
      <c r="CH213" s="1684">
        <v>2355</v>
      </c>
      <c r="CI213" s="1684">
        <v>15</v>
      </c>
      <c r="CJ213" s="1684">
        <v>15700</v>
      </c>
      <c r="CK213" s="1684">
        <v>100</v>
      </c>
      <c r="CL213" s="1410" t="s">
        <v>2785</v>
      </c>
      <c r="CM213" s="1686">
        <v>42706</v>
      </c>
      <c r="CN213" s="1400"/>
      <c r="CO213" s="1326"/>
      <c r="CP213" s="1682"/>
      <c r="CQ213" s="1684">
        <v>13345</v>
      </c>
      <c r="CR213" s="1684">
        <v>13345</v>
      </c>
      <c r="CS213" s="1684">
        <v>0</v>
      </c>
      <c r="CT213" s="1326" t="s">
        <v>2785</v>
      </c>
      <c r="CU213" s="1686">
        <v>42716</v>
      </c>
      <c r="CV213" s="1684">
        <v>15700</v>
      </c>
      <c r="CW213" s="1684">
        <v>0</v>
      </c>
      <c r="CX213" s="1684">
        <v>0</v>
      </c>
      <c r="CY213" s="1684">
        <v>0</v>
      </c>
      <c r="CZ213" s="1684">
        <v>0</v>
      </c>
      <c r="DA213" s="1684">
        <v>15700</v>
      </c>
      <c r="DB213" s="1684">
        <v>0</v>
      </c>
      <c r="DC213" s="1684">
        <v>0</v>
      </c>
      <c r="DD213" s="1684">
        <v>15700</v>
      </c>
      <c r="DE213" s="1684">
        <v>13345</v>
      </c>
      <c r="DF213" s="1684">
        <v>13345</v>
      </c>
      <c r="DG213" s="1684">
        <v>0</v>
      </c>
      <c r="DH213" s="1684">
        <v>2355</v>
      </c>
      <c r="DI213" s="1684">
        <v>2355</v>
      </c>
      <c r="DJ213" s="1684">
        <v>0</v>
      </c>
      <c r="DK213" s="1684">
        <v>2355</v>
      </c>
      <c r="DL213" s="1684">
        <v>0</v>
      </c>
      <c r="DM213" s="1684">
        <v>0</v>
      </c>
      <c r="DN213" s="1684">
        <v>0</v>
      </c>
      <c r="DO213" s="1684">
        <v>0</v>
      </c>
      <c r="DP213" s="1684">
        <v>0</v>
      </c>
      <c r="DQ213" s="1326" t="s">
        <v>2810</v>
      </c>
      <c r="DR213" s="1684">
        <v>0</v>
      </c>
      <c r="DS213" s="1326" t="s">
        <v>2757</v>
      </c>
      <c r="DT213" s="1682"/>
      <c r="DU213" s="1326" t="s">
        <v>2757</v>
      </c>
      <c r="DV213" s="1682"/>
    </row>
    <row r="214" spans="1:126" ht="90">
      <c r="A214" s="1326" t="s">
        <v>2074</v>
      </c>
      <c r="B214" s="1326" t="s">
        <v>1690</v>
      </c>
      <c r="C214" s="1326" t="s">
        <v>2537</v>
      </c>
      <c r="D214" s="1326" t="s">
        <v>2538</v>
      </c>
      <c r="E214" s="1326" t="s">
        <v>269</v>
      </c>
      <c r="F214" s="1326" t="s">
        <v>273</v>
      </c>
      <c r="G214" s="1326" t="s">
        <v>2539</v>
      </c>
      <c r="H214" s="1326" t="s">
        <v>2540</v>
      </c>
      <c r="I214" s="1326" t="s">
        <v>2541</v>
      </c>
      <c r="J214" s="1326" t="s">
        <v>3926</v>
      </c>
      <c r="K214" s="1685">
        <v>42688</v>
      </c>
      <c r="L214" s="1685">
        <v>42758</v>
      </c>
      <c r="M214" s="1326" t="s">
        <v>3927</v>
      </c>
      <c r="N214" s="1326" t="s">
        <v>2137</v>
      </c>
      <c r="O214" s="1326" t="s">
        <v>3989</v>
      </c>
      <c r="P214" s="1326" t="s">
        <v>2757</v>
      </c>
      <c r="Q214" s="1326" t="s">
        <v>2025</v>
      </c>
      <c r="R214" s="1326" t="s">
        <v>2757</v>
      </c>
      <c r="S214" s="1326" t="s">
        <v>2757</v>
      </c>
      <c r="T214" s="1326"/>
      <c r="U214" s="1326" t="s">
        <v>3128</v>
      </c>
      <c r="V214" s="1326" t="s">
        <v>2785</v>
      </c>
      <c r="W214" s="1326" t="s">
        <v>2757</v>
      </c>
      <c r="X214" s="1326"/>
      <c r="Y214" s="1326" t="s">
        <v>2757</v>
      </c>
      <c r="Z214" s="1326"/>
      <c r="AA214" s="1326"/>
      <c r="AB214" s="1326" t="s">
        <v>2757</v>
      </c>
      <c r="AC214" s="1326" t="s">
        <v>2757</v>
      </c>
      <c r="AD214" s="1326" t="s">
        <v>2757</v>
      </c>
      <c r="AE214" s="1326"/>
      <c r="AF214" s="1326" t="s">
        <v>2789</v>
      </c>
      <c r="AG214" s="1326" t="s">
        <v>2790</v>
      </c>
      <c r="AH214" s="1326" t="s">
        <v>2791</v>
      </c>
      <c r="AI214" s="1326" t="s">
        <v>2762</v>
      </c>
      <c r="AJ214" s="1326" t="s">
        <v>2763</v>
      </c>
      <c r="AK214" s="1326" t="s">
        <v>2792</v>
      </c>
      <c r="AL214" s="1326" t="s">
        <v>2793</v>
      </c>
      <c r="AM214" s="1683">
        <v>100</v>
      </c>
      <c r="AN214" s="1326"/>
      <c r="AO214" s="1326"/>
      <c r="AP214" s="1326"/>
      <c r="AQ214" s="1326"/>
      <c r="AR214" s="1326"/>
      <c r="AS214" s="1326"/>
      <c r="AT214" s="1326" t="s">
        <v>2880</v>
      </c>
      <c r="AU214" s="1326" t="s">
        <v>2795</v>
      </c>
      <c r="AV214" s="1326" t="s">
        <v>2796</v>
      </c>
      <c r="AW214" s="1326"/>
      <c r="AX214" s="1326" t="s">
        <v>2909</v>
      </c>
      <c r="AY214" s="1326" t="s">
        <v>3084</v>
      </c>
      <c r="AZ214" s="1326" t="s">
        <v>3990</v>
      </c>
      <c r="BA214" s="1326" t="s">
        <v>3991</v>
      </c>
      <c r="BB214" s="1326" t="s">
        <v>2757</v>
      </c>
      <c r="BC214" s="1326" t="s">
        <v>2800</v>
      </c>
      <c r="BD214" s="1326" t="s">
        <v>2773</v>
      </c>
      <c r="BE214" s="1326" t="s">
        <v>3992</v>
      </c>
      <c r="BF214" s="1326" t="s">
        <v>3993</v>
      </c>
      <c r="BG214" s="1326" t="s">
        <v>3994</v>
      </c>
      <c r="BH214" s="1326" t="s">
        <v>2804</v>
      </c>
      <c r="BI214" s="1326" t="s">
        <v>3090</v>
      </c>
      <c r="BJ214" s="1326" t="s">
        <v>3995</v>
      </c>
      <c r="BK214" s="1326" t="s">
        <v>2880</v>
      </c>
      <c r="BL214" s="1326" t="s">
        <v>2757</v>
      </c>
      <c r="BM214" s="1326" t="s">
        <v>2757</v>
      </c>
      <c r="BN214" s="1683">
        <v>0</v>
      </c>
      <c r="BO214" s="1685">
        <v>42452</v>
      </c>
      <c r="BP214" s="1685">
        <v>42916</v>
      </c>
      <c r="BQ214" s="1326" t="s">
        <v>2779</v>
      </c>
      <c r="BR214" s="1685">
        <v>45291</v>
      </c>
      <c r="BS214" s="1326" t="s">
        <v>2911</v>
      </c>
      <c r="BT214" s="1326" t="s">
        <v>3996</v>
      </c>
      <c r="BU214" s="1683">
        <v>0</v>
      </c>
      <c r="BV214" s="1683">
        <v>0</v>
      </c>
      <c r="BW214" s="1685">
        <v>42947</v>
      </c>
      <c r="BX214" s="1685">
        <v>42956</v>
      </c>
      <c r="BY214" s="1326" t="s">
        <v>2052</v>
      </c>
      <c r="BZ214" s="1326" t="s">
        <v>2783</v>
      </c>
      <c r="CA214" s="1326" t="s">
        <v>2783</v>
      </c>
      <c r="CB214" s="1326" t="s">
        <v>2783</v>
      </c>
      <c r="CC214" s="1326" t="s">
        <v>2809</v>
      </c>
      <c r="CD214" s="1684">
        <v>17545</v>
      </c>
      <c r="CE214" s="1684">
        <v>17545</v>
      </c>
      <c r="CF214" s="1684">
        <v>14913.25</v>
      </c>
      <c r="CG214" s="1684">
        <v>85</v>
      </c>
      <c r="CH214" s="1684">
        <v>2631.75</v>
      </c>
      <c r="CI214" s="1684">
        <v>15</v>
      </c>
      <c r="CJ214" s="1684">
        <v>17545</v>
      </c>
      <c r="CK214" s="1684">
        <v>100</v>
      </c>
      <c r="CL214" s="1410" t="s">
        <v>2785</v>
      </c>
      <c r="CM214" s="1686">
        <v>42709</v>
      </c>
      <c r="CN214" s="1400"/>
      <c r="CO214" s="1326"/>
      <c r="CP214" s="1682"/>
      <c r="CQ214" s="1684">
        <v>14913.25</v>
      </c>
      <c r="CR214" s="1684">
        <v>14913.25</v>
      </c>
      <c r="CS214" s="1684">
        <v>0</v>
      </c>
      <c r="CT214" s="1326" t="s">
        <v>2785</v>
      </c>
      <c r="CU214" s="1686">
        <v>42739</v>
      </c>
      <c r="CV214" s="1684">
        <v>17545</v>
      </c>
      <c r="CW214" s="1684">
        <v>0</v>
      </c>
      <c r="CX214" s="1684">
        <v>0</v>
      </c>
      <c r="CY214" s="1684">
        <v>0</v>
      </c>
      <c r="CZ214" s="1684">
        <v>0</v>
      </c>
      <c r="DA214" s="1684">
        <v>17545</v>
      </c>
      <c r="DB214" s="1684">
        <v>0</v>
      </c>
      <c r="DC214" s="1684">
        <v>0</v>
      </c>
      <c r="DD214" s="1684">
        <v>17545</v>
      </c>
      <c r="DE214" s="1684">
        <v>14913.25</v>
      </c>
      <c r="DF214" s="1684">
        <v>14913.25</v>
      </c>
      <c r="DG214" s="1684">
        <v>0</v>
      </c>
      <c r="DH214" s="1684">
        <v>2631.75</v>
      </c>
      <c r="DI214" s="1684">
        <v>2631.75</v>
      </c>
      <c r="DJ214" s="1684">
        <v>0</v>
      </c>
      <c r="DK214" s="1684">
        <v>2631.75</v>
      </c>
      <c r="DL214" s="1684">
        <v>0</v>
      </c>
      <c r="DM214" s="1684">
        <v>0</v>
      </c>
      <c r="DN214" s="1684">
        <v>0</v>
      </c>
      <c r="DO214" s="1684">
        <v>0</v>
      </c>
      <c r="DP214" s="1684">
        <v>0</v>
      </c>
      <c r="DQ214" s="1326" t="s">
        <v>2810</v>
      </c>
      <c r="DR214" s="1684">
        <v>0</v>
      </c>
      <c r="DS214" s="1326" t="s">
        <v>2757</v>
      </c>
      <c r="DT214" s="1682"/>
      <c r="DU214" s="1326" t="s">
        <v>2757</v>
      </c>
      <c r="DV214" s="1682"/>
    </row>
    <row r="215" spans="1:126" ht="78.75">
      <c r="A215" s="1326" t="s">
        <v>2075</v>
      </c>
      <c r="B215" s="1326" t="s">
        <v>1690</v>
      </c>
      <c r="C215" s="1326" t="s">
        <v>2537</v>
      </c>
      <c r="D215" s="1326" t="s">
        <v>2538</v>
      </c>
      <c r="E215" s="1326" t="s">
        <v>269</v>
      </c>
      <c r="F215" s="1326" t="s">
        <v>273</v>
      </c>
      <c r="G215" s="1326" t="s">
        <v>2539</v>
      </c>
      <c r="H215" s="1326" t="s">
        <v>2540</v>
      </c>
      <c r="I215" s="1326" t="s">
        <v>2541</v>
      </c>
      <c r="J215" s="1326" t="s">
        <v>3929</v>
      </c>
      <c r="K215" s="1685">
        <v>42692</v>
      </c>
      <c r="L215" s="1685">
        <v>42759</v>
      </c>
      <c r="M215" s="1326" t="s">
        <v>3930</v>
      </c>
      <c r="N215" s="1326" t="s">
        <v>2137</v>
      </c>
      <c r="O215" s="1326" t="s">
        <v>3997</v>
      </c>
      <c r="P215" s="1326" t="s">
        <v>2757</v>
      </c>
      <c r="Q215" s="1326" t="s">
        <v>2075</v>
      </c>
      <c r="R215" s="1326" t="s">
        <v>2757</v>
      </c>
      <c r="S215" s="1326" t="s">
        <v>2757</v>
      </c>
      <c r="T215" s="1326"/>
      <c r="U215" s="1326" t="s">
        <v>3128</v>
      </c>
      <c r="V215" s="1326" t="s">
        <v>2785</v>
      </c>
      <c r="W215" s="1326" t="s">
        <v>2757</v>
      </c>
      <c r="X215" s="1326"/>
      <c r="Y215" s="1326" t="s">
        <v>2757</v>
      </c>
      <c r="Z215" s="1326"/>
      <c r="AA215" s="1326"/>
      <c r="AB215" s="1326" t="s">
        <v>2757</v>
      </c>
      <c r="AC215" s="1326" t="s">
        <v>2757</v>
      </c>
      <c r="AD215" s="1326" t="s">
        <v>2757</v>
      </c>
      <c r="AE215" s="1326"/>
      <c r="AF215" s="1326" t="s">
        <v>2789</v>
      </c>
      <c r="AG215" s="1326" t="s">
        <v>2790</v>
      </c>
      <c r="AH215" s="1326" t="s">
        <v>2791</v>
      </c>
      <c r="AI215" s="1326" t="s">
        <v>2762</v>
      </c>
      <c r="AJ215" s="1326" t="s">
        <v>2763</v>
      </c>
      <c r="AK215" s="1326" t="s">
        <v>2792</v>
      </c>
      <c r="AL215" s="1326" t="s">
        <v>2793</v>
      </c>
      <c r="AM215" s="1683">
        <v>100</v>
      </c>
      <c r="AN215" s="1326"/>
      <c r="AO215" s="1326"/>
      <c r="AP215" s="1326"/>
      <c r="AQ215" s="1326"/>
      <c r="AR215" s="1326"/>
      <c r="AS215" s="1326"/>
      <c r="AT215" s="1326" t="s">
        <v>2880</v>
      </c>
      <c r="AU215" s="1326" t="s">
        <v>2795</v>
      </c>
      <c r="AV215" s="1326" t="s">
        <v>2796</v>
      </c>
      <c r="AW215" s="1326"/>
      <c r="AX215" s="1326" t="s">
        <v>2909</v>
      </c>
      <c r="AY215" s="1326" t="s">
        <v>3998</v>
      </c>
      <c r="AZ215" s="1326" t="s">
        <v>3999</v>
      </c>
      <c r="BA215" s="1326" t="s">
        <v>4000</v>
      </c>
      <c r="BB215" s="1326" t="s">
        <v>2757</v>
      </c>
      <c r="BC215" s="1326" t="s">
        <v>2800</v>
      </c>
      <c r="BD215" s="1326" t="s">
        <v>2773</v>
      </c>
      <c r="BE215" s="1326" t="s">
        <v>4001</v>
      </c>
      <c r="BF215" s="1326" t="s">
        <v>4002</v>
      </c>
      <c r="BG215" s="1326" t="s">
        <v>4003</v>
      </c>
      <c r="BH215" s="1326" t="s">
        <v>2804</v>
      </c>
      <c r="BI215" s="1326" t="s">
        <v>4004</v>
      </c>
      <c r="BJ215" s="1326" t="s">
        <v>4005</v>
      </c>
      <c r="BK215" s="1326" t="s">
        <v>2880</v>
      </c>
      <c r="BL215" s="1326" t="s">
        <v>2757</v>
      </c>
      <c r="BM215" s="1326" t="s">
        <v>2757</v>
      </c>
      <c r="BN215" s="1683">
        <v>0</v>
      </c>
      <c r="BO215" s="1685">
        <v>42551</v>
      </c>
      <c r="BP215" s="1685">
        <v>42979</v>
      </c>
      <c r="BQ215" s="1326" t="s">
        <v>2779</v>
      </c>
      <c r="BR215" s="1685">
        <v>45291</v>
      </c>
      <c r="BS215" s="1326" t="s">
        <v>2911</v>
      </c>
      <c r="BT215" s="1326" t="s">
        <v>4006</v>
      </c>
      <c r="BU215" s="1683">
        <v>0</v>
      </c>
      <c r="BV215" s="1683">
        <v>0</v>
      </c>
      <c r="BW215" s="1685">
        <v>43010</v>
      </c>
      <c r="BX215" s="1685">
        <v>43017</v>
      </c>
      <c r="BY215" s="1326" t="s">
        <v>2052</v>
      </c>
      <c r="BZ215" s="1326" t="s">
        <v>2783</v>
      </c>
      <c r="CA215" s="1326" t="s">
        <v>2783</v>
      </c>
      <c r="CB215" s="1326" t="s">
        <v>2783</v>
      </c>
      <c r="CC215" s="1326" t="s">
        <v>2809</v>
      </c>
      <c r="CD215" s="1684">
        <v>11900</v>
      </c>
      <c r="CE215" s="1684">
        <v>11900</v>
      </c>
      <c r="CF215" s="1684">
        <v>10115</v>
      </c>
      <c r="CG215" s="1684">
        <v>85</v>
      </c>
      <c r="CH215" s="1684">
        <v>1785</v>
      </c>
      <c r="CI215" s="1684">
        <v>15</v>
      </c>
      <c r="CJ215" s="1684">
        <v>11900</v>
      </c>
      <c r="CK215" s="1684">
        <v>100</v>
      </c>
      <c r="CL215" s="1410" t="s">
        <v>2785</v>
      </c>
      <c r="CM215" s="1686">
        <v>42706</v>
      </c>
      <c r="CN215" s="1400"/>
      <c r="CO215" s="1326"/>
      <c r="CP215" s="1682"/>
      <c r="CQ215" s="1684">
        <v>10115</v>
      </c>
      <c r="CR215" s="1684">
        <v>10115</v>
      </c>
      <c r="CS215" s="1684">
        <v>0</v>
      </c>
      <c r="CT215" s="1326" t="s">
        <v>2785</v>
      </c>
      <c r="CU215" s="1686">
        <v>42739</v>
      </c>
      <c r="CV215" s="1684">
        <v>11900</v>
      </c>
      <c r="CW215" s="1684">
        <v>0</v>
      </c>
      <c r="CX215" s="1684">
        <v>0</v>
      </c>
      <c r="CY215" s="1684">
        <v>0</v>
      </c>
      <c r="CZ215" s="1684">
        <v>0</v>
      </c>
      <c r="DA215" s="1684">
        <v>11900</v>
      </c>
      <c r="DB215" s="1684">
        <v>0</v>
      </c>
      <c r="DC215" s="1684">
        <v>0</v>
      </c>
      <c r="DD215" s="1684">
        <v>11900</v>
      </c>
      <c r="DE215" s="1684">
        <v>10115</v>
      </c>
      <c r="DF215" s="1684">
        <v>10115</v>
      </c>
      <c r="DG215" s="1684">
        <v>0</v>
      </c>
      <c r="DH215" s="1684">
        <v>1785</v>
      </c>
      <c r="DI215" s="1684">
        <v>1785</v>
      </c>
      <c r="DJ215" s="1684">
        <v>0</v>
      </c>
      <c r="DK215" s="1684">
        <v>1785</v>
      </c>
      <c r="DL215" s="1684">
        <v>0</v>
      </c>
      <c r="DM215" s="1684">
        <v>0</v>
      </c>
      <c r="DN215" s="1684">
        <v>0</v>
      </c>
      <c r="DO215" s="1684">
        <v>0</v>
      </c>
      <c r="DP215" s="1684">
        <v>0</v>
      </c>
      <c r="DQ215" s="1326" t="s">
        <v>2810</v>
      </c>
      <c r="DR215" s="1684">
        <v>0</v>
      </c>
      <c r="DS215" s="1326" t="s">
        <v>2757</v>
      </c>
      <c r="DT215" s="1682"/>
      <c r="DU215" s="1326" t="s">
        <v>2757</v>
      </c>
      <c r="DV215" s="1682"/>
    </row>
    <row r="216" spans="1:126" ht="78.75">
      <c r="A216" s="1326" t="s">
        <v>2026</v>
      </c>
      <c r="B216" s="1326" t="s">
        <v>1690</v>
      </c>
      <c r="C216" s="1326" t="s">
        <v>2537</v>
      </c>
      <c r="D216" s="1326" t="s">
        <v>2538</v>
      </c>
      <c r="E216" s="1326" t="s">
        <v>269</v>
      </c>
      <c r="F216" s="1326" t="s">
        <v>273</v>
      </c>
      <c r="G216" s="1326" t="s">
        <v>2539</v>
      </c>
      <c r="H216" s="1326" t="s">
        <v>2540</v>
      </c>
      <c r="I216" s="1326" t="s">
        <v>2541</v>
      </c>
      <c r="J216" s="1326" t="s">
        <v>3932</v>
      </c>
      <c r="K216" s="1685">
        <v>42704</v>
      </c>
      <c r="L216" s="1685">
        <v>42810</v>
      </c>
      <c r="M216" s="1326" t="s">
        <v>3933</v>
      </c>
      <c r="N216" s="1326" t="s">
        <v>2137</v>
      </c>
      <c r="O216" s="1326" t="s">
        <v>4007</v>
      </c>
      <c r="P216" s="1326" t="s">
        <v>2757</v>
      </c>
      <c r="Q216" s="1326" t="s">
        <v>1711</v>
      </c>
      <c r="R216" s="1326" t="s">
        <v>2757</v>
      </c>
      <c r="S216" s="1326" t="s">
        <v>2757</v>
      </c>
      <c r="T216" s="1326"/>
      <c r="U216" s="1326" t="s">
        <v>3128</v>
      </c>
      <c r="V216" s="1326" t="s">
        <v>2785</v>
      </c>
      <c r="W216" s="1326" t="s">
        <v>2757</v>
      </c>
      <c r="X216" s="1326"/>
      <c r="Y216" s="1326" t="s">
        <v>2757</v>
      </c>
      <c r="Z216" s="1326"/>
      <c r="AA216" s="1326"/>
      <c r="AB216" s="1326" t="s">
        <v>2757</v>
      </c>
      <c r="AC216" s="1326" t="s">
        <v>2757</v>
      </c>
      <c r="AD216" s="1326" t="s">
        <v>2757</v>
      </c>
      <c r="AE216" s="1326"/>
      <c r="AF216" s="1326" t="s">
        <v>2789</v>
      </c>
      <c r="AG216" s="1326" t="s">
        <v>2790</v>
      </c>
      <c r="AH216" s="1326" t="s">
        <v>2791</v>
      </c>
      <c r="AI216" s="1326" t="s">
        <v>2762</v>
      </c>
      <c r="AJ216" s="1326" t="s">
        <v>2763</v>
      </c>
      <c r="AK216" s="1326" t="s">
        <v>2792</v>
      </c>
      <c r="AL216" s="1326" t="s">
        <v>2793</v>
      </c>
      <c r="AM216" s="1683">
        <v>100</v>
      </c>
      <c r="AN216" s="1326"/>
      <c r="AO216" s="1326"/>
      <c r="AP216" s="1326"/>
      <c r="AQ216" s="1326"/>
      <c r="AR216" s="1326"/>
      <c r="AS216" s="1326"/>
      <c r="AT216" s="1326" t="s">
        <v>2880</v>
      </c>
      <c r="AU216" s="1326" t="s">
        <v>2795</v>
      </c>
      <c r="AV216" s="1326" t="s">
        <v>2796</v>
      </c>
      <c r="AW216" s="1326"/>
      <c r="AX216" s="1326" t="s">
        <v>2909</v>
      </c>
      <c r="AY216" s="1326" t="s">
        <v>4008</v>
      </c>
      <c r="AZ216" s="1326" t="s">
        <v>4009</v>
      </c>
      <c r="BA216" s="1326" t="s">
        <v>4010</v>
      </c>
      <c r="BB216" s="1326" t="s">
        <v>2757</v>
      </c>
      <c r="BC216" s="1326" t="s">
        <v>2800</v>
      </c>
      <c r="BD216" s="1326" t="s">
        <v>2773</v>
      </c>
      <c r="BE216" s="1326" t="s">
        <v>4011</v>
      </c>
      <c r="BF216" s="1326" t="s">
        <v>4012</v>
      </c>
      <c r="BG216" s="1326" t="s">
        <v>4013</v>
      </c>
      <c r="BH216" s="1326" t="s">
        <v>2804</v>
      </c>
      <c r="BI216" s="1326" t="s">
        <v>4014</v>
      </c>
      <c r="BJ216" s="1326" t="s">
        <v>4015</v>
      </c>
      <c r="BK216" s="1326" t="s">
        <v>2880</v>
      </c>
      <c r="BL216" s="1326" t="s">
        <v>2757</v>
      </c>
      <c r="BM216" s="1326" t="s">
        <v>2757</v>
      </c>
      <c r="BN216" s="1683">
        <v>0</v>
      </c>
      <c r="BO216" s="1685">
        <v>42695</v>
      </c>
      <c r="BP216" s="1685">
        <v>43251</v>
      </c>
      <c r="BQ216" s="1326" t="s">
        <v>2779</v>
      </c>
      <c r="BR216" s="1685">
        <v>45657</v>
      </c>
      <c r="BS216" s="1326" t="s">
        <v>2911</v>
      </c>
      <c r="BT216" s="1326" t="s">
        <v>4016</v>
      </c>
      <c r="BU216" s="1683">
        <v>0</v>
      </c>
      <c r="BV216" s="1683">
        <v>0</v>
      </c>
      <c r="BW216" s="1685">
        <v>43283</v>
      </c>
      <c r="BX216" s="1685">
        <v>43375</v>
      </c>
      <c r="BY216" s="1326" t="s">
        <v>2424</v>
      </c>
      <c r="BZ216" s="1326" t="s">
        <v>2783</v>
      </c>
      <c r="CA216" s="1326" t="s">
        <v>2783</v>
      </c>
      <c r="CB216" s="1326" t="s">
        <v>2783</v>
      </c>
      <c r="CC216" s="1326" t="s">
        <v>2809</v>
      </c>
      <c r="CD216" s="1684">
        <v>41745</v>
      </c>
      <c r="CE216" s="1684">
        <v>41745</v>
      </c>
      <c r="CF216" s="1684">
        <v>21100</v>
      </c>
      <c r="CG216" s="1684">
        <v>50.54</v>
      </c>
      <c r="CH216" s="1684">
        <v>20645</v>
      </c>
      <c r="CI216" s="1684">
        <v>49.46</v>
      </c>
      <c r="CJ216" s="1684">
        <v>41745</v>
      </c>
      <c r="CK216" s="1684">
        <v>100</v>
      </c>
      <c r="CL216" s="1410" t="s">
        <v>2785</v>
      </c>
      <c r="CM216" s="1686">
        <v>42748</v>
      </c>
      <c r="CN216" s="1400"/>
      <c r="CO216" s="1326"/>
      <c r="CP216" s="1682"/>
      <c r="CQ216" s="1684">
        <v>21100</v>
      </c>
      <c r="CR216" s="1684">
        <v>21100</v>
      </c>
      <c r="CS216" s="1684">
        <v>0</v>
      </c>
      <c r="CT216" s="1326" t="s">
        <v>2785</v>
      </c>
      <c r="CU216" s="1686">
        <v>42780</v>
      </c>
      <c r="CV216" s="1684">
        <v>41745</v>
      </c>
      <c r="CW216" s="1684">
        <v>0</v>
      </c>
      <c r="CX216" s="1684">
        <v>0</v>
      </c>
      <c r="CY216" s="1684">
        <v>0</v>
      </c>
      <c r="CZ216" s="1684">
        <v>0</v>
      </c>
      <c r="DA216" s="1684">
        <v>41745</v>
      </c>
      <c r="DB216" s="1684">
        <v>0</v>
      </c>
      <c r="DC216" s="1684">
        <v>0</v>
      </c>
      <c r="DD216" s="1684">
        <v>41745</v>
      </c>
      <c r="DE216" s="1684">
        <v>21100</v>
      </c>
      <c r="DF216" s="1684">
        <v>21100</v>
      </c>
      <c r="DG216" s="1684">
        <v>0</v>
      </c>
      <c r="DH216" s="1684">
        <v>20645</v>
      </c>
      <c r="DI216" s="1684">
        <v>20645</v>
      </c>
      <c r="DJ216" s="1684">
        <v>0</v>
      </c>
      <c r="DK216" s="1684">
        <v>20645</v>
      </c>
      <c r="DL216" s="1684">
        <v>0</v>
      </c>
      <c r="DM216" s="1684">
        <v>0</v>
      </c>
      <c r="DN216" s="1684">
        <v>0</v>
      </c>
      <c r="DO216" s="1684">
        <v>0</v>
      </c>
      <c r="DP216" s="1684">
        <v>0</v>
      </c>
      <c r="DQ216" s="1326" t="s">
        <v>2810</v>
      </c>
      <c r="DR216" s="1684">
        <v>0</v>
      </c>
      <c r="DS216" s="1326" t="s">
        <v>2757</v>
      </c>
      <c r="DT216" s="1682"/>
      <c r="DU216" s="1326" t="s">
        <v>2757</v>
      </c>
      <c r="DV216" s="1682"/>
    </row>
    <row r="217" spans="1:126" ht="112.5">
      <c r="A217" s="1326" t="s">
        <v>1706</v>
      </c>
      <c r="B217" s="1326" t="s">
        <v>1690</v>
      </c>
      <c r="C217" s="1326" t="s">
        <v>2537</v>
      </c>
      <c r="D217" s="1326" t="s">
        <v>2538</v>
      </c>
      <c r="E217" s="1326" t="s">
        <v>269</v>
      </c>
      <c r="F217" s="1326" t="s">
        <v>273</v>
      </c>
      <c r="G217" s="1326" t="s">
        <v>2539</v>
      </c>
      <c r="H217" s="1326" t="s">
        <v>2540</v>
      </c>
      <c r="I217" s="1326" t="s">
        <v>2541</v>
      </c>
      <c r="J217" s="1326" t="s">
        <v>714</v>
      </c>
      <c r="K217" s="1685">
        <v>42718</v>
      </c>
      <c r="L217" s="1685">
        <v>42821</v>
      </c>
      <c r="M217" s="1326" t="s">
        <v>268</v>
      </c>
      <c r="N217" s="1326" t="s">
        <v>2137</v>
      </c>
      <c r="O217" s="1326" t="s">
        <v>3506</v>
      </c>
      <c r="P217" s="1326" t="s">
        <v>2757</v>
      </c>
      <c r="Q217" s="1326" t="s">
        <v>2536</v>
      </c>
      <c r="R217" s="1326" t="s">
        <v>2757</v>
      </c>
      <c r="S217" s="1326" t="s">
        <v>2757</v>
      </c>
      <c r="T217" s="1326"/>
      <c r="U217" s="1326" t="s">
        <v>3128</v>
      </c>
      <c r="V217" s="1326" t="s">
        <v>2785</v>
      </c>
      <c r="W217" s="1326" t="s">
        <v>2757</v>
      </c>
      <c r="X217" s="1326"/>
      <c r="Y217" s="1326" t="s">
        <v>2757</v>
      </c>
      <c r="Z217" s="1326"/>
      <c r="AA217" s="1326"/>
      <c r="AB217" s="1326" t="s">
        <v>2757</v>
      </c>
      <c r="AC217" s="1326" t="s">
        <v>2757</v>
      </c>
      <c r="AD217" s="1326" t="s">
        <v>2757</v>
      </c>
      <c r="AE217" s="1326"/>
      <c r="AF217" s="1326" t="s">
        <v>2789</v>
      </c>
      <c r="AG217" s="1326" t="s">
        <v>2790</v>
      </c>
      <c r="AH217" s="1326" t="s">
        <v>2791</v>
      </c>
      <c r="AI217" s="1326" t="s">
        <v>2762</v>
      </c>
      <c r="AJ217" s="1326" t="s">
        <v>2763</v>
      </c>
      <c r="AK217" s="1326" t="s">
        <v>2792</v>
      </c>
      <c r="AL217" s="1326" t="s">
        <v>2793</v>
      </c>
      <c r="AM217" s="1683">
        <v>100</v>
      </c>
      <c r="AN217" s="1326"/>
      <c r="AO217" s="1326"/>
      <c r="AP217" s="1326"/>
      <c r="AQ217" s="1326"/>
      <c r="AR217" s="1326"/>
      <c r="AS217" s="1326"/>
      <c r="AT217" s="1326" t="s">
        <v>2880</v>
      </c>
      <c r="AU217" s="1326" t="s">
        <v>2795</v>
      </c>
      <c r="AV217" s="1326" t="s">
        <v>2796</v>
      </c>
      <c r="AW217" s="1326"/>
      <c r="AX217" s="1326" t="s">
        <v>2909</v>
      </c>
      <c r="AY217" s="1326" t="s">
        <v>2798</v>
      </c>
      <c r="AZ217" s="1326" t="s">
        <v>235</v>
      </c>
      <c r="BA217" s="1326" t="s">
        <v>2929</v>
      </c>
      <c r="BB217" s="1326" t="s">
        <v>2757</v>
      </c>
      <c r="BC217" s="1326" t="s">
        <v>2800</v>
      </c>
      <c r="BD217" s="1326" t="s">
        <v>2773</v>
      </c>
      <c r="BE217" s="1326" t="s">
        <v>2930</v>
      </c>
      <c r="BF217" s="1326" t="s">
        <v>3048</v>
      </c>
      <c r="BG217" s="1326" t="s">
        <v>2932</v>
      </c>
      <c r="BH217" s="1326" t="s">
        <v>2804</v>
      </c>
      <c r="BI217" s="1326" t="s">
        <v>2805</v>
      </c>
      <c r="BJ217" s="1326" t="s">
        <v>2885</v>
      </c>
      <c r="BK217" s="1326" t="s">
        <v>2880</v>
      </c>
      <c r="BL217" s="1326" t="s">
        <v>2757</v>
      </c>
      <c r="BM217" s="1326" t="s">
        <v>2757</v>
      </c>
      <c r="BN217" s="1683">
        <v>0</v>
      </c>
      <c r="BO217" s="1685">
        <v>42599</v>
      </c>
      <c r="BP217" s="1685">
        <v>42947</v>
      </c>
      <c r="BQ217" s="1326" t="s">
        <v>2779</v>
      </c>
      <c r="BR217" s="1685">
        <v>45291</v>
      </c>
      <c r="BS217" s="1326" t="s">
        <v>3024</v>
      </c>
      <c r="BT217" s="1326" t="s">
        <v>3012</v>
      </c>
      <c r="BU217" s="1683">
        <v>0</v>
      </c>
      <c r="BV217" s="1683">
        <v>0</v>
      </c>
      <c r="BW217" s="1685">
        <v>42978</v>
      </c>
      <c r="BX217" s="1685">
        <v>43004</v>
      </c>
      <c r="BY217" s="1326" t="s">
        <v>2164</v>
      </c>
      <c r="BZ217" s="1326" t="s">
        <v>2783</v>
      </c>
      <c r="CA217" s="1326" t="s">
        <v>2783</v>
      </c>
      <c r="CB217" s="1326" t="s">
        <v>2783</v>
      </c>
      <c r="CC217" s="1326" t="s">
        <v>2809</v>
      </c>
      <c r="CD217" s="1684">
        <v>17000</v>
      </c>
      <c r="CE217" s="1684">
        <v>17000</v>
      </c>
      <c r="CF217" s="1684">
        <v>14450</v>
      </c>
      <c r="CG217" s="1684">
        <v>85</v>
      </c>
      <c r="CH217" s="1684">
        <v>2550</v>
      </c>
      <c r="CI217" s="1684">
        <v>15</v>
      </c>
      <c r="CJ217" s="1684">
        <v>17000</v>
      </c>
      <c r="CK217" s="1684">
        <v>100</v>
      </c>
      <c r="CL217" s="1410" t="s">
        <v>2785</v>
      </c>
      <c r="CM217" s="1686">
        <v>42773</v>
      </c>
      <c r="CN217" s="1400"/>
      <c r="CO217" s="1326"/>
      <c r="CP217" s="1682"/>
      <c r="CQ217" s="1684">
        <v>14450</v>
      </c>
      <c r="CR217" s="1684">
        <v>14450</v>
      </c>
      <c r="CS217" s="1684">
        <v>0</v>
      </c>
      <c r="CT217" s="1326" t="s">
        <v>2785</v>
      </c>
      <c r="CU217" s="1686">
        <v>42822</v>
      </c>
      <c r="CV217" s="1684">
        <v>17000</v>
      </c>
      <c r="CW217" s="1684">
        <v>0</v>
      </c>
      <c r="CX217" s="1684">
        <v>0</v>
      </c>
      <c r="CY217" s="1684">
        <v>0</v>
      </c>
      <c r="CZ217" s="1684">
        <v>0</v>
      </c>
      <c r="DA217" s="1684">
        <v>17000</v>
      </c>
      <c r="DB217" s="1684">
        <v>0</v>
      </c>
      <c r="DC217" s="1684">
        <v>0</v>
      </c>
      <c r="DD217" s="1684">
        <v>17000</v>
      </c>
      <c r="DE217" s="1684">
        <v>14450</v>
      </c>
      <c r="DF217" s="1684">
        <v>14450</v>
      </c>
      <c r="DG217" s="1684">
        <v>0</v>
      </c>
      <c r="DH217" s="1684">
        <v>2550</v>
      </c>
      <c r="DI217" s="1684">
        <v>2550</v>
      </c>
      <c r="DJ217" s="1684">
        <v>0</v>
      </c>
      <c r="DK217" s="1684">
        <v>2550</v>
      </c>
      <c r="DL217" s="1684">
        <v>0</v>
      </c>
      <c r="DM217" s="1684">
        <v>0</v>
      </c>
      <c r="DN217" s="1684">
        <v>0</v>
      </c>
      <c r="DO217" s="1684">
        <v>0</v>
      </c>
      <c r="DP217" s="1684">
        <v>0</v>
      </c>
      <c r="DQ217" s="1326" t="s">
        <v>2810</v>
      </c>
      <c r="DR217" s="1684">
        <v>0</v>
      </c>
      <c r="DS217" s="1326" t="s">
        <v>2757</v>
      </c>
      <c r="DT217" s="1682"/>
      <c r="DU217" s="1326" t="s">
        <v>2757</v>
      </c>
      <c r="DV217" s="1682"/>
    </row>
    <row r="218" spans="1:126" ht="112.5">
      <c r="A218" s="1326" t="s">
        <v>1707</v>
      </c>
      <c r="B218" s="1326" t="s">
        <v>1690</v>
      </c>
      <c r="C218" s="1326" t="s">
        <v>2537</v>
      </c>
      <c r="D218" s="1326" t="s">
        <v>2538</v>
      </c>
      <c r="E218" s="1326" t="s">
        <v>269</v>
      </c>
      <c r="F218" s="1326" t="s">
        <v>273</v>
      </c>
      <c r="G218" s="1326" t="s">
        <v>2539</v>
      </c>
      <c r="H218" s="1326" t="s">
        <v>2540</v>
      </c>
      <c r="I218" s="1326" t="s">
        <v>2541</v>
      </c>
      <c r="J218" s="1326" t="s">
        <v>3935</v>
      </c>
      <c r="K218" s="1685">
        <v>42724</v>
      </c>
      <c r="L218" s="1685">
        <v>42809</v>
      </c>
      <c r="M218" s="1326" t="s">
        <v>3936</v>
      </c>
      <c r="N218" s="1326" t="s">
        <v>2137</v>
      </c>
      <c r="O218" s="1326" t="s">
        <v>4017</v>
      </c>
      <c r="P218" s="1326" t="s">
        <v>2757</v>
      </c>
      <c r="Q218" s="1326" t="s">
        <v>2074</v>
      </c>
      <c r="R218" s="1326" t="s">
        <v>2757</v>
      </c>
      <c r="S218" s="1326" t="s">
        <v>2757</v>
      </c>
      <c r="T218" s="1326"/>
      <c r="U218" s="1326" t="s">
        <v>3128</v>
      </c>
      <c r="V218" s="1326" t="s">
        <v>2785</v>
      </c>
      <c r="W218" s="1326" t="s">
        <v>2757</v>
      </c>
      <c r="X218" s="1326"/>
      <c r="Y218" s="1326" t="s">
        <v>2757</v>
      </c>
      <c r="Z218" s="1326"/>
      <c r="AA218" s="1326"/>
      <c r="AB218" s="1326" t="s">
        <v>2757</v>
      </c>
      <c r="AC218" s="1326" t="s">
        <v>2757</v>
      </c>
      <c r="AD218" s="1326" t="s">
        <v>2757</v>
      </c>
      <c r="AE218" s="1326"/>
      <c r="AF218" s="1326" t="s">
        <v>2789</v>
      </c>
      <c r="AG218" s="1326" t="s">
        <v>2790</v>
      </c>
      <c r="AH218" s="1326" t="s">
        <v>2791</v>
      </c>
      <c r="AI218" s="1326" t="s">
        <v>2762</v>
      </c>
      <c r="AJ218" s="1326" t="s">
        <v>2763</v>
      </c>
      <c r="AK218" s="1326" t="s">
        <v>2792</v>
      </c>
      <c r="AL218" s="1326" t="s">
        <v>2793</v>
      </c>
      <c r="AM218" s="1683">
        <v>100</v>
      </c>
      <c r="AN218" s="1326"/>
      <c r="AO218" s="1326"/>
      <c r="AP218" s="1326"/>
      <c r="AQ218" s="1326"/>
      <c r="AR218" s="1326"/>
      <c r="AS218" s="1326"/>
      <c r="AT218" s="1326" t="s">
        <v>2880</v>
      </c>
      <c r="AU218" s="1326" t="s">
        <v>2795</v>
      </c>
      <c r="AV218" s="1326" t="s">
        <v>2796</v>
      </c>
      <c r="AW218" s="1326"/>
      <c r="AX218" s="1326" t="s">
        <v>2909</v>
      </c>
      <c r="AY218" s="1326" t="s">
        <v>3979</v>
      </c>
      <c r="AZ218" s="1326" t="s">
        <v>4018</v>
      </c>
      <c r="BA218" s="1326" t="s">
        <v>4019</v>
      </c>
      <c r="BB218" s="1326" t="s">
        <v>2757</v>
      </c>
      <c r="BC218" s="1326" t="s">
        <v>2800</v>
      </c>
      <c r="BD218" s="1326" t="s">
        <v>2773</v>
      </c>
      <c r="BE218" s="1326" t="s">
        <v>4020</v>
      </c>
      <c r="BF218" s="1326" t="s">
        <v>4021</v>
      </c>
      <c r="BG218" s="1326" t="s">
        <v>4022</v>
      </c>
      <c r="BH218" s="1326" t="s">
        <v>2804</v>
      </c>
      <c r="BI218" s="1326" t="s">
        <v>3985</v>
      </c>
      <c r="BJ218" s="1326" t="s">
        <v>4023</v>
      </c>
      <c r="BK218" s="1326" t="s">
        <v>2880</v>
      </c>
      <c r="BL218" s="1326" t="s">
        <v>2757</v>
      </c>
      <c r="BM218" s="1326" t="s">
        <v>2757</v>
      </c>
      <c r="BN218" s="1683">
        <v>0</v>
      </c>
      <c r="BO218" s="1685">
        <v>42636</v>
      </c>
      <c r="BP218" s="1685">
        <v>43039</v>
      </c>
      <c r="BQ218" s="1326" t="s">
        <v>2779</v>
      </c>
      <c r="BR218" s="1685">
        <v>45657</v>
      </c>
      <c r="BS218" s="1326" t="s">
        <v>2807</v>
      </c>
      <c r="BT218" s="1326" t="s">
        <v>4024</v>
      </c>
      <c r="BU218" s="1683">
        <v>0</v>
      </c>
      <c r="BV218" s="1683">
        <v>0</v>
      </c>
      <c r="BW218" s="1685">
        <v>43098</v>
      </c>
      <c r="BX218" s="1685">
        <v>43091</v>
      </c>
      <c r="BY218" s="1326" t="s">
        <v>2202</v>
      </c>
      <c r="BZ218" s="1326" t="s">
        <v>2783</v>
      </c>
      <c r="CA218" s="1326" t="s">
        <v>2783</v>
      </c>
      <c r="CB218" s="1326" t="s">
        <v>2783</v>
      </c>
      <c r="CC218" s="1326" t="s">
        <v>2809</v>
      </c>
      <c r="CD218" s="1684">
        <v>20000</v>
      </c>
      <c r="CE218" s="1684">
        <v>20000</v>
      </c>
      <c r="CF218" s="1684">
        <v>17000</v>
      </c>
      <c r="CG218" s="1684">
        <v>85</v>
      </c>
      <c r="CH218" s="1684">
        <v>3000</v>
      </c>
      <c r="CI218" s="1684">
        <v>15</v>
      </c>
      <c r="CJ218" s="1684">
        <v>20000</v>
      </c>
      <c r="CK218" s="1684">
        <v>100</v>
      </c>
      <c r="CL218" s="1410" t="s">
        <v>2785</v>
      </c>
      <c r="CM218" s="1686">
        <v>42780</v>
      </c>
      <c r="CN218" s="1400"/>
      <c r="CO218" s="1326"/>
      <c r="CP218" s="1682"/>
      <c r="CQ218" s="1684">
        <v>17000</v>
      </c>
      <c r="CR218" s="1684">
        <v>17000</v>
      </c>
      <c r="CS218" s="1684">
        <v>0</v>
      </c>
      <c r="CT218" s="1326" t="s">
        <v>2785</v>
      </c>
      <c r="CU218" s="1686">
        <v>42795</v>
      </c>
      <c r="CV218" s="1684">
        <v>20000</v>
      </c>
      <c r="CW218" s="1684">
        <v>0</v>
      </c>
      <c r="CX218" s="1684">
        <v>0</v>
      </c>
      <c r="CY218" s="1684">
        <v>0</v>
      </c>
      <c r="CZ218" s="1684">
        <v>0</v>
      </c>
      <c r="DA218" s="1684">
        <v>20000</v>
      </c>
      <c r="DB218" s="1684">
        <v>0</v>
      </c>
      <c r="DC218" s="1684">
        <v>0</v>
      </c>
      <c r="DD218" s="1684">
        <v>20000</v>
      </c>
      <c r="DE218" s="1684">
        <v>17000</v>
      </c>
      <c r="DF218" s="1684">
        <v>17000</v>
      </c>
      <c r="DG218" s="1684">
        <v>0</v>
      </c>
      <c r="DH218" s="1684">
        <v>3000</v>
      </c>
      <c r="DI218" s="1684">
        <v>3000</v>
      </c>
      <c r="DJ218" s="1684">
        <v>0</v>
      </c>
      <c r="DK218" s="1684">
        <v>3000</v>
      </c>
      <c r="DL218" s="1684">
        <v>0</v>
      </c>
      <c r="DM218" s="1684">
        <v>0</v>
      </c>
      <c r="DN218" s="1684">
        <v>0</v>
      </c>
      <c r="DO218" s="1684">
        <v>0</v>
      </c>
      <c r="DP218" s="1684">
        <v>0</v>
      </c>
      <c r="DQ218" s="1326" t="s">
        <v>2810</v>
      </c>
      <c r="DR218" s="1684">
        <v>0</v>
      </c>
      <c r="DS218" s="1326" t="s">
        <v>2757</v>
      </c>
      <c r="DT218" s="1682"/>
      <c r="DU218" s="1326" t="s">
        <v>2757</v>
      </c>
      <c r="DV218" s="1682"/>
    </row>
    <row r="219" spans="1:126" ht="78.75">
      <c r="A219" s="1326" t="s">
        <v>1709</v>
      </c>
      <c r="B219" s="1326" t="s">
        <v>1690</v>
      </c>
      <c r="C219" s="1326" t="s">
        <v>2537</v>
      </c>
      <c r="D219" s="1326" t="s">
        <v>2538</v>
      </c>
      <c r="E219" s="1326" t="s">
        <v>269</v>
      </c>
      <c r="F219" s="1326" t="s">
        <v>273</v>
      </c>
      <c r="G219" s="1326" t="s">
        <v>2539</v>
      </c>
      <c r="H219" s="1326" t="s">
        <v>2540</v>
      </c>
      <c r="I219" s="1326" t="s">
        <v>2541</v>
      </c>
      <c r="J219" s="1326" t="s">
        <v>3938</v>
      </c>
      <c r="K219" s="1685">
        <v>42732</v>
      </c>
      <c r="L219" s="1685">
        <v>42808</v>
      </c>
      <c r="M219" s="1326" t="s">
        <v>3939</v>
      </c>
      <c r="N219" s="1326" t="s">
        <v>2137</v>
      </c>
      <c r="O219" s="1326" t="s">
        <v>4025</v>
      </c>
      <c r="P219" s="1326" t="s">
        <v>2757</v>
      </c>
      <c r="Q219" s="1326" t="s">
        <v>1707</v>
      </c>
      <c r="R219" s="1326" t="s">
        <v>2757</v>
      </c>
      <c r="S219" s="1326" t="s">
        <v>2757</v>
      </c>
      <c r="T219" s="1326"/>
      <c r="U219" s="1326" t="s">
        <v>3128</v>
      </c>
      <c r="V219" s="1326" t="s">
        <v>2785</v>
      </c>
      <c r="W219" s="1326" t="s">
        <v>2757</v>
      </c>
      <c r="X219" s="1326"/>
      <c r="Y219" s="1326" t="s">
        <v>2757</v>
      </c>
      <c r="Z219" s="1326"/>
      <c r="AA219" s="1326"/>
      <c r="AB219" s="1326" t="s">
        <v>2757</v>
      </c>
      <c r="AC219" s="1326" t="s">
        <v>2757</v>
      </c>
      <c r="AD219" s="1326" t="s">
        <v>2757</v>
      </c>
      <c r="AE219" s="1326"/>
      <c r="AF219" s="1326" t="s">
        <v>2789</v>
      </c>
      <c r="AG219" s="1326" t="s">
        <v>2790</v>
      </c>
      <c r="AH219" s="1326" t="s">
        <v>2791</v>
      </c>
      <c r="AI219" s="1326" t="s">
        <v>2762</v>
      </c>
      <c r="AJ219" s="1326" t="s">
        <v>2763</v>
      </c>
      <c r="AK219" s="1326" t="s">
        <v>2792</v>
      </c>
      <c r="AL219" s="1326" t="s">
        <v>2793</v>
      </c>
      <c r="AM219" s="1683">
        <v>100</v>
      </c>
      <c r="AN219" s="1326"/>
      <c r="AO219" s="1326"/>
      <c r="AP219" s="1326"/>
      <c r="AQ219" s="1326"/>
      <c r="AR219" s="1326"/>
      <c r="AS219" s="1326"/>
      <c r="AT219" s="1326" t="s">
        <v>2880</v>
      </c>
      <c r="AU219" s="1326" t="s">
        <v>2795</v>
      </c>
      <c r="AV219" s="1326" t="s">
        <v>2796</v>
      </c>
      <c r="AW219" s="1326"/>
      <c r="AX219" s="1326" t="s">
        <v>2909</v>
      </c>
      <c r="AY219" s="1326" t="s">
        <v>4008</v>
      </c>
      <c r="AZ219" s="1326" t="s">
        <v>4026</v>
      </c>
      <c r="BA219" s="1326" t="s">
        <v>4027</v>
      </c>
      <c r="BB219" s="1326" t="s">
        <v>2757</v>
      </c>
      <c r="BC219" s="1326" t="s">
        <v>2800</v>
      </c>
      <c r="BD219" s="1326" t="s">
        <v>2773</v>
      </c>
      <c r="BE219" s="1326" t="s">
        <v>4028</v>
      </c>
      <c r="BF219" s="1326" t="s">
        <v>4029</v>
      </c>
      <c r="BG219" s="1326" t="s">
        <v>4030</v>
      </c>
      <c r="BH219" s="1326" t="s">
        <v>2804</v>
      </c>
      <c r="BI219" s="1326" t="s">
        <v>4014</v>
      </c>
      <c r="BJ219" s="1326" t="s">
        <v>4031</v>
      </c>
      <c r="BK219" s="1326" t="s">
        <v>2880</v>
      </c>
      <c r="BL219" s="1326" t="s">
        <v>2757</v>
      </c>
      <c r="BM219" s="1326" t="s">
        <v>2757</v>
      </c>
      <c r="BN219" s="1683">
        <v>0</v>
      </c>
      <c r="BO219" s="1685">
        <v>42622</v>
      </c>
      <c r="BP219" s="1685">
        <v>43159</v>
      </c>
      <c r="BQ219" s="1326" t="s">
        <v>2779</v>
      </c>
      <c r="BR219" s="1685">
        <v>45657</v>
      </c>
      <c r="BS219" s="1326" t="s">
        <v>2911</v>
      </c>
      <c r="BT219" s="1326" t="s">
        <v>4032</v>
      </c>
      <c r="BU219" s="1683">
        <v>0</v>
      </c>
      <c r="BV219" s="1683">
        <v>0</v>
      </c>
      <c r="BW219" s="1685">
        <v>43189</v>
      </c>
      <c r="BX219" s="1685">
        <v>43067</v>
      </c>
      <c r="BY219" s="1326" t="s">
        <v>2424</v>
      </c>
      <c r="BZ219" s="1326" t="s">
        <v>2783</v>
      </c>
      <c r="CA219" s="1326" t="s">
        <v>2783</v>
      </c>
      <c r="CB219" s="1326" t="s">
        <v>2783</v>
      </c>
      <c r="CC219" s="1326" t="s">
        <v>2809</v>
      </c>
      <c r="CD219" s="1684">
        <v>38899.08</v>
      </c>
      <c r="CE219" s="1684">
        <v>38899.08</v>
      </c>
      <c r="CF219" s="1684">
        <v>30500</v>
      </c>
      <c r="CG219" s="1684">
        <v>78.41</v>
      </c>
      <c r="CH219" s="1684">
        <v>8399.08</v>
      </c>
      <c r="CI219" s="1684">
        <v>21.59</v>
      </c>
      <c r="CJ219" s="1684">
        <v>38899.08</v>
      </c>
      <c r="CK219" s="1684">
        <v>100</v>
      </c>
      <c r="CL219" s="1410" t="s">
        <v>2785</v>
      </c>
      <c r="CM219" s="1686">
        <v>42761</v>
      </c>
      <c r="CN219" s="1400"/>
      <c r="CO219" s="1326"/>
      <c r="CP219" s="1682"/>
      <c r="CQ219" s="1684">
        <v>30500</v>
      </c>
      <c r="CR219" s="1684">
        <v>30500</v>
      </c>
      <c r="CS219" s="1684">
        <v>0</v>
      </c>
      <c r="CT219" s="1326" t="s">
        <v>2785</v>
      </c>
      <c r="CU219" s="1686">
        <v>42780</v>
      </c>
      <c r="CV219" s="1684">
        <v>38899.08</v>
      </c>
      <c r="CW219" s="1684">
        <v>0</v>
      </c>
      <c r="CX219" s="1684">
        <v>0</v>
      </c>
      <c r="CY219" s="1684">
        <v>0</v>
      </c>
      <c r="CZ219" s="1684">
        <v>0</v>
      </c>
      <c r="DA219" s="1684">
        <v>38899.08</v>
      </c>
      <c r="DB219" s="1684">
        <v>0</v>
      </c>
      <c r="DC219" s="1684">
        <v>0</v>
      </c>
      <c r="DD219" s="1684">
        <v>38899.08</v>
      </c>
      <c r="DE219" s="1684">
        <v>30500</v>
      </c>
      <c r="DF219" s="1684">
        <v>30500</v>
      </c>
      <c r="DG219" s="1684">
        <v>0</v>
      </c>
      <c r="DH219" s="1684">
        <v>8399.08</v>
      </c>
      <c r="DI219" s="1684">
        <v>8399.08</v>
      </c>
      <c r="DJ219" s="1684">
        <v>0</v>
      </c>
      <c r="DK219" s="1684">
        <v>8399.08</v>
      </c>
      <c r="DL219" s="1684">
        <v>0</v>
      </c>
      <c r="DM219" s="1684">
        <v>0</v>
      </c>
      <c r="DN219" s="1684">
        <v>0</v>
      </c>
      <c r="DO219" s="1684">
        <v>0</v>
      </c>
      <c r="DP219" s="1684">
        <v>0</v>
      </c>
      <c r="DQ219" s="1326" t="s">
        <v>2810</v>
      </c>
      <c r="DR219" s="1684">
        <v>0</v>
      </c>
      <c r="DS219" s="1326" t="s">
        <v>2757</v>
      </c>
      <c r="DT219" s="1682"/>
      <c r="DU219" s="1326" t="s">
        <v>2757</v>
      </c>
      <c r="DV219" s="1682"/>
    </row>
    <row r="220" spans="1:126" ht="78.75">
      <c r="A220" s="1326" t="s">
        <v>1710</v>
      </c>
      <c r="B220" s="1326" t="s">
        <v>1690</v>
      </c>
      <c r="C220" s="1326" t="s">
        <v>2537</v>
      </c>
      <c r="D220" s="1326" t="s">
        <v>2538</v>
      </c>
      <c r="E220" s="1326" t="s">
        <v>269</v>
      </c>
      <c r="F220" s="1326" t="s">
        <v>273</v>
      </c>
      <c r="G220" s="1326" t="s">
        <v>2539</v>
      </c>
      <c r="H220" s="1326" t="s">
        <v>2540</v>
      </c>
      <c r="I220" s="1326" t="s">
        <v>2541</v>
      </c>
      <c r="J220" s="1326" t="s">
        <v>3941</v>
      </c>
      <c r="K220" s="1685">
        <v>42731</v>
      </c>
      <c r="L220" s="1685">
        <v>42822</v>
      </c>
      <c r="M220" s="1326" t="s">
        <v>3942</v>
      </c>
      <c r="N220" s="1326" t="s">
        <v>2137</v>
      </c>
      <c r="O220" s="1326" t="s">
        <v>4033</v>
      </c>
      <c r="P220" s="1326" t="s">
        <v>2757</v>
      </c>
      <c r="Q220" s="1326" t="s">
        <v>1713</v>
      </c>
      <c r="R220" s="1326" t="s">
        <v>2757</v>
      </c>
      <c r="S220" s="1326" t="s">
        <v>2757</v>
      </c>
      <c r="T220" s="1326"/>
      <c r="U220" s="1326" t="s">
        <v>3128</v>
      </c>
      <c r="V220" s="1326" t="s">
        <v>2757</v>
      </c>
      <c r="W220" s="1326" t="s">
        <v>2757</v>
      </c>
      <c r="X220" s="1326"/>
      <c r="Y220" s="1326" t="s">
        <v>2757</v>
      </c>
      <c r="Z220" s="1326"/>
      <c r="AA220" s="1326"/>
      <c r="AB220" s="1326" t="s">
        <v>2757</v>
      </c>
      <c r="AC220" s="1326" t="s">
        <v>2757</v>
      </c>
      <c r="AD220" s="1326" t="s">
        <v>2757</v>
      </c>
      <c r="AE220" s="1326"/>
      <c r="AF220" s="1326" t="s">
        <v>2789</v>
      </c>
      <c r="AG220" s="1326" t="s">
        <v>2790</v>
      </c>
      <c r="AH220" s="1326" t="s">
        <v>2791</v>
      </c>
      <c r="AI220" s="1326" t="s">
        <v>2762</v>
      </c>
      <c r="AJ220" s="1326" t="s">
        <v>2763</v>
      </c>
      <c r="AK220" s="1326" t="s">
        <v>2792</v>
      </c>
      <c r="AL220" s="1326" t="s">
        <v>2793</v>
      </c>
      <c r="AM220" s="1683">
        <v>100</v>
      </c>
      <c r="AN220" s="1326"/>
      <c r="AO220" s="1326"/>
      <c r="AP220" s="1326"/>
      <c r="AQ220" s="1326"/>
      <c r="AR220" s="1326"/>
      <c r="AS220" s="1326"/>
      <c r="AT220" s="1326" t="s">
        <v>2766</v>
      </c>
      <c r="AU220" s="1326" t="s">
        <v>2766</v>
      </c>
      <c r="AV220" s="1326" t="s">
        <v>2796</v>
      </c>
      <c r="AW220" s="1326"/>
      <c r="AX220" s="1326" t="s">
        <v>2909</v>
      </c>
      <c r="AY220" s="1326" t="s">
        <v>3084</v>
      </c>
      <c r="AZ220" s="1326" t="s">
        <v>4034</v>
      </c>
      <c r="BA220" s="1326" t="s">
        <v>4035</v>
      </c>
      <c r="BB220" s="1326" t="s">
        <v>2757</v>
      </c>
      <c r="BC220" s="1326" t="s">
        <v>2800</v>
      </c>
      <c r="BD220" s="1326" t="s">
        <v>2773</v>
      </c>
      <c r="BE220" s="1326" t="s">
        <v>4036</v>
      </c>
      <c r="BF220" s="1326" t="s">
        <v>4037</v>
      </c>
      <c r="BG220" s="1326" t="s">
        <v>4038</v>
      </c>
      <c r="BH220" s="1326" t="s">
        <v>2804</v>
      </c>
      <c r="BI220" s="1326" t="s">
        <v>3090</v>
      </c>
      <c r="BJ220" s="1326" t="s">
        <v>4039</v>
      </c>
      <c r="BK220" s="1326" t="s">
        <v>2766</v>
      </c>
      <c r="BL220" s="1326" t="s">
        <v>2757</v>
      </c>
      <c r="BM220" s="1326" t="s">
        <v>2757</v>
      </c>
      <c r="BN220" s="1683">
        <v>0</v>
      </c>
      <c r="BO220" s="1685">
        <v>42594</v>
      </c>
      <c r="BP220" s="1685">
        <v>43281</v>
      </c>
      <c r="BQ220" s="1326" t="s">
        <v>2779</v>
      </c>
      <c r="BR220" s="1685">
        <v>45657</v>
      </c>
      <c r="BS220" s="1326" t="s">
        <v>3987</v>
      </c>
      <c r="BT220" s="1326" t="s">
        <v>4040</v>
      </c>
      <c r="BU220" s="1683">
        <v>0</v>
      </c>
      <c r="BV220" s="1683">
        <v>0</v>
      </c>
      <c r="BW220" s="1685">
        <v>43312</v>
      </c>
      <c r="BX220" s="1685">
        <v>43097</v>
      </c>
      <c r="BY220" s="1326" t="s">
        <v>2052</v>
      </c>
      <c r="BZ220" s="1326" t="s">
        <v>2783</v>
      </c>
      <c r="CA220" s="1326" t="s">
        <v>2783</v>
      </c>
      <c r="CB220" s="1326" t="s">
        <v>2783</v>
      </c>
      <c r="CC220" s="1326" t="s">
        <v>2809</v>
      </c>
      <c r="CD220" s="1684">
        <v>15609</v>
      </c>
      <c r="CE220" s="1684">
        <v>15609</v>
      </c>
      <c r="CF220" s="1684">
        <v>13267.65</v>
      </c>
      <c r="CG220" s="1684">
        <v>85</v>
      </c>
      <c r="CH220" s="1684">
        <v>2341.35</v>
      </c>
      <c r="CI220" s="1684">
        <v>15</v>
      </c>
      <c r="CJ220" s="1684">
        <v>15609</v>
      </c>
      <c r="CK220" s="1684">
        <v>100</v>
      </c>
      <c r="CL220" s="1410" t="s">
        <v>2785</v>
      </c>
      <c r="CM220" s="1686">
        <v>42773</v>
      </c>
      <c r="CN220" s="1400"/>
      <c r="CO220" s="1326"/>
      <c r="CP220" s="1682"/>
      <c r="CQ220" s="1684">
        <v>13267.65</v>
      </c>
      <c r="CR220" s="1684">
        <v>13267.65</v>
      </c>
      <c r="CS220" s="1684">
        <v>0</v>
      </c>
      <c r="CT220" s="1326" t="s">
        <v>2785</v>
      </c>
      <c r="CU220" s="1686">
        <v>42822</v>
      </c>
      <c r="CV220" s="1684">
        <v>15609</v>
      </c>
      <c r="CW220" s="1684">
        <v>0</v>
      </c>
      <c r="CX220" s="1684">
        <v>0</v>
      </c>
      <c r="CY220" s="1684">
        <v>0</v>
      </c>
      <c r="CZ220" s="1684">
        <v>0</v>
      </c>
      <c r="DA220" s="1684">
        <v>15609</v>
      </c>
      <c r="DB220" s="1684">
        <v>0</v>
      </c>
      <c r="DC220" s="1684">
        <v>0</v>
      </c>
      <c r="DD220" s="1684">
        <v>15609</v>
      </c>
      <c r="DE220" s="1684">
        <v>13267.65</v>
      </c>
      <c r="DF220" s="1684">
        <v>13267.65</v>
      </c>
      <c r="DG220" s="1684">
        <v>0</v>
      </c>
      <c r="DH220" s="1684">
        <v>2341.35</v>
      </c>
      <c r="DI220" s="1684">
        <v>2341.35</v>
      </c>
      <c r="DJ220" s="1684">
        <v>0</v>
      </c>
      <c r="DK220" s="1684">
        <v>2341.35</v>
      </c>
      <c r="DL220" s="1684">
        <v>0</v>
      </c>
      <c r="DM220" s="1684">
        <v>0</v>
      </c>
      <c r="DN220" s="1684">
        <v>0</v>
      </c>
      <c r="DO220" s="1684">
        <v>0</v>
      </c>
      <c r="DP220" s="1684">
        <v>0</v>
      </c>
      <c r="DQ220" s="1326" t="s">
        <v>2810</v>
      </c>
      <c r="DR220" s="1684">
        <v>0</v>
      </c>
      <c r="DS220" s="1326" t="s">
        <v>2757</v>
      </c>
      <c r="DT220" s="1682"/>
      <c r="DU220" s="1326" t="s">
        <v>2757</v>
      </c>
      <c r="DV220" s="1682"/>
    </row>
    <row r="221" spans="1:126" ht="78.75">
      <c r="A221" s="1326" t="s">
        <v>1711</v>
      </c>
      <c r="B221" s="1326" t="s">
        <v>1690</v>
      </c>
      <c r="C221" s="1326" t="s">
        <v>2537</v>
      </c>
      <c r="D221" s="1326" t="s">
        <v>2538</v>
      </c>
      <c r="E221" s="1326" t="s">
        <v>269</v>
      </c>
      <c r="F221" s="1326" t="s">
        <v>273</v>
      </c>
      <c r="G221" s="1326" t="s">
        <v>2539</v>
      </c>
      <c r="H221" s="1326" t="s">
        <v>2540</v>
      </c>
      <c r="I221" s="1326" t="s">
        <v>2541</v>
      </c>
      <c r="J221" s="1326" t="s">
        <v>3944</v>
      </c>
      <c r="K221" s="1685">
        <v>42734</v>
      </c>
      <c r="L221" s="1685">
        <v>42822</v>
      </c>
      <c r="M221" s="1326" t="s">
        <v>3945</v>
      </c>
      <c r="N221" s="1326" t="s">
        <v>2137</v>
      </c>
      <c r="O221" s="1326" t="s">
        <v>4041</v>
      </c>
      <c r="P221" s="1326" t="s">
        <v>2757</v>
      </c>
      <c r="Q221" s="1326" t="s">
        <v>1718</v>
      </c>
      <c r="R221" s="1326" t="s">
        <v>2757</v>
      </c>
      <c r="S221" s="1326" t="s">
        <v>2757</v>
      </c>
      <c r="T221" s="1326"/>
      <c r="U221" s="1326" t="s">
        <v>3128</v>
      </c>
      <c r="V221" s="1326" t="s">
        <v>2785</v>
      </c>
      <c r="W221" s="1326" t="s">
        <v>2757</v>
      </c>
      <c r="X221" s="1326"/>
      <c r="Y221" s="1326" t="s">
        <v>2757</v>
      </c>
      <c r="Z221" s="1326"/>
      <c r="AA221" s="1326"/>
      <c r="AB221" s="1326" t="s">
        <v>2757</v>
      </c>
      <c r="AC221" s="1326" t="s">
        <v>2757</v>
      </c>
      <c r="AD221" s="1326" t="s">
        <v>2757</v>
      </c>
      <c r="AE221" s="1326"/>
      <c r="AF221" s="1326" t="s">
        <v>2789</v>
      </c>
      <c r="AG221" s="1326" t="s">
        <v>2790</v>
      </c>
      <c r="AH221" s="1326" t="s">
        <v>2791</v>
      </c>
      <c r="AI221" s="1326" t="s">
        <v>2762</v>
      </c>
      <c r="AJ221" s="1326" t="s">
        <v>2763</v>
      </c>
      <c r="AK221" s="1326" t="s">
        <v>2792</v>
      </c>
      <c r="AL221" s="1326" t="s">
        <v>2793</v>
      </c>
      <c r="AM221" s="1683">
        <v>100</v>
      </c>
      <c r="AN221" s="1326"/>
      <c r="AO221" s="1326"/>
      <c r="AP221" s="1326"/>
      <c r="AQ221" s="1326"/>
      <c r="AR221" s="1326"/>
      <c r="AS221" s="1326"/>
      <c r="AT221" s="1326" t="s">
        <v>2794</v>
      </c>
      <c r="AU221" s="1326" t="s">
        <v>2795</v>
      </c>
      <c r="AV221" s="1326" t="s">
        <v>2796</v>
      </c>
      <c r="AW221" s="1326"/>
      <c r="AX221" s="1326" t="s">
        <v>2909</v>
      </c>
      <c r="AY221" s="1326" t="s">
        <v>4042</v>
      </c>
      <c r="AZ221" s="1326" t="s">
        <v>4043</v>
      </c>
      <c r="BA221" s="1326" t="s">
        <v>4044</v>
      </c>
      <c r="BB221" s="1326" t="s">
        <v>2757</v>
      </c>
      <c r="BC221" s="1326" t="s">
        <v>2800</v>
      </c>
      <c r="BD221" s="1326" t="s">
        <v>2773</v>
      </c>
      <c r="BE221" s="1326" t="s">
        <v>4045</v>
      </c>
      <c r="BF221" s="1326" t="s">
        <v>4046</v>
      </c>
      <c r="BG221" s="1326" t="s">
        <v>4047</v>
      </c>
      <c r="BH221" s="1326" t="s">
        <v>2804</v>
      </c>
      <c r="BI221" s="1326" t="s">
        <v>4048</v>
      </c>
      <c r="BJ221" s="1326" t="s">
        <v>4049</v>
      </c>
      <c r="BK221" s="1326" t="s">
        <v>2794</v>
      </c>
      <c r="BL221" s="1326" t="s">
        <v>2757</v>
      </c>
      <c r="BM221" s="1326" t="s">
        <v>2757</v>
      </c>
      <c r="BN221" s="1683">
        <v>0</v>
      </c>
      <c r="BO221" s="1685">
        <v>42683</v>
      </c>
      <c r="BP221" s="1685">
        <v>43373</v>
      </c>
      <c r="BQ221" s="1326" t="s">
        <v>2779</v>
      </c>
      <c r="BR221" s="1685">
        <v>45657</v>
      </c>
      <c r="BS221" s="1326" t="s">
        <v>2886</v>
      </c>
      <c r="BT221" s="1326" t="s">
        <v>4050</v>
      </c>
      <c r="BU221" s="1683">
        <v>0</v>
      </c>
      <c r="BV221" s="1683">
        <v>0</v>
      </c>
      <c r="BW221" s="1685">
        <v>43403</v>
      </c>
      <c r="BX221" s="1685">
        <v>43396</v>
      </c>
      <c r="BY221" s="1326" t="s">
        <v>2491</v>
      </c>
      <c r="BZ221" s="1326" t="s">
        <v>2783</v>
      </c>
      <c r="CA221" s="1326" t="s">
        <v>2783</v>
      </c>
      <c r="CB221" s="1326" t="s">
        <v>2783</v>
      </c>
      <c r="CC221" s="1326" t="s">
        <v>2809</v>
      </c>
      <c r="CD221" s="1684">
        <v>109747</v>
      </c>
      <c r="CE221" s="1684">
        <v>109747</v>
      </c>
      <c r="CF221" s="1684">
        <v>93284.95</v>
      </c>
      <c r="CG221" s="1684">
        <v>85</v>
      </c>
      <c r="CH221" s="1684">
        <v>16462.05</v>
      </c>
      <c r="CI221" s="1684">
        <v>15</v>
      </c>
      <c r="CJ221" s="1684">
        <v>109747</v>
      </c>
      <c r="CK221" s="1684">
        <v>100</v>
      </c>
      <c r="CL221" s="1410" t="s">
        <v>2785</v>
      </c>
      <c r="CM221" s="1686">
        <v>42773</v>
      </c>
      <c r="CN221" s="1400"/>
      <c r="CO221" s="1326"/>
      <c r="CP221" s="1682"/>
      <c r="CQ221" s="1684">
        <v>93284.95</v>
      </c>
      <c r="CR221" s="1684">
        <v>93284.95</v>
      </c>
      <c r="CS221" s="1684">
        <v>0</v>
      </c>
      <c r="CT221" s="1326" t="s">
        <v>2785</v>
      </c>
      <c r="CU221" s="1686">
        <v>42822</v>
      </c>
      <c r="CV221" s="1684">
        <v>109747</v>
      </c>
      <c r="CW221" s="1684">
        <v>0</v>
      </c>
      <c r="CX221" s="1684">
        <v>0</v>
      </c>
      <c r="CY221" s="1684">
        <v>0</v>
      </c>
      <c r="CZ221" s="1684">
        <v>0</v>
      </c>
      <c r="DA221" s="1684">
        <v>109747</v>
      </c>
      <c r="DB221" s="1684">
        <v>0</v>
      </c>
      <c r="DC221" s="1684">
        <v>0</v>
      </c>
      <c r="DD221" s="1684">
        <v>109747</v>
      </c>
      <c r="DE221" s="1684">
        <v>93284.95</v>
      </c>
      <c r="DF221" s="1684">
        <v>93284.95</v>
      </c>
      <c r="DG221" s="1684">
        <v>0</v>
      </c>
      <c r="DH221" s="1684">
        <v>16462.05</v>
      </c>
      <c r="DI221" s="1684">
        <v>16462.05</v>
      </c>
      <c r="DJ221" s="1684">
        <v>0</v>
      </c>
      <c r="DK221" s="1684">
        <v>16462.05</v>
      </c>
      <c r="DL221" s="1684">
        <v>0</v>
      </c>
      <c r="DM221" s="1684">
        <v>0</v>
      </c>
      <c r="DN221" s="1684">
        <v>0</v>
      </c>
      <c r="DO221" s="1684">
        <v>0</v>
      </c>
      <c r="DP221" s="1684">
        <v>0</v>
      </c>
      <c r="DQ221" s="1326" t="s">
        <v>2810</v>
      </c>
      <c r="DR221" s="1684">
        <v>0</v>
      </c>
      <c r="DS221" s="1326" t="s">
        <v>2757</v>
      </c>
      <c r="DT221" s="1682"/>
      <c r="DU221" s="1326" t="s">
        <v>2757</v>
      </c>
      <c r="DV221" s="1682"/>
    </row>
    <row r="222" spans="1:126" ht="78.75">
      <c r="A222" s="1326" t="s">
        <v>1713</v>
      </c>
      <c r="B222" s="1326" t="s">
        <v>1690</v>
      </c>
      <c r="C222" s="1326" t="s">
        <v>2537</v>
      </c>
      <c r="D222" s="1326" t="s">
        <v>2538</v>
      </c>
      <c r="E222" s="1326" t="s">
        <v>269</v>
      </c>
      <c r="F222" s="1326" t="s">
        <v>273</v>
      </c>
      <c r="G222" s="1326" t="s">
        <v>2539</v>
      </c>
      <c r="H222" s="1326" t="s">
        <v>2540</v>
      </c>
      <c r="I222" s="1326" t="s">
        <v>2541</v>
      </c>
      <c r="J222" s="1326" t="s">
        <v>3947</v>
      </c>
      <c r="K222" s="1685">
        <v>42786</v>
      </c>
      <c r="L222" s="1685">
        <v>42860</v>
      </c>
      <c r="M222" s="1326" t="s">
        <v>3948</v>
      </c>
      <c r="N222" s="1326" t="s">
        <v>2137</v>
      </c>
      <c r="O222" s="1326" t="s">
        <v>4051</v>
      </c>
      <c r="P222" s="1326" t="s">
        <v>2757</v>
      </c>
      <c r="Q222" s="1326" t="s">
        <v>1716</v>
      </c>
      <c r="R222" s="1326" t="s">
        <v>2757</v>
      </c>
      <c r="S222" s="1326" t="s">
        <v>2757</v>
      </c>
      <c r="T222" s="1326"/>
      <c r="U222" s="1326" t="s">
        <v>3128</v>
      </c>
      <c r="V222" s="1326" t="s">
        <v>2757</v>
      </c>
      <c r="W222" s="1326" t="s">
        <v>2757</v>
      </c>
      <c r="X222" s="1326"/>
      <c r="Y222" s="1326" t="s">
        <v>2757</v>
      </c>
      <c r="Z222" s="1326"/>
      <c r="AA222" s="1326"/>
      <c r="AB222" s="1326" t="s">
        <v>2757</v>
      </c>
      <c r="AC222" s="1326" t="s">
        <v>2757</v>
      </c>
      <c r="AD222" s="1326" t="s">
        <v>2757</v>
      </c>
      <c r="AE222" s="1326"/>
      <c r="AF222" s="1326" t="s">
        <v>2789</v>
      </c>
      <c r="AG222" s="1326" t="s">
        <v>2790</v>
      </c>
      <c r="AH222" s="1326" t="s">
        <v>2791</v>
      </c>
      <c r="AI222" s="1326" t="s">
        <v>2762</v>
      </c>
      <c r="AJ222" s="1326" t="s">
        <v>2763</v>
      </c>
      <c r="AK222" s="1326" t="s">
        <v>2792</v>
      </c>
      <c r="AL222" s="1326" t="s">
        <v>2793</v>
      </c>
      <c r="AM222" s="1683">
        <v>100</v>
      </c>
      <c r="AN222" s="1326"/>
      <c r="AO222" s="1326"/>
      <c r="AP222" s="1326"/>
      <c r="AQ222" s="1326"/>
      <c r="AR222" s="1326"/>
      <c r="AS222" s="1326"/>
      <c r="AT222" s="1326" t="s">
        <v>2794</v>
      </c>
      <c r="AU222" s="1326" t="s">
        <v>2766</v>
      </c>
      <c r="AV222" s="1326" t="s">
        <v>2796</v>
      </c>
      <c r="AW222" s="1326"/>
      <c r="AX222" s="1326" t="s">
        <v>2909</v>
      </c>
      <c r="AY222" s="1326" t="s">
        <v>4052</v>
      </c>
      <c r="AZ222" s="1326" t="s">
        <v>4053</v>
      </c>
      <c r="BA222" s="1326" t="s">
        <v>4054</v>
      </c>
      <c r="BB222" s="1326" t="s">
        <v>2757</v>
      </c>
      <c r="BC222" s="1326" t="s">
        <v>2800</v>
      </c>
      <c r="BD222" s="1326" t="s">
        <v>2773</v>
      </c>
      <c r="BE222" s="1326" t="s">
        <v>4055</v>
      </c>
      <c r="BF222" s="1326" t="s">
        <v>4056</v>
      </c>
      <c r="BG222" s="1326" t="s">
        <v>4057</v>
      </c>
      <c r="BH222" s="1326" t="s">
        <v>2804</v>
      </c>
      <c r="BI222" s="1326" t="s">
        <v>4058</v>
      </c>
      <c r="BJ222" s="1326" t="s">
        <v>4059</v>
      </c>
      <c r="BK222" s="1326" t="s">
        <v>2794</v>
      </c>
      <c r="BL222" s="1326" t="s">
        <v>2757</v>
      </c>
      <c r="BM222" s="1326" t="s">
        <v>2757</v>
      </c>
      <c r="BN222" s="1683">
        <v>0</v>
      </c>
      <c r="BO222" s="1685">
        <v>42755</v>
      </c>
      <c r="BP222" s="1685">
        <v>43373</v>
      </c>
      <c r="BQ222" s="1326" t="s">
        <v>2779</v>
      </c>
      <c r="BR222" s="1685">
        <v>45657</v>
      </c>
      <c r="BS222" s="1326" t="s">
        <v>2807</v>
      </c>
      <c r="BT222" s="1326" t="s">
        <v>4060</v>
      </c>
      <c r="BU222" s="1400"/>
      <c r="BV222" s="1683">
        <v>0</v>
      </c>
      <c r="BW222" s="1685">
        <v>43404</v>
      </c>
      <c r="BX222" s="1685">
        <v>43411</v>
      </c>
      <c r="BY222" s="1326" t="s">
        <v>3571</v>
      </c>
      <c r="BZ222" s="1326" t="s">
        <v>2783</v>
      </c>
      <c r="CA222" s="1326" t="s">
        <v>2783</v>
      </c>
      <c r="CB222" s="1326" t="s">
        <v>2783</v>
      </c>
      <c r="CC222" s="1326" t="s">
        <v>2809</v>
      </c>
      <c r="CD222" s="1684">
        <v>84400</v>
      </c>
      <c r="CE222" s="1684">
        <v>84400</v>
      </c>
      <c r="CF222" s="1684">
        <v>71740</v>
      </c>
      <c r="CG222" s="1684">
        <v>85</v>
      </c>
      <c r="CH222" s="1684">
        <v>12660</v>
      </c>
      <c r="CI222" s="1684">
        <v>15</v>
      </c>
      <c r="CJ222" s="1684">
        <v>84400</v>
      </c>
      <c r="CK222" s="1684">
        <v>100</v>
      </c>
      <c r="CL222" s="1410" t="s">
        <v>2785</v>
      </c>
      <c r="CM222" s="1686">
        <v>42815</v>
      </c>
      <c r="CN222" s="1400"/>
      <c r="CO222" s="1326"/>
      <c r="CP222" s="1682"/>
      <c r="CQ222" s="1684">
        <v>71740</v>
      </c>
      <c r="CR222" s="1684">
        <v>71740</v>
      </c>
      <c r="CS222" s="1684">
        <v>0</v>
      </c>
      <c r="CT222" s="1326" t="s">
        <v>2785</v>
      </c>
      <c r="CU222" s="1686">
        <v>42831</v>
      </c>
      <c r="CV222" s="1684">
        <v>84400</v>
      </c>
      <c r="CW222" s="1684">
        <v>0</v>
      </c>
      <c r="CX222" s="1684">
        <v>0</v>
      </c>
      <c r="CY222" s="1684">
        <v>0</v>
      </c>
      <c r="CZ222" s="1684">
        <v>0</v>
      </c>
      <c r="DA222" s="1684">
        <v>84400</v>
      </c>
      <c r="DB222" s="1684">
        <v>0</v>
      </c>
      <c r="DC222" s="1684">
        <v>0</v>
      </c>
      <c r="DD222" s="1684">
        <v>84400</v>
      </c>
      <c r="DE222" s="1684">
        <v>71740</v>
      </c>
      <c r="DF222" s="1684">
        <v>71740</v>
      </c>
      <c r="DG222" s="1684">
        <v>0</v>
      </c>
      <c r="DH222" s="1684">
        <v>12660</v>
      </c>
      <c r="DI222" s="1684">
        <v>12660</v>
      </c>
      <c r="DJ222" s="1684">
        <v>0</v>
      </c>
      <c r="DK222" s="1684">
        <v>12660</v>
      </c>
      <c r="DL222" s="1684">
        <v>0</v>
      </c>
      <c r="DM222" s="1684">
        <v>0</v>
      </c>
      <c r="DN222" s="1684">
        <v>0</v>
      </c>
      <c r="DO222" s="1684">
        <v>0</v>
      </c>
      <c r="DP222" s="1684">
        <v>0</v>
      </c>
      <c r="DQ222" s="1326" t="s">
        <v>2810</v>
      </c>
      <c r="DR222" s="1684">
        <v>0</v>
      </c>
      <c r="DS222" s="1326" t="s">
        <v>2757</v>
      </c>
      <c r="DT222" s="1682"/>
      <c r="DU222" s="1326" t="s">
        <v>2757</v>
      </c>
      <c r="DV222" s="1682"/>
    </row>
    <row r="223" spans="1:126" ht="78.75">
      <c r="A223" s="1326" t="s">
        <v>1714</v>
      </c>
      <c r="B223" s="1326" t="s">
        <v>1690</v>
      </c>
      <c r="C223" s="1326" t="s">
        <v>2537</v>
      </c>
      <c r="D223" s="1326" t="s">
        <v>2538</v>
      </c>
      <c r="E223" s="1326" t="s">
        <v>269</v>
      </c>
      <c r="F223" s="1326" t="s">
        <v>273</v>
      </c>
      <c r="G223" s="1326" t="s">
        <v>2539</v>
      </c>
      <c r="H223" s="1326" t="s">
        <v>2540</v>
      </c>
      <c r="I223" s="1326" t="s">
        <v>2541</v>
      </c>
      <c r="J223" s="1326" t="s">
        <v>3950</v>
      </c>
      <c r="K223" s="1685">
        <v>42795</v>
      </c>
      <c r="L223" s="1685">
        <v>42898</v>
      </c>
      <c r="M223" s="1326" t="s">
        <v>3951</v>
      </c>
      <c r="N223" s="1326" t="s">
        <v>2137</v>
      </c>
      <c r="O223" s="1326" t="s">
        <v>4061</v>
      </c>
      <c r="P223" s="1326" t="s">
        <v>2757</v>
      </c>
      <c r="Q223" s="1326" t="s">
        <v>1713</v>
      </c>
      <c r="R223" s="1326" t="s">
        <v>2757</v>
      </c>
      <c r="S223" s="1326" t="s">
        <v>2757</v>
      </c>
      <c r="T223" s="1326"/>
      <c r="U223" s="1326" t="s">
        <v>3128</v>
      </c>
      <c r="V223" s="1326" t="s">
        <v>2757</v>
      </c>
      <c r="W223" s="1326" t="s">
        <v>2757</v>
      </c>
      <c r="X223" s="1326"/>
      <c r="Y223" s="1326" t="s">
        <v>2757</v>
      </c>
      <c r="Z223" s="1326"/>
      <c r="AA223" s="1326"/>
      <c r="AB223" s="1326" t="s">
        <v>2757</v>
      </c>
      <c r="AC223" s="1326" t="s">
        <v>2757</v>
      </c>
      <c r="AD223" s="1326" t="s">
        <v>2757</v>
      </c>
      <c r="AE223" s="1326"/>
      <c r="AF223" s="1326" t="s">
        <v>2789</v>
      </c>
      <c r="AG223" s="1326" t="s">
        <v>2790</v>
      </c>
      <c r="AH223" s="1326" t="s">
        <v>2791</v>
      </c>
      <c r="AI223" s="1326" t="s">
        <v>2762</v>
      </c>
      <c r="AJ223" s="1326" t="s">
        <v>2763</v>
      </c>
      <c r="AK223" s="1326" t="s">
        <v>2792</v>
      </c>
      <c r="AL223" s="1326" t="s">
        <v>2793</v>
      </c>
      <c r="AM223" s="1683">
        <v>100</v>
      </c>
      <c r="AN223" s="1326"/>
      <c r="AO223" s="1326"/>
      <c r="AP223" s="1326"/>
      <c r="AQ223" s="1326"/>
      <c r="AR223" s="1326"/>
      <c r="AS223" s="1326"/>
      <c r="AT223" s="1326" t="s">
        <v>2766</v>
      </c>
      <c r="AU223" s="1326" t="s">
        <v>2766</v>
      </c>
      <c r="AV223" s="1326" t="s">
        <v>2796</v>
      </c>
      <c r="AW223" s="1326"/>
      <c r="AX223" s="1326" t="s">
        <v>2909</v>
      </c>
      <c r="AY223" s="1326" t="s">
        <v>4052</v>
      </c>
      <c r="AZ223" s="1326" t="s">
        <v>4062</v>
      </c>
      <c r="BA223" s="1326" t="s">
        <v>4063</v>
      </c>
      <c r="BB223" s="1326" t="s">
        <v>2757</v>
      </c>
      <c r="BC223" s="1326" t="s">
        <v>2800</v>
      </c>
      <c r="BD223" s="1326" t="s">
        <v>2773</v>
      </c>
      <c r="BE223" s="1326" t="s">
        <v>4064</v>
      </c>
      <c r="BF223" s="1326" t="s">
        <v>4065</v>
      </c>
      <c r="BG223" s="1326" t="s">
        <v>4066</v>
      </c>
      <c r="BH223" s="1326" t="s">
        <v>2804</v>
      </c>
      <c r="BI223" s="1326" t="s">
        <v>4058</v>
      </c>
      <c r="BJ223" s="1326" t="s">
        <v>4067</v>
      </c>
      <c r="BK223" s="1326" t="s">
        <v>2766</v>
      </c>
      <c r="BL223" s="1326" t="s">
        <v>2757</v>
      </c>
      <c r="BM223" s="1326" t="s">
        <v>2757</v>
      </c>
      <c r="BN223" s="1683">
        <v>0</v>
      </c>
      <c r="BO223" s="1685">
        <v>42835</v>
      </c>
      <c r="BP223" s="1685">
        <v>43373</v>
      </c>
      <c r="BQ223" s="1326" t="s">
        <v>2779</v>
      </c>
      <c r="BR223" s="1685">
        <v>45657</v>
      </c>
      <c r="BS223" s="1326" t="s">
        <v>3024</v>
      </c>
      <c r="BT223" s="1326" t="s">
        <v>4068</v>
      </c>
      <c r="BU223" s="1683">
        <v>0</v>
      </c>
      <c r="BV223" s="1683">
        <v>0</v>
      </c>
      <c r="BW223" s="1685">
        <v>43403</v>
      </c>
      <c r="BX223" s="1685">
        <v>43255</v>
      </c>
      <c r="BY223" s="1326" t="s">
        <v>3586</v>
      </c>
      <c r="BZ223" s="1326" t="s">
        <v>2783</v>
      </c>
      <c r="CA223" s="1326" t="s">
        <v>2783</v>
      </c>
      <c r="CB223" s="1326" t="s">
        <v>2783</v>
      </c>
      <c r="CC223" s="1326" t="s">
        <v>2809</v>
      </c>
      <c r="CD223" s="1684">
        <v>16940</v>
      </c>
      <c r="CE223" s="1684">
        <v>16940</v>
      </c>
      <c r="CF223" s="1684">
        <v>14399</v>
      </c>
      <c r="CG223" s="1684">
        <v>85</v>
      </c>
      <c r="CH223" s="1684">
        <v>2541</v>
      </c>
      <c r="CI223" s="1684">
        <v>15</v>
      </c>
      <c r="CJ223" s="1684">
        <v>16940</v>
      </c>
      <c r="CK223" s="1684">
        <v>100</v>
      </c>
      <c r="CL223" s="1410" t="s">
        <v>2785</v>
      </c>
      <c r="CM223" s="1686">
        <v>42852</v>
      </c>
      <c r="CN223" s="1400"/>
      <c r="CO223" s="1326"/>
      <c r="CP223" s="1682"/>
      <c r="CQ223" s="1684">
        <v>14399</v>
      </c>
      <c r="CR223" s="1684">
        <v>14399</v>
      </c>
      <c r="CS223" s="1684">
        <v>0</v>
      </c>
      <c r="CT223" s="1326" t="s">
        <v>2785</v>
      </c>
      <c r="CU223" s="1686">
        <v>42863</v>
      </c>
      <c r="CV223" s="1684">
        <v>16940</v>
      </c>
      <c r="CW223" s="1684">
        <v>0</v>
      </c>
      <c r="CX223" s="1684">
        <v>0</v>
      </c>
      <c r="CY223" s="1684">
        <v>0</v>
      </c>
      <c r="CZ223" s="1684">
        <v>0</v>
      </c>
      <c r="DA223" s="1684">
        <v>16940</v>
      </c>
      <c r="DB223" s="1684">
        <v>0</v>
      </c>
      <c r="DC223" s="1684">
        <v>0</v>
      </c>
      <c r="DD223" s="1684">
        <v>16940</v>
      </c>
      <c r="DE223" s="1684">
        <v>14399</v>
      </c>
      <c r="DF223" s="1684">
        <v>14399</v>
      </c>
      <c r="DG223" s="1684">
        <v>0</v>
      </c>
      <c r="DH223" s="1684">
        <v>2541</v>
      </c>
      <c r="DI223" s="1684">
        <v>2541</v>
      </c>
      <c r="DJ223" s="1684">
        <v>0</v>
      </c>
      <c r="DK223" s="1684">
        <v>2541</v>
      </c>
      <c r="DL223" s="1684">
        <v>0</v>
      </c>
      <c r="DM223" s="1684">
        <v>0</v>
      </c>
      <c r="DN223" s="1684">
        <v>0</v>
      </c>
      <c r="DO223" s="1684">
        <v>0</v>
      </c>
      <c r="DP223" s="1684">
        <v>0</v>
      </c>
      <c r="DQ223" s="1326" t="s">
        <v>2810</v>
      </c>
      <c r="DR223" s="1684">
        <v>0</v>
      </c>
      <c r="DS223" s="1326" t="s">
        <v>2757</v>
      </c>
      <c r="DT223" s="1682"/>
      <c r="DU223" s="1326" t="s">
        <v>2757</v>
      </c>
      <c r="DV223" s="1682"/>
    </row>
    <row r="224" spans="1:126" ht="78.75">
      <c r="A224" s="1326" t="s">
        <v>1716</v>
      </c>
      <c r="B224" s="1326" t="s">
        <v>1690</v>
      </c>
      <c r="C224" s="1326" t="s">
        <v>2537</v>
      </c>
      <c r="D224" s="1326" t="s">
        <v>2538</v>
      </c>
      <c r="E224" s="1326" t="s">
        <v>269</v>
      </c>
      <c r="F224" s="1326" t="s">
        <v>273</v>
      </c>
      <c r="G224" s="1326" t="s">
        <v>2539</v>
      </c>
      <c r="H224" s="1326" t="s">
        <v>2540</v>
      </c>
      <c r="I224" s="1326" t="s">
        <v>2541</v>
      </c>
      <c r="J224" s="1326" t="s">
        <v>3953</v>
      </c>
      <c r="K224" s="1685">
        <v>42800</v>
      </c>
      <c r="L224" s="1685">
        <v>42860</v>
      </c>
      <c r="M224" s="1326" t="s">
        <v>3954</v>
      </c>
      <c r="N224" s="1326" t="s">
        <v>2137</v>
      </c>
      <c r="O224" s="1326" t="s">
        <v>4069</v>
      </c>
      <c r="P224" s="1326" t="s">
        <v>2757</v>
      </c>
      <c r="Q224" s="1326" t="s">
        <v>1713</v>
      </c>
      <c r="R224" s="1326" t="s">
        <v>2757</v>
      </c>
      <c r="S224" s="1326" t="s">
        <v>2757</v>
      </c>
      <c r="T224" s="1326"/>
      <c r="U224" s="1326" t="s">
        <v>3128</v>
      </c>
      <c r="V224" s="1326" t="s">
        <v>2757</v>
      </c>
      <c r="W224" s="1326" t="s">
        <v>2757</v>
      </c>
      <c r="X224" s="1326"/>
      <c r="Y224" s="1326" t="s">
        <v>2757</v>
      </c>
      <c r="Z224" s="1326"/>
      <c r="AA224" s="1326"/>
      <c r="AB224" s="1326" t="s">
        <v>2757</v>
      </c>
      <c r="AC224" s="1326" t="s">
        <v>2757</v>
      </c>
      <c r="AD224" s="1326" t="s">
        <v>2757</v>
      </c>
      <c r="AE224" s="1326"/>
      <c r="AF224" s="1326" t="s">
        <v>2789</v>
      </c>
      <c r="AG224" s="1326" t="s">
        <v>2790</v>
      </c>
      <c r="AH224" s="1326" t="s">
        <v>2791</v>
      </c>
      <c r="AI224" s="1326" t="s">
        <v>2762</v>
      </c>
      <c r="AJ224" s="1326" t="s">
        <v>2763</v>
      </c>
      <c r="AK224" s="1326" t="s">
        <v>2792</v>
      </c>
      <c r="AL224" s="1326" t="s">
        <v>2793</v>
      </c>
      <c r="AM224" s="1683">
        <v>100</v>
      </c>
      <c r="AN224" s="1326"/>
      <c r="AO224" s="1326"/>
      <c r="AP224" s="1326"/>
      <c r="AQ224" s="1326"/>
      <c r="AR224" s="1326"/>
      <c r="AS224" s="1326"/>
      <c r="AT224" s="1326" t="s">
        <v>2794</v>
      </c>
      <c r="AU224" s="1326" t="s">
        <v>2766</v>
      </c>
      <c r="AV224" s="1326" t="s">
        <v>2796</v>
      </c>
      <c r="AW224" s="1326"/>
      <c r="AX224" s="1326" t="s">
        <v>2909</v>
      </c>
      <c r="AY224" s="1326" t="s">
        <v>4070</v>
      </c>
      <c r="AZ224" s="1326" t="s">
        <v>4071</v>
      </c>
      <c r="BA224" s="1326" t="s">
        <v>4072</v>
      </c>
      <c r="BB224" s="1326" t="s">
        <v>2757</v>
      </c>
      <c r="BC224" s="1326" t="s">
        <v>2800</v>
      </c>
      <c r="BD224" s="1326" t="s">
        <v>2773</v>
      </c>
      <c r="BE224" s="1326" t="s">
        <v>4073</v>
      </c>
      <c r="BF224" s="1326" t="s">
        <v>4074</v>
      </c>
      <c r="BG224" s="1326" t="s">
        <v>4075</v>
      </c>
      <c r="BH224" s="1326" t="s">
        <v>2804</v>
      </c>
      <c r="BI224" s="1326" t="s">
        <v>4076</v>
      </c>
      <c r="BJ224" s="1326" t="s">
        <v>4077</v>
      </c>
      <c r="BK224" s="1326" t="s">
        <v>2794</v>
      </c>
      <c r="BL224" s="1326" t="s">
        <v>2757</v>
      </c>
      <c r="BM224" s="1326" t="s">
        <v>2757</v>
      </c>
      <c r="BN224" s="1683">
        <v>0</v>
      </c>
      <c r="BO224" s="1685">
        <v>42758</v>
      </c>
      <c r="BP224" s="1685">
        <v>43311</v>
      </c>
      <c r="BQ224" s="1326" t="s">
        <v>2779</v>
      </c>
      <c r="BR224" s="1685">
        <v>45657</v>
      </c>
      <c r="BS224" s="1326" t="s">
        <v>2863</v>
      </c>
      <c r="BT224" s="1326" t="s">
        <v>4078</v>
      </c>
      <c r="BU224" s="1683">
        <v>0</v>
      </c>
      <c r="BV224" s="1683">
        <v>0</v>
      </c>
      <c r="BW224" s="1685">
        <v>43343</v>
      </c>
      <c r="BX224" s="1685">
        <v>43388</v>
      </c>
      <c r="BY224" s="1326" t="s">
        <v>2457</v>
      </c>
      <c r="BZ224" s="1326" t="s">
        <v>2783</v>
      </c>
      <c r="CA224" s="1326" t="s">
        <v>2783</v>
      </c>
      <c r="CB224" s="1326" t="s">
        <v>2783</v>
      </c>
      <c r="CC224" s="1326" t="s">
        <v>2809</v>
      </c>
      <c r="CD224" s="1684">
        <v>75020</v>
      </c>
      <c r="CE224" s="1684">
        <v>75020</v>
      </c>
      <c r="CF224" s="1684">
        <v>63767</v>
      </c>
      <c r="CG224" s="1684">
        <v>85</v>
      </c>
      <c r="CH224" s="1684">
        <v>11253</v>
      </c>
      <c r="CI224" s="1684">
        <v>15</v>
      </c>
      <c r="CJ224" s="1684">
        <v>75020</v>
      </c>
      <c r="CK224" s="1684">
        <v>100</v>
      </c>
      <c r="CL224" s="1410" t="s">
        <v>2785</v>
      </c>
      <c r="CM224" s="1686">
        <v>42815</v>
      </c>
      <c r="CN224" s="1400"/>
      <c r="CO224" s="1326"/>
      <c r="CP224" s="1682"/>
      <c r="CQ224" s="1684">
        <v>63767</v>
      </c>
      <c r="CR224" s="1684">
        <v>63767</v>
      </c>
      <c r="CS224" s="1684">
        <v>0</v>
      </c>
      <c r="CT224" s="1326" t="s">
        <v>2785</v>
      </c>
      <c r="CU224" s="1686">
        <v>42831</v>
      </c>
      <c r="CV224" s="1684">
        <v>75020</v>
      </c>
      <c r="CW224" s="1684">
        <v>0</v>
      </c>
      <c r="CX224" s="1684">
        <v>0</v>
      </c>
      <c r="CY224" s="1684">
        <v>0</v>
      </c>
      <c r="CZ224" s="1684">
        <v>0</v>
      </c>
      <c r="DA224" s="1684">
        <v>75020</v>
      </c>
      <c r="DB224" s="1684">
        <v>0</v>
      </c>
      <c r="DC224" s="1684">
        <v>0</v>
      </c>
      <c r="DD224" s="1684">
        <v>75020</v>
      </c>
      <c r="DE224" s="1684">
        <v>63767</v>
      </c>
      <c r="DF224" s="1684">
        <v>63767</v>
      </c>
      <c r="DG224" s="1684">
        <v>0</v>
      </c>
      <c r="DH224" s="1684">
        <v>11253</v>
      </c>
      <c r="DI224" s="1684">
        <v>11253</v>
      </c>
      <c r="DJ224" s="1684">
        <v>0</v>
      </c>
      <c r="DK224" s="1684">
        <v>11253</v>
      </c>
      <c r="DL224" s="1684">
        <v>0</v>
      </c>
      <c r="DM224" s="1684">
        <v>0</v>
      </c>
      <c r="DN224" s="1684">
        <v>0</v>
      </c>
      <c r="DO224" s="1684">
        <v>0</v>
      </c>
      <c r="DP224" s="1684">
        <v>0</v>
      </c>
      <c r="DQ224" s="1326" t="s">
        <v>2810</v>
      </c>
      <c r="DR224" s="1684">
        <v>0</v>
      </c>
      <c r="DS224" s="1326" t="s">
        <v>2757</v>
      </c>
      <c r="DT224" s="1682"/>
      <c r="DU224" s="1326" t="s">
        <v>2757</v>
      </c>
      <c r="DV224" s="1682"/>
    </row>
    <row r="225" spans="1:126" ht="78.75">
      <c r="A225" s="1326" t="s">
        <v>1718</v>
      </c>
      <c r="B225" s="1326" t="s">
        <v>1690</v>
      </c>
      <c r="C225" s="1326" t="s">
        <v>2537</v>
      </c>
      <c r="D225" s="1326" t="s">
        <v>2538</v>
      </c>
      <c r="E225" s="1326" t="s">
        <v>269</v>
      </c>
      <c r="F225" s="1326" t="s">
        <v>273</v>
      </c>
      <c r="G225" s="1326" t="s">
        <v>2539</v>
      </c>
      <c r="H225" s="1326" t="s">
        <v>2540</v>
      </c>
      <c r="I225" s="1326" t="s">
        <v>2541</v>
      </c>
      <c r="J225" s="1326" t="s">
        <v>3956</v>
      </c>
      <c r="K225" s="1685">
        <v>42822</v>
      </c>
      <c r="L225" s="1685">
        <v>42907</v>
      </c>
      <c r="M225" s="1326" t="s">
        <v>3957</v>
      </c>
      <c r="N225" s="1326" t="s">
        <v>2137</v>
      </c>
      <c r="O225" s="1326" t="s">
        <v>4079</v>
      </c>
      <c r="P225" s="1326" t="s">
        <v>2757</v>
      </c>
      <c r="Q225" s="1326" t="s">
        <v>2025</v>
      </c>
      <c r="R225" s="1326" t="s">
        <v>2757</v>
      </c>
      <c r="S225" s="1326" t="s">
        <v>2757</v>
      </c>
      <c r="T225" s="1326"/>
      <c r="U225" s="1326" t="s">
        <v>3128</v>
      </c>
      <c r="V225" s="1326" t="s">
        <v>2757</v>
      </c>
      <c r="W225" s="1326" t="s">
        <v>2757</v>
      </c>
      <c r="X225" s="1326"/>
      <c r="Y225" s="1326" t="s">
        <v>2757</v>
      </c>
      <c r="Z225" s="1326"/>
      <c r="AA225" s="1326"/>
      <c r="AB225" s="1326" t="s">
        <v>2757</v>
      </c>
      <c r="AC225" s="1326" t="s">
        <v>2757</v>
      </c>
      <c r="AD225" s="1326" t="s">
        <v>2757</v>
      </c>
      <c r="AE225" s="1326"/>
      <c r="AF225" s="1326" t="s">
        <v>2789</v>
      </c>
      <c r="AG225" s="1326" t="s">
        <v>2790</v>
      </c>
      <c r="AH225" s="1326" t="s">
        <v>2791</v>
      </c>
      <c r="AI225" s="1326" t="s">
        <v>2762</v>
      </c>
      <c r="AJ225" s="1326" t="s">
        <v>2763</v>
      </c>
      <c r="AK225" s="1326" t="s">
        <v>2792</v>
      </c>
      <c r="AL225" s="1326" t="s">
        <v>2793</v>
      </c>
      <c r="AM225" s="1683">
        <v>100</v>
      </c>
      <c r="AN225" s="1326"/>
      <c r="AO225" s="1326"/>
      <c r="AP225" s="1326"/>
      <c r="AQ225" s="1326"/>
      <c r="AR225" s="1326"/>
      <c r="AS225" s="1326"/>
      <c r="AT225" s="1326" t="s">
        <v>2880</v>
      </c>
      <c r="AU225" s="1326" t="s">
        <v>2766</v>
      </c>
      <c r="AV225" s="1326" t="s">
        <v>2796</v>
      </c>
      <c r="AW225" s="1326"/>
      <c r="AX225" s="1326" t="s">
        <v>2909</v>
      </c>
      <c r="AY225" s="1326" t="s">
        <v>4052</v>
      </c>
      <c r="AZ225" s="1326" t="s">
        <v>4080</v>
      </c>
      <c r="BA225" s="1326" t="s">
        <v>4081</v>
      </c>
      <c r="BB225" s="1326" t="s">
        <v>2757</v>
      </c>
      <c r="BC225" s="1326" t="s">
        <v>2800</v>
      </c>
      <c r="BD225" s="1326" t="s">
        <v>2773</v>
      </c>
      <c r="BE225" s="1326" t="s">
        <v>4082</v>
      </c>
      <c r="BF225" s="1326" t="s">
        <v>4083</v>
      </c>
      <c r="BG225" s="1326" t="s">
        <v>4084</v>
      </c>
      <c r="BH225" s="1326" t="s">
        <v>2804</v>
      </c>
      <c r="BI225" s="1326" t="s">
        <v>4058</v>
      </c>
      <c r="BJ225" s="1326" t="s">
        <v>4085</v>
      </c>
      <c r="BK225" s="1326" t="s">
        <v>2880</v>
      </c>
      <c r="BL225" s="1326" t="s">
        <v>2757</v>
      </c>
      <c r="BM225" s="1326" t="s">
        <v>2757</v>
      </c>
      <c r="BN225" s="1683">
        <v>0</v>
      </c>
      <c r="BO225" s="1685">
        <v>42508</v>
      </c>
      <c r="BP225" s="1685">
        <v>43042</v>
      </c>
      <c r="BQ225" s="1326" t="s">
        <v>2779</v>
      </c>
      <c r="BR225" s="1685">
        <v>45657</v>
      </c>
      <c r="BS225" s="1326" t="s">
        <v>2807</v>
      </c>
      <c r="BT225" s="1326" t="s">
        <v>4086</v>
      </c>
      <c r="BU225" s="1683">
        <v>0</v>
      </c>
      <c r="BV225" s="1683">
        <v>0</v>
      </c>
      <c r="BW225" s="1685">
        <v>43098</v>
      </c>
      <c r="BX225" s="1685">
        <v>43161</v>
      </c>
      <c r="BY225" s="1326" t="s">
        <v>2130</v>
      </c>
      <c r="BZ225" s="1326" t="s">
        <v>2783</v>
      </c>
      <c r="CA225" s="1326" t="s">
        <v>2783</v>
      </c>
      <c r="CB225" s="1326" t="s">
        <v>2783</v>
      </c>
      <c r="CC225" s="1326" t="s">
        <v>2809</v>
      </c>
      <c r="CD225" s="1684">
        <v>13400</v>
      </c>
      <c r="CE225" s="1684">
        <v>13400</v>
      </c>
      <c r="CF225" s="1684">
        <v>11390</v>
      </c>
      <c r="CG225" s="1684">
        <v>85</v>
      </c>
      <c r="CH225" s="1684">
        <v>2010</v>
      </c>
      <c r="CI225" s="1684">
        <v>15</v>
      </c>
      <c r="CJ225" s="1684">
        <v>13400</v>
      </c>
      <c r="CK225" s="1684">
        <v>100</v>
      </c>
      <c r="CL225" s="1410" t="s">
        <v>2785</v>
      </c>
      <c r="CM225" s="1686">
        <v>42866</v>
      </c>
      <c r="CN225" s="1400"/>
      <c r="CO225" s="1326"/>
      <c r="CP225" s="1682"/>
      <c r="CQ225" s="1684">
        <v>11390</v>
      </c>
      <c r="CR225" s="1684">
        <v>11390</v>
      </c>
      <c r="CS225" s="1684">
        <v>0</v>
      </c>
      <c r="CT225" s="1326" t="s">
        <v>2785</v>
      </c>
      <c r="CU225" s="1686">
        <v>42885</v>
      </c>
      <c r="CV225" s="1684">
        <v>13400</v>
      </c>
      <c r="CW225" s="1684">
        <v>0</v>
      </c>
      <c r="CX225" s="1684">
        <v>0</v>
      </c>
      <c r="CY225" s="1684">
        <v>0</v>
      </c>
      <c r="CZ225" s="1684">
        <v>0</v>
      </c>
      <c r="DA225" s="1684">
        <v>13400</v>
      </c>
      <c r="DB225" s="1684">
        <v>0</v>
      </c>
      <c r="DC225" s="1684">
        <v>0</v>
      </c>
      <c r="DD225" s="1684">
        <v>13400</v>
      </c>
      <c r="DE225" s="1684">
        <v>11390</v>
      </c>
      <c r="DF225" s="1684">
        <v>11390</v>
      </c>
      <c r="DG225" s="1684">
        <v>0</v>
      </c>
      <c r="DH225" s="1684">
        <v>2010</v>
      </c>
      <c r="DI225" s="1684">
        <v>2010</v>
      </c>
      <c r="DJ225" s="1684">
        <v>0</v>
      </c>
      <c r="DK225" s="1684">
        <v>2010</v>
      </c>
      <c r="DL225" s="1684">
        <v>0</v>
      </c>
      <c r="DM225" s="1684">
        <v>0</v>
      </c>
      <c r="DN225" s="1684">
        <v>0</v>
      </c>
      <c r="DO225" s="1684">
        <v>0</v>
      </c>
      <c r="DP225" s="1684">
        <v>0</v>
      </c>
      <c r="DQ225" s="1326" t="s">
        <v>2810</v>
      </c>
      <c r="DR225" s="1684">
        <v>0</v>
      </c>
      <c r="DS225" s="1326" t="s">
        <v>2757</v>
      </c>
      <c r="DT225" s="1682"/>
      <c r="DU225" s="1326" t="s">
        <v>2757</v>
      </c>
      <c r="DV225" s="1682"/>
    </row>
    <row r="226" spans="1:126" ht="78.75">
      <c r="A226" s="1326" t="s">
        <v>1719</v>
      </c>
      <c r="B226" s="1326" t="s">
        <v>1690</v>
      </c>
      <c r="C226" s="1326" t="s">
        <v>2537</v>
      </c>
      <c r="D226" s="1326" t="s">
        <v>2538</v>
      </c>
      <c r="E226" s="1326" t="s">
        <v>269</v>
      </c>
      <c r="F226" s="1326" t="s">
        <v>273</v>
      </c>
      <c r="G226" s="1326" t="s">
        <v>2539</v>
      </c>
      <c r="H226" s="1326" t="s">
        <v>2540</v>
      </c>
      <c r="I226" s="1326" t="s">
        <v>2541</v>
      </c>
      <c r="J226" s="1326" t="s">
        <v>715</v>
      </c>
      <c r="K226" s="1685">
        <v>42838</v>
      </c>
      <c r="L226" s="1685">
        <v>42954</v>
      </c>
      <c r="M226" s="1326" t="s">
        <v>632</v>
      </c>
      <c r="N226" s="1326" t="s">
        <v>2137</v>
      </c>
      <c r="O226" s="1326" t="s">
        <v>3502</v>
      </c>
      <c r="P226" s="1326" t="s">
        <v>2757</v>
      </c>
      <c r="Q226" s="1326" t="s">
        <v>1707</v>
      </c>
      <c r="R226" s="1326" t="s">
        <v>2757</v>
      </c>
      <c r="S226" s="1326" t="s">
        <v>2757</v>
      </c>
      <c r="T226" s="1326"/>
      <c r="U226" s="1326" t="s">
        <v>3128</v>
      </c>
      <c r="V226" s="1326" t="s">
        <v>2757</v>
      </c>
      <c r="W226" s="1326" t="s">
        <v>2757</v>
      </c>
      <c r="X226" s="1326"/>
      <c r="Y226" s="1326" t="s">
        <v>2757</v>
      </c>
      <c r="Z226" s="1326"/>
      <c r="AA226" s="1326"/>
      <c r="AB226" s="1326" t="s">
        <v>2757</v>
      </c>
      <c r="AC226" s="1326" t="s">
        <v>2757</v>
      </c>
      <c r="AD226" s="1326" t="s">
        <v>2757</v>
      </c>
      <c r="AE226" s="1326"/>
      <c r="AF226" s="1326" t="s">
        <v>2789</v>
      </c>
      <c r="AG226" s="1326" t="s">
        <v>2790</v>
      </c>
      <c r="AH226" s="1326" t="s">
        <v>2791</v>
      </c>
      <c r="AI226" s="1326" t="s">
        <v>2762</v>
      </c>
      <c r="AJ226" s="1326" t="s">
        <v>2763</v>
      </c>
      <c r="AK226" s="1326" t="s">
        <v>2792</v>
      </c>
      <c r="AL226" s="1326" t="s">
        <v>2793</v>
      </c>
      <c r="AM226" s="1683">
        <v>100</v>
      </c>
      <c r="AN226" s="1326"/>
      <c r="AO226" s="1326"/>
      <c r="AP226" s="1326"/>
      <c r="AQ226" s="1326"/>
      <c r="AR226" s="1326"/>
      <c r="AS226" s="1326"/>
      <c r="AT226" s="1326" t="s">
        <v>2794</v>
      </c>
      <c r="AU226" s="1326" t="s">
        <v>2766</v>
      </c>
      <c r="AV226" s="1326" t="s">
        <v>2796</v>
      </c>
      <c r="AW226" s="1326"/>
      <c r="AX226" s="1326" t="s">
        <v>2909</v>
      </c>
      <c r="AY226" s="1326" t="s">
        <v>2798</v>
      </c>
      <c r="AZ226" s="1326" t="s">
        <v>345</v>
      </c>
      <c r="BA226" s="1326" t="s">
        <v>2799</v>
      </c>
      <c r="BB226" s="1326" t="s">
        <v>2757</v>
      </c>
      <c r="BC226" s="1326" t="s">
        <v>2800</v>
      </c>
      <c r="BD226" s="1326" t="s">
        <v>2773</v>
      </c>
      <c r="BE226" s="1326" t="s">
        <v>2801</v>
      </c>
      <c r="BF226" s="1326" t="s">
        <v>3503</v>
      </c>
      <c r="BG226" s="1326" t="s">
        <v>3504</v>
      </c>
      <c r="BH226" s="1326" t="s">
        <v>2804</v>
      </c>
      <c r="BI226" s="1326" t="s">
        <v>2805</v>
      </c>
      <c r="BJ226" s="1326" t="s">
        <v>2806</v>
      </c>
      <c r="BK226" s="1326" t="s">
        <v>2794</v>
      </c>
      <c r="BL226" s="1326" t="s">
        <v>2757</v>
      </c>
      <c r="BM226" s="1326" t="s">
        <v>2757</v>
      </c>
      <c r="BN226" s="1683">
        <v>0</v>
      </c>
      <c r="BO226" s="1685">
        <v>42775</v>
      </c>
      <c r="BP226" s="1685">
        <v>43281</v>
      </c>
      <c r="BQ226" s="1326" t="s">
        <v>2779</v>
      </c>
      <c r="BR226" s="1685">
        <v>45657</v>
      </c>
      <c r="BS226" s="1326" t="s">
        <v>2807</v>
      </c>
      <c r="BT226" s="1326" t="s">
        <v>3505</v>
      </c>
      <c r="BU226" s="1683">
        <v>0</v>
      </c>
      <c r="BV226" s="1683">
        <v>0</v>
      </c>
      <c r="BW226" s="1685">
        <v>43311</v>
      </c>
      <c r="BX226" s="1685">
        <v>43396</v>
      </c>
      <c r="BY226" s="1326" t="s">
        <v>2292</v>
      </c>
      <c r="BZ226" s="1326" t="s">
        <v>2783</v>
      </c>
      <c r="CA226" s="1326" t="s">
        <v>2783</v>
      </c>
      <c r="CB226" s="1326" t="s">
        <v>2783</v>
      </c>
      <c r="CC226" s="1326" t="s">
        <v>2809</v>
      </c>
      <c r="CD226" s="1684">
        <v>33638</v>
      </c>
      <c r="CE226" s="1684">
        <v>33638</v>
      </c>
      <c r="CF226" s="1684">
        <v>28592.3</v>
      </c>
      <c r="CG226" s="1684">
        <v>85</v>
      </c>
      <c r="CH226" s="1684">
        <v>5045.7</v>
      </c>
      <c r="CI226" s="1684">
        <v>15</v>
      </c>
      <c r="CJ226" s="1684">
        <v>33638</v>
      </c>
      <c r="CK226" s="1684">
        <v>100</v>
      </c>
      <c r="CL226" s="1410" t="s">
        <v>2785</v>
      </c>
      <c r="CM226" s="1686">
        <v>42886</v>
      </c>
      <c r="CN226" s="1400"/>
      <c r="CO226" s="1326"/>
      <c r="CP226" s="1682"/>
      <c r="CQ226" s="1684">
        <v>28592.3</v>
      </c>
      <c r="CR226" s="1684">
        <v>28592.3</v>
      </c>
      <c r="CS226" s="1684">
        <v>0</v>
      </c>
      <c r="CT226" s="1326" t="s">
        <v>2785</v>
      </c>
      <c r="CU226" s="1686">
        <v>42895</v>
      </c>
      <c r="CV226" s="1684">
        <v>33638</v>
      </c>
      <c r="CW226" s="1684">
        <v>0</v>
      </c>
      <c r="CX226" s="1684">
        <v>0</v>
      </c>
      <c r="CY226" s="1684">
        <v>0</v>
      </c>
      <c r="CZ226" s="1684">
        <v>0</v>
      </c>
      <c r="DA226" s="1684">
        <v>33638</v>
      </c>
      <c r="DB226" s="1684">
        <v>0</v>
      </c>
      <c r="DC226" s="1684">
        <v>0</v>
      </c>
      <c r="DD226" s="1684">
        <v>33638</v>
      </c>
      <c r="DE226" s="1684">
        <v>28592.3</v>
      </c>
      <c r="DF226" s="1684">
        <v>28592.3</v>
      </c>
      <c r="DG226" s="1684">
        <v>0</v>
      </c>
      <c r="DH226" s="1684">
        <v>5045.7</v>
      </c>
      <c r="DI226" s="1684">
        <v>5045.7</v>
      </c>
      <c r="DJ226" s="1684">
        <v>0</v>
      </c>
      <c r="DK226" s="1684">
        <v>5045.7</v>
      </c>
      <c r="DL226" s="1684">
        <v>0</v>
      </c>
      <c r="DM226" s="1684">
        <v>0</v>
      </c>
      <c r="DN226" s="1684">
        <v>0</v>
      </c>
      <c r="DO226" s="1684">
        <v>0</v>
      </c>
      <c r="DP226" s="1684">
        <v>0</v>
      </c>
      <c r="DQ226" s="1326" t="s">
        <v>2810</v>
      </c>
      <c r="DR226" s="1684">
        <v>0</v>
      </c>
      <c r="DS226" s="1326" t="s">
        <v>2757</v>
      </c>
      <c r="DT226" s="1682"/>
      <c r="DU226" s="1326" t="s">
        <v>2757</v>
      </c>
      <c r="DV226" s="1682"/>
    </row>
    <row r="227" spans="1:126" ht="135">
      <c r="A227" s="1326" t="s">
        <v>1720</v>
      </c>
      <c r="B227" s="1326" t="s">
        <v>1690</v>
      </c>
      <c r="C227" s="1326" t="s">
        <v>2537</v>
      </c>
      <c r="D227" s="1326" t="s">
        <v>2538</v>
      </c>
      <c r="E227" s="1326" t="s">
        <v>269</v>
      </c>
      <c r="F227" s="1326" t="s">
        <v>273</v>
      </c>
      <c r="G227" s="1326" t="s">
        <v>2539</v>
      </c>
      <c r="H227" s="1326" t="s">
        <v>2540</v>
      </c>
      <c r="I227" s="1326" t="s">
        <v>2541</v>
      </c>
      <c r="J227" s="1326" t="s">
        <v>3959</v>
      </c>
      <c r="K227" s="1685">
        <v>42867</v>
      </c>
      <c r="L227" s="1685">
        <v>42954</v>
      </c>
      <c r="M227" s="1326" t="s">
        <v>3960</v>
      </c>
      <c r="N227" s="1326" t="s">
        <v>2061</v>
      </c>
      <c r="O227" s="1326" t="s">
        <v>4087</v>
      </c>
      <c r="P227" s="1326" t="s">
        <v>2757</v>
      </c>
      <c r="Q227" s="1326" t="s">
        <v>1723</v>
      </c>
      <c r="R227" s="1326" t="s">
        <v>2757</v>
      </c>
      <c r="S227" s="1326" t="s">
        <v>2757</v>
      </c>
      <c r="T227" s="1326"/>
      <c r="U227" s="1326" t="s">
        <v>3128</v>
      </c>
      <c r="V227" s="1326" t="s">
        <v>2757</v>
      </c>
      <c r="W227" s="1326" t="s">
        <v>2757</v>
      </c>
      <c r="X227" s="1326"/>
      <c r="Y227" s="1326" t="s">
        <v>2757</v>
      </c>
      <c r="Z227" s="1326"/>
      <c r="AA227" s="1326"/>
      <c r="AB227" s="1326" t="s">
        <v>2757</v>
      </c>
      <c r="AC227" s="1326" t="s">
        <v>2757</v>
      </c>
      <c r="AD227" s="1326" t="s">
        <v>2757</v>
      </c>
      <c r="AE227" s="1326"/>
      <c r="AF227" s="1326" t="s">
        <v>2789</v>
      </c>
      <c r="AG227" s="1326" t="s">
        <v>2790</v>
      </c>
      <c r="AH227" s="1326" t="s">
        <v>2791</v>
      </c>
      <c r="AI227" s="1326" t="s">
        <v>2762</v>
      </c>
      <c r="AJ227" s="1326" t="s">
        <v>2763</v>
      </c>
      <c r="AK227" s="1326" t="s">
        <v>2792</v>
      </c>
      <c r="AL227" s="1326" t="s">
        <v>2793</v>
      </c>
      <c r="AM227" s="1683">
        <v>100</v>
      </c>
      <c r="AN227" s="1326"/>
      <c r="AO227" s="1326"/>
      <c r="AP227" s="1326"/>
      <c r="AQ227" s="1326"/>
      <c r="AR227" s="1326"/>
      <c r="AS227" s="1326"/>
      <c r="AT227" s="1326" t="s">
        <v>2794</v>
      </c>
      <c r="AU227" s="1326" t="s">
        <v>2766</v>
      </c>
      <c r="AV227" s="1326" t="s">
        <v>2796</v>
      </c>
      <c r="AW227" s="1326"/>
      <c r="AX227" s="1326" t="s">
        <v>2909</v>
      </c>
      <c r="AY227" s="1326" t="s">
        <v>2769</v>
      </c>
      <c r="AZ227" s="1326" t="s">
        <v>4088</v>
      </c>
      <c r="BA227" s="1326" t="s">
        <v>4089</v>
      </c>
      <c r="BB227" s="1326" t="s">
        <v>2757</v>
      </c>
      <c r="BC227" s="1326" t="s">
        <v>2800</v>
      </c>
      <c r="BD227" s="1326" t="s">
        <v>2773</v>
      </c>
      <c r="BE227" s="1326" t="s">
        <v>4090</v>
      </c>
      <c r="BF227" s="1326" t="s">
        <v>4091</v>
      </c>
      <c r="BG227" s="1326" t="s">
        <v>4092</v>
      </c>
      <c r="BH227" s="1326" t="s">
        <v>2804</v>
      </c>
      <c r="BI227" s="1326" t="s">
        <v>2777</v>
      </c>
      <c r="BJ227" s="1326" t="s">
        <v>2778</v>
      </c>
      <c r="BK227" s="1326" t="s">
        <v>2794</v>
      </c>
      <c r="BL227" s="1326" t="s">
        <v>2757</v>
      </c>
      <c r="BM227" s="1326" t="s">
        <v>2757</v>
      </c>
      <c r="BN227" s="1683">
        <v>0</v>
      </c>
      <c r="BO227" s="1685">
        <v>42719</v>
      </c>
      <c r="BP227" s="1685">
        <v>43646</v>
      </c>
      <c r="BQ227" s="1326" t="s">
        <v>2779</v>
      </c>
      <c r="BR227" s="1685">
        <v>46022</v>
      </c>
      <c r="BS227" s="1326" t="s">
        <v>2911</v>
      </c>
      <c r="BT227" s="1326" t="s">
        <v>4093</v>
      </c>
      <c r="BU227" s="1683">
        <v>0</v>
      </c>
      <c r="BV227" s="1683">
        <v>0</v>
      </c>
      <c r="BW227" s="1685">
        <v>43676</v>
      </c>
      <c r="BX227" s="1682"/>
      <c r="BY227" s="1326" t="s">
        <v>4094</v>
      </c>
      <c r="BZ227" s="1326" t="s">
        <v>2783</v>
      </c>
      <c r="CA227" s="1326" t="s">
        <v>2783</v>
      </c>
      <c r="CB227" s="1326" t="s">
        <v>2783</v>
      </c>
      <c r="CC227" s="1326" t="s">
        <v>2809</v>
      </c>
      <c r="CD227" s="1684">
        <v>529400</v>
      </c>
      <c r="CE227" s="1684">
        <v>529400</v>
      </c>
      <c r="CF227" s="1684">
        <v>450000</v>
      </c>
      <c r="CG227" s="1684">
        <v>85</v>
      </c>
      <c r="CH227" s="1684">
        <v>79400</v>
      </c>
      <c r="CI227" s="1684">
        <v>15</v>
      </c>
      <c r="CJ227" s="1684">
        <v>529400</v>
      </c>
      <c r="CK227" s="1684">
        <v>100</v>
      </c>
      <c r="CL227" s="1410" t="s">
        <v>2785</v>
      </c>
      <c r="CM227" s="1686">
        <v>42880</v>
      </c>
      <c r="CN227" s="1400"/>
      <c r="CO227" s="1326"/>
      <c r="CP227" s="1682"/>
      <c r="CQ227" s="1684">
        <v>450000</v>
      </c>
      <c r="CR227" s="1684">
        <v>450000</v>
      </c>
      <c r="CS227" s="1684">
        <v>0</v>
      </c>
      <c r="CT227" s="1326" t="s">
        <v>2785</v>
      </c>
      <c r="CU227" s="1686">
        <v>42930</v>
      </c>
      <c r="CV227" s="1684">
        <v>529400</v>
      </c>
      <c r="CW227" s="1684">
        <v>0</v>
      </c>
      <c r="CX227" s="1684">
        <v>0</v>
      </c>
      <c r="CY227" s="1684">
        <v>0</v>
      </c>
      <c r="CZ227" s="1684">
        <v>0</v>
      </c>
      <c r="DA227" s="1684">
        <v>529400</v>
      </c>
      <c r="DB227" s="1684">
        <v>0</v>
      </c>
      <c r="DC227" s="1684">
        <v>0</v>
      </c>
      <c r="DD227" s="1684">
        <v>529400</v>
      </c>
      <c r="DE227" s="1684">
        <v>450000</v>
      </c>
      <c r="DF227" s="1684">
        <v>450000</v>
      </c>
      <c r="DG227" s="1684">
        <v>0</v>
      </c>
      <c r="DH227" s="1684">
        <v>79400</v>
      </c>
      <c r="DI227" s="1684">
        <v>79400</v>
      </c>
      <c r="DJ227" s="1684">
        <v>0</v>
      </c>
      <c r="DK227" s="1684">
        <v>79400</v>
      </c>
      <c r="DL227" s="1684">
        <v>0</v>
      </c>
      <c r="DM227" s="1684">
        <v>0</v>
      </c>
      <c r="DN227" s="1684">
        <v>0</v>
      </c>
      <c r="DO227" s="1684">
        <v>0</v>
      </c>
      <c r="DP227" s="1684">
        <v>0</v>
      </c>
      <c r="DQ227" s="1326" t="s">
        <v>2810</v>
      </c>
      <c r="DR227" s="1684">
        <v>0</v>
      </c>
      <c r="DS227" s="1326" t="s">
        <v>2757</v>
      </c>
      <c r="DT227" s="1682"/>
      <c r="DU227" s="1326" t="s">
        <v>2757</v>
      </c>
      <c r="DV227" s="1682"/>
    </row>
    <row r="228" spans="1:126" ht="146.25">
      <c r="A228" s="1326" t="s">
        <v>1721</v>
      </c>
      <c r="B228" s="1326" t="s">
        <v>1690</v>
      </c>
      <c r="C228" s="1326" t="s">
        <v>2537</v>
      </c>
      <c r="D228" s="1326" t="s">
        <v>2538</v>
      </c>
      <c r="E228" s="1326" t="s">
        <v>269</v>
      </c>
      <c r="F228" s="1326" t="s">
        <v>273</v>
      </c>
      <c r="G228" s="1326" t="s">
        <v>2539</v>
      </c>
      <c r="H228" s="1326" t="s">
        <v>2540</v>
      </c>
      <c r="I228" s="1326" t="s">
        <v>2541</v>
      </c>
      <c r="J228" s="1326" t="s">
        <v>3962</v>
      </c>
      <c r="K228" s="1685">
        <v>42990</v>
      </c>
      <c r="L228" s="1685">
        <v>43103</v>
      </c>
      <c r="M228" s="1326" t="s">
        <v>3963</v>
      </c>
      <c r="N228" s="1326" t="s">
        <v>2061</v>
      </c>
      <c r="O228" s="1326" t="s">
        <v>4095</v>
      </c>
      <c r="P228" s="1326" t="s">
        <v>2757</v>
      </c>
      <c r="Q228" s="1326" t="s">
        <v>1721</v>
      </c>
      <c r="R228" s="1326" t="s">
        <v>2757</v>
      </c>
      <c r="S228" s="1326" t="s">
        <v>2757</v>
      </c>
      <c r="T228" s="1326"/>
      <c r="U228" s="1326" t="s">
        <v>3128</v>
      </c>
      <c r="V228" s="1326" t="s">
        <v>2757</v>
      </c>
      <c r="W228" s="1326" t="s">
        <v>2757</v>
      </c>
      <c r="X228" s="1326"/>
      <c r="Y228" s="1326" t="s">
        <v>2757</v>
      </c>
      <c r="Z228" s="1326"/>
      <c r="AA228" s="1326"/>
      <c r="AB228" s="1326" t="s">
        <v>2757</v>
      </c>
      <c r="AC228" s="1326" t="s">
        <v>2757</v>
      </c>
      <c r="AD228" s="1326" t="s">
        <v>2757</v>
      </c>
      <c r="AE228" s="1326"/>
      <c r="AF228" s="1326" t="s">
        <v>2789</v>
      </c>
      <c r="AG228" s="1326" t="s">
        <v>2790</v>
      </c>
      <c r="AH228" s="1326" t="s">
        <v>2791</v>
      </c>
      <c r="AI228" s="1326" t="s">
        <v>2762</v>
      </c>
      <c r="AJ228" s="1326" t="s">
        <v>2763</v>
      </c>
      <c r="AK228" s="1326" t="s">
        <v>2792</v>
      </c>
      <c r="AL228" s="1326" t="s">
        <v>2793</v>
      </c>
      <c r="AM228" s="1683">
        <v>100</v>
      </c>
      <c r="AN228" s="1326"/>
      <c r="AO228" s="1326"/>
      <c r="AP228" s="1326"/>
      <c r="AQ228" s="1326"/>
      <c r="AR228" s="1326"/>
      <c r="AS228" s="1326"/>
      <c r="AT228" s="1326" t="s">
        <v>2794</v>
      </c>
      <c r="AU228" s="1326" t="s">
        <v>2766</v>
      </c>
      <c r="AV228" s="1326" t="s">
        <v>2796</v>
      </c>
      <c r="AW228" s="1326"/>
      <c r="AX228" s="1326" t="s">
        <v>2909</v>
      </c>
      <c r="AY228" s="1326" t="s">
        <v>3084</v>
      </c>
      <c r="AZ228" s="1326" t="s">
        <v>3085</v>
      </c>
      <c r="BA228" s="1326" t="s">
        <v>3086</v>
      </c>
      <c r="BB228" s="1326" t="s">
        <v>2757</v>
      </c>
      <c r="BC228" s="1326" t="s">
        <v>2800</v>
      </c>
      <c r="BD228" s="1326" t="s">
        <v>2773</v>
      </c>
      <c r="BE228" s="1326" t="s">
        <v>3087</v>
      </c>
      <c r="BF228" s="1326" t="s">
        <v>4096</v>
      </c>
      <c r="BG228" s="1326" t="s">
        <v>4097</v>
      </c>
      <c r="BH228" s="1326" t="s">
        <v>2804</v>
      </c>
      <c r="BI228" s="1326" t="s">
        <v>3090</v>
      </c>
      <c r="BJ228" s="1326" t="s">
        <v>3091</v>
      </c>
      <c r="BK228" s="1326" t="s">
        <v>2794</v>
      </c>
      <c r="BL228" s="1326" t="s">
        <v>2757</v>
      </c>
      <c r="BM228" s="1326" t="s">
        <v>2757</v>
      </c>
      <c r="BN228" s="1683">
        <v>0</v>
      </c>
      <c r="BO228" s="1685">
        <v>42942</v>
      </c>
      <c r="BP228" s="1685">
        <v>43738</v>
      </c>
      <c r="BQ228" s="1326" t="s">
        <v>2779</v>
      </c>
      <c r="BR228" s="1685">
        <v>46022</v>
      </c>
      <c r="BS228" s="1326" t="s">
        <v>4098</v>
      </c>
      <c r="BT228" s="1326" t="s">
        <v>4099</v>
      </c>
      <c r="BU228" s="1683">
        <v>0</v>
      </c>
      <c r="BV228" s="1683">
        <v>0</v>
      </c>
      <c r="BW228" s="1685">
        <v>43768</v>
      </c>
      <c r="BX228" s="1682"/>
      <c r="BY228" s="1326" t="s">
        <v>4100</v>
      </c>
      <c r="BZ228" s="1326" t="s">
        <v>2783</v>
      </c>
      <c r="CA228" s="1326" t="s">
        <v>2783</v>
      </c>
      <c r="CB228" s="1326" t="s">
        <v>2783</v>
      </c>
      <c r="CC228" s="1326" t="s">
        <v>2809</v>
      </c>
      <c r="CD228" s="1684">
        <v>239943</v>
      </c>
      <c r="CE228" s="1684">
        <v>239943</v>
      </c>
      <c r="CF228" s="1684">
        <v>203951.55</v>
      </c>
      <c r="CG228" s="1684">
        <v>85</v>
      </c>
      <c r="CH228" s="1684">
        <v>35991.449999999997</v>
      </c>
      <c r="CI228" s="1684">
        <v>15</v>
      </c>
      <c r="CJ228" s="1684">
        <v>239943</v>
      </c>
      <c r="CK228" s="1684">
        <v>100</v>
      </c>
      <c r="CL228" s="1410" t="s">
        <v>2785</v>
      </c>
      <c r="CM228" s="1686">
        <v>43039</v>
      </c>
      <c r="CN228" s="1400"/>
      <c r="CO228" s="1326"/>
      <c r="CP228" s="1682"/>
      <c r="CQ228" s="1684">
        <v>203951.55</v>
      </c>
      <c r="CR228" s="1684">
        <v>203951.55</v>
      </c>
      <c r="CS228" s="1684">
        <v>0</v>
      </c>
      <c r="CT228" s="1326" t="s">
        <v>2785</v>
      </c>
      <c r="CU228" s="1686">
        <v>43060</v>
      </c>
      <c r="CV228" s="1684">
        <v>239943</v>
      </c>
      <c r="CW228" s="1684">
        <v>0</v>
      </c>
      <c r="CX228" s="1684">
        <v>0</v>
      </c>
      <c r="CY228" s="1684">
        <v>0</v>
      </c>
      <c r="CZ228" s="1684">
        <v>0</v>
      </c>
      <c r="DA228" s="1684">
        <v>239943</v>
      </c>
      <c r="DB228" s="1684">
        <v>0</v>
      </c>
      <c r="DC228" s="1684">
        <v>0</v>
      </c>
      <c r="DD228" s="1684">
        <v>239943</v>
      </c>
      <c r="DE228" s="1684">
        <v>203951.55</v>
      </c>
      <c r="DF228" s="1684">
        <v>203951.55</v>
      </c>
      <c r="DG228" s="1684">
        <v>0</v>
      </c>
      <c r="DH228" s="1684">
        <v>35991.449999999997</v>
      </c>
      <c r="DI228" s="1684">
        <v>35991.449999999997</v>
      </c>
      <c r="DJ228" s="1684">
        <v>0</v>
      </c>
      <c r="DK228" s="1684">
        <v>35991.449999999997</v>
      </c>
      <c r="DL228" s="1684">
        <v>0</v>
      </c>
      <c r="DM228" s="1684">
        <v>0</v>
      </c>
      <c r="DN228" s="1684">
        <v>0</v>
      </c>
      <c r="DO228" s="1684">
        <v>0</v>
      </c>
      <c r="DP228" s="1684">
        <v>0</v>
      </c>
      <c r="DQ228" s="1326" t="s">
        <v>2810</v>
      </c>
      <c r="DR228" s="1684">
        <v>0</v>
      </c>
      <c r="DS228" s="1326" t="s">
        <v>2757</v>
      </c>
      <c r="DT228" s="1682"/>
      <c r="DU228" s="1326" t="s">
        <v>2757</v>
      </c>
      <c r="DV228" s="1682"/>
    </row>
    <row r="229" spans="1:126" ht="78.75">
      <c r="A229" s="1326" t="s">
        <v>1722</v>
      </c>
      <c r="B229" s="1326" t="s">
        <v>1690</v>
      </c>
      <c r="C229" s="1326" t="s">
        <v>2537</v>
      </c>
      <c r="D229" s="1326" t="s">
        <v>2538</v>
      </c>
      <c r="E229" s="1326" t="s">
        <v>269</v>
      </c>
      <c r="F229" s="1326" t="s">
        <v>273</v>
      </c>
      <c r="G229" s="1326" t="s">
        <v>2539</v>
      </c>
      <c r="H229" s="1326" t="s">
        <v>2540</v>
      </c>
      <c r="I229" s="1326" t="s">
        <v>2541</v>
      </c>
      <c r="J229" s="1326" t="s">
        <v>4101</v>
      </c>
      <c r="K229" s="1685">
        <v>43006</v>
      </c>
      <c r="L229" s="1685">
        <v>43105</v>
      </c>
      <c r="M229" s="1326" t="s">
        <v>4102</v>
      </c>
      <c r="N229" s="1326" t="s">
        <v>2061</v>
      </c>
      <c r="O229" s="1326" t="s">
        <v>4103</v>
      </c>
      <c r="P229" s="1326" t="s">
        <v>2757</v>
      </c>
      <c r="Q229" s="1326" t="s">
        <v>1711</v>
      </c>
      <c r="R229" s="1326" t="s">
        <v>2757</v>
      </c>
      <c r="S229" s="1326" t="s">
        <v>2757</v>
      </c>
      <c r="T229" s="1326"/>
      <c r="U229" s="1326" t="s">
        <v>3128</v>
      </c>
      <c r="V229" s="1326" t="s">
        <v>2757</v>
      </c>
      <c r="W229" s="1326" t="s">
        <v>2757</v>
      </c>
      <c r="X229" s="1326"/>
      <c r="Y229" s="1326" t="s">
        <v>2757</v>
      </c>
      <c r="Z229" s="1326"/>
      <c r="AA229" s="1326"/>
      <c r="AB229" s="1326" t="s">
        <v>2757</v>
      </c>
      <c r="AC229" s="1326" t="s">
        <v>2757</v>
      </c>
      <c r="AD229" s="1326" t="s">
        <v>2757</v>
      </c>
      <c r="AE229" s="1326"/>
      <c r="AF229" s="1326" t="s">
        <v>2789</v>
      </c>
      <c r="AG229" s="1326" t="s">
        <v>2790</v>
      </c>
      <c r="AH229" s="1326" t="s">
        <v>2791</v>
      </c>
      <c r="AI229" s="1326" t="s">
        <v>2762</v>
      </c>
      <c r="AJ229" s="1326" t="s">
        <v>2763</v>
      </c>
      <c r="AK229" s="1326" t="s">
        <v>2792</v>
      </c>
      <c r="AL229" s="1326" t="s">
        <v>2793</v>
      </c>
      <c r="AM229" s="1683">
        <v>100</v>
      </c>
      <c r="AN229" s="1326"/>
      <c r="AO229" s="1326"/>
      <c r="AP229" s="1326"/>
      <c r="AQ229" s="1326"/>
      <c r="AR229" s="1326"/>
      <c r="AS229" s="1326"/>
      <c r="AT229" s="1326" t="s">
        <v>2880</v>
      </c>
      <c r="AU229" s="1326" t="s">
        <v>2766</v>
      </c>
      <c r="AV229" s="1326" t="s">
        <v>2796</v>
      </c>
      <c r="AW229" s="1326"/>
      <c r="AX229" s="1326" t="s">
        <v>2909</v>
      </c>
      <c r="AY229" s="1326" t="s">
        <v>3075</v>
      </c>
      <c r="AZ229" s="1326" t="s">
        <v>3381</v>
      </c>
      <c r="BA229" s="1326" t="s">
        <v>3380</v>
      </c>
      <c r="BB229" s="1326" t="s">
        <v>2757</v>
      </c>
      <c r="BC229" s="1326" t="s">
        <v>2800</v>
      </c>
      <c r="BD229" s="1326" t="s">
        <v>2773</v>
      </c>
      <c r="BE229" s="1326" t="s">
        <v>4104</v>
      </c>
      <c r="BF229" s="1326" t="s">
        <v>4105</v>
      </c>
      <c r="BG229" s="1326" t="s">
        <v>4106</v>
      </c>
      <c r="BH229" s="1326" t="s">
        <v>2804</v>
      </c>
      <c r="BI229" s="1326" t="s">
        <v>3081</v>
      </c>
      <c r="BJ229" s="1326" t="s">
        <v>4107</v>
      </c>
      <c r="BK229" s="1326" t="s">
        <v>2880</v>
      </c>
      <c r="BL229" s="1326" t="s">
        <v>2757</v>
      </c>
      <c r="BM229" s="1326" t="s">
        <v>2757</v>
      </c>
      <c r="BN229" s="1683">
        <v>0</v>
      </c>
      <c r="BO229" s="1685">
        <v>43003</v>
      </c>
      <c r="BP229" s="1685">
        <v>43524</v>
      </c>
      <c r="BQ229" s="1326" t="s">
        <v>2779</v>
      </c>
      <c r="BR229" s="1685">
        <v>46022</v>
      </c>
      <c r="BS229" s="1326" t="s">
        <v>4108</v>
      </c>
      <c r="BT229" s="1326" t="s">
        <v>4109</v>
      </c>
      <c r="BU229" s="1683">
        <v>0</v>
      </c>
      <c r="BV229" s="1683">
        <v>0</v>
      </c>
      <c r="BW229" s="1685">
        <v>43556</v>
      </c>
      <c r="BX229" s="1682"/>
      <c r="BY229" s="1326" t="s">
        <v>2052</v>
      </c>
      <c r="BZ229" s="1326" t="s">
        <v>2783</v>
      </c>
      <c r="CA229" s="1326" t="s">
        <v>2783</v>
      </c>
      <c r="CB229" s="1326" t="s">
        <v>2783</v>
      </c>
      <c r="CC229" s="1326" t="s">
        <v>2809</v>
      </c>
      <c r="CD229" s="1684">
        <v>34524.93</v>
      </c>
      <c r="CE229" s="1684">
        <v>34524.93</v>
      </c>
      <c r="CF229" s="1684">
        <v>29346.19</v>
      </c>
      <c r="CG229" s="1684">
        <v>85</v>
      </c>
      <c r="CH229" s="1684">
        <v>5178.74</v>
      </c>
      <c r="CI229" s="1684">
        <v>15</v>
      </c>
      <c r="CJ229" s="1684">
        <v>34524.93</v>
      </c>
      <c r="CK229" s="1684">
        <v>100</v>
      </c>
      <c r="CL229" s="1410" t="s">
        <v>2785</v>
      </c>
      <c r="CM229" s="1686">
        <v>43052</v>
      </c>
      <c r="CN229" s="1400"/>
      <c r="CO229" s="1326"/>
      <c r="CP229" s="1682"/>
      <c r="CQ229" s="1684">
        <v>29346.19</v>
      </c>
      <c r="CR229" s="1684">
        <v>29346.19</v>
      </c>
      <c r="CS229" s="1684">
        <v>0</v>
      </c>
      <c r="CT229" s="1326" t="s">
        <v>2785</v>
      </c>
      <c r="CU229" s="1686">
        <v>43066</v>
      </c>
      <c r="CV229" s="1684">
        <v>34524.93</v>
      </c>
      <c r="CW229" s="1684">
        <v>0</v>
      </c>
      <c r="CX229" s="1684">
        <v>0</v>
      </c>
      <c r="CY229" s="1684">
        <v>0</v>
      </c>
      <c r="CZ229" s="1684">
        <v>0</v>
      </c>
      <c r="DA229" s="1684">
        <v>34485</v>
      </c>
      <c r="DB229" s="1684">
        <v>39.93</v>
      </c>
      <c r="DC229" s="1684">
        <v>0</v>
      </c>
      <c r="DD229" s="1684">
        <v>34524.93</v>
      </c>
      <c r="DE229" s="1684">
        <v>29346.19</v>
      </c>
      <c r="DF229" s="1684">
        <v>29346.19</v>
      </c>
      <c r="DG229" s="1684">
        <v>0</v>
      </c>
      <c r="DH229" s="1684">
        <v>5178.74</v>
      </c>
      <c r="DI229" s="1684">
        <v>5178.74</v>
      </c>
      <c r="DJ229" s="1684">
        <v>0</v>
      </c>
      <c r="DK229" s="1684">
        <v>5178.74</v>
      </c>
      <c r="DL229" s="1684">
        <v>0</v>
      </c>
      <c r="DM229" s="1684">
        <v>0</v>
      </c>
      <c r="DN229" s="1684">
        <v>0</v>
      </c>
      <c r="DO229" s="1684">
        <v>0</v>
      </c>
      <c r="DP229" s="1684">
        <v>0</v>
      </c>
      <c r="DQ229" s="1326" t="s">
        <v>2810</v>
      </c>
      <c r="DR229" s="1684">
        <v>0</v>
      </c>
      <c r="DS229" s="1326" t="s">
        <v>2757</v>
      </c>
      <c r="DT229" s="1682"/>
      <c r="DU229" s="1326" t="s">
        <v>2757</v>
      </c>
      <c r="DV229" s="1682"/>
    </row>
  </sheetData>
  <autoFilter ref="A18:DV456" xr:uid="{00000000-0009-0000-0000-00003F000000}"/>
  <mergeCells count="340">
    <mergeCell ref="A1:M1"/>
    <mergeCell ref="A3:M3"/>
    <mergeCell ref="A5:E5"/>
    <mergeCell ref="F5:M5"/>
    <mergeCell ref="A6:E6"/>
    <mergeCell ref="F6:M6"/>
    <mergeCell ref="A7:E7"/>
    <mergeCell ref="F7:M7"/>
    <mergeCell ref="A9:A11"/>
    <mergeCell ref="B9:B11"/>
    <mergeCell ref="C9:C11"/>
    <mergeCell ref="D9:D11"/>
    <mergeCell ref="E9:E11"/>
    <mergeCell ref="F9:F11"/>
    <mergeCell ref="G9:G11"/>
    <mergeCell ref="H9:H11"/>
    <mergeCell ref="O9:O11"/>
    <mergeCell ref="P9:P11"/>
    <mergeCell ref="Q9:Q11"/>
    <mergeCell ref="R9:R11"/>
    <mergeCell ref="S9:S11"/>
    <mergeCell ref="T9:T11"/>
    <mergeCell ref="I9:I11"/>
    <mergeCell ref="J9:J11"/>
    <mergeCell ref="K9:K11"/>
    <mergeCell ref="L9:L11"/>
    <mergeCell ref="M9:M11"/>
    <mergeCell ref="N9:N11"/>
    <mergeCell ref="AB9:AB11"/>
    <mergeCell ref="AC9:AC11"/>
    <mergeCell ref="AD9:AD11"/>
    <mergeCell ref="AE9:AE11"/>
    <mergeCell ref="AF9:AF11"/>
    <mergeCell ref="AG9:AG11"/>
    <mergeCell ref="U9:U11"/>
    <mergeCell ref="V9:V11"/>
    <mergeCell ref="W9:W11"/>
    <mergeCell ref="X9:X11"/>
    <mergeCell ref="Y9:Y11"/>
    <mergeCell ref="Z9:AA11"/>
    <mergeCell ref="AU9:AU11"/>
    <mergeCell ref="AV9:AV11"/>
    <mergeCell ref="AW9:AW11"/>
    <mergeCell ref="AX9:AX11"/>
    <mergeCell ref="AY9:AY11"/>
    <mergeCell ref="AZ9:AZ11"/>
    <mergeCell ref="AH9:AH11"/>
    <mergeCell ref="AI9:AJ11"/>
    <mergeCell ref="AK9:AK11"/>
    <mergeCell ref="AL9:AL11"/>
    <mergeCell ref="AM9:AS11"/>
    <mergeCell ref="AT9:AT11"/>
    <mergeCell ref="BI9:BI11"/>
    <mergeCell ref="BJ9:BJ11"/>
    <mergeCell ref="BK9:BK11"/>
    <mergeCell ref="BL9:BL11"/>
    <mergeCell ref="BM9:BM11"/>
    <mergeCell ref="BN9:BN11"/>
    <mergeCell ref="BA9:BA11"/>
    <mergeCell ref="BB9:BB11"/>
    <mergeCell ref="BC9:BC11"/>
    <mergeCell ref="BD9:BD11"/>
    <mergeCell ref="BE9:BG11"/>
    <mergeCell ref="BH9:BH11"/>
    <mergeCell ref="BW9:BW11"/>
    <mergeCell ref="BX9:BX11"/>
    <mergeCell ref="BY9:BY11"/>
    <mergeCell ref="BZ9:BZ11"/>
    <mergeCell ref="BO9:BO11"/>
    <mergeCell ref="BP9:BP11"/>
    <mergeCell ref="BQ9:BQ11"/>
    <mergeCell ref="BR9:BR11"/>
    <mergeCell ref="BS9:BS11"/>
    <mergeCell ref="BT9:BT11"/>
    <mergeCell ref="DD9:DD11"/>
    <mergeCell ref="DE9:DP11"/>
    <mergeCell ref="DQ9:DQ11"/>
    <mergeCell ref="DR9:DR11"/>
    <mergeCell ref="DS9:DT11"/>
    <mergeCell ref="DU9:DV11"/>
    <mergeCell ref="CA9:CA11"/>
    <mergeCell ref="CB9:CB11"/>
    <mergeCell ref="CC9:CC11"/>
    <mergeCell ref="CD9:CU9"/>
    <mergeCell ref="CV9:CV11"/>
    <mergeCell ref="CW9:DC11"/>
    <mergeCell ref="CD10:CM10"/>
    <mergeCell ref="CN10:CP10"/>
    <mergeCell ref="CQ10:CU10"/>
    <mergeCell ref="CD11:CK12"/>
    <mergeCell ref="DC12:DC15"/>
    <mergeCell ref="DD12:DD15"/>
    <mergeCell ref="DE12:DE15"/>
    <mergeCell ref="DF12:DF15"/>
    <mergeCell ref="CC12:CC15"/>
    <mergeCell ref="CV12:CV15"/>
    <mergeCell ref="CW12:CW15"/>
    <mergeCell ref="CX12:CX15"/>
    <mergeCell ref="I12:I15"/>
    <mergeCell ref="J12:J15"/>
    <mergeCell ref="K12:K15"/>
    <mergeCell ref="L12:L15"/>
    <mergeCell ref="M12:M15"/>
    <mergeCell ref="N12:N15"/>
    <mergeCell ref="CT11:CT12"/>
    <mergeCell ref="CU11:CU12"/>
    <mergeCell ref="A12:A15"/>
    <mergeCell ref="B12:B15"/>
    <mergeCell ref="C12:C15"/>
    <mergeCell ref="D12:D15"/>
    <mergeCell ref="E12:E15"/>
    <mergeCell ref="F12:F15"/>
    <mergeCell ref="G12:G15"/>
    <mergeCell ref="H12:H15"/>
    <mergeCell ref="CL11:CL12"/>
    <mergeCell ref="CM11:CM12"/>
    <mergeCell ref="CN11:CN12"/>
    <mergeCell ref="CO11:CO12"/>
    <mergeCell ref="CP11:CP12"/>
    <mergeCell ref="CQ11:CS12"/>
    <mergeCell ref="BU9:BU11"/>
    <mergeCell ref="BV9:BV11"/>
    <mergeCell ref="U12:U15"/>
    <mergeCell ref="V12:V15"/>
    <mergeCell ref="W12:W15"/>
    <mergeCell ref="X12:X15"/>
    <mergeCell ref="Y12:Y15"/>
    <mergeCell ref="Z12:Z15"/>
    <mergeCell ref="O12:O15"/>
    <mergeCell ref="P12:P15"/>
    <mergeCell ref="Q12:Q15"/>
    <mergeCell ref="R12:R15"/>
    <mergeCell ref="S12:S15"/>
    <mergeCell ref="T12:T15"/>
    <mergeCell ref="AG12:AG15"/>
    <mergeCell ref="AH12:AH15"/>
    <mergeCell ref="AI12:AI15"/>
    <mergeCell ref="AJ12:AJ15"/>
    <mergeCell ref="AK12:AK15"/>
    <mergeCell ref="AL12:AL15"/>
    <mergeCell ref="AA12:AA15"/>
    <mergeCell ref="AB12:AB15"/>
    <mergeCell ref="AC12:AC15"/>
    <mergeCell ref="AD12:AD15"/>
    <mergeCell ref="AE12:AE15"/>
    <mergeCell ref="AF12:AF15"/>
    <mergeCell ref="AS12:AS15"/>
    <mergeCell ref="AT12:AT15"/>
    <mergeCell ref="AU12:AU15"/>
    <mergeCell ref="AV12:AV15"/>
    <mergeCell ref="AW12:AW15"/>
    <mergeCell ref="AX12:AX15"/>
    <mergeCell ref="AM12:AM15"/>
    <mergeCell ref="AN12:AN15"/>
    <mergeCell ref="AO12:AO15"/>
    <mergeCell ref="AP12:AP15"/>
    <mergeCell ref="AQ12:AQ15"/>
    <mergeCell ref="AR12:AR15"/>
    <mergeCell ref="BE12:BE15"/>
    <mergeCell ref="BF12:BF15"/>
    <mergeCell ref="BG12:BG15"/>
    <mergeCell ref="BH12:BH15"/>
    <mergeCell ref="BI12:BI15"/>
    <mergeCell ref="BJ12:BJ15"/>
    <mergeCell ref="AY12:AY15"/>
    <mergeCell ref="AZ12:AZ15"/>
    <mergeCell ref="BA12:BA15"/>
    <mergeCell ref="BB12:BB15"/>
    <mergeCell ref="BC12:BC15"/>
    <mergeCell ref="BD12:BD15"/>
    <mergeCell ref="BQ12:BQ15"/>
    <mergeCell ref="BR12:BR15"/>
    <mergeCell ref="BS12:BS15"/>
    <mergeCell ref="BT12:BT15"/>
    <mergeCell ref="BU12:BU15"/>
    <mergeCell ref="BV12:BV15"/>
    <mergeCell ref="BK12:BK15"/>
    <mergeCell ref="BL12:BL15"/>
    <mergeCell ref="BM12:BM15"/>
    <mergeCell ref="BN12:BN15"/>
    <mergeCell ref="BO12:BO15"/>
    <mergeCell ref="BP12:BP15"/>
    <mergeCell ref="DA16:DA17"/>
    <mergeCell ref="DB16:DB17"/>
    <mergeCell ref="DC16:DC17"/>
    <mergeCell ref="DD16:DD17"/>
    <mergeCell ref="DE16:DE17"/>
    <mergeCell ref="DF16:DF17"/>
    <mergeCell ref="DS16:DS17"/>
    <mergeCell ref="DT16:DT17"/>
    <mergeCell ref="DU16:DU17"/>
    <mergeCell ref="DS12:DS15"/>
    <mergeCell ref="DT12:DT15"/>
    <mergeCell ref="DU12:DU15"/>
    <mergeCell ref="DG16:DG17"/>
    <mergeCell ref="DH16:DH17"/>
    <mergeCell ref="DI16:DI17"/>
    <mergeCell ref="DJ16:DJ17"/>
    <mergeCell ref="DK16:DK17"/>
    <mergeCell ref="DL16:DL17"/>
    <mergeCell ref="DH12:DH15"/>
    <mergeCell ref="DI12:DI15"/>
    <mergeCell ref="DJ12:DJ15"/>
    <mergeCell ref="DK12:DK15"/>
    <mergeCell ref="DL12:DL15"/>
    <mergeCell ref="DA12:DA15"/>
    <mergeCell ref="DB12:DB15"/>
    <mergeCell ref="CY12:CY15"/>
    <mergeCell ref="CZ12:CZ15"/>
    <mergeCell ref="I16:I17"/>
    <mergeCell ref="J16:J17"/>
    <mergeCell ref="K16:K17"/>
    <mergeCell ref="L16:L17"/>
    <mergeCell ref="M16:M17"/>
    <mergeCell ref="N16:N17"/>
    <mergeCell ref="CT15:CT16"/>
    <mergeCell ref="CU15:CU16"/>
    <mergeCell ref="CO15:CO16"/>
    <mergeCell ref="CP15:CP16"/>
    <mergeCell ref="CQ15:CQ16"/>
    <mergeCell ref="CR15:CR16"/>
    <mergeCell ref="CS15:CS16"/>
    <mergeCell ref="AH16:AH17"/>
    <mergeCell ref="AI16:AI17"/>
    <mergeCell ref="AJ16:AJ17"/>
    <mergeCell ref="AK16:AK17"/>
    <mergeCell ref="AL16:AL17"/>
    <mergeCell ref="AA16:AA17"/>
    <mergeCell ref="AB16:AB17"/>
    <mergeCell ref="A16:A17"/>
    <mergeCell ref="B16:B17"/>
    <mergeCell ref="C16:C17"/>
    <mergeCell ref="D16:D17"/>
    <mergeCell ref="E16:E17"/>
    <mergeCell ref="F16:F17"/>
    <mergeCell ref="G16:G17"/>
    <mergeCell ref="H16:H17"/>
    <mergeCell ref="CN15:CN16"/>
    <mergeCell ref="CH15:CH16"/>
    <mergeCell ref="CI15:CI16"/>
    <mergeCell ref="U16:U17"/>
    <mergeCell ref="V16:V17"/>
    <mergeCell ref="W16:W17"/>
    <mergeCell ref="X16:X17"/>
    <mergeCell ref="Y16:Y17"/>
    <mergeCell ref="Z16:Z17"/>
    <mergeCell ref="O16:O17"/>
    <mergeCell ref="P16:P17"/>
    <mergeCell ref="Q16:Q17"/>
    <mergeCell ref="R16:R17"/>
    <mergeCell ref="S16:S17"/>
    <mergeCell ref="T16:T17"/>
    <mergeCell ref="AG16:AG17"/>
    <mergeCell ref="AC16:AC17"/>
    <mergeCell ref="AD16:AD17"/>
    <mergeCell ref="AE16:AE17"/>
    <mergeCell ref="AF16:AF17"/>
    <mergeCell ref="AS16:AS17"/>
    <mergeCell ref="AT16:AT17"/>
    <mergeCell ref="AU16:AU17"/>
    <mergeCell ref="AV16:AV17"/>
    <mergeCell ref="AW16:AW17"/>
    <mergeCell ref="AX16:AX17"/>
    <mergeCell ref="AM16:AM17"/>
    <mergeCell ref="AN16:AN17"/>
    <mergeCell ref="AO16:AO17"/>
    <mergeCell ref="AP16:AP17"/>
    <mergeCell ref="AQ16:AQ17"/>
    <mergeCell ref="AR16:AR17"/>
    <mergeCell ref="BE16:BE17"/>
    <mergeCell ref="BF16:BF17"/>
    <mergeCell ref="BG16:BG17"/>
    <mergeCell ref="BH16:BH17"/>
    <mergeCell ref="BI16:BI17"/>
    <mergeCell ref="BJ16:BJ17"/>
    <mergeCell ref="AY16:AY17"/>
    <mergeCell ref="AZ16:AZ17"/>
    <mergeCell ref="BA16:BA17"/>
    <mergeCell ref="BB16:BB17"/>
    <mergeCell ref="BC16:BC17"/>
    <mergeCell ref="BD16:BD17"/>
    <mergeCell ref="BQ16:BQ17"/>
    <mergeCell ref="BR16:BR17"/>
    <mergeCell ref="BS16:BS17"/>
    <mergeCell ref="BT16:BT17"/>
    <mergeCell ref="BU16:BU17"/>
    <mergeCell ref="BV16:BV17"/>
    <mergeCell ref="BK16:BK17"/>
    <mergeCell ref="BL16:BL17"/>
    <mergeCell ref="BM16:BM17"/>
    <mergeCell ref="BN16:BN17"/>
    <mergeCell ref="BO16:BO17"/>
    <mergeCell ref="BP16:BP17"/>
    <mergeCell ref="BW16:BW17"/>
    <mergeCell ref="BX16:BX17"/>
    <mergeCell ref="BY16:BY17"/>
    <mergeCell ref="BZ16:BZ17"/>
    <mergeCell ref="CA16:CA17"/>
    <mergeCell ref="CB16:CB17"/>
    <mergeCell ref="CJ15:CJ16"/>
    <mergeCell ref="CK15:CK16"/>
    <mergeCell ref="CL15:CL16"/>
    <mergeCell ref="BW12:BW15"/>
    <mergeCell ref="BX12:BX15"/>
    <mergeCell ref="BY12:BY15"/>
    <mergeCell ref="BZ12:BZ15"/>
    <mergeCell ref="CA12:CA15"/>
    <mergeCell ref="CB12:CB15"/>
    <mergeCell ref="CE13:CI13"/>
    <mergeCell ref="CJ13:CK13"/>
    <mergeCell ref="CF14:CI14"/>
    <mergeCell ref="CJ14:CK14"/>
    <mergeCell ref="CD15:CD16"/>
    <mergeCell ref="CE15:CE16"/>
    <mergeCell ref="CF15:CF16"/>
    <mergeCell ref="CG15:CG16"/>
    <mergeCell ref="DV16:DV17"/>
    <mergeCell ref="DM16:DM17"/>
    <mergeCell ref="DN16:DN17"/>
    <mergeCell ref="DO16:DO17"/>
    <mergeCell ref="DP16:DP17"/>
    <mergeCell ref="DQ16:DQ17"/>
    <mergeCell ref="DR16:DR17"/>
    <mergeCell ref="CC16:CC17"/>
    <mergeCell ref="CV16:CV17"/>
    <mergeCell ref="CW16:CW17"/>
    <mergeCell ref="CX16:CX17"/>
    <mergeCell ref="CY16:CY17"/>
    <mergeCell ref="CZ16:CZ17"/>
    <mergeCell ref="CM15:CM16"/>
    <mergeCell ref="DV12:DV15"/>
    <mergeCell ref="CR13:CS13"/>
    <mergeCell ref="CR14:CS14"/>
    <mergeCell ref="DM12:DM15"/>
    <mergeCell ref="DN12:DN15"/>
    <mergeCell ref="DO12:DO15"/>
    <mergeCell ref="DP12:DP15"/>
    <mergeCell ref="DQ12:DQ15"/>
    <mergeCell ref="DR12:DR15"/>
    <mergeCell ref="DG12:DG15"/>
  </mergeCell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P157"/>
  <sheetViews>
    <sheetView topLeftCell="B1" workbookViewId="0">
      <selection activeCell="A11" sqref="A11"/>
    </sheetView>
  </sheetViews>
  <sheetFormatPr defaultRowHeight="15"/>
  <cols>
    <col min="1" max="1" width="32.5703125" style="21" customWidth="1"/>
    <col min="2" max="2" width="32" style="21" customWidth="1"/>
    <col min="3" max="3" width="20.28515625" style="21" customWidth="1"/>
    <col min="4" max="4" width="0" style="21" hidden="1" customWidth="1"/>
    <col min="5" max="5" width="19.42578125" style="21" customWidth="1"/>
    <col min="6" max="6" width="13.5703125" style="21" customWidth="1"/>
    <col min="7" max="7" width="36.5703125" style="21" customWidth="1"/>
    <col min="8" max="8" width="15.140625" style="21" customWidth="1"/>
    <col min="9" max="9" width="18" style="21" customWidth="1"/>
    <col min="10" max="10" width="17.28515625" style="21" customWidth="1"/>
    <col min="11" max="11" width="27.140625" style="21" customWidth="1"/>
    <col min="12" max="12" width="21.5703125" style="21" customWidth="1"/>
    <col min="13" max="13" width="19.28515625" style="21" customWidth="1"/>
    <col min="14" max="14" width="19.7109375" style="21" customWidth="1"/>
    <col min="15" max="15" width="24.5703125" style="21" customWidth="1"/>
    <col min="16" max="16" width="23.7109375" style="21" customWidth="1"/>
    <col min="17" max="256" width="9.140625" style="21"/>
    <col min="257" max="257" width="32.5703125" style="21" customWidth="1"/>
    <col min="258" max="258" width="32" style="21" customWidth="1"/>
    <col min="259" max="259" width="20.28515625" style="21" customWidth="1"/>
    <col min="260" max="260" width="0" style="21" hidden="1" customWidth="1"/>
    <col min="261" max="261" width="19.42578125" style="21" customWidth="1"/>
    <col min="262" max="262" width="13.5703125" style="21" customWidth="1"/>
    <col min="263" max="263" width="36.5703125" style="21" customWidth="1"/>
    <col min="264" max="264" width="15.140625" style="21" customWidth="1"/>
    <col min="265" max="265" width="18" style="21" customWidth="1"/>
    <col min="266" max="266" width="17.28515625" style="21" customWidth="1"/>
    <col min="267" max="267" width="27.140625" style="21" customWidth="1"/>
    <col min="268" max="268" width="21.5703125" style="21" customWidth="1"/>
    <col min="269" max="269" width="19.28515625" style="21" customWidth="1"/>
    <col min="270" max="270" width="19.7109375" style="21" customWidth="1"/>
    <col min="271" max="271" width="24.5703125" style="21" customWidth="1"/>
    <col min="272" max="272" width="23.7109375" style="21" customWidth="1"/>
    <col min="273" max="512" width="9.140625" style="21"/>
    <col min="513" max="513" width="32.5703125" style="21" customWidth="1"/>
    <col min="514" max="514" width="32" style="21" customWidth="1"/>
    <col min="515" max="515" width="20.28515625" style="21" customWidth="1"/>
    <col min="516" max="516" width="0" style="21" hidden="1" customWidth="1"/>
    <col min="517" max="517" width="19.42578125" style="21" customWidth="1"/>
    <col min="518" max="518" width="13.5703125" style="21" customWidth="1"/>
    <col min="519" max="519" width="36.5703125" style="21" customWidth="1"/>
    <col min="520" max="520" width="15.140625" style="21" customWidth="1"/>
    <col min="521" max="521" width="18" style="21" customWidth="1"/>
    <col min="522" max="522" width="17.28515625" style="21" customWidth="1"/>
    <col min="523" max="523" width="27.140625" style="21" customWidth="1"/>
    <col min="524" max="524" width="21.5703125" style="21" customWidth="1"/>
    <col min="525" max="525" width="19.28515625" style="21" customWidth="1"/>
    <col min="526" max="526" width="19.7109375" style="21" customWidth="1"/>
    <col min="527" max="527" width="24.5703125" style="21" customWidth="1"/>
    <col min="528" max="528" width="23.7109375" style="21" customWidth="1"/>
    <col min="529" max="768" width="9.140625" style="21"/>
    <col min="769" max="769" width="32.5703125" style="21" customWidth="1"/>
    <col min="770" max="770" width="32" style="21" customWidth="1"/>
    <col min="771" max="771" width="20.28515625" style="21" customWidth="1"/>
    <col min="772" max="772" width="0" style="21" hidden="1" customWidth="1"/>
    <col min="773" max="773" width="19.42578125" style="21" customWidth="1"/>
    <col min="774" max="774" width="13.5703125" style="21" customWidth="1"/>
    <col min="775" max="775" width="36.5703125" style="21" customWidth="1"/>
    <col min="776" max="776" width="15.140625" style="21" customWidth="1"/>
    <col min="777" max="777" width="18" style="21" customWidth="1"/>
    <col min="778" max="778" width="17.28515625" style="21" customWidth="1"/>
    <col min="779" max="779" width="27.140625" style="21" customWidth="1"/>
    <col min="780" max="780" width="21.5703125" style="21" customWidth="1"/>
    <col min="781" max="781" width="19.28515625" style="21" customWidth="1"/>
    <col min="782" max="782" width="19.7109375" style="21" customWidth="1"/>
    <col min="783" max="783" width="24.5703125" style="21" customWidth="1"/>
    <col min="784" max="784" width="23.7109375" style="21" customWidth="1"/>
    <col min="785" max="1024" width="9.140625" style="21"/>
    <col min="1025" max="1025" width="32.5703125" style="21" customWidth="1"/>
    <col min="1026" max="1026" width="32" style="21" customWidth="1"/>
    <col min="1027" max="1027" width="20.28515625" style="21" customWidth="1"/>
    <col min="1028" max="1028" width="0" style="21" hidden="1" customWidth="1"/>
    <col min="1029" max="1029" width="19.42578125" style="21" customWidth="1"/>
    <col min="1030" max="1030" width="13.5703125" style="21" customWidth="1"/>
    <col min="1031" max="1031" width="36.5703125" style="21" customWidth="1"/>
    <col min="1032" max="1032" width="15.140625" style="21" customWidth="1"/>
    <col min="1033" max="1033" width="18" style="21" customWidth="1"/>
    <col min="1034" max="1034" width="17.28515625" style="21" customWidth="1"/>
    <col min="1035" max="1035" width="27.140625" style="21" customWidth="1"/>
    <col min="1036" max="1036" width="21.5703125" style="21" customWidth="1"/>
    <col min="1037" max="1037" width="19.28515625" style="21" customWidth="1"/>
    <col min="1038" max="1038" width="19.7109375" style="21" customWidth="1"/>
    <col min="1039" max="1039" width="24.5703125" style="21" customWidth="1"/>
    <col min="1040" max="1040" width="23.7109375" style="21" customWidth="1"/>
    <col min="1041" max="1280" width="9.140625" style="21"/>
    <col min="1281" max="1281" width="32.5703125" style="21" customWidth="1"/>
    <col min="1282" max="1282" width="32" style="21" customWidth="1"/>
    <col min="1283" max="1283" width="20.28515625" style="21" customWidth="1"/>
    <col min="1284" max="1284" width="0" style="21" hidden="1" customWidth="1"/>
    <col min="1285" max="1285" width="19.42578125" style="21" customWidth="1"/>
    <col min="1286" max="1286" width="13.5703125" style="21" customWidth="1"/>
    <col min="1287" max="1287" width="36.5703125" style="21" customWidth="1"/>
    <col min="1288" max="1288" width="15.140625" style="21" customWidth="1"/>
    <col min="1289" max="1289" width="18" style="21" customWidth="1"/>
    <col min="1290" max="1290" width="17.28515625" style="21" customWidth="1"/>
    <col min="1291" max="1291" width="27.140625" style="21" customWidth="1"/>
    <col min="1292" max="1292" width="21.5703125" style="21" customWidth="1"/>
    <col min="1293" max="1293" width="19.28515625" style="21" customWidth="1"/>
    <col min="1294" max="1294" width="19.7109375" style="21" customWidth="1"/>
    <col min="1295" max="1295" width="24.5703125" style="21" customWidth="1"/>
    <col min="1296" max="1296" width="23.7109375" style="21" customWidth="1"/>
    <col min="1297" max="1536" width="9.140625" style="21"/>
    <col min="1537" max="1537" width="32.5703125" style="21" customWidth="1"/>
    <col min="1538" max="1538" width="32" style="21" customWidth="1"/>
    <col min="1539" max="1539" width="20.28515625" style="21" customWidth="1"/>
    <col min="1540" max="1540" width="0" style="21" hidden="1" customWidth="1"/>
    <col min="1541" max="1541" width="19.42578125" style="21" customWidth="1"/>
    <col min="1542" max="1542" width="13.5703125" style="21" customWidth="1"/>
    <col min="1543" max="1543" width="36.5703125" style="21" customWidth="1"/>
    <col min="1544" max="1544" width="15.140625" style="21" customWidth="1"/>
    <col min="1545" max="1545" width="18" style="21" customWidth="1"/>
    <col min="1546" max="1546" width="17.28515625" style="21" customWidth="1"/>
    <col min="1547" max="1547" width="27.140625" style="21" customWidth="1"/>
    <col min="1548" max="1548" width="21.5703125" style="21" customWidth="1"/>
    <col min="1549" max="1549" width="19.28515625" style="21" customWidth="1"/>
    <col min="1550" max="1550" width="19.7109375" style="21" customWidth="1"/>
    <col min="1551" max="1551" width="24.5703125" style="21" customWidth="1"/>
    <col min="1552" max="1552" width="23.7109375" style="21" customWidth="1"/>
    <col min="1553" max="1792" width="9.140625" style="21"/>
    <col min="1793" max="1793" width="32.5703125" style="21" customWidth="1"/>
    <col min="1794" max="1794" width="32" style="21" customWidth="1"/>
    <col min="1795" max="1795" width="20.28515625" style="21" customWidth="1"/>
    <col min="1796" max="1796" width="0" style="21" hidden="1" customWidth="1"/>
    <col min="1797" max="1797" width="19.42578125" style="21" customWidth="1"/>
    <col min="1798" max="1798" width="13.5703125" style="21" customWidth="1"/>
    <col min="1799" max="1799" width="36.5703125" style="21" customWidth="1"/>
    <col min="1800" max="1800" width="15.140625" style="21" customWidth="1"/>
    <col min="1801" max="1801" width="18" style="21" customWidth="1"/>
    <col min="1802" max="1802" width="17.28515625" style="21" customWidth="1"/>
    <col min="1803" max="1803" width="27.140625" style="21" customWidth="1"/>
    <col min="1804" max="1804" width="21.5703125" style="21" customWidth="1"/>
    <col min="1805" max="1805" width="19.28515625" style="21" customWidth="1"/>
    <col min="1806" max="1806" width="19.7109375" style="21" customWidth="1"/>
    <col min="1807" max="1807" width="24.5703125" style="21" customWidth="1"/>
    <col min="1808" max="1808" width="23.7109375" style="21" customWidth="1"/>
    <col min="1809" max="2048" width="9.140625" style="21"/>
    <col min="2049" max="2049" width="32.5703125" style="21" customWidth="1"/>
    <col min="2050" max="2050" width="32" style="21" customWidth="1"/>
    <col min="2051" max="2051" width="20.28515625" style="21" customWidth="1"/>
    <col min="2052" max="2052" width="0" style="21" hidden="1" customWidth="1"/>
    <col min="2053" max="2053" width="19.42578125" style="21" customWidth="1"/>
    <col min="2054" max="2054" width="13.5703125" style="21" customWidth="1"/>
    <col min="2055" max="2055" width="36.5703125" style="21" customWidth="1"/>
    <col min="2056" max="2056" width="15.140625" style="21" customWidth="1"/>
    <col min="2057" max="2057" width="18" style="21" customWidth="1"/>
    <col min="2058" max="2058" width="17.28515625" style="21" customWidth="1"/>
    <col min="2059" max="2059" width="27.140625" style="21" customWidth="1"/>
    <col min="2060" max="2060" width="21.5703125" style="21" customWidth="1"/>
    <col min="2061" max="2061" width="19.28515625" style="21" customWidth="1"/>
    <col min="2062" max="2062" width="19.7109375" style="21" customWidth="1"/>
    <col min="2063" max="2063" width="24.5703125" style="21" customWidth="1"/>
    <col min="2064" max="2064" width="23.7109375" style="21" customWidth="1"/>
    <col min="2065" max="2304" width="9.140625" style="21"/>
    <col min="2305" max="2305" width="32.5703125" style="21" customWidth="1"/>
    <col min="2306" max="2306" width="32" style="21" customWidth="1"/>
    <col min="2307" max="2307" width="20.28515625" style="21" customWidth="1"/>
    <col min="2308" max="2308" width="0" style="21" hidden="1" customWidth="1"/>
    <col min="2309" max="2309" width="19.42578125" style="21" customWidth="1"/>
    <col min="2310" max="2310" width="13.5703125" style="21" customWidth="1"/>
    <col min="2311" max="2311" width="36.5703125" style="21" customWidth="1"/>
    <col min="2312" max="2312" width="15.140625" style="21" customWidth="1"/>
    <col min="2313" max="2313" width="18" style="21" customWidth="1"/>
    <col min="2314" max="2314" width="17.28515625" style="21" customWidth="1"/>
    <col min="2315" max="2315" width="27.140625" style="21" customWidth="1"/>
    <col min="2316" max="2316" width="21.5703125" style="21" customWidth="1"/>
    <col min="2317" max="2317" width="19.28515625" style="21" customWidth="1"/>
    <col min="2318" max="2318" width="19.7109375" style="21" customWidth="1"/>
    <col min="2319" max="2319" width="24.5703125" style="21" customWidth="1"/>
    <col min="2320" max="2320" width="23.7109375" style="21" customWidth="1"/>
    <col min="2321" max="2560" width="9.140625" style="21"/>
    <col min="2561" max="2561" width="32.5703125" style="21" customWidth="1"/>
    <col min="2562" max="2562" width="32" style="21" customWidth="1"/>
    <col min="2563" max="2563" width="20.28515625" style="21" customWidth="1"/>
    <col min="2564" max="2564" width="0" style="21" hidden="1" customWidth="1"/>
    <col min="2565" max="2565" width="19.42578125" style="21" customWidth="1"/>
    <col min="2566" max="2566" width="13.5703125" style="21" customWidth="1"/>
    <col min="2567" max="2567" width="36.5703125" style="21" customWidth="1"/>
    <col min="2568" max="2568" width="15.140625" style="21" customWidth="1"/>
    <col min="2569" max="2569" width="18" style="21" customWidth="1"/>
    <col min="2570" max="2570" width="17.28515625" style="21" customWidth="1"/>
    <col min="2571" max="2571" width="27.140625" style="21" customWidth="1"/>
    <col min="2572" max="2572" width="21.5703125" style="21" customWidth="1"/>
    <col min="2573" max="2573" width="19.28515625" style="21" customWidth="1"/>
    <col min="2574" max="2574" width="19.7109375" style="21" customWidth="1"/>
    <col min="2575" max="2575" width="24.5703125" style="21" customWidth="1"/>
    <col min="2576" max="2576" width="23.7109375" style="21" customWidth="1"/>
    <col min="2577" max="2816" width="9.140625" style="21"/>
    <col min="2817" max="2817" width="32.5703125" style="21" customWidth="1"/>
    <col min="2818" max="2818" width="32" style="21" customWidth="1"/>
    <col min="2819" max="2819" width="20.28515625" style="21" customWidth="1"/>
    <col min="2820" max="2820" width="0" style="21" hidden="1" customWidth="1"/>
    <col min="2821" max="2821" width="19.42578125" style="21" customWidth="1"/>
    <col min="2822" max="2822" width="13.5703125" style="21" customWidth="1"/>
    <col min="2823" max="2823" width="36.5703125" style="21" customWidth="1"/>
    <col min="2824" max="2824" width="15.140625" style="21" customWidth="1"/>
    <col min="2825" max="2825" width="18" style="21" customWidth="1"/>
    <col min="2826" max="2826" width="17.28515625" style="21" customWidth="1"/>
    <col min="2827" max="2827" width="27.140625" style="21" customWidth="1"/>
    <col min="2828" max="2828" width="21.5703125" style="21" customWidth="1"/>
    <col min="2829" max="2829" width="19.28515625" style="21" customWidth="1"/>
    <col min="2830" max="2830" width="19.7109375" style="21" customWidth="1"/>
    <col min="2831" max="2831" width="24.5703125" style="21" customWidth="1"/>
    <col min="2832" max="2832" width="23.7109375" style="21" customWidth="1"/>
    <col min="2833" max="3072" width="9.140625" style="21"/>
    <col min="3073" max="3073" width="32.5703125" style="21" customWidth="1"/>
    <col min="3074" max="3074" width="32" style="21" customWidth="1"/>
    <col min="3075" max="3075" width="20.28515625" style="21" customWidth="1"/>
    <col min="3076" max="3076" width="0" style="21" hidden="1" customWidth="1"/>
    <col min="3077" max="3077" width="19.42578125" style="21" customWidth="1"/>
    <col min="3078" max="3078" width="13.5703125" style="21" customWidth="1"/>
    <col min="3079" max="3079" width="36.5703125" style="21" customWidth="1"/>
    <col min="3080" max="3080" width="15.140625" style="21" customWidth="1"/>
    <col min="3081" max="3081" width="18" style="21" customWidth="1"/>
    <col min="3082" max="3082" width="17.28515625" style="21" customWidth="1"/>
    <col min="3083" max="3083" width="27.140625" style="21" customWidth="1"/>
    <col min="3084" max="3084" width="21.5703125" style="21" customWidth="1"/>
    <col min="3085" max="3085" width="19.28515625" style="21" customWidth="1"/>
    <col min="3086" max="3086" width="19.7109375" style="21" customWidth="1"/>
    <col min="3087" max="3087" width="24.5703125" style="21" customWidth="1"/>
    <col min="3088" max="3088" width="23.7109375" style="21" customWidth="1"/>
    <col min="3089" max="3328" width="9.140625" style="21"/>
    <col min="3329" max="3329" width="32.5703125" style="21" customWidth="1"/>
    <col min="3330" max="3330" width="32" style="21" customWidth="1"/>
    <col min="3331" max="3331" width="20.28515625" style="21" customWidth="1"/>
    <col min="3332" max="3332" width="0" style="21" hidden="1" customWidth="1"/>
    <col min="3333" max="3333" width="19.42578125" style="21" customWidth="1"/>
    <col min="3334" max="3334" width="13.5703125" style="21" customWidth="1"/>
    <col min="3335" max="3335" width="36.5703125" style="21" customWidth="1"/>
    <col min="3336" max="3336" width="15.140625" style="21" customWidth="1"/>
    <col min="3337" max="3337" width="18" style="21" customWidth="1"/>
    <col min="3338" max="3338" width="17.28515625" style="21" customWidth="1"/>
    <col min="3339" max="3339" width="27.140625" style="21" customWidth="1"/>
    <col min="3340" max="3340" width="21.5703125" style="21" customWidth="1"/>
    <col min="3341" max="3341" width="19.28515625" style="21" customWidth="1"/>
    <col min="3342" max="3342" width="19.7109375" style="21" customWidth="1"/>
    <col min="3343" max="3343" width="24.5703125" style="21" customWidth="1"/>
    <col min="3344" max="3344" width="23.7109375" style="21" customWidth="1"/>
    <col min="3345" max="3584" width="9.140625" style="21"/>
    <col min="3585" max="3585" width="32.5703125" style="21" customWidth="1"/>
    <col min="3586" max="3586" width="32" style="21" customWidth="1"/>
    <col min="3587" max="3587" width="20.28515625" style="21" customWidth="1"/>
    <col min="3588" max="3588" width="0" style="21" hidden="1" customWidth="1"/>
    <col min="3589" max="3589" width="19.42578125" style="21" customWidth="1"/>
    <col min="3590" max="3590" width="13.5703125" style="21" customWidth="1"/>
    <col min="3591" max="3591" width="36.5703125" style="21" customWidth="1"/>
    <col min="3592" max="3592" width="15.140625" style="21" customWidth="1"/>
    <col min="3593" max="3593" width="18" style="21" customWidth="1"/>
    <col min="3594" max="3594" width="17.28515625" style="21" customWidth="1"/>
    <col min="3595" max="3595" width="27.140625" style="21" customWidth="1"/>
    <col min="3596" max="3596" width="21.5703125" style="21" customWidth="1"/>
    <col min="3597" max="3597" width="19.28515625" style="21" customWidth="1"/>
    <col min="3598" max="3598" width="19.7109375" style="21" customWidth="1"/>
    <col min="3599" max="3599" width="24.5703125" style="21" customWidth="1"/>
    <col min="3600" max="3600" width="23.7109375" style="21" customWidth="1"/>
    <col min="3601" max="3840" width="9.140625" style="21"/>
    <col min="3841" max="3841" width="32.5703125" style="21" customWidth="1"/>
    <col min="3842" max="3842" width="32" style="21" customWidth="1"/>
    <col min="3843" max="3843" width="20.28515625" style="21" customWidth="1"/>
    <col min="3844" max="3844" width="0" style="21" hidden="1" customWidth="1"/>
    <col min="3845" max="3845" width="19.42578125" style="21" customWidth="1"/>
    <col min="3846" max="3846" width="13.5703125" style="21" customWidth="1"/>
    <col min="3847" max="3847" width="36.5703125" style="21" customWidth="1"/>
    <col min="3848" max="3848" width="15.140625" style="21" customWidth="1"/>
    <col min="3849" max="3849" width="18" style="21" customWidth="1"/>
    <col min="3850" max="3850" width="17.28515625" style="21" customWidth="1"/>
    <col min="3851" max="3851" width="27.140625" style="21" customWidth="1"/>
    <col min="3852" max="3852" width="21.5703125" style="21" customWidth="1"/>
    <col min="3853" max="3853" width="19.28515625" style="21" customWidth="1"/>
    <col min="3854" max="3854" width="19.7109375" style="21" customWidth="1"/>
    <col min="3855" max="3855" width="24.5703125" style="21" customWidth="1"/>
    <col min="3856" max="3856" width="23.7109375" style="21" customWidth="1"/>
    <col min="3857" max="4096" width="9.140625" style="21"/>
    <col min="4097" max="4097" width="32.5703125" style="21" customWidth="1"/>
    <col min="4098" max="4098" width="32" style="21" customWidth="1"/>
    <col min="4099" max="4099" width="20.28515625" style="21" customWidth="1"/>
    <col min="4100" max="4100" width="0" style="21" hidden="1" customWidth="1"/>
    <col min="4101" max="4101" width="19.42578125" style="21" customWidth="1"/>
    <col min="4102" max="4102" width="13.5703125" style="21" customWidth="1"/>
    <col min="4103" max="4103" width="36.5703125" style="21" customWidth="1"/>
    <col min="4104" max="4104" width="15.140625" style="21" customWidth="1"/>
    <col min="4105" max="4105" width="18" style="21" customWidth="1"/>
    <col min="4106" max="4106" width="17.28515625" style="21" customWidth="1"/>
    <col min="4107" max="4107" width="27.140625" style="21" customWidth="1"/>
    <col min="4108" max="4108" width="21.5703125" style="21" customWidth="1"/>
    <col min="4109" max="4109" width="19.28515625" style="21" customWidth="1"/>
    <col min="4110" max="4110" width="19.7109375" style="21" customWidth="1"/>
    <col min="4111" max="4111" width="24.5703125" style="21" customWidth="1"/>
    <col min="4112" max="4112" width="23.7109375" style="21" customWidth="1"/>
    <col min="4113" max="4352" width="9.140625" style="21"/>
    <col min="4353" max="4353" width="32.5703125" style="21" customWidth="1"/>
    <col min="4354" max="4354" width="32" style="21" customWidth="1"/>
    <col min="4355" max="4355" width="20.28515625" style="21" customWidth="1"/>
    <col min="4356" max="4356" width="0" style="21" hidden="1" customWidth="1"/>
    <col min="4357" max="4357" width="19.42578125" style="21" customWidth="1"/>
    <col min="4358" max="4358" width="13.5703125" style="21" customWidth="1"/>
    <col min="4359" max="4359" width="36.5703125" style="21" customWidth="1"/>
    <col min="4360" max="4360" width="15.140625" style="21" customWidth="1"/>
    <col min="4361" max="4361" width="18" style="21" customWidth="1"/>
    <col min="4362" max="4362" width="17.28515625" style="21" customWidth="1"/>
    <col min="4363" max="4363" width="27.140625" style="21" customWidth="1"/>
    <col min="4364" max="4364" width="21.5703125" style="21" customWidth="1"/>
    <col min="4365" max="4365" width="19.28515625" style="21" customWidth="1"/>
    <col min="4366" max="4366" width="19.7109375" style="21" customWidth="1"/>
    <col min="4367" max="4367" width="24.5703125" style="21" customWidth="1"/>
    <col min="4368" max="4368" width="23.7109375" style="21" customWidth="1"/>
    <col min="4369" max="4608" width="9.140625" style="21"/>
    <col min="4609" max="4609" width="32.5703125" style="21" customWidth="1"/>
    <col min="4610" max="4610" width="32" style="21" customWidth="1"/>
    <col min="4611" max="4611" width="20.28515625" style="21" customWidth="1"/>
    <col min="4612" max="4612" width="0" style="21" hidden="1" customWidth="1"/>
    <col min="4613" max="4613" width="19.42578125" style="21" customWidth="1"/>
    <col min="4614" max="4614" width="13.5703125" style="21" customWidth="1"/>
    <col min="4615" max="4615" width="36.5703125" style="21" customWidth="1"/>
    <col min="4616" max="4616" width="15.140625" style="21" customWidth="1"/>
    <col min="4617" max="4617" width="18" style="21" customWidth="1"/>
    <col min="4618" max="4618" width="17.28515625" style="21" customWidth="1"/>
    <col min="4619" max="4619" width="27.140625" style="21" customWidth="1"/>
    <col min="4620" max="4620" width="21.5703125" style="21" customWidth="1"/>
    <col min="4621" max="4621" width="19.28515625" style="21" customWidth="1"/>
    <col min="4622" max="4622" width="19.7109375" style="21" customWidth="1"/>
    <col min="4623" max="4623" width="24.5703125" style="21" customWidth="1"/>
    <col min="4624" max="4624" width="23.7109375" style="21" customWidth="1"/>
    <col min="4625" max="4864" width="9.140625" style="21"/>
    <col min="4865" max="4865" width="32.5703125" style="21" customWidth="1"/>
    <col min="4866" max="4866" width="32" style="21" customWidth="1"/>
    <col min="4867" max="4867" width="20.28515625" style="21" customWidth="1"/>
    <col min="4868" max="4868" width="0" style="21" hidden="1" customWidth="1"/>
    <col min="4869" max="4869" width="19.42578125" style="21" customWidth="1"/>
    <col min="4870" max="4870" width="13.5703125" style="21" customWidth="1"/>
    <col min="4871" max="4871" width="36.5703125" style="21" customWidth="1"/>
    <col min="4872" max="4872" width="15.140625" style="21" customWidth="1"/>
    <col min="4873" max="4873" width="18" style="21" customWidth="1"/>
    <col min="4874" max="4874" width="17.28515625" style="21" customWidth="1"/>
    <col min="4875" max="4875" width="27.140625" style="21" customWidth="1"/>
    <col min="4876" max="4876" width="21.5703125" style="21" customWidth="1"/>
    <col min="4877" max="4877" width="19.28515625" style="21" customWidth="1"/>
    <col min="4878" max="4878" width="19.7109375" style="21" customWidth="1"/>
    <col min="4879" max="4879" width="24.5703125" style="21" customWidth="1"/>
    <col min="4880" max="4880" width="23.7109375" style="21" customWidth="1"/>
    <col min="4881" max="5120" width="9.140625" style="21"/>
    <col min="5121" max="5121" width="32.5703125" style="21" customWidth="1"/>
    <col min="5122" max="5122" width="32" style="21" customWidth="1"/>
    <col min="5123" max="5123" width="20.28515625" style="21" customWidth="1"/>
    <col min="5124" max="5124" width="0" style="21" hidden="1" customWidth="1"/>
    <col min="5125" max="5125" width="19.42578125" style="21" customWidth="1"/>
    <col min="5126" max="5126" width="13.5703125" style="21" customWidth="1"/>
    <col min="5127" max="5127" width="36.5703125" style="21" customWidth="1"/>
    <col min="5128" max="5128" width="15.140625" style="21" customWidth="1"/>
    <col min="5129" max="5129" width="18" style="21" customWidth="1"/>
    <col min="5130" max="5130" width="17.28515625" style="21" customWidth="1"/>
    <col min="5131" max="5131" width="27.140625" style="21" customWidth="1"/>
    <col min="5132" max="5132" width="21.5703125" style="21" customWidth="1"/>
    <col min="5133" max="5133" width="19.28515625" style="21" customWidth="1"/>
    <col min="5134" max="5134" width="19.7109375" style="21" customWidth="1"/>
    <col min="5135" max="5135" width="24.5703125" style="21" customWidth="1"/>
    <col min="5136" max="5136" width="23.7109375" style="21" customWidth="1"/>
    <col min="5137" max="5376" width="9.140625" style="21"/>
    <col min="5377" max="5377" width="32.5703125" style="21" customWidth="1"/>
    <col min="5378" max="5378" width="32" style="21" customWidth="1"/>
    <col min="5379" max="5379" width="20.28515625" style="21" customWidth="1"/>
    <col min="5380" max="5380" width="0" style="21" hidden="1" customWidth="1"/>
    <col min="5381" max="5381" width="19.42578125" style="21" customWidth="1"/>
    <col min="5382" max="5382" width="13.5703125" style="21" customWidth="1"/>
    <col min="5383" max="5383" width="36.5703125" style="21" customWidth="1"/>
    <col min="5384" max="5384" width="15.140625" style="21" customWidth="1"/>
    <col min="5385" max="5385" width="18" style="21" customWidth="1"/>
    <col min="5386" max="5386" width="17.28515625" style="21" customWidth="1"/>
    <col min="5387" max="5387" width="27.140625" style="21" customWidth="1"/>
    <col min="5388" max="5388" width="21.5703125" style="21" customWidth="1"/>
    <col min="5389" max="5389" width="19.28515625" style="21" customWidth="1"/>
    <col min="5390" max="5390" width="19.7109375" style="21" customWidth="1"/>
    <col min="5391" max="5391" width="24.5703125" style="21" customWidth="1"/>
    <col min="5392" max="5392" width="23.7109375" style="21" customWidth="1"/>
    <col min="5393" max="5632" width="9.140625" style="21"/>
    <col min="5633" max="5633" width="32.5703125" style="21" customWidth="1"/>
    <col min="5634" max="5634" width="32" style="21" customWidth="1"/>
    <col min="5635" max="5635" width="20.28515625" style="21" customWidth="1"/>
    <col min="5636" max="5636" width="0" style="21" hidden="1" customWidth="1"/>
    <col min="5637" max="5637" width="19.42578125" style="21" customWidth="1"/>
    <col min="5638" max="5638" width="13.5703125" style="21" customWidth="1"/>
    <col min="5639" max="5639" width="36.5703125" style="21" customWidth="1"/>
    <col min="5640" max="5640" width="15.140625" style="21" customWidth="1"/>
    <col min="5641" max="5641" width="18" style="21" customWidth="1"/>
    <col min="5642" max="5642" width="17.28515625" style="21" customWidth="1"/>
    <col min="5643" max="5643" width="27.140625" style="21" customWidth="1"/>
    <col min="5644" max="5644" width="21.5703125" style="21" customWidth="1"/>
    <col min="5645" max="5645" width="19.28515625" style="21" customWidth="1"/>
    <col min="5646" max="5646" width="19.7109375" style="21" customWidth="1"/>
    <col min="5647" max="5647" width="24.5703125" style="21" customWidth="1"/>
    <col min="5648" max="5648" width="23.7109375" style="21" customWidth="1"/>
    <col min="5649" max="5888" width="9.140625" style="21"/>
    <col min="5889" max="5889" width="32.5703125" style="21" customWidth="1"/>
    <col min="5890" max="5890" width="32" style="21" customWidth="1"/>
    <col min="5891" max="5891" width="20.28515625" style="21" customWidth="1"/>
    <col min="5892" max="5892" width="0" style="21" hidden="1" customWidth="1"/>
    <col min="5893" max="5893" width="19.42578125" style="21" customWidth="1"/>
    <col min="5894" max="5894" width="13.5703125" style="21" customWidth="1"/>
    <col min="5895" max="5895" width="36.5703125" style="21" customWidth="1"/>
    <col min="5896" max="5896" width="15.140625" style="21" customWidth="1"/>
    <col min="5897" max="5897" width="18" style="21" customWidth="1"/>
    <col min="5898" max="5898" width="17.28515625" style="21" customWidth="1"/>
    <col min="5899" max="5899" width="27.140625" style="21" customWidth="1"/>
    <col min="5900" max="5900" width="21.5703125" style="21" customWidth="1"/>
    <col min="5901" max="5901" width="19.28515625" style="21" customWidth="1"/>
    <col min="5902" max="5902" width="19.7109375" style="21" customWidth="1"/>
    <col min="5903" max="5903" width="24.5703125" style="21" customWidth="1"/>
    <col min="5904" max="5904" width="23.7109375" style="21" customWidth="1"/>
    <col min="5905" max="6144" width="9.140625" style="21"/>
    <col min="6145" max="6145" width="32.5703125" style="21" customWidth="1"/>
    <col min="6146" max="6146" width="32" style="21" customWidth="1"/>
    <col min="6147" max="6147" width="20.28515625" style="21" customWidth="1"/>
    <col min="6148" max="6148" width="0" style="21" hidden="1" customWidth="1"/>
    <col min="6149" max="6149" width="19.42578125" style="21" customWidth="1"/>
    <col min="6150" max="6150" width="13.5703125" style="21" customWidth="1"/>
    <col min="6151" max="6151" width="36.5703125" style="21" customWidth="1"/>
    <col min="6152" max="6152" width="15.140625" style="21" customWidth="1"/>
    <col min="6153" max="6153" width="18" style="21" customWidth="1"/>
    <col min="6154" max="6154" width="17.28515625" style="21" customWidth="1"/>
    <col min="6155" max="6155" width="27.140625" style="21" customWidth="1"/>
    <col min="6156" max="6156" width="21.5703125" style="21" customWidth="1"/>
    <col min="6157" max="6157" width="19.28515625" style="21" customWidth="1"/>
    <col min="6158" max="6158" width="19.7109375" style="21" customWidth="1"/>
    <col min="6159" max="6159" width="24.5703125" style="21" customWidth="1"/>
    <col min="6160" max="6160" width="23.7109375" style="21" customWidth="1"/>
    <col min="6161" max="6400" width="9.140625" style="21"/>
    <col min="6401" max="6401" width="32.5703125" style="21" customWidth="1"/>
    <col min="6402" max="6402" width="32" style="21" customWidth="1"/>
    <col min="6403" max="6403" width="20.28515625" style="21" customWidth="1"/>
    <col min="6404" max="6404" width="0" style="21" hidden="1" customWidth="1"/>
    <col min="6405" max="6405" width="19.42578125" style="21" customWidth="1"/>
    <col min="6406" max="6406" width="13.5703125" style="21" customWidth="1"/>
    <col min="6407" max="6407" width="36.5703125" style="21" customWidth="1"/>
    <col min="6408" max="6408" width="15.140625" style="21" customWidth="1"/>
    <col min="6409" max="6409" width="18" style="21" customWidth="1"/>
    <col min="6410" max="6410" width="17.28515625" style="21" customWidth="1"/>
    <col min="6411" max="6411" width="27.140625" style="21" customWidth="1"/>
    <col min="6412" max="6412" width="21.5703125" style="21" customWidth="1"/>
    <col min="6413" max="6413" width="19.28515625" style="21" customWidth="1"/>
    <col min="6414" max="6414" width="19.7109375" style="21" customWidth="1"/>
    <col min="6415" max="6415" width="24.5703125" style="21" customWidth="1"/>
    <col min="6416" max="6416" width="23.7109375" style="21" customWidth="1"/>
    <col min="6417" max="6656" width="9.140625" style="21"/>
    <col min="6657" max="6657" width="32.5703125" style="21" customWidth="1"/>
    <col min="6658" max="6658" width="32" style="21" customWidth="1"/>
    <col min="6659" max="6659" width="20.28515625" style="21" customWidth="1"/>
    <col min="6660" max="6660" width="0" style="21" hidden="1" customWidth="1"/>
    <col min="6661" max="6661" width="19.42578125" style="21" customWidth="1"/>
    <col min="6662" max="6662" width="13.5703125" style="21" customWidth="1"/>
    <col min="6663" max="6663" width="36.5703125" style="21" customWidth="1"/>
    <col min="6664" max="6664" width="15.140625" style="21" customWidth="1"/>
    <col min="6665" max="6665" width="18" style="21" customWidth="1"/>
    <col min="6666" max="6666" width="17.28515625" style="21" customWidth="1"/>
    <col min="6667" max="6667" width="27.140625" style="21" customWidth="1"/>
    <col min="6668" max="6668" width="21.5703125" style="21" customWidth="1"/>
    <col min="6669" max="6669" width="19.28515625" style="21" customWidth="1"/>
    <col min="6670" max="6670" width="19.7109375" style="21" customWidth="1"/>
    <col min="6671" max="6671" width="24.5703125" style="21" customWidth="1"/>
    <col min="6672" max="6672" width="23.7109375" style="21" customWidth="1"/>
    <col min="6673" max="6912" width="9.140625" style="21"/>
    <col min="6913" max="6913" width="32.5703125" style="21" customWidth="1"/>
    <col min="6914" max="6914" width="32" style="21" customWidth="1"/>
    <col min="6915" max="6915" width="20.28515625" style="21" customWidth="1"/>
    <col min="6916" max="6916" width="0" style="21" hidden="1" customWidth="1"/>
    <col min="6917" max="6917" width="19.42578125" style="21" customWidth="1"/>
    <col min="6918" max="6918" width="13.5703125" style="21" customWidth="1"/>
    <col min="6919" max="6919" width="36.5703125" style="21" customWidth="1"/>
    <col min="6920" max="6920" width="15.140625" style="21" customWidth="1"/>
    <col min="6921" max="6921" width="18" style="21" customWidth="1"/>
    <col min="6922" max="6922" width="17.28515625" style="21" customWidth="1"/>
    <col min="6923" max="6923" width="27.140625" style="21" customWidth="1"/>
    <col min="6924" max="6924" width="21.5703125" style="21" customWidth="1"/>
    <col min="6925" max="6925" width="19.28515625" style="21" customWidth="1"/>
    <col min="6926" max="6926" width="19.7109375" style="21" customWidth="1"/>
    <col min="6927" max="6927" width="24.5703125" style="21" customWidth="1"/>
    <col min="6928" max="6928" width="23.7109375" style="21" customWidth="1"/>
    <col min="6929" max="7168" width="9.140625" style="21"/>
    <col min="7169" max="7169" width="32.5703125" style="21" customWidth="1"/>
    <col min="7170" max="7170" width="32" style="21" customWidth="1"/>
    <col min="7171" max="7171" width="20.28515625" style="21" customWidth="1"/>
    <col min="7172" max="7172" width="0" style="21" hidden="1" customWidth="1"/>
    <col min="7173" max="7173" width="19.42578125" style="21" customWidth="1"/>
    <col min="7174" max="7174" width="13.5703125" style="21" customWidth="1"/>
    <col min="7175" max="7175" width="36.5703125" style="21" customWidth="1"/>
    <col min="7176" max="7176" width="15.140625" style="21" customWidth="1"/>
    <col min="7177" max="7177" width="18" style="21" customWidth="1"/>
    <col min="7178" max="7178" width="17.28515625" style="21" customWidth="1"/>
    <col min="7179" max="7179" width="27.140625" style="21" customWidth="1"/>
    <col min="7180" max="7180" width="21.5703125" style="21" customWidth="1"/>
    <col min="7181" max="7181" width="19.28515625" style="21" customWidth="1"/>
    <col min="7182" max="7182" width="19.7109375" style="21" customWidth="1"/>
    <col min="7183" max="7183" width="24.5703125" style="21" customWidth="1"/>
    <col min="7184" max="7184" width="23.7109375" style="21" customWidth="1"/>
    <col min="7185" max="7424" width="9.140625" style="21"/>
    <col min="7425" max="7425" width="32.5703125" style="21" customWidth="1"/>
    <col min="7426" max="7426" width="32" style="21" customWidth="1"/>
    <col min="7427" max="7427" width="20.28515625" style="21" customWidth="1"/>
    <col min="7428" max="7428" width="0" style="21" hidden="1" customWidth="1"/>
    <col min="7429" max="7429" width="19.42578125" style="21" customWidth="1"/>
    <col min="7430" max="7430" width="13.5703125" style="21" customWidth="1"/>
    <col min="7431" max="7431" width="36.5703125" style="21" customWidth="1"/>
    <col min="7432" max="7432" width="15.140625" style="21" customWidth="1"/>
    <col min="7433" max="7433" width="18" style="21" customWidth="1"/>
    <col min="7434" max="7434" width="17.28515625" style="21" customWidth="1"/>
    <col min="7435" max="7435" width="27.140625" style="21" customWidth="1"/>
    <col min="7436" max="7436" width="21.5703125" style="21" customWidth="1"/>
    <col min="7437" max="7437" width="19.28515625" style="21" customWidth="1"/>
    <col min="7438" max="7438" width="19.7109375" style="21" customWidth="1"/>
    <col min="7439" max="7439" width="24.5703125" style="21" customWidth="1"/>
    <col min="7440" max="7440" width="23.7109375" style="21" customWidth="1"/>
    <col min="7441" max="7680" width="9.140625" style="21"/>
    <col min="7681" max="7681" width="32.5703125" style="21" customWidth="1"/>
    <col min="7682" max="7682" width="32" style="21" customWidth="1"/>
    <col min="7683" max="7683" width="20.28515625" style="21" customWidth="1"/>
    <col min="7684" max="7684" width="0" style="21" hidden="1" customWidth="1"/>
    <col min="7685" max="7685" width="19.42578125" style="21" customWidth="1"/>
    <col min="7686" max="7686" width="13.5703125" style="21" customWidth="1"/>
    <col min="7687" max="7687" width="36.5703125" style="21" customWidth="1"/>
    <col min="7688" max="7688" width="15.140625" style="21" customWidth="1"/>
    <col min="7689" max="7689" width="18" style="21" customWidth="1"/>
    <col min="7690" max="7690" width="17.28515625" style="21" customWidth="1"/>
    <col min="7691" max="7691" width="27.140625" style="21" customWidth="1"/>
    <col min="7692" max="7692" width="21.5703125" style="21" customWidth="1"/>
    <col min="7693" max="7693" width="19.28515625" style="21" customWidth="1"/>
    <col min="7694" max="7694" width="19.7109375" style="21" customWidth="1"/>
    <col min="7695" max="7695" width="24.5703125" style="21" customWidth="1"/>
    <col min="7696" max="7696" width="23.7109375" style="21" customWidth="1"/>
    <col min="7697" max="7936" width="9.140625" style="21"/>
    <col min="7937" max="7937" width="32.5703125" style="21" customWidth="1"/>
    <col min="7938" max="7938" width="32" style="21" customWidth="1"/>
    <col min="7939" max="7939" width="20.28515625" style="21" customWidth="1"/>
    <col min="7940" max="7940" width="0" style="21" hidden="1" customWidth="1"/>
    <col min="7941" max="7941" width="19.42578125" style="21" customWidth="1"/>
    <col min="7942" max="7942" width="13.5703125" style="21" customWidth="1"/>
    <col min="7943" max="7943" width="36.5703125" style="21" customWidth="1"/>
    <col min="7944" max="7944" width="15.140625" style="21" customWidth="1"/>
    <col min="7945" max="7945" width="18" style="21" customWidth="1"/>
    <col min="7946" max="7946" width="17.28515625" style="21" customWidth="1"/>
    <col min="7947" max="7947" width="27.140625" style="21" customWidth="1"/>
    <col min="7948" max="7948" width="21.5703125" style="21" customWidth="1"/>
    <col min="7949" max="7949" width="19.28515625" style="21" customWidth="1"/>
    <col min="7950" max="7950" width="19.7109375" style="21" customWidth="1"/>
    <col min="7951" max="7951" width="24.5703125" style="21" customWidth="1"/>
    <col min="7952" max="7952" width="23.7109375" style="21" customWidth="1"/>
    <col min="7953" max="8192" width="9.140625" style="21"/>
    <col min="8193" max="8193" width="32.5703125" style="21" customWidth="1"/>
    <col min="8194" max="8194" width="32" style="21" customWidth="1"/>
    <col min="8195" max="8195" width="20.28515625" style="21" customWidth="1"/>
    <col min="8196" max="8196" width="0" style="21" hidden="1" customWidth="1"/>
    <col min="8197" max="8197" width="19.42578125" style="21" customWidth="1"/>
    <col min="8198" max="8198" width="13.5703125" style="21" customWidth="1"/>
    <col min="8199" max="8199" width="36.5703125" style="21" customWidth="1"/>
    <col min="8200" max="8200" width="15.140625" style="21" customWidth="1"/>
    <col min="8201" max="8201" width="18" style="21" customWidth="1"/>
    <col min="8202" max="8202" width="17.28515625" style="21" customWidth="1"/>
    <col min="8203" max="8203" width="27.140625" style="21" customWidth="1"/>
    <col min="8204" max="8204" width="21.5703125" style="21" customWidth="1"/>
    <col min="8205" max="8205" width="19.28515625" style="21" customWidth="1"/>
    <col min="8206" max="8206" width="19.7109375" style="21" customWidth="1"/>
    <col min="8207" max="8207" width="24.5703125" style="21" customWidth="1"/>
    <col min="8208" max="8208" width="23.7109375" style="21" customWidth="1"/>
    <col min="8209" max="8448" width="9.140625" style="21"/>
    <col min="8449" max="8449" width="32.5703125" style="21" customWidth="1"/>
    <col min="8450" max="8450" width="32" style="21" customWidth="1"/>
    <col min="8451" max="8451" width="20.28515625" style="21" customWidth="1"/>
    <col min="8452" max="8452" width="0" style="21" hidden="1" customWidth="1"/>
    <col min="8453" max="8453" width="19.42578125" style="21" customWidth="1"/>
    <col min="8454" max="8454" width="13.5703125" style="21" customWidth="1"/>
    <col min="8455" max="8455" width="36.5703125" style="21" customWidth="1"/>
    <col min="8456" max="8456" width="15.140625" style="21" customWidth="1"/>
    <col min="8457" max="8457" width="18" style="21" customWidth="1"/>
    <col min="8458" max="8458" width="17.28515625" style="21" customWidth="1"/>
    <col min="8459" max="8459" width="27.140625" style="21" customWidth="1"/>
    <col min="8460" max="8460" width="21.5703125" style="21" customWidth="1"/>
    <col min="8461" max="8461" width="19.28515625" style="21" customWidth="1"/>
    <col min="8462" max="8462" width="19.7109375" style="21" customWidth="1"/>
    <col min="8463" max="8463" width="24.5703125" style="21" customWidth="1"/>
    <col min="8464" max="8464" width="23.7109375" style="21" customWidth="1"/>
    <col min="8465" max="8704" width="9.140625" style="21"/>
    <col min="8705" max="8705" width="32.5703125" style="21" customWidth="1"/>
    <col min="8706" max="8706" width="32" style="21" customWidth="1"/>
    <col min="8707" max="8707" width="20.28515625" style="21" customWidth="1"/>
    <col min="8708" max="8708" width="0" style="21" hidden="1" customWidth="1"/>
    <col min="8709" max="8709" width="19.42578125" style="21" customWidth="1"/>
    <col min="8710" max="8710" width="13.5703125" style="21" customWidth="1"/>
    <col min="8711" max="8711" width="36.5703125" style="21" customWidth="1"/>
    <col min="8712" max="8712" width="15.140625" style="21" customWidth="1"/>
    <col min="8713" max="8713" width="18" style="21" customWidth="1"/>
    <col min="8714" max="8714" width="17.28515625" style="21" customWidth="1"/>
    <col min="8715" max="8715" width="27.140625" style="21" customWidth="1"/>
    <col min="8716" max="8716" width="21.5703125" style="21" customWidth="1"/>
    <col min="8717" max="8717" width="19.28515625" style="21" customWidth="1"/>
    <col min="8718" max="8718" width="19.7109375" style="21" customWidth="1"/>
    <col min="8719" max="8719" width="24.5703125" style="21" customWidth="1"/>
    <col min="8720" max="8720" width="23.7109375" style="21" customWidth="1"/>
    <col min="8721" max="8960" width="9.140625" style="21"/>
    <col min="8961" max="8961" width="32.5703125" style="21" customWidth="1"/>
    <col min="8962" max="8962" width="32" style="21" customWidth="1"/>
    <col min="8963" max="8963" width="20.28515625" style="21" customWidth="1"/>
    <col min="8964" max="8964" width="0" style="21" hidden="1" customWidth="1"/>
    <col min="8965" max="8965" width="19.42578125" style="21" customWidth="1"/>
    <col min="8966" max="8966" width="13.5703125" style="21" customWidth="1"/>
    <col min="8967" max="8967" width="36.5703125" style="21" customWidth="1"/>
    <col min="8968" max="8968" width="15.140625" style="21" customWidth="1"/>
    <col min="8969" max="8969" width="18" style="21" customWidth="1"/>
    <col min="8970" max="8970" width="17.28515625" style="21" customWidth="1"/>
    <col min="8971" max="8971" width="27.140625" style="21" customWidth="1"/>
    <col min="8972" max="8972" width="21.5703125" style="21" customWidth="1"/>
    <col min="8973" max="8973" width="19.28515625" style="21" customWidth="1"/>
    <col min="8974" max="8974" width="19.7109375" style="21" customWidth="1"/>
    <col min="8975" max="8975" width="24.5703125" style="21" customWidth="1"/>
    <col min="8976" max="8976" width="23.7109375" style="21" customWidth="1"/>
    <col min="8977" max="9216" width="9.140625" style="21"/>
    <col min="9217" max="9217" width="32.5703125" style="21" customWidth="1"/>
    <col min="9218" max="9218" width="32" style="21" customWidth="1"/>
    <col min="9219" max="9219" width="20.28515625" style="21" customWidth="1"/>
    <col min="9220" max="9220" width="0" style="21" hidden="1" customWidth="1"/>
    <col min="9221" max="9221" width="19.42578125" style="21" customWidth="1"/>
    <col min="9222" max="9222" width="13.5703125" style="21" customWidth="1"/>
    <col min="9223" max="9223" width="36.5703125" style="21" customWidth="1"/>
    <col min="9224" max="9224" width="15.140625" style="21" customWidth="1"/>
    <col min="9225" max="9225" width="18" style="21" customWidth="1"/>
    <col min="9226" max="9226" width="17.28515625" style="21" customWidth="1"/>
    <col min="9227" max="9227" width="27.140625" style="21" customWidth="1"/>
    <col min="9228" max="9228" width="21.5703125" style="21" customWidth="1"/>
    <col min="9229" max="9229" width="19.28515625" style="21" customWidth="1"/>
    <col min="9230" max="9230" width="19.7109375" style="21" customWidth="1"/>
    <col min="9231" max="9231" width="24.5703125" style="21" customWidth="1"/>
    <col min="9232" max="9232" width="23.7109375" style="21" customWidth="1"/>
    <col min="9233" max="9472" width="9.140625" style="21"/>
    <col min="9473" max="9473" width="32.5703125" style="21" customWidth="1"/>
    <col min="9474" max="9474" width="32" style="21" customWidth="1"/>
    <col min="9475" max="9475" width="20.28515625" style="21" customWidth="1"/>
    <col min="9476" max="9476" width="0" style="21" hidden="1" customWidth="1"/>
    <col min="9477" max="9477" width="19.42578125" style="21" customWidth="1"/>
    <col min="9478" max="9478" width="13.5703125" style="21" customWidth="1"/>
    <col min="9479" max="9479" width="36.5703125" style="21" customWidth="1"/>
    <col min="9480" max="9480" width="15.140625" style="21" customWidth="1"/>
    <col min="9481" max="9481" width="18" style="21" customWidth="1"/>
    <col min="9482" max="9482" width="17.28515625" style="21" customWidth="1"/>
    <col min="9483" max="9483" width="27.140625" style="21" customWidth="1"/>
    <col min="9484" max="9484" width="21.5703125" style="21" customWidth="1"/>
    <col min="9485" max="9485" width="19.28515625" style="21" customWidth="1"/>
    <col min="9486" max="9486" width="19.7109375" style="21" customWidth="1"/>
    <col min="9487" max="9487" width="24.5703125" style="21" customWidth="1"/>
    <col min="9488" max="9488" width="23.7109375" style="21" customWidth="1"/>
    <col min="9489" max="9728" width="9.140625" style="21"/>
    <col min="9729" max="9729" width="32.5703125" style="21" customWidth="1"/>
    <col min="9730" max="9730" width="32" style="21" customWidth="1"/>
    <col min="9731" max="9731" width="20.28515625" style="21" customWidth="1"/>
    <col min="9732" max="9732" width="0" style="21" hidden="1" customWidth="1"/>
    <col min="9733" max="9733" width="19.42578125" style="21" customWidth="1"/>
    <col min="9734" max="9734" width="13.5703125" style="21" customWidth="1"/>
    <col min="9735" max="9735" width="36.5703125" style="21" customWidth="1"/>
    <col min="9736" max="9736" width="15.140625" style="21" customWidth="1"/>
    <col min="9737" max="9737" width="18" style="21" customWidth="1"/>
    <col min="9738" max="9738" width="17.28515625" style="21" customWidth="1"/>
    <col min="9739" max="9739" width="27.140625" style="21" customWidth="1"/>
    <col min="9740" max="9740" width="21.5703125" style="21" customWidth="1"/>
    <col min="9741" max="9741" width="19.28515625" style="21" customWidth="1"/>
    <col min="9742" max="9742" width="19.7109375" style="21" customWidth="1"/>
    <col min="9743" max="9743" width="24.5703125" style="21" customWidth="1"/>
    <col min="9744" max="9744" width="23.7109375" style="21" customWidth="1"/>
    <col min="9745" max="9984" width="9.140625" style="21"/>
    <col min="9985" max="9985" width="32.5703125" style="21" customWidth="1"/>
    <col min="9986" max="9986" width="32" style="21" customWidth="1"/>
    <col min="9987" max="9987" width="20.28515625" style="21" customWidth="1"/>
    <col min="9988" max="9988" width="0" style="21" hidden="1" customWidth="1"/>
    <col min="9989" max="9989" width="19.42578125" style="21" customWidth="1"/>
    <col min="9990" max="9990" width="13.5703125" style="21" customWidth="1"/>
    <col min="9991" max="9991" width="36.5703125" style="21" customWidth="1"/>
    <col min="9992" max="9992" width="15.140625" style="21" customWidth="1"/>
    <col min="9993" max="9993" width="18" style="21" customWidth="1"/>
    <col min="9994" max="9994" width="17.28515625" style="21" customWidth="1"/>
    <col min="9995" max="9995" width="27.140625" style="21" customWidth="1"/>
    <col min="9996" max="9996" width="21.5703125" style="21" customWidth="1"/>
    <col min="9997" max="9997" width="19.28515625" style="21" customWidth="1"/>
    <col min="9998" max="9998" width="19.7109375" style="21" customWidth="1"/>
    <col min="9999" max="9999" width="24.5703125" style="21" customWidth="1"/>
    <col min="10000" max="10000" width="23.7109375" style="21" customWidth="1"/>
    <col min="10001" max="10240" width="9.140625" style="21"/>
    <col min="10241" max="10241" width="32.5703125" style="21" customWidth="1"/>
    <col min="10242" max="10242" width="32" style="21" customWidth="1"/>
    <col min="10243" max="10243" width="20.28515625" style="21" customWidth="1"/>
    <col min="10244" max="10244" width="0" style="21" hidden="1" customWidth="1"/>
    <col min="10245" max="10245" width="19.42578125" style="21" customWidth="1"/>
    <col min="10246" max="10246" width="13.5703125" style="21" customWidth="1"/>
    <col min="10247" max="10247" width="36.5703125" style="21" customWidth="1"/>
    <col min="10248" max="10248" width="15.140625" style="21" customWidth="1"/>
    <col min="10249" max="10249" width="18" style="21" customWidth="1"/>
    <col min="10250" max="10250" width="17.28515625" style="21" customWidth="1"/>
    <col min="10251" max="10251" width="27.140625" style="21" customWidth="1"/>
    <col min="10252" max="10252" width="21.5703125" style="21" customWidth="1"/>
    <col min="10253" max="10253" width="19.28515625" style="21" customWidth="1"/>
    <col min="10254" max="10254" width="19.7109375" style="21" customWidth="1"/>
    <col min="10255" max="10255" width="24.5703125" style="21" customWidth="1"/>
    <col min="10256" max="10256" width="23.7109375" style="21" customWidth="1"/>
    <col min="10257" max="10496" width="9.140625" style="21"/>
    <col min="10497" max="10497" width="32.5703125" style="21" customWidth="1"/>
    <col min="10498" max="10498" width="32" style="21" customWidth="1"/>
    <col min="10499" max="10499" width="20.28515625" style="21" customWidth="1"/>
    <col min="10500" max="10500" width="0" style="21" hidden="1" customWidth="1"/>
    <col min="10501" max="10501" width="19.42578125" style="21" customWidth="1"/>
    <col min="10502" max="10502" width="13.5703125" style="21" customWidth="1"/>
    <col min="10503" max="10503" width="36.5703125" style="21" customWidth="1"/>
    <col min="10504" max="10504" width="15.140625" style="21" customWidth="1"/>
    <col min="10505" max="10505" width="18" style="21" customWidth="1"/>
    <col min="10506" max="10506" width="17.28515625" style="21" customWidth="1"/>
    <col min="10507" max="10507" width="27.140625" style="21" customWidth="1"/>
    <col min="10508" max="10508" width="21.5703125" style="21" customWidth="1"/>
    <col min="10509" max="10509" width="19.28515625" style="21" customWidth="1"/>
    <col min="10510" max="10510" width="19.7109375" style="21" customWidth="1"/>
    <col min="10511" max="10511" width="24.5703125" style="21" customWidth="1"/>
    <col min="10512" max="10512" width="23.7109375" style="21" customWidth="1"/>
    <col min="10513" max="10752" width="9.140625" style="21"/>
    <col min="10753" max="10753" width="32.5703125" style="21" customWidth="1"/>
    <col min="10754" max="10754" width="32" style="21" customWidth="1"/>
    <col min="10755" max="10755" width="20.28515625" style="21" customWidth="1"/>
    <col min="10756" max="10756" width="0" style="21" hidden="1" customWidth="1"/>
    <col min="10757" max="10757" width="19.42578125" style="21" customWidth="1"/>
    <col min="10758" max="10758" width="13.5703125" style="21" customWidth="1"/>
    <col min="10759" max="10759" width="36.5703125" style="21" customWidth="1"/>
    <col min="10760" max="10760" width="15.140625" style="21" customWidth="1"/>
    <col min="10761" max="10761" width="18" style="21" customWidth="1"/>
    <col min="10762" max="10762" width="17.28515625" style="21" customWidth="1"/>
    <col min="10763" max="10763" width="27.140625" style="21" customWidth="1"/>
    <col min="10764" max="10764" width="21.5703125" style="21" customWidth="1"/>
    <col min="10765" max="10765" width="19.28515625" style="21" customWidth="1"/>
    <col min="10766" max="10766" width="19.7109375" style="21" customWidth="1"/>
    <col min="10767" max="10767" width="24.5703125" style="21" customWidth="1"/>
    <col min="10768" max="10768" width="23.7109375" style="21" customWidth="1"/>
    <col min="10769" max="11008" width="9.140625" style="21"/>
    <col min="11009" max="11009" width="32.5703125" style="21" customWidth="1"/>
    <col min="11010" max="11010" width="32" style="21" customWidth="1"/>
    <col min="11011" max="11011" width="20.28515625" style="21" customWidth="1"/>
    <col min="11012" max="11012" width="0" style="21" hidden="1" customWidth="1"/>
    <col min="11013" max="11013" width="19.42578125" style="21" customWidth="1"/>
    <col min="11014" max="11014" width="13.5703125" style="21" customWidth="1"/>
    <col min="11015" max="11015" width="36.5703125" style="21" customWidth="1"/>
    <col min="11016" max="11016" width="15.140625" style="21" customWidth="1"/>
    <col min="11017" max="11017" width="18" style="21" customWidth="1"/>
    <col min="11018" max="11018" width="17.28515625" style="21" customWidth="1"/>
    <col min="11019" max="11019" width="27.140625" style="21" customWidth="1"/>
    <col min="11020" max="11020" width="21.5703125" style="21" customWidth="1"/>
    <col min="11021" max="11021" width="19.28515625" style="21" customWidth="1"/>
    <col min="11022" max="11022" width="19.7109375" style="21" customWidth="1"/>
    <col min="11023" max="11023" width="24.5703125" style="21" customWidth="1"/>
    <col min="11024" max="11024" width="23.7109375" style="21" customWidth="1"/>
    <col min="11025" max="11264" width="9.140625" style="21"/>
    <col min="11265" max="11265" width="32.5703125" style="21" customWidth="1"/>
    <col min="11266" max="11266" width="32" style="21" customWidth="1"/>
    <col min="11267" max="11267" width="20.28515625" style="21" customWidth="1"/>
    <col min="11268" max="11268" width="0" style="21" hidden="1" customWidth="1"/>
    <col min="11269" max="11269" width="19.42578125" style="21" customWidth="1"/>
    <col min="11270" max="11270" width="13.5703125" style="21" customWidth="1"/>
    <col min="11271" max="11271" width="36.5703125" style="21" customWidth="1"/>
    <col min="11272" max="11272" width="15.140625" style="21" customWidth="1"/>
    <col min="11273" max="11273" width="18" style="21" customWidth="1"/>
    <col min="11274" max="11274" width="17.28515625" style="21" customWidth="1"/>
    <col min="11275" max="11275" width="27.140625" style="21" customWidth="1"/>
    <col min="11276" max="11276" width="21.5703125" style="21" customWidth="1"/>
    <col min="11277" max="11277" width="19.28515625" style="21" customWidth="1"/>
    <col min="11278" max="11278" width="19.7109375" style="21" customWidth="1"/>
    <col min="11279" max="11279" width="24.5703125" style="21" customWidth="1"/>
    <col min="11280" max="11280" width="23.7109375" style="21" customWidth="1"/>
    <col min="11281" max="11520" width="9.140625" style="21"/>
    <col min="11521" max="11521" width="32.5703125" style="21" customWidth="1"/>
    <col min="11522" max="11522" width="32" style="21" customWidth="1"/>
    <col min="11523" max="11523" width="20.28515625" style="21" customWidth="1"/>
    <col min="11524" max="11524" width="0" style="21" hidden="1" customWidth="1"/>
    <col min="11525" max="11525" width="19.42578125" style="21" customWidth="1"/>
    <col min="11526" max="11526" width="13.5703125" style="21" customWidth="1"/>
    <col min="11527" max="11527" width="36.5703125" style="21" customWidth="1"/>
    <col min="11528" max="11528" width="15.140625" style="21" customWidth="1"/>
    <col min="11529" max="11529" width="18" style="21" customWidth="1"/>
    <col min="11530" max="11530" width="17.28515625" style="21" customWidth="1"/>
    <col min="11531" max="11531" width="27.140625" style="21" customWidth="1"/>
    <col min="11532" max="11532" width="21.5703125" style="21" customWidth="1"/>
    <col min="11533" max="11533" width="19.28515625" style="21" customWidth="1"/>
    <col min="11534" max="11534" width="19.7109375" style="21" customWidth="1"/>
    <col min="11535" max="11535" width="24.5703125" style="21" customWidth="1"/>
    <col min="11536" max="11536" width="23.7109375" style="21" customWidth="1"/>
    <col min="11537" max="11776" width="9.140625" style="21"/>
    <col min="11777" max="11777" width="32.5703125" style="21" customWidth="1"/>
    <col min="11778" max="11778" width="32" style="21" customWidth="1"/>
    <col min="11779" max="11779" width="20.28515625" style="21" customWidth="1"/>
    <col min="11780" max="11780" width="0" style="21" hidden="1" customWidth="1"/>
    <col min="11781" max="11781" width="19.42578125" style="21" customWidth="1"/>
    <col min="11782" max="11782" width="13.5703125" style="21" customWidth="1"/>
    <col min="11783" max="11783" width="36.5703125" style="21" customWidth="1"/>
    <col min="11784" max="11784" width="15.140625" style="21" customWidth="1"/>
    <col min="11785" max="11785" width="18" style="21" customWidth="1"/>
    <col min="11786" max="11786" width="17.28515625" style="21" customWidth="1"/>
    <col min="11787" max="11787" width="27.140625" style="21" customWidth="1"/>
    <col min="11788" max="11788" width="21.5703125" style="21" customWidth="1"/>
    <col min="11789" max="11789" width="19.28515625" style="21" customWidth="1"/>
    <col min="11790" max="11790" width="19.7109375" style="21" customWidth="1"/>
    <col min="11791" max="11791" width="24.5703125" style="21" customWidth="1"/>
    <col min="11792" max="11792" width="23.7109375" style="21" customWidth="1"/>
    <col min="11793" max="12032" width="9.140625" style="21"/>
    <col min="12033" max="12033" width="32.5703125" style="21" customWidth="1"/>
    <col min="12034" max="12034" width="32" style="21" customWidth="1"/>
    <col min="12035" max="12035" width="20.28515625" style="21" customWidth="1"/>
    <col min="12036" max="12036" width="0" style="21" hidden="1" customWidth="1"/>
    <col min="12037" max="12037" width="19.42578125" style="21" customWidth="1"/>
    <col min="12038" max="12038" width="13.5703125" style="21" customWidth="1"/>
    <col min="12039" max="12039" width="36.5703125" style="21" customWidth="1"/>
    <col min="12040" max="12040" width="15.140625" style="21" customWidth="1"/>
    <col min="12041" max="12041" width="18" style="21" customWidth="1"/>
    <col min="12042" max="12042" width="17.28515625" style="21" customWidth="1"/>
    <col min="12043" max="12043" width="27.140625" style="21" customWidth="1"/>
    <col min="12044" max="12044" width="21.5703125" style="21" customWidth="1"/>
    <col min="12045" max="12045" width="19.28515625" style="21" customWidth="1"/>
    <col min="12046" max="12046" width="19.7109375" style="21" customWidth="1"/>
    <col min="12047" max="12047" width="24.5703125" style="21" customWidth="1"/>
    <col min="12048" max="12048" width="23.7109375" style="21" customWidth="1"/>
    <col min="12049" max="12288" width="9.140625" style="21"/>
    <col min="12289" max="12289" width="32.5703125" style="21" customWidth="1"/>
    <col min="12290" max="12290" width="32" style="21" customWidth="1"/>
    <col min="12291" max="12291" width="20.28515625" style="21" customWidth="1"/>
    <col min="12292" max="12292" width="0" style="21" hidden="1" customWidth="1"/>
    <col min="12293" max="12293" width="19.42578125" style="21" customWidth="1"/>
    <col min="12294" max="12294" width="13.5703125" style="21" customWidth="1"/>
    <col min="12295" max="12295" width="36.5703125" style="21" customWidth="1"/>
    <col min="12296" max="12296" width="15.140625" style="21" customWidth="1"/>
    <col min="12297" max="12297" width="18" style="21" customWidth="1"/>
    <col min="12298" max="12298" width="17.28515625" style="21" customWidth="1"/>
    <col min="12299" max="12299" width="27.140625" style="21" customWidth="1"/>
    <col min="12300" max="12300" width="21.5703125" style="21" customWidth="1"/>
    <col min="12301" max="12301" width="19.28515625" style="21" customWidth="1"/>
    <col min="12302" max="12302" width="19.7109375" style="21" customWidth="1"/>
    <col min="12303" max="12303" width="24.5703125" style="21" customWidth="1"/>
    <col min="12304" max="12304" width="23.7109375" style="21" customWidth="1"/>
    <col min="12305" max="12544" width="9.140625" style="21"/>
    <col min="12545" max="12545" width="32.5703125" style="21" customWidth="1"/>
    <col min="12546" max="12546" width="32" style="21" customWidth="1"/>
    <col min="12547" max="12547" width="20.28515625" style="21" customWidth="1"/>
    <col min="12548" max="12548" width="0" style="21" hidden="1" customWidth="1"/>
    <col min="12549" max="12549" width="19.42578125" style="21" customWidth="1"/>
    <col min="12550" max="12550" width="13.5703125" style="21" customWidth="1"/>
    <col min="12551" max="12551" width="36.5703125" style="21" customWidth="1"/>
    <col min="12552" max="12552" width="15.140625" style="21" customWidth="1"/>
    <col min="12553" max="12553" width="18" style="21" customWidth="1"/>
    <col min="12554" max="12554" width="17.28515625" style="21" customWidth="1"/>
    <col min="12555" max="12555" width="27.140625" style="21" customWidth="1"/>
    <col min="12556" max="12556" width="21.5703125" style="21" customWidth="1"/>
    <col min="12557" max="12557" width="19.28515625" style="21" customWidth="1"/>
    <col min="12558" max="12558" width="19.7109375" style="21" customWidth="1"/>
    <col min="12559" max="12559" width="24.5703125" style="21" customWidth="1"/>
    <col min="12560" max="12560" width="23.7109375" style="21" customWidth="1"/>
    <col min="12561" max="12800" width="9.140625" style="21"/>
    <col min="12801" max="12801" width="32.5703125" style="21" customWidth="1"/>
    <col min="12802" max="12802" width="32" style="21" customWidth="1"/>
    <col min="12803" max="12803" width="20.28515625" style="21" customWidth="1"/>
    <col min="12804" max="12804" width="0" style="21" hidden="1" customWidth="1"/>
    <col min="12805" max="12805" width="19.42578125" style="21" customWidth="1"/>
    <col min="12806" max="12806" width="13.5703125" style="21" customWidth="1"/>
    <col min="12807" max="12807" width="36.5703125" style="21" customWidth="1"/>
    <col min="12808" max="12808" width="15.140625" style="21" customWidth="1"/>
    <col min="12809" max="12809" width="18" style="21" customWidth="1"/>
    <col min="12810" max="12810" width="17.28515625" style="21" customWidth="1"/>
    <col min="12811" max="12811" width="27.140625" style="21" customWidth="1"/>
    <col min="12812" max="12812" width="21.5703125" style="21" customWidth="1"/>
    <col min="12813" max="12813" width="19.28515625" style="21" customWidth="1"/>
    <col min="12814" max="12814" width="19.7109375" style="21" customWidth="1"/>
    <col min="12815" max="12815" width="24.5703125" style="21" customWidth="1"/>
    <col min="12816" max="12816" width="23.7109375" style="21" customWidth="1"/>
    <col min="12817" max="13056" width="9.140625" style="21"/>
    <col min="13057" max="13057" width="32.5703125" style="21" customWidth="1"/>
    <col min="13058" max="13058" width="32" style="21" customWidth="1"/>
    <col min="13059" max="13059" width="20.28515625" style="21" customWidth="1"/>
    <col min="13060" max="13060" width="0" style="21" hidden="1" customWidth="1"/>
    <col min="13061" max="13061" width="19.42578125" style="21" customWidth="1"/>
    <col min="13062" max="13062" width="13.5703125" style="21" customWidth="1"/>
    <col min="13063" max="13063" width="36.5703125" style="21" customWidth="1"/>
    <col min="13064" max="13064" width="15.140625" style="21" customWidth="1"/>
    <col min="13065" max="13065" width="18" style="21" customWidth="1"/>
    <col min="13066" max="13066" width="17.28515625" style="21" customWidth="1"/>
    <col min="13067" max="13067" width="27.140625" style="21" customWidth="1"/>
    <col min="13068" max="13068" width="21.5703125" style="21" customWidth="1"/>
    <col min="13069" max="13069" width="19.28515625" style="21" customWidth="1"/>
    <col min="13070" max="13070" width="19.7109375" style="21" customWidth="1"/>
    <col min="13071" max="13071" width="24.5703125" style="21" customWidth="1"/>
    <col min="13072" max="13072" width="23.7109375" style="21" customWidth="1"/>
    <col min="13073" max="13312" width="9.140625" style="21"/>
    <col min="13313" max="13313" width="32.5703125" style="21" customWidth="1"/>
    <col min="13314" max="13314" width="32" style="21" customWidth="1"/>
    <col min="13315" max="13315" width="20.28515625" style="21" customWidth="1"/>
    <col min="13316" max="13316" width="0" style="21" hidden="1" customWidth="1"/>
    <col min="13317" max="13317" width="19.42578125" style="21" customWidth="1"/>
    <col min="13318" max="13318" width="13.5703125" style="21" customWidth="1"/>
    <col min="13319" max="13319" width="36.5703125" style="21" customWidth="1"/>
    <col min="13320" max="13320" width="15.140625" style="21" customWidth="1"/>
    <col min="13321" max="13321" width="18" style="21" customWidth="1"/>
    <col min="13322" max="13322" width="17.28515625" style="21" customWidth="1"/>
    <col min="13323" max="13323" width="27.140625" style="21" customWidth="1"/>
    <col min="13324" max="13324" width="21.5703125" style="21" customWidth="1"/>
    <col min="13325" max="13325" width="19.28515625" style="21" customWidth="1"/>
    <col min="13326" max="13326" width="19.7109375" style="21" customWidth="1"/>
    <col min="13327" max="13327" width="24.5703125" style="21" customWidth="1"/>
    <col min="13328" max="13328" width="23.7109375" style="21" customWidth="1"/>
    <col min="13329" max="13568" width="9.140625" style="21"/>
    <col min="13569" max="13569" width="32.5703125" style="21" customWidth="1"/>
    <col min="13570" max="13570" width="32" style="21" customWidth="1"/>
    <col min="13571" max="13571" width="20.28515625" style="21" customWidth="1"/>
    <col min="13572" max="13572" width="0" style="21" hidden="1" customWidth="1"/>
    <col min="13573" max="13573" width="19.42578125" style="21" customWidth="1"/>
    <col min="13574" max="13574" width="13.5703125" style="21" customWidth="1"/>
    <col min="13575" max="13575" width="36.5703125" style="21" customWidth="1"/>
    <col min="13576" max="13576" width="15.140625" style="21" customWidth="1"/>
    <col min="13577" max="13577" width="18" style="21" customWidth="1"/>
    <col min="13578" max="13578" width="17.28515625" style="21" customWidth="1"/>
    <col min="13579" max="13579" width="27.140625" style="21" customWidth="1"/>
    <col min="13580" max="13580" width="21.5703125" style="21" customWidth="1"/>
    <col min="13581" max="13581" width="19.28515625" style="21" customWidth="1"/>
    <col min="13582" max="13582" width="19.7109375" style="21" customWidth="1"/>
    <col min="13583" max="13583" width="24.5703125" style="21" customWidth="1"/>
    <col min="13584" max="13584" width="23.7109375" style="21" customWidth="1"/>
    <col min="13585" max="13824" width="9.140625" style="21"/>
    <col min="13825" max="13825" width="32.5703125" style="21" customWidth="1"/>
    <col min="13826" max="13826" width="32" style="21" customWidth="1"/>
    <col min="13827" max="13827" width="20.28515625" style="21" customWidth="1"/>
    <col min="13828" max="13828" width="0" style="21" hidden="1" customWidth="1"/>
    <col min="13829" max="13829" width="19.42578125" style="21" customWidth="1"/>
    <col min="13830" max="13830" width="13.5703125" style="21" customWidth="1"/>
    <col min="13831" max="13831" width="36.5703125" style="21" customWidth="1"/>
    <col min="13832" max="13832" width="15.140625" style="21" customWidth="1"/>
    <col min="13833" max="13833" width="18" style="21" customWidth="1"/>
    <col min="13834" max="13834" width="17.28515625" style="21" customWidth="1"/>
    <col min="13835" max="13835" width="27.140625" style="21" customWidth="1"/>
    <col min="13836" max="13836" width="21.5703125" style="21" customWidth="1"/>
    <col min="13837" max="13837" width="19.28515625" style="21" customWidth="1"/>
    <col min="13838" max="13838" width="19.7109375" style="21" customWidth="1"/>
    <col min="13839" max="13839" width="24.5703125" style="21" customWidth="1"/>
    <col min="13840" max="13840" width="23.7109375" style="21" customWidth="1"/>
    <col min="13841" max="14080" width="9.140625" style="21"/>
    <col min="14081" max="14081" width="32.5703125" style="21" customWidth="1"/>
    <col min="14082" max="14082" width="32" style="21" customWidth="1"/>
    <col min="14083" max="14083" width="20.28515625" style="21" customWidth="1"/>
    <col min="14084" max="14084" width="0" style="21" hidden="1" customWidth="1"/>
    <col min="14085" max="14085" width="19.42578125" style="21" customWidth="1"/>
    <col min="14086" max="14086" width="13.5703125" style="21" customWidth="1"/>
    <col min="14087" max="14087" width="36.5703125" style="21" customWidth="1"/>
    <col min="14088" max="14088" width="15.140625" style="21" customWidth="1"/>
    <col min="14089" max="14089" width="18" style="21" customWidth="1"/>
    <col min="14090" max="14090" width="17.28515625" style="21" customWidth="1"/>
    <col min="14091" max="14091" width="27.140625" style="21" customWidth="1"/>
    <col min="14092" max="14092" width="21.5703125" style="21" customWidth="1"/>
    <col min="14093" max="14093" width="19.28515625" style="21" customWidth="1"/>
    <col min="14094" max="14094" width="19.7109375" style="21" customWidth="1"/>
    <col min="14095" max="14095" width="24.5703125" style="21" customWidth="1"/>
    <col min="14096" max="14096" width="23.7109375" style="21" customWidth="1"/>
    <col min="14097" max="14336" width="9.140625" style="21"/>
    <col min="14337" max="14337" width="32.5703125" style="21" customWidth="1"/>
    <col min="14338" max="14338" width="32" style="21" customWidth="1"/>
    <col min="14339" max="14339" width="20.28515625" style="21" customWidth="1"/>
    <col min="14340" max="14340" width="0" style="21" hidden="1" customWidth="1"/>
    <col min="14341" max="14341" width="19.42578125" style="21" customWidth="1"/>
    <col min="14342" max="14342" width="13.5703125" style="21" customWidth="1"/>
    <col min="14343" max="14343" width="36.5703125" style="21" customWidth="1"/>
    <col min="14344" max="14344" width="15.140625" style="21" customWidth="1"/>
    <col min="14345" max="14345" width="18" style="21" customWidth="1"/>
    <col min="14346" max="14346" width="17.28515625" style="21" customWidth="1"/>
    <col min="14347" max="14347" width="27.140625" style="21" customWidth="1"/>
    <col min="14348" max="14348" width="21.5703125" style="21" customWidth="1"/>
    <col min="14349" max="14349" width="19.28515625" style="21" customWidth="1"/>
    <col min="14350" max="14350" width="19.7109375" style="21" customWidth="1"/>
    <col min="14351" max="14351" width="24.5703125" style="21" customWidth="1"/>
    <col min="14352" max="14352" width="23.7109375" style="21" customWidth="1"/>
    <col min="14353" max="14592" width="9.140625" style="21"/>
    <col min="14593" max="14593" width="32.5703125" style="21" customWidth="1"/>
    <col min="14594" max="14594" width="32" style="21" customWidth="1"/>
    <col min="14595" max="14595" width="20.28515625" style="21" customWidth="1"/>
    <col min="14596" max="14596" width="0" style="21" hidden="1" customWidth="1"/>
    <col min="14597" max="14597" width="19.42578125" style="21" customWidth="1"/>
    <col min="14598" max="14598" width="13.5703125" style="21" customWidth="1"/>
    <col min="14599" max="14599" width="36.5703125" style="21" customWidth="1"/>
    <col min="14600" max="14600" width="15.140625" style="21" customWidth="1"/>
    <col min="14601" max="14601" width="18" style="21" customWidth="1"/>
    <col min="14602" max="14602" width="17.28515625" style="21" customWidth="1"/>
    <col min="14603" max="14603" width="27.140625" style="21" customWidth="1"/>
    <col min="14604" max="14604" width="21.5703125" style="21" customWidth="1"/>
    <col min="14605" max="14605" width="19.28515625" style="21" customWidth="1"/>
    <col min="14606" max="14606" width="19.7109375" style="21" customWidth="1"/>
    <col min="14607" max="14607" width="24.5703125" style="21" customWidth="1"/>
    <col min="14608" max="14608" width="23.7109375" style="21" customWidth="1"/>
    <col min="14609" max="14848" width="9.140625" style="21"/>
    <col min="14849" max="14849" width="32.5703125" style="21" customWidth="1"/>
    <col min="14850" max="14850" width="32" style="21" customWidth="1"/>
    <col min="14851" max="14851" width="20.28515625" style="21" customWidth="1"/>
    <col min="14852" max="14852" width="0" style="21" hidden="1" customWidth="1"/>
    <col min="14853" max="14853" width="19.42578125" style="21" customWidth="1"/>
    <col min="14854" max="14854" width="13.5703125" style="21" customWidth="1"/>
    <col min="14855" max="14855" width="36.5703125" style="21" customWidth="1"/>
    <col min="14856" max="14856" width="15.140625" style="21" customWidth="1"/>
    <col min="14857" max="14857" width="18" style="21" customWidth="1"/>
    <col min="14858" max="14858" width="17.28515625" style="21" customWidth="1"/>
    <col min="14859" max="14859" width="27.140625" style="21" customWidth="1"/>
    <col min="14860" max="14860" width="21.5703125" style="21" customWidth="1"/>
    <col min="14861" max="14861" width="19.28515625" style="21" customWidth="1"/>
    <col min="14862" max="14862" width="19.7109375" style="21" customWidth="1"/>
    <col min="14863" max="14863" width="24.5703125" style="21" customWidth="1"/>
    <col min="14864" max="14864" width="23.7109375" style="21" customWidth="1"/>
    <col min="14865" max="15104" width="9.140625" style="21"/>
    <col min="15105" max="15105" width="32.5703125" style="21" customWidth="1"/>
    <col min="15106" max="15106" width="32" style="21" customWidth="1"/>
    <col min="15107" max="15107" width="20.28515625" style="21" customWidth="1"/>
    <col min="15108" max="15108" width="0" style="21" hidden="1" customWidth="1"/>
    <col min="15109" max="15109" width="19.42578125" style="21" customWidth="1"/>
    <col min="15110" max="15110" width="13.5703125" style="21" customWidth="1"/>
    <col min="15111" max="15111" width="36.5703125" style="21" customWidth="1"/>
    <col min="15112" max="15112" width="15.140625" style="21" customWidth="1"/>
    <col min="15113" max="15113" width="18" style="21" customWidth="1"/>
    <col min="15114" max="15114" width="17.28515625" style="21" customWidth="1"/>
    <col min="15115" max="15115" width="27.140625" style="21" customWidth="1"/>
    <col min="15116" max="15116" width="21.5703125" style="21" customWidth="1"/>
    <col min="15117" max="15117" width="19.28515625" style="21" customWidth="1"/>
    <col min="15118" max="15118" width="19.7109375" style="21" customWidth="1"/>
    <col min="15119" max="15119" width="24.5703125" style="21" customWidth="1"/>
    <col min="15120" max="15120" width="23.7109375" style="21" customWidth="1"/>
    <col min="15121" max="15360" width="9.140625" style="21"/>
    <col min="15361" max="15361" width="32.5703125" style="21" customWidth="1"/>
    <col min="15362" max="15362" width="32" style="21" customWidth="1"/>
    <col min="15363" max="15363" width="20.28515625" style="21" customWidth="1"/>
    <col min="15364" max="15364" width="0" style="21" hidden="1" customWidth="1"/>
    <col min="15365" max="15365" width="19.42578125" style="21" customWidth="1"/>
    <col min="15366" max="15366" width="13.5703125" style="21" customWidth="1"/>
    <col min="15367" max="15367" width="36.5703125" style="21" customWidth="1"/>
    <col min="15368" max="15368" width="15.140625" style="21" customWidth="1"/>
    <col min="15369" max="15369" width="18" style="21" customWidth="1"/>
    <col min="15370" max="15370" width="17.28515625" style="21" customWidth="1"/>
    <col min="15371" max="15371" width="27.140625" style="21" customWidth="1"/>
    <col min="15372" max="15372" width="21.5703125" style="21" customWidth="1"/>
    <col min="15373" max="15373" width="19.28515625" style="21" customWidth="1"/>
    <col min="15374" max="15374" width="19.7109375" style="21" customWidth="1"/>
    <col min="15375" max="15375" width="24.5703125" style="21" customWidth="1"/>
    <col min="15376" max="15376" width="23.7109375" style="21" customWidth="1"/>
    <col min="15377" max="15616" width="9.140625" style="21"/>
    <col min="15617" max="15617" width="32.5703125" style="21" customWidth="1"/>
    <col min="15618" max="15618" width="32" style="21" customWidth="1"/>
    <col min="15619" max="15619" width="20.28515625" style="21" customWidth="1"/>
    <col min="15620" max="15620" width="0" style="21" hidden="1" customWidth="1"/>
    <col min="15621" max="15621" width="19.42578125" style="21" customWidth="1"/>
    <col min="15622" max="15622" width="13.5703125" style="21" customWidth="1"/>
    <col min="15623" max="15623" width="36.5703125" style="21" customWidth="1"/>
    <col min="15624" max="15624" width="15.140625" style="21" customWidth="1"/>
    <col min="15625" max="15625" width="18" style="21" customWidth="1"/>
    <col min="15626" max="15626" width="17.28515625" style="21" customWidth="1"/>
    <col min="15627" max="15627" width="27.140625" style="21" customWidth="1"/>
    <col min="15628" max="15628" width="21.5703125" style="21" customWidth="1"/>
    <col min="15629" max="15629" width="19.28515625" style="21" customWidth="1"/>
    <col min="15630" max="15630" width="19.7109375" style="21" customWidth="1"/>
    <col min="15631" max="15631" width="24.5703125" style="21" customWidth="1"/>
    <col min="15632" max="15632" width="23.7109375" style="21" customWidth="1"/>
    <col min="15633" max="15872" width="9.140625" style="21"/>
    <col min="15873" max="15873" width="32.5703125" style="21" customWidth="1"/>
    <col min="15874" max="15874" width="32" style="21" customWidth="1"/>
    <col min="15875" max="15875" width="20.28515625" style="21" customWidth="1"/>
    <col min="15876" max="15876" width="0" style="21" hidden="1" customWidth="1"/>
    <col min="15877" max="15877" width="19.42578125" style="21" customWidth="1"/>
    <col min="15878" max="15878" width="13.5703125" style="21" customWidth="1"/>
    <col min="15879" max="15879" width="36.5703125" style="21" customWidth="1"/>
    <col min="15880" max="15880" width="15.140625" style="21" customWidth="1"/>
    <col min="15881" max="15881" width="18" style="21" customWidth="1"/>
    <col min="15882" max="15882" width="17.28515625" style="21" customWidth="1"/>
    <col min="15883" max="15883" width="27.140625" style="21" customWidth="1"/>
    <col min="15884" max="15884" width="21.5703125" style="21" customWidth="1"/>
    <col min="15885" max="15885" width="19.28515625" style="21" customWidth="1"/>
    <col min="15886" max="15886" width="19.7109375" style="21" customWidth="1"/>
    <col min="15887" max="15887" width="24.5703125" style="21" customWidth="1"/>
    <col min="15888" max="15888" width="23.7109375" style="21" customWidth="1"/>
    <col min="15889" max="16128" width="9.140625" style="21"/>
    <col min="16129" max="16129" width="32.5703125" style="21" customWidth="1"/>
    <col min="16130" max="16130" width="32" style="21" customWidth="1"/>
    <col min="16131" max="16131" width="20.28515625" style="21" customWidth="1"/>
    <col min="16132" max="16132" width="0" style="21" hidden="1" customWidth="1"/>
    <col min="16133" max="16133" width="19.42578125" style="21" customWidth="1"/>
    <col min="16134" max="16134" width="13.5703125" style="21" customWidth="1"/>
    <col min="16135" max="16135" width="36.5703125" style="21" customWidth="1"/>
    <col min="16136" max="16136" width="15.140625" style="21" customWidth="1"/>
    <col min="16137" max="16137" width="18" style="21" customWidth="1"/>
    <col min="16138" max="16138" width="17.28515625" style="21" customWidth="1"/>
    <col min="16139" max="16139" width="27.140625" style="21" customWidth="1"/>
    <col min="16140" max="16140" width="21.5703125" style="21" customWidth="1"/>
    <col min="16141" max="16141" width="19.28515625" style="21" customWidth="1"/>
    <col min="16142" max="16142" width="19.7109375" style="21" customWidth="1"/>
    <col min="16143" max="16143" width="24.5703125" style="21" customWidth="1"/>
    <col min="16144" max="16144" width="23.7109375" style="21" customWidth="1"/>
    <col min="16145" max="16384" width="9.140625" style="21"/>
  </cols>
  <sheetData>
    <row r="1" spans="1:16" ht="17.100000000000001" customHeight="1">
      <c r="A1" s="2555" t="s">
        <v>3296</v>
      </c>
      <c r="B1" s="1846"/>
      <c r="C1" s="1846"/>
      <c r="D1" s="1846"/>
      <c r="E1" s="1846"/>
      <c r="F1" s="1846"/>
      <c r="G1" s="1846"/>
      <c r="H1" s="1846"/>
      <c r="I1" s="1846"/>
      <c r="J1" s="1846"/>
      <c r="K1" s="1846"/>
      <c r="L1" s="1846"/>
      <c r="M1" s="1846"/>
      <c r="N1" s="1846"/>
      <c r="O1" s="1846"/>
      <c r="P1" s="1846"/>
    </row>
    <row r="2" spans="1:16" ht="15.4" customHeight="1"/>
    <row r="3" spans="1:16" ht="17.100000000000001" customHeight="1">
      <c r="A3" s="2556" t="s">
        <v>3297</v>
      </c>
      <c r="B3" s="1846"/>
      <c r="C3" s="1846"/>
      <c r="D3" s="1846"/>
      <c r="E3" s="1846"/>
      <c r="F3" s="1846"/>
      <c r="G3" s="1846"/>
      <c r="H3" s="1846"/>
      <c r="I3" s="1846"/>
      <c r="J3" s="1846"/>
      <c r="K3" s="1846"/>
      <c r="L3" s="1846"/>
      <c r="M3" s="1846"/>
      <c r="N3" s="1846"/>
      <c r="O3" s="1846"/>
      <c r="P3" s="1846"/>
    </row>
    <row r="4" spans="1:16" ht="7.35" customHeight="1"/>
    <row r="5" spans="1:16">
      <c r="A5" s="1515" t="s">
        <v>1969</v>
      </c>
      <c r="B5" s="2557" t="s">
        <v>2512</v>
      </c>
      <c r="C5" s="1846"/>
    </row>
    <row r="6" spans="1:16" ht="409.6" hidden="1" customHeight="1"/>
    <row r="7" spans="1:16" ht="14.85" customHeight="1"/>
    <row r="8" spans="1:16">
      <c r="A8" s="2558" t="s">
        <v>3298</v>
      </c>
      <c r="B8" s="2171"/>
      <c r="C8" s="2171"/>
      <c r="D8" s="2171"/>
      <c r="E8" s="2162"/>
      <c r="F8" s="2558" t="s">
        <v>3299</v>
      </c>
      <c r="G8" s="2162"/>
      <c r="H8" s="2558" t="s">
        <v>3300</v>
      </c>
      <c r="I8" s="2558" t="s">
        <v>3301</v>
      </c>
      <c r="J8" s="2558" t="s">
        <v>3302</v>
      </c>
      <c r="K8" s="2558" t="s">
        <v>2645</v>
      </c>
      <c r="L8" s="2558" t="s">
        <v>3303</v>
      </c>
      <c r="M8" s="2558" t="s">
        <v>3304</v>
      </c>
      <c r="N8" s="2558" t="s">
        <v>3305</v>
      </c>
      <c r="O8" s="2558" t="s">
        <v>3306</v>
      </c>
      <c r="P8" s="2558" t="s">
        <v>3307</v>
      </c>
    </row>
    <row r="9" spans="1:16">
      <c r="A9" s="1516" t="s">
        <v>366</v>
      </c>
      <c r="B9" s="1516" t="s">
        <v>367</v>
      </c>
      <c r="C9" s="1516" t="s">
        <v>3308</v>
      </c>
      <c r="E9" s="1516" t="s">
        <v>3309</v>
      </c>
      <c r="F9" s="1516" t="s">
        <v>366</v>
      </c>
      <c r="G9" s="1516" t="s">
        <v>367</v>
      </c>
      <c r="H9" s="2178"/>
      <c r="I9" s="2178"/>
      <c r="J9" s="2178"/>
      <c r="K9" s="2178"/>
      <c r="L9" s="2178"/>
      <c r="M9" s="2178"/>
      <c r="N9" s="2178"/>
      <c r="O9" s="2178"/>
      <c r="P9" s="2178"/>
    </row>
    <row r="10" spans="1:16">
      <c r="A10" s="2554" t="s">
        <v>57</v>
      </c>
      <c r="B10" s="2171"/>
      <c r="C10" s="2171"/>
      <c r="D10" s="2171"/>
      <c r="E10" s="2171"/>
      <c r="F10" s="2171"/>
      <c r="G10" s="2171"/>
      <c r="H10" s="2162"/>
      <c r="I10" s="1517">
        <v>65550055.460000001</v>
      </c>
      <c r="J10" s="1517">
        <v>50064813.130000003</v>
      </c>
      <c r="K10" s="1518"/>
      <c r="L10" s="1518"/>
      <c r="M10" s="1518"/>
      <c r="N10" s="1518"/>
      <c r="O10" s="1518"/>
      <c r="P10" s="1518"/>
    </row>
    <row r="11" spans="1:16" ht="51">
      <c r="A11" s="1518" t="s">
        <v>2754</v>
      </c>
      <c r="B11" s="1518" t="s">
        <v>2755</v>
      </c>
      <c r="C11" s="1518" t="s">
        <v>1914</v>
      </c>
      <c r="E11" s="1518" t="s">
        <v>2061</v>
      </c>
      <c r="F11" s="1518" t="s">
        <v>2771</v>
      </c>
      <c r="G11" s="1518" t="s">
        <v>2770</v>
      </c>
      <c r="H11" s="1519">
        <v>43245</v>
      </c>
      <c r="I11" s="1520">
        <v>6000000</v>
      </c>
      <c r="J11" s="1520">
        <v>6000000</v>
      </c>
      <c r="K11" s="1519">
        <v>43340</v>
      </c>
      <c r="L11" s="1518"/>
      <c r="M11" s="1519">
        <v>43245</v>
      </c>
      <c r="N11" s="1519">
        <v>43342</v>
      </c>
      <c r="O11" s="1518" t="s">
        <v>3413</v>
      </c>
      <c r="P11" s="1518" t="s">
        <v>3322</v>
      </c>
    </row>
    <row r="12" spans="1:16" ht="38.25">
      <c r="A12" s="1518" t="s">
        <v>716</v>
      </c>
      <c r="B12" s="1518" t="s">
        <v>633</v>
      </c>
      <c r="C12" s="1518" t="s">
        <v>1827</v>
      </c>
      <c r="E12" s="1518" t="s">
        <v>2137</v>
      </c>
      <c r="F12" s="1518" t="s">
        <v>2799</v>
      </c>
      <c r="G12" s="1518" t="s">
        <v>345</v>
      </c>
      <c r="H12" s="1519">
        <v>42914</v>
      </c>
      <c r="I12" s="1520">
        <v>133670.07</v>
      </c>
      <c r="J12" s="1520">
        <v>113619.56</v>
      </c>
      <c r="K12" s="1519">
        <v>42991</v>
      </c>
      <c r="L12" s="1519">
        <v>43410</v>
      </c>
      <c r="M12" s="1519">
        <v>42914</v>
      </c>
      <c r="N12" s="1519">
        <v>42991</v>
      </c>
      <c r="O12" s="1518" t="s">
        <v>3803</v>
      </c>
      <c r="P12" s="1518"/>
    </row>
    <row r="13" spans="1:16" ht="51">
      <c r="A13" s="1518" t="s">
        <v>1208</v>
      </c>
      <c r="B13" s="1518" t="s">
        <v>2076</v>
      </c>
      <c r="C13" s="1518" t="s">
        <v>1914</v>
      </c>
      <c r="E13" s="1518" t="s">
        <v>2061</v>
      </c>
      <c r="F13" s="1518" t="s">
        <v>2812</v>
      </c>
      <c r="G13" s="1518" t="s">
        <v>161</v>
      </c>
      <c r="H13" s="1519">
        <v>43007</v>
      </c>
      <c r="I13" s="1520">
        <v>93938.42</v>
      </c>
      <c r="J13" s="1520">
        <v>73501</v>
      </c>
      <c r="K13" s="1519">
        <v>43119</v>
      </c>
      <c r="L13" s="1518"/>
      <c r="M13" s="1519">
        <v>43007</v>
      </c>
      <c r="N13" s="1519">
        <v>43122</v>
      </c>
      <c r="O13" s="1518" t="s">
        <v>3353</v>
      </c>
      <c r="P13" s="1518" t="s">
        <v>3317</v>
      </c>
    </row>
    <row r="14" spans="1:16" ht="51">
      <c r="A14" s="1518" t="s">
        <v>3367</v>
      </c>
      <c r="B14" s="1518" t="s">
        <v>2076</v>
      </c>
      <c r="C14" s="1518" t="s">
        <v>3357</v>
      </c>
      <c r="E14" s="1518" t="s">
        <v>3358</v>
      </c>
      <c r="F14" s="1518" t="s">
        <v>2812</v>
      </c>
      <c r="G14" s="1518" t="s">
        <v>3368</v>
      </c>
      <c r="H14" s="1519">
        <v>43052</v>
      </c>
      <c r="I14" s="1520">
        <v>97868.08</v>
      </c>
      <c r="J14" s="1520">
        <v>73501</v>
      </c>
      <c r="K14" s="1518"/>
      <c r="L14" s="1518"/>
      <c r="M14" s="1519">
        <v>43052</v>
      </c>
      <c r="N14" s="1518"/>
      <c r="O14" s="1518"/>
      <c r="P14" s="1518"/>
    </row>
    <row r="15" spans="1:16" ht="38.25">
      <c r="A15" s="1518" t="s">
        <v>1237</v>
      </c>
      <c r="B15" s="1518" t="s">
        <v>642</v>
      </c>
      <c r="C15" s="1518" t="s">
        <v>1914</v>
      </c>
      <c r="E15" s="1518" t="s">
        <v>2061</v>
      </c>
      <c r="F15" s="1518" t="s">
        <v>2820</v>
      </c>
      <c r="G15" s="1518" t="s">
        <v>282</v>
      </c>
      <c r="H15" s="1519">
        <v>43098</v>
      </c>
      <c r="I15" s="1520">
        <v>95080</v>
      </c>
      <c r="J15" s="1520">
        <v>80810</v>
      </c>
      <c r="K15" s="1519">
        <v>43193</v>
      </c>
      <c r="L15" s="1518"/>
      <c r="M15" s="1519">
        <v>43098</v>
      </c>
      <c r="N15" s="1519">
        <v>43193</v>
      </c>
      <c r="O15" s="1518" t="s">
        <v>3343</v>
      </c>
      <c r="P15" s="1518" t="s">
        <v>3313</v>
      </c>
    </row>
    <row r="16" spans="1:16" ht="25.5">
      <c r="A16" s="1518" t="s">
        <v>1591</v>
      </c>
      <c r="B16" s="1518" t="s">
        <v>380</v>
      </c>
      <c r="C16" s="1518" t="s">
        <v>1914</v>
      </c>
      <c r="E16" s="1518" t="s">
        <v>2061</v>
      </c>
      <c r="F16" s="1518" t="s">
        <v>2828</v>
      </c>
      <c r="G16" s="1518" t="s">
        <v>184</v>
      </c>
      <c r="H16" s="1519">
        <v>43131</v>
      </c>
      <c r="I16" s="1520">
        <v>98949.56</v>
      </c>
      <c r="J16" s="1520">
        <v>84107.13</v>
      </c>
      <c r="K16" s="1519">
        <v>43243</v>
      </c>
      <c r="L16" s="1518"/>
      <c r="M16" s="1519">
        <v>43131</v>
      </c>
      <c r="N16" s="1519">
        <v>43245</v>
      </c>
      <c r="O16" s="1518" t="s">
        <v>3383</v>
      </c>
      <c r="P16" s="1518" t="s">
        <v>3313</v>
      </c>
    </row>
    <row r="17" spans="1:16" ht="38.25">
      <c r="A17" s="1518" t="s">
        <v>1653</v>
      </c>
      <c r="B17" s="1518" t="s">
        <v>3423</v>
      </c>
      <c r="C17" s="1518" t="s">
        <v>1942</v>
      </c>
      <c r="E17" s="1518" t="s">
        <v>3394</v>
      </c>
      <c r="F17" s="1518" t="s">
        <v>2812</v>
      </c>
      <c r="G17" s="1518" t="s">
        <v>161</v>
      </c>
      <c r="H17" s="1519">
        <v>43342</v>
      </c>
      <c r="I17" s="1520">
        <v>262703.09999999998</v>
      </c>
      <c r="J17" s="1520">
        <v>223297</v>
      </c>
      <c r="K17" s="1518"/>
      <c r="L17" s="1518"/>
      <c r="M17" s="1519">
        <v>43342</v>
      </c>
      <c r="N17" s="1518"/>
      <c r="O17" s="1518" t="s">
        <v>3342</v>
      </c>
      <c r="P17" s="1518"/>
    </row>
    <row r="18" spans="1:16" ht="25.5">
      <c r="A18" s="1518" t="s">
        <v>1654</v>
      </c>
      <c r="B18" s="1518" t="s">
        <v>3424</v>
      </c>
      <c r="C18" s="1518" t="s">
        <v>1942</v>
      </c>
      <c r="E18" s="1518" t="s">
        <v>3394</v>
      </c>
      <c r="F18" s="1518" t="s">
        <v>2929</v>
      </c>
      <c r="G18" s="1518" t="s">
        <v>235</v>
      </c>
      <c r="H18" s="1519">
        <v>43343</v>
      </c>
      <c r="I18" s="1520">
        <v>694296.45</v>
      </c>
      <c r="J18" s="1520">
        <v>417548</v>
      </c>
      <c r="K18" s="1518"/>
      <c r="L18" s="1518"/>
      <c r="M18" s="1519">
        <v>43343</v>
      </c>
      <c r="N18" s="1518"/>
      <c r="O18" s="1518" t="s">
        <v>3425</v>
      </c>
      <c r="P18" s="1518"/>
    </row>
    <row r="19" spans="1:16" ht="25.5">
      <c r="A19" s="1518" t="s">
        <v>704</v>
      </c>
      <c r="B19" s="1518" t="s">
        <v>304</v>
      </c>
      <c r="C19" s="1518" t="s">
        <v>1914</v>
      </c>
      <c r="E19" s="1518" t="s">
        <v>2061</v>
      </c>
      <c r="F19" s="1518" t="s">
        <v>2843</v>
      </c>
      <c r="G19" s="1518" t="s">
        <v>2842</v>
      </c>
      <c r="H19" s="1519">
        <v>42726</v>
      </c>
      <c r="I19" s="1520">
        <v>3990955.51</v>
      </c>
      <c r="J19" s="1520">
        <v>3392312.19</v>
      </c>
      <c r="K19" s="1519">
        <v>42815</v>
      </c>
      <c r="L19" s="1518"/>
      <c r="M19" s="1519">
        <v>42727</v>
      </c>
      <c r="N19" s="1519">
        <v>42815</v>
      </c>
      <c r="O19" s="1518" t="s">
        <v>3327</v>
      </c>
      <c r="P19" s="1518"/>
    </row>
    <row r="20" spans="1:16" ht="25.5">
      <c r="A20" s="1518" t="s">
        <v>729</v>
      </c>
      <c r="B20" s="1518" t="s">
        <v>2085</v>
      </c>
      <c r="C20" s="1518" t="s">
        <v>1914</v>
      </c>
      <c r="E20" s="1518" t="s">
        <v>2061</v>
      </c>
      <c r="F20" s="1518" t="s">
        <v>2858</v>
      </c>
      <c r="G20" s="1518" t="s">
        <v>2857</v>
      </c>
      <c r="H20" s="1519">
        <v>42832</v>
      </c>
      <c r="I20" s="1520">
        <v>4130687.05</v>
      </c>
      <c r="J20" s="1520">
        <v>3352807.77</v>
      </c>
      <c r="K20" s="1519">
        <v>42957</v>
      </c>
      <c r="L20" s="1518"/>
      <c r="M20" s="1519">
        <v>42839</v>
      </c>
      <c r="N20" s="1519">
        <v>42965</v>
      </c>
      <c r="O20" s="1518" t="s">
        <v>3341</v>
      </c>
      <c r="P20" s="1518"/>
    </row>
    <row r="21" spans="1:16" ht="38.25">
      <c r="A21" s="1518" t="s">
        <v>699</v>
      </c>
      <c r="B21" s="1518" t="s">
        <v>293</v>
      </c>
      <c r="C21" s="1518" t="s">
        <v>1914</v>
      </c>
      <c r="E21" s="1518" t="s">
        <v>2061</v>
      </c>
      <c r="F21" s="1518" t="s">
        <v>2869</v>
      </c>
      <c r="G21" s="1518" t="s">
        <v>2868</v>
      </c>
      <c r="H21" s="1519">
        <v>42671</v>
      </c>
      <c r="I21" s="1520">
        <v>2474472.79</v>
      </c>
      <c r="J21" s="1520">
        <v>1614228.26</v>
      </c>
      <c r="K21" s="1519">
        <v>42766</v>
      </c>
      <c r="L21" s="1518"/>
      <c r="M21" s="1519">
        <v>42674</v>
      </c>
      <c r="N21" s="1519">
        <v>42766</v>
      </c>
      <c r="O21" s="1518" t="s">
        <v>3804</v>
      </c>
      <c r="P21" s="1518"/>
    </row>
    <row r="22" spans="1:16" ht="38.25">
      <c r="A22" s="1518" t="s">
        <v>700</v>
      </c>
      <c r="B22" s="1518" t="s">
        <v>387</v>
      </c>
      <c r="C22" s="1518" t="s">
        <v>1914</v>
      </c>
      <c r="E22" s="1518" t="s">
        <v>2061</v>
      </c>
      <c r="F22" s="1518" t="s">
        <v>2843</v>
      </c>
      <c r="G22" s="1518" t="s">
        <v>2842</v>
      </c>
      <c r="H22" s="1519">
        <v>42674</v>
      </c>
      <c r="I22" s="1520">
        <v>5598211</v>
      </c>
      <c r="J22" s="1520">
        <v>2645996.25</v>
      </c>
      <c r="K22" s="1519">
        <v>42726</v>
      </c>
      <c r="L22" s="1518"/>
      <c r="M22" s="1519">
        <v>42678</v>
      </c>
      <c r="N22" s="1519">
        <v>42726</v>
      </c>
      <c r="O22" s="1518" t="s">
        <v>3327</v>
      </c>
      <c r="P22" s="1518"/>
    </row>
    <row r="23" spans="1:16" ht="38.25">
      <c r="A23" s="1518" t="s">
        <v>703</v>
      </c>
      <c r="B23" s="1518" t="s">
        <v>297</v>
      </c>
      <c r="C23" s="1518" t="s">
        <v>1914</v>
      </c>
      <c r="E23" s="1518" t="s">
        <v>2061</v>
      </c>
      <c r="F23" s="1518" t="s">
        <v>2881</v>
      </c>
      <c r="G23" s="1518" t="s">
        <v>227</v>
      </c>
      <c r="H23" s="1519">
        <v>42682</v>
      </c>
      <c r="I23" s="1520">
        <v>5160736.5999999996</v>
      </c>
      <c r="J23" s="1520">
        <v>2874174.73</v>
      </c>
      <c r="K23" s="1519">
        <v>42810</v>
      </c>
      <c r="L23" s="1518"/>
      <c r="M23" s="1519">
        <v>42682</v>
      </c>
      <c r="N23" s="1519">
        <v>42823</v>
      </c>
      <c r="O23" s="1518" t="s">
        <v>3324</v>
      </c>
      <c r="P23" s="1518"/>
    </row>
    <row r="24" spans="1:16" ht="51">
      <c r="A24" s="1518" t="s">
        <v>702</v>
      </c>
      <c r="B24" s="1518" t="s">
        <v>278</v>
      </c>
      <c r="C24" s="1518" t="s">
        <v>1914</v>
      </c>
      <c r="E24" s="1518" t="s">
        <v>2061</v>
      </c>
      <c r="F24" s="1518" t="s">
        <v>2890</v>
      </c>
      <c r="G24" s="1518" t="s">
        <v>2889</v>
      </c>
      <c r="H24" s="1519">
        <v>42734</v>
      </c>
      <c r="I24" s="1520">
        <v>1288228.01</v>
      </c>
      <c r="J24" s="1520">
        <v>790102</v>
      </c>
      <c r="K24" s="1519">
        <v>42818</v>
      </c>
      <c r="L24" s="1518"/>
      <c r="M24" s="1519">
        <v>42737</v>
      </c>
      <c r="N24" s="1519">
        <v>42821</v>
      </c>
      <c r="O24" s="1518" t="s">
        <v>3327</v>
      </c>
      <c r="P24" s="1518"/>
    </row>
    <row r="25" spans="1:16" ht="38.25">
      <c r="A25" s="1518" t="s">
        <v>701</v>
      </c>
      <c r="B25" s="1518" t="s">
        <v>303</v>
      </c>
      <c r="C25" s="1518" t="s">
        <v>1914</v>
      </c>
      <c r="E25" s="1518" t="s">
        <v>2061</v>
      </c>
      <c r="F25" s="1518" t="s">
        <v>2897</v>
      </c>
      <c r="G25" s="1518" t="s">
        <v>2896</v>
      </c>
      <c r="H25" s="1519">
        <v>42919</v>
      </c>
      <c r="I25" s="1520">
        <v>1481000</v>
      </c>
      <c r="J25" s="1520">
        <v>867744</v>
      </c>
      <c r="K25" s="1519">
        <v>43146</v>
      </c>
      <c r="L25" s="1518"/>
      <c r="M25" s="1519">
        <v>42919</v>
      </c>
      <c r="N25" s="1519">
        <v>43150</v>
      </c>
      <c r="O25" s="1518" t="s">
        <v>3327</v>
      </c>
      <c r="P25" s="1518"/>
    </row>
    <row r="26" spans="1:16" ht="25.5">
      <c r="A26" s="1518" t="s">
        <v>1592</v>
      </c>
      <c r="B26" s="1518" t="s">
        <v>2918</v>
      </c>
      <c r="C26" s="1518" t="s">
        <v>1914</v>
      </c>
      <c r="E26" s="1518" t="s">
        <v>2061</v>
      </c>
      <c r="F26" s="1518" t="s">
        <v>2812</v>
      </c>
      <c r="G26" s="1518" t="s">
        <v>161</v>
      </c>
      <c r="H26" s="1519">
        <v>43178</v>
      </c>
      <c r="I26" s="1520">
        <v>242419</v>
      </c>
      <c r="J26" s="1520">
        <v>206056</v>
      </c>
      <c r="K26" s="1519">
        <v>43335</v>
      </c>
      <c r="L26" s="1518"/>
      <c r="M26" s="1519">
        <v>43178</v>
      </c>
      <c r="N26" s="1519">
        <v>43340</v>
      </c>
      <c r="O26" s="1518" t="s">
        <v>3389</v>
      </c>
      <c r="P26" s="1518" t="s">
        <v>3390</v>
      </c>
    </row>
    <row r="27" spans="1:16" ht="51">
      <c r="A27" s="1518" t="s">
        <v>1593</v>
      </c>
      <c r="B27" s="1518" t="s">
        <v>389</v>
      </c>
      <c r="C27" s="1518" t="s">
        <v>1914</v>
      </c>
      <c r="E27" s="1518" t="s">
        <v>2061</v>
      </c>
      <c r="F27" s="1518" t="s">
        <v>2929</v>
      </c>
      <c r="G27" s="1518" t="s">
        <v>235</v>
      </c>
      <c r="H27" s="1519">
        <v>43189</v>
      </c>
      <c r="I27" s="1520">
        <v>297670.40999999997</v>
      </c>
      <c r="J27" s="1520">
        <v>206056</v>
      </c>
      <c r="K27" s="1519">
        <v>43285</v>
      </c>
      <c r="L27" s="1518"/>
      <c r="M27" s="1519">
        <v>43189</v>
      </c>
      <c r="N27" s="1519">
        <v>43285</v>
      </c>
      <c r="O27" s="1518" t="s">
        <v>3389</v>
      </c>
      <c r="P27" s="1518" t="s">
        <v>3317</v>
      </c>
    </row>
    <row r="28" spans="1:16" ht="38.25">
      <c r="A28" s="1518" t="s">
        <v>1596</v>
      </c>
      <c r="B28" s="1518" t="s">
        <v>2936</v>
      </c>
      <c r="C28" s="1518" t="s">
        <v>1914</v>
      </c>
      <c r="E28" s="1518" t="s">
        <v>2061</v>
      </c>
      <c r="F28" s="1518" t="s">
        <v>2799</v>
      </c>
      <c r="G28" s="1518" t="s">
        <v>345</v>
      </c>
      <c r="H28" s="1519">
        <v>43189</v>
      </c>
      <c r="I28" s="1520">
        <v>444560.16</v>
      </c>
      <c r="J28" s="1520">
        <v>206056</v>
      </c>
      <c r="K28" s="1519">
        <v>43276</v>
      </c>
      <c r="L28" s="1518"/>
      <c r="M28" s="1519">
        <v>43189</v>
      </c>
      <c r="N28" s="1519">
        <v>43283</v>
      </c>
      <c r="O28" s="1518" t="s">
        <v>3389</v>
      </c>
      <c r="P28" s="1518" t="s">
        <v>3313</v>
      </c>
    </row>
    <row r="29" spans="1:16" ht="38.25">
      <c r="A29" s="1518" t="s">
        <v>1594</v>
      </c>
      <c r="B29" s="1518" t="s">
        <v>3393</v>
      </c>
      <c r="C29" s="1518" t="s">
        <v>1914</v>
      </c>
      <c r="E29" s="1518" t="s">
        <v>2061</v>
      </c>
      <c r="F29" s="1518" t="s">
        <v>2828</v>
      </c>
      <c r="G29" s="1518" t="s">
        <v>184</v>
      </c>
      <c r="H29" s="1519">
        <v>43189</v>
      </c>
      <c r="I29" s="1520">
        <v>234872.55</v>
      </c>
      <c r="J29" s="1520">
        <v>199641.66</v>
      </c>
      <c r="K29" s="1519">
        <v>43427</v>
      </c>
      <c r="L29" s="1518"/>
      <c r="M29" s="1519">
        <v>43189</v>
      </c>
      <c r="N29" s="1519">
        <v>43433</v>
      </c>
      <c r="O29" s="1518" t="s">
        <v>3395</v>
      </c>
      <c r="P29" s="1518" t="s">
        <v>4110</v>
      </c>
    </row>
    <row r="30" spans="1:16" ht="38.25">
      <c r="A30" s="1518" t="s">
        <v>1595</v>
      </c>
      <c r="B30" s="1518" t="s">
        <v>641</v>
      </c>
      <c r="C30" s="1518" t="s">
        <v>1914</v>
      </c>
      <c r="E30" s="1518" t="s">
        <v>2061</v>
      </c>
      <c r="F30" s="1518" t="s">
        <v>2820</v>
      </c>
      <c r="G30" s="1518" t="s">
        <v>282</v>
      </c>
      <c r="H30" s="1519">
        <v>43214</v>
      </c>
      <c r="I30" s="1520">
        <v>204605.56</v>
      </c>
      <c r="J30" s="1520">
        <v>173914.72</v>
      </c>
      <c r="K30" s="1519">
        <v>43307</v>
      </c>
      <c r="L30" s="1518"/>
      <c r="M30" s="1519">
        <v>43214</v>
      </c>
      <c r="N30" s="1519">
        <v>43308</v>
      </c>
      <c r="O30" s="1518" t="s">
        <v>3396</v>
      </c>
      <c r="P30" s="1518" t="s">
        <v>3390</v>
      </c>
    </row>
    <row r="31" spans="1:16" ht="51">
      <c r="A31" s="1518" t="s">
        <v>3403</v>
      </c>
      <c r="B31" s="1518" t="s">
        <v>389</v>
      </c>
      <c r="C31" s="1518" t="s">
        <v>3357</v>
      </c>
      <c r="E31" s="1518" t="s">
        <v>3358</v>
      </c>
      <c r="F31" s="1518" t="s">
        <v>2929</v>
      </c>
      <c r="G31" s="1518" t="s">
        <v>235</v>
      </c>
      <c r="H31" s="1519">
        <v>43229</v>
      </c>
      <c r="I31" s="1520">
        <v>297670.40999999997</v>
      </c>
      <c r="J31" s="1520">
        <v>206056</v>
      </c>
      <c r="K31" s="1518"/>
      <c r="L31" s="1518"/>
      <c r="M31" s="1519">
        <v>43229</v>
      </c>
      <c r="N31" s="1518"/>
      <c r="O31" s="1518"/>
      <c r="P31" s="1518"/>
    </row>
    <row r="32" spans="1:16" ht="38.25">
      <c r="A32" s="1518" t="s">
        <v>3426</v>
      </c>
      <c r="B32" s="1518" t="s">
        <v>3393</v>
      </c>
      <c r="C32" s="1518" t="s">
        <v>3357</v>
      </c>
      <c r="E32" s="1518" t="s">
        <v>3358</v>
      </c>
      <c r="F32" s="1518" t="s">
        <v>2828</v>
      </c>
      <c r="G32" s="1518" t="s">
        <v>184</v>
      </c>
      <c r="H32" s="1519">
        <v>43350</v>
      </c>
      <c r="I32" s="1520">
        <v>260122</v>
      </c>
      <c r="J32" s="1520">
        <v>206056</v>
      </c>
      <c r="K32" s="1518"/>
      <c r="L32" s="1518"/>
      <c r="M32" s="1519">
        <v>43350</v>
      </c>
      <c r="N32" s="1518"/>
      <c r="O32" s="1518"/>
      <c r="P32" s="1518"/>
    </row>
    <row r="33" spans="1:16" ht="51">
      <c r="A33" s="1518" t="s">
        <v>705</v>
      </c>
      <c r="B33" s="1518" t="s">
        <v>2108</v>
      </c>
      <c r="C33" s="1518" t="s">
        <v>1914</v>
      </c>
      <c r="E33" s="1518" t="s">
        <v>2061</v>
      </c>
      <c r="F33" s="1518" t="s">
        <v>2812</v>
      </c>
      <c r="G33" s="1518" t="s">
        <v>161</v>
      </c>
      <c r="H33" s="1519">
        <v>42706</v>
      </c>
      <c r="I33" s="1520">
        <v>288106</v>
      </c>
      <c r="J33" s="1520">
        <v>244890.1</v>
      </c>
      <c r="K33" s="1519">
        <v>42811</v>
      </c>
      <c r="L33" s="1518"/>
      <c r="M33" s="1519">
        <v>42706</v>
      </c>
      <c r="N33" s="1519">
        <v>42811</v>
      </c>
      <c r="O33" s="1518" t="s">
        <v>3325</v>
      </c>
      <c r="P33" s="1518" t="s">
        <v>3326</v>
      </c>
    </row>
    <row r="34" spans="1:16" ht="25.5">
      <c r="A34" s="1518" t="s">
        <v>706</v>
      </c>
      <c r="B34" s="1518" t="s">
        <v>270</v>
      </c>
      <c r="C34" s="1518" t="s">
        <v>1914</v>
      </c>
      <c r="E34" s="1518" t="s">
        <v>2061</v>
      </c>
      <c r="F34" s="1518" t="s">
        <v>2799</v>
      </c>
      <c r="G34" s="1518" t="s">
        <v>345</v>
      </c>
      <c r="H34" s="1519">
        <v>42755</v>
      </c>
      <c r="I34" s="1520">
        <v>208223.53</v>
      </c>
      <c r="J34" s="1520">
        <v>176990</v>
      </c>
      <c r="K34" s="1519">
        <v>42835</v>
      </c>
      <c r="L34" s="1518"/>
      <c r="M34" s="1519">
        <v>42755</v>
      </c>
      <c r="N34" s="1519">
        <v>42836</v>
      </c>
      <c r="O34" s="1518" t="s">
        <v>3334</v>
      </c>
      <c r="P34" s="1518" t="s">
        <v>3335</v>
      </c>
    </row>
    <row r="35" spans="1:16" ht="38.25">
      <c r="A35" s="1518" t="s">
        <v>730</v>
      </c>
      <c r="B35" s="1518" t="s">
        <v>191</v>
      </c>
      <c r="C35" s="1518" t="s">
        <v>1914</v>
      </c>
      <c r="E35" s="1518" t="s">
        <v>2061</v>
      </c>
      <c r="F35" s="1518" t="s">
        <v>2828</v>
      </c>
      <c r="G35" s="1518" t="s">
        <v>184</v>
      </c>
      <c r="H35" s="1519">
        <v>42769</v>
      </c>
      <c r="I35" s="1520">
        <v>101765.7</v>
      </c>
      <c r="J35" s="1520">
        <v>86500.800000000003</v>
      </c>
      <c r="K35" s="1519">
        <v>43003</v>
      </c>
      <c r="L35" s="1518"/>
      <c r="M35" s="1519">
        <v>42769</v>
      </c>
      <c r="N35" s="1519">
        <v>43010</v>
      </c>
      <c r="O35" s="1518" t="s">
        <v>3339</v>
      </c>
      <c r="P35" s="1518"/>
    </row>
    <row r="36" spans="1:16" ht="38.25">
      <c r="A36" s="1518" t="s">
        <v>731</v>
      </c>
      <c r="B36" s="1518" t="s">
        <v>305</v>
      </c>
      <c r="C36" s="1518" t="s">
        <v>1914</v>
      </c>
      <c r="E36" s="1518" t="s">
        <v>2061</v>
      </c>
      <c r="F36" s="1518" t="s">
        <v>2820</v>
      </c>
      <c r="G36" s="1518" t="s">
        <v>282</v>
      </c>
      <c r="H36" s="1519">
        <v>42797</v>
      </c>
      <c r="I36" s="1520">
        <v>309522</v>
      </c>
      <c r="J36" s="1520">
        <v>263093.7</v>
      </c>
      <c r="K36" s="1519">
        <v>42901</v>
      </c>
      <c r="L36" s="1518"/>
      <c r="M36" s="1519">
        <v>42800</v>
      </c>
      <c r="N36" s="1519">
        <v>42902</v>
      </c>
      <c r="O36" s="1518" t="s">
        <v>3339</v>
      </c>
      <c r="P36" s="1518"/>
    </row>
    <row r="37" spans="1:16" ht="25.5">
      <c r="A37" s="1518" t="s">
        <v>732</v>
      </c>
      <c r="B37" s="1518" t="s">
        <v>290</v>
      </c>
      <c r="C37" s="1518" t="s">
        <v>1914</v>
      </c>
      <c r="E37" s="1518" t="s">
        <v>2061</v>
      </c>
      <c r="F37" s="1518" t="s">
        <v>2812</v>
      </c>
      <c r="G37" s="1518" t="s">
        <v>161</v>
      </c>
      <c r="H37" s="1519">
        <v>42825</v>
      </c>
      <c r="I37" s="1520">
        <v>442298.59</v>
      </c>
      <c r="J37" s="1520">
        <v>375953.81</v>
      </c>
      <c r="K37" s="1519">
        <v>42935</v>
      </c>
      <c r="L37" s="1518"/>
      <c r="M37" s="1519">
        <v>42828</v>
      </c>
      <c r="N37" s="1519">
        <v>42936</v>
      </c>
      <c r="O37" s="1518" t="s">
        <v>3340</v>
      </c>
      <c r="P37" s="1518"/>
    </row>
    <row r="38" spans="1:16" ht="51">
      <c r="A38" s="1518" t="s">
        <v>733</v>
      </c>
      <c r="B38" s="1518" t="s">
        <v>388</v>
      </c>
      <c r="C38" s="1518" t="s">
        <v>1914</v>
      </c>
      <c r="E38" s="1518" t="s">
        <v>2061</v>
      </c>
      <c r="F38" s="1518" t="s">
        <v>2799</v>
      </c>
      <c r="G38" s="1518" t="s">
        <v>345</v>
      </c>
      <c r="H38" s="1519">
        <v>42867</v>
      </c>
      <c r="I38" s="1520">
        <v>3993</v>
      </c>
      <c r="J38" s="1520">
        <v>3394.05</v>
      </c>
      <c r="K38" s="1519">
        <v>42965</v>
      </c>
      <c r="L38" s="1518"/>
      <c r="M38" s="1519">
        <v>42872</v>
      </c>
      <c r="N38" s="1519">
        <v>42968</v>
      </c>
      <c r="O38" s="1518" t="s">
        <v>3339</v>
      </c>
      <c r="P38" s="1518"/>
    </row>
    <row r="39" spans="1:16" ht="38.25">
      <c r="A39" s="1518" t="s">
        <v>734</v>
      </c>
      <c r="B39" s="1518" t="s">
        <v>378</v>
      </c>
      <c r="C39" s="1518" t="s">
        <v>1827</v>
      </c>
      <c r="E39" s="1518" t="s">
        <v>2137</v>
      </c>
      <c r="F39" s="1518" t="s">
        <v>2929</v>
      </c>
      <c r="G39" s="1518" t="s">
        <v>235</v>
      </c>
      <c r="H39" s="1519">
        <v>42887</v>
      </c>
      <c r="I39" s="1520">
        <v>121153.55</v>
      </c>
      <c r="J39" s="1520">
        <v>102980.52</v>
      </c>
      <c r="K39" s="1519">
        <v>42936</v>
      </c>
      <c r="L39" s="1519">
        <v>43355</v>
      </c>
      <c r="M39" s="1519">
        <v>42888</v>
      </c>
      <c r="N39" s="1519">
        <v>42943</v>
      </c>
      <c r="O39" s="1518" t="s">
        <v>3339</v>
      </c>
      <c r="P39" s="1518"/>
    </row>
    <row r="40" spans="1:16" ht="38.25">
      <c r="A40" s="1518" t="s">
        <v>1613</v>
      </c>
      <c r="B40" s="1518" t="s">
        <v>603</v>
      </c>
      <c r="C40" s="1518" t="s">
        <v>1914</v>
      </c>
      <c r="E40" s="1518" t="s">
        <v>2061</v>
      </c>
      <c r="F40" s="1518" t="s">
        <v>2828</v>
      </c>
      <c r="G40" s="1518" t="s">
        <v>184</v>
      </c>
      <c r="H40" s="1519">
        <v>43320</v>
      </c>
      <c r="I40" s="1520">
        <v>277676</v>
      </c>
      <c r="J40" s="1520">
        <v>236024.6</v>
      </c>
      <c r="K40" s="1519">
        <v>43370</v>
      </c>
      <c r="L40" s="1518"/>
      <c r="M40" s="1519">
        <v>43222</v>
      </c>
      <c r="N40" s="1519">
        <v>43383</v>
      </c>
      <c r="O40" s="1518" t="s">
        <v>3339</v>
      </c>
      <c r="P40" s="1518"/>
    </row>
    <row r="41" spans="1:16" ht="38.25">
      <c r="A41" s="1518" t="s">
        <v>717</v>
      </c>
      <c r="B41" s="1518" t="s">
        <v>2152</v>
      </c>
      <c r="C41" s="1518" t="s">
        <v>1827</v>
      </c>
      <c r="E41" s="1518" t="s">
        <v>2137</v>
      </c>
      <c r="F41" s="1518" t="s">
        <v>2799</v>
      </c>
      <c r="G41" s="1518" t="s">
        <v>345</v>
      </c>
      <c r="H41" s="1519">
        <v>42851</v>
      </c>
      <c r="I41" s="1520">
        <v>879927.06</v>
      </c>
      <c r="J41" s="1520">
        <v>747938</v>
      </c>
      <c r="K41" s="1519">
        <v>42920</v>
      </c>
      <c r="L41" s="1519">
        <v>43447</v>
      </c>
      <c r="M41" s="1519">
        <v>42852</v>
      </c>
      <c r="N41" s="1519">
        <v>42920</v>
      </c>
      <c r="O41" s="1518" t="s">
        <v>3803</v>
      </c>
      <c r="P41" s="1518"/>
    </row>
    <row r="42" spans="1:16" ht="38.25">
      <c r="A42" s="1518" t="s">
        <v>718</v>
      </c>
      <c r="B42" s="1518" t="s">
        <v>2160</v>
      </c>
      <c r="C42" s="1518" t="s">
        <v>1914</v>
      </c>
      <c r="E42" s="1518" t="s">
        <v>2061</v>
      </c>
      <c r="F42" s="1518" t="s">
        <v>2820</v>
      </c>
      <c r="G42" s="1518" t="s">
        <v>282</v>
      </c>
      <c r="H42" s="1519">
        <v>42887</v>
      </c>
      <c r="I42" s="1520">
        <v>835464</v>
      </c>
      <c r="J42" s="1520">
        <v>710144</v>
      </c>
      <c r="K42" s="1519">
        <v>42992</v>
      </c>
      <c r="L42" s="1518"/>
      <c r="M42" s="1519">
        <v>42887</v>
      </c>
      <c r="N42" s="1519">
        <v>42993</v>
      </c>
      <c r="O42" s="1518" t="s">
        <v>3343</v>
      </c>
      <c r="P42" s="1518" t="s">
        <v>3317</v>
      </c>
    </row>
    <row r="43" spans="1:16" ht="38.25">
      <c r="A43" s="1518" t="s">
        <v>3355</v>
      </c>
      <c r="B43" s="1518" t="s">
        <v>3356</v>
      </c>
      <c r="C43" s="1518" t="s">
        <v>3357</v>
      </c>
      <c r="E43" s="1518" t="s">
        <v>3358</v>
      </c>
      <c r="F43" s="1518" t="s">
        <v>3359</v>
      </c>
      <c r="G43" s="1518" t="s">
        <v>3360</v>
      </c>
      <c r="H43" s="1519">
        <v>43035</v>
      </c>
      <c r="I43" s="1520">
        <v>340962.68</v>
      </c>
      <c r="J43" s="1520">
        <v>289818.28000000003</v>
      </c>
      <c r="K43" s="1518"/>
      <c r="L43" s="1518"/>
      <c r="M43" s="1519">
        <v>43038</v>
      </c>
      <c r="N43" s="1518"/>
      <c r="O43" s="1518"/>
      <c r="P43" s="1518"/>
    </row>
    <row r="44" spans="1:16" ht="51">
      <c r="A44" s="1518" t="s">
        <v>1590</v>
      </c>
      <c r="B44" s="1518" t="s">
        <v>2978</v>
      </c>
      <c r="C44" s="1518" t="s">
        <v>1914</v>
      </c>
      <c r="E44" s="1518" t="s">
        <v>2061</v>
      </c>
      <c r="F44" s="1518" t="s">
        <v>2812</v>
      </c>
      <c r="G44" s="1518" t="s">
        <v>161</v>
      </c>
      <c r="H44" s="1519">
        <v>43130</v>
      </c>
      <c r="I44" s="1520">
        <v>759934</v>
      </c>
      <c r="J44" s="1520">
        <v>645944</v>
      </c>
      <c r="K44" s="1519">
        <v>43217</v>
      </c>
      <c r="L44" s="1518"/>
      <c r="M44" s="1519">
        <v>43130</v>
      </c>
      <c r="N44" s="1519">
        <v>43217</v>
      </c>
      <c r="O44" s="1518" t="s">
        <v>3382</v>
      </c>
      <c r="P44" s="1518" t="s">
        <v>3319</v>
      </c>
    </row>
    <row r="45" spans="1:16" ht="25.5">
      <c r="A45" s="1518" t="s">
        <v>3384</v>
      </c>
      <c r="B45" s="1518" t="s">
        <v>2981</v>
      </c>
      <c r="C45" s="1518" t="s">
        <v>3357</v>
      </c>
      <c r="E45" s="1518" t="s">
        <v>3373</v>
      </c>
      <c r="F45" s="1518" t="s">
        <v>2828</v>
      </c>
      <c r="G45" s="1518" t="s">
        <v>184</v>
      </c>
      <c r="H45" s="1519">
        <v>43131</v>
      </c>
      <c r="I45" s="1520">
        <v>236915</v>
      </c>
      <c r="J45" s="1520">
        <v>200844</v>
      </c>
      <c r="K45" s="1518"/>
      <c r="L45" s="1518"/>
      <c r="M45" s="1519">
        <v>43131</v>
      </c>
      <c r="N45" s="1518"/>
      <c r="O45" s="1518"/>
      <c r="P45" s="1518"/>
    </row>
    <row r="46" spans="1:16" ht="25.5">
      <c r="A46" s="1518" t="s">
        <v>1589</v>
      </c>
      <c r="B46" s="1518" t="s">
        <v>2981</v>
      </c>
      <c r="C46" s="1518" t="s">
        <v>1914</v>
      </c>
      <c r="E46" s="1518" t="s">
        <v>2061</v>
      </c>
      <c r="F46" s="1518" t="s">
        <v>2828</v>
      </c>
      <c r="G46" s="1518" t="s">
        <v>184</v>
      </c>
      <c r="H46" s="1519">
        <v>43270</v>
      </c>
      <c r="I46" s="1520">
        <v>274817.98</v>
      </c>
      <c r="J46" s="1520">
        <v>200844</v>
      </c>
      <c r="K46" s="1519">
        <v>43367</v>
      </c>
      <c r="L46" s="1518"/>
      <c r="M46" s="1519">
        <v>43270</v>
      </c>
      <c r="N46" s="1519">
        <v>43377</v>
      </c>
      <c r="O46" s="1518" t="s">
        <v>3415</v>
      </c>
      <c r="P46" s="1518" t="s">
        <v>3416</v>
      </c>
    </row>
    <row r="47" spans="1:16" ht="25.5">
      <c r="A47" s="1518" t="s">
        <v>1652</v>
      </c>
      <c r="B47" s="1518" t="s">
        <v>230</v>
      </c>
      <c r="C47" s="1518" t="s">
        <v>1914</v>
      </c>
      <c r="E47" s="1518" t="s">
        <v>2061</v>
      </c>
      <c r="F47" s="1518" t="s">
        <v>2929</v>
      </c>
      <c r="G47" s="1518" t="s">
        <v>235</v>
      </c>
      <c r="H47" s="1519">
        <v>43326</v>
      </c>
      <c r="I47" s="1520">
        <v>916566.48</v>
      </c>
      <c r="J47" s="1520">
        <v>346184.1</v>
      </c>
      <c r="K47" s="1519">
        <v>43438</v>
      </c>
      <c r="L47" s="1518"/>
      <c r="M47" s="1519">
        <v>43326</v>
      </c>
      <c r="N47" s="1519">
        <v>43444</v>
      </c>
      <c r="O47" s="1518" t="s">
        <v>3420</v>
      </c>
      <c r="P47" s="1518" t="s">
        <v>3315</v>
      </c>
    </row>
    <row r="48" spans="1:16" ht="25.5">
      <c r="A48" s="1518" t="s">
        <v>1651</v>
      </c>
      <c r="B48" s="1518" t="s">
        <v>3421</v>
      </c>
      <c r="C48" s="1518" t="s">
        <v>1914</v>
      </c>
      <c r="E48" s="1518" t="s">
        <v>2061</v>
      </c>
      <c r="F48" s="1518" t="s">
        <v>2799</v>
      </c>
      <c r="G48" s="1518" t="s">
        <v>345</v>
      </c>
      <c r="H48" s="1519">
        <v>43342</v>
      </c>
      <c r="I48" s="1520">
        <v>274146.8</v>
      </c>
      <c r="J48" s="1520">
        <v>233024.78</v>
      </c>
      <c r="K48" s="1519">
        <v>43411</v>
      </c>
      <c r="L48" s="1518"/>
      <c r="M48" s="1519">
        <v>43342</v>
      </c>
      <c r="N48" s="1519">
        <v>43413</v>
      </c>
      <c r="O48" s="1518" t="s">
        <v>3377</v>
      </c>
      <c r="P48" s="1518" t="s">
        <v>3337</v>
      </c>
    </row>
    <row r="49" spans="1:16" ht="25.5">
      <c r="A49" s="1518" t="s">
        <v>711</v>
      </c>
      <c r="B49" s="1518" t="s">
        <v>134</v>
      </c>
      <c r="C49" s="1518" t="s">
        <v>1914</v>
      </c>
      <c r="E49" s="1518" t="s">
        <v>2061</v>
      </c>
      <c r="F49" s="1518" t="s">
        <v>2820</v>
      </c>
      <c r="G49" s="1518" t="s">
        <v>282</v>
      </c>
      <c r="H49" s="1519">
        <v>42754</v>
      </c>
      <c r="I49" s="1520">
        <v>352401</v>
      </c>
      <c r="J49" s="1520">
        <v>299540.84999999998</v>
      </c>
      <c r="K49" s="1519">
        <v>42860</v>
      </c>
      <c r="L49" s="1518"/>
      <c r="M49" s="1519">
        <v>42755</v>
      </c>
      <c r="N49" s="1519">
        <v>42866</v>
      </c>
      <c r="O49" s="1518" t="s">
        <v>3333</v>
      </c>
      <c r="P49" s="1518" t="s">
        <v>3317</v>
      </c>
    </row>
    <row r="50" spans="1:16" ht="51">
      <c r="A50" s="1518" t="s">
        <v>712</v>
      </c>
      <c r="B50" s="1518" t="s">
        <v>2230</v>
      </c>
      <c r="C50" s="1518" t="s">
        <v>1914</v>
      </c>
      <c r="E50" s="1518" t="s">
        <v>2061</v>
      </c>
      <c r="F50" s="1518" t="s">
        <v>2799</v>
      </c>
      <c r="G50" s="1518" t="s">
        <v>345</v>
      </c>
      <c r="H50" s="1519">
        <v>42761</v>
      </c>
      <c r="I50" s="1520">
        <v>783264.16</v>
      </c>
      <c r="J50" s="1520">
        <v>299541</v>
      </c>
      <c r="K50" s="1519">
        <v>42886</v>
      </c>
      <c r="L50" s="1518"/>
      <c r="M50" s="1519">
        <v>42762</v>
      </c>
      <c r="N50" s="1519">
        <v>42893</v>
      </c>
      <c r="O50" s="1518" t="s">
        <v>3336</v>
      </c>
      <c r="P50" s="1518" t="s">
        <v>3337</v>
      </c>
    </row>
    <row r="51" spans="1:16" ht="51">
      <c r="A51" s="1518" t="s">
        <v>713</v>
      </c>
      <c r="B51" s="1518" t="s">
        <v>2243</v>
      </c>
      <c r="C51" s="1518" t="s">
        <v>1914</v>
      </c>
      <c r="E51" s="1518" t="s">
        <v>2061</v>
      </c>
      <c r="F51" s="1518" t="s">
        <v>2929</v>
      </c>
      <c r="G51" s="1518" t="s">
        <v>235</v>
      </c>
      <c r="H51" s="1519">
        <v>42762</v>
      </c>
      <c r="I51" s="1520">
        <v>352401</v>
      </c>
      <c r="J51" s="1520">
        <v>299540.84999999998</v>
      </c>
      <c r="K51" s="1519">
        <v>42857</v>
      </c>
      <c r="L51" s="1518"/>
      <c r="M51" s="1519">
        <v>42765</v>
      </c>
      <c r="N51" s="1519">
        <v>42865</v>
      </c>
      <c r="O51" s="1518" t="s">
        <v>3338</v>
      </c>
      <c r="P51" s="1518" t="s">
        <v>3319</v>
      </c>
    </row>
    <row r="52" spans="1:16" ht="38.25">
      <c r="A52" s="1518" t="s">
        <v>1236</v>
      </c>
      <c r="B52" s="1518" t="s">
        <v>317</v>
      </c>
      <c r="C52" s="1518" t="s">
        <v>1914</v>
      </c>
      <c r="E52" s="1518" t="s">
        <v>2061</v>
      </c>
      <c r="F52" s="1518" t="s">
        <v>2812</v>
      </c>
      <c r="G52" s="1518" t="s">
        <v>161</v>
      </c>
      <c r="H52" s="1519">
        <v>43097</v>
      </c>
      <c r="I52" s="1520">
        <v>484769.35</v>
      </c>
      <c r="J52" s="1520">
        <v>299541</v>
      </c>
      <c r="K52" s="1519">
        <v>43203</v>
      </c>
      <c r="L52" s="1518"/>
      <c r="M52" s="1519">
        <v>43097</v>
      </c>
      <c r="N52" s="1519">
        <v>43217</v>
      </c>
      <c r="O52" s="1518" t="s">
        <v>3376</v>
      </c>
      <c r="P52" s="1518" t="s">
        <v>3323</v>
      </c>
    </row>
    <row r="53" spans="1:16" ht="25.5">
      <c r="A53" s="1518" t="s">
        <v>709</v>
      </c>
      <c r="B53" s="1518" t="s">
        <v>160</v>
      </c>
      <c r="C53" s="1518" t="s">
        <v>1914</v>
      </c>
      <c r="E53" s="1518" t="s">
        <v>2061</v>
      </c>
      <c r="F53" s="1518" t="s">
        <v>2929</v>
      </c>
      <c r="G53" s="1518" t="s">
        <v>235</v>
      </c>
      <c r="H53" s="1519">
        <v>42583</v>
      </c>
      <c r="I53" s="1520">
        <v>474784</v>
      </c>
      <c r="J53" s="1520">
        <v>308519</v>
      </c>
      <c r="K53" s="1519">
        <v>42699</v>
      </c>
      <c r="L53" s="1518"/>
      <c r="M53" s="1519">
        <v>42583</v>
      </c>
      <c r="N53" s="1519">
        <v>42705</v>
      </c>
      <c r="O53" s="1518" t="s">
        <v>3316</v>
      </c>
      <c r="P53" s="1518" t="s">
        <v>3323</v>
      </c>
    </row>
    <row r="54" spans="1:16" ht="25.5">
      <c r="A54" s="1518" t="s">
        <v>710</v>
      </c>
      <c r="B54" s="1518" t="s">
        <v>299</v>
      </c>
      <c r="C54" s="1518" t="s">
        <v>1914</v>
      </c>
      <c r="E54" s="1518" t="s">
        <v>2061</v>
      </c>
      <c r="F54" s="1518" t="s">
        <v>2812</v>
      </c>
      <c r="G54" s="1518" t="s">
        <v>161</v>
      </c>
      <c r="H54" s="1519">
        <v>42580</v>
      </c>
      <c r="I54" s="1520">
        <v>343507</v>
      </c>
      <c r="J54" s="1520">
        <v>317743.96999999997</v>
      </c>
      <c r="K54" s="1519">
        <v>42709</v>
      </c>
      <c r="L54" s="1518"/>
      <c r="M54" s="1519">
        <v>42584</v>
      </c>
      <c r="N54" s="1519">
        <v>42713</v>
      </c>
      <c r="O54" s="1518" t="s">
        <v>3321</v>
      </c>
      <c r="P54" s="1518" t="s">
        <v>3322</v>
      </c>
    </row>
    <row r="55" spans="1:16" ht="38.25">
      <c r="A55" s="1518" t="s">
        <v>707</v>
      </c>
      <c r="B55" s="1518" t="s">
        <v>300</v>
      </c>
      <c r="C55" s="1518" t="s">
        <v>1914</v>
      </c>
      <c r="E55" s="1518" t="s">
        <v>2061</v>
      </c>
      <c r="F55" s="1518" t="s">
        <v>2820</v>
      </c>
      <c r="G55" s="1518" t="s">
        <v>282</v>
      </c>
      <c r="H55" s="1519">
        <v>42555</v>
      </c>
      <c r="I55" s="1520">
        <v>1516932.01</v>
      </c>
      <c r="J55" s="1520">
        <v>1403162.1</v>
      </c>
      <c r="K55" s="1519">
        <v>42733</v>
      </c>
      <c r="L55" s="1518"/>
      <c r="M55" s="1519">
        <v>42556</v>
      </c>
      <c r="N55" s="1519">
        <v>42745</v>
      </c>
      <c r="O55" s="1518" t="s">
        <v>3316</v>
      </c>
      <c r="P55" s="1518" t="s">
        <v>3317</v>
      </c>
    </row>
    <row r="56" spans="1:16" ht="38.25">
      <c r="A56" s="1518" t="s">
        <v>708</v>
      </c>
      <c r="B56" s="1518" t="s">
        <v>302</v>
      </c>
      <c r="C56" s="1518" t="s">
        <v>1914</v>
      </c>
      <c r="E56" s="1518" t="s">
        <v>2061</v>
      </c>
      <c r="F56" s="1518" t="s">
        <v>2820</v>
      </c>
      <c r="G56" s="1518" t="s">
        <v>282</v>
      </c>
      <c r="H56" s="1519">
        <v>42863</v>
      </c>
      <c r="I56" s="1520">
        <v>995216.11</v>
      </c>
      <c r="J56" s="1520">
        <v>920574.9</v>
      </c>
      <c r="K56" s="1519">
        <v>42984</v>
      </c>
      <c r="L56" s="1518"/>
      <c r="M56" s="1519">
        <v>42863</v>
      </c>
      <c r="N56" s="1519">
        <v>42990</v>
      </c>
      <c r="O56" s="1518" t="s">
        <v>3316</v>
      </c>
      <c r="P56" s="1518" t="s">
        <v>3317</v>
      </c>
    </row>
    <row r="57" spans="1:16" ht="38.25">
      <c r="A57" s="1518" t="s">
        <v>806</v>
      </c>
      <c r="B57" s="1518" t="s">
        <v>640</v>
      </c>
      <c r="C57" s="1518" t="s">
        <v>1914</v>
      </c>
      <c r="E57" s="1518" t="s">
        <v>2061</v>
      </c>
      <c r="F57" s="1518" t="s">
        <v>2820</v>
      </c>
      <c r="G57" s="1518" t="s">
        <v>282</v>
      </c>
      <c r="H57" s="1519">
        <v>43007</v>
      </c>
      <c r="I57" s="1520">
        <v>757246.01</v>
      </c>
      <c r="J57" s="1520">
        <v>558856.32999999996</v>
      </c>
      <c r="K57" s="1519">
        <v>43105</v>
      </c>
      <c r="L57" s="1518"/>
      <c r="M57" s="1519">
        <v>43007</v>
      </c>
      <c r="N57" s="1519">
        <v>43116</v>
      </c>
      <c r="O57" s="1518" t="s">
        <v>3354</v>
      </c>
      <c r="P57" s="1518" t="s">
        <v>3315</v>
      </c>
    </row>
    <row r="58" spans="1:16" ht="38.25">
      <c r="A58" s="1518" t="s">
        <v>1597</v>
      </c>
      <c r="B58" s="1518" t="s">
        <v>2996</v>
      </c>
      <c r="C58" s="1518" t="s">
        <v>1914</v>
      </c>
      <c r="E58" s="1518" t="s">
        <v>2061</v>
      </c>
      <c r="F58" s="1518" t="s">
        <v>2820</v>
      </c>
      <c r="G58" s="1518" t="s">
        <v>282</v>
      </c>
      <c r="H58" s="1519">
        <v>43238</v>
      </c>
      <c r="I58" s="1520">
        <v>663071.16</v>
      </c>
      <c r="J58" s="1520">
        <v>582750</v>
      </c>
      <c r="K58" s="1519">
        <v>43321</v>
      </c>
      <c r="L58" s="1518"/>
      <c r="M58" s="1519">
        <v>43238</v>
      </c>
      <c r="N58" s="1519">
        <v>43326</v>
      </c>
      <c r="O58" s="1518" t="s">
        <v>3412</v>
      </c>
      <c r="P58" s="1518" t="s">
        <v>3390</v>
      </c>
    </row>
    <row r="59" spans="1:16" ht="38.25">
      <c r="A59" s="1518" t="s">
        <v>3431</v>
      </c>
      <c r="B59" s="1518" t="s">
        <v>3432</v>
      </c>
      <c r="C59" s="1518" t="s">
        <v>1914</v>
      </c>
      <c r="E59" s="1518" t="s">
        <v>2061</v>
      </c>
      <c r="F59" s="1518" t="s">
        <v>2820</v>
      </c>
      <c r="G59" s="1518" t="s">
        <v>282</v>
      </c>
      <c r="H59" s="1519">
        <v>43361</v>
      </c>
      <c r="I59" s="1520">
        <v>173605.67</v>
      </c>
      <c r="J59" s="1520">
        <v>138750</v>
      </c>
      <c r="K59" s="1519">
        <v>43448</v>
      </c>
      <c r="L59" s="1518"/>
      <c r="M59" s="1519">
        <v>43361</v>
      </c>
      <c r="N59" s="1519">
        <v>43451</v>
      </c>
      <c r="O59" s="1518" t="s">
        <v>3433</v>
      </c>
      <c r="P59" s="1518" t="s">
        <v>3315</v>
      </c>
    </row>
    <row r="60" spans="1:16" ht="51">
      <c r="A60" s="1518" t="s">
        <v>3443</v>
      </c>
      <c r="B60" s="1518" t="s">
        <v>3444</v>
      </c>
      <c r="C60" s="1518" t="s">
        <v>1942</v>
      </c>
      <c r="E60" s="1518" t="s">
        <v>3142</v>
      </c>
      <c r="F60" s="1518" t="s">
        <v>2820</v>
      </c>
      <c r="G60" s="1518" t="s">
        <v>282</v>
      </c>
      <c r="H60" s="1519">
        <v>43371</v>
      </c>
      <c r="I60" s="1520">
        <v>485640.4</v>
      </c>
      <c r="J60" s="1520">
        <v>277845.02</v>
      </c>
      <c r="K60" s="1518"/>
      <c r="L60" s="1518"/>
      <c r="M60" s="1519">
        <v>43371</v>
      </c>
      <c r="N60" s="1518"/>
      <c r="O60" s="1518" t="s">
        <v>3433</v>
      </c>
      <c r="P60" s="1518"/>
    </row>
    <row r="61" spans="1:16" ht="25.5">
      <c r="A61" s="1518" t="s">
        <v>720</v>
      </c>
      <c r="B61" s="1518" t="s">
        <v>312</v>
      </c>
      <c r="C61" s="1518" t="s">
        <v>1914</v>
      </c>
      <c r="E61" s="1518" t="s">
        <v>2061</v>
      </c>
      <c r="F61" s="1518" t="s">
        <v>2929</v>
      </c>
      <c r="G61" s="1518" t="s">
        <v>235</v>
      </c>
      <c r="H61" s="1519">
        <v>42734</v>
      </c>
      <c r="I61" s="1520">
        <v>151437</v>
      </c>
      <c r="J61" s="1520">
        <v>128721</v>
      </c>
      <c r="K61" s="1519">
        <v>42851</v>
      </c>
      <c r="L61" s="1518"/>
      <c r="M61" s="1519">
        <v>42737</v>
      </c>
      <c r="N61" s="1519">
        <v>42863</v>
      </c>
      <c r="O61" s="1518" t="s">
        <v>3329</v>
      </c>
      <c r="P61" s="1518" t="s">
        <v>3330</v>
      </c>
    </row>
    <row r="62" spans="1:16" ht="25.5">
      <c r="A62" s="1518" t="s">
        <v>719</v>
      </c>
      <c r="B62" s="1518" t="s">
        <v>310</v>
      </c>
      <c r="C62" s="1518" t="s">
        <v>1914</v>
      </c>
      <c r="E62" s="1518" t="s">
        <v>2061</v>
      </c>
      <c r="F62" s="1518" t="s">
        <v>2820</v>
      </c>
      <c r="G62" s="1518" t="s">
        <v>282</v>
      </c>
      <c r="H62" s="1519">
        <v>42734</v>
      </c>
      <c r="I62" s="1520">
        <v>148480</v>
      </c>
      <c r="J62" s="1520">
        <v>126208</v>
      </c>
      <c r="K62" s="1519">
        <v>42849</v>
      </c>
      <c r="L62" s="1518"/>
      <c r="M62" s="1519">
        <v>42737</v>
      </c>
      <c r="N62" s="1519">
        <v>42858</v>
      </c>
      <c r="O62" s="1518" t="s">
        <v>3328</v>
      </c>
      <c r="P62" s="1518" t="s">
        <v>3311</v>
      </c>
    </row>
    <row r="63" spans="1:16" ht="38.25">
      <c r="A63" s="1518" t="s">
        <v>721</v>
      </c>
      <c r="B63" s="1518" t="s">
        <v>313</v>
      </c>
      <c r="C63" s="1518" t="s">
        <v>1914</v>
      </c>
      <c r="E63" s="1518" t="s">
        <v>2061</v>
      </c>
      <c r="F63" s="1518" t="s">
        <v>3029</v>
      </c>
      <c r="G63" s="1518" t="s">
        <v>314</v>
      </c>
      <c r="H63" s="1519">
        <v>42737</v>
      </c>
      <c r="I63" s="1520">
        <v>146319</v>
      </c>
      <c r="J63" s="1520">
        <v>146319</v>
      </c>
      <c r="K63" s="1519">
        <v>42825</v>
      </c>
      <c r="L63" s="1518"/>
      <c r="M63" s="1519">
        <v>42738</v>
      </c>
      <c r="N63" s="1519">
        <v>42837</v>
      </c>
      <c r="O63" s="1518" t="s">
        <v>3320</v>
      </c>
      <c r="P63" s="1518" t="s">
        <v>3331</v>
      </c>
    </row>
    <row r="64" spans="1:16" ht="25.5">
      <c r="A64" s="1518" t="s">
        <v>722</v>
      </c>
      <c r="B64" s="1518" t="s">
        <v>311</v>
      </c>
      <c r="C64" s="1518" t="s">
        <v>1914</v>
      </c>
      <c r="E64" s="1518" t="s">
        <v>2061</v>
      </c>
      <c r="F64" s="1518" t="s">
        <v>2828</v>
      </c>
      <c r="G64" s="1518" t="s">
        <v>184</v>
      </c>
      <c r="H64" s="1519">
        <v>42738</v>
      </c>
      <c r="I64" s="1520">
        <v>188353</v>
      </c>
      <c r="J64" s="1520">
        <v>160100</v>
      </c>
      <c r="K64" s="1519">
        <v>42888</v>
      </c>
      <c r="L64" s="1518"/>
      <c r="M64" s="1519">
        <v>42740</v>
      </c>
      <c r="N64" s="1519">
        <v>42892</v>
      </c>
      <c r="O64" s="1518" t="s">
        <v>3312</v>
      </c>
      <c r="P64" s="1518" t="s">
        <v>3332</v>
      </c>
    </row>
    <row r="65" spans="1:16" ht="25.5">
      <c r="A65" s="1518" t="s">
        <v>723</v>
      </c>
      <c r="B65" s="1518" t="s">
        <v>217</v>
      </c>
      <c r="C65" s="1518" t="s">
        <v>1827</v>
      </c>
      <c r="E65" s="1518" t="s">
        <v>2137</v>
      </c>
      <c r="F65" s="1518" t="s">
        <v>2799</v>
      </c>
      <c r="G65" s="1518" t="s">
        <v>345</v>
      </c>
      <c r="H65" s="1519">
        <v>42766</v>
      </c>
      <c r="I65" s="1520">
        <v>600732.80000000005</v>
      </c>
      <c r="J65" s="1520">
        <v>346361</v>
      </c>
      <c r="K65" s="1519">
        <v>42936</v>
      </c>
      <c r="L65" s="1519">
        <v>43444</v>
      </c>
      <c r="M65" s="1519">
        <v>42769</v>
      </c>
      <c r="N65" s="1519">
        <v>42941</v>
      </c>
      <c r="O65" s="1518" t="s">
        <v>3803</v>
      </c>
      <c r="P65" s="1518"/>
    </row>
    <row r="66" spans="1:16" ht="25.5">
      <c r="A66" s="1518" t="s">
        <v>724</v>
      </c>
      <c r="B66" s="1518" t="s">
        <v>277</v>
      </c>
      <c r="C66" s="1518" t="s">
        <v>1914</v>
      </c>
      <c r="E66" s="1518" t="s">
        <v>2061</v>
      </c>
      <c r="F66" s="1518" t="s">
        <v>2820</v>
      </c>
      <c r="G66" s="1518" t="s">
        <v>282</v>
      </c>
      <c r="H66" s="1519">
        <v>42506</v>
      </c>
      <c r="I66" s="1520">
        <v>736499</v>
      </c>
      <c r="J66" s="1520">
        <v>626024</v>
      </c>
      <c r="K66" s="1519">
        <v>42605</v>
      </c>
      <c r="L66" s="1518"/>
      <c r="M66" s="1519">
        <v>42508</v>
      </c>
      <c r="N66" s="1519">
        <v>42611</v>
      </c>
      <c r="O66" s="1518" t="s">
        <v>3310</v>
      </c>
      <c r="P66" s="1518" t="s">
        <v>3311</v>
      </c>
    </row>
    <row r="67" spans="1:16" ht="25.5">
      <c r="A67" s="1518" t="s">
        <v>725</v>
      </c>
      <c r="B67" s="1518" t="s">
        <v>219</v>
      </c>
      <c r="C67" s="1518" t="s">
        <v>1914</v>
      </c>
      <c r="E67" s="1518" t="s">
        <v>2061</v>
      </c>
      <c r="F67" s="1518" t="s">
        <v>2799</v>
      </c>
      <c r="G67" s="1518" t="s">
        <v>345</v>
      </c>
      <c r="H67" s="1519">
        <v>42563</v>
      </c>
      <c r="I67" s="1520">
        <v>891741.18</v>
      </c>
      <c r="J67" s="1520">
        <v>757980</v>
      </c>
      <c r="K67" s="1519">
        <v>42599</v>
      </c>
      <c r="L67" s="1518"/>
      <c r="M67" s="1519">
        <v>42515</v>
      </c>
      <c r="N67" s="1519">
        <v>42608</v>
      </c>
      <c r="O67" s="1518" t="s">
        <v>3318</v>
      </c>
      <c r="P67" s="1518" t="s">
        <v>3319</v>
      </c>
    </row>
    <row r="68" spans="1:16" ht="25.5">
      <c r="A68" s="1518" t="s">
        <v>726</v>
      </c>
      <c r="B68" s="1518" t="s">
        <v>237</v>
      </c>
      <c r="C68" s="1518" t="s">
        <v>1914</v>
      </c>
      <c r="E68" s="1518" t="s">
        <v>2061</v>
      </c>
      <c r="F68" s="1518" t="s">
        <v>2929</v>
      </c>
      <c r="G68" s="1518" t="s">
        <v>235</v>
      </c>
      <c r="H68" s="1519">
        <v>42515</v>
      </c>
      <c r="I68" s="1520">
        <v>727472.94</v>
      </c>
      <c r="J68" s="1520">
        <v>618351.99</v>
      </c>
      <c r="K68" s="1519">
        <v>42593</v>
      </c>
      <c r="L68" s="1518"/>
      <c r="M68" s="1519">
        <v>42516</v>
      </c>
      <c r="N68" s="1519">
        <v>42601</v>
      </c>
      <c r="O68" s="1518" t="s">
        <v>3312</v>
      </c>
      <c r="P68" s="1518" t="s">
        <v>3313</v>
      </c>
    </row>
    <row r="69" spans="1:16" ht="25.5">
      <c r="A69" s="1518" t="s">
        <v>727</v>
      </c>
      <c r="B69" s="1518" t="s">
        <v>281</v>
      </c>
      <c r="C69" s="1518" t="s">
        <v>1914</v>
      </c>
      <c r="E69" s="1518" t="s">
        <v>2061</v>
      </c>
      <c r="F69" s="1518" t="s">
        <v>2812</v>
      </c>
      <c r="G69" s="1518" t="s">
        <v>161</v>
      </c>
      <c r="H69" s="1519">
        <v>42566</v>
      </c>
      <c r="I69" s="1520">
        <v>368599</v>
      </c>
      <c r="J69" s="1520">
        <v>313012</v>
      </c>
      <c r="K69" s="1519">
        <v>42613</v>
      </c>
      <c r="L69" s="1518"/>
      <c r="M69" s="1519">
        <v>42524</v>
      </c>
      <c r="N69" s="1519">
        <v>42621</v>
      </c>
      <c r="O69" s="1518" t="s">
        <v>3320</v>
      </c>
      <c r="P69" s="1518" t="s">
        <v>3319</v>
      </c>
    </row>
    <row r="70" spans="1:16" ht="38.25">
      <c r="A70" s="1518" t="s">
        <v>728</v>
      </c>
      <c r="B70" s="1518" t="s">
        <v>188</v>
      </c>
      <c r="C70" s="1518" t="s">
        <v>1914</v>
      </c>
      <c r="E70" s="1518" t="s">
        <v>2061</v>
      </c>
      <c r="F70" s="1518" t="s">
        <v>2828</v>
      </c>
      <c r="G70" s="1518" t="s">
        <v>184</v>
      </c>
      <c r="H70" s="1519">
        <v>42523</v>
      </c>
      <c r="I70" s="1520">
        <v>241889</v>
      </c>
      <c r="J70" s="1520">
        <v>205605.65</v>
      </c>
      <c r="K70" s="1519">
        <v>42626</v>
      </c>
      <c r="L70" s="1518"/>
      <c r="M70" s="1519">
        <v>42527</v>
      </c>
      <c r="N70" s="1519">
        <v>42633</v>
      </c>
      <c r="O70" s="1518" t="s">
        <v>3314</v>
      </c>
      <c r="P70" s="1518" t="s">
        <v>3315</v>
      </c>
    </row>
    <row r="71" spans="1:16" ht="63.75">
      <c r="A71" s="1518" t="s">
        <v>1650</v>
      </c>
      <c r="B71" s="1518" t="s">
        <v>3427</v>
      </c>
      <c r="C71" s="1518" t="s">
        <v>1942</v>
      </c>
      <c r="E71" s="1518" t="s">
        <v>3142</v>
      </c>
      <c r="F71" s="1518" t="s">
        <v>3428</v>
      </c>
      <c r="G71" s="1518" t="s">
        <v>3429</v>
      </c>
      <c r="H71" s="1519">
        <v>43360</v>
      </c>
      <c r="I71" s="1520">
        <v>25517</v>
      </c>
      <c r="J71" s="1520">
        <v>23603</v>
      </c>
      <c r="K71" s="1519">
        <v>43462</v>
      </c>
      <c r="L71" s="1518"/>
      <c r="M71" s="1519">
        <v>43360</v>
      </c>
      <c r="N71" s="1518"/>
      <c r="O71" s="1518" t="s">
        <v>3430</v>
      </c>
      <c r="P71" s="1518"/>
    </row>
    <row r="72" spans="1:16" ht="51">
      <c r="A72" s="1518" t="s">
        <v>3434</v>
      </c>
      <c r="B72" s="1518" t="s">
        <v>3435</v>
      </c>
      <c r="C72" s="1518" t="s">
        <v>1942</v>
      </c>
      <c r="E72" s="1518" t="s">
        <v>3394</v>
      </c>
      <c r="F72" s="1518" t="s">
        <v>3436</v>
      </c>
      <c r="G72" s="1518" t="s">
        <v>3437</v>
      </c>
      <c r="H72" s="1519">
        <v>43362</v>
      </c>
      <c r="I72" s="1520">
        <v>466774.13</v>
      </c>
      <c r="J72" s="1520">
        <v>389456</v>
      </c>
      <c r="K72" s="1518"/>
      <c r="L72" s="1518"/>
      <c r="M72" s="1519">
        <v>43362</v>
      </c>
      <c r="N72" s="1518"/>
      <c r="O72" s="1518" t="s">
        <v>3438</v>
      </c>
      <c r="P72" s="1518"/>
    </row>
    <row r="73" spans="1:16" ht="63.75">
      <c r="A73" s="1518" t="s">
        <v>3439</v>
      </c>
      <c r="B73" s="1518" t="s">
        <v>1418</v>
      </c>
      <c r="C73" s="1518" t="s">
        <v>1942</v>
      </c>
      <c r="E73" s="1518" t="s">
        <v>3142</v>
      </c>
      <c r="F73" s="1518" t="s">
        <v>3440</v>
      </c>
      <c r="G73" s="1518" t="s">
        <v>3441</v>
      </c>
      <c r="H73" s="1519">
        <v>43370</v>
      </c>
      <c r="I73" s="1520">
        <v>82938</v>
      </c>
      <c r="J73" s="1520">
        <v>76718</v>
      </c>
      <c r="K73" s="1519">
        <v>43455</v>
      </c>
      <c r="L73" s="1518"/>
      <c r="M73" s="1519">
        <v>43370</v>
      </c>
      <c r="N73" s="1518"/>
      <c r="O73" s="1518" t="s">
        <v>3442</v>
      </c>
      <c r="P73" s="1518"/>
    </row>
    <row r="74" spans="1:16" ht="38.25">
      <c r="A74" s="1518" t="s">
        <v>3445</v>
      </c>
      <c r="B74" s="1518" t="s">
        <v>1416</v>
      </c>
      <c r="C74" s="1518" t="s">
        <v>1942</v>
      </c>
      <c r="E74" s="1518" t="s">
        <v>3394</v>
      </c>
      <c r="F74" s="1518" t="s">
        <v>3446</v>
      </c>
      <c r="G74" s="1518" t="s">
        <v>3447</v>
      </c>
      <c r="H74" s="1519">
        <v>43371</v>
      </c>
      <c r="I74" s="1520">
        <v>50356</v>
      </c>
      <c r="J74" s="1520">
        <v>46579</v>
      </c>
      <c r="K74" s="1518"/>
      <c r="L74" s="1518"/>
      <c r="M74" s="1519">
        <v>43371</v>
      </c>
      <c r="N74" s="1518"/>
      <c r="O74" s="1518" t="s">
        <v>3438</v>
      </c>
      <c r="P74" s="1518"/>
    </row>
    <row r="75" spans="1:16" ht="25.5">
      <c r="A75" s="1518" t="s">
        <v>3448</v>
      </c>
      <c r="B75" s="1518" t="s">
        <v>1420</v>
      </c>
      <c r="C75" s="1518" t="s">
        <v>1942</v>
      </c>
      <c r="E75" s="1518" t="s">
        <v>3142</v>
      </c>
      <c r="F75" s="1518" t="s">
        <v>3449</v>
      </c>
      <c r="G75" s="1518" t="s">
        <v>4111</v>
      </c>
      <c r="H75" s="1519">
        <v>43371</v>
      </c>
      <c r="I75" s="1520">
        <v>43413.03</v>
      </c>
      <c r="J75" s="1520">
        <v>40157.050000000003</v>
      </c>
      <c r="K75" s="1519">
        <v>43468</v>
      </c>
      <c r="L75" s="1518"/>
      <c r="M75" s="1519">
        <v>43371</v>
      </c>
      <c r="N75" s="1518"/>
      <c r="O75" s="1518" t="s">
        <v>3438</v>
      </c>
      <c r="P75" s="1518"/>
    </row>
    <row r="76" spans="1:16" ht="51">
      <c r="A76" s="1518" t="s">
        <v>3796</v>
      </c>
      <c r="B76" s="1518" t="s">
        <v>3805</v>
      </c>
      <c r="C76" s="1518" t="s">
        <v>1942</v>
      </c>
      <c r="E76" s="1518" t="s">
        <v>3422</v>
      </c>
      <c r="F76" s="1518" t="s">
        <v>3806</v>
      </c>
      <c r="G76" s="1518" t="s">
        <v>3807</v>
      </c>
      <c r="H76" s="1519">
        <v>43399</v>
      </c>
      <c r="I76" s="1520">
        <v>29990</v>
      </c>
      <c r="J76" s="1520">
        <v>11367</v>
      </c>
      <c r="K76" s="1518"/>
      <c r="L76" s="1518"/>
      <c r="M76" s="1519">
        <v>43399</v>
      </c>
      <c r="N76" s="1518"/>
      <c r="O76" s="1518" t="s">
        <v>3328</v>
      </c>
      <c r="P76" s="1518"/>
    </row>
    <row r="77" spans="1:16" ht="38.25">
      <c r="A77" s="1518" t="s">
        <v>3797</v>
      </c>
      <c r="B77" s="1518" t="s">
        <v>234</v>
      </c>
      <c r="C77" s="1518" t="s">
        <v>1942</v>
      </c>
      <c r="E77" s="1518" t="s">
        <v>3422</v>
      </c>
      <c r="F77" s="1518" t="s">
        <v>3133</v>
      </c>
      <c r="G77" s="1518" t="s">
        <v>3132</v>
      </c>
      <c r="H77" s="1519">
        <v>43402</v>
      </c>
      <c r="I77" s="1520">
        <v>163532</v>
      </c>
      <c r="J77" s="1520">
        <v>151267</v>
      </c>
      <c r="K77" s="1518"/>
      <c r="L77" s="1518"/>
      <c r="M77" s="1519">
        <v>43402</v>
      </c>
      <c r="N77" s="1518"/>
      <c r="O77" s="1518" t="s">
        <v>3328</v>
      </c>
      <c r="P77" s="1518"/>
    </row>
    <row r="78" spans="1:16" ht="63.75">
      <c r="A78" s="1518" t="s">
        <v>3798</v>
      </c>
      <c r="B78" s="1518" t="s">
        <v>3750</v>
      </c>
      <c r="C78" s="1518" t="s">
        <v>1942</v>
      </c>
      <c r="E78" s="1518" t="s">
        <v>3422</v>
      </c>
      <c r="F78" s="1518" t="s">
        <v>3808</v>
      </c>
      <c r="G78" s="1518" t="s">
        <v>4112</v>
      </c>
      <c r="H78" s="1519">
        <v>43402</v>
      </c>
      <c r="I78" s="1520">
        <v>27906</v>
      </c>
      <c r="J78" s="1520">
        <v>25813</v>
      </c>
      <c r="K78" s="1518"/>
      <c r="L78" s="1518"/>
      <c r="M78" s="1519">
        <v>43402</v>
      </c>
      <c r="N78" s="1518"/>
      <c r="O78" s="1518" t="s">
        <v>3809</v>
      </c>
      <c r="P78" s="1518"/>
    </row>
    <row r="79" spans="1:16" ht="51">
      <c r="A79" s="1518" t="s">
        <v>3799</v>
      </c>
      <c r="B79" s="1518" t="s">
        <v>1426</v>
      </c>
      <c r="C79" s="1518" t="s">
        <v>1942</v>
      </c>
      <c r="E79" s="1518" t="s">
        <v>3422</v>
      </c>
      <c r="F79" s="1518" t="s">
        <v>3145</v>
      </c>
      <c r="G79" s="1518" t="s">
        <v>3810</v>
      </c>
      <c r="H79" s="1519">
        <v>43403</v>
      </c>
      <c r="I79" s="1520">
        <v>171646.58</v>
      </c>
      <c r="J79" s="1520">
        <v>158763</v>
      </c>
      <c r="K79" s="1518"/>
      <c r="L79" s="1518"/>
      <c r="M79" s="1519">
        <v>43403</v>
      </c>
      <c r="N79" s="1518"/>
      <c r="O79" s="1518" t="s">
        <v>3328</v>
      </c>
      <c r="P79" s="1518"/>
    </row>
    <row r="80" spans="1:16" ht="51">
      <c r="A80" s="1518" t="s">
        <v>3800</v>
      </c>
      <c r="B80" s="1518" t="s">
        <v>3742</v>
      </c>
      <c r="C80" s="1518" t="s">
        <v>1942</v>
      </c>
      <c r="E80" s="1518" t="s">
        <v>3422</v>
      </c>
      <c r="F80" s="1518" t="s">
        <v>2812</v>
      </c>
      <c r="G80" s="1518" t="s">
        <v>161</v>
      </c>
      <c r="H80" s="1519">
        <v>43403</v>
      </c>
      <c r="I80" s="1520">
        <v>192718.96</v>
      </c>
      <c r="J80" s="1520">
        <v>178264.95999999999</v>
      </c>
      <c r="K80" s="1518"/>
      <c r="L80" s="1518"/>
      <c r="M80" s="1519">
        <v>43403</v>
      </c>
      <c r="N80" s="1518"/>
      <c r="O80" s="1518" t="s">
        <v>3328</v>
      </c>
      <c r="P80" s="1518"/>
    </row>
    <row r="81" spans="1:16" ht="25.5">
      <c r="A81" s="1518" t="s">
        <v>3801</v>
      </c>
      <c r="B81" s="1518" t="s">
        <v>3811</v>
      </c>
      <c r="C81" s="1518" t="s">
        <v>1942</v>
      </c>
      <c r="E81" s="1518" t="s">
        <v>3422</v>
      </c>
      <c r="F81" s="1518" t="s">
        <v>3812</v>
      </c>
      <c r="G81" s="1518" t="s">
        <v>3813</v>
      </c>
      <c r="H81" s="1519">
        <v>43404</v>
      </c>
      <c r="I81" s="1520">
        <v>24107.8</v>
      </c>
      <c r="J81" s="1520">
        <v>16082</v>
      </c>
      <c r="K81" s="1518"/>
      <c r="L81" s="1518"/>
      <c r="M81" s="1519">
        <v>43404</v>
      </c>
      <c r="N81" s="1518"/>
      <c r="O81" s="1518" t="s">
        <v>3814</v>
      </c>
      <c r="P81" s="1518"/>
    </row>
    <row r="82" spans="1:16" ht="51">
      <c r="A82" s="1518" t="s">
        <v>3802</v>
      </c>
      <c r="B82" s="1518" t="s">
        <v>150</v>
      </c>
      <c r="C82" s="1518" t="s">
        <v>1942</v>
      </c>
      <c r="E82" s="1518" t="s">
        <v>3422</v>
      </c>
      <c r="F82" s="1518" t="s">
        <v>3815</v>
      </c>
      <c r="G82" s="1518" t="s">
        <v>151</v>
      </c>
      <c r="H82" s="1519">
        <v>43404</v>
      </c>
      <c r="I82" s="1520">
        <v>192664.27</v>
      </c>
      <c r="J82" s="1520">
        <v>178214.45</v>
      </c>
      <c r="K82" s="1518"/>
      <c r="L82" s="1518"/>
      <c r="M82" s="1519">
        <v>43404</v>
      </c>
      <c r="N82" s="1518"/>
      <c r="O82" s="1518" t="s">
        <v>3328</v>
      </c>
      <c r="P82" s="1518"/>
    </row>
    <row r="83" spans="1:16" ht="51">
      <c r="A83" s="1518" t="s">
        <v>4113</v>
      </c>
      <c r="B83" s="1518" t="s">
        <v>3742</v>
      </c>
      <c r="C83" s="1518" t="s">
        <v>3357</v>
      </c>
      <c r="E83" s="1518" t="s">
        <v>3358</v>
      </c>
      <c r="F83" s="1518" t="s">
        <v>2812</v>
      </c>
      <c r="G83" s="1518" t="s">
        <v>161</v>
      </c>
      <c r="H83" s="1519">
        <v>43451</v>
      </c>
      <c r="I83" s="1520">
        <v>192718.96</v>
      </c>
      <c r="J83" s="1520">
        <v>178264.95999999999</v>
      </c>
      <c r="K83" s="1518"/>
      <c r="L83" s="1518"/>
      <c r="M83" s="1519">
        <v>43451</v>
      </c>
      <c r="N83" s="1518"/>
      <c r="O83" s="1518"/>
      <c r="P83" s="1518"/>
    </row>
    <row r="84" spans="1:16" ht="38.25">
      <c r="A84" s="1518" t="s">
        <v>4114</v>
      </c>
      <c r="B84" s="1518" t="s">
        <v>234</v>
      </c>
      <c r="C84" s="1518" t="s">
        <v>3357</v>
      </c>
      <c r="E84" s="1518" t="s">
        <v>3358</v>
      </c>
      <c r="F84" s="1518" t="s">
        <v>3133</v>
      </c>
      <c r="G84" s="1518" t="s">
        <v>3132</v>
      </c>
      <c r="H84" s="1519">
        <v>43453</v>
      </c>
      <c r="I84" s="1520">
        <v>163532</v>
      </c>
      <c r="J84" s="1520">
        <v>151267</v>
      </c>
      <c r="K84" s="1518"/>
      <c r="L84" s="1518"/>
      <c r="M84" s="1519">
        <v>43453</v>
      </c>
      <c r="N84" s="1518"/>
      <c r="O84" s="1518"/>
      <c r="P84" s="1518"/>
    </row>
    <row r="85" spans="1:16" ht="51">
      <c r="A85" s="1518" t="s">
        <v>1207</v>
      </c>
      <c r="B85" s="1518" t="s">
        <v>125</v>
      </c>
      <c r="C85" s="1518" t="s">
        <v>1914</v>
      </c>
      <c r="E85" s="1518" t="s">
        <v>2061</v>
      </c>
      <c r="F85" s="1518" t="s">
        <v>2820</v>
      </c>
      <c r="G85" s="1518" t="s">
        <v>282</v>
      </c>
      <c r="H85" s="1519">
        <v>43039</v>
      </c>
      <c r="I85" s="1520">
        <v>605024.19999999995</v>
      </c>
      <c r="J85" s="1520">
        <v>559647.38</v>
      </c>
      <c r="K85" s="1519">
        <v>43125</v>
      </c>
      <c r="L85" s="1518"/>
      <c r="M85" s="1519">
        <v>43039</v>
      </c>
      <c r="N85" s="1519">
        <v>43140</v>
      </c>
      <c r="O85" s="1518" t="s">
        <v>3354</v>
      </c>
      <c r="P85" s="1518" t="s">
        <v>3331</v>
      </c>
    </row>
    <row r="86" spans="1:16" ht="51">
      <c r="A86" s="1518" t="s">
        <v>1598</v>
      </c>
      <c r="B86" s="1518" t="s">
        <v>124</v>
      </c>
      <c r="C86" s="1518" t="s">
        <v>1914</v>
      </c>
      <c r="E86" s="1518" t="s">
        <v>2061</v>
      </c>
      <c r="F86" s="1518" t="s">
        <v>2820</v>
      </c>
      <c r="G86" s="1518" t="s">
        <v>282</v>
      </c>
      <c r="H86" s="1519">
        <v>43188</v>
      </c>
      <c r="I86" s="1520">
        <v>815537.61</v>
      </c>
      <c r="J86" s="1520">
        <v>530342</v>
      </c>
      <c r="K86" s="1519">
        <v>43279</v>
      </c>
      <c r="L86" s="1518"/>
      <c r="M86" s="1519">
        <v>43188</v>
      </c>
      <c r="N86" s="1519">
        <v>43290</v>
      </c>
      <c r="O86" s="1518" t="s">
        <v>3354</v>
      </c>
      <c r="P86" s="1518" t="s">
        <v>3390</v>
      </c>
    </row>
    <row r="87" spans="1:16" ht="38.25">
      <c r="A87" s="1518" t="s">
        <v>1599</v>
      </c>
      <c r="B87" s="1518" t="s">
        <v>384</v>
      </c>
      <c r="C87" s="1518" t="s">
        <v>1914</v>
      </c>
      <c r="E87" s="1518" t="s">
        <v>2061</v>
      </c>
      <c r="F87" s="1518" t="s">
        <v>2929</v>
      </c>
      <c r="G87" s="1518" t="s">
        <v>235</v>
      </c>
      <c r="H87" s="1519">
        <v>43251</v>
      </c>
      <c r="I87" s="1520">
        <v>579418.99</v>
      </c>
      <c r="J87" s="1520">
        <v>386429</v>
      </c>
      <c r="K87" s="1519">
        <v>43328</v>
      </c>
      <c r="L87" s="1518"/>
      <c r="M87" s="1519">
        <v>43251</v>
      </c>
      <c r="N87" s="1519">
        <v>43343</v>
      </c>
      <c r="O87" s="1518" t="s">
        <v>3321</v>
      </c>
      <c r="P87" s="1518" t="s">
        <v>3317</v>
      </c>
    </row>
    <row r="88" spans="1:16" ht="38.25">
      <c r="A88" s="1518" t="s">
        <v>1600</v>
      </c>
      <c r="B88" s="1518" t="s">
        <v>385</v>
      </c>
      <c r="C88" s="1518" t="s">
        <v>1914</v>
      </c>
      <c r="E88" s="1518" t="s">
        <v>2061</v>
      </c>
      <c r="F88" s="1518" t="s">
        <v>2929</v>
      </c>
      <c r="G88" s="1518" t="s">
        <v>235</v>
      </c>
      <c r="H88" s="1519">
        <v>43252</v>
      </c>
      <c r="I88" s="1520">
        <v>673878</v>
      </c>
      <c r="J88" s="1520">
        <v>623337</v>
      </c>
      <c r="K88" s="1519">
        <v>43333</v>
      </c>
      <c r="L88" s="1518"/>
      <c r="M88" s="1519">
        <v>43252</v>
      </c>
      <c r="N88" s="1519">
        <v>43350</v>
      </c>
      <c r="O88" s="1518" t="s">
        <v>3354</v>
      </c>
      <c r="P88" s="1518" t="s">
        <v>3414</v>
      </c>
    </row>
    <row r="89" spans="1:16" ht="25.5">
      <c r="A89" s="1518" t="s">
        <v>2358</v>
      </c>
      <c r="B89" s="1518" t="s">
        <v>2359</v>
      </c>
      <c r="C89" s="1518" t="s">
        <v>1914</v>
      </c>
      <c r="E89" s="1518" t="s">
        <v>2061</v>
      </c>
      <c r="F89" s="1518" t="s">
        <v>3077</v>
      </c>
      <c r="G89" s="1518" t="s">
        <v>3076</v>
      </c>
      <c r="H89" s="1519">
        <v>42926</v>
      </c>
      <c r="I89" s="1520">
        <v>136133.06</v>
      </c>
      <c r="J89" s="1520">
        <v>136133.06</v>
      </c>
      <c r="K89" s="1519">
        <v>43005</v>
      </c>
      <c r="L89" s="1518"/>
      <c r="M89" s="1519">
        <v>42926</v>
      </c>
      <c r="N89" s="1519">
        <v>43010</v>
      </c>
      <c r="O89" s="1518" t="s">
        <v>3345</v>
      </c>
      <c r="P89" s="1518" t="s">
        <v>3346</v>
      </c>
    </row>
    <row r="90" spans="1:16" ht="25.5">
      <c r="A90" s="1518" t="s">
        <v>2368</v>
      </c>
      <c r="B90" s="1518" t="s">
        <v>2369</v>
      </c>
      <c r="C90" s="1518" t="s">
        <v>1914</v>
      </c>
      <c r="E90" s="1518" t="s">
        <v>2061</v>
      </c>
      <c r="F90" s="1518" t="s">
        <v>3086</v>
      </c>
      <c r="G90" s="1518" t="s">
        <v>3085</v>
      </c>
      <c r="H90" s="1519">
        <v>42928</v>
      </c>
      <c r="I90" s="1520">
        <v>1814953.52</v>
      </c>
      <c r="J90" s="1520">
        <v>1814953.52</v>
      </c>
      <c r="K90" s="1519">
        <v>43005</v>
      </c>
      <c r="L90" s="1518"/>
      <c r="M90" s="1519">
        <v>42928</v>
      </c>
      <c r="N90" s="1519">
        <v>43006</v>
      </c>
      <c r="O90" s="1518" t="s">
        <v>3347</v>
      </c>
      <c r="P90" s="1518" t="s">
        <v>3346</v>
      </c>
    </row>
    <row r="91" spans="1:16" ht="51">
      <c r="A91" s="1518" t="s">
        <v>1606</v>
      </c>
      <c r="B91" s="1518" t="s">
        <v>3126</v>
      </c>
      <c r="C91" s="1518" t="s">
        <v>1914</v>
      </c>
      <c r="E91" s="1518" t="s">
        <v>2061</v>
      </c>
      <c r="F91" s="1518" t="s">
        <v>2812</v>
      </c>
      <c r="G91" s="1518" t="s">
        <v>161</v>
      </c>
      <c r="H91" s="1519">
        <v>43188</v>
      </c>
      <c r="I91" s="1520">
        <v>15224</v>
      </c>
      <c r="J91" s="1520">
        <v>14082</v>
      </c>
      <c r="K91" s="1519">
        <v>43235</v>
      </c>
      <c r="L91" s="1518"/>
      <c r="M91" s="1519">
        <v>43188</v>
      </c>
      <c r="N91" s="1519">
        <v>43236</v>
      </c>
      <c r="O91" s="1518" t="s">
        <v>3391</v>
      </c>
      <c r="P91" s="1518" t="s">
        <v>3392</v>
      </c>
    </row>
    <row r="92" spans="1:16" ht="51">
      <c r="A92" s="1518" t="s">
        <v>1607</v>
      </c>
      <c r="B92" s="1518" t="s">
        <v>1199</v>
      </c>
      <c r="C92" s="1518" t="s">
        <v>1914</v>
      </c>
      <c r="E92" s="1518" t="s">
        <v>2061</v>
      </c>
      <c r="F92" s="1518" t="s">
        <v>3133</v>
      </c>
      <c r="G92" s="1518" t="s">
        <v>3132</v>
      </c>
      <c r="H92" s="1519">
        <v>43255</v>
      </c>
      <c r="I92" s="1520">
        <v>6816</v>
      </c>
      <c r="J92" s="1520">
        <v>6304.8</v>
      </c>
      <c r="K92" s="1519">
        <v>43322</v>
      </c>
      <c r="L92" s="1518"/>
      <c r="M92" s="1519">
        <v>43255</v>
      </c>
      <c r="N92" s="1519">
        <v>43322</v>
      </c>
      <c r="O92" s="1518" t="s">
        <v>3402</v>
      </c>
      <c r="P92" s="1518" t="s">
        <v>3399</v>
      </c>
    </row>
    <row r="93" spans="1:16" ht="51">
      <c r="A93" s="1518" t="s">
        <v>1608</v>
      </c>
      <c r="B93" s="1518" t="s">
        <v>1205</v>
      </c>
      <c r="C93" s="1518" t="s">
        <v>1914</v>
      </c>
      <c r="E93" s="1518" t="s">
        <v>2061</v>
      </c>
      <c r="F93" s="1518" t="s">
        <v>2820</v>
      </c>
      <c r="G93" s="1518" t="s">
        <v>282</v>
      </c>
      <c r="H93" s="1519">
        <v>43278</v>
      </c>
      <c r="I93" s="1520">
        <v>15679</v>
      </c>
      <c r="J93" s="1520">
        <v>14503</v>
      </c>
      <c r="K93" s="1519">
        <v>43349</v>
      </c>
      <c r="L93" s="1518"/>
      <c r="M93" s="1519">
        <v>43278</v>
      </c>
      <c r="N93" s="1519">
        <v>43350</v>
      </c>
      <c r="O93" s="1518" t="s">
        <v>3417</v>
      </c>
      <c r="P93" s="1518" t="s">
        <v>3418</v>
      </c>
    </row>
    <row r="94" spans="1:16" ht="63.75">
      <c r="A94" s="1518" t="s">
        <v>1609</v>
      </c>
      <c r="B94" s="1518" t="s">
        <v>3141</v>
      </c>
      <c r="C94" s="1518" t="s">
        <v>1914</v>
      </c>
      <c r="E94" s="1518" t="s">
        <v>2061</v>
      </c>
      <c r="F94" s="1518" t="s">
        <v>3145</v>
      </c>
      <c r="G94" s="1518" t="s">
        <v>3144</v>
      </c>
      <c r="H94" s="1519">
        <v>43280</v>
      </c>
      <c r="I94" s="1520">
        <v>10453</v>
      </c>
      <c r="J94" s="1520">
        <v>9664.25</v>
      </c>
      <c r="K94" s="1519">
        <v>43409</v>
      </c>
      <c r="L94" s="1518"/>
      <c r="M94" s="1519">
        <v>43280</v>
      </c>
      <c r="N94" s="1519">
        <v>43409</v>
      </c>
      <c r="O94" s="1518" t="s">
        <v>3816</v>
      </c>
      <c r="P94" s="1518" t="s">
        <v>3418</v>
      </c>
    </row>
    <row r="95" spans="1:16" ht="38.25">
      <c r="A95" s="1518" t="s">
        <v>1623</v>
      </c>
      <c r="B95" s="1518" t="s">
        <v>1190</v>
      </c>
      <c r="C95" s="1518" t="s">
        <v>1914</v>
      </c>
      <c r="E95" s="1518" t="s">
        <v>2061</v>
      </c>
      <c r="F95" s="1518" t="s">
        <v>2799</v>
      </c>
      <c r="G95" s="1518" t="s">
        <v>345</v>
      </c>
      <c r="H95" s="1519">
        <v>43285</v>
      </c>
      <c r="I95" s="1520">
        <v>17041.18</v>
      </c>
      <c r="J95" s="1520">
        <v>15763.09</v>
      </c>
      <c r="K95" s="1519">
        <v>43353</v>
      </c>
      <c r="L95" s="1518"/>
      <c r="M95" s="1519">
        <v>43285</v>
      </c>
      <c r="N95" s="1519">
        <v>43353</v>
      </c>
      <c r="O95" s="1518" t="s">
        <v>3419</v>
      </c>
      <c r="P95" s="1518" t="s">
        <v>3392</v>
      </c>
    </row>
    <row r="96" spans="1:16" ht="25.5">
      <c r="A96" s="1518" t="s">
        <v>1601</v>
      </c>
      <c r="B96" s="1518" t="s">
        <v>2380</v>
      </c>
      <c r="C96" s="1518" t="s">
        <v>1914</v>
      </c>
      <c r="E96" s="1518" t="s">
        <v>2061</v>
      </c>
      <c r="F96" s="1518" t="s">
        <v>2799</v>
      </c>
      <c r="G96" s="1518" t="s">
        <v>345</v>
      </c>
      <c r="H96" s="1519">
        <v>43217</v>
      </c>
      <c r="I96" s="1520">
        <v>198996</v>
      </c>
      <c r="J96" s="1520">
        <v>184071.3</v>
      </c>
      <c r="K96" s="1519">
        <v>43284</v>
      </c>
      <c r="L96" s="1518"/>
      <c r="M96" s="1519">
        <v>43217</v>
      </c>
      <c r="N96" s="1519">
        <v>43285</v>
      </c>
      <c r="O96" s="1518" t="s">
        <v>3398</v>
      </c>
      <c r="P96" s="1518" t="s">
        <v>3399</v>
      </c>
    </row>
    <row r="97" spans="1:16" ht="25.5">
      <c r="A97" s="1518" t="s">
        <v>1602</v>
      </c>
      <c r="B97" s="1518" t="s">
        <v>1195</v>
      </c>
      <c r="C97" s="1518" t="s">
        <v>1914</v>
      </c>
      <c r="E97" s="1518" t="s">
        <v>2061</v>
      </c>
      <c r="F97" s="1518" t="s">
        <v>3101</v>
      </c>
      <c r="G97" s="1518" t="s">
        <v>1196</v>
      </c>
      <c r="H97" s="1519">
        <v>43217</v>
      </c>
      <c r="I97" s="1520">
        <v>198997.18</v>
      </c>
      <c r="J97" s="1520">
        <v>184072.39</v>
      </c>
      <c r="K97" s="1519">
        <v>43284</v>
      </c>
      <c r="L97" s="1518"/>
      <c r="M97" s="1519">
        <v>43217</v>
      </c>
      <c r="N97" s="1519">
        <v>43286</v>
      </c>
      <c r="O97" s="1518" t="s">
        <v>3397</v>
      </c>
      <c r="P97" s="1518" t="s">
        <v>3392</v>
      </c>
    </row>
    <row r="98" spans="1:16" ht="25.5">
      <c r="A98" s="1518" t="s">
        <v>1603</v>
      </c>
      <c r="B98" s="1518" t="s">
        <v>1197</v>
      </c>
      <c r="C98" s="1518" t="s">
        <v>1914</v>
      </c>
      <c r="E98" s="1518" t="s">
        <v>2061</v>
      </c>
      <c r="F98" s="1518" t="s">
        <v>3108</v>
      </c>
      <c r="G98" s="1518" t="s">
        <v>1198</v>
      </c>
      <c r="H98" s="1519">
        <v>43217</v>
      </c>
      <c r="I98" s="1520">
        <v>198997.18</v>
      </c>
      <c r="J98" s="1520">
        <v>184072.39</v>
      </c>
      <c r="K98" s="1519">
        <v>43286</v>
      </c>
      <c r="L98" s="1518"/>
      <c r="M98" s="1519">
        <v>43217</v>
      </c>
      <c r="N98" s="1519">
        <v>43286</v>
      </c>
      <c r="O98" s="1518" t="s">
        <v>3400</v>
      </c>
      <c r="P98" s="1518" t="s">
        <v>3399</v>
      </c>
    </row>
    <row r="99" spans="1:16" ht="25.5">
      <c r="A99" s="1518" t="s">
        <v>1604</v>
      </c>
      <c r="B99" s="1518" t="s">
        <v>2389</v>
      </c>
      <c r="C99" s="1518" t="s">
        <v>1914</v>
      </c>
      <c r="E99" s="1518" t="s">
        <v>2061</v>
      </c>
      <c r="F99" s="1518" t="s">
        <v>3114</v>
      </c>
      <c r="G99" s="1518" t="s">
        <v>1178</v>
      </c>
      <c r="H99" s="1519">
        <v>43220</v>
      </c>
      <c r="I99" s="1520">
        <v>198997.18</v>
      </c>
      <c r="J99" s="1520">
        <v>184072.39</v>
      </c>
      <c r="K99" s="1519">
        <v>43284</v>
      </c>
      <c r="L99" s="1518"/>
      <c r="M99" s="1519">
        <v>43220</v>
      </c>
      <c r="N99" s="1519">
        <v>43285</v>
      </c>
      <c r="O99" s="1518" t="s">
        <v>3401</v>
      </c>
      <c r="P99" s="1518" t="s">
        <v>3399</v>
      </c>
    </row>
    <row r="100" spans="1:16" ht="25.5">
      <c r="A100" s="1518" t="s">
        <v>1605</v>
      </c>
      <c r="B100" s="1518" t="s">
        <v>1179</v>
      </c>
      <c r="C100" s="1518" t="s">
        <v>1914</v>
      </c>
      <c r="E100" s="1518" t="s">
        <v>2061</v>
      </c>
      <c r="F100" s="1518" t="s">
        <v>3120</v>
      </c>
      <c r="G100" s="1518" t="s">
        <v>276</v>
      </c>
      <c r="H100" s="1519">
        <v>43223</v>
      </c>
      <c r="I100" s="1520">
        <v>198997</v>
      </c>
      <c r="J100" s="1520">
        <v>184072</v>
      </c>
      <c r="K100" s="1519">
        <v>43298</v>
      </c>
      <c r="L100" s="1518"/>
      <c r="M100" s="1519">
        <v>43223</v>
      </c>
      <c r="N100" s="1519">
        <v>43298</v>
      </c>
      <c r="O100" s="1518" t="s">
        <v>3402</v>
      </c>
      <c r="P100" s="1518" t="s">
        <v>3399</v>
      </c>
    </row>
    <row r="101" spans="1:16" ht="25.5">
      <c r="A101" s="1518" t="s">
        <v>2397</v>
      </c>
      <c r="B101" s="1518" t="s">
        <v>2398</v>
      </c>
      <c r="C101" s="1518" t="s">
        <v>1914</v>
      </c>
      <c r="E101" s="1518" t="s">
        <v>2061</v>
      </c>
      <c r="F101" s="1518" t="s">
        <v>3160</v>
      </c>
      <c r="G101" s="1518" t="s">
        <v>3159</v>
      </c>
      <c r="H101" s="1519">
        <v>43229</v>
      </c>
      <c r="I101" s="1520">
        <v>44986.51</v>
      </c>
      <c r="J101" s="1520">
        <v>31265.62</v>
      </c>
      <c r="K101" s="1519">
        <v>43362</v>
      </c>
      <c r="L101" s="1518"/>
      <c r="M101" s="1519">
        <v>43229</v>
      </c>
      <c r="N101" s="1519">
        <v>43368</v>
      </c>
      <c r="O101" s="1518" t="s">
        <v>3404</v>
      </c>
      <c r="P101" s="1518" t="s">
        <v>3386</v>
      </c>
    </row>
    <row r="102" spans="1:16" ht="38.25">
      <c r="A102" s="1518" t="s">
        <v>2402</v>
      </c>
      <c r="B102" s="1518" t="s">
        <v>2403</v>
      </c>
      <c r="C102" s="1518" t="s">
        <v>1914</v>
      </c>
      <c r="E102" s="1518" t="s">
        <v>2061</v>
      </c>
      <c r="F102" s="1518" t="s">
        <v>3169</v>
      </c>
      <c r="G102" s="1518" t="s">
        <v>3168</v>
      </c>
      <c r="H102" s="1519">
        <v>43231</v>
      </c>
      <c r="I102" s="1520">
        <v>5579.99</v>
      </c>
      <c r="J102" s="1520">
        <v>3553.1</v>
      </c>
      <c r="K102" s="1519">
        <v>43348</v>
      </c>
      <c r="L102" s="1518"/>
      <c r="M102" s="1519">
        <v>43231</v>
      </c>
      <c r="N102" s="1519">
        <v>43355</v>
      </c>
      <c r="O102" s="1518" t="s">
        <v>3369</v>
      </c>
      <c r="P102" s="1518" t="s">
        <v>3362</v>
      </c>
    </row>
    <row r="103" spans="1:16" ht="25.5">
      <c r="A103" s="1518" t="s">
        <v>2407</v>
      </c>
      <c r="B103" s="1518" t="s">
        <v>2408</v>
      </c>
      <c r="C103" s="1518" t="s">
        <v>1914</v>
      </c>
      <c r="E103" s="1518" t="s">
        <v>2061</v>
      </c>
      <c r="F103" s="1518" t="s">
        <v>3160</v>
      </c>
      <c r="G103" s="1518" t="s">
        <v>3159</v>
      </c>
      <c r="H103" s="1519">
        <v>43231</v>
      </c>
      <c r="I103" s="1520">
        <v>10446.14</v>
      </c>
      <c r="J103" s="1520">
        <v>7142.92</v>
      </c>
      <c r="K103" s="1519">
        <v>43362</v>
      </c>
      <c r="L103" s="1518"/>
      <c r="M103" s="1519">
        <v>43231</v>
      </c>
      <c r="N103" s="1519">
        <v>43368</v>
      </c>
      <c r="O103" s="1518" t="s">
        <v>3404</v>
      </c>
      <c r="P103" s="1518" t="s">
        <v>3386</v>
      </c>
    </row>
    <row r="104" spans="1:16">
      <c r="A104" s="1518" t="s">
        <v>2411</v>
      </c>
      <c r="B104" s="1518" t="s">
        <v>2412</v>
      </c>
      <c r="C104" s="1518" t="s">
        <v>1914</v>
      </c>
      <c r="E104" s="1518" t="s">
        <v>2061</v>
      </c>
      <c r="F104" s="1518" t="s">
        <v>3180</v>
      </c>
      <c r="G104" s="1518" t="s">
        <v>3179</v>
      </c>
      <c r="H104" s="1519">
        <v>43235</v>
      </c>
      <c r="I104" s="1520">
        <v>9096.9500000000007</v>
      </c>
      <c r="J104" s="1520">
        <v>6245.66</v>
      </c>
      <c r="K104" s="1519">
        <v>43348</v>
      </c>
      <c r="L104" s="1518"/>
      <c r="M104" s="1519">
        <v>43234</v>
      </c>
      <c r="N104" s="1519">
        <v>43350</v>
      </c>
      <c r="O104" s="1518" t="s">
        <v>3406</v>
      </c>
      <c r="P104" s="1518" t="s">
        <v>3386</v>
      </c>
    </row>
    <row r="105" spans="1:16" ht="25.5">
      <c r="A105" s="1518" t="s">
        <v>2416</v>
      </c>
      <c r="B105" s="1518" t="s">
        <v>2417</v>
      </c>
      <c r="C105" s="1518" t="s">
        <v>1914</v>
      </c>
      <c r="E105" s="1518" t="s">
        <v>2061</v>
      </c>
      <c r="F105" s="1518" t="s">
        <v>3188</v>
      </c>
      <c r="G105" s="1518" t="s">
        <v>3187</v>
      </c>
      <c r="H105" s="1519">
        <v>43234</v>
      </c>
      <c r="I105" s="1520">
        <v>9832.3700000000008</v>
      </c>
      <c r="J105" s="1520">
        <v>6773.3</v>
      </c>
      <c r="K105" s="1519">
        <v>43362</v>
      </c>
      <c r="L105" s="1518"/>
      <c r="M105" s="1519">
        <v>43234</v>
      </c>
      <c r="N105" s="1519">
        <v>43368</v>
      </c>
      <c r="O105" s="1518" t="s">
        <v>3405</v>
      </c>
      <c r="P105" s="1518" t="s">
        <v>3362</v>
      </c>
    </row>
    <row r="106" spans="1:16" ht="38.25">
      <c r="A106" s="1518" t="s">
        <v>3193</v>
      </c>
      <c r="B106" s="1518" t="s">
        <v>3194</v>
      </c>
      <c r="C106" s="1518" t="s">
        <v>1914</v>
      </c>
      <c r="E106" s="1518" t="s">
        <v>2061</v>
      </c>
      <c r="F106" s="1518" t="s">
        <v>3169</v>
      </c>
      <c r="G106" s="1518" t="s">
        <v>3168</v>
      </c>
      <c r="H106" s="1519">
        <v>43235</v>
      </c>
      <c r="I106" s="1520">
        <v>3799.5</v>
      </c>
      <c r="J106" s="1520">
        <v>2602.66</v>
      </c>
      <c r="K106" s="1519">
        <v>43348</v>
      </c>
      <c r="L106" s="1518"/>
      <c r="M106" s="1519">
        <v>43235</v>
      </c>
      <c r="N106" s="1519">
        <v>43355</v>
      </c>
      <c r="O106" s="1518" t="s">
        <v>3369</v>
      </c>
      <c r="P106" s="1518" t="s">
        <v>3362</v>
      </c>
    </row>
    <row r="107" spans="1:16">
      <c r="A107" s="1518" t="s">
        <v>3408</v>
      </c>
      <c r="B107" s="1518" t="s">
        <v>3409</v>
      </c>
      <c r="C107" s="1518" t="s">
        <v>1914</v>
      </c>
      <c r="E107" s="1518" t="s">
        <v>2061</v>
      </c>
      <c r="F107" s="1518" t="s">
        <v>3200</v>
      </c>
      <c r="G107" s="1518" t="s">
        <v>3199</v>
      </c>
      <c r="H107" s="1519">
        <v>43235</v>
      </c>
      <c r="I107" s="1520">
        <v>5628.83</v>
      </c>
      <c r="J107" s="1520">
        <v>3798.83</v>
      </c>
      <c r="K107" s="1519">
        <v>43396</v>
      </c>
      <c r="L107" s="1518"/>
      <c r="M107" s="1519">
        <v>43235</v>
      </c>
      <c r="N107" s="1519">
        <v>43403</v>
      </c>
      <c r="O107" s="1518" t="s">
        <v>3407</v>
      </c>
      <c r="P107" s="1518" t="s">
        <v>3386</v>
      </c>
    </row>
    <row r="108" spans="1:16">
      <c r="A108" s="1518" t="s">
        <v>2421</v>
      </c>
      <c r="B108" s="1518" t="s">
        <v>2422</v>
      </c>
      <c r="C108" s="1518" t="s">
        <v>1914</v>
      </c>
      <c r="E108" s="1518" t="s">
        <v>2061</v>
      </c>
      <c r="F108" s="1518" t="s">
        <v>3200</v>
      </c>
      <c r="G108" s="1518" t="s">
        <v>3199</v>
      </c>
      <c r="H108" s="1519">
        <v>43235</v>
      </c>
      <c r="I108" s="1520">
        <v>12926.88</v>
      </c>
      <c r="J108" s="1520">
        <v>7988.96</v>
      </c>
      <c r="K108" s="1519">
        <v>43348</v>
      </c>
      <c r="L108" s="1518"/>
      <c r="M108" s="1519">
        <v>43235</v>
      </c>
      <c r="N108" s="1519">
        <v>43355</v>
      </c>
      <c r="O108" s="1518" t="s">
        <v>3407</v>
      </c>
      <c r="P108" s="1518" t="s">
        <v>3386</v>
      </c>
    </row>
    <row r="109" spans="1:16" ht="25.5">
      <c r="A109" s="1518" t="s">
        <v>2426</v>
      </c>
      <c r="B109" s="1518" t="s">
        <v>2427</v>
      </c>
      <c r="C109" s="1518" t="s">
        <v>1914</v>
      </c>
      <c r="E109" s="1518" t="s">
        <v>2061</v>
      </c>
      <c r="F109" s="1518" t="s">
        <v>3207</v>
      </c>
      <c r="G109" s="1518" t="s">
        <v>3206</v>
      </c>
      <c r="H109" s="1519">
        <v>43235</v>
      </c>
      <c r="I109" s="1520">
        <v>39491.67</v>
      </c>
      <c r="J109" s="1520">
        <v>27238.5</v>
      </c>
      <c r="K109" s="1519">
        <v>43348</v>
      </c>
      <c r="L109" s="1518"/>
      <c r="M109" s="1519">
        <v>43235</v>
      </c>
      <c r="N109" s="1519">
        <v>43353</v>
      </c>
      <c r="O109" s="1518" t="s">
        <v>3410</v>
      </c>
      <c r="P109" s="1518" t="s">
        <v>3386</v>
      </c>
    </row>
    <row r="110" spans="1:16">
      <c r="A110" s="1518" t="s">
        <v>2578</v>
      </c>
      <c r="B110" s="1518" t="s">
        <v>2579</v>
      </c>
      <c r="C110" s="1518" t="s">
        <v>1914</v>
      </c>
      <c r="E110" s="1518" t="s">
        <v>2061</v>
      </c>
      <c r="F110" s="1518" t="s">
        <v>3200</v>
      </c>
      <c r="G110" s="1518" t="s">
        <v>3199</v>
      </c>
      <c r="H110" s="1519">
        <v>43235</v>
      </c>
      <c r="I110" s="1520">
        <v>8790.99</v>
      </c>
      <c r="J110" s="1520">
        <v>6109.74</v>
      </c>
      <c r="K110" s="1519">
        <v>43348</v>
      </c>
      <c r="L110" s="1518"/>
      <c r="M110" s="1519">
        <v>43235</v>
      </c>
      <c r="N110" s="1519">
        <v>43355</v>
      </c>
      <c r="O110" s="1518" t="s">
        <v>3407</v>
      </c>
      <c r="P110" s="1518" t="s">
        <v>3386</v>
      </c>
    </row>
    <row r="111" spans="1:16" ht="25.5">
      <c r="A111" s="1518" t="s">
        <v>3217</v>
      </c>
      <c r="B111" s="1518" t="s">
        <v>3218</v>
      </c>
      <c r="C111" s="1518" t="s">
        <v>1914</v>
      </c>
      <c r="E111" s="1518" t="s">
        <v>2061</v>
      </c>
      <c r="F111" s="1518" t="s">
        <v>3221</v>
      </c>
      <c r="G111" s="1518" t="s">
        <v>3220</v>
      </c>
      <c r="H111" s="1519">
        <v>43235</v>
      </c>
      <c r="I111" s="1520">
        <v>18000</v>
      </c>
      <c r="J111" s="1520">
        <v>12201.6</v>
      </c>
      <c r="K111" s="1519">
        <v>43348</v>
      </c>
      <c r="L111" s="1518"/>
      <c r="M111" s="1519">
        <v>43235</v>
      </c>
      <c r="N111" s="1519">
        <v>43349</v>
      </c>
      <c r="O111" s="1518" t="s">
        <v>3411</v>
      </c>
      <c r="P111" s="1518" t="s">
        <v>3386</v>
      </c>
    </row>
    <row r="112" spans="1:16" ht="25.5">
      <c r="A112" s="1518" t="s">
        <v>1238</v>
      </c>
      <c r="B112" s="1518" t="s">
        <v>2435</v>
      </c>
      <c r="C112" s="1518" t="s">
        <v>1914</v>
      </c>
      <c r="E112" s="1518" t="s">
        <v>2061</v>
      </c>
      <c r="F112" s="1518" t="s">
        <v>2799</v>
      </c>
      <c r="G112" s="1518" t="s">
        <v>345</v>
      </c>
      <c r="H112" s="1519">
        <v>43076</v>
      </c>
      <c r="I112" s="1520">
        <v>181986</v>
      </c>
      <c r="J112" s="1520">
        <v>168337</v>
      </c>
      <c r="K112" s="1519">
        <v>43164</v>
      </c>
      <c r="L112" s="1518"/>
      <c r="M112" s="1519">
        <v>43076</v>
      </c>
      <c r="N112" s="1519">
        <v>43174</v>
      </c>
      <c r="O112" s="1518" t="s">
        <v>3352</v>
      </c>
      <c r="P112" s="1518" t="s">
        <v>3315</v>
      </c>
    </row>
    <row r="113" spans="1:16" ht="38.25">
      <c r="A113" s="1518" t="s">
        <v>1239</v>
      </c>
      <c r="B113" s="1518" t="s">
        <v>639</v>
      </c>
      <c r="C113" s="1518" t="s">
        <v>1914</v>
      </c>
      <c r="E113" s="1518" t="s">
        <v>2061</v>
      </c>
      <c r="F113" s="1518" t="s">
        <v>2812</v>
      </c>
      <c r="G113" s="1518" t="s">
        <v>161</v>
      </c>
      <c r="H113" s="1519">
        <v>43080</v>
      </c>
      <c r="I113" s="1520">
        <v>133554.21</v>
      </c>
      <c r="J113" s="1520">
        <v>123528</v>
      </c>
      <c r="K113" s="1519">
        <v>43193</v>
      </c>
      <c r="L113" s="1518"/>
      <c r="M113" s="1519">
        <v>43080</v>
      </c>
      <c r="N113" s="1519">
        <v>43195</v>
      </c>
      <c r="O113" s="1518" t="s">
        <v>3370</v>
      </c>
      <c r="P113" s="1518" t="s">
        <v>3323</v>
      </c>
    </row>
    <row r="114" spans="1:16" ht="25.5">
      <c r="A114" s="1518" t="s">
        <v>1240</v>
      </c>
      <c r="B114" s="1518" t="s">
        <v>138</v>
      </c>
      <c r="C114" s="1518" t="s">
        <v>1914</v>
      </c>
      <c r="E114" s="1518" t="s">
        <v>2061</v>
      </c>
      <c r="F114" s="1518" t="s">
        <v>2820</v>
      </c>
      <c r="G114" s="1518" t="s">
        <v>282</v>
      </c>
      <c r="H114" s="1519">
        <v>43080</v>
      </c>
      <c r="I114" s="1520">
        <v>370000</v>
      </c>
      <c r="J114" s="1520">
        <v>312658</v>
      </c>
      <c r="K114" s="1519">
        <v>43179</v>
      </c>
      <c r="L114" s="1518"/>
      <c r="M114" s="1519">
        <v>43080</v>
      </c>
      <c r="N114" s="1519">
        <v>43185</v>
      </c>
      <c r="O114" s="1518" t="s">
        <v>3371</v>
      </c>
      <c r="P114" s="1518" t="s">
        <v>3323</v>
      </c>
    </row>
    <row r="115" spans="1:16" ht="63.75">
      <c r="A115" s="1518" t="s">
        <v>1241</v>
      </c>
      <c r="B115" s="1518" t="s">
        <v>3240</v>
      </c>
      <c r="C115" s="1518" t="s">
        <v>1914</v>
      </c>
      <c r="E115" s="1518" t="s">
        <v>2061</v>
      </c>
      <c r="F115" s="1518" t="s">
        <v>2828</v>
      </c>
      <c r="G115" s="1518" t="s">
        <v>184</v>
      </c>
      <c r="H115" s="1519">
        <v>43080</v>
      </c>
      <c r="I115" s="1520">
        <v>597456.88</v>
      </c>
      <c r="J115" s="1520">
        <v>537595</v>
      </c>
      <c r="K115" s="1519">
        <v>43186</v>
      </c>
      <c r="L115" s="1518"/>
      <c r="M115" s="1519">
        <v>43080</v>
      </c>
      <c r="N115" s="1519">
        <v>43193</v>
      </c>
      <c r="O115" s="1518" t="s">
        <v>3372</v>
      </c>
      <c r="P115" s="1518" t="s">
        <v>3332</v>
      </c>
    </row>
    <row r="116" spans="1:16" ht="51">
      <c r="A116" s="1518" t="s">
        <v>1242</v>
      </c>
      <c r="B116" s="1518" t="s">
        <v>2445</v>
      </c>
      <c r="C116" s="1518" t="s">
        <v>3357</v>
      </c>
      <c r="E116" s="1518" t="s">
        <v>3373</v>
      </c>
      <c r="F116" s="1518" t="s">
        <v>2929</v>
      </c>
      <c r="G116" s="1518" t="s">
        <v>235</v>
      </c>
      <c r="H116" s="1519">
        <v>43080</v>
      </c>
      <c r="I116" s="1520">
        <v>221629.58</v>
      </c>
      <c r="J116" s="1520">
        <v>96933</v>
      </c>
      <c r="K116" s="1518"/>
      <c r="L116" s="1518"/>
      <c r="M116" s="1519">
        <v>43080</v>
      </c>
      <c r="N116" s="1518"/>
      <c r="O116" s="1518" t="s">
        <v>3374</v>
      </c>
      <c r="P116" s="1518"/>
    </row>
    <row r="117" spans="1:16" ht="51">
      <c r="A117" s="1518" t="s">
        <v>2444</v>
      </c>
      <c r="B117" s="1518" t="s">
        <v>2445</v>
      </c>
      <c r="C117" s="1518" t="s">
        <v>1914</v>
      </c>
      <c r="E117" s="1518" t="s">
        <v>2061</v>
      </c>
      <c r="F117" s="1518" t="s">
        <v>2929</v>
      </c>
      <c r="G117" s="1518" t="s">
        <v>235</v>
      </c>
      <c r="H117" s="1519">
        <v>43175</v>
      </c>
      <c r="I117" s="1520">
        <v>176024.68</v>
      </c>
      <c r="J117" s="1520">
        <v>96933</v>
      </c>
      <c r="K117" s="1519">
        <v>43265</v>
      </c>
      <c r="L117" s="1518"/>
      <c r="M117" s="1519">
        <v>43175</v>
      </c>
      <c r="N117" s="1519">
        <v>43269</v>
      </c>
      <c r="O117" s="1518" t="s">
        <v>3388</v>
      </c>
      <c r="P117" s="1518" t="s">
        <v>3317</v>
      </c>
    </row>
    <row r="118" spans="1:16" ht="38.25">
      <c r="A118" s="1518" t="s">
        <v>2449</v>
      </c>
      <c r="B118" s="1518" t="s">
        <v>279</v>
      </c>
      <c r="C118" s="1518" t="s">
        <v>1914</v>
      </c>
      <c r="E118" s="1518" t="s">
        <v>2061</v>
      </c>
      <c r="F118" s="1518" t="s">
        <v>2812</v>
      </c>
      <c r="G118" s="1518" t="s">
        <v>161</v>
      </c>
      <c r="H118" s="1519">
        <v>42991</v>
      </c>
      <c r="I118" s="1520">
        <v>195779</v>
      </c>
      <c r="J118" s="1520">
        <v>181095</v>
      </c>
      <c r="K118" s="1519">
        <v>43150</v>
      </c>
      <c r="L118" s="1518"/>
      <c r="M118" s="1519">
        <v>42991</v>
      </c>
      <c r="N118" s="1519">
        <v>43154</v>
      </c>
      <c r="O118" s="1518" t="s">
        <v>3348</v>
      </c>
      <c r="P118" s="1518" t="s">
        <v>3315</v>
      </c>
    </row>
    <row r="119" spans="1:16" ht="38.25">
      <c r="A119" s="1518" t="s">
        <v>2454</v>
      </c>
      <c r="B119" s="1518" t="s">
        <v>634</v>
      </c>
      <c r="C119" s="1518" t="s">
        <v>1914</v>
      </c>
      <c r="E119" s="1518" t="s">
        <v>2061</v>
      </c>
      <c r="F119" s="1518" t="s">
        <v>2799</v>
      </c>
      <c r="G119" s="1518" t="s">
        <v>345</v>
      </c>
      <c r="H119" s="1519">
        <v>42991</v>
      </c>
      <c r="I119" s="1520">
        <v>657021</v>
      </c>
      <c r="J119" s="1520">
        <v>607744</v>
      </c>
      <c r="K119" s="1519">
        <v>43139</v>
      </c>
      <c r="L119" s="1518"/>
      <c r="M119" s="1519">
        <v>42991</v>
      </c>
      <c r="N119" s="1519">
        <v>43145</v>
      </c>
      <c r="O119" s="1518" t="s">
        <v>3348</v>
      </c>
      <c r="P119" s="1518" t="s">
        <v>3331</v>
      </c>
    </row>
    <row r="120" spans="1:16" ht="63.75">
      <c r="A120" s="1518" t="s">
        <v>3254</v>
      </c>
      <c r="B120" s="1518" t="s">
        <v>643</v>
      </c>
      <c r="C120" s="1518" t="s">
        <v>1914</v>
      </c>
      <c r="E120" s="1518" t="s">
        <v>2061</v>
      </c>
      <c r="F120" s="1518" t="s">
        <v>2820</v>
      </c>
      <c r="G120" s="1518" t="s">
        <v>282</v>
      </c>
      <c r="H120" s="1519">
        <v>42993</v>
      </c>
      <c r="I120" s="1520">
        <v>220453</v>
      </c>
      <c r="J120" s="1520">
        <v>203919</v>
      </c>
      <c r="K120" s="1519">
        <v>43117</v>
      </c>
      <c r="L120" s="1518"/>
      <c r="M120" s="1519">
        <v>42993</v>
      </c>
      <c r="N120" s="1519">
        <v>43123</v>
      </c>
      <c r="O120" s="1518" t="s">
        <v>3348</v>
      </c>
      <c r="P120" s="1518" t="s">
        <v>3311</v>
      </c>
    </row>
    <row r="121" spans="1:16" ht="38.25">
      <c r="A121" s="1518" t="s">
        <v>804</v>
      </c>
      <c r="B121" s="1518" t="s">
        <v>231</v>
      </c>
      <c r="C121" s="1518" t="s">
        <v>1914</v>
      </c>
      <c r="E121" s="1518" t="s">
        <v>2061</v>
      </c>
      <c r="F121" s="1518" t="s">
        <v>2929</v>
      </c>
      <c r="G121" s="1518" t="s">
        <v>235</v>
      </c>
      <c r="H121" s="1519">
        <v>42993</v>
      </c>
      <c r="I121" s="1520">
        <v>163877</v>
      </c>
      <c r="J121" s="1520">
        <v>151586</v>
      </c>
      <c r="K121" s="1519">
        <v>43098</v>
      </c>
      <c r="L121" s="1518"/>
      <c r="M121" s="1519">
        <v>42993</v>
      </c>
      <c r="N121" s="1519">
        <v>43110</v>
      </c>
      <c r="O121" s="1518" t="s">
        <v>3348</v>
      </c>
      <c r="P121" s="1518" t="s">
        <v>3331</v>
      </c>
    </row>
    <row r="122" spans="1:16" ht="51">
      <c r="A122" s="1518" t="s">
        <v>807</v>
      </c>
      <c r="B122" s="1518" t="s">
        <v>186</v>
      </c>
      <c r="C122" s="1518" t="s">
        <v>1914</v>
      </c>
      <c r="E122" s="1518" t="s">
        <v>2061</v>
      </c>
      <c r="F122" s="1518" t="s">
        <v>2828</v>
      </c>
      <c r="G122" s="1518" t="s">
        <v>184</v>
      </c>
      <c r="H122" s="1519">
        <v>43003</v>
      </c>
      <c r="I122" s="1520">
        <v>106845.41</v>
      </c>
      <c r="J122" s="1520">
        <v>98832</v>
      </c>
      <c r="K122" s="1519">
        <v>43112</v>
      </c>
      <c r="L122" s="1518"/>
      <c r="M122" s="1519">
        <v>43003</v>
      </c>
      <c r="N122" s="1519">
        <v>43125</v>
      </c>
      <c r="O122" s="1518" t="s">
        <v>3350</v>
      </c>
      <c r="P122" s="1518" t="s">
        <v>3315</v>
      </c>
    </row>
    <row r="123" spans="1:16" ht="38.25">
      <c r="A123" s="1518" t="s">
        <v>790</v>
      </c>
      <c r="B123" s="1518" t="s">
        <v>280</v>
      </c>
      <c r="C123" s="1518" t="s">
        <v>1914</v>
      </c>
      <c r="E123" s="1518" t="s">
        <v>2061</v>
      </c>
      <c r="F123" s="1518" t="s">
        <v>3265</v>
      </c>
      <c r="G123" s="1518" t="s">
        <v>3264</v>
      </c>
      <c r="H123" s="1519">
        <v>42915</v>
      </c>
      <c r="I123" s="1520">
        <v>135814</v>
      </c>
      <c r="J123" s="1520">
        <v>115441</v>
      </c>
      <c r="K123" s="1519">
        <v>43045</v>
      </c>
      <c r="L123" s="1518"/>
      <c r="M123" s="1519">
        <v>42915</v>
      </c>
      <c r="N123" s="1519">
        <v>43048</v>
      </c>
      <c r="O123" s="1518" t="s">
        <v>3344</v>
      </c>
      <c r="P123" s="1518" t="s">
        <v>3331</v>
      </c>
    </row>
    <row r="124" spans="1:16" ht="25.5">
      <c r="A124" s="1518" t="s">
        <v>805</v>
      </c>
      <c r="B124" s="1518" t="s">
        <v>233</v>
      </c>
      <c r="C124" s="1518" t="s">
        <v>1914</v>
      </c>
      <c r="E124" s="1518" t="s">
        <v>2061</v>
      </c>
      <c r="F124" s="1518" t="s">
        <v>2929</v>
      </c>
      <c r="G124" s="1518" t="s">
        <v>235</v>
      </c>
      <c r="H124" s="1519">
        <v>42993</v>
      </c>
      <c r="I124" s="1520">
        <v>146702.29999999999</v>
      </c>
      <c r="J124" s="1520">
        <v>124266</v>
      </c>
      <c r="K124" s="1519">
        <v>43097</v>
      </c>
      <c r="L124" s="1518"/>
      <c r="M124" s="1519">
        <v>42993</v>
      </c>
      <c r="N124" s="1519">
        <v>43102</v>
      </c>
      <c r="O124" s="1518" t="s">
        <v>3349</v>
      </c>
      <c r="P124" s="1518" t="s">
        <v>3331</v>
      </c>
    </row>
    <row r="125" spans="1:16" ht="38.25">
      <c r="A125" s="1518" t="s">
        <v>808</v>
      </c>
      <c r="B125" s="1518" t="s">
        <v>2484</v>
      </c>
      <c r="C125" s="1518" t="s">
        <v>1914</v>
      </c>
      <c r="E125" s="1518" t="s">
        <v>2061</v>
      </c>
      <c r="F125" s="1518" t="s">
        <v>2820</v>
      </c>
      <c r="G125" s="1518" t="s">
        <v>282</v>
      </c>
      <c r="H125" s="1519">
        <v>43004</v>
      </c>
      <c r="I125" s="1520">
        <v>437551</v>
      </c>
      <c r="J125" s="1520">
        <v>371918</v>
      </c>
      <c r="K125" s="1519">
        <v>43097</v>
      </c>
      <c r="L125" s="1518"/>
      <c r="M125" s="1519">
        <v>43004</v>
      </c>
      <c r="N125" s="1519">
        <v>43105</v>
      </c>
      <c r="O125" s="1518" t="s">
        <v>3351</v>
      </c>
      <c r="P125" s="1518" t="s">
        <v>3337</v>
      </c>
    </row>
    <row r="126" spans="1:16" ht="38.25">
      <c r="A126" s="1518" t="s">
        <v>809</v>
      </c>
      <c r="B126" s="1518" t="s">
        <v>2489</v>
      </c>
      <c r="C126" s="1518" t="s">
        <v>1914</v>
      </c>
      <c r="E126" s="1518" t="s">
        <v>2061</v>
      </c>
      <c r="F126" s="1518" t="s">
        <v>2799</v>
      </c>
      <c r="G126" s="1518" t="s">
        <v>345</v>
      </c>
      <c r="H126" s="1519">
        <v>43006</v>
      </c>
      <c r="I126" s="1520">
        <v>397378</v>
      </c>
      <c r="J126" s="1520">
        <v>337771</v>
      </c>
      <c r="K126" s="1519">
        <v>43119</v>
      </c>
      <c r="L126" s="1518"/>
      <c r="M126" s="1519">
        <v>43006</v>
      </c>
      <c r="N126" s="1519">
        <v>43139</v>
      </c>
      <c r="O126" s="1518" t="s">
        <v>3352</v>
      </c>
      <c r="P126" s="1518" t="s">
        <v>3331</v>
      </c>
    </row>
    <row r="127" spans="1:16" ht="38.25">
      <c r="A127" s="1518" t="s">
        <v>810</v>
      </c>
      <c r="B127" s="1518" t="s">
        <v>635</v>
      </c>
      <c r="C127" s="1518" t="s">
        <v>1914</v>
      </c>
      <c r="E127" s="1518" t="s">
        <v>2061</v>
      </c>
      <c r="F127" s="1518" t="s">
        <v>2828</v>
      </c>
      <c r="G127" s="1518" t="s">
        <v>184</v>
      </c>
      <c r="H127" s="1519">
        <v>43081</v>
      </c>
      <c r="I127" s="1520">
        <v>856424.88</v>
      </c>
      <c r="J127" s="1520">
        <v>536611</v>
      </c>
      <c r="K127" s="1519">
        <v>43115</v>
      </c>
      <c r="L127" s="1518"/>
      <c r="M127" s="1519">
        <v>43007</v>
      </c>
      <c r="N127" s="1519">
        <v>43125</v>
      </c>
      <c r="O127" s="1518" t="s">
        <v>3375</v>
      </c>
      <c r="P127" s="1518" t="s">
        <v>3330</v>
      </c>
    </row>
    <row r="128" spans="1:16" ht="25.5">
      <c r="A128" s="1518" t="s">
        <v>3817</v>
      </c>
      <c r="B128" s="1518" t="s">
        <v>3818</v>
      </c>
      <c r="C128" s="1518" t="s">
        <v>1942</v>
      </c>
      <c r="E128" s="1518" t="s">
        <v>3394</v>
      </c>
      <c r="F128" s="1518" t="s">
        <v>3819</v>
      </c>
      <c r="G128" s="1518" t="s">
        <v>3820</v>
      </c>
      <c r="H128" s="1519">
        <v>43432</v>
      </c>
      <c r="I128" s="1520">
        <v>1934.4</v>
      </c>
      <c r="J128" s="1520">
        <v>1934.4</v>
      </c>
      <c r="K128" s="1518"/>
      <c r="L128" s="1518"/>
      <c r="M128" s="1519">
        <v>43432</v>
      </c>
      <c r="N128" s="1518"/>
      <c r="O128" s="1518"/>
      <c r="P128" s="1518"/>
    </row>
    <row r="129" spans="1:16" ht="51">
      <c r="A129" s="1518" t="s">
        <v>4115</v>
      </c>
      <c r="B129" s="1518" t="s">
        <v>4116</v>
      </c>
      <c r="C129" s="1518" t="s">
        <v>1942</v>
      </c>
      <c r="E129" s="1518" t="s">
        <v>3394</v>
      </c>
      <c r="F129" s="1518" t="s">
        <v>4117</v>
      </c>
      <c r="G129" s="1518" t="s">
        <v>4118</v>
      </c>
      <c r="H129" s="1519">
        <v>43444</v>
      </c>
      <c r="I129" s="1520">
        <v>1178</v>
      </c>
      <c r="J129" s="1520">
        <v>1178</v>
      </c>
      <c r="K129" s="1518"/>
      <c r="L129" s="1518"/>
      <c r="M129" s="1519">
        <v>43444</v>
      </c>
      <c r="N129" s="1518"/>
      <c r="O129" s="1518" t="s">
        <v>4119</v>
      </c>
      <c r="P129" s="1518"/>
    </row>
    <row r="130" spans="1:16" ht="25.5">
      <c r="A130" s="1518" t="s">
        <v>4120</v>
      </c>
      <c r="B130" s="1518" t="s">
        <v>4121</v>
      </c>
      <c r="C130" s="1518" t="s">
        <v>1942</v>
      </c>
      <c r="E130" s="1518" t="s">
        <v>3394</v>
      </c>
      <c r="F130" s="1518" t="s">
        <v>4122</v>
      </c>
      <c r="G130" s="1518" t="s">
        <v>4123</v>
      </c>
      <c r="H130" s="1519">
        <v>43445</v>
      </c>
      <c r="I130" s="1520">
        <v>951.08</v>
      </c>
      <c r="J130" s="1520">
        <v>951.08</v>
      </c>
      <c r="K130" s="1518"/>
      <c r="L130" s="1518"/>
      <c r="M130" s="1519">
        <v>43445</v>
      </c>
      <c r="N130" s="1518"/>
      <c r="O130" s="1518" t="s">
        <v>4124</v>
      </c>
      <c r="P130" s="1518"/>
    </row>
    <row r="131" spans="1:16" ht="25.5">
      <c r="A131" s="1518" t="s">
        <v>4125</v>
      </c>
      <c r="B131" s="1518" t="s">
        <v>4126</v>
      </c>
      <c r="C131" s="1518" t="s">
        <v>1942</v>
      </c>
      <c r="E131" s="1518" t="s">
        <v>3394</v>
      </c>
      <c r="F131" s="1518" t="s">
        <v>2771</v>
      </c>
      <c r="G131" s="1518" t="s">
        <v>2770</v>
      </c>
      <c r="H131" s="1519">
        <v>43445</v>
      </c>
      <c r="I131" s="1520">
        <v>951.08</v>
      </c>
      <c r="J131" s="1520">
        <v>951.08</v>
      </c>
      <c r="K131" s="1518"/>
      <c r="L131" s="1518"/>
      <c r="M131" s="1519">
        <v>43445</v>
      </c>
      <c r="N131" s="1518"/>
      <c r="O131" s="1518" t="s">
        <v>4127</v>
      </c>
      <c r="P131" s="1518"/>
    </row>
    <row r="132" spans="1:16" ht="25.5">
      <c r="A132" s="1518" t="s">
        <v>4128</v>
      </c>
      <c r="B132" s="1518" t="s">
        <v>4126</v>
      </c>
      <c r="C132" s="1518" t="s">
        <v>1942</v>
      </c>
      <c r="E132" s="1518" t="s">
        <v>3394</v>
      </c>
      <c r="F132" s="1518" t="s">
        <v>2771</v>
      </c>
      <c r="G132" s="1518" t="s">
        <v>2770</v>
      </c>
      <c r="H132" s="1519">
        <v>43445</v>
      </c>
      <c r="I132" s="1520">
        <v>951.08</v>
      </c>
      <c r="J132" s="1520">
        <v>951.08</v>
      </c>
      <c r="K132" s="1518"/>
      <c r="L132" s="1518"/>
      <c r="M132" s="1519">
        <v>43445</v>
      </c>
      <c r="N132" s="1518"/>
      <c r="O132" s="1518" t="s">
        <v>4127</v>
      </c>
      <c r="P132" s="1518"/>
    </row>
    <row r="133" spans="1:16" ht="38.25">
      <c r="A133" s="1518" t="s">
        <v>4129</v>
      </c>
      <c r="B133" s="1518" t="s">
        <v>4130</v>
      </c>
      <c r="C133" s="1518" t="s">
        <v>1942</v>
      </c>
      <c r="E133" s="1518" t="s">
        <v>3394</v>
      </c>
      <c r="F133" s="1518" t="s">
        <v>4117</v>
      </c>
      <c r="G133" s="1518" t="s">
        <v>4118</v>
      </c>
      <c r="H133" s="1519">
        <v>43445</v>
      </c>
      <c r="I133" s="1520">
        <v>497.24</v>
      </c>
      <c r="J133" s="1520">
        <v>497.24</v>
      </c>
      <c r="K133" s="1518"/>
      <c r="L133" s="1518"/>
      <c r="M133" s="1519">
        <v>43445</v>
      </c>
      <c r="N133" s="1518"/>
      <c r="O133" s="1518" t="s">
        <v>4119</v>
      </c>
      <c r="P133" s="1518"/>
    </row>
    <row r="134" spans="1:16" ht="38.25">
      <c r="A134" s="1518" t="s">
        <v>4131</v>
      </c>
      <c r="B134" s="1518" t="s">
        <v>4130</v>
      </c>
      <c r="C134" s="1518" t="s">
        <v>1942</v>
      </c>
      <c r="E134" s="1518" t="s">
        <v>3394</v>
      </c>
      <c r="F134" s="1518" t="s">
        <v>4132</v>
      </c>
      <c r="G134" s="1518" t="s">
        <v>4133</v>
      </c>
      <c r="H134" s="1519">
        <v>43445</v>
      </c>
      <c r="I134" s="1520">
        <v>951.08</v>
      </c>
      <c r="J134" s="1520">
        <v>951.08</v>
      </c>
      <c r="K134" s="1518"/>
      <c r="L134" s="1518"/>
      <c r="M134" s="1519">
        <v>43445</v>
      </c>
      <c r="N134" s="1518"/>
      <c r="O134" s="1518"/>
      <c r="P134" s="1518"/>
    </row>
    <row r="135" spans="1:16" ht="38.25">
      <c r="A135" s="1518" t="s">
        <v>4134</v>
      </c>
      <c r="B135" s="1518" t="s">
        <v>4135</v>
      </c>
      <c r="C135" s="1518" t="s">
        <v>1942</v>
      </c>
      <c r="E135" s="1518" t="s">
        <v>3394</v>
      </c>
      <c r="F135" s="1518" t="s">
        <v>4136</v>
      </c>
      <c r="G135" s="1518" t="s">
        <v>4137</v>
      </c>
      <c r="H135" s="1519">
        <v>43446</v>
      </c>
      <c r="I135" s="1520">
        <v>1178</v>
      </c>
      <c r="J135" s="1520">
        <v>1178</v>
      </c>
      <c r="K135" s="1518"/>
      <c r="L135" s="1518"/>
      <c r="M135" s="1519">
        <v>43446</v>
      </c>
      <c r="N135" s="1518"/>
      <c r="O135" s="1518" t="s">
        <v>4124</v>
      </c>
      <c r="P135" s="1518"/>
    </row>
    <row r="136" spans="1:16" ht="25.5">
      <c r="A136" s="1518" t="s">
        <v>4138</v>
      </c>
      <c r="B136" s="1518" t="s">
        <v>4139</v>
      </c>
      <c r="C136" s="1518" t="s">
        <v>1942</v>
      </c>
      <c r="E136" s="1518" t="s">
        <v>3394</v>
      </c>
      <c r="F136" s="1518" t="s">
        <v>4122</v>
      </c>
      <c r="G136" s="1518" t="s">
        <v>4123</v>
      </c>
      <c r="H136" s="1519">
        <v>43446</v>
      </c>
      <c r="I136" s="1520">
        <v>951.08</v>
      </c>
      <c r="J136" s="1520">
        <v>951.08</v>
      </c>
      <c r="K136" s="1518"/>
      <c r="L136" s="1518"/>
      <c r="M136" s="1519">
        <v>43446</v>
      </c>
      <c r="N136" s="1518"/>
      <c r="O136" s="1518" t="s">
        <v>4124</v>
      </c>
      <c r="P136" s="1518"/>
    </row>
    <row r="137" spans="1:16" ht="38.25">
      <c r="A137" s="1518" t="s">
        <v>4140</v>
      </c>
      <c r="B137" s="1518" t="s">
        <v>4141</v>
      </c>
      <c r="C137" s="1518" t="s">
        <v>1942</v>
      </c>
      <c r="E137" s="1518" t="s">
        <v>3394</v>
      </c>
      <c r="F137" s="1518" t="s">
        <v>4122</v>
      </c>
      <c r="G137" s="1518" t="s">
        <v>4123</v>
      </c>
      <c r="H137" s="1519">
        <v>43446</v>
      </c>
      <c r="I137" s="1520">
        <v>1061.44</v>
      </c>
      <c r="J137" s="1520">
        <v>1061.44</v>
      </c>
      <c r="K137" s="1518"/>
      <c r="L137" s="1518"/>
      <c r="M137" s="1519">
        <v>43446</v>
      </c>
      <c r="N137" s="1518"/>
      <c r="O137" s="1518" t="s">
        <v>4124</v>
      </c>
      <c r="P137" s="1518"/>
    </row>
    <row r="138" spans="1:16" ht="51">
      <c r="A138" s="1518" t="s">
        <v>4142</v>
      </c>
      <c r="B138" s="1518" t="s">
        <v>4143</v>
      </c>
      <c r="C138" s="1518" t="s">
        <v>1942</v>
      </c>
      <c r="E138" s="1518" t="s">
        <v>3394</v>
      </c>
      <c r="F138" s="1518" t="s">
        <v>4122</v>
      </c>
      <c r="G138" s="1518" t="s">
        <v>4123</v>
      </c>
      <c r="H138" s="1519">
        <v>43446</v>
      </c>
      <c r="I138" s="1520">
        <v>951.08</v>
      </c>
      <c r="J138" s="1520">
        <v>951.08</v>
      </c>
      <c r="K138" s="1518"/>
      <c r="L138" s="1518"/>
      <c r="M138" s="1519">
        <v>43446</v>
      </c>
      <c r="N138" s="1518"/>
      <c r="O138" s="1518" t="s">
        <v>4124</v>
      </c>
      <c r="P138" s="1518"/>
    </row>
    <row r="139" spans="1:16" ht="51">
      <c r="A139" s="1518" t="s">
        <v>4144</v>
      </c>
      <c r="B139" s="1518" t="s">
        <v>4145</v>
      </c>
      <c r="C139" s="1518" t="s">
        <v>1942</v>
      </c>
      <c r="E139" s="1518" t="s">
        <v>3394</v>
      </c>
      <c r="F139" s="1518" t="s">
        <v>4117</v>
      </c>
      <c r="G139" s="1518" t="s">
        <v>4118</v>
      </c>
      <c r="H139" s="1519">
        <v>43446</v>
      </c>
      <c r="I139" s="1520">
        <v>1178</v>
      </c>
      <c r="J139" s="1520">
        <v>1178</v>
      </c>
      <c r="K139" s="1518"/>
      <c r="L139" s="1518"/>
      <c r="M139" s="1519">
        <v>43446</v>
      </c>
      <c r="N139" s="1518"/>
      <c r="O139" s="1518" t="s">
        <v>4119</v>
      </c>
      <c r="P139" s="1518"/>
    </row>
    <row r="140" spans="1:16" ht="51">
      <c r="A140" s="1518" t="s">
        <v>4146</v>
      </c>
      <c r="B140" s="1518" t="s">
        <v>4145</v>
      </c>
      <c r="C140" s="1518" t="s">
        <v>1942</v>
      </c>
      <c r="E140" s="1518" t="s">
        <v>3394</v>
      </c>
      <c r="F140" s="1518" t="s">
        <v>4117</v>
      </c>
      <c r="G140" s="1518" t="s">
        <v>4118</v>
      </c>
      <c r="H140" s="1519">
        <v>43446</v>
      </c>
      <c r="I140" s="1520">
        <v>2434.12</v>
      </c>
      <c r="J140" s="1520">
        <v>2434.12</v>
      </c>
      <c r="K140" s="1518"/>
      <c r="L140" s="1518"/>
      <c r="M140" s="1519">
        <v>43446</v>
      </c>
      <c r="N140" s="1518"/>
      <c r="O140" s="1518" t="s">
        <v>4119</v>
      </c>
      <c r="P140" s="1518"/>
    </row>
    <row r="141" spans="1:16" ht="25.5">
      <c r="A141" s="1518" t="s">
        <v>4147</v>
      </c>
      <c r="B141" s="1518" t="s">
        <v>4148</v>
      </c>
      <c r="C141" s="1518" t="s">
        <v>1942</v>
      </c>
      <c r="E141" s="1518" t="s">
        <v>3394</v>
      </c>
      <c r="F141" s="1518" t="s">
        <v>4117</v>
      </c>
      <c r="G141" s="1518" t="s">
        <v>4118</v>
      </c>
      <c r="H141" s="1519">
        <v>43446</v>
      </c>
      <c r="I141" s="1520">
        <v>951.08</v>
      </c>
      <c r="J141" s="1520">
        <v>951.08</v>
      </c>
      <c r="K141" s="1518"/>
      <c r="L141" s="1518"/>
      <c r="M141" s="1519">
        <v>43446</v>
      </c>
      <c r="N141" s="1518"/>
      <c r="O141" s="1518" t="s">
        <v>4119</v>
      </c>
      <c r="P141" s="1518"/>
    </row>
    <row r="142" spans="1:16" ht="51">
      <c r="A142" s="1518" t="s">
        <v>4149</v>
      </c>
      <c r="B142" s="1518" t="s">
        <v>4150</v>
      </c>
      <c r="C142" s="1518" t="s">
        <v>1942</v>
      </c>
      <c r="E142" s="1518" t="s">
        <v>3394</v>
      </c>
      <c r="F142" s="1518" t="s">
        <v>2771</v>
      </c>
      <c r="G142" s="1518" t="s">
        <v>2770</v>
      </c>
      <c r="H142" s="1519">
        <v>43446</v>
      </c>
      <c r="I142" s="1520">
        <v>1288.3599999999999</v>
      </c>
      <c r="J142" s="1520">
        <v>1288.3599999999999</v>
      </c>
      <c r="K142" s="1518"/>
      <c r="L142" s="1518"/>
      <c r="M142" s="1519">
        <v>43446</v>
      </c>
      <c r="N142" s="1518"/>
      <c r="O142" s="1518" t="s">
        <v>4127</v>
      </c>
      <c r="P142" s="1518"/>
    </row>
    <row r="143" spans="1:16" ht="51">
      <c r="A143" s="1518" t="s">
        <v>4151</v>
      </c>
      <c r="B143" s="1518" t="s">
        <v>4152</v>
      </c>
      <c r="C143" s="1518" t="s">
        <v>1942</v>
      </c>
      <c r="E143" s="1518" t="s">
        <v>3394</v>
      </c>
      <c r="F143" s="1518" t="s">
        <v>4122</v>
      </c>
      <c r="G143" s="1518" t="s">
        <v>4123</v>
      </c>
      <c r="H143" s="1519">
        <v>43446</v>
      </c>
      <c r="I143" s="1520">
        <v>951.08</v>
      </c>
      <c r="J143" s="1520">
        <v>951.08</v>
      </c>
      <c r="K143" s="1518"/>
      <c r="L143" s="1518"/>
      <c r="M143" s="1519">
        <v>43446</v>
      </c>
      <c r="N143" s="1518"/>
      <c r="O143" s="1518" t="s">
        <v>4124</v>
      </c>
      <c r="P143" s="1518"/>
    </row>
    <row r="144" spans="1:16" ht="51">
      <c r="A144" s="1518" t="s">
        <v>4153</v>
      </c>
      <c r="B144" s="1518" t="s">
        <v>4154</v>
      </c>
      <c r="C144" s="1518" t="s">
        <v>1942</v>
      </c>
      <c r="E144" s="1518" t="s">
        <v>3394</v>
      </c>
      <c r="F144" s="1518" t="s">
        <v>2771</v>
      </c>
      <c r="G144" s="1518" t="s">
        <v>2770</v>
      </c>
      <c r="H144" s="1519">
        <v>43446</v>
      </c>
      <c r="I144" s="1520">
        <v>1178</v>
      </c>
      <c r="J144" s="1520">
        <v>1178</v>
      </c>
      <c r="K144" s="1518"/>
      <c r="L144" s="1518"/>
      <c r="M144" s="1519">
        <v>43446</v>
      </c>
      <c r="N144" s="1518"/>
      <c r="O144" s="1518" t="s">
        <v>4127</v>
      </c>
      <c r="P144" s="1518"/>
    </row>
    <row r="145" spans="1:16" ht="51">
      <c r="A145" s="1518" t="s">
        <v>4155</v>
      </c>
      <c r="B145" s="1518" t="s">
        <v>4156</v>
      </c>
      <c r="C145" s="1518" t="s">
        <v>1942</v>
      </c>
      <c r="E145" s="1518" t="s">
        <v>3394</v>
      </c>
      <c r="F145" s="1518" t="s">
        <v>4157</v>
      </c>
      <c r="G145" s="1518" t="s">
        <v>4158</v>
      </c>
      <c r="H145" s="1519">
        <v>43446</v>
      </c>
      <c r="I145" s="1520">
        <v>1178</v>
      </c>
      <c r="J145" s="1520">
        <v>1178</v>
      </c>
      <c r="K145" s="1518"/>
      <c r="L145" s="1518"/>
      <c r="M145" s="1519">
        <v>43446</v>
      </c>
      <c r="N145" s="1518"/>
      <c r="O145" s="1518" t="s">
        <v>4124</v>
      </c>
      <c r="P145" s="1518"/>
    </row>
    <row r="146" spans="1:16" ht="51">
      <c r="A146" s="1518" t="s">
        <v>4159</v>
      </c>
      <c r="B146" s="1518" t="s">
        <v>4160</v>
      </c>
      <c r="C146" s="1518" t="s">
        <v>1942</v>
      </c>
      <c r="E146" s="1518" t="s">
        <v>3394</v>
      </c>
      <c r="F146" s="1518" t="s">
        <v>4161</v>
      </c>
      <c r="G146" s="1518" t="s">
        <v>4162</v>
      </c>
      <c r="H146" s="1519">
        <v>43446</v>
      </c>
      <c r="I146" s="1520">
        <v>1178</v>
      </c>
      <c r="J146" s="1520">
        <v>1178</v>
      </c>
      <c r="K146" s="1518"/>
      <c r="L146" s="1518"/>
      <c r="M146" s="1519">
        <v>43446</v>
      </c>
      <c r="N146" s="1518"/>
      <c r="O146" s="1518" t="s">
        <v>4163</v>
      </c>
      <c r="P146" s="1518"/>
    </row>
    <row r="147" spans="1:16" ht="38.25">
      <c r="A147" s="1518" t="s">
        <v>4164</v>
      </c>
      <c r="B147" s="1518" t="s">
        <v>4130</v>
      </c>
      <c r="C147" s="1518" t="s">
        <v>1942</v>
      </c>
      <c r="E147" s="1518" t="s">
        <v>3394</v>
      </c>
      <c r="F147" s="1518" t="s">
        <v>4117</v>
      </c>
      <c r="G147" s="1518" t="s">
        <v>4118</v>
      </c>
      <c r="H147" s="1519">
        <v>43446</v>
      </c>
      <c r="I147" s="1520">
        <v>950</v>
      </c>
      <c r="J147" s="1520">
        <v>950</v>
      </c>
      <c r="K147" s="1518"/>
      <c r="L147" s="1518"/>
      <c r="M147" s="1519">
        <v>43446</v>
      </c>
      <c r="N147" s="1518"/>
      <c r="O147" s="1518" t="s">
        <v>4119</v>
      </c>
      <c r="P147" s="1518"/>
    </row>
    <row r="148" spans="1:16" ht="51">
      <c r="A148" s="1518" t="s">
        <v>4165</v>
      </c>
      <c r="B148" s="1518" t="s">
        <v>4166</v>
      </c>
      <c r="C148" s="1518" t="s">
        <v>1942</v>
      </c>
      <c r="E148" s="1518" t="s">
        <v>3394</v>
      </c>
      <c r="F148" s="1518" t="s">
        <v>4117</v>
      </c>
      <c r="G148" s="1518" t="s">
        <v>4118</v>
      </c>
      <c r="H148" s="1519">
        <v>43446</v>
      </c>
      <c r="I148" s="1520">
        <v>951.08</v>
      </c>
      <c r="J148" s="1520">
        <v>951.08</v>
      </c>
      <c r="K148" s="1518"/>
      <c r="L148" s="1518"/>
      <c r="M148" s="1519">
        <v>43446</v>
      </c>
      <c r="N148" s="1518"/>
      <c r="O148" s="1518" t="s">
        <v>4119</v>
      </c>
      <c r="P148" s="1518"/>
    </row>
    <row r="149" spans="1:16" ht="38.25">
      <c r="A149" s="1518" t="s">
        <v>1209</v>
      </c>
      <c r="B149" s="1518" t="s">
        <v>272</v>
      </c>
      <c r="C149" s="1518" t="s">
        <v>1914</v>
      </c>
      <c r="E149" s="1518" t="s">
        <v>2061</v>
      </c>
      <c r="F149" s="1518" t="s">
        <v>2820</v>
      </c>
      <c r="G149" s="1518" t="s">
        <v>282</v>
      </c>
      <c r="H149" s="1519">
        <v>43039</v>
      </c>
      <c r="I149" s="1520">
        <v>172733.52</v>
      </c>
      <c r="J149" s="1520">
        <v>146823.49</v>
      </c>
      <c r="K149" s="1519">
        <v>43137</v>
      </c>
      <c r="L149" s="1518"/>
      <c r="M149" s="1519">
        <v>43039</v>
      </c>
      <c r="N149" s="1519">
        <v>43143</v>
      </c>
      <c r="O149" s="1518" t="s">
        <v>3361</v>
      </c>
      <c r="P149" s="1518" t="s">
        <v>3362</v>
      </c>
    </row>
    <row r="150" spans="1:16" ht="38.25">
      <c r="A150" s="1518" t="s">
        <v>3363</v>
      </c>
      <c r="B150" s="1518" t="s">
        <v>3364</v>
      </c>
      <c r="C150" s="1518" t="s">
        <v>3357</v>
      </c>
      <c r="E150" s="1518" t="s">
        <v>3358</v>
      </c>
      <c r="F150" s="1518" t="s">
        <v>3365</v>
      </c>
      <c r="G150" s="1518" t="s">
        <v>3366</v>
      </c>
      <c r="H150" s="1519">
        <v>43046</v>
      </c>
      <c r="I150" s="1520">
        <v>157956.47</v>
      </c>
      <c r="J150" s="1520">
        <v>134263</v>
      </c>
      <c r="K150" s="1518"/>
      <c r="L150" s="1518"/>
      <c r="M150" s="1519">
        <v>43046</v>
      </c>
      <c r="N150" s="1518"/>
      <c r="O150" s="1518"/>
      <c r="P150" s="1518"/>
    </row>
    <row r="151" spans="1:16" ht="51">
      <c r="A151" s="1518" t="s">
        <v>1210</v>
      </c>
      <c r="B151" s="1518" t="s">
        <v>392</v>
      </c>
      <c r="C151" s="1518" t="s">
        <v>1914</v>
      </c>
      <c r="E151" s="1518" t="s">
        <v>2061</v>
      </c>
      <c r="F151" s="1518" t="s">
        <v>2812</v>
      </c>
      <c r="G151" s="1518" t="s">
        <v>161</v>
      </c>
      <c r="H151" s="1519">
        <v>43061</v>
      </c>
      <c r="I151" s="1520">
        <v>163986.88</v>
      </c>
      <c r="J151" s="1520">
        <v>139388</v>
      </c>
      <c r="K151" s="1519">
        <v>43144</v>
      </c>
      <c r="L151" s="1518"/>
      <c r="M151" s="1519">
        <v>43062</v>
      </c>
      <c r="N151" s="1519">
        <v>43152</v>
      </c>
      <c r="O151" s="1518" t="s">
        <v>3369</v>
      </c>
      <c r="P151" s="1518" t="s">
        <v>3362</v>
      </c>
    </row>
    <row r="152" spans="1:16" ht="38.25">
      <c r="A152" s="1518" t="s">
        <v>3378</v>
      </c>
      <c r="B152" s="1518" t="s">
        <v>3379</v>
      </c>
      <c r="C152" s="1518" t="s">
        <v>3357</v>
      </c>
      <c r="E152" s="1518" t="s">
        <v>3358</v>
      </c>
      <c r="F152" s="1518" t="s">
        <v>3380</v>
      </c>
      <c r="G152" s="1518" t="s">
        <v>3381</v>
      </c>
      <c r="H152" s="1519">
        <v>43119</v>
      </c>
      <c r="I152" s="1520">
        <v>342733.49</v>
      </c>
      <c r="J152" s="1520">
        <v>291323.46000000002</v>
      </c>
      <c r="K152" s="1518"/>
      <c r="L152" s="1518"/>
      <c r="M152" s="1519">
        <v>43119</v>
      </c>
      <c r="N152" s="1518"/>
      <c r="O152" s="1518"/>
      <c r="P152" s="1518"/>
    </row>
    <row r="153" spans="1:16" ht="38.25">
      <c r="A153" s="1518" t="s">
        <v>1610</v>
      </c>
      <c r="B153" s="1518" t="s">
        <v>391</v>
      </c>
      <c r="C153" s="1518" t="s">
        <v>1914</v>
      </c>
      <c r="E153" s="1518" t="s">
        <v>2061</v>
      </c>
      <c r="F153" s="1518" t="s">
        <v>2828</v>
      </c>
      <c r="G153" s="1518" t="s">
        <v>184</v>
      </c>
      <c r="H153" s="1519">
        <v>43131</v>
      </c>
      <c r="I153" s="1520">
        <v>192832.21</v>
      </c>
      <c r="J153" s="1520">
        <v>163907.37</v>
      </c>
      <c r="K153" s="1519">
        <v>43220</v>
      </c>
      <c r="L153" s="1518"/>
      <c r="M153" s="1519">
        <v>43131</v>
      </c>
      <c r="N153" s="1519">
        <v>43230</v>
      </c>
      <c r="O153" s="1518" t="s">
        <v>3385</v>
      </c>
      <c r="P153" s="1518" t="s">
        <v>3386</v>
      </c>
    </row>
    <row r="154" spans="1:16" ht="38.25">
      <c r="A154" s="1518" t="s">
        <v>1611</v>
      </c>
      <c r="B154" s="1518" t="s">
        <v>239</v>
      </c>
      <c r="C154" s="1518" t="s">
        <v>1914</v>
      </c>
      <c r="E154" s="1518" t="s">
        <v>2061</v>
      </c>
      <c r="F154" s="1518" t="s">
        <v>2929</v>
      </c>
      <c r="G154" s="1518" t="s">
        <v>235</v>
      </c>
      <c r="H154" s="1519">
        <v>43146</v>
      </c>
      <c r="I154" s="1520">
        <v>161741.96</v>
      </c>
      <c r="J154" s="1520">
        <v>137349.79999999999</v>
      </c>
      <c r="K154" s="1519">
        <v>43238</v>
      </c>
      <c r="L154" s="1518"/>
      <c r="M154" s="1519">
        <v>43154</v>
      </c>
      <c r="N154" s="1519">
        <v>43245</v>
      </c>
      <c r="O154" s="1518" t="s">
        <v>3387</v>
      </c>
      <c r="P154" s="1518" t="s">
        <v>3386</v>
      </c>
    </row>
    <row r="155" spans="1:16" ht="63.75">
      <c r="A155" s="1518" t="s">
        <v>1612</v>
      </c>
      <c r="B155" s="1518" t="s">
        <v>1760</v>
      </c>
      <c r="C155" s="1518" t="s">
        <v>1914</v>
      </c>
      <c r="E155" s="1518" t="s">
        <v>2061</v>
      </c>
      <c r="F155" s="1518" t="s">
        <v>2799</v>
      </c>
      <c r="G155" s="1518" t="s">
        <v>345</v>
      </c>
      <c r="H155" s="1519">
        <v>43159</v>
      </c>
      <c r="I155" s="1520">
        <v>215693.16</v>
      </c>
      <c r="J155" s="1520">
        <v>183339.18</v>
      </c>
      <c r="K155" s="1519">
        <v>43237</v>
      </c>
      <c r="L155" s="1518"/>
      <c r="M155" s="1519">
        <v>43159</v>
      </c>
      <c r="N155" s="1519">
        <v>43251</v>
      </c>
      <c r="O155" s="1518" t="s">
        <v>3385</v>
      </c>
      <c r="P155" s="1518" t="s">
        <v>3386</v>
      </c>
    </row>
    <row r="156" spans="1:16" ht="409.6" hidden="1" customHeight="1"/>
    <row r="157" spans="1:16" ht="3" customHeight="1"/>
  </sheetData>
  <mergeCells count="15">
    <mergeCell ref="A10:H10"/>
    <mergeCell ref="A1:P1"/>
    <mergeCell ref="A3:P3"/>
    <mergeCell ref="B5:C5"/>
    <mergeCell ref="A8:E8"/>
    <mergeCell ref="F8:G8"/>
    <mergeCell ref="H8:H9"/>
    <mergeCell ref="I8:I9"/>
    <mergeCell ref="J8:J9"/>
    <mergeCell ref="K8:K9"/>
    <mergeCell ref="L8:L9"/>
    <mergeCell ref="M8:M9"/>
    <mergeCell ref="N8:N9"/>
    <mergeCell ref="O8:O9"/>
    <mergeCell ref="P8:P9"/>
  </mergeCell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P180"/>
  <sheetViews>
    <sheetView workbookViewId="0">
      <selection activeCell="C17" sqref="C17"/>
    </sheetView>
  </sheetViews>
  <sheetFormatPr defaultRowHeight="15"/>
  <cols>
    <col min="1" max="1" width="32.5703125" style="21" customWidth="1"/>
    <col min="2" max="2" width="32" style="21" customWidth="1"/>
    <col min="3" max="3" width="20.28515625" style="21" customWidth="1"/>
    <col min="4" max="4" width="0" style="21" hidden="1" customWidth="1"/>
    <col min="5" max="5" width="19.42578125" style="21" customWidth="1"/>
    <col min="6" max="6" width="13.5703125" style="21" customWidth="1"/>
    <col min="7" max="7" width="36.5703125" style="21" customWidth="1"/>
    <col min="8" max="8" width="15.140625" style="21" customWidth="1"/>
    <col min="9" max="9" width="18" style="21" customWidth="1"/>
    <col min="10" max="10" width="17.28515625" style="21" customWidth="1"/>
    <col min="11" max="11" width="27.140625" style="21" customWidth="1"/>
    <col min="12" max="12" width="21.5703125" style="21" customWidth="1"/>
    <col min="13" max="13" width="19.28515625" style="21" customWidth="1"/>
    <col min="14" max="14" width="19.7109375" style="21" customWidth="1"/>
    <col min="15" max="15" width="24.5703125" style="21" customWidth="1"/>
    <col min="16" max="16" width="23.7109375" style="21" customWidth="1"/>
    <col min="17" max="256" width="9.140625" style="21"/>
    <col min="257" max="257" width="32.5703125" style="21" customWidth="1"/>
    <col min="258" max="258" width="32" style="21" customWidth="1"/>
    <col min="259" max="259" width="20.28515625" style="21" customWidth="1"/>
    <col min="260" max="260" width="0" style="21" hidden="1" customWidth="1"/>
    <col min="261" max="261" width="19.42578125" style="21" customWidth="1"/>
    <col min="262" max="262" width="13.5703125" style="21" customWidth="1"/>
    <col min="263" max="263" width="36.5703125" style="21" customWidth="1"/>
    <col min="264" max="264" width="15.140625" style="21" customWidth="1"/>
    <col min="265" max="265" width="18" style="21" customWidth="1"/>
    <col min="266" max="266" width="17.28515625" style="21" customWidth="1"/>
    <col min="267" max="267" width="27.140625" style="21" customWidth="1"/>
    <col min="268" max="268" width="21.5703125" style="21" customWidth="1"/>
    <col min="269" max="269" width="19.28515625" style="21" customWidth="1"/>
    <col min="270" max="270" width="19.7109375" style="21" customWidth="1"/>
    <col min="271" max="271" width="24.5703125" style="21" customWidth="1"/>
    <col min="272" max="272" width="23.7109375" style="21" customWidth="1"/>
    <col min="273" max="512" width="9.140625" style="21"/>
    <col min="513" max="513" width="32.5703125" style="21" customWidth="1"/>
    <col min="514" max="514" width="32" style="21" customWidth="1"/>
    <col min="515" max="515" width="20.28515625" style="21" customWidth="1"/>
    <col min="516" max="516" width="0" style="21" hidden="1" customWidth="1"/>
    <col min="517" max="517" width="19.42578125" style="21" customWidth="1"/>
    <col min="518" max="518" width="13.5703125" style="21" customWidth="1"/>
    <col min="519" max="519" width="36.5703125" style="21" customWidth="1"/>
    <col min="520" max="520" width="15.140625" style="21" customWidth="1"/>
    <col min="521" max="521" width="18" style="21" customWidth="1"/>
    <col min="522" max="522" width="17.28515625" style="21" customWidth="1"/>
    <col min="523" max="523" width="27.140625" style="21" customWidth="1"/>
    <col min="524" max="524" width="21.5703125" style="21" customWidth="1"/>
    <col min="525" max="525" width="19.28515625" style="21" customWidth="1"/>
    <col min="526" max="526" width="19.7109375" style="21" customWidth="1"/>
    <col min="527" max="527" width="24.5703125" style="21" customWidth="1"/>
    <col min="528" max="528" width="23.7109375" style="21" customWidth="1"/>
    <col min="529" max="768" width="9.140625" style="21"/>
    <col min="769" max="769" width="32.5703125" style="21" customWidth="1"/>
    <col min="770" max="770" width="32" style="21" customWidth="1"/>
    <col min="771" max="771" width="20.28515625" style="21" customWidth="1"/>
    <col min="772" max="772" width="0" style="21" hidden="1" customWidth="1"/>
    <col min="773" max="773" width="19.42578125" style="21" customWidth="1"/>
    <col min="774" max="774" width="13.5703125" style="21" customWidth="1"/>
    <col min="775" max="775" width="36.5703125" style="21" customWidth="1"/>
    <col min="776" max="776" width="15.140625" style="21" customWidth="1"/>
    <col min="777" max="777" width="18" style="21" customWidth="1"/>
    <col min="778" max="778" width="17.28515625" style="21" customWidth="1"/>
    <col min="779" max="779" width="27.140625" style="21" customWidth="1"/>
    <col min="780" max="780" width="21.5703125" style="21" customWidth="1"/>
    <col min="781" max="781" width="19.28515625" style="21" customWidth="1"/>
    <col min="782" max="782" width="19.7109375" style="21" customWidth="1"/>
    <col min="783" max="783" width="24.5703125" style="21" customWidth="1"/>
    <col min="784" max="784" width="23.7109375" style="21" customWidth="1"/>
    <col min="785" max="1024" width="9.140625" style="21"/>
    <col min="1025" max="1025" width="32.5703125" style="21" customWidth="1"/>
    <col min="1026" max="1026" width="32" style="21" customWidth="1"/>
    <col min="1027" max="1027" width="20.28515625" style="21" customWidth="1"/>
    <col min="1028" max="1028" width="0" style="21" hidden="1" customWidth="1"/>
    <col min="1029" max="1029" width="19.42578125" style="21" customWidth="1"/>
    <col min="1030" max="1030" width="13.5703125" style="21" customWidth="1"/>
    <col min="1031" max="1031" width="36.5703125" style="21" customWidth="1"/>
    <col min="1032" max="1032" width="15.140625" style="21" customWidth="1"/>
    <col min="1033" max="1033" width="18" style="21" customWidth="1"/>
    <col min="1034" max="1034" width="17.28515625" style="21" customWidth="1"/>
    <col min="1035" max="1035" width="27.140625" style="21" customWidth="1"/>
    <col min="1036" max="1036" width="21.5703125" style="21" customWidth="1"/>
    <col min="1037" max="1037" width="19.28515625" style="21" customWidth="1"/>
    <col min="1038" max="1038" width="19.7109375" style="21" customWidth="1"/>
    <col min="1039" max="1039" width="24.5703125" style="21" customWidth="1"/>
    <col min="1040" max="1040" width="23.7109375" style="21" customWidth="1"/>
    <col min="1041" max="1280" width="9.140625" style="21"/>
    <col min="1281" max="1281" width="32.5703125" style="21" customWidth="1"/>
    <col min="1282" max="1282" width="32" style="21" customWidth="1"/>
    <col min="1283" max="1283" width="20.28515625" style="21" customWidth="1"/>
    <col min="1284" max="1284" width="0" style="21" hidden="1" customWidth="1"/>
    <col min="1285" max="1285" width="19.42578125" style="21" customWidth="1"/>
    <col min="1286" max="1286" width="13.5703125" style="21" customWidth="1"/>
    <col min="1287" max="1287" width="36.5703125" style="21" customWidth="1"/>
    <col min="1288" max="1288" width="15.140625" style="21" customWidth="1"/>
    <col min="1289" max="1289" width="18" style="21" customWidth="1"/>
    <col min="1290" max="1290" width="17.28515625" style="21" customWidth="1"/>
    <col min="1291" max="1291" width="27.140625" style="21" customWidth="1"/>
    <col min="1292" max="1292" width="21.5703125" style="21" customWidth="1"/>
    <col min="1293" max="1293" width="19.28515625" style="21" customWidth="1"/>
    <col min="1294" max="1294" width="19.7109375" style="21" customWidth="1"/>
    <col min="1295" max="1295" width="24.5703125" style="21" customWidth="1"/>
    <col min="1296" max="1296" width="23.7109375" style="21" customWidth="1"/>
    <col min="1297" max="1536" width="9.140625" style="21"/>
    <col min="1537" max="1537" width="32.5703125" style="21" customWidth="1"/>
    <col min="1538" max="1538" width="32" style="21" customWidth="1"/>
    <col min="1539" max="1539" width="20.28515625" style="21" customWidth="1"/>
    <col min="1540" max="1540" width="0" style="21" hidden="1" customWidth="1"/>
    <col min="1541" max="1541" width="19.42578125" style="21" customWidth="1"/>
    <col min="1542" max="1542" width="13.5703125" style="21" customWidth="1"/>
    <col min="1543" max="1543" width="36.5703125" style="21" customWidth="1"/>
    <col min="1544" max="1544" width="15.140625" style="21" customWidth="1"/>
    <col min="1545" max="1545" width="18" style="21" customWidth="1"/>
    <col min="1546" max="1546" width="17.28515625" style="21" customWidth="1"/>
    <col min="1547" max="1547" width="27.140625" style="21" customWidth="1"/>
    <col min="1548" max="1548" width="21.5703125" style="21" customWidth="1"/>
    <col min="1549" max="1549" width="19.28515625" style="21" customWidth="1"/>
    <col min="1550" max="1550" width="19.7109375" style="21" customWidth="1"/>
    <col min="1551" max="1551" width="24.5703125" style="21" customWidth="1"/>
    <col min="1552" max="1552" width="23.7109375" style="21" customWidth="1"/>
    <col min="1553" max="1792" width="9.140625" style="21"/>
    <col min="1793" max="1793" width="32.5703125" style="21" customWidth="1"/>
    <col min="1794" max="1794" width="32" style="21" customWidth="1"/>
    <col min="1795" max="1795" width="20.28515625" style="21" customWidth="1"/>
    <col min="1796" max="1796" width="0" style="21" hidden="1" customWidth="1"/>
    <col min="1797" max="1797" width="19.42578125" style="21" customWidth="1"/>
    <col min="1798" max="1798" width="13.5703125" style="21" customWidth="1"/>
    <col min="1799" max="1799" width="36.5703125" style="21" customWidth="1"/>
    <col min="1800" max="1800" width="15.140625" style="21" customWidth="1"/>
    <col min="1801" max="1801" width="18" style="21" customWidth="1"/>
    <col min="1802" max="1802" width="17.28515625" style="21" customWidth="1"/>
    <col min="1803" max="1803" width="27.140625" style="21" customWidth="1"/>
    <col min="1804" max="1804" width="21.5703125" style="21" customWidth="1"/>
    <col min="1805" max="1805" width="19.28515625" style="21" customWidth="1"/>
    <col min="1806" max="1806" width="19.7109375" style="21" customWidth="1"/>
    <col min="1807" max="1807" width="24.5703125" style="21" customWidth="1"/>
    <col min="1808" max="1808" width="23.7109375" style="21" customWidth="1"/>
    <col min="1809" max="2048" width="9.140625" style="21"/>
    <col min="2049" max="2049" width="32.5703125" style="21" customWidth="1"/>
    <col min="2050" max="2050" width="32" style="21" customWidth="1"/>
    <col min="2051" max="2051" width="20.28515625" style="21" customWidth="1"/>
    <col min="2052" max="2052" width="0" style="21" hidden="1" customWidth="1"/>
    <col min="2053" max="2053" width="19.42578125" style="21" customWidth="1"/>
    <col min="2054" max="2054" width="13.5703125" style="21" customWidth="1"/>
    <col min="2055" max="2055" width="36.5703125" style="21" customWidth="1"/>
    <col min="2056" max="2056" width="15.140625" style="21" customWidth="1"/>
    <col min="2057" max="2057" width="18" style="21" customWidth="1"/>
    <col min="2058" max="2058" width="17.28515625" style="21" customWidth="1"/>
    <col min="2059" max="2059" width="27.140625" style="21" customWidth="1"/>
    <col min="2060" max="2060" width="21.5703125" style="21" customWidth="1"/>
    <col min="2061" max="2061" width="19.28515625" style="21" customWidth="1"/>
    <col min="2062" max="2062" width="19.7109375" style="21" customWidth="1"/>
    <col min="2063" max="2063" width="24.5703125" style="21" customWidth="1"/>
    <col min="2064" max="2064" width="23.7109375" style="21" customWidth="1"/>
    <col min="2065" max="2304" width="9.140625" style="21"/>
    <col min="2305" max="2305" width="32.5703125" style="21" customWidth="1"/>
    <col min="2306" max="2306" width="32" style="21" customWidth="1"/>
    <col min="2307" max="2307" width="20.28515625" style="21" customWidth="1"/>
    <col min="2308" max="2308" width="0" style="21" hidden="1" customWidth="1"/>
    <col min="2309" max="2309" width="19.42578125" style="21" customWidth="1"/>
    <col min="2310" max="2310" width="13.5703125" style="21" customWidth="1"/>
    <col min="2311" max="2311" width="36.5703125" style="21" customWidth="1"/>
    <col min="2312" max="2312" width="15.140625" style="21" customWidth="1"/>
    <col min="2313" max="2313" width="18" style="21" customWidth="1"/>
    <col min="2314" max="2314" width="17.28515625" style="21" customWidth="1"/>
    <col min="2315" max="2315" width="27.140625" style="21" customWidth="1"/>
    <col min="2316" max="2316" width="21.5703125" style="21" customWidth="1"/>
    <col min="2317" max="2317" width="19.28515625" style="21" customWidth="1"/>
    <col min="2318" max="2318" width="19.7109375" style="21" customWidth="1"/>
    <col min="2319" max="2319" width="24.5703125" style="21" customWidth="1"/>
    <col min="2320" max="2320" width="23.7109375" style="21" customWidth="1"/>
    <col min="2321" max="2560" width="9.140625" style="21"/>
    <col min="2561" max="2561" width="32.5703125" style="21" customWidth="1"/>
    <col min="2562" max="2562" width="32" style="21" customWidth="1"/>
    <col min="2563" max="2563" width="20.28515625" style="21" customWidth="1"/>
    <col min="2564" max="2564" width="0" style="21" hidden="1" customWidth="1"/>
    <col min="2565" max="2565" width="19.42578125" style="21" customWidth="1"/>
    <col min="2566" max="2566" width="13.5703125" style="21" customWidth="1"/>
    <col min="2567" max="2567" width="36.5703125" style="21" customWidth="1"/>
    <col min="2568" max="2568" width="15.140625" style="21" customWidth="1"/>
    <col min="2569" max="2569" width="18" style="21" customWidth="1"/>
    <col min="2570" max="2570" width="17.28515625" style="21" customWidth="1"/>
    <col min="2571" max="2571" width="27.140625" style="21" customWidth="1"/>
    <col min="2572" max="2572" width="21.5703125" style="21" customWidth="1"/>
    <col min="2573" max="2573" width="19.28515625" style="21" customWidth="1"/>
    <col min="2574" max="2574" width="19.7109375" style="21" customWidth="1"/>
    <col min="2575" max="2575" width="24.5703125" style="21" customWidth="1"/>
    <col min="2576" max="2576" width="23.7109375" style="21" customWidth="1"/>
    <col min="2577" max="2816" width="9.140625" style="21"/>
    <col min="2817" max="2817" width="32.5703125" style="21" customWidth="1"/>
    <col min="2818" max="2818" width="32" style="21" customWidth="1"/>
    <col min="2819" max="2819" width="20.28515625" style="21" customWidth="1"/>
    <col min="2820" max="2820" width="0" style="21" hidden="1" customWidth="1"/>
    <col min="2821" max="2821" width="19.42578125" style="21" customWidth="1"/>
    <col min="2822" max="2822" width="13.5703125" style="21" customWidth="1"/>
    <col min="2823" max="2823" width="36.5703125" style="21" customWidth="1"/>
    <col min="2824" max="2824" width="15.140625" style="21" customWidth="1"/>
    <col min="2825" max="2825" width="18" style="21" customWidth="1"/>
    <col min="2826" max="2826" width="17.28515625" style="21" customWidth="1"/>
    <col min="2827" max="2827" width="27.140625" style="21" customWidth="1"/>
    <col min="2828" max="2828" width="21.5703125" style="21" customWidth="1"/>
    <col min="2829" max="2829" width="19.28515625" style="21" customWidth="1"/>
    <col min="2830" max="2830" width="19.7109375" style="21" customWidth="1"/>
    <col min="2831" max="2831" width="24.5703125" style="21" customWidth="1"/>
    <col min="2832" max="2832" width="23.7109375" style="21" customWidth="1"/>
    <col min="2833" max="3072" width="9.140625" style="21"/>
    <col min="3073" max="3073" width="32.5703125" style="21" customWidth="1"/>
    <col min="3074" max="3074" width="32" style="21" customWidth="1"/>
    <col min="3075" max="3075" width="20.28515625" style="21" customWidth="1"/>
    <col min="3076" max="3076" width="0" style="21" hidden="1" customWidth="1"/>
    <col min="3077" max="3077" width="19.42578125" style="21" customWidth="1"/>
    <col min="3078" max="3078" width="13.5703125" style="21" customWidth="1"/>
    <col min="3079" max="3079" width="36.5703125" style="21" customWidth="1"/>
    <col min="3080" max="3080" width="15.140625" style="21" customWidth="1"/>
    <col min="3081" max="3081" width="18" style="21" customWidth="1"/>
    <col min="3082" max="3082" width="17.28515625" style="21" customWidth="1"/>
    <col min="3083" max="3083" width="27.140625" style="21" customWidth="1"/>
    <col min="3084" max="3084" width="21.5703125" style="21" customWidth="1"/>
    <col min="3085" max="3085" width="19.28515625" style="21" customWidth="1"/>
    <col min="3086" max="3086" width="19.7109375" style="21" customWidth="1"/>
    <col min="3087" max="3087" width="24.5703125" style="21" customWidth="1"/>
    <col min="3088" max="3088" width="23.7109375" style="21" customWidth="1"/>
    <col min="3089" max="3328" width="9.140625" style="21"/>
    <col min="3329" max="3329" width="32.5703125" style="21" customWidth="1"/>
    <col min="3330" max="3330" width="32" style="21" customWidth="1"/>
    <col min="3331" max="3331" width="20.28515625" style="21" customWidth="1"/>
    <col min="3332" max="3332" width="0" style="21" hidden="1" customWidth="1"/>
    <col min="3333" max="3333" width="19.42578125" style="21" customWidth="1"/>
    <col min="3334" max="3334" width="13.5703125" style="21" customWidth="1"/>
    <col min="3335" max="3335" width="36.5703125" style="21" customWidth="1"/>
    <col min="3336" max="3336" width="15.140625" style="21" customWidth="1"/>
    <col min="3337" max="3337" width="18" style="21" customWidth="1"/>
    <col min="3338" max="3338" width="17.28515625" style="21" customWidth="1"/>
    <col min="3339" max="3339" width="27.140625" style="21" customWidth="1"/>
    <col min="3340" max="3340" width="21.5703125" style="21" customWidth="1"/>
    <col min="3341" max="3341" width="19.28515625" style="21" customWidth="1"/>
    <col min="3342" max="3342" width="19.7109375" style="21" customWidth="1"/>
    <col min="3343" max="3343" width="24.5703125" style="21" customWidth="1"/>
    <col min="3344" max="3344" width="23.7109375" style="21" customWidth="1"/>
    <col min="3345" max="3584" width="9.140625" style="21"/>
    <col min="3585" max="3585" width="32.5703125" style="21" customWidth="1"/>
    <col min="3586" max="3586" width="32" style="21" customWidth="1"/>
    <col min="3587" max="3587" width="20.28515625" style="21" customWidth="1"/>
    <col min="3588" max="3588" width="0" style="21" hidden="1" customWidth="1"/>
    <col min="3589" max="3589" width="19.42578125" style="21" customWidth="1"/>
    <col min="3590" max="3590" width="13.5703125" style="21" customWidth="1"/>
    <col min="3591" max="3591" width="36.5703125" style="21" customWidth="1"/>
    <col min="3592" max="3592" width="15.140625" style="21" customWidth="1"/>
    <col min="3593" max="3593" width="18" style="21" customWidth="1"/>
    <col min="3594" max="3594" width="17.28515625" style="21" customWidth="1"/>
    <col min="3595" max="3595" width="27.140625" style="21" customWidth="1"/>
    <col min="3596" max="3596" width="21.5703125" style="21" customWidth="1"/>
    <col min="3597" max="3597" width="19.28515625" style="21" customWidth="1"/>
    <col min="3598" max="3598" width="19.7109375" style="21" customWidth="1"/>
    <col min="3599" max="3599" width="24.5703125" style="21" customWidth="1"/>
    <col min="3600" max="3600" width="23.7109375" style="21" customWidth="1"/>
    <col min="3601" max="3840" width="9.140625" style="21"/>
    <col min="3841" max="3841" width="32.5703125" style="21" customWidth="1"/>
    <col min="3842" max="3842" width="32" style="21" customWidth="1"/>
    <col min="3843" max="3843" width="20.28515625" style="21" customWidth="1"/>
    <col min="3844" max="3844" width="0" style="21" hidden="1" customWidth="1"/>
    <col min="3845" max="3845" width="19.42578125" style="21" customWidth="1"/>
    <col min="3846" max="3846" width="13.5703125" style="21" customWidth="1"/>
    <col min="3847" max="3847" width="36.5703125" style="21" customWidth="1"/>
    <col min="3848" max="3848" width="15.140625" style="21" customWidth="1"/>
    <col min="3849" max="3849" width="18" style="21" customWidth="1"/>
    <col min="3850" max="3850" width="17.28515625" style="21" customWidth="1"/>
    <col min="3851" max="3851" width="27.140625" style="21" customWidth="1"/>
    <col min="3852" max="3852" width="21.5703125" style="21" customWidth="1"/>
    <col min="3853" max="3853" width="19.28515625" style="21" customWidth="1"/>
    <col min="3854" max="3854" width="19.7109375" style="21" customWidth="1"/>
    <col min="3855" max="3855" width="24.5703125" style="21" customWidth="1"/>
    <col min="3856" max="3856" width="23.7109375" style="21" customWidth="1"/>
    <col min="3857" max="4096" width="9.140625" style="21"/>
    <col min="4097" max="4097" width="32.5703125" style="21" customWidth="1"/>
    <col min="4098" max="4098" width="32" style="21" customWidth="1"/>
    <col min="4099" max="4099" width="20.28515625" style="21" customWidth="1"/>
    <col min="4100" max="4100" width="0" style="21" hidden="1" customWidth="1"/>
    <col min="4101" max="4101" width="19.42578125" style="21" customWidth="1"/>
    <col min="4102" max="4102" width="13.5703125" style="21" customWidth="1"/>
    <col min="4103" max="4103" width="36.5703125" style="21" customWidth="1"/>
    <col min="4104" max="4104" width="15.140625" style="21" customWidth="1"/>
    <col min="4105" max="4105" width="18" style="21" customWidth="1"/>
    <col min="4106" max="4106" width="17.28515625" style="21" customWidth="1"/>
    <col min="4107" max="4107" width="27.140625" style="21" customWidth="1"/>
    <col min="4108" max="4108" width="21.5703125" style="21" customWidth="1"/>
    <col min="4109" max="4109" width="19.28515625" style="21" customWidth="1"/>
    <col min="4110" max="4110" width="19.7109375" style="21" customWidth="1"/>
    <col min="4111" max="4111" width="24.5703125" style="21" customWidth="1"/>
    <col min="4112" max="4112" width="23.7109375" style="21" customWidth="1"/>
    <col min="4113" max="4352" width="9.140625" style="21"/>
    <col min="4353" max="4353" width="32.5703125" style="21" customWidth="1"/>
    <col min="4354" max="4354" width="32" style="21" customWidth="1"/>
    <col min="4355" max="4355" width="20.28515625" style="21" customWidth="1"/>
    <col min="4356" max="4356" width="0" style="21" hidden="1" customWidth="1"/>
    <col min="4357" max="4357" width="19.42578125" style="21" customWidth="1"/>
    <col min="4358" max="4358" width="13.5703125" style="21" customWidth="1"/>
    <col min="4359" max="4359" width="36.5703125" style="21" customWidth="1"/>
    <col min="4360" max="4360" width="15.140625" style="21" customWidth="1"/>
    <col min="4361" max="4361" width="18" style="21" customWidth="1"/>
    <col min="4362" max="4362" width="17.28515625" style="21" customWidth="1"/>
    <col min="4363" max="4363" width="27.140625" style="21" customWidth="1"/>
    <col min="4364" max="4364" width="21.5703125" style="21" customWidth="1"/>
    <col min="4365" max="4365" width="19.28515625" style="21" customWidth="1"/>
    <col min="4366" max="4366" width="19.7109375" style="21" customWidth="1"/>
    <col min="4367" max="4367" width="24.5703125" style="21" customWidth="1"/>
    <col min="4368" max="4368" width="23.7109375" style="21" customWidth="1"/>
    <col min="4369" max="4608" width="9.140625" style="21"/>
    <col min="4609" max="4609" width="32.5703125" style="21" customWidth="1"/>
    <col min="4610" max="4610" width="32" style="21" customWidth="1"/>
    <col min="4611" max="4611" width="20.28515625" style="21" customWidth="1"/>
    <col min="4612" max="4612" width="0" style="21" hidden="1" customWidth="1"/>
    <col min="4613" max="4613" width="19.42578125" style="21" customWidth="1"/>
    <col min="4614" max="4614" width="13.5703125" style="21" customWidth="1"/>
    <col min="4615" max="4615" width="36.5703125" style="21" customWidth="1"/>
    <col min="4616" max="4616" width="15.140625" style="21" customWidth="1"/>
    <col min="4617" max="4617" width="18" style="21" customWidth="1"/>
    <col min="4618" max="4618" width="17.28515625" style="21" customWidth="1"/>
    <col min="4619" max="4619" width="27.140625" style="21" customWidth="1"/>
    <col min="4620" max="4620" width="21.5703125" style="21" customWidth="1"/>
    <col min="4621" max="4621" width="19.28515625" style="21" customWidth="1"/>
    <col min="4622" max="4622" width="19.7109375" style="21" customWidth="1"/>
    <col min="4623" max="4623" width="24.5703125" style="21" customWidth="1"/>
    <col min="4624" max="4624" width="23.7109375" style="21" customWidth="1"/>
    <col min="4625" max="4864" width="9.140625" style="21"/>
    <col min="4865" max="4865" width="32.5703125" style="21" customWidth="1"/>
    <col min="4866" max="4866" width="32" style="21" customWidth="1"/>
    <col min="4867" max="4867" width="20.28515625" style="21" customWidth="1"/>
    <col min="4868" max="4868" width="0" style="21" hidden="1" customWidth="1"/>
    <col min="4869" max="4869" width="19.42578125" style="21" customWidth="1"/>
    <col min="4870" max="4870" width="13.5703125" style="21" customWidth="1"/>
    <col min="4871" max="4871" width="36.5703125" style="21" customWidth="1"/>
    <col min="4872" max="4872" width="15.140625" style="21" customWidth="1"/>
    <col min="4873" max="4873" width="18" style="21" customWidth="1"/>
    <col min="4874" max="4874" width="17.28515625" style="21" customWidth="1"/>
    <col min="4875" max="4875" width="27.140625" style="21" customWidth="1"/>
    <col min="4876" max="4876" width="21.5703125" style="21" customWidth="1"/>
    <col min="4877" max="4877" width="19.28515625" style="21" customWidth="1"/>
    <col min="4878" max="4878" width="19.7109375" style="21" customWidth="1"/>
    <col min="4879" max="4879" width="24.5703125" style="21" customWidth="1"/>
    <col min="4880" max="4880" width="23.7109375" style="21" customWidth="1"/>
    <col min="4881" max="5120" width="9.140625" style="21"/>
    <col min="5121" max="5121" width="32.5703125" style="21" customWidth="1"/>
    <col min="5122" max="5122" width="32" style="21" customWidth="1"/>
    <col min="5123" max="5123" width="20.28515625" style="21" customWidth="1"/>
    <col min="5124" max="5124" width="0" style="21" hidden="1" customWidth="1"/>
    <col min="5125" max="5125" width="19.42578125" style="21" customWidth="1"/>
    <col min="5126" max="5126" width="13.5703125" style="21" customWidth="1"/>
    <col min="5127" max="5127" width="36.5703125" style="21" customWidth="1"/>
    <col min="5128" max="5128" width="15.140625" style="21" customWidth="1"/>
    <col min="5129" max="5129" width="18" style="21" customWidth="1"/>
    <col min="5130" max="5130" width="17.28515625" style="21" customWidth="1"/>
    <col min="5131" max="5131" width="27.140625" style="21" customWidth="1"/>
    <col min="5132" max="5132" width="21.5703125" style="21" customWidth="1"/>
    <col min="5133" max="5133" width="19.28515625" style="21" customWidth="1"/>
    <col min="5134" max="5134" width="19.7109375" style="21" customWidth="1"/>
    <col min="5135" max="5135" width="24.5703125" style="21" customWidth="1"/>
    <col min="5136" max="5136" width="23.7109375" style="21" customWidth="1"/>
    <col min="5137" max="5376" width="9.140625" style="21"/>
    <col min="5377" max="5377" width="32.5703125" style="21" customWidth="1"/>
    <col min="5378" max="5378" width="32" style="21" customWidth="1"/>
    <col min="5379" max="5379" width="20.28515625" style="21" customWidth="1"/>
    <col min="5380" max="5380" width="0" style="21" hidden="1" customWidth="1"/>
    <col min="5381" max="5381" width="19.42578125" style="21" customWidth="1"/>
    <col min="5382" max="5382" width="13.5703125" style="21" customWidth="1"/>
    <col min="5383" max="5383" width="36.5703125" style="21" customWidth="1"/>
    <col min="5384" max="5384" width="15.140625" style="21" customWidth="1"/>
    <col min="5385" max="5385" width="18" style="21" customWidth="1"/>
    <col min="5386" max="5386" width="17.28515625" style="21" customWidth="1"/>
    <col min="5387" max="5387" width="27.140625" style="21" customWidth="1"/>
    <col min="5388" max="5388" width="21.5703125" style="21" customWidth="1"/>
    <col min="5389" max="5389" width="19.28515625" style="21" customWidth="1"/>
    <col min="5390" max="5390" width="19.7109375" style="21" customWidth="1"/>
    <col min="5391" max="5391" width="24.5703125" style="21" customWidth="1"/>
    <col min="5392" max="5392" width="23.7109375" style="21" customWidth="1"/>
    <col min="5393" max="5632" width="9.140625" style="21"/>
    <col min="5633" max="5633" width="32.5703125" style="21" customWidth="1"/>
    <col min="5634" max="5634" width="32" style="21" customWidth="1"/>
    <col min="5635" max="5635" width="20.28515625" style="21" customWidth="1"/>
    <col min="5636" max="5636" width="0" style="21" hidden="1" customWidth="1"/>
    <col min="5637" max="5637" width="19.42578125" style="21" customWidth="1"/>
    <col min="5638" max="5638" width="13.5703125" style="21" customWidth="1"/>
    <col min="5639" max="5639" width="36.5703125" style="21" customWidth="1"/>
    <col min="5640" max="5640" width="15.140625" style="21" customWidth="1"/>
    <col min="5641" max="5641" width="18" style="21" customWidth="1"/>
    <col min="5642" max="5642" width="17.28515625" style="21" customWidth="1"/>
    <col min="5643" max="5643" width="27.140625" style="21" customWidth="1"/>
    <col min="5644" max="5644" width="21.5703125" style="21" customWidth="1"/>
    <col min="5645" max="5645" width="19.28515625" style="21" customWidth="1"/>
    <col min="5646" max="5646" width="19.7109375" style="21" customWidth="1"/>
    <col min="5647" max="5647" width="24.5703125" style="21" customWidth="1"/>
    <col min="5648" max="5648" width="23.7109375" style="21" customWidth="1"/>
    <col min="5649" max="5888" width="9.140625" style="21"/>
    <col min="5889" max="5889" width="32.5703125" style="21" customWidth="1"/>
    <col min="5890" max="5890" width="32" style="21" customWidth="1"/>
    <col min="5891" max="5891" width="20.28515625" style="21" customWidth="1"/>
    <col min="5892" max="5892" width="0" style="21" hidden="1" customWidth="1"/>
    <col min="5893" max="5893" width="19.42578125" style="21" customWidth="1"/>
    <col min="5894" max="5894" width="13.5703125" style="21" customWidth="1"/>
    <col min="5895" max="5895" width="36.5703125" style="21" customWidth="1"/>
    <col min="5896" max="5896" width="15.140625" style="21" customWidth="1"/>
    <col min="5897" max="5897" width="18" style="21" customWidth="1"/>
    <col min="5898" max="5898" width="17.28515625" style="21" customWidth="1"/>
    <col min="5899" max="5899" width="27.140625" style="21" customWidth="1"/>
    <col min="5900" max="5900" width="21.5703125" style="21" customWidth="1"/>
    <col min="5901" max="5901" width="19.28515625" style="21" customWidth="1"/>
    <col min="5902" max="5902" width="19.7109375" style="21" customWidth="1"/>
    <col min="5903" max="5903" width="24.5703125" style="21" customWidth="1"/>
    <col min="5904" max="5904" width="23.7109375" style="21" customWidth="1"/>
    <col min="5905" max="6144" width="9.140625" style="21"/>
    <col min="6145" max="6145" width="32.5703125" style="21" customWidth="1"/>
    <col min="6146" max="6146" width="32" style="21" customWidth="1"/>
    <col min="6147" max="6147" width="20.28515625" style="21" customWidth="1"/>
    <col min="6148" max="6148" width="0" style="21" hidden="1" customWidth="1"/>
    <col min="6149" max="6149" width="19.42578125" style="21" customWidth="1"/>
    <col min="6150" max="6150" width="13.5703125" style="21" customWidth="1"/>
    <col min="6151" max="6151" width="36.5703125" style="21" customWidth="1"/>
    <col min="6152" max="6152" width="15.140625" style="21" customWidth="1"/>
    <col min="6153" max="6153" width="18" style="21" customWidth="1"/>
    <col min="6154" max="6154" width="17.28515625" style="21" customWidth="1"/>
    <col min="6155" max="6155" width="27.140625" style="21" customWidth="1"/>
    <col min="6156" max="6156" width="21.5703125" style="21" customWidth="1"/>
    <col min="6157" max="6157" width="19.28515625" style="21" customWidth="1"/>
    <col min="6158" max="6158" width="19.7109375" style="21" customWidth="1"/>
    <col min="6159" max="6159" width="24.5703125" style="21" customWidth="1"/>
    <col min="6160" max="6160" width="23.7109375" style="21" customWidth="1"/>
    <col min="6161" max="6400" width="9.140625" style="21"/>
    <col min="6401" max="6401" width="32.5703125" style="21" customWidth="1"/>
    <col min="6402" max="6402" width="32" style="21" customWidth="1"/>
    <col min="6403" max="6403" width="20.28515625" style="21" customWidth="1"/>
    <col min="6404" max="6404" width="0" style="21" hidden="1" customWidth="1"/>
    <col min="6405" max="6405" width="19.42578125" style="21" customWidth="1"/>
    <col min="6406" max="6406" width="13.5703125" style="21" customWidth="1"/>
    <col min="6407" max="6407" width="36.5703125" style="21" customWidth="1"/>
    <col min="6408" max="6408" width="15.140625" style="21" customWidth="1"/>
    <col min="6409" max="6409" width="18" style="21" customWidth="1"/>
    <col min="6410" max="6410" width="17.28515625" style="21" customWidth="1"/>
    <col min="6411" max="6411" width="27.140625" style="21" customWidth="1"/>
    <col min="6412" max="6412" width="21.5703125" style="21" customWidth="1"/>
    <col min="6413" max="6413" width="19.28515625" style="21" customWidth="1"/>
    <col min="6414" max="6414" width="19.7109375" style="21" customWidth="1"/>
    <col min="6415" max="6415" width="24.5703125" style="21" customWidth="1"/>
    <col min="6416" max="6416" width="23.7109375" style="21" customWidth="1"/>
    <col min="6417" max="6656" width="9.140625" style="21"/>
    <col min="6657" max="6657" width="32.5703125" style="21" customWidth="1"/>
    <col min="6658" max="6658" width="32" style="21" customWidth="1"/>
    <col min="6659" max="6659" width="20.28515625" style="21" customWidth="1"/>
    <col min="6660" max="6660" width="0" style="21" hidden="1" customWidth="1"/>
    <col min="6661" max="6661" width="19.42578125" style="21" customWidth="1"/>
    <col min="6662" max="6662" width="13.5703125" style="21" customWidth="1"/>
    <col min="6663" max="6663" width="36.5703125" style="21" customWidth="1"/>
    <col min="6664" max="6664" width="15.140625" style="21" customWidth="1"/>
    <col min="6665" max="6665" width="18" style="21" customWidth="1"/>
    <col min="6666" max="6666" width="17.28515625" style="21" customWidth="1"/>
    <col min="6667" max="6667" width="27.140625" style="21" customWidth="1"/>
    <col min="6668" max="6668" width="21.5703125" style="21" customWidth="1"/>
    <col min="6669" max="6669" width="19.28515625" style="21" customWidth="1"/>
    <col min="6670" max="6670" width="19.7109375" style="21" customWidth="1"/>
    <col min="6671" max="6671" width="24.5703125" style="21" customWidth="1"/>
    <col min="6672" max="6672" width="23.7109375" style="21" customWidth="1"/>
    <col min="6673" max="6912" width="9.140625" style="21"/>
    <col min="6913" max="6913" width="32.5703125" style="21" customWidth="1"/>
    <col min="6914" max="6914" width="32" style="21" customWidth="1"/>
    <col min="6915" max="6915" width="20.28515625" style="21" customWidth="1"/>
    <col min="6916" max="6916" width="0" style="21" hidden="1" customWidth="1"/>
    <col min="6917" max="6917" width="19.42578125" style="21" customWidth="1"/>
    <col min="6918" max="6918" width="13.5703125" style="21" customWidth="1"/>
    <col min="6919" max="6919" width="36.5703125" style="21" customWidth="1"/>
    <col min="6920" max="6920" width="15.140625" style="21" customWidth="1"/>
    <col min="6921" max="6921" width="18" style="21" customWidth="1"/>
    <col min="6922" max="6922" width="17.28515625" style="21" customWidth="1"/>
    <col min="6923" max="6923" width="27.140625" style="21" customWidth="1"/>
    <col min="6924" max="6924" width="21.5703125" style="21" customWidth="1"/>
    <col min="6925" max="6925" width="19.28515625" style="21" customWidth="1"/>
    <col min="6926" max="6926" width="19.7109375" style="21" customWidth="1"/>
    <col min="6927" max="6927" width="24.5703125" style="21" customWidth="1"/>
    <col min="6928" max="6928" width="23.7109375" style="21" customWidth="1"/>
    <col min="6929" max="7168" width="9.140625" style="21"/>
    <col min="7169" max="7169" width="32.5703125" style="21" customWidth="1"/>
    <col min="7170" max="7170" width="32" style="21" customWidth="1"/>
    <col min="7171" max="7171" width="20.28515625" style="21" customWidth="1"/>
    <col min="7172" max="7172" width="0" style="21" hidden="1" customWidth="1"/>
    <col min="7173" max="7173" width="19.42578125" style="21" customWidth="1"/>
    <col min="7174" max="7174" width="13.5703125" style="21" customWidth="1"/>
    <col min="7175" max="7175" width="36.5703125" style="21" customWidth="1"/>
    <col min="7176" max="7176" width="15.140625" style="21" customWidth="1"/>
    <col min="7177" max="7177" width="18" style="21" customWidth="1"/>
    <col min="7178" max="7178" width="17.28515625" style="21" customWidth="1"/>
    <col min="7179" max="7179" width="27.140625" style="21" customWidth="1"/>
    <col min="7180" max="7180" width="21.5703125" style="21" customWidth="1"/>
    <col min="7181" max="7181" width="19.28515625" style="21" customWidth="1"/>
    <col min="7182" max="7182" width="19.7109375" style="21" customWidth="1"/>
    <col min="7183" max="7183" width="24.5703125" style="21" customWidth="1"/>
    <col min="7184" max="7184" width="23.7109375" style="21" customWidth="1"/>
    <col min="7185" max="7424" width="9.140625" style="21"/>
    <col min="7425" max="7425" width="32.5703125" style="21" customWidth="1"/>
    <col min="7426" max="7426" width="32" style="21" customWidth="1"/>
    <col min="7427" max="7427" width="20.28515625" style="21" customWidth="1"/>
    <col min="7428" max="7428" width="0" style="21" hidden="1" customWidth="1"/>
    <col min="7429" max="7429" width="19.42578125" style="21" customWidth="1"/>
    <col min="7430" max="7430" width="13.5703125" style="21" customWidth="1"/>
    <col min="7431" max="7431" width="36.5703125" style="21" customWidth="1"/>
    <col min="7432" max="7432" width="15.140625" style="21" customWidth="1"/>
    <col min="7433" max="7433" width="18" style="21" customWidth="1"/>
    <col min="7434" max="7434" width="17.28515625" style="21" customWidth="1"/>
    <col min="7435" max="7435" width="27.140625" style="21" customWidth="1"/>
    <col min="7436" max="7436" width="21.5703125" style="21" customWidth="1"/>
    <col min="7437" max="7437" width="19.28515625" style="21" customWidth="1"/>
    <col min="7438" max="7438" width="19.7109375" style="21" customWidth="1"/>
    <col min="7439" max="7439" width="24.5703125" style="21" customWidth="1"/>
    <col min="7440" max="7440" width="23.7109375" style="21" customWidth="1"/>
    <col min="7441" max="7680" width="9.140625" style="21"/>
    <col min="7681" max="7681" width="32.5703125" style="21" customWidth="1"/>
    <col min="7682" max="7682" width="32" style="21" customWidth="1"/>
    <col min="7683" max="7683" width="20.28515625" style="21" customWidth="1"/>
    <col min="7684" max="7684" width="0" style="21" hidden="1" customWidth="1"/>
    <col min="7685" max="7685" width="19.42578125" style="21" customWidth="1"/>
    <col min="7686" max="7686" width="13.5703125" style="21" customWidth="1"/>
    <col min="7687" max="7687" width="36.5703125" style="21" customWidth="1"/>
    <col min="7688" max="7688" width="15.140625" style="21" customWidth="1"/>
    <col min="7689" max="7689" width="18" style="21" customWidth="1"/>
    <col min="7690" max="7690" width="17.28515625" style="21" customWidth="1"/>
    <col min="7691" max="7691" width="27.140625" style="21" customWidth="1"/>
    <col min="7692" max="7692" width="21.5703125" style="21" customWidth="1"/>
    <col min="7693" max="7693" width="19.28515625" style="21" customWidth="1"/>
    <col min="7694" max="7694" width="19.7109375" style="21" customWidth="1"/>
    <col min="7695" max="7695" width="24.5703125" style="21" customWidth="1"/>
    <col min="7696" max="7696" width="23.7109375" style="21" customWidth="1"/>
    <col min="7697" max="7936" width="9.140625" style="21"/>
    <col min="7937" max="7937" width="32.5703125" style="21" customWidth="1"/>
    <col min="7938" max="7938" width="32" style="21" customWidth="1"/>
    <col min="7939" max="7939" width="20.28515625" style="21" customWidth="1"/>
    <col min="7940" max="7940" width="0" style="21" hidden="1" customWidth="1"/>
    <col min="7941" max="7941" width="19.42578125" style="21" customWidth="1"/>
    <col min="7942" max="7942" width="13.5703125" style="21" customWidth="1"/>
    <col min="7943" max="7943" width="36.5703125" style="21" customWidth="1"/>
    <col min="7944" max="7944" width="15.140625" style="21" customWidth="1"/>
    <col min="7945" max="7945" width="18" style="21" customWidth="1"/>
    <col min="7946" max="7946" width="17.28515625" style="21" customWidth="1"/>
    <col min="7947" max="7947" width="27.140625" style="21" customWidth="1"/>
    <col min="7948" max="7948" width="21.5703125" style="21" customWidth="1"/>
    <col min="7949" max="7949" width="19.28515625" style="21" customWidth="1"/>
    <col min="7950" max="7950" width="19.7109375" style="21" customWidth="1"/>
    <col min="7951" max="7951" width="24.5703125" style="21" customWidth="1"/>
    <col min="7952" max="7952" width="23.7109375" style="21" customWidth="1"/>
    <col min="7953" max="8192" width="9.140625" style="21"/>
    <col min="8193" max="8193" width="32.5703125" style="21" customWidth="1"/>
    <col min="8194" max="8194" width="32" style="21" customWidth="1"/>
    <col min="8195" max="8195" width="20.28515625" style="21" customWidth="1"/>
    <col min="8196" max="8196" width="0" style="21" hidden="1" customWidth="1"/>
    <col min="8197" max="8197" width="19.42578125" style="21" customWidth="1"/>
    <col min="8198" max="8198" width="13.5703125" style="21" customWidth="1"/>
    <col min="8199" max="8199" width="36.5703125" style="21" customWidth="1"/>
    <col min="8200" max="8200" width="15.140625" style="21" customWidth="1"/>
    <col min="8201" max="8201" width="18" style="21" customWidth="1"/>
    <col min="8202" max="8202" width="17.28515625" style="21" customWidth="1"/>
    <col min="8203" max="8203" width="27.140625" style="21" customWidth="1"/>
    <col min="8204" max="8204" width="21.5703125" style="21" customWidth="1"/>
    <col min="8205" max="8205" width="19.28515625" style="21" customWidth="1"/>
    <col min="8206" max="8206" width="19.7109375" style="21" customWidth="1"/>
    <col min="8207" max="8207" width="24.5703125" style="21" customWidth="1"/>
    <col min="8208" max="8208" width="23.7109375" style="21" customWidth="1"/>
    <col min="8209" max="8448" width="9.140625" style="21"/>
    <col min="8449" max="8449" width="32.5703125" style="21" customWidth="1"/>
    <col min="8450" max="8450" width="32" style="21" customWidth="1"/>
    <col min="8451" max="8451" width="20.28515625" style="21" customWidth="1"/>
    <col min="8452" max="8452" width="0" style="21" hidden="1" customWidth="1"/>
    <col min="8453" max="8453" width="19.42578125" style="21" customWidth="1"/>
    <col min="8454" max="8454" width="13.5703125" style="21" customWidth="1"/>
    <col min="8455" max="8455" width="36.5703125" style="21" customWidth="1"/>
    <col min="8456" max="8456" width="15.140625" style="21" customWidth="1"/>
    <col min="8457" max="8457" width="18" style="21" customWidth="1"/>
    <col min="8458" max="8458" width="17.28515625" style="21" customWidth="1"/>
    <col min="8459" max="8459" width="27.140625" style="21" customWidth="1"/>
    <col min="8460" max="8460" width="21.5703125" style="21" customWidth="1"/>
    <col min="8461" max="8461" width="19.28515625" style="21" customWidth="1"/>
    <col min="8462" max="8462" width="19.7109375" style="21" customWidth="1"/>
    <col min="8463" max="8463" width="24.5703125" style="21" customWidth="1"/>
    <col min="8464" max="8464" width="23.7109375" style="21" customWidth="1"/>
    <col min="8465" max="8704" width="9.140625" style="21"/>
    <col min="8705" max="8705" width="32.5703125" style="21" customWidth="1"/>
    <col min="8706" max="8706" width="32" style="21" customWidth="1"/>
    <col min="8707" max="8707" width="20.28515625" style="21" customWidth="1"/>
    <col min="8708" max="8708" width="0" style="21" hidden="1" customWidth="1"/>
    <col min="8709" max="8709" width="19.42578125" style="21" customWidth="1"/>
    <col min="8710" max="8710" width="13.5703125" style="21" customWidth="1"/>
    <col min="8711" max="8711" width="36.5703125" style="21" customWidth="1"/>
    <col min="8712" max="8712" width="15.140625" style="21" customWidth="1"/>
    <col min="8713" max="8713" width="18" style="21" customWidth="1"/>
    <col min="8714" max="8714" width="17.28515625" style="21" customWidth="1"/>
    <col min="8715" max="8715" width="27.140625" style="21" customWidth="1"/>
    <col min="8716" max="8716" width="21.5703125" style="21" customWidth="1"/>
    <col min="8717" max="8717" width="19.28515625" style="21" customWidth="1"/>
    <col min="8718" max="8718" width="19.7109375" style="21" customWidth="1"/>
    <col min="8719" max="8719" width="24.5703125" style="21" customWidth="1"/>
    <col min="8720" max="8720" width="23.7109375" style="21" customWidth="1"/>
    <col min="8721" max="8960" width="9.140625" style="21"/>
    <col min="8961" max="8961" width="32.5703125" style="21" customWidth="1"/>
    <col min="8962" max="8962" width="32" style="21" customWidth="1"/>
    <col min="8963" max="8963" width="20.28515625" style="21" customWidth="1"/>
    <col min="8964" max="8964" width="0" style="21" hidden="1" customWidth="1"/>
    <col min="8965" max="8965" width="19.42578125" style="21" customWidth="1"/>
    <col min="8966" max="8966" width="13.5703125" style="21" customWidth="1"/>
    <col min="8967" max="8967" width="36.5703125" style="21" customWidth="1"/>
    <col min="8968" max="8968" width="15.140625" style="21" customWidth="1"/>
    <col min="8969" max="8969" width="18" style="21" customWidth="1"/>
    <col min="8970" max="8970" width="17.28515625" style="21" customWidth="1"/>
    <col min="8971" max="8971" width="27.140625" style="21" customWidth="1"/>
    <col min="8972" max="8972" width="21.5703125" style="21" customWidth="1"/>
    <col min="8973" max="8973" width="19.28515625" style="21" customWidth="1"/>
    <col min="8974" max="8974" width="19.7109375" style="21" customWidth="1"/>
    <col min="8975" max="8975" width="24.5703125" style="21" customWidth="1"/>
    <col min="8976" max="8976" width="23.7109375" style="21" customWidth="1"/>
    <col min="8977" max="9216" width="9.140625" style="21"/>
    <col min="9217" max="9217" width="32.5703125" style="21" customWidth="1"/>
    <col min="9218" max="9218" width="32" style="21" customWidth="1"/>
    <col min="9219" max="9219" width="20.28515625" style="21" customWidth="1"/>
    <col min="9220" max="9220" width="0" style="21" hidden="1" customWidth="1"/>
    <col min="9221" max="9221" width="19.42578125" style="21" customWidth="1"/>
    <col min="9222" max="9222" width="13.5703125" style="21" customWidth="1"/>
    <col min="9223" max="9223" width="36.5703125" style="21" customWidth="1"/>
    <col min="9224" max="9224" width="15.140625" style="21" customWidth="1"/>
    <col min="9225" max="9225" width="18" style="21" customWidth="1"/>
    <col min="9226" max="9226" width="17.28515625" style="21" customWidth="1"/>
    <col min="9227" max="9227" width="27.140625" style="21" customWidth="1"/>
    <col min="9228" max="9228" width="21.5703125" style="21" customWidth="1"/>
    <col min="9229" max="9229" width="19.28515625" style="21" customWidth="1"/>
    <col min="9230" max="9230" width="19.7109375" style="21" customWidth="1"/>
    <col min="9231" max="9231" width="24.5703125" style="21" customWidth="1"/>
    <col min="9232" max="9232" width="23.7109375" style="21" customWidth="1"/>
    <col min="9233" max="9472" width="9.140625" style="21"/>
    <col min="9473" max="9473" width="32.5703125" style="21" customWidth="1"/>
    <col min="9474" max="9474" width="32" style="21" customWidth="1"/>
    <col min="9475" max="9475" width="20.28515625" style="21" customWidth="1"/>
    <col min="9476" max="9476" width="0" style="21" hidden="1" customWidth="1"/>
    <col min="9477" max="9477" width="19.42578125" style="21" customWidth="1"/>
    <col min="9478" max="9478" width="13.5703125" style="21" customWidth="1"/>
    <col min="9479" max="9479" width="36.5703125" style="21" customWidth="1"/>
    <col min="9480" max="9480" width="15.140625" style="21" customWidth="1"/>
    <col min="9481" max="9481" width="18" style="21" customWidth="1"/>
    <col min="9482" max="9482" width="17.28515625" style="21" customWidth="1"/>
    <col min="9483" max="9483" width="27.140625" style="21" customWidth="1"/>
    <col min="9484" max="9484" width="21.5703125" style="21" customWidth="1"/>
    <col min="9485" max="9485" width="19.28515625" style="21" customWidth="1"/>
    <col min="9486" max="9486" width="19.7109375" style="21" customWidth="1"/>
    <col min="9487" max="9487" width="24.5703125" style="21" customWidth="1"/>
    <col min="9488" max="9488" width="23.7109375" style="21" customWidth="1"/>
    <col min="9489" max="9728" width="9.140625" style="21"/>
    <col min="9729" max="9729" width="32.5703125" style="21" customWidth="1"/>
    <col min="9730" max="9730" width="32" style="21" customWidth="1"/>
    <col min="9731" max="9731" width="20.28515625" style="21" customWidth="1"/>
    <col min="9732" max="9732" width="0" style="21" hidden="1" customWidth="1"/>
    <col min="9733" max="9733" width="19.42578125" style="21" customWidth="1"/>
    <col min="9734" max="9734" width="13.5703125" style="21" customWidth="1"/>
    <col min="9735" max="9735" width="36.5703125" style="21" customWidth="1"/>
    <col min="9736" max="9736" width="15.140625" style="21" customWidth="1"/>
    <col min="9737" max="9737" width="18" style="21" customWidth="1"/>
    <col min="9738" max="9738" width="17.28515625" style="21" customWidth="1"/>
    <col min="9739" max="9739" width="27.140625" style="21" customWidth="1"/>
    <col min="9740" max="9740" width="21.5703125" style="21" customWidth="1"/>
    <col min="9741" max="9741" width="19.28515625" style="21" customWidth="1"/>
    <col min="9742" max="9742" width="19.7109375" style="21" customWidth="1"/>
    <col min="9743" max="9743" width="24.5703125" style="21" customWidth="1"/>
    <col min="9744" max="9744" width="23.7109375" style="21" customWidth="1"/>
    <col min="9745" max="9984" width="9.140625" style="21"/>
    <col min="9985" max="9985" width="32.5703125" style="21" customWidth="1"/>
    <col min="9986" max="9986" width="32" style="21" customWidth="1"/>
    <col min="9987" max="9987" width="20.28515625" style="21" customWidth="1"/>
    <col min="9988" max="9988" width="0" style="21" hidden="1" customWidth="1"/>
    <col min="9989" max="9989" width="19.42578125" style="21" customWidth="1"/>
    <col min="9990" max="9990" width="13.5703125" style="21" customWidth="1"/>
    <col min="9991" max="9991" width="36.5703125" style="21" customWidth="1"/>
    <col min="9992" max="9992" width="15.140625" style="21" customWidth="1"/>
    <col min="9993" max="9993" width="18" style="21" customWidth="1"/>
    <col min="9994" max="9994" width="17.28515625" style="21" customWidth="1"/>
    <col min="9995" max="9995" width="27.140625" style="21" customWidth="1"/>
    <col min="9996" max="9996" width="21.5703125" style="21" customWidth="1"/>
    <col min="9997" max="9997" width="19.28515625" style="21" customWidth="1"/>
    <col min="9998" max="9998" width="19.7109375" style="21" customWidth="1"/>
    <col min="9999" max="9999" width="24.5703125" style="21" customWidth="1"/>
    <col min="10000" max="10000" width="23.7109375" style="21" customWidth="1"/>
    <col min="10001" max="10240" width="9.140625" style="21"/>
    <col min="10241" max="10241" width="32.5703125" style="21" customWidth="1"/>
    <col min="10242" max="10242" width="32" style="21" customWidth="1"/>
    <col min="10243" max="10243" width="20.28515625" style="21" customWidth="1"/>
    <col min="10244" max="10244" width="0" style="21" hidden="1" customWidth="1"/>
    <col min="10245" max="10245" width="19.42578125" style="21" customWidth="1"/>
    <col min="10246" max="10246" width="13.5703125" style="21" customWidth="1"/>
    <col min="10247" max="10247" width="36.5703125" style="21" customWidth="1"/>
    <col min="10248" max="10248" width="15.140625" style="21" customWidth="1"/>
    <col min="10249" max="10249" width="18" style="21" customWidth="1"/>
    <col min="10250" max="10250" width="17.28515625" style="21" customWidth="1"/>
    <col min="10251" max="10251" width="27.140625" style="21" customWidth="1"/>
    <col min="10252" max="10252" width="21.5703125" style="21" customWidth="1"/>
    <col min="10253" max="10253" width="19.28515625" style="21" customWidth="1"/>
    <col min="10254" max="10254" width="19.7109375" style="21" customWidth="1"/>
    <col min="10255" max="10255" width="24.5703125" style="21" customWidth="1"/>
    <col min="10256" max="10256" width="23.7109375" style="21" customWidth="1"/>
    <col min="10257" max="10496" width="9.140625" style="21"/>
    <col min="10497" max="10497" width="32.5703125" style="21" customWidth="1"/>
    <col min="10498" max="10498" width="32" style="21" customWidth="1"/>
    <col min="10499" max="10499" width="20.28515625" style="21" customWidth="1"/>
    <col min="10500" max="10500" width="0" style="21" hidden="1" customWidth="1"/>
    <col min="10501" max="10501" width="19.42578125" style="21" customWidth="1"/>
    <col min="10502" max="10502" width="13.5703125" style="21" customWidth="1"/>
    <col min="10503" max="10503" width="36.5703125" style="21" customWidth="1"/>
    <col min="10504" max="10504" width="15.140625" style="21" customWidth="1"/>
    <col min="10505" max="10505" width="18" style="21" customWidth="1"/>
    <col min="10506" max="10506" width="17.28515625" style="21" customWidth="1"/>
    <col min="10507" max="10507" width="27.140625" style="21" customWidth="1"/>
    <col min="10508" max="10508" width="21.5703125" style="21" customWidth="1"/>
    <col min="10509" max="10509" width="19.28515625" style="21" customWidth="1"/>
    <col min="10510" max="10510" width="19.7109375" style="21" customWidth="1"/>
    <col min="10511" max="10511" width="24.5703125" style="21" customWidth="1"/>
    <col min="10512" max="10512" width="23.7109375" style="21" customWidth="1"/>
    <col min="10513" max="10752" width="9.140625" style="21"/>
    <col min="10753" max="10753" width="32.5703125" style="21" customWidth="1"/>
    <col min="10754" max="10754" width="32" style="21" customWidth="1"/>
    <col min="10755" max="10755" width="20.28515625" style="21" customWidth="1"/>
    <col min="10756" max="10756" width="0" style="21" hidden="1" customWidth="1"/>
    <col min="10757" max="10757" width="19.42578125" style="21" customWidth="1"/>
    <col min="10758" max="10758" width="13.5703125" style="21" customWidth="1"/>
    <col min="10759" max="10759" width="36.5703125" style="21" customWidth="1"/>
    <col min="10760" max="10760" width="15.140625" style="21" customWidth="1"/>
    <col min="10761" max="10761" width="18" style="21" customWidth="1"/>
    <col min="10762" max="10762" width="17.28515625" style="21" customWidth="1"/>
    <col min="10763" max="10763" width="27.140625" style="21" customWidth="1"/>
    <col min="10764" max="10764" width="21.5703125" style="21" customWidth="1"/>
    <col min="10765" max="10765" width="19.28515625" style="21" customWidth="1"/>
    <col min="10766" max="10766" width="19.7109375" style="21" customWidth="1"/>
    <col min="10767" max="10767" width="24.5703125" style="21" customWidth="1"/>
    <col min="10768" max="10768" width="23.7109375" style="21" customWidth="1"/>
    <col min="10769" max="11008" width="9.140625" style="21"/>
    <col min="11009" max="11009" width="32.5703125" style="21" customWidth="1"/>
    <col min="11010" max="11010" width="32" style="21" customWidth="1"/>
    <col min="11011" max="11011" width="20.28515625" style="21" customWidth="1"/>
    <col min="11012" max="11012" width="0" style="21" hidden="1" customWidth="1"/>
    <col min="11013" max="11013" width="19.42578125" style="21" customWidth="1"/>
    <col min="11014" max="11014" width="13.5703125" style="21" customWidth="1"/>
    <col min="11015" max="11015" width="36.5703125" style="21" customWidth="1"/>
    <col min="11016" max="11016" width="15.140625" style="21" customWidth="1"/>
    <col min="11017" max="11017" width="18" style="21" customWidth="1"/>
    <col min="11018" max="11018" width="17.28515625" style="21" customWidth="1"/>
    <col min="11019" max="11019" width="27.140625" style="21" customWidth="1"/>
    <col min="11020" max="11020" width="21.5703125" style="21" customWidth="1"/>
    <col min="11021" max="11021" width="19.28515625" style="21" customWidth="1"/>
    <col min="11022" max="11022" width="19.7109375" style="21" customWidth="1"/>
    <col min="11023" max="11023" width="24.5703125" style="21" customWidth="1"/>
    <col min="11024" max="11024" width="23.7109375" style="21" customWidth="1"/>
    <col min="11025" max="11264" width="9.140625" style="21"/>
    <col min="11265" max="11265" width="32.5703125" style="21" customWidth="1"/>
    <col min="11266" max="11266" width="32" style="21" customWidth="1"/>
    <col min="11267" max="11267" width="20.28515625" style="21" customWidth="1"/>
    <col min="11268" max="11268" width="0" style="21" hidden="1" customWidth="1"/>
    <col min="11269" max="11269" width="19.42578125" style="21" customWidth="1"/>
    <col min="11270" max="11270" width="13.5703125" style="21" customWidth="1"/>
    <col min="11271" max="11271" width="36.5703125" style="21" customWidth="1"/>
    <col min="11272" max="11272" width="15.140625" style="21" customWidth="1"/>
    <col min="11273" max="11273" width="18" style="21" customWidth="1"/>
    <col min="11274" max="11274" width="17.28515625" style="21" customWidth="1"/>
    <col min="11275" max="11275" width="27.140625" style="21" customWidth="1"/>
    <col min="11276" max="11276" width="21.5703125" style="21" customWidth="1"/>
    <col min="11277" max="11277" width="19.28515625" style="21" customWidth="1"/>
    <col min="11278" max="11278" width="19.7109375" style="21" customWidth="1"/>
    <col min="11279" max="11279" width="24.5703125" style="21" customWidth="1"/>
    <col min="11280" max="11280" width="23.7109375" style="21" customWidth="1"/>
    <col min="11281" max="11520" width="9.140625" style="21"/>
    <col min="11521" max="11521" width="32.5703125" style="21" customWidth="1"/>
    <col min="11522" max="11522" width="32" style="21" customWidth="1"/>
    <col min="11523" max="11523" width="20.28515625" style="21" customWidth="1"/>
    <col min="11524" max="11524" width="0" style="21" hidden="1" customWidth="1"/>
    <col min="11525" max="11525" width="19.42578125" style="21" customWidth="1"/>
    <col min="11526" max="11526" width="13.5703125" style="21" customWidth="1"/>
    <col min="11527" max="11527" width="36.5703125" style="21" customWidth="1"/>
    <col min="11528" max="11528" width="15.140625" style="21" customWidth="1"/>
    <col min="11529" max="11529" width="18" style="21" customWidth="1"/>
    <col min="11530" max="11530" width="17.28515625" style="21" customWidth="1"/>
    <col min="11531" max="11531" width="27.140625" style="21" customWidth="1"/>
    <col min="11532" max="11532" width="21.5703125" style="21" customWidth="1"/>
    <col min="11533" max="11533" width="19.28515625" style="21" customWidth="1"/>
    <col min="11534" max="11534" width="19.7109375" style="21" customWidth="1"/>
    <col min="11535" max="11535" width="24.5703125" style="21" customWidth="1"/>
    <col min="11536" max="11536" width="23.7109375" style="21" customWidth="1"/>
    <col min="11537" max="11776" width="9.140625" style="21"/>
    <col min="11777" max="11777" width="32.5703125" style="21" customWidth="1"/>
    <col min="11778" max="11778" width="32" style="21" customWidth="1"/>
    <col min="11779" max="11779" width="20.28515625" style="21" customWidth="1"/>
    <col min="11780" max="11780" width="0" style="21" hidden="1" customWidth="1"/>
    <col min="11781" max="11781" width="19.42578125" style="21" customWidth="1"/>
    <col min="11782" max="11782" width="13.5703125" style="21" customWidth="1"/>
    <col min="11783" max="11783" width="36.5703125" style="21" customWidth="1"/>
    <col min="11784" max="11784" width="15.140625" style="21" customWidth="1"/>
    <col min="11785" max="11785" width="18" style="21" customWidth="1"/>
    <col min="11786" max="11786" width="17.28515625" style="21" customWidth="1"/>
    <col min="11787" max="11787" width="27.140625" style="21" customWidth="1"/>
    <col min="11788" max="11788" width="21.5703125" style="21" customWidth="1"/>
    <col min="11789" max="11789" width="19.28515625" style="21" customWidth="1"/>
    <col min="11790" max="11790" width="19.7109375" style="21" customWidth="1"/>
    <col min="11791" max="11791" width="24.5703125" style="21" customWidth="1"/>
    <col min="11792" max="11792" width="23.7109375" style="21" customWidth="1"/>
    <col min="11793" max="12032" width="9.140625" style="21"/>
    <col min="12033" max="12033" width="32.5703125" style="21" customWidth="1"/>
    <col min="12034" max="12034" width="32" style="21" customWidth="1"/>
    <col min="12035" max="12035" width="20.28515625" style="21" customWidth="1"/>
    <col min="12036" max="12036" width="0" style="21" hidden="1" customWidth="1"/>
    <col min="12037" max="12037" width="19.42578125" style="21" customWidth="1"/>
    <col min="12038" max="12038" width="13.5703125" style="21" customWidth="1"/>
    <col min="12039" max="12039" width="36.5703125" style="21" customWidth="1"/>
    <col min="12040" max="12040" width="15.140625" style="21" customWidth="1"/>
    <col min="12041" max="12041" width="18" style="21" customWidth="1"/>
    <col min="12042" max="12042" width="17.28515625" style="21" customWidth="1"/>
    <col min="12043" max="12043" width="27.140625" style="21" customWidth="1"/>
    <col min="12044" max="12044" width="21.5703125" style="21" customWidth="1"/>
    <col min="12045" max="12045" width="19.28515625" style="21" customWidth="1"/>
    <col min="12046" max="12046" width="19.7109375" style="21" customWidth="1"/>
    <col min="12047" max="12047" width="24.5703125" style="21" customWidth="1"/>
    <col min="12048" max="12048" width="23.7109375" style="21" customWidth="1"/>
    <col min="12049" max="12288" width="9.140625" style="21"/>
    <col min="12289" max="12289" width="32.5703125" style="21" customWidth="1"/>
    <col min="12290" max="12290" width="32" style="21" customWidth="1"/>
    <col min="12291" max="12291" width="20.28515625" style="21" customWidth="1"/>
    <col min="12292" max="12292" width="0" style="21" hidden="1" customWidth="1"/>
    <col min="12293" max="12293" width="19.42578125" style="21" customWidth="1"/>
    <col min="12294" max="12294" width="13.5703125" style="21" customWidth="1"/>
    <col min="12295" max="12295" width="36.5703125" style="21" customWidth="1"/>
    <col min="12296" max="12296" width="15.140625" style="21" customWidth="1"/>
    <col min="12297" max="12297" width="18" style="21" customWidth="1"/>
    <col min="12298" max="12298" width="17.28515625" style="21" customWidth="1"/>
    <col min="12299" max="12299" width="27.140625" style="21" customWidth="1"/>
    <col min="12300" max="12300" width="21.5703125" style="21" customWidth="1"/>
    <col min="12301" max="12301" width="19.28515625" style="21" customWidth="1"/>
    <col min="12302" max="12302" width="19.7109375" style="21" customWidth="1"/>
    <col min="12303" max="12303" width="24.5703125" style="21" customWidth="1"/>
    <col min="12304" max="12304" width="23.7109375" style="21" customWidth="1"/>
    <col min="12305" max="12544" width="9.140625" style="21"/>
    <col min="12545" max="12545" width="32.5703125" style="21" customWidth="1"/>
    <col min="12546" max="12546" width="32" style="21" customWidth="1"/>
    <col min="12547" max="12547" width="20.28515625" style="21" customWidth="1"/>
    <col min="12548" max="12548" width="0" style="21" hidden="1" customWidth="1"/>
    <col min="12549" max="12549" width="19.42578125" style="21" customWidth="1"/>
    <col min="12550" max="12550" width="13.5703125" style="21" customWidth="1"/>
    <col min="12551" max="12551" width="36.5703125" style="21" customWidth="1"/>
    <col min="12552" max="12552" width="15.140625" style="21" customWidth="1"/>
    <col min="12553" max="12553" width="18" style="21" customWidth="1"/>
    <col min="12554" max="12554" width="17.28515625" style="21" customWidth="1"/>
    <col min="12555" max="12555" width="27.140625" style="21" customWidth="1"/>
    <col min="12556" max="12556" width="21.5703125" style="21" customWidth="1"/>
    <col min="12557" max="12557" width="19.28515625" style="21" customWidth="1"/>
    <col min="12558" max="12558" width="19.7109375" style="21" customWidth="1"/>
    <col min="12559" max="12559" width="24.5703125" style="21" customWidth="1"/>
    <col min="12560" max="12560" width="23.7109375" style="21" customWidth="1"/>
    <col min="12561" max="12800" width="9.140625" style="21"/>
    <col min="12801" max="12801" width="32.5703125" style="21" customWidth="1"/>
    <col min="12802" max="12802" width="32" style="21" customWidth="1"/>
    <col min="12803" max="12803" width="20.28515625" style="21" customWidth="1"/>
    <col min="12804" max="12804" width="0" style="21" hidden="1" customWidth="1"/>
    <col min="12805" max="12805" width="19.42578125" style="21" customWidth="1"/>
    <col min="12806" max="12806" width="13.5703125" style="21" customWidth="1"/>
    <col min="12807" max="12807" width="36.5703125" style="21" customWidth="1"/>
    <col min="12808" max="12808" width="15.140625" style="21" customWidth="1"/>
    <col min="12809" max="12809" width="18" style="21" customWidth="1"/>
    <col min="12810" max="12810" width="17.28515625" style="21" customWidth="1"/>
    <col min="12811" max="12811" width="27.140625" style="21" customWidth="1"/>
    <col min="12812" max="12812" width="21.5703125" style="21" customWidth="1"/>
    <col min="12813" max="12813" width="19.28515625" style="21" customWidth="1"/>
    <col min="12814" max="12814" width="19.7109375" style="21" customWidth="1"/>
    <col min="12815" max="12815" width="24.5703125" style="21" customWidth="1"/>
    <col min="12816" max="12816" width="23.7109375" style="21" customWidth="1"/>
    <col min="12817" max="13056" width="9.140625" style="21"/>
    <col min="13057" max="13057" width="32.5703125" style="21" customWidth="1"/>
    <col min="13058" max="13058" width="32" style="21" customWidth="1"/>
    <col min="13059" max="13059" width="20.28515625" style="21" customWidth="1"/>
    <col min="13060" max="13060" width="0" style="21" hidden="1" customWidth="1"/>
    <col min="13061" max="13061" width="19.42578125" style="21" customWidth="1"/>
    <col min="13062" max="13062" width="13.5703125" style="21" customWidth="1"/>
    <col min="13063" max="13063" width="36.5703125" style="21" customWidth="1"/>
    <col min="13064" max="13064" width="15.140625" style="21" customWidth="1"/>
    <col min="13065" max="13065" width="18" style="21" customWidth="1"/>
    <col min="13066" max="13066" width="17.28515625" style="21" customWidth="1"/>
    <col min="13067" max="13067" width="27.140625" style="21" customWidth="1"/>
    <col min="13068" max="13068" width="21.5703125" style="21" customWidth="1"/>
    <col min="13069" max="13069" width="19.28515625" style="21" customWidth="1"/>
    <col min="13070" max="13070" width="19.7109375" style="21" customWidth="1"/>
    <col min="13071" max="13071" width="24.5703125" style="21" customWidth="1"/>
    <col min="13072" max="13072" width="23.7109375" style="21" customWidth="1"/>
    <col min="13073" max="13312" width="9.140625" style="21"/>
    <col min="13313" max="13313" width="32.5703125" style="21" customWidth="1"/>
    <col min="13314" max="13314" width="32" style="21" customWidth="1"/>
    <col min="13315" max="13315" width="20.28515625" style="21" customWidth="1"/>
    <col min="13316" max="13316" width="0" style="21" hidden="1" customWidth="1"/>
    <col min="13317" max="13317" width="19.42578125" style="21" customWidth="1"/>
    <col min="13318" max="13318" width="13.5703125" style="21" customWidth="1"/>
    <col min="13319" max="13319" width="36.5703125" style="21" customWidth="1"/>
    <col min="13320" max="13320" width="15.140625" style="21" customWidth="1"/>
    <col min="13321" max="13321" width="18" style="21" customWidth="1"/>
    <col min="13322" max="13322" width="17.28515625" style="21" customWidth="1"/>
    <col min="13323" max="13323" width="27.140625" style="21" customWidth="1"/>
    <col min="13324" max="13324" width="21.5703125" style="21" customWidth="1"/>
    <col min="13325" max="13325" width="19.28515625" style="21" customWidth="1"/>
    <col min="13326" max="13326" width="19.7109375" style="21" customWidth="1"/>
    <col min="13327" max="13327" width="24.5703125" style="21" customWidth="1"/>
    <col min="13328" max="13328" width="23.7109375" style="21" customWidth="1"/>
    <col min="13329" max="13568" width="9.140625" style="21"/>
    <col min="13569" max="13569" width="32.5703125" style="21" customWidth="1"/>
    <col min="13570" max="13570" width="32" style="21" customWidth="1"/>
    <col min="13571" max="13571" width="20.28515625" style="21" customWidth="1"/>
    <col min="13572" max="13572" width="0" style="21" hidden="1" customWidth="1"/>
    <col min="13573" max="13573" width="19.42578125" style="21" customWidth="1"/>
    <col min="13574" max="13574" width="13.5703125" style="21" customWidth="1"/>
    <col min="13575" max="13575" width="36.5703125" style="21" customWidth="1"/>
    <col min="13576" max="13576" width="15.140625" style="21" customWidth="1"/>
    <col min="13577" max="13577" width="18" style="21" customWidth="1"/>
    <col min="13578" max="13578" width="17.28515625" style="21" customWidth="1"/>
    <col min="13579" max="13579" width="27.140625" style="21" customWidth="1"/>
    <col min="13580" max="13580" width="21.5703125" style="21" customWidth="1"/>
    <col min="13581" max="13581" width="19.28515625" style="21" customWidth="1"/>
    <col min="13582" max="13582" width="19.7109375" style="21" customWidth="1"/>
    <col min="13583" max="13583" width="24.5703125" style="21" customWidth="1"/>
    <col min="13584" max="13584" width="23.7109375" style="21" customWidth="1"/>
    <col min="13585" max="13824" width="9.140625" style="21"/>
    <col min="13825" max="13825" width="32.5703125" style="21" customWidth="1"/>
    <col min="13826" max="13826" width="32" style="21" customWidth="1"/>
    <col min="13827" max="13827" width="20.28515625" style="21" customWidth="1"/>
    <col min="13828" max="13828" width="0" style="21" hidden="1" customWidth="1"/>
    <col min="13829" max="13829" width="19.42578125" style="21" customWidth="1"/>
    <col min="13830" max="13830" width="13.5703125" style="21" customWidth="1"/>
    <col min="13831" max="13831" width="36.5703125" style="21" customWidth="1"/>
    <col min="13832" max="13832" width="15.140625" style="21" customWidth="1"/>
    <col min="13833" max="13833" width="18" style="21" customWidth="1"/>
    <col min="13834" max="13834" width="17.28515625" style="21" customWidth="1"/>
    <col min="13835" max="13835" width="27.140625" style="21" customWidth="1"/>
    <col min="13836" max="13836" width="21.5703125" style="21" customWidth="1"/>
    <col min="13837" max="13837" width="19.28515625" style="21" customWidth="1"/>
    <col min="13838" max="13838" width="19.7109375" style="21" customWidth="1"/>
    <col min="13839" max="13839" width="24.5703125" style="21" customWidth="1"/>
    <col min="13840" max="13840" width="23.7109375" style="21" customWidth="1"/>
    <col min="13841" max="14080" width="9.140625" style="21"/>
    <col min="14081" max="14081" width="32.5703125" style="21" customWidth="1"/>
    <col min="14082" max="14082" width="32" style="21" customWidth="1"/>
    <col min="14083" max="14083" width="20.28515625" style="21" customWidth="1"/>
    <col min="14084" max="14084" width="0" style="21" hidden="1" customWidth="1"/>
    <col min="14085" max="14085" width="19.42578125" style="21" customWidth="1"/>
    <col min="14086" max="14086" width="13.5703125" style="21" customWidth="1"/>
    <col min="14087" max="14087" width="36.5703125" style="21" customWidth="1"/>
    <col min="14088" max="14088" width="15.140625" style="21" customWidth="1"/>
    <col min="14089" max="14089" width="18" style="21" customWidth="1"/>
    <col min="14090" max="14090" width="17.28515625" style="21" customWidth="1"/>
    <col min="14091" max="14091" width="27.140625" style="21" customWidth="1"/>
    <col min="14092" max="14092" width="21.5703125" style="21" customWidth="1"/>
    <col min="14093" max="14093" width="19.28515625" style="21" customWidth="1"/>
    <col min="14094" max="14094" width="19.7109375" style="21" customWidth="1"/>
    <col min="14095" max="14095" width="24.5703125" style="21" customWidth="1"/>
    <col min="14096" max="14096" width="23.7109375" style="21" customWidth="1"/>
    <col min="14097" max="14336" width="9.140625" style="21"/>
    <col min="14337" max="14337" width="32.5703125" style="21" customWidth="1"/>
    <col min="14338" max="14338" width="32" style="21" customWidth="1"/>
    <col min="14339" max="14339" width="20.28515625" style="21" customWidth="1"/>
    <col min="14340" max="14340" width="0" style="21" hidden="1" customWidth="1"/>
    <col min="14341" max="14341" width="19.42578125" style="21" customWidth="1"/>
    <col min="14342" max="14342" width="13.5703125" style="21" customWidth="1"/>
    <col min="14343" max="14343" width="36.5703125" style="21" customWidth="1"/>
    <col min="14344" max="14344" width="15.140625" style="21" customWidth="1"/>
    <col min="14345" max="14345" width="18" style="21" customWidth="1"/>
    <col min="14346" max="14346" width="17.28515625" style="21" customWidth="1"/>
    <col min="14347" max="14347" width="27.140625" style="21" customWidth="1"/>
    <col min="14348" max="14348" width="21.5703125" style="21" customWidth="1"/>
    <col min="14349" max="14349" width="19.28515625" style="21" customWidth="1"/>
    <col min="14350" max="14350" width="19.7109375" style="21" customWidth="1"/>
    <col min="14351" max="14351" width="24.5703125" style="21" customWidth="1"/>
    <col min="14352" max="14352" width="23.7109375" style="21" customWidth="1"/>
    <col min="14353" max="14592" width="9.140625" style="21"/>
    <col min="14593" max="14593" width="32.5703125" style="21" customWidth="1"/>
    <col min="14594" max="14594" width="32" style="21" customWidth="1"/>
    <col min="14595" max="14595" width="20.28515625" style="21" customWidth="1"/>
    <col min="14596" max="14596" width="0" style="21" hidden="1" customWidth="1"/>
    <col min="14597" max="14597" width="19.42578125" style="21" customWidth="1"/>
    <col min="14598" max="14598" width="13.5703125" style="21" customWidth="1"/>
    <col min="14599" max="14599" width="36.5703125" style="21" customWidth="1"/>
    <col min="14600" max="14600" width="15.140625" style="21" customWidth="1"/>
    <col min="14601" max="14601" width="18" style="21" customWidth="1"/>
    <col min="14602" max="14602" width="17.28515625" style="21" customWidth="1"/>
    <col min="14603" max="14603" width="27.140625" style="21" customWidth="1"/>
    <col min="14604" max="14604" width="21.5703125" style="21" customWidth="1"/>
    <col min="14605" max="14605" width="19.28515625" style="21" customWidth="1"/>
    <col min="14606" max="14606" width="19.7109375" style="21" customWidth="1"/>
    <col min="14607" max="14607" width="24.5703125" style="21" customWidth="1"/>
    <col min="14608" max="14608" width="23.7109375" style="21" customWidth="1"/>
    <col min="14609" max="14848" width="9.140625" style="21"/>
    <col min="14849" max="14849" width="32.5703125" style="21" customWidth="1"/>
    <col min="14850" max="14850" width="32" style="21" customWidth="1"/>
    <col min="14851" max="14851" width="20.28515625" style="21" customWidth="1"/>
    <col min="14852" max="14852" width="0" style="21" hidden="1" customWidth="1"/>
    <col min="14853" max="14853" width="19.42578125" style="21" customWidth="1"/>
    <col min="14854" max="14854" width="13.5703125" style="21" customWidth="1"/>
    <col min="14855" max="14855" width="36.5703125" style="21" customWidth="1"/>
    <col min="14856" max="14856" width="15.140625" style="21" customWidth="1"/>
    <col min="14857" max="14857" width="18" style="21" customWidth="1"/>
    <col min="14858" max="14858" width="17.28515625" style="21" customWidth="1"/>
    <col min="14859" max="14859" width="27.140625" style="21" customWidth="1"/>
    <col min="14860" max="14860" width="21.5703125" style="21" customWidth="1"/>
    <col min="14861" max="14861" width="19.28515625" style="21" customWidth="1"/>
    <col min="14862" max="14862" width="19.7109375" style="21" customWidth="1"/>
    <col min="14863" max="14863" width="24.5703125" style="21" customWidth="1"/>
    <col min="14864" max="14864" width="23.7109375" style="21" customWidth="1"/>
    <col min="14865" max="15104" width="9.140625" style="21"/>
    <col min="15105" max="15105" width="32.5703125" style="21" customWidth="1"/>
    <col min="15106" max="15106" width="32" style="21" customWidth="1"/>
    <col min="15107" max="15107" width="20.28515625" style="21" customWidth="1"/>
    <col min="15108" max="15108" width="0" style="21" hidden="1" customWidth="1"/>
    <col min="15109" max="15109" width="19.42578125" style="21" customWidth="1"/>
    <col min="15110" max="15110" width="13.5703125" style="21" customWidth="1"/>
    <col min="15111" max="15111" width="36.5703125" style="21" customWidth="1"/>
    <col min="15112" max="15112" width="15.140625" style="21" customWidth="1"/>
    <col min="15113" max="15113" width="18" style="21" customWidth="1"/>
    <col min="15114" max="15114" width="17.28515625" style="21" customWidth="1"/>
    <col min="15115" max="15115" width="27.140625" style="21" customWidth="1"/>
    <col min="15116" max="15116" width="21.5703125" style="21" customWidth="1"/>
    <col min="15117" max="15117" width="19.28515625" style="21" customWidth="1"/>
    <col min="15118" max="15118" width="19.7109375" style="21" customWidth="1"/>
    <col min="15119" max="15119" width="24.5703125" style="21" customWidth="1"/>
    <col min="15120" max="15120" width="23.7109375" style="21" customWidth="1"/>
    <col min="15121" max="15360" width="9.140625" style="21"/>
    <col min="15361" max="15361" width="32.5703125" style="21" customWidth="1"/>
    <col min="15362" max="15362" width="32" style="21" customWidth="1"/>
    <col min="15363" max="15363" width="20.28515625" style="21" customWidth="1"/>
    <col min="15364" max="15364" width="0" style="21" hidden="1" customWidth="1"/>
    <col min="15365" max="15365" width="19.42578125" style="21" customWidth="1"/>
    <col min="15366" max="15366" width="13.5703125" style="21" customWidth="1"/>
    <col min="15367" max="15367" width="36.5703125" style="21" customWidth="1"/>
    <col min="15368" max="15368" width="15.140625" style="21" customWidth="1"/>
    <col min="15369" max="15369" width="18" style="21" customWidth="1"/>
    <col min="15370" max="15370" width="17.28515625" style="21" customWidth="1"/>
    <col min="15371" max="15371" width="27.140625" style="21" customWidth="1"/>
    <col min="15372" max="15372" width="21.5703125" style="21" customWidth="1"/>
    <col min="15373" max="15373" width="19.28515625" style="21" customWidth="1"/>
    <col min="15374" max="15374" width="19.7109375" style="21" customWidth="1"/>
    <col min="15375" max="15375" width="24.5703125" style="21" customWidth="1"/>
    <col min="15376" max="15376" width="23.7109375" style="21" customWidth="1"/>
    <col min="15377" max="15616" width="9.140625" style="21"/>
    <col min="15617" max="15617" width="32.5703125" style="21" customWidth="1"/>
    <col min="15618" max="15618" width="32" style="21" customWidth="1"/>
    <col min="15619" max="15619" width="20.28515625" style="21" customWidth="1"/>
    <col min="15620" max="15620" width="0" style="21" hidden="1" customWidth="1"/>
    <col min="15621" max="15621" width="19.42578125" style="21" customWidth="1"/>
    <col min="15622" max="15622" width="13.5703125" style="21" customWidth="1"/>
    <col min="15623" max="15623" width="36.5703125" style="21" customWidth="1"/>
    <col min="15624" max="15624" width="15.140625" style="21" customWidth="1"/>
    <col min="15625" max="15625" width="18" style="21" customWidth="1"/>
    <col min="15626" max="15626" width="17.28515625" style="21" customWidth="1"/>
    <col min="15627" max="15627" width="27.140625" style="21" customWidth="1"/>
    <col min="15628" max="15628" width="21.5703125" style="21" customWidth="1"/>
    <col min="15629" max="15629" width="19.28515625" style="21" customWidth="1"/>
    <col min="15630" max="15630" width="19.7109375" style="21" customWidth="1"/>
    <col min="15631" max="15631" width="24.5703125" style="21" customWidth="1"/>
    <col min="15632" max="15632" width="23.7109375" style="21" customWidth="1"/>
    <col min="15633" max="15872" width="9.140625" style="21"/>
    <col min="15873" max="15873" width="32.5703125" style="21" customWidth="1"/>
    <col min="15874" max="15874" width="32" style="21" customWidth="1"/>
    <col min="15875" max="15875" width="20.28515625" style="21" customWidth="1"/>
    <col min="15876" max="15876" width="0" style="21" hidden="1" customWidth="1"/>
    <col min="15877" max="15877" width="19.42578125" style="21" customWidth="1"/>
    <col min="15878" max="15878" width="13.5703125" style="21" customWidth="1"/>
    <col min="15879" max="15879" width="36.5703125" style="21" customWidth="1"/>
    <col min="15880" max="15880" width="15.140625" style="21" customWidth="1"/>
    <col min="15881" max="15881" width="18" style="21" customWidth="1"/>
    <col min="15882" max="15882" width="17.28515625" style="21" customWidth="1"/>
    <col min="15883" max="15883" width="27.140625" style="21" customWidth="1"/>
    <col min="15884" max="15884" width="21.5703125" style="21" customWidth="1"/>
    <col min="15885" max="15885" width="19.28515625" style="21" customWidth="1"/>
    <col min="15886" max="15886" width="19.7109375" style="21" customWidth="1"/>
    <col min="15887" max="15887" width="24.5703125" style="21" customWidth="1"/>
    <col min="15888" max="15888" width="23.7109375" style="21" customWidth="1"/>
    <col min="15889" max="16128" width="9.140625" style="21"/>
    <col min="16129" max="16129" width="32.5703125" style="21" customWidth="1"/>
    <col min="16130" max="16130" width="32" style="21" customWidth="1"/>
    <col min="16131" max="16131" width="20.28515625" style="21" customWidth="1"/>
    <col min="16132" max="16132" width="0" style="21" hidden="1" customWidth="1"/>
    <col min="16133" max="16133" width="19.42578125" style="21" customWidth="1"/>
    <col min="16134" max="16134" width="13.5703125" style="21" customWidth="1"/>
    <col min="16135" max="16135" width="36.5703125" style="21" customWidth="1"/>
    <col min="16136" max="16136" width="15.140625" style="21" customWidth="1"/>
    <col min="16137" max="16137" width="18" style="21" customWidth="1"/>
    <col min="16138" max="16138" width="17.28515625" style="21" customWidth="1"/>
    <col min="16139" max="16139" width="27.140625" style="21" customWidth="1"/>
    <col min="16140" max="16140" width="21.5703125" style="21" customWidth="1"/>
    <col min="16141" max="16141" width="19.28515625" style="21" customWidth="1"/>
    <col min="16142" max="16142" width="19.7109375" style="21" customWidth="1"/>
    <col min="16143" max="16143" width="24.5703125" style="21" customWidth="1"/>
    <col min="16144" max="16144" width="23.7109375" style="21" customWidth="1"/>
    <col min="16145" max="16384" width="9.140625" style="21"/>
  </cols>
  <sheetData>
    <row r="1" spans="1:16" ht="17.100000000000001" customHeight="1">
      <c r="A1" s="2560" t="s">
        <v>3296</v>
      </c>
      <c r="B1" s="1846"/>
      <c r="C1" s="1846"/>
      <c r="D1" s="1846"/>
      <c r="E1" s="1846"/>
      <c r="F1" s="1846"/>
      <c r="G1" s="1846"/>
      <c r="H1" s="1846"/>
      <c r="I1" s="1846"/>
      <c r="J1" s="1846"/>
      <c r="K1" s="1846"/>
      <c r="L1" s="1846"/>
      <c r="M1" s="1846"/>
      <c r="N1" s="1846"/>
      <c r="O1" s="1846"/>
      <c r="P1" s="1846"/>
    </row>
    <row r="2" spans="1:16" ht="15.4" customHeight="1"/>
    <row r="3" spans="1:16" ht="17.100000000000001" customHeight="1">
      <c r="A3" s="2561" t="s">
        <v>3297</v>
      </c>
      <c r="B3" s="1846"/>
      <c r="C3" s="1846"/>
      <c r="D3" s="1846"/>
      <c r="E3" s="1846"/>
      <c r="F3" s="1846"/>
      <c r="G3" s="1846"/>
      <c r="H3" s="1846"/>
      <c r="I3" s="1846"/>
      <c r="J3" s="1846"/>
      <c r="K3" s="1846"/>
      <c r="L3" s="1846"/>
      <c r="M3" s="1846"/>
      <c r="N3" s="1846"/>
      <c r="O3" s="1846"/>
      <c r="P3" s="1846"/>
    </row>
    <row r="4" spans="1:16" ht="7.35" customHeight="1"/>
    <row r="5" spans="1:16">
      <c r="A5" s="1681" t="s">
        <v>1969</v>
      </c>
      <c r="B5" s="2562" t="s">
        <v>2512</v>
      </c>
      <c r="C5" s="1846"/>
    </row>
    <row r="6" spans="1:16" ht="15" hidden="1" customHeight="1"/>
    <row r="7" spans="1:16" ht="14.85" customHeight="1"/>
    <row r="8" spans="1:16">
      <c r="A8" s="2563" t="s">
        <v>3298</v>
      </c>
      <c r="B8" s="2171"/>
      <c r="C8" s="2171"/>
      <c r="D8" s="2171"/>
      <c r="E8" s="2162"/>
      <c r="F8" s="2563" t="s">
        <v>3299</v>
      </c>
      <c r="G8" s="2162"/>
      <c r="H8" s="2563" t="s">
        <v>3300</v>
      </c>
      <c r="I8" s="2563" t="s">
        <v>3301</v>
      </c>
      <c r="J8" s="2563" t="s">
        <v>3302</v>
      </c>
      <c r="K8" s="2563" t="s">
        <v>2645</v>
      </c>
      <c r="L8" s="2563" t="s">
        <v>3303</v>
      </c>
      <c r="M8" s="2563" t="s">
        <v>3304</v>
      </c>
      <c r="N8" s="2563" t="s">
        <v>3305</v>
      </c>
      <c r="O8" s="2563" t="s">
        <v>3306</v>
      </c>
      <c r="P8" s="2563" t="s">
        <v>3307</v>
      </c>
    </row>
    <row r="9" spans="1:16">
      <c r="A9" s="1734" t="s">
        <v>366</v>
      </c>
      <c r="B9" s="1734" t="s">
        <v>367</v>
      </c>
      <c r="C9" s="1734" t="s">
        <v>3308</v>
      </c>
      <c r="E9" s="1734" t="s">
        <v>3309</v>
      </c>
      <c r="F9" s="1734" t="s">
        <v>366</v>
      </c>
      <c r="G9" s="1734" t="s">
        <v>367</v>
      </c>
      <c r="H9" s="2178"/>
      <c r="I9" s="2178"/>
      <c r="J9" s="2178"/>
      <c r="K9" s="2178"/>
      <c r="L9" s="2178"/>
      <c r="M9" s="2178"/>
      <c r="N9" s="2178"/>
      <c r="O9" s="2178"/>
      <c r="P9" s="2178"/>
    </row>
    <row r="10" spans="1:16">
      <c r="A10" s="2559" t="s">
        <v>57</v>
      </c>
      <c r="B10" s="2171"/>
      <c r="C10" s="2171"/>
      <c r="D10" s="2171"/>
      <c r="E10" s="2171"/>
      <c r="F10" s="2171"/>
      <c r="G10" s="2171"/>
      <c r="H10" s="2162"/>
      <c r="I10" s="1735">
        <v>67737009.709999993</v>
      </c>
      <c r="J10" s="1735">
        <v>51839550.799999997</v>
      </c>
      <c r="K10" s="1736"/>
      <c r="L10" s="1736"/>
      <c r="M10" s="1736"/>
      <c r="N10" s="1736"/>
      <c r="O10" s="1736"/>
      <c r="P10" s="1736"/>
    </row>
    <row r="11" spans="1:16" ht="51">
      <c r="A11" s="1736" t="s">
        <v>2754</v>
      </c>
      <c r="B11" s="1736" t="s">
        <v>2755</v>
      </c>
      <c r="C11" s="1736" t="s">
        <v>1914</v>
      </c>
      <c r="E11" s="1736" t="s">
        <v>2061</v>
      </c>
      <c r="F11" s="1736" t="s">
        <v>2771</v>
      </c>
      <c r="G11" s="1736" t="s">
        <v>2770</v>
      </c>
      <c r="H11" s="1737">
        <v>43245</v>
      </c>
      <c r="I11" s="1738">
        <v>6000000</v>
      </c>
      <c r="J11" s="1738">
        <v>6000000</v>
      </c>
      <c r="K11" s="1737">
        <v>43340</v>
      </c>
      <c r="L11" s="1736"/>
      <c r="M11" s="1737">
        <v>43245</v>
      </c>
      <c r="N11" s="1737">
        <v>43342</v>
      </c>
      <c r="O11" s="1736" t="s">
        <v>3413</v>
      </c>
      <c r="P11" s="1736" t="s">
        <v>3322</v>
      </c>
    </row>
    <row r="12" spans="1:16" ht="38.25">
      <c r="A12" s="1736" t="s">
        <v>716</v>
      </c>
      <c r="B12" s="1736" t="s">
        <v>633</v>
      </c>
      <c r="C12" s="1736" t="s">
        <v>1827</v>
      </c>
      <c r="E12" s="1736" t="s">
        <v>2137</v>
      </c>
      <c r="F12" s="1736" t="s">
        <v>2799</v>
      </c>
      <c r="G12" s="1736" t="s">
        <v>345</v>
      </c>
      <c r="H12" s="1737">
        <v>42914</v>
      </c>
      <c r="I12" s="1738">
        <v>133670.07</v>
      </c>
      <c r="J12" s="1738">
        <v>113619.56</v>
      </c>
      <c r="K12" s="1737">
        <v>42991</v>
      </c>
      <c r="L12" s="1737">
        <v>43410</v>
      </c>
      <c r="M12" s="1737">
        <v>42914</v>
      </c>
      <c r="N12" s="1737">
        <v>42991</v>
      </c>
      <c r="O12" s="1736" t="s">
        <v>3803</v>
      </c>
      <c r="P12" s="1736"/>
    </row>
    <row r="13" spans="1:16" ht="51">
      <c r="A13" s="1736" t="s">
        <v>1208</v>
      </c>
      <c r="B13" s="1736" t="s">
        <v>2076</v>
      </c>
      <c r="C13" s="1736" t="s">
        <v>1914</v>
      </c>
      <c r="E13" s="1736" t="s">
        <v>2061</v>
      </c>
      <c r="F13" s="1736" t="s">
        <v>2812</v>
      </c>
      <c r="G13" s="1736" t="s">
        <v>161</v>
      </c>
      <c r="H13" s="1737">
        <v>43007</v>
      </c>
      <c r="I13" s="1738">
        <v>93938.42</v>
      </c>
      <c r="J13" s="1738">
        <v>73501</v>
      </c>
      <c r="K13" s="1737">
        <v>43119</v>
      </c>
      <c r="L13" s="1736"/>
      <c r="M13" s="1737">
        <v>43007</v>
      </c>
      <c r="N13" s="1737">
        <v>43122</v>
      </c>
      <c r="O13" s="1736" t="s">
        <v>4345</v>
      </c>
      <c r="P13" s="1736" t="s">
        <v>4110</v>
      </c>
    </row>
    <row r="14" spans="1:16" ht="51">
      <c r="A14" s="1736" t="s">
        <v>3367</v>
      </c>
      <c r="B14" s="1736" t="s">
        <v>2076</v>
      </c>
      <c r="C14" s="1736" t="s">
        <v>3357</v>
      </c>
      <c r="E14" s="1736" t="s">
        <v>3358</v>
      </c>
      <c r="F14" s="1736" t="s">
        <v>2812</v>
      </c>
      <c r="G14" s="1736" t="s">
        <v>3368</v>
      </c>
      <c r="H14" s="1737">
        <v>43052</v>
      </c>
      <c r="I14" s="1738">
        <v>97868.08</v>
      </c>
      <c r="J14" s="1738">
        <v>73501</v>
      </c>
      <c r="K14" s="1736"/>
      <c r="L14" s="1736"/>
      <c r="M14" s="1737">
        <v>43052</v>
      </c>
      <c r="N14" s="1736"/>
      <c r="O14" s="1736"/>
      <c r="P14" s="1736"/>
    </row>
    <row r="15" spans="1:16" ht="38.25">
      <c r="A15" s="1736" t="s">
        <v>1237</v>
      </c>
      <c r="B15" s="1736" t="s">
        <v>642</v>
      </c>
      <c r="C15" s="1736" t="s">
        <v>1914</v>
      </c>
      <c r="E15" s="1736" t="s">
        <v>2061</v>
      </c>
      <c r="F15" s="1736" t="s">
        <v>2820</v>
      </c>
      <c r="G15" s="1736" t="s">
        <v>282</v>
      </c>
      <c r="H15" s="1737">
        <v>43098</v>
      </c>
      <c r="I15" s="1738">
        <v>95080</v>
      </c>
      <c r="J15" s="1738">
        <v>80810</v>
      </c>
      <c r="K15" s="1737">
        <v>43193</v>
      </c>
      <c r="L15" s="1736"/>
      <c r="M15" s="1737">
        <v>43098</v>
      </c>
      <c r="N15" s="1737">
        <v>43193</v>
      </c>
      <c r="O15" s="1736" t="s">
        <v>3343</v>
      </c>
      <c r="P15" s="1736" t="s">
        <v>3313</v>
      </c>
    </row>
    <row r="16" spans="1:16" ht="25.5">
      <c r="A16" s="1736" t="s">
        <v>1591</v>
      </c>
      <c r="B16" s="1736" t="s">
        <v>380</v>
      </c>
      <c r="C16" s="1736" t="s">
        <v>1914</v>
      </c>
      <c r="E16" s="1736" t="s">
        <v>2061</v>
      </c>
      <c r="F16" s="1736" t="s">
        <v>2828</v>
      </c>
      <c r="G16" s="1736" t="s">
        <v>184</v>
      </c>
      <c r="H16" s="1737">
        <v>43131</v>
      </c>
      <c r="I16" s="1738">
        <v>98949.56</v>
      </c>
      <c r="J16" s="1738">
        <v>84107.13</v>
      </c>
      <c r="K16" s="1737">
        <v>43243</v>
      </c>
      <c r="L16" s="1736"/>
      <c r="M16" s="1737">
        <v>43131</v>
      </c>
      <c r="N16" s="1737">
        <v>43245</v>
      </c>
      <c r="O16" s="1736" t="s">
        <v>3383</v>
      </c>
      <c r="P16" s="1736" t="s">
        <v>3313</v>
      </c>
    </row>
    <row r="17" spans="1:16" ht="38.25">
      <c r="A17" s="1736" t="s">
        <v>4470</v>
      </c>
      <c r="B17" s="1736" t="s">
        <v>4471</v>
      </c>
      <c r="C17" s="1736" t="s">
        <v>1942</v>
      </c>
      <c r="E17" s="1736" t="s">
        <v>3422</v>
      </c>
      <c r="F17" s="1736" t="s">
        <v>2929</v>
      </c>
      <c r="G17" s="1736" t="s">
        <v>235</v>
      </c>
      <c r="H17" s="1737">
        <v>43508</v>
      </c>
      <c r="I17" s="1738">
        <v>158062.60999999999</v>
      </c>
      <c r="J17" s="1738">
        <v>56623</v>
      </c>
      <c r="K17" s="1736"/>
      <c r="L17" s="1736"/>
      <c r="M17" s="1737">
        <v>43508</v>
      </c>
      <c r="N17" s="1736"/>
      <c r="O17" s="1736" t="s">
        <v>4472</v>
      </c>
      <c r="P17" s="1736"/>
    </row>
    <row r="18" spans="1:16" ht="38.25">
      <c r="A18" s="1736" t="s">
        <v>1653</v>
      </c>
      <c r="B18" s="1736" t="s">
        <v>3423</v>
      </c>
      <c r="C18" s="1736" t="s">
        <v>1914</v>
      </c>
      <c r="E18" s="1736" t="s">
        <v>2061</v>
      </c>
      <c r="F18" s="1736" t="s">
        <v>2812</v>
      </c>
      <c r="G18" s="1736" t="s">
        <v>161</v>
      </c>
      <c r="H18" s="1737">
        <v>43342</v>
      </c>
      <c r="I18" s="1738">
        <v>218160</v>
      </c>
      <c r="J18" s="1738">
        <v>185436</v>
      </c>
      <c r="K18" s="1737">
        <v>43514</v>
      </c>
      <c r="L18" s="1736"/>
      <c r="M18" s="1737">
        <v>43342</v>
      </c>
      <c r="N18" s="1737">
        <v>43515</v>
      </c>
      <c r="O18" s="1736" t="s">
        <v>3342</v>
      </c>
      <c r="P18" s="1736" t="s">
        <v>4342</v>
      </c>
    </row>
    <row r="19" spans="1:16" ht="25.5">
      <c r="A19" s="1736" t="s">
        <v>1654</v>
      </c>
      <c r="B19" s="1736" t="s">
        <v>3424</v>
      </c>
      <c r="C19" s="1736" t="s">
        <v>1914</v>
      </c>
      <c r="E19" s="1736" t="s">
        <v>2061</v>
      </c>
      <c r="F19" s="1736" t="s">
        <v>2929</v>
      </c>
      <c r="G19" s="1736" t="s">
        <v>235</v>
      </c>
      <c r="H19" s="1737">
        <v>43343</v>
      </c>
      <c r="I19" s="1738">
        <v>694245</v>
      </c>
      <c r="J19" s="1738">
        <v>417548</v>
      </c>
      <c r="K19" s="1737">
        <v>43514</v>
      </c>
      <c r="L19" s="1736"/>
      <c r="M19" s="1737">
        <v>43343</v>
      </c>
      <c r="N19" s="1737">
        <v>43515</v>
      </c>
      <c r="O19" s="1736" t="s">
        <v>3425</v>
      </c>
      <c r="P19" s="1736" t="s">
        <v>4346</v>
      </c>
    </row>
    <row r="20" spans="1:16" ht="25.5">
      <c r="A20" s="1736" t="s">
        <v>704</v>
      </c>
      <c r="B20" s="1736" t="s">
        <v>304</v>
      </c>
      <c r="C20" s="1736" t="s">
        <v>1914</v>
      </c>
      <c r="E20" s="1736" t="s">
        <v>2061</v>
      </c>
      <c r="F20" s="1736" t="s">
        <v>2843</v>
      </c>
      <c r="G20" s="1736" t="s">
        <v>2842</v>
      </c>
      <c r="H20" s="1737">
        <v>42726</v>
      </c>
      <c r="I20" s="1738">
        <v>3990955.51</v>
      </c>
      <c r="J20" s="1738">
        <v>3392312.19</v>
      </c>
      <c r="K20" s="1737">
        <v>42815</v>
      </c>
      <c r="L20" s="1736"/>
      <c r="M20" s="1737">
        <v>42727</v>
      </c>
      <c r="N20" s="1737">
        <v>42815</v>
      </c>
      <c r="O20" s="1736" t="s">
        <v>3327</v>
      </c>
      <c r="P20" s="1736"/>
    </row>
    <row r="21" spans="1:16" ht="25.5">
      <c r="A21" s="1736" t="s">
        <v>729</v>
      </c>
      <c r="B21" s="1736" t="s">
        <v>2085</v>
      </c>
      <c r="C21" s="1736" t="s">
        <v>1914</v>
      </c>
      <c r="E21" s="1736" t="s">
        <v>2061</v>
      </c>
      <c r="F21" s="1736" t="s">
        <v>2858</v>
      </c>
      <c r="G21" s="1736" t="s">
        <v>2857</v>
      </c>
      <c r="H21" s="1737">
        <v>42832</v>
      </c>
      <c r="I21" s="1738">
        <v>4130687.05</v>
      </c>
      <c r="J21" s="1738">
        <v>3352807.77</v>
      </c>
      <c r="K21" s="1737">
        <v>42957</v>
      </c>
      <c r="L21" s="1736"/>
      <c r="M21" s="1737">
        <v>42839</v>
      </c>
      <c r="N21" s="1737">
        <v>42965</v>
      </c>
      <c r="O21" s="1736" t="s">
        <v>3341</v>
      </c>
      <c r="P21" s="1736"/>
    </row>
    <row r="22" spans="1:16" ht="38.25">
      <c r="A22" s="1736" t="s">
        <v>699</v>
      </c>
      <c r="B22" s="1736" t="s">
        <v>293</v>
      </c>
      <c r="C22" s="1736" t="s">
        <v>1914</v>
      </c>
      <c r="E22" s="1736" t="s">
        <v>2061</v>
      </c>
      <c r="F22" s="1736" t="s">
        <v>2869</v>
      </c>
      <c r="G22" s="1736" t="s">
        <v>2868</v>
      </c>
      <c r="H22" s="1737">
        <v>42671</v>
      </c>
      <c r="I22" s="1738">
        <v>2474472.79</v>
      </c>
      <c r="J22" s="1738">
        <v>1614228.26</v>
      </c>
      <c r="K22" s="1737">
        <v>42766</v>
      </c>
      <c r="L22" s="1736"/>
      <c r="M22" s="1737">
        <v>42674</v>
      </c>
      <c r="N22" s="1737">
        <v>42766</v>
      </c>
      <c r="O22" s="1736" t="s">
        <v>3804</v>
      </c>
      <c r="P22" s="1736"/>
    </row>
    <row r="23" spans="1:16" ht="38.25">
      <c r="A23" s="1736" t="s">
        <v>700</v>
      </c>
      <c r="B23" s="1736" t="s">
        <v>387</v>
      </c>
      <c r="C23" s="1736" t="s">
        <v>1914</v>
      </c>
      <c r="E23" s="1736" t="s">
        <v>2061</v>
      </c>
      <c r="F23" s="1736" t="s">
        <v>2843</v>
      </c>
      <c r="G23" s="1736" t="s">
        <v>2842</v>
      </c>
      <c r="H23" s="1737">
        <v>42674</v>
      </c>
      <c r="I23" s="1738">
        <v>5598211</v>
      </c>
      <c r="J23" s="1738">
        <v>2645996.25</v>
      </c>
      <c r="K23" s="1737">
        <v>42726</v>
      </c>
      <c r="L23" s="1736"/>
      <c r="M23" s="1737">
        <v>42678</v>
      </c>
      <c r="N23" s="1737">
        <v>42726</v>
      </c>
      <c r="O23" s="1736" t="s">
        <v>3327</v>
      </c>
      <c r="P23" s="1736"/>
    </row>
    <row r="24" spans="1:16" ht="38.25">
      <c r="A24" s="1736" t="s">
        <v>703</v>
      </c>
      <c r="B24" s="1736" t="s">
        <v>297</v>
      </c>
      <c r="C24" s="1736" t="s">
        <v>1914</v>
      </c>
      <c r="E24" s="1736" t="s">
        <v>2061</v>
      </c>
      <c r="F24" s="1736" t="s">
        <v>2881</v>
      </c>
      <c r="G24" s="1736" t="s">
        <v>227</v>
      </c>
      <c r="H24" s="1737">
        <v>42682</v>
      </c>
      <c r="I24" s="1738">
        <v>5160736.5999999996</v>
      </c>
      <c r="J24" s="1738">
        <v>2874174.73</v>
      </c>
      <c r="K24" s="1737">
        <v>42810</v>
      </c>
      <c r="L24" s="1736"/>
      <c r="M24" s="1737">
        <v>42682</v>
      </c>
      <c r="N24" s="1737">
        <v>42823</v>
      </c>
      <c r="O24" s="1736" t="s">
        <v>3324</v>
      </c>
      <c r="P24" s="1736"/>
    </row>
    <row r="25" spans="1:16" ht="51">
      <c r="A25" s="1736" t="s">
        <v>702</v>
      </c>
      <c r="B25" s="1736" t="s">
        <v>278</v>
      </c>
      <c r="C25" s="1736" t="s">
        <v>1914</v>
      </c>
      <c r="E25" s="1736" t="s">
        <v>2061</v>
      </c>
      <c r="F25" s="1736" t="s">
        <v>2890</v>
      </c>
      <c r="G25" s="1736" t="s">
        <v>2889</v>
      </c>
      <c r="H25" s="1737">
        <v>42734</v>
      </c>
      <c r="I25" s="1738">
        <v>1298773.75</v>
      </c>
      <c r="J25" s="1738">
        <v>796102</v>
      </c>
      <c r="K25" s="1737">
        <v>42818</v>
      </c>
      <c r="L25" s="1736"/>
      <c r="M25" s="1737">
        <v>42737</v>
      </c>
      <c r="N25" s="1737">
        <v>42821</v>
      </c>
      <c r="O25" s="1736" t="s">
        <v>3327</v>
      </c>
      <c r="P25" s="1736"/>
    </row>
    <row r="26" spans="1:16" ht="38.25">
      <c r="A26" s="1736" t="s">
        <v>701</v>
      </c>
      <c r="B26" s="1736" t="s">
        <v>303</v>
      </c>
      <c r="C26" s="1736" t="s">
        <v>1914</v>
      </c>
      <c r="E26" s="1736" t="s">
        <v>2061</v>
      </c>
      <c r="F26" s="1736" t="s">
        <v>2897</v>
      </c>
      <c r="G26" s="1736" t="s">
        <v>2896</v>
      </c>
      <c r="H26" s="1737">
        <v>42919</v>
      </c>
      <c r="I26" s="1738">
        <v>1481000</v>
      </c>
      <c r="J26" s="1738">
        <v>867744</v>
      </c>
      <c r="K26" s="1737">
        <v>43146</v>
      </c>
      <c r="L26" s="1736"/>
      <c r="M26" s="1737">
        <v>42919</v>
      </c>
      <c r="N26" s="1737">
        <v>43150</v>
      </c>
      <c r="O26" s="1736" t="s">
        <v>3327</v>
      </c>
      <c r="P26" s="1736"/>
    </row>
    <row r="27" spans="1:16" ht="25.5">
      <c r="A27" s="1736" t="s">
        <v>1592</v>
      </c>
      <c r="B27" s="1736" t="s">
        <v>2918</v>
      </c>
      <c r="C27" s="1736" t="s">
        <v>1914</v>
      </c>
      <c r="E27" s="1736" t="s">
        <v>2061</v>
      </c>
      <c r="F27" s="1736" t="s">
        <v>2812</v>
      </c>
      <c r="G27" s="1736" t="s">
        <v>161</v>
      </c>
      <c r="H27" s="1737">
        <v>43178</v>
      </c>
      <c r="I27" s="1738">
        <v>242419</v>
      </c>
      <c r="J27" s="1738">
        <v>206056</v>
      </c>
      <c r="K27" s="1737">
        <v>43335</v>
      </c>
      <c r="L27" s="1736"/>
      <c r="M27" s="1737">
        <v>43178</v>
      </c>
      <c r="N27" s="1737">
        <v>43340</v>
      </c>
      <c r="O27" s="1736" t="s">
        <v>3389</v>
      </c>
      <c r="P27" s="1736" t="s">
        <v>3390</v>
      </c>
    </row>
    <row r="28" spans="1:16" ht="51">
      <c r="A28" s="1736" t="s">
        <v>1593</v>
      </c>
      <c r="B28" s="1736" t="s">
        <v>389</v>
      </c>
      <c r="C28" s="1736" t="s">
        <v>1914</v>
      </c>
      <c r="E28" s="1736" t="s">
        <v>2061</v>
      </c>
      <c r="F28" s="1736" t="s">
        <v>2929</v>
      </c>
      <c r="G28" s="1736" t="s">
        <v>235</v>
      </c>
      <c r="H28" s="1737">
        <v>43189</v>
      </c>
      <c r="I28" s="1738">
        <v>297670.40999999997</v>
      </c>
      <c r="J28" s="1738">
        <v>206056</v>
      </c>
      <c r="K28" s="1737">
        <v>43285</v>
      </c>
      <c r="L28" s="1736"/>
      <c r="M28" s="1737">
        <v>43189</v>
      </c>
      <c r="N28" s="1737">
        <v>43285</v>
      </c>
      <c r="O28" s="1736" t="s">
        <v>3389</v>
      </c>
      <c r="P28" s="1736" t="s">
        <v>4342</v>
      </c>
    </row>
    <row r="29" spans="1:16" ht="38.25">
      <c r="A29" s="1736" t="s">
        <v>1596</v>
      </c>
      <c r="B29" s="1736" t="s">
        <v>2936</v>
      </c>
      <c r="C29" s="1736" t="s">
        <v>1914</v>
      </c>
      <c r="E29" s="1736" t="s">
        <v>2061</v>
      </c>
      <c r="F29" s="1736" t="s">
        <v>2799</v>
      </c>
      <c r="G29" s="1736" t="s">
        <v>345</v>
      </c>
      <c r="H29" s="1737">
        <v>43189</v>
      </c>
      <c r="I29" s="1738">
        <v>444560.16</v>
      </c>
      <c r="J29" s="1738">
        <v>206056</v>
      </c>
      <c r="K29" s="1737">
        <v>43276</v>
      </c>
      <c r="L29" s="1736"/>
      <c r="M29" s="1737">
        <v>43189</v>
      </c>
      <c r="N29" s="1737">
        <v>43283</v>
      </c>
      <c r="O29" s="1736" t="s">
        <v>3389</v>
      </c>
      <c r="P29" s="1736" t="s">
        <v>3313</v>
      </c>
    </row>
    <row r="30" spans="1:16" ht="38.25">
      <c r="A30" s="1736" t="s">
        <v>1594</v>
      </c>
      <c r="B30" s="1736" t="s">
        <v>3393</v>
      </c>
      <c r="C30" s="1736" t="s">
        <v>1914</v>
      </c>
      <c r="E30" s="1736" t="s">
        <v>2061</v>
      </c>
      <c r="F30" s="1736" t="s">
        <v>2828</v>
      </c>
      <c r="G30" s="1736" t="s">
        <v>184</v>
      </c>
      <c r="H30" s="1737">
        <v>43189</v>
      </c>
      <c r="I30" s="1738">
        <v>234872.55</v>
      </c>
      <c r="J30" s="1738">
        <v>199641.66</v>
      </c>
      <c r="K30" s="1737">
        <v>43427</v>
      </c>
      <c r="L30" s="1736"/>
      <c r="M30" s="1737">
        <v>43189</v>
      </c>
      <c r="N30" s="1737">
        <v>43433</v>
      </c>
      <c r="O30" s="1736" t="s">
        <v>3395</v>
      </c>
      <c r="P30" s="1736" t="s">
        <v>4110</v>
      </c>
    </row>
    <row r="31" spans="1:16" ht="38.25">
      <c r="A31" s="1736" t="s">
        <v>1595</v>
      </c>
      <c r="B31" s="1736" t="s">
        <v>641</v>
      </c>
      <c r="C31" s="1736" t="s">
        <v>1914</v>
      </c>
      <c r="E31" s="1736" t="s">
        <v>2061</v>
      </c>
      <c r="F31" s="1736" t="s">
        <v>2820</v>
      </c>
      <c r="G31" s="1736" t="s">
        <v>282</v>
      </c>
      <c r="H31" s="1737">
        <v>43214</v>
      </c>
      <c r="I31" s="1738">
        <v>204605.56</v>
      </c>
      <c r="J31" s="1738">
        <v>173914.72</v>
      </c>
      <c r="K31" s="1737">
        <v>43307</v>
      </c>
      <c r="L31" s="1736"/>
      <c r="M31" s="1737">
        <v>43214</v>
      </c>
      <c r="N31" s="1737">
        <v>43308</v>
      </c>
      <c r="O31" s="1736" t="s">
        <v>3396</v>
      </c>
      <c r="P31" s="1736" t="s">
        <v>3390</v>
      </c>
    </row>
    <row r="32" spans="1:16" ht="51">
      <c r="A32" s="1736" t="s">
        <v>3403</v>
      </c>
      <c r="B32" s="1736" t="s">
        <v>389</v>
      </c>
      <c r="C32" s="1736" t="s">
        <v>3357</v>
      </c>
      <c r="E32" s="1736" t="s">
        <v>3358</v>
      </c>
      <c r="F32" s="1736" t="s">
        <v>2929</v>
      </c>
      <c r="G32" s="1736" t="s">
        <v>235</v>
      </c>
      <c r="H32" s="1737">
        <v>43229</v>
      </c>
      <c r="I32" s="1738">
        <v>297670.40999999997</v>
      </c>
      <c r="J32" s="1738">
        <v>206056</v>
      </c>
      <c r="K32" s="1736"/>
      <c r="L32" s="1736"/>
      <c r="M32" s="1737">
        <v>43229</v>
      </c>
      <c r="N32" s="1736"/>
      <c r="O32" s="1736"/>
      <c r="P32" s="1736"/>
    </row>
    <row r="33" spans="1:16" ht="38.25">
      <c r="A33" s="1736" t="s">
        <v>3426</v>
      </c>
      <c r="B33" s="1736" t="s">
        <v>3393</v>
      </c>
      <c r="C33" s="1736" t="s">
        <v>3357</v>
      </c>
      <c r="E33" s="1736" t="s">
        <v>3358</v>
      </c>
      <c r="F33" s="1736" t="s">
        <v>2828</v>
      </c>
      <c r="G33" s="1736" t="s">
        <v>184</v>
      </c>
      <c r="H33" s="1737">
        <v>43350</v>
      </c>
      <c r="I33" s="1738">
        <v>260122</v>
      </c>
      <c r="J33" s="1738">
        <v>206056</v>
      </c>
      <c r="K33" s="1736"/>
      <c r="L33" s="1736"/>
      <c r="M33" s="1737">
        <v>43350</v>
      </c>
      <c r="N33" s="1736"/>
      <c r="O33" s="1736"/>
      <c r="P33" s="1736"/>
    </row>
    <row r="34" spans="1:16" ht="51">
      <c r="A34" s="1736" t="s">
        <v>705</v>
      </c>
      <c r="B34" s="1736" t="s">
        <v>2108</v>
      </c>
      <c r="C34" s="1736" t="s">
        <v>1914</v>
      </c>
      <c r="E34" s="1736" t="s">
        <v>2061</v>
      </c>
      <c r="F34" s="1736" t="s">
        <v>2812</v>
      </c>
      <c r="G34" s="1736" t="s">
        <v>161</v>
      </c>
      <c r="H34" s="1737">
        <v>42706</v>
      </c>
      <c r="I34" s="1738">
        <v>288106</v>
      </c>
      <c r="J34" s="1738">
        <v>244890.1</v>
      </c>
      <c r="K34" s="1737">
        <v>42811</v>
      </c>
      <c r="L34" s="1736"/>
      <c r="M34" s="1737">
        <v>42706</v>
      </c>
      <c r="N34" s="1737">
        <v>42811</v>
      </c>
      <c r="O34" s="1736" t="s">
        <v>3325</v>
      </c>
      <c r="P34" s="1736" t="s">
        <v>3326</v>
      </c>
    </row>
    <row r="35" spans="1:16" ht="25.5">
      <c r="A35" s="1736" t="s">
        <v>706</v>
      </c>
      <c r="B35" s="1736" t="s">
        <v>270</v>
      </c>
      <c r="C35" s="1736" t="s">
        <v>1914</v>
      </c>
      <c r="E35" s="1736" t="s">
        <v>2061</v>
      </c>
      <c r="F35" s="1736" t="s">
        <v>2799</v>
      </c>
      <c r="G35" s="1736" t="s">
        <v>345</v>
      </c>
      <c r="H35" s="1737">
        <v>42755</v>
      </c>
      <c r="I35" s="1738">
        <v>208223.53</v>
      </c>
      <c r="J35" s="1738">
        <v>176990</v>
      </c>
      <c r="K35" s="1737">
        <v>42835</v>
      </c>
      <c r="L35" s="1736"/>
      <c r="M35" s="1737">
        <v>42755</v>
      </c>
      <c r="N35" s="1737">
        <v>42836</v>
      </c>
      <c r="O35" s="1736" t="s">
        <v>3334</v>
      </c>
      <c r="P35" s="1736" t="s">
        <v>3335</v>
      </c>
    </row>
    <row r="36" spans="1:16" ht="51">
      <c r="A36" s="1736" t="s">
        <v>4473</v>
      </c>
      <c r="B36" s="1736" t="s">
        <v>3699</v>
      </c>
      <c r="C36" s="1736" t="s">
        <v>1942</v>
      </c>
      <c r="E36" s="1736" t="s">
        <v>3422</v>
      </c>
      <c r="F36" s="1736" t="s">
        <v>2812</v>
      </c>
      <c r="G36" s="1736" t="s">
        <v>161</v>
      </c>
      <c r="H36" s="1737">
        <v>43553</v>
      </c>
      <c r="I36" s="1738">
        <v>222988.12</v>
      </c>
      <c r="J36" s="1738">
        <v>189539.9</v>
      </c>
      <c r="K36" s="1736"/>
      <c r="L36" s="1736"/>
      <c r="M36" s="1737">
        <v>43553</v>
      </c>
      <c r="N36" s="1736"/>
      <c r="O36" s="1736"/>
      <c r="P36" s="1736"/>
    </row>
    <row r="37" spans="1:16" ht="38.25">
      <c r="A37" s="1736" t="s">
        <v>730</v>
      </c>
      <c r="B37" s="1736" t="s">
        <v>191</v>
      </c>
      <c r="C37" s="1736" t="s">
        <v>1827</v>
      </c>
      <c r="E37" s="1736" t="s">
        <v>2137</v>
      </c>
      <c r="F37" s="1736" t="s">
        <v>2828</v>
      </c>
      <c r="G37" s="1736" t="s">
        <v>184</v>
      </c>
      <c r="H37" s="1737">
        <v>42769</v>
      </c>
      <c r="I37" s="1738">
        <v>101765.7</v>
      </c>
      <c r="J37" s="1738">
        <v>86500.800000000003</v>
      </c>
      <c r="K37" s="1737">
        <v>43003</v>
      </c>
      <c r="L37" s="1737">
        <v>43452</v>
      </c>
      <c r="M37" s="1737">
        <v>42769</v>
      </c>
      <c r="N37" s="1737">
        <v>43010</v>
      </c>
      <c r="O37" s="1736" t="s">
        <v>3339</v>
      </c>
      <c r="P37" s="1736"/>
    </row>
    <row r="38" spans="1:16" ht="38.25">
      <c r="A38" s="1736" t="s">
        <v>731</v>
      </c>
      <c r="B38" s="1736" t="s">
        <v>305</v>
      </c>
      <c r="C38" s="1736" t="s">
        <v>1914</v>
      </c>
      <c r="E38" s="1736" t="s">
        <v>2061</v>
      </c>
      <c r="F38" s="1736" t="s">
        <v>2820</v>
      </c>
      <c r="G38" s="1736" t="s">
        <v>282</v>
      </c>
      <c r="H38" s="1737">
        <v>42797</v>
      </c>
      <c r="I38" s="1738">
        <v>296679.24</v>
      </c>
      <c r="J38" s="1738">
        <v>252177.35</v>
      </c>
      <c r="K38" s="1737">
        <v>42901</v>
      </c>
      <c r="L38" s="1736"/>
      <c r="M38" s="1737">
        <v>42800</v>
      </c>
      <c r="N38" s="1737">
        <v>42902</v>
      </c>
      <c r="O38" s="1736" t="s">
        <v>3339</v>
      </c>
      <c r="P38" s="1736"/>
    </row>
    <row r="39" spans="1:16" ht="25.5">
      <c r="A39" s="1736" t="s">
        <v>732</v>
      </c>
      <c r="B39" s="1736" t="s">
        <v>290</v>
      </c>
      <c r="C39" s="1736" t="s">
        <v>1914</v>
      </c>
      <c r="E39" s="1736" t="s">
        <v>2061</v>
      </c>
      <c r="F39" s="1736" t="s">
        <v>2812</v>
      </c>
      <c r="G39" s="1736" t="s">
        <v>161</v>
      </c>
      <c r="H39" s="1737">
        <v>42825</v>
      </c>
      <c r="I39" s="1738">
        <v>442298.59</v>
      </c>
      <c r="J39" s="1738">
        <v>375953.81</v>
      </c>
      <c r="K39" s="1737">
        <v>42935</v>
      </c>
      <c r="L39" s="1736"/>
      <c r="M39" s="1737">
        <v>42828</v>
      </c>
      <c r="N39" s="1737">
        <v>42936</v>
      </c>
      <c r="O39" s="1736" t="s">
        <v>3340</v>
      </c>
      <c r="P39" s="1736"/>
    </row>
    <row r="40" spans="1:16" ht="51">
      <c r="A40" s="1736" t="s">
        <v>733</v>
      </c>
      <c r="B40" s="1736" t="s">
        <v>388</v>
      </c>
      <c r="C40" s="1736" t="s">
        <v>1914</v>
      </c>
      <c r="E40" s="1736" t="s">
        <v>2061</v>
      </c>
      <c r="F40" s="1736" t="s">
        <v>2799</v>
      </c>
      <c r="G40" s="1736" t="s">
        <v>345</v>
      </c>
      <c r="H40" s="1737">
        <v>42867</v>
      </c>
      <c r="I40" s="1738">
        <v>3993</v>
      </c>
      <c r="J40" s="1738">
        <v>3394.05</v>
      </c>
      <c r="K40" s="1737">
        <v>42965</v>
      </c>
      <c r="L40" s="1736"/>
      <c r="M40" s="1737">
        <v>42872</v>
      </c>
      <c r="N40" s="1737">
        <v>42968</v>
      </c>
      <c r="O40" s="1736" t="s">
        <v>3339</v>
      </c>
      <c r="P40" s="1736"/>
    </row>
    <row r="41" spans="1:16" ht="38.25">
      <c r="A41" s="1736" t="s">
        <v>734</v>
      </c>
      <c r="B41" s="1736" t="s">
        <v>378</v>
      </c>
      <c r="C41" s="1736" t="s">
        <v>1827</v>
      </c>
      <c r="E41" s="1736" t="s">
        <v>2137</v>
      </c>
      <c r="F41" s="1736" t="s">
        <v>2929</v>
      </c>
      <c r="G41" s="1736" t="s">
        <v>235</v>
      </c>
      <c r="H41" s="1737">
        <v>42887</v>
      </c>
      <c r="I41" s="1738">
        <v>121153.55</v>
      </c>
      <c r="J41" s="1738">
        <v>102980.52</v>
      </c>
      <c r="K41" s="1737">
        <v>42936</v>
      </c>
      <c r="L41" s="1737">
        <v>43355</v>
      </c>
      <c r="M41" s="1737">
        <v>42888</v>
      </c>
      <c r="N41" s="1737">
        <v>42943</v>
      </c>
      <c r="O41" s="1736" t="s">
        <v>3339</v>
      </c>
      <c r="P41" s="1736"/>
    </row>
    <row r="42" spans="1:16" ht="38.25">
      <c r="A42" s="1736" t="s">
        <v>1613</v>
      </c>
      <c r="B42" s="1736" t="s">
        <v>603</v>
      </c>
      <c r="C42" s="1736" t="s">
        <v>1914</v>
      </c>
      <c r="E42" s="1736" t="s">
        <v>2061</v>
      </c>
      <c r="F42" s="1736" t="s">
        <v>2828</v>
      </c>
      <c r="G42" s="1736" t="s">
        <v>184</v>
      </c>
      <c r="H42" s="1737">
        <v>43320</v>
      </c>
      <c r="I42" s="1738">
        <v>277676</v>
      </c>
      <c r="J42" s="1738">
        <v>236024.6</v>
      </c>
      <c r="K42" s="1737">
        <v>43370</v>
      </c>
      <c r="L42" s="1736"/>
      <c r="M42" s="1737">
        <v>43222</v>
      </c>
      <c r="N42" s="1737">
        <v>43383</v>
      </c>
      <c r="O42" s="1736" t="s">
        <v>3339</v>
      </c>
      <c r="P42" s="1736"/>
    </row>
    <row r="43" spans="1:16" ht="38.25">
      <c r="A43" s="1736" t="s">
        <v>4194</v>
      </c>
      <c r="B43" s="1736" t="s">
        <v>306</v>
      </c>
      <c r="C43" s="1736" t="s">
        <v>1942</v>
      </c>
      <c r="E43" s="1736" t="s">
        <v>3422</v>
      </c>
      <c r="F43" s="1736" t="s">
        <v>2820</v>
      </c>
      <c r="G43" s="1736" t="s">
        <v>282</v>
      </c>
      <c r="H43" s="1737">
        <v>43465</v>
      </c>
      <c r="I43" s="1738">
        <v>554211</v>
      </c>
      <c r="J43" s="1738">
        <v>471079</v>
      </c>
      <c r="K43" s="1736"/>
      <c r="L43" s="1736"/>
      <c r="M43" s="1737">
        <v>43465</v>
      </c>
      <c r="N43" s="1736"/>
      <c r="O43" s="1736" t="s">
        <v>3339</v>
      </c>
      <c r="P43" s="1736"/>
    </row>
    <row r="44" spans="1:16" ht="25.5">
      <c r="A44" s="1736" t="s">
        <v>4341</v>
      </c>
      <c r="B44" s="1736" t="s">
        <v>1443</v>
      </c>
      <c r="C44" s="1736" t="s">
        <v>1942</v>
      </c>
      <c r="E44" s="1736" t="s">
        <v>3394</v>
      </c>
      <c r="F44" s="1736" t="s">
        <v>2812</v>
      </c>
      <c r="G44" s="1736" t="s">
        <v>4343</v>
      </c>
      <c r="H44" s="1737">
        <v>43495</v>
      </c>
      <c r="I44" s="1738">
        <v>149792.22</v>
      </c>
      <c r="J44" s="1738">
        <v>127323.39</v>
      </c>
      <c r="K44" s="1736"/>
      <c r="L44" s="1736"/>
      <c r="M44" s="1737">
        <v>43495</v>
      </c>
      <c r="N44" s="1736"/>
      <c r="O44" s="1736" t="s">
        <v>3339</v>
      </c>
      <c r="P44" s="1736"/>
    </row>
    <row r="45" spans="1:16" ht="38.25">
      <c r="A45" s="1736" t="s">
        <v>717</v>
      </c>
      <c r="B45" s="1736" t="s">
        <v>2152</v>
      </c>
      <c r="C45" s="1736" t="s">
        <v>1827</v>
      </c>
      <c r="E45" s="1736" t="s">
        <v>2137</v>
      </c>
      <c r="F45" s="1736" t="s">
        <v>2799</v>
      </c>
      <c r="G45" s="1736" t="s">
        <v>345</v>
      </c>
      <c r="H45" s="1737">
        <v>42851</v>
      </c>
      <c r="I45" s="1738">
        <v>879927.06</v>
      </c>
      <c r="J45" s="1738">
        <v>747938</v>
      </c>
      <c r="K45" s="1737">
        <v>42920</v>
      </c>
      <c r="L45" s="1737">
        <v>43447</v>
      </c>
      <c r="M45" s="1737">
        <v>42852</v>
      </c>
      <c r="N45" s="1737">
        <v>42920</v>
      </c>
      <c r="O45" s="1736" t="s">
        <v>3803</v>
      </c>
      <c r="P45" s="1736"/>
    </row>
    <row r="46" spans="1:16" ht="38.25">
      <c r="A46" s="1736" t="s">
        <v>718</v>
      </c>
      <c r="B46" s="1736" t="s">
        <v>2160</v>
      </c>
      <c r="C46" s="1736" t="s">
        <v>1914</v>
      </c>
      <c r="E46" s="1736" t="s">
        <v>2061</v>
      </c>
      <c r="F46" s="1736" t="s">
        <v>2820</v>
      </c>
      <c r="G46" s="1736" t="s">
        <v>282</v>
      </c>
      <c r="H46" s="1737">
        <v>42887</v>
      </c>
      <c r="I46" s="1738">
        <v>835464</v>
      </c>
      <c r="J46" s="1738">
        <v>710144</v>
      </c>
      <c r="K46" s="1737">
        <v>42992</v>
      </c>
      <c r="L46" s="1736"/>
      <c r="M46" s="1737">
        <v>42887</v>
      </c>
      <c r="N46" s="1737">
        <v>42993</v>
      </c>
      <c r="O46" s="1736" t="s">
        <v>3343</v>
      </c>
      <c r="P46" s="1736"/>
    </row>
    <row r="47" spans="1:16" ht="38.25">
      <c r="A47" s="1736" t="s">
        <v>3355</v>
      </c>
      <c r="B47" s="1736" t="s">
        <v>3356</v>
      </c>
      <c r="C47" s="1736" t="s">
        <v>3357</v>
      </c>
      <c r="E47" s="1736" t="s">
        <v>3358</v>
      </c>
      <c r="F47" s="1736" t="s">
        <v>3359</v>
      </c>
      <c r="G47" s="1736" t="s">
        <v>3360</v>
      </c>
      <c r="H47" s="1737">
        <v>43035</v>
      </c>
      <c r="I47" s="1738">
        <v>340962.68</v>
      </c>
      <c r="J47" s="1738">
        <v>289818.28000000003</v>
      </c>
      <c r="K47" s="1736"/>
      <c r="L47" s="1736"/>
      <c r="M47" s="1737">
        <v>43038</v>
      </c>
      <c r="N47" s="1736"/>
      <c r="O47" s="1736"/>
      <c r="P47" s="1736"/>
    </row>
    <row r="48" spans="1:16" ht="51">
      <c r="A48" s="1736" t="s">
        <v>1590</v>
      </c>
      <c r="B48" s="1736" t="s">
        <v>2978</v>
      </c>
      <c r="C48" s="1736" t="s">
        <v>1914</v>
      </c>
      <c r="E48" s="1736" t="s">
        <v>2061</v>
      </c>
      <c r="F48" s="1736" t="s">
        <v>2812</v>
      </c>
      <c r="G48" s="1736" t="s">
        <v>161</v>
      </c>
      <c r="H48" s="1737">
        <v>43130</v>
      </c>
      <c r="I48" s="1738">
        <v>759934</v>
      </c>
      <c r="J48" s="1738">
        <v>645944</v>
      </c>
      <c r="K48" s="1737">
        <v>43217</v>
      </c>
      <c r="L48" s="1736"/>
      <c r="M48" s="1737">
        <v>43130</v>
      </c>
      <c r="N48" s="1737">
        <v>43217</v>
      </c>
      <c r="O48" s="1736" t="s">
        <v>3382</v>
      </c>
      <c r="P48" s="1736" t="s">
        <v>3319</v>
      </c>
    </row>
    <row r="49" spans="1:16" ht="25.5">
      <c r="A49" s="1736" t="s">
        <v>3384</v>
      </c>
      <c r="B49" s="1736" t="s">
        <v>2981</v>
      </c>
      <c r="C49" s="1736" t="s">
        <v>3357</v>
      </c>
      <c r="E49" s="1736" t="s">
        <v>3373</v>
      </c>
      <c r="F49" s="1736" t="s">
        <v>2828</v>
      </c>
      <c r="G49" s="1736" t="s">
        <v>184</v>
      </c>
      <c r="H49" s="1737">
        <v>43131</v>
      </c>
      <c r="I49" s="1738">
        <v>236915</v>
      </c>
      <c r="J49" s="1738">
        <v>200844</v>
      </c>
      <c r="K49" s="1736"/>
      <c r="L49" s="1736"/>
      <c r="M49" s="1737">
        <v>43131</v>
      </c>
      <c r="N49" s="1736"/>
      <c r="O49" s="1736"/>
      <c r="P49" s="1736"/>
    </row>
    <row r="50" spans="1:16" ht="25.5">
      <c r="A50" s="1736" t="s">
        <v>1589</v>
      </c>
      <c r="B50" s="1736" t="s">
        <v>2981</v>
      </c>
      <c r="C50" s="1736" t="s">
        <v>1914</v>
      </c>
      <c r="E50" s="1736" t="s">
        <v>2061</v>
      </c>
      <c r="F50" s="1736" t="s">
        <v>2828</v>
      </c>
      <c r="G50" s="1736" t="s">
        <v>184</v>
      </c>
      <c r="H50" s="1737">
        <v>43270</v>
      </c>
      <c r="I50" s="1738">
        <v>274817.98</v>
      </c>
      <c r="J50" s="1738">
        <v>200844</v>
      </c>
      <c r="K50" s="1737">
        <v>43367</v>
      </c>
      <c r="L50" s="1736"/>
      <c r="M50" s="1737">
        <v>43270</v>
      </c>
      <c r="N50" s="1737">
        <v>43377</v>
      </c>
      <c r="O50" s="1736" t="s">
        <v>3415</v>
      </c>
      <c r="P50" s="1736" t="s">
        <v>3416</v>
      </c>
    </row>
    <row r="51" spans="1:16" ht="25.5">
      <c r="A51" s="1736" t="s">
        <v>1652</v>
      </c>
      <c r="B51" s="1736" t="s">
        <v>230</v>
      </c>
      <c r="C51" s="1736" t="s">
        <v>1914</v>
      </c>
      <c r="E51" s="1736" t="s">
        <v>2061</v>
      </c>
      <c r="F51" s="1736" t="s">
        <v>2929</v>
      </c>
      <c r="G51" s="1736" t="s">
        <v>235</v>
      </c>
      <c r="H51" s="1737">
        <v>43326</v>
      </c>
      <c r="I51" s="1738">
        <v>916566.48</v>
      </c>
      <c r="J51" s="1738">
        <v>346184.1</v>
      </c>
      <c r="K51" s="1737">
        <v>43438</v>
      </c>
      <c r="L51" s="1736"/>
      <c r="M51" s="1737">
        <v>43326</v>
      </c>
      <c r="N51" s="1737">
        <v>43444</v>
      </c>
      <c r="O51" s="1736" t="s">
        <v>3420</v>
      </c>
      <c r="P51" s="1736" t="s">
        <v>3315</v>
      </c>
    </row>
    <row r="52" spans="1:16" ht="25.5">
      <c r="A52" s="1736" t="s">
        <v>1651</v>
      </c>
      <c r="B52" s="1736" t="s">
        <v>3421</v>
      </c>
      <c r="C52" s="1736" t="s">
        <v>1914</v>
      </c>
      <c r="E52" s="1736" t="s">
        <v>2061</v>
      </c>
      <c r="F52" s="1736" t="s">
        <v>2799</v>
      </c>
      <c r="G52" s="1736" t="s">
        <v>345</v>
      </c>
      <c r="H52" s="1737">
        <v>43342</v>
      </c>
      <c r="I52" s="1738">
        <v>274146.8</v>
      </c>
      <c r="J52" s="1738">
        <v>233024.78</v>
      </c>
      <c r="K52" s="1737">
        <v>43411</v>
      </c>
      <c r="L52" s="1736"/>
      <c r="M52" s="1737">
        <v>43342</v>
      </c>
      <c r="N52" s="1737">
        <v>43413</v>
      </c>
      <c r="O52" s="1736" t="s">
        <v>4474</v>
      </c>
      <c r="P52" s="1736" t="s">
        <v>3337</v>
      </c>
    </row>
    <row r="53" spans="1:16" ht="25.5">
      <c r="A53" s="1736" t="s">
        <v>4340</v>
      </c>
      <c r="B53" s="1736" t="s">
        <v>4344</v>
      </c>
      <c r="C53" s="1736" t="s">
        <v>1914</v>
      </c>
      <c r="E53" s="1736" t="s">
        <v>2061</v>
      </c>
      <c r="F53" s="1736" t="s">
        <v>2929</v>
      </c>
      <c r="G53" s="1736" t="s">
        <v>235</v>
      </c>
      <c r="H53" s="1737">
        <v>43486</v>
      </c>
      <c r="I53" s="1738">
        <v>320671.49</v>
      </c>
      <c r="J53" s="1738">
        <v>112989</v>
      </c>
      <c r="K53" s="1737">
        <v>43544</v>
      </c>
      <c r="L53" s="1736"/>
      <c r="M53" s="1737">
        <v>43486</v>
      </c>
      <c r="N53" s="1737">
        <v>43544</v>
      </c>
      <c r="O53" s="1736" t="s">
        <v>4345</v>
      </c>
      <c r="P53" s="1736"/>
    </row>
    <row r="54" spans="1:16" ht="25.5">
      <c r="A54" s="1736" t="s">
        <v>711</v>
      </c>
      <c r="B54" s="1736" t="s">
        <v>134</v>
      </c>
      <c r="C54" s="1736" t="s">
        <v>1914</v>
      </c>
      <c r="E54" s="1736" t="s">
        <v>2061</v>
      </c>
      <c r="F54" s="1736" t="s">
        <v>2820</v>
      </c>
      <c r="G54" s="1736" t="s">
        <v>282</v>
      </c>
      <c r="H54" s="1737">
        <v>42754</v>
      </c>
      <c r="I54" s="1738">
        <v>352401</v>
      </c>
      <c r="J54" s="1738">
        <v>299540.84999999998</v>
      </c>
      <c r="K54" s="1737">
        <v>42860</v>
      </c>
      <c r="L54" s="1736"/>
      <c r="M54" s="1737">
        <v>42755</v>
      </c>
      <c r="N54" s="1737">
        <v>42866</v>
      </c>
      <c r="O54" s="1736" t="s">
        <v>3333</v>
      </c>
      <c r="P54" s="1736" t="s">
        <v>4346</v>
      </c>
    </row>
    <row r="55" spans="1:16" ht="51">
      <c r="A55" s="1736" t="s">
        <v>712</v>
      </c>
      <c r="B55" s="1736" t="s">
        <v>2230</v>
      </c>
      <c r="C55" s="1736" t="s">
        <v>1914</v>
      </c>
      <c r="E55" s="1736" t="s">
        <v>2061</v>
      </c>
      <c r="F55" s="1736" t="s">
        <v>2799</v>
      </c>
      <c r="G55" s="1736" t="s">
        <v>345</v>
      </c>
      <c r="H55" s="1737">
        <v>42761</v>
      </c>
      <c r="I55" s="1738">
        <v>783264.16</v>
      </c>
      <c r="J55" s="1738">
        <v>299541</v>
      </c>
      <c r="K55" s="1737">
        <v>42886</v>
      </c>
      <c r="L55" s="1736"/>
      <c r="M55" s="1737">
        <v>42762</v>
      </c>
      <c r="N55" s="1737">
        <v>42893</v>
      </c>
      <c r="O55" s="1736" t="s">
        <v>3336</v>
      </c>
      <c r="P55" s="1736" t="s">
        <v>3337</v>
      </c>
    </row>
    <row r="56" spans="1:16" ht="51">
      <c r="A56" s="1736" t="s">
        <v>713</v>
      </c>
      <c r="B56" s="1736" t="s">
        <v>2243</v>
      </c>
      <c r="C56" s="1736" t="s">
        <v>1914</v>
      </c>
      <c r="E56" s="1736" t="s">
        <v>2061</v>
      </c>
      <c r="F56" s="1736" t="s">
        <v>2929</v>
      </c>
      <c r="G56" s="1736" t="s">
        <v>235</v>
      </c>
      <c r="H56" s="1737">
        <v>42762</v>
      </c>
      <c r="I56" s="1738">
        <v>352401</v>
      </c>
      <c r="J56" s="1738">
        <v>299540.84999999998</v>
      </c>
      <c r="K56" s="1737">
        <v>42857</v>
      </c>
      <c r="L56" s="1736"/>
      <c r="M56" s="1737">
        <v>42765</v>
      </c>
      <c r="N56" s="1737">
        <v>42865</v>
      </c>
      <c r="O56" s="1736" t="s">
        <v>3338</v>
      </c>
      <c r="P56" s="1736" t="s">
        <v>3319</v>
      </c>
    </row>
    <row r="57" spans="1:16" ht="38.25">
      <c r="A57" s="1736" t="s">
        <v>1236</v>
      </c>
      <c r="B57" s="1736" t="s">
        <v>317</v>
      </c>
      <c r="C57" s="1736" t="s">
        <v>1914</v>
      </c>
      <c r="E57" s="1736" t="s">
        <v>2061</v>
      </c>
      <c r="F57" s="1736" t="s">
        <v>2812</v>
      </c>
      <c r="G57" s="1736" t="s">
        <v>161</v>
      </c>
      <c r="H57" s="1737">
        <v>43097</v>
      </c>
      <c r="I57" s="1738">
        <v>484769.35</v>
      </c>
      <c r="J57" s="1738">
        <v>299541</v>
      </c>
      <c r="K57" s="1737">
        <v>43203</v>
      </c>
      <c r="L57" s="1736"/>
      <c r="M57" s="1737">
        <v>43097</v>
      </c>
      <c r="N57" s="1737">
        <v>43217</v>
      </c>
      <c r="O57" s="1736" t="s">
        <v>3376</v>
      </c>
      <c r="P57" s="1736" t="s">
        <v>3323</v>
      </c>
    </row>
    <row r="58" spans="1:16" ht="25.5">
      <c r="A58" s="1736" t="s">
        <v>709</v>
      </c>
      <c r="B58" s="1736" t="s">
        <v>160</v>
      </c>
      <c r="C58" s="1736" t="s">
        <v>1914</v>
      </c>
      <c r="E58" s="1736" t="s">
        <v>2061</v>
      </c>
      <c r="F58" s="1736" t="s">
        <v>2929</v>
      </c>
      <c r="G58" s="1736" t="s">
        <v>235</v>
      </c>
      <c r="H58" s="1737">
        <v>42583</v>
      </c>
      <c r="I58" s="1738">
        <v>474784</v>
      </c>
      <c r="J58" s="1738">
        <v>308519</v>
      </c>
      <c r="K58" s="1737">
        <v>42699</v>
      </c>
      <c r="L58" s="1736"/>
      <c r="M58" s="1737">
        <v>42583</v>
      </c>
      <c r="N58" s="1737">
        <v>42705</v>
      </c>
      <c r="O58" s="1736" t="s">
        <v>3316</v>
      </c>
      <c r="P58" s="1736" t="s">
        <v>3323</v>
      </c>
    </row>
    <row r="59" spans="1:16" ht="25.5">
      <c r="A59" s="1736" t="s">
        <v>710</v>
      </c>
      <c r="B59" s="1736" t="s">
        <v>299</v>
      </c>
      <c r="C59" s="1736" t="s">
        <v>1914</v>
      </c>
      <c r="E59" s="1736" t="s">
        <v>2061</v>
      </c>
      <c r="F59" s="1736" t="s">
        <v>2812</v>
      </c>
      <c r="G59" s="1736" t="s">
        <v>161</v>
      </c>
      <c r="H59" s="1737">
        <v>42580</v>
      </c>
      <c r="I59" s="1738">
        <v>343507</v>
      </c>
      <c r="J59" s="1738">
        <v>317743.96999999997</v>
      </c>
      <c r="K59" s="1737">
        <v>42709</v>
      </c>
      <c r="L59" s="1736"/>
      <c r="M59" s="1737">
        <v>42584</v>
      </c>
      <c r="N59" s="1737">
        <v>42713</v>
      </c>
      <c r="O59" s="1736" t="s">
        <v>3321</v>
      </c>
      <c r="P59" s="1736" t="s">
        <v>3322</v>
      </c>
    </row>
    <row r="60" spans="1:16" ht="38.25">
      <c r="A60" s="1736" t="s">
        <v>707</v>
      </c>
      <c r="B60" s="1736" t="s">
        <v>300</v>
      </c>
      <c r="C60" s="1736" t="s">
        <v>1827</v>
      </c>
      <c r="E60" s="1736" t="s">
        <v>2137</v>
      </c>
      <c r="F60" s="1736" t="s">
        <v>2820</v>
      </c>
      <c r="G60" s="1736" t="s">
        <v>282</v>
      </c>
      <c r="H60" s="1737">
        <v>42555</v>
      </c>
      <c r="I60" s="1738">
        <v>1516932.01</v>
      </c>
      <c r="J60" s="1738">
        <v>1403162.1</v>
      </c>
      <c r="K60" s="1737">
        <v>42733</v>
      </c>
      <c r="L60" s="1737">
        <v>43453</v>
      </c>
      <c r="M60" s="1737">
        <v>42556</v>
      </c>
      <c r="N60" s="1737">
        <v>42745</v>
      </c>
      <c r="O60" s="1736" t="s">
        <v>3803</v>
      </c>
      <c r="P60" s="1736"/>
    </row>
    <row r="61" spans="1:16" ht="38.25">
      <c r="A61" s="1736" t="s">
        <v>708</v>
      </c>
      <c r="B61" s="1736" t="s">
        <v>302</v>
      </c>
      <c r="C61" s="1736" t="s">
        <v>1914</v>
      </c>
      <c r="E61" s="1736" t="s">
        <v>2061</v>
      </c>
      <c r="F61" s="1736" t="s">
        <v>2820</v>
      </c>
      <c r="G61" s="1736" t="s">
        <v>282</v>
      </c>
      <c r="H61" s="1737">
        <v>42863</v>
      </c>
      <c r="I61" s="1738">
        <v>806317.97</v>
      </c>
      <c r="J61" s="1738">
        <v>745844.12</v>
      </c>
      <c r="K61" s="1737">
        <v>42984</v>
      </c>
      <c r="L61" s="1736"/>
      <c r="M61" s="1737">
        <v>42863</v>
      </c>
      <c r="N61" s="1737">
        <v>42990</v>
      </c>
      <c r="O61" s="1736" t="s">
        <v>3316</v>
      </c>
      <c r="P61" s="1736"/>
    </row>
    <row r="62" spans="1:16" ht="38.25">
      <c r="A62" s="1736" t="s">
        <v>806</v>
      </c>
      <c r="B62" s="1736" t="s">
        <v>640</v>
      </c>
      <c r="C62" s="1736" t="s">
        <v>1914</v>
      </c>
      <c r="E62" s="1736" t="s">
        <v>2061</v>
      </c>
      <c r="F62" s="1736" t="s">
        <v>2820</v>
      </c>
      <c r="G62" s="1736" t="s">
        <v>282</v>
      </c>
      <c r="H62" s="1737">
        <v>43007</v>
      </c>
      <c r="I62" s="1738">
        <v>877516.65</v>
      </c>
      <c r="J62" s="1738">
        <v>700452</v>
      </c>
      <c r="K62" s="1737">
        <v>43105</v>
      </c>
      <c r="L62" s="1736"/>
      <c r="M62" s="1737">
        <v>43007</v>
      </c>
      <c r="N62" s="1737">
        <v>43116</v>
      </c>
      <c r="O62" s="1736" t="s">
        <v>3354</v>
      </c>
      <c r="P62" s="1736" t="s">
        <v>3315</v>
      </c>
    </row>
    <row r="63" spans="1:16" ht="38.25">
      <c r="A63" s="1736" t="s">
        <v>1597</v>
      </c>
      <c r="B63" s="1736" t="s">
        <v>2996</v>
      </c>
      <c r="C63" s="1736" t="s">
        <v>1914</v>
      </c>
      <c r="E63" s="1736" t="s">
        <v>2061</v>
      </c>
      <c r="F63" s="1736" t="s">
        <v>2820</v>
      </c>
      <c r="G63" s="1736" t="s">
        <v>282</v>
      </c>
      <c r="H63" s="1737">
        <v>43238</v>
      </c>
      <c r="I63" s="1738">
        <v>514646.41</v>
      </c>
      <c r="J63" s="1738">
        <v>476047.92</v>
      </c>
      <c r="K63" s="1737">
        <v>43321</v>
      </c>
      <c r="L63" s="1736"/>
      <c r="M63" s="1737">
        <v>43238</v>
      </c>
      <c r="N63" s="1737">
        <v>43326</v>
      </c>
      <c r="O63" s="1736" t="s">
        <v>3412</v>
      </c>
      <c r="P63" s="1736" t="s">
        <v>3390</v>
      </c>
    </row>
    <row r="64" spans="1:16" ht="38.25">
      <c r="A64" s="1736" t="s">
        <v>3431</v>
      </c>
      <c r="B64" s="1736" t="s">
        <v>3432</v>
      </c>
      <c r="C64" s="1736" t="s">
        <v>1914</v>
      </c>
      <c r="E64" s="1736" t="s">
        <v>2061</v>
      </c>
      <c r="F64" s="1736" t="s">
        <v>2820</v>
      </c>
      <c r="G64" s="1736" t="s">
        <v>282</v>
      </c>
      <c r="H64" s="1737">
        <v>43361</v>
      </c>
      <c r="I64" s="1738">
        <v>173605.67</v>
      </c>
      <c r="J64" s="1738">
        <v>138750</v>
      </c>
      <c r="K64" s="1737">
        <v>43448</v>
      </c>
      <c r="L64" s="1736"/>
      <c r="M64" s="1737">
        <v>43361</v>
      </c>
      <c r="N64" s="1737">
        <v>43451</v>
      </c>
      <c r="O64" s="1736" t="s">
        <v>3433</v>
      </c>
      <c r="P64" s="1736" t="s">
        <v>3315</v>
      </c>
    </row>
    <row r="65" spans="1:16" ht="51">
      <c r="A65" s="1736" t="s">
        <v>3443</v>
      </c>
      <c r="B65" s="1736" t="s">
        <v>3444</v>
      </c>
      <c r="C65" s="1736" t="s">
        <v>1914</v>
      </c>
      <c r="E65" s="1736" t="s">
        <v>2061</v>
      </c>
      <c r="F65" s="1736" t="s">
        <v>2820</v>
      </c>
      <c r="G65" s="1736" t="s">
        <v>282</v>
      </c>
      <c r="H65" s="1737">
        <v>43371</v>
      </c>
      <c r="I65" s="1738">
        <v>485640.4</v>
      </c>
      <c r="J65" s="1738">
        <v>277845.02</v>
      </c>
      <c r="K65" s="1737">
        <v>43469</v>
      </c>
      <c r="L65" s="1736"/>
      <c r="M65" s="1737">
        <v>43371</v>
      </c>
      <c r="N65" s="1737">
        <v>43472</v>
      </c>
      <c r="O65" s="1736" t="s">
        <v>3433</v>
      </c>
      <c r="P65" s="1736" t="s">
        <v>4346</v>
      </c>
    </row>
    <row r="66" spans="1:16" ht="25.5">
      <c r="A66" s="1736" t="s">
        <v>720</v>
      </c>
      <c r="B66" s="1736" t="s">
        <v>312</v>
      </c>
      <c r="C66" s="1736" t="s">
        <v>1914</v>
      </c>
      <c r="E66" s="1736" t="s">
        <v>2061</v>
      </c>
      <c r="F66" s="1736" t="s">
        <v>2929</v>
      </c>
      <c r="G66" s="1736" t="s">
        <v>235</v>
      </c>
      <c r="H66" s="1737">
        <v>42734</v>
      </c>
      <c r="I66" s="1738">
        <v>151437</v>
      </c>
      <c r="J66" s="1738">
        <v>128721</v>
      </c>
      <c r="K66" s="1737">
        <v>42851</v>
      </c>
      <c r="L66" s="1736"/>
      <c r="M66" s="1737">
        <v>42737</v>
      </c>
      <c r="N66" s="1737">
        <v>42863</v>
      </c>
      <c r="O66" s="1736" t="s">
        <v>3329</v>
      </c>
      <c r="P66" s="1736" t="s">
        <v>3330</v>
      </c>
    </row>
    <row r="67" spans="1:16" ht="25.5">
      <c r="A67" s="1736" t="s">
        <v>719</v>
      </c>
      <c r="B67" s="1736" t="s">
        <v>310</v>
      </c>
      <c r="C67" s="1736" t="s">
        <v>1914</v>
      </c>
      <c r="E67" s="1736" t="s">
        <v>2061</v>
      </c>
      <c r="F67" s="1736" t="s">
        <v>2820</v>
      </c>
      <c r="G67" s="1736" t="s">
        <v>282</v>
      </c>
      <c r="H67" s="1737">
        <v>42734</v>
      </c>
      <c r="I67" s="1738">
        <v>148480</v>
      </c>
      <c r="J67" s="1738">
        <v>126208</v>
      </c>
      <c r="K67" s="1737">
        <v>42849</v>
      </c>
      <c r="L67" s="1736"/>
      <c r="M67" s="1737">
        <v>42737</v>
      </c>
      <c r="N67" s="1737">
        <v>42858</v>
      </c>
      <c r="O67" s="1736" t="s">
        <v>3328</v>
      </c>
      <c r="P67" s="1736" t="s">
        <v>3311</v>
      </c>
    </row>
    <row r="68" spans="1:16" ht="38.25">
      <c r="A68" s="1736" t="s">
        <v>721</v>
      </c>
      <c r="B68" s="1736" t="s">
        <v>313</v>
      </c>
      <c r="C68" s="1736" t="s">
        <v>1827</v>
      </c>
      <c r="E68" s="1736" t="s">
        <v>2137</v>
      </c>
      <c r="F68" s="1736" t="s">
        <v>3029</v>
      </c>
      <c r="G68" s="1736" t="s">
        <v>314</v>
      </c>
      <c r="H68" s="1737">
        <v>42737</v>
      </c>
      <c r="I68" s="1738">
        <v>146319</v>
      </c>
      <c r="J68" s="1738">
        <v>146319</v>
      </c>
      <c r="K68" s="1737">
        <v>42825</v>
      </c>
      <c r="L68" s="1737">
        <v>43488</v>
      </c>
      <c r="M68" s="1737">
        <v>42738</v>
      </c>
      <c r="N68" s="1737">
        <v>42837</v>
      </c>
      <c r="O68" s="1736" t="s">
        <v>3803</v>
      </c>
      <c r="P68" s="1736"/>
    </row>
    <row r="69" spans="1:16" ht="25.5">
      <c r="A69" s="1736" t="s">
        <v>722</v>
      </c>
      <c r="B69" s="1736" t="s">
        <v>311</v>
      </c>
      <c r="C69" s="1736" t="s">
        <v>1914</v>
      </c>
      <c r="E69" s="1736" t="s">
        <v>2061</v>
      </c>
      <c r="F69" s="1736" t="s">
        <v>2828</v>
      </c>
      <c r="G69" s="1736" t="s">
        <v>184</v>
      </c>
      <c r="H69" s="1737">
        <v>42738</v>
      </c>
      <c r="I69" s="1738">
        <v>188353</v>
      </c>
      <c r="J69" s="1738">
        <v>160100</v>
      </c>
      <c r="K69" s="1737">
        <v>42888</v>
      </c>
      <c r="L69" s="1736"/>
      <c r="M69" s="1737">
        <v>42740</v>
      </c>
      <c r="N69" s="1737">
        <v>42892</v>
      </c>
      <c r="O69" s="1736" t="s">
        <v>3312</v>
      </c>
      <c r="P69" s="1736" t="s">
        <v>3332</v>
      </c>
    </row>
    <row r="70" spans="1:16" ht="25.5">
      <c r="A70" s="1736" t="s">
        <v>723</v>
      </c>
      <c r="B70" s="1736" t="s">
        <v>217</v>
      </c>
      <c r="C70" s="1736" t="s">
        <v>1827</v>
      </c>
      <c r="E70" s="1736" t="s">
        <v>2137</v>
      </c>
      <c r="F70" s="1736" t="s">
        <v>2799</v>
      </c>
      <c r="G70" s="1736" t="s">
        <v>345</v>
      </c>
      <c r="H70" s="1737">
        <v>42766</v>
      </c>
      <c r="I70" s="1738">
        <v>600732.80000000005</v>
      </c>
      <c r="J70" s="1738">
        <v>346361</v>
      </c>
      <c r="K70" s="1737">
        <v>42936</v>
      </c>
      <c r="L70" s="1737">
        <v>43444</v>
      </c>
      <c r="M70" s="1737">
        <v>42769</v>
      </c>
      <c r="N70" s="1737">
        <v>42941</v>
      </c>
      <c r="O70" s="1736" t="s">
        <v>3803</v>
      </c>
      <c r="P70" s="1736"/>
    </row>
    <row r="71" spans="1:16" ht="25.5">
      <c r="A71" s="1736" t="s">
        <v>724</v>
      </c>
      <c r="B71" s="1736" t="s">
        <v>277</v>
      </c>
      <c r="C71" s="1736" t="s">
        <v>1914</v>
      </c>
      <c r="E71" s="1736" t="s">
        <v>2061</v>
      </c>
      <c r="F71" s="1736" t="s">
        <v>2820</v>
      </c>
      <c r="G71" s="1736" t="s">
        <v>282</v>
      </c>
      <c r="H71" s="1737">
        <v>42506</v>
      </c>
      <c r="I71" s="1738">
        <v>736499</v>
      </c>
      <c r="J71" s="1738">
        <v>626024</v>
      </c>
      <c r="K71" s="1737">
        <v>42605</v>
      </c>
      <c r="L71" s="1736"/>
      <c r="M71" s="1737">
        <v>42508</v>
      </c>
      <c r="N71" s="1737">
        <v>42611</v>
      </c>
      <c r="O71" s="1736" t="s">
        <v>3310</v>
      </c>
      <c r="P71" s="1736" t="s">
        <v>3311</v>
      </c>
    </row>
    <row r="72" spans="1:16" ht="25.5">
      <c r="A72" s="1736" t="s">
        <v>725</v>
      </c>
      <c r="B72" s="1736" t="s">
        <v>219</v>
      </c>
      <c r="C72" s="1736" t="s">
        <v>1914</v>
      </c>
      <c r="E72" s="1736" t="s">
        <v>2061</v>
      </c>
      <c r="F72" s="1736" t="s">
        <v>2799</v>
      </c>
      <c r="G72" s="1736" t="s">
        <v>345</v>
      </c>
      <c r="H72" s="1737">
        <v>42563</v>
      </c>
      <c r="I72" s="1738">
        <v>891741.18</v>
      </c>
      <c r="J72" s="1738">
        <v>757980</v>
      </c>
      <c r="K72" s="1737">
        <v>42599</v>
      </c>
      <c r="L72" s="1736"/>
      <c r="M72" s="1737">
        <v>42515</v>
      </c>
      <c r="N72" s="1737">
        <v>42608</v>
      </c>
      <c r="O72" s="1736" t="s">
        <v>3318</v>
      </c>
      <c r="P72" s="1736" t="s">
        <v>3319</v>
      </c>
    </row>
    <row r="73" spans="1:16" ht="25.5">
      <c r="A73" s="1736" t="s">
        <v>726</v>
      </c>
      <c r="B73" s="1736" t="s">
        <v>237</v>
      </c>
      <c r="C73" s="1736" t="s">
        <v>1914</v>
      </c>
      <c r="E73" s="1736" t="s">
        <v>2061</v>
      </c>
      <c r="F73" s="1736" t="s">
        <v>2929</v>
      </c>
      <c r="G73" s="1736" t="s">
        <v>235</v>
      </c>
      <c r="H73" s="1737">
        <v>42515</v>
      </c>
      <c r="I73" s="1738">
        <v>727472.94</v>
      </c>
      <c r="J73" s="1738">
        <v>618351.99</v>
      </c>
      <c r="K73" s="1737">
        <v>42593</v>
      </c>
      <c r="L73" s="1736"/>
      <c r="M73" s="1737">
        <v>42516</v>
      </c>
      <c r="N73" s="1737">
        <v>42601</v>
      </c>
      <c r="O73" s="1736" t="s">
        <v>3312</v>
      </c>
      <c r="P73" s="1736" t="s">
        <v>3313</v>
      </c>
    </row>
    <row r="74" spans="1:16" ht="25.5">
      <c r="A74" s="1736" t="s">
        <v>727</v>
      </c>
      <c r="B74" s="1736" t="s">
        <v>281</v>
      </c>
      <c r="C74" s="1736" t="s">
        <v>1914</v>
      </c>
      <c r="E74" s="1736" t="s">
        <v>2061</v>
      </c>
      <c r="F74" s="1736" t="s">
        <v>2812</v>
      </c>
      <c r="G74" s="1736" t="s">
        <v>161</v>
      </c>
      <c r="H74" s="1737">
        <v>42566</v>
      </c>
      <c r="I74" s="1738">
        <v>368599</v>
      </c>
      <c r="J74" s="1738">
        <v>313012</v>
      </c>
      <c r="K74" s="1737">
        <v>42613</v>
      </c>
      <c r="L74" s="1736"/>
      <c r="M74" s="1737">
        <v>42524</v>
      </c>
      <c r="N74" s="1737">
        <v>42621</v>
      </c>
      <c r="O74" s="1736" t="s">
        <v>3320</v>
      </c>
      <c r="P74" s="1736" t="s">
        <v>3319</v>
      </c>
    </row>
    <row r="75" spans="1:16" ht="38.25">
      <c r="A75" s="1736" t="s">
        <v>728</v>
      </c>
      <c r="B75" s="1736" t="s">
        <v>188</v>
      </c>
      <c r="C75" s="1736" t="s">
        <v>1827</v>
      </c>
      <c r="E75" s="1736" t="s">
        <v>2137</v>
      </c>
      <c r="F75" s="1736" t="s">
        <v>2828</v>
      </c>
      <c r="G75" s="1736" t="s">
        <v>184</v>
      </c>
      <c r="H75" s="1737">
        <v>42523</v>
      </c>
      <c r="I75" s="1738">
        <v>241889</v>
      </c>
      <c r="J75" s="1738">
        <v>205605.65</v>
      </c>
      <c r="K75" s="1737">
        <v>42626</v>
      </c>
      <c r="L75" s="1737">
        <v>43488</v>
      </c>
      <c r="M75" s="1737">
        <v>42527</v>
      </c>
      <c r="N75" s="1737">
        <v>42633</v>
      </c>
      <c r="O75" s="1736" t="s">
        <v>3803</v>
      </c>
      <c r="P75" s="1736"/>
    </row>
    <row r="76" spans="1:16" ht="63.75">
      <c r="A76" s="1736" t="s">
        <v>1650</v>
      </c>
      <c r="B76" s="1736" t="s">
        <v>3427</v>
      </c>
      <c r="C76" s="1736" t="s">
        <v>1914</v>
      </c>
      <c r="E76" s="1736" t="s">
        <v>2061</v>
      </c>
      <c r="F76" s="1736" t="s">
        <v>3428</v>
      </c>
      <c r="G76" s="1736" t="s">
        <v>3429</v>
      </c>
      <c r="H76" s="1737">
        <v>43360</v>
      </c>
      <c r="I76" s="1738">
        <v>25517</v>
      </c>
      <c r="J76" s="1738">
        <v>23603</v>
      </c>
      <c r="K76" s="1737">
        <v>43461</v>
      </c>
      <c r="L76" s="1736"/>
      <c r="M76" s="1737">
        <v>43360</v>
      </c>
      <c r="N76" s="1737">
        <v>43467</v>
      </c>
      <c r="O76" s="1736" t="s">
        <v>3430</v>
      </c>
      <c r="P76" s="1736"/>
    </row>
    <row r="77" spans="1:16" ht="51">
      <c r="A77" s="1736" t="s">
        <v>3434</v>
      </c>
      <c r="B77" s="1736" t="s">
        <v>3435</v>
      </c>
      <c r="C77" s="1736" t="s">
        <v>1914</v>
      </c>
      <c r="E77" s="1736" t="s">
        <v>2061</v>
      </c>
      <c r="F77" s="1736" t="s">
        <v>3436</v>
      </c>
      <c r="G77" s="1736" t="s">
        <v>4347</v>
      </c>
      <c r="H77" s="1737">
        <v>43362</v>
      </c>
      <c r="I77" s="1738">
        <v>466768.66</v>
      </c>
      <c r="J77" s="1738">
        <v>423820</v>
      </c>
      <c r="K77" s="1737">
        <v>43532</v>
      </c>
      <c r="L77" s="1736"/>
      <c r="M77" s="1737">
        <v>43362</v>
      </c>
      <c r="N77" s="1737">
        <v>43532</v>
      </c>
      <c r="O77" s="1736" t="s">
        <v>4348</v>
      </c>
      <c r="P77" s="1736"/>
    </row>
    <row r="78" spans="1:16" ht="63.75">
      <c r="A78" s="1736" t="s">
        <v>3439</v>
      </c>
      <c r="B78" s="1736" t="s">
        <v>1418</v>
      </c>
      <c r="C78" s="1736" t="s">
        <v>1914</v>
      </c>
      <c r="E78" s="1736" t="s">
        <v>2061</v>
      </c>
      <c r="F78" s="1736" t="s">
        <v>3440</v>
      </c>
      <c r="G78" s="1736" t="s">
        <v>3441</v>
      </c>
      <c r="H78" s="1737">
        <v>43370</v>
      </c>
      <c r="I78" s="1738">
        <v>82938</v>
      </c>
      <c r="J78" s="1738">
        <v>76718</v>
      </c>
      <c r="K78" s="1737">
        <v>43490</v>
      </c>
      <c r="L78" s="1736"/>
      <c r="M78" s="1737">
        <v>43370</v>
      </c>
      <c r="N78" s="1737">
        <v>43493</v>
      </c>
      <c r="O78" s="1736" t="s">
        <v>4349</v>
      </c>
      <c r="P78" s="1736"/>
    </row>
    <row r="79" spans="1:16" ht="38.25">
      <c r="A79" s="1736" t="s">
        <v>3445</v>
      </c>
      <c r="B79" s="1736" t="s">
        <v>1416</v>
      </c>
      <c r="C79" s="1736" t="s">
        <v>1914</v>
      </c>
      <c r="E79" s="1736" t="s">
        <v>2061</v>
      </c>
      <c r="F79" s="1736" t="s">
        <v>3446</v>
      </c>
      <c r="G79" s="1736" t="s">
        <v>4310</v>
      </c>
      <c r="H79" s="1737">
        <v>43371</v>
      </c>
      <c r="I79" s="1738">
        <v>50356</v>
      </c>
      <c r="J79" s="1738">
        <v>46579</v>
      </c>
      <c r="K79" s="1737">
        <v>43488</v>
      </c>
      <c r="L79" s="1736"/>
      <c r="M79" s="1737">
        <v>43371</v>
      </c>
      <c r="N79" s="1737">
        <v>43489</v>
      </c>
      <c r="O79" s="1736" t="s">
        <v>4350</v>
      </c>
      <c r="P79" s="1736"/>
    </row>
    <row r="80" spans="1:16" ht="25.5">
      <c r="A80" s="1736" t="s">
        <v>3448</v>
      </c>
      <c r="B80" s="1736" t="s">
        <v>1420</v>
      </c>
      <c r="C80" s="1736" t="s">
        <v>1914</v>
      </c>
      <c r="E80" s="1736" t="s">
        <v>2061</v>
      </c>
      <c r="F80" s="1736" t="s">
        <v>3449</v>
      </c>
      <c r="G80" s="1736" t="s">
        <v>4111</v>
      </c>
      <c r="H80" s="1737">
        <v>43371</v>
      </c>
      <c r="I80" s="1738">
        <v>43413.03</v>
      </c>
      <c r="J80" s="1738">
        <v>40157.050000000003</v>
      </c>
      <c r="K80" s="1737">
        <v>43468</v>
      </c>
      <c r="L80" s="1736"/>
      <c r="M80" s="1737">
        <v>43371</v>
      </c>
      <c r="N80" s="1737">
        <v>43469</v>
      </c>
      <c r="O80" s="1736" t="s">
        <v>4348</v>
      </c>
      <c r="P80" s="1736"/>
    </row>
    <row r="81" spans="1:16" ht="51">
      <c r="A81" s="1736" t="s">
        <v>3796</v>
      </c>
      <c r="B81" s="1736" t="s">
        <v>3805</v>
      </c>
      <c r="C81" s="1736" t="s">
        <v>1914</v>
      </c>
      <c r="E81" s="1736" t="s">
        <v>2061</v>
      </c>
      <c r="F81" s="1736" t="s">
        <v>3806</v>
      </c>
      <c r="G81" s="1736" t="s">
        <v>4351</v>
      </c>
      <c r="H81" s="1737">
        <v>43399</v>
      </c>
      <c r="I81" s="1738">
        <v>29990</v>
      </c>
      <c r="J81" s="1738">
        <v>11367</v>
      </c>
      <c r="K81" s="1737">
        <v>43509</v>
      </c>
      <c r="L81" s="1736"/>
      <c r="M81" s="1737">
        <v>43399</v>
      </c>
      <c r="N81" s="1737">
        <v>43516</v>
      </c>
      <c r="O81" s="1736" t="s">
        <v>4352</v>
      </c>
      <c r="P81" s="1736"/>
    </row>
    <row r="82" spans="1:16" ht="38.25">
      <c r="A82" s="1736" t="s">
        <v>3797</v>
      </c>
      <c r="B82" s="1736" t="s">
        <v>234</v>
      </c>
      <c r="C82" s="1736" t="s">
        <v>1914</v>
      </c>
      <c r="E82" s="1736" t="s">
        <v>2061</v>
      </c>
      <c r="F82" s="1736" t="s">
        <v>3133</v>
      </c>
      <c r="G82" s="1736" t="s">
        <v>3132</v>
      </c>
      <c r="H82" s="1737">
        <v>43402</v>
      </c>
      <c r="I82" s="1738">
        <v>163532</v>
      </c>
      <c r="J82" s="1738">
        <v>151267</v>
      </c>
      <c r="K82" s="1737">
        <v>43525</v>
      </c>
      <c r="L82" s="1736"/>
      <c r="M82" s="1737">
        <v>43402</v>
      </c>
      <c r="N82" s="1737">
        <v>43529</v>
      </c>
      <c r="O82" s="1736" t="s">
        <v>4475</v>
      </c>
      <c r="P82" s="1736"/>
    </row>
    <row r="83" spans="1:16" ht="63.75">
      <c r="A83" s="1736" t="s">
        <v>3798</v>
      </c>
      <c r="B83" s="1736" t="s">
        <v>3750</v>
      </c>
      <c r="C83" s="1736" t="s">
        <v>1914</v>
      </c>
      <c r="E83" s="1736" t="s">
        <v>2061</v>
      </c>
      <c r="F83" s="1736" t="s">
        <v>3808</v>
      </c>
      <c r="G83" s="1736" t="s">
        <v>4112</v>
      </c>
      <c r="H83" s="1737">
        <v>43402</v>
      </c>
      <c r="I83" s="1738">
        <v>27906</v>
      </c>
      <c r="J83" s="1738">
        <v>25813</v>
      </c>
      <c r="K83" s="1737">
        <v>43488</v>
      </c>
      <c r="L83" s="1736"/>
      <c r="M83" s="1737">
        <v>43402</v>
      </c>
      <c r="N83" s="1737">
        <v>43493</v>
      </c>
      <c r="O83" s="1736" t="s">
        <v>4353</v>
      </c>
      <c r="P83" s="1736"/>
    </row>
    <row r="84" spans="1:16" ht="51">
      <c r="A84" s="1736" t="s">
        <v>3799</v>
      </c>
      <c r="B84" s="1736" t="s">
        <v>1426</v>
      </c>
      <c r="C84" s="1736" t="s">
        <v>1914</v>
      </c>
      <c r="E84" s="1736" t="s">
        <v>2061</v>
      </c>
      <c r="F84" s="1736" t="s">
        <v>3145</v>
      </c>
      <c r="G84" s="1736" t="s">
        <v>3144</v>
      </c>
      <c r="H84" s="1737">
        <v>43403</v>
      </c>
      <c r="I84" s="1738">
        <v>172142.73</v>
      </c>
      <c r="J84" s="1738">
        <v>158763</v>
      </c>
      <c r="K84" s="1737">
        <v>43518</v>
      </c>
      <c r="L84" s="1736"/>
      <c r="M84" s="1737">
        <v>43403</v>
      </c>
      <c r="N84" s="1737">
        <v>43518</v>
      </c>
      <c r="O84" s="1736" t="s">
        <v>4475</v>
      </c>
      <c r="P84" s="1736"/>
    </row>
    <row r="85" spans="1:16" ht="51">
      <c r="A85" s="1736" t="s">
        <v>3800</v>
      </c>
      <c r="B85" s="1736" t="s">
        <v>3742</v>
      </c>
      <c r="C85" s="1736" t="s">
        <v>1914</v>
      </c>
      <c r="E85" s="1736" t="s">
        <v>2061</v>
      </c>
      <c r="F85" s="1736" t="s">
        <v>2812</v>
      </c>
      <c r="G85" s="1736" t="s">
        <v>161</v>
      </c>
      <c r="H85" s="1737">
        <v>43403</v>
      </c>
      <c r="I85" s="1738">
        <v>193823.02</v>
      </c>
      <c r="J85" s="1738">
        <v>178264.95999999999</v>
      </c>
      <c r="K85" s="1737">
        <v>43515</v>
      </c>
      <c r="L85" s="1736"/>
      <c r="M85" s="1737">
        <v>43403</v>
      </c>
      <c r="N85" s="1737">
        <v>43522</v>
      </c>
      <c r="O85" s="1736" t="s">
        <v>4348</v>
      </c>
      <c r="P85" s="1736"/>
    </row>
    <row r="86" spans="1:16" ht="25.5">
      <c r="A86" s="1736" t="s">
        <v>3801</v>
      </c>
      <c r="B86" s="1736" t="s">
        <v>3811</v>
      </c>
      <c r="C86" s="1736" t="s">
        <v>1914</v>
      </c>
      <c r="E86" s="1736" t="s">
        <v>2061</v>
      </c>
      <c r="F86" s="1736" t="s">
        <v>3812</v>
      </c>
      <c r="G86" s="1736" t="s">
        <v>3813</v>
      </c>
      <c r="H86" s="1737">
        <v>43404</v>
      </c>
      <c r="I86" s="1738">
        <v>23990.78</v>
      </c>
      <c r="J86" s="1738">
        <v>16082</v>
      </c>
      <c r="K86" s="1737">
        <v>43490</v>
      </c>
      <c r="L86" s="1736"/>
      <c r="M86" s="1737">
        <v>43404</v>
      </c>
      <c r="N86" s="1737">
        <v>43493</v>
      </c>
      <c r="O86" s="1736" t="s">
        <v>4353</v>
      </c>
      <c r="P86" s="1736"/>
    </row>
    <row r="87" spans="1:16" ht="51">
      <c r="A87" s="1736" t="s">
        <v>3802</v>
      </c>
      <c r="B87" s="1736" t="s">
        <v>150</v>
      </c>
      <c r="C87" s="1736" t="s">
        <v>1914</v>
      </c>
      <c r="E87" s="1736" t="s">
        <v>2061</v>
      </c>
      <c r="F87" s="1736" t="s">
        <v>3815</v>
      </c>
      <c r="G87" s="1736" t="s">
        <v>4395</v>
      </c>
      <c r="H87" s="1737">
        <v>43404</v>
      </c>
      <c r="I87" s="1738">
        <v>192664.18</v>
      </c>
      <c r="J87" s="1738">
        <v>178214.37</v>
      </c>
      <c r="K87" s="1737">
        <v>43528</v>
      </c>
      <c r="L87" s="1736"/>
      <c r="M87" s="1737">
        <v>43404</v>
      </c>
      <c r="N87" s="1737">
        <v>43528</v>
      </c>
      <c r="O87" s="1736" t="s">
        <v>4348</v>
      </c>
      <c r="P87" s="1736"/>
    </row>
    <row r="88" spans="1:16" ht="51">
      <c r="A88" s="1736" t="s">
        <v>4113</v>
      </c>
      <c r="B88" s="1736" t="s">
        <v>3742</v>
      </c>
      <c r="C88" s="1736" t="s">
        <v>3357</v>
      </c>
      <c r="E88" s="1736" t="s">
        <v>3358</v>
      </c>
      <c r="F88" s="1736" t="s">
        <v>2812</v>
      </c>
      <c r="G88" s="1736" t="s">
        <v>161</v>
      </c>
      <c r="H88" s="1737">
        <v>43451</v>
      </c>
      <c r="I88" s="1738">
        <v>192718.96</v>
      </c>
      <c r="J88" s="1738">
        <v>178264.95999999999</v>
      </c>
      <c r="K88" s="1736"/>
      <c r="L88" s="1736"/>
      <c r="M88" s="1737">
        <v>43451</v>
      </c>
      <c r="N88" s="1736"/>
      <c r="O88" s="1736"/>
      <c r="P88" s="1736"/>
    </row>
    <row r="89" spans="1:16" ht="38.25">
      <c r="A89" s="1736" t="s">
        <v>4114</v>
      </c>
      <c r="B89" s="1736" t="s">
        <v>234</v>
      </c>
      <c r="C89" s="1736" t="s">
        <v>3357</v>
      </c>
      <c r="E89" s="1736" t="s">
        <v>3358</v>
      </c>
      <c r="F89" s="1736" t="s">
        <v>3133</v>
      </c>
      <c r="G89" s="1736" t="s">
        <v>3132</v>
      </c>
      <c r="H89" s="1737">
        <v>43453</v>
      </c>
      <c r="I89" s="1738">
        <v>163532</v>
      </c>
      <c r="J89" s="1738">
        <v>151267</v>
      </c>
      <c r="K89" s="1736"/>
      <c r="L89" s="1736"/>
      <c r="M89" s="1737">
        <v>43453</v>
      </c>
      <c r="N89" s="1736"/>
      <c r="O89" s="1736"/>
      <c r="P89" s="1736"/>
    </row>
    <row r="90" spans="1:16" ht="51">
      <c r="A90" s="1736" t="s">
        <v>1207</v>
      </c>
      <c r="B90" s="1736" t="s">
        <v>125</v>
      </c>
      <c r="C90" s="1736" t="s">
        <v>1914</v>
      </c>
      <c r="E90" s="1736" t="s">
        <v>2061</v>
      </c>
      <c r="F90" s="1736" t="s">
        <v>2820</v>
      </c>
      <c r="G90" s="1736" t="s">
        <v>282</v>
      </c>
      <c r="H90" s="1737">
        <v>43039</v>
      </c>
      <c r="I90" s="1738">
        <v>605024.19999999995</v>
      </c>
      <c r="J90" s="1738">
        <v>559647.38</v>
      </c>
      <c r="K90" s="1737">
        <v>43125</v>
      </c>
      <c r="L90" s="1736"/>
      <c r="M90" s="1737">
        <v>43039</v>
      </c>
      <c r="N90" s="1737">
        <v>43140</v>
      </c>
      <c r="O90" s="1736" t="s">
        <v>3354</v>
      </c>
      <c r="P90" s="1736" t="s">
        <v>3331</v>
      </c>
    </row>
    <row r="91" spans="1:16" ht="51">
      <c r="A91" s="1736" t="s">
        <v>1598</v>
      </c>
      <c r="B91" s="1736" t="s">
        <v>124</v>
      </c>
      <c r="C91" s="1736" t="s">
        <v>1914</v>
      </c>
      <c r="E91" s="1736" t="s">
        <v>2061</v>
      </c>
      <c r="F91" s="1736" t="s">
        <v>2820</v>
      </c>
      <c r="G91" s="1736" t="s">
        <v>282</v>
      </c>
      <c r="H91" s="1737">
        <v>43188</v>
      </c>
      <c r="I91" s="1738">
        <v>815537.61</v>
      </c>
      <c r="J91" s="1738">
        <v>530342</v>
      </c>
      <c r="K91" s="1737">
        <v>43279</v>
      </c>
      <c r="L91" s="1736"/>
      <c r="M91" s="1737">
        <v>43188</v>
      </c>
      <c r="N91" s="1737">
        <v>43290</v>
      </c>
      <c r="O91" s="1736" t="s">
        <v>3354</v>
      </c>
      <c r="P91" s="1736" t="s">
        <v>3390</v>
      </c>
    </row>
    <row r="92" spans="1:16" ht="38.25">
      <c r="A92" s="1736" t="s">
        <v>1599</v>
      </c>
      <c r="B92" s="1736" t="s">
        <v>384</v>
      </c>
      <c r="C92" s="1736" t="s">
        <v>1914</v>
      </c>
      <c r="E92" s="1736" t="s">
        <v>2061</v>
      </c>
      <c r="F92" s="1736" t="s">
        <v>2929</v>
      </c>
      <c r="G92" s="1736" t="s">
        <v>235</v>
      </c>
      <c r="H92" s="1737">
        <v>43251</v>
      </c>
      <c r="I92" s="1738">
        <v>579418.99</v>
      </c>
      <c r="J92" s="1738">
        <v>386429</v>
      </c>
      <c r="K92" s="1737">
        <v>43328</v>
      </c>
      <c r="L92" s="1736"/>
      <c r="M92" s="1737">
        <v>43251</v>
      </c>
      <c r="N92" s="1737">
        <v>43343</v>
      </c>
      <c r="O92" s="1736" t="s">
        <v>3321</v>
      </c>
      <c r="P92" s="1736"/>
    </row>
    <row r="93" spans="1:16" ht="38.25">
      <c r="A93" s="1736" t="s">
        <v>1600</v>
      </c>
      <c r="B93" s="1736" t="s">
        <v>385</v>
      </c>
      <c r="C93" s="1736" t="s">
        <v>1914</v>
      </c>
      <c r="E93" s="1736" t="s">
        <v>2061</v>
      </c>
      <c r="F93" s="1736" t="s">
        <v>2929</v>
      </c>
      <c r="G93" s="1736" t="s">
        <v>235</v>
      </c>
      <c r="H93" s="1737">
        <v>43252</v>
      </c>
      <c r="I93" s="1738">
        <v>673878</v>
      </c>
      <c r="J93" s="1738">
        <v>623337</v>
      </c>
      <c r="K93" s="1737">
        <v>43333</v>
      </c>
      <c r="L93" s="1736"/>
      <c r="M93" s="1737">
        <v>43252</v>
      </c>
      <c r="N93" s="1737">
        <v>43350</v>
      </c>
      <c r="O93" s="1736" t="s">
        <v>3354</v>
      </c>
      <c r="P93" s="1736" t="s">
        <v>3414</v>
      </c>
    </row>
    <row r="94" spans="1:16" ht="25.5">
      <c r="A94" s="1736" t="s">
        <v>4469</v>
      </c>
      <c r="B94" s="1736" t="s">
        <v>183</v>
      </c>
      <c r="C94" s="1736" t="s">
        <v>1942</v>
      </c>
      <c r="E94" s="1736" t="s">
        <v>3394</v>
      </c>
      <c r="F94" s="1736" t="s">
        <v>2828</v>
      </c>
      <c r="G94" s="1736" t="s">
        <v>4476</v>
      </c>
      <c r="H94" s="1737">
        <v>43549</v>
      </c>
      <c r="I94" s="1738">
        <v>1043467</v>
      </c>
      <c r="J94" s="1738">
        <v>965206</v>
      </c>
      <c r="K94" s="1736"/>
      <c r="L94" s="1736"/>
      <c r="M94" s="1737">
        <v>43549</v>
      </c>
      <c r="N94" s="1736"/>
      <c r="O94" s="1736"/>
      <c r="P94" s="1736"/>
    </row>
    <row r="95" spans="1:16" ht="25.5">
      <c r="A95" s="1736" t="s">
        <v>2358</v>
      </c>
      <c r="B95" s="1736" t="s">
        <v>2359</v>
      </c>
      <c r="C95" s="1736" t="s">
        <v>1914</v>
      </c>
      <c r="E95" s="1736" t="s">
        <v>2061</v>
      </c>
      <c r="F95" s="1736" t="s">
        <v>3077</v>
      </c>
      <c r="G95" s="1736" t="s">
        <v>3076</v>
      </c>
      <c r="H95" s="1737">
        <v>42926</v>
      </c>
      <c r="I95" s="1738">
        <v>136133.06</v>
      </c>
      <c r="J95" s="1738">
        <v>136133.06</v>
      </c>
      <c r="K95" s="1737">
        <v>43005</v>
      </c>
      <c r="L95" s="1736"/>
      <c r="M95" s="1737">
        <v>42926</v>
      </c>
      <c r="N95" s="1737">
        <v>43010</v>
      </c>
      <c r="O95" s="1736" t="s">
        <v>3345</v>
      </c>
      <c r="P95" s="1736" t="s">
        <v>3346</v>
      </c>
    </row>
    <row r="96" spans="1:16" ht="25.5">
      <c r="A96" s="1736" t="s">
        <v>2368</v>
      </c>
      <c r="B96" s="1736" t="s">
        <v>2369</v>
      </c>
      <c r="C96" s="1736" t="s">
        <v>1914</v>
      </c>
      <c r="E96" s="1736" t="s">
        <v>2061</v>
      </c>
      <c r="F96" s="1736" t="s">
        <v>3086</v>
      </c>
      <c r="G96" s="1736" t="s">
        <v>3085</v>
      </c>
      <c r="H96" s="1737">
        <v>42928</v>
      </c>
      <c r="I96" s="1738">
        <v>1814953.52</v>
      </c>
      <c r="J96" s="1738">
        <v>1814953.52</v>
      </c>
      <c r="K96" s="1737">
        <v>43005</v>
      </c>
      <c r="L96" s="1736"/>
      <c r="M96" s="1737">
        <v>42928</v>
      </c>
      <c r="N96" s="1737">
        <v>43006</v>
      </c>
      <c r="O96" s="1736" t="s">
        <v>3347</v>
      </c>
      <c r="P96" s="1736" t="s">
        <v>3346</v>
      </c>
    </row>
    <row r="97" spans="1:16" ht="51">
      <c r="A97" s="1736" t="s">
        <v>1606</v>
      </c>
      <c r="B97" s="1736" t="s">
        <v>3126</v>
      </c>
      <c r="C97" s="1736" t="s">
        <v>1914</v>
      </c>
      <c r="E97" s="1736" t="s">
        <v>2061</v>
      </c>
      <c r="F97" s="1736" t="s">
        <v>2812</v>
      </c>
      <c r="G97" s="1736" t="s">
        <v>161</v>
      </c>
      <c r="H97" s="1737">
        <v>43188</v>
      </c>
      <c r="I97" s="1738">
        <v>15224</v>
      </c>
      <c r="J97" s="1738">
        <v>14082</v>
      </c>
      <c r="K97" s="1737">
        <v>43235</v>
      </c>
      <c r="L97" s="1736"/>
      <c r="M97" s="1737">
        <v>43188</v>
      </c>
      <c r="N97" s="1737">
        <v>43236</v>
      </c>
      <c r="O97" s="1736" t="s">
        <v>3391</v>
      </c>
      <c r="P97" s="1736" t="s">
        <v>3392</v>
      </c>
    </row>
    <row r="98" spans="1:16" ht="51">
      <c r="A98" s="1736" t="s">
        <v>1607</v>
      </c>
      <c r="B98" s="1736" t="s">
        <v>1199</v>
      </c>
      <c r="C98" s="1736" t="s">
        <v>1914</v>
      </c>
      <c r="E98" s="1736" t="s">
        <v>2061</v>
      </c>
      <c r="F98" s="1736" t="s">
        <v>3133</v>
      </c>
      <c r="G98" s="1736" t="s">
        <v>3132</v>
      </c>
      <c r="H98" s="1737">
        <v>43255</v>
      </c>
      <c r="I98" s="1738">
        <v>6816</v>
      </c>
      <c r="J98" s="1738">
        <v>6304.8</v>
      </c>
      <c r="K98" s="1737">
        <v>43322</v>
      </c>
      <c r="L98" s="1736"/>
      <c r="M98" s="1737">
        <v>43255</v>
      </c>
      <c r="N98" s="1737">
        <v>43322</v>
      </c>
      <c r="O98" s="1736" t="s">
        <v>3402</v>
      </c>
      <c r="P98" s="1736" t="s">
        <v>3399</v>
      </c>
    </row>
    <row r="99" spans="1:16" ht="51">
      <c r="A99" s="1736" t="s">
        <v>1608</v>
      </c>
      <c r="B99" s="1736" t="s">
        <v>1205</v>
      </c>
      <c r="C99" s="1736" t="s">
        <v>1914</v>
      </c>
      <c r="E99" s="1736" t="s">
        <v>2061</v>
      </c>
      <c r="F99" s="1736" t="s">
        <v>2820</v>
      </c>
      <c r="G99" s="1736" t="s">
        <v>282</v>
      </c>
      <c r="H99" s="1737">
        <v>43278</v>
      </c>
      <c r="I99" s="1738">
        <v>15679</v>
      </c>
      <c r="J99" s="1738">
        <v>14503</v>
      </c>
      <c r="K99" s="1737">
        <v>43349</v>
      </c>
      <c r="L99" s="1736"/>
      <c r="M99" s="1737">
        <v>43278</v>
      </c>
      <c r="N99" s="1737">
        <v>43350</v>
      </c>
      <c r="O99" s="1736" t="s">
        <v>3417</v>
      </c>
      <c r="P99" s="1736" t="s">
        <v>3418</v>
      </c>
    </row>
    <row r="100" spans="1:16" ht="63.75">
      <c r="A100" s="1736" t="s">
        <v>1609</v>
      </c>
      <c r="B100" s="1736" t="s">
        <v>3141</v>
      </c>
      <c r="C100" s="1736" t="s">
        <v>1914</v>
      </c>
      <c r="E100" s="1736" t="s">
        <v>2061</v>
      </c>
      <c r="F100" s="1736" t="s">
        <v>3145</v>
      </c>
      <c r="G100" s="1736" t="s">
        <v>3144</v>
      </c>
      <c r="H100" s="1737">
        <v>43280</v>
      </c>
      <c r="I100" s="1738">
        <v>10453</v>
      </c>
      <c r="J100" s="1738">
        <v>9664.25</v>
      </c>
      <c r="K100" s="1737">
        <v>43409</v>
      </c>
      <c r="L100" s="1736"/>
      <c r="M100" s="1737">
        <v>43280</v>
      </c>
      <c r="N100" s="1737">
        <v>43409</v>
      </c>
      <c r="O100" s="1736" t="s">
        <v>3816</v>
      </c>
      <c r="P100" s="1736" t="s">
        <v>3418</v>
      </c>
    </row>
    <row r="101" spans="1:16" ht="38.25">
      <c r="A101" s="1736" t="s">
        <v>1623</v>
      </c>
      <c r="B101" s="1736" t="s">
        <v>1190</v>
      </c>
      <c r="C101" s="1736" t="s">
        <v>1914</v>
      </c>
      <c r="E101" s="1736" t="s">
        <v>2061</v>
      </c>
      <c r="F101" s="1736" t="s">
        <v>2799</v>
      </c>
      <c r="G101" s="1736" t="s">
        <v>345</v>
      </c>
      <c r="H101" s="1737">
        <v>43285</v>
      </c>
      <c r="I101" s="1738">
        <v>17041.18</v>
      </c>
      <c r="J101" s="1738">
        <v>15763.09</v>
      </c>
      <c r="K101" s="1737">
        <v>43353</v>
      </c>
      <c r="L101" s="1736"/>
      <c r="M101" s="1737">
        <v>43285</v>
      </c>
      <c r="N101" s="1737">
        <v>43353</v>
      </c>
      <c r="O101" s="1736" t="s">
        <v>3419</v>
      </c>
      <c r="P101" s="1736" t="s">
        <v>3392</v>
      </c>
    </row>
    <row r="102" spans="1:16" ht="25.5">
      <c r="A102" s="1736" t="s">
        <v>1601</v>
      </c>
      <c r="B102" s="1736" t="s">
        <v>2380</v>
      </c>
      <c r="C102" s="1736" t="s">
        <v>1914</v>
      </c>
      <c r="E102" s="1736" t="s">
        <v>2061</v>
      </c>
      <c r="F102" s="1736" t="s">
        <v>2799</v>
      </c>
      <c r="G102" s="1736" t="s">
        <v>345</v>
      </c>
      <c r="H102" s="1737">
        <v>43217</v>
      </c>
      <c r="I102" s="1738">
        <v>198996</v>
      </c>
      <c r="J102" s="1738">
        <v>184071.3</v>
      </c>
      <c r="K102" s="1737">
        <v>43284</v>
      </c>
      <c r="L102" s="1736"/>
      <c r="M102" s="1737">
        <v>43217</v>
      </c>
      <c r="N102" s="1737">
        <v>43285</v>
      </c>
      <c r="O102" s="1736" t="s">
        <v>3398</v>
      </c>
      <c r="P102" s="1736" t="s">
        <v>3418</v>
      </c>
    </row>
    <row r="103" spans="1:16" ht="25.5">
      <c r="A103" s="1736" t="s">
        <v>1602</v>
      </c>
      <c r="B103" s="1736" t="s">
        <v>1195</v>
      </c>
      <c r="C103" s="1736" t="s">
        <v>1914</v>
      </c>
      <c r="E103" s="1736" t="s">
        <v>2061</v>
      </c>
      <c r="F103" s="1736" t="s">
        <v>3101</v>
      </c>
      <c r="G103" s="1736" t="s">
        <v>1196</v>
      </c>
      <c r="H103" s="1737">
        <v>43217</v>
      </c>
      <c r="I103" s="1738">
        <v>198997.18</v>
      </c>
      <c r="J103" s="1738">
        <v>184072.39</v>
      </c>
      <c r="K103" s="1737">
        <v>43284</v>
      </c>
      <c r="L103" s="1736"/>
      <c r="M103" s="1737">
        <v>43217</v>
      </c>
      <c r="N103" s="1737">
        <v>43286</v>
      </c>
      <c r="O103" s="1736" t="s">
        <v>3397</v>
      </c>
      <c r="P103" s="1736" t="s">
        <v>3392</v>
      </c>
    </row>
    <row r="104" spans="1:16" ht="25.5">
      <c r="A104" s="1736" t="s">
        <v>1603</v>
      </c>
      <c r="B104" s="1736" t="s">
        <v>1197</v>
      </c>
      <c r="C104" s="1736" t="s">
        <v>1914</v>
      </c>
      <c r="E104" s="1736" t="s">
        <v>2061</v>
      </c>
      <c r="F104" s="1736" t="s">
        <v>3108</v>
      </c>
      <c r="G104" s="1736" t="s">
        <v>1198</v>
      </c>
      <c r="H104" s="1737">
        <v>43217</v>
      </c>
      <c r="I104" s="1738">
        <v>198997.18</v>
      </c>
      <c r="J104" s="1738">
        <v>184072.39</v>
      </c>
      <c r="K104" s="1737">
        <v>43286</v>
      </c>
      <c r="L104" s="1736"/>
      <c r="M104" s="1737">
        <v>43217</v>
      </c>
      <c r="N104" s="1737">
        <v>43286</v>
      </c>
      <c r="O104" s="1736" t="s">
        <v>3400</v>
      </c>
      <c r="P104" s="1736" t="s">
        <v>3399</v>
      </c>
    </row>
    <row r="105" spans="1:16" ht="25.5">
      <c r="A105" s="1736" t="s">
        <v>1604</v>
      </c>
      <c r="B105" s="1736" t="s">
        <v>2389</v>
      </c>
      <c r="C105" s="1736" t="s">
        <v>1914</v>
      </c>
      <c r="E105" s="1736" t="s">
        <v>2061</v>
      </c>
      <c r="F105" s="1736" t="s">
        <v>3114</v>
      </c>
      <c r="G105" s="1736" t="s">
        <v>1178</v>
      </c>
      <c r="H105" s="1737">
        <v>43220</v>
      </c>
      <c r="I105" s="1738">
        <v>198997.18</v>
      </c>
      <c r="J105" s="1738">
        <v>184072.39</v>
      </c>
      <c r="K105" s="1737">
        <v>43284</v>
      </c>
      <c r="L105" s="1736"/>
      <c r="M105" s="1737">
        <v>43220</v>
      </c>
      <c r="N105" s="1737">
        <v>43285</v>
      </c>
      <c r="O105" s="1736" t="s">
        <v>3401</v>
      </c>
      <c r="P105" s="1736" t="s">
        <v>3399</v>
      </c>
    </row>
    <row r="106" spans="1:16" ht="25.5">
      <c r="A106" s="1736" t="s">
        <v>1605</v>
      </c>
      <c r="B106" s="1736" t="s">
        <v>1179</v>
      </c>
      <c r="C106" s="1736" t="s">
        <v>1914</v>
      </c>
      <c r="E106" s="1736" t="s">
        <v>2061</v>
      </c>
      <c r="F106" s="1736" t="s">
        <v>3120</v>
      </c>
      <c r="G106" s="1736" t="s">
        <v>276</v>
      </c>
      <c r="H106" s="1737">
        <v>43223</v>
      </c>
      <c r="I106" s="1738">
        <v>198997</v>
      </c>
      <c r="J106" s="1738">
        <v>184072</v>
      </c>
      <c r="K106" s="1737">
        <v>43298</v>
      </c>
      <c r="L106" s="1736"/>
      <c r="M106" s="1737">
        <v>43223</v>
      </c>
      <c r="N106" s="1737">
        <v>43298</v>
      </c>
      <c r="O106" s="1736" t="s">
        <v>3402</v>
      </c>
      <c r="P106" s="1736" t="s">
        <v>3399</v>
      </c>
    </row>
    <row r="107" spans="1:16" ht="25.5">
      <c r="A107" s="1736" t="s">
        <v>2397</v>
      </c>
      <c r="B107" s="1736" t="s">
        <v>2398</v>
      </c>
      <c r="C107" s="1736" t="s">
        <v>1914</v>
      </c>
      <c r="E107" s="1736" t="s">
        <v>2061</v>
      </c>
      <c r="F107" s="1736" t="s">
        <v>3160</v>
      </c>
      <c r="G107" s="1736" t="s">
        <v>3159</v>
      </c>
      <c r="H107" s="1737">
        <v>43229</v>
      </c>
      <c r="I107" s="1738">
        <v>44986.51</v>
      </c>
      <c r="J107" s="1738">
        <v>31265.62</v>
      </c>
      <c r="K107" s="1737">
        <v>43362</v>
      </c>
      <c r="L107" s="1736"/>
      <c r="M107" s="1737">
        <v>43229</v>
      </c>
      <c r="N107" s="1737">
        <v>43368</v>
      </c>
      <c r="O107" s="1736" t="s">
        <v>3404</v>
      </c>
      <c r="P107" s="1736" t="s">
        <v>4477</v>
      </c>
    </row>
    <row r="108" spans="1:16" ht="38.25">
      <c r="A108" s="1736" t="s">
        <v>2402</v>
      </c>
      <c r="B108" s="1736" t="s">
        <v>2403</v>
      </c>
      <c r="C108" s="1736" t="s">
        <v>1914</v>
      </c>
      <c r="E108" s="1736" t="s">
        <v>2061</v>
      </c>
      <c r="F108" s="1736" t="s">
        <v>3169</v>
      </c>
      <c r="G108" s="1736" t="s">
        <v>3168</v>
      </c>
      <c r="H108" s="1737">
        <v>43231</v>
      </c>
      <c r="I108" s="1738">
        <v>5579.99</v>
      </c>
      <c r="J108" s="1738">
        <v>3553.1</v>
      </c>
      <c r="K108" s="1737">
        <v>43348</v>
      </c>
      <c r="L108" s="1736"/>
      <c r="M108" s="1737">
        <v>43231</v>
      </c>
      <c r="N108" s="1737">
        <v>43355</v>
      </c>
      <c r="O108" s="1736" t="s">
        <v>3369</v>
      </c>
      <c r="P108" s="1736" t="s">
        <v>3362</v>
      </c>
    </row>
    <row r="109" spans="1:16" ht="25.5">
      <c r="A109" s="1736" t="s">
        <v>2407</v>
      </c>
      <c r="B109" s="1736" t="s">
        <v>2408</v>
      </c>
      <c r="C109" s="1736" t="s">
        <v>1914</v>
      </c>
      <c r="E109" s="1736" t="s">
        <v>2061</v>
      </c>
      <c r="F109" s="1736" t="s">
        <v>3160</v>
      </c>
      <c r="G109" s="1736" t="s">
        <v>3159</v>
      </c>
      <c r="H109" s="1737">
        <v>43231</v>
      </c>
      <c r="I109" s="1738">
        <v>10446.14</v>
      </c>
      <c r="J109" s="1738">
        <v>7142.92</v>
      </c>
      <c r="K109" s="1737">
        <v>43362</v>
      </c>
      <c r="L109" s="1736"/>
      <c r="M109" s="1737">
        <v>43231</v>
      </c>
      <c r="N109" s="1737">
        <v>43368</v>
      </c>
      <c r="O109" s="1736" t="s">
        <v>3404</v>
      </c>
      <c r="P109" s="1736" t="s">
        <v>4477</v>
      </c>
    </row>
    <row r="110" spans="1:16">
      <c r="A110" s="1736" t="s">
        <v>2411</v>
      </c>
      <c r="B110" s="1736" t="s">
        <v>2412</v>
      </c>
      <c r="C110" s="1736" t="s">
        <v>1914</v>
      </c>
      <c r="E110" s="1736" t="s">
        <v>2061</v>
      </c>
      <c r="F110" s="1736" t="s">
        <v>3180</v>
      </c>
      <c r="G110" s="1736" t="s">
        <v>3179</v>
      </c>
      <c r="H110" s="1737">
        <v>43235</v>
      </c>
      <c r="I110" s="1738">
        <v>9096.9500000000007</v>
      </c>
      <c r="J110" s="1738">
        <v>6245.66</v>
      </c>
      <c r="K110" s="1737">
        <v>43348</v>
      </c>
      <c r="L110" s="1736"/>
      <c r="M110" s="1737">
        <v>43234</v>
      </c>
      <c r="N110" s="1737">
        <v>43350</v>
      </c>
      <c r="O110" s="1736" t="s">
        <v>3406</v>
      </c>
      <c r="P110" s="1736" t="s">
        <v>3386</v>
      </c>
    </row>
    <row r="111" spans="1:16" ht="25.5">
      <c r="A111" s="1736" t="s">
        <v>2416</v>
      </c>
      <c r="B111" s="1736" t="s">
        <v>2417</v>
      </c>
      <c r="C111" s="1736" t="s">
        <v>1914</v>
      </c>
      <c r="E111" s="1736" t="s">
        <v>2061</v>
      </c>
      <c r="F111" s="1736" t="s">
        <v>3188</v>
      </c>
      <c r="G111" s="1736" t="s">
        <v>3187</v>
      </c>
      <c r="H111" s="1737">
        <v>43234</v>
      </c>
      <c r="I111" s="1738">
        <v>9832.3700000000008</v>
      </c>
      <c r="J111" s="1738">
        <v>6773.3</v>
      </c>
      <c r="K111" s="1737">
        <v>43362</v>
      </c>
      <c r="L111" s="1736"/>
      <c r="M111" s="1737">
        <v>43234</v>
      </c>
      <c r="N111" s="1737">
        <v>43368</v>
      </c>
      <c r="O111" s="1736" t="s">
        <v>3405</v>
      </c>
      <c r="P111" s="1736" t="s">
        <v>3362</v>
      </c>
    </row>
    <row r="112" spans="1:16" ht="38.25">
      <c r="A112" s="1736" t="s">
        <v>3193</v>
      </c>
      <c r="B112" s="1736" t="s">
        <v>3194</v>
      </c>
      <c r="C112" s="1736" t="s">
        <v>1827</v>
      </c>
      <c r="E112" s="1736" t="s">
        <v>2137</v>
      </c>
      <c r="F112" s="1736" t="s">
        <v>3169</v>
      </c>
      <c r="G112" s="1736" t="s">
        <v>3168</v>
      </c>
      <c r="H112" s="1737">
        <v>43235</v>
      </c>
      <c r="I112" s="1738">
        <v>3799.5</v>
      </c>
      <c r="J112" s="1738">
        <v>2602.66</v>
      </c>
      <c r="K112" s="1737">
        <v>43348</v>
      </c>
      <c r="L112" s="1737">
        <v>43551</v>
      </c>
      <c r="M112" s="1737">
        <v>43235</v>
      </c>
      <c r="N112" s="1737">
        <v>43355</v>
      </c>
      <c r="O112" s="1736" t="s">
        <v>3369</v>
      </c>
      <c r="P112" s="1736" t="s">
        <v>3362</v>
      </c>
    </row>
    <row r="113" spans="1:16">
      <c r="A113" s="1736" t="s">
        <v>3408</v>
      </c>
      <c r="B113" s="1736" t="s">
        <v>3409</v>
      </c>
      <c r="C113" s="1736" t="s">
        <v>1914</v>
      </c>
      <c r="E113" s="1736" t="s">
        <v>2061</v>
      </c>
      <c r="F113" s="1736" t="s">
        <v>3200</v>
      </c>
      <c r="G113" s="1736" t="s">
        <v>3199</v>
      </c>
      <c r="H113" s="1737">
        <v>43235</v>
      </c>
      <c r="I113" s="1738">
        <v>5628.83</v>
      </c>
      <c r="J113" s="1738">
        <v>3798.83</v>
      </c>
      <c r="K113" s="1737">
        <v>43396</v>
      </c>
      <c r="L113" s="1736"/>
      <c r="M113" s="1737">
        <v>43235</v>
      </c>
      <c r="N113" s="1737">
        <v>43403</v>
      </c>
      <c r="O113" s="1736" t="s">
        <v>3407</v>
      </c>
      <c r="P113" s="1736" t="s">
        <v>3362</v>
      </c>
    </row>
    <row r="114" spans="1:16">
      <c r="A114" s="1736" t="s">
        <v>2421</v>
      </c>
      <c r="B114" s="1736" t="s">
        <v>2422</v>
      </c>
      <c r="C114" s="1736" t="s">
        <v>1914</v>
      </c>
      <c r="E114" s="1736" t="s">
        <v>2061</v>
      </c>
      <c r="F114" s="1736" t="s">
        <v>3200</v>
      </c>
      <c r="G114" s="1736" t="s">
        <v>3199</v>
      </c>
      <c r="H114" s="1737">
        <v>43235</v>
      </c>
      <c r="I114" s="1738">
        <v>12926.88</v>
      </c>
      <c r="J114" s="1738">
        <v>7988.96</v>
      </c>
      <c r="K114" s="1737">
        <v>43348</v>
      </c>
      <c r="L114" s="1736"/>
      <c r="M114" s="1737">
        <v>43235</v>
      </c>
      <c r="N114" s="1737">
        <v>43355</v>
      </c>
      <c r="O114" s="1736" t="s">
        <v>3407</v>
      </c>
      <c r="P114" s="1736" t="s">
        <v>3362</v>
      </c>
    </row>
    <row r="115" spans="1:16" ht="25.5">
      <c r="A115" s="1736" t="s">
        <v>2426</v>
      </c>
      <c r="B115" s="1736" t="s">
        <v>2427</v>
      </c>
      <c r="C115" s="1736" t="s">
        <v>1914</v>
      </c>
      <c r="E115" s="1736" t="s">
        <v>2061</v>
      </c>
      <c r="F115" s="1736" t="s">
        <v>3207</v>
      </c>
      <c r="G115" s="1736" t="s">
        <v>3206</v>
      </c>
      <c r="H115" s="1737">
        <v>43235</v>
      </c>
      <c r="I115" s="1738">
        <v>39491.67</v>
      </c>
      <c r="J115" s="1738">
        <v>27238.5</v>
      </c>
      <c r="K115" s="1737">
        <v>43348</v>
      </c>
      <c r="L115" s="1736"/>
      <c r="M115" s="1737">
        <v>43235</v>
      </c>
      <c r="N115" s="1737">
        <v>43353</v>
      </c>
      <c r="O115" s="1736" t="s">
        <v>3410</v>
      </c>
      <c r="P115" s="1736" t="s">
        <v>3386</v>
      </c>
    </row>
    <row r="116" spans="1:16">
      <c r="A116" s="1736" t="s">
        <v>2578</v>
      </c>
      <c r="B116" s="1736" t="s">
        <v>2579</v>
      </c>
      <c r="C116" s="1736" t="s">
        <v>1914</v>
      </c>
      <c r="E116" s="1736" t="s">
        <v>2061</v>
      </c>
      <c r="F116" s="1736" t="s">
        <v>3200</v>
      </c>
      <c r="G116" s="1736" t="s">
        <v>3199</v>
      </c>
      <c r="H116" s="1737">
        <v>43235</v>
      </c>
      <c r="I116" s="1738">
        <v>8790.99</v>
      </c>
      <c r="J116" s="1738">
        <v>6109.74</v>
      </c>
      <c r="K116" s="1737">
        <v>43348</v>
      </c>
      <c r="L116" s="1736"/>
      <c r="M116" s="1737">
        <v>43235</v>
      </c>
      <c r="N116" s="1737">
        <v>43355</v>
      </c>
      <c r="O116" s="1736" t="s">
        <v>3407</v>
      </c>
      <c r="P116" s="1736" t="s">
        <v>3362</v>
      </c>
    </row>
    <row r="117" spans="1:16" ht="25.5">
      <c r="A117" s="1736" t="s">
        <v>3217</v>
      </c>
      <c r="B117" s="1736" t="s">
        <v>3218</v>
      </c>
      <c r="C117" s="1736" t="s">
        <v>1914</v>
      </c>
      <c r="E117" s="1736" t="s">
        <v>2061</v>
      </c>
      <c r="F117" s="1736" t="s">
        <v>3221</v>
      </c>
      <c r="G117" s="1736" t="s">
        <v>3220</v>
      </c>
      <c r="H117" s="1737">
        <v>43235</v>
      </c>
      <c r="I117" s="1738">
        <v>18000</v>
      </c>
      <c r="J117" s="1738">
        <v>12201.6</v>
      </c>
      <c r="K117" s="1737">
        <v>43348</v>
      </c>
      <c r="L117" s="1736"/>
      <c r="M117" s="1737">
        <v>43235</v>
      </c>
      <c r="N117" s="1737">
        <v>43349</v>
      </c>
      <c r="O117" s="1736" t="s">
        <v>3411</v>
      </c>
      <c r="P117" s="1736" t="s">
        <v>3386</v>
      </c>
    </row>
    <row r="118" spans="1:16" ht="25.5">
      <c r="A118" s="1736" t="s">
        <v>1238</v>
      </c>
      <c r="B118" s="1736" t="s">
        <v>2435</v>
      </c>
      <c r="C118" s="1736" t="s">
        <v>1914</v>
      </c>
      <c r="E118" s="1736" t="s">
        <v>2061</v>
      </c>
      <c r="F118" s="1736" t="s">
        <v>2799</v>
      </c>
      <c r="G118" s="1736" t="s">
        <v>345</v>
      </c>
      <c r="H118" s="1737">
        <v>43076</v>
      </c>
      <c r="I118" s="1738">
        <v>181986</v>
      </c>
      <c r="J118" s="1738">
        <v>168337</v>
      </c>
      <c r="K118" s="1737">
        <v>43164</v>
      </c>
      <c r="L118" s="1736"/>
      <c r="M118" s="1737">
        <v>43076</v>
      </c>
      <c r="N118" s="1737">
        <v>43174</v>
      </c>
      <c r="O118" s="1736" t="s">
        <v>3352</v>
      </c>
      <c r="P118" s="1736" t="s">
        <v>3315</v>
      </c>
    </row>
    <row r="119" spans="1:16" ht="38.25">
      <c r="A119" s="1736" t="s">
        <v>1239</v>
      </c>
      <c r="B119" s="1736" t="s">
        <v>639</v>
      </c>
      <c r="C119" s="1736" t="s">
        <v>1914</v>
      </c>
      <c r="E119" s="1736" t="s">
        <v>2061</v>
      </c>
      <c r="F119" s="1736" t="s">
        <v>2812</v>
      </c>
      <c r="G119" s="1736" t="s">
        <v>161</v>
      </c>
      <c r="H119" s="1737">
        <v>43080</v>
      </c>
      <c r="I119" s="1738">
        <v>133554.21</v>
      </c>
      <c r="J119" s="1738">
        <v>123528</v>
      </c>
      <c r="K119" s="1737">
        <v>43193</v>
      </c>
      <c r="L119" s="1736"/>
      <c r="M119" s="1737">
        <v>43080</v>
      </c>
      <c r="N119" s="1737">
        <v>43195</v>
      </c>
      <c r="O119" s="1736" t="s">
        <v>3370</v>
      </c>
      <c r="P119" s="1736" t="s">
        <v>3323</v>
      </c>
    </row>
    <row r="120" spans="1:16" ht="25.5">
      <c r="A120" s="1736" t="s">
        <v>1240</v>
      </c>
      <c r="B120" s="1736" t="s">
        <v>138</v>
      </c>
      <c r="C120" s="1736" t="s">
        <v>1914</v>
      </c>
      <c r="E120" s="1736" t="s">
        <v>2061</v>
      </c>
      <c r="F120" s="1736" t="s">
        <v>2820</v>
      </c>
      <c r="G120" s="1736" t="s">
        <v>282</v>
      </c>
      <c r="H120" s="1737">
        <v>43080</v>
      </c>
      <c r="I120" s="1738">
        <v>370000</v>
      </c>
      <c r="J120" s="1738">
        <v>312658</v>
      </c>
      <c r="K120" s="1737">
        <v>43179</v>
      </c>
      <c r="L120" s="1736"/>
      <c r="M120" s="1737">
        <v>43080</v>
      </c>
      <c r="N120" s="1737">
        <v>43185</v>
      </c>
      <c r="O120" s="1736" t="s">
        <v>3371</v>
      </c>
      <c r="P120" s="1736" t="s">
        <v>3323</v>
      </c>
    </row>
    <row r="121" spans="1:16" ht="63.75">
      <c r="A121" s="1736" t="s">
        <v>1241</v>
      </c>
      <c r="B121" s="1736" t="s">
        <v>3240</v>
      </c>
      <c r="C121" s="1736" t="s">
        <v>1914</v>
      </c>
      <c r="E121" s="1736" t="s">
        <v>2061</v>
      </c>
      <c r="F121" s="1736" t="s">
        <v>2828</v>
      </c>
      <c r="G121" s="1736" t="s">
        <v>184</v>
      </c>
      <c r="H121" s="1737">
        <v>43080</v>
      </c>
      <c r="I121" s="1738">
        <v>597456.88</v>
      </c>
      <c r="J121" s="1738">
        <v>537595</v>
      </c>
      <c r="K121" s="1737">
        <v>43186</v>
      </c>
      <c r="L121" s="1736"/>
      <c r="M121" s="1737">
        <v>43080</v>
      </c>
      <c r="N121" s="1737">
        <v>43193</v>
      </c>
      <c r="O121" s="1736" t="s">
        <v>4478</v>
      </c>
      <c r="P121" s="1736" t="s">
        <v>3332</v>
      </c>
    </row>
    <row r="122" spans="1:16" ht="51">
      <c r="A122" s="1736" t="s">
        <v>1242</v>
      </c>
      <c r="B122" s="1736" t="s">
        <v>2445</v>
      </c>
      <c r="C122" s="1736" t="s">
        <v>3357</v>
      </c>
      <c r="E122" s="1736" t="s">
        <v>3373</v>
      </c>
      <c r="F122" s="1736" t="s">
        <v>2929</v>
      </c>
      <c r="G122" s="1736" t="s">
        <v>235</v>
      </c>
      <c r="H122" s="1737">
        <v>43080</v>
      </c>
      <c r="I122" s="1738">
        <v>221629.58</v>
      </c>
      <c r="J122" s="1738">
        <v>96933</v>
      </c>
      <c r="K122" s="1736"/>
      <c r="L122" s="1736"/>
      <c r="M122" s="1737">
        <v>43080</v>
      </c>
      <c r="N122" s="1736"/>
      <c r="O122" s="1736" t="s">
        <v>3374</v>
      </c>
      <c r="P122" s="1736"/>
    </row>
    <row r="123" spans="1:16" ht="51">
      <c r="A123" s="1736" t="s">
        <v>2444</v>
      </c>
      <c r="B123" s="1736" t="s">
        <v>2445</v>
      </c>
      <c r="C123" s="1736" t="s">
        <v>1914</v>
      </c>
      <c r="E123" s="1736" t="s">
        <v>2061</v>
      </c>
      <c r="F123" s="1736" t="s">
        <v>2929</v>
      </c>
      <c r="G123" s="1736" t="s">
        <v>235</v>
      </c>
      <c r="H123" s="1737">
        <v>43175</v>
      </c>
      <c r="I123" s="1738">
        <v>176024.68</v>
      </c>
      <c r="J123" s="1738">
        <v>96933</v>
      </c>
      <c r="K123" s="1737">
        <v>43265</v>
      </c>
      <c r="L123" s="1736"/>
      <c r="M123" s="1737">
        <v>43175</v>
      </c>
      <c r="N123" s="1737">
        <v>43269</v>
      </c>
      <c r="O123" s="1736" t="s">
        <v>3388</v>
      </c>
      <c r="P123" s="1736" t="s">
        <v>4346</v>
      </c>
    </row>
    <row r="124" spans="1:16" ht="38.25">
      <c r="A124" s="1736" t="s">
        <v>2449</v>
      </c>
      <c r="B124" s="1736" t="s">
        <v>279</v>
      </c>
      <c r="C124" s="1736" t="s">
        <v>1914</v>
      </c>
      <c r="E124" s="1736" t="s">
        <v>2061</v>
      </c>
      <c r="F124" s="1736" t="s">
        <v>2812</v>
      </c>
      <c r="G124" s="1736" t="s">
        <v>161</v>
      </c>
      <c r="H124" s="1737">
        <v>42991</v>
      </c>
      <c r="I124" s="1738">
        <v>195779</v>
      </c>
      <c r="J124" s="1738">
        <v>181095</v>
      </c>
      <c r="K124" s="1737">
        <v>43150</v>
      </c>
      <c r="L124" s="1736"/>
      <c r="M124" s="1737">
        <v>42991</v>
      </c>
      <c r="N124" s="1737">
        <v>43154</v>
      </c>
      <c r="O124" s="1736" t="s">
        <v>3348</v>
      </c>
      <c r="P124" s="1736" t="s">
        <v>3315</v>
      </c>
    </row>
    <row r="125" spans="1:16" ht="38.25">
      <c r="A125" s="1736" t="s">
        <v>2454</v>
      </c>
      <c r="B125" s="1736" t="s">
        <v>634</v>
      </c>
      <c r="C125" s="1736" t="s">
        <v>1914</v>
      </c>
      <c r="E125" s="1736" t="s">
        <v>2061</v>
      </c>
      <c r="F125" s="1736" t="s">
        <v>2799</v>
      </c>
      <c r="G125" s="1736" t="s">
        <v>345</v>
      </c>
      <c r="H125" s="1737">
        <v>42991</v>
      </c>
      <c r="I125" s="1738">
        <v>657021</v>
      </c>
      <c r="J125" s="1738">
        <v>607744</v>
      </c>
      <c r="K125" s="1737">
        <v>43139</v>
      </c>
      <c r="L125" s="1736"/>
      <c r="M125" s="1737">
        <v>42991</v>
      </c>
      <c r="N125" s="1737">
        <v>43145</v>
      </c>
      <c r="O125" s="1736" t="s">
        <v>3352</v>
      </c>
      <c r="P125" s="1736" t="s">
        <v>3331</v>
      </c>
    </row>
    <row r="126" spans="1:16" ht="63.75">
      <c r="A126" s="1736" t="s">
        <v>3254</v>
      </c>
      <c r="B126" s="1736" t="s">
        <v>643</v>
      </c>
      <c r="C126" s="1736" t="s">
        <v>1914</v>
      </c>
      <c r="E126" s="1736" t="s">
        <v>2061</v>
      </c>
      <c r="F126" s="1736" t="s">
        <v>2820</v>
      </c>
      <c r="G126" s="1736" t="s">
        <v>282</v>
      </c>
      <c r="H126" s="1737">
        <v>42993</v>
      </c>
      <c r="I126" s="1738">
        <v>220453</v>
      </c>
      <c r="J126" s="1738">
        <v>203919</v>
      </c>
      <c r="K126" s="1737">
        <v>43117</v>
      </c>
      <c r="L126" s="1736"/>
      <c r="M126" s="1737">
        <v>42993</v>
      </c>
      <c r="N126" s="1737">
        <v>43123</v>
      </c>
      <c r="O126" s="1736" t="s">
        <v>3352</v>
      </c>
      <c r="P126" s="1736" t="s">
        <v>3311</v>
      </c>
    </row>
    <row r="127" spans="1:16" ht="38.25">
      <c r="A127" s="1736" t="s">
        <v>804</v>
      </c>
      <c r="B127" s="1736" t="s">
        <v>231</v>
      </c>
      <c r="C127" s="1736" t="s">
        <v>1914</v>
      </c>
      <c r="E127" s="1736" t="s">
        <v>2061</v>
      </c>
      <c r="F127" s="1736" t="s">
        <v>2929</v>
      </c>
      <c r="G127" s="1736" t="s">
        <v>235</v>
      </c>
      <c r="H127" s="1737">
        <v>42993</v>
      </c>
      <c r="I127" s="1738">
        <v>163877</v>
      </c>
      <c r="J127" s="1738">
        <v>151586</v>
      </c>
      <c r="K127" s="1737">
        <v>43098</v>
      </c>
      <c r="L127" s="1736"/>
      <c r="M127" s="1737">
        <v>42993</v>
      </c>
      <c r="N127" s="1737">
        <v>43110</v>
      </c>
      <c r="O127" s="1736" t="s">
        <v>3348</v>
      </c>
      <c r="P127" s="1736" t="s">
        <v>3331</v>
      </c>
    </row>
    <row r="128" spans="1:16" ht="51">
      <c r="A128" s="1736" t="s">
        <v>807</v>
      </c>
      <c r="B128" s="1736" t="s">
        <v>186</v>
      </c>
      <c r="C128" s="1736" t="s">
        <v>1914</v>
      </c>
      <c r="E128" s="1736" t="s">
        <v>2061</v>
      </c>
      <c r="F128" s="1736" t="s">
        <v>2828</v>
      </c>
      <c r="G128" s="1736" t="s">
        <v>184</v>
      </c>
      <c r="H128" s="1737">
        <v>43003</v>
      </c>
      <c r="I128" s="1738">
        <v>106845.41</v>
      </c>
      <c r="J128" s="1738">
        <v>98832</v>
      </c>
      <c r="K128" s="1737">
        <v>43112</v>
      </c>
      <c r="L128" s="1736"/>
      <c r="M128" s="1737">
        <v>43003</v>
      </c>
      <c r="N128" s="1737">
        <v>43125</v>
      </c>
      <c r="O128" s="1736" t="s">
        <v>3350</v>
      </c>
      <c r="P128" s="1736" t="s">
        <v>3315</v>
      </c>
    </row>
    <row r="129" spans="1:16" ht="38.25">
      <c r="A129" s="1736" t="s">
        <v>790</v>
      </c>
      <c r="B129" s="1736" t="s">
        <v>280</v>
      </c>
      <c r="C129" s="1736" t="s">
        <v>1914</v>
      </c>
      <c r="E129" s="1736" t="s">
        <v>2061</v>
      </c>
      <c r="F129" s="1736" t="s">
        <v>3265</v>
      </c>
      <c r="G129" s="1736" t="s">
        <v>3264</v>
      </c>
      <c r="H129" s="1737">
        <v>42915</v>
      </c>
      <c r="I129" s="1738">
        <v>135814</v>
      </c>
      <c r="J129" s="1738">
        <v>115441</v>
      </c>
      <c r="K129" s="1737">
        <v>43045</v>
      </c>
      <c r="L129" s="1736"/>
      <c r="M129" s="1737">
        <v>42915</v>
      </c>
      <c r="N129" s="1737">
        <v>43048</v>
      </c>
      <c r="O129" s="1736" t="s">
        <v>3344</v>
      </c>
      <c r="P129" s="1736" t="s">
        <v>3331</v>
      </c>
    </row>
    <row r="130" spans="1:16" ht="25.5">
      <c r="A130" s="1736" t="s">
        <v>805</v>
      </c>
      <c r="B130" s="1736" t="s">
        <v>233</v>
      </c>
      <c r="C130" s="1736" t="s">
        <v>1914</v>
      </c>
      <c r="E130" s="1736" t="s">
        <v>2061</v>
      </c>
      <c r="F130" s="1736" t="s">
        <v>2929</v>
      </c>
      <c r="G130" s="1736" t="s">
        <v>235</v>
      </c>
      <c r="H130" s="1737">
        <v>42993</v>
      </c>
      <c r="I130" s="1738">
        <v>146702.29999999999</v>
      </c>
      <c r="J130" s="1738">
        <v>124266</v>
      </c>
      <c r="K130" s="1737">
        <v>43097</v>
      </c>
      <c r="L130" s="1736"/>
      <c r="M130" s="1737">
        <v>42993</v>
      </c>
      <c r="N130" s="1737">
        <v>43102</v>
      </c>
      <c r="O130" s="1736" t="s">
        <v>3349</v>
      </c>
      <c r="P130" s="1736" t="s">
        <v>3331</v>
      </c>
    </row>
    <row r="131" spans="1:16" ht="38.25">
      <c r="A131" s="1736" t="s">
        <v>808</v>
      </c>
      <c r="B131" s="1736" t="s">
        <v>2484</v>
      </c>
      <c r="C131" s="1736" t="s">
        <v>1914</v>
      </c>
      <c r="E131" s="1736" t="s">
        <v>2061</v>
      </c>
      <c r="F131" s="1736" t="s">
        <v>2820</v>
      </c>
      <c r="G131" s="1736" t="s">
        <v>282</v>
      </c>
      <c r="H131" s="1737">
        <v>43004</v>
      </c>
      <c r="I131" s="1738">
        <v>437551</v>
      </c>
      <c r="J131" s="1738">
        <v>371918</v>
      </c>
      <c r="K131" s="1737">
        <v>43097</v>
      </c>
      <c r="L131" s="1736"/>
      <c r="M131" s="1737">
        <v>43004</v>
      </c>
      <c r="N131" s="1737">
        <v>43105</v>
      </c>
      <c r="O131" s="1736" t="s">
        <v>3351</v>
      </c>
      <c r="P131" s="1736" t="s">
        <v>3337</v>
      </c>
    </row>
    <row r="132" spans="1:16" ht="38.25">
      <c r="A132" s="1736" t="s">
        <v>809</v>
      </c>
      <c r="B132" s="1736" t="s">
        <v>2489</v>
      </c>
      <c r="C132" s="1736" t="s">
        <v>1914</v>
      </c>
      <c r="E132" s="1736" t="s">
        <v>2061</v>
      </c>
      <c r="F132" s="1736" t="s">
        <v>2799</v>
      </c>
      <c r="G132" s="1736" t="s">
        <v>345</v>
      </c>
      <c r="H132" s="1737">
        <v>43006</v>
      </c>
      <c r="I132" s="1738">
        <v>397378</v>
      </c>
      <c r="J132" s="1738">
        <v>337771</v>
      </c>
      <c r="K132" s="1737">
        <v>43119</v>
      </c>
      <c r="L132" s="1736"/>
      <c r="M132" s="1737">
        <v>43006</v>
      </c>
      <c r="N132" s="1737">
        <v>43139</v>
      </c>
      <c r="O132" s="1736" t="s">
        <v>3352</v>
      </c>
      <c r="P132" s="1736" t="s">
        <v>3331</v>
      </c>
    </row>
    <row r="133" spans="1:16" ht="38.25">
      <c r="A133" s="1736" t="s">
        <v>810</v>
      </c>
      <c r="B133" s="1736" t="s">
        <v>635</v>
      </c>
      <c r="C133" s="1736" t="s">
        <v>1914</v>
      </c>
      <c r="E133" s="1736" t="s">
        <v>2061</v>
      </c>
      <c r="F133" s="1736" t="s">
        <v>2828</v>
      </c>
      <c r="G133" s="1736" t="s">
        <v>184</v>
      </c>
      <c r="H133" s="1737">
        <v>43081</v>
      </c>
      <c r="I133" s="1738">
        <v>856424.88</v>
      </c>
      <c r="J133" s="1738">
        <v>536611</v>
      </c>
      <c r="K133" s="1737">
        <v>43115</v>
      </c>
      <c r="L133" s="1736"/>
      <c r="M133" s="1737">
        <v>43007</v>
      </c>
      <c r="N133" s="1737">
        <v>43125</v>
      </c>
      <c r="O133" s="1736" t="s">
        <v>3375</v>
      </c>
      <c r="P133" s="1736" t="s">
        <v>3330</v>
      </c>
    </row>
    <row r="134" spans="1:16" ht="25.5">
      <c r="A134" s="1736" t="s">
        <v>3817</v>
      </c>
      <c r="B134" s="1736" t="s">
        <v>3818</v>
      </c>
      <c r="C134" s="1736" t="s">
        <v>1942</v>
      </c>
      <c r="E134" s="1736" t="s">
        <v>3422</v>
      </c>
      <c r="F134" s="1736" t="s">
        <v>3819</v>
      </c>
      <c r="G134" s="1736" t="s">
        <v>3820</v>
      </c>
      <c r="H134" s="1737">
        <v>43432</v>
      </c>
      <c r="I134" s="1738">
        <v>1934.4</v>
      </c>
      <c r="J134" s="1738">
        <v>1934.4</v>
      </c>
      <c r="K134" s="1736"/>
      <c r="L134" s="1736"/>
      <c r="M134" s="1737">
        <v>43432</v>
      </c>
      <c r="N134" s="1736"/>
      <c r="O134" s="1736" t="s">
        <v>4354</v>
      </c>
      <c r="P134" s="1736"/>
    </row>
    <row r="135" spans="1:16" ht="51">
      <c r="A135" s="1736" t="s">
        <v>4115</v>
      </c>
      <c r="B135" s="1736" t="s">
        <v>4116</v>
      </c>
      <c r="C135" s="1736" t="s">
        <v>1942</v>
      </c>
      <c r="E135" s="1736" t="s">
        <v>3422</v>
      </c>
      <c r="F135" s="1736" t="s">
        <v>4117</v>
      </c>
      <c r="G135" s="1736" t="s">
        <v>4118</v>
      </c>
      <c r="H135" s="1737">
        <v>43444</v>
      </c>
      <c r="I135" s="1738">
        <v>1178</v>
      </c>
      <c r="J135" s="1738">
        <v>1178</v>
      </c>
      <c r="K135" s="1736"/>
      <c r="L135" s="1736"/>
      <c r="M135" s="1737">
        <v>43444</v>
      </c>
      <c r="N135" s="1736"/>
      <c r="O135" s="1736" t="s">
        <v>4119</v>
      </c>
      <c r="P135" s="1736"/>
    </row>
    <row r="136" spans="1:16" ht="25.5">
      <c r="A136" s="1736" t="s">
        <v>4120</v>
      </c>
      <c r="B136" s="1736" t="s">
        <v>4121</v>
      </c>
      <c r="C136" s="1736" t="s">
        <v>1942</v>
      </c>
      <c r="E136" s="1736" t="s">
        <v>3422</v>
      </c>
      <c r="F136" s="1736" t="s">
        <v>4122</v>
      </c>
      <c r="G136" s="1736" t="s">
        <v>4123</v>
      </c>
      <c r="H136" s="1737">
        <v>43445</v>
      </c>
      <c r="I136" s="1738">
        <v>951.08</v>
      </c>
      <c r="J136" s="1738">
        <v>951.08</v>
      </c>
      <c r="K136" s="1736"/>
      <c r="L136" s="1736"/>
      <c r="M136" s="1737">
        <v>43445</v>
      </c>
      <c r="N136" s="1736"/>
      <c r="O136" s="1736" t="s">
        <v>4124</v>
      </c>
      <c r="P136" s="1736"/>
    </row>
    <row r="137" spans="1:16" ht="25.5">
      <c r="A137" s="1736" t="s">
        <v>4125</v>
      </c>
      <c r="B137" s="1736" t="s">
        <v>4126</v>
      </c>
      <c r="C137" s="1736" t="s">
        <v>1942</v>
      </c>
      <c r="E137" s="1736" t="s">
        <v>3422</v>
      </c>
      <c r="F137" s="1736" t="s">
        <v>2771</v>
      </c>
      <c r="G137" s="1736" t="s">
        <v>2770</v>
      </c>
      <c r="H137" s="1737">
        <v>43445</v>
      </c>
      <c r="I137" s="1738">
        <v>951.08</v>
      </c>
      <c r="J137" s="1738">
        <v>951.08</v>
      </c>
      <c r="K137" s="1736"/>
      <c r="L137" s="1736"/>
      <c r="M137" s="1737">
        <v>43445</v>
      </c>
      <c r="N137" s="1736"/>
      <c r="O137" s="1736" t="s">
        <v>4127</v>
      </c>
      <c r="P137" s="1736"/>
    </row>
    <row r="138" spans="1:16" ht="25.5">
      <c r="A138" s="1736" t="s">
        <v>4128</v>
      </c>
      <c r="B138" s="1736" t="s">
        <v>4126</v>
      </c>
      <c r="C138" s="1736" t="s">
        <v>1942</v>
      </c>
      <c r="E138" s="1736" t="s">
        <v>3422</v>
      </c>
      <c r="F138" s="1736" t="s">
        <v>2771</v>
      </c>
      <c r="G138" s="1736" t="s">
        <v>2770</v>
      </c>
      <c r="H138" s="1737">
        <v>43445</v>
      </c>
      <c r="I138" s="1738">
        <v>951.08</v>
      </c>
      <c r="J138" s="1738">
        <v>951.08</v>
      </c>
      <c r="K138" s="1736"/>
      <c r="L138" s="1736"/>
      <c r="M138" s="1737">
        <v>43445</v>
      </c>
      <c r="N138" s="1736"/>
      <c r="O138" s="1736" t="s">
        <v>4127</v>
      </c>
      <c r="P138" s="1736"/>
    </row>
    <row r="139" spans="1:16" ht="38.25">
      <c r="A139" s="1736" t="s">
        <v>4129</v>
      </c>
      <c r="B139" s="1736" t="s">
        <v>4130</v>
      </c>
      <c r="C139" s="1736" t="s">
        <v>1942</v>
      </c>
      <c r="E139" s="1736" t="s">
        <v>3422</v>
      </c>
      <c r="F139" s="1736" t="s">
        <v>4117</v>
      </c>
      <c r="G139" s="1736" t="s">
        <v>4118</v>
      </c>
      <c r="H139" s="1737">
        <v>43445</v>
      </c>
      <c r="I139" s="1738">
        <v>497.24</v>
      </c>
      <c r="J139" s="1738">
        <v>497.24</v>
      </c>
      <c r="K139" s="1736"/>
      <c r="L139" s="1736"/>
      <c r="M139" s="1737">
        <v>43445</v>
      </c>
      <c r="N139" s="1736"/>
      <c r="O139" s="1736" t="s">
        <v>4119</v>
      </c>
      <c r="P139" s="1736"/>
    </row>
    <row r="140" spans="1:16" ht="38.25">
      <c r="A140" s="1736" t="s">
        <v>4131</v>
      </c>
      <c r="B140" s="1736" t="s">
        <v>4130</v>
      </c>
      <c r="C140" s="1736" t="s">
        <v>1942</v>
      </c>
      <c r="E140" s="1736" t="s">
        <v>3422</v>
      </c>
      <c r="F140" s="1736" t="s">
        <v>4132</v>
      </c>
      <c r="G140" s="1736" t="s">
        <v>4133</v>
      </c>
      <c r="H140" s="1737">
        <v>43445</v>
      </c>
      <c r="I140" s="1738">
        <v>951.08</v>
      </c>
      <c r="J140" s="1738">
        <v>951.08</v>
      </c>
      <c r="K140" s="1736"/>
      <c r="L140" s="1736"/>
      <c r="M140" s="1737">
        <v>43445</v>
      </c>
      <c r="N140" s="1736"/>
      <c r="O140" s="1736" t="s">
        <v>4354</v>
      </c>
      <c r="P140" s="1736"/>
    </row>
    <row r="141" spans="1:16" ht="38.25">
      <c r="A141" s="1736" t="s">
        <v>4134</v>
      </c>
      <c r="B141" s="1736" t="s">
        <v>4135</v>
      </c>
      <c r="C141" s="1736" t="s">
        <v>1942</v>
      </c>
      <c r="E141" s="1736" t="s">
        <v>3394</v>
      </c>
      <c r="F141" s="1736" t="s">
        <v>4136</v>
      </c>
      <c r="G141" s="1736" t="s">
        <v>4137</v>
      </c>
      <c r="H141" s="1737">
        <v>43446</v>
      </c>
      <c r="I141" s="1738">
        <v>1178</v>
      </c>
      <c r="J141" s="1738">
        <v>1178</v>
      </c>
      <c r="K141" s="1736"/>
      <c r="L141" s="1736"/>
      <c r="M141" s="1737">
        <v>43446</v>
      </c>
      <c r="N141" s="1736"/>
      <c r="O141" s="1736" t="s">
        <v>4124</v>
      </c>
      <c r="P141" s="1736"/>
    </row>
    <row r="142" spans="1:16" ht="25.5">
      <c r="A142" s="1736" t="s">
        <v>4138</v>
      </c>
      <c r="B142" s="1736" t="s">
        <v>4139</v>
      </c>
      <c r="C142" s="1736" t="s">
        <v>1942</v>
      </c>
      <c r="E142" s="1736" t="s">
        <v>3394</v>
      </c>
      <c r="F142" s="1736" t="s">
        <v>4122</v>
      </c>
      <c r="G142" s="1736" t="s">
        <v>4123</v>
      </c>
      <c r="H142" s="1737">
        <v>43446</v>
      </c>
      <c r="I142" s="1738">
        <v>951.08</v>
      </c>
      <c r="J142" s="1738">
        <v>951.08</v>
      </c>
      <c r="K142" s="1736"/>
      <c r="L142" s="1736"/>
      <c r="M142" s="1737">
        <v>43446</v>
      </c>
      <c r="N142" s="1736"/>
      <c r="O142" s="1736" t="s">
        <v>4124</v>
      </c>
      <c r="P142" s="1736"/>
    </row>
    <row r="143" spans="1:16" ht="38.25">
      <c r="A143" s="1736" t="s">
        <v>4140</v>
      </c>
      <c r="B143" s="1736" t="s">
        <v>4141</v>
      </c>
      <c r="C143" s="1736" t="s">
        <v>1942</v>
      </c>
      <c r="E143" s="1736" t="s">
        <v>3394</v>
      </c>
      <c r="F143" s="1736" t="s">
        <v>4122</v>
      </c>
      <c r="G143" s="1736" t="s">
        <v>4123</v>
      </c>
      <c r="H143" s="1737">
        <v>43446</v>
      </c>
      <c r="I143" s="1738">
        <v>1061.44</v>
      </c>
      <c r="J143" s="1738">
        <v>1061.44</v>
      </c>
      <c r="K143" s="1736"/>
      <c r="L143" s="1736"/>
      <c r="M143" s="1737">
        <v>43446</v>
      </c>
      <c r="N143" s="1736"/>
      <c r="O143" s="1736" t="s">
        <v>4124</v>
      </c>
      <c r="P143" s="1736"/>
    </row>
    <row r="144" spans="1:16" ht="51">
      <c r="A144" s="1736" t="s">
        <v>4142</v>
      </c>
      <c r="B144" s="1736" t="s">
        <v>4143</v>
      </c>
      <c r="C144" s="1736" t="s">
        <v>1942</v>
      </c>
      <c r="E144" s="1736" t="s">
        <v>3394</v>
      </c>
      <c r="F144" s="1736" t="s">
        <v>4122</v>
      </c>
      <c r="G144" s="1736" t="s">
        <v>4123</v>
      </c>
      <c r="H144" s="1737">
        <v>43446</v>
      </c>
      <c r="I144" s="1738">
        <v>951.08</v>
      </c>
      <c r="J144" s="1738">
        <v>951.08</v>
      </c>
      <c r="K144" s="1736"/>
      <c r="L144" s="1736"/>
      <c r="M144" s="1737">
        <v>43446</v>
      </c>
      <c r="N144" s="1736"/>
      <c r="O144" s="1736" t="s">
        <v>4124</v>
      </c>
      <c r="P144" s="1736"/>
    </row>
    <row r="145" spans="1:16" ht="51">
      <c r="A145" s="1736" t="s">
        <v>4144</v>
      </c>
      <c r="B145" s="1736" t="s">
        <v>4145</v>
      </c>
      <c r="C145" s="1736" t="s">
        <v>1942</v>
      </c>
      <c r="E145" s="1736" t="s">
        <v>3422</v>
      </c>
      <c r="F145" s="1736" t="s">
        <v>4117</v>
      </c>
      <c r="G145" s="1736" t="s">
        <v>4118</v>
      </c>
      <c r="H145" s="1737">
        <v>43446</v>
      </c>
      <c r="I145" s="1738">
        <v>1178</v>
      </c>
      <c r="J145" s="1738">
        <v>1178</v>
      </c>
      <c r="K145" s="1736"/>
      <c r="L145" s="1736"/>
      <c r="M145" s="1737">
        <v>43446</v>
      </c>
      <c r="N145" s="1736"/>
      <c r="O145" s="1736" t="s">
        <v>4119</v>
      </c>
      <c r="P145" s="1736"/>
    </row>
    <row r="146" spans="1:16" ht="51">
      <c r="A146" s="1736" t="s">
        <v>4146</v>
      </c>
      <c r="B146" s="1736" t="s">
        <v>4145</v>
      </c>
      <c r="C146" s="1736" t="s">
        <v>1942</v>
      </c>
      <c r="E146" s="1736" t="s">
        <v>3422</v>
      </c>
      <c r="F146" s="1736" t="s">
        <v>4117</v>
      </c>
      <c r="G146" s="1736" t="s">
        <v>4118</v>
      </c>
      <c r="H146" s="1737">
        <v>43446</v>
      </c>
      <c r="I146" s="1738">
        <v>2434.12</v>
      </c>
      <c r="J146" s="1738">
        <v>2434.12</v>
      </c>
      <c r="K146" s="1736"/>
      <c r="L146" s="1736"/>
      <c r="M146" s="1737">
        <v>43446</v>
      </c>
      <c r="N146" s="1736"/>
      <c r="O146" s="1736" t="s">
        <v>4119</v>
      </c>
      <c r="P146" s="1736"/>
    </row>
    <row r="147" spans="1:16" ht="25.5">
      <c r="A147" s="1736" t="s">
        <v>4147</v>
      </c>
      <c r="B147" s="1736" t="s">
        <v>4148</v>
      </c>
      <c r="C147" s="1736" t="s">
        <v>1942</v>
      </c>
      <c r="E147" s="1736" t="s">
        <v>3422</v>
      </c>
      <c r="F147" s="1736" t="s">
        <v>4117</v>
      </c>
      <c r="G147" s="1736" t="s">
        <v>4118</v>
      </c>
      <c r="H147" s="1737">
        <v>43446</v>
      </c>
      <c r="I147" s="1738">
        <v>951.08</v>
      </c>
      <c r="J147" s="1738">
        <v>951.08</v>
      </c>
      <c r="K147" s="1736"/>
      <c r="L147" s="1736"/>
      <c r="M147" s="1737">
        <v>43446</v>
      </c>
      <c r="N147" s="1736"/>
      <c r="O147" s="1736" t="s">
        <v>4119</v>
      </c>
      <c r="P147" s="1736"/>
    </row>
    <row r="148" spans="1:16" ht="51">
      <c r="A148" s="1736" t="s">
        <v>4149</v>
      </c>
      <c r="B148" s="1736" t="s">
        <v>4150</v>
      </c>
      <c r="C148" s="1736" t="s">
        <v>1942</v>
      </c>
      <c r="E148" s="1736" t="s">
        <v>3422</v>
      </c>
      <c r="F148" s="1736" t="s">
        <v>2771</v>
      </c>
      <c r="G148" s="1736" t="s">
        <v>2770</v>
      </c>
      <c r="H148" s="1737">
        <v>43446</v>
      </c>
      <c r="I148" s="1738">
        <v>1288.3599999999999</v>
      </c>
      <c r="J148" s="1738">
        <v>1288.3599999999999</v>
      </c>
      <c r="K148" s="1736"/>
      <c r="L148" s="1736"/>
      <c r="M148" s="1737">
        <v>43446</v>
      </c>
      <c r="N148" s="1736"/>
      <c r="O148" s="1736" t="s">
        <v>4127</v>
      </c>
      <c r="P148" s="1736"/>
    </row>
    <row r="149" spans="1:16" ht="51">
      <c r="A149" s="1736" t="s">
        <v>4151</v>
      </c>
      <c r="B149" s="1736" t="s">
        <v>4152</v>
      </c>
      <c r="C149" s="1736" t="s">
        <v>1942</v>
      </c>
      <c r="E149" s="1736" t="s">
        <v>3394</v>
      </c>
      <c r="F149" s="1736" t="s">
        <v>4122</v>
      </c>
      <c r="G149" s="1736" t="s">
        <v>4123</v>
      </c>
      <c r="H149" s="1737">
        <v>43446</v>
      </c>
      <c r="I149" s="1738">
        <v>951.08</v>
      </c>
      <c r="J149" s="1738">
        <v>951.08</v>
      </c>
      <c r="K149" s="1736"/>
      <c r="L149" s="1736"/>
      <c r="M149" s="1737">
        <v>43446</v>
      </c>
      <c r="N149" s="1736"/>
      <c r="O149" s="1736" t="s">
        <v>4124</v>
      </c>
      <c r="P149" s="1736"/>
    </row>
    <row r="150" spans="1:16" ht="51">
      <c r="A150" s="1736" t="s">
        <v>4153</v>
      </c>
      <c r="B150" s="1736" t="s">
        <v>4154</v>
      </c>
      <c r="C150" s="1736" t="s">
        <v>1942</v>
      </c>
      <c r="E150" s="1736" t="s">
        <v>3422</v>
      </c>
      <c r="F150" s="1736" t="s">
        <v>2771</v>
      </c>
      <c r="G150" s="1736" t="s">
        <v>2770</v>
      </c>
      <c r="H150" s="1737">
        <v>43446</v>
      </c>
      <c r="I150" s="1738">
        <v>1178</v>
      </c>
      <c r="J150" s="1738">
        <v>1178</v>
      </c>
      <c r="K150" s="1736"/>
      <c r="L150" s="1736"/>
      <c r="M150" s="1737">
        <v>43446</v>
      </c>
      <c r="N150" s="1736"/>
      <c r="O150" s="1736" t="s">
        <v>4127</v>
      </c>
      <c r="P150" s="1736"/>
    </row>
    <row r="151" spans="1:16" ht="51">
      <c r="A151" s="1736" t="s">
        <v>4155</v>
      </c>
      <c r="B151" s="1736" t="s">
        <v>4156</v>
      </c>
      <c r="C151" s="1736" t="s">
        <v>1942</v>
      </c>
      <c r="E151" s="1736" t="s">
        <v>3394</v>
      </c>
      <c r="F151" s="1736" t="s">
        <v>4157</v>
      </c>
      <c r="G151" s="1736" t="s">
        <v>4158</v>
      </c>
      <c r="H151" s="1737">
        <v>43446</v>
      </c>
      <c r="I151" s="1738">
        <v>1178</v>
      </c>
      <c r="J151" s="1738">
        <v>1178</v>
      </c>
      <c r="K151" s="1736"/>
      <c r="L151" s="1736"/>
      <c r="M151" s="1737">
        <v>43446</v>
      </c>
      <c r="N151" s="1736"/>
      <c r="O151" s="1736" t="s">
        <v>4124</v>
      </c>
      <c r="P151" s="1736"/>
    </row>
    <row r="152" spans="1:16" ht="51">
      <c r="A152" s="1736" t="s">
        <v>4159</v>
      </c>
      <c r="B152" s="1736" t="s">
        <v>4160</v>
      </c>
      <c r="C152" s="1736" t="s">
        <v>1942</v>
      </c>
      <c r="E152" s="1736" t="s">
        <v>3422</v>
      </c>
      <c r="F152" s="1736" t="s">
        <v>4161</v>
      </c>
      <c r="G152" s="1736" t="s">
        <v>4162</v>
      </c>
      <c r="H152" s="1737">
        <v>43446</v>
      </c>
      <c r="I152" s="1738">
        <v>1178</v>
      </c>
      <c r="J152" s="1738">
        <v>1178</v>
      </c>
      <c r="K152" s="1736"/>
      <c r="L152" s="1736"/>
      <c r="M152" s="1737">
        <v>43446</v>
      </c>
      <c r="N152" s="1736"/>
      <c r="O152" s="1736" t="s">
        <v>4163</v>
      </c>
      <c r="P152" s="1736"/>
    </row>
    <row r="153" spans="1:16" ht="38.25">
      <c r="A153" s="1736" t="s">
        <v>4164</v>
      </c>
      <c r="B153" s="1736" t="s">
        <v>4130</v>
      </c>
      <c r="C153" s="1736" t="s">
        <v>1942</v>
      </c>
      <c r="E153" s="1736" t="s">
        <v>3422</v>
      </c>
      <c r="F153" s="1736" t="s">
        <v>4117</v>
      </c>
      <c r="G153" s="1736" t="s">
        <v>4118</v>
      </c>
      <c r="H153" s="1737">
        <v>43446</v>
      </c>
      <c r="I153" s="1738">
        <v>1178</v>
      </c>
      <c r="J153" s="1738">
        <v>1178</v>
      </c>
      <c r="K153" s="1736"/>
      <c r="L153" s="1736"/>
      <c r="M153" s="1737">
        <v>43446</v>
      </c>
      <c r="N153" s="1736"/>
      <c r="O153" s="1736" t="s">
        <v>4119</v>
      </c>
      <c r="P153" s="1736"/>
    </row>
    <row r="154" spans="1:16" ht="51">
      <c r="A154" s="1736" t="s">
        <v>4165</v>
      </c>
      <c r="B154" s="1736" t="s">
        <v>4166</v>
      </c>
      <c r="C154" s="1736" t="s">
        <v>1942</v>
      </c>
      <c r="E154" s="1736" t="s">
        <v>3422</v>
      </c>
      <c r="F154" s="1736" t="s">
        <v>4117</v>
      </c>
      <c r="G154" s="1736" t="s">
        <v>4118</v>
      </c>
      <c r="H154" s="1737">
        <v>43446</v>
      </c>
      <c r="I154" s="1738">
        <v>951.08</v>
      </c>
      <c r="J154" s="1738">
        <v>951.08</v>
      </c>
      <c r="K154" s="1736"/>
      <c r="L154" s="1736"/>
      <c r="M154" s="1737">
        <v>43446</v>
      </c>
      <c r="N154" s="1736"/>
      <c r="O154" s="1736" t="s">
        <v>4119</v>
      </c>
      <c r="P154" s="1736"/>
    </row>
    <row r="155" spans="1:16" ht="38.25">
      <c r="A155" s="1736" t="s">
        <v>1209</v>
      </c>
      <c r="B155" s="1736" t="s">
        <v>272</v>
      </c>
      <c r="C155" s="1736" t="s">
        <v>1914</v>
      </c>
      <c r="E155" s="1736" t="s">
        <v>2061</v>
      </c>
      <c r="F155" s="1736" t="s">
        <v>2820</v>
      </c>
      <c r="G155" s="1736" t="s">
        <v>282</v>
      </c>
      <c r="H155" s="1737">
        <v>43039</v>
      </c>
      <c r="I155" s="1738">
        <v>172733.52</v>
      </c>
      <c r="J155" s="1738">
        <v>146823.49</v>
      </c>
      <c r="K155" s="1737">
        <v>43137</v>
      </c>
      <c r="L155" s="1736"/>
      <c r="M155" s="1737">
        <v>43039</v>
      </c>
      <c r="N155" s="1737">
        <v>43143</v>
      </c>
      <c r="O155" s="1736" t="s">
        <v>3361</v>
      </c>
      <c r="P155" s="1736" t="s">
        <v>3362</v>
      </c>
    </row>
    <row r="156" spans="1:16" ht="38.25">
      <c r="A156" s="1736" t="s">
        <v>3363</v>
      </c>
      <c r="B156" s="1736" t="s">
        <v>3364</v>
      </c>
      <c r="C156" s="1736" t="s">
        <v>3357</v>
      </c>
      <c r="E156" s="1736" t="s">
        <v>3358</v>
      </c>
      <c r="F156" s="1736" t="s">
        <v>3365</v>
      </c>
      <c r="G156" s="1736" t="s">
        <v>3366</v>
      </c>
      <c r="H156" s="1737">
        <v>43046</v>
      </c>
      <c r="I156" s="1738">
        <v>157956.47</v>
      </c>
      <c r="J156" s="1738">
        <v>134263</v>
      </c>
      <c r="K156" s="1736"/>
      <c r="L156" s="1736"/>
      <c r="M156" s="1737">
        <v>43046</v>
      </c>
      <c r="N156" s="1736"/>
      <c r="O156" s="1736"/>
      <c r="P156" s="1736"/>
    </row>
    <row r="157" spans="1:16" ht="51">
      <c r="A157" s="1736" t="s">
        <v>1210</v>
      </c>
      <c r="B157" s="1736" t="s">
        <v>392</v>
      </c>
      <c r="C157" s="1736" t="s">
        <v>1914</v>
      </c>
      <c r="E157" s="1736" t="s">
        <v>2061</v>
      </c>
      <c r="F157" s="1736" t="s">
        <v>2812</v>
      </c>
      <c r="G157" s="1736" t="s">
        <v>161</v>
      </c>
      <c r="H157" s="1737">
        <v>43061</v>
      </c>
      <c r="I157" s="1738">
        <v>163986.88</v>
      </c>
      <c r="J157" s="1738">
        <v>139388</v>
      </c>
      <c r="K157" s="1737">
        <v>43144</v>
      </c>
      <c r="L157" s="1736"/>
      <c r="M157" s="1737">
        <v>43062</v>
      </c>
      <c r="N157" s="1737">
        <v>43152</v>
      </c>
      <c r="O157" s="1736" t="s">
        <v>3369</v>
      </c>
      <c r="P157" s="1736" t="s">
        <v>3362</v>
      </c>
    </row>
    <row r="158" spans="1:16" ht="38.25">
      <c r="A158" s="1736" t="s">
        <v>3378</v>
      </c>
      <c r="B158" s="1736" t="s">
        <v>3379</v>
      </c>
      <c r="C158" s="1736" t="s">
        <v>3357</v>
      </c>
      <c r="E158" s="1736" t="s">
        <v>3358</v>
      </c>
      <c r="F158" s="1736" t="s">
        <v>3380</v>
      </c>
      <c r="G158" s="1736" t="s">
        <v>3381</v>
      </c>
      <c r="H158" s="1737">
        <v>43119</v>
      </c>
      <c r="I158" s="1738">
        <v>342733.49</v>
      </c>
      <c r="J158" s="1738">
        <v>291323.46000000002</v>
      </c>
      <c r="K158" s="1736"/>
      <c r="L158" s="1736"/>
      <c r="M158" s="1737">
        <v>43119</v>
      </c>
      <c r="N158" s="1736"/>
      <c r="O158" s="1736"/>
      <c r="P158" s="1736"/>
    </row>
    <row r="159" spans="1:16" ht="38.25">
      <c r="A159" s="1736" t="s">
        <v>1610</v>
      </c>
      <c r="B159" s="1736" t="s">
        <v>391</v>
      </c>
      <c r="C159" s="1736" t="s">
        <v>1914</v>
      </c>
      <c r="E159" s="1736" t="s">
        <v>2061</v>
      </c>
      <c r="F159" s="1736" t="s">
        <v>2828</v>
      </c>
      <c r="G159" s="1736" t="s">
        <v>184</v>
      </c>
      <c r="H159" s="1737">
        <v>43131</v>
      </c>
      <c r="I159" s="1738">
        <v>192832.21</v>
      </c>
      <c r="J159" s="1738">
        <v>163907.37</v>
      </c>
      <c r="K159" s="1737">
        <v>43220</v>
      </c>
      <c r="L159" s="1736"/>
      <c r="M159" s="1737">
        <v>43131</v>
      </c>
      <c r="N159" s="1737">
        <v>43230</v>
      </c>
      <c r="O159" s="1736" t="s">
        <v>3385</v>
      </c>
      <c r="P159" s="1736" t="s">
        <v>3386</v>
      </c>
    </row>
    <row r="160" spans="1:16" ht="38.25">
      <c r="A160" s="1736" t="s">
        <v>1611</v>
      </c>
      <c r="B160" s="1736" t="s">
        <v>239</v>
      </c>
      <c r="C160" s="1736" t="s">
        <v>1914</v>
      </c>
      <c r="E160" s="1736" t="s">
        <v>2061</v>
      </c>
      <c r="F160" s="1736" t="s">
        <v>2929</v>
      </c>
      <c r="G160" s="1736" t="s">
        <v>235</v>
      </c>
      <c r="H160" s="1737">
        <v>43146</v>
      </c>
      <c r="I160" s="1738">
        <v>161741.96</v>
      </c>
      <c r="J160" s="1738">
        <v>137349.79999999999</v>
      </c>
      <c r="K160" s="1737">
        <v>43238</v>
      </c>
      <c r="L160" s="1736"/>
      <c r="M160" s="1737">
        <v>43154</v>
      </c>
      <c r="N160" s="1737">
        <v>43245</v>
      </c>
      <c r="O160" s="1736" t="s">
        <v>3387</v>
      </c>
      <c r="P160" s="1736" t="s">
        <v>3386</v>
      </c>
    </row>
    <row r="161" spans="1:16" ht="63.75">
      <c r="A161" s="1736" t="s">
        <v>1612</v>
      </c>
      <c r="B161" s="1736" t="s">
        <v>1760</v>
      </c>
      <c r="C161" s="1736" t="s">
        <v>1914</v>
      </c>
      <c r="E161" s="1736" t="s">
        <v>2061</v>
      </c>
      <c r="F161" s="1736" t="s">
        <v>2799</v>
      </c>
      <c r="G161" s="1736" t="s">
        <v>345</v>
      </c>
      <c r="H161" s="1737">
        <v>43159</v>
      </c>
      <c r="I161" s="1738">
        <v>215693.16</v>
      </c>
      <c r="J161" s="1738">
        <v>183339.18</v>
      </c>
      <c r="K161" s="1737">
        <v>43237</v>
      </c>
      <c r="L161" s="1736"/>
      <c r="M161" s="1737">
        <v>43159</v>
      </c>
      <c r="N161" s="1737">
        <v>43251</v>
      </c>
      <c r="O161" s="1736" t="s">
        <v>3385</v>
      </c>
      <c r="P161" s="1736" t="s">
        <v>3386</v>
      </c>
    </row>
    <row r="162" spans="1:16" ht="25.5">
      <c r="A162" s="1739" t="s">
        <v>3920</v>
      </c>
      <c r="B162" s="1739" t="s">
        <v>3921</v>
      </c>
      <c r="C162" s="1739" t="s">
        <v>1827</v>
      </c>
      <c r="D162" s="1740"/>
      <c r="E162" s="1739" t="s">
        <v>2137</v>
      </c>
      <c r="F162" s="1739" t="s">
        <v>3972</v>
      </c>
      <c r="G162" s="1739" t="s">
        <v>3971</v>
      </c>
      <c r="H162" s="1741">
        <v>42669</v>
      </c>
      <c r="I162" s="1742">
        <v>14750</v>
      </c>
      <c r="J162" s="1742">
        <v>12537.5</v>
      </c>
      <c r="K162" s="1741">
        <v>42726</v>
      </c>
      <c r="L162" s="1741">
        <v>43028</v>
      </c>
      <c r="M162" s="1741">
        <v>42671</v>
      </c>
      <c r="N162" s="1741">
        <v>42726</v>
      </c>
      <c r="O162" s="1739" t="s">
        <v>3803</v>
      </c>
      <c r="P162" s="1739"/>
    </row>
    <row r="163" spans="1:16" ht="25.5">
      <c r="A163" s="1739" t="s">
        <v>3923</v>
      </c>
      <c r="B163" s="1739" t="s">
        <v>3924</v>
      </c>
      <c r="C163" s="1739" t="s">
        <v>1827</v>
      </c>
      <c r="D163" s="1740"/>
      <c r="E163" s="1739" t="s">
        <v>2137</v>
      </c>
      <c r="F163" s="1739" t="s">
        <v>3981</v>
      </c>
      <c r="G163" s="1739" t="s">
        <v>3980</v>
      </c>
      <c r="H163" s="1741">
        <v>42671</v>
      </c>
      <c r="I163" s="1742">
        <v>15700</v>
      </c>
      <c r="J163" s="1742">
        <v>13345</v>
      </c>
      <c r="K163" s="1741">
        <v>42732</v>
      </c>
      <c r="L163" s="1741">
        <v>43098</v>
      </c>
      <c r="M163" s="1741">
        <v>42671</v>
      </c>
      <c r="N163" s="1741">
        <v>42732</v>
      </c>
      <c r="O163" s="1739" t="s">
        <v>3803</v>
      </c>
      <c r="P163" s="1739"/>
    </row>
    <row r="164" spans="1:16" ht="25.5">
      <c r="A164" s="1739" t="s">
        <v>3926</v>
      </c>
      <c r="B164" s="1739" t="s">
        <v>3927</v>
      </c>
      <c r="C164" s="1739" t="s">
        <v>1827</v>
      </c>
      <c r="D164" s="1740"/>
      <c r="E164" s="1739" t="s">
        <v>2137</v>
      </c>
      <c r="F164" s="1739" t="s">
        <v>3991</v>
      </c>
      <c r="G164" s="1739" t="s">
        <v>3990</v>
      </c>
      <c r="H164" s="1741">
        <v>42688</v>
      </c>
      <c r="I164" s="1742">
        <v>17545</v>
      </c>
      <c r="J164" s="1742">
        <v>14913.25</v>
      </c>
      <c r="K164" s="1741">
        <v>42758</v>
      </c>
      <c r="L164" s="1741">
        <v>42956</v>
      </c>
      <c r="M164" s="1741">
        <v>42689</v>
      </c>
      <c r="N164" s="1741">
        <v>42759</v>
      </c>
      <c r="O164" s="1739" t="s">
        <v>3803</v>
      </c>
      <c r="P164" s="1739"/>
    </row>
    <row r="165" spans="1:16" ht="25.5">
      <c r="A165" s="1739" t="s">
        <v>3929</v>
      </c>
      <c r="B165" s="1739" t="s">
        <v>3930</v>
      </c>
      <c r="C165" s="1739" t="s">
        <v>1827</v>
      </c>
      <c r="D165" s="1740"/>
      <c r="E165" s="1739" t="s">
        <v>2137</v>
      </c>
      <c r="F165" s="1739" t="s">
        <v>4000</v>
      </c>
      <c r="G165" s="1739" t="s">
        <v>3999</v>
      </c>
      <c r="H165" s="1741">
        <v>42692</v>
      </c>
      <c r="I165" s="1742">
        <v>11900</v>
      </c>
      <c r="J165" s="1742">
        <v>10115</v>
      </c>
      <c r="K165" s="1741">
        <v>42759</v>
      </c>
      <c r="L165" s="1741">
        <v>43017</v>
      </c>
      <c r="M165" s="1741">
        <v>42696</v>
      </c>
      <c r="N165" s="1741">
        <v>42760</v>
      </c>
      <c r="O165" s="1739" t="s">
        <v>3803</v>
      </c>
      <c r="P165" s="1739"/>
    </row>
    <row r="166" spans="1:16" ht="25.5">
      <c r="A166" s="1739" t="s">
        <v>3932</v>
      </c>
      <c r="B166" s="1739" t="s">
        <v>3933</v>
      </c>
      <c r="C166" s="1739" t="s">
        <v>1827</v>
      </c>
      <c r="D166" s="1740"/>
      <c r="E166" s="1739" t="s">
        <v>2137</v>
      </c>
      <c r="F166" s="1739" t="s">
        <v>4010</v>
      </c>
      <c r="G166" s="1739" t="s">
        <v>4009</v>
      </c>
      <c r="H166" s="1741">
        <v>42704</v>
      </c>
      <c r="I166" s="1742">
        <v>41745</v>
      </c>
      <c r="J166" s="1742">
        <v>21100</v>
      </c>
      <c r="K166" s="1741">
        <v>42810</v>
      </c>
      <c r="L166" s="1741">
        <v>43375</v>
      </c>
      <c r="M166" s="1741">
        <v>42705</v>
      </c>
      <c r="N166" s="1741">
        <v>42811</v>
      </c>
      <c r="O166" s="1739" t="s">
        <v>3803</v>
      </c>
      <c r="P166" s="1739"/>
    </row>
    <row r="167" spans="1:16" ht="25.5">
      <c r="A167" s="1739" t="s">
        <v>714</v>
      </c>
      <c r="B167" s="1739" t="s">
        <v>268</v>
      </c>
      <c r="C167" s="1739" t="s">
        <v>1827</v>
      </c>
      <c r="D167" s="1740"/>
      <c r="E167" s="1739" t="s">
        <v>2137</v>
      </c>
      <c r="F167" s="1739" t="s">
        <v>2929</v>
      </c>
      <c r="G167" s="1739" t="s">
        <v>235</v>
      </c>
      <c r="H167" s="1741">
        <v>42718</v>
      </c>
      <c r="I167" s="1742">
        <v>17000</v>
      </c>
      <c r="J167" s="1742">
        <v>14450</v>
      </c>
      <c r="K167" s="1741">
        <v>42821</v>
      </c>
      <c r="L167" s="1741">
        <v>43004</v>
      </c>
      <c r="M167" s="1741">
        <v>42723</v>
      </c>
      <c r="N167" s="1741">
        <v>42822</v>
      </c>
      <c r="O167" s="1739" t="s">
        <v>3803</v>
      </c>
      <c r="P167" s="1739"/>
    </row>
    <row r="168" spans="1:16" ht="25.5">
      <c r="A168" s="1739" t="s">
        <v>3935</v>
      </c>
      <c r="B168" s="1739" t="s">
        <v>3936</v>
      </c>
      <c r="C168" s="1739" t="s">
        <v>1827</v>
      </c>
      <c r="D168" s="1740"/>
      <c r="E168" s="1739" t="s">
        <v>2137</v>
      </c>
      <c r="F168" s="1739" t="s">
        <v>4019</v>
      </c>
      <c r="G168" s="1739" t="s">
        <v>4018</v>
      </c>
      <c r="H168" s="1741">
        <v>42724</v>
      </c>
      <c r="I168" s="1742">
        <v>20000</v>
      </c>
      <c r="J168" s="1742">
        <v>17000</v>
      </c>
      <c r="K168" s="1741">
        <v>42809</v>
      </c>
      <c r="L168" s="1741">
        <v>43091</v>
      </c>
      <c r="M168" s="1741">
        <v>42725</v>
      </c>
      <c r="N168" s="1741">
        <v>42810</v>
      </c>
      <c r="O168" s="1739" t="s">
        <v>3803</v>
      </c>
      <c r="P168" s="1739"/>
    </row>
    <row r="169" spans="1:16" ht="25.5">
      <c r="A169" s="1739" t="s">
        <v>3938</v>
      </c>
      <c r="B169" s="1739" t="s">
        <v>3939</v>
      </c>
      <c r="C169" s="1739" t="s">
        <v>1827</v>
      </c>
      <c r="D169" s="1740"/>
      <c r="E169" s="1739" t="s">
        <v>2137</v>
      </c>
      <c r="F169" s="1739" t="s">
        <v>4027</v>
      </c>
      <c r="G169" s="1739" t="s">
        <v>4026</v>
      </c>
      <c r="H169" s="1741">
        <v>42732</v>
      </c>
      <c r="I169" s="1742">
        <v>38899.08</v>
      </c>
      <c r="J169" s="1742">
        <v>30500</v>
      </c>
      <c r="K169" s="1741">
        <v>42808</v>
      </c>
      <c r="L169" s="1741">
        <v>43067</v>
      </c>
      <c r="M169" s="1741">
        <v>42734</v>
      </c>
      <c r="N169" s="1741">
        <v>42809</v>
      </c>
      <c r="O169" s="1739" t="s">
        <v>3803</v>
      </c>
      <c r="P169" s="1739"/>
    </row>
    <row r="170" spans="1:16" ht="25.5">
      <c r="A170" s="1739" t="s">
        <v>3941</v>
      </c>
      <c r="B170" s="1739" t="s">
        <v>3942</v>
      </c>
      <c r="C170" s="1739" t="s">
        <v>1827</v>
      </c>
      <c r="D170" s="1740"/>
      <c r="E170" s="1739" t="s">
        <v>2137</v>
      </c>
      <c r="F170" s="1739" t="s">
        <v>4035</v>
      </c>
      <c r="G170" s="1739" t="s">
        <v>4034</v>
      </c>
      <c r="H170" s="1741">
        <v>42731</v>
      </c>
      <c r="I170" s="1742">
        <v>15609</v>
      </c>
      <c r="J170" s="1742">
        <v>13267.65</v>
      </c>
      <c r="K170" s="1741">
        <v>42822</v>
      </c>
      <c r="L170" s="1741">
        <v>43097</v>
      </c>
      <c r="M170" s="1741">
        <v>42734</v>
      </c>
      <c r="N170" s="1741">
        <v>42822</v>
      </c>
      <c r="O170" s="1739" t="s">
        <v>3803</v>
      </c>
      <c r="P170" s="1739"/>
    </row>
    <row r="171" spans="1:16" ht="25.5">
      <c r="A171" s="1739" t="s">
        <v>3944</v>
      </c>
      <c r="B171" s="1739" t="s">
        <v>3945</v>
      </c>
      <c r="C171" s="1739" t="s">
        <v>1827</v>
      </c>
      <c r="D171" s="1740"/>
      <c r="E171" s="1739" t="s">
        <v>2137</v>
      </c>
      <c r="F171" s="1739" t="s">
        <v>4044</v>
      </c>
      <c r="G171" s="1739" t="s">
        <v>4043</v>
      </c>
      <c r="H171" s="1741">
        <v>42734</v>
      </c>
      <c r="I171" s="1742">
        <v>109747</v>
      </c>
      <c r="J171" s="1742">
        <v>93284.95</v>
      </c>
      <c r="K171" s="1741">
        <v>42822</v>
      </c>
      <c r="L171" s="1741">
        <v>43396</v>
      </c>
      <c r="M171" s="1741">
        <v>42738</v>
      </c>
      <c r="N171" s="1741">
        <v>42823</v>
      </c>
      <c r="O171" s="1739" t="s">
        <v>3803</v>
      </c>
      <c r="P171" s="1739"/>
    </row>
    <row r="172" spans="1:16" ht="25.5">
      <c r="A172" s="1739" t="s">
        <v>3947</v>
      </c>
      <c r="B172" s="1739" t="s">
        <v>3948</v>
      </c>
      <c r="C172" s="1739" t="s">
        <v>1827</v>
      </c>
      <c r="D172" s="1740"/>
      <c r="E172" s="1739" t="s">
        <v>2137</v>
      </c>
      <c r="F172" s="1739" t="s">
        <v>4054</v>
      </c>
      <c r="G172" s="1739" t="s">
        <v>4053</v>
      </c>
      <c r="H172" s="1741">
        <v>42786</v>
      </c>
      <c r="I172" s="1742">
        <v>84400</v>
      </c>
      <c r="J172" s="1742">
        <v>71740</v>
      </c>
      <c r="K172" s="1741">
        <v>42860</v>
      </c>
      <c r="L172" s="1741">
        <v>43411</v>
      </c>
      <c r="M172" s="1741">
        <v>42786</v>
      </c>
      <c r="N172" s="1741">
        <v>42863</v>
      </c>
      <c r="O172" s="1739" t="s">
        <v>3803</v>
      </c>
      <c r="P172" s="1739"/>
    </row>
    <row r="173" spans="1:16" ht="25.5">
      <c r="A173" s="1739" t="s">
        <v>3950</v>
      </c>
      <c r="B173" s="1739" t="s">
        <v>3951</v>
      </c>
      <c r="C173" s="1739" t="s">
        <v>1827</v>
      </c>
      <c r="D173" s="1740"/>
      <c r="E173" s="1739" t="s">
        <v>2137</v>
      </c>
      <c r="F173" s="1739" t="s">
        <v>4063</v>
      </c>
      <c r="G173" s="1739" t="s">
        <v>4062</v>
      </c>
      <c r="H173" s="1741">
        <v>42795</v>
      </c>
      <c r="I173" s="1742">
        <v>16940</v>
      </c>
      <c r="J173" s="1742">
        <v>14399</v>
      </c>
      <c r="K173" s="1741">
        <v>42898</v>
      </c>
      <c r="L173" s="1741">
        <v>43255</v>
      </c>
      <c r="M173" s="1741">
        <v>42802</v>
      </c>
      <c r="N173" s="1741">
        <v>42899</v>
      </c>
      <c r="O173" s="1739" t="s">
        <v>3803</v>
      </c>
      <c r="P173" s="1739"/>
    </row>
    <row r="174" spans="1:16" ht="25.5">
      <c r="A174" s="1739" t="s">
        <v>3953</v>
      </c>
      <c r="B174" s="1739" t="s">
        <v>3954</v>
      </c>
      <c r="C174" s="1739" t="s">
        <v>1827</v>
      </c>
      <c r="D174" s="1740"/>
      <c r="E174" s="1739" t="s">
        <v>2137</v>
      </c>
      <c r="F174" s="1739" t="s">
        <v>4072</v>
      </c>
      <c r="G174" s="1739" t="s">
        <v>4071</v>
      </c>
      <c r="H174" s="1741">
        <v>42800</v>
      </c>
      <c r="I174" s="1742">
        <v>75020</v>
      </c>
      <c r="J174" s="1742">
        <v>63767</v>
      </c>
      <c r="K174" s="1741">
        <v>42860</v>
      </c>
      <c r="L174" s="1741">
        <v>43388</v>
      </c>
      <c r="M174" s="1741">
        <v>42803</v>
      </c>
      <c r="N174" s="1741">
        <v>42863</v>
      </c>
      <c r="O174" s="1739" t="s">
        <v>3803</v>
      </c>
      <c r="P174" s="1739"/>
    </row>
    <row r="175" spans="1:16" ht="25.5">
      <c r="A175" s="1739" t="s">
        <v>3956</v>
      </c>
      <c r="B175" s="1739" t="s">
        <v>3957</v>
      </c>
      <c r="C175" s="1739" t="s">
        <v>1827</v>
      </c>
      <c r="D175" s="1740"/>
      <c r="E175" s="1739" t="s">
        <v>2137</v>
      </c>
      <c r="F175" s="1739" t="s">
        <v>4081</v>
      </c>
      <c r="G175" s="1739" t="s">
        <v>4080</v>
      </c>
      <c r="H175" s="1741">
        <v>42822</v>
      </c>
      <c r="I175" s="1742">
        <v>13400</v>
      </c>
      <c r="J175" s="1742">
        <v>11390</v>
      </c>
      <c r="K175" s="1741">
        <v>42907</v>
      </c>
      <c r="L175" s="1741">
        <v>43161</v>
      </c>
      <c r="M175" s="1741">
        <v>42824</v>
      </c>
      <c r="N175" s="1741">
        <v>42908</v>
      </c>
      <c r="O175" s="1739" t="s">
        <v>3803</v>
      </c>
      <c r="P175" s="1739"/>
    </row>
    <row r="176" spans="1:16" ht="25.5">
      <c r="A176" s="1739" t="s">
        <v>715</v>
      </c>
      <c r="B176" s="1739" t="s">
        <v>632</v>
      </c>
      <c r="C176" s="1739" t="s">
        <v>1827</v>
      </c>
      <c r="D176" s="1740"/>
      <c r="E176" s="1739" t="s">
        <v>2137</v>
      </c>
      <c r="F176" s="1739" t="s">
        <v>2799</v>
      </c>
      <c r="G176" s="1739" t="s">
        <v>345</v>
      </c>
      <c r="H176" s="1741">
        <v>42838</v>
      </c>
      <c r="I176" s="1742">
        <v>33638</v>
      </c>
      <c r="J176" s="1742">
        <v>28592.3</v>
      </c>
      <c r="K176" s="1741">
        <v>42954</v>
      </c>
      <c r="L176" s="1741">
        <v>43396</v>
      </c>
      <c r="M176" s="1741">
        <v>42844</v>
      </c>
      <c r="N176" s="1741">
        <v>42954</v>
      </c>
      <c r="O176" s="1739" t="s">
        <v>3803</v>
      </c>
      <c r="P176" s="1739"/>
    </row>
    <row r="177" spans="1:16" ht="25.5">
      <c r="A177" s="1739" t="s">
        <v>3959</v>
      </c>
      <c r="B177" s="1739" t="s">
        <v>3960</v>
      </c>
      <c r="C177" s="1739" t="s">
        <v>1914</v>
      </c>
      <c r="D177" s="1740"/>
      <c r="E177" s="1739" t="s">
        <v>2061</v>
      </c>
      <c r="F177" s="1739" t="s">
        <v>4089</v>
      </c>
      <c r="G177" s="1739" t="s">
        <v>4088</v>
      </c>
      <c r="H177" s="1741">
        <v>42867</v>
      </c>
      <c r="I177" s="1742">
        <v>529400</v>
      </c>
      <c r="J177" s="1742">
        <v>450000</v>
      </c>
      <c r="K177" s="1741">
        <v>42954</v>
      </c>
      <c r="L177" s="1739"/>
      <c r="M177" s="1741">
        <v>42870</v>
      </c>
      <c r="N177" s="1741">
        <v>42954</v>
      </c>
      <c r="O177" s="1739" t="s">
        <v>3353</v>
      </c>
      <c r="P177" s="1739" t="s">
        <v>3313</v>
      </c>
    </row>
    <row r="178" spans="1:16" ht="25.5">
      <c r="A178" s="1739" t="s">
        <v>3962</v>
      </c>
      <c r="B178" s="1739" t="s">
        <v>3963</v>
      </c>
      <c r="C178" s="1739" t="s">
        <v>1914</v>
      </c>
      <c r="D178" s="1740"/>
      <c r="E178" s="1739" t="s">
        <v>2061</v>
      </c>
      <c r="F178" s="1739" t="s">
        <v>3086</v>
      </c>
      <c r="G178" s="1739" t="s">
        <v>3085</v>
      </c>
      <c r="H178" s="1741">
        <v>42990</v>
      </c>
      <c r="I178" s="1742">
        <v>239943</v>
      </c>
      <c r="J178" s="1742">
        <v>203951.55</v>
      </c>
      <c r="K178" s="1741">
        <v>43103</v>
      </c>
      <c r="L178" s="1739"/>
      <c r="M178" s="1741">
        <v>42991</v>
      </c>
      <c r="N178" s="1741">
        <v>43103</v>
      </c>
      <c r="O178" s="1739" t="s">
        <v>3420</v>
      </c>
      <c r="P178" s="1739" t="s">
        <v>3317</v>
      </c>
    </row>
    <row r="179" spans="1:16" ht="25.5">
      <c r="A179" s="1739" t="s">
        <v>4101</v>
      </c>
      <c r="B179" s="1739" t="s">
        <v>4102</v>
      </c>
      <c r="C179" s="1739" t="s">
        <v>1914</v>
      </c>
      <c r="D179" s="1740"/>
      <c r="E179" s="1739" t="s">
        <v>2061</v>
      </c>
      <c r="F179" s="1739" t="s">
        <v>3380</v>
      </c>
      <c r="G179" s="1739" t="s">
        <v>3381</v>
      </c>
      <c r="H179" s="1741">
        <v>43006</v>
      </c>
      <c r="I179" s="1742">
        <v>34524.93</v>
      </c>
      <c r="J179" s="1742">
        <v>29346.19</v>
      </c>
      <c r="K179" s="1741">
        <v>43105</v>
      </c>
      <c r="L179" s="1739"/>
      <c r="M179" s="1741">
        <v>43006</v>
      </c>
      <c r="N179" s="1741">
        <v>43105</v>
      </c>
      <c r="O179" s="1739" t="s">
        <v>3420</v>
      </c>
      <c r="P179" s="1739" t="s">
        <v>3317</v>
      </c>
    </row>
    <row r="180" spans="1:16" ht="38.25">
      <c r="A180" s="1743" t="s">
        <v>689</v>
      </c>
      <c r="B180" s="1743" t="s">
        <v>3498</v>
      </c>
      <c r="C180" s="1743" t="s">
        <v>1827</v>
      </c>
      <c r="E180" s="1743" t="s">
        <v>2137</v>
      </c>
      <c r="F180" s="1743" t="s">
        <v>2799</v>
      </c>
      <c r="G180" s="1743" t="s">
        <v>345</v>
      </c>
      <c r="H180" s="1744">
        <v>42699</v>
      </c>
      <c r="I180" s="1745">
        <v>1293732.57</v>
      </c>
      <c r="J180" s="1745">
        <v>1196702.6200000001</v>
      </c>
      <c r="K180" s="1744">
        <v>42794</v>
      </c>
      <c r="L180" s="1744">
        <v>43228</v>
      </c>
      <c r="M180" s="1744">
        <v>42702</v>
      </c>
      <c r="N180" s="1744">
        <v>42809</v>
      </c>
      <c r="O180" s="1743" t="s">
        <v>3803</v>
      </c>
      <c r="P180" s="1743"/>
    </row>
  </sheetData>
  <autoFilter ref="A11:P175" xr:uid="{00000000-0009-0000-0000-000041000000}"/>
  <mergeCells count="15">
    <mergeCell ref="A10:H10"/>
    <mergeCell ref="A1:P1"/>
    <mergeCell ref="A3:P3"/>
    <mergeCell ref="B5:C5"/>
    <mergeCell ref="A8:E8"/>
    <mergeCell ref="F8:G8"/>
    <mergeCell ref="H8:H9"/>
    <mergeCell ref="I8:I9"/>
    <mergeCell ref="J8:J9"/>
    <mergeCell ref="K8:K9"/>
    <mergeCell ref="L8:L9"/>
    <mergeCell ref="M8:M9"/>
    <mergeCell ref="N8:N9"/>
    <mergeCell ref="O8:O9"/>
    <mergeCell ref="P8:P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67</vt:i4>
      </vt:variant>
      <vt:variant>
        <vt:lpstr>Įvardytieji diapazonai</vt:lpstr>
      </vt:variant>
      <vt:variant>
        <vt:i4>18</vt:i4>
      </vt:variant>
    </vt:vector>
  </HeadingPairs>
  <TitlesOfParts>
    <vt:vector size="85" baseType="lpstr">
      <vt:lpstr>3 pr-1</vt:lpstr>
      <vt:lpstr>IV-1 su proj</vt:lpstr>
      <vt:lpstr>3 pr-2</vt:lpstr>
      <vt:lpstr>IV-3</vt:lpstr>
      <vt:lpstr>3 pr-3</vt:lpstr>
      <vt:lpstr>3 pr-4</vt:lpstr>
      <vt:lpstr>3 pr-(5-6)</vt:lpstr>
      <vt:lpstr>3 pr-7</vt:lpstr>
      <vt:lpstr>Lapas1</vt:lpstr>
      <vt:lpstr>IV-2 amsa</vt:lpstr>
      <vt:lpstr>IV-2 arsa</vt:lpstr>
      <vt:lpstr>IV-2 dsa</vt:lpstr>
      <vt:lpstr>IV-2 lrsa</vt:lpstr>
      <vt:lpstr>IV-2 vrsa</vt:lpstr>
      <vt:lpstr>Lęšos priemonės</vt:lpstr>
      <vt:lpstr>4 pr-(1-2)</vt:lpstr>
      <vt:lpstr>4 pr-3</vt:lpstr>
      <vt:lpstr>4pr-(4-5)</vt:lpstr>
      <vt:lpstr>4 pr-6</vt:lpstr>
      <vt:lpstr>4 pr-7</vt:lpstr>
      <vt:lpstr>Veiklos</vt:lpstr>
      <vt:lpstr>ketv. 1</vt:lpstr>
      <vt:lpstr>ketv. 2</vt:lpstr>
      <vt:lpstr>PP pateikimas</vt:lpstr>
      <vt:lpstr>ketv. 3</vt:lpstr>
      <vt:lpstr>ketv. 4 </vt:lpstr>
      <vt:lpstr>ketv. 5 </vt:lpstr>
      <vt:lpstr>ketv. 6 </vt:lpstr>
      <vt:lpstr>ketv. 7 </vt:lpstr>
      <vt:lpstr>ketv. 8</vt:lpstr>
      <vt:lpstr>ketv. 9</vt:lpstr>
      <vt:lpstr>ketv. 10 </vt:lpstr>
      <vt:lpstr>stebesena 1</vt:lpstr>
      <vt:lpstr>ES lėšos</vt:lpstr>
      <vt:lpstr>Sąrašų palyginimas su RPP</vt:lpstr>
      <vt:lpstr>Sąrašų palyginimas su sutartimi</vt:lpstr>
      <vt:lpstr>KPP</vt:lpstr>
      <vt:lpstr>ŽŪM sutartys</vt:lpstr>
      <vt:lpstr>ES_P_projektai</vt:lpstr>
      <vt:lpstr>908</vt:lpstr>
      <vt:lpstr>920</vt:lpstr>
      <vt:lpstr>725</vt:lpstr>
      <vt:lpstr>724</vt:lpstr>
      <vt:lpstr>630</vt:lpstr>
      <vt:lpstr>705</vt:lpstr>
      <vt:lpstr>615</vt:lpstr>
      <vt:lpstr>609</vt:lpstr>
      <vt:lpstr>407</vt:lpstr>
      <vt:lpstr>408</vt:lpstr>
      <vt:lpstr>905</vt:lpstr>
      <vt:lpstr>305</vt:lpstr>
      <vt:lpstr>903</vt:lpstr>
      <vt:lpstr>511</vt:lpstr>
      <vt:lpstr>019</vt:lpstr>
      <vt:lpstr>821</vt:lpstr>
      <vt:lpstr>514</vt:lpstr>
      <vt:lpstr>516</vt:lpstr>
      <vt:lpstr>518</vt:lpstr>
      <vt:lpstr>007</vt:lpstr>
      <vt:lpstr>008</vt:lpstr>
      <vt:lpstr>014</vt:lpstr>
      <vt:lpstr>302</vt:lpstr>
      <vt:lpstr>SFMIS AR 2017</vt:lpstr>
      <vt:lpstr>mokėjimų ataskaita</vt:lpstr>
      <vt:lpstr>Projektu_sutarciu_ataskaita</vt:lpstr>
      <vt:lpstr>projektų ataskaita</vt:lpstr>
      <vt:lpstr>Paraiškos</vt:lpstr>
      <vt:lpstr>'3 pr-(5-6)'!Print_Titles</vt:lpstr>
      <vt:lpstr>'3 pr-1'!Print_Titles</vt:lpstr>
      <vt:lpstr>'3 pr-2'!Print_Titles</vt:lpstr>
      <vt:lpstr>'3 pr-3'!Print_Titles</vt:lpstr>
      <vt:lpstr>'3 pr-4'!Print_Titles</vt:lpstr>
      <vt:lpstr>'3 pr-7'!Print_Titles</vt:lpstr>
      <vt:lpstr>'4pr-(4-5)'!Print_Titles</vt:lpstr>
      <vt:lpstr>'ketv. 1'!Print_Titles</vt:lpstr>
      <vt:lpstr>'ketv. 10 '!Print_Titles</vt:lpstr>
      <vt:lpstr>'ketv. 2'!Print_Titles</vt:lpstr>
      <vt:lpstr>'ketv. 3'!Print_Titles</vt:lpstr>
      <vt:lpstr>'ketv. 4 '!Print_Titles</vt:lpstr>
      <vt:lpstr>'ketv. 5 '!Print_Titles</vt:lpstr>
      <vt:lpstr>'ketv. 6 '!Print_Titles</vt:lpstr>
      <vt:lpstr>'ketv. 7 '!Print_Titles</vt:lpstr>
      <vt:lpstr>'ketv. 8'!Print_Titles</vt:lpstr>
      <vt:lpstr>'ketv. 9'!Print_Titles</vt:lpstr>
      <vt:lpstr>'SFMIS AR 2017'!Print_Titles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2017-07-11T07:12:31Z</dcterms:created>
  <dcterms:modified xsi:type="dcterms:W3CDTF">2019-04-04T09:56:19Z</dcterms:modified>
</cp:coreProperties>
</file>